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6.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tables/table1.xml" ContentType="application/vnd.openxmlformats-officedocument.spreadsheetml.table+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HP-i3\Desktop\"/>
    </mc:Choice>
  </mc:AlternateContent>
  <bookViews>
    <workbookView xWindow="1065" yWindow="-15" windowWidth="20115" windowHeight="8010" activeTab="65"/>
  </bookViews>
  <sheets>
    <sheet name="GUIDE D'UTILISATION" sheetId="104" r:id="rId1"/>
    <sheet name="SOMMAIRE" sheetId="109" r:id="rId2"/>
    <sheet name="INFORMATIONS" sheetId="81" r:id="rId3"/>
    <sheet name="PLAN COMPTABLE" sheetId="110" state="hidden" r:id="rId4"/>
    <sheet name="BalanceN" sheetId="82" r:id="rId5"/>
    <sheet name="BalanceN-1" sheetId="84" r:id="rId6"/>
    <sheet name="CALCULS FISCAUX" sheetId="105" r:id="rId7"/>
    <sheet name="LIASSE SYSCOHADA" sheetId="80" r:id="rId8"/>
    <sheet name="PAGE DE GARDE" sheetId="53" r:id="rId9"/>
    <sheet name="NOTE 36" sheetId="47" r:id="rId10"/>
    <sheet name="R1" sheetId="54" r:id="rId11"/>
    <sheet name="R2" sheetId="55" r:id="rId12"/>
    <sheet name="R3" sheetId="56" r:id="rId13"/>
    <sheet name="R4" sheetId="57" r:id="rId14"/>
    <sheet name="BILAN" sheetId="51" r:id="rId15"/>
    <sheet name="COMPTE DE RESULTAT" sheetId="50" r:id="rId16"/>
    <sheet name="TABLEAU DES FLUX DE TRESORERIE" sheetId="52" r:id="rId17"/>
    <sheet name="NOTE 1" sheetId="1" r:id="rId18"/>
    <sheet name="NOTE 2" sheetId="3" r:id="rId19"/>
    <sheet name="NOTE 3A" sheetId="4" r:id="rId20"/>
    <sheet name="NOTE 3B" sheetId="5" r:id="rId21"/>
    <sheet name="NOTE 3C" sheetId="6" r:id="rId22"/>
    <sheet name="NOTE 3D" sheetId="7" r:id="rId23"/>
    <sheet name="NOTE 3E" sheetId="8" r:id="rId24"/>
    <sheet name="NOTE 4" sheetId="9" r:id="rId25"/>
    <sheet name="NOTE 5" sheetId="10" r:id="rId26"/>
    <sheet name="NOTE 6" sheetId="11" r:id="rId27"/>
    <sheet name="NOTE 7" sheetId="12" r:id="rId28"/>
    <sheet name="NOTE 8" sheetId="13" r:id="rId29"/>
    <sheet name="NOTE 8A" sheetId="14" r:id="rId30"/>
    <sheet name="NOTE 9" sheetId="15" r:id="rId31"/>
    <sheet name="NOTE 10" sheetId="16" r:id="rId32"/>
    <sheet name="NOTE 11" sheetId="17" r:id="rId33"/>
    <sheet name="NOTE 12" sheetId="18" r:id="rId34"/>
    <sheet name="NOTE 13" sheetId="19" r:id="rId35"/>
    <sheet name="NOTE 14" sheetId="20" r:id="rId36"/>
    <sheet name="NOTE 15A" sheetId="21" r:id="rId37"/>
    <sheet name="NOTE 15 B" sheetId="22" r:id="rId38"/>
    <sheet name="NOTE 16A" sheetId="23" r:id="rId39"/>
    <sheet name="NOTE 16 B" sheetId="24" r:id="rId40"/>
    <sheet name="NOTE 16 B bis" sheetId="25" r:id="rId41"/>
    <sheet name="NOTE 16 C" sheetId="26" r:id="rId42"/>
    <sheet name="NOTE 17" sheetId="27" r:id="rId43"/>
    <sheet name="NOTE 18" sheetId="28" r:id="rId44"/>
    <sheet name="NOTE 19" sheetId="29" r:id="rId45"/>
    <sheet name="NOTE 20" sheetId="30" r:id="rId46"/>
    <sheet name="NOTE 21" sheetId="31" r:id="rId47"/>
    <sheet name="NOTE 22" sheetId="32" r:id="rId48"/>
    <sheet name="NOTE 23" sheetId="33" r:id="rId49"/>
    <sheet name="NOTE 24" sheetId="34" r:id="rId50"/>
    <sheet name="NOTE 25" sheetId="35" r:id="rId51"/>
    <sheet name="NOTE 26" sheetId="36" r:id="rId52"/>
    <sheet name="NOTE 27A" sheetId="37" r:id="rId53"/>
    <sheet name="NOTE 27B" sheetId="38" r:id="rId54"/>
    <sheet name="NOTE 28" sheetId="39" r:id="rId55"/>
    <sheet name="NOTE 29" sheetId="40" r:id="rId56"/>
    <sheet name="NOTE 30" sheetId="41" r:id="rId57"/>
    <sheet name="NOTE 31" sheetId="42" r:id="rId58"/>
    <sheet name="NOTE 32" sheetId="43" r:id="rId59"/>
    <sheet name="NOTE 33" sheetId="44" r:id="rId60"/>
    <sheet name="NOTE 34" sheetId="45" r:id="rId61"/>
    <sheet name="NOTE 35" sheetId="46" r:id="rId62"/>
    <sheet name="GARDE (DGI)" sheetId="111" r:id="rId63"/>
    <sheet name="Liste ETATS SUPPL DGI" sheetId="112" r:id="rId64"/>
    <sheet name="SUPPL1-CHARGES" sheetId="113" r:id="rId65"/>
    <sheet name="SUPPL2-PRODUITS" sheetId="114" r:id="rId66"/>
    <sheet name="SUPPL3-TVA (1)" sheetId="115" r:id="rId67"/>
    <sheet name="SUPPL4-TVA (2)" sheetId="116" r:id="rId68"/>
    <sheet name="SUPPL5" sheetId="117" r:id="rId69"/>
    <sheet name="SUPPL6" sheetId="118" r:id="rId70"/>
    <sheet name="SUPPL7" sheetId="119" r:id="rId71"/>
    <sheet name="SUPPL8" sheetId="120" r:id="rId72"/>
    <sheet name="SUPPL9" sheetId="121" r:id="rId73"/>
    <sheet name="SUPPL10" sheetId="122" r:id="rId74"/>
    <sheet name="SUPPL  11" sheetId="123" r:id="rId75"/>
    <sheet name="SUPPL12" sheetId="124" r:id="rId76"/>
    <sheet name="SUPPL13" sheetId="125" r:id="rId77"/>
    <sheet name="SUPPL14" sheetId="126" r:id="rId78"/>
    <sheet name="SUPPL15" sheetId="127" r:id="rId79"/>
    <sheet name="SUPPL16" sheetId="128" r:id="rId80"/>
    <sheet name="SUPPL17" sheetId="129" r:id="rId81"/>
    <sheet name="SUPPL18" sheetId="130" r:id="rId82"/>
    <sheet name="SUPPL19 RESULTAT FISCAL" sheetId="131" r:id="rId83"/>
    <sheet name="SUPPL20 BAV" sheetId="76" r:id="rId84"/>
    <sheet name="PREL ET RET SUPPORTES IMPUTABLE" sheetId="135" r:id="rId85"/>
    <sheet name="ANNEXE 1 PREL DOUANES" sheetId="136" r:id="rId86"/>
    <sheet name="ANNEX 2_PREL INTERIEUR" sheetId="137" r:id="rId87"/>
    <sheet name="ANNEXE 3_ RET SUPPORTEES" sheetId="138" r:id="rId88"/>
    <sheet name="PAGE GARDE IS" sheetId="139" r:id="rId89"/>
    <sheet name="PAGE GARDE IBICA " sheetId="140" r:id="rId90"/>
    <sheet name="PAGE GARDE BNC" sheetId="141" r:id="rId91"/>
  </sheets>
  <externalReferences>
    <externalReference r:id="rId92"/>
  </externalReferences>
  <definedNames>
    <definedName name="_cum2">'[1]BALANCE N'!$I$2:$I$7689</definedName>
    <definedName name="_cum21">'[1]BALANCE N-1'!$I$2:$I$6803</definedName>
    <definedName name="_cum3">'[1]BALANCE N'!$J$2:$J$7689</definedName>
    <definedName name="_cum31">'[1]BALANCE N-1'!$J$2:$J$6803</definedName>
    <definedName name="_cum4">'[1]BALANCE N'!$K$2:$K$7689</definedName>
    <definedName name="_cum41">'[1]BALANCE N-1'!$K$2:$K$6803</definedName>
    <definedName name="_cum5">'[1]BALANCE N'!$L$2:$L$7689</definedName>
    <definedName name="_cum51">'[1]BALANCE N-1'!$L$2:$L$6803</definedName>
    <definedName name="_cum6">'[1]BALANCE N'!$M$2:$M$7689</definedName>
    <definedName name="_dFin">42735</definedName>
    <definedName name="_xlnm._FilterDatabase" localSheetId="83" hidden="1">'SUPPL20 BAV'!$E$28:$E$51</definedName>
    <definedName name="_mc1">'[1]BALANCE N-1'!$F$2:$F$6803</definedName>
    <definedName name="_md1">'[1]BALANCE N-1'!$E$2:$E$6803</definedName>
    <definedName name="_sfc1">'[1]BALANCE N-1'!$H$2:$H$6803</definedName>
    <definedName name="_sfd1">'[1]BALANCE N-1'!$G$2:$G$6803</definedName>
    <definedName name="_sic1">'[1]BALANCE N-1'!$D$2:$D$6803</definedName>
    <definedName name="_sid1">'[1]BALANCE N-1'!$C$2:$C$6803</definedName>
    <definedName name="_soNumFisc">3201201523617</definedName>
    <definedName name="_soSigle">"PYTHAGORE CONSULTAN"</definedName>
    <definedName name="cpte">'[1]BALANCE N'!$A$2:$A$7689</definedName>
    <definedName name="cpte1">'[1]BALANCE N-1'!$A$2:$A$6803</definedName>
    <definedName name="exo" localSheetId="1">#REF!</definedName>
    <definedName name="exo">#REF!</definedName>
    <definedName name="info1">[1]ENTITE!$D$2</definedName>
    <definedName name="info10">[1]ENTITE!$E$10</definedName>
    <definedName name="info11">[1]ENTITE!$E$11</definedName>
    <definedName name="info2">[1]ENTITE!$D$3</definedName>
    <definedName name="info3">[1]ENTITE!$D$4</definedName>
    <definedName name="info4">[1]ENTITE!$D$5</definedName>
    <definedName name="info5">[1]ENTITE!$E$7</definedName>
    <definedName name="info6">[1]ENTITE!$E$8</definedName>
    <definedName name="info7">[1]ENTITE!$E$9</definedName>
    <definedName name="info8">[1]ENTITE!$E$12</definedName>
    <definedName name="info9">[1]ENTITE!$E$13</definedName>
    <definedName name="mc">'[1]BALANCE N'!$F$2:$F$7661</definedName>
    <definedName name="md">'[1]BALANCE N'!$E$2:$E$7661</definedName>
    <definedName name="sfc">'[1]BALANCE N'!$H$2:$H$7661</definedName>
    <definedName name="sfd">'[1]BALANCE N'!$G$2:$G$7661</definedName>
    <definedName name="sic">'[1]BALANCE N'!$D$2:$D$7661</definedName>
    <definedName name="sid">'[1]BALANCE N'!$C$2:$C$7661</definedName>
    <definedName name="_xlnm.Print_Area" localSheetId="86">'ANNEX 2_PREL INTERIEUR'!$B$1:$H$32</definedName>
    <definedName name="_xlnm.Print_Area" localSheetId="85">'ANNEXE 1 PREL DOUANES'!$B$1:$D$47</definedName>
    <definedName name="_xlnm.Print_Area" localSheetId="87">'ANNEXE 3_ RET SUPPORTEES'!$B$1:$E$33</definedName>
    <definedName name="_xlnm.Print_Area" localSheetId="14">BILAN!$B$1:$P$36</definedName>
    <definedName name="_xlnm.Print_Area" localSheetId="15">'COMPTE DE RESULTAT'!$E$1:$L$49</definedName>
    <definedName name="_xlnm.Print_Area" localSheetId="63">'Liste ETATS SUPPL DGI'!$A$1:$J$37</definedName>
    <definedName name="_xlnm.Print_Area" localSheetId="17">'NOTE 1'!$D$1:$J$47</definedName>
    <definedName name="_xlnm.Print_Area" localSheetId="31">'NOTE 10'!$E$1:$I$24</definedName>
    <definedName name="_xlnm.Print_Area" localSheetId="32">'NOTE 11'!$E$1:$I$32</definedName>
    <definedName name="_xlnm.Print_Area" localSheetId="33">'NOTE 12'!$D$1:$J$53</definedName>
    <definedName name="_xlnm.Print_Area" localSheetId="34">'NOTE 13'!$D$1:$J$27</definedName>
    <definedName name="_xlnm.Print_Area" localSheetId="35">'NOTE 14'!$E$1:$I$35</definedName>
    <definedName name="_xlnm.Print_Area" localSheetId="37">'NOTE 15 B'!$D$1:$K$24</definedName>
    <definedName name="_xlnm.Print_Area" localSheetId="36">'NOTE 15A'!$C$1:$K$36</definedName>
    <definedName name="_xlnm.Print_Area" localSheetId="39">'NOTE 16 B'!$D$1:$I$53</definedName>
    <definedName name="_xlnm.Print_Area" localSheetId="40">'NOTE 16 B bis'!$D$1:$I$33</definedName>
    <definedName name="_xlnm.Print_Area" localSheetId="41">'NOTE 16 C'!$E$1:$H$29</definedName>
    <definedName name="_xlnm.Print_Area" localSheetId="38">'NOTE 16A'!$C$1:$K$53</definedName>
    <definedName name="_xlnm.Print_Area" localSheetId="42">'NOTE 17'!$C$1:$J$31</definedName>
    <definedName name="_xlnm.Print_Area" localSheetId="43">'NOTE 18'!$D$1:$K$30</definedName>
    <definedName name="_xlnm.Print_Area" localSheetId="44">'NOTE 19'!$C$1:$J$43</definedName>
    <definedName name="_xlnm.Print_Area" localSheetId="18">'NOTE 2'!$E$1:$K$49</definedName>
    <definedName name="_xlnm.Print_Area" localSheetId="45">'NOTE 20'!$E$1:$I$24</definedName>
    <definedName name="_xlnm.Print_Area" localSheetId="46">'NOTE 21'!$E$1:$I$40</definedName>
    <definedName name="_xlnm.Print_Area" localSheetId="47">'NOTE 22'!$E$1:$I$45</definedName>
    <definedName name="_xlnm.Print_Area" localSheetId="48">'NOTE 23'!$E$1:$I$27</definedName>
    <definedName name="_xlnm.Print_Area" localSheetId="49">'NOTE 24'!$E$1:$I$30</definedName>
    <definedName name="_xlnm.Print_Area" localSheetId="50">'NOTE 25'!$E$1:$I$27</definedName>
    <definedName name="_xlnm.Print_Area" localSheetId="51">'NOTE 26'!$E$1:$I$31</definedName>
    <definedName name="_xlnm.Print_Area" localSheetId="52">'NOTE 27A'!$E$1:$I$27</definedName>
    <definedName name="_xlnm.Print_Area" localSheetId="53">'NOTE 27B'!$A$1:$Q$38</definedName>
    <definedName name="_xlnm.Print_Area" localSheetId="54">'NOTE 28'!$B$1:$K$32</definedName>
    <definedName name="_xlnm.Print_Area" localSheetId="55">'NOTE 29'!$E$1:$I$41</definedName>
    <definedName name="_xlnm.Print_Area" localSheetId="56">'NOTE 30'!$E$1:$I$42</definedName>
    <definedName name="_xlnm.Print_Area" localSheetId="57">'NOTE 31'!$D$1:$J$35</definedName>
    <definedName name="_xlnm.Print_Area" localSheetId="58">'NOTE 32'!$B$1:$O$29</definedName>
    <definedName name="_xlnm.Print_Area" localSheetId="59">'NOTE 33'!$D$1:$L$30</definedName>
    <definedName name="_xlnm.Print_Area" localSheetId="60">'NOTE 34'!$D$1:$H$61</definedName>
    <definedName name="_xlnm.Print_Area" localSheetId="61">'NOTE 35'!$E$1:$K$48</definedName>
    <definedName name="_xlnm.Print_Area" localSheetId="9">'NOTE 36'!$D$1:$J$88</definedName>
    <definedName name="_xlnm.Print_Area" localSheetId="19">'NOTE 3A'!$C$1:$K$41</definedName>
    <definedName name="_xlnm.Print_Area" localSheetId="20">'NOTE 3B'!$B$1:$K$31</definedName>
    <definedName name="_xlnm.Print_Area" localSheetId="21">'NOTE 3C'!$D$1:$I$30</definedName>
    <definedName name="_xlnm.Print_Area" localSheetId="22">'NOTE 3D'!$D$1:$J$30</definedName>
    <definedName name="_xlnm.Print_Area" localSheetId="23">'NOTE 3E'!$E$1:$H$42</definedName>
    <definedName name="_xlnm.Print_Area" localSheetId="24">'NOTE 4'!$D$1:$K$43</definedName>
    <definedName name="_xlnm.Print_Area" localSheetId="25">'NOTE 5'!$E$1:$I$36</definedName>
    <definedName name="_xlnm.Print_Area" localSheetId="26">'NOTE 6'!$E$1:$J$26</definedName>
    <definedName name="_xlnm.Print_Area" localSheetId="27">'NOTE 7'!$D$1:$K$34</definedName>
    <definedName name="_xlnm.Print_Area" localSheetId="28">'NOTE 8'!$D$1:$K$31</definedName>
    <definedName name="_xlnm.Print_Area" localSheetId="29">'NOTE 8A'!$E$1:$L$20</definedName>
    <definedName name="_xlnm.Print_Area" localSheetId="30">'NOTE 9'!$E$1:$I$26</definedName>
    <definedName name="_xlnm.Print_Area" localSheetId="8">'PAGE DE GARDE'!$D$1:$H$94</definedName>
    <definedName name="_xlnm.Print_Area" localSheetId="10">'R1'!$D$1:$N$55</definedName>
    <definedName name="_xlnm.Print_Area" localSheetId="11">'R2'!$D$1:$U$59</definedName>
    <definedName name="_xlnm.Print_Area" localSheetId="12">'R3'!$D$1:$J$38</definedName>
    <definedName name="_xlnm.Print_Area" localSheetId="13">'R4'!$K$48</definedName>
    <definedName name="_xlnm.Print_Area" localSheetId="1">SOMMAIRE!$A$1:$F$50</definedName>
    <definedName name="_xlnm.Print_Area" localSheetId="73">SUPPL10!$A$1:$H$26</definedName>
    <definedName name="_xlnm.Print_Area" localSheetId="75">SUPPL12!$A$1:$K$46</definedName>
    <definedName name="_xlnm.Print_Area" localSheetId="82">'SUPPL19 RESULTAT FISCAL'!$A$1:$H$47</definedName>
    <definedName name="_xlnm.Print_Area" localSheetId="64">'SUPPL1-CHARGES'!$A$1:$J$275</definedName>
    <definedName name="_xlnm.Print_Area" localSheetId="83">'SUPPL20 BAV'!$E$1:$AI$70</definedName>
    <definedName name="_xlnm.Print_Area" localSheetId="66">'SUPPL3-TVA (1)'!$A$1:$H$28</definedName>
    <definedName name="_xlnm.Print_Area" localSheetId="68">SUPPL5!$A$1:$N$42</definedName>
    <definedName name="_xlnm.Print_Area" localSheetId="69">SUPPL6!$A$1:$J$31</definedName>
    <definedName name="_xlnm.Print_Area" localSheetId="70">SUPPL7!$A$1:$K$12</definedName>
    <definedName name="_xlnm.Print_Area" localSheetId="71">SUPPL8!$A$1:$N$40</definedName>
    <definedName name="_xlnm.Print_Area" localSheetId="72">SUPPL9!$A$1:$Q$15</definedName>
    <definedName name="_xlnm.Print_Area" localSheetId="16">'TABLEAU DES FLUX DE TRESORERIE'!$B$1:$J$39</definedName>
  </definedNames>
  <calcPr calcId="162913"/>
</workbook>
</file>

<file path=xl/calcChain.xml><?xml version="1.0" encoding="utf-8"?>
<calcChain xmlns="http://schemas.openxmlformats.org/spreadsheetml/2006/main">
  <c r="E4" i="28" l="1"/>
  <c r="H9" i="131"/>
  <c r="J41" i="105" l="1"/>
  <c r="J3" i="125" l="1"/>
  <c r="H8" i="53"/>
  <c r="E5" i="47"/>
  <c r="C6" i="112" l="1"/>
  <c r="C5" i="112"/>
  <c r="I30" i="112"/>
  <c r="J30" i="112"/>
  <c r="J29" i="112"/>
  <c r="I29" i="112"/>
  <c r="J26" i="112"/>
  <c r="I26" i="112"/>
  <c r="J25" i="112"/>
  <c r="I25" i="112"/>
  <c r="J24" i="112"/>
  <c r="I24" i="112"/>
  <c r="J23" i="112"/>
  <c r="I23" i="112"/>
  <c r="J22" i="112"/>
  <c r="I22" i="112"/>
  <c r="J21" i="112"/>
  <c r="I21" i="112"/>
  <c r="J20" i="112"/>
  <c r="I20" i="112"/>
  <c r="J19" i="112"/>
  <c r="I19" i="112"/>
  <c r="J18" i="112"/>
  <c r="I18" i="112"/>
  <c r="J17" i="112"/>
  <c r="I17" i="112"/>
  <c r="J16" i="112"/>
  <c r="I16" i="112"/>
  <c r="J15" i="112"/>
  <c r="I15" i="112"/>
  <c r="J14" i="112"/>
  <c r="I14" i="112"/>
  <c r="I13" i="112"/>
  <c r="J13" i="112"/>
  <c r="I10" i="112"/>
  <c r="I9" i="112"/>
  <c r="J12" i="112"/>
  <c r="I12" i="112"/>
  <c r="J11" i="112"/>
  <c r="I11" i="112"/>
  <c r="J10" i="112"/>
  <c r="J9" i="112"/>
  <c r="F51" i="76"/>
  <c r="F42" i="76"/>
  <c r="E51" i="76"/>
  <c r="E48" i="76"/>
  <c r="E44" i="76"/>
  <c r="E42" i="76"/>
  <c r="E40" i="76"/>
  <c r="E38" i="76"/>
  <c r="E36" i="76"/>
  <c r="E34" i="76"/>
  <c r="F40" i="76"/>
  <c r="F38" i="76"/>
  <c r="F28" i="76"/>
  <c r="E32" i="76"/>
  <c r="E30" i="76"/>
  <c r="E28" i="76"/>
  <c r="Z28" i="76"/>
  <c r="P15" i="76"/>
  <c r="W37" i="135" l="1"/>
  <c r="M57" i="135"/>
  <c r="W57" i="135"/>
  <c r="W29" i="135"/>
  <c r="G95" i="105" s="1"/>
  <c r="H30" i="137"/>
  <c r="W31" i="135" s="1"/>
  <c r="D45" i="136"/>
  <c r="AA18" i="135"/>
  <c r="W18" i="135"/>
  <c r="S18" i="135"/>
  <c r="F18" i="135"/>
  <c r="B18" i="135"/>
  <c r="H17" i="135"/>
  <c r="G16" i="135"/>
  <c r="E14" i="135"/>
  <c r="U13" i="135"/>
  <c r="G13" i="135"/>
  <c r="V9" i="135"/>
  <c r="E12" i="76"/>
  <c r="E7" i="76"/>
  <c r="R10" i="76"/>
  <c r="J13" i="76"/>
  <c r="C6" i="81"/>
  <c r="H28" i="131" l="1"/>
  <c r="H29" i="131"/>
  <c r="H30" i="131"/>
  <c r="H31" i="131"/>
  <c r="A28" i="131"/>
  <c r="A29" i="131"/>
  <c r="A30" i="131"/>
  <c r="A31" i="131"/>
  <c r="H18" i="131"/>
  <c r="H19" i="131"/>
  <c r="H20" i="131"/>
  <c r="A19" i="131"/>
  <c r="A20" i="131"/>
  <c r="H13" i="131"/>
  <c r="H14" i="131"/>
  <c r="H15" i="131"/>
  <c r="H16" i="131"/>
  <c r="H17" i="131"/>
  <c r="H23" i="131"/>
  <c r="H24" i="131"/>
  <c r="H25" i="131"/>
  <c r="H26" i="131"/>
  <c r="H27" i="131"/>
  <c r="A23" i="131"/>
  <c r="A24" i="131"/>
  <c r="A25" i="131"/>
  <c r="A26" i="131"/>
  <c r="A27" i="131"/>
  <c r="A13" i="131"/>
  <c r="A14" i="131"/>
  <c r="A15" i="131"/>
  <c r="A16" i="131"/>
  <c r="A17" i="131"/>
  <c r="A18" i="131"/>
  <c r="J30" i="105"/>
  <c r="J17" i="105"/>
  <c r="H40" i="131"/>
  <c r="H39" i="131" s="1"/>
  <c r="H37" i="131"/>
  <c r="H36" i="131" s="1"/>
  <c r="H22" i="131"/>
  <c r="A22" i="131"/>
  <c r="H12" i="131"/>
  <c r="A12" i="131"/>
  <c r="I10" i="119"/>
  <c r="I9" i="119"/>
  <c r="H28" i="115"/>
  <c r="H27" i="115"/>
  <c r="H26" i="115"/>
  <c r="H24" i="115"/>
  <c r="G24" i="115"/>
  <c r="H22" i="115"/>
  <c r="H21" i="115"/>
  <c r="H20" i="115"/>
  <c r="H19" i="115"/>
  <c r="H18" i="115"/>
  <c r="H17" i="115"/>
  <c r="H16" i="115"/>
  <c r="G16" i="115"/>
  <c r="H14" i="115"/>
  <c r="H13" i="115"/>
  <c r="H12" i="115"/>
  <c r="H11" i="115"/>
  <c r="H10" i="115"/>
  <c r="H15" i="115" s="1"/>
  <c r="G10" i="115"/>
  <c r="G14" i="115"/>
  <c r="G17" i="115"/>
  <c r="G23" i="115" s="1"/>
  <c r="G22" i="115"/>
  <c r="G21" i="115"/>
  <c r="G20" i="115"/>
  <c r="G19" i="115"/>
  <c r="G18" i="115"/>
  <c r="G13" i="115"/>
  <c r="G12" i="115"/>
  <c r="G11" i="115"/>
  <c r="G17" i="114"/>
  <c r="I17" i="114" s="1"/>
  <c r="G11" i="114"/>
  <c r="H18" i="114"/>
  <c r="J18" i="114" s="1"/>
  <c r="H17" i="114"/>
  <c r="H16" i="114"/>
  <c r="H15" i="114"/>
  <c r="H14" i="114"/>
  <c r="H13" i="114"/>
  <c r="J13" i="114" s="1"/>
  <c r="H12" i="114"/>
  <c r="J12" i="114" s="1"/>
  <c r="H11" i="114"/>
  <c r="J14" i="114"/>
  <c r="G18" i="114"/>
  <c r="G16" i="114"/>
  <c r="I16" i="114" s="1"/>
  <c r="G15" i="114"/>
  <c r="I15" i="114" s="1"/>
  <c r="G14" i="114"/>
  <c r="G13" i="114"/>
  <c r="G12" i="114"/>
  <c r="G272" i="113"/>
  <c r="G273" i="113" s="1"/>
  <c r="K33" i="50"/>
  <c r="H265" i="113"/>
  <c r="H267" i="113"/>
  <c r="J267" i="113" s="1"/>
  <c r="H266" i="113"/>
  <c r="J266" i="113" s="1"/>
  <c r="L33" i="50"/>
  <c r="H272" i="113"/>
  <c r="H271" i="113"/>
  <c r="H273" i="113" s="1"/>
  <c r="H269" i="113"/>
  <c r="H268" i="113"/>
  <c r="J268" i="113" s="1"/>
  <c r="H263" i="113"/>
  <c r="H262" i="113"/>
  <c r="H261" i="113"/>
  <c r="H260" i="113"/>
  <c r="H259" i="113"/>
  <c r="H258" i="113"/>
  <c r="H257" i="113"/>
  <c r="H256" i="113"/>
  <c r="H255" i="113"/>
  <c r="H254" i="113"/>
  <c r="H253" i="113"/>
  <c r="H252" i="113"/>
  <c r="H251" i="113"/>
  <c r="H250" i="113"/>
  <c r="H249" i="113"/>
  <c r="H248" i="113"/>
  <c r="H247" i="113"/>
  <c r="H246" i="113"/>
  <c r="H245" i="113"/>
  <c r="H244" i="113"/>
  <c r="H243" i="113"/>
  <c r="H242" i="113"/>
  <c r="H241" i="113"/>
  <c r="J241" i="113" s="1"/>
  <c r="H240" i="113"/>
  <c r="J240" i="113" s="1"/>
  <c r="H239" i="113"/>
  <c r="J239" i="113" s="1"/>
  <c r="H237" i="113"/>
  <c r="J237" i="113" s="1"/>
  <c r="H236" i="113"/>
  <c r="J236" i="113" s="1"/>
  <c r="H235" i="113"/>
  <c r="J235" i="113" s="1"/>
  <c r="H234" i="113"/>
  <c r="J234" i="113" s="1"/>
  <c r="H233" i="113"/>
  <c r="J233" i="113" s="1"/>
  <c r="H221" i="113"/>
  <c r="H220" i="113"/>
  <c r="H219" i="113"/>
  <c r="H218" i="113"/>
  <c r="H217" i="113"/>
  <c r="H216" i="113"/>
  <c r="H215" i="113"/>
  <c r="H214" i="113"/>
  <c r="H213" i="113"/>
  <c r="H212" i="113"/>
  <c r="H211" i="113"/>
  <c r="H210" i="113"/>
  <c r="H209" i="113"/>
  <c r="H208" i="113"/>
  <c r="H207" i="113"/>
  <c r="H206" i="113"/>
  <c r="H205" i="113"/>
  <c r="H204" i="113"/>
  <c r="H203" i="113"/>
  <c r="H202" i="113"/>
  <c r="H201" i="113"/>
  <c r="H200" i="113"/>
  <c r="H199" i="113"/>
  <c r="H198" i="113"/>
  <c r="H197" i="113"/>
  <c r="H196" i="113"/>
  <c r="J196" i="113" s="1"/>
  <c r="H195" i="113"/>
  <c r="H194" i="113"/>
  <c r="J194" i="113" s="1"/>
  <c r="H193" i="113"/>
  <c r="J193" i="113" s="1"/>
  <c r="H192" i="113"/>
  <c r="J195" i="113"/>
  <c r="H190" i="113"/>
  <c r="H189" i="113"/>
  <c r="H188" i="113"/>
  <c r="H187" i="113"/>
  <c r="H186" i="113"/>
  <c r="H185" i="113"/>
  <c r="H184" i="113"/>
  <c r="H183" i="113"/>
  <c r="H182" i="113"/>
  <c r="J182" i="113" s="1"/>
  <c r="H181" i="113"/>
  <c r="H180" i="113"/>
  <c r="H179" i="113"/>
  <c r="H178" i="113"/>
  <c r="J178" i="113" s="1"/>
  <c r="H177" i="113"/>
  <c r="J177" i="113" s="1"/>
  <c r="H176" i="113"/>
  <c r="H175" i="113"/>
  <c r="J183" i="113"/>
  <c r="J179" i="113"/>
  <c r="H173" i="113"/>
  <c r="H172" i="113"/>
  <c r="H171" i="113"/>
  <c r="H170" i="113"/>
  <c r="H169" i="113"/>
  <c r="H168" i="113"/>
  <c r="H167" i="113"/>
  <c r="H166" i="113"/>
  <c r="H165" i="113"/>
  <c r="H164" i="113"/>
  <c r="J164" i="113" s="1"/>
  <c r="H163" i="113"/>
  <c r="H162" i="113"/>
  <c r="J162" i="113" s="1"/>
  <c r="H161" i="113"/>
  <c r="J161" i="113" s="1"/>
  <c r="H160" i="113"/>
  <c r="J160" i="113" s="1"/>
  <c r="H148" i="113"/>
  <c r="H147" i="113"/>
  <c r="J147" i="113" s="1"/>
  <c r="H146" i="113"/>
  <c r="J146" i="113" s="1"/>
  <c r="H145" i="113"/>
  <c r="J145" i="113" s="1"/>
  <c r="J148" i="113"/>
  <c r="H143" i="113"/>
  <c r="H142" i="113"/>
  <c r="H141" i="113"/>
  <c r="H140" i="113"/>
  <c r="H139" i="113"/>
  <c r="H138" i="113"/>
  <c r="H137" i="113"/>
  <c r="H136" i="113"/>
  <c r="H135" i="113"/>
  <c r="H134" i="113"/>
  <c r="H133" i="113"/>
  <c r="H132" i="113"/>
  <c r="H131" i="113"/>
  <c r="H130" i="113"/>
  <c r="H129" i="113"/>
  <c r="H128" i="113"/>
  <c r="H127" i="113"/>
  <c r="H126" i="113"/>
  <c r="H125" i="113"/>
  <c r="H124" i="113"/>
  <c r="H123" i="113"/>
  <c r="H122" i="113"/>
  <c r="H121" i="113"/>
  <c r="H120" i="113"/>
  <c r="H119" i="113"/>
  <c r="H118" i="113"/>
  <c r="H117" i="113"/>
  <c r="H116" i="113"/>
  <c r="H115" i="113"/>
  <c r="H114" i="113"/>
  <c r="H113" i="113"/>
  <c r="H112" i="113"/>
  <c r="H111" i="113"/>
  <c r="H110" i="113"/>
  <c r="H109" i="113"/>
  <c r="H108" i="113"/>
  <c r="H107" i="113"/>
  <c r="H106" i="113"/>
  <c r="H105" i="113"/>
  <c r="H104" i="113"/>
  <c r="H103" i="113"/>
  <c r="H102" i="113"/>
  <c r="H101" i="113"/>
  <c r="H100" i="113"/>
  <c r="H99" i="113"/>
  <c r="H98" i="113"/>
  <c r="H97" i="113"/>
  <c r="H96" i="113"/>
  <c r="H95" i="113"/>
  <c r="H94" i="113"/>
  <c r="H93" i="113"/>
  <c r="H92" i="113"/>
  <c r="H91" i="113"/>
  <c r="H90" i="113"/>
  <c r="H89" i="113"/>
  <c r="J89" i="113" s="1"/>
  <c r="H88" i="113"/>
  <c r="H87" i="113"/>
  <c r="J87" i="113" s="1"/>
  <c r="H86" i="113"/>
  <c r="J86" i="113" s="1"/>
  <c r="H85" i="113"/>
  <c r="J85" i="113" s="1"/>
  <c r="J88" i="113"/>
  <c r="H73" i="113"/>
  <c r="H72" i="113"/>
  <c r="H71" i="113"/>
  <c r="H70" i="113"/>
  <c r="H69" i="113"/>
  <c r="H68" i="113"/>
  <c r="H67" i="113"/>
  <c r="H66" i="113"/>
  <c r="H65" i="113"/>
  <c r="J65" i="113" s="1"/>
  <c r="H64" i="113"/>
  <c r="J64" i="113" s="1"/>
  <c r="H63" i="113"/>
  <c r="H61" i="113"/>
  <c r="H60" i="113"/>
  <c r="H59" i="113"/>
  <c r="H58" i="113"/>
  <c r="J58" i="113" s="1"/>
  <c r="H57" i="113"/>
  <c r="H56" i="113"/>
  <c r="J56" i="113" s="1"/>
  <c r="H55" i="113"/>
  <c r="J55" i="113" s="1"/>
  <c r="H54" i="113"/>
  <c r="H52" i="113"/>
  <c r="J52" i="113" s="1"/>
  <c r="H50" i="113"/>
  <c r="H49" i="113"/>
  <c r="J49" i="113" s="1"/>
  <c r="H48" i="113"/>
  <c r="H47" i="113"/>
  <c r="H46" i="113"/>
  <c r="H45" i="113"/>
  <c r="J45" i="113" s="1"/>
  <c r="H44" i="113"/>
  <c r="H43" i="113"/>
  <c r="H42" i="113"/>
  <c r="H41" i="113"/>
  <c r="J41" i="113" s="1"/>
  <c r="H40" i="113"/>
  <c r="H39" i="113"/>
  <c r="H38" i="113"/>
  <c r="J38" i="113" s="1"/>
  <c r="H37" i="113"/>
  <c r="J37" i="113" s="1"/>
  <c r="H36" i="113"/>
  <c r="J36" i="113" s="1"/>
  <c r="H35" i="113"/>
  <c r="H34" i="113"/>
  <c r="J34" i="113" s="1"/>
  <c r="H33" i="113"/>
  <c r="J33" i="113" s="1"/>
  <c r="H32" i="113"/>
  <c r="H31" i="113"/>
  <c r="H30" i="113"/>
  <c r="J30" i="113" s="1"/>
  <c r="H29" i="113"/>
  <c r="J31" i="113"/>
  <c r="H27" i="113"/>
  <c r="J27" i="113" s="1"/>
  <c r="G20" i="113"/>
  <c r="G26" i="113" s="1"/>
  <c r="H21" i="113"/>
  <c r="J21" i="113" s="1"/>
  <c r="H18" i="113"/>
  <c r="J18" i="113" s="1"/>
  <c r="H20" i="113"/>
  <c r="H25" i="113"/>
  <c r="H24" i="113"/>
  <c r="H23" i="113"/>
  <c r="H22" i="113"/>
  <c r="J22" i="113" s="1"/>
  <c r="I17" i="113"/>
  <c r="H17" i="113"/>
  <c r="H11" i="113"/>
  <c r="H16" i="113"/>
  <c r="H15" i="113"/>
  <c r="H14" i="113"/>
  <c r="H13" i="113"/>
  <c r="J13" i="113" s="1"/>
  <c r="H12" i="113"/>
  <c r="J12" i="113" s="1"/>
  <c r="G11" i="113"/>
  <c r="G17" i="113" s="1"/>
  <c r="G19" i="45"/>
  <c r="G144" i="113"/>
  <c r="G62" i="113"/>
  <c r="G51" i="113"/>
  <c r="G60" i="113"/>
  <c r="I60" i="113" s="1"/>
  <c r="G59" i="113"/>
  <c r="G58" i="113"/>
  <c r="G57" i="113"/>
  <c r="I57" i="113" s="1"/>
  <c r="G56" i="113"/>
  <c r="G55" i="113"/>
  <c r="G54" i="113"/>
  <c r="G271" i="113"/>
  <c r="G269" i="113"/>
  <c r="I269" i="113" s="1"/>
  <c r="G268" i="113"/>
  <c r="G267" i="113"/>
  <c r="G266" i="113"/>
  <c r="G265" i="113"/>
  <c r="G264" i="113"/>
  <c r="G263" i="113"/>
  <c r="I263" i="113" s="1"/>
  <c r="G262" i="113"/>
  <c r="I262" i="113" s="1"/>
  <c r="G261" i="113"/>
  <c r="I261" i="113" s="1"/>
  <c r="G260" i="113"/>
  <c r="I260" i="113" s="1"/>
  <c r="G259" i="113"/>
  <c r="I259" i="113" s="1"/>
  <c r="G258" i="113"/>
  <c r="I258" i="113" s="1"/>
  <c r="G257" i="113"/>
  <c r="I257" i="113" s="1"/>
  <c r="G256" i="113"/>
  <c r="I256" i="113" s="1"/>
  <c r="G255" i="113"/>
  <c r="I255" i="113" s="1"/>
  <c r="G254" i="113"/>
  <c r="I254" i="113" s="1"/>
  <c r="G253" i="113"/>
  <c r="I253" i="113" s="1"/>
  <c r="G252" i="113"/>
  <c r="I252" i="113" s="1"/>
  <c r="G251" i="113"/>
  <c r="I251" i="113" s="1"/>
  <c r="G250" i="113"/>
  <c r="I250" i="113" s="1"/>
  <c r="G249" i="113"/>
  <c r="I249" i="113" s="1"/>
  <c r="G248" i="113"/>
  <c r="I248" i="113" s="1"/>
  <c r="G247" i="113"/>
  <c r="I247" i="113" s="1"/>
  <c r="G246" i="113"/>
  <c r="I246" i="113" s="1"/>
  <c r="G245" i="113"/>
  <c r="I245" i="113" s="1"/>
  <c r="G244" i="113"/>
  <c r="I244" i="113" s="1"/>
  <c r="G243" i="113"/>
  <c r="G242" i="113"/>
  <c r="I242" i="113" s="1"/>
  <c r="G241" i="113"/>
  <c r="G240" i="113"/>
  <c r="G239" i="113"/>
  <c r="G238" i="113"/>
  <c r="G237" i="113"/>
  <c r="I237" i="113" s="1"/>
  <c r="G236" i="113"/>
  <c r="G235" i="113"/>
  <c r="G234" i="113"/>
  <c r="G233" i="113"/>
  <c r="G221" i="113"/>
  <c r="I221" i="113" s="1"/>
  <c r="G220" i="113"/>
  <c r="I220" i="113" s="1"/>
  <c r="G219" i="113"/>
  <c r="I219" i="113" s="1"/>
  <c r="G218" i="113"/>
  <c r="I218" i="113" s="1"/>
  <c r="G217" i="113"/>
  <c r="I217" i="113" s="1"/>
  <c r="G216" i="113"/>
  <c r="I216" i="113" s="1"/>
  <c r="G215" i="113"/>
  <c r="I215" i="113" s="1"/>
  <c r="G214" i="113"/>
  <c r="I214" i="113" s="1"/>
  <c r="G213" i="113"/>
  <c r="I213" i="113" s="1"/>
  <c r="G212" i="113"/>
  <c r="I212" i="113" s="1"/>
  <c r="G211" i="113"/>
  <c r="I211" i="113" s="1"/>
  <c r="G210" i="113"/>
  <c r="I210" i="113" s="1"/>
  <c r="G209" i="113"/>
  <c r="I209" i="113" s="1"/>
  <c r="G208" i="113"/>
  <c r="I208" i="113" s="1"/>
  <c r="G207" i="113"/>
  <c r="I207" i="113" s="1"/>
  <c r="G206" i="113"/>
  <c r="I206" i="113" s="1"/>
  <c r="G205" i="113"/>
  <c r="I205" i="113" s="1"/>
  <c r="G204" i="113"/>
  <c r="I204" i="113" s="1"/>
  <c r="G203" i="113"/>
  <c r="I203" i="113" s="1"/>
  <c r="G202" i="113"/>
  <c r="I202" i="113" s="1"/>
  <c r="G201" i="113"/>
  <c r="I201" i="113" s="1"/>
  <c r="G200" i="113"/>
  <c r="I200" i="113" s="1"/>
  <c r="G199" i="113"/>
  <c r="I199" i="113" s="1"/>
  <c r="G198" i="113"/>
  <c r="I198" i="113" s="1"/>
  <c r="G197" i="113"/>
  <c r="I197" i="113" s="1"/>
  <c r="G196" i="113"/>
  <c r="G195" i="113"/>
  <c r="G194" i="113"/>
  <c r="G193" i="113"/>
  <c r="G192" i="113"/>
  <c r="G191" i="113"/>
  <c r="G190" i="113"/>
  <c r="I190" i="113" s="1"/>
  <c r="G189" i="113"/>
  <c r="I189" i="113" s="1"/>
  <c r="G188" i="113"/>
  <c r="I188" i="113" s="1"/>
  <c r="G187" i="113"/>
  <c r="I187" i="113" s="1"/>
  <c r="G186" i="113"/>
  <c r="I186" i="113" s="1"/>
  <c r="G185" i="113"/>
  <c r="I185" i="113" s="1"/>
  <c r="G184" i="113"/>
  <c r="I184" i="113" s="1"/>
  <c r="G183" i="113"/>
  <c r="G182" i="113"/>
  <c r="G181" i="113"/>
  <c r="G180" i="113"/>
  <c r="I180" i="113" s="1"/>
  <c r="G179" i="113"/>
  <c r="G178" i="113"/>
  <c r="G177" i="113"/>
  <c r="G176" i="113"/>
  <c r="I176" i="113" s="1"/>
  <c r="G175" i="113"/>
  <c r="G174" i="113"/>
  <c r="G173" i="113"/>
  <c r="I173" i="113" s="1"/>
  <c r="G172" i="113"/>
  <c r="I172" i="113" s="1"/>
  <c r="G171" i="113"/>
  <c r="I171" i="113" s="1"/>
  <c r="G170" i="113"/>
  <c r="I170" i="113" s="1"/>
  <c r="G169" i="113"/>
  <c r="I169" i="113" s="1"/>
  <c r="G168" i="113"/>
  <c r="I168" i="113" s="1"/>
  <c r="G167" i="113"/>
  <c r="I167" i="113" s="1"/>
  <c r="G166" i="113"/>
  <c r="I166" i="113" s="1"/>
  <c r="G165" i="113"/>
  <c r="G164" i="113"/>
  <c r="G163" i="113"/>
  <c r="I163" i="113" s="1"/>
  <c r="G162" i="113"/>
  <c r="G161" i="113"/>
  <c r="G160" i="113"/>
  <c r="G148" i="113"/>
  <c r="G147" i="113"/>
  <c r="G146" i="113"/>
  <c r="G145" i="113"/>
  <c r="G143" i="113"/>
  <c r="G142" i="113"/>
  <c r="I142" i="113" s="1"/>
  <c r="G141" i="113"/>
  <c r="I141" i="113" s="1"/>
  <c r="G140" i="113"/>
  <c r="I140" i="113" s="1"/>
  <c r="G139" i="113"/>
  <c r="I139" i="113" s="1"/>
  <c r="G138" i="113"/>
  <c r="I138" i="113" s="1"/>
  <c r="G137" i="113"/>
  <c r="I137" i="113" s="1"/>
  <c r="G136" i="113"/>
  <c r="I136" i="113" s="1"/>
  <c r="G135" i="113"/>
  <c r="I135" i="113" s="1"/>
  <c r="G134" i="113"/>
  <c r="I134" i="113" s="1"/>
  <c r="G133" i="113"/>
  <c r="I133" i="113" s="1"/>
  <c r="G132" i="113"/>
  <c r="I132" i="113" s="1"/>
  <c r="G131" i="113"/>
  <c r="I131" i="113" s="1"/>
  <c r="G130" i="113"/>
  <c r="I130" i="113" s="1"/>
  <c r="G129" i="113"/>
  <c r="I129" i="113" s="1"/>
  <c r="G127" i="113"/>
  <c r="I127" i="113" s="1"/>
  <c r="G128" i="113"/>
  <c r="I128" i="113" s="1"/>
  <c r="G126" i="113"/>
  <c r="I126" i="113" s="1"/>
  <c r="G125" i="113"/>
  <c r="I125" i="113" s="1"/>
  <c r="G124" i="113"/>
  <c r="I124" i="113" s="1"/>
  <c r="G123" i="113"/>
  <c r="I123" i="113" s="1"/>
  <c r="G122" i="113"/>
  <c r="I122" i="113" s="1"/>
  <c r="G121" i="113"/>
  <c r="I121" i="113" s="1"/>
  <c r="G120" i="113"/>
  <c r="I120" i="113" s="1"/>
  <c r="G119" i="113"/>
  <c r="I119" i="113" s="1"/>
  <c r="G118" i="113"/>
  <c r="I118" i="113" s="1"/>
  <c r="G117" i="113"/>
  <c r="I117" i="113" s="1"/>
  <c r="G116" i="113"/>
  <c r="I116" i="113" s="1"/>
  <c r="G115" i="113"/>
  <c r="I115" i="113" s="1"/>
  <c r="G114" i="113"/>
  <c r="I114" i="113" s="1"/>
  <c r="G113" i="113"/>
  <c r="I113" i="113" s="1"/>
  <c r="G112" i="113"/>
  <c r="I112" i="113" s="1"/>
  <c r="G111" i="113"/>
  <c r="I111" i="113" s="1"/>
  <c r="G110" i="113"/>
  <c r="I110" i="113" s="1"/>
  <c r="G109" i="113"/>
  <c r="I109" i="113" s="1"/>
  <c r="G108" i="113"/>
  <c r="I108" i="113" s="1"/>
  <c r="G107" i="113"/>
  <c r="I107" i="113" s="1"/>
  <c r="G106" i="113"/>
  <c r="I106" i="113" s="1"/>
  <c r="G105" i="113"/>
  <c r="I105" i="113" s="1"/>
  <c r="G104" i="113"/>
  <c r="I104" i="113" s="1"/>
  <c r="G103" i="113"/>
  <c r="I103" i="113" s="1"/>
  <c r="G102" i="113"/>
  <c r="I102" i="113" s="1"/>
  <c r="G101" i="113"/>
  <c r="I101" i="113" s="1"/>
  <c r="G100" i="113"/>
  <c r="I100" i="113" s="1"/>
  <c r="G99" i="113"/>
  <c r="I99" i="113" s="1"/>
  <c r="G98" i="113"/>
  <c r="I98" i="113" s="1"/>
  <c r="G97" i="113"/>
  <c r="I97" i="113" s="1"/>
  <c r="G96" i="113"/>
  <c r="I96" i="113" s="1"/>
  <c r="G95" i="113"/>
  <c r="I95" i="113" s="1"/>
  <c r="G94" i="113"/>
  <c r="I94" i="113" s="1"/>
  <c r="G93" i="113"/>
  <c r="I93" i="113" s="1"/>
  <c r="G92" i="113"/>
  <c r="I92" i="113" s="1"/>
  <c r="G91" i="113"/>
  <c r="I91" i="113" s="1"/>
  <c r="G90" i="113"/>
  <c r="I90" i="113" s="1"/>
  <c r="G89" i="113"/>
  <c r="G88" i="113"/>
  <c r="G87" i="113"/>
  <c r="G86" i="113"/>
  <c r="G85" i="113"/>
  <c r="G73" i="113"/>
  <c r="I73" i="113" s="1"/>
  <c r="G72" i="113"/>
  <c r="I72" i="113" s="1"/>
  <c r="G71" i="113"/>
  <c r="I71" i="113" s="1"/>
  <c r="G70" i="113"/>
  <c r="I70" i="113" s="1"/>
  <c r="G69" i="113"/>
  <c r="I69" i="113" s="1"/>
  <c r="G68" i="113"/>
  <c r="I68" i="113" s="1"/>
  <c r="G67" i="113"/>
  <c r="I67" i="113" s="1"/>
  <c r="G66" i="113"/>
  <c r="I66" i="113" s="1"/>
  <c r="G65" i="113"/>
  <c r="G64" i="113"/>
  <c r="G63" i="113"/>
  <c r="G16" i="113"/>
  <c r="I16" i="113" s="1"/>
  <c r="G25" i="113"/>
  <c r="I25" i="113" s="1"/>
  <c r="G36" i="113"/>
  <c r="I36" i="113" s="1"/>
  <c r="G45" i="113"/>
  <c r="G50" i="113"/>
  <c r="I50" i="113" s="1"/>
  <c r="G61" i="113"/>
  <c r="I61" i="113" s="1"/>
  <c r="G52" i="113"/>
  <c r="G53" i="113" s="1"/>
  <c r="G27" i="113"/>
  <c r="G28" i="113" s="1"/>
  <c r="G49" i="113"/>
  <c r="G48" i="113"/>
  <c r="I48" i="113" s="1"/>
  <c r="G47" i="113"/>
  <c r="I47" i="113" s="1"/>
  <c r="G46" i="113"/>
  <c r="G44" i="113"/>
  <c r="I44" i="113" s="1"/>
  <c r="G43" i="113"/>
  <c r="I43" i="113" s="1"/>
  <c r="G42" i="113"/>
  <c r="I42" i="113" s="1"/>
  <c r="G41" i="113"/>
  <c r="G40" i="113"/>
  <c r="I40" i="113" s="1"/>
  <c r="G39" i="113"/>
  <c r="G38" i="113"/>
  <c r="G37" i="113"/>
  <c r="G35" i="113"/>
  <c r="I35" i="113" s="1"/>
  <c r="G34" i="113"/>
  <c r="G33" i="113"/>
  <c r="G32" i="113"/>
  <c r="G31" i="113"/>
  <c r="G30" i="113"/>
  <c r="G29" i="113"/>
  <c r="G18" i="113"/>
  <c r="G24" i="113"/>
  <c r="I24" i="113" s="1"/>
  <c r="G23" i="113"/>
  <c r="I23" i="113" s="1"/>
  <c r="G22" i="113"/>
  <c r="G21" i="113"/>
  <c r="K10" i="50"/>
  <c r="G15" i="113"/>
  <c r="I15" i="113" s="1"/>
  <c r="G14" i="113"/>
  <c r="I14" i="113" s="1"/>
  <c r="G13" i="113"/>
  <c r="G12" i="113"/>
  <c r="I4" i="112"/>
  <c r="M4" i="117" s="1"/>
  <c r="I5" i="112"/>
  <c r="J5" i="130" s="1"/>
  <c r="J4" i="47"/>
  <c r="F5" i="112"/>
  <c r="J3" i="47"/>
  <c r="F4" i="47"/>
  <c r="B4" i="112"/>
  <c r="B3" i="125" s="1"/>
  <c r="C3" i="112"/>
  <c r="E3" i="47"/>
  <c r="E30" i="138"/>
  <c r="W33" i="135" s="1"/>
  <c r="C6" i="131"/>
  <c r="H5" i="131"/>
  <c r="F5" i="131"/>
  <c r="C5" i="131"/>
  <c r="H4" i="131"/>
  <c r="B4" i="131"/>
  <c r="J31" i="130"/>
  <c r="I31" i="130"/>
  <c r="H31" i="130"/>
  <c r="C6" i="130"/>
  <c r="F5" i="130"/>
  <c r="B5" i="130"/>
  <c r="H4" i="130"/>
  <c r="C4" i="130"/>
  <c r="D3" i="130"/>
  <c r="J21" i="129"/>
  <c r="I21" i="129"/>
  <c r="H21" i="129"/>
  <c r="C6" i="129"/>
  <c r="J5" i="129"/>
  <c r="F5" i="129"/>
  <c r="B5" i="129"/>
  <c r="K19" i="128"/>
  <c r="J19" i="128"/>
  <c r="I19" i="128"/>
  <c r="E5" i="128"/>
  <c r="K4" i="128"/>
  <c r="H4" i="128"/>
  <c r="E4" i="128"/>
  <c r="E3" i="128"/>
  <c r="E2" i="128"/>
  <c r="I19" i="127"/>
  <c r="C5" i="127"/>
  <c r="I4" i="127"/>
  <c r="F4" i="127"/>
  <c r="B4" i="127"/>
  <c r="B3" i="127"/>
  <c r="C2" i="127"/>
  <c r="I20" i="126"/>
  <c r="C6" i="126"/>
  <c r="I5" i="126"/>
  <c r="G5" i="126"/>
  <c r="B5" i="126"/>
  <c r="B4" i="126"/>
  <c r="C3" i="126"/>
  <c r="K19" i="125"/>
  <c r="J19" i="125"/>
  <c r="B19" i="125"/>
  <c r="C5" i="125"/>
  <c r="J4" i="125"/>
  <c r="G4" i="125"/>
  <c r="B4" i="125"/>
  <c r="K35" i="124"/>
  <c r="J35" i="124"/>
  <c r="D35" i="124"/>
  <c r="C6" i="124"/>
  <c r="J5" i="124"/>
  <c r="G5" i="124"/>
  <c r="B5" i="124"/>
  <c r="J4" i="124"/>
  <c r="C3" i="124"/>
  <c r="C6" i="123"/>
  <c r="I5" i="123"/>
  <c r="F5" i="123"/>
  <c r="C5" i="123"/>
  <c r="C3" i="123"/>
  <c r="H24" i="122"/>
  <c r="G24" i="122"/>
  <c r="C6" i="122"/>
  <c r="H5" i="122"/>
  <c r="F5" i="122"/>
  <c r="C5" i="122"/>
  <c r="H4" i="122"/>
  <c r="C3" i="122"/>
  <c r="P15" i="121"/>
  <c r="L15" i="121"/>
  <c r="J15" i="121"/>
  <c r="H15" i="121"/>
  <c r="F15" i="121"/>
  <c r="D15" i="121"/>
  <c r="N14" i="121"/>
  <c r="N13" i="121"/>
  <c r="N12" i="121"/>
  <c r="N11" i="121"/>
  <c r="N10" i="121"/>
  <c r="N9" i="121"/>
  <c r="N15" i="121" s="1"/>
  <c r="C6" i="121"/>
  <c r="P5" i="121"/>
  <c r="K5" i="121"/>
  <c r="C5" i="121"/>
  <c r="P4" i="121"/>
  <c r="C3" i="121"/>
  <c r="N40" i="120"/>
  <c r="M40" i="120"/>
  <c r="L40" i="120"/>
  <c r="K40" i="120"/>
  <c r="I40" i="120"/>
  <c r="H40" i="120"/>
  <c r="G40" i="120"/>
  <c r="J39" i="120"/>
  <c r="J38" i="120"/>
  <c r="J37" i="120"/>
  <c r="J36" i="120"/>
  <c r="J35" i="120"/>
  <c r="J34" i="120"/>
  <c r="J33" i="120"/>
  <c r="J32" i="120"/>
  <c r="J31" i="120"/>
  <c r="J30" i="120"/>
  <c r="J29" i="120"/>
  <c r="J28" i="120"/>
  <c r="J27" i="120"/>
  <c r="J26" i="120"/>
  <c r="J25" i="120"/>
  <c r="J24" i="120"/>
  <c r="J23" i="120"/>
  <c r="J22" i="120"/>
  <c r="J21" i="120"/>
  <c r="J20" i="120"/>
  <c r="J19" i="120"/>
  <c r="J18" i="120"/>
  <c r="J17" i="120"/>
  <c r="J16" i="120"/>
  <c r="J15" i="120"/>
  <c r="J14" i="120"/>
  <c r="J13" i="120"/>
  <c r="J12" i="120"/>
  <c r="J11" i="120"/>
  <c r="J10" i="120"/>
  <c r="J40" i="120" s="1"/>
  <c r="C6" i="120"/>
  <c r="M5" i="120"/>
  <c r="I5" i="120"/>
  <c r="C5" i="120"/>
  <c r="M4" i="120"/>
  <c r="C3" i="120"/>
  <c r="C6" i="119"/>
  <c r="K5" i="119"/>
  <c r="H5" i="119"/>
  <c r="K4" i="119"/>
  <c r="B4" i="119"/>
  <c r="J31" i="118"/>
  <c r="I31" i="118"/>
  <c r="H31" i="118"/>
  <c r="G31" i="118"/>
  <c r="C6" i="118"/>
  <c r="J5" i="118"/>
  <c r="H5" i="118"/>
  <c r="C5" i="118"/>
  <c r="J4" i="118"/>
  <c r="M42" i="117"/>
  <c r="F40" i="117"/>
  <c r="D40" i="117"/>
  <c r="C40" i="117"/>
  <c r="B40" i="117"/>
  <c r="M37" i="117"/>
  <c r="N31" i="117"/>
  <c r="M31" i="117"/>
  <c r="L31" i="117"/>
  <c r="K31" i="117"/>
  <c r="B6" i="117"/>
  <c r="N5" i="117"/>
  <c r="J5" i="117"/>
  <c r="B5" i="117"/>
  <c r="H12" i="116"/>
  <c r="G12" i="116"/>
  <c r="C5" i="116"/>
  <c r="H4" i="116"/>
  <c r="F4" i="116"/>
  <c r="C4" i="116"/>
  <c r="H3" i="116"/>
  <c r="C2" i="116"/>
  <c r="C5" i="115"/>
  <c r="H4" i="115"/>
  <c r="F4" i="115"/>
  <c r="C4" i="115"/>
  <c r="H3" i="115"/>
  <c r="B3" i="115"/>
  <c r="C2" i="115"/>
  <c r="J22" i="114"/>
  <c r="J16" i="114"/>
  <c r="J15" i="114"/>
  <c r="C5" i="114"/>
  <c r="J4" i="114"/>
  <c r="H4" i="114"/>
  <c r="C4" i="114"/>
  <c r="J3" i="114"/>
  <c r="C2" i="114"/>
  <c r="J274" i="113"/>
  <c r="J269" i="113"/>
  <c r="J263" i="113"/>
  <c r="J262" i="113"/>
  <c r="J261" i="113"/>
  <c r="J260" i="113"/>
  <c r="J259" i="113"/>
  <c r="J258" i="113"/>
  <c r="J257" i="113"/>
  <c r="J256" i="113"/>
  <c r="J255" i="113"/>
  <c r="J254" i="113"/>
  <c r="J253" i="113"/>
  <c r="J252" i="113"/>
  <c r="J251" i="113"/>
  <c r="J250" i="113"/>
  <c r="J249" i="113"/>
  <c r="J248" i="113"/>
  <c r="J247" i="113"/>
  <c r="J246" i="113"/>
  <c r="J245" i="113"/>
  <c r="J244" i="113"/>
  <c r="J243" i="113"/>
  <c r="J242" i="113"/>
  <c r="H226" i="113"/>
  <c r="J221" i="113"/>
  <c r="J220" i="113"/>
  <c r="J219" i="113"/>
  <c r="J218" i="113"/>
  <c r="J217" i="113"/>
  <c r="J216" i="113"/>
  <c r="J215" i="113"/>
  <c r="J214" i="113"/>
  <c r="J213" i="113"/>
  <c r="J212" i="113"/>
  <c r="J211" i="113"/>
  <c r="J210" i="113"/>
  <c r="J209" i="113"/>
  <c r="J208" i="113"/>
  <c r="J207" i="113"/>
  <c r="J206" i="113"/>
  <c r="J205" i="113"/>
  <c r="J204" i="113"/>
  <c r="J203" i="113"/>
  <c r="J202" i="113"/>
  <c r="J201" i="113"/>
  <c r="J200" i="113"/>
  <c r="J199" i="113"/>
  <c r="J198" i="113"/>
  <c r="J197" i="113"/>
  <c r="J190" i="113"/>
  <c r="J189" i="113"/>
  <c r="J188" i="113"/>
  <c r="J187" i="113"/>
  <c r="J186" i="113"/>
  <c r="J185" i="113"/>
  <c r="J184" i="113"/>
  <c r="J181" i="113"/>
  <c r="J180" i="113"/>
  <c r="J176" i="113"/>
  <c r="J173" i="113"/>
  <c r="J172" i="113"/>
  <c r="J171" i="113"/>
  <c r="J170" i="113"/>
  <c r="J169" i="113"/>
  <c r="J168" i="113"/>
  <c r="J167" i="113"/>
  <c r="J166" i="113"/>
  <c r="J165" i="113"/>
  <c r="J163" i="113"/>
  <c r="H153" i="113"/>
  <c r="J143" i="113"/>
  <c r="J142" i="113"/>
  <c r="J141" i="113"/>
  <c r="J140" i="113"/>
  <c r="J139" i="113"/>
  <c r="J138" i="113"/>
  <c r="J137" i="113"/>
  <c r="J136" i="113"/>
  <c r="J135" i="113"/>
  <c r="J134" i="113"/>
  <c r="J133" i="113"/>
  <c r="J132" i="113"/>
  <c r="J131" i="113"/>
  <c r="J130" i="113"/>
  <c r="J129" i="113"/>
  <c r="J128" i="113"/>
  <c r="J127" i="113"/>
  <c r="J126" i="113"/>
  <c r="J125" i="113"/>
  <c r="J124" i="113"/>
  <c r="J123" i="113"/>
  <c r="J122" i="113"/>
  <c r="J121" i="113"/>
  <c r="J120" i="113"/>
  <c r="J119" i="113"/>
  <c r="J118" i="113"/>
  <c r="J117" i="113"/>
  <c r="J116" i="113"/>
  <c r="J115" i="113"/>
  <c r="J114" i="113"/>
  <c r="J113" i="113"/>
  <c r="J111" i="113"/>
  <c r="J110" i="113"/>
  <c r="J109" i="113"/>
  <c r="J108" i="113"/>
  <c r="J107" i="113"/>
  <c r="J106" i="113"/>
  <c r="J105" i="113"/>
  <c r="J104" i="113"/>
  <c r="J103" i="113"/>
  <c r="J102" i="113"/>
  <c r="J101" i="113"/>
  <c r="J100" i="113"/>
  <c r="J99" i="113"/>
  <c r="J98" i="113"/>
  <c r="J97" i="113"/>
  <c r="J96" i="113"/>
  <c r="J95" i="113"/>
  <c r="J94" i="113"/>
  <c r="J93" i="113"/>
  <c r="J92" i="113"/>
  <c r="J91" i="113"/>
  <c r="J90" i="113"/>
  <c r="H78" i="113"/>
  <c r="J73" i="113"/>
  <c r="J72" i="113"/>
  <c r="J71" i="113"/>
  <c r="J70" i="113"/>
  <c r="J69" i="113"/>
  <c r="J68" i="113"/>
  <c r="J67" i="113"/>
  <c r="J66" i="113"/>
  <c r="J61" i="113"/>
  <c r="J60" i="113"/>
  <c r="J59" i="113"/>
  <c r="J57" i="113"/>
  <c r="J50" i="113"/>
  <c r="J48" i="113"/>
  <c r="J47" i="113"/>
  <c r="J46" i="113"/>
  <c r="J44" i="113"/>
  <c r="J43" i="113"/>
  <c r="J42" i="113"/>
  <c r="J40" i="113"/>
  <c r="J39" i="113"/>
  <c r="J35" i="113"/>
  <c r="J32" i="113"/>
  <c r="J25" i="113"/>
  <c r="J24" i="113"/>
  <c r="J23" i="113"/>
  <c r="J16" i="113"/>
  <c r="J15" i="113"/>
  <c r="J14" i="113"/>
  <c r="C5" i="113"/>
  <c r="C154" i="113" s="1"/>
  <c r="J4" i="113"/>
  <c r="J153" i="113" s="1"/>
  <c r="H4" i="113"/>
  <c r="C4" i="113"/>
  <c r="C226" i="113" s="1"/>
  <c r="J3" i="113"/>
  <c r="J152" i="113" s="1"/>
  <c r="B3" i="113"/>
  <c r="B152" i="113" s="1"/>
  <c r="C2" i="113"/>
  <c r="C151" i="113" s="1"/>
  <c r="H11" i="131" l="1"/>
  <c r="W35" i="135"/>
  <c r="W39" i="135" s="1"/>
  <c r="G97" i="105"/>
  <c r="H21" i="131"/>
  <c r="H32" i="131" s="1"/>
  <c r="G27" i="115"/>
  <c r="H23" i="115"/>
  <c r="G26" i="115"/>
  <c r="G28" i="115" s="1"/>
  <c r="G15" i="115"/>
  <c r="J17" i="114"/>
  <c r="H23" i="114"/>
  <c r="I18" i="114"/>
  <c r="I13" i="114"/>
  <c r="I14" i="114"/>
  <c r="I11" i="114"/>
  <c r="J11" i="114"/>
  <c r="J23" i="114" s="1"/>
  <c r="I12" i="114"/>
  <c r="G23" i="114"/>
  <c r="J272" i="113"/>
  <c r="I32" i="113"/>
  <c r="I41" i="113"/>
  <c r="I46" i="113"/>
  <c r="I45" i="113"/>
  <c r="I59" i="113"/>
  <c r="I49" i="113"/>
  <c r="H62" i="113"/>
  <c r="H191" i="113"/>
  <c r="H51" i="113"/>
  <c r="H270" i="113"/>
  <c r="I272" i="113"/>
  <c r="J271" i="113"/>
  <c r="I268" i="113"/>
  <c r="I265" i="113"/>
  <c r="J265" i="113"/>
  <c r="I266" i="113"/>
  <c r="I267" i="113"/>
  <c r="H264" i="113"/>
  <c r="I241" i="113"/>
  <c r="I243" i="113"/>
  <c r="I240" i="113"/>
  <c r="I236" i="113"/>
  <c r="I234" i="113"/>
  <c r="I235" i="113"/>
  <c r="H238" i="113"/>
  <c r="I233" i="113"/>
  <c r="I193" i="113"/>
  <c r="I194" i="113"/>
  <c r="I195" i="113"/>
  <c r="J192" i="113"/>
  <c r="I192" i="113"/>
  <c r="I196" i="113"/>
  <c r="I178" i="113"/>
  <c r="I182" i="113"/>
  <c r="I177" i="113"/>
  <c r="I181" i="113"/>
  <c r="J175" i="113"/>
  <c r="I179" i="113"/>
  <c r="I183" i="113"/>
  <c r="I165" i="113"/>
  <c r="I160" i="113"/>
  <c r="I164" i="113"/>
  <c r="I161" i="113"/>
  <c r="I162" i="113"/>
  <c r="I147" i="113"/>
  <c r="I146" i="113"/>
  <c r="H174" i="113"/>
  <c r="I174" i="113" s="1"/>
  <c r="I148" i="113"/>
  <c r="I85" i="113"/>
  <c r="I89" i="113"/>
  <c r="I86" i="113"/>
  <c r="I87" i="113"/>
  <c r="H144" i="113"/>
  <c r="I144" i="113" s="1"/>
  <c r="I88" i="113"/>
  <c r="I64" i="113"/>
  <c r="J63" i="113"/>
  <c r="I65" i="113"/>
  <c r="J54" i="113"/>
  <c r="I56" i="113"/>
  <c r="I58" i="113"/>
  <c r="I55" i="113"/>
  <c r="H53" i="113"/>
  <c r="I37" i="113"/>
  <c r="I33" i="113"/>
  <c r="I38" i="113"/>
  <c r="I39" i="113"/>
  <c r="J29" i="113"/>
  <c r="I30" i="113"/>
  <c r="I34" i="113"/>
  <c r="I31" i="113"/>
  <c r="H28" i="113"/>
  <c r="J28" i="113" s="1"/>
  <c r="H26" i="113"/>
  <c r="I22" i="113"/>
  <c r="J20" i="113"/>
  <c r="I21" i="113"/>
  <c r="H19" i="113"/>
  <c r="I18" i="113"/>
  <c r="J11" i="113"/>
  <c r="I12" i="113"/>
  <c r="I13" i="113"/>
  <c r="J62" i="113"/>
  <c r="I273" i="113"/>
  <c r="J273" i="113"/>
  <c r="I271" i="113"/>
  <c r="G270" i="113"/>
  <c r="J264" i="113"/>
  <c r="I239" i="113"/>
  <c r="I191" i="113"/>
  <c r="I175" i="113"/>
  <c r="I145" i="113"/>
  <c r="I143" i="113"/>
  <c r="I63" i="113"/>
  <c r="I54" i="113"/>
  <c r="I52" i="113"/>
  <c r="J53" i="113"/>
  <c r="I51" i="113"/>
  <c r="I29" i="113"/>
  <c r="I27" i="113"/>
  <c r="G19" i="113"/>
  <c r="J26" i="113"/>
  <c r="I20" i="113"/>
  <c r="I11" i="113"/>
  <c r="I4" i="123"/>
  <c r="I4" i="126"/>
  <c r="I3" i="127"/>
  <c r="J3" i="128"/>
  <c r="H4" i="129"/>
  <c r="C5" i="119"/>
  <c r="B3" i="114"/>
  <c r="B3" i="116"/>
  <c r="B4" i="117"/>
  <c r="B4" i="118"/>
  <c r="B4" i="122"/>
  <c r="B4" i="124"/>
  <c r="C4" i="129"/>
  <c r="B4" i="120"/>
  <c r="B4" i="121"/>
  <c r="B4" i="123"/>
  <c r="C153" i="113"/>
  <c r="C78" i="113"/>
  <c r="B3" i="117"/>
  <c r="C3" i="119"/>
  <c r="C2" i="125"/>
  <c r="D3" i="129"/>
  <c r="C3" i="131"/>
  <c r="C3" i="118"/>
  <c r="C224" i="113"/>
  <c r="I53" i="113"/>
  <c r="C76" i="113"/>
  <c r="B225" i="113"/>
  <c r="J226" i="113"/>
  <c r="B77" i="113"/>
  <c r="J78" i="113"/>
  <c r="J225" i="113"/>
  <c r="C227" i="113"/>
  <c r="J77" i="113"/>
  <c r="C79" i="113"/>
  <c r="H12" i="51"/>
  <c r="I23" i="114" l="1"/>
  <c r="I28" i="113"/>
  <c r="H275" i="113"/>
  <c r="I19" i="113"/>
  <c r="J19" i="113"/>
  <c r="I270" i="113"/>
  <c r="J270" i="113"/>
  <c r="I264" i="113"/>
  <c r="I238" i="113"/>
  <c r="J238" i="113"/>
  <c r="J191" i="113"/>
  <c r="J174" i="113"/>
  <c r="J144" i="113"/>
  <c r="I62" i="113"/>
  <c r="J51" i="113"/>
  <c r="I26" i="113"/>
  <c r="J17" i="113"/>
  <c r="G275" i="113"/>
  <c r="I275" i="113" l="1"/>
  <c r="J275" i="113"/>
  <c r="H14" i="8"/>
  <c r="F9" i="4"/>
  <c r="F10" i="4"/>
  <c r="H29" i="55"/>
  <c r="E29" i="55"/>
  <c r="H15" i="53"/>
  <c r="G12" i="28"/>
  <c r="G11" i="28"/>
  <c r="G10" i="28"/>
  <c r="G9" i="28"/>
  <c r="G8" i="28"/>
  <c r="G7" i="28"/>
  <c r="F12" i="28"/>
  <c r="F11" i="28"/>
  <c r="F10" i="28"/>
  <c r="F9" i="28"/>
  <c r="F8" i="28"/>
  <c r="I8" i="28" s="1"/>
  <c r="F7" i="28"/>
  <c r="I7" i="28" s="1"/>
  <c r="I8" i="12"/>
  <c r="G15" i="12"/>
  <c r="G14" i="12"/>
  <c r="G13" i="12"/>
  <c r="G12" i="12"/>
  <c r="G11" i="12"/>
  <c r="G10" i="12"/>
  <c r="G9" i="12"/>
  <c r="G8" i="12"/>
  <c r="G7" i="12"/>
  <c r="F15" i="12"/>
  <c r="I15" i="12" s="1"/>
  <c r="F14" i="12"/>
  <c r="I14" i="12" s="1"/>
  <c r="F13" i="12"/>
  <c r="I13" i="12" s="1"/>
  <c r="F12" i="12"/>
  <c r="I12" i="12" s="1"/>
  <c r="F11" i="12"/>
  <c r="I11" i="12" s="1"/>
  <c r="F10" i="12"/>
  <c r="I10" i="12" s="1"/>
  <c r="F9" i="12"/>
  <c r="I9" i="12" s="1"/>
  <c r="F7" i="12"/>
  <c r="F8" i="12"/>
  <c r="K30" i="50"/>
  <c r="K28" i="50"/>
  <c r="K26" i="50"/>
  <c r="K25" i="50"/>
  <c r="K23" i="50"/>
  <c r="K21" i="50"/>
  <c r="K9" i="50"/>
  <c r="F11" i="14"/>
  <c r="F7" i="14"/>
  <c r="J1" i="51"/>
  <c r="L46" i="57"/>
  <c r="L47" i="57"/>
  <c r="K46" i="57"/>
  <c r="K47" i="57"/>
  <c r="H3" i="54"/>
  <c r="E20" i="53"/>
  <c r="E30" i="53"/>
  <c r="F27" i="53"/>
  <c r="E24" i="53"/>
  <c r="D5" i="53"/>
  <c r="F16" i="12" l="1"/>
  <c r="Z34" i="76"/>
  <c r="F32" i="76"/>
  <c r="F30" i="76"/>
  <c r="F34" i="76"/>
  <c r="R30" i="76"/>
  <c r="J30" i="76"/>
  <c r="AC19" i="76"/>
  <c r="E15" i="76"/>
  <c r="AI19" i="76" l="1"/>
  <c r="AF16" i="76"/>
  <c r="Y62" i="76"/>
  <c r="Y61" i="76"/>
  <c r="X58" i="76"/>
  <c r="Z40" i="76"/>
  <c r="Z38" i="76"/>
  <c r="G78" i="105" l="1"/>
  <c r="J78" i="105" s="1"/>
  <c r="G76" i="105"/>
  <c r="J76" i="105" s="1"/>
  <c r="F19" i="45" l="1"/>
  <c r="J44" i="105" l="1"/>
  <c r="F4" i="11" l="1"/>
  <c r="J43" i="105"/>
  <c r="J45" i="105"/>
  <c r="J46" i="105"/>
  <c r="J47" i="105"/>
  <c r="G25" i="51" l="1"/>
  <c r="K36" i="50"/>
  <c r="K32" i="50"/>
  <c r="K17" i="50"/>
  <c r="G17" i="76"/>
  <c r="Y19" i="76"/>
  <c r="I19" i="76"/>
  <c r="F19" i="76"/>
  <c r="AE18" i="76"/>
  <c r="W18" i="76"/>
  <c r="I18" i="76"/>
  <c r="K4" i="46"/>
  <c r="K3" i="46"/>
  <c r="F4" i="46"/>
  <c r="F3" i="46"/>
  <c r="H4" i="45"/>
  <c r="H3" i="45"/>
  <c r="E4" i="45"/>
  <c r="E3" i="45"/>
  <c r="L4" i="44"/>
  <c r="L3" i="44"/>
  <c r="E4" i="44"/>
  <c r="E3" i="44"/>
  <c r="C4" i="43"/>
  <c r="O4" i="43"/>
  <c r="O3" i="43"/>
  <c r="C3" i="43"/>
  <c r="J4" i="42"/>
  <c r="J3" i="42"/>
  <c r="E4" i="42"/>
  <c r="E3" i="42"/>
  <c r="I4" i="41"/>
  <c r="I3" i="41"/>
  <c r="F3" i="41"/>
  <c r="F4" i="41"/>
  <c r="I4" i="40"/>
  <c r="I3" i="40"/>
  <c r="F4" i="40"/>
  <c r="F3" i="40"/>
  <c r="K4" i="39"/>
  <c r="K3" i="39"/>
  <c r="C4" i="39"/>
  <c r="C3" i="39"/>
  <c r="Q4" i="38"/>
  <c r="Q3" i="38"/>
  <c r="C4" i="38"/>
  <c r="C3" i="38"/>
  <c r="I4" i="37"/>
  <c r="I3" i="37"/>
  <c r="F4" i="37"/>
  <c r="F3" i="37"/>
  <c r="I4" i="36"/>
  <c r="I3" i="36"/>
  <c r="F4" i="36"/>
  <c r="F3" i="36"/>
  <c r="I4" i="35"/>
  <c r="I3" i="35"/>
  <c r="F4" i="35"/>
  <c r="F3" i="35"/>
  <c r="I4" i="34"/>
  <c r="I3" i="34"/>
  <c r="F4" i="34"/>
  <c r="F3" i="34"/>
  <c r="I4" i="33"/>
  <c r="I3" i="33"/>
  <c r="F4" i="33"/>
  <c r="F3" i="33"/>
  <c r="I4" i="32"/>
  <c r="I3" i="32"/>
  <c r="F4" i="32"/>
  <c r="F3" i="32"/>
  <c r="I4" i="31"/>
  <c r="I3" i="31"/>
  <c r="F4" i="31"/>
  <c r="F3" i="31"/>
  <c r="I4" i="30"/>
  <c r="I3" i="30"/>
  <c r="F4" i="30"/>
  <c r="F3" i="30"/>
  <c r="J4" i="29"/>
  <c r="J3" i="29"/>
  <c r="D4" i="29"/>
  <c r="D3" i="29"/>
  <c r="K4" i="28"/>
  <c r="K3" i="28"/>
  <c r="E3" i="28"/>
  <c r="J4" i="27"/>
  <c r="J3" i="27"/>
  <c r="D4" i="27"/>
  <c r="D3" i="27"/>
  <c r="H4" i="26"/>
  <c r="H3" i="26"/>
  <c r="F4" i="26"/>
  <c r="F3" i="26"/>
  <c r="G4" i="25"/>
  <c r="G3" i="25"/>
  <c r="E4" i="25"/>
  <c r="E3" i="25"/>
  <c r="G4" i="24"/>
  <c r="G3" i="24"/>
  <c r="E4" i="24"/>
  <c r="E3" i="24"/>
  <c r="K4" i="23"/>
  <c r="K3" i="23"/>
  <c r="D4" i="23"/>
  <c r="D3" i="23"/>
  <c r="K4" i="22"/>
  <c r="K3" i="22"/>
  <c r="E4" i="22"/>
  <c r="E3" i="22"/>
  <c r="K4" i="21"/>
  <c r="K3" i="21"/>
  <c r="D4" i="21"/>
  <c r="D3" i="21"/>
  <c r="I4" i="20"/>
  <c r="I3" i="20"/>
  <c r="F4" i="20"/>
  <c r="F3" i="20"/>
  <c r="J4" i="19"/>
  <c r="J3" i="19"/>
  <c r="E4" i="19"/>
  <c r="E3" i="19"/>
  <c r="J4" i="18"/>
  <c r="J3" i="18"/>
  <c r="E4" i="18"/>
  <c r="E3" i="18"/>
  <c r="I4" i="17"/>
  <c r="I3" i="17"/>
  <c r="F4" i="17"/>
  <c r="F3" i="17"/>
  <c r="I4" i="16"/>
  <c r="I3" i="16"/>
  <c r="F4" i="16"/>
  <c r="F3" i="16"/>
  <c r="I4" i="15"/>
  <c r="I3" i="15"/>
  <c r="F4" i="15"/>
  <c r="F3" i="15"/>
  <c r="L4" i="14"/>
  <c r="L3" i="14"/>
  <c r="F4" i="14"/>
  <c r="F3" i="14"/>
  <c r="K4" i="13"/>
  <c r="K3" i="13"/>
  <c r="E4" i="13"/>
  <c r="E3" i="13"/>
  <c r="E3" i="12"/>
  <c r="K4" i="12"/>
  <c r="K3" i="12"/>
  <c r="E4" i="12"/>
  <c r="J4" i="11"/>
  <c r="J3" i="11"/>
  <c r="F3" i="11"/>
  <c r="I4" i="10"/>
  <c r="I3" i="10"/>
  <c r="F4" i="10"/>
  <c r="F3" i="10"/>
  <c r="K4" i="9"/>
  <c r="K3" i="9"/>
  <c r="E4" i="9"/>
  <c r="E3" i="9"/>
  <c r="F3" i="8"/>
  <c r="H3" i="8"/>
  <c r="H4" i="8"/>
  <c r="F4" i="8"/>
  <c r="E3" i="7"/>
  <c r="J4" i="7"/>
  <c r="J3" i="7"/>
  <c r="E4" i="7"/>
  <c r="I4" i="6"/>
  <c r="I3" i="6"/>
  <c r="E4" i="6"/>
  <c r="E3" i="6"/>
  <c r="C3" i="5"/>
  <c r="K4" i="5"/>
  <c r="K3" i="5"/>
  <c r="C4" i="5"/>
  <c r="K4" i="4"/>
  <c r="K4" i="3"/>
  <c r="K3" i="4"/>
  <c r="K3" i="3"/>
  <c r="D4" i="4"/>
  <c r="F4" i="3"/>
  <c r="D3" i="4"/>
  <c r="F3" i="3"/>
  <c r="J4" i="1"/>
  <c r="J3" i="1"/>
  <c r="E4" i="1"/>
  <c r="E3" i="1"/>
  <c r="L4" i="50"/>
  <c r="L3" i="50"/>
  <c r="G4" i="50"/>
  <c r="G3" i="50"/>
  <c r="J4" i="52"/>
  <c r="J3" i="52"/>
  <c r="D4" i="52"/>
  <c r="D3" i="52"/>
  <c r="O4" i="51"/>
  <c r="O3" i="51"/>
  <c r="N6" i="51" s="1"/>
  <c r="E4" i="51"/>
  <c r="D3" i="51"/>
  <c r="O6" i="51"/>
  <c r="I6" i="51"/>
  <c r="L4" i="57"/>
  <c r="L3" i="57"/>
  <c r="H4" i="57"/>
  <c r="G3" i="57"/>
  <c r="J4" i="56"/>
  <c r="J3" i="56"/>
  <c r="F4" i="56"/>
  <c r="E3" i="56"/>
  <c r="T4" i="55"/>
  <c r="S3" i="55"/>
  <c r="G4" i="55"/>
  <c r="F3" i="55"/>
  <c r="L50" i="54"/>
  <c r="L49" i="54"/>
  <c r="L48" i="54"/>
  <c r="L47" i="54"/>
  <c r="J50" i="54"/>
  <c r="J49" i="54"/>
  <c r="J48" i="54"/>
  <c r="J47" i="54"/>
  <c r="E49" i="54"/>
  <c r="E47" i="54"/>
  <c r="E44" i="54"/>
  <c r="E30" i="54"/>
  <c r="E28" i="54"/>
  <c r="E26" i="54"/>
  <c r="N22" i="54"/>
  <c r="M22" i="54"/>
  <c r="K22" i="54"/>
  <c r="J22" i="54"/>
  <c r="H22" i="54"/>
  <c r="F22" i="54"/>
  <c r="M18" i="54"/>
  <c r="E18" i="54"/>
  <c r="M20" i="54"/>
  <c r="K20" i="54"/>
  <c r="J20" i="54"/>
  <c r="G20" i="54"/>
  <c r="E20" i="54"/>
  <c r="M16" i="54"/>
  <c r="E16" i="54"/>
  <c r="F14" i="54"/>
  <c r="N12" i="54"/>
  <c r="H12" i="54"/>
  <c r="H10" i="54"/>
  <c r="M8" i="54"/>
  <c r="J8" i="54"/>
  <c r="N6" i="54"/>
  <c r="K6" i="54"/>
  <c r="G6" i="54"/>
  <c r="K4" i="54"/>
  <c r="I15" i="4"/>
  <c r="F15" i="4"/>
  <c r="I17" i="4"/>
  <c r="I16" i="4"/>
  <c r="F17" i="4"/>
  <c r="F16" i="4"/>
  <c r="E17" i="4"/>
  <c r="E16" i="4"/>
  <c r="E15" i="4"/>
  <c r="E14" i="4"/>
  <c r="E14" i="51"/>
  <c r="E15" i="51"/>
  <c r="Z13" i="76" l="1"/>
  <c r="I16" i="76"/>
  <c r="V8" i="76"/>
  <c r="I8" i="19" l="1"/>
  <c r="N14" i="51"/>
  <c r="F28" i="45" l="1"/>
  <c r="F30" i="45"/>
  <c r="F29" i="45"/>
  <c r="F27" i="45"/>
  <c r="F26" i="45"/>
  <c r="F25" i="45"/>
  <c r="F24" i="45"/>
  <c r="F23" i="45"/>
  <c r="F22" i="45"/>
  <c r="G20" i="45"/>
  <c r="F20" i="45"/>
  <c r="K19" i="50"/>
  <c r="G28" i="42"/>
  <c r="F29" i="42"/>
  <c r="G27" i="42"/>
  <c r="G29" i="42"/>
  <c r="F28" i="42"/>
  <c r="F27" i="42"/>
  <c r="H9" i="42"/>
  <c r="G9" i="42"/>
  <c r="F9" i="42"/>
  <c r="G30" i="41"/>
  <c r="G29" i="41"/>
  <c r="G28" i="41"/>
  <c r="G27" i="41"/>
  <c r="G26" i="41"/>
  <c r="G25" i="41"/>
  <c r="G24" i="41"/>
  <c r="G23" i="41"/>
  <c r="G22" i="41"/>
  <c r="G19" i="41"/>
  <c r="H30" i="41"/>
  <c r="H29" i="41"/>
  <c r="H28" i="41"/>
  <c r="H27" i="41"/>
  <c r="H26" i="41"/>
  <c r="H25" i="41"/>
  <c r="H24" i="41"/>
  <c r="H23" i="41"/>
  <c r="H22" i="41"/>
  <c r="H19" i="41"/>
  <c r="H17" i="41"/>
  <c r="H16" i="41"/>
  <c r="H15" i="41"/>
  <c r="H14" i="41"/>
  <c r="H13" i="41"/>
  <c r="H12" i="41"/>
  <c r="H11" i="41"/>
  <c r="H10" i="41"/>
  <c r="H7" i="41"/>
  <c r="G7" i="41"/>
  <c r="G17" i="41"/>
  <c r="G16" i="41"/>
  <c r="G15" i="41"/>
  <c r="G14" i="41"/>
  <c r="G13" i="41"/>
  <c r="G12" i="41"/>
  <c r="G11" i="41"/>
  <c r="G10" i="41"/>
  <c r="G25" i="40"/>
  <c r="H25" i="40"/>
  <c r="H24" i="40"/>
  <c r="H23" i="40"/>
  <c r="H22" i="40"/>
  <c r="H21" i="40"/>
  <c r="H20" i="40"/>
  <c r="H19" i="40"/>
  <c r="H18" i="40"/>
  <c r="H16" i="40"/>
  <c r="H15" i="40"/>
  <c r="H14" i="40"/>
  <c r="H13" i="40"/>
  <c r="H12" i="40"/>
  <c r="H11" i="40"/>
  <c r="H10" i="40"/>
  <c r="H9" i="40"/>
  <c r="H8" i="40"/>
  <c r="H7" i="40"/>
  <c r="G18" i="40"/>
  <c r="G24" i="40"/>
  <c r="G23" i="40"/>
  <c r="G22" i="40"/>
  <c r="G21" i="40"/>
  <c r="G20" i="40"/>
  <c r="G19" i="40"/>
  <c r="G16" i="40"/>
  <c r="G15" i="40"/>
  <c r="G14" i="40"/>
  <c r="G13" i="40"/>
  <c r="G12" i="40"/>
  <c r="G11" i="40"/>
  <c r="G10" i="40"/>
  <c r="G9" i="40"/>
  <c r="G8" i="40"/>
  <c r="G7" i="40"/>
  <c r="I22" i="39"/>
  <c r="H21" i="39"/>
  <c r="H20" i="39"/>
  <c r="H19" i="39"/>
  <c r="I18" i="39"/>
  <c r="I23" i="39" s="1"/>
  <c r="H17" i="39"/>
  <c r="H16" i="39"/>
  <c r="H15" i="39"/>
  <c r="J14" i="39"/>
  <c r="J23" i="39" s="1"/>
  <c r="E20" i="39"/>
  <c r="E17" i="39"/>
  <c r="E13" i="39"/>
  <c r="H13" i="39"/>
  <c r="J11" i="39"/>
  <c r="I11" i="39"/>
  <c r="H11" i="39"/>
  <c r="J9" i="39"/>
  <c r="J10" i="39"/>
  <c r="I10" i="39"/>
  <c r="I12" i="39" s="1"/>
  <c r="H10" i="39"/>
  <c r="G9" i="39"/>
  <c r="F22" i="39"/>
  <c r="E21" i="39"/>
  <c r="E19" i="39"/>
  <c r="F18" i="39"/>
  <c r="G14" i="39"/>
  <c r="G23" i="39" s="1"/>
  <c r="E15" i="39"/>
  <c r="E16" i="39"/>
  <c r="E10" i="39"/>
  <c r="D17" i="39"/>
  <c r="H31" i="41" l="1"/>
  <c r="H18" i="41"/>
  <c r="H12" i="39"/>
  <c r="I24" i="39"/>
  <c r="F23" i="39"/>
  <c r="J12" i="39"/>
  <c r="J24" i="39" s="1"/>
  <c r="H23" i="39"/>
  <c r="H24" i="39" s="1"/>
  <c r="E23" i="39"/>
  <c r="G18" i="41"/>
  <c r="G31" i="41"/>
  <c r="G11" i="39"/>
  <c r="F11" i="39"/>
  <c r="E11" i="39"/>
  <c r="E12" i="39" s="1"/>
  <c r="E24" i="39" s="1"/>
  <c r="G10" i="39"/>
  <c r="F10" i="39"/>
  <c r="D9" i="39"/>
  <c r="D21" i="39"/>
  <c r="D20" i="39"/>
  <c r="D22" i="39"/>
  <c r="D19" i="39"/>
  <c r="D18" i="39"/>
  <c r="D16" i="39"/>
  <c r="D15" i="39"/>
  <c r="D14" i="39"/>
  <c r="D13" i="39"/>
  <c r="D11" i="39"/>
  <c r="D10" i="39"/>
  <c r="H12" i="37"/>
  <c r="H11" i="37"/>
  <c r="H10" i="37"/>
  <c r="H9" i="37"/>
  <c r="H8" i="37"/>
  <c r="H7" i="37"/>
  <c r="G12" i="37"/>
  <c r="G11" i="37"/>
  <c r="G10" i="37"/>
  <c r="G9" i="37"/>
  <c r="F12" i="39" l="1"/>
  <c r="F24" i="39" s="1"/>
  <c r="G12" i="39"/>
  <c r="G24" i="39" s="1"/>
  <c r="D23" i="39"/>
  <c r="K23" i="39" s="1"/>
  <c r="D12" i="39"/>
  <c r="G8" i="37"/>
  <c r="G7" i="37"/>
  <c r="H7" i="36"/>
  <c r="H15" i="36"/>
  <c r="H14" i="36"/>
  <c r="H13" i="36"/>
  <c r="H12" i="36"/>
  <c r="H11" i="36"/>
  <c r="H10" i="36"/>
  <c r="H9" i="36"/>
  <c r="H8" i="36"/>
  <c r="G15" i="36"/>
  <c r="G14" i="36"/>
  <c r="G12" i="36"/>
  <c r="G13" i="36"/>
  <c r="G11" i="36"/>
  <c r="G10" i="36"/>
  <c r="G9" i="36"/>
  <c r="G8" i="36"/>
  <c r="G7" i="36"/>
  <c r="G7" i="35"/>
  <c r="H11" i="35"/>
  <c r="H10" i="35"/>
  <c r="H9" i="35"/>
  <c r="H8" i="35"/>
  <c r="H7" i="35"/>
  <c r="G11" i="35"/>
  <c r="G10" i="35"/>
  <c r="G9" i="35"/>
  <c r="G8" i="35"/>
  <c r="G17" i="34"/>
  <c r="H20" i="34"/>
  <c r="H19" i="34"/>
  <c r="H18" i="34"/>
  <c r="H17" i="34"/>
  <c r="H16" i="34"/>
  <c r="H15" i="34"/>
  <c r="H14" i="34"/>
  <c r="H13" i="34"/>
  <c r="H12" i="34"/>
  <c r="H11" i="34"/>
  <c r="H10" i="34"/>
  <c r="H9" i="34"/>
  <c r="H8" i="34"/>
  <c r="H7" i="34"/>
  <c r="G7" i="34"/>
  <c r="G19" i="34"/>
  <c r="G18" i="34"/>
  <c r="G16" i="34"/>
  <c r="G15" i="34"/>
  <c r="G14" i="34"/>
  <c r="G13" i="34"/>
  <c r="G12" i="34"/>
  <c r="G11" i="34"/>
  <c r="G10" i="34"/>
  <c r="G9" i="34"/>
  <c r="G8" i="34"/>
  <c r="G20" i="34"/>
  <c r="G8" i="33"/>
  <c r="H11" i="33"/>
  <c r="H10" i="33"/>
  <c r="H9" i="33"/>
  <c r="H8" i="33"/>
  <c r="H7" i="33"/>
  <c r="G11" i="33"/>
  <c r="G10" i="33"/>
  <c r="G9" i="33"/>
  <c r="G7" i="33"/>
  <c r="G35" i="32"/>
  <c r="H35" i="32"/>
  <c r="H34" i="32"/>
  <c r="H33" i="32"/>
  <c r="H32" i="32"/>
  <c r="H31" i="32"/>
  <c r="H30" i="32"/>
  <c r="H29" i="32"/>
  <c r="H28" i="32"/>
  <c r="H27" i="32"/>
  <c r="H26" i="32"/>
  <c r="H25" i="32"/>
  <c r="H24" i="32"/>
  <c r="H23" i="32"/>
  <c r="H22" i="32"/>
  <c r="H21" i="32"/>
  <c r="H20" i="32"/>
  <c r="H19" i="32"/>
  <c r="H17" i="32"/>
  <c r="H16" i="32"/>
  <c r="H15" i="32"/>
  <c r="H14" i="32"/>
  <c r="H13" i="32"/>
  <c r="G10" i="32"/>
  <c r="H11" i="32"/>
  <c r="H10" i="32"/>
  <c r="H9" i="32"/>
  <c r="H8" i="32"/>
  <c r="H7" i="32"/>
  <c r="G34" i="32"/>
  <c r="G33" i="32"/>
  <c r="G32" i="32"/>
  <c r="G31" i="32"/>
  <c r="G30" i="32"/>
  <c r="G29" i="32"/>
  <c r="G28" i="32"/>
  <c r="G27" i="32"/>
  <c r="G26" i="32"/>
  <c r="G25" i="32"/>
  <c r="G24" i="32"/>
  <c r="G22" i="32"/>
  <c r="G23" i="32"/>
  <c r="G21" i="32"/>
  <c r="G20" i="32"/>
  <c r="G19" i="32"/>
  <c r="G17" i="32"/>
  <c r="G16" i="32"/>
  <c r="G15" i="32"/>
  <c r="G14" i="32"/>
  <c r="G13" i="32"/>
  <c r="G11" i="32"/>
  <c r="G9" i="32"/>
  <c r="G8" i="32"/>
  <c r="G7" i="32"/>
  <c r="G8" i="31"/>
  <c r="G7" i="31"/>
  <c r="G11" i="31"/>
  <c r="G10" i="31"/>
  <c r="G9" i="31"/>
  <c r="H29" i="31"/>
  <c r="H28" i="31"/>
  <c r="H27" i="31"/>
  <c r="H25" i="31"/>
  <c r="H23" i="31"/>
  <c r="H22" i="31"/>
  <c r="H21" i="31"/>
  <c r="H20" i="31"/>
  <c r="H19" i="31"/>
  <c r="H17" i="31"/>
  <c r="H16" i="31"/>
  <c r="H15" i="31"/>
  <c r="H14" i="31"/>
  <c r="H13" i="31"/>
  <c r="G13" i="31"/>
  <c r="H7" i="31"/>
  <c r="H11" i="31"/>
  <c r="H10" i="31"/>
  <c r="H9" i="31"/>
  <c r="H8" i="31"/>
  <c r="G29" i="31"/>
  <c r="G28" i="31"/>
  <c r="G27" i="31"/>
  <c r="G23" i="31"/>
  <c r="G25" i="31"/>
  <c r="G22" i="31"/>
  <c r="G21" i="31"/>
  <c r="G20" i="31"/>
  <c r="G19" i="31"/>
  <c r="G17" i="31"/>
  <c r="G16" i="31"/>
  <c r="G15" i="31"/>
  <c r="G14" i="31"/>
  <c r="H14" i="30"/>
  <c r="H13" i="30"/>
  <c r="H12" i="30"/>
  <c r="H11" i="30"/>
  <c r="H10" i="30"/>
  <c r="H8" i="30"/>
  <c r="H7" i="30"/>
  <c r="G12" i="30"/>
  <c r="G14" i="30"/>
  <c r="G13" i="30"/>
  <c r="G11" i="30"/>
  <c r="G10" i="30"/>
  <c r="G8" i="30"/>
  <c r="G7" i="30"/>
  <c r="G9" i="30" s="1"/>
  <c r="J23" i="29"/>
  <c r="H25" i="29"/>
  <c r="I25" i="29"/>
  <c r="F25" i="29"/>
  <c r="E24" i="29"/>
  <c r="J24" i="29" s="1"/>
  <c r="E22" i="29"/>
  <c r="J22" i="29" s="1"/>
  <c r="E23" i="29"/>
  <c r="E20" i="29"/>
  <c r="H20" i="29" s="1"/>
  <c r="F20" i="29"/>
  <c r="F19" i="29"/>
  <c r="F18" i="29"/>
  <c r="F17" i="29"/>
  <c r="F16" i="29"/>
  <c r="F15" i="29"/>
  <c r="F14" i="29"/>
  <c r="F12" i="29"/>
  <c r="F11" i="29"/>
  <c r="F10" i="29"/>
  <c r="F9" i="29"/>
  <c r="F8" i="29"/>
  <c r="F7" i="29"/>
  <c r="E19" i="29"/>
  <c r="H19" i="29" s="1"/>
  <c r="E18" i="29"/>
  <c r="H18" i="29" s="1"/>
  <c r="E17" i="29"/>
  <c r="H17" i="29" s="1"/>
  <c r="E16" i="29"/>
  <c r="H16" i="29" s="1"/>
  <c r="E15" i="29"/>
  <c r="H15" i="29" s="1"/>
  <c r="E14" i="29"/>
  <c r="H14" i="29" s="1"/>
  <c r="E12" i="29"/>
  <c r="I12" i="29" s="1"/>
  <c r="E11" i="29"/>
  <c r="I11" i="29" s="1"/>
  <c r="E10" i="29"/>
  <c r="I10" i="29" s="1"/>
  <c r="E9" i="29"/>
  <c r="I9" i="29" s="1"/>
  <c r="E8" i="29"/>
  <c r="I8" i="29" s="1"/>
  <c r="E7" i="29"/>
  <c r="I7" i="29" s="1"/>
  <c r="G18" i="28"/>
  <c r="G17" i="28"/>
  <c r="G16" i="28"/>
  <c r="G15" i="28"/>
  <c r="G14" i="28"/>
  <c r="F18" i="28"/>
  <c r="I18" i="28" s="1"/>
  <c r="F17" i="28"/>
  <c r="I17" i="28" s="1"/>
  <c r="F16" i="28"/>
  <c r="I16" i="28" s="1"/>
  <c r="F15" i="28"/>
  <c r="I15" i="28" s="1"/>
  <c r="F14" i="28"/>
  <c r="I14" i="28" s="1"/>
  <c r="I9" i="28"/>
  <c r="I10" i="28"/>
  <c r="H16" i="27"/>
  <c r="F15" i="27"/>
  <c r="E15" i="27"/>
  <c r="H15" i="27" s="1"/>
  <c r="E14" i="27"/>
  <c r="F14" i="27"/>
  <c r="F12" i="27"/>
  <c r="F11" i="27"/>
  <c r="F10" i="27"/>
  <c r="F9" i="27"/>
  <c r="F8" i="27"/>
  <c r="F7" i="27"/>
  <c r="E12" i="27"/>
  <c r="H12" i="27" s="1"/>
  <c r="E11" i="27"/>
  <c r="H11" i="27" s="1"/>
  <c r="E10" i="27"/>
  <c r="H10" i="27" s="1"/>
  <c r="E9" i="27"/>
  <c r="H9" i="27" s="1"/>
  <c r="E8" i="27"/>
  <c r="H8" i="27" s="1"/>
  <c r="E7" i="27"/>
  <c r="J17" i="23"/>
  <c r="H30" i="23"/>
  <c r="H36" i="23"/>
  <c r="G30" i="23"/>
  <c r="F36" i="23"/>
  <c r="F35" i="23"/>
  <c r="H35" i="23" s="1"/>
  <c r="F34" i="23"/>
  <c r="H34" i="23" s="1"/>
  <c r="F33" i="23"/>
  <c r="H33" i="23" s="1"/>
  <c r="F32" i="23"/>
  <c r="H32" i="23" s="1"/>
  <c r="F31" i="23"/>
  <c r="H31" i="23" s="1"/>
  <c r="F29" i="23"/>
  <c r="F28" i="23"/>
  <c r="H28" i="23" s="1"/>
  <c r="F27" i="23"/>
  <c r="H27" i="23" s="1"/>
  <c r="F26" i="23"/>
  <c r="H26" i="23" s="1"/>
  <c r="F25" i="23"/>
  <c r="H25" i="23" s="1"/>
  <c r="F24" i="23"/>
  <c r="H24" i="23" s="1"/>
  <c r="F22" i="23"/>
  <c r="H22" i="23" s="1"/>
  <c r="F21" i="23"/>
  <c r="F20" i="23"/>
  <c r="H20" i="23" s="1"/>
  <c r="F19" i="23"/>
  <c r="H19" i="23" s="1"/>
  <c r="F18" i="23"/>
  <c r="H18" i="23" s="1"/>
  <c r="F16" i="23"/>
  <c r="H16" i="23" s="1"/>
  <c r="F15" i="23"/>
  <c r="H15" i="23" s="1"/>
  <c r="F14" i="23"/>
  <c r="H14" i="23" s="1"/>
  <c r="F13" i="23"/>
  <c r="H13" i="23" s="1"/>
  <c r="F12" i="23"/>
  <c r="H12" i="23" s="1"/>
  <c r="F11" i="23"/>
  <c r="F10" i="23"/>
  <c r="H10" i="23" s="1"/>
  <c r="F9" i="23"/>
  <c r="H9" i="23" s="1"/>
  <c r="F8" i="23"/>
  <c r="H8" i="23" s="1"/>
  <c r="F7" i="23"/>
  <c r="H7" i="23" s="1"/>
  <c r="E33" i="23"/>
  <c r="G33" i="23" s="1"/>
  <c r="E34" i="23"/>
  <c r="E35" i="23"/>
  <c r="E36" i="23"/>
  <c r="G36" i="23" s="1"/>
  <c r="E32" i="23"/>
  <c r="G32" i="23" s="1"/>
  <c r="E31" i="23"/>
  <c r="E29" i="23"/>
  <c r="E28" i="23"/>
  <c r="G28" i="23" s="1"/>
  <c r="E27" i="23"/>
  <c r="E26" i="23"/>
  <c r="E25" i="23"/>
  <c r="E24" i="23"/>
  <c r="G24" i="23" s="1"/>
  <c r="E22" i="23"/>
  <c r="K22" i="23" s="1"/>
  <c r="E21" i="23"/>
  <c r="K21" i="23" s="1"/>
  <c r="E20" i="23"/>
  <c r="E19" i="23"/>
  <c r="G19" i="23" s="1"/>
  <c r="E18" i="23"/>
  <c r="K18" i="23" s="1"/>
  <c r="E16" i="23"/>
  <c r="E15" i="23"/>
  <c r="E14" i="23"/>
  <c r="G14" i="23" s="1"/>
  <c r="E13" i="23"/>
  <c r="K13" i="23" s="1"/>
  <c r="E12" i="23"/>
  <c r="E11" i="23"/>
  <c r="E10" i="23"/>
  <c r="G10" i="23" s="1"/>
  <c r="E9" i="23"/>
  <c r="K9" i="23" s="1"/>
  <c r="E8" i="23"/>
  <c r="K8" i="23" s="1"/>
  <c r="E7" i="23"/>
  <c r="K7" i="23" s="1"/>
  <c r="G22" i="21"/>
  <c r="G21" i="21"/>
  <c r="G20" i="21"/>
  <c r="G19" i="21"/>
  <c r="G18" i="21"/>
  <c r="G17" i="21"/>
  <c r="G16" i="21"/>
  <c r="G14" i="21"/>
  <c r="G13" i="21"/>
  <c r="G12" i="21"/>
  <c r="G11" i="21"/>
  <c r="G10" i="21"/>
  <c r="G9" i="21"/>
  <c r="G8" i="21"/>
  <c r="G7" i="21"/>
  <c r="F22" i="21"/>
  <c r="F21" i="21"/>
  <c r="F20" i="21"/>
  <c r="F19" i="21"/>
  <c r="F18" i="21"/>
  <c r="F17" i="21"/>
  <c r="F16" i="21"/>
  <c r="F14" i="21"/>
  <c r="F13" i="21"/>
  <c r="F12" i="21"/>
  <c r="F11" i="21"/>
  <c r="F10" i="21"/>
  <c r="F9" i="21"/>
  <c r="F8" i="21"/>
  <c r="F7" i="21"/>
  <c r="H20" i="20"/>
  <c r="H19" i="20"/>
  <c r="H17" i="20"/>
  <c r="H16" i="20"/>
  <c r="H15" i="20"/>
  <c r="H14" i="20"/>
  <c r="H13" i="20"/>
  <c r="H11" i="20"/>
  <c r="H10" i="20"/>
  <c r="H9" i="20"/>
  <c r="H8" i="20"/>
  <c r="H7" i="20"/>
  <c r="G20" i="20"/>
  <c r="G19" i="20"/>
  <c r="G17" i="20"/>
  <c r="G16" i="20"/>
  <c r="G15" i="20"/>
  <c r="G14" i="20"/>
  <c r="G13" i="20"/>
  <c r="G11" i="20"/>
  <c r="G10" i="20"/>
  <c r="G9" i="20"/>
  <c r="G8" i="20"/>
  <c r="G7" i="20"/>
  <c r="G39" i="18"/>
  <c r="G34" i="18"/>
  <c r="F39" i="18"/>
  <c r="F34" i="18"/>
  <c r="H21" i="17"/>
  <c r="H19" i="17"/>
  <c r="H18" i="17"/>
  <c r="H17" i="17"/>
  <c r="H16" i="17"/>
  <c r="H15" i="17"/>
  <c r="H14" i="17"/>
  <c r="H13" i="17"/>
  <c r="H12" i="17"/>
  <c r="H11" i="17"/>
  <c r="H10" i="17"/>
  <c r="H9" i="17"/>
  <c r="H8" i="17"/>
  <c r="H7" i="17"/>
  <c r="G21" i="17"/>
  <c r="G19" i="17"/>
  <c r="G18" i="17"/>
  <c r="G17" i="17"/>
  <c r="G16" i="17"/>
  <c r="G15" i="17"/>
  <c r="G14" i="17"/>
  <c r="G13" i="17"/>
  <c r="G12" i="17"/>
  <c r="G11" i="17"/>
  <c r="G10" i="17"/>
  <c r="G9" i="17"/>
  <c r="G8" i="17"/>
  <c r="G7" i="17"/>
  <c r="G14" i="16"/>
  <c r="H14" i="16"/>
  <c r="H12" i="16"/>
  <c r="H11" i="16"/>
  <c r="H10" i="16"/>
  <c r="H9" i="16"/>
  <c r="H8" i="16"/>
  <c r="H7" i="16"/>
  <c r="G12" i="16"/>
  <c r="G11" i="16"/>
  <c r="G10" i="16"/>
  <c r="G9" i="16"/>
  <c r="G8" i="16"/>
  <c r="G7" i="16"/>
  <c r="H15" i="15"/>
  <c r="H13" i="15"/>
  <c r="H12" i="15"/>
  <c r="H11" i="15"/>
  <c r="H10" i="15"/>
  <c r="H9" i="15"/>
  <c r="H8" i="15"/>
  <c r="H7" i="15"/>
  <c r="I7" i="15" s="1"/>
  <c r="G15" i="15"/>
  <c r="G13" i="15"/>
  <c r="G12" i="15"/>
  <c r="G11" i="15"/>
  <c r="G10" i="15"/>
  <c r="G9" i="15"/>
  <c r="G8" i="15"/>
  <c r="G7" i="15"/>
  <c r="G18" i="13"/>
  <c r="H18" i="13" s="1"/>
  <c r="G16" i="13"/>
  <c r="G15" i="13"/>
  <c r="G14" i="13"/>
  <c r="G13" i="13"/>
  <c r="G12" i="13"/>
  <c r="G11" i="13"/>
  <c r="G10" i="13"/>
  <c r="G9" i="13"/>
  <c r="G8" i="13"/>
  <c r="G7" i="13"/>
  <c r="F13" i="13"/>
  <c r="I13" i="13" s="1"/>
  <c r="F18" i="13"/>
  <c r="I18" i="13" s="1"/>
  <c r="F16" i="13"/>
  <c r="I16" i="13" s="1"/>
  <c r="F15" i="13"/>
  <c r="I15" i="13" s="1"/>
  <c r="F14" i="13"/>
  <c r="I14" i="13" s="1"/>
  <c r="F12" i="13"/>
  <c r="I12" i="13" s="1"/>
  <c r="F11" i="13"/>
  <c r="I11" i="13" s="1"/>
  <c r="F10" i="13"/>
  <c r="I10" i="13" s="1"/>
  <c r="F9" i="13"/>
  <c r="I9" i="13" s="1"/>
  <c r="F8" i="13"/>
  <c r="I8" i="13" s="1"/>
  <c r="F7" i="13"/>
  <c r="I7" i="13" s="1"/>
  <c r="G21" i="12"/>
  <c r="G20" i="12"/>
  <c r="G19" i="12"/>
  <c r="G17" i="12"/>
  <c r="F21" i="12"/>
  <c r="I21" i="12" s="1"/>
  <c r="F19" i="12"/>
  <c r="I19" i="12" s="1"/>
  <c r="F20" i="12"/>
  <c r="I20" i="12" s="1"/>
  <c r="F17" i="12"/>
  <c r="I7" i="12"/>
  <c r="I16" i="12" s="1"/>
  <c r="H16" i="11"/>
  <c r="H17" i="11" s="1"/>
  <c r="H14" i="11"/>
  <c r="J14" i="11" s="1"/>
  <c r="H13" i="11"/>
  <c r="J13" i="11" s="1"/>
  <c r="H12" i="11"/>
  <c r="J12" i="11" s="1"/>
  <c r="H11" i="11"/>
  <c r="J11" i="11" s="1"/>
  <c r="H10" i="11"/>
  <c r="J10" i="11" s="1"/>
  <c r="H9" i="11"/>
  <c r="H8" i="11"/>
  <c r="H7" i="11"/>
  <c r="J7" i="11" s="1"/>
  <c r="G16" i="11"/>
  <c r="G14" i="11"/>
  <c r="G13" i="11"/>
  <c r="G12" i="11"/>
  <c r="G11" i="11"/>
  <c r="G10" i="11"/>
  <c r="G9" i="11"/>
  <c r="G8" i="11"/>
  <c r="G7" i="11"/>
  <c r="H28" i="10"/>
  <c r="H27" i="10"/>
  <c r="H26" i="10"/>
  <c r="H25" i="10"/>
  <c r="G27" i="10"/>
  <c r="G28" i="10"/>
  <c r="G25" i="10"/>
  <c r="G26" i="10"/>
  <c r="H10" i="10"/>
  <c r="G10" i="10"/>
  <c r="H8" i="10"/>
  <c r="H7" i="10"/>
  <c r="G8" i="10"/>
  <c r="G7" i="10"/>
  <c r="G24" i="51"/>
  <c r="J16" i="9"/>
  <c r="G18" i="9"/>
  <c r="G17" i="9"/>
  <c r="F17" i="9"/>
  <c r="I17" i="9" s="1"/>
  <c r="K17" i="9" s="1"/>
  <c r="F18" i="9"/>
  <c r="I18" i="9" s="1"/>
  <c r="G15" i="9"/>
  <c r="G14" i="9"/>
  <c r="G13" i="9"/>
  <c r="G12" i="9"/>
  <c r="G11" i="9"/>
  <c r="G10" i="9"/>
  <c r="G9" i="9"/>
  <c r="G8" i="9"/>
  <c r="G7" i="9"/>
  <c r="H7" i="9" s="1"/>
  <c r="F15" i="9"/>
  <c r="K15" i="9" s="1"/>
  <c r="F14" i="9"/>
  <c r="K14" i="9" s="1"/>
  <c r="F13" i="9"/>
  <c r="K13" i="9" s="1"/>
  <c r="F12" i="9"/>
  <c r="K12" i="9" s="1"/>
  <c r="F11" i="9"/>
  <c r="K11" i="9" s="1"/>
  <c r="F10" i="9"/>
  <c r="K10" i="9" s="1"/>
  <c r="F9" i="9"/>
  <c r="K9" i="9" s="1"/>
  <c r="F8" i="9"/>
  <c r="K8" i="9" s="1"/>
  <c r="F7" i="9"/>
  <c r="K7" i="9" s="1"/>
  <c r="H17" i="8"/>
  <c r="H18" i="8"/>
  <c r="H16" i="8"/>
  <c r="H15" i="8"/>
  <c r="H20" i="8" s="1"/>
  <c r="G20" i="7"/>
  <c r="I20" i="7"/>
  <c r="F18" i="7"/>
  <c r="H18" i="7" s="1"/>
  <c r="G16" i="7"/>
  <c r="F16" i="7"/>
  <c r="G15" i="7"/>
  <c r="F15" i="7"/>
  <c r="G14" i="7"/>
  <c r="F14" i="7"/>
  <c r="G13" i="7"/>
  <c r="F13" i="7"/>
  <c r="G12" i="7"/>
  <c r="F12" i="7"/>
  <c r="G10" i="7"/>
  <c r="F10" i="7"/>
  <c r="G9" i="7"/>
  <c r="F9" i="7"/>
  <c r="G8" i="7"/>
  <c r="F8" i="7"/>
  <c r="F19" i="7"/>
  <c r="H19" i="7" s="1"/>
  <c r="J19" i="7" s="1"/>
  <c r="I22" i="4"/>
  <c r="I19" i="4"/>
  <c r="I18" i="4"/>
  <c r="I14" i="4"/>
  <c r="I8" i="5"/>
  <c r="H18" i="6"/>
  <c r="H17" i="6"/>
  <c r="H16" i="6"/>
  <c r="H15" i="6"/>
  <c r="H14" i="6"/>
  <c r="H12" i="6"/>
  <c r="H11" i="6"/>
  <c r="H10" i="6"/>
  <c r="H9" i="6"/>
  <c r="G18" i="6"/>
  <c r="G17" i="6"/>
  <c r="G16" i="6"/>
  <c r="G15" i="6"/>
  <c r="G14" i="6"/>
  <c r="G12" i="6"/>
  <c r="G11" i="6"/>
  <c r="G10" i="6"/>
  <c r="G9" i="6"/>
  <c r="F18" i="6"/>
  <c r="F17" i="6"/>
  <c r="F16" i="6"/>
  <c r="F15" i="6"/>
  <c r="F14" i="6"/>
  <c r="H14" i="51"/>
  <c r="F12" i="6"/>
  <c r="F11" i="6"/>
  <c r="F10" i="6"/>
  <c r="F9" i="6"/>
  <c r="I16" i="5"/>
  <c r="I15" i="5"/>
  <c r="I14" i="5"/>
  <c r="I13" i="5"/>
  <c r="I12" i="5"/>
  <c r="I10" i="5"/>
  <c r="I9" i="5"/>
  <c r="F16" i="5"/>
  <c r="F15" i="5"/>
  <c r="F14" i="5"/>
  <c r="F13" i="5"/>
  <c r="F12" i="5"/>
  <c r="E12" i="5"/>
  <c r="E16" i="5"/>
  <c r="E15" i="5"/>
  <c r="E14" i="5"/>
  <c r="E13" i="5"/>
  <c r="F10" i="5"/>
  <c r="F9" i="5"/>
  <c r="F8" i="5"/>
  <c r="D18" i="5"/>
  <c r="E10" i="5"/>
  <c r="E9" i="5"/>
  <c r="E8" i="5"/>
  <c r="G30" i="31" l="1"/>
  <c r="I17" i="12"/>
  <c r="F18" i="12"/>
  <c r="H14" i="27"/>
  <c r="L34" i="57"/>
  <c r="K34" i="57"/>
  <c r="K12" i="5"/>
  <c r="K13" i="5"/>
  <c r="I16" i="6"/>
  <c r="I12" i="6"/>
  <c r="H15" i="7"/>
  <c r="J15" i="7" s="1"/>
  <c r="K10" i="5"/>
  <c r="H9" i="7"/>
  <c r="J9" i="7" s="1"/>
  <c r="H12" i="7"/>
  <c r="J12" i="7" s="1"/>
  <c r="H14" i="7"/>
  <c r="J14" i="7" s="1"/>
  <c r="H16" i="7"/>
  <c r="J16" i="7" s="1"/>
  <c r="G8" i="23"/>
  <c r="G12" i="23"/>
  <c r="G16" i="23"/>
  <c r="G26" i="23"/>
  <c r="H9" i="28"/>
  <c r="F11" i="5"/>
  <c r="I14" i="6"/>
  <c r="I18" i="6"/>
  <c r="I9" i="11"/>
  <c r="I13" i="11"/>
  <c r="G11" i="23"/>
  <c r="H11" i="23" s="1"/>
  <c r="G15" i="23"/>
  <c r="G20" i="23"/>
  <c r="G25" i="23"/>
  <c r="G29" i="23"/>
  <c r="H29" i="23" s="1"/>
  <c r="G21" i="23"/>
  <c r="K19" i="23"/>
  <c r="H8" i="7"/>
  <c r="J8" i="7" s="1"/>
  <c r="H10" i="7"/>
  <c r="J10" i="7" s="1"/>
  <c r="H13" i="7"/>
  <c r="J13" i="7" s="1"/>
  <c r="G23" i="21"/>
  <c r="K16" i="23"/>
  <c r="E13" i="27"/>
  <c r="H7" i="27"/>
  <c r="D24" i="39"/>
  <c r="K12" i="39"/>
  <c r="G19" i="9"/>
  <c r="H29" i="10"/>
  <c r="I7" i="11"/>
  <c r="I11" i="11"/>
  <c r="I16" i="11"/>
  <c r="I17" i="11" s="1"/>
  <c r="K12" i="23"/>
  <c r="G36" i="32"/>
  <c r="J25" i="29"/>
  <c r="K15" i="5"/>
  <c r="G7" i="23"/>
  <c r="G13" i="23"/>
  <c r="G9" i="23"/>
  <c r="G35" i="23"/>
  <c r="G31" i="23"/>
  <c r="G27" i="23"/>
  <c r="I10" i="6"/>
  <c r="K16" i="5"/>
  <c r="I11" i="6"/>
  <c r="I15" i="6"/>
  <c r="G29" i="10"/>
  <c r="I8" i="11"/>
  <c r="I12" i="11"/>
  <c r="G18" i="23"/>
  <c r="G22" i="23"/>
  <c r="G34" i="23"/>
  <c r="H21" i="23"/>
  <c r="K37" i="23"/>
  <c r="K20" i="23"/>
  <c r="K15" i="23"/>
  <c r="K11" i="23"/>
  <c r="G17" i="11"/>
  <c r="K14" i="23"/>
  <c r="K10" i="23"/>
  <c r="E25" i="29"/>
  <c r="K9" i="5"/>
  <c r="K14" i="5"/>
  <c r="F17" i="5"/>
  <c r="I17" i="5"/>
  <c r="I9" i="6"/>
  <c r="I17" i="6"/>
  <c r="I10" i="11"/>
  <c r="I14" i="11"/>
  <c r="J9" i="11"/>
  <c r="F23" i="21"/>
  <c r="G12" i="31"/>
  <c r="E17" i="27"/>
  <c r="J18" i="7"/>
  <c r="J20" i="7" s="1"/>
  <c r="H20" i="7"/>
  <c r="K16" i="9"/>
  <c r="F13" i="6"/>
  <c r="F19" i="9"/>
  <c r="K18" i="9"/>
  <c r="J8" i="11"/>
  <c r="F20" i="7"/>
  <c r="K8" i="5"/>
  <c r="I7" i="20"/>
  <c r="H19" i="8"/>
  <c r="F11" i="7"/>
  <c r="I11" i="5"/>
  <c r="G21" i="4"/>
  <c r="G13" i="4"/>
  <c r="H8" i="4"/>
  <c r="I26" i="4"/>
  <c r="I25" i="4"/>
  <c r="I23" i="4"/>
  <c r="I20" i="4"/>
  <c r="F20" i="4"/>
  <c r="I12" i="4"/>
  <c r="I11" i="4"/>
  <c r="I10" i="4"/>
  <c r="I9" i="4"/>
  <c r="F26" i="4"/>
  <c r="F25" i="4"/>
  <c r="F23" i="4"/>
  <c r="F22" i="4"/>
  <c r="F19" i="4"/>
  <c r="F18" i="4"/>
  <c r="F14" i="4"/>
  <c r="K14" i="4" s="1"/>
  <c r="F12" i="4"/>
  <c r="F18" i="5" l="1"/>
  <c r="K23" i="23"/>
  <c r="I18" i="5"/>
  <c r="I13" i="6"/>
  <c r="J11" i="7"/>
  <c r="H17" i="7"/>
  <c r="J17" i="7"/>
  <c r="K17" i="23"/>
  <c r="I15" i="11"/>
  <c r="K11" i="5"/>
  <c r="E18" i="4"/>
  <c r="G16" i="8" s="1"/>
  <c r="E26" i="4"/>
  <c r="E25" i="4"/>
  <c r="G21" i="51"/>
  <c r="E23" i="4"/>
  <c r="E22" i="4"/>
  <c r="G19" i="51"/>
  <c r="E20" i="4"/>
  <c r="G18" i="8" s="1"/>
  <c r="E19" i="4"/>
  <c r="G17" i="8" s="1"/>
  <c r="G15" i="8"/>
  <c r="G14" i="8"/>
  <c r="E10" i="4"/>
  <c r="K10" i="4" s="1"/>
  <c r="G18" i="51"/>
  <c r="G17" i="51"/>
  <c r="G16" i="51"/>
  <c r="G15" i="51"/>
  <c r="G14" i="51"/>
  <c r="F11" i="4"/>
  <c r="E11" i="4"/>
  <c r="E12" i="4"/>
  <c r="J8" i="4"/>
  <c r="E9" i="4"/>
  <c r="G12" i="51"/>
  <c r="G11" i="51"/>
  <c r="G10" i="51"/>
  <c r="G9" i="51"/>
  <c r="E21" i="4" l="1"/>
  <c r="E13" i="4"/>
  <c r="K9" i="4"/>
  <c r="E8" i="4"/>
  <c r="I32" i="52"/>
  <c r="I30" i="52"/>
  <c r="J27" i="52"/>
  <c r="I27" i="52"/>
  <c r="J18" i="51"/>
  <c r="J17" i="51"/>
  <c r="J16" i="51"/>
  <c r="J15" i="51"/>
  <c r="J14" i="51"/>
  <c r="J32" i="52"/>
  <c r="J31" i="52"/>
  <c r="I31" i="52"/>
  <c r="J30" i="52"/>
  <c r="J26" i="52"/>
  <c r="I26" i="52"/>
  <c r="J25" i="52"/>
  <c r="I25" i="52"/>
  <c r="J24" i="52"/>
  <c r="I24" i="52"/>
  <c r="J21" i="52"/>
  <c r="I21" i="52"/>
  <c r="J20" i="52"/>
  <c r="I20" i="52"/>
  <c r="J22" i="51"/>
  <c r="J21" i="51"/>
  <c r="J28" i="51"/>
  <c r="G28" i="51"/>
  <c r="J12" i="51"/>
  <c r="J11" i="51"/>
  <c r="J10" i="51"/>
  <c r="J9" i="51"/>
  <c r="O29" i="51"/>
  <c r="O28" i="51"/>
  <c r="O27" i="51"/>
  <c r="O26" i="51"/>
  <c r="O25" i="51"/>
  <c r="O24" i="51"/>
  <c r="G47" i="45" s="1"/>
  <c r="J29" i="51"/>
  <c r="J27" i="51"/>
  <c r="I7" i="52"/>
  <c r="G22" i="42" l="1"/>
  <c r="G32" i="45"/>
  <c r="J33" i="52"/>
  <c r="G44" i="45"/>
  <c r="F32" i="45"/>
  <c r="F22" i="42"/>
  <c r="I28" i="52"/>
  <c r="I33" i="52"/>
  <c r="J28" i="52"/>
  <c r="J34" i="52" s="1"/>
  <c r="G55" i="45" s="1"/>
  <c r="J13" i="51"/>
  <c r="J18" i="52" s="1"/>
  <c r="J7" i="52"/>
  <c r="G29" i="51"/>
  <c r="J25" i="51"/>
  <c r="J24" i="51"/>
  <c r="L48" i="50"/>
  <c r="G19" i="42" s="1"/>
  <c r="L47" i="50"/>
  <c r="G18" i="42" s="1"/>
  <c r="L45" i="50"/>
  <c r="L44" i="50"/>
  <c r="L43" i="50"/>
  <c r="L42" i="50"/>
  <c r="L39" i="50"/>
  <c r="L38" i="50"/>
  <c r="L37" i="50"/>
  <c r="L36" i="50"/>
  <c r="L35" i="50"/>
  <c r="L32" i="50"/>
  <c r="L30" i="50"/>
  <c r="L28" i="50"/>
  <c r="L27" i="50"/>
  <c r="L26" i="50"/>
  <c r="L25" i="50"/>
  <c r="L24" i="50"/>
  <c r="L23" i="50"/>
  <c r="L22" i="50"/>
  <c r="L21" i="50"/>
  <c r="L20" i="50"/>
  <c r="K20" i="50"/>
  <c r="L19" i="50"/>
  <c r="L18" i="50"/>
  <c r="K18" i="50"/>
  <c r="L17" i="50"/>
  <c r="L16" i="50"/>
  <c r="K16" i="50"/>
  <c r="L14" i="50"/>
  <c r="K14" i="50"/>
  <c r="L13" i="50"/>
  <c r="K13" i="50"/>
  <c r="L12" i="50"/>
  <c r="K12" i="50"/>
  <c r="L10" i="50"/>
  <c r="L9" i="50"/>
  <c r="L8" i="50"/>
  <c r="L11" i="50" l="1"/>
  <c r="G9" i="45" s="1"/>
  <c r="L46" i="50"/>
  <c r="G15" i="45" s="1"/>
  <c r="L15" i="50"/>
  <c r="L40" i="50"/>
  <c r="G13" i="45" s="1"/>
  <c r="J11" i="52"/>
  <c r="J10" i="52"/>
  <c r="G46" i="45"/>
  <c r="G48" i="45" s="1"/>
  <c r="I34" i="52"/>
  <c r="F55" i="45" s="1"/>
  <c r="J26" i="51"/>
  <c r="G43" i="45" s="1"/>
  <c r="G45" i="45" s="1"/>
  <c r="G8" i="45" l="1"/>
  <c r="G16" i="42"/>
  <c r="L29" i="50"/>
  <c r="G49" i="45"/>
  <c r="J12" i="52"/>
  <c r="K39" i="50"/>
  <c r="J20" i="51"/>
  <c r="J19" i="52" s="1"/>
  <c r="K44" i="50"/>
  <c r="L31" i="50" l="1"/>
  <c r="G10" i="45"/>
  <c r="K43" i="50"/>
  <c r="K42" i="50"/>
  <c r="K38" i="50"/>
  <c r="K37" i="50"/>
  <c r="K35" i="50"/>
  <c r="K27" i="50"/>
  <c r="K8" i="50"/>
  <c r="K15" i="50" s="1"/>
  <c r="O15" i="51"/>
  <c r="O14" i="51"/>
  <c r="G13" i="51"/>
  <c r="O29" i="55" l="1"/>
  <c r="G11" i="45"/>
  <c r="G18" i="45" s="1"/>
  <c r="L34" i="50"/>
  <c r="J9" i="52"/>
  <c r="F8" i="45"/>
  <c r="F16" i="42"/>
  <c r="N28" i="51"/>
  <c r="O35" i="51"/>
  <c r="O32" i="51"/>
  <c r="O31" i="51"/>
  <c r="O21" i="51"/>
  <c r="O20" i="51"/>
  <c r="O19" i="51"/>
  <c r="O17" i="51"/>
  <c r="O16" i="51"/>
  <c r="O13" i="51"/>
  <c r="O12" i="51"/>
  <c r="O11" i="51"/>
  <c r="O10" i="51"/>
  <c r="O9" i="51"/>
  <c r="O8" i="51"/>
  <c r="J35" i="51"/>
  <c r="J33" i="51"/>
  <c r="J32" i="51"/>
  <c r="J31" i="51"/>
  <c r="J19" i="51"/>
  <c r="H16" i="51"/>
  <c r="H11" i="51"/>
  <c r="H10" i="51"/>
  <c r="H25" i="51"/>
  <c r="N8" i="51"/>
  <c r="G33" i="51"/>
  <c r="L41" i="50" l="1"/>
  <c r="G12" i="45"/>
  <c r="H15" i="51"/>
  <c r="H19" i="51"/>
  <c r="G32" i="51"/>
  <c r="N16" i="51"/>
  <c r="H18" i="51"/>
  <c r="G22" i="51"/>
  <c r="G31" i="51"/>
  <c r="H32" i="51"/>
  <c r="G35" i="51"/>
  <c r="H9" i="51"/>
  <c r="H17" i="51"/>
  <c r="H22" i="51"/>
  <c r="G27" i="51"/>
  <c r="G26" i="51" s="1"/>
  <c r="G30" i="51" s="1"/>
  <c r="H28" i="51"/>
  <c r="H31" i="51"/>
  <c r="H29" i="51"/>
  <c r="H21" i="51"/>
  <c r="H27" i="51"/>
  <c r="H33" i="51"/>
  <c r="O18" i="51"/>
  <c r="G38" i="45" s="1"/>
  <c r="O34" i="51"/>
  <c r="G59" i="45" s="1"/>
  <c r="O30" i="51"/>
  <c r="J13" i="52" s="1"/>
  <c r="J34" i="51"/>
  <c r="G60" i="45" s="1"/>
  <c r="O22" i="51"/>
  <c r="G39" i="45" s="1"/>
  <c r="G40" i="45" s="1"/>
  <c r="J8" i="51"/>
  <c r="J17" i="52" s="1"/>
  <c r="J22" i="52" s="1"/>
  <c r="G54" i="45" s="1"/>
  <c r="J30" i="51"/>
  <c r="N32" i="51"/>
  <c r="G17" i="42" l="1"/>
  <c r="G14" i="45"/>
  <c r="L49" i="50"/>
  <c r="G61" i="45"/>
  <c r="J41" i="51"/>
  <c r="J16" i="52"/>
  <c r="F15" i="52"/>
  <c r="H13" i="51"/>
  <c r="J23" i="51"/>
  <c r="O23" i="51"/>
  <c r="O36" i="51" s="1"/>
  <c r="G16" i="45" l="1"/>
  <c r="G20" i="42"/>
  <c r="J35" i="52"/>
  <c r="J36" i="52" s="1"/>
  <c r="G53" i="45"/>
  <c r="J36" i="51"/>
  <c r="G41" i="45"/>
  <c r="G42" i="45" s="1"/>
  <c r="G50" i="45" s="1"/>
  <c r="K47" i="50"/>
  <c r="F18" i="42" s="1"/>
  <c r="K45" i="50"/>
  <c r="K46" i="50" s="1"/>
  <c r="K24" i="50"/>
  <c r="K22" i="50"/>
  <c r="K29" i="50" l="1"/>
  <c r="K40" i="50"/>
  <c r="F13" i="45" s="1"/>
  <c r="F15" i="45"/>
  <c r="K11" i="50"/>
  <c r="F9" i="45" s="1"/>
  <c r="K31" i="50" l="1"/>
  <c r="F10" i="45"/>
  <c r="N35" i="51"/>
  <c r="N29" i="51"/>
  <c r="N31" i="51"/>
  <c r="N34" i="51" s="1"/>
  <c r="N26" i="51"/>
  <c r="N25" i="51"/>
  <c r="N24" i="51"/>
  <c r="F47" i="45" s="1"/>
  <c r="N21" i="51"/>
  <c r="N20" i="51"/>
  <c r="N19" i="51"/>
  <c r="N17" i="51"/>
  <c r="N13" i="51"/>
  <c r="N12" i="51"/>
  <c r="N11" i="51"/>
  <c r="N10" i="51"/>
  <c r="N9" i="51"/>
  <c r="N22" i="51" l="1"/>
  <c r="F39" i="45" s="1"/>
  <c r="F59" i="45"/>
  <c r="F11" i="45"/>
  <c r="F18" i="45" s="1"/>
  <c r="F21" i="45" s="1"/>
  <c r="F31" i="45" s="1"/>
  <c r="F33" i="45" s="1"/>
  <c r="K34" i="50"/>
  <c r="K41" i="50" s="1"/>
  <c r="J5" i="105" s="1"/>
  <c r="H10" i="131" s="1"/>
  <c r="H24" i="51"/>
  <c r="J33" i="105" l="1"/>
  <c r="F12" i="45"/>
  <c r="H34" i="51"/>
  <c r="H8" i="51"/>
  <c r="H20" i="51"/>
  <c r="H26" i="51"/>
  <c r="H30" i="51" s="1"/>
  <c r="I24" i="51"/>
  <c r="I9" i="51"/>
  <c r="I35" i="51"/>
  <c r="I33" i="51"/>
  <c r="I32" i="51"/>
  <c r="I29" i="51"/>
  <c r="I28" i="51"/>
  <c r="I25" i="51"/>
  <c r="I22" i="51"/>
  <c r="I19" i="51"/>
  <c r="I18" i="51"/>
  <c r="I17" i="51"/>
  <c r="I16" i="51"/>
  <c r="I15" i="51"/>
  <c r="I12" i="51"/>
  <c r="I11" i="51"/>
  <c r="I10" i="51"/>
  <c r="J35" i="105" l="1"/>
  <c r="H35" i="131" s="1"/>
  <c r="H34" i="131" s="1"/>
  <c r="H42" i="131" s="1"/>
  <c r="H23" i="51"/>
  <c r="H36" i="51" s="1"/>
  <c r="I10" i="52"/>
  <c r="F46" i="45"/>
  <c r="F48" i="45" s="1"/>
  <c r="I11" i="52"/>
  <c r="F17" i="42"/>
  <c r="F14" i="45"/>
  <c r="I8" i="51"/>
  <c r="I17" i="52" s="1"/>
  <c r="G8" i="51"/>
  <c r="I14" i="51"/>
  <c r="I13" i="51" s="1"/>
  <c r="I18" i="52" s="1"/>
  <c r="I31" i="51"/>
  <c r="I34" i="51" s="1"/>
  <c r="F60" i="45" s="1"/>
  <c r="F61" i="45" s="1"/>
  <c r="G34" i="51"/>
  <c r="I27" i="51"/>
  <c r="I26" i="51" s="1"/>
  <c r="F43" i="45" s="1"/>
  <c r="I21" i="51"/>
  <c r="I20" i="51" s="1"/>
  <c r="I19" i="52" s="1"/>
  <c r="G20" i="51"/>
  <c r="Z30" i="76" l="1"/>
  <c r="G23" i="51"/>
  <c r="G36" i="51" s="1"/>
  <c r="I22" i="52"/>
  <c r="F54" i="45" s="1"/>
  <c r="I23" i="51"/>
  <c r="F41" i="45" s="1"/>
  <c r="D53" i="105" l="1"/>
  <c r="D52" i="105"/>
  <c r="D54" i="105"/>
  <c r="D59" i="105"/>
  <c r="G54" i="105"/>
  <c r="G53" i="105"/>
  <c r="D58" i="105"/>
  <c r="G52" i="105"/>
  <c r="J53" i="105"/>
  <c r="J55" i="105" s="1"/>
  <c r="G57" i="105"/>
  <c r="G59" i="105"/>
  <c r="D57" i="105"/>
  <c r="G58" i="105"/>
  <c r="J59" i="105"/>
  <c r="J60" i="105" s="1"/>
  <c r="I12" i="52"/>
  <c r="I30" i="51"/>
  <c r="I36" i="51" s="1"/>
  <c r="J62" i="105" l="1"/>
  <c r="Z36" i="76" s="1"/>
  <c r="O30" i="76"/>
  <c r="V30" i="76"/>
  <c r="D55" i="105"/>
  <c r="G55" i="105"/>
  <c r="D60" i="105"/>
  <c r="G60" i="105"/>
  <c r="D62" i="105" l="1"/>
  <c r="H44" i="131" s="1"/>
  <c r="G62" i="105"/>
  <c r="K48" i="50" s="1"/>
  <c r="I9" i="52" s="1"/>
  <c r="N27" i="51"/>
  <c r="N30" i="51" s="1"/>
  <c r="I13" i="52" s="1"/>
  <c r="E15" i="52" s="1"/>
  <c r="H21" i="26"/>
  <c r="G21" i="26"/>
  <c r="H13" i="26"/>
  <c r="L32" i="57" s="1"/>
  <c r="G13" i="26"/>
  <c r="K32" i="57" s="1"/>
  <c r="L30" i="57"/>
  <c r="K30" i="57"/>
  <c r="J20" i="14"/>
  <c r="L20" i="14"/>
  <c r="H20" i="14"/>
  <c r="K20" i="57" s="1"/>
  <c r="G20" i="18"/>
  <c r="L24" i="57" s="1"/>
  <c r="H20" i="18"/>
  <c r="I20" i="18"/>
  <c r="F20" i="18"/>
  <c r="I13" i="18"/>
  <c r="G13" i="18"/>
  <c r="H13" i="18"/>
  <c r="F13" i="18"/>
  <c r="K49" i="50" l="1"/>
  <c r="F20" i="42" s="1"/>
  <c r="F19" i="42"/>
  <c r="Z32" i="76"/>
  <c r="Z42" i="76" s="1"/>
  <c r="L20" i="57"/>
  <c r="I16" i="52"/>
  <c r="F53" i="45" s="1"/>
  <c r="F44" i="45"/>
  <c r="F45" i="45" s="1"/>
  <c r="F49" i="45" s="1"/>
  <c r="K24" i="57"/>
  <c r="K14" i="57"/>
  <c r="Z45" i="76" l="1"/>
  <c r="Z48" i="76" s="1"/>
  <c r="Z51" i="76" s="1"/>
  <c r="N15" i="51"/>
  <c r="N18" i="51" s="1"/>
  <c r="F38" i="45" s="1"/>
  <c r="F40" i="45" s="1"/>
  <c r="F42" i="45" s="1"/>
  <c r="F50" i="45" s="1"/>
  <c r="F16" i="45"/>
  <c r="I35" i="52"/>
  <c r="I36" i="52" s="1"/>
  <c r="L14" i="57"/>
  <c r="H39" i="1"/>
  <c r="I39" i="1"/>
  <c r="J39" i="1"/>
  <c r="G39" i="1"/>
  <c r="J30" i="1"/>
  <c r="H29" i="1"/>
  <c r="I29" i="1"/>
  <c r="J29" i="1"/>
  <c r="G29" i="1"/>
  <c r="H19" i="1"/>
  <c r="I19" i="1"/>
  <c r="J19" i="1"/>
  <c r="G19" i="1"/>
  <c r="H13" i="1"/>
  <c r="H30" i="1" s="1"/>
  <c r="I13" i="1"/>
  <c r="I30" i="1" s="1"/>
  <c r="J13" i="1"/>
  <c r="G13" i="1"/>
  <c r="W41" i="135" l="1"/>
  <c r="W43" i="135" s="1"/>
  <c r="N23" i="51"/>
  <c r="N36" i="51" s="1"/>
  <c r="G30" i="1"/>
  <c r="L8" i="57" l="1"/>
  <c r="K8" i="57"/>
  <c r="I22" i="12" l="1"/>
  <c r="J22" i="12"/>
  <c r="K22" i="12"/>
  <c r="F22" i="12" l="1"/>
  <c r="F15" i="14" l="1"/>
  <c r="F16" i="14" s="1"/>
  <c r="F17" i="14" s="1"/>
  <c r="F18" i="14" s="1"/>
  <c r="F19" i="14" s="1"/>
  <c r="I9" i="41" l="1"/>
  <c r="I18" i="41"/>
  <c r="I20" i="41"/>
  <c r="I21" i="41"/>
  <c r="J8" i="22"/>
  <c r="J9" i="22"/>
  <c r="J10" i="22"/>
  <c r="J11" i="22"/>
  <c r="J7" i="22"/>
  <c r="H40" i="18"/>
  <c r="H41" i="18"/>
  <c r="H42" i="18"/>
  <c r="H43" i="18"/>
  <c r="H35" i="18"/>
  <c r="H36" i="18"/>
  <c r="H37" i="18"/>
  <c r="H38" i="18"/>
  <c r="I21" i="17"/>
  <c r="G30" i="44" l="1"/>
  <c r="I30" i="44"/>
  <c r="K30" i="44"/>
  <c r="L30" i="44"/>
  <c r="M29" i="43"/>
  <c r="O29" i="43"/>
  <c r="E29" i="43"/>
  <c r="G29" i="43"/>
  <c r="I29" i="43"/>
  <c r="K29" i="43"/>
  <c r="I12" i="19"/>
  <c r="H18" i="19"/>
  <c r="I11" i="19"/>
  <c r="I9" i="19"/>
  <c r="I8" i="22"/>
  <c r="I9" i="22"/>
  <c r="I10" i="22"/>
  <c r="I11" i="22"/>
  <c r="I7" i="22"/>
  <c r="L50" i="57" l="1"/>
  <c r="K50" i="57"/>
  <c r="L49" i="57"/>
  <c r="K49" i="57"/>
  <c r="I28" i="10"/>
  <c r="I27" i="10"/>
  <c r="I26" i="10"/>
  <c r="I25" i="10" l="1"/>
  <c r="G17" i="5"/>
  <c r="H17" i="5"/>
  <c r="J17" i="5"/>
  <c r="E17" i="5"/>
  <c r="O49" i="55" l="1"/>
  <c r="Q33" i="55" l="1"/>
  <c r="Q31" i="55"/>
  <c r="Q29" i="55"/>
  <c r="Q49" i="55" l="1"/>
  <c r="I30" i="41"/>
  <c r="I28" i="41"/>
  <c r="I27" i="41"/>
  <c r="I26" i="41"/>
  <c r="I25" i="41"/>
  <c r="I24" i="41"/>
  <c r="I23" i="41"/>
  <c r="I22" i="41"/>
  <c r="I16" i="41"/>
  <c r="I17" i="41"/>
  <c r="I15" i="41"/>
  <c r="I14" i="41"/>
  <c r="I13" i="41"/>
  <c r="I12" i="41"/>
  <c r="I11" i="41"/>
  <c r="I10" i="41"/>
  <c r="I7" i="40"/>
  <c r="I25" i="40"/>
  <c r="I24" i="40"/>
  <c r="I23" i="40"/>
  <c r="I22" i="40"/>
  <c r="I20" i="40"/>
  <c r="I19" i="40"/>
  <c r="I18" i="40"/>
  <c r="I16" i="40"/>
  <c r="I15" i="40"/>
  <c r="I14" i="40"/>
  <c r="I13" i="40"/>
  <c r="I12" i="40"/>
  <c r="I11" i="40"/>
  <c r="I9" i="40"/>
  <c r="I8" i="40"/>
  <c r="K17" i="39"/>
  <c r="K22" i="39"/>
  <c r="K21" i="39"/>
  <c r="K20" i="39"/>
  <c r="K16" i="39"/>
  <c r="K14" i="39"/>
  <c r="K13" i="39"/>
  <c r="K11" i="39"/>
  <c r="K10" i="39"/>
  <c r="K9" i="39"/>
  <c r="E22" i="38"/>
  <c r="F22" i="38"/>
  <c r="G22" i="38"/>
  <c r="H22" i="38"/>
  <c r="I22" i="38"/>
  <c r="J22" i="38"/>
  <c r="K22" i="38"/>
  <c r="L22" i="38"/>
  <c r="D22" i="38"/>
  <c r="E13" i="38"/>
  <c r="D13" i="38"/>
  <c r="F13" i="38"/>
  <c r="G13" i="38"/>
  <c r="G25" i="38" s="1"/>
  <c r="H13" i="38"/>
  <c r="I13" i="38"/>
  <c r="J13" i="38"/>
  <c r="K13" i="38"/>
  <c r="L13" i="38"/>
  <c r="M13" i="38"/>
  <c r="N13" i="38"/>
  <c r="O13" i="38"/>
  <c r="P13" i="38"/>
  <c r="Q10" i="38"/>
  <c r="Q11" i="38"/>
  <c r="Q12" i="38"/>
  <c r="Q14" i="38"/>
  <c r="Q15" i="38"/>
  <c r="Q9" i="38"/>
  <c r="I10" i="37"/>
  <c r="I15" i="36"/>
  <c r="I12" i="36"/>
  <c r="I10" i="36"/>
  <c r="I9" i="36"/>
  <c r="I8" i="36"/>
  <c r="I7" i="36"/>
  <c r="I11" i="35"/>
  <c r="I8" i="35"/>
  <c r="I18" i="34"/>
  <c r="I17" i="34"/>
  <c r="I9" i="34"/>
  <c r="I7" i="34"/>
  <c r="H25" i="38" l="1"/>
  <c r="I11" i="37"/>
  <c r="I7" i="35"/>
  <c r="Q13" i="38"/>
  <c r="I25" i="38"/>
  <c r="E25" i="38"/>
  <c r="I13" i="36"/>
  <c r="F25" i="38"/>
  <c r="I10" i="40"/>
  <c r="I29" i="41"/>
  <c r="I21" i="40"/>
  <c r="I11" i="36"/>
  <c r="J25" i="38"/>
  <c r="D25" i="38"/>
  <c r="I8" i="34"/>
  <c r="I11" i="34"/>
  <c r="I13" i="34"/>
  <c r="I20" i="34"/>
  <c r="I10" i="35"/>
  <c r="I8" i="37"/>
  <c r="I12" i="34"/>
  <c r="I14" i="34"/>
  <c r="I9" i="35"/>
  <c r="I14" i="36"/>
  <c r="I7" i="37"/>
  <c r="I12" i="37"/>
  <c r="I9" i="33"/>
  <c r="I8" i="33"/>
  <c r="I35" i="32"/>
  <c r="I34" i="32"/>
  <c r="I25" i="32"/>
  <c r="I24" i="32"/>
  <c r="I23" i="32"/>
  <c r="I22" i="32"/>
  <c r="I19" i="32"/>
  <c r="I17" i="32"/>
  <c r="I16" i="32"/>
  <c r="I15" i="32"/>
  <c r="I14" i="32"/>
  <c r="I11" i="32"/>
  <c r="I10" i="32"/>
  <c r="I9" i="32"/>
  <c r="I8" i="32"/>
  <c r="I27" i="31"/>
  <c r="I23" i="31"/>
  <c r="I22" i="31"/>
  <c r="I21" i="31"/>
  <c r="I20" i="31"/>
  <c r="I15" i="31"/>
  <c r="I16" i="31"/>
  <c r="I13" i="31"/>
  <c r="I11" i="31"/>
  <c r="I10" i="31"/>
  <c r="I9" i="31"/>
  <c r="I8" i="31"/>
  <c r="H14" i="13"/>
  <c r="I7" i="30"/>
  <c r="I14" i="30"/>
  <c r="I13" i="30"/>
  <c r="I12" i="30"/>
  <c r="I11" i="30"/>
  <c r="I10" i="30"/>
  <c r="I8" i="30"/>
  <c r="G7" i="29"/>
  <c r="G20" i="29"/>
  <c r="G19" i="29"/>
  <c r="G18" i="29"/>
  <c r="G17" i="29"/>
  <c r="G16" i="29"/>
  <c r="G12" i="29"/>
  <c r="G11" i="29"/>
  <c r="G10" i="29"/>
  <c r="G8" i="29"/>
  <c r="G9" i="29"/>
  <c r="G24" i="29"/>
  <c r="G23" i="29"/>
  <c r="G22" i="29"/>
  <c r="H18" i="28"/>
  <c r="H16" i="28"/>
  <c r="H11" i="28"/>
  <c r="H7" i="28"/>
  <c r="G16" i="27"/>
  <c r="G15" i="27"/>
  <c r="G12" i="27"/>
  <c r="G10" i="27"/>
  <c r="G8" i="27"/>
  <c r="G9" i="27"/>
  <c r="I22" i="21"/>
  <c r="I21" i="21"/>
  <c r="I20" i="21"/>
  <c r="I19" i="21"/>
  <c r="I17" i="21"/>
  <c r="I16" i="21"/>
  <c r="I14" i="21"/>
  <c r="I11" i="21"/>
  <c r="I10" i="21"/>
  <c r="I9" i="21"/>
  <c r="I8" i="21"/>
  <c r="I17" i="19"/>
  <c r="I16" i="19"/>
  <c r="I15" i="19"/>
  <c r="I14" i="19"/>
  <c r="I13" i="19"/>
  <c r="I10" i="19"/>
  <c r="J11" i="18"/>
  <c r="J17" i="18"/>
  <c r="J18" i="18"/>
  <c r="J19" i="18"/>
  <c r="J9" i="18"/>
  <c r="J10" i="18"/>
  <c r="J12" i="18"/>
  <c r="J13" i="18"/>
  <c r="J16" i="18"/>
  <c r="J20" i="18"/>
  <c r="J8" i="18"/>
  <c r="I19" i="17"/>
  <c r="I17" i="17"/>
  <c r="I16" i="17"/>
  <c r="I15" i="17"/>
  <c r="I14" i="17"/>
  <c r="I13" i="17"/>
  <c r="I12" i="17"/>
  <c r="I11" i="17"/>
  <c r="I10" i="17"/>
  <c r="I9" i="17"/>
  <c r="I8" i="17"/>
  <c r="I7" i="16"/>
  <c r="I12" i="16"/>
  <c r="I11" i="16"/>
  <c r="I10" i="16"/>
  <c r="I9" i="16"/>
  <c r="I8" i="16"/>
  <c r="I13" i="15"/>
  <c r="I12" i="15"/>
  <c r="I11" i="15"/>
  <c r="I10" i="15"/>
  <c r="I9" i="15"/>
  <c r="I8" i="15"/>
  <c r="H12" i="13"/>
  <c r="H8" i="13"/>
  <c r="H21" i="12"/>
  <c r="H20" i="12"/>
  <c r="H15" i="12"/>
  <c r="H13" i="12"/>
  <c r="H12" i="12"/>
  <c r="H11" i="12"/>
  <c r="H10" i="12"/>
  <c r="H9" i="12"/>
  <c r="H8" i="12"/>
  <c r="I8" i="10"/>
  <c r="I16" i="9"/>
  <c r="H15" i="9"/>
  <c r="H14" i="9"/>
  <c r="H13" i="9"/>
  <c r="H11" i="9"/>
  <c r="H10" i="9"/>
  <c r="H8" i="9"/>
  <c r="G25" i="29" l="1"/>
  <c r="H19" i="12"/>
  <c r="H22" i="12" s="1"/>
  <c r="G22" i="12"/>
  <c r="L44" i="57"/>
  <c r="K44" i="57"/>
  <c r="J14" i="18"/>
  <c r="J7" i="18"/>
  <c r="I7" i="32"/>
  <c r="I7" i="31"/>
  <c r="H14" i="12"/>
  <c r="H9" i="9"/>
  <c r="H16" i="21"/>
  <c r="H18" i="21"/>
  <c r="I18" i="21" s="1"/>
  <c r="H20" i="21"/>
  <c r="H22" i="21"/>
  <c r="H17" i="28"/>
  <c r="I31" i="41"/>
  <c r="G14" i="29"/>
  <c r="H10" i="13"/>
  <c r="H9" i="13"/>
  <c r="H12" i="28"/>
  <c r="G7" i="27"/>
  <c r="I28" i="31"/>
  <c r="I28" i="32"/>
  <c r="H15" i="13"/>
  <c r="H13" i="13"/>
  <c r="H11" i="13"/>
  <c r="I10" i="33"/>
  <c r="H10" i="28"/>
  <c r="H12" i="9"/>
  <c r="H17" i="21"/>
  <c r="H19" i="21"/>
  <c r="H21" i="21"/>
  <c r="H8" i="28"/>
  <c r="G15" i="29"/>
  <c r="I11" i="33"/>
  <c r="I29" i="31"/>
  <c r="I19" i="31"/>
  <c r="I17" i="31"/>
  <c r="I13" i="32"/>
  <c r="I20" i="32"/>
  <c r="I26" i="32"/>
  <c r="I30" i="32"/>
  <c r="I32" i="32"/>
  <c r="I7" i="33"/>
  <c r="I21" i="32"/>
  <c r="I27" i="32"/>
  <c r="I29" i="32"/>
  <c r="I31" i="32"/>
  <c r="I33" i="32"/>
  <c r="H15" i="28"/>
  <c r="H14" i="28"/>
  <c r="G27" i="29"/>
  <c r="I18" i="17"/>
  <c r="I7" i="17"/>
  <c r="H16" i="13"/>
  <c r="G16" i="12"/>
  <c r="G18" i="12" s="1"/>
  <c r="H7" i="13"/>
  <c r="G14" i="27"/>
  <c r="H7" i="12"/>
  <c r="I7" i="10"/>
  <c r="H18" i="20"/>
  <c r="H12" i="20"/>
  <c r="H12" i="32"/>
  <c r="G18" i="20"/>
  <c r="G15" i="21"/>
  <c r="G24" i="21" s="1"/>
  <c r="F19" i="28"/>
  <c r="H14" i="21"/>
  <c r="F15" i="21"/>
  <c r="G24" i="31"/>
  <c r="H24" i="31"/>
  <c r="G12" i="20"/>
  <c r="G12" i="32"/>
  <c r="H18" i="32"/>
  <c r="G18" i="32"/>
  <c r="E37" i="23"/>
  <c r="I13" i="20"/>
  <c r="H7" i="21"/>
  <c r="I7" i="21" s="1"/>
  <c r="H13" i="21"/>
  <c r="I13" i="21" s="1"/>
  <c r="H12" i="21"/>
  <c r="I12" i="21" s="1"/>
  <c r="H11" i="21"/>
  <c r="H10" i="21"/>
  <c r="H9" i="21"/>
  <c r="H8" i="21"/>
  <c r="I17" i="20"/>
  <c r="I16" i="20"/>
  <c r="I15" i="20"/>
  <c r="I14" i="20"/>
  <c r="I11" i="20"/>
  <c r="I10" i="20"/>
  <c r="I9" i="20"/>
  <c r="I8" i="20"/>
  <c r="H32" i="45" l="1"/>
  <c r="I12" i="32"/>
  <c r="H23" i="21"/>
  <c r="I23" i="21" s="1"/>
  <c r="F24" i="21"/>
  <c r="I12" i="20"/>
  <c r="H15" i="21"/>
  <c r="I18" i="20"/>
  <c r="N22" i="52"/>
  <c r="I25" i="31"/>
  <c r="H18" i="31"/>
  <c r="G11" i="27"/>
  <c r="H24" i="21" l="1"/>
  <c r="L27" i="57"/>
  <c r="K27" i="57"/>
  <c r="I10" i="34"/>
  <c r="I24" i="21"/>
  <c r="I15" i="21"/>
  <c r="I19" i="34"/>
  <c r="I14" i="31"/>
  <c r="I15" i="34"/>
  <c r="I16" i="34"/>
  <c r="H21" i="34"/>
  <c r="G18" i="31"/>
  <c r="F13" i="28"/>
  <c r="H39" i="18"/>
  <c r="I9" i="37" l="1"/>
  <c r="G21" i="34"/>
  <c r="H34" i="18"/>
  <c r="H17" i="12"/>
  <c r="K15" i="39"/>
  <c r="J16" i="11"/>
  <c r="I10" i="10"/>
  <c r="H18" i="9"/>
  <c r="H17" i="9"/>
  <c r="K18" i="57" l="1"/>
  <c r="L18" i="57"/>
  <c r="L40" i="57"/>
  <c r="K40" i="57"/>
  <c r="I15" i="15"/>
  <c r="K18" i="39"/>
  <c r="I14" i="16"/>
  <c r="K19" i="39"/>
  <c r="H13" i="45"/>
  <c r="L51" i="57" l="1"/>
  <c r="K51" i="57"/>
  <c r="L26" i="57"/>
  <c r="K26" i="57"/>
  <c r="H9" i="45"/>
  <c r="H8" i="45"/>
  <c r="G16" i="9"/>
  <c r="H15" i="45"/>
  <c r="H44" i="45"/>
  <c r="I20" i="20"/>
  <c r="I19" i="20"/>
  <c r="H39" i="45"/>
  <c r="L48" i="57" l="1"/>
  <c r="K48" i="57"/>
  <c r="F51" i="45"/>
  <c r="H48" i="45"/>
  <c r="H10" i="45"/>
  <c r="G51" i="45"/>
  <c r="G21" i="45"/>
  <c r="G31" i="45" s="1"/>
  <c r="G33" i="45" s="1"/>
  <c r="F16" i="9"/>
  <c r="L15" i="57" l="1"/>
  <c r="K15" i="57"/>
  <c r="H43" i="45"/>
  <c r="H60" i="45"/>
  <c r="H51" i="45"/>
  <c r="H11" i="45"/>
  <c r="H31" i="45"/>
  <c r="G36" i="45"/>
  <c r="H33" i="45"/>
  <c r="F36" i="45"/>
  <c r="H49" i="45" l="1"/>
  <c r="H61" i="45"/>
  <c r="H12" i="45"/>
  <c r="H41" i="45"/>
  <c r="G56" i="45"/>
  <c r="F43" i="52"/>
  <c r="H45" i="45" l="1"/>
  <c r="F56" i="45"/>
  <c r="H56" i="45" s="1"/>
  <c r="F42" i="52"/>
  <c r="H14" i="45"/>
  <c r="H16" i="45" l="1"/>
  <c r="J43" i="51" l="1"/>
  <c r="G35" i="45"/>
  <c r="H26" i="40" l="1"/>
  <c r="G26" i="40"/>
  <c r="H17" i="40"/>
  <c r="G17" i="40"/>
  <c r="G13" i="37"/>
  <c r="H13" i="37"/>
  <c r="G16" i="36"/>
  <c r="H16" i="36"/>
  <c r="G12" i="35"/>
  <c r="H12" i="35"/>
  <c r="H12" i="33"/>
  <c r="G12" i="33"/>
  <c r="H36" i="32"/>
  <c r="H37" i="32" s="1"/>
  <c r="H30" i="31"/>
  <c r="H12" i="31"/>
  <c r="I12" i="31" s="1"/>
  <c r="G15" i="30"/>
  <c r="H15" i="30"/>
  <c r="I15" i="30" s="1"/>
  <c r="H9" i="30"/>
  <c r="I9" i="30" s="1"/>
  <c r="E21" i="29"/>
  <c r="J21" i="29"/>
  <c r="I21" i="29"/>
  <c r="H21" i="29"/>
  <c r="F21" i="29"/>
  <c r="J13" i="29"/>
  <c r="I13" i="29"/>
  <c r="I26" i="29" s="1"/>
  <c r="H13" i="29"/>
  <c r="F13" i="29"/>
  <c r="E13" i="29"/>
  <c r="G19" i="28"/>
  <c r="I19" i="28"/>
  <c r="J19" i="28"/>
  <c r="K19" i="28"/>
  <c r="K13" i="28"/>
  <c r="J13" i="28"/>
  <c r="I13" i="28"/>
  <c r="G13" i="28"/>
  <c r="J17" i="27"/>
  <c r="I17" i="27"/>
  <c r="H17" i="27"/>
  <c r="F17" i="27"/>
  <c r="J13" i="27"/>
  <c r="I13" i="27"/>
  <c r="H13" i="27"/>
  <c r="F13" i="27"/>
  <c r="G26" i="25"/>
  <c r="H26" i="25"/>
  <c r="I26" i="25"/>
  <c r="F26" i="25"/>
  <c r="F37" i="23"/>
  <c r="G37" i="23"/>
  <c r="I37" i="23"/>
  <c r="J37" i="23"/>
  <c r="F23" i="23"/>
  <c r="H23" i="23" s="1"/>
  <c r="G23" i="23"/>
  <c r="I23" i="23"/>
  <c r="J23" i="23"/>
  <c r="E23" i="23"/>
  <c r="F17" i="23"/>
  <c r="G17" i="23"/>
  <c r="I17" i="23"/>
  <c r="E17" i="23"/>
  <c r="J20" i="28" l="1"/>
  <c r="H26" i="29"/>
  <c r="H17" i="23"/>
  <c r="E26" i="29"/>
  <c r="L31" i="57"/>
  <c r="K31" i="57"/>
  <c r="L39" i="57"/>
  <c r="K39" i="57"/>
  <c r="L42" i="57"/>
  <c r="K42" i="57"/>
  <c r="L41" i="57"/>
  <c r="K41" i="57"/>
  <c r="L43" i="57"/>
  <c r="K43" i="57"/>
  <c r="L29" i="57"/>
  <c r="K29" i="57"/>
  <c r="L33" i="57"/>
  <c r="K33" i="57"/>
  <c r="I26" i="40"/>
  <c r="I17" i="40"/>
  <c r="K20" i="28"/>
  <c r="J26" i="29"/>
  <c r="I20" i="28"/>
  <c r="G37" i="32"/>
  <c r="H16" i="30"/>
  <c r="I16" i="30" s="1"/>
  <c r="G16" i="30"/>
  <c r="F26" i="29"/>
  <c r="G20" i="28"/>
  <c r="F20" i="28"/>
  <c r="G26" i="31"/>
  <c r="H26" i="31"/>
  <c r="H31" i="31" s="1"/>
  <c r="G12" i="22"/>
  <c r="I12" i="22"/>
  <c r="H12" i="22"/>
  <c r="J12" i="22" s="1"/>
  <c r="E23" i="21"/>
  <c r="I18" i="19"/>
  <c r="J18" i="19"/>
  <c r="H20" i="17"/>
  <c r="H22" i="17" s="1"/>
  <c r="G20" i="17"/>
  <c r="H13" i="16"/>
  <c r="G13" i="16"/>
  <c r="H14" i="15"/>
  <c r="G14" i="15"/>
  <c r="G17" i="13"/>
  <c r="G19" i="13" s="1"/>
  <c r="I17" i="13"/>
  <c r="I19" i="13" s="1"/>
  <c r="J17" i="13"/>
  <c r="K17" i="13"/>
  <c r="K19" i="13" s="1"/>
  <c r="F17" i="13"/>
  <c r="J19" i="13"/>
  <c r="I18" i="12"/>
  <c r="J18" i="12"/>
  <c r="K18" i="12"/>
  <c r="K16" i="12"/>
  <c r="J16" i="12"/>
  <c r="H15" i="11"/>
  <c r="G15" i="11"/>
  <c r="H9" i="10"/>
  <c r="H11" i="10" s="1"/>
  <c r="G9" i="10"/>
  <c r="G15" i="16" l="1"/>
  <c r="L22" i="57"/>
  <c r="K22" i="57"/>
  <c r="L28" i="57"/>
  <c r="K28" i="57"/>
  <c r="L21" i="57"/>
  <c r="K21" i="57"/>
  <c r="L25" i="57"/>
  <c r="K25" i="57"/>
  <c r="L38" i="57"/>
  <c r="K38" i="57"/>
  <c r="L16" i="57"/>
  <c r="K16" i="57"/>
  <c r="L36" i="57"/>
  <c r="K36" i="57"/>
  <c r="L35" i="57"/>
  <c r="K35" i="57"/>
  <c r="L23" i="57"/>
  <c r="K23" i="57"/>
  <c r="L19" i="57"/>
  <c r="K19" i="57"/>
  <c r="H17" i="13"/>
  <c r="H15" i="16"/>
  <c r="I15" i="16" s="1"/>
  <c r="I13" i="16"/>
  <c r="H16" i="15"/>
  <c r="I16" i="15" s="1"/>
  <c r="I14" i="15"/>
  <c r="G22" i="17"/>
  <c r="G11" i="10"/>
  <c r="I11" i="10" s="1"/>
  <c r="I9" i="10"/>
  <c r="K24" i="39"/>
  <c r="F19" i="13"/>
  <c r="H19" i="13" s="1"/>
  <c r="G16" i="15"/>
  <c r="G31" i="31"/>
  <c r="K19" i="9"/>
  <c r="K20" i="9" s="1"/>
  <c r="I19" i="9"/>
  <c r="I20" i="9" s="1"/>
  <c r="J19" i="9"/>
  <c r="J20" i="9" s="1"/>
  <c r="F20" i="9"/>
  <c r="G17" i="7"/>
  <c r="I17" i="7"/>
  <c r="F17" i="7"/>
  <c r="F21" i="7" s="1"/>
  <c r="G11" i="7"/>
  <c r="H11" i="7"/>
  <c r="I11" i="7"/>
  <c r="G21" i="7" l="1"/>
  <c r="L45" i="57"/>
  <c r="K45" i="57"/>
  <c r="L17" i="57"/>
  <c r="K17" i="57"/>
  <c r="L37" i="57"/>
  <c r="K37" i="57"/>
  <c r="I21" i="7"/>
  <c r="H21" i="7"/>
  <c r="J21" i="7"/>
  <c r="G20" i="9"/>
  <c r="H19" i="9"/>
  <c r="G19" i="6"/>
  <c r="H19" i="6"/>
  <c r="I19" i="6"/>
  <c r="F19" i="6"/>
  <c r="G13" i="6"/>
  <c r="H13" i="6"/>
  <c r="E11" i="5"/>
  <c r="E18" i="5" s="1"/>
  <c r="G11" i="5"/>
  <c r="G18" i="5" s="1"/>
  <c r="H11" i="5"/>
  <c r="H18" i="5" s="1"/>
  <c r="J11" i="5"/>
  <c r="J18" i="5" s="1"/>
  <c r="F24" i="4"/>
  <c r="G24" i="4"/>
  <c r="H24" i="4"/>
  <c r="J24" i="4"/>
  <c r="E24" i="4"/>
  <c r="F21" i="4"/>
  <c r="H21" i="4"/>
  <c r="J21" i="4"/>
  <c r="F13" i="4"/>
  <c r="H13" i="4"/>
  <c r="J13" i="4"/>
  <c r="G8" i="4"/>
  <c r="K9" i="57"/>
  <c r="L13" i="57" l="1"/>
  <c r="K13" i="57"/>
  <c r="J27" i="4"/>
  <c r="G27" i="4"/>
  <c r="H20" i="6"/>
  <c r="G20" i="6"/>
  <c r="I20" i="6"/>
  <c r="F20" i="6"/>
  <c r="H27" i="4"/>
  <c r="E27" i="4"/>
  <c r="L12" i="57" l="1"/>
  <c r="K12" i="57"/>
  <c r="J42" i="51"/>
  <c r="H38" i="45"/>
  <c r="H36" i="45"/>
  <c r="F35" i="45" l="1"/>
  <c r="H40" i="45" l="1"/>
  <c r="H35" i="45"/>
  <c r="H42" i="45"/>
  <c r="H50" i="45" l="1"/>
  <c r="F8" i="4" l="1"/>
  <c r="F27" i="4" s="1"/>
  <c r="K11" i="4" l="1"/>
  <c r="I8" i="4"/>
  <c r="K12" i="4"/>
  <c r="K16" i="4"/>
  <c r="K18" i="4"/>
  <c r="K19" i="4"/>
  <c r="K20" i="4"/>
  <c r="K22" i="4"/>
  <c r="I21" i="4"/>
  <c r="K23" i="4"/>
  <c r="K25" i="4"/>
  <c r="I24" i="4"/>
  <c r="K26" i="4"/>
  <c r="K8" i="4" l="1"/>
  <c r="K24" i="4"/>
  <c r="K21" i="4"/>
  <c r="K17" i="5" l="1"/>
  <c r="K18" i="5" s="1"/>
  <c r="L11" i="57" l="1"/>
  <c r="K11" i="57"/>
  <c r="K17" i="4" l="1"/>
  <c r="I13" i="4"/>
  <c r="I27" i="4" s="1"/>
  <c r="K15" i="4"/>
  <c r="K13" i="4" l="1"/>
  <c r="K27" i="4" s="1"/>
  <c r="L10" i="57" s="1"/>
  <c r="K10" i="57" l="1"/>
</calcChain>
</file>

<file path=xl/comments1.xml><?xml version="1.0" encoding="utf-8"?>
<comments xmlns="http://schemas.openxmlformats.org/spreadsheetml/2006/main">
  <authors>
    <author>PHILIPPE</author>
  </authors>
  <commentList>
    <comment ref="H65" authorId="0" shapeId="0">
      <text>
        <r>
          <rPr>
            <b/>
            <sz val="8"/>
            <color indexed="81"/>
            <rFont val="Tahoma"/>
            <family val="2"/>
          </rPr>
          <t>PHILIPPE:</t>
        </r>
        <r>
          <rPr>
            <sz val="8"/>
            <color indexed="81"/>
            <rFont val="Tahoma"/>
            <family val="2"/>
          </rPr>
          <t xml:space="preserve">
</t>
        </r>
      </text>
    </comment>
  </commentList>
</comments>
</file>

<file path=xl/sharedStrings.xml><?xml version="1.0" encoding="utf-8"?>
<sst xmlns="http://schemas.openxmlformats.org/spreadsheetml/2006/main" count="7108" uniqueCount="4635">
  <si>
    <t>NOTE 1 : DETTES GARANTIES PAR DES SURETES REELLES</t>
  </si>
  <si>
    <t>LIBELLES</t>
  </si>
  <si>
    <t>Note</t>
  </si>
  <si>
    <t>Montant brut</t>
  </si>
  <si>
    <t>SURETES REELES</t>
  </si>
  <si>
    <t>Hypothèques</t>
  </si>
  <si>
    <t>Nantissements</t>
  </si>
  <si>
    <t>Gages/Autres</t>
  </si>
  <si>
    <t>Dettes financières et ressources assimilées</t>
  </si>
  <si>
    <t>Emprunts obligataires convertibles</t>
  </si>
  <si>
    <t>Autres emprunts obligataires</t>
  </si>
  <si>
    <t>Emprunts et dettes des établissements de crédit</t>
  </si>
  <si>
    <t>Autres dettes financières</t>
  </si>
  <si>
    <t>Dettes de location-acquisition</t>
  </si>
  <si>
    <t>Dettes de crédit-bail immobilier</t>
  </si>
  <si>
    <t>Dettes de crédit-bail mobilier</t>
  </si>
  <si>
    <t>Dettes sur contrats de location-vente</t>
  </si>
  <si>
    <t>Dettes sur contrats de location-acquisition</t>
  </si>
  <si>
    <t>SOUS TOTAL (2)</t>
  </si>
  <si>
    <t>SOUS TOTAL (1)</t>
  </si>
  <si>
    <t>Dettes du Passif circulant</t>
  </si>
  <si>
    <t>Fournisseurs et comptes rattachés</t>
  </si>
  <si>
    <t>Clients</t>
  </si>
  <si>
    <t>Personnel</t>
  </si>
  <si>
    <t>Sécurité sociale et organismes sociaux</t>
  </si>
  <si>
    <t>Etat</t>
  </si>
  <si>
    <t>Organismes internationaux</t>
  </si>
  <si>
    <t>Associés et groupe</t>
  </si>
  <si>
    <t>Créditeurs divers</t>
  </si>
  <si>
    <t>SOUS TOTAL (3)</t>
  </si>
  <si>
    <t>TOTAL (1) + (2) + (3)</t>
  </si>
  <si>
    <t>ENGAGEMENTS FINANCIERS</t>
  </si>
  <si>
    <t>Engagements donnés</t>
  </si>
  <si>
    <t>Engagements reçus</t>
  </si>
  <si>
    <t>Engagements consentis à des entités liées</t>
  </si>
  <si>
    <t>Primes de remboursement non échues</t>
  </si>
  <si>
    <t>Avals, cautions, garanties</t>
  </si>
  <si>
    <t>Hypothèses, nantissements, gages, autres</t>
  </si>
  <si>
    <t>Effets escomptés non échus</t>
  </si>
  <si>
    <t>Créances commerciales et professionnelles cédées</t>
  </si>
  <si>
    <t>Abandonds de créances conditionnelles</t>
  </si>
  <si>
    <t xml:space="preserve">TOTAL  </t>
  </si>
  <si>
    <t>Désignation entité:…………………………………….</t>
  </si>
  <si>
    <t>Numéro d'identification:………………………………..</t>
  </si>
  <si>
    <t>Durée (en mois):</t>
  </si>
  <si>
    <t>Désignation de l'entreprise :</t>
  </si>
  <si>
    <t>Sigle :</t>
  </si>
  <si>
    <t>02</t>
  </si>
  <si>
    <t>BP</t>
  </si>
  <si>
    <t>1er code</t>
  </si>
  <si>
    <t>Ville</t>
  </si>
  <si>
    <t>au</t>
  </si>
  <si>
    <t>Exercice clos au:</t>
  </si>
  <si>
    <t>NOTE 2 : INFORMATIONS OBLIGATOIRES</t>
  </si>
  <si>
    <t>A- DECLARATION DE CONFORMITE AU SYSCOA</t>
  </si>
  <si>
    <t>B- REGLES ET METHODES COMPTABLES</t>
  </si>
  <si>
    <t>C- DEROGATION AUX POSTULATS ET CONVENTIONS COMPTABLES</t>
  </si>
  <si>
    <t>D- INFORMATIONS COMPLEMENTAIRES RELATIVES AU BILAN, AU COMPTE DE RESULTAT ET AU TABLEAU DES FLUX DE TRESORERIE</t>
  </si>
  <si>
    <t>SITUATIONS ET MOUVEMENTS</t>
  </si>
  <si>
    <t>Montant brut à l'ouverture de l'exercice</t>
  </si>
  <si>
    <t>Acquisition Apports créations</t>
  </si>
  <si>
    <t>Virements de postes à postes</t>
  </si>
  <si>
    <t>Suite à une réévaluation pratiquée au cours de l'exercice</t>
  </si>
  <si>
    <t>Cession Scission Hors services</t>
  </si>
  <si>
    <t>Virements de poste à poste</t>
  </si>
  <si>
    <t>Montant brut à la clôture de l'exercice</t>
  </si>
  <si>
    <t>IMMOBILISATIONS INCORPORELLES</t>
  </si>
  <si>
    <t>Frais de développement et de prospection</t>
  </si>
  <si>
    <t>Licences, logiciels et droit au bail</t>
  </si>
  <si>
    <t>Autres immobilisations incorporelles</t>
  </si>
  <si>
    <t>IMMOBILISATIONS CORPORELLES</t>
  </si>
  <si>
    <t>Terrains hors immeuble de placement</t>
  </si>
  <si>
    <t>Terrains - immeuble de placement</t>
  </si>
  <si>
    <t>Bâtiments hors immeuble de placement Bâtiments</t>
  </si>
  <si>
    <t>Bâtiments - immeuble de placement</t>
  </si>
  <si>
    <t>Aménagements, agencements et installations</t>
  </si>
  <si>
    <t>Matériel, mobilier et actifs biologiques</t>
  </si>
  <si>
    <t>Matériel de transport</t>
  </si>
  <si>
    <t>AVANCES ET ACOMPTES VERSES SUR IMMOBILISATIONS</t>
  </si>
  <si>
    <t>Immobilisations incorporelles</t>
  </si>
  <si>
    <t>Immobilisations corporelles</t>
  </si>
  <si>
    <t>IMMOBILISATIONS FINANCIERES</t>
  </si>
  <si>
    <t>Titres de participation</t>
  </si>
  <si>
    <t>Autres immobilisations financières</t>
  </si>
  <si>
    <t>TOTAL GENERAL</t>
  </si>
  <si>
    <t>NOTE 3 A : IMMOBILISATIONS BRUTES</t>
  </si>
  <si>
    <t>NOTE 3 A :BIENS PRIS EN LOCATION ACQUISITION</t>
  </si>
  <si>
    <t>Nature du Contrat (I;M;A) (1)</t>
  </si>
  <si>
    <t>A</t>
  </si>
  <si>
    <t>Acquisition Apports Créations</t>
  </si>
  <si>
    <t>Suite à une réévaluation pratiquée au cours de l'exercie</t>
  </si>
  <si>
    <t>Cession Scission Hors service</t>
  </si>
  <si>
    <t>Montant brut à la clôture de l'exercie</t>
  </si>
  <si>
    <t>DIMINUTION (C )</t>
  </si>
  <si>
    <t>AUGMENTATIONS (B)</t>
  </si>
  <si>
    <t>D = A + B - C</t>
  </si>
  <si>
    <t>RUBRIQUES</t>
  </si>
  <si>
    <t xml:space="preserve">                                         SITUATIONS ET MOUVEMENTS         </t>
  </si>
  <si>
    <t>Brevets, licences, logiciels et droits similaires</t>
  </si>
  <si>
    <t>Fonds commercial et droit au bail</t>
  </si>
  <si>
    <t>SOUS TOTAL : IMMOBILISATIONS INCORPORELLES</t>
  </si>
  <si>
    <t>Terrains</t>
  </si>
  <si>
    <t xml:space="preserve">Bâtiments </t>
  </si>
  <si>
    <t>SOUS TOTAL IMMOBILISATIONS CORPORELLES</t>
  </si>
  <si>
    <t>NOTE 3 C : IMMOBILISATIONS : AMORTISSEMENTS</t>
  </si>
  <si>
    <t>Sous total: Immobilisations incorporelles</t>
  </si>
  <si>
    <t>Sous total: Immobilisations corporelles</t>
  </si>
  <si>
    <t>Amortissements cumulés à l'ouverture de l'exercice</t>
  </si>
  <si>
    <t xml:space="preserve">A </t>
  </si>
  <si>
    <t>B</t>
  </si>
  <si>
    <t>Augmentation: Dotation de l'exercice</t>
  </si>
  <si>
    <t>C</t>
  </si>
  <si>
    <t>Diminution: Amortissements relatifs aux éléments sortis de l'actif</t>
  </si>
  <si>
    <t>Cumul des amortissements à la clôture de l'exercice</t>
  </si>
  <si>
    <t>NOTE 3 D : IMMOBILISATIONS: PLUS-VALUES ET MOINS-VALUES DE CESSION</t>
  </si>
  <si>
    <t>SOUS TOTAL IMMOBILISATIONS INCORPORELLES</t>
  </si>
  <si>
    <t xml:space="preserve">Terrains </t>
  </si>
  <si>
    <t>SOUS TOTAL IMMOBILISATIONS FINANCIERES</t>
  </si>
  <si>
    <t>Montant Brut</t>
  </si>
  <si>
    <t>Amortissements pratiqués</t>
  </si>
  <si>
    <t>Valeur comptable nette</t>
  </si>
  <si>
    <t>C = A - B</t>
  </si>
  <si>
    <t>Prix de cession</t>
  </si>
  <si>
    <t>D</t>
  </si>
  <si>
    <t>Plus value ou moins value</t>
  </si>
  <si>
    <t>E = D - C</t>
  </si>
  <si>
    <t>NOTE 3 E : INFORMATIONS SUR LES REEVALUATIONS EFFECTUEES PAR L'ENTITE</t>
  </si>
  <si>
    <t>Nature des réévaluations</t>
  </si>
  <si>
    <t>Date des réévaluations</t>
  </si>
  <si>
    <t>Eléments réévalués par poste du bilan</t>
  </si>
  <si>
    <t>Montants coûts historiques</t>
  </si>
  <si>
    <t>Méthode de réévaluation utilisée:</t>
  </si>
  <si>
    <t>Traitement fiscal de l'écart de réévaluation et des amortisssements supplémentaires:</t>
  </si>
  <si>
    <t>Montant de l'écart incorporé au capital</t>
  </si>
  <si>
    <t>Ecarts et provisions spéciales de réévaluation</t>
  </si>
  <si>
    <t>Total écarts de réévaluation</t>
  </si>
  <si>
    <t>Total provisions spéciales de réévaluations</t>
  </si>
  <si>
    <t>NOTE 4 : IMMOBILISATIONS FINANCIERES</t>
  </si>
  <si>
    <t>Libellés</t>
  </si>
  <si>
    <t>Année N</t>
  </si>
  <si>
    <t>Année N-1</t>
  </si>
  <si>
    <t>Variation en %</t>
  </si>
  <si>
    <t>Créances à un an au plus</t>
  </si>
  <si>
    <t>Créances à plus d'un an et à deux ans au plus</t>
  </si>
  <si>
    <t>Créances à plus de deux ans</t>
  </si>
  <si>
    <t>Prêts et créances</t>
  </si>
  <si>
    <t>Prêt au personnel</t>
  </si>
  <si>
    <t>Créances sur l'Etat</t>
  </si>
  <si>
    <t>Titres immobilisés</t>
  </si>
  <si>
    <t>Dépôts et cautionnements</t>
  </si>
  <si>
    <t>Intérêts courus</t>
  </si>
  <si>
    <t>TOTAL BRUT</t>
  </si>
  <si>
    <t>Dépréciations des titres de participation</t>
  </si>
  <si>
    <t>Dépréciations des autres immobilisations</t>
  </si>
  <si>
    <t>TOTAL NET DE DEPRECIATION</t>
  </si>
  <si>
    <t>TOTAL DES DEPRECIATIONS</t>
  </si>
  <si>
    <t>Liste des filiales et participations</t>
  </si>
  <si>
    <t>Dénomination sociales</t>
  </si>
  <si>
    <t>Localisation (Ville/pays)</t>
  </si>
  <si>
    <t>Valeur d'acquisition</t>
  </si>
  <si>
    <t>% Détenu</t>
  </si>
  <si>
    <t>Montant des capitaux propres filiale</t>
  </si>
  <si>
    <t>Résultat dernier exercice filiale</t>
  </si>
  <si>
    <t>NOTE 5 : ACTIF CIRCULANT HAO</t>
  </si>
  <si>
    <t>Créances sur cessions d'immobilisation</t>
  </si>
  <si>
    <t>Autres créances hors activités ordinaires</t>
  </si>
  <si>
    <t>Dépréciations des créances HAO</t>
  </si>
  <si>
    <t>DETTES CIRCULANTES HAO</t>
  </si>
  <si>
    <t>Fournisseurs d'investissements</t>
  </si>
  <si>
    <t>Fournisseurs d'investissements effets à payer</t>
  </si>
  <si>
    <t>Versements restant à effectuer sur titres de participation et titres immobilisés non libérés</t>
  </si>
  <si>
    <t>Autres dettes hors activités ordinaires</t>
  </si>
  <si>
    <t xml:space="preserve">TOTAL </t>
  </si>
  <si>
    <t>NOTE 6 : STOCKS ET ENCOURS</t>
  </si>
  <si>
    <t>Marchandises</t>
  </si>
  <si>
    <t>Matières premières et fournitures liées</t>
  </si>
  <si>
    <t>Autres approvisionnements</t>
  </si>
  <si>
    <t>Produits en cours</t>
  </si>
  <si>
    <t>Services en cours</t>
  </si>
  <si>
    <t>Produits finis</t>
  </si>
  <si>
    <t>Produits intermédiaires</t>
  </si>
  <si>
    <t>Stocks en cours de route, en consignation ou en dépôt</t>
  </si>
  <si>
    <t>TOTAL BRUT STOCKS ET ENCOURS</t>
  </si>
  <si>
    <t>Dépréciations des stocks</t>
  </si>
  <si>
    <t>Clients (hors réserves de propriété Groupe)</t>
  </si>
  <si>
    <t>Clients et effets à recevoir Groupe</t>
  </si>
  <si>
    <t>Créances sur cession d'immobilisations</t>
  </si>
  <si>
    <t>Clients effets escomptés et non échus</t>
  </si>
  <si>
    <t>Créances litigieuses ou douteuses</t>
  </si>
  <si>
    <t>Clients produits à recevoir</t>
  </si>
  <si>
    <t>TOTAL BRUT CLIENTS</t>
  </si>
  <si>
    <t>Dépréciations des comptes clients</t>
  </si>
  <si>
    <t>Clients, avances reçues hors groupe</t>
  </si>
  <si>
    <t>Clients, avances reçues groupe</t>
  </si>
  <si>
    <t>Autres clients créditeurs</t>
  </si>
  <si>
    <t>TOTAL CLIENTS CREDITEURS</t>
  </si>
  <si>
    <t>NOTE 7 : CLIENTS PRODUITS A RECEVOIR</t>
  </si>
  <si>
    <t>Clients effets à recevoir (hors réserves de propriété Groupe)</t>
  </si>
  <si>
    <t>NOTE 8 : AUTRES CREANCES</t>
  </si>
  <si>
    <t xml:space="preserve">Etat et collectivités publiques </t>
  </si>
  <si>
    <t>Organisme internationaux</t>
  </si>
  <si>
    <t>Apporteurs, associés et groupe</t>
  </si>
  <si>
    <t>Compte transitoire ajustement spécial lié à la révision du SYSCOHADA</t>
  </si>
  <si>
    <t>Autres débiteurs divers</t>
  </si>
  <si>
    <t>Comptes permanents non bloqués des établissements et des succursales</t>
  </si>
  <si>
    <t>Comptes de liaison charges et produits</t>
  </si>
  <si>
    <t>Comptes de liaison des sociétés en participation</t>
  </si>
  <si>
    <t>TOTAL BRUT DES AUTRES CREANCES</t>
  </si>
  <si>
    <t>Dépréciations des autres créances</t>
  </si>
  <si>
    <t>Organismes sociaux</t>
  </si>
  <si>
    <t>NOTE 8A : TABLEAU D'ETALEMENT DES CHARGES IMMOBILISEES</t>
  </si>
  <si>
    <t>Frais d'établissement</t>
  </si>
  <si>
    <t>Charges à repartir sur plusieurs exercices</t>
  </si>
  <si>
    <t>Primes de remboursement des obligations</t>
  </si>
  <si>
    <t>Durée d'établissement retenue</t>
  </si>
  <si>
    <t>Comptes</t>
  </si>
  <si>
    <t>Montants</t>
  </si>
  <si>
    <t>Titres de trésor et bons de caisse à court terme</t>
  </si>
  <si>
    <t>Actions</t>
  </si>
  <si>
    <t>Obligations</t>
  </si>
  <si>
    <t>Bons de souscription</t>
  </si>
  <si>
    <t>Titres négociables hors régions</t>
  </si>
  <si>
    <t>Autres valeurs assimilés</t>
  </si>
  <si>
    <t>TOTAL BRUT DES TITRES</t>
  </si>
  <si>
    <t>Dépréciations des titres</t>
  </si>
  <si>
    <t>NOTE 9 : TITRES DE PLACEMENT</t>
  </si>
  <si>
    <t>NOTE 10 : VALEURS A ENCAISSER</t>
  </si>
  <si>
    <t>Effets à encaisser</t>
  </si>
  <si>
    <t>Effets à l'encaissement</t>
  </si>
  <si>
    <t>Chèques à encaisser</t>
  </si>
  <si>
    <t>Chèques à l'encaissement</t>
  </si>
  <si>
    <t>Cartes de crédit à encaisser</t>
  </si>
  <si>
    <t>Autres valeurs à encaisser</t>
  </si>
  <si>
    <t>TOTAL BRUT DES VALEURS A ENCAISSER</t>
  </si>
  <si>
    <t>Dépréciations des valeurs à encaisser</t>
  </si>
  <si>
    <t>NOTE 11 :DISPONIBILITES</t>
  </si>
  <si>
    <t>Banques locales</t>
  </si>
  <si>
    <t>Banques autres états région</t>
  </si>
  <si>
    <t>Banques, dépôt à terme</t>
  </si>
  <si>
    <t>Autres banques</t>
  </si>
  <si>
    <t>Banques intérêts courus</t>
  </si>
  <si>
    <t>Chèques postaux</t>
  </si>
  <si>
    <t>Autres établissement financiers</t>
  </si>
  <si>
    <t>Etablissement financiers intérêts courus</t>
  </si>
  <si>
    <t>Instruments de trésorerie</t>
  </si>
  <si>
    <t>Caisse</t>
  </si>
  <si>
    <t>Caisse électronique mobile</t>
  </si>
  <si>
    <t>Régies d'avances et virements accréditifs</t>
  </si>
  <si>
    <t>TOTAL BRUT DES DISPONIBILITES</t>
  </si>
  <si>
    <t>Dépréciations des disponibilités</t>
  </si>
  <si>
    <t>NOTE 12 : ECARTS DE CONVERSION</t>
  </si>
  <si>
    <t>Devises</t>
  </si>
  <si>
    <t>Montant en devises</t>
  </si>
  <si>
    <t>Cours UML Année d'acquisition</t>
  </si>
  <si>
    <t>Variation en valeur absolue</t>
  </si>
  <si>
    <t xml:space="preserve">Ecarts de conversion Actif: </t>
  </si>
  <si>
    <t>Ecarts de conversion Passif:</t>
  </si>
  <si>
    <t>Transfert de charges d'exploitation:</t>
  </si>
  <si>
    <t>Transfert des charges financières:</t>
  </si>
  <si>
    <t>TRANSFERTS DE CHARGES</t>
  </si>
  <si>
    <t>NOTE 13 : CAPITAL: VALEUR NOMINALE DES ACTIONS OU PARTS</t>
  </si>
  <si>
    <t>Apporteurs, capital non appelé</t>
  </si>
  <si>
    <t>TOTAL</t>
  </si>
  <si>
    <t>Nom et prénoms</t>
  </si>
  <si>
    <t>Nationalité</t>
  </si>
  <si>
    <t>Natures des actions ou parts (ordinaires ou préférences)</t>
  </si>
  <si>
    <t>Nombre</t>
  </si>
  <si>
    <t>Montant total</t>
  </si>
  <si>
    <t>Cessions ou remboursements en cours d'exercice</t>
  </si>
  <si>
    <t>Prime d'apport</t>
  </si>
  <si>
    <t>Primes d'émission</t>
  </si>
  <si>
    <t>Prime de fusion</t>
  </si>
  <si>
    <t>Prime de conversion</t>
  </si>
  <si>
    <t>Autres primes</t>
  </si>
  <si>
    <t>TOTAL PRIMES</t>
  </si>
  <si>
    <t>NOTE 14 : PRIMES ET RESERVES</t>
  </si>
  <si>
    <t>Réserves légales</t>
  </si>
  <si>
    <t>Réserves statutaires</t>
  </si>
  <si>
    <t>Réserves de plus-values nettes à long terme</t>
  </si>
  <si>
    <t>Réserves d'attribution gratuite d'actions au personnel salarié et aux dirigeants</t>
  </si>
  <si>
    <t>Autres réserves règlementées</t>
  </si>
  <si>
    <t>TOTAL RESERVES INDISPONIBLES</t>
  </si>
  <si>
    <t>Réserves libres</t>
  </si>
  <si>
    <t>Report à nouveau</t>
  </si>
  <si>
    <t>Régime fiscal</t>
  </si>
  <si>
    <t>Échéances</t>
  </si>
  <si>
    <t>Régions</t>
  </si>
  <si>
    <t>Département</t>
  </si>
  <si>
    <t>Communes et collectivités publiques décentralisées</t>
  </si>
  <si>
    <t>Entités publiques ou mixtes</t>
  </si>
  <si>
    <t>Entités et organismes privés</t>
  </si>
  <si>
    <t>Total subventions</t>
  </si>
  <si>
    <t>Amortissements dérogatoires</t>
  </si>
  <si>
    <t>Plus-value de cession à réinvestir</t>
  </si>
  <si>
    <t>Provision spéciale de réévaluation</t>
  </si>
  <si>
    <t>Provision réglementés relatives aux immobilisations</t>
  </si>
  <si>
    <t>Provisions réglementées relatives aux stocks</t>
  </si>
  <si>
    <t>Provisions pour investissement</t>
  </si>
  <si>
    <t>Autres provisions et fonds réglementées</t>
  </si>
  <si>
    <t>Total Provisions règlementées</t>
  </si>
  <si>
    <t>Total Subventions et provisions règlementées</t>
  </si>
  <si>
    <t>3E</t>
  </si>
  <si>
    <t>NOTE 15A : SUBVENTIONS ET PROVISIONS REGLEMENTEES</t>
  </si>
  <si>
    <t>NOTE 15B : AUTRES FONDS PROPRES (1)</t>
  </si>
  <si>
    <t>Titres participatifs</t>
  </si>
  <si>
    <t>Avances conditionnées</t>
  </si>
  <si>
    <t>Titres subordonnés à durée indéterminée (T.S.D.I)</t>
  </si>
  <si>
    <t>Obligations remboursables en actions (O.R.A.)</t>
  </si>
  <si>
    <t>Autres</t>
  </si>
  <si>
    <t>Total Autres Fonds Propres</t>
  </si>
  <si>
    <t>NOTE 16 A : DETTES FINANCIERES ET RESSOURCES ASSIMILEES</t>
  </si>
  <si>
    <t>Durée à un an au plus</t>
  </si>
  <si>
    <t>Durée à plus d'un an et à deux an au plus</t>
  </si>
  <si>
    <t>Durée à plus de deux ans</t>
  </si>
  <si>
    <t>Emprunts obligataires</t>
  </si>
  <si>
    <t>Emprunts et dettes auprès des établissements de crédit</t>
  </si>
  <si>
    <t>Avances reçues de l'Etat</t>
  </si>
  <si>
    <t>Avances reçues et comptes courants bloqués</t>
  </si>
  <si>
    <t>Dépôts et cautionnements reçus</t>
  </si>
  <si>
    <t>Avances assorties de conditions particulières</t>
  </si>
  <si>
    <t>Autres emprunts et dettes</t>
  </si>
  <si>
    <t>Dettes liées à des participations</t>
  </si>
  <si>
    <t>Comptes permanents bloqués des établissements et succursales</t>
  </si>
  <si>
    <t>TOTAL EMPRUNTS ET DETTES FINANCIERES</t>
  </si>
  <si>
    <t>Crédit-bail immobilier</t>
  </si>
  <si>
    <t>Crédit-bail mobilier</t>
  </si>
  <si>
    <t>Location-vente</t>
  </si>
  <si>
    <t>Autres dettes de location acquisition</t>
  </si>
  <si>
    <t>TOTAL DETTES DE LOCATION ACQUISITION</t>
  </si>
  <si>
    <t>Provisions pour litiges</t>
  </si>
  <si>
    <t>Provisions pour garantie donnés aux clients</t>
  </si>
  <si>
    <t>Provisions pour pertes sur marchés à achèvement futur</t>
  </si>
  <si>
    <t>Provisions pour pertes de change</t>
  </si>
  <si>
    <t>Provisions pour impôts</t>
  </si>
  <si>
    <t>Provisions pour pensions et obligations assimilées</t>
  </si>
  <si>
    <t>Actif du régime de retraite</t>
  </si>
  <si>
    <t>Provisions restructuration</t>
  </si>
  <si>
    <t>Provisions pour amendes et pénalités</t>
  </si>
  <si>
    <t>Provisions de propre assureur</t>
  </si>
  <si>
    <t>Provisions pour démantèlement et remise en état</t>
  </si>
  <si>
    <t>Autres provisions</t>
  </si>
  <si>
    <t>Total provisions pour risques et charges</t>
  </si>
  <si>
    <t>NOTE 16 B : ENGAGEMENTS DE RETRAITE ET AVANTAGES ASSIMILES (METHODE ACTUARIELLE)</t>
  </si>
  <si>
    <t>Taux d'augmentation des salaires</t>
  </si>
  <si>
    <t>Taux d'actualisation</t>
  </si>
  <si>
    <t>Taux d'inflation</t>
  </si>
  <si>
    <t>Probabilité d'être présent dans l'entité à la date de départ à la retraite (expérience passée)</t>
  </si>
  <si>
    <t>Probabilité d'être en vie à l'age de départ à la retraite (table de mortalité)</t>
  </si>
  <si>
    <t>Taux de rendement effectif des actifs du régime</t>
  </si>
  <si>
    <t>Hypothèses actuarielles</t>
  </si>
  <si>
    <t>Variation de la valeur de l'engagement de retraite au cours de l'exercice</t>
  </si>
  <si>
    <t>Coût des services rendus au cours de l'exercice</t>
  </si>
  <si>
    <t>Coût financier</t>
  </si>
  <si>
    <t>Pertes actuarielles / (gain)</t>
  </si>
  <si>
    <t>Prestations payées au cours de l'exercice</t>
  </si>
  <si>
    <t>Coût des services passés</t>
  </si>
  <si>
    <t>Obligation au tite des engagements de retraite à la clôture</t>
  </si>
  <si>
    <t>Obligation au titre des engagements de retraite à l'ouverture</t>
  </si>
  <si>
    <t>Analyse de sensibilité des hypothèses actuarielles</t>
  </si>
  <si>
    <t>Augmentation</t>
  </si>
  <si>
    <t>Diminution</t>
  </si>
  <si>
    <t>Taux d'actualisation (variation de……%)</t>
  </si>
  <si>
    <t>Taux de progression des salaires (variation de…..%)</t>
  </si>
  <si>
    <t>Taux de départ du personnel (variation de…..%)</t>
  </si>
  <si>
    <t>NOTE 16 B bis : ENGAGEMENTS DE RETRAITE ET AVANTAGES ASSIMILES (METHODE ACTUARIELLE)</t>
  </si>
  <si>
    <t>ACTIF/PASSIF NET COMPTABILISE AU TITRE DES REGIMES FINANCES</t>
  </si>
  <si>
    <t>Valeur actuelle de l'obligation résultant de régimes financés</t>
  </si>
  <si>
    <t>Valeur actuelle des actifs affectés aux plans de retraite</t>
  </si>
  <si>
    <t>Excédent/Déficit de régime</t>
  </si>
  <si>
    <t>VALEUR ACTUELLE DES ACTIFS DU REGIME</t>
  </si>
  <si>
    <t>Rendement attendus</t>
  </si>
  <si>
    <t>Juste valeur des actifs</t>
  </si>
  <si>
    <t xml:space="preserve">Obligations </t>
  </si>
  <si>
    <t>Total</t>
  </si>
  <si>
    <t>NOTE 16 C : ACTIFS ET PASSIFS EVENTUELS</t>
  </si>
  <si>
    <t>Actif éventuel</t>
  </si>
  <si>
    <t>Litiges</t>
  </si>
  <si>
    <t>…………………..</t>
  </si>
  <si>
    <t>Passif éventuel</t>
  </si>
  <si>
    <t>……………………</t>
  </si>
  <si>
    <t>NOTE 17 : FOURNISSEURS D'EXPLOITATION</t>
  </si>
  <si>
    <t>Dettes à un an au plus</t>
  </si>
  <si>
    <t>Dettes à plus d'un an et à deux an au plus</t>
  </si>
  <si>
    <t>Dettes à plus de deux ans</t>
  </si>
  <si>
    <t>Fournisseurs dettes en comptes (Hors groupe)</t>
  </si>
  <si>
    <t>Fournisseurs effets à payer (Hors groupe)</t>
  </si>
  <si>
    <t>Fournisseurs factures non parvenues (hors groupe)</t>
  </si>
  <si>
    <t>Total fournisseurs</t>
  </si>
  <si>
    <t>Fournisseurs, avances et acomptes (hors groupe)</t>
  </si>
  <si>
    <t>Autres fournisseurs débiteurs</t>
  </si>
  <si>
    <t>Total fournisseurs débiteurs</t>
  </si>
  <si>
    <t>NOTE 18 : DETTES FISCALES ET SOCIALES</t>
  </si>
  <si>
    <t>Personnel avances et acomptes</t>
  </si>
  <si>
    <t>Personnel rémunérations dues</t>
  </si>
  <si>
    <t>Caisse de retraite</t>
  </si>
  <si>
    <t>Autres organismes sociaux</t>
  </si>
  <si>
    <t>Total dettes sociales</t>
  </si>
  <si>
    <t>Etat, impôts sur les bénéfices</t>
  </si>
  <si>
    <t>Etat, impôts et taxes</t>
  </si>
  <si>
    <t>Etat, TVA</t>
  </si>
  <si>
    <t>Etat, impôts retenus à la source</t>
  </si>
  <si>
    <t>Autres dettes Etat</t>
  </si>
  <si>
    <t>Total dettes fiscales</t>
  </si>
  <si>
    <t>Total dettes sociales et fiscales</t>
  </si>
  <si>
    <t>NOTE 19 : AUTRES DETTES ET PROVISIONS POUR RISQUES A COURT TERME</t>
  </si>
  <si>
    <t>Apporteurs, opérations sur le capital</t>
  </si>
  <si>
    <t>Associés, compte courant</t>
  </si>
  <si>
    <t>Associés, dividendes à payer</t>
  </si>
  <si>
    <t>Groupe, comptes courants</t>
  </si>
  <si>
    <t>Autres dettes associés</t>
  </si>
  <si>
    <t>Total dettes associés</t>
  </si>
  <si>
    <t>Obligataires</t>
  </si>
  <si>
    <t>Rémunérations d'administrateurs</t>
  </si>
  <si>
    <t>Compte du factor</t>
  </si>
  <si>
    <t>Versements restant à effectuer sur les titres de placement non libérés</t>
  </si>
  <si>
    <t>Autres créditeurs divers</t>
  </si>
  <si>
    <t>Total créditeurs divers</t>
  </si>
  <si>
    <t>Total comptes de liaison</t>
  </si>
  <si>
    <t>Total Autres dettes</t>
  </si>
  <si>
    <t>Escomptes de crédits ordinaires</t>
  </si>
  <si>
    <t>Escomptes de crédits de campagne</t>
  </si>
  <si>
    <t>NOTE 20 : BANQUES, CREDIT D'ESCOMPTE ET DE TRESORERIE</t>
  </si>
  <si>
    <t>Banque intérêts courus</t>
  </si>
  <si>
    <t>Crédit de trésorerie</t>
  </si>
  <si>
    <t>Total: banques, crédits de trésorerie</t>
  </si>
  <si>
    <t xml:space="preserve">Total: banques, crédits d'escompte </t>
  </si>
  <si>
    <t>NOTE 21 : CHIFFRE D'AFFAIRES ET AUTRES PRODUITS</t>
  </si>
  <si>
    <t>Ventes dans la région</t>
  </si>
  <si>
    <t>Ventes hors région</t>
  </si>
  <si>
    <t>Ventes groupe</t>
  </si>
  <si>
    <t>Ventes sur internet</t>
  </si>
  <si>
    <t>Total des ventes de marchandises</t>
  </si>
  <si>
    <t>Total des ventes de produits fabriqués</t>
  </si>
  <si>
    <t>Total des ventes de travaux et services vendus</t>
  </si>
  <si>
    <t>Produits accessoires</t>
  </si>
  <si>
    <t>Total: Chiffre d'affaires</t>
  </si>
  <si>
    <t>Production immobilisée</t>
  </si>
  <si>
    <t>Subventions d'exploitation</t>
  </si>
  <si>
    <t>Autres produits</t>
  </si>
  <si>
    <t>Total: Autres produits</t>
  </si>
  <si>
    <t>NOTE 22 : ACHATS</t>
  </si>
  <si>
    <t>Achats dans la région</t>
  </si>
  <si>
    <t>Achats hors région</t>
  </si>
  <si>
    <t>Achats groupe</t>
  </si>
  <si>
    <t>Total des Achats de marchandises</t>
  </si>
  <si>
    <t>Total des achats de matières premières et fournitures liées</t>
  </si>
  <si>
    <t>Matières consommables</t>
  </si>
  <si>
    <t>Matières combustibles</t>
  </si>
  <si>
    <t>Produits d'entretien</t>
  </si>
  <si>
    <t>Fournitures d'atelier, d'usine et de magasin</t>
  </si>
  <si>
    <t>Eau</t>
  </si>
  <si>
    <t>Electricité</t>
  </si>
  <si>
    <t>Autres énergies</t>
  </si>
  <si>
    <t>Petit matériel et outillages</t>
  </si>
  <si>
    <t>Achats études, prestations de services, de travaux matériels et équipements</t>
  </si>
  <si>
    <t>Achats d'emballages</t>
  </si>
  <si>
    <t>Frais sur achats</t>
  </si>
  <si>
    <t>Remises rabais, remises et ristournes</t>
  </si>
  <si>
    <t>Total des autres achats</t>
  </si>
  <si>
    <t>NOTE 23 : TRANSPORTS</t>
  </si>
  <si>
    <t>Transports sur ventes</t>
  </si>
  <si>
    <t>Transports pour le compte de tiers</t>
  </si>
  <si>
    <t>Transport du personnel</t>
  </si>
  <si>
    <t>Transports de plis</t>
  </si>
  <si>
    <t>Autres transports</t>
  </si>
  <si>
    <t>NOTE 24 : SERVICES EXTERIEURS</t>
  </si>
  <si>
    <t>Sous-traitance générale</t>
  </si>
  <si>
    <t>Locations et charges locatives</t>
  </si>
  <si>
    <t>Redevances de location acquisition</t>
  </si>
  <si>
    <t>Entretien, réparations et maintenance</t>
  </si>
  <si>
    <t>Primes d'assurance</t>
  </si>
  <si>
    <t>Etudes, recherches et documentation</t>
  </si>
  <si>
    <t>Publicité, publications, relations publiques</t>
  </si>
  <si>
    <t>Frais de télécommunications</t>
  </si>
  <si>
    <t>Frais bancaires</t>
  </si>
  <si>
    <t>Rémunérations d'intermédiaires et de conseils</t>
  </si>
  <si>
    <t>Frais de formation du personnel</t>
  </si>
  <si>
    <t>Redevances pour brevets, licences, logiciels, concessions et droits similaires</t>
  </si>
  <si>
    <t>Cotisations</t>
  </si>
  <si>
    <t>Autres charges externes</t>
  </si>
  <si>
    <t>Impôts et taxes directs</t>
  </si>
  <si>
    <t>Impôts et taxes indirects</t>
  </si>
  <si>
    <t>Droits d'enregistrement</t>
  </si>
  <si>
    <t>Pénalités et amendes fiscales</t>
  </si>
  <si>
    <t>Autres impôts et taxes</t>
  </si>
  <si>
    <t>NOTE 25 : IMPOTS ET TAXES</t>
  </si>
  <si>
    <t>NOTE 26 : AUTRES CHARGES</t>
  </si>
  <si>
    <t>Pertes sur créances clients</t>
  </si>
  <si>
    <t>Pertes sur autres débiteurs</t>
  </si>
  <si>
    <t>Quote-part de résultat sur opérations faites en commun</t>
  </si>
  <si>
    <t>Valeur comptable de cessions courantes d'immobilisations</t>
  </si>
  <si>
    <t>Indemnités de foncion et autres rémunérations d'administrateurs</t>
  </si>
  <si>
    <t>Dons et mécénat</t>
  </si>
  <si>
    <t>Autres charges diverses</t>
  </si>
  <si>
    <t>NOTE 27 A : CHARGES DE PERSONNEL</t>
  </si>
  <si>
    <t>Rémunérations directes versées au personnel</t>
  </si>
  <si>
    <t>Indemnités forfaitaires versées au personnel</t>
  </si>
  <si>
    <t>Charges sociales</t>
  </si>
  <si>
    <t>Rémunérations et charges sociales de l'exploitant individuel</t>
  </si>
  <si>
    <t>Rémunération transférée de personnel extérieur</t>
  </si>
  <si>
    <t>Autres charges sociales</t>
  </si>
  <si>
    <t>NOTE 27 B : EFFECTIFS, MASSE SALARIALE ET PERSONNEL EXTERIEUR</t>
  </si>
  <si>
    <t>EFFECTIF ET MASSE SALARIALE</t>
  </si>
  <si>
    <t>EFFECTIFS</t>
  </si>
  <si>
    <t>Nationaux</t>
  </si>
  <si>
    <t>M</t>
  </si>
  <si>
    <t>F</t>
  </si>
  <si>
    <t>Autres Etats de l'OHADA</t>
  </si>
  <si>
    <t>Hors OHADA</t>
  </si>
  <si>
    <t>MASSE SALARIALE</t>
  </si>
  <si>
    <t>QUALIFICATIONS</t>
  </si>
  <si>
    <t>YA</t>
  </si>
  <si>
    <t>YB</t>
  </si>
  <si>
    <t>YC</t>
  </si>
  <si>
    <t>YD</t>
  </si>
  <si>
    <t>YE</t>
  </si>
  <si>
    <t>YF</t>
  </si>
  <si>
    <t>YG</t>
  </si>
  <si>
    <t>Cadres supérieurs</t>
  </si>
  <si>
    <t>Techniciens supérieurs et cadres moyens</t>
  </si>
  <si>
    <t>Techniciens, agents de maîtrise et ouvriers qualifiés</t>
  </si>
  <si>
    <t>Employés, manœuvres, ouvriers et apprentis</t>
  </si>
  <si>
    <t>TOTAL (1)</t>
  </si>
  <si>
    <t>Permanents</t>
  </si>
  <si>
    <t>Saisonniers</t>
  </si>
  <si>
    <t>TOTAL (2)</t>
  </si>
  <si>
    <t>YH</t>
  </si>
  <si>
    <t>YI</t>
  </si>
  <si>
    <t>YJ</t>
  </si>
  <si>
    <t>YK</t>
  </si>
  <si>
    <t>YL</t>
  </si>
  <si>
    <t>YM</t>
  </si>
  <si>
    <t>YN</t>
  </si>
  <si>
    <t>YO</t>
  </si>
  <si>
    <t>TOTAL (1+2)</t>
  </si>
  <si>
    <t>FACTURATION A L'ENTREPRISE</t>
  </si>
  <si>
    <t>NOTE 28 : PROVISIONS ET DEPRECIATIONS INSCRITES AU BILAN</t>
  </si>
  <si>
    <t>NATURE</t>
  </si>
  <si>
    <t>Provisions à l'ouverture de l'exercice</t>
  </si>
  <si>
    <t>Augmentation: Dotations</t>
  </si>
  <si>
    <t>Financières</t>
  </si>
  <si>
    <t>Exploitations</t>
  </si>
  <si>
    <t>HAO</t>
  </si>
  <si>
    <t>Diminution: Reprises</t>
  </si>
  <si>
    <t>Provisions à la clôture de l'exercice</t>
  </si>
  <si>
    <t>1. Provisions règlementées</t>
  </si>
  <si>
    <t>2. Provisions financières pour risques et charges</t>
  </si>
  <si>
    <t>3. Dépréciation des immobilisations</t>
  </si>
  <si>
    <t>TOTAL: DOTATIONS</t>
  </si>
  <si>
    <t>4. Dépréciations des stocks</t>
  </si>
  <si>
    <t>5. Dépréciations actif circulant HAO</t>
  </si>
  <si>
    <t>6. Dépréciations fournisseurs</t>
  </si>
  <si>
    <t>7. Dépréciations clients</t>
  </si>
  <si>
    <t>8. Dépréciations autres créances</t>
  </si>
  <si>
    <t>9. Dépréciations titres de placement</t>
  </si>
  <si>
    <t>10. Dépréciations valeurs à encaisser</t>
  </si>
  <si>
    <t>11. Dépréciations disponibilités</t>
  </si>
  <si>
    <t>13. Dépréciations et provisions pour risques à court termes à caractère financier</t>
  </si>
  <si>
    <t>12. Dépréciations et provisions pour risques à court termes à caractère d'exploitation</t>
  </si>
  <si>
    <t>TOTAL: CHARGES POUR DEPRECIATIONS ET PROVISIONS A COURT TERME</t>
  </si>
  <si>
    <t>TOTAL PROVISIONS ET DEPRECIATIONS</t>
  </si>
  <si>
    <t>NOTE 29 : CHARGES ET REVENUS FINANCIERS</t>
  </si>
  <si>
    <t>Intérêts des emprunts</t>
  </si>
  <si>
    <t>Intérêts dans loyers de locations acquisition</t>
  </si>
  <si>
    <t>Escomptes accordés</t>
  </si>
  <si>
    <t>Autres intérêts</t>
  </si>
  <si>
    <t>Escomptes des effets de commerce</t>
  </si>
  <si>
    <t>Pertes de change</t>
  </si>
  <si>
    <t>Pertes sur cessions de titres de placement</t>
  </si>
  <si>
    <t>Malis provenant d'attribution gratuite d'action au personnel salarié et aux dirigeants</t>
  </si>
  <si>
    <t>Pertes sur risques financiers</t>
  </si>
  <si>
    <t>Charges pour dépréciation et provisions à court terme à caractère financier (voir note 28)</t>
  </si>
  <si>
    <t>SOUS TOTAL: FRAIS FINANCIERS</t>
  </si>
  <si>
    <t>Intérêts de prêts et créances diverses</t>
  </si>
  <si>
    <t>Revenus de participations</t>
  </si>
  <si>
    <t>Escomptes obtenus</t>
  </si>
  <si>
    <t>Revenus de placement</t>
  </si>
  <si>
    <t>Gains de change</t>
  </si>
  <si>
    <t>Gains sur cessions de titres de placement</t>
  </si>
  <si>
    <t>Gains sur risques financiers</t>
  </si>
  <si>
    <t>Reprises de charges pour dépréciation et provisions à court terme à caractère financier (voir note 28)</t>
  </si>
  <si>
    <t>SOUS TOTAL: REVENUS FINANCIERS</t>
  </si>
  <si>
    <t>Pertes sur créances HAO</t>
  </si>
  <si>
    <t>Dons et libéralités accordés</t>
  </si>
  <si>
    <t>Abandons de créances consentis</t>
  </si>
  <si>
    <t>Participation des travailleurs</t>
  </si>
  <si>
    <t>Sous total: Autres charges HAO</t>
  </si>
  <si>
    <t>Produits HAO constatés:</t>
  </si>
  <si>
    <t>Dons et libéralités obtenus</t>
  </si>
  <si>
    <t>Abandons de créances obtenus</t>
  </si>
  <si>
    <t>Transferts de charges HAO</t>
  </si>
  <si>
    <t>Reprises des charges pour dépréciations et provisions à court terme HAO</t>
  </si>
  <si>
    <t>Reprises HAO</t>
  </si>
  <si>
    <t>Sous total: Autres produits HAO</t>
  </si>
  <si>
    <t>EXERCICES CONCERNES</t>
  </si>
  <si>
    <t>NATURE DES INDICATIONS</t>
  </si>
  <si>
    <t>N</t>
  </si>
  <si>
    <t>N-1</t>
  </si>
  <si>
    <t>N-2</t>
  </si>
  <si>
    <t>N-3</t>
  </si>
  <si>
    <t>N-4</t>
  </si>
  <si>
    <t>STRUCTURE DU CAPITAL A LA CLOTURE DE L'EXERICE (2)</t>
  </si>
  <si>
    <t>Capital social</t>
  </si>
  <si>
    <t>Actions ordinaires</t>
  </si>
  <si>
    <t>Actions à dividendes prioritaires (A.D.P) sans droit de vote</t>
  </si>
  <si>
    <t>Actions nouvelles à émettre:</t>
  </si>
  <si>
    <t>*par conversion d'obligations</t>
  </si>
  <si>
    <t xml:space="preserve">                *par exercice de droits de souscription</t>
  </si>
  <si>
    <t>OPERATIONS ET RESULTATS DE L'EXERCICE (3)</t>
  </si>
  <si>
    <t>NOTE 30 : AUTRES CHARGES ET PRODUITS HAO</t>
  </si>
  <si>
    <t>NOTE 31 : REPARTITION DU RESULTAT ET AUTRES ELEMENTS CARACTERISTIQUES DES CINQ DERNIERS EXERCICES</t>
  </si>
  <si>
    <t>Chiffre d'affaires hors taxes</t>
  </si>
  <si>
    <t>Résultat des activités ordinaires (RAO) hors dotations et reprises (exploitations et financière)</t>
  </si>
  <si>
    <t>Participation des travailleurs aux bénéfices</t>
  </si>
  <si>
    <t>Impôts sur le résultat</t>
  </si>
  <si>
    <t>Résultat net (4)</t>
  </si>
  <si>
    <t>RESULTAT ET DIVIDENDE DISTRIBUES</t>
  </si>
  <si>
    <t>Résultat distribué (5)</t>
  </si>
  <si>
    <t>Dividende attribué à chaque action</t>
  </si>
  <si>
    <t>PERSONNEL ET POLITIQUE SALARIALE</t>
  </si>
  <si>
    <t>Effectif moyen des travailleurs au cours de l'exercice (6)</t>
  </si>
  <si>
    <t>Effectif moyen de personnel extérieur</t>
  </si>
  <si>
    <t xml:space="preserve">Masse salariale distribuée au cours de l'exercice (7) </t>
  </si>
  <si>
    <t>Avantages sociaux versés au cours de l'exercice (8) (sécurité sociale, œuvres sociales)</t>
  </si>
  <si>
    <t>Personnel extérieur facturé à l'entité (9)</t>
  </si>
  <si>
    <t>(1) Y compris l'exercice dont les états financiers sont soumis à l'approbation de l'Assemblée</t>
  </si>
  <si>
    <t>(2) Indication, en cas de libération partielle du capital, du montant du capital non appelé</t>
  </si>
  <si>
    <t>(3) Les éléments de cette rubrique sont ceux figurant au compte de résultat</t>
  </si>
  <si>
    <t>(4) Le résultat, lorqu'il est négatif, doit être mis entre parenthèses</t>
  </si>
  <si>
    <t>(5) L'exercie N correspond au dividende proposé du dernier exercice</t>
  </si>
  <si>
    <t>(6) Personnel propre</t>
  </si>
  <si>
    <t>(7) Total des comptes 661, 662, 663</t>
  </si>
  <si>
    <t>(8) Total des comptes 664, 668</t>
  </si>
  <si>
    <t>(9) Compte 667</t>
  </si>
  <si>
    <t>Désignation du Produit</t>
  </si>
  <si>
    <t>Unité de Quantité Choisie</t>
  </si>
  <si>
    <t>Production vendue dans le Pays</t>
  </si>
  <si>
    <t>Quantité</t>
  </si>
  <si>
    <t>Valeur</t>
  </si>
  <si>
    <t>Production vendue dans les autres Pays de l'OHADA</t>
  </si>
  <si>
    <t>Production vendue hors de l'OHADA</t>
  </si>
  <si>
    <t>Stock ouberture de l'exercice</t>
  </si>
  <si>
    <t>Stocks clôture de l'exercice</t>
  </si>
  <si>
    <t>Non ventilés</t>
  </si>
  <si>
    <t>NOTE 32 : PRODUCTION DE L'EXERCICE</t>
  </si>
  <si>
    <t>NOTE 33 : ACHATS DESTINES A LA PRODUCTION</t>
  </si>
  <si>
    <t>Désignation des matières premières et produits</t>
  </si>
  <si>
    <t>Achats effectués au cours de l'exercice</t>
  </si>
  <si>
    <t>Produits de l'Etat</t>
  </si>
  <si>
    <t>Produits importés</t>
  </si>
  <si>
    <t>Acheté dans l'Etat</t>
  </si>
  <si>
    <t>Variation des stocks (en valeur)</t>
  </si>
  <si>
    <t>NOTE 34 : FICHE DE SYNTHESE DES PRINCIPAUX INDICATEURS FINANCIERS</t>
  </si>
  <si>
    <t>(En milliers de francs)</t>
  </si>
  <si>
    <t>SOLDES INTERMEDIAIRES DE GESTION</t>
  </si>
  <si>
    <t>CHIFFRE D'AFFAIRES</t>
  </si>
  <si>
    <t>MARGE COMMERCIALE</t>
  </si>
  <si>
    <t>VALEUR AJOUTEE</t>
  </si>
  <si>
    <t>EXCEDENT BRUT D'EXPLOITATION (EBE)</t>
  </si>
  <si>
    <t>RESULTAT D'EXPLOITATION</t>
  </si>
  <si>
    <t>RESULTAT FINANCIER</t>
  </si>
  <si>
    <t>RESULTAT DES ACTIVITES ORDINAIRES</t>
  </si>
  <si>
    <t>RESULTAT HORS ACTIVITES ORDINAIRES</t>
  </si>
  <si>
    <t>RESULTAT NET</t>
  </si>
  <si>
    <t>DETERMINATION DE LA CAPACITE D'AUTOFINANCEMENT</t>
  </si>
  <si>
    <t>EBE</t>
  </si>
  <si>
    <t>(+) Valeurs comptables des cessions courantes d'immobilisation (compte 654)</t>
  </si>
  <si>
    <t>(-) Produits des cessions courantes d'immobilisation (compte 754)</t>
  </si>
  <si>
    <t xml:space="preserve"> = CAPACITE D'AUTOFINANCEMENT D'EXPLOITATION</t>
  </si>
  <si>
    <t xml:space="preserve"> + Revenus financiers</t>
  </si>
  <si>
    <t xml:space="preserve"> + Gains de change</t>
  </si>
  <si>
    <t xml:space="preserve"> + Transferts de charges financières</t>
  </si>
  <si>
    <t xml:space="preserve"> + Produits HAO</t>
  </si>
  <si>
    <t xml:space="preserve"> + Transferts de charges HAO</t>
  </si>
  <si>
    <t xml:space="preserve"> - Frais financiers</t>
  </si>
  <si>
    <t xml:space="preserve"> - Pertes de change</t>
  </si>
  <si>
    <t xml:space="preserve"> - Participation</t>
  </si>
  <si>
    <t xml:space="preserve"> - Impôts sur les résultats</t>
  </si>
  <si>
    <t xml:space="preserve"> = CAPACITE D'AUTOFINANCEMENT GLOBALE (C.A.F.G.)</t>
  </si>
  <si>
    <t xml:space="preserve"> - Distributions de dividendes opérées durant l'exercice</t>
  </si>
  <si>
    <t xml:space="preserve"> = AUTOFINANCEMENT</t>
  </si>
  <si>
    <t>ANALYSE DE LA RENTABILITE</t>
  </si>
  <si>
    <t>Rentabilité économique =  Résultat d'exploitation (a)/Capitaux propres + dettes financières</t>
  </si>
  <si>
    <t>Rentabilité financière = Résultat net/Capitaux propres</t>
  </si>
  <si>
    <t>ANALYSE DE LA STRUCTURE FINANCIERE</t>
  </si>
  <si>
    <t>Capitaux propres et ressources assimilées</t>
  </si>
  <si>
    <t xml:space="preserve"> + Dettes financière et autres ressources assimilées (b)</t>
  </si>
  <si>
    <t xml:space="preserve"> = Ressources stables</t>
  </si>
  <si>
    <t xml:space="preserve"> - Actif immobilisé (b)</t>
  </si>
  <si>
    <t xml:space="preserve"> = FONDS DE ROULEMENT (1)</t>
  </si>
  <si>
    <t xml:space="preserve"> - Passif circulant d'exploitation (b)</t>
  </si>
  <si>
    <t xml:space="preserve"> = BESOIN DE FINANCEMENT D'EXPLOITATION (2)</t>
  </si>
  <si>
    <t xml:space="preserve"> - Passif circulant HAO (b)</t>
  </si>
  <si>
    <t xml:space="preserve"> = BESOIN DE FINANCEMENT HAO (3)</t>
  </si>
  <si>
    <t xml:space="preserve"> Actif circulant HAO (b)</t>
  </si>
  <si>
    <t xml:space="preserve"> Actif circulant d'exploitation (b)</t>
  </si>
  <si>
    <t>BESOIN DE FINANCEMENT GLOBAL (4)  = (2) + (3)</t>
  </si>
  <si>
    <t>TRESORERIE NETE (5) = (1) - (4)</t>
  </si>
  <si>
    <t>CONTRÔLE: TRESORERIE NETTE = (TRESORERIE ACTIF) - (TRESORERIE PASSIF)</t>
  </si>
  <si>
    <t>ANALYSE DE LA VARIATION DE LA TRESORERIE</t>
  </si>
  <si>
    <t>Flux de trésorerie des activités opérationnelles</t>
  </si>
  <si>
    <t xml:space="preserve"> - Flux de trésorerie des activités d'investissement</t>
  </si>
  <si>
    <t xml:space="preserve"> + Flux de trésorerie des activités de financement</t>
  </si>
  <si>
    <t xml:space="preserve"> = VARIATION DE LA TRESORERIE NETTE DE LA PERIODE</t>
  </si>
  <si>
    <t>ANALYSE DE LA VARIATION DE L'ENDETTEMENT FINANCIER NET</t>
  </si>
  <si>
    <t xml:space="preserve"> = ENDETTEMENT FINANCIER NET</t>
  </si>
  <si>
    <t>NOTE 35 : LISTE DES INFORMATIONS SOCIALES, ENVIRONNEMENTALES ET SOCIETALES A FOURNIR</t>
  </si>
  <si>
    <t>INFORMATIONS SOCIALES</t>
  </si>
  <si>
    <t>Emploi:</t>
  </si>
  <si>
    <t>°l'effectif total et la répartition des salariés par sexe, âge et zone géographique</t>
  </si>
  <si>
    <t>°les embauches et les licenciements</t>
  </si>
  <si>
    <t>°les rémunérations et leur évolution</t>
  </si>
  <si>
    <t>Relations sociales</t>
  </si>
  <si>
    <t>°l'organisation du dialogue social</t>
  </si>
  <si>
    <t>°le bilan des accords collectifs</t>
  </si>
  <si>
    <t>Santé et sécurité</t>
  </si>
  <si>
    <t>°les conditions de santé et de sécurité au travail</t>
  </si>
  <si>
    <t>°le bilan des accords signés avec les organisations syndicales ou les représentants du personnel en matière de santé et de sécurité au travail</t>
  </si>
  <si>
    <t>Formation</t>
  </si>
  <si>
    <t>°les politiques mises en œuvre en matière de formation</t>
  </si>
  <si>
    <t>°le nombre total d'heures de formation</t>
  </si>
  <si>
    <t>Egalité de traitement</t>
  </si>
  <si>
    <t>°les mesures prises en faveur de l'emploi et de l'insertion des personnes handicapées</t>
  </si>
  <si>
    <t>°les mesures prises en faveur de l'égalité entre les femmes et les hommes</t>
  </si>
  <si>
    <t>INFORMATIONS ENVIRONNEMENTALES</t>
  </si>
  <si>
    <t>Politique générale en matière environnementale</t>
  </si>
  <si>
    <t>°l'organisation de la société pour prendre en compte les questions environnementales et le cas échéant les démarches d'évaluation ou de certification en matière d'environnement</t>
  </si>
  <si>
    <t>°les actions de formation et d'information des salariés menées en matière de protection de l'environnement</t>
  </si>
  <si>
    <t>°les moyens consacrés à la prévention des risques environnementaux et des pollutions</t>
  </si>
  <si>
    <t>Pollution et gestion des déchets</t>
  </si>
  <si>
    <t>°les mesures de prévention, de réduction ou de réparation de rejets dans l'air, l'eau et le sol affectant gravement l'environnement</t>
  </si>
  <si>
    <t>°les mesures de prévention, de recyclage et d'élimination des déchets</t>
  </si>
  <si>
    <t>°la prise en compte des nuisances sonores et de toute autre forme de pollution spécifique à une activité</t>
  </si>
  <si>
    <t>Utilisation durable des ressources</t>
  </si>
  <si>
    <t>°la consommation d'eau et l'approvisionnement en eau en fonction des contraintes locales</t>
  </si>
  <si>
    <t>°la consommation de matières premières et les mesures prises pour améliorer l'efficacité dans leur utilisation</t>
  </si>
  <si>
    <t>°la consommation d'énergie, les mesures prises pour améliorer l'efficacité énergetique et le recours aux énergies renouvelables</t>
  </si>
  <si>
    <t>Changement climatique</t>
  </si>
  <si>
    <t>°les rejets de gaz à effet de serre</t>
  </si>
  <si>
    <t>Protection de la biodiversité</t>
  </si>
  <si>
    <t>°les mesures prises pour préserver ou développer la biodiversité</t>
  </si>
  <si>
    <t>INFORMATIONS RELATIVES AUX ENGAGEMENTS SOCIETAUX EN FAVEUR DU DEVELOPPEMENT DURABLE</t>
  </si>
  <si>
    <t>Impact territorial, économique et social de l'activité de la société</t>
  </si>
  <si>
    <t>°en matière d'emploi et de développement régional</t>
  </si>
  <si>
    <t>°sur les populations reiveraines ou locales</t>
  </si>
  <si>
    <t>Relations entretenues avec les personnes ou les organisations intéressées par l'activité de la société (association d'insertion, établissement d'enseignement,…)</t>
  </si>
  <si>
    <t>°les conditions du dialogue avec ces personnes ou organisations</t>
  </si>
  <si>
    <t>°les actions de partenariat ou de mécénat</t>
  </si>
  <si>
    <t>Sous-traitance et fournisseurs</t>
  </si>
  <si>
    <t>°la prise en compte dans la politique d'achat des enjeux sociaux et environnementaux</t>
  </si>
  <si>
    <t>1- Code forme juridique (1)</t>
  </si>
  <si>
    <t>3- Code pays du siège social</t>
  </si>
  <si>
    <t>Société Anonyme (SA) à participation publique</t>
  </si>
  <si>
    <t xml:space="preserve">Société Anonyme (SA)  </t>
  </si>
  <si>
    <t>Société à Responsabilité Limitée (SARL)</t>
  </si>
  <si>
    <t>Société en Commandite Simple (SCS)</t>
  </si>
  <si>
    <t>Société en Participation (SP)</t>
  </si>
  <si>
    <t>Groupement d'Intérêt Economique (GIE)</t>
  </si>
  <si>
    <t>Association</t>
  </si>
  <si>
    <t>Société par Action Simplifiée (SAS)</t>
  </si>
  <si>
    <t>Autres formes juridiques (à préciser)</t>
  </si>
  <si>
    <t>2- Code régime fiscal</t>
  </si>
  <si>
    <t>Réel normal</t>
  </si>
  <si>
    <t>Réel simplifié</t>
  </si>
  <si>
    <t>Synthétique</t>
  </si>
  <si>
    <t>Forfait</t>
  </si>
  <si>
    <t>Pays OHADA (2)</t>
  </si>
  <si>
    <t>Autres pays africains</t>
  </si>
  <si>
    <t>France</t>
  </si>
  <si>
    <t>Autres pays de l'Union Européenne</t>
  </si>
  <si>
    <t>USA</t>
  </si>
  <si>
    <t>Canada</t>
  </si>
  <si>
    <t>Autres pays américains</t>
  </si>
  <si>
    <t>Pays asiatiques</t>
  </si>
  <si>
    <t>Autres pays</t>
  </si>
  <si>
    <t>Société en Nom Collectif (SNC)</t>
  </si>
  <si>
    <t>(1) Remplacer le premier 0 par 1 si l'entité bénéficie d'un agrément prioritaire</t>
  </si>
  <si>
    <t>(2) Code Pays OHADA</t>
  </si>
  <si>
    <t>Benin = 01</t>
  </si>
  <si>
    <t>Burkina = 02</t>
  </si>
  <si>
    <t>Côte d'ivoire = 03</t>
  </si>
  <si>
    <t>Guinée Bissau = 04</t>
  </si>
  <si>
    <t>Mali = 05</t>
  </si>
  <si>
    <t>Niger = 06</t>
  </si>
  <si>
    <t>Sénégal = 07</t>
  </si>
  <si>
    <t>Togo = 08</t>
  </si>
  <si>
    <t>Cameroun = 09</t>
  </si>
  <si>
    <t>Congo = 10</t>
  </si>
  <si>
    <t>Gabon = 11</t>
  </si>
  <si>
    <t>République Centrafricaine = 12</t>
  </si>
  <si>
    <t>Tchad = 13</t>
  </si>
  <si>
    <t>Comores = 14</t>
  </si>
  <si>
    <t>Guinée = 15</t>
  </si>
  <si>
    <t>Guinée Equatoriale = 16</t>
  </si>
  <si>
    <t>Congo RDC = 17</t>
  </si>
  <si>
    <t>NOTE 36 : TABLES DES CODES</t>
  </si>
  <si>
    <t>Rue</t>
  </si>
  <si>
    <t>Quartier</t>
  </si>
  <si>
    <t>BURKINA FASO</t>
  </si>
  <si>
    <t>AE</t>
  </si>
  <si>
    <t>AF</t>
  </si>
  <si>
    <t>AG</t>
  </si>
  <si>
    <t>AH</t>
  </si>
  <si>
    <t>AJ</t>
  </si>
  <si>
    <t>AK</t>
  </si>
  <si>
    <t>AL</t>
  </si>
  <si>
    <t>AM</t>
  </si>
  <si>
    <t>AN</t>
  </si>
  <si>
    <t>AP</t>
  </si>
  <si>
    <t>AR</t>
  </si>
  <si>
    <t>AS</t>
  </si>
  <si>
    <t>BA</t>
  </si>
  <si>
    <t>BH</t>
  </si>
  <si>
    <t>BI</t>
  </si>
  <si>
    <t>BJ</t>
  </si>
  <si>
    <t>BQ</t>
  </si>
  <si>
    <t>BR</t>
  </si>
  <si>
    <t>BS</t>
  </si>
  <si>
    <t>BU</t>
  </si>
  <si>
    <t>CA</t>
  </si>
  <si>
    <t>CB</t>
  </si>
  <si>
    <t>CD</t>
  </si>
  <si>
    <t>CE</t>
  </si>
  <si>
    <t>CF</t>
  </si>
  <si>
    <t>CG</t>
  </si>
  <si>
    <t>CH</t>
  </si>
  <si>
    <t>CL</t>
  </si>
  <si>
    <t>CM</t>
  </si>
  <si>
    <t>DA</t>
  </si>
  <si>
    <t>DB</t>
  </si>
  <si>
    <t>DC</t>
  </si>
  <si>
    <t>DD</t>
  </si>
  <si>
    <t>DH</t>
  </si>
  <si>
    <t>DI</t>
  </si>
  <si>
    <t>DJ</t>
  </si>
  <si>
    <t>DK</t>
  </si>
  <si>
    <t>DM</t>
  </si>
  <si>
    <t>DN</t>
  </si>
  <si>
    <t>DQ</t>
  </si>
  <si>
    <t>DR</t>
  </si>
  <si>
    <t>DV</t>
  </si>
  <si>
    <t>RA</t>
  </si>
  <si>
    <t>RB</t>
  </si>
  <si>
    <t>RC</t>
  </si>
  <si>
    <t>RD</t>
  </si>
  <si>
    <t>RE</t>
  </si>
  <si>
    <t>RH</t>
  </si>
  <si>
    <t>RI</t>
  </si>
  <si>
    <t>RJ</t>
  </si>
  <si>
    <t>RK</t>
  </si>
  <si>
    <t>RL</t>
  </si>
  <si>
    <t>RP</t>
  </si>
  <si>
    <t>RS</t>
  </si>
  <si>
    <t>TA</t>
  </si>
  <si>
    <t>TC</t>
  </si>
  <si>
    <t>TD</t>
  </si>
  <si>
    <t>TE</t>
  </si>
  <si>
    <t>TF</t>
  </si>
  <si>
    <t>TH</t>
  </si>
  <si>
    <t>TK</t>
  </si>
  <si>
    <t>TL</t>
  </si>
  <si>
    <t>BB</t>
  </si>
  <si>
    <t>CJ</t>
  </si>
  <si>
    <t>RF</t>
  </si>
  <si>
    <t>RG</t>
  </si>
  <si>
    <t>RM</t>
  </si>
  <si>
    <t>RN</t>
  </si>
  <si>
    <t>RO</t>
  </si>
  <si>
    <t>RQ</t>
  </si>
  <si>
    <t>TB</t>
  </si>
  <si>
    <t>TG</t>
  </si>
  <si>
    <t>TI</t>
  </si>
  <si>
    <t>TJ</t>
  </si>
  <si>
    <t>TM</t>
  </si>
  <si>
    <t>TN</t>
  </si>
  <si>
    <t>TO</t>
  </si>
  <si>
    <t>ACTIF</t>
  </si>
  <si>
    <t>Réf</t>
  </si>
  <si>
    <t>Brut</t>
  </si>
  <si>
    <t>Net</t>
  </si>
  <si>
    <t>PASSIF</t>
  </si>
  <si>
    <t>Amortiss. et Dépréciation</t>
  </si>
  <si>
    <t>AD</t>
  </si>
  <si>
    <t>AI</t>
  </si>
  <si>
    <t>AZ</t>
  </si>
  <si>
    <t>BG</t>
  </si>
  <si>
    <t>BK</t>
  </si>
  <si>
    <t>BT</t>
  </si>
  <si>
    <t>BZ</t>
  </si>
  <si>
    <t>Avances et acomptes versés sur immobilisations</t>
  </si>
  <si>
    <t>AQ</t>
  </si>
  <si>
    <t>TOTAL ACTIF IMMOBILISE</t>
  </si>
  <si>
    <t>ACTIF CIRCULANT HAO</t>
  </si>
  <si>
    <t>STOCKS ET ENCOURS</t>
  </si>
  <si>
    <t>CREANCES ET EMPLOIS ASSIMILES</t>
  </si>
  <si>
    <t>Fournisseurs avances versés</t>
  </si>
  <si>
    <t>Autres créances</t>
  </si>
  <si>
    <t>TOTAL ACTIF CIRCULANT</t>
  </si>
  <si>
    <t>Titres de placement</t>
  </si>
  <si>
    <t>Valeurs à encaisser</t>
  </si>
  <si>
    <t>Banques, chèques postaux, caisse et assimilés</t>
  </si>
  <si>
    <t>TOTAL TRESORERIE-ACTIF</t>
  </si>
  <si>
    <t>Ecart de conversion-Actif</t>
  </si>
  <si>
    <t>Capital</t>
  </si>
  <si>
    <t>Apporteurs capital non appelé   (-)</t>
  </si>
  <si>
    <t>CP</t>
  </si>
  <si>
    <t>DF</t>
  </si>
  <si>
    <t>DP</t>
  </si>
  <si>
    <t>DT</t>
  </si>
  <si>
    <t>DZ</t>
  </si>
  <si>
    <t>Primes liées au capital social</t>
  </si>
  <si>
    <t>Ecarts de réévaluation</t>
  </si>
  <si>
    <t>Réserves indisponibles</t>
  </si>
  <si>
    <t>Report à nouveau (+ ou -)</t>
  </si>
  <si>
    <t>Résultat net de l'exercice (bénéfice + ou perte -)</t>
  </si>
  <si>
    <t>Subventions d'investissement</t>
  </si>
  <si>
    <t>Provisions règlementées</t>
  </si>
  <si>
    <t>TOTAL CAPITAUX PROPRES ET RESSOURCES ASSIMILEES</t>
  </si>
  <si>
    <t>Emprunts et dettes financières diverses</t>
  </si>
  <si>
    <t>Dettes de location acquisition</t>
  </si>
  <si>
    <t>Provisions pour risques et charges</t>
  </si>
  <si>
    <t>TOTAL DETTES FINANCIERES ET RESSOURCES ASSIMILEES</t>
  </si>
  <si>
    <t>TOTAL RESSOURCES STABLES</t>
  </si>
  <si>
    <t>Dettes circulantes HAO</t>
  </si>
  <si>
    <t>Clients, avances reçues</t>
  </si>
  <si>
    <t>Fournisseurs d'exploitation</t>
  </si>
  <si>
    <t>Dettes fiscales et sociales</t>
  </si>
  <si>
    <t>Autres dettes</t>
  </si>
  <si>
    <t>Provisions pour risques à court terme</t>
  </si>
  <si>
    <t>TOTAL PASSIF CIRCULANT</t>
  </si>
  <si>
    <t>Banques, établissements financiers et crédits de trésorerie</t>
  </si>
  <si>
    <t>Banques, crédit d'escompte</t>
  </si>
  <si>
    <t>TOTAL TRESORERIE-PASSIF</t>
  </si>
  <si>
    <t>Ecart de conversion-Passif</t>
  </si>
  <si>
    <t>XA</t>
  </si>
  <si>
    <t>XB</t>
  </si>
  <si>
    <t>XC</t>
  </si>
  <si>
    <t>XD</t>
  </si>
  <si>
    <t>XE</t>
  </si>
  <si>
    <t>XF</t>
  </si>
  <si>
    <t>XG</t>
  </si>
  <si>
    <t>XH</t>
  </si>
  <si>
    <t>XI</t>
  </si>
  <si>
    <t>Ventes de marchandises</t>
  </si>
  <si>
    <t>Achats de marchandises</t>
  </si>
  <si>
    <t>Variation de stocks de marchandises</t>
  </si>
  <si>
    <t>MARGES COMMERCIALE (Somme TA à RB)</t>
  </si>
  <si>
    <t>Ventes de produits fabriqués</t>
  </si>
  <si>
    <t>Travaux, services vendus</t>
  </si>
  <si>
    <t>CHIFFRE D'AFFAIRES (A+B+C+D)</t>
  </si>
  <si>
    <t>Production stockée (ou déstockage)</t>
  </si>
  <si>
    <t>Transferts de charges d'exploitation</t>
  </si>
  <si>
    <t>Achats de matières premières et fournitures liées</t>
  </si>
  <si>
    <t>Variation de stocks de matières premières et fournitures liées</t>
  </si>
  <si>
    <t>Autres achats</t>
  </si>
  <si>
    <t>Variation de stocks d'autres approvisionnements</t>
  </si>
  <si>
    <t>Transports</t>
  </si>
  <si>
    <t>Services extérieurs</t>
  </si>
  <si>
    <t>Impôts et taxes</t>
  </si>
  <si>
    <t>Autres charges</t>
  </si>
  <si>
    <t>VALEUR AJOUTEE (XB+RA+RB) + (Somme TE à RJ)</t>
  </si>
  <si>
    <t>Charges de personnel</t>
  </si>
  <si>
    <t>EXCEDENT BRUT D'EXPLOITATION (XC+RK)</t>
  </si>
  <si>
    <t>Reprises d'amortissements, provisions et dépréciations</t>
  </si>
  <si>
    <t>Dotations aux amortissements, aux provisions et dépréciations</t>
  </si>
  <si>
    <t>RESULTAT D'EXPLOITATION (XD+TJ+RL)</t>
  </si>
  <si>
    <t>Revenus financiers et assimilés</t>
  </si>
  <si>
    <t>Reprises de provisions et dépréciations financières</t>
  </si>
  <si>
    <t>Transferts de charges financières</t>
  </si>
  <si>
    <t>Frais financiers et charges assimilées</t>
  </si>
  <si>
    <t>Dotations aux provisions et aux dépréciations financières</t>
  </si>
  <si>
    <t>RESULTAT FINANCIER (Somme TK à RN)</t>
  </si>
  <si>
    <t>RESULTAT DES ACTIVITES ORDINAIRES (XE+XF)</t>
  </si>
  <si>
    <t>Produits des cessions d'immobilisations</t>
  </si>
  <si>
    <t>Autres Produits HAO</t>
  </si>
  <si>
    <t>Valeurs comptables des cessions d'immobilisations</t>
  </si>
  <si>
    <t>Autres Charges HAO</t>
  </si>
  <si>
    <t>RESULTAT HORS ACTIVITES ORDINAIRES (Somme TN à RP)</t>
  </si>
  <si>
    <t>RESULTAT NET (XG+XH+RQ+RS)</t>
  </si>
  <si>
    <t xml:space="preserve"> +</t>
  </si>
  <si>
    <t xml:space="preserve">  - </t>
  </si>
  <si>
    <t xml:space="preserve">  -/+</t>
  </si>
  <si>
    <t>3C&amp;28</t>
  </si>
  <si>
    <t>3D</t>
  </si>
  <si>
    <t xml:space="preserve"> -</t>
  </si>
  <si>
    <t xml:space="preserve"> -/+</t>
  </si>
  <si>
    <t xml:space="preserve"> - </t>
  </si>
  <si>
    <t>+</t>
  </si>
  <si>
    <t>ZA</t>
  </si>
  <si>
    <t>FA</t>
  </si>
  <si>
    <t>FB</t>
  </si>
  <si>
    <t>FC</t>
  </si>
  <si>
    <t>FD</t>
  </si>
  <si>
    <t>FE</t>
  </si>
  <si>
    <t>ZB</t>
  </si>
  <si>
    <t>FF</t>
  </si>
  <si>
    <t>FG</t>
  </si>
  <si>
    <t>FH</t>
  </si>
  <si>
    <t>FI</t>
  </si>
  <si>
    <t>FJ</t>
  </si>
  <si>
    <t>ZC</t>
  </si>
  <si>
    <t>FK</t>
  </si>
  <si>
    <t>FL</t>
  </si>
  <si>
    <t>FM</t>
  </si>
  <si>
    <t>FN</t>
  </si>
  <si>
    <t>FO</t>
  </si>
  <si>
    <t>FP</t>
  </si>
  <si>
    <t>FQ</t>
  </si>
  <si>
    <t>ZE</t>
  </si>
  <si>
    <t>ZF</t>
  </si>
  <si>
    <t>ZG</t>
  </si>
  <si>
    <t>Flux de trésorerie provenant des activités opérationnelles</t>
  </si>
  <si>
    <t>Capacité d'Autofinancement Globale (CAFG)</t>
  </si>
  <si>
    <t xml:space="preserve"> - Variation des stocks</t>
  </si>
  <si>
    <t xml:space="preserve"> - Variations des créances</t>
  </si>
  <si>
    <t>Variation du BF lié aux activités opérationnelles (FB+FC+FD+FE) :</t>
  </si>
  <si>
    <t xml:space="preserve"> + Variation  du Passif circulant (1)</t>
  </si>
  <si>
    <t xml:space="preserve"> - Décaissements liés aux acquisitions d'immobilisations incorporelles</t>
  </si>
  <si>
    <t xml:space="preserve"> - Décaissements liés aux acquisitions d'immobilisations corporelles</t>
  </si>
  <si>
    <t xml:space="preserve"> - Décaissements liés aux acquisitions d'immobilisations financières</t>
  </si>
  <si>
    <t xml:space="preserve"> + Encaissements liés aux cessions d'immobilisations incorporelles et corporelles</t>
  </si>
  <si>
    <t xml:space="preserve"> + Encaissements liés aux cessions d'immobilisations financières</t>
  </si>
  <si>
    <t>Flux de trésorerie provenant du financement par les capitaux propres</t>
  </si>
  <si>
    <t xml:space="preserve"> + Augmentations de capital par apports nouveaux</t>
  </si>
  <si>
    <t xml:space="preserve"> + Subventions d'investissement reçues</t>
  </si>
  <si>
    <t xml:space="preserve"> - Prélèvement sur le capital</t>
  </si>
  <si>
    <t xml:space="preserve"> - Dividendes versés</t>
  </si>
  <si>
    <t>Trésorerie provenant du financement par les capitaux étrangers</t>
  </si>
  <si>
    <t xml:space="preserve"> + Emprunts</t>
  </si>
  <si>
    <t xml:space="preserve"> + Autres dettes financières</t>
  </si>
  <si>
    <t xml:space="preserve"> - Remboursement des emprunts et autres dettes financières</t>
  </si>
  <si>
    <t>Flux de trésorerie provenant des activités de financement (D+E)</t>
  </si>
  <si>
    <t>VARIATION DE LA TRESORERIE NETTE DE LA PERIODE (B+C+F)</t>
  </si>
  <si>
    <t>ZH</t>
  </si>
  <si>
    <t>Trésorerie nette au 31 décembre (G+A)</t>
  </si>
  <si>
    <t>Contrôle : Trésorerie actif N - Trésorerie Passif N</t>
  </si>
  <si>
    <t>E</t>
  </si>
  <si>
    <t>G</t>
  </si>
  <si>
    <t>H</t>
  </si>
  <si>
    <t>TABLEAU DES FLUX DE TRESORERIE</t>
  </si>
  <si>
    <t>Flux de trésorerie provenant des activités opérationnelles              (somme FA à FE)</t>
  </si>
  <si>
    <t>Flux de trésorerie provenant des activités d'investissement       (Somme FF à FJ)</t>
  </si>
  <si>
    <t>Flux de trésorerie provenant des capitaux propres                          (Somme FK à FN)</t>
  </si>
  <si>
    <t>Flux de trésorerie provenant des capitaux étrangers                           (Somme FO à FQ)</t>
  </si>
  <si>
    <t>EQUILIBRE ACTIF - PASSIF</t>
  </si>
  <si>
    <t>Colonne1</t>
  </si>
  <si>
    <t>Colonne2</t>
  </si>
  <si>
    <t>Colonne3</t>
  </si>
  <si>
    <t>Trésorerie nette au 1er janvier                                                                     (Trésorerie actif N-1 - Trésorerie Passif N-1)</t>
  </si>
  <si>
    <t>-</t>
  </si>
  <si>
    <t>Créances rattachées à des participations</t>
  </si>
  <si>
    <t>Immobilisations financières diverses</t>
  </si>
  <si>
    <t>Clients et effets à recevoir avec réserves  de propriété</t>
  </si>
  <si>
    <t>Clients, chèques, effets et autres valeurs impayés</t>
  </si>
  <si>
    <t>Charges constatées d'avances</t>
  </si>
  <si>
    <t>Banques autres Etats zone monétaires</t>
  </si>
  <si>
    <t>Banques autres Etats région</t>
  </si>
  <si>
    <t>Banques hors zone monétaire</t>
  </si>
  <si>
    <t>Cours UML 31/12/N</t>
  </si>
  <si>
    <t>Valeur nominale des actions ou parts</t>
  </si>
  <si>
    <t>Autres subventions</t>
  </si>
  <si>
    <t>Provisions de droits à réduction ou avantage en nature</t>
  </si>
  <si>
    <t>Fournisseurs dettes en comptes (groupe)</t>
  </si>
  <si>
    <t>Fournisseurs, dettes et effets à payer (groupe)</t>
  </si>
  <si>
    <t>Fournisseurs factures non parvenues (groupe)</t>
  </si>
  <si>
    <t>Fournisseurs, avances et acomptes (groupe)</t>
  </si>
  <si>
    <t xml:space="preserve">Comptes de liaison  </t>
  </si>
  <si>
    <t>Provisions pour risques à court terme (voir note 28)</t>
  </si>
  <si>
    <t>Rabais, remises, ristournes accordés</t>
  </si>
  <si>
    <t>Remises rabais, remises et ristournes obtenus</t>
  </si>
  <si>
    <t>Fournitures de magasin</t>
  </si>
  <si>
    <t>Fourniture de bureau</t>
  </si>
  <si>
    <t>Fournitures d'entretien non stockables</t>
  </si>
  <si>
    <t>Fournitures de bureau non stockables</t>
  </si>
  <si>
    <t>Pénalités et amendes pénales</t>
  </si>
  <si>
    <t>Charges liées aux opérations de restructuration</t>
  </si>
  <si>
    <t>Charges liées aux opérations de liquidation</t>
  </si>
  <si>
    <t>Charges pour dépréciations et provisions pour risques à court terme HAO</t>
  </si>
  <si>
    <t>Dotations HAO</t>
  </si>
  <si>
    <t>Indemnités et subventions HAO</t>
  </si>
  <si>
    <t>Produits liés aux opérations de restructuration</t>
  </si>
  <si>
    <t>Produits liés aux opérations de liquidation</t>
  </si>
  <si>
    <t>Subvention d'équilibre</t>
  </si>
  <si>
    <t>Dettes financières + Trésorerie Passif</t>
  </si>
  <si>
    <t xml:space="preserve">Endettement financier brut (Dettes financière + Trésorerie Passif) </t>
  </si>
  <si>
    <t xml:space="preserve"> - Trésorerie-Actif</t>
  </si>
  <si>
    <t>CENTRE DE DEPOT DE:</t>
  </si>
  <si>
    <t>ETATS FINANCIERS NORMALISES</t>
  </si>
  <si>
    <t>SYSTÈME COMPTABLE OHADA (SYSCOHADA)</t>
  </si>
  <si>
    <t>DESIGNATION DE L'ENTITE</t>
  </si>
  <si>
    <t>DENOMINATION SOCIALE</t>
  </si>
  <si>
    <t>(ou nom et prénoms de l'exploitant)</t>
  </si>
  <si>
    <t>ADRESSE COMPLETE:</t>
  </si>
  <si>
    <t>N° IDENTIFICATION FISCALE</t>
  </si>
  <si>
    <t>SYSTÈME NORMAL</t>
  </si>
  <si>
    <t>Documents déposés</t>
  </si>
  <si>
    <t>Fiche d'identification et renseignements divers</t>
  </si>
  <si>
    <t>Bilan</t>
  </si>
  <si>
    <t>Compte de résultat</t>
  </si>
  <si>
    <t>Tableau des flux de trésorerie</t>
  </si>
  <si>
    <t>Notes annexées</t>
  </si>
  <si>
    <t>Réservé à la Direction Générale des Impôts</t>
  </si>
  <si>
    <t>Date de dépôt</t>
  </si>
  <si>
    <t>Nom de l'agent de la DGI ayant  réceptionné le dépôt</t>
  </si>
  <si>
    <t>Signature de l'agent et cachet du service</t>
  </si>
  <si>
    <t>Nombre de pages déposés par exemplaire:</t>
  </si>
  <si>
    <t>Nombre d'exemplaire déposés:</t>
  </si>
  <si>
    <t>SIGLE USUEL:</t>
  </si>
  <si>
    <t xml:space="preserve">EXERCICE CLOS LE:  </t>
  </si>
  <si>
    <t>Pays</t>
  </si>
  <si>
    <t>Centre de dépôt des états financiers:</t>
  </si>
  <si>
    <t>Pays:</t>
  </si>
  <si>
    <t>Ministère:</t>
  </si>
  <si>
    <t>Direction:</t>
  </si>
  <si>
    <t>MINISTERE DE L'ECONOMIE, DES FINANCES ET DU DEVELOPPEMENT</t>
  </si>
  <si>
    <t>Sigle usuel:</t>
  </si>
  <si>
    <t>Dénomination sociale de l'entité:</t>
  </si>
  <si>
    <t>N° d'identification fiscale</t>
  </si>
  <si>
    <t>ZD</t>
  </si>
  <si>
    <t>ZI</t>
  </si>
  <si>
    <t>EXERCICE COMPTABLE</t>
  </si>
  <si>
    <t>Greffe</t>
  </si>
  <si>
    <t>N°Registre du Commerce</t>
  </si>
  <si>
    <t>N° de Caisse sociale</t>
  </si>
  <si>
    <t>Désignation de l'entité</t>
  </si>
  <si>
    <t>N° de télephone</t>
  </si>
  <si>
    <t>Email</t>
  </si>
  <si>
    <t>N° Répertoire des entités</t>
  </si>
  <si>
    <t>DUREE EXERCICE PRECEDENT EN MOIS:</t>
  </si>
  <si>
    <t>DATE D'ARRETE EFFECTIF DES COMPTES:</t>
  </si>
  <si>
    <t>EXERCICE PRECEDENT CLOS LE :</t>
  </si>
  <si>
    <t>DU:</t>
  </si>
  <si>
    <t>AU</t>
  </si>
  <si>
    <t>Code activité principale</t>
  </si>
  <si>
    <t>Sigle</t>
  </si>
  <si>
    <t>Code</t>
  </si>
  <si>
    <t>Boite postale</t>
  </si>
  <si>
    <t>Exercice clos le:</t>
  </si>
  <si>
    <t>Durée (en mois)</t>
  </si>
  <si>
    <t>N° de Code importateur</t>
  </si>
  <si>
    <t>FICHE DE RENSEIGNEMENTS R1</t>
  </si>
  <si>
    <t>Adresse géographique complète:</t>
  </si>
  <si>
    <t>Parcelle</t>
  </si>
  <si>
    <t>Lot</t>
  </si>
  <si>
    <t>Section</t>
  </si>
  <si>
    <t>Désignation précise de l'activité principale exercée par l'entité</t>
  </si>
  <si>
    <t>Nom, adresse et qualité de la personne à contacter en cas de demande d'informations complémentaires</t>
  </si>
  <si>
    <t>Nom du professionnel salarié de l'entité ou</t>
  </si>
  <si>
    <t>nom, adresse et téléphone du cabinet comptable ou du professionnel INSCRIT A L'ORDRE NATIONAL DES EXPERTS</t>
  </si>
  <si>
    <t>COMPTABLES ET DES COMPTABLES AGREES ayant établi les états financiers</t>
  </si>
  <si>
    <t>Visa de l'Expert comptable ou du Comptable agréé</t>
  </si>
  <si>
    <t>Non</t>
  </si>
  <si>
    <t>Non Applicable</t>
  </si>
  <si>
    <t>Oui</t>
  </si>
  <si>
    <t>Etats financiers approuvés par l'Assemblée</t>
  </si>
  <si>
    <t>Générale (cocher la case)</t>
  </si>
  <si>
    <t>Nom du signataire des états financiers</t>
  </si>
  <si>
    <t>Qualité du signataire des états financiers</t>
  </si>
  <si>
    <t>Date de signature</t>
  </si>
  <si>
    <t>Signature</t>
  </si>
  <si>
    <t>Domiciliations bancaires:</t>
  </si>
  <si>
    <t>Banques</t>
  </si>
  <si>
    <t>Numéro de compte</t>
  </si>
  <si>
    <t>FICHE DE RENSEIGNEMENTS R2</t>
  </si>
  <si>
    <t>ZK</t>
  </si>
  <si>
    <t>ZL</t>
  </si>
  <si>
    <t>ZM</t>
  </si>
  <si>
    <t>ZN</t>
  </si>
  <si>
    <t>ZO</t>
  </si>
  <si>
    <t>ZP</t>
  </si>
  <si>
    <t>Forme juridique (1)</t>
  </si>
  <si>
    <t>Régime fiscal (1)</t>
  </si>
  <si>
    <t>Pays du siège social (1)</t>
  </si>
  <si>
    <t>Nombre d'établissements dans le pays</t>
  </si>
  <si>
    <t>Nombre d'établissements hors du pays pour lesquels une comptabilité distincte est tenue</t>
  </si>
  <si>
    <t>Première année d'exercice dans le pays</t>
  </si>
  <si>
    <t>ZQ</t>
  </si>
  <si>
    <t>ZR</t>
  </si>
  <si>
    <t>ZS</t>
  </si>
  <si>
    <t>Entité sous contrôle public</t>
  </si>
  <si>
    <t>Entité sous contrôle privé national</t>
  </si>
  <si>
    <t>Entité sous contrôle privé étranger</t>
  </si>
  <si>
    <t>ACTIVITE DE L'ENTITE</t>
  </si>
  <si>
    <t>Chiffre d'affaires HT (CA HT)</t>
  </si>
  <si>
    <t>% activité dans le            CA HT</t>
  </si>
  <si>
    <t>Contrôle de l'entité (cocher la case)</t>
  </si>
  <si>
    <r>
      <t>(</t>
    </r>
    <r>
      <rPr>
        <i/>
        <vertAlign val="superscript"/>
        <sz val="11"/>
        <color theme="1"/>
        <rFont val="Calibri"/>
        <family val="2"/>
        <scheme val="minor"/>
      </rPr>
      <t>1</t>
    </r>
    <r>
      <rPr>
        <i/>
        <sz val="11"/>
        <color theme="1"/>
        <rFont val="Calibri"/>
        <family val="2"/>
        <scheme val="minor"/>
      </rPr>
      <t>) Note 36</t>
    </r>
  </si>
  <si>
    <r>
      <t>(</t>
    </r>
    <r>
      <rPr>
        <i/>
        <vertAlign val="superscript"/>
        <sz val="11"/>
        <color theme="1"/>
        <rFont val="Calibri"/>
        <family val="2"/>
        <scheme val="minor"/>
      </rPr>
      <t>2</t>
    </r>
    <r>
      <rPr>
        <i/>
        <sz val="11"/>
        <color theme="1"/>
        <rFont val="Calibri"/>
        <family val="2"/>
        <scheme val="minor"/>
      </rPr>
      <t>) Lister de manière précise les activités dans l'ordre décroissant du CA HT, ou de la valeur ajoutée (V.A)</t>
    </r>
  </si>
  <si>
    <r>
      <t>Désignation de l'activité (</t>
    </r>
    <r>
      <rPr>
        <b/>
        <vertAlign val="superscript"/>
        <sz val="11"/>
        <color theme="1"/>
        <rFont val="Calibri"/>
        <family val="2"/>
        <scheme val="minor"/>
      </rPr>
      <t>2</t>
    </r>
    <r>
      <rPr>
        <b/>
        <sz val="11"/>
        <color theme="1"/>
        <rFont val="Calibri"/>
        <family val="2"/>
        <scheme val="minor"/>
      </rPr>
      <t>)</t>
    </r>
  </si>
  <si>
    <r>
      <t>Code nomenclature d'activité (</t>
    </r>
    <r>
      <rPr>
        <b/>
        <vertAlign val="superscript"/>
        <sz val="11"/>
        <color theme="1"/>
        <rFont val="Calibri"/>
        <family val="2"/>
        <scheme val="minor"/>
      </rPr>
      <t>1</t>
    </r>
    <r>
      <rPr>
        <b/>
        <sz val="11"/>
        <color theme="1"/>
        <rFont val="Calibri"/>
        <family val="2"/>
        <scheme val="minor"/>
      </rPr>
      <t>)</t>
    </r>
  </si>
  <si>
    <t>Nom</t>
  </si>
  <si>
    <t>Prénoms</t>
  </si>
  <si>
    <t>Qualité</t>
  </si>
  <si>
    <t>N°identification fiscale</t>
  </si>
  <si>
    <t>Adresse (BP, ville, pays)</t>
  </si>
  <si>
    <t>FICHE DE RENSEIGNEMENTS R3</t>
  </si>
  <si>
    <t>(1) Dirigeants = Président Directeur Général, Directeur général, Administrateur Général, Gérant, Autres</t>
  </si>
  <si>
    <t>MEMBRES DU CONSEIL D'ADMINISTRATION</t>
  </si>
  <si>
    <r>
      <t>DIRIGEANTS (</t>
    </r>
    <r>
      <rPr>
        <b/>
        <vertAlign val="superscript"/>
        <sz val="14"/>
        <color theme="1"/>
        <rFont val="Calibri"/>
        <family val="2"/>
        <scheme val="minor"/>
      </rPr>
      <t>1</t>
    </r>
    <r>
      <rPr>
        <b/>
        <sz val="14"/>
        <color theme="1"/>
        <rFont val="Calibri"/>
        <family val="2"/>
        <scheme val="minor"/>
      </rPr>
      <t>)</t>
    </r>
  </si>
  <si>
    <t>NOTES</t>
  </si>
  <si>
    <t>INTITULES</t>
  </si>
  <si>
    <t>N/A</t>
  </si>
  <si>
    <t>FICHE DE RENSEIGNEMENTS R4</t>
  </si>
  <si>
    <t>3A</t>
  </si>
  <si>
    <t>3B</t>
  </si>
  <si>
    <t>3C</t>
  </si>
  <si>
    <t>15A</t>
  </si>
  <si>
    <t>15B</t>
  </si>
  <si>
    <t>16A</t>
  </si>
  <si>
    <t>16B</t>
  </si>
  <si>
    <t>16 B bis</t>
  </si>
  <si>
    <t>16C</t>
  </si>
  <si>
    <t>27A</t>
  </si>
  <si>
    <t>27B</t>
  </si>
  <si>
    <t>DETTES GARANTIES PAR DES SURETES REELLES</t>
  </si>
  <si>
    <t>INFORMATIONS OBLIGATOIRES</t>
  </si>
  <si>
    <t>IMMOBILISATIONS BRUTES</t>
  </si>
  <si>
    <t>BIENS PRIS EN LOCATION ACQUISITION</t>
  </si>
  <si>
    <t>IMMOBILISATIONS: AMORTISSEMENTS</t>
  </si>
  <si>
    <t>IMMOBILISATION: PLUS-VALUES ET MOINS VALUES DE CESSION</t>
  </si>
  <si>
    <t>INFORMATIONS SUR LES REEVALUATIONS EFFECTUEES PAR L'ENTITE</t>
  </si>
  <si>
    <t>TABLEAU D'ETALEMENT DES CHARGES IMMOBILISEES</t>
  </si>
  <si>
    <t>ACTIF CIRCULANT ET DETTES CIRCULANTES HAO</t>
  </si>
  <si>
    <t>CLIENTS</t>
  </si>
  <si>
    <t>AUTRES CREANCES</t>
  </si>
  <si>
    <t>TITRES DE PLACEMENT</t>
  </si>
  <si>
    <t>VALEURS A ENCAISSER</t>
  </si>
  <si>
    <t>DISPONIBILITES</t>
  </si>
  <si>
    <t>ECARTS DE CONVERSION ET TRANSFERT DE CHARGES</t>
  </si>
  <si>
    <t>CAPITAL: VALEUR NOMINALE DES ACTIONS OU PARTS</t>
  </si>
  <si>
    <t>PRIMES ET RESERVES</t>
  </si>
  <si>
    <t>SUBVENTIONS ET PROVISIONS REGLEMENTEES</t>
  </si>
  <si>
    <t>AUTRES FONDS PROPRES</t>
  </si>
  <si>
    <t>DETTES FINANCIERES ET RESSOURCES ASSIMILEES</t>
  </si>
  <si>
    <t>ENGAGEMENTS DE RETRAITE ET AVANTAGES ASSIMILES (METHODE ACTUARIELLE)</t>
  </si>
  <si>
    <t>ACTIFS ET PASSIFS EVENTUELS</t>
  </si>
  <si>
    <t>FOURNISSEURS D'EXPLOITATION</t>
  </si>
  <si>
    <t>DETTES FISCALES ET SOCIALES</t>
  </si>
  <si>
    <t>AUTRES DETTES ET PROVISIONS POUR RISQUES A COURT TERME</t>
  </si>
  <si>
    <t>BANQUES, CREDIT D'ESCOMPTE ET DE TRESORERIE</t>
  </si>
  <si>
    <t>CHIFFRE D'AFFAIRES ET AUTRES PRODUITS</t>
  </si>
  <si>
    <t>ACHATS</t>
  </si>
  <si>
    <t>TRANSPORTS</t>
  </si>
  <si>
    <t>SERVICES EXTERIEURS</t>
  </si>
  <si>
    <t>IMPOTS ET TAXES</t>
  </si>
  <si>
    <t>AUTRES CHARGES</t>
  </si>
  <si>
    <t>CHARGES DE PERSONNEL</t>
  </si>
  <si>
    <t>EFFECTIFS, MASSE SALARIALE ET PERSONNEL EXTERIEUR</t>
  </si>
  <si>
    <t>PROVISIONS ET DEPRECIATIONS INSCRITES AU BILAN</t>
  </si>
  <si>
    <t>CHARGES ET REVENUS FINANCIERS</t>
  </si>
  <si>
    <t>AUTRES CHARGES ET PRODUITS HAO</t>
  </si>
  <si>
    <t>REPARTITION DU RESULTAT ET AUTRES ELEMENTS CARACTERISTIQUES DES CINQ DERNIERS EXERCICES</t>
  </si>
  <si>
    <t>PRODUCTION DE L'EXERCICE</t>
  </si>
  <si>
    <t>ACHATS DESTINES A LA PRODUCTION</t>
  </si>
  <si>
    <t>FICHE DE SYNTHESE DES PRINCIPAUX INDICATEURS FINANCIERS</t>
  </si>
  <si>
    <t>LISTE DES INFORMATIONS SOCIALES, ENVIRONNEMENTALES ET SOCIETALES A FOURNIR</t>
  </si>
  <si>
    <t>TABLES DES CODES</t>
  </si>
  <si>
    <t>A : Applicable</t>
  </si>
  <si>
    <t>N/A : Non applicable</t>
  </si>
  <si>
    <t>Par exemple pour une entité qui n'a pas de stocks et en-cours, elle doit cocher à l'intersection ('ligne NOTE6' &amp; colone N/A')</t>
  </si>
  <si>
    <t>Désignation entité:………</t>
  </si>
  <si>
    <t>Acheté hors de l'Etat</t>
  </si>
  <si>
    <t>I</t>
  </si>
  <si>
    <t>COMMENTAIRE</t>
  </si>
  <si>
    <t>BORDEREAU AVIS DE VERSEMENT</t>
  </si>
  <si>
    <t>N° IFU</t>
  </si>
  <si>
    <t>N° et rue:</t>
  </si>
  <si>
    <t>Parcelle:</t>
  </si>
  <si>
    <t>Secteur:</t>
  </si>
  <si>
    <t>03</t>
  </si>
  <si>
    <t>05</t>
  </si>
  <si>
    <t>ETAT DETAILLE DES PRELEVEMENTS SUPPORTES EN REGIME INTERIEUR</t>
  </si>
  <si>
    <t>DIRECTION GENERALE DES IMPOTS</t>
  </si>
  <si>
    <t>N° et date du bulletin de liquidation</t>
  </si>
  <si>
    <t>Profession ou activité</t>
  </si>
  <si>
    <t>Adresse</t>
  </si>
  <si>
    <t>Date des factures</t>
  </si>
  <si>
    <t>Mois</t>
  </si>
  <si>
    <t>Année</t>
  </si>
  <si>
    <t>Profession ou activité:</t>
  </si>
  <si>
    <t>Section:</t>
  </si>
  <si>
    <t>Secteur</t>
  </si>
  <si>
    <t>Montant</t>
  </si>
  <si>
    <t>Taux</t>
  </si>
  <si>
    <t>Dons</t>
  </si>
  <si>
    <t>Missions</t>
  </si>
  <si>
    <t>DETERMINATION DU RESULTAT FISCAL</t>
  </si>
  <si>
    <t>Déficits imputés</t>
  </si>
  <si>
    <t>REPARTITION DU RESULTAT FISCAL DES SOCIETES DE PERSONNES</t>
  </si>
  <si>
    <t>Ouagadougou</t>
  </si>
  <si>
    <t>Localisation</t>
  </si>
  <si>
    <t>EXECICE COMPTABLE CLOS</t>
  </si>
  <si>
    <t xml:space="preserve">LE </t>
  </si>
  <si>
    <t>N° REGISTRE DE COMMERCE</t>
  </si>
  <si>
    <t>Code Activité:</t>
  </si>
  <si>
    <t>Regime agrement</t>
  </si>
  <si>
    <t>Adhérant CGA</t>
  </si>
  <si>
    <t xml:space="preserve">Activité: </t>
  </si>
  <si>
    <t>BP:</t>
  </si>
  <si>
    <t>Section:……..</t>
  </si>
  <si>
    <t>1).………………………………………………………………...………………………………</t>
  </si>
  <si>
    <t>2)…………………………………………………………………………………………………………………………………..</t>
  </si>
  <si>
    <t>3)…………………………………………………………………………………………………………………………………..</t>
  </si>
  <si>
    <t xml:space="preserve">Adresse du domicile (Localité): </t>
  </si>
  <si>
    <t>BP:………………</t>
  </si>
  <si>
    <t xml:space="preserve">Secteur:   </t>
  </si>
  <si>
    <t xml:space="preserve">Lot:……. </t>
  </si>
  <si>
    <t>Parcelle:………</t>
  </si>
  <si>
    <t>II. DETERMINATION DE L'IMPOT</t>
  </si>
  <si>
    <t>IRVM SUBI (Attestation jointe)</t>
  </si>
  <si>
    <t>IRC SUBI (Attestation jointe)</t>
  </si>
  <si>
    <t>Prélèvements à la source à titre d'acompte d'impôt sur les bénéfices</t>
  </si>
  <si>
    <t xml:space="preserve">imputés (déclaration des prélèvements supportés ci annexée </t>
  </si>
  <si>
    <t>Montant IV</t>
  </si>
  <si>
    <t>Retenues à la source subies imputées (déclaration des retenues</t>
  </si>
  <si>
    <t>subies et attestations de retenues ci jointes Montant T4</t>
  </si>
  <si>
    <t>Règlement joint à l'ordre du Receveur des impôts</t>
  </si>
  <si>
    <t>- Chèque bancaire barré sur ……………………N°………………….du………………Montant………….</t>
  </si>
  <si>
    <t>- Espèces d'un montant de …………………………………………….…..</t>
  </si>
  <si>
    <t>A                                 , le</t>
  </si>
  <si>
    <t>Nom, Qualité du signataire</t>
  </si>
  <si>
    <t>III - CADRE RESERVE A L'ADMINISTRATION</t>
  </si>
  <si>
    <t>PRISE EN RECETTE</t>
  </si>
  <si>
    <t>PRISE EN CHARGE</t>
  </si>
  <si>
    <t>PENALITES</t>
  </si>
  <si>
    <t>VISA DU RECEVEUR</t>
  </si>
  <si>
    <t>L.J…………………………….</t>
  </si>
  <si>
    <t>L.J:…………………………</t>
  </si>
  <si>
    <t>Nature:……………</t>
  </si>
  <si>
    <t>Date-Cachet-Signature</t>
  </si>
  <si>
    <t>Réf.:……………………………</t>
  </si>
  <si>
    <t>Réf. AMR:…………………</t>
  </si>
  <si>
    <t>Taux:……………….</t>
  </si>
  <si>
    <t>Quittance N°:…………………</t>
  </si>
  <si>
    <t>Date:…………………………</t>
  </si>
  <si>
    <t>Montant:……………</t>
  </si>
  <si>
    <t>Quittance date:……………….</t>
  </si>
  <si>
    <t>Montant:…………………</t>
  </si>
  <si>
    <t>Montant:……………………….</t>
  </si>
  <si>
    <t>* Si la cotisation IS due est inférieur ou égal aux prélèvements supportés et aux retenues subies, porter "ZERO (0)" dans la case.</t>
  </si>
  <si>
    <t xml:space="preserve">Lot: </t>
  </si>
  <si>
    <t>Adresse du siège:  Localité:</t>
  </si>
  <si>
    <t xml:space="preserve">TEL.: </t>
  </si>
  <si>
    <t>Adresse postale</t>
  </si>
  <si>
    <t xml:space="preserve">Ouagadougou, le </t>
  </si>
  <si>
    <t>Adresse du siège (Localité):</t>
  </si>
  <si>
    <t>Forme juridique</t>
  </si>
  <si>
    <t>X</t>
  </si>
  <si>
    <t>COMMENTAIRES</t>
  </si>
  <si>
    <t>EQUILIBRE TRESORERIE</t>
  </si>
  <si>
    <t>Désignation entité:…………</t>
  </si>
  <si>
    <t xml:space="preserve">BILAN AU 31 DECEMBRE </t>
  </si>
  <si>
    <t xml:space="preserve">Exercice clos au </t>
  </si>
  <si>
    <t>COMPTE DE RESULTAT AU 31 DECEMBRE</t>
  </si>
  <si>
    <t xml:space="preserve">Montant global à établir au </t>
  </si>
  <si>
    <t xml:space="preserve">Exercice </t>
  </si>
  <si>
    <t xml:space="preserve">Total exercice </t>
  </si>
  <si>
    <t>3</t>
  </si>
  <si>
    <t>1</t>
  </si>
  <si>
    <t>BF</t>
  </si>
  <si>
    <t>Les présents états financiers ont été établis en conformité avec le Système comptable OHADA et l'Acte Uniforme relatif au Droit Comptable et à l'information financière</t>
  </si>
  <si>
    <t>Les présents états financiers ont été élaborés en respect des postulats, des conventions et des règles d'évaluation édictés par le SYSCOHADA et l'Acte Uniforme</t>
  </si>
  <si>
    <t>Tous les postulats et conventions comptables ont été respectés sans dérogations</t>
  </si>
  <si>
    <t>Le niveau de la caisse au 31/12/2018 représente les recettes du 28 et 31 décembre 2018.</t>
  </si>
  <si>
    <t>8A</t>
  </si>
  <si>
    <t>SAM CONSEILS</t>
  </si>
  <si>
    <t>00084404X</t>
  </si>
  <si>
    <t>Téléphone</t>
  </si>
  <si>
    <t>Désignation de l'activité principale</t>
  </si>
  <si>
    <t>Qualité du signataire</t>
  </si>
  <si>
    <t>Boîte Postale:</t>
  </si>
  <si>
    <t>BALANCE N-1</t>
  </si>
  <si>
    <t>Soldes d'ouverture</t>
  </si>
  <si>
    <t>Mouvements</t>
  </si>
  <si>
    <t xml:space="preserve">Soldes </t>
  </si>
  <si>
    <t>Débiteur</t>
  </si>
  <si>
    <t>Intitulés</t>
  </si>
  <si>
    <t>Créditeur</t>
  </si>
  <si>
    <r>
      <t xml:space="preserve">Terrains                      </t>
    </r>
    <r>
      <rPr>
        <sz val="9"/>
        <color theme="1"/>
        <rFont val="Arial"/>
        <family val="2"/>
      </rPr>
      <t>(dont Placement en net)</t>
    </r>
  </si>
  <si>
    <r>
      <t>Bâtiments</t>
    </r>
    <r>
      <rPr>
        <sz val="9"/>
        <color theme="1"/>
        <rFont val="Arial"/>
        <family val="2"/>
      </rPr>
      <t xml:space="preserve">                       (dont Placement en net)</t>
    </r>
  </si>
  <si>
    <t xml:space="preserve"> - Variation Actif circulant HAO (1)</t>
  </si>
  <si>
    <t>Capital souscrit, non appelé</t>
  </si>
  <si>
    <t>Capital souscrit, appelé, non versé</t>
  </si>
  <si>
    <t>Capital souscrit, appelé, versé non amorti</t>
  </si>
  <si>
    <t>Apporteurs, capital souscrit, non appelé</t>
  </si>
  <si>
    <t>Réserve légale</t>
  </si>
  <si>
    <t>Résultat net</t>
  </si>
  <si>
    <t>Subvention d’investissement</t>
  </si>
  <si>
    <t>Provisions spéciales de réévaluation</t>
  </si>
  <si>
    <t>Emprunt bancaire</t>
  </si>
  <si>
    <t>Cautionnements reçus</t>
  </si>
  <si>
    <t>Provisions pour pensions et obligations similaires</t>
  </si>
  <si>
    <t>Logiciels</t>
  </si>
  <si>
    <t>Fonds commercial</t>
  </si>
  <si>
    <t>Terrains bâtis</t>
  </si>
  <si>
    <t>Aménagement de terrain en cours</t>
  </si>
  <si>
    <t>Bâtiments industriels sur sol propre</t>
  </si>
  <si>
    <t>Bâtiments industriels sur sol d’autrui</t>
  </si>
  <si>
    <t>Installations générales</t>
  </si>
  <si>
    <t>Autres installations et agencements</t>
  </si>
  <si>
    <t>Matériel industriel</t>
  </si>
  <si>
    <t>Matériel de bureau</t>
  </si>
  <si>
    <t>Matériel informatique</t>
  </si>
  <si>
    <t>Mobilier de bureau</t>
  </si>
  <si>
    <t>Matériel automobile</t>
  </si>
  <si>
    <t>Avance acompte sur immobilisation</t>
  </si>
  <si>
    <t>Autres prêts au personnel</t>
  </si>
  <si>
    <t>Dépôts et cautionnement électricité</t>
  </si>
  <si>
    <t>Dépôts et caution. Eau</t>
  </si>
  <si>
    <t>Dépôt/téléphone télex télécopie</t>
  </si>
  <si>
    <t>Autres dépôts et cautionnements</t>
  </si>
  <si>
    <t>Amortissement des bâtiments industriels</t>
  </si>
  <si>
    <t>Amortissement des instal. Générales</t>
  </si>
  <si>
    <t>Amortissement du matériel industriel</t>
  </si>
  <si>
    <t>Amortissement du matériel de bureau</t>
  </si>
  <si>
    <t>Amortissement du matériel informatique</t>
  </si>
  <si>
    <t>Amortissement du mobilier de bureau</t>
  </si>
  <si>
    <t>Amortissement du matériel automobile</t>
  </si>
  <si>
    <t>Stock marchandises</t>
  </si>
  <si>
    <t>Stock de matières premières</t>
  </si>
  <si>
    <t>Stocks emballages</t>
  </si>
  <si>
    <t>Fournisseurs</t>
  </si>
  <si>
    <t>Fournisseurs fac. Non parvenues</t>
  </si>
  <si>
    <t>Fournisseurs, avances et acomptes</t>
  </si>
  <si>
    <t>Créances douteuses</t>
  </si>
  <si>
    <t>Personnel avances &amp; acomptes</t>
  </si>
  <si>
    <t>Personnel frais avances</t>
  </si>
  <si>
    <t>Personnel saisies- arrêts</t>
  </si>
  <si>
    <t>Allocations familiales</t>
  </si>
  <si>
    <t>Personnel dépôts</t>
  </si>
  <si>
    <t>Pers locaux congés à payer</t>
  </si>
  <si>
    <t>Pers non national congés à payer</t>
  </si>
  <si>
    <t>Caisse sécurité sociale</t>
  </si>
  <si>
    <t>Mutuelle de sante</t>
  </si>
  <si>
    <t>Charges sociales / congés</t>
  </si>
  <si>
    <t>Etat impôt sur les sociétés</t>
  </si>
  <si>
    <t>Etat impôts et taxes</t>
  </si>
  <si>
    <t>Etat tva facturée</t>
  </si>
  <si>
    <t>Etat tva due</t>
  </si>
  <si>
    <t>Etat impôts retenue à la source</t>
  </si>
  <si>
    <t>Compte courant associés</t>
  </si>
  <si>
    <t>Associés dividendes à payer</t>
  </si>
  <si>
    <t>Apporteurs restant dû sur capital appelé</t>
  </si>
  <si>
    <t>Débiteurs divers</t>
  </si>
  <si>
    <t>Charges constatées d'avance</t>
  </si>
  <si>
    <t>Produits constatés d'avance</t>
  </si>
  <si>
    <t>Ecart conversion créances clients</t>
  </si>
  <si>
    <t>Ecart conversion emprunts</t>
  </si>
  <si>
    <t>Frs invest. Immobilisation corporelle</t>
  </si>
  <si>
    <t>Frs invest. Fnp</t>
  </si>
  <si>
    <t>Autres créances HAO</t>
  </si>
  <si>
    <t>Créances sur cessions d’immobilisations</t>
  </si>
  <si>
    <t>Dépréciations comptes clients</t>
  </si>
  <si>
    <t>Virements de fonds</t>
  </si>
  <si>
    <t>Achats marchandises</t>
  </si>
  <si>
    <t>Achats matières dans la région</t>
  </si>
  <si>
    <t>Achats fournitures</t>
  </si>
  <si>
    <t>Variations stocks de marchandises</t>
  </si>
  <si>
    <t>Variation stocks matières premières</t>
  </si>
  <si>
    <t>Variation stocks emballages</t>
  </si>
  <si>
    <t>Achats carburant</t>
  </si>
  <si>
    <t>Fourniture entretien non stockables</t>
  </si>
  <si>
    <t>Achats de petit matériel &amp; outillage</t>
  </si>
  <si>
    <t>Achats d'études prestations service</t>
  </si>
  <si>
    <t>Emballages perdus</t>
  </si>
  <si>
    <t>Voyages et déplacements</t>
  </si>
  <si>
    <t>Transports administratifs</t>
  </si>
  <si>
    <t>Location de bâtiments</t>
  </si>
  <si>
    <t>Location véhicules et parking</t>
  </si>
  <si>
    <t>Location de machines</t>
  </si>
  <si>
    <t>Entretiens &amp; réparations biens immobiliers</t>
  </si>
  <si>
    <t>Entretiens &amp; réparations biens mobiliers</t>
  </si>
  <si>
    <t>Maintenance</t>
  </si>
  <si>
    <t>Hygiène et services assimilés</t>
  </si>
  <si>
    <t>Assurances multirisques</t>
  </si>
  <si>
    <t>Assurances matériel de transport</t>
  </si>
  <si>
    <t>Frais de téléphone</t>
  </si>
  <si>
    <t>Autres frais télécommunications</t>
  </si>
  <si>
    <t>Frais virements/règlement clients</t>
  </si>
  <si>
    <t>Honoraires expert-comptable</t>
  </si>
  <si>
    <t>Honoraires notaires</t>
  </si>
  <si>
    <t>Honoraires analyses</t>
  </si>
  <si>
    <t>Frais d'acte et de contentieux</t>
  </si>
  <si>
    <t>Certificat de salubrité</t>
  </si>
  <si>
    <t>Droit d’entrée port</t>
  </si>
  <si>
    <t>Autres redevances</t>
  </si>
  <si>
    <t>Cotisation syndicale patronale</t>
  </si>
  <si>
    <t>Réceptions</t>
  </si>
  <si>
    <t>Prestations diverses</t>
  </si>
  <si>
    <t>Droits enregistrement aug. Capital</t>
  </si>
  <si>
    <t>Droits de timbres</t>
  </si>
  <si>
    <t>Vignettes</t>
  </si>
  <si>
    <t>Pénalités TVA</t>
  </si>
  <si>
    <t>Salaires bruts nationaux</t>
  </si>
  <si>
    <t>Congés payés au personnel national.</t>
  </si>
  <si>
    <t>Autres rémunérations directes</t>
  </si>
  <si>
    <t>Salaires bruts non nationaux</t>
  </si>
  <si>
    <t>Congés payés au personnel .non national</t>
  </si>
  <si>
    <t>Indemnités de logement</t>
  </si>
  <si>
    <t>Primes de transport</t>
  </si>
  <si>
    <t>Autres indemnités &amp; avantages divers</t>
  </si>
  <si>
    <t>Charges de sécurité sociale - permanents</t>
  </si>
  <si>
    <t>Charge de sécurité sociale - journaliers</t>
  </si>
  <si>
    <t>Charges sociales -  caisse retraite</t>
  </si>
  <si>
    <t>Charges sociales - mutuelle</t>
  </si>
  <si>
    <t>Charges sociales - caisse retraite complémentaire</t>
  </si>
  <si>
    <t>Médecine du travail et pharmacie</t>
  </si>
  <si>
    <t>Equipements personnel</t>
  </si>
  <si>
    <t>Intérêt emprunts</t>
  </si>
  <si>
    <t>Dotations aux amortissements biens corporels</t>
  </si>
  <si>
    <t>Dotations aux provisions pour risques</t>
  </si>
  <si>
    <t>Ventes marchandises</t>
  </si>
  <si>
    <t>Ventes produits finis</t>
  </si>
  <si>
    <t>Retour produits finis</t>
  </si>
  <si>
    <t>Remises et ristournes / ventes produits finis</t>
  </si>
  <si>
    <t>Location villa</t>
  </si>
  <si>
    <t>Locations groupe électrogène</t>
  </si>
  <si>
    <t>Gains de change sur créances commerciales</t>
  </si>
  <si>
    <t>Indemnités assurances</t>
  </si>
  <si>
    <t>Transfert de charges</t>
  </si>
  <si>
    <t>Valeur comptable des cessions d'imm</t>
  </si>
  <si>
    <t>Produits de cession immob corporelles</t>
  </si>
  <si>
    <t>Impôt / bénéfices</t>
  </si>
  <si>
    <t>Capital souscrit, appelé, versé, non amorti</t>
  </si>
  <si>
    <t>Provision pour pensions et obligations assimilées</t>
  </si>
  <si>
    <t>Prêt amicale personnel</t>
  </si>
  <si>
    <t>Amortissement des bâtiments indust.</t>
  </si>
  <si>
    <t>Amortissement du matériel indust.</t>
  </si>
  <si>
    <t>Fournisseurs fac non parvenues</t>
  </si>
  <si>
    <t>Fac. Non parvenues eau</t>
  </si>
  <si>
    <t>Fac. Non parvenues téléphone</t>
  </si>
  <si>
    <t>Fac. Non parvenues électricité</t>
  </si>
  <si>
    <t>Fac. Non parvenues transporteur</t>
  </si>
  <si>
    <t>Fac. Non parvenues avocats</t>
  </si>
  <si>
    <t>R. R. Ristournes &amp; avoirs à accorder</t>
  </si>
  <si>
    <t>Frais médicaux</t>
  </si>
  <si>
    <t>Pers non nat congés à payer</t>
  </si>
  <si>
    <t>Tva facturée / prestation services</t>
  </si>
  <si>
    <t>Etat impôts retenue à la source personnel</t>
  </si>
  <si>
    <t>Etat retenue à la source prestataire</t>
  </si>
  <si>
    <t>Fours d'invest. Fnp</t>
  </si>
  <si>
    <t>Frs invest. effets à payer</t>
  </si>
  <si>
    <t>Dépréciations comptes clts</t>
  </si>
  <si>
    <t>Achats matières premières</t>
  </si>
  <si>
    <t>Variation stock matières premières</t>
  </si>
  <si>
    <t>Variation stock emballage</t>
  </si>
  <si>
    <t>Autres énergies gaz</t>
  </si>
  <si>
    <t>Petits équipements</t>
  </si>
  <si>
    <t>Transport de plis</t>
  </si>
  <si>
    <t>Location machines</t>
  </si>
  <si>
    <t>Maintenance machines</t>
  </si>
  <si>
    <t>Autres entretiens et réparations</t>
  </si>
  <si>
    <t>Documentation générale</t>
  </si>
  <si>
    <t>Annonces insertion</t>
  </si>
  <si>
    <t>Honoraires</t>
  </si>
  <si>
    <t>Droit entrée port</t>
  </si>
  <si>
    <t>Cotisation syndicat patronal</t>
  </si>
  <si>
    <t>Autres droits</t>
  </si>
  <si>
    <t>Autres amendes pénales &amp; fiscales</t>
  </si>
  <si>
    <t>Congés payés au pers. nat.</t>
  </si>
  <si>
    <t>Charges de sécurité sociale-permanents</t>
  </si>
  <si>
    <t>Charges de sécurité sociale- journaliers</t>
  </si>
  <si>
    <t>Charges sociales caisse retraite</t>
  </si>
  <si>
    <t>Charges sociales mutuelle de sante</t>
  </si>
  <si>
    <t>Charges sociales non nationaux</t>
  </si>
  <si>
    <t>Dotations aux amorts biens corporels</t>
  </si>
  <si>
    <t>Avoir / ventes produits finis</t>
  </si>
  <si>
    <t>Remise / ventes produits finis</t>
  </si>
  <si>
    <t>Autres produits accessoires</t>
  </si>
  <si>
    <t>Autres produits divers</t>
  </si>
  <si>
    <t>Transfert charges fret</t>
  </si>
  <si>
    <t>Valeur comptable des cessions d'immobilisation</t>
  </si>
  <si>
    <t>Variation de stock en valeur absolue</t>
  </si>
  <si>
    <t>Securité sociale</t>
  </si>
  <si>
    <t>Charges pour depréciation et provisions pour risques à court terme d'exploitation (voir note 28)</t>
  </si>
  <si>
    <t>Charges HAO constatées (1) à détailler:</t>
  </si>
  <si>
    <t>DME I</t>
  </si>
  <si>
    <t>Immatriculation sociale (CNSS)</t>
  </si>
  <si>
    <t>Code contribuable (IFU)</t>
  </si>
  <si>
    <t>Régistre de commerce (RCCM)</t>
  </si>
  <si>
    <t xml:space="preserve">EXERCICE COMPTABLE: </t>
  </si>
  <si>
    <t xml:space="preserve">NOMBRE DE MOIS </t>
  </si>
  <si>
    <t>DU</t>
  </si>
  <si>
    <t xml:space="preserve">EXERCICE PRECEDENT </t>
  </si>
  <si>
    <t>NOMBRE DE MOIS</t>
  </si>
  <si>
    <t>DATE D'ARRETE DES COMPTES</t>
  </si>
  <si>
    <t>numéro</t>
  </si>
  <si>
    <t>OUAGA</t>
  </si>
  <si>
    <t>2ème code</t>
  </si>
  <si>
    <t>CODE ACTIVITES SECONDAIRES</t>
  </si>
  <si>
    <t>CODE ACTIVITES PRINCIPALES</t>
  </si>
  <si>
    <t>Banque 1</t>
  </si>
  <si>
    <t>Banque 2</t>
  </si>
  <si>
    <t>Banque 3</t>
  </si>
  <si>
    <t>Banque 4</t>
  </si>
  <si>
    <t>Nom &amp; Prénom(s) du signataire</t>
  </si>
  <si>
    <t>Nom du comptable de l'entité</t>
  </si>
  <si>
    <t>AW</t>
  </si>
  <si>
    <t>18</t>
  </si>
  <si>
    <t>15</t>
  </si>
  <si>
    <t>Date du debut d'activité</t>
  </si>
  <si>
    <t>Nom &amp; Prénom de l'exploitant</t>
  </si>
  <si>
    <t>Adresse :</t>
  </si>
  <si>
    <t>Nom et adresse du conseil</t>
  </si>
  <si>
    <t>CHARGES DEDUCTIBLES : LIMITATION (Réintégration IS et BIC)</t>
  </si>
  <si>
    <t xml:space="preserve">D. Frais de siège et assistance technique </t>
  </si>
  <si>
    <r>
      <t xml:space="preserve">Art.62.- </t>
    </r>
    <r>
      <rPr>
        <sz val="12"/>
        <color rgb="FF000000"/>
        <rFont val="Arial"/>
        <family val="2"/>
      </rPr>
      <t xml:space="preserve">Est déductible, dans </t>
    </r>
    <r>
      <rPr>
        <b/>
        <sz val="12"/>
        <color rgb="FF000000"/>
        <rFont val="Arial"/>
        <family val="2"/>
      </rPr>
      <t>la limite de 10 % des frais généraux</t>
    </r>
    <r>
      <rPr>
        <sz val="12"/>
        <color rgb="FF000000"/>
        <rFont val="Arial"/>
        <family val="2"/>
      </rPr>
      <t xml:space="preserve">, le montant cumulé des frais suivants : </t>
    </r>
  </si>
  <si>
    <r>
      <t>-</t>
    </r>
    <r>
      <rPr>
        <sz val="7"/>
        <color rgb="FF000000"/>
        <rFont val="Times New Roman"/>
        <family val="1"/>
      </rPr>
      <t xml:space="preserve">       </t>
    </r>
    <r>
      <rPr>
        <sz val="12"/>
        <color rgb="FF000000"/>
        <rFont val="Arial"/>
        <family val="2"/>
      </rPr>
      <t>la quote-part des frais de siège incombant aux entreprises exploitées au Burkina Faso</t>
    </r>
  </si>
  <si>
    <r>
      <t>-</t>
    </r>
    <r>
      <rPr>
        <sz val="7"/>
        <color rgb="FF000000"/>
        <rFont val="Times New Roman"/>
        <family val="1"/>
      </rPr>
      <t xml:space="preserve">       </t>
    </r>
    <r>
      <rPr>
        <sz val="12"/>
        <color rgb="FF000000"/>
        <rFont val="Arial"/>
        <family val="2"/>
      </rPr>
      <t xml:space="preserve">les frais d’assistance technique, comptable et financière ainsi que les frais d’études et assimilés, versés à des entreprises liées au sens de l’article 66. </t>
    </r>
  </si>
  <si>
    <t xml:space="preserve">E. Commissions et courtages </t>
  </si>
  <si>
    <r>
      <t>Art.63.-</t>
    </r>
    <r>
      <rPr>
        <sz val="12"/>
        <color rgb="FF000000"/>
        <rFont val="Arial"/>
        <family val="2"/>
      </rPr>
      <t xml:space="preserve">Les commissions ou courtages portant sur les marchandises achetées pour le compte d’entreprises exploitées au Burkina Faso sont admises en déduction du bénéfice imposable dans </t>
    </r>
    <r>
      <rPr>
        <b/>
        <sz val="12"/>
        <color rgb="FF000000"/>
        <rFont val="Arial"/>
        <family val="2"/>
      </rPr>
      <t>la limite de 5 % du montant des achats effectués</t>
    </r>
    <r>
      <rPr>
        <sz val="12"/>
        <color rgb="FF000000"/>
        <rFont val="Arial"/>
        <family val="2"/>
      </rPr>
      <t xml:space="preserve"> par les centrales d’achats ou les intermédiaires.</t>
    </r>
  </si>
  <si>
    <t xml:space="preserve">F. Redevance </t>
  </si>
  <si>
    <r>
      <t xml:space="preserve">Art.64.- </t>
    </r>
    <r>
      <rPr>
        <sz val="12"/>
        <color rgb="FF000000"/>
        <rFont val="Arial"/>
        <family val="2"/>
      </rPr>
      <t xml:space="preserve">Les redevances de cession ou concession de licences d’exploitation, de brevets d’invention, de marques de fabrique, procédés ou formules de fabrication et autres droits analogues en cours de validité sont déductibles dans </t>
    </r>
    <r>
      <rPr>
        <b/>
        <sz val="12"/>
        <color rgb="FF000000"/>
        <rFont val="Arial"/>
        <family val="2"/>
      </rPr>
      <t xml:space="preserve">la limite de 3,5 % du chiffre d’affaires hors taxes. </t>
    </r>
  </si>
  <si>
    <t xml:space="preserve">Toutefois, les sommes payées ne sont admises en déduction du bénéfice que si le débiteur apporte la preuve que ces dépenses correspondent à des opérations réelles et qu’elles ne présentent pas de caractère exagéré. </t>
  </si>
  <si>
    <t>Cette limitation ne s’applique pas aux sommes versées aux entreprises ne participant pas directement ou indirectement à la gestion ou au capital d’une entreprise située au Burkina Faso.</t>
  </si>
  <si>
    <t xml:space="preserve">I. Dépenses locatives </t>
  </si>
  <si>
    <t>Art.67 :</t>
  </si>
  <si>
    <r>
      <t>1)</t>
    </r>
    <r>
      <rPr>
        <sz val="12"/>
        <color rgb="FF000000"/>
        <rFont val="Arial"/>
        <family val="2"/>
      </rPr>
      <t xml:space="preserve"> Le montant des loyers des locaux professionnels figurant dans le contrat de bail dûment enregistré est déductible, à condition que le relevé détaillé des loyers prévu à l’article 120 soit effectivement joint à la déclaration annuelle des résultats. </t>
    </r>
  </si>
  <si>
    <r>
      <t>2)</t>
    </r>
    <r>
      <rPr>
        <sz val="12"/>
        <color rgb="FF000000"/>
        <rFont val="Arial"/>
        <family val="2"/>
      </rPr>
      <t xml:space="preserve"> </t>
    </r>
    <r>
      <rPr>
        <b/>
        <sz val="12"/>
        <color rgb="FF000000"/>
        <rFont val="Arial"/>
        <family val="2"/>
      </rPr>
      <t>Lorsqu’un associé dirigeant personne physique détient au moins 10 % des parts ou des actions d’une société, le produit de ses locations de biens meubles consenties à cette société n’est pas déductible.</t>
    </r>
  </si>
  <si>
    <t xml:space="preserve">J. Primes d’assurances </t>
  </si>
  <si>
    <r>
      <t xml:space="preserve">Art.68.- </t>
    </r>
    <r>
      <rPr>
        <sz val="12"/>
        <color rgb="FF000000"/>
        <rFont val="Arial"/>
        <family val="2"/>
      </rPr>
      <t>Les primes d’assurance sont déductibles à la condition qu’elles couvrent des risques dont la réalisation entraîne une diminution de l’actif net de l’entreprise.</t>
    </r>
  </si>
  <si>
    <r>
      <t>-</t>
    </r>
    <r>
      <rPr>
        <sz val="7"/>
        <color rgb="FF000000"/>
        <rFont val="Times New Roman"/>
        <family val="1"/>
      </rPr>
      <t xml:space="preserve">       </t>
    </r>
    <r>
      <rPr>
        <b/>
        <sz val="11.5"/>
        <color rgb="FF000000"/>
        <rFont val="Arial"/>
        <family val="2"/>
      </rPr>
      <t xml:space="preserve">les primes versées aux sociétés d’assurance burkinabè en raison de contrats d’assurance maladie </t>
    </r>
    <r>
      <rPr>
        <sz val="11.5"/>
        <color rgb="FF000000"/>
        <rFont val="Arial"/>
        <family val="2"/>
      </rPr>
      <t xml:space="preserve">conclus au profit de l’ensemble du personnel ou d’au moins une ou plusieurs catégories du personnel ne sont déductibles que dans </t>
    </r>
    <r>
      <rPr>
        <b/>
        <sz val="11.5"/>
        <color rgb="FF000000"/>
        <rFont val="Arial"/>
        <family val="2"/>
      </rPr>
      <t xml:space="preserve">la limite de 5 % de la masse salariale du personnel effectivement assuré. </t>
    </r>
  </si>
  <si>
    <t xml:space="preserve">K. Frais d’hôtels et de restaurants </t>
  </si>
  <si>
    <r>
      <t>Art.69.-</t>
    </r>
    <r>
      <rPr>
        <sz val="12"/>
        <color rgb="FF000000"/>
        <rFont val="Arial"/>
        <family val="2"/>
      </rPr>
      <t xml:space="preserve"> Les frais d’hôtels et de restaurants justifiés par des factures sont admis en déduction dans la limite de cinq pour mille (5 ‰) du montant du chiffre d’affaires hors taxes. </t>
    </r>
  </si>
  <si>
    <t xml:space="preserve">Cette limite ne s’applique pas : </t>
  </si>
  <si>
    <r>
      <t>-</t>
    </r>
    <r>
      <rPr>
        <sz val="7"/>
        <color rgb="FF000000"/>
        <rFont val="Times New Roman"/>
        <family val="1"/>
      </rPr>
      <t xml:space="preserve">       </t>
    </r>
    <r>
      <rPr>
        <sz val="12"/>
        <color rgb="FF000000"/>
        <rFont val="Arial"/>
        <family val="2"/>
      </rPr>
      <t xml:space="preserve">aux frais engagés directement pour l’exécution d’un contrat dans une région administrative ou dans un pays où le contribuable n’a pas d’installation fixe ; </t>
    </r>
  </si>
  <si>
    <r>
      <t>-</t>
    </r>
    <r>
      <rPr>
        <sz val="7"/>
        <color rgb="FF000000"/>
        <rFont val="Times New Roman"/>
        <family val="1"/>
      </rPr>
      <t xml:space="preserve">       </t>
    </r>
    <r>
      <rPr>
        <sz val="12"/>
        <color rgb="FF000000"/>
        <rFont val="Arial"/>
        <family val="2"/>
      </rPr>
      <t xml:space="preserve">aux frais engagés dans le cadre du détachement ou de l’expatriation du personnel de la société. </t>
    </r>
  </si>
  <si>
    <t xml:space="preserve">L. Frais publicitaires </t>
  </si>
  <si>
    <r>
      <t>Art.70.-</t>
    </r>
    <r>
      <rPr>
        <sz val="12"/>
        <color rgb="FF000000"/>
        <rFont val="Arial"/>
        <family val="2"/>
      </rPr>
      <t xml:space="preserve"> </t>
    </r>
    <r>
      <rPr>
        <b/>
        <sz val="12"/>
        <color rgb="FF000000"/>
        <rFont val="Arial"/>
        <family val="2"/>
      </rPr>
      <t>Les cadeaux et objets spécialement conçus pour la publicité</t>
    </r>
    <r>
      <rPr>
        <sz val="12"/>
        <color rgb="FF000000"/>
        <rFont val="Arial"/>
        <family val="2"/>
      </rPr>
      <t xml:space="preserve"> sont déductibles s’ils sont justifiés par des factures et dans </t>
    </r>
    <r>
      <rPr>
        <b/>
        <sz val="12"/>
        <color rgb="FF000000"/>
        <rFont val="Arial"/>
        <family val="2"/>
      </rPr>
      <t>les limites de deux pour mille (2 ‰) du chiffre d’affaires hors taxe.</t>
    </r>
  </si>
  <si>
    <t xml:space="preserve">M. Libéralités, dons, subventions </t>
  </si>
  <si>
    <r>
      <t xml:space="preserve">Art.71.- </t>
    </r>
    <r>
      <rPr>
        <sz val="11.5"/>
        <color rgb="FF000000"/>
        <rFont val="Arial"/>
        <family val="2"/>
      </rPr>
      <t xml:space="preserve">Les versements effectués au profit des fondations, des associations sportives et culturelles, d’œuvres ou organismes d’intérêt général à caractère philanthropique, éducatif, scientifique, social reconnus d’utilité publique par l’autorité compétente, sont déductibles dans </t>
    </r>
    <r>
      <rPr>
        <b/>
        <sz val="11.5"/>
        <color rgb="FF000000"/>
        <rFont val="Arial"/>
        <family val="2"/>
      </rPr>
      <t>la limite de trois pour mille (3 ‰) du chiffre d’affaires hors taxe.</t>
    </r>
    <r>
      <rPr>
        <sz val="11.5"/>
        <color rgb="FF000000"/>
        <rFont val="Arial"/>
        <family val="2"/>
      </rPr>
      <t xml:space="preserve"> </t>
    </r>
  </si>
  <si>
    <t xml:space="preserve">Le bénéfice de cette disposition est subordonné à la double condition que : </t>
  </si>
  <si>
    <r>
      <t>-</t>
    </r>
    <r>
      <rPr>
        <sz val="7"/>
        <color rgb="FF000000"/>
        <rFont val="Times New Roman"/>
        <family val="1"/>
      </rPr>
      <t xml:space="preserve">       </t>
    </r>
    <r>
      <rPr>
        <sz val="11.5"/>
        <color rgb="FF000000"/>
        <rFont val="Arial"/>
        <family val="2"/>
      </rPr>
      <t xml:space="preserve">soit joint à la déclaration des résultats un relevé indiquant les montants, la date des versements et l’identité des bénéficiaires ; </t>
    </r>
  </si>
  <si>
    <r>
      <t>-</t>
    </r>
    <r>
      <rPr>
        <sz val="7"/>
        <color rgb="FF000000"/>
        <rFont val="Times New Roman"/>
        <family val="1"/>
      </rPr>
      <t xml:space="preserve">       </t>
    </r>
    <r>
      <rPr>
        <sz val="11.5"/>
        <color rgb="FF000000"/>
        <rFont val="Arial"/>
        <family val="2"/>
      </rPr>
      <t>le résultat net imposable avant déduction de ces versements soit positif.</t>
    </r>
  </si>
  <si>
    <t xml:space="preserve">N. Charges financières </t>
  </si>
  <si>
    <r>
      <t>Art.72</t>
    </r>
    <r>
      <rPr>
        <sz val="11.5"/>
        <color rgb="FF000000"/>
        <rFont val="Arial"/>
        <family val="2"/>
      </rPr>
      <t xml:space="preserve">.- 1) Sont notamment déductibles au titre des charges financières : </t>
    </r>
  </si>
  <si>
    <r>
      <t>-</t>
    </r>
    <r>
      <rPr>
        <sz val="7"/>
        <color rgb="FF000000"/>
        <rFont val="Times New Roman"/>
        <family val="1"/>
      </rPr>
      <t xml:space="preserve">       </t>
    </r>
    <r>
      <rPr>
        <sz val="11.5"/>
        <color rgb="FF000000"/>
        <rFont val="Arial"/>
        <family val="2"/>
      </rPr>
      <t>les intérêts servis aux associés à raison des sommes versées par eux dans la caisse sociale, en sus de leur part de capital, quelle que soit la forme de la société, dans la limite de ceux calculés au taux d’intérêt légal majoré de deux (2) points ;</t>
    </r>
  </si>
  <si>
    <r>
      <t>-</t>
    </r>
    <r>
      <rPr>
        <sz val="7"/>
        <color rgb="FF000000"/>
        <rFont val="Times New Roman"/>
        <family val="1"/>
      </rPr>
      <t xml:space="preserve">       </t>
    </r>
    <r>
      <rPr>
        <sz val="11.5"/>
        <color rgb="FF000000"/>
        <rFont val="Arial"/>
        <family val="2"/>
      </rPr>
      <t xml:space="preserve">les intérêts des emprunts réalisés par les sociétés auprès des personnes physiques ou morales non domiciliées ou non résidentes au Burkina Faso, autres que les banques et établissements financiers, à condition que ces emprunts soient justifiés et ce, dans la limite du taux d’intérêt légal. </t>
    </r>
  </si>
  <si>
    <t xml:space="preserve">3) Cette déduction est subordonnée à la condition que le capital de la société ait été entièrement libéré, qu’il s’agisse de constitution de société ou d’augmentation de capital. </t>
  </si>
  <si>
    <t>4) Le montant total des intérêts déductibles ne peut pas excéder 15 % de l’excédent brut d’exploitation ; cette disposition ne s’applique pas aux banques et aux établissements financiers.</t>
  </si>
  <si>
    <t>O. Impôts, taxes, amendes et pénalités diverses</t>
  </si>
  <si>
    <r>
      <t>Art.74.- 1)</t>
    </r>
    <r>
      <rPr>
        <sz val="11.5"/>
        <color rgb="FF000000"/>
        <rFont val="Arial"/>
        <family val="2"/>
      </rPr>
      <t xml:space="preserve"> Sont déductibles les impôts à la charge de l’entreprise mis en recouvrement au cours de l’exercice, à l’exception de l’impôt sur les sociétés et du minimum forfaitaire de perception.</t>
    </r>
  </si>
  <si>
    <r>
      <t>3)</t>
    </r>
    <r>
      <rPr>
        <sz val="11.5"/>
        <color rgb="FF000000"/>
        <rFont val="Arial"/>
        <family val="2"/>
      </rPr>
      <t xml:space="preserve"> Toutefois, les montants des transactions, amendes, confiscations, pénalités et majorations de toute nature mises à la charge des contrevenants à la législation fiscale, douanière et sociale, à la réglementation des prix, de circulation ou de consommation et, d’une manière générale, aux lois et règlements de l’État ne sont pas admis en déduction des bénéfices soumis à l’impôt.</t>
    </r>
  </si>
  <si>
    <t>P. Amortissements</t>
  </si>
  <si>
    <t>2) Ne sont pas déductibles, les amortissements se rapportant à des biens meubles et immeubles inscrits à l’actif du bilan de la société et n’ayant pas fait l’objet de mutation au nom de la société.</t>
  </si>
  <si>
    <t>Toutefois, le locataire peut déduire les amortissements des biens loués dans le cadre d’un contrat de crédit-bail ou de location-vente. La durée d’amortissement de ces biens est réputée coïncider avec leur durée d’utilité.</t>
  </si>
  <si>
    <t>3) Les dépenses d’acquisition inférieures à cent mille (100 000) francs CFA sont admises en charges déductibles au titre de l’exercice d’acquisition.</t>
  </si>
  <si>
    <t xml:space="preserve">Q. Provisions </t>
  </si>
  <si>
    <r>
      <t xml:space="preserve">Art.79.- </t>
    </r>
    <r>
      <rPr>
        <sz val="11.5"/>
        <color rgb="FF000000"/>
        <rFont val="Arial"/>
        <family val="2"/>
      </rPr>
      <t>Sont admises en déduction, les provisions constituées en vue de faire face à des pertes ou charges nettement précisées et que les événements en cours rendent probables, à condition qu’elles aient été effectivement constatées dans les écritures de l’exercice et figurent au relevé des provisions.</t>
    </r>
  </si>
  <si>
    <r>
      <t xml:space="preserve">Art.81.- </t>
    </r>
    <r>
      <rPr>
        <sz val="11.5"/>
        <color rgb="FF000000"/>
        <rFont val="Arial"/>
        <family val="2"/>
      </rPr>
      <t xml:space="preserve">Ne sont pas admises en déduction : </t>
    </r>
  </si>
  <si>
    <r>
      <t>-</t>
    </r>
    <r>
      <rPr>
        <sz val="7"/>
        <color rgb="FF000000"/>
        <rFont val="Times New Roman"/>
        <family val="1"/>
      </rPr>
      <t xml:space="preserve">       </t>
    </r>
    <r>
      <rPr>
        <sz val="11.5"/>
        <color rgb="FF000000"/>
        <rFont val="Arial"/>
        <family val="2"/>
      </rPr>
      <t xml:space="preserve">la provision pour propre assureur constituée par une entreprise ; </t>
    </r>
  </si>
  <si>
    <r>
      <t>-</t>
    </r>
    <r>
      <rPr>
        <sz val="7"/>
        <color rgb="FF000000"/>
        <rFont val="Times New Roman"/>
        <family val="1"/>
      </rPr>
      <t xml:space="preserve">       </t>
    </r>
    <r>
      <rPr>
        <sz val="11.5"/>
        <color rgb="FF000000"/>
        <rFont val="Arial"/>
        <family val="2"/>
      </rPr>
      <t xml:space="preserve">la provision pour congés payés : </t>
    </r>
  </si>
  <si>
    <r>
      <t>-</t>
    </r>
    <r>
      <rPr>
        <sz val="7"/>
        <color rgb="FF000000"/>
        <rFont val="Times New Roman"/>
        <family val="1"/>
      </rPr>
      <t xml:space="preserve">       </t>
    </r>
    <r>
      <rPr>
        <sz val="11.5"/>
        <color rgb="FF000000"/>
        <rFont val="Arial"/>
        <family val="2"/>
      </rPr>
      <t xml:space="preserve">la provision pour indemnités de départ à la retraite ; </t>
    </r>
  </si>
  <si>
    <r>
      <t>-</t>
    </r>
    <r>
      <rPr>
        <sz val="7"/>
        <color rgb="FF000000"/>
        <rFont val="Times New Roman"/>
        <family val="1"/>
      </rPr>
      <t xml:space="preserve">       </t>
    </r>
    <r>
      <rPr>
        <sz val="11.5"/>
        <color rgb="FF000000"/>
        <rFont val="Arial"/>
        <family val="2"/>
      </rPr>
      <t xml:space="preserve">la provision pour dépréciation des immobilisations amortissables ; </t>
    </r>
  </si>
  <si>
    <r>
      <t>-</t>
    </r>
    <r>
      <rPr>
        <sz val="7"/>
        <color rgb="FF000000"/>
        <rFont val="Times New Roman"/>
        <family val="1"/>
      </rPr>
      <t xml:space="preserve">       </t>
    </r>
    <r>
      <rPr>
        <sz val="11.5"/>
        <color rgb="FF000000"/>
        <rFont val="Arial"/>
        <family val="2"/>
      </rPr>
      <t xml:space="preserve">la provision pour pertes de change. </t>
    </r>
  </si>
  <si>
    <r>
      <t xml:space="preserve">R. </t>
    </r>
    <r>
      <rPr>
        <b/>
        <i/>
        <sz val="11.5"/>
        <color rgb="FF000000"/>
        <rFont val="Arial"/>
        <family val="2"/>
      </rPr>
      <t xml:space="preserve">Reports déficitaires </t>
    </r>
  </si>
  <si>
    <r>
      <t>Art.83.-</t>
    </r>
    <r>
      <rPr>
        <sz val="12"/>
        <color rgb="FF000000"/>
        <rFont val="Arial"/>
        <family val="2"/>
      </rPr>
      <t xml:space="preserve"> Le déficit constaté au cours d’un exercice est considéré comme une charge déductible du bénéfice imposable de l’exercice suivant. </t>
    </r>
  </si>
  <si>
    <r>
      <t xml:space="preserve">Si ce bénéfice n’est pas suffisant pour que la déduction puisse être intégralement opérée, il est procédé à un report déficitaire sur les exercices suivants </t>
    </r>
    <r>
      <rPr>
        <b/>
        <sz val="12"/>
        <color rgb="FF000000"/>
        <rFont val="Arial"/>
        <family val="2"/>
      </rPr>
      <t xml:space="preserve">jusqu’au cinquième exercice qui suit l’exercice déficitaire. </t>
    </r>
  </si>
  <si>
    <t>Les amortissements régulièrement comptabilisés mais réputés différés en période déficitaire sont considérés comme des déficits ordinaires.</t>
  </si>
  <si>
    <r>
      <t xml:space="preserve">S. </t>
    </r>
    <r>
      <rPr>
        <b/>
        <i/>
        <sz val="11.5"/>
        <color rgb="FF000000"/>
        <rFont val="Arial"/>
        <family val="2"/>
      </rPr>
      <t xml:space="preserve">Dépenses somptuaires </t>
    </r>
  </si>
  <si>
    <r>
      <t>Art.84.-</t>
    </r>
    <r>
      <rPr>
        <sz val="12"/>
        <color rgb="FF000000"/>
        <rFont val="Arial"/>
        <family val="2"/>
      </rPr>
      <t xml:space="preserve"> Sont exclues des charges déductibles, les dépenses de toute nature ayant trait à l’exercice de la chasse et de la pêche sportives, à l’utilisation des bateaux de plaisance, d’aéronefs de tourisme ou de résidences d’agrément et de toutes autres dépenses à caractère somptuaire, que ce soit sous la forme d’allocations forfaitaires ou de remboursement de frais.</t>
    </r>
  </si>
  <si>
    <t>CONDITIONS SPECIFIQUES DE DETERMINATION DU BIC</t>
  </si>
  <si>
    <r>
      <t>Art.6.-</t>
    </r>
    <r>
      <rPr>
        <sz val="12"/>
        <color rgb="FF000000"/>
        <rFont val="Arial"/>
        <family val="2"/>
      </rPr>
      <t xml:space="preserve"> Le bénéfice imposable est déterminé dans les mêmes conditions que celles prévues en matière d’impôt sur les sociétés. </t>
    </r>
  </si>
  <si>
    <r>
      <t>Art.7.-</t>
    </r>
    <r>
      <rPr>
        <sz val="12"/>
        <color rgb="FF000000"/>
        <rFont val="Arial"/>
        <family val="2"/>
      </rPr>
      <t xml:space="preserve"> À l’exclusion des revenus des capitaux mobiliers et des produits de la location des immeubles bâtis et non bâtis qui ne sont pas inscrits à l’actif du bilan de l’entreprise, les produits taxables sont ceux visés à l’article 51.</t>
    </r>
  </si>
  <si>
    <r>
      <t>Art.11.-</t>
    </r>
    <r>
      <rPr>
        <sz val="12"/>
        <color rgb="FF000000"/>
        <rFont val="Arial"/>
        <family val="2"/>
      </rPr>
      <t xml:space="preserve"> En ce qui concerne les dépenses mixtes qui se rapportent à la fois à l’exercice de la profession et aux besoins personnels de l’exploitant, il y a lieu de faire une ventilation en vue de déterminer la fraction desdites dépenses qui se rapporte à l’exploitation. À défaut de pouvoir déterminer précisément cette fraction, il est retenu forfaitairement deux tiers (2/3) du montant desdites charges. </t>
    </r>
  </si>
  <si>
    <t>N - 1</t>
  </si>
  <si>
    <t>N - 2</t>
  </si>
  <si>
    <t>N - 3</t>
  </si>
  <si>
    <t>N - 4</t>
  </si>
  <si>
    <t>N - 5</t>
  </si>
  <si>
    <t>Déficits reportables</t>
  </si>
  <si>
    <t>Exercice</t>
  </si>
  <si>
    <t>DEFICITS REPORTABLES</t>
  </si>
  <si>
    <t>VI</t>
  </si>
  <si>
    <t xml:space="preserve">BENEFICE OU PERTE </t>
  </si>
  <si>
    <t>V</t>
  </si>
  <si>
    <t>IV</t>
  </si>
  <si>
    <r>
      <t xml:space="preserve">TOTAL DES DEDUCTIONS  </t>
    </r>
    <r>
      <rPr>
        <b/>
        <sz val="14"/>
        <rFont val="Arial"/>
        <family val="2"/>
      </rPr>
      <t>-</t>
    </r>
  </si>
  <si>
    <t>III</t>
  </si>
  <si>
    <t>TOTAL DES REINTEGRATIONS  +</t>
  </si>
  <si>
    <t xml:space="preserve"> REINTEGRATIONS :</t>
  </si>
  <si>
    <t>II</t>
  </si>
  <si>
    <t xml:space="preserve">        BENEFICE NET COMPTABLE OU PERTE NETTE COMPTABLE</t>
  </si>
  <si>
    <r>
      <t xml:space="preserve"> DEDUCTIONS</t>
    </r>
    <r>
      <rPr>
        <b/>
        <sz val="8"/>
        <rFont val="Arial"/>
        <family val="2"/>
      </rPr>
      <t xml:space="preserve"> </t>
    </r>
    <r>
      <rPr>
        <b/>
        <sz val="11"/>
        <rFont val="Arial"/>
        <family val="2"/>
      </rPr>
      <t>(à détailler obligatoirement sur feuillet séparé)</t>
    </r>
  </si>
  <si>
    <t xml:space="preserve">                    MONTANT DES DEFICITES ANTERIEURS IMPUTES SUR LE RESULTAT</t>
  </si>
  <si>
    <t>Régime d'imposition</t>
  </si>
  <si>
    <t>RSI</t>
  </si>
  <si>
    <t>Premier Exercice</t>
  </si>
  <si>
    <t>NON</t>
  </si>
  <si>
    <t>Adhérent CGA</t>
  </si>
  <si>
    <t>RNI</t>
  </si>
  <si>
    <t>EI RSI</t>
  </si>
  <si>
    <t>EI RNI</t>
  </si>
  <si>
    <t>Resultat EI</t>
  </si>
  <si>
    <t>Resultat final</t>
  </si>
  <si>
    <t>Resultat IS</t>
  </si>
  <si>
    <t>SAMBA BONIFACE</t>
  </si>
  <si>
    <t>Adherent CGA IS RSI</t>
  </si>
  <si>
    <t>Adherent CGA EI RSI</t>
  </si>
  <si>
    <t xml:space="preserve"> ELEMENTS DE CALCULS DE L'IMPOT SUR LES BENEFICES</t>
  </si>
  <si>
    <t>Abattement CGA (30%) LOI N°058-2017/AN</t>
  </si>
  <si>
    <t>Compte de Resultat</t>
  </si>
  <si>
    <t>BAV</t>
  </si>
  <si>
    <t>Abattement CGA</t>
  </si>
  <si>
    <t>Calculs intermediaires de l'impôt</t>
  </si>
  <si>
    <t>Taux d'imposition</t>
  </si>
  <si>
    <t>IS</t>
  </si>
  <si>
    <t>BIC</t>
  </si>
  <si>
    <t>Tranche</t>
  </si>
  <si>
    <t>IS/BIC</t>
  </si>
  <si>
    <t>MFP</t>
  </si>
  <si>
    <t>Calcul tranche</t>
  </si>
  <si>
    <t>(Charges ou pertes non déductibles ou partiellement déductibles du point de vue fiscal)</t>
  </si>
  <si>
    <r>
      <t>RESULTAT FISCAL</t>
    </r>
    <r>
      <rPr>
        <b/>
        <sz val="11"/>
        <rFont val="Arial"/>
        <family val="2"/>
      </rPr>
      <t xml:space="preserve"> AVANT IMPUTATION DES DEFICITS REPORTABLES      </t>
    </r>
  </si>
  <si>
    <t>ACOMPTES ET CREDIT D'IMPOTS</t>
  </si>
  <si>
    <t xml:space="preserve">ACOMPTES PROVISIONNELS (ACOMPTE 1+2+3) </t>
  </si>
  <si>
    <t>Minimum forfaitaire declarés (Entreprise individuelle)</t>
  </si>
  <si>
    <t>(1) à l’exclusion des variations des créances et dettes liées aux activités d’investissement (variation des créances sur cession  d’immobilisation et des dettes sur acquisition ou production d’immobilisation) et de financement (par exemple : variation des créances sur subventions d’investissements reçues).</t>
  </si>
  <si>
    <t>BALANCE N</t>
  </si>
  <si>
    <t>Mouvements N</t>
  </si>
  <si>
    <t>Soldes N</t>
  </si>
  <si>
    <t xml:space="preserve">Soldes d'ouverture </t>
  </si>
  <si>
    <t>N°</t>
  </si>
  <si>
    <t>INTITULE</t>
  </si>
  <si>
    <t>RENVOIE</t>
  </si>
  <si>
    <t>Entité</t>
  </si>
  <si>
    <t>Ecarts de conversion et transferts de charges</t>
  </si>
  <si>
    <t>NOTE 12</t>
  </si>
  <si>
    <t>Balance n</t>
  </si>
  <si>
    <t>Capital : valeur nominale des actions ou parts</t>
  </si>
  <si>
    <t>NOTE 13</t>
  </si>
  <si>
    <t>Balance n-1</t>
  </si>
  <si>
    <t>Primes et réserves</t>
  </si>
  <si>
    <t>NOTE 14</t>
  </si>
  <si>
    <t xml:space="preserve">Page de garde </t>
  </si>
  <si>
    <t>Subventions et provisions règlementées</t>
  </si>
  <si>
    <t>NOTE 15 A</t>
  </si>
  <si>
    <t>Fiche d'identification et renseignements divers 1</t>
  </si>
  <si>
    <t>Fiche R1</t>
  </si>
  <si>
    <t>Autres fonds propres</t>
  </si>
  <si>
    <t>NOTE 15 B</t>
  </si>
  <si>
    <t>Fiche d'identification et renseignements divers 2</t>
  </si>
  <si>
    <t>Fiche R2</t>
  </si>
  <si>
    <t>NOTE 16A</t>
  </si>
  <si>
    <t>Fiche d'identification et renseignements divers 3</t>
  </si>
  <si>
    <t>Fiche R3</t>
  </si>
  <si>
    <t>Engagements  de retraite et avantages assimiles (méthode actuarielle)</t>
  </si>
  <si>
    <t>NOTE 16 B</t>
  </si>
  <si>
    <t>Fiche recapitulative des Notes annexes présentées</t>
  </si>
  <si>
    <t>Fiche R4</t>
  </si>
  <si>
    <t>Engagements de retraite et avantages assimiles (méthode actuarielle)</t>
  </si>
  <si>
    <t>NOTE 16 B bis</t>
  </si>
  <si>
    <t>Bilan en paysage</t>
  </si>
  <si>
    <t>Modèle 1</t>
  </si>
  <si>
    <t>Actifs et passifs éventuels</t>
  </si>
  <si>
    <t>NOTE 16 C</t>
  </si>
  <si>
    <t>NOTE 17</t>
  </si>
  <si>
    <t>Dettes  fiscales et sociales</t>
  </si>
  <si>
    <t>NOTE 18</t>
  </si>
  <si>
    <t>Autres dettes et provisions pour risques a court terme</t>
  </si>
  <si>
    <t>NOTE 19</t>
  </si>
  <si>
    <t>Modèle 5</t>
  </si>
  <si>
    <t>Banques, crédit d'escompte et de trésorerie</t>
  </si>
  <si>
    <t>NOTE 20</t>
  </si>
  <si>
    <t>Chiffre d'affaires  et autres produits</t>
  </si>
  <si>
    <t>NOTE 21</t>
  </si>
  <si>
    <t xml:space="preserve">Dettes garanties par des suretés réelles  </t>
  </si>
  <si>
    <t>NOTE 1</t>
  </si>
  <si>
    <t>Achats</t>
  </si>
  <si>
    <t>NOTE 22</t>
  </si>
  <si>
    <t>Informations obligatoires</t>
  </si>
  <si>
    <t>NOTE 2</t>
  </si>
  <si>
    <t>NOTE 23</t>
  </si>
  <si>
    <t>Immobilisation brute</t>
  </si>
  <si>
    <t>NOTE 3A</t>
  </si>
  <si>
    <t>NOTE 24</t>
  </si>
  <si>
    <t>Biens pris en location acquisition</t>
  </si>
  <si>
    <t>NOTE 3 B</t>
  </si>
  <si>
    <t>NOTE 25</t>
  </si>
  <si>
    <t>Immobilisations : amortissements</t>
  </si>
  <si>
    <t>NOTE 3 C</t>
  </si>
  <si>
    <t>NOTE 26</t>
  </si>
  <si>
    <t>Immobilisations : plus-values et moins-value de cession</t>
  </si>
  <si>
    <t>NOTE 3 D</t>
  </si>
  <si>
    <t>NOTE 27 A</t>
  </si>
  <si>
    <t>Informations sur les réévaluations effectuées par l'entité</t>
  </si>
  <si>
    <t>NOTE 3 E</t>
  </si>
  <si>
    <t>Effectifs, masse salariale et personnel extérieur</t>
  </si>
  <si>
    <t>NOTE 27 B</t>
  </si>
  <si>
    <t>Tableau d'étalement des charges immobilisées</t>
  </si>
  <si>
    <t>NOTE 3 F</t>
  </si>
  <si>
    <t>Provisions  et dépréciations inscrites au bilan</t>
  </si>
  <si>
    <t>NOTE 28</t>
  </si>
  <si>
    <t>Immobilisations financières</t>
  </si>
  <si>
    <t>NOTE 4</t>
  </si>
  <si>
    <t>Charges et revenus financiers</t>
  </si>
  <si>
    <t>NOTE 29</t>
  </si>
  <si>
    <t>Actif circulant et dettes circulantes HAO</t>
  </si>
  <si>
    <t>NOTE 5</t>
  </si>
  <si>
    <t>Autres  charges et produits HAO</t>
  </si>
  <si>
    <t>NOTE 30</t>
  </si>
  <si>
    <t>Stocks et encours</t>
  </si>
  <si>
    <t>NOTE 6</t>
  </si>
  <si>
    <t>Répartition du résultat et autres éléments caractéristiques des cinq derniers années</t>
  </si>
  <si>
    <t>NOTE 31</t>
  </si>
  <si>
    <t xml:space="preserve">Clients  </t>
  </si>
  <si>
    <t>NOTE 7</t>
  </si>
  <si>
    <t>Production de l'exercice</t>
  </si>
  <si>
    <t>NOTE 32</t>
  </si>
  <si>
    <t>NOTE 8</t>
  </si>
  <si>
    <t>Achats destines a la production</t>
  </si>
  <si>
    <t>NOTE 33</t>
  </si>
  <si>
    <t>NOTE 9</t>
  </si>
  <si>
    <t>Fiche de synthèse des principaux indicateurs financiers</t>
  </si>
  <si>
    <t>NOTE 34</t>
  </si>
  <si>
    <t>NOTE 10</t>
  </si>
  <si>
    <t>Liste des informations sociales, environnementales et sociétales  à fournir</t>
  </si>
  <si>
    <t>NOTE 35</t>
  </si>
  <si>
    <t>Disponibilités</t>
  </si>
  <si>
    <t>NOTE 11</t>
  </si>
  <si>
    <t>Tables des codes</t>
  </si>
  <si>
    <t>NOTE 36</t>
  </si>
  <si>
    <t>Sommaire</t>
  </si>
  <si>
    <t>Informations</t>
  </si>
  <si>
    <t>Calculs Fiscaux</t>
  </si>
  <si>
    <t>Plage de collage Balance générale de l'exercice N</t>
  </si>
  <si>
    <t>Plage de collageBalance générale de l'exercice N-1</t>
  </si>
  <si>
    <t>Liasse SYSC</t>
  </si>
  <si>
    <t>Guide</t>
  </si>
  <si>
    <r>
      <t>©</t>
    </r>
    <r>
      <rPr>
        <b/>
        <i/>
        <sz val="16"/>
        <color indexed="9"/>
        <rFont val="Arial"/>
        <family val="2"/>
      </rPr>
      <t xml:space="preserve"> SAM Conseils: +22625332878- contact@samconseils.com</t>
    </r>
  </si>
  <si>
    <t>Modèle 4</t>
  </si>
  <si>
    <t>GUIDE D'UTILISATION DU PROGRAMME</t>
  </si>
  <si>
    <t>1011</t>
  </si>
  <si>
    <t xml:space="preserve">Capital souscrit, non appelé </t>
  </si>
  <si>
    <t>1012</t>
  </si>
  <si>
    <t xml:space="preserve">Capital souscrit, appelé, non versé </t>
  </si>
  <si>
    <t>1013</t>
  </si>
  <si>
    <t xml:space="preserve">Capital souscrit, appelé, versé, non amorti </t>
  </si>
  <si>
    <t>1014</t>
  </si>
  <si>
    <t xml:space="preserve">Capital souscrit, appelé, versé,  amorti </t>
  </si>
  <si>
    <t>1018</t>
  </si>
  <si>
    <t xml:space="preserve">Capital souscrit soumis à des conditions particulières </t>
  </si>
  <si>
    <t>1021</t>
  </si>
  <si>
    <t xml:space="preserve">Dotation initiale </t>
  </si>
  <si>
    <t>1022</t>
  </si>
  <si>
    <t xml:space="preserve">Dotations complémentaires </t>
  </si>
  <si>
    <t>1028</t>
  </si>
  <si>
    <t xml:space="preserve">Autres dotations </t>
  </si>
  <si>
    <t>103</t>
  </si>
  <si>
    <t xml:space="preserve">CAPITAL PERSONNEL </t>
  </si>
  <si>
    <t>R</t>
  </si>
  <si>
    <t>1041</t>
  </si>
  <si>
    <t xml:space="preserve">Apports temporaires </t>
  </si>
  <si>
    <t>1042</t>
  </si>
  <si>
    <t xml:space="preserve">Opérations courantes </t>
  </si>
  <si>
    <t>1043</t>
  </si>
  <si>
    <t xml:space="preserve">Rémunérations, impôts et autres charges personnelles </t>
  </si>
  <si>
    <t>1047</t>
  </si>
  <si>
    <t xml:space="preserve">Prélèvements d'autoconsommation </t>
  </si>
  <si>
    <t>1048</t>
  </si>
  <si>
    <t xml:space="preserve">Autres prélèvements </t>
  </si>
  <si>
    <t>1051</t>
  </si>
  <si>
    <t xml:space="preserve">Primes d'émission </t>
  </si>
  <si>
    <t>1052</t>
  </si>
  <si>
    <t xml:space="preserve">Primes d'apport </t>
  </si>
  <si>
    <t>1053</t>
  </si>
  <si>
    <t xml:space="preserve">Primes de fusion </t>
  </si>
  <si>
    <t>1054</t>
  </si>
  <si>
    <t xml:space="preserve">Primes de conversion </t>
  </si>
  <si>
    <t>1058</t>
  </si>
  <si>
    <t xml:space="preserve">Autres primes </t>
  </si>
  <si>
    <t>106</t>
  </si>
  <si>
    <t xml:space="preserve">ECARTS DE REEVALUATION </t>
  </si>
  <si>
    <t>1061</t>
  </si>
  <si>
    <t xml:space="preserve">Ecarts de réévaluation légale </t>
  </si>
  <si>
    <t>1062</t>
  </si>
  <si>
    <t xml:space="preserve">Ecarts de réévaluation libre </t>
  </si>
  <si>
    <t>109</t>
  </si>
  <si>
    <t xml:space="preserve">ACTIONNAIRES, CAPITAL SOUSCRIT, NON APPELE </t>
  </si>
  <si>
    <t>111</t>
  </si>
  <si>
    <t xml:space="preserve">RESERVE LEGALE </t>
  </si>
  <si>
    <t>112</t>
  </si>
  <si>
    <t xml:space="preserve">RESERVES STATUTAIRES OU CONTRACTUELLES </t>
  </si>
  <si>
    <t>1131</t>
  </si>
  <si>
    <t xml:space="preserve">Réserves de plus-values nettes à long terme </t>
  </si>
  <si>
    <t>1132</t>
  </si>
  <si>
    <t>1133</t>
  </si>
  <si>
    <t xml:space="preserve">Réserves consécutives à l'octroi de subventions d'investissement </t>
  </si>
  <si>
    <t>1134</t>
  </si>
  <si>
    <t>Réserves des valeurs mobilières donnant accès au capital</t>
  </si>
  <si>
    <t>1138</t>
  </si>
  <si>
    <t xml:space="preserve">Autres réserves réglementées </t>
  </si>
  <si>
    <t>1181</t>
  </si>
  <si>
    <t xml:space="preserve">Réserves facultatives </t>
  </si>
  <si>
    <t>1188</t>
  </si>
  <si>
    <t xml:space="preserve">Réserves diverses </t>
  </si>
  <si>
    <t>121</t>
  </si>
  <si>
    <t xml:space="preserve">REPORT A NOUVEAU CREDITEUR </t>
  </si>
  <si>
    <t>1291</t>
  </si>
  <si>
    <t xml:space="preserve">Perte nette à reporter </t>
  </si>
  <si>
    <t>1292</t>
  </si>
  <si>
    <t xml:space="preserve">Perte - Amortissements réputés différés </t>
  </si>
  <si>
    <t>1301</t>
  </si>
  <si>
    <t xml:space="preserve">Résultat en instance d'affectation: Bénéfice </t>
  </si>
  <si>
    <t>1309</t>
  </si>
  <si>
    <t xml:space="preserve">Résultat en instance d'affectation: Perte </t>
  </si>
  <si>
    <t>131</t>
  </si>
  <si>
    <t xml:space="preserve">RESULTAT NET : BENEFICE </t>
  </si>
  <si>
    <t>132</t>
  </si>
  <si>
    <t xml:space="preserve">MARGE COMMERCIALE (M.C) </t>
  </si>
  <si>
    <t>133</t>
  </si>
  <si>
    <t xml:space="preserve">VALEUR AJOUTEE (V.A.) </t>
  </si>
  <si>
    <t>134</t>
  </si>
  <si>
    <t xml:space="preserve">EXCEDENT BRUTE D'EXPLOITATION (E.B.E.) </t>
  </si>
  <si>
    <t>135</t>
  </si>
  <si>
    <t xml:space="preserve">RESULTAT D'EXPLOITATION (R.E.) </t>
  </si>
  <si>
    <t>136</t>
  </si>
  <si>
    <t xml:space="preserve">RESULTAT FINANCER (R.F.) </t>
  </si>
  <si>
    <t>137</t>
  </si>
  <si>
    <t xml:space="preserve">RESULTAT DES ACTIVITES ORDINAIRES (R.A.O.) </t>
  </si>
  <si>
    <t>1381</t>
  </si>
  <si>
    <t>Résultat de fusion</t>
  </si>
  <si>
    <t>1382</t>
  </si>
  <si>
    <t>Résultat d'apport partiel d'actif</t>
  </si>
  <si>
    <t>1383</t>
  </si>
  <si>
    <t>Résultat de scission</t>
  </si>
  <si>
    <t>1384</t>
  </si>
  <si>
    <t>Résultat de liquidation</t>
  </si>
  <si>
    <t>139</t>
  </si>
  <si>
    <t xml:space="preserve">RESULTAT NET : PERTE </t>
  </si>
  <si>
    <t>1411</t>
  </si>
  <si>
    <t xml:space="preserve">Etat </t>
  </si>
  <si>
    <t>1412</t>
  </si>
  <si>
    <t xml:space="preserve">Régions </t>
  </si>
  <si>
    <t>1413</t>
  </si>
  <si>
    <t xml:space="preserve">Départements </t>
  </si>
  <si>
    <t>1414</t>
  </si>
  <si>
    <t xml:space="preserve">Communes et collectivités publiques décentralisées </t>
  </si>
  <si>
    <t>1415</t>
  </si>
  <si>
    <t xml:space="preserve">Enttités publiques ou mixtes </t>
  </si>
  <si>
    <t>1416</t>
  </si>
  <si>
    <t xml:space="preserve">Entités et organismes privés </t>
  </si>
  <si>
    <t>1417</t>
  </si>
  <si>
    <t xml:space="preserve">Organismes internationaux </t>
  </si>
  <si>
    <t>1418</t>
  </si>
  <si>
    <t xml:space="preserve">Autres </t>
  </si>
  <si>
    <t>148</t>
  </si>
  <si>
    <t xml:space="preserve">AUTRES SUBVENTIONS D'INVESTISSEMENT </t>
  </si>
  <si>
    <t>151</t>
  </si>
  <si>
    <t xml:space="preserve">AMORTISSEMENTS DEROGATOIRES </t>
  </si>
  <si>
    <t>152</t>
  </si>
  <si>
    <t xml:space="preserve">PLUS-VALUES DE CESSION A REINVESTIR </t>
  </si>
  <si>
    <t>1531</t>
  </si>
  <si>
    <t xml:space="preserve">Fonds national </t>
  </si>
  <si>
    <t>1532</t>
  </si>
  <si>
    <t xml:space="preserve">Prélèvement pour le budget </t>
  </si>
  <si>
    <t>154</t>
  </si>
  <si>
    <t xml:space="preserve">PROVISIONS SPECIALE DE REEVALUATION </t>
  </si>
  <si>
    <t>1551</t>
  </si>
  <si>
    <t xml:space="preserve">Reconstitution des gisements miniers et pétroliers </t>
  </si>
  <si>
    <t>1561</t>
  </si>
  <si>
    <t xml:space="preserve">Hausse de prix </t>
  </si>
  <si>
    <t>1562</t>
  </si>
  <si>
    <t xml:space="preserve">Fluctuation des cours </t>
  </si>
  <si>
    <t>157</t>
  </si>
  <si>
    <t xml:space="preserve">PROVISIONS POUR INVESTISSEMENT </t>
  </si>
  <si>
    <t>158</t>
  </si>
  <si>
    <t xml:space="preserve">AUTRES PROVISIONS ET FONDS REGLEMENTES </t>
  </si>
  <si>
    <t>1611</t>
  </si>
  <si>
    <t xml:space="preserve">Emprunts obligataires ordinaires </t>
  </si>
  <si>
    <t>1612</t>
  </si>
  <si>
    <t>Emprunts obligataires convertibles en actions</t>
  </si>
  <si>
    <t>1613</t>
  </si>
  <si>
    <t>Emprunts obligataires remboursables en actions</t>
  </si>
  <si>
    <t>1618</t>
  </si>
  <si>
    <t xml:space="preserve">Autres emprunts obligataires </t>
  </si>
  <si>
    <t>162</t>
  </si>
  <si>
    <t xml:space="preserve">EMPRUNTS ET DETTES AUPRES DES ETABLISSEMENTS DE CREDIT </t>
  </si>
  <si>
    <t>163</t>
  </si>
  <si>
    <t xml:space="preserve">AVANCES RECUES DE L'ETAT </t>
  </si>
  <si>
    <t>164</t>
  </si>
  <si>
    <t xml:space="preserve">AVANCES RECUES ET COMPTES COURANTS BLOQUES </t>
  </si>
  <si>
    <t>1651</t>
  </si>
  <si>
    <t xml:space="preserve">Dépôts </t>
  </si>
  <si>
    <t>1652</t>
  </si>
  <si>
    <t xml:space="preserve">Cautionnements </t>
  </si>
  <si>
    <t>1661</t>
  </si>
  <si>
    <t xml:space="preserve">sur emprunts obligataires </t>
  </si>
  <si>
    <t>1662</t>
  </si>
  <si>
    <t xml:space="preserve">sur emprunts et dettes auprès des établissements de crédit </t>
  </si>
  <si>
    <t>1663</t>
  </si>
  <si>
    <t xml:space="preserve">sur avances reçues de l'Etat </t>
  </si>
  <si>
    <t>1664</t>
  </si>
  <si>
    <t xml:space="preserve">sur avances reçues et comptes courants bloqués </t>
  </si>
  <si>
    <t>1665</t>
  </si>
  <si>
    <t xml:space="preserve">sur dépôts et cautionnements reçus </t>
  </si>
  <si>
    <t>1667</t>
  </si>
  <si>
    <t xml:space="preserve">sur avances assorties de conditions particulières </t>
  </si>
  <si>
    <t>1668</t>
  </si>
  <si>
    <t xml:space="preserve">sur autres emprunts et dettes </t>
  </si>
  <si>
    <t>1671</t>
  </si>
  <si>
    <t xml:space="preserve">Avances bloquées pour augmentation de capital </t>
  </si>
  <si>
    <t>1672</t>
  </si>
  <si>
    <t xml:space="preserve">Avances conditionnées par l'Etat </t>
  </si>
  <si>
    <t>1673</t>
  </si>
  <si>
    <t xml:space="preserve">Avances conditionnées par les autres organismes africains </t>
  </si>
  <si>
    <t>1674</t>
  </si>
  <si>
    <t xml:space="preserve">Avances conditionnées par les organismes internationaux </t>
  </si>
  <si>
    <t>1681</t>
  </si>
  <si>
    <t xml:space="preserve">Rentes viagères capitalisées </t>
  </si>
  <si>
    <t>1682</t>
  </si>
  <si>
    <t xml:space="preserve">Billets de fonds </t>
  </si>
  <si>
    <t>1683</t>
  </si>
  <si>
    <t xml:space="preserve">Dettes consécutives à des titres empruntés </t>
  </si>
  <si>
    <t>1684</t>
  </si>
  <si>
    <t xml:space="preserve">Emprunts participatifs </t>
  </si>
  <si>
    <t>1685</t>
  </si>
  <si>
    <t xml:space="preserve">Participation des travailleurs aux bénéfices </t>
  </si>
  <si>
    <t>1686</t>
  </si>
  <si>
    <t>Emprunts et dettes contractés auprès des autres tiers</t>
  </si>
  <si>
    <t>172</t>
  </si>
  <si>
    <t xml:space="preserve">DETTES DE LOCATION ACQUISITION/CREDIT-BAIL IMMOBILIER </t>
  </si>
  <si>
    <t>173</t>
  </si>
  <si>
    <t xml:space="preserve">DETTES DE LOCATION ACQUISITION/CREDIT-BAIL MOBILIER </t>
  </si>
  <si>
    <t>174</t>
  </si>
  <si>
    <t>DETTES DE LOCATION ACQUISITION/LOCATION DE VENTE</t>
  </si>
  <si>
    <t>1762</t>
  </si>
  <si>
    <t xml:space="preserve">sur dettes de location acquisition/crédit-bail immobilier </t>
  </si>
  <si>
    <t>1763</t>
  </si>
  <si>
    <t xml:space="preserve">sur dettes de location acquisition/crédit-bail mobilier </t>
  </si>
  <si>
    <t>1764</t>
  </si>
  <si>
    <t>sur dettes de location acquisition/location-vente</t>
  </si>
  <si>
    <t>1768</t>
  </si>
  <si>
    <t>sur autres dettes de location acquisition</t>
  </si>
  <si>
    <t>178</t>
  </si>
  <si>
    <t>AUTRES DETTES DE LOCATION ACQUISITION</t>
  </si>
  <si>
    <t>1811</t>
  </si>
  <si>
    <t xml:space="preserve">Dettes liées à des participations (groupe) </t>
  </si>
  <si>
    <t>1812</t>
  </si>
  <si>
    <t xml:space="preserve">Dettes liées à des participations (hors groupe) </t>
  </si>
  <si>
    <t>182</t>
  </si>
  <si>
    <t xml:space="preserve">DETTES LIEES A DES SOCIETES EN PARTICIPATION </t>
  </si>
  <si>
    <t>183</t>
  </si>
  <si>
    <t xml:space="preserve">INTERETS COURUS SUR DETTES LIEES A DES PATICIPATIONS </t>
  </si>
  <si>
    <t>184</t>
  </si>
  <si>
    <t xml:space="preserve">COMPTES PERMANENTS BLOQUES DES ETABLISSEMENTS ET SUCCURSALES </t>
  </si>
  <si>
    <t>185</t>
  </si>
  <si>
    <t xml:space="preserve">COMPTES PERMANENTS NON BLOQUES DES ETABLISSEMENTS ET SUCCURSALES </t>
  </si>
  <si>
    <t>186</t>
  </si>
  <si>
    <t xml:space="preserve">COMPTES DE LIAISON CHARGES </t>
  </si>
  <si>
    <t>187</t>
  </si>
  <si>
    <t xml:space="preserve">COMPTES DE LIAISON PRODUITS </t>
  </si>
  <si>
    <t>188</t>
  </si>
  <si>
    <t xml:space="preserve">COMPTES DE LIAISON DES SOCIETES EN PARTICIPATION </t>
  </si>
  <si>
    <t>191</t>
  </si>
  <si>
    <t xml:space="preserve">PROVISIONS POUR LITIGES </t>
  </si>
  <si>
    <t>192</t>
  </si>
  <si>
    <t xml:space="preserve">PROVISIONS POUR GARANTIES DONNEES AUX CLIENTS </t>
  </si>
  <si>
    <t>193</t>
  </si>
  <si>
    <t xml:space="preserve">PROVISIONS POUR PERTES SUR MARCHES A ACHEVEMENT FUTUR </t>
  </si>
  <si>
    <t>194</t>
  </si>
  <si>
    <t xml:space="preserve">PROVIONS POUR PERTES DE CHANGE </t>
  </si>
  <si>
    <t>195</t>
  </si>
  <si>
    <t xml:space="preserve">PROVISIONS POUR IMPÔTS </t>
  </si>
  <si>
    <t>1961</t>
  </si>
  <si>
    <t>Provisions pour pensions et obligations similaires-engagement de retraite</t>
  </si>
  <si>
    <t>1962</t>
  </si>
  <si>
    <t>197</t>
  </si>
  <si>
    <t>PROVISIONS POUR RESTRUCTURATION</t>
  </si>
  <si>
    <t>1981</t>
  </si>
  <si>
    <t xml:space="preserve">Provisions pour amendes et pénalités </t>
  </si>
  <si>
    <t>1983</t>
  </si>
  <si>
    <t xml:space="preserve">Provisions de propre assureur </t>
  </si>
  <si>
    <t>1984</t>
  </si>
  <si>
    <t>1985</t>
  </si>
  <si>
    <t>Provisions pour droits à réduction ou avantage en nature (Chèques cadeau, cartes de fidélité….)</t>
  </si>
  <si>
    <t>1988</t>
  </si>
  <si>
    <t xml:space="preserve">Provisions pour risques et charges </t>
  </si>
  <si>
    <t>211</t>
  </si>
  <si>
    <t xml:space="preserve">FRAIS DE DEVELOPPEMENT </t>
  </si>
  <si>
    <t>2121</t>
  </si>
  <si>
    <t>Brevets</t>
  </si>
  <si>
    <t>2122</t>
  </si>
  <si>
    <t>Licences</t>
  </si>
  <si>
    <t>2123</t>
  </si>
  <si>
    <t>Concessions de service public</t>
  </si>
  <si>
    <t>2128</t>
  </si>
  <si>
    <t>Autres concessions et droits similaires</t>
  </si>
  <si>
    <t>2131</t>
  </si>
  <si>
    <t>2132</t>
  </si>
  <si>
    <t>Sites internet</t>
  </si>
  <si>
    <t>214</t>
  </si>
  <si>
    <t xml:space="preserve">MARQUES </t>
  </si>
  <si>
    <t>215</t>
  </si>
  <si>
    <t xml:space="preserve">FONDS COMMERCIAL </t>
  </si>
  <si>
    <t>216</t>
  </si>
  <si>
    <t xml:space="preserve">DROIT AU BAIL </t>
  </si>
  <si>
    <t>217</t>
  </si>
  <si>
    <t xml:space="preserve">INVESTISSEMENTS DE CREATION </t>
  </si>
  <si>
    <t>2181</t>
  </si>
  <si>
    <t>Frais de prospection et d'évaluation de ressources minérales</t>
  </si>
  <si>
    <t>2182</t>
  </si>
  <si>
    <t>Coûts d'obtention du contrat</t>
  </si>
  <si>
    <t>2183</t>
  </si>
  <si>
    <t>Fichiers clients, notices, titres de journaux et magazines</t>
  </si>
  <si>
    <t>2184</t>
  </si>
  <si>
    <t>Coûts des franchises</t>
  </si>
  <si>
    <t>2188</t>
  </si>
  <si>
    <t>Divers droits et valeurs incorporels</t>
  </si>
  <si>
    <t>2191</t>
  </si>
  <si>
    <t xml:space="preserve">Frais de développement </t>
  </si>
  <si>
    <t>2193</t>
  </si>
  <si>
    <t>Logiciels  et internet</t>
  </si>
  <si>
    <t>2198</t>
  </si>
  <si>
    <t xml:space="preserve">Autres droits et valeurs incorporels </t>
  </si>
  <si>
    <t>2211</t>
  </si>
  <si>
    <t xml:space="preserve">Terrains d'exploitation agricole </t>
  </si>
  <si>
    <t>2212</t>
  </si>
  <si>
    <t xml:space="preserve">Terrains d'exploitation forestière </t>
  </si>
  <si>
    <t>2218</t>
  </si>
  <si>
    <t xml:space="preserve">Autres terrains </t>
  </si>
  <si>
    <t>2221</t>
  </si>
  <si>
    <t xml:space="preserve">Terrains à bâtir </t>
  </si>
  <si>
    <t>2228</t>
  </si>
  <si>
    <t xml:space="preserve">Autres terrains nus </t>
  </si>
  <si>
    <t>2231</t>
  </si>
  <si>
    <t xml:space="preserve">Pour bâtiments industriels et agricoles </t>
  </si>
  <si>
    <t>2232</t>
  </si>
  <si>
    <t xml:space="preserve">Pour bâtiments administratifs et commerciaux </t>
  </si>
  <si>
    <t>2234</t>
  </si>
  <si>
    <t xml:space="preserve">Pour bâtiments affectés aux autres opérations professionnelles </t>
  </si>
  <si>
    <t>2235</t>
  </si>
  <si>
    <t xml:space="preserve">Pour bâtiments affectés aux autres opérations non professionnelles </t>
  </si>
  <si>
    <t>2238</t>
  </si>
  <si>
    <t xml:space="preserve">Autres terrains bâtis </t>
  </si>
  <si>
    <t>2241</t>
  </si>
  <si>
    <t xml:space="preserve">Plantation d'arbres et d'arbustes </t>
  </si>
  <si>
    <t>2245</t>
  </si>
  <si>
    <t>Améliorations du fonds</t>
  </si>
  <si>
    <t>2248</t>
  </si>
  <si>
    <t xml:space="preserve">Autres travaux </t>
  </si>
  <si>
    <t>2251</t>
  </si>
  <si>
    <t xml:space="preserve">Carrières </t>
  </si>
  <si>
    <t>2261</t>
  </si>
  <si>
    <t xml:space="preserve">Parkings </t>
  </si>
  <si>
    <t>227</t>
  </si>
  <si>
    <t xml:space="preserve">TERRAINS MIS EN CONCESSION </t>
  </si>
  <si>
    <t>2281</t>
  </si>
  <si>
    <t>Terrains-immeubles de placement</t>
  </si>
  <si>
    <t>2285</t>
  </si>
  <si>
    <t xml:space="preserve">Terrains des logements affectés au personnel </t>
  </si>
  <si>
    <t>2286</t>
  </si>
  <si>
    <t>Terrains location-acquisition</t>
  </si>
  <si>
    <t>2288</t>
  </si>
  <si>
    <t xml:space="preserve">Divers terrains </t>
  </si>
  <si>
    <t>2291</t>
  </si>
  <si>
    <t xml:space="preserve">Terrains agricoles et forestiers </t>
  </si>
  <si>
    <t>2292</t>
  </si>
  <si>
    <t xml:space="preserve">Terrains nus </t>
  </si>
  <si>
    <t>2295</t>
  </si>
  <si>
    <t>Terrains de carrières-tréfonds</t>
  </si>
  <si>
    <t>2298</t>
  </si>
  <si>
    <t>2311</t>
  </si>
  <si>
    <t xml:space="preserve">Bâtiments industriels </t>
  </si>
  <si>
    <t>2312</t>
  </si>
  <si>
    <t xml:space="preserve">Bâtiments agricoles </t>
  </si>
  <si>
    <t>2313</t>
  </si>
  <si>
    <t xml:space="preserve">Bâtiments administratifs et commerciaux </t>
  </si>
  <si>
    <t>2314</t>
  </si>
  <si>
    <t xml:space="preserve">Bâtiments affectés au logement du personnel </t>
  </si>
  <si>
    <t>2315</t>
  </si>
  <si>
    <t>Bâtiments-immeubles de placement</t>
  </si>
  <si>
    <t>2316</t>
  </si>
  <si>
    <t>Bâtiments de location-acquisition</t>
  </si>
  <si>
    <t>2321</t>
  </si>
  <si>
    <t>2322</t>
  </si>
  <si>
    <t>2323</t>
  </si>
  <si>
    <t>2324</t>
  </si>
  <si>
    <t>2325</t>
  </si>
  <si>
    <t>2326</t>
  </si>
  <si>
    <t>2331</t>
  </si>
  <si>
    <t xml:space="preserve">Voies de terre </t>
  </si>
  <si>
    <t>2332</t>
  </si>
  <si>
    <t xml:space="preserve">Voies de fer </t>
  </si>
  <si>
    <t>2333</t>
  </si>
  <si>
    <t xml:space="preserve">Voies d'eau </t>
  </si>
  <si>
    <t>2334</t>
  </si>
  <si>
    <t xml:space="preserve">Barrages, digues </t>
  </si>
  <si>
    <t>2335</t>
  </si>
  <si>
    <t xml:space="preserve">Pistes d'aérodrome </t>
  </si>
  <si>
    <t>2338</t>
  </si>
  <si>
    <t>Autres ouvrages d'infrastructures</t>
  </si>
  <si>
    <t>2341</t>
  </si>
  <si>
    <t xml:space="preserve">Installations complexes spécialisées sur sol propre </t>
  </si>
  <si>
    <t>2342</t>
  </si>
  <si>
    <t xml:space="preserve">Installations complexes spécialisées sur sol d'autrui </t>
  </si>
  <si>
    <t>2343</t>
  </si>
  <si>
    <t xml:space="preserve">Installations à caractère spécifique sur sol propre </t>
  </si>
  <si>
    <t>2344</t>
  </si>
  <si>
    <t xml:space="preserve">Installations à caractère spécifique sur sol d'autrui </t>
  </si>
  <si>
    <t>2345</t>
  </si>
  <si>
    <t>Aménagements et agencements des bâtiments</t>
  </si>
  <si>
    <t>2351</t>
  </si>
  <si>
    <t xml:space="preserve">Installations générales </t>
  </si>
  <si>
    <t>2358</t>
  </si>
  <si>
    <t>Autres aménagements de bureaux</t>
  </si>
  <si>
    <t>237</t>
  </si>
  <si>
    <t xml:space="preserve">BATIMENTS INDUSTRIELS, AGRICOLES ET COMMERCIAUX MIS EN CONCESSION </t>
  </si>
  <si>
    <t>238</t>
  </si>
  <si>
    <t xml:space="preserve">AUTRES INSTALLATIONS ET AGENCEMENTS </t>
  </si>
  <si>
    <t>2391</t>
  </si>
  <si>
    <t>Bâtiments en cours</t>
  </si>
  <si>
    <t>2392</t>
  </si>
  <si>
    <t>Installations en cours</t>
  </si>
  <si>
    <t>2393</t>
  </si>
  <si>
    <t>Ouvrages d'infrastructures en cours</t>
  </si>
  <si>
    <t>2394</t>
  </si>
  <si>
    <t>Aménagements et agencements et installations techniques en cours</t>
  </si>
  <si>
    <t>2395</t>
  </si>
  <si>
    <t>Aménagements de bureaux en cours</t>
  </si>
  <si>
    <t>2398</t>
  </si>
  <si>
    <t>Autres installations et agencements en cours</t>
  </si>
  <si>
    <t>2411</t>
  </si>
  <si>
    <t xml:space="preserve">Matériel industriel </t>
  </si>
  <si>
    <t>2412</t>
  </si>
  <si>
    <t xml:space="preserve">Outillage industriel </t>
  </si>
  <si>
    <t>2413</t>
  </si>
  <si>
    <t xml:space="preserve">Matériel commercial </t>
  </si>
  <si>
    <t>2414</t>
  </si>
  <si>
    <t xml:space="preserve">Outillage commercial </t>
  </si>
  <si>
    <t>2416</t>
  </si>
  <si>
    <t>Matériel et outillage industriel et commercial de location-acquisition</t>
  </si>
  <si>
    <t>2421</t>
  </si>
  <si>
    <t xml:space="preserve">Matériel agricole </t>
  </si>
  <si>
    <t>2422</t>
  </si>
  <si>
    <t xml:space="preserve">Outillage agricole </t>
  </si>
  <si>
    <t>2426</t>
  </si>
  <si>
    <t>Matériel et outillage agricole de location-acquisition</t>
  </si>
  <si>
    <t>243</t>
  </si>
  <si>
    <t xml:space="preserve">MATERIEL D'EMBALLAGE RECUPERABLE ET IDENTIFIABLE </t>
  </si>
  <si>
    <t>2441</t>
  </si>
  <si>
    <t xml:space="preserve">Matériel de bureau </t>
  </si>
  <si>
    <t>2442</t>
  </si>
  <si>
    <t xml:space="preserve">Matériel informatique </t>
  </si>
  <si>
    <t>2443</t>
  </si>
  <si>
    <t xml:space="preserve">Matériel bureautique </t>
  </si>
  <si>
    <t>2444</t>
  </si>
  <si>
    <t xml:space="preserve">Mobilier de bureau </t>
  </si>
  <si>
    <t>2445</t>
  </si>
  <si>
    <t>Matériel et mobilier-immeubles de placement</t>
  </si>
  <si>
    <t>2446</t>
  </si>
  <si>
    <t>Matériel et mobilier location-acquisition</t>
  </si>
  <si>
    <t>2447</t>
  </si>
  <si>
    <t xml:space="preserve">Matériel et mobilier des logements du personnel </t>
  </si>
  <si>
    <t>2451</t>
  </si>
  <si>
    <t xml:space="preserve">Matériel automobile </t>
  </si>
  <si>
    <t>2452</t>
  </si>
  <si>
    <t xml:space="preserve">Matériel ferroviaire </t>
  </si>
  <si>
    <t>2453</t>
  </si>
  <si>
    <t xml:space="preserve">Matériel fluvial, lagunaire </t>
  </si>
  <si>
    <t>2454</t>
  </si>
  <si>
    <t xml:space="preserve">Matériel naval </t>
  </si>
  <si>
    <t>2455</t>
  </si>
  <si>
    <t xml:space="preserve">Matériel aérien </t>
  </si>
  <si>
    <t>2456</t>
  </si>
  <si>
    <t>Matériel de transport de location-acquisition</t>
  </si>
  <si>
    <t>2457</t>
  </si>
  <si>
    <t>Matériel hippomobile</t>
  </si>
  <si>
    <t>2458</t>
  </si>
  <si>
    <t>Autres matériels de transport</t>
  </si>
  <si>
    <t>2461</t>
  </si>
  <si>
    <t xml:space="preserve">Cheptel, animaux de trait </t>
  </si>
  <si>
    <t>2462</t>
  </si>
  <si>
    <t xml:space="preserve">Cheptel, animaux reproducteurs </t>
  </si>
  <si>
    <t>2463</t>
  </si>
  <si>
    <t xml:space="preserve">Animaux de garde </t>
  </si>
  <si>
    <t>2465</t>
  </si>
  <si>
    <t xml:space="preserve">Plantations agricoles </t>
  </si>
  <si>
    <t>2468</t>
  </si>
  <si>
    <t>Autres actifs biologiques</t>
  </si>
  <si>
    <t>2471</t>
  </si>
  <si>
    <t xml:space="preserve">Agencements et aménagements du matériel </t>
  </si>
  <si>
    <t>2472</t>
  </si>
  <si>
    <t>Agencements et aménagements des actifs biologiques</t>
  </si>
  <si>
    <t>2478</t>
  </si>
  <si>
    <t>Autres agencements, aménagements du matériel et actifs biologiques</t>
  </si>
  <si>
    <t>2481</t>
  </si>
  <si>
    <t xml:space="preserve">Collections et œuvres d'art </t>
  </si>
  <si>
    <t>2488</t>
  </si>
  <si>
    <t>Divers matériels et mobiliers</t>
  </si>
  <si>
    <t>2491</t>
  </si>
  <si>
    <t xml:space="preserve">Matériel et outillage industriel et commercial </t>
  </si>
  <si>
    <t>2492</t>
  </si>
  <si>
    <t xml:space="preserve">Matériel et outillage agricole </t>
  </si>
  <si>
    <t>2493</t>
  </si>
  <si>
    <t xml:space="preserve">Matériel d'emballage récupérable et identifiable </t>
  </si>
  <si>
    <t>2494</t>
  </si>
  <si>
    <t xml:space="preserve">Matériel et mobilier de bureau </t>
  </si>
  <si>
    <t>2495</t>
  </si>
  <si>
    <t xml:space="preserve">Matériel de transport </t>
  </si>
  <si>
    <t>2496</t>
  </si>
  <si>
    <t>Actifs biologiques</t>
  </si>
  <si>
    <t>2497</t>
  </si>
  <si>
    <t>Agencements et aménagements du matériel et des actifs biologiques</t>
  </si>
  <si>
    <t>2498</t>
  </si>
  <si>
    <t>Autres matériels et actifs biologiques en cours</t>
  </si>
  <si>
    <t>251</t>
  </si>
  <si>
    <t xml:space="preserve">AVANCES ET ACOMPTES VERSES SUR IMMOBILISATIONS INCORPORELLES </t>
  </si>
  <si>
    <t>252</t>
  </si>
  <si>
    <t xml:space="preserve">AVANCES ET ACOMPTES VERSES SUR IMMOBILISATIONS CORPORELLES </t>
  </si>
  <si>
    <t>261</t>
  </si>
  <si>
    <t xml:space="preserve">TITRES DE PARTICIPATION DANS DES SOCIETES SOUS CONTRÔLE EXCLUSIF </t>
  </si>
  <si>
    <t>262</t>
  </si>
  <si>
    <t xml:space="preserve">TITRES DE PARTICIPATION DANS DES SOCIETES SOUS CONTRÔLE CONJOINT </t>
  </si>
  <si>
    <t>263</t>
  </si>
  <si>
    <t xml:space="preserve">TITRES DE PARTICIPATION DANS DES SOCIETES CONFERANT UNE INFLUENCE NOTABLE </t>
  </si>
  <si>
    <t>265</t>
  </si>
  <si>
    <t xml:space="preserve">PARTICIPATION DANS DES ORGANISMES PROFESSIONNELS </t>
  </si>
  <si>
    <t>266</t>
  </si>
  <si>
    <t xml:space="preserve">PARTS DANS DES GROUPEMENTS D'INTERET ECONOMIQUE (G.I.E) </t>
  </si>
  <si>
    <t>268</t>
  </si>
  <si>
    <t xml:space="preserve">AUTRES TITRES DE PATICIPATION </t>
  </si>
  <si>
    <t>2711</t>
  </si>
  <si>
    <t xml:space="preserve">Prêts participatifs </t>
  </si>
  <si>
    <t>2712</t>
  </si>
  <si>
    <t xml:space="preserve">Prêts aux associés </t>
  </si>
  <si>
    <t>2713</t>
  </si>
  <si>
    <t>2714</t>
  </si>
  <si>
    <t>Créance de location financement</t>
  </si>
  <si>
    <t>2715</t>
  </si>
  <si>
    <t xml:space="preserve">Titres prêtés </t>
  </si>
  <si>
    <t>2718</t>
  </si>
  <si>
    <t>Autres prêts et créances</t>
  </si>
  <si>
    <t>2721</t>
  </si>
  <si>
    <t xml:space="preserve">Prêts immobiliers </t>
  </si>
  <si>
    <t>2722</t>
  </si>
  <si>
    <t xml:space="preserve">Prêts mobiliers et d'installation </t>
  </si>
  <si>
    <t>2728</t>
  </si>
  <si>
    <t>2731</t>
  </si>
  <si>
    <t xml:space="preserve">Retenues de garantie </t>
  </si>
  <si>
    <t>2733</t>
  </si>
  <si>
    <t xml:space="preserve">Fonds réglementés </t>
  </si>
  <si>
    <t>2734</t>
  </si>
  <si>
    <t>Créances sur le concédant</t>
  </si>
  <si>
    <t>2738</t>
  </si>
  <si>
    <t>Autres créances sur l'Etat</t>
  </si>
  <si>
    <t>2741</t>
  </si>
  <si>
    <t xml:space="preserve">Titres immobilisés de l'activité de portefeuille (T.I.A.P.) </t>
  </si>
  <si>
    <t>2742</t>
  </si>
  <si>
    <t xml:space="preserve">Titres participatifs </t>
  </si>
  <si>
    <t>2743</t>
  </si>
  <si>
    <t xml:space="preserve">Certificats d'investissement </t>
  </si>
  <si>
    <t>2744</t>
  </si>
  <si>
    <t xml:space="preserve">Parts de fonds commun de placement (F.C.P) </t>
  </si>
  <si>
    <t>2745</t>
  </si>
  <si>
    <t>2746</t>
  </si>
  <si>
    <t>Actions ou parts propres</t>
  </si>
  <si>
    <t>2748</t>
  </si>
  <si>
    <t xml:space="preserve">Autres titres immobilisés </t>
  </si>
  <si>
    <t>2751</t>
  </si>
  <si>
    <t xml:space="preserve">Dépôts pour loyers d'avance </t>
  </si>
  <si>
    <t>2752</t>
  </si>
  <si>
    <t xml:space="preserve">Dépôts pour l'électricité </t>
  </si>
  <si>
    <t>2753</t>
  </si>
  <si>
    <t xml:space="preserve">Dépôts pour l'eau </t>
  </si>
  <si>
    <t>2754</t>
  </si>
  <si>
    <t xml:space="preserve">Dépôts pour le gaz </t>
  </si>
  <si>
    <t>2755</t>
  </si>
  <si>
    <t xml:space="preserve">Dépôts pour le téléphone, le télex, la télécopie </t>
  </si>
  <si>
    <t>2756</t>
  </si>
  <si>
    <t xml:space="preserve">Cautionnements sur marchés publics </t>
  </si>
  <si>
    <t>2757</t>
  </si>
  <si>
    <t xml:space="preserve">Cautionnements sur autres opérations </t>
  </si>
  <si>
    <t>2758</t>
  </si>
  <si>
    <t xml:space="preserve">Autres dépôts et cautionnements </t>
  </si>
  <si>
    <t>2761</t>
  </si>
  <si>
    <t xml:space="preserve">Prêts et créances non commerciales </t>
  </si>
  <si>
    <t>2762</t>
  </si>
  <si>
    <t xml:space="preserve">Prêts au personnel </t>
  </si>
  <si>
    <t>2763</t>
  </si>
  <si>
    <t xml:space="preserve">Créances sur l'Etat </t>
  </si>
  <si>
    <t>2764</t>
  </si>
  <si>
    <t xml:space="preserve">Titres immobilisés </t>
  </si>
  <si>
    <t>2765</t>
  </si>
  <si>
    <t xml:space="preserve">Dépôts et cautionnements versés </t>
  </si>
  <si>
    <t>2767</t>
  </si>
  <si>
    <t xml:space="preserve">Créances rattachées à des participations </t>
  </si>
  <si>
    <t>2768</t>
  </si>
  <si>
    <t xml:space="preserve">Immobilisations financières diverses </t>
  </si>
  <si>
    <t>2771</t>
  </si>
  <si>
    <t xml:space="preserve">Créances rattachées à des participations (groupe) </t>
  </si>
  <si>
    <t>2772</t>
  </si>
  <si>
    <t xml:space="preserve">Créances rattachées à des participations (hors groupe) </t>
  </si>
  <si>
    <t>2773</t>
  </si>
  <si>
    <t xml:space="preserve">Créances rattachées à des sociétés en participations </t>
  </si>
  <si>
    <t>2774</t>
  </si>
  <si>
    <t xml:space="preserve">Avances à des groupements d'intérêt économique (G.I.E) </t>
  </si>
  <si>
    <t>2781</t>
  </si>
  <si>
    <t xml:space="preserve">Créances diverses groupe </t>
  </si>
  <si>
    <t>2782</t>
  </si>
  <si>
    <t xml:space="preserve">Créances diverses hors groupe </t>
  </si>
  <si>
    <t>2784</t>
  </si>
  <si>
    <t>Banques dépôts à terme</t>
  </si>
  <si>
    <t>2785</t>
  </si>
  <si>
    <t xml:space="preserve">Or et métaux précieux </t>
  </si>
  <si>
    <t>2788</t>
  </si>
  <si>
    <t>2811</t>
  </si>
  <si>
    <t xml:space="preserve">Amortissements des frais de développement </t>
  </si>
  <si>
    <t>2812</t>
  </si>
  <si>
    <t xml:space="preserve">Amortissements des brevets, licences, concessions et droits similaires </t>
  </si>
  <si>
    <t>2813</t>
  </si>
  <si>
    <t>Amortissements des logiciels et sites internet</t>
  </si>
  <si>
    <t>2814</t>
  </si>
  <si>
    <t xml:space="preserve">Amortissements des marques </t>
  </si>
  <si>
    <t>2815</t>
  </si>
  <si>
    <t xml:space="preserve">Amortissements du fonds commercial </t>
  </si>
  <si>
    <t>2816</t>
  </si>
  <si>
    <t xml:space="preserve">Amortissements du droit au bail </t>
  </si>
  <si>
    <t>2817</t>
  </si>
  <si>
    <t xml:space="preserve">Amortissements des investissements de création </t>
  </si>
  <si>
    <t>2818</t>
  </si>
  <si>
    <t xml:space="preserve">Amortissements des autres droits et valeurs incorporels </t>
  </si>
  <si>
    <t>2824</t>
  </si>
  <si>
    <t xml:space="preserve">Amortissements des travaux de mise en valeur des terrains </t>
  </si>
  <si>
    <t>2831</t>
  </si>
  <si>
    <t xml:space="preserve">Amortissements des bâtiments industriels, agricoles, administratifs et commerciaux sur sol propre </t>
  </si>
  <si>
    <t>2832</t>
  </si>
  <si>
    <t xml:space="preserve">Amortissements des bâtiments industriels, agricoles, administratifs et commerciaux sur sol d'autrui </t>
  </si>
  <si>
    <t>2833</t>
  </si>
  <si>
    <t xml:space="preserve">Amortissements des ouvrages d'infrastructure </t>
  </si>
  <si>
    <t>2834</t>
  </si>
  <si>
    <t>Amortissements des aménagements, agencements et installations techniques</t>
  </si>
  <si>
    <t>2835</t>
  </si>
  <si>
    <t xml:space="preserve">Amortissements des aménagements de bureaux </t>
  </si>
  <si>
    <t>2837</t>
  </si>
  <si>
    <t xml:space="preserve">Amortissements des bâtiments industriels, agricoles et commerciaux mis en concession </t>
  </si>
  <si>
    <t>2838</t>
  </si>
  <si>
    <t xml:space="preserve">Amortissements des autres installations et agencements </t>
  </si>
  <si>
    <t>2841</t>
  </si>
  <si>
    <t xml:space="preserve">Amortissements du matériel et outillage industriel et commercial </t>
  </si>
  <si>
    <t>2842</t>
  </si>
  <si>
    <t xml:space="preserve">Amortissements du matériel et outillage agricole </t>
  </si>
  <si>
    <t>2843</t>
  </si>
  <si>
    <t xml:space="preserve">Amortissements du matériel d'emballage récupérable et identifiable </t>
  </si>
  <si>
    <t>2844</t>
  </si>
  <si>
    <t xml:space="preserve">Amortissements du matériel et mobilier </t>
  </si>
  <si>
    <t>2845</t>
  </si>
  <si>
    <t xml:space="preserve">Amortissements du matériel de transport </t>
  </si>
  <si>
    <t>2846</t>
  </si>
  <si>
    <t>Amortissements des actifs biologiques</t>
  </si>
  <si>
    <t>2847</t>
  </si>
  <si>
    <t>Amortissements des agencements et aménagements du matériel et des actifs biologiques</t>
  </si>
  <si>
    <t>2848</t>
  </si>
  <si>
    <t xml:space="preserve">Amortissements des autres matériels </t>
  </si>
  <si>
    <t>2911</t>
  </si>
  <si>
    <t>Dépréciations des frais de développement</t>
  </si>
  <si>
    <t>2912</t>
  </si>
  <si>
    <t xml:space="preserve">Dépréciations des brevets, licences, concession et droits similaires </t>
  </si>
  <si>
    <t>2913</t>
  </si>
  <si>
    <t>Dépréciations des logiciels et sites internet</t>
  </si>
  <si>
    <t>2914</t>
  </si>
  <si>
    <t xml:space="preserve">Dépréciations des marques </t>
  </si>
  <si>
    <t>2915</t>
  </si>
  <si>
    <t xml:space="preserve">Dépréciations du fonds commercial </t>
  </si>
  <si>
    <t>2916</t>
  </si>
  <si>
    <t xml:space="preserve">Dépréciations du droit au bail </t>
  </si>
  <si>
    <t>2917</t>
  </si>
  <si>
    <t xml:space="preserve">Dépréciations des investissements de création </t>
  </si>
  <si>
    <t>2918</t>
  </si>
  <si>
    <t xml:space="preserve">Dépréciations des autres droits et valeurs incorporels </t>
  </si>
  <si>
    <t>2919</t>
  </si>
  <si>
    <t xml:space="preserve">Dépréciations des immobilisations incorporelles en cours </t>
  </si>
  <si>
    <t>2921</t>
  </si>
  <si>
    <t xml:space="preserve">Dépréciations des terrains agricoles et forestiers </t>
  </si>
  <si>
    <t>2922</t>
  </si>
  <si>
    <t xml:space="preserve">Dépréciations des terrains nus </t>
  </si>
  <si>
    <t>2923</t>
  </si>
  <si>
    <t xml:space="preserve">Dépréciations des terrains bâtis </t>
  </si>
  <si>
    <t>2924</t>
  </si>
  <si>
    <t xml:space="preserve">Dépréciations des travaux de mise en valeur des terrains </t>
  </si>
  <si>
    <t>2925</t>
  </si>
  <si>
    <t xml:space="preserve">Dépréciations des terrains de gisement </t>
  </si>
  <si>
    <t>2926</t>
  </si>
  <si>
    <t xml:space="preserve">Dépréciations des terrains aménagés </t>
  </si>
  <si>
    <t>2927</t>
  </si>
  <si>
    <t xml:space="preserve">Dépréciations des terrains mis en concession </t>
  </si>
  <si>
    <t>2928</t>
  </si>
  <si>
    <t xml:space="preserve">Dépréciations des autres terrains </t>
  </si>
  <si>
    <t>2929</t>
  </si>
  <si>
    <t xml:space="preserve">Dépréciations des aménagements de terrains en cours </t>
  </si>
  <si>
    <t>2931</t>
  </si>
  <si>
    <t xml:space="preserve">Dépréciations des bâtiments industriels, agricoles, administratifs et commerciaux sur sol propre </t>
  </si>
  <si>
    <t>2932</t>
  </si>
  <si>
    <t xml:space="preserve">Dépréciations des bâtiments industriels, agricoles, administratifs et commerciaux sur sol d'autrui </t>
  </si>
  <si>
    <t>2933</t>
  </si>
  <si>
    <t xml:space="preserve">Dépréciations des ouvrages d'infrastructures </t>
  </si>
  <si>
    <t>2934</t>
  </si>
  <si>
    <t xml:space="preserve">Dépréciations des aménagements, agencements et installations techniques </t>
  </si>
  <si>
    <t>2935</t>
  </si>
  <si>
    <t xml:space="preserve">Dépréciations des aménagements de bureaux </t>
  </si>
  <si>
    <t>2937</t>
  </si>
  <si>
    <t xml:space="preserve">Dépréciations des bâtiments industriels, agricoles et commerciaux mis en concession </t>
  </si>
  <si>
    <t>2938</t>
  </si>
  <si>
    <t xml:space="preserve">Dépréciations des autres installations et agencements </t>
  </si>
  <si>
    <t>2939</t>
  </si>
  <si>
    <t xml:space="preserve">Dépréciations des bâtiments et installations en cours </t>
  </si>
  <si>
    <t>2941</t>
  </si>
  <si>
    <t xml:space="preserve">Dépréciations du matériel et outillage industriel et commercial </t>
  </si>
  <si>
    <t>2942</t>
  </si>
  <si>
    <t xml:space="preserve">Dépréciations du matériel et outillage agricole </t>
  </si>
  <si>
    <t>2943</t>
  </si>
  <si>
    <t xml:space="preserve">Dépréciations du matériel d'emballage récupérable et identifiable </t>
  </si>
  <si>
    <t>2944</t>
  </si>
  <si>
    <t xml:space="preserve">Dépréciations du matériel et mobilier </t>
  </si>
  <si>
    <t>2945</t>
  </si>
  <si>
    <t xml:space="preserve">Dépréciations du matériel de transport </t>
  </si>
  <si>
    <t>2946</t>
  </si>
  <si>
    <t>Dépréciations des actifs biologiques</t>
  </si>
  <si>
    <t>2947</t>
  </si>
  <si>
    <t>Dépréciations des agencements et aménagements du matériel et des actifs biologiques</t>
  </si>
  <si>
    <t>2948</t>
  </si>
  <si>
    <t xml:space="preserve">Dépréciations des autres matériels </t>
  </si>
  <si>
    <t>2949</t>
  </si>
  <si>
    <t xml:space="preserve">Dépréciations du matériel en cours </t>
  </si>
  <si>
    <t>2951</t>
  </si>
  <si>
    <t xml:space="preserve">Dépréciations des avances et acomptes versés sur immobilisations incorporelles </t>
  </si>
  <si>
    <t>2952</t>
  </si>
  <si>
    <t xml:space="preserve">Dépréciations des avances et acomptes versés sur immobilisations corporelles </t>
  </si>
  <si>
    <t>2961</t>
  </si>
  <si>
    <t xml:space="preserve">Dépréciations des titres de participation dans des sociétés sous contrôle exclusif </t>
  </si>
  <si>
    <t>2962</t>
  </si>
  <si>
    <t xml:space="preserve">Dépréciations des titres de participation dans des sociétés sous contrôle conjoint </t>
  </si>
  <si>
    <t>2963</t>
  </si>
  <si>
    <t xml:space="preserve">Dépréciations des titres de participation dans des sociétés conférant une influence notable </t>
  </si>
  <si>
    <t>2965</t>
  </si>
  <si>
    <t xml:space="preserve">Dépréciations des participations dans des organismes professionnels </t>
  </si>
  <si>
    <t>2966</t>
  </si>
  <si>
    <t xml:space="preserve">Dépréciations des parts dans des G.I.E </t>
  </si>
  <si>
    <t>2968</t>
  </si>
  <si>
    <t xml:space="preserve">Dépréciations des autres titres de participation </t>
  </si>
  <si>
    <t>2971</t>
  </si>
  <si>
    <t xml:space="preserve">Dépréciations des prêts et créances </t>
  </si>
  <si>
    <t>2972</t>
  </si>
  <si>
    <t xml:space="preserve">Dépréciations des prêts au personnel </t>
  </si>
  <si>
    <t>2973</t>
  </si>
  <si>
    <t xml:space="preserve">Dépréciations des créances sur l'Etat </t>
  </si>
  <si>
    <t>2974</t>
  </si>
  <si>
    <t xml:space="preserve">Dépréciations des titres immobilisés </t>
  </si>
  <si>
    <t>2975</t>
  </si>
  <si>
    <t xml:space="preserve">Dépréciations des dépôts et cautionnements versés </t>
  </si>
  <si>
    <t>2977</t>
  </si>
  <si>
    <t xml:space="preserve">Dépréciations des créances rattachées à des participations et avances à des G.I.E </t>
  </si>
  <si>
    <t>2978</t>
  </si>
  <si>
    <t xml:space="preserve">Dépréciations des créances financières diverses </t>
  </si>
  <si>
    <t>3111</t>
  </si>
  <si>
    <t xml:space="preserve">Marchandises A1 </t>
  </si>
  <si>
    <t>3112</t>
  </si>
  <si>
    <t xml:space="preserve">Marchandises A2 </t>
  </si>
  <si>
    <t>3121</t>
  </si>
  <si>
    <t xml:space="preserve">Marchandises B1 </t>
  </si>
  <si>
    <t>3122</t>
  </si>
  <si>
    <t xml:space="preserve">Marchandises B2 </t>
  </si>
  <si>
    <t>3131</t>
  </si>
  <si>
    <t>Animaux</t>
  </si>
  <si>
    <t>3132</t>
  </si>
  <si>
    <t>Végétaux</t>
  </si>
  <si>
    <t>318</t>
  </si>
  <si>
    <t xml:space="preserve">MARCHANDISES HORS ACTIVITES ORDINAIRES (H.A.O) </t>
  </si>
  <si>
    <t>321</t>
  </si>
  <si>
    <t xml:space="preserve">MATIERES A </t>
  </si>
  <si>
    <t>322</t>
  </si>
  <si>
    <t xml:space="preserve">MATIERES B </t>
  </si>
  <si>
    <t>323</t>
  </si>
  <si>
    <t xml:space="preserve">FOURNITUERES (A,B) </t>
  </si>
  <si>
    <t>331</t>
  </si>
  <si>
    <t xml:space="preserve">MATIERES CONSOMMABLES </t>
  </si>
  <si>
    <t>332</t>
  </si>
  <si>
    <t xml:space="preserve">FOURNITURES D'ATELIER ET D'USINE </t>
  </si>
  <si>
    <t>333</t>
  </si>
  <si>
    <t>FOURNITURES DE MAGASIN</t>
  </si>
  <si>
    <t>334</t>
  </si>
  <si>
    <t xml:space="preserve">FOURNITURES DE BUREAU </t>
  </si>
  <si>
    <t>3351</t>
  </si>
  <si>
    <t xml:space="preserve">Emballages perdus </t>
  </si>
  <si>
    <t>3352</t>
  </si>
  <si>
    <t xml:space="preserve">Emballages récupérables non identifiables </t>
  </si>
  <si>
    <t>3353</t>
  </si>
  <si>
    <t xml:space="preserve">Emballages à usage mixte </t>
  </si>
  <si>
    <t>3358</t>
  </si>
  <si>
    <t xml:space="preserve">Autres emballages </t>
  </si>
  <si>
    <t>338</t>
  </si>
  <si>
    <t xml:space="preserve">AUTRES MATIERES </t>
  </si>
  <si>
    <t>3411</t>
  </si>
  <si>
    <t xml:space="preserve">Produits en cours P1 </t>
  </si>
  <si>
    <t>3412</t>
  </si>
  <si>
    <t xml:space="preserve">Produits en cours P2 </t>
  </si>
  <si>
    <t>3421</t>
  </si>
  <si>
    <t xml:space="preserve">Travaux en cours T1 </t>
  </si>
  <si>
    <t>3422</t>
  </si>
  <si>
    <t xml:space="preserve">Travaux en cours T2 </t>
  </si>
  <si>
    <t>3431</t>
  </si>
  <si>
    <t xml:space="preserve">Produits intermediaires en cours A </t>
  </si>
  <si>
    <t>3432</t>
  </si>
  <si>
    <t xml:space="preserve">Produits intermediaires en cours B </t>
  </si>
  <si>
    <t>3441</t>
  </si>
  <si>
    <t xml:space="preserve">Produits résiduels en cours A </t>
  </si>
  <si>
    <t>3442</t>
  </si>
  <si>
    <t xml:space="preserve">Produits résiduels en cours B </t>
  </si>
  <si>
    <t>3451</t>
  </si>
  <si>
    <t>3452</t>
  </si>
  <si>
    <t>3511</t>
  </si>
  <si>
    <t xml:space="preserve">Etudes en cours E1 </t>
  </si>
  <si>
    <t>3512</t>
  </si>
  <si>
    <t xml:space="preserve">Etudes en cours E2 </t>
  </si>
  <si>
    <t>3521</t>
  </si>
  <si>
    <t xml:space="preserve">Prestations de services en cours S1 </t>
  </si>
  <si>
    <t>3522</t>
  </si>
  <si>
    <t xml:space="preserve">Prestations de services en cours S2 </t>
  </si>
  <si>
    <t>361</t>
  </si>
  <si>
    <t xml:space="preserve">PRODUITS FINIS A </t>
  </si>
  <si>
    <t>362</t>
  </si>
  <si>
    <t xml:space="preserve">PRODUITS FINIS B </t>
  </si>
  <si>
    <t>3631</t>
  </si>
  <si>
    <t>3632</t>
  </si>
  <si>
    <t>3638</t>
  </si>
  <si>
    <t>Autres stocks (activités annexes)</t>
  </si>
  <si>
    <t>3711</t>
  </si>
  <si>
    <t xml:space="preserve">Produits intermediaires A </t>
  </si>
  <si>
    <t>3712</t>
  </si>
  <si>
    <t xml:space="preserve">Produits intermediaires B </t>
  </si>
  <si>
    <t>3721</t>
  </si>
  <si>
    <t xml:space="preserve">Déchets </t>
  </si>
  <si>
    <t>3722</t>
  </si>
  <si>
    <t xml:space="preserve">Rebuts </t>
  </si>
  <si>
    <t>3723</t>
  </si>
  <si>
    <t xml:space="preserve">Matières de récupération </t>
  </si>
  <si>
    <t>3731</t>
  </si>
  <si>
    <t>3732</t>
  </si>
  <si>
    <t>3738</t>
  </si>
  <si>
    <t>381</t>
  </si>
  <si>
    <t xml:space="preserve">MARCHANDISES EN COURS DE ROUTE </t>
  </si>
  <si>
    <t>382</t>
  </si>
  <si>
    <t xml:space="preserve">MATIERES PREMIERES ET FOURNITURES LIEES EN COURS DE ROUTE </t>
  </si>
  <si>
    <t>383</t>
  </si>
  <si>
    <t xml:space="preserve">AUTRES APPROVISIONNEMENTS EN COURS DE ROUTE </t>
  </si>
  <si>
    <t>386</t>
  </si>
  <si>
    <t xml:space="preserve">PRODUITS FINIS EN COURS DE ROUTE </t>
  </si>
  <si>
    <t>3871</t>
  </si>
  <si>
    <t xml:space="preserve">Stock en consignation </t>
  </si>
  <si>
    <t>3872</t>
  </si>
  <si>
    <t xml:space="preserve">Stock en dépôt </t>
  </si>
  <si>
    <t>388</t>
  </si>
  <si>
    <t xml:space="preserve">STOCK PROVENANT D'IMMOBILISATIONS MISES HORS SERVICE OU AU REBUT </t>
  </si>
  <si>
    <t>391</t>
  </si>
  <si>
    <t xml:space="preserve">DEPRECIATIONS DES STOCKS DE MARCHANDISES </t>
  </si>
  <si>
    <t>392</t>
  </si>
  <si>
    <t xml:space="preserve">DEPRECIATIONS DES STOCKS DE MATIERES PREMIERES ET FOURNITURES LIEES </t>
  </si>
  <si>
    <t>393</t>
  </si>
  <si>
    <t xml:space="preserve">DEPRECIATIONS DES STOCKS D'AUTRES APPROVISIONNEMENTS </t>
  </si>
  <si>
    <t>394</t>
  </si>
  <si>
    <t xml:space="preserve">DEPRECIATIONS DES PRODUCTIONS EN COURS </t>
  </si>
  <si>
    <t>395</t>
  </si>
  <si>
    <t xml:space="preserve">DEPRECIATIONS DES SERVICES EN COURS </t>
  </si>
  <si>
    <t>396</t>
  </si>
  <si>
    <t xml:space="preserve">DEPRECIATIONS DES STOCKS DE PRODUITS FINIS </t>
  </si>
  <si>
    <t>397</t>
  </si>
  <si>
    <t xml:space="preserve">DEPRECIATIONS DES STOCKS DE PRODUITS INTERMEDIAIRES ET RESIDUELS </t>
  </si>
  <si>
    <t>398</t>
  </si>
  <si>
    <t xml:space="preserve">DEPRECIATIONS DES STOCKS EN COURS DE ROUTE, EN CONSIGNATION OU EN DEPOT </t>
  </si>
  <si>
    <t>4011</t>
  </si>
  <si>
    <t xml:space="preserve">Fournisseurs  </t>
  </si>
  <si>
    <t>4012</t>
  </si>
  <si>
    <t xml:space="preserve">Fournisseurs - Groupe </t>
  </si>
  <si>
    <t>4013</t>
  </si>
  <si>
    <t xml:space="preserve">Fournisseurs sous-traitants </t>
  </si>
  <si>
    <t>4016</t>
  </si>
  <si>
    <t>Fournisseurs réserve de propriété</t>
  </si>
  <si>
    <t>4017</t>
  </si>
  <si>
    <t xml:space="preserve">Fournisseurs, retenues de garantie </t>
  </si>
  <si>
    <t>4021</t>
  </si>
  <si>
    <t xml:space="preserve">Fournisseurs, Effets à payer </t>
  </si>
  <si>
    <t>4022</t>
  </si>
  <si>
    <t xml:space="preserve">Fournisseurs, Groupe, Effets à payer </t>
  </si>
  <si>
    <t>4023</t>
  </si>
  <si>
    <t xml:space="preserve">Fournisseurs, sous-traitants, Effets à payer </t>
  </si>
  <si>
    <t>4041</t>
  </si>
  <si>
    <t>Fournisseurs dettes en compte, immobilisations incorporelles</t>
  </si>
  <si>
    <t>4042</t>
  </si>
  <si>
    <t>Fournisseurs dettes en compte, immobilisations corporelles</t>
  </si>
  <si>
    <t>4046</t>
  </si>
  <si>
    <t xml:space="preserve">Fournisseurs effets à payer, immobilisations incorporelles </t>
  </si>
  <si>
    <t>4047</t>
  </si>
  <si>
    <t xml:space="preserve">Fournisseurs effets à payer, immobilisations corporelles </t>
  </si>
  <si>
    <t>4081</t>
  </si>
  <si>
    <t xml:space="preserve">Fournisseurs </t>
  </si>
  <si>
    <t>4082</t>
  </si>
  <si>
    <t>4083</t>
  </si>
  <si>
    <t>4086</t>
  </si>
  <si>
    <t xml:space="preserve">Fournisseurs intérêts courus </t>
  </si>
  <si>
    <t>4091</t>
  </si>
  <si>
    <t xml:space="preserve">Fournisseurs, avances et acomptes versés </t>
  </si>
  <si>
    <t>4092</t>
  </si>
  <si>
    <t xml:space="preserve">Fournisseurs - Groupe, avances et acomptes versés </t>
  </si>
  <si>
    <t>4093</t>
  </si>
  <si>
    <t xml:space="preserve">Fournisseurs sous-traitants, avances et acomptes versés </t>
  </si>
  <si>
    <t>4094</t>
  </si>
  <si>
    <t xml:space="preserve">Fournisseurs, créances pour emballages et matériels à rendre </t>
  </si>
  <si>
    <t>4098</t>
  </si>
  <si>
    <t xml:space="preserve">Rabais, remises, ristournes et autres avoirs à obtenir </t>
  </si>
  <si>
    <t>4111</t>
  </si>
  <si>
    <t xml:space="preserve">Clients </t>
  </si>
  <si>
    <t>4112</t>
  </si>
  <si>
    <t xml:space="preserve">Clients - Groupe </t>
  </si>
  <si>
    <t>4114</t>
  </si>
  <si>
    <t xml:space="preserve">Clients, Etat et Collectivités publiques </t>
  </si>
  <si>
    <t>4115</t>
  </si>
  <si>
    <t xml:space="preserve">Clients, organismes internationaux </t>
  </si>
  <si>
    <t>4116</t>
  </si>
  <si>
    <t>Clients, réserve de propriété</t>
  </si>
  <si>
    <t>4117</t>
  </si>
  <si>
    <t xml:space="preserve">Clients, retenues de garantie </t>
  </si>
  <si>
    <t>4118</t>
  </si>
  <si>
    <t xml:space="preserve">Clients, dégrèvements de taxes sur la valeur ajoutée (T.V.A) </t>
  </si>
  <si>
    <t>4121</t>
  </si>
  <si>
    <t xml:space="preserve">Clients, Effets à recevoir </t>
  </si>
  <si>
    <t>4122</t>
  </si>
  <si>
    <t xml:space="preserve">Clients - Groupe, Effets à recevoir </t>
  </si>
  <si>
    <t>4124</t>
  </si>
  <si>
    <t xml:space="preserve">Clients, Etat et Collectivités publiques, Effets à recevoir </t>
  </si>
  <si>
    <t>4125</t>
  </si>
  <si>
    <t xml:space="preserve">Clients, organismes internationaux, Effets à recevoir </t>
  </si>
  <si>
    <t>4131</t>
  </si>
  <si>
    <t>Clients, chèques impayés</t>
  </si>
  <si>
    <t>4132</t>
  </si>
  <si>
    <t>Clients - effets impayés</t>
  </si>
  <si>
    <t>4133</t>
  </si>
  <si>
    <t>Clients, cartes de crédit impayées</t>
  </si>
  <si>
    <t>4138</t>
  </si>
  <si>
    <t>Clients, autres valeurs impayées</t>
  </si>
  <si>
    <t>4141</t>
  </si>
  <si>
    <t>Créances en compte, immobilisations incorporelles</t>
  </si>
  <si>
    <t>4142</t>
  </si>
  <si>
    <t>Créances en compte, immobilisations corporelles</t>
  </si>
  <si>
    <t>4146</t>
  </si>
  <si>
    <t>Effets à recevoir, immobilisations incorporelles</t>
  </si>
  <si>
    <t>4147</t>
  </si>
  <si>
    <t>Effets à recevoir, immobilisations corporelles</t>
  </si>
  <si>
    <t>415</t>
  </si>
  <si>
    <t xml:space="preserve">CLIENTS, EFFETS ESCOMPTES NON ECHUS </t>
  </si>
  <si>
    <t>4161</t>
  </si>
  <si>
    <t xml:space="preserve">Créances litigieuses </t>
  </si>
  <si>
    <t>4162</t>
  </si>
  <si>
    <t xml:space="preserve">Créances douteuses </t>
  </si>
  <si>
    <t>4181</t>
  </si>
  <si>
    <t xml:space="preserve">Clents, factures à établir </t>
  </si>
  <si>
    <t>4186</t>
  </si>
  <si>
    <t xml:space="preserve">Clients, intérêts courus </t>
  </si>
  <si>
    <t>4191</t>
  </si>
  <si>
    <t xml:space="preserve">Clients, avances et acomptes reçus </t>
  </si>
  <si>
    <t>4192</t>
  </si>
  <si>
    <t xml:space="preserve">Clients - Groupe, avances et acomptes reçus </t>
  </si>
  <si>
    <t>4194</t>
  </si>
  <si>
    <t xml:space="preserve">Clients, dettes pour emballages et matériels consignés </t>
  </si>
  <si>
    <t>4198</t>
  </si>
  <si>
    <t xml:space="preserve">Rabais, remises, ristournes et autres avoirs à accorder </t>
  </si>
  <si>
    <t>4211</t>
  </si>
  <si>
    <t xml:space="preserve">Personnel, avances </t>
  </si>
  <si>
    <t>4212</t>
  </si>
  <si>
    <t xml:space="preserve">Personnel, acomptes </t>
  </si>
  <si>
    <t>4213</t>
  </si>
  <si>
    <t xml:space="preserve">Frais avancés et fournitures au personnel </t>
  </si>
  <si>
    <t>422</t>
  </si>
  <si>
    <t xml:space="preserve">PERSONNEL, REMUNERATIONS DUES </t>
  </si>
  <si>
    <t>4231</t>
  </si>
  <si>
    <t xml:space="preserve">Personnel, oppositions </t>
  </si>
  <si>
    <t>4232</t>
  </si>
  <si>
    <t xml:space="preserve">Personnel, saisies-arrêts </t>
  </si>
  <si>
    <t>4233</t>
  </si>
  <si>
    <t xml:space="preserve">Personnel, avis à tiers détenteur </t>
  </si>
  <si>
    <t>4241</t>
  </si>
  <si>
    <t xml:space="preserve">Assistance médicale </t>
  </si>
  <si>
    <t>4242</t>
  </si>
  <si>
    <t xml:space="preserve">Allocations familiales </t>
  </si>
  <si>
    <t>4245</t>
  </si>
  <si>
    <t>Organismes sociaux rattachés à l'entité</t>
  </si>
  <si>
    <t>4248</t>
  </si>
  <si>
    <t xml:space="preserve">Autres œuvres sociales internes </t>
  </si>
  <si>
    <t>4251</t>
  </si>
  <si>
    <t xml:space="preserve">Délégués du personnel </t>
  </si>
  <si>
    <t>4252</t>
  </si>
  <si>
    <t xml:space="preserve">Syndicats et Comités d'entreprises, d'établissement </t>
  </si>
  <si>
    <t>4258</t>
  </si>
  <si>
    <t xml:space="preserve">Autres représentants du personnel </t>
  </si>
  <si>
    <t>4261</t>
  </si>
  <si>
    <t>Participation aux bénéfices</t>
  </si>
  <si>
    <t>4264</t>
  </si>
  <si>
    <t>Participation au capital</t>
  </si>
  <si>
    <t>427</t>
  </si>
  <si>
    <t xml:space="preserve">PERSONNEL-DEPÔTS </t>
  </si>
  <si>
    <t>4281</t>
  </si>
  <si>
    <t xml:space="preserve">Dettes provisionnées pour congés à payer </t>
  </si>
  <si>
    <t>4286</t>
  </si>
  <si>
    <t xml:space="preserve">Autres charges à payer </t>
  </si>
  <si>
    <t>4287</t>
  </si>
  <si>
    <t xml:space="preserve">Produits à recevoir </t>
  </si>
  <si>
    <t>4311</t>
  </si>
  <si>
    <t xml:space="preserve">Prestations familiales </t>
  </si>
  <si>
    <t>4312</t>
  </si>
  <si>
    <t xml:space="preserve">Accidents de travail </t>
  </si>
  <si>
    <t>4313</t>
  </si>
  <si>
    <t xml:space="preserve">Caisse de retraite obligatoire </t>
  </si>
  <si>
    <t>4314</t>
  </si>
  <si>
    <t xml:space="preserve">Caisse de retraite facultative </t>
  </si>
  <si>
    <t>4318</t>
  </si>
  <si>
    <t xml:space="preserve">Autres cotisations sociales </t>
  </si>
  <si>
    <t>432</t>
  </si>
  <si>
    <t xml:space="preserve">CAISSE DE RETRAITE COMPLEMENTAIRE </t>
  </si>
  <si>
    <t>4331</t>
  </si>
  <si>
    <t xml:space="preserve">Mutuelle </t>
  </si>
  <si>
    <t>4332</t>
  </si>
  <si>
    <t>Assurances Retraite</t>
  </si>
  <si>
    <t>4333</t>
  </si>
  <si>
    <t>Assurances et organismes de santé</t>
  </si>
  <si>
    <t>4381</t>
  </si>
  <si>
    <t xml:space="preserve">Charges sociales sur gratifications à payer </t>
  </si>
  <si>
    <t>4382</t>
  </si>
  <si>
    <t xml:space="preserve">Charges sociales sur congés à payer </t>
  </si>
  <si>
    <t>4386</t>
  </si>
  <si>
    <t>4387</t>
  </si>
  <si>
    <t>441</t>
  </si>
  <si>
    <t xml:space="preserve">ETAT, IMPOT SUR LES BENEFICES </t>
  </si>
  <si>
    <t>4421</t>
  </si>
  <si>
    <t xml:space="preserve">Impôts et taxes d'Etat </t>
  </si>
  <si>
    <t>4422</t>
  </si>
  <si>
    <t xml:space="preserve">Impôts et taxes pour les collectivités publiques </t>
  </si>
  <si>
    <t>4423</t>
  </si>
  <si>
    <t xml:space="preserve">Impôts et taxes recouvrables sur des obligataires </t>
  </si>
  <si>
    <t>4424</t>
  </si>
  <si>
    <t xml:space="preserve">Impôts et taxes recouvrables sur des associés </t>
  </si>
  <si>
    <t>4426</t>
  </si>
  <si>
    <t xml:space="preserve">Droits de douane </t>
  </si>
  <si>
    <t>4428</t>
  </si>
  <si>
    <t xml:space="preserve">Autres impôts et taxes </t>
  </si>
  <si>
    <t>4431</t>
  </si>
  <si>
    <t xml:space="preserve">T.V.A. facturée sur ventes </t>
  </si>
  <si>
    <t>4432</t>
  </si>
  <si>
    <t xml:space="preserve">T.V.A. facturée sur prestations de services </t>
  </si>
  <si>
    <t>4433</t>
  </si>
  <si>
    <t xml:space="preserve">T.V.A. facturée sur travaux </t>
  </si>
  <si>
    <t>4434</t>
  </si>
  <si>
    <t xml:space="preserve">T.V.A. facturée sur production livrée à soi-même </t>
  </si>
  <si>
    <t>4435</t>
  </si>
  <si>
    <t xml:space="preserve">T.V.A. facturée sur factures à établir </t>
  </si>
  <si>
    <t>4441</t>
  </si>
  <si>
    <t xml:space="preserve">Etat, TVA due </t>
  </si>
  <si>
    <t>4449</t>
  </si>
  <si>
    <t xml:space="preserve">Etat, crédit de TVA à reporter </t>
  </si>
  <si>
    <t>4451</t>
  </si>
  <si>
    <t xml:space="preserve">T.V.A. récupérable sur immobilisations </t>
  </si>
  <si>
    <t>4452</t>
  </si>
  <si>
    <t xml:space="preserve">T.V.A. récupérable sur achats </t>
  </si>
  <si>
    <t>4453</t>
  </si>
  <si>
    <t xml:space="preserve">T.V.A. récupérable sur transport </t>
  </si>
  <si>
    <t>4454</t>
  </si>
  <si>
    <t xml:space="preserve">T.V.A. récupérable sur services extérieurs et autres charges </t>
  </si>
  <si>
    <t>4455</t>
  </si>
  <si>
    <t xml:space="preserve">T.V.A. récupérable sur factures non parvenues </t>
  </si>
  <si>
    <t>4456</t>
  </si>
  <si>
    <t>T.V.A. transférée par d'autres entités</t>
  </si>
  <si>
    <t>446</t>
  </si>
  <si>
    <t xml:space="preserve">ETAT, AUTRES TAXES SUR LE CHIFFRE D'AFFAIRES </t>
  </si>
  <si>
    <t>4471</t>
  </si>
  <si>
    <t xml:space="preserve">Impôt général sur le revenu </t>
  </si>
  <si>
    <t>4472</t>
  </si>
  <si>
    <t xml:space="preserve">Impôts sur salaires </t>
  </si>
  <si>
    <t>4473</t>
  </si>
  <si>
    <t xml:space="preserve">Contribution nationale </t>
  </si>
  <si>
    <t>4474</t>
  </si>
  <si>
    <t xml:space="preserve">Contribution nationale de solidarité </t>
  </si>
  <si>
    <t>4478</t>
  </si>
  <si>
    <t xml:space="preserve">Autres impôts et contributions </t>
  </si>
  <si>
    <t>4486</t>
  </si>
  <si>
    <t xml:space="preserve">Charges à payer </t>
  </si>
  <si>
    <t>4487</t>
  </si>
  <si>
    <t>4491</t>
  </si>
  <si>
    <t xml:space="preserve">Etat, obligations cautionnées </t>
  </si>
  <si>
    <t>4492</t>
  </si>
  <si>
    <t xml:space="preserve">Etat, avances et acomptes versés sur impôts </t>
  </si>
  <si>
    <t>4493</t>
  </si>
  <si>
    <t xml:space="preserve">Etat, fonds de dotation à recevoir </t>
  </si>
  <si>
    <t>4494</t>
  </si>
  <si>
    <t xml:space="preserve">Etat, subventions d'investissement à recevoir </t>
  </si>
  <si>
    <t>4495</t>
  </si>
  <si>
    <t xml:space="preserve">Etat, subventions d'exploitation à recevoir </t>
  </si>
  <si>
    <t>4496</t>
  </si>
  <si>
    <t xml:space="preserve">Etat, subventions d'équilibre à recevoir </t>
  </si>
  <si>
    <t>4497</t>
  </si>
  <si>
    <t>Etat, avances sur subventions</t>
  </si>
  <si>
    <t>4499</t>
  </si>
  <si>
    <t xml:space="preserve">Etat, fonds réglementés provisionnés </t>
  </si>
  <si>
    <t>451</t>
  </si>
  <si>
    <t xml:space="preserve">OPERATIONS AVEC LES ORGANISMES AFRICAINS </t>
  </si>
  <si>
    <t>452</t>
  </si>
  <si>
    <t xml:space="preserve">OPERATIONS AVEC LES AUTRES ORGANISMES INTERNATIONAUX </t>
  </si>
  <si>
    <t>4581</t>
  </si>
  <si>
    <t xml:space="preserve">Organismes internationaux, fonds de dotation à recevoir </t>
  </si>
  <si>
    <t>4582</t>
  </si>
  <si>
    <t xml:space="preserve">Organismes internationaux, subventions à recevoir </t>
  </si>
  <si>
    <t>4611</t>
  </si>
  <si>
    <t xml:space="preserve">Apporteurs, apports en nature </t>
  </si>
  <si>
    <t>4612</t>
  </si>
  <si>
    <t xml:space="preserve">Apporteurs, apports en numéraire </t>
  </si>
  <si>
    <t>4613</t>
  </si>
  <si>
    <t xml:space="preserve">Apporteurs, capital souscrit appelé non versé </t>
  </si>
  <si>
    <t>4614</t>
  </si>
  <si>
    <t>Apporteurs, compte d'apport, opérations de restructuration (fusion…)</t>
  </si>
  <si>
    <t>4615</t>
  </si>
  <si>
    <t xml:space="preserve">Apporteurs, versements reçus sur augmentation de capital </t>
  </si>
  <si>
    <t>4616</t>
  </si>
  <si>
    <t xml:space="preserve">Apporteurs, versements anticipés </t>
  </si>
  <si>
    <t>4617</t>
  </si>
  <si>
    <t xml:space="preserve">Apporteurs défaillants </t>
  </si>
  <si>
    <t>4618</t>
  </si>
  <si>
    <t>Apporteurs, titres à échanger</t>
  </si>
  <si>
    <t>4619</t>
  </si>
  <si>
    <t xml:space="preserve">Apporteur, capital à rembourser </t>
  </si>
  <si>
    <t>4621</t>
  </si>
  <si>
    <t xml:space="preserve">Principal </t>
  </si>
  <si>
    <t>4626</t>
  </si>
  <si>
    <t xml:space="preserve">Intérêts courus </t>
  </si>
  <si>
    <t>4631</t>
  </si>
  <si>
    <t>4636</t>
  </si>
  <si>
    <t>465</t>
  </si>
  <si>
    <t xml:space="preserve">ASSOCIES, DIVIDENDES A PAYER </t>
  </si>
  <si>
    <t>466</t>
  </si>
  <si>
    <t xml:space="preserve">GROUPE, COMPTES COURANTS </t>
  </si>
  <si>
    <t>467</t>
  </si>
  <si>
    <t xml:space="preserve">APPORTEURS RESTANT DÛ SUR CAPITAL APPELE </t>
  </si>
  <si>
    <t>4711</t>
  </si>
  <si>
    <t xml:space="preserve">Débiteurs divers </t>
  </si>
  <si>
    <t>4712</t>
  </si>
  <si>
    <t xml:space="preserve">Créditeurs divers </t>
  </si>
  <si>
    <t>4713</t>
  </si>
  <si>
    <t>4715</t>
  </si>
  <si>
    <t>4716</t>
  </si>
  <si>
    <t>Compte d'affacturage</t>
  </si>
  <si>
    <t>4717</t>
  </si>
  <si>
    <t xml:space="preserve">Débiteurs divers-retenues de garantie </t>
  </si>
  <si>
    <t>4718</t>
  </si>
  <si>
    <t>Apport, compte de fusion et opérations assimilées</t>
  </si>
  <si>
    <t>4719</t>
  </si>
  <si>
    <t>Bons de souscription d'actions et d'obligations</t>
  </si>
  <si>
    <t>4721</t>
  </si>
  <si>
    <t xml:space="preserve">Créances sur cessions de titres de placement </t>
  </si>
  <si>
    <t>4726</t>
  </si>
  <si>
    <t>Versements restant à effectuer sur titres de placement non libérés</t>
  </si>
  <si>
    <t>4731</t>
  </si>
  <si>
    <t>Mandants</t>
  </si>
  <si>
    <t>4732</t>
  </si>
  <si>
    <t>Mandataires</t>
  </si>
  <si>
    <t>4733</t>
  </si>
  <si>
    <t>Commettants</t>
  </si>
  <si>
    <t>4734</t>
  </si>
  <si>
    <t>Commissionnaires</t>
  </si>
  <si>
    <t>4739</t>
  </si>
  <si>
    <t>Etat, Collectivités publiques, fonds global d'allocation</t>
  </si>
  <si>
    <t>4746</t>
  </si>
  <si>
    <t xml:space="preserve">Compte de répartition périodique des charges </t>
  </si>
  <si>
    <t>4747</t>
  </si>
  <si>
    <t>Compte de répartition périodique des produits</t>
  </si>
  <si>
    <t>4751</t>
  </si>
  <si>
    <t>Compte actif</t>
  </si>
  <si>
    <t>4752</t>
  </si>
  <si>
    <t>Compte passif</t>
  </si>
  <si>
    <t>476</t>
  </si>
  <si>
    <t xml:space="preserve">CHARGES CONSTATEES D'AVANCE </t>
  </si>
  <si>
    <t>477</t>
  </si>
  <si>
    <t xml:space="preserve">PRODUITS CONSTATES D'AVANCE </t>
  </si>
  <si>
    <t>4781</t>
  </si>
  <si>
    <t>Diminution des créances d'exploitation</t>
  </si>
  <si>
    <t>4782</t>
  </si>
  <si>
    <t>Diminution des créances financières</t>
  </si>
  <si>
    <t>4783</t>
  </si>
  <si>
    <t>Augmentation des dettes d'exploitation</t>
  </si>
  <si>
    <t>4784</t>
  </si>
  <si>
    <t>Augmentation des dettes financières</t>
  </si>
  <si>
    <t>4786</t>
  </si>
  <si>
    <t>Différences d'évaluation sur instruments de trésorerie</t>
  </si>
  <si>
    <t>4788</t>
  </si>
  <si>
    <t xml:space="preserve">Différences compensées par couverture de change </t>
  </si>
  <si>
    <t>4791</t>
  </si>
  <si>
    <t>Augmentation des créances d'exploitation</t>
  </si>
  <si>
    <t>4792</t>
  </si>
  <si>
    <t>Augmentation des créances financières</t>
  </si>
  <si>
    <t>4793</t>
  </si>
  <si>
    <t>Diminution des dettes d'exploitation</t>
  </si>
  <si>
    <t>4794</t>
  </si>
  <si>
    <t>Diminution des dettes financières</t>
  </si>
  <si>
    <t>4797</t>
  </si>
  <si>
    <t>4798</t>
  </si>
  <si>
    <t>4811</t>
  </si>
  <si>
    <t xml:space="preserve">Immobilisations incorporelles </t>
  </si>
  <si>
    <t>4812</t>
  </si>
  <si>
    <t xml:space="preserve">Immobilisations corporelles </t>
  </si>
  <si>
    <t>4813</t>
  </si>
  <si>
    <t>4816</t>
  </si>
  <si>
    <t>Réserve de propriété</t>
  </si>
  <si>
    <t>4817</t>
  </si>
  <si>
    <t>4818</t>
  </si>
  <si>
    <t xml:space="preserve">Factures non parvenues </t>
  </si>
  <si>
    <t>4821</t>
  </si>
  <si>
    <t>4822</t>
  </si>
  <si>
    <t>484</t>
  </si>
  <si>
    <t xml:space="preserve">AUTRES DETTES HORS ACTIVITES ORDINAIRES (H.A.O.) </t>
  </si>
  <si>
    <t>4851</t>
  </si>
  <si>
    <t xml:space="preserve">En compte, immobilisations incorporelles </t>
  </si>
  <si>
    <t>4852</t>
  </si>
  <si>
    <t xml:space="preserve">En compte, immobilisations corporelles </t>
  </si>
  <si>
    <t>4853</t>
  </si>
  <si>
    <t>4854</t>
  </si>
  <si>
    <t>4855</t>
  </si>
  <si>
    <t>4857</t>
  </si>
  <si>
    <t>4858</t>
  </si>
  <si>
    <t xml:space="preserve">Factures à établir </t>
  </si>
  <si>
    <t>488</t>
  </si>
  <si>
    <t xml:space="preserve">AUTRES CREANCES HORS ACTIVITES ORDINAIRES (H.A.O) </t>
  </si>
  <si>
    <t>490</t>
  </si>
  <si>
    <t xml:space="preserve">DEPRECIATIONS DES COMPTES FOURNISSEURS </t>
  </si>
  <si>
    <t>4911</t>
  </si>
  <si>
    <t>4912</t>
  </si>
  <si>
    <t>492</t>
  </si>
  <si>
    <t xml:space="preserve">DEPRECIATIONS DES COMPTES PERSONNEL </t>
  </si>
  <si>
    <t>493</t>
  </si>
  <si>
    <t xml:space="preserve">DEPRECIATIONS DES COMPTES ORGANISMES SOCIAUX </t>
  </si>
  <si>
    <t>494</t>
  </si>
  <si>
    <t xml:space="preserve">DEPRECIATIONS DES COMPTES ETAT ET COLLECTIVITES PUBLIQUES </t>
  </si>
  <si>
    <t>495</t>
  </si>
  <si>
    <t xml:space="preserve">DEPRECIATIONS DES COMPTES ORGANISMES INTERNATIONAUX </t>
  </si>
  <si>
    <t>4962</t>
  </si>
  <si>
    <t xml:space="preserve">Associés, comptes courants </t>
  </si>
  <si>
    <t>4963</t>
  </si>
  <si>
    <t xml:space="preserve">Associés, opérations faites en commun </t>
  </si>
  <si>
    <t>4966</t>
  </si>
  <si>
    <t xml:space="preserve">Groupe, comptes courants </t>
  </si>
  <si>
    <t>497</t>
  </si>
  <si>
    <t xml:space="preserve">DEPRECIATIONS DES COMPTES DEBITEURS DIVERS </t>
  </si>
  <si>
    <t>4985</t>
  </si>
  <si>
    <t xml:space="preserve">Créances sur cessions d'immobilisations </t>
  </si>
  <si>
    <t>4986</t>
  </si>
  <si>
    <t>4988</t>
  </si>
  <si>
    <t xml:space="preserve">Autres créances H.A.O </t>
  </si>
  <si>
    <t>4991</t>
  </si>
  <si>
    <t xml:space="preserve">Sur opérations d'exploitation </t>
  </si>
  <si>
    <t>4997</t>
  </si>
  <si>
    <t xml:space="preserve">Sur opérations financières </t>
  </si>
  <si>
    <t>4998</t>
  </si>
  <si>
    <t xml:space="preserve">Sur opérations H.A.O </t>
  </si>
  <si>
    <t>5011</t>
  </si>
  <si>
    <t xml:space="preserve">Titres du Trésor à court terme </t>
  </si>
  <si>
    <t>5012</t>
  </si>
  <si>
    <t xml:space="preserve">Titres d'organismes financiers </t>
  </si>
  <si>
    <t>5013</t>
  </si>
  <si>
    <t xml:space="preserve">Bons de caisse à court terme </t>
  </si>
  <si>
    <t>5016</t>
  </si>
  <si>
    <t>Frais d'acquisition des titres de trésor et bons de caisse</t>
  </si>
  <si>
    <t>5021</t>
  </si>
  <si>
    <t xml:space="preserve">Actions ou parts propres </t>
  </si>
  <si>
    <t>5022</t>
  </si>
  <si>
    <t xml:space="preserve">Actions côtées </t>
  </si>
  <si>
    <t>5023</t>
  </si>
  <si>
    <t xml:space="preserve">Actions non côtées </t>
  </si>
  <si>
    <t>5024</t>
  </si>
  <si>
    <t xml:space="preserve">Actions démembrées (certificats d'investissement; droits de vote) </t>
  </si>
  <si>
    <t>5025</t>
  </si>
  <si>
    <t>Autres actions</t>
  </si>
  <si>
    <t>5026</t>
  </si>
  <si>
    <t>Frais d'acquisition des actions</t>
  </si>
  <si>
    <t>5031</t>
  </si>
  <si>
    <t xml:space="preserve">Obligations émises par la société et rachetées par elle </t>
  </si>
  <si>
    <t>5032</t>
  </si>
  <si>
    <t xml:space="preserve">Obligations côtées </t>
  </si>
  <si>
    <t>5033</t>
  </si>
  <si>
    <t xml:space="preserve">Obligations non côtées </t>
  </si>
  <si>
    <t>5035</t>
  </si>
  <si>
    <t xml:space="preserve">Autres titres conférant un droit de créance </t>
  </si>
  <si>
    <t>5036</t>
  </si>
  <si>
    <t>Frais d'acquisition des obligations</t>
  </si>
  <si>
    <t>5042</t>
  </si>
  <si>
    <t xml:space="preserve">Bons de souscription d'actions </t>
  </si>
  <si>
    <t>5043</t>
  </si>
  <si>
    <t xml:space="preserve">Bons de souscription d'obligations </t>
  </si>
  <si>
    <t>505</t>
  </si>
  <si>
    <t>TITRES NEGOCIABLES HORS REGION</t>
  </si>
  <si>
    <t>5061</t>
  </si>
  <si>
    <t xml:space="preserve">Titres du Trésor et bons de caisse à court terme </t>
  </si>
  <si>
    <t>5062</t>
  </si>
  <si>
    <t xml:space="preserve">Actions </t>
  </si>
  <si>
    <t>5063</t>
  </si>
  <si>
    <t>508</t>
  </si>
  <si>
    <t>AUTRES TITRES DE PLACEMENT ET CREANCES ASSIMILEES</t>
  </si>
  <si>
    <t>511</t>
  </si>
  <si>
    <t xml:space="preserve">EFFETS A ENCAISSER </t>
  </si>
  <si>
    <t>512</t>
  </si>
  <si>
    <t xml:space="preserve">EFFETS A L'ENCAISSEMENT </t>
  </si>
  <si>
    <t>513</t>
  </si>
  <si>
    <t xml:space="preserve">CHEQUES A ENCAISSER </t>
  </si>
  <si>
    <t>514</t>
  </si>
  <si>
    <t xml:space="preserve">CHEQUES A L'ENCAISSEMENT </t>
  </si>
  <si>
    <t>515</t>
  </si>
  <si>
    <t xml:space="preserve">CARTES DE CREDIT A ENCAISSER </t>
  </si>
  <si>
    <t>5181</t>
  </si>
  <si>
    <t xml:space="preserve">Warrants </t>
  </si>
  <si>
    <t>5182</t>
  </si>
  <si>
    <t>5185</t>
  </si>
  <si>
    <t xml:space="preserve">Chèques de voyage </t>
  </si>
  <si>
    <t>5186</t>
  </si>
  <si>
    <t xml:space="preserve">Coupons échus </t>
  </si>
  <si>
    <t>5187</t>
  </si>
  <si>
    <t xml:space="preserve">Intérêts échus des obligations </t>
  </si>
  <si>
    <t>5211</t>
  </si>
  <si>
    <t>Banque en monnaie locale</t>
  </si>
  <si>
    <t>5212</t>
  </si>
  <si>
    <t xml:space="preserve">Banque en Devises </t>
  </si>
  <si>
    <t>522</t>
  </si>
  <si>
    <t>BANQUES AUTRES ETATS REGION</t>
  </si>
  <si>
    <t>523</t>
  </si>
  <si>
    <t>BANQUES AUTRES ETATS ZONE MONETAIRE</t>
  </si>
  <si>
    <t>524</t>
  </si>
  <si>
    <t>BANQUES HORS ZONE MONETAIRE</t>
  </si>
  <si>
    <t>525</t>
  </si>
  <si>
    <t>BANQUES DEPÔT A TERME</t>
  </si>
  <si>
    <t>5261</t>
  </si>
  <si>
    <t>Banque, intérêts courus charge à payer</t>
  </si>
  <si>
    <t>5267</t>
  </si>
  <si>
    <t>Banque, intérêts courus produits à recevoir</t>
  </si>
  <si>
    <t>531</t>
  </si>
  <si>
    <t xml:space="preserve">CHEQUES POSTAUX </t>
  </si>
  <si>
    <t>532</t>
  </si>
  <si>
    <t xml:space="preserve">TRESOR </t>
  </si>
  <si>
    <t>533</t>
  </si>
  <si>
    <t xml:space="preserve">SOCIETES DE GESTION ET D'INTERMEDIATION (S.G.I.) </t>
  </si>
  <si>
    <t>536</t>
  </si>
  <si>
    <t xml:space="preserve">ETS FINANCIERS INTERETS COURUS </t>
  </si>
  <si>
    <t>538</t>
  </si>
  <si>
    <t xml:space="preserve">AUTRES ORGANISMES FINANCIERS </t>
  </si>
  <si>
    <t>541</t>
  </si>
  <si>
    <t xml:space="preserve">OPTIONS DE TAUX D'INTERET </t>
  </si>
  <si>
    <t>542</t>
  </si>
  <si>
    <t xml:space="preserve">OPTIONS DE TAUX DE CHANGE </t>
  </si>
  <si>
    <t>543</t>
  </si>
  <si>
    <t xml:space="preserve">OPTIONS DE TAUX  BOURSIERS </t>
  </si>
  <si>
    <t>544</t>
  </si>
  <si>
    <t xml:space="preserve">INSTRUMENTS FINANCIERS DE MARCHES A TERME </t>
  </si>
  <si>
    <t>545</t>
  </si>
  <si>
    <t xml:space="preserve">AVOIRS D'OR ET AUTRES METAUX PRECIEUX (1) </t>
  </si>
  <si>
    <t>551</t>
  </si>
  <si>
    <t>MONNAIE ELECTRONIQUE - CARTE CARBURANT</t>
  </si>
  <si>
    <t>552</t>
  </si>
  <si>
    <t>MONNAIE ELECTRONIQUE - TELEPHONE PORTABLE</t>
  </si>
  <si>
    <t>553</t>
  </si>
  <si>
    <t>MONNAIE ELECTRONIQUE - CARTE PEAGE</t>
  </si>
  <si>
    <t>554</t>
  </si>
  <si>
    <t>PORTE-MONNAIE ELECTRONIQUE</t>
  </si>
  <si>
    <t>558</t>
  </si>
  <si>
    <t>AUTRES INSTRUMENTS MONNAIES ELECTRONIQUES</t>
  </si>
  <si>
    <t>561</t>
  </si>
  <si>
    <t xml:space="preserve">CREDITS DE TRESORERIE </t>
  </si>
  <si>
    <t>564</t>
  </si>
  <si>
    <t xml:space="preserve">ESCOMPTE DE CREDITS DE CAMPAGNE </t>
  </si>
  <si>
    <t>565</t>
  </si>
  <si>
    <t xml:space="preserve">ESCOMPTE DE CREDITS ORDINAIRES </t>
  </si>
  <si>
    <t>566</t>
  </si>
  <si>
    <t xml:space="preserve">BANQUES CREDIT DE TRESORERIE, INTERETS COURUS </t>
  </si>
  <si>
    <t>5711</t>
  </si>
  <si>
    <t>Caisse en monnaie nationale</t>
  </si>
  <si>
    <t>5712</t>
  </si>
  <si>
    <t>Caisse en devises</t>
  </si>
  <si>
    <t>5721</t>
  </si>
  <si>
    <t>5722</t>
  </si>
  <si>
    <t>5731</t>
  </si>
  <si>
    <t>5732</t>
  </si>
  <si>
    <t>581</t>
  </si>
  <si>
    <t xml:space="preserve">REGIES D'AVANCE </t>
  </si>
  <si>
    <t>582</t>
  </si>
  <si>
    <t xml:space="preserve">ACCREDITIFS </t>
  </si>
  <si>
    <t>585</t>
  </si>
  <si>
    <t xml:space="preserve">VIREMENTS DE FONDS </t>
  </si>
  <si>
    <t>588</t>
  </si>
  <si>
    <t xml:space="preserve">AUTRES VIREMENTS INTERNES </t>
  </si>
  <si>
    <t>590</t>
  </si>
  <si>
    <t xml:space="preserve">DEPRECIATIONS DES TITRES DE PLACEMENT </t>
  </si>
  <si>
    <t>591</t>
  </si>
  <si>
    <t xml:space="preserve">DEPRECIATIONS DES TITRES ET VALEURS A ENCAISSER </t>
  </si>
  <si>
    <t>592</t>
  </si>
  <si>
    <t xml:space="preserve">DEPRECIATIONS DES COMPTES BANQUES </t>
  </si>
  <si>
    <t>593</t>
  </si>
  <si>
    <t xml:space="preserve">DEPRECIATIONS DES COMPTES ETABLISSEMENTS FINANCIERS ET ASSIMILES </t>
  </si>
  <si>
    <t>594</t>
  </si>
  <si>
    <t xml:space="preserve">DEPRECIATIONS DES COMPTES D'INSTRUMENTS DE TRESORERIE </t>
  </si>
  <si>
    <t>599</t>
  </si>
  <si>
    <t xml:space="preserve">PROVISIONS POUR RISQUE A COURT TERME A CARACTERE FINANCIER </t>
  </si>
  <si>
    <t>6011</t>
  </si>
  <si>
    <t>Dans la Région</t>
  </si>
  <si>
    <t>6012</t>
  </si>
  <si>
    <t>Hors Région</t>
  </si>
  <si>
    <t>6013</t>
  </si>
  <si>
    <t xml:space="preserve">Aux entités du groupe dans la Région </t>
  </si>
  <si>
    <t>6014</t>
  </si>
  <si>
    <t xml:space="preserve">Aux entités du groupe hors Région </t>
  </si>
  <si>
    <t>6015</t>
  </si>
  <si>
    <t>6019</t>
  </si>
  <si>
    <t xml:space="preserve">Rabais, remises et ristournes obtenus (non ventilés) </t>
  </si>
  <si>
    <t>6021</t>
  </si>
  <si>
    <t xml:space="preserve">Dans dans la Région </t>
  </si>
  <si>
    <t>6022</t>
  </si>
  <si>
    <t xml:space="preserve">Hors Région </t>
  </si>
  <si>
    <t>6023</t>
  </si>
  <si>
    <t>6024</t>
  </si>
  <si>
    <t>6025</t>
  </si>
  <si>
    <t>6029</t>
  </si>
  <si>
    <t>6031</t>
  </si>
  <si>
    <t xml:space="preserve">Variations des stocks de marchandises </t>
  </si>
  <si>
    <t>6032</t>
  </si>
  <si>
    <t xml:space="preserve">Variations des stocks de matières premières et fournitures liées </t>
  </si>
  <si>
    <t>6033</t>
  </si>
  <si>
    <t xml:space="preserve">Variations des stocks d'autres approvisionnements </t>
  </si>
  <si>
    <t>6041</t>
  </si>
  <si>
    <t xml:space="preserve">Matières consommables </t>
  </si>
  <si>
    <t>6042</t>
  </si>
  <si>
    <t xml:space="preserve">Matières combustibles </t>
  </si>
  <si>
    <t>6043</t>
  </si>
  <si>
    <t xml:space="preserve">Produits d'entretien </t>
  </si>
  <si>
    <t>6044</t>
  </si>
  <si>
    <t xml:space="preserve">Fournitures d'atelier et d'usine </t>
  </si>
  <si>
    <t>6045</t>
  </si>
  <si>
    <t>6046</t>
  </si>
  <si>
    <t xml:space="preserve">Fournitures de magasin </t>
  </si>
  <si>
    <t>6047</t>
  </si>
  <si>
    <t xml:space="preserve">Fournitures de bureau </t>
  </si>
  <si>
    <t>6049</t>
  </si>
  <si>
    <t>6051</t>
  </si>
  <si>
    <t xml:space="preserve">Fournitures non stockables - Eau </t>
  </si>
  <si>
    <t>6052</t>
  </si>
  <si>
    <t xml:space="preserve">Fournitures non stockables - Electricité </t>
  </si>
  <si>
    <t>6053</t>
  </si>
  <si>
    <t xml:space="preserve">Fournitures non stockables - Autres énergies </t>
  </si>
  <si>
    <t>6054</t>
  </si>
  <si>
    <t xml:space="preserve">Fournitures d'entretien non stockables </t>
  </si>
  <si>
    <t>6055</t>
  </si>
  <si>
    <t xml:space="preserve">Fournitures de bureau non stockables </t>
  </si>
  <si>
    <t>6056</t>
  </si>
  <si>
    <t xml:space="preserve">Achats de petit matériel et outillage </t>
  </si>
  <si>
    <t>6057</t>
  </si>
  <si>
    <t xml:space="preserve">Achats d'études et prestations de service </t>
  </si>
  <si>
    <t>6058</t>
  </si>
  <si>
    <t xml:space="preserve">Achats de travaux, matériels et équipements </t>
  </si>
  <si>
    <t>6059</t>
  </si>
  <si>
    <t>6081</t>
  </si>
  <si>
    <t>6082</t>
  </si>
  <si>
    <t>6083</t>
  </si>
  <si>
    <t>6085</t>
  </si>
  <si>
    <t>6089</t>
  </si>
  <si>
    <t>612</t>
  </si>
  <si>
    <t xml:space="preserve">TRANSPORTS SUR VENTES </t>
  </si>
  <si>
    <t>613</t>
  </si>
  <si>
    <t xml:space="preserve">TRANSPORTS POUR LE COMPTE DE TIERS </t>
  </si>
  <si>
    <t>614</t>
  </si>
  <si>
    <t xml:space="preserve">TRANSPORTS DU PERSONNEL </t>
  </si>
  <si>
    <t>616</t>
  </si>
  <si>
    <t xml:space="preserve">TRANSPORTS DE PLIS </t>
  </si>
  <si>
    <t>6181</t>
  </si>
  <si>
    <t xml:space="preserve">Voyages et déplacements </t>
  </si>
  <si>
    <t>6182</t>
  </si>
  <si>
    <t xml:space="preserve">Transports entre établissements ou chantiers </t>
  </si>
  <si>
    <t>6183</t>
  </si>
  <si>
    <t xml:space="preserve">Transports administratifs </t>
  </si>
  <si>
    <t>621</t>
  </si>
  <si>
    <t xml:space="preserve">SOUS-TRAITANCE GENERALE </t>
  </si>
  <si>
    <t>6221</t>
  </si>
  <si>
    <t xml:space="preserve">Locations de terrains </t>
  </si>
  <si>
    <t>6222</t>
  </si>
  <si>
    <t xml:space="preserve">Locations de bâtiments </t>
  </si>
  <si>
    <t>6223</t>
  </si>
  <si>
    <t xml:space="preserve">Locations de matériels et outillages </t>
  </si>
  <si>
    <t>6224</t>
  </si>
  <si>
    <t xml:space="preserve">Malis sur emballages </t>
  </si>
  <si>
    <t>6225</t>
  </si>
  <si>
    <t xml:space="preserve">Locations d'emballages </t>
  </si>
  <si>
    <t>6226</t>
  </si>
  <si>
    <t>Fermages et loyers du foncier</t>
  </si>
  <si>
    <t>6228</t>
  </si>
  <si>
    <t xml:space="preserve">Locations et charges locatives diverses </t>
  </si>
  <si>
    <t>6232</t>
  </si>
  <si>
    <t xml:space="preserve">Crédit-bail immobilier </t>
  </si>
  <si>
    <t>6233</t>
  </si>
  <si>
    <t xml:space="preserve">Crédit-bail mobilier </t>
  </si>
  <si>
    <t>6234</t>
  </si>
  <si>
    <t>Location vente</t>
  </si>
  <si>
    <t>6238</t>
  </si>
  <si>
    <t>Autres contrats de location acquisition</t>
  </si>
  <si>
    <t>6241</t>
  </si>
  <si>
    <t xml:space="preserve">Entretien et réparations des biens immobiliers </t>
  </si>
  <si>
    <t>6242</t>
  </si>
  <si>
    <t xml:space="preserve">Entretien et réparations des biens mobiliers </t>
  </si>
  <si>
    <t>6243</t>
  </si>
  <si>
    <t xml:space="preserve">Maintenance </t>
  </si>
  <si>
    <t>6244</t>
  </si>
  <si>
    <t>Charges de démantèlement et remise en état</t>
  </si>
  <si>
    <t>6248</t>
  </si>
  <si>
    <t xml:space="preserve">Autres entretiens et réparations </t>
  </si>
  <si>
    <t>6251</t>
  </si>
  <si>
    <t xml:space="preserve">Assurances multirisques </t>
  </si>
  <si>
    <t>6252</t>
  </si>
  <si>
    <t xml:space="preserve">Assurances matériel de transport </t>
  </si>
  <si>
    <t>6253</t>
  </si>
  <si>
    <t xml:space="preserve">Assurances risques d'exploitation </t>
  </si>
  <si>
    <t>6254</t>
  </si>
  <si>
    <t xml:space="preserve">Assurances responsabilité du producteur </t>
  </si>
  <si>
    <t>6255</t>
  </si>
  <si>
    <t xml:space="preserve">Assurances insolvabilité clients </t>
  </si>
  <si>
    <t>6257</t>
  </si>
  <si>
    <t xml:space="preserve">Assurances transport sur ventes </t>
  </si>
  <si>
    <t>6258</t>
  </si>
  <si>
    <t xml:space="preserve">Autres primes d'assurance </t>
  </si>
  <si>
    <t>6261</t>
  </si>
  <si>
    <t xml:space="preserve">Etudes et recherches </t>
  </si>
  <si>
    <t>6265</t>
  </si>
  <si>
    <t xml:space="preserve">Documentation générale </t>
  </si>
  <si>
    <t>6266</t>
  </si>
  <si>
    <t xml:space="preserve">Documentation technique </t>
  </si>
  <si>
    <t>6271</t>
  </si>
  <si>
    <t xml:space="preserve">Annonces, insertions </t>
  </si>
  <si>
    <t>6272</t>
  </si>
  <si>
    <t xml:space="preserve">Catalogues, imprimés publicitaires </t>
  </si>
  <si>
    <t>6273</t>
  </si>
  <si>
    <t xml:space="preserve">Echantillons </t>
  </si>
  <si>
    <t>6274</t>
  </si>
  <si>
    <t xml:space="preserve">Foires et expositions </t>
  </si>
  <si>
    <t>6275</t>
  </si>
  <si>
    <t xml:space="preserve">Publications </t>
  </si>
  <si>
    <t>6276</t>
  </si>
  <si>
    <t xml:space="preserve">Cadeaux à la clientèle </t>
  </si>
  <si>
    <t>6277</t>
  </si>
  <si>
    <t xml:space="preserve">Frais de colloques, séminaires, conférences </t>
  </si>
  <si>
    <t>6278</t>
  </si>
  <si>
    <t xml:space="preserve">Autres charges de publicité et relations publiques </t>
  </si>
  <si>
    <t>6281</t>
  </si>
  <si>
    <t xml:space="preserve">Frais de téléphone </t>
  </si>
  <si>
    <t>6282</t>
  </si>
  <si>
    <t xml:space="preserve">Frais de télex </t>
  </si>
  <si>
    <t>6283</t>
  </si>
  <si>
    <t xml:space="preserve">Frais de télécopie </t>
  </si>
  <si>
    <t>6288</t>
  </si>
  <si>
    <t xml:space="preserve">Autres frais de télécommunications </t>
  </si>
  <si>
    <t>6311</t>
  </si>
  <si>
    <t xml:space="preserve">Frais sur titres (vente, garde) </t>
  </si>
  <si>
    <t>6312</t>
  </si>
  <si>
    <t xml:space="preserve">Frais sur effets </t>
  </si>
  <si>
    <t>6313</t>
  </si>
  <si>
    <t xml:space="preserve">Location de coffres </t>
  </si>
  <si>
    <t>6314</t>
  </si>
  <si>
    <t>Commissions d'affacturage</t>
  </si>
  <si>
    <t>6315</t>
  </si>
  <si>
    <t xml:space="preserve">Commissions sur cartes de crédit </t>
  </si>
  <si>
    <t>6316</t>
  </si>
  <si>
    <t xml:space="preserve">Frais d'émission d'emprunts </t>
  </si>
  <si>
    <t>6317</t>
  </si>
  <si>
    <t>Frais sur instruments monnaie électronique</t>
  </si>
  <si>
    <t>6318</t>
  </si>
  <si>
    <t xml:space="preserve">Autres frais bancaires </t>
  </si>
  <si>
    <t>6322</t>
  </si>
  <si>
    <t xml:space="preserve">Commissions et courtages sur ventes </t>
  </si>
  <si>
    <t>6324</t>
  </si>
  <si>
    <t>Honoraires des professions réglementées</t>
  </si>
  <si>
    <t>6325</t>
  </si>
  <si>
    <t xml:space="preserve">Frais d'actes et de contentieux </t>
  </si>
  <si>
    <t>6326</t>
  </si>
  <si>
    <t>Rémunérations d'affacturage</t>
  </si>
  <si>
    <t>6327</t>
  </si>
  <si>
    <t>Rémunérations des autres prestataires de service</t>
  </si>
  <si>
    <t>6328</t>
  </si>
  <si>
    <t xml:space="preserve">Divers frais </t>
  </si>
  <si>
    <t>633</t>
  </si>
  <si>
    <t xml:space="preserve">FRAIS DE FORMATION DU PERSONNEL </t>
  </si>
  <si>
    <t>6342</t>
  </si>
  <si>
    <t>Redevances pour brevets, licences</t>
  </si>
  <si>
    <t>6343</t>
  </si>
  <si>
    <t xml:space="preserve">Redevances pour logiciels </t>
  </si>
  <si>
    <t>6344</t>
  </si>
  <si>
    <t xml:space="preserve">Redevances pour marques </t>
  </si>
  <si>
    <t>6345</t>
  </si>
  <si>
    <t>Redevances pour site internet</t>
  </si>
  <si>
    <t>6346</t>
  </si>
  <si>
    <t>Redevances pour concessions, droits et valeurs similaires</t>
  </si>
  <si>
    <t>6351</t>
  </si>
  <si>
    <t xml:space="preserve">Cotisations </t>
  </si>
  <si>
    <t>6358</t>
  </si>
  <si>
    <t xml:space="preserve">Concours divers </t>
  </si>
  <si>
    <t>6371</t>
  </si>
  <si>
    <t xml:space="preserve">Personnel intérimaire </t>
  </si>
  <si>
    <t>6372</t>
  </si>
  <si>
    <t>Personnel détaché ou prêté à l'entité</t>
  </si>
  <si>
    <t>6381</t>
  </si>
  <si>
    <t xml:space="preserve">Frais de recrutement du personnel </t>
  </si>
  <si>
    <t>6382</t>
  </si>
  <si>
    <t xml:space="preserve">Frais de déménagement </t>
  </si>
  <si>
    <t>6383</t>
  </si>
  <si>
    <t xml:space="preserve">Réceptions </t>
  </si>
  <si>
    <t>6384</t>
  </si>
  <si>
    <t xml:space="preserve">Missions </t>
  </si>
  <si>
    <t>6385</t>
  </si>
  <si>
    <t>Charges de copropriété</t>
  </si>
  <si>
    <t>6411</t>
  </si>
  <si>
    <t xml:space="preserve">Impôts fonciers et taxes annexes </t>
  </si>
  <si>
    <t>6412</t>
  </si>
  <si>
    <t xml:space="preserve">Patentes, licences et taxes annexes </t>
  </si>
  <si>
    <t>6413</t>
  </si>
  <si>
    <t xml:space="preserve">Taxes sur appointements et salaires </t>
  </si>
  <si>
    <t>6414</t>
  </si>
  <si>
    <t xml:space="preserve">Taxes d'apprentissage </t>
  </si>
  <si>
    <t>6415</t>
  </si>
  <si>
    <t xml:space="preserve">Formation professionnelle continue </t>
  </si>
  <si>
    <t>6418</t>
  </si>
  <si>
    <t xml:space="preserve">Autres impôts et taxes directs </t>
  </si>
  <si>
    <t>645</t>
  </si>
  <si>
    <t xml:space="preserve">IMPOTS ET TAXES INDIRECTS </t>
  </si>
  <si>
    <t>6461</t>
  </si>
  <si>
    <t xml:space="preserve">Droits de mutation </t>
  </si>
  <si>
    <t>6462</t>
  </si>
  <si>
    <t xml:space="preserve">Droits de timbre </t>
  </si>
  <si>
    <t>6463</t>
  </si>
  <si>
    <t xml:space="preserve">Taxes sur les véhicules de société </t>
  </si>
  <si>
    <t>6464</t>
  </si>
  <si>
    <t xml:space="preserve">Vignettes </t>
  </si>
  <si>
    <t>6468</t>
  </si>
  <si>
    <t xml:space="preserve">Autres droits </t>
  </si>
  <si>
    <t>6471</t>
  </si>
  <si>
    <t xml:space="preserve">Pénalités d'assiette, impôts directs </t>
  </si>
  <si>
    <t>6472</t>
  </si>
  <si>
    <t xml:space="preserve">Pénalités d'assiette, impôts indirects </t>
  </si>
  <si>
    <t>6473</t>
  </si>
  <si>
    <t xml:space="preserve">Pénalités de recouvrement, impôts directs </t>
  </si>
  <si>
    <t>6474</t>
  </si>
  <si>
    <t xml:space="preserve">Pénalités de recouvrement, impôts indirects </t>
  </si>
  <si>
    <t>6478</t>
  </si>
  <si>
    <t xml:space="preserve">Autres amendes pénales et fiscales </t>
  </si>
  <si>
    <t>648</t>
  </si>
  <si>
    <t xml:space="preserve">AUTRES IMPOTS ET TAXES </t>
  </si>
  <si>
    <t>6511</t>
  </si>
  <si>
    <t>6515</t>
  </si>
  <si>
    <t xml:space="preserve">Autres débiteurs </t>
  </si>
  <si>
    <t>6521</t>
  </si>
  <si>
    <t xml:space="preserve">Quote-part transférée de bénéfices (comptabilité du gérant) </t>
  </si>
  <si>
    <t>6525</t>
  </si>
  <si>
    <t xml:space="preserve">Pertes imputées par transfert (comptabilité des associés non gérants) </t>
  </si>
  <si>
    <t>6541</t>
  </si>
  <si>
    <t>6542</t>
  </si>
  <si>
    <t>656</t>
  </si>
  <si>
    <t>PERTES DE CHANGE SUR CREANCES ET DETTES COMMERCIALES</t>
  </si>
  <si>
    <t>657</t>
  </si>
  <si>
    <t>PENALITES ET AMENDES PENALES</t>
  </si>
  <si>
    <t>6581</t>
  </si>
  <si>
    <t xml:space="preserve">Indemnités de fonction et autres rémunérations d'administrateurs </t>
  </si>
  <si>
    <t>6582</t>
  </si>
  <si>
    <t xml:space="preserve">Dons </t>
  </si>
  <si>
    <t>6583</t>
  </si>
  <si>
    <t xml:space="preserve">Mécénat </t>
  </si>
  <si>
    <t>6588</t>
  </si>
  <si>
    <t>6591</t>
  </si>
  <si>
    <t xml:space="preserve">sur risques à court terme </t>
  </si>
  <si>
    <t>6593</t>
  </si>
  <si>
    <t xml:space="preserve">sur stocks </t>
  </si>
  <si>
    <t>6594</t>
  </si>
  <si>
    <t xml:space="preserve">sur créances </t>
  </si>
  <si>
    <t>6598</t>
  </si>
  <si>
    <t>Autres charges pour dépréciations et provisions pour risques à court terme</t>
  </si>
  <si>
    <t>6611</t>
  </si>
  <si>
    <t xml:space="preserve">Appointements, salaires et commissions </t>
  </si>
  <si>
    <t>6612</t>
  </si>
  <si>
    <t xml:space="preserve">Primes et gratifications </t>
  </si>
  <si>
    <t>6613</t>
  </si>
  <si>
    <t xml:space="preserve">Congés payés </t>
  </si>
  <si>
    <t>6614</t>
  </si>
  <si>
    <t xml:space="preserve">Indemnités de préavis, de licenciement et de recherche d'embauche </t>
  </si>
  <si>
    <t>6615</t>
  </si>
  <si>
    <t xml:space="preserve">Indemnités de maladie versées au travailleur </t>
  </si>
  <si>
    <t>6616</t>
  </si>
  <si>
    <t xml:space="preserve">Supplément familial </t>
  </si>
  <si>
    <t>6617</t>
  </si>
  <si>
    <t xml:space="preserve">Avantages en nature </t>
  </si>
  <si>
    <t>6618</t>
  </si>
  <si>
    <t xml:space="preserve">Autres rémunérations directes </t>
  </si>
  <si>
    <t>6621</t>
  </si>
  <si>
    <t>6622</t>
  </si>
  <si>
    <t>6623</t>
  </si>
  <si>
    <t>6624</t>
  </si>
  <si>
    <t>6625</t>
  </si>
  <si>
    <t>6626</t>
  </si>
  <si>
    <t>6627</t>
  </si>
  <si>
    <t>6628</t>
  </si>
  <si>
    <t>6631</t>
  </si>
  <si>
    <t xml:space="preserve">Indemnités de logement </t>
  </si>
  <si>
    <t>6632</t>
  </si>
  <si>
    <t xml:space="preserve">Indemnités de représentation </t>
  </si>
  <si>
    <t>6633</t>
  </si>
  <si>
    <t xml:space="preserve">Indemnités d'expatriation </t>
  </si>
  <si>
    <t>6634</t>
  </si>
  <si>
    <t>Indemnités de transport</t>
  </si>
  <si>
    <t>6638</t>
  </si>
  <si>
    <t xml:space="preserve">Autres indemnités et avantages divers </t>
  </si>
  <si>
    <t>6641</t>
  </si>
  <si>
    <t xml:space="preserve">Charges sociales sur rémunération du personnel national </t>
  </si>
  <si>
    <t>6642</t>
  </si>
  <si>
    <t xml:space="preserve">Charges sociales sur rémunération du personnel non national </t>
  </si>
  <si>
    <t>6661</t>
  </si>
  <si>
    <t xml:space="preserve">Rémunération du travail de l'exploitant </t>
  </si>
  <si>
    <t>6662</t>
  </si>
  <si>
    <t xml:space="preserve">Charges sociales </t>
  </si>
  <si>
    <t>6671</t>
  </si>
  <si>
    <t>6672</t>
  </si>
  <si>
    <t>6681</t>
  </si>
  <si>
    <t xml:space="preserve">Versements aux Syndicats et Comités d'entreprise, d'établissement </t>
  </si>
  <si>
    <t>6682</t>
  </si>
  <si>
    <t xml:space="preserve">Versements aux comités d'hygiène et de sécurité </t>
  </si>
  <si>
    <t>6683</t>
  </si>
  <si>
    <t xml:space="preserve">Versements et contribution aux autres œuvres sociales </t>
  </si>
  <si>
    <t>6684</t>
  </si>
  <si>
    <t xml:space="preserve">Médécine du travail et pharmacie </t>
  </si>
  <si>
    <t>6685</t>
  </si>
  <si>
    <t>6686</t>
  </si>
  <si>
    <t>Assurances retraite et fonds de pension</t>
  </si>
  <si>
    <t>6687</t>
  </si>
  <si>
    <t>Majorations et pénalités sociales</t>
  </si>
  <si>
    <t>6688</t>
  </si>
  <si>
    <t>Charges sociales diverses</t>
  </si>
  <si>
    <t>6711</t>
  </si>
  <si>
    <t xml:space="preserve">Emprunts obligataires </t>
  </si>
  <si>
    <t>6712</t>
  </si>
  <si>
    <t xml:space="preserve">Emprunts auprès des établissements de crédit </t>
  </si>
  <si>
    <t>6713</t>
  </si>
  <si>
    <t xml:space="preserve">Dettes liées à des participations </t>
  </si>
  <si>
    <t>6714</t>
  </si>
  <si>
    <t>6722</t>
  </si>
  <si>
    <t xml:space="preserve">Intérêts dans loyers de location acquisition/crédit-bail immobilier </t>
  </si>
  <si>
    <t>6723</t>
  </si>
  <si>
    <t xml:space="preserve">Intérêts dans loyers de location acquisition/crédit-bail mobilier </t>
  </si>
  <si>
    <t>6724</t>
  </si>
  <si>
    <t>Intérêts dans loyers de location acquisition/location-vente</t>
  </si>
  <si>
    <t>6728</t>
  </si>
  <si>
    <t>Intérêts dans loyers des autres locations acquisition</t>
  </si>
  <si>
    <t>673</t>
  </si>
  <si>
    <t xml:space="preserve">ESCOMPTES  ACCORDES </t>
  </si>
  <si>
    <t>6741</t>
  </si>
  <si>
    <t xml:space="preserve">Avances reçues et dépôts créditeurs </t>
  </si>
  <si>
    <t>6742</t>
  </si>
  <si>
    <t xml:space="preserve">Comptes courants bloqués </t>
  </si>
  <si>
    <t>6743</t>
  </si>
  <si>
    <t xml:space="preserve">Intérêts sur obligations cautionnées </t>
  </si>
  <si>
    <t>6744</t>
  </si>
  <si>
    <t xml:space="preserve">Intérêts sur dettes commerciales </t>
  </si>
  <si>
    <t>6745</t>
  </si>
  <si>
    <t xml:space="preserve">Intérêts bancaires et sur opérations de financement(escompte…) </t>
  </si>
  <si>
    <t>6748</t>
  </si>
  <si>
    <t xml:space="preserve">Intérêts sur dettes diverses </t>
  </si>
  <si>
    <t>675</t>
  </si>
  <si>
    <t xml:space="preserve">ESCOMPTES DES EFFETS DE COMMERCE </t>
  </si>
  <si>
    <t>676</t>
  </si>
  <si>
    <t>PERTES DE CHANGE FINANCIERES</t>
  </si>
  <si>
    <t>6771</t>
  </si>
  <si>
    <t>6772</t>
  </si>
  <si>
    <t>Malis provenant d'attribution gratuite d'actions au personnel salarié et aux dirigeants</t>
  </si>
  <si>
    <t>6781</t>
  </si>
  <si>
    <t xml:space="preserve">sur rentes viagères </t>
  </si>
  <si>
    <t>6782</t>
  </si>
  <si>
    <t xml:space="preserve">sur opérations financières </t>
  </si>
  <si>
    <t>6784</t>
  </si>
  <si>
    <t xml:space="preserve">sur instruments de trésorerie </t>
  </si>
  <si>
    <t>6791</t>
  </si>
  <si>
    <t xml:space="preserve">sur risques financiers </t>
  </si>
  <si>
    <t>6795</t>
  </si>
  <si>
    <t xml:space="preserve">sur titres de placement </t>
  </si>
  <si>
    <t>6798</t>
  </si>
  <si>
    <t>Autres charges pour dépréciations et provisions pour risques à court terme financières</t>
  </si>
  <si>
    <t>6812</t>
  </si>
  <si>
    <t xml:space="preserve">Dotations aux amortissements des immobilisations incorporelles </t>
  </si>
  <si>
    <t>6813</t>
  </si>
  <si>
    <t xml:space="preserve">Dotations aux amortissements des immobilisations corporelles </t>
  </si>
  <si>
    <t>6911</t>
  </si>
  <si>
    <t xml:space="preserve">Dotations aux provisions pour risques et charges </t>
  </si>
  <si>
    <t>6913</t>
  </si>
  <si>
    <t xml:space="preserve">Dotations aux dépréciations des immobilisations incorporelles </t>
  </si>
  <si>
    <t>6914</t>
  </si>
  <si>
    <t xml:space="preserve">Dotations aux dépréciation des immobilisations corporelles </t>
  </si>
  <si>
    <t>6971</t>
  </si>
  <si>
    <t>6972</t>
  </si>
  <si>
    <t xml:space="preserve">Dotations aux dépréciation des immobilisations financières </t>
  </si>
  <si>
    <t>7011</t>
  </si>
  <si>
    <t xml:space="preserve">Dans la Région </t>
  </si>
  <si>
    <t>7012</t>
  </si>
  <si>
    <t>7013</t>
  </si>
  <si>
    <t>7014</t>
  </si>
  <si>
    <t>7015</t>
  </si>
  <si>
    <t>Sur internet</t>
  </si>
  <si>
    <t>7019</t>
  </si>
  <si>
    <t>Rabais, remises, ristournes accordés (non ventilés)</t>
  </si>
  <si>
    <t>7021</t>
  </si>
  <si>
    <t>7022</t>
  </si>
  <si>
    <t>7023</t>
  </si>
  <si>
    <t>7024</t>
  </si>
  <si>
    <t>7025</t>
  </si>
  <si>
    <t>7029</t>
  </si>
  <si>
    <t>7031</t>
  </si>
  <si>
    <t>7032</t>
  </si>
  <si>
    <t>7033</t>
  </si>
  <si>
    <t>7034</t>
  </si>
  <si>
    <t>7035</t>
  </si>
  <si>
    <t>7039</t>
  </si>
  <si>
    <t>7041</t>
  </si>
  <si>
    <t>7042</t>
  </si>
  <si>
    <t>7043</t>
  </si>
  <si>
    <t>7044</t>
  </si>
  <si>
    <t>7045</t>
  </si>
  <si>
    <t>7049</t>
  </si>
  <si>
    <t>7051</t>
  </si>
  <si>
    <t>7052</t>
  </si>
  <si>
    <t>7053</t>
  </si>
  <si>
    <t>7054</t>
  </si>
  <si>
    <t>7055</t>
  </si>
  <si>
    <t>7059</t>
  </si>
  <si>
    <t>7061</t>
  </si>
  <si>
    <t>7062</t>
  </si>
  <si>
    <t>7063</t>
  </si>
  <si>
    <t>7064</t>
  </si>
  <si>
    <t>7065</t>
  </si>
  <si>
    <t>7069</t>
  </si>
  <si>
    <t>7071</t>
  </si>
  <si>
    <t xml:space="preserve">Ports, emballages perdus et autres frais facturés </t>
  </si>
  <si>
    <t>7072</t>
  </si>
  <si>
    <t xml:space="preserve">Commissions et courtages (2) </t>
  </si>
  <si>
    <t>7073</t>
  </si>
  <si>
    <t xml:space="preserve">Locations (9) </t>
  </si>
  <si>
    <t>7074</t>
  </si>
  <si>
    <t xml:space="preserve">Bonis sur reprises d'emballages et cessions d'emballages </t>
  </si>
  <si>
    <t>7075</t>
  </si>
  <si>
    <t xml:space="preserve">Mise à disposition de personnel (7) </t>
  </si>
  <si>
    <t>7076</t>
  </si>
  <si>
    <t xml:space="preserve">Redevances pour brevets, logiciels, marques et droits similaires (9) </t>
  </si>
  <si>
    <t>7077</t>
  </si>
  <si>
    <t xml:space="preserve">Services exploités dans l'intérêt du personnel </t>
  </si>
  <si>
    <t>7078</t>
  </si>
  <si>
    <t xml:space="preserve">Autres produits accessoires </t>
  </si>
  <si>
    <t>711</t>
  </si>
  <si>
    <t xml:space="preserve">SUR PRODUITS A L'EXPORTATION </t>
  </si>
  <si>
    <t>712</t>
  </si>
  <si>
    <t xml:space="preserve">SUR PRODUITS A L'IMPORTATION </t>
  </si>
  <si>
    <t>713</t>
  </si>
  <si>
    <t xml:space="preserve">SUR PRODUITS DE PEREQUATION </t>
  </si>
  <si>
    <t>714</t>
  </si>
  <si>
    <t>INDEMNITES ET SUBVENTIONS D'EXPLOITATION (entité agricole)</t>
  </si>
  <si>
    <t>7181</t>
  </si>
  <si>
    <t xml:space="preserve">Versées par l'Etat et les collectivités publiques </t>
  </si>
  <si>
    <t>7182</t>
  </si>
  <si>
    <t xml:space="preserve">Versées par les organismes internationaux </t>
  </si>
  <si>
    <t>7183</t>
  </si>
  <si>
    <t xml:space="preserve">Versées par des tiers </t>
  </si>
  <si>
    <t>721</t>
  </si>
  <si>
    <t xml:space="preserve">IMMOBILISATIONS INCORPORELLES </t>
  </si>
  <si>
    <t>7221</t>
  </si>
  <si>
    <t>Immobilisations corporelles (hors actifs biologiques)</t>
  </si>
  <si>
    <t>7222</t>
  </si>
  <si>
    <t>Immobilisations corporelles (actifs biologiques)</t>
  </si>
  <si>
    <t>724</t>
  </si>
  <si>
    <t>PRODUCTION AUTO-CONSOMMEE</t>
  </si>
  <si>
    <t>726</t>
  </si>
  <si>
    <t xml:space="preserve">IMMOBILISATIONS FINANCIERES (1) </t>
  </si>
  <si>
    <t>7341</t>
  </si>
  <si>
    <t xml:space="preserve">Produits en cours </t>
  </si>
  <si>
    <t>7342</t>
  </si>
  <si>
    <t xml:space="preserve">Travaux en cours </t>
  </si>
  <si>
    <t>7351</t>
  </si>
  <si>
    <t xml:space="preserve">Etudes en cours </t>
  </si>
  <si>
    <t>7352</t>
  </si>
  <si>
    <t xml:space="preserve">Prestations de services en cours </t>
  </si>
  <si>
    <t>736</t>
  </si>
  <si>
    <t xml:space="preserve">VARIATIONS DES STOCKS DE PRODUITS FINIS </t>
  </si>
  <si>
    <t>7371</t>
  </si>
  <si>
    <t xml:space="preserve">Produits intermediaires </t>
  </si>
  <si>
    <t>7372</t>
  </si>
  <si>
    <t xml:space="preserve">Produits résiduels </t>
  </si>
  <si>
    <t>751</t>
  </si>
  <si>
    <t>PROFITS SUR CREANCES CLIENTS ET AUTRES DEBITEURS</t>
  </si>
  <si>
    <t>7521</t>
  </si>
  <si>
    <t xml:space="preserve">Quote-part transférée de pertes (comptabilité du gérant) </t>
  </si>
  <si>
    <t>7525</t>
  </si>
  <si>
    <t xml:space="preserve">Bénéfices attribués par transfert (comptabilité des associés non gérants) </t>
  </si>
  <si>
    <t>7541</t>
  </si>
  <si>
    <t>7542</t>
  </si>
  <si>
    <t>756</t>
  </si>
  <si>
    <t>GAINS DE CHANGE SUR CREANCES ET DETTES COMMERCIALES</t>
  </si>
  <si>
    <t>7581</t>
  </si>
  <si>
    <t>7582</t>
  </si>
  <si>
    <t xml:space="preserve">Indemnités d'assurances reçues </t>
  </si>
  <si>
    <t>7588</t>
  </si>
  <si>
    <t>7591</t>
  </si>
  <si>
    <t>7593</t>
  </si>
  <si>
    <t>7594</t>
  </si>
  <si>
    <t>7598</t>
  </si>
  <si>
    <t>sur autres charges pour dépréciations et provisions pour risques à court terme d'exploitation</t>
  </si>
  <si>
    <t>7712</t>
  </si>
  <si>
    <t>Intérêts de prêts</t>
  </si>
  <si>
    <t>7713</t>
  </si>
  <si>
    <t>Intérêts sur créances diverses</t>
  </si>
  <si>
    <t>7721</t>
  </si>
  <si>
    <t>Revenus des titres de participation</t>
  </si>
  <si>
    <t>7722</t>
  </si>
  <si>
    <t>Revenus autres titres immobilisés</t>
  </si>
  <si>
    <t>773</t>
  </si>
  <si>
    <t xml:space="preserve">ESCOMPTES OBTENUS </t>
  </si>
  <si>
    <t>7745</t>
  </si>
  <si>
    <t>Revenus des obligations</t>
  </si>
  <si>
    <t>7746</t>
  </si>
  <si>
    <t>Revenus des titres de placement</t>
  </si>
  <si>
    <t>775</t>
  </si>
  <si>
    <t>INTERETS DANS LOYERS DE LOCATION ACQUISITION</t>
  </si>
  <si>
    <t>776</t>
  </si>
  <si>
    <t>GAINS DE CHANGE FINANCIERS</t>
  </si>
  <si>
    <t>777</t>
  </si>
  <si>
    <t xml:space="preserve">GAINS SUR CESSIONS DE TITRES DE PLACEMENT </t>
  </si>
  <si>
    <t>7781</t>
  </si>
  <si>
    <t>7782</t>
  </si>
  <si>
    <t>7784</t>
  </si>
  <si>
    <t>7791</t>
  </si>
  <si>
    <t>7795</t>
  </si>
  <si>
    <t>7798</t>
  </si>
  <si>
    <t>sur autres charges pour dépréciations et provisions pour risques à court terme financières</t>
  </si>
  <si>
    <t>781</t>
  </si>
  <si>
    <t xml:space="preserve">TRANSFERT DE CHARGES D'EXPLOITATION </t>
  </si>
  <si>
    <t>787</t>
  </si>
  <si>
    <t xml:space="preserve">TRANSFERTS DE CHARGES FINANCIERES </t>
  </si>
  <si>
    <t>7911</t>
  </si>
  <si>
    <t xml:space="preserve">pour risques et charges </t>
  </si>
  <si>
    <t>7913</t>
  </si>
  <si>
    <t xml:space="preserve">des immobilisations incorporelles </t>
  </si>
  <si>
    <t>7914</t>
  </si>
  <si>
    <t xml:space="preserve">des immobilisations corporelles </t>
  </si>
  <si>
    <t>7971</t>
  </si>
  <si>
    <t>7972</t>
  </si>
  <si>
    <t xml:space="preserve">des immobilisations financières </t>
  </si>
  <si>
    <t>798</t>
  </si>
  <si>
    <t xml:space="preserve">REPRISES D'AMORTISSEMENTS </t>
  </si>
  <si>
    <t>799</t>
  </si>
  <si>
    <t>REPRISES DE SUBVENTIONS D'INVESTISSEMENT</t>
  </si>
  <si>
    <t>811</t>
  </si>
  <si>
    <t>812</t>
  </si>
  <si>
    <t xml:space="preserve">IMMOBILISATIONS CORPORELLES </t>
  </si>
  <si>
    <t>816</t>
  </si>
  <si>
    <t xml:space="preserve">IMMOBILISATIONS FINANCIERES </t>
  </si>
  <si>
    <t>821</t>
  </si>
  <si>
    <t>822</t>
  </si>
  <si>
    <t>826</t>
  </si>
  <si>
    <t>831</t>
  </si>
  <si>
    <t xml:space="preserve">CHARGES H.A.O CONSTATEES </t>
  </si>
  <si>
    <t>833</t>
  </si>
  <si>
    <t>CHARGES LIEES AUX OPERATIONS DE RESTRUCTURATION</t>
  </si>
  <si>
    <t>834</t>
  </si>
  <si>
    <t xml:space="preserve">PERTES SUR CREANCES H.A.O </t>
  </si>
  <si>
    <t>835</t>
  </si>
  <si>
    <t xml:space="preserve">DONS ET LIBERALITES ACCORDES </t>
  </si>
  <si>
    <t>836</t>
  </si>
  <si>
    <t xml:space="preserve">ABANDONS DE CREANCES CONSENTIS </t>
  </si>
  <si>
    <t>837</t>
  </si>
  <si>
    <t>CHARGES LIEES AUX OPERATIONS DE LIQUIDATION</t>
  </si>
  <si>
    <t>839</t>
  </si>
  <si>
    <t xml:space="preserve">CHARGES POUR DEPRECIATIONS ET PROVISIONS POUR RISQUES A COURT TERME H.A.O </t>
  </si>
  <si>
    <t>841</t>
  </si>
  <si>
    <t xml:space="preserve">PRODUITS H.A.O CONSTATES </t>
  </si>
  <si>
    <t>843</t>
  </si>
  <si>
    <t>PRODUITS LIES AUX OPERATIONS DE RESTRUCTURATION</t>
  </si>
  <si>
    <t>844</t>
  </si>
  <si>
    <t>INDEMNITES ET SUBVENTIONS H.A.O (entité agricole)</t>
  </si>
  <si>
    <t>845</t>
  </si>
  <si>
    <t xml:space="preserve">DONS ET LIBERALITES OBTENUS </t>
  </si>
  <si>
    <t>846</t>
  </si>
  <si>
    <t xml:space="preserve">ABANDONS DE CREANCES OBTENUS </t>
  </si>
  <si>
    <t>847</t>
  </si>
  <si>
    <t>PRODUITS LIES AUX OPERATIONS DE LIQUIDATION</t>
  </si>
  <si>
    <t>848</t>
  </si>
  <si>
    <t xml:space="preserve">TRANSFERTS DE CHARGES H.A.O </t>
  </si>
  <si>
    <t>849</t>
  </si>
  <si>
    <t xml:space="preserve">REPRISES DE CHARGES POUR DEPRECIATIONS ET PROVISIONS POUR RISQUES A COURT TERME H.A.O </t>
  </si>
  <si>
    <t>851</t>
  </si>
  <si>
    <t xml:space="preserve">DOTATIONS AUX PROVISIONS REGLEMENTEES </t>
  </si>
  <si>
    <t>852</t>
  </si>
  <si>
    <t xml:space="preserve">DOTATIONS AUX AMORTISSEMENTS H.A.O </t>
  </si>
  <si>
    <t>853</t>
  </si>
  <si>
    <t xml:space="preserve">DOTATIONS AUX DEPRECIATIONS H.A.O </t>
  </si>
  <si>
    <t>854</t>
  </si>
  <si>
    <t xml:space="preserve">DOTATIONS AUX PROVISIONS POUR RISQUES ET CHARGES H.A.O </t>
  </si>
  <si>
    <t>858</t>
  </si>
  <si>
    <t xml:space="preserve">AUTRES DOTATIONS H.A.O </t>
  </si>
  <si>
    <t>861</t>
  </si>
  <si>
    <t xml:space="preserve">REPRISE DE PROVISIONS REGLEMENTEES </t>
  </si>
  <si>
    <t>862</t>
  </si>
  <si>
    <t xml:space="preserve">REPRISE D'AMORTISSEMENTS H.A.O </t>
  </si>
  <si>
    <t>863</t>
  </si>
  <si>
    <t xml:space="preserve">REPRISE DE PROVISIONS POUR DEPRECIATION H.A.O </t>
  </si>
  <si>
    <t>864</t>
  </si>
  <si>
    <t xml:space="preserve">REPRISE DE PROVISIONS POUR RISQUES ET CHARGES H.A.O </t>
  </si>
  <si>
    <t>868</t>
  </si>
  <si>
    <t xml:space="preserve">AUTRES REPRISES H.A.O </t>
  </si>
  <si>
    <t>871</t>
  </si>
  <si>
    <t xml:space="preserve">PARTICIPATION LEGALE AUX BENEFICES </t>
  </si>
  <si>
    <t>874</t>
  </si>
  <si>
    <t xml:space="preserve">PARTICIPATION CONTRACTUELLE AUX BENEFICES </t>
  </si>
  <si>
    <t>878</t>
  </si>
  <si>
    <t xml:space="preserve">AUTRES PARTICIPATIONS </t>
  </si>
  <si>
    <t>881</t>
  </si>
  <si>
    <t xml:space="preserve">ETAT </t>
  </si>
  <si>
    <t>884</t>
  </si>
  <si>
    <t xml:space="preserve">COLLECTIVITES PUBLIQUES </t>
  </si>
  <si>
    <t>886</t>
  </si>
  <si>
    <t xml:space="preserve">GROUPE </t>
  </si>
  <si>
    <t>888</t>
  </si>
  <si>
    <t xml:space="preserve">AUTRES </t>
  </si>
  <si>
    <t>8911</t>
  </si>
  <si>
    <t xml:space="preserve">Activités exercées dans l'Etat </t>
  </si>
  <si>
    <t>8912</t>
  </si>
  <si>
    <t xml:space="preserve">Activités exercées dans les autres Etats de la Région </t>
  </si>
  <si>
    <t>8913</t>
  </si>
  <si>
    <t xml:space="preserve">Activités exercées hors Région </t>
  </si>
  <si>
    <t>892</t>
  </si>
  <si>
    <t xml:space="preserve">RAPPELS D'IMPOTS SUR RESULTATS ANTERIEURS </t>
  </si>
  <si>
    <t>895</t>
  </si>
  <si>
    <t xml:space="preserve">IMPOT MINIMUM FORFAITAIRE (IMF) </t>
  </si>
  <si>
    <t>8991</t>
  </si>
  <si>
    <t xml:space="preserve">Dégrèvements </t>
  </si>
  <si>
    <t>8994</t>
  </si>
  <si>
    <t xml:space="preserve">Annulations pour pertes rétroactives </t>
  </si>
  <si>
    <t>901</t>
  </si>
  <si>
    <t>ENGAGEMENT DE FINANCEMENT OBTENUS</t>
  </si>
  <si>
    <t>9011</t>
  </si>
  <si>
    <t>Crédits confirmés obtenus</t>
  </si>
  <si>
    <t>9012</t>
  </si>
  <si>
    <t>Emprunts restant à encaisser</t>
  </si>
  <si>
    <t>9013</t>
  </si>
  <si>
    <t>Facilités de financement renouvelables</t>
  </si>
  <si>
    <t>9014</t>
  </si>
  <si>
    <t>Facilités d'émission</t>
  </si>
  <si>
    <t>9018</t>
  </si>
  <si>
    <t>Autres engagements de financement obtenus</t>
  </si>
  <si>
    <t>9021</t>
  </si>
  <si>
    <t>Avals obtenus</t>
  </si>
  <si>
    <t>9022</t>
  </si>
  <si>
    <t>Cautions, garanties obtenues</t>
  </si>
  <si>
    <t>9023</t>
  </si>
  <si>
    <t>Hypothèques obtenues</t>
  </si>
  <si>
    <t>9024</t>
  </si>
  <si>
    <t>Effets endossés par des tiers</t>
  </si>
  <si>
    <t>9028</t>
  </si>
  <si>
    <t>Autres garanties obtenues</t>
  </si>
  <si>
    <t>9031</t>
  </si>
  <si>
    <t>Achats de marchandises à terme</t>
  </si>
  <si>
    <t>9032</t>
  </si>
  <si>
    <t>Achats à terme de devises</t>
  </si>
  <si>
    <t>9033</t>
  </si>
  <si>
    <t>Commandes fermes des clients</t>
  </si>
  <si>
    <t>9038</t>
  </si>
  <si>
    <t>Autres engagements réciproques</t>
  </si>
  <si>
    <t>9041</t>
  </si>
  <si>
    <t>Abandons de créances conditionnels</t>
  </si>
  <si>
    <t>9043</t>
  </si>
  <si>
    <t>Ventes avec clause de réserve de propriété</t>
  </si>
  <si>
    <t>9048</t>
  </si>
  <si>
    <t>Divers engagements obtenus</t>
  </si>
  <si>
    <t>9051</t>
  </si>
  <si>
    <t>Crédits accordés non décaissés</t>
  </si>
  <si>
    <t>9058</t>
  </si>
  <si>
    <t>Autres engagements de financement accordés</t>
  </si>
  <si>
    <t>9061</t>
  </si>
  <si>
    <t>Avals accordés</t>
  </si>
  <si>
    <t>9062</t>
  </si>
  <si>
    <t>Cautions, garanties accordées</t>
  </si>
  <si>
    <t>9063</t>
  </si>
  <si>
    <t>Hypothèques accordées</t>
  </si>
  <si>
    <t>9064</t>
  </si>
  <si>
    <t>Effets endossés par l'entité</t>
  </si>
  <si>
    <t>9068</t>
  </si>
  <si>
    <t>Autres garanties accordées</t>
  </si>
  <si>
    <t>9071</t>
  </si>
  <si>
    <t>Ventes de marchandises à terme</t>
  </si>
  <si>
    <t>9072</t>
  </si>
  <si>
    <t>Ventes à terme de devises</t>
  </si>
  <si>
    <t>9073</t>
  </si>
  <si>
    <t>Commandes fermes des fournisseurs</t>
  </si>
  <si>
    <t>9078</t>
  </si>
  <si>
    <t>9081</t>
  </si>
  <si>
    <t>Annulations conditionnelles de dettes</t>
  </si>
  <si>
    <t>9082</t>
  </si>
  <si>
    <t>Engagements de retraite</t>
  </si>
  <si>
    <t>9083</t>
  </si>
  <si>
    <t>Achats avec clause de réserve de propriété</t>
  </si>
  <si>
    <t>9088</t>
  </si>
  <si>
    <t>Divers engagements accordés</t>
  </si>
  <si>
    <t>91</t>
  </si>
  <si>
    <t>CONTREPARTIE DES ENGAGEMENTS</t>
  </si>
  <si>
    <t>PLAN COMPTABLE DE REFERENCE</t>
  </si>
  <si>
    <t xml:space="preserve">1) Sommaire: </t>
  </si>
  <si>
    <t>2) INFORMATIONS</t>
  </si>
  <si>
    <t>Entrez toutes les informations sur votre entreprise dans la feuil nommée"INFORMATIONS"</t>
  </si>
  <si>
    <t xml:space="preserve">NB: Les états sont protégés par des mots de passe et ne permettent pas d'y entrer directement des informations </t>
  </si>
  <si>
    <r>
      <t>Sau les</t>
    </r>
    <r>
      <rPr>
        <b/>
        <sz val="9"/>
        <color theme="3" tint="0.39997558519241921"/>
        <rFont val="Arial"/>
        <family val="2"/>
      </rPr>
      <t xml:space="preserve"> case en bleu</t>
    </r>
  </si>
  <si>
    <t>à compléter manuellement</t>
  </si>
  <si>
    <r>
      <t>Copiez et Collez vos "</t>
    </r>
    <r>
      <rPr>
        <b/>
        <sz val="9"/>
        <color rgb="FFFF0000"/>
        <rFont val="Arial"/>
        <family val="2"/>
      </rPr>
      <t xml:space="preserve">Balances à 6 colonnes" </t>
    </r>
    <r>
      <rPr>
        <b/>
        <sz val="9"/>
        <rFont val="Arial"/>
        <family val="2"/>
      </rPr>
      <t xml:space="preserve">de l'année N et N-1 dans les feuil nommées </t>
    </r>
    <r>
      <rPr>
        <b/>
        <sz val="9"/>
        <color rgb="FFFF0000"/>
        <rFont val="Arial"/>
        <family val="2"/>
      </rPr>
      <t>"Balance N "</t>
    </r>
    <r>
      <rPr>
        <b/>
        <sz val="9"/>
        <rFont val="Arial"/>
        <family val="2"/>
      </rPr>
      <t xml:space="preserve">et </t>
    </r>
    <r>
      <rPr>
        <b/>
        <sz val="9"/>
        <color rgb="FFFF0000"/>
        <rFont val="Arial"/>
        <family val="2"/>
      </rPr>
      <t>"Balance N-1"</t>
    </r>
  </si>
  <si>
    <r>
      <rPr>
        <b/>
        <sz val="11"/>
        <color rgb="FFFF0000"/>
        <rFont val="Arial"/>
        <family val="2"/>
      </rPr>
      <t>NB:</t>
    </r>
    <r>
      <rPr>
        <b/>
        <sz val="9"/>
        <color rgb="FFFF0000"/>
        <rFont val="Arial"/>
        <family val="2"/>
      </rPr>
      <t xml:space="preserve"> </t>
    </r>
    <r>
      <rPr>
        <b/>
        <sz val="11"/>
        <rFont val="Arial"/>
        <family val="2"/>
      </rPr>
      <t>Après collage des Balances</t>
    </r>
  </si>
  <si>
    <t xml:space="preserve">c) Les états sont générés automatiquements à partir des données des Balances N &amp; N-1 </t>
  </si>
  <si>
    <t>Note 1</t>
  </si>
  <si>
    <t>R2</t>
  </si>
  <si>
    <t>R3</t>
  </si>
  <si>
    <t>Note 3A; 3B; 3D</t>
  </si>
  <si>
    <t>Note 8A</t>
  </si>
  <si>
    <t>Note 12</t>
  </si>
  <si>
    <t>Note 13</t>
  </si>
  <si>
    <t>Note 15A</t>
  </si>
  <si>
    <t>Note 15B</t>
  </si>
  <si>
    <t>Note 16B</t>
  </si>
  <si>
    <t>Note 16B bis</t>
  </si>
  <si>
    <t>Note 16C</t>
  </si>
  <si>
    <t>Note 27B</t>
  </si>
  <si>
    <t>Note 31</t>
  </si>
  <si>
    <t>Note 32</t>
  </si>
  <si>
    <t>Note 33</t>
  </si>
  <si>
    <t>d) Il est absolument recommandé de contrôler vos états pour s'assurer qu'ils sont conforme à vos attentes</t>
  </si>
  <si>
    <t>Le sommaire présente l'ensembles des états pris en compte dans ce programme</t>
  </si>
  <si>
    <t>e) Les quelques états de la liasse comptable à completer manuellement</t>
  </si>
  <si>
    <t>NB: Veuillez à renseigner les commentaires en bas de page de chaque note. Les parties ne sont pas protégées</t>
  </si>
  <si>
    <t>Toutes les annexes extra comptables à joindre à la liasse fiscale</t>
  </si>
  <si>
    <t>3) "BALANCE N" et "BALANCE N-1"</t>
  </si>
  <si>
    <t>a) Les lignes en rouge indiquent que les comptes utilisés ne sont pas conforme au nouveau plan comptable SYSCOHADA</t>
  </si>
  <si>
    <t>b) Les lignes en orange indiquent que les soldes des comptes selectionnés ne sont pas corrects</t>
  </si>
  <si>
    <t xml:space="preserve">Notamment: </t>
  </si>
  <si>
    <t>- Régime d'imposition</t>
  </si>
  <si>
    <t>- Forme Juridique</t>
  </si>
  <si>
    <t>- Préciser si l'entreprise est à son premier exercice oui ou non</t>
  </si>
  <si>
    <t>- Préciser si l'entreprise est adhérent du Centre de Gestion Agrée (CGA) oui ou non</t>
  </si>
  <si>
    <t>Notez bien que ces informations sont très capital pour le calacul de l'impôt</t>
  </si>
  <si>
    <t>(RSI ou RNI)</t>
  </si>
  <si>
    <t>(Société ou Entreprise individuelle)</t>
  </si>
  <si>
    <t>e) Les quelques états de la liasse fiscale à completer manuellement</t>
  </si>
  <si>
    <t>f) Les notes à joindre à la liasse SYSCOHADA, sont celle qui sont remplies</t>
  </si>
  <si>
    <r>
      <t xml:space="preserve">a) Veuillez à bien remplir correctement les paramêtres de calcul de l'impôt de votre entreprise dans la feuil nommée </t>
    </r>
    <r>
      <rPr>
        <sz val="9"/>
        <color rgb="FFFF0000"/>
        <rFont val="Arial"/>
        <family val="2"/>
      </rPr>
      <t>"INFORMATIONS</t>
    </r>
    <r>
      <rPr>
        <sz val="9"/>
        <rFont val="Arial"/>
        <family val="2"/>
      </rPr>
      <t>"</t>
    </r>
  </si>
  <si>
    <t>b) Les Réintégrations et les déductions fiscales sont à saisir dans cette feuille, veuillez à bien remplir dans les champs appropriés</t>
  </si>
  <si>
    <t>c) Veuillez à renseigner les déficits antérieur reportable dans la feuil "Calculs Fiscaux"</t>
  </si>
  <si>
    <t>declarés de l'exercice dans cette feuil "CALCULS FISCAUX"</t>
  </si>
  <si>
    <t>d) Veuillez à saisir les acomptes provisionnels (Sociétés) ou le Minimum Forfetaire de Perception (Entreprises individuelles)</t>
  </si>
  <si>
    <t>e) Le Bordereau Avis de Versement (BAV), les liasses fiscales (RSI et RNI) sont générés automatiquement à l'issu des calculs</t>
  </si>
  <si>
    <t xml:space="preserve">f) L'impôt est reporté automatiquement dans le Compte de Resultat dans la "Rubrique impôt sur le resultat" et </t>
  </si>
  <si>
    <t>dans le Bilan dans la Rubrique "Dettes fiscales et sociales"</t>
  </si>
  <si>
    <t>à vous de choisir le système qui s'applique votre entreprise</t>
  </si>
  <si>
    <r>
      <t>h) Après l'édition de vos états,</t>
    </r>
    <r>
      <rPr>
        <b/>
        <sz val="9"/>
        <color rgb="FFFF0000"/>
        <rFont val="Arial"/>
        <family val="2"/>
      </rPr>
      <t xml:space="preserve"> "Veuillez compléter l'écriture de l'impôt dans votre comptabilité avant de clôturer le dossier</t>
    </r>
    <r>
      <rPr>
        <b/>
        <sz val="9"/>
        <rFont val="Arial"/>
        <family val="2"/>
      </rPr>
      <t>"</t>
    </r>
  </si>
  <si>
    <t xml:space="preserve">g) Les états fiscaux disponibles dans ce programme sont "La liasse fiscales RNI" et "La liasse fiscale RSI" </t>
  </si>
  <si>
    <t>Vérifiez soigneusement tous les états après édition!!!!!!!!!!!!</t>
  </si>
  <si>
    <t>AVERTISSEMENT:</t>
  </si>
  <si>
    <t>Tel:(+226) 25 33 28 78</t>
  </si>
  <si>
    <t xml:space="preserve">Email: contact@samconseils.com </t>
  </si>
  <si>
    <t>AVERTISSEMENT!!!!!</t>
  </si>
  <si>
    <t xml:space="preserve">Veuillez à ne pas opérer des corrections directement dans les "Balance N et N-1". </t>
  </si>
  <si>
    <t>S'il y a lieu de procéder à des corrections eventuelles, reportez vous à votre comptabilité avant de reexporter à nouveau vos Balances</t>
  </si>
  <si>
    <t>© Copyright----SAM CONSEILS</t>
  </si>
  <si>
    <t>Nous espérons que vous serez satisfaits de programme automatisé.</t>
  </si>
  <si>
    <t>WhatsApp: (+226) 78 30 91 18</t>
  </si>
  <si>
    <t xml:space="preserve">Site Web: www.samconseils.com </t>
  </si>
  <si>
    <t>4) CALCULS FISCAUX</t>
  </si>
  <si>
    <t>INDIVIDUELLE</t>
  </si>
  <si>
    <t>ETATS SUPPLEMENTAIRES
DIRECTION GENERALE DES IMPOTS</t>
  </si>
  <si>
    <t>- 0 -</t>
  </si>
  <si>
    <t>LISTE ETATS DGI</t>
  </si>
  <si>
    <t>Dénomination sociale de l'entité :</t>
  </si>
  <si>
    <t>Sigle usuel :</t>
  </si>
  <si>
    <t>N° IFU :</t>
  </si>
  <si>
    <t>Exercice clos le :</t>
  </si>
  <si>
    <t>Durée (en mois) :</t>
  </si>
  <si>
    <t xml:space="preserve">N° de télédéclarant (NES): </t>
  </si>
  <si>
    <t>FICHE RECAPITULATIVE DES ETATS SUPPLEMENTAIRES  DGI  PRESENTES (1)</t>
  </si>
  <si>
    <t xml:space="preserve">ETATS </t>
  </si>
  <si>
    <t>Etat supplémentaire 1</t>
  </si>
  <si>
    <t>DETAIL DES CHARGES</t>
  </si>
  <si>
    <t>Etat supplémentaire 2</t>
  </si>
  <si>
    <t>DETAIL DES PRODUITS</t>
  </si>
  <si>
    <t>Etat supplémentaire 3</t>
  </si>
  <si>
    <t>TVA</t>
  </si>
  <si>
    <t>Etat supplémentaire 4</t>
  </si>
  <si>
    <t>ETAT COMPLEMENTAIRE POUR l'INSD: TVA SUPPORTEE NON DEDUCTIBLE</t>
  </si>
  <si>
    <t>Etat supplémentaire 5</t>
  </si>
  <si>
    <t>ELEMENTS STATISTIQUES UEMOA</t>
  </si>
  <si>
    <t>Etat supplémentaire 6</t>
  </si>
  <si>
    <t>Etat supplémentaire 7</t>
  </si>
  <si>
    <t>COMPLEMENT INFORMATIONS ENTITES INDIVIDUELLES</t>
  </si>
  <si>
    <t>Etat supplémentaire 8</t>
  </si>
  <si>
    <t xml:space="preserve">TABLEAU DES IMMOBILISATIONS ET DES AMORTISSEMENTS </t>
  </si>
  <si>
    <t>Etat supplémentaire 9</t>
  </si>
  <si>
    <t>DETAIL DES FRAIS ACCESSOIRES SUR ACHATS</t>
  </si>
  <si>
    <t>Etat supplémentaire 10</t>
  </si>
  <si>
    <t xml:space="preserve">DETAIL DES AVANTAGES EN NATURE  ALLOUES  AU PERSONNEL  </t>
  </si>
  <si>
    <t>Etat supplémentaire 11</t>
  </si>
  <si>
    <t>CREANCES ET DETTES ECHUES DE L'EXERCICE</t>
  </si>
  <si>
    <t>Etat supplémentaire 12</t>
  </si>
  <si>
    <t>ETAT ANNUEL DES SALAIRES</t>
  </si>
  <si>
    <t>Etat supplémentaire 13</t>
  </si>
  <si>
    <t>ETAT ANNUEL des commissions, courtages, ristournes, honoraires, droits d'auteurs et autres rémunérations versées à des tiers</t>
  </si>
  <si>
    <t>Etat supplémentaire 14</t>
  </si>
  <si>
    <t>ETAT ANNUEL des rémunérations des sassociés et des parts de bénéfices sociaux et autres rémunérations</t>
  </si>
  <si>
    <t>Etat supplémentaire 15</t>
  </si>
  <si>
    <t>Relevé détaillé des loyers d'immeubles passés en charges avec indication de l'identité et de l'adresse des bailleurs</t>
  </si>
  <si>
    <t>Etat supplémentaire 16</t>
  </si>
  <si>
    <t>Etat des honoraires rétrocédés avec indication de l'identité complète de chaque bénéficiaire</t>
  </si>
  <si>
    <t>Etat supplémentaire 17</t>
  </si>
  <si>
    <t xml:space="preserve">Liste des principaux clients </t>
  </si>
  <si>
    <t>Etat supplémentaire 18</t>
  </si>
  <si>
    <t>Liste des principaux fournisseurs</t>
  </si>
  <si>
    <t>Etat supplémentaire 19</t>
  </si>
  <si>
    <t>TABLEAU DE DETERMINATION DU RESULTAT FISCAL</t>
  </si>
  <si>
    <t>Etat supplémentaire 20</t>
  </si>
  <si>
    <t>BORDEREAU AVIS DE VERSEMENT (IS, IBICA ou IBNC)</t>
  </si>
  <si>
    <t>A INSERER AUX PAGES APPROPRIEES</t>
  </si>
  <si>
    <t>PAGE de garde Détermination du réultat fiscal et de l'IS</t>
  </si>
  <si>
    <t>PAGE de garde Détermination du réultat fiscal et de l'IBICA</t>
  </si>
  <si>
    <t>PAGE de garde Détermination du réultat fiscal et de l'IBNC</t>
  </si>
  <si>
    <t>(1) les Notes non documentées ne doivent pas être jointes aux états financiers. Leur contenu peut être amélioré par les entités</t>
  </si>
  <si>
    <t>(2) Bénéfice industriel ou commercial pour le calcul de l'IS ou de l'IBICA</t>
  </si>
  <si>
    <t>(3): Le contribuable peut insérer autant de déclarations fiscales supplémentaires qu'il le souhaite.</t>
  </si>
  <si>
    <t>A : Applicable       N/A : Non applicable.</t>
  </si>
  <si>
    <t>SYSTEME NORMAL</t>
  </si>
  <si>
    <t>- 2 -</t>
  </si>
  <si>
    <t xml:space="preserve">ETAT SUPPLEMENTAIRE N°1 </t>
  </si>
  <si>
    <t>ETAT SUPPLEMENTAIRE DIRECTION GENERALE DES IMPOTS/COMPTABILITE NATIONALE</t>
  </si>
  <si>
    <t>DETAIL DES CHARGES EN FCFA</t>
  </si>
  <si>
    <t>Exercice N</t>
  </si>
  <si>
    <t>Exercice N-1</t>
  </si>
  <si>
    <t>Variation N/N-1</t>
  </si>
  <si>
    <t>En valeur</t>
  </si>
  <si>
    <t>En %</t>
  </si>
  <si>
    <t>Achats de marchandises dans la région</t>
  </si>
  <si>
    <t>Achats de marchandises hors région</t>
  </si>
  <si>
    <t>Achats de marchandises aux entités du groupe dans la région</t>
  </si>
  <si>
    <t>Achats de marchandises aux entités du groupe hors région</t>
  </si>
  <si>
    <t>Rabais, remises et ristournes obtenus (non ventilés)</t>
  </si>
  <si>
    <t>Variation des stocks de marchandises</t>
  </si>
  <si>
    <t>Variation de stocks</t>
  </si>
  <si>
    <t>Achats de matières premières et fournitures liées dans la région</t>
  </si>
  <si>
    <t>Achats de matières premières et fournitures liées hors région</t>
  </si>
  <si>
    <t>Achats de matières premières et fournitures liées aux entités du groupe dans la région</t>
  </si>
  <si>
    <t>Achats de matières premières et fournitures liées aux entités du groupe hors région</t>
  </si>
  <si>
    <t>Variation des stocks de matières premières et fournitures liées</t>
  </si>
  <si>
    <t>Variation de stocks de matières premières</t>
  </si>
  <si>
    <t>Fournitures d'atelier et d'usine</t>
  </si>
  <si>
    <t>Fournitures de bureau</t>
  </si>
  <si>
    <t>Fournitures non stockables-Eau</t>
  </si>
  <si>
    <t>Fournitures non stockables-Electricité</t>
  </si>
  <si>
    <t>Fournitures non stockables-Autres énergies</t>
  </si>
  <si>
    <t>Achats de petit matériel et outillage</t>
  </si>
  <si>
    <t>Achats d'études et prestations de services</t>
  </si>
  <si>
    <t>Achats de travaux, matériels et équipements</t>
  </si>
  <si>
    <t>Emballages récupérables non identifiables</t>
  </si>
  <si>
    <t>Emballages à usage mixte</t>
  </si>
  <si>
    <t>Variation des stocks d'autres approvisionnements</t>
  </si>
  <si>
    <t>Transports du personnel</t>
  </si>
  <si>
    <t>Transports entre établissements et chantiers</t>
  </si>
  <si>
    <t>Location de terrains</t>
  </si>
  <si>
    <t>Location de matériels et outillages</t>
  </si>
  <si>
    <t>Malis sur emballages</t>
  </si>
  <si>
    <t>Locations d'emballages</t>
  </si>
  <si>
    <t>Locations  et charges locatives diverses</t>
  </si>
  <si>
    <t>- 3 -</t>
  </si>
  <si>
    <t>ETAT COMPLEMENTAIRE DIRECTION GENERALE DES IMPOTS/COMPTABILITE NATIONALE</t>
  </si>
  <si>
    <t>Autres contrats de location-acquisition</t>
  </si>
  <si>
    <t>Entretien et réparation des biens immobiliers</t>
  </si>
  <si>
    <t>Entretien et réparation des biens mobiliers</t>
  </si>
  <si>
    <t>Charges de démentellement et remise en état</t>
  </si>
  <si>
    <t>Autre entretiens et réparation</t>
  </si>
  <si>
    <t>Assurances matériels de transport</t>
  </si>
  <si>
    <t>Assurances risques d'exploitation</t>
  </si>
  <si>
    <t>Assurances responsabilité du producteur</t>
  </si>
  <si>
    <t>Assurances insolvabilité clients</t>
  </si>
  <si>
    <t>Assurances transport sur ventes</t>
  </si>
  <si>
    <t>Autres primes d'assurances</t>
  </si>
  <si>
    <t>Etudes et recherches</t>
  </si>
  <si>
    <t>Documentation technique</t>
  </si>
  <si>
    <t>Annonces, insertions</t>
  </si>
  <si>
    <t>Catalogues, imprimés publicitaires</t>
  </si>
  <si>
    <t>Échantillons</t>
  </si>
  <si>
    <t>Foires et expositions</t>
  </si>
  <si>
    <t>Publications</t>
  </si>
  <si>
    <t>Cadeaux à la clientèle</t>
  </si>
  <si>
    <t>Frais de colloques, séminaires, conférences</t>
  </si>
  <si>
    <t>Autres charges de publicité et relations publiques</t>
  </si>
  <si>
    <t>Frais de télex</t>
  </si>
  <si>
    <t>Frais de télécopie</t>
  </si>
  <si>
    <t>Frais d'internet</t>
  </si>
  <si>
    <t>Autres frais de télécommunications</t>
  </si>
  <si>
    <t>Frais sur titres (vente, garde)</t>
  </si>
  <si>
    <t>Frais sur effets</t>
  </si>
  <si>
    <t>Location de coffres</t>
  </si>
  <si>
    <t>Commissions d'affacturage et de titrisation</t>
  </si>
  <si>
    <t>Commissions sur cartes de crédit</t>
  </si>
  <si>
    <t>Frais d'émission d'emprunts</t>
  </si>
  <si>
    <t>Autres frais bancaires</t>
  </si>
  <si>
    <t>Commissions et courtages sur ventes</t>
  </si>
  <si>
    <t>Honoraires des professions règlementées</t>
  </si>
  <si>
    <t>Frais d'actes et de contentieux</t>
  </si>
  <si>
    <t>Rémunérations d'affacturage et de titrisation</t>
  </si>
  <si>
    <t>Rémunérations des autres prestataires de services</t>
  </si>
  <si>
    <t>Divers frais</t>
  </si>
  <si>
    <t>Redevances pour logiciels</t>
  </si>
  <si>
    <t>Redevances pour marques</t>
  </si>
  <si>
    <t>Redevances pour sites internet</t>
  </si>
  <si>
    <t>Concours divers</t>
  </si>
  <si>
    <t>Personnel intérimaire</t>
  </si>
  <si>
    <t>Frais de recrutement du personnel</t>
  </si>
  <si>
    <t>Frais de déménagement</t>
  </si>
  <si>
    <t>Charges externes diverses</t>
  </si>
  <si>
    <t>Impôts fonciers et taxes annexes</t>
  </si>
  <si>
    <t>Patentes, licences et taxes annexes</t>
  </si>
  <si>
    <t>Taxe sur appointements et salaires</t>
  </si>
  <si>
    <t>Taxes d'apprentissage</t>
  </si>
  <si>
    <t>- 4 -</t>
  </si>
  <si>
    <t>Formation professionnelle continue</t>
  </si>
  <si>
    <t>Autres impôts et taxes directs</t>
  </si>
  <si>
    <t>Droits de mutation</t>
  </si>
  <si>
    <t>Droits de timbre</t>
  </si>
  <si>
    <t>Taxes sur les véhicules de société</t>
  </si>
  <si>
    <t>Autres droits d'enregistrement</t>
  </si>
  <si>
    <t>Pénalités d'assiette, impôts directs</t>
  </si>
  <si>
    <t>Pénalités d'assiette, impôts indirects</t>
  </si>
  <si>
    <t>Pénalités de recouvrement, impôts directs</t>
  </si>
  <si>
    <t>Pénalités de recouvrement, impôts indirects</t>
  </si>
  <si>
    <t>Autres pénalités et amendes fiscales</t>
  </si>
  <si>
    <t>Quote-part transférée de bénéfices (comptabilité du gérant)</t>
  </si>
  <si>
    <t>Pertes imputées par transfert (comptabilité des associés non gérants)</t>
  </si>
  <si>
    <t>Valeur comptable des cessions courantes d'immobilisations incorporelles</t>
  </si>
  <si>
    <t>Valeur comptable des cessions courantes d'immobilisations corporelles</t>
  </si>
  <si>
    <t>Perte de change sur créances et dettes commerciales</t>
  </si>
  <si>
    <t>Indemnités de fonction et autres rémunérations d'administrateurs</t>
  </si>
  <si>
    <t>Mécénat</t>
  </si>
  <si>
    <t>Charges pour dépréciation et provisions d'exploitation sur risques à court terme</t>
  </si>
  <si>
    <t>Charges pour dépréciation et provisions pour risque à court terme d'exploitation sur stocks</t>
  </si>
  <si>
    <t>Charges pour dépréciation et provisions pour risque à court terme d'exploitation sur créances</t>
  </si>
  <si>
    <t>Autres charges pour dépréciations et provisions pour risques à court terme d'exploitation</t>
  </si>
  <si>
    <t>Appointements salaires et commissions versés au personnel national</t>
  </si>
  <si>
    <t>Primes et gratifications versées au personnel national</t>
  </si>
  <si>
    <t>Congés payés versés au personnel national</t>
  </si>
  <si>
    <t>Indemnités de préavis, de licenciement et de recherche d'embauche versées au personnel national</t>
  </si>
  <si>
    <t>Indemnités de maladie versées aux travailleurs nationaux</t>
  </si>
  <si>
    <t>Supplément familial versé au personnel national</t>
  </si>
  <si>
    <t>Avantages en nature du personnel national</t>
  </si>
  <si>
    <t>Autres rénumérations directes versées au personnel national</t>
  </si>
  <si>
    <t>Appointements salaires et commissions versés au personnel non national</t>
  </si>
  <si>
    <t>Primes et gratifications versées au personnel non national</t>
  </si>
  <si>
    <t>Congés payés versés au personnel non national</t>
  </si>
  <si>
    <t>Indemnités de préavis, de licenciement et de recherche d'embauche versées au personnel non national</t>
  </si>
  <si>
    <t>Indemnités de maladie versées aux travailleurs non nationaux</t>
  </si>
  <si>
    <t>Supplément familial versé au personnel non national</t>
  </si>
  <si>
    <t>Avantages en nature du personnel non national</t>
  </si>
  <si>
    <t>Autres rénumérations directes versées au personnel non national</t>
  </si>
  <si>
    <t>Indemnités forfaitaires de logement versées au personnel</t>
  </si>
  <si>
    <t>Indemnités forfaitaires de représentation versées au personnel</t>
  </si>
  <si>
    <t>Indemnités forfaitaires d'expatriation versées au personnel</t>
  </si>
  <si>
    <t>Indemnités forfaitaires de transport versées au personnel</t>
  </si>
  <si>
    <t>Autres indemnités et avantages divers versés au personnel</t>
  </si>
  <si>
    <t>Charges sociales sur rémunération du personnel national</t>
  </si>
  <si>
    <t>Charges sociales sur rémunération du personnel non national</t>
  </si>
  <si>
    <t>Rémunérations du travail de l'exploitant individuel</t>
  </si>
  <si>
    <t>Charges sociales de l'exploitant individuel</t>
  </si>
  <si>
    <t>Rémunérations transférée du personnel intérimaire</t>
  </si>
  <si>
    <t>Rémunérations transférée du personnel détaché ou prêté à l'entité</t>
  </si>
  <si>
    <t>Versements aux Syndicats et Comités d'entreprise, d'établissement</t>
  </si>
  <si>
    <t>Versements aux Comités d'hygiène et de sécurité</t>
  </si>
  <si>
    <t>Versements et contributions aux autres œuvres sociales</t>
  </si>
  <si>
    <t>- 5 -</t>
  </si>
  <si>
    <t>Intérêts des emprunts obligataires</t>
  </si>
  <si>
    <t>Intérêts des emprunts auprès des établissements de crédit</t>
  </si>
  <si>
    <t>Intérêts des dettes liées à des participations</t>
  </si>
  <si>
    <t>Intérêts des primes de remboursement des obligations</t>
  </si>
  <si>
    <t>Intérêts dans loyers de location acquisition/crédit-bail immobilier</t>
  </si>
  <si>
    <t>Intérêts dans loyers de location acquisition/crédit-bail mobilier</t>
  </si>
  <si>
    <t>Intérêts sur avances reçues et dépôts créditeurs</t>
  </si>
  <si>
    <t>Intérêts sur Comptes courants bloqués</t>
  </si>
  <si>
    <t>Intérêts sur obligations cautionnées</t>
  </si>
  <si>
    <t>Intérêts sur dettes commerciales</t>
  </si>
  <si>
    <t>Intérêts bancaires et sur opérations de financement (escompte…)</t>
  </si>
  <si>
    <t xml:space="preserve">Intérêts sur dettes diverses                     </t>
  </si>
  <si>
    <t>Pertes de change financières</t>
  </si>
  <si>
    <t>Pertes sur cessions de titre de placement</t>
  </si>
  <si>
    <t>Malis provenant d’attribution gratuite d’actions au personnel salarié et aux dirigeants</t>
  </si>
  <si>
    <t>Pertes et charges sur rentes viagères</t>
  </si>
  <si>
    <t>Pertes et charges sur opérations financières</t>
  </si>
  <si>
    <t>Pertes et charges sur instrument de trésorerie</t>
  </si>
  <si>
    <t>Charges pour dépréciations et provisions sur risques financiers à court terme</t>
  </si>
  <si>
    <t>Charges pour dépréciations et provisions sur titres de placement</t>
  </si>
  <si>
    <t>Frais financiers et charges assimiliés</t>
  </si>
  <si>
    <t>Dotations aux amortissements des immobilisations incorporelles</t>
  </si>
  <si>
    <t>Dotations aux amortissements des immobilisations corporelles</t>
  </si>
  <si>
    <t>Dotations aux provisions pour risques et charges</t>
  </si>
  <si>
    <t>Dotations aux dépréciations des immobilisations incorporelles</t>
  </si>
  <si>
    <t>Dotations aux dépréciations des immobilisations corporelles</t>
  </si>
  <si>
    <t>Dotations aux provisions pour risques et charges financières</t>
  </si>
  <si>
    <t>Dotations aux dépréciations des immobilisations financières</t>
  </si>
  <si>
    <t>TOTAL DES CHARGES ORDINAIRES</t>
  </si>
  <si>
    <t xml:space="preserve">ETAT SUPPLEMENTAIRE N°2 </t>
  </si>
  <si>
    <t>DETAIL DES PRODUITS EN FCFA</t>
  </si>
  <si>
    <t>VENTES</t>
  </si>
  <si>
    <t>SUBVENTIONS D'EXPLOITATION</t>
  </si>
  <si>
    <t>PRODUCTION IMMOBILISEE</t>
  </si>
  <si>
    <t>VARIATIONS DE STOCKS DE BIENS ET DE SERVICES PRODUITS</t>
  </si>
  <si>
    <t>AUTRES PRODUITS</t>
  </si>
  <si>
    <t>REVENUS FINANCIERS ET ASSIMILES</t>
  </si>
  <si>
    <t>REPRISES DE PROVISIONS DE DEPRECIATIONS ET AUTRES</t>
  </si>
  <si>
    <t>TOTAL DES PRODUITS</t>
  </si>
  <si>
    <t xml:space="preserve">NB: tous les sous-comptes utilisés devront être indiqués en détail </t>
  </si>
  <si>
    <t>ETAT SUPPLEMENTAIRE N°3</t>
  </si>
  <si>
    <r>
      <t xml:space="preserve">ETAT TVA 
</t>
    </r>
    <r>
      <rPr>
        <b/>
        <i/>
        <sz val="10"/>
        <color theme="1"/>
        <rFont val="Arial"/>
        <family val="2"/>
      </rPr>
      <t>(Inscrire les mouvements de la période et non les soldes des comptes)</t>
    </r>
  </si>
  <si>
    <t>T.V.A. facturée sur ventes de la période</t>
  </si>
  <si>
    <t>T.V.A. facturée sur prestations de services de la période</t>
  </si>
  <si>
    <t>T.V.A. facturée sur travaux de la période</t>
  </si>
  <si>
    <t>T.V.A. facturée sur production livrée à soi-même de la période</t>
  </si>
  <si>
    <t>T.V.A. sur factures à établir de la période</t>
  </si>
  <si>
    <t>T.V.A. facturée de la période</t>
  </si>
  <si>
    <t>T.V.A. exigible de la période</t>
  </si>
  <si>
    <t>T.V.A. récupérable sur immobilisations de la période</t>
  </si>
  <si>
    <t>T.V.A. récupérable sur achats de la période</t>
  </si>
  <si>
    <t>T.V.A. récupérable sur transport de la période</t>
  </si>
  <si>
    <t>T.V.A. récupérable sur services extérieurs et autres charges de la période</t>
  </si>
  <si>
    <t>T.V.A. récupérable sur factures non parvenues de la période</t>
  </si>
  <si>
    <t>T.V.A. transférée par d'autres entités de la période</t>
  </si>
  <si>
    <t>T.V.A. Récupérable de la période</t>
  </si>
  <si>
    <t>T.V.A. Récupérée de la période</t>
  </si>
  <si>
    <t>Prorata de déduction</t>
  </si>
  <si>
    <t>État, T.V.A. due</t>
  </si>
  <si>
    <t>État, crédit de T.V.A. à reporter</t>
  </si>
  <si>
    <t xml:space="preserve">T.V.A. Due ou crédit de T.V.A.        </t>
  </si>
  <si>
    <t xml:space="preserve">ETAT SUPPLEMENTAIRE N°4 </t>
  </si>
  <si>
    <t>ETAT SUPPLEMENTAIRE COMPTABILITE NATIONALE</t>
  </si>
  <si>
    <t>ETAT TVA SUPPORTEE NON DEDUCTIBLE
(Inscrire les mouvements de la période et non les soldes des comptes)</t>
  </si>
  <si>
    <t>T.V.A. supportée non déductible sur les immobilisations</t>
  </si>
  <si>
    <t>T.V.A. supportée non déductible sur les achats de biens et de services</t>
  </si>
  <si>
    <t>Total T.V.A. supportée non déductible de la période</t>
  </si>
  <si>
    <t>ETAT SUPPLEMENTAIRE N°5</t>
  </si>
  <si>
    <t>ETAT SUPPLEMENTAIRE : ELEMENTS STATISTIQUES UEMOA</t>
  </si>
  <si>
    <r>
      <t>COMPLEMENT NOTE ANNEXE (Valeur en</t>
    </r>
    <r>
      <rPr>
        <b/>
        <sz val="8"/>
        <rFont val="Arial"/>
        <family val="2"/>
      </rPr>
      <t xml:space="preserve"> francs CFA)</t>
    </r>
  </si>
  <si>
    <r>
      <t>COMPLEMENT NOTE 32 (Valeurs en</t>
    </r>
    <r>
      <rPr>
        <b/>
        <sz val="8"/>
        <rFont val="Arial"/>
        <family val="2"/>
      </rPr>
      <t xml:space="preserve"> francs CFA</t>
    </r>
    <r>
      <rPr>
        <sz val="8"/>
        <rFont val="Arial"/>
        <family val="2"/>
      </rPr>
      <t>)</t>
    </r>
  </si>
  <si>
    <t>COMPLEMENT ETAT ANNEXE</t>
  </si>
  <si>
    <t>Montant
autres Etats
de l'UEMOA</t>
  </si>
  <si>
    <t>Montant autres
Etats de la
Région hors de
l'UEMOA</t>
  </si>
  <si>
    <t>DESIGNATION DU PRODUIT</t>
  </si>
  <si>
    <t>UNITE DE QUANTITE CHOISIE</t>
  </si>
  <si>
    <t>PRODUCTION VENDUE
DANS LES AUTRES ETATS
DE L'UEMOA</t>
  </si>
  <si>
    <t>PRODUCTION VENDUE
AUTRES ETATS DE LA
REGION HORS
DE L'UEMOA</t>
  </si>
  <si>
    <t>I - B12 - 1 DETAIL DE PRODUITS :</t>
  </si>
  <si>
    <t xml:space="preserve">Redevances pour brevets, concessions, </t>
  </si>
  <si>
    <t>licences, marques et droits similaires :</t>
  </si>
  <si>
    <t>Redevances pour location de terrains agricoles :</t>
  </si>
  <si>
    <t>I - C1 - BIENS ACQUIS D'OCCASION :</t>
  </si>
  <si>
    <t>NON VENTILE</t>
  </si>
  <si>
    <t>COMPLEMENT NOTE 27 B</t>
  </si>
  <si>
    <t>AUTRE ETATS DE L'UEMOA</t>
  </si>
  <si>
    <t>COMPLEMENT NOTE 33 ACHATS DESTINES A LA PRODUCTION EN F CFA</t>
  </si>
  <si>
    <t>PERSONNEL PROPRE</t>
  </si>
  <si>
    <t>Achats de marchandises dans l'UEMOA</t>
  </si>
  <si>
    <t>Achats de marchandises au groupe dans</t>
  </si>
  <si>
    <t>1. CADRE SUPERIEURS</t>
  </si>
  <si>
    <t>l'UEMOA</t>
  </si>
  <si>
    <t>2. TECHNICIENS SUPERIEURS ET
    CADRES MOYENS</t>
  </si>
  <si>
    <t>3. TECHNICIENS, AGENTS DE
    MAITRISE ET OUVRIERS QUALIFIES</t>
  </si>
  <si>
    <t>Achats de matières premières dans l'UEMOA</t>
  </si>
  <si>
    <t>4. EMPLOYES, MANŒUVRES,
    OUVRIERS ET APPRENTIS</t>
  </si>
  <si>
    <t>Achats de matières premières au groupe dans l'UEMOA</t>
  </si>
  <si>
    <t>PERMANENTS</t>
  </si>
  <si>
    <t>SAISONNIERS</t>
  </si>
  <si>
    <t>Achats de matières premières</t>
  </si>
  <si>
    <t>ETAT SUPPLEMENTAIRE N°6</t>
  </si>
  <si>
    <t>Nom et Prénoms des Associés</t>
  </si>
  <si>
    <t>Adresse du Domicile Fiscal</t>
  </si>
  <si>
    <t>N° de Compte
Contribuable</t>
  </si>
  <si>
    <t>Part des résultats
avant réintégration
de leurs
rémunération et
AN et part de l'IMF</t>
  </si>
  <si>
    <t>Rémunération et
avantages en
nature et part de
l'IMF leur revenant</t>
  </si>
  <si>
    <t>Total imposable au
nom de chaque
associé</t>
  </si>
  <si>
    <t>N° note / ref
autres parties
états financiers</t>
  </si>
  <si>
    <t>ETAT SUPPLEMENTAIRE N°7</t>
  </si>
  <si>
    <t>EXPLOITANTS INDIVIDUELS</t>
  </si>
  <si>
    <t>N° note / ref
autres parties
des états financiers</t>
  </si>
  <si>
    <t xml:space="preserve"> APPORTS FINANCIERS AU COURS EXERCICE</t>
  </si>
  <si>
    <t xml:space="preserve"> PRELEVEMENTS FINANCIERS AU COURS EXERCICE</t>
  </si>
  <si>
    <t xml:space="preserve"> AVANTAGES EN NATURE VALEUR REELLE</t>
  </si>
  <si>
    <t xml:space="preserve"> REMUNERATIONS CONJOINT EXPLOITANT</t>
  </si>
  <si>
    <t>ETAT SUPPLEMENTAIRE N°8</t>
  </si>
  <si>
    <t xml:space="preserve">TABLEAU  DES IMMOBILISATIONS ET DES AMORTISSEMENTS </t>
  </si>
  <si>
    <t>NUMERO DE COMPTE</t>
  </si>
  <si>
    <t>DESIGNATION DES IMMOBILISATIONS</t>
  </si>
  <si>
    <t>TAUX
AMORT. %</t>
  </si>
  <si>
    <t>DATE MISE SERVICE</t>
  </si>
  <si>
    <t>VALEUR
D'ACQUISITION</t>
  </si>
  <si>
    <t>AMORTISSEMENTS</t>
  </si>
  <si>
    <t>VALEUR
RESIDUELLE</t>
  </si>
  <si>
    <t>PRIX CESSION</t>
  </si>
  <si>
    <t>PLUES-VALUE</t>
  </si>
  <si>
    <t>MOINS-VALUES</t>
  </si>
  <si>
    <t>ANTERIEURS</t>
  </si>
  <si>
    <t>DE L'EXERCICE</t>
  </si>
  <si>
    <t>ETAT SUPPLEMENTAIRE N°9</t>
  </si>
  <si>
    <t>Achats de
matières premières
et fournitures liées</t>
  </si>
  <si>
    <t>Achats stockés
de matières et
fournitures
consommables</t>
  </si>
  <si>
    <t>Achats
d'emballages</t>
  </si>
  <si>
    <t>Total rubriques</t>
  </si>
  <si>
    <t>Immobilisations</t>
  </si>
  <si>
    <t>Droits de douane</t>
  </si>
  <si>
    <t>Frets et transports sur achats</t>
  </si>
  <si>
    <t>Assurances transport sur achats</t>
  </si>
  <si>
    <t>Commissions et courtages sur achats</t>
  </si>
  <si>
    <t>Rémunération du transitaire</t>
  </si>
  <si>
    <t>Autres frais accessoires d'achat</t>
  </si>
  <si>
    <t>Total frais accessoires d'achats</t>
  </si>
  <si>
    <t>ETAT SUPPLEMENTAIRE N°10</t>
  </si>
  <si>
    <t>DETAIL DES AVANTAGES EN NATURE  
ALLOUES AU PERSONNEL  (1)</t>
  </si>
  <si>
    <t>Forfait (Barème)
F.CFA</t>
  </si>
  <si>
    <t>Montant réel
F.CFA</t>
  </si>
  <si>
    <t>Loyers de logement du personnel</t>
  </si>
  <si>
    <t>Bâtiment de logement mis à la disposition du personnel</t>
  </si>
  <si>
    <t>Eau logement du personnel</t>
  </si>
  <si>
    <t>Electricité logement du personnel</t>
  </si>
  <si>
    <t>Télécommunication logement du personnel</t>
  </si>
  <si>
    <t>Frais de téléphone mobile</t>
  </si>
  <si>
    <t>Gardiennage logement du personnel</t>
  </si>
  <si>
    <t>Voyages congés personnel</t>
  </si>
  <si>
    <t>Matériels de transport mis à disposition du personnel</t>
  </si>
  <si>
    <t>Autres à préciser</t>
  </si>
  <si>
    <r>
      <rPr>
        <b/>
        <sz val="8"/>
        <color rgb="FFFF0000"/>
        <rFont val="Arial"/>
        <family val="2"/>
      </rPr>
      <t>(1)</t>
    </r>
    <r>
      <rPr>
        <sz val="8"/>
        <color rgb="FFFF0000"/>
        <rFont val="Arial"/>
        <family val="2"/>
      </rPr>
      <t>: Montants à rappocher de l'Etat 301 en mettant en évidence les divergences à justifier.</t>
    </r>
  </si>
  <si>
    <t>ETAT SUPPLEMENTAIRE N°11</t>
  </si>
  <si>
    <t>CREANCES &amp; DETTES ECHUES DE L'EXERCICE</t>
  </si>
  <si>
    <t>CREANCES ECHUES DE L'EXERCICE</t>
  </si>
  <si>
    <t>PRINCIPAL</t>
  </si>
  <si>
    <t>INTERETS</t>
  </si>
  <si>
    <t>DETTES ECHUES DE L'EXERCICE</t>
  </si>
  <si>
    <t>ETAT SUPPLEMENTAIRE N°12</t>
  </si>
  <si>
    <t>DESIGNATION DES SALARIES</t>
  </si>
  <si>
    <t>MONTANT des traitements ou Salaires bruts            4</t>
  </si>
  <si>
    <t>NOMBRE de personnes à charge             5</t>
  </si>
  <si>
    <t>PERIODE               6</t>
  </si>
  <si>
    <t>MONTANT des allocations à la fonction                         7</t>
  </si>
  <si>
    <t>INDEMNITE de logement              8</t>
  </si>
  <si>
    <t>INDEMNITE de transport            9</t>
  </si>
  <si>
    <t>RETENUES pour pension            11</t>
  </si>
  <si>
    <t>RETENUES    IUTS                12</t>
  </si>
  <si>
    <t>NOM ET PRENOMS                         1</t>
  </si>
  <si>
    <t>EMPLOI                                 2</t>
  </si>
  <si>
    <t>ADRESSE AU 1er JANVIER ou dernière adresse                                                       3</t>
  </si>
  <si>
    <t>ETAT SUPPLEMENTAIRE N°13</t>
  </si>
  <si>
    <t>ETAT ANNUEL DES COMMISSIONS, VACATIONS, COURTAGES, RISTOURNES, HONORAIRES ET DROITS D'AUTEUR</t>
  </si>
  <si>
    <t xml:space="preserve">N° IFU </t>
  </si>
  <si>
    <t>NOM, RAISON SOCIALE</t>
  </si>
  <si>
    <t>TELEPHONE</t>
  </si>
  <si>
    <t>NATURE DE L'OPERATION</t>
  </si>
  <si>
    <t>Montant annuel HTVA</t>
  </si>
  <si>
    <t>TOTAL TTC</t>
  </si>
  <si>
    <t>ETAT SUPPLEMENTAIRE N°14</t>
  </si>
  <si>
    <t>ETAT ANNUEL DES REMUNERATIONS VERSEES AUX ASSOCIES ET DES PARTS DE BENEFICES SOCIAUX</t>
  </si>
  <si>
    <t>Type de rémunération</t>
  </si>
  <si>
    <t>Montant perçu</t>
  </si>
  <si>
    <t>ETAT SUPPLEMENTAIRE N°15</t>
  </si>
  <si>
    <t>ETAT DES LOYERS PASSES EN CHARGES</t>
  </si>
  <si>
    <t>N° IFU du bailleur (éventuellement)</t>
  </si>
  <si>
    <t>NOM DU BAILLEUR</t>
  </si>
  <si>
    <t>Adresse, Téléphone</t>
  </si>
  <si>
    <t>Lieu de situation de l'immeuble loué</t>
  </si>
  <si>
    <t>Loyer mensuel</t>
  </si>
  <si>
    <t>Montant total loyers passés en charges</t>
  </si>
  <si>
    <t>ETAT SUPPLEMENTAIRE N°16</t>
  </si>
  <si>
    <t>ETAT ANNUEL DES HONORAIRES RETROCEDES POUR DETERMINATION DE L'IBNC</t>
  </si>
  <si>
    <t>N° IFU du bénéficiaire</t>
  </si>
  <si>
    <t>LOCALITE</t>
  </si>
  <si>
    <t>SERVICE DES IMPOTS DE RATTACHEMENT</t>
  </si>
  <si>
    <t>Montant total HTVA</t>
  </si>
  <si>
    <t>ETAT SUPPLEMENTAIRE N°17</t>
  </si>
  <si>
    <t>LISTE DES PRINCIPAUX CLIENTS</t>
  </si>
  <si>
    <t>ETAT SUPPLEMENTAIRE N°18</t>
  </si>
  <si>
    <t>LISTE DES PRINCIPAUX FOURNISSEURS</t>
  </si>
  <si>
    <t xml:space="preserve">ETAT SUPPLEMENTAIRE N° 19
</t>
  </si>
  <si>
    <t>1 : RESULTAT NET COMPTABLE DE L'EXERCICE</t>
  </si>
  <si>
    <r>
      <t>2 :  REINTEGRATIONS (</t>
    </r>
    <r>
      <rPr>
        <vertAlign val="superscript"/>
        <sz val="9"/>
        <color theme="1"/>
        <rFont val="Arial"/>
        <family val="2"/>
      </rPr>
      <t>1</t>
    </r>
    <r>
      <rPr>
        <sz val="9"/>
        <color theme="1"/>
        <rFont val="Arial"/>
        <family val="2"/>
      </rPr>
      <t>)</t>
    </r>
  </si>
  <si>
    <t xml:space="preserve">     ……………..</t>
  </si>
  <si>
    <r>
      <t>3 : DEDUCTIONS (</t>
    </r>
    <r>
      <rPr>
        <vertAlign val="superscript"/>
        <sz val="9"/>
        <color theme="1"/>
        <rFont val="Arial"/>
        <family val="2"/>
      </rPr>
      <t>1</t>
    </r>
    <r>
      <rPr>
        <sz val="9"/>
        <color theme="1"/>
        <rFont val="Arial"/>
        <family val="2"/>
      </rPr>
      <t>)</t>
    </r>
  </si>
  <si>
    <t>4 : RESULTAT IMPOSABLE AVANT DEDUCTION DES DEFICITS ( 4 = 1+2-3)</t>
  </si>
  <si>
    <r>
      <t xml:space="preserve">5 : DEFICITS  ANTERIEURS A L'EXERCICE </t>
    </r>
    <r>
      <rPr>
        <vertAlign val="superscript"/>
        <sz val="9"/>
        <color theme="1"/>
        <rFont val="Arial"/>
        <family val="2"/>
      </rPr>
      <t>(1)</t>
    </r>
  </si>
  <si>
    <r>
      <t>6 : AMORTISSEMENTS REGULIEREMENT DIFFERES</t>
    </r>
    <r>
      <rPr>
        <vertAlign val="superscript"/>
        <sz val="9"/>
        <color theme="1"/>
        <rFont val="Arial"/>
        <family val="2"/>
      </rPr>
      <t xml:space="preserve"> (1)</t>
    </r>
  </si>
  <si>
    <r>
      <t xml:space="preserve">7 : AMORTISSEMENTS DE L'EXERCICE A DIFFERER </t>
    </r>
    <r>
      <rPr>
        <vertAlign val="superscript"/>
        <sz val="9"/>
        <color theme="1"/>
        <rFont val="Arial"/>
        <family val="2"/>
      </rPr>
      <t>(1)</t>
    </r>
  </si>
  <si>
    <t>8 : RESULTAT FISCAL DE L'EXERCICE (8= 4-5-6+7)</t>
  </si>
  <si>
    <t>9: IMPOTS SUR LE RESULTAT AU TAUX DE :</t>
  </si>
  <si>
    <r>
      <rPr>
        <vertAlign val="superscript"/>
        <sz val="10"/>
        <color theme="1"/>
        <rFont val="Times New Roman"/>
        <family val="1"/>
      </rPr>
      <t>(1)</t>
    </r>
    <r>
      <rPr>
        <sz val="10"/>
        <color theme="1"/>
        <rFont val="Times New Roman"/>
        <family val="1"/>
      </rPr>
      <t xml:space="preserve"> A détailler</t>
    </r>
  </si>
  <si>
    <t>Régime d'imposition:</t>
  </si>
  <si>
    <t>le</t>
  </si>
  <si>
    <t>CACHET DE LA</t>
  </si>
  <si>
    <r>
      <rPr>
        <b/>
        <sz val="11"/>
        <rFont val="Times New Roman"/>
        <family val="1"/>
      </rPr>
      <t>DIRECTION GENERALE DES IMPOTS</t>
    </r>
    <r>
      <rPr>
        <b/>
        <sz val="10"/>
        <rFont val="Times New Roman"/>
        <family val="1"/>
      </rPr>
      <t/>
    </r>
  </si>
  <si>
    <t xml:space="preserve">DATE DE </t>
  </si>
  <si>
    <t>DIRECTION</t>
  </si>
  <si>
    <t>RECEPTION</t>
  </si>
  <si>
    <t>N° Registre de commerce:</t>
  </si>
  <si>
    <t xml:space="preserve"> Nom, Prénon(s)</t>
  </si>
  <si>
    <t>N¨° porte :</t>
  </si>
  <si>
    <t>Rue :</t>
  </si>
  <si>
    <t>lot :</t>
  </si>
  <si>
    <t>Adresse des établissements secondaires</t>
  </si>
  <si>
    <t>1.</t>
  </si>
  <si>
    <t>2.</t>
  </si>
  <si>
    <t>Adresse du domicile (Localité)</t>
  </si>
  <si>
    <t>Nom - Qualité - Signature</t>
  </si>
  <si>
    <t>PRIISE EN CHARGE</t>
  </si>
  <si>
    <t>L.J………….………………..</t>
  </si>
  <si>
    <t>L.J……………...….………………..</t>
  </si>
  <si>
    <t>Nature………………………..</t>
  </si>
  <si>
    <t>Date - Cachet - signature</t>
  </si>
  <si>
    <t>Réf……………………………………..</t>
  </si>
  <si>
    <t>Réf AMR………...…………………</t>
  </si>
  <si>
    <t>Base…………..……….</t>
  </si>
  <si>
    <t>Quintance N°…………………..</t>
  </si>
  <si>
    <t>Quintance date……………..…………</t>
  </si>
  <si>
    <t>Taux…………..……….</t>
  </si>
  <si>
    <t>Quintance date………………………….</t>
  </si>
  <si>
    <t>Montant…..…………..…………..</t>
  </si>
  <si>
    <t>Montant……………….</t>
  </si>
  <si>
    <t>Montant..………......……..…</t>
  </si>
  <si>
    <t>DECLARATION DES PRELEVEMENTS ET RETENUES A LA SOURCE SUPPORTES A TITRE D'ACOMPTE SUR LES IMPOTS SUR LES BENEFICES (MFP-AP IS-BIC-BNC-IS)                         (articles 198 à 209 du CGI)</t>
  </si>
  <si>
    <t>I. PERIODE</t>
  </si>
  <si>
    <t>Trimestre</t>
  </si>
  <si>
    <t>II. IDENTIFICATION DU REDEVABLE</t>
  </si>
  <si>
    <t>3.</t>
  </si>
  <si>
    <t>III. MONTANT DES PRELEVEMENTS ET / OU RETENUES SUPPORTES</t>
  </si>
  <si>
    <r>
      <rPr>
        <b/>
        <sz val="13"/>
        <rFont val="Times New Roman"/>
        <family val="1"/>
      </rPr>
      <t xml:space="preserve"> a.</t>
    </r>
    <r>
      <rPr>
        <b/>
        <sz val="12"/>
        <rFont val="Times New Roman"/>
        <family val="1"/>
      </rPr>
      <t xml:space="preserve"> Sur biens importés</t>
    </r>
    <r>
      <rPr>
        <sz val="11"/>
        <rFont val="Times New Roman"/>
        <family val="1"/>
      </rPr>
      <t xml:space="preserve"> </t>
    </r>
    <r>
      <rPr>
        <i/>
        <sz val="11"/>
        <rFont val="Times New Roman"/>
        <family val="1"/>
      </rPr>
      <t>(Relevé détaillé et quittances</t>
    </r>
    <r>
      <rPr>
        <i/>
        <sz val="11"/>
        <rFont val="Symbol"/>
        <family val="1"/>
        <charset val="2"/>
      </rPr>
      <t>*</t>
    </r>
    <r>
      <rPr>
        <i/>
        <sz val="11"/>
        <rFont val="Times New Roman"/>
        <family val="1"/>
      </rPr>
      <t>douanes joints)</t>
    </r>
  </si>
  <si>
    <r>
      <rPr>
        <b/>
        <sz val="13"/>
        <rFont val="Times New Roman"/>
        <family val="1"/>
      </rPr>
      <t xml:space="preserve"> b.</t>
    </r>
    <r>
      <rPr>
        <b/>
        <sz val="12"/>
        <rFont val="Times New Roman"/>
        <family val="1"/>
      </rPr>
      <t xml:space="preserve"> Sur achats en régime intérieur</t>
    </r>
    <r>
      <rPr>
        <sz val="11"/>
        <rFont val="Times New Roman"/>
        <family val="1"/>
      </rPr>
      <t xml:space="preserve"> </t>
    </r>
    <r>
      <rPr>
        <i/>
        <sz val="11"/>
        <rFont val="Times New Roman"/>
        <family val="1"/>
      </rPr>
      <t>(état détaillé joint)</t>
    </r>
  </si>
  <si>
    <r>
      <rPr>
        <b/>
        <sz val="13"/>
        <rFont val="Times New Roman"/>
        <family val="1"/>
      </rPr>
      <t xml:space="preserve"> b.</t>
    </r>
    <r>
      <rPr>
        <b/>
        <sz val="12"/>
        <rFont val="Times New Roman"/>
        <family val="1"/>
      </rPr>
      <t xml:space="preserve"> Retenues supportées</t>
    </r>
  </si>
  <si>
    <r>
      <rPr>
        <b/>
        <sz val="13"/>
        <rFont val="Times New Roman"/>
        <family val="1"/>
      </rPr>
      <t>TOTAL</t>
    </r>
    <r>
      <rPr>
        <b/>
        <sz val="11"/>
        <rFont val="Times New Roman"/>
        <family val="1"/>
      </rPr>
      <t xml:space="preserve"> </t>
    </r>
    <r>
      <rPr>
        <b/>
        <i/>
        <sz val="11"/>
        <rFont val="Times New Roman"/>
        <family val="1"/>
      </rPr>
      <t>(I = a+b+c)</t>
    </r>
  </si>
  <si>
    <r>
      <t xml:space="preserve">CREDIT REPORTABLE DE LA PERIODE PRECEDENTE </t>
    </r>
    <r>
      <rPr>
        <b/>
        <i/>
        <sz val="10"/>
        <rFont val="Times New Roman"/>
        <family val="1"/>
      </rPr>
      <t>(II)</t>
    </r>
  </si>
  <si>
    <t>MONTANT DES PRELEVEMENTS ET / OU RETENUES SUPPORTES IMPUTABLES (I+II)</t>
  </si>
  <si>
    <t>MONTANT DES PRELEVEMENTS ET / OU RETENUES SUPPORTES IMPUTES (I+II)</t>
  </si>
  <si>
    <t>CREDIT REPORTABLE</t>
  </si>
  <si>
    <t>IV. CADRE RESERVE A L'ADMINISTRATION</t>
  </si>
  <si>
    <r>
      <rPr>
        <b/>
        <sz val="10"/>
        <rFont val="Times New Roman"/>
        <family val="1"/>
      </rPr>
      <t>NB:</t>
    </r>
    <r>
      <rPr>
        <sz val="10"/>
        <rFont val="Times New Roman"/>
        <family val="1"/>
      </rPr>
      <t xml:space="preserve"> </t>
    </r>
    <r>
      <rPr>
        <i/>
        <sz val="10"/>
        <rFont val="Times New Roman"/>
        <family val="1"/>
      </rPr>
      <t xml:space="preserve">la non production des quittances douanes à l'administration des impôts et des relevés des prélèvements acquittés à l'importation et / ou des états détaillés des prélèvements supportés en régime intérieur, entraine le rejet des prélèvements. Les mêmes dispositions doivent être prise en ce qui concerne les retenues subies.  </t>
    </r>
    <r>
      <rPr>
        <sz val="10"/>
        <rFont val="Times New Roman"/>
        <family val="1"/>
      </rPr>
      <t xml:space="preserve">                                                                                                                                                                                        </t>
    </r>
    <r>
      <rPr>
        <b/>
        <sz val="12"/>
        <rFont val="Calibri"/>
        <family val="2"/>
      </rPr>
      <t>*</t>
    </r>
    <r>
      <rPr>
        <sz val="10"/>
        <rFont val="Calibri"/>
        <family val="2"/>
      </rPr>
      <t>Quittances destinbés à l'administration des impôts</t>
    </r>
  </si>
  <si>
    <r>
      <t xml:space="preserve">                 </t>
    </r>
    <r>
      <rPr>
        <b/>
        <u/>
        <sz val="12"/>
        <rFont val="Times New Roman"/>
        <family val="1"/>
      </rPr>
      <t>ANNEXE 1</t>
    </r>
    <r>
      <rPr>
        <b/>
        <sz val="12"/>
        <rFont val="Times New Roman"/>
        <family val="1"/>
      </rPr>
      <t>: RELEVE DES PRELEVEMENTS ACQUITES SUR LES IMPORTATIONS DE BIENS</t>
    </r>
  </si>
  <si>
    <t>N° et date de la liquidation</t>
  </si>
  <si>
    <t>Montant du prélèvement acquité</t>
  </si>
  <si>
    <t>Si cet imprimé est insuffisant, joindre des feuilles supplémentaires</t>
  </si>
  <si>
    <r>
      <t xml:space="preserve">                 </t>
    </r>
    <r>
      <rPr>
        <b/>
        <u/>
        <sz val="12"/>
        <rFont val="Times New Roman"/>
        <family val="1"/>
      </rPr>
      <t>ANNEXE 2</t>
    </r>
    <r>
      <rPr>
        <b/>
        <sz val="12"/>
        <rFont val="Times New Roman"/>
        <family val="1"/>
      </rPr>
      <t>: ETAT DETAILLE DES PRELEVEMENTS SUPPORTES EN REGIME INTERIEUR</t>
    </r>
  </si>
  <si>
    <t>FOURNISSEURS                                         (Nom, prénoms ou raison sociale)</t>
  </si>
  <si>
    <t>Total des achats facturés</t>
  </si>
  <si>
    <t>Total des prélèvements facturés</t>
  </si>
  <si>
    <r>
      <rPr>
        <b/>
        <u/>
        <sz val="12"/>
        <rFont val="Times New Roman"/>
        <family val="1"/>
      </rPr>
      <t>ANNEXE 3</t>
    </r>
    <r>
      <rPr>
        <b/>
        <sz val="12"/>
        <rFont val="Times New Roman"/>
        <family val="1"/>
      </rPr>
      <t>: ETAT DES RETENUES SUPPORTEES AU COURS DE LA PERIODE A LAQUELLE SE RAPPORTE LA DECLARATION</t>
    </r>
  </si>
  <si>
    <t>Nom, prénoms ou raison sociale du client</t>
  </si>
  <si>
    <t>Total des retenues supportées</t>
  </si>
  <si>
    <t>DETERMINATION DU RESULTAT FISCAL ET DE L'IMPOT SUR LES SOCIETES (IS)</t>
  </si>
  <si>
    <t>DETERMINATION DU RESULTAT FISCAL ET DE L'IMPOT SUR LES BENEFICES INDUSTRIELS OU COMMERCIAUX (IBICA)</t>
  </si>
  <si>
    <t>DETERMINATION DU RESULTAT FISCAL ET DE L'IMPOT SUR LES DES BENEFICES NON COMMERCIAUX (IBNC)</t>
  </si>
  <si>
    <t>BalanceN-1'</t>
  </si>
  <si>
    <t>BalanceN</t>
  </si>
  <si>
    <t>AMORTISSEMENTS REGULIEREMENT DIFFERES (1)</t>
  </si>
  <si>
    <t>AMORTISSEMENTS DE L'EXERCICE A DIFFERER (1)</t>
  </si>
  <si>
    <t>Adresses des établissements secondaires (joindre un intercalaire si nécessaire) :</t>
  </si>
  <si>
    <r>
      <t>Crédit reportable retenues supportés (</t>
    </r>
    <r>
      <rPr>
        <b/>
        <i/>
        <sz val="9"/>
        <rFont val="Arial"/>
        <family val="2"/>
      </rPr>
      <t>Cf. dernière déclaration</t>
    </r>
    <r>
      <rPr>
        <sz val="11"/>
        <rFont val="Arial"/>
        <family val="2"/>
      </rPr>
      <t>)</t>
    </r>
  </si>
  <si>
    <r>
      <t>Crédit reportable prélèvements supportés (</t>
    </r>
    <r>
      <rPr>
        <b/>
        <i/>
        <sz val="9"/>
        <rFont val="Arial"/>
        <family val="2"/>
      </rPr>
      <t>Cf. dernière déclaration</t>
    </r>
    <r>
      <rPr>
        <sz val="11"/>
        <rFont val="Arial"/>
        <family val="2"/>
      </rPr>
      <t>)</t>
    </r>
  </si>
  <si>
    <t>CALCULS DES PRELEVEMENTS ET RETENUES IMPUTABLES ET IMPUTES</t>
  </si>
  <si>
    <t xml:space="preserve">MONTANT DES PRELEVEMENTS SUPPORTES IMPUTABLES </t>
  </si>
  <si>
    <t xml:space="preserve">MONTANT DES RETENUES SUPPORTES SUPPORTES IMPUTABLES </t>
  </si>
  <si>
    <t>AMMTB89</t>
  </si>
  <si>
    <t>Etats supplémentaires DGI</t>
  </si>
  <si>
    <t>N° DE TELEDECLARANT (NES):</t>
  </si>
  <si>
    <t xml:space="preserve">MINISTERE DE L'ECONOMIE DES FINANCES ET DU DEVELOPPEMENT
</t>
  </si>
  <si>
    <t>LIASSE SYSTEME NORMAL</t>
  </si>
  <si>
    <t xml:space="preserve">SUPPORT NORMALISE DE COLLECTE DES </t>
  </si>
  <si>
    <t>(SYSCOHADA)</t>
  </si>
  <si>
    <t xml:space="preserve">ETATS FINANCIERS DU SYSTÈME COMTABLE OHADA </t>
  </si>
  <si>
    <t>CONDITIONS DE RECEVABILITE</t>
  </si>
  <si>
    <t>Entités utilisant des imprimés:</t>
  </si>
  <si>
    <t xml:space="preserve">* N'utilisez que des imprimés normalisés </t>
  </si>
  <si>
    <t xml:space="preserve">* Remplir chaque page de façon parfaitement lisible sans décalage de lignes </t>
  </si>
  <si>
    <t xml:space="preserve">* Ne créer aucune rubrique </t>
  </si>
  <si>
    <t xml:space="preserve">* Eviter toute surcharge et donner les explications sur une feuille séparée </t>
  </si>
  <si>
    <t xml:space="preserve">* N'utilisez que des codes indiqués dans les tables </t>
  </si>
  <si>
    <t>* N'utilisez que des imprimés en noir et blanc</t>
  </si>
  <si>
    <t>Entités produisant les états financiers à l'aide de l'outil informatique</t>
  </si>
  <si>
    <t xml:space="preserve">* Reproduire à l'identique la contexture des imprimés normalisés </t>
  </si>
  <si>
    <t>* Fournir une liasse comprenant à la fois : la fiche d'identification et renseignement diverses</t>
  </si>
  <si>
    <t>Etats financiers</t>
  </si>
  <si>
    <t xml:space="preserve">Les rubriques et les postes du bilan, du Compte de résultat et du Tableau des Flux </t>
  </si>
  <si>
    <t>Les Notes annexes non chiffrées doivent êtres supprimées. Cependant, elles</t>
  </si>
  <si>
    <t>NOTE 36 (suite Nomenclature)</t>
  </si>
  <si>
    <t>Sélectionner la ou les codes activités selon le découpage de votre chiffre d'affaires pour le renseignement de la fiche R2</t>
  </si>
  <si>
    <t xml:space="preserve"> Agriculture vivrière</t>
  </si>
  <si>
    <t xml:space="preserve"> 001 001 Culture céréalière</t>
  </si>
  <si>
    <t xml:space="preserve"> 001 002 Culture de tubercules et plantains</t>
  </si>
  <si>
    <t xml:space="preserve"> 001 003 Culture de légumes</t>
  </si>
  <si>
    <t xml:space="preserve"> 001 004 Culture de condiments</t>
  </si>
  <si>
    <t xml:space="preserve"> 001 005 Culture de fruits</t>
  </si>
  <si>
    <t xml:space="preserve"> Agriculture industrielle et d'exportation</t>
  </si>
  <si>
    <t xml:space="preserve"> 002 001 Culture de canne à sucre</t>
  </si>
  <si>
    <t xml:space="preserve"> 002 002 Culture d'arachide d'huilerie</t>
  </si>
  <si>
    <t xml:space="preserve"> 002 003 Culture d'arachide de bouche</t>
  </si>
  <si>
    <t xml:space="preserve"> 002 004 Culture de tabac</t>
  </si>
  <si>
    <t xml:space="preserve"> 002 005 Culture de coton</t>
  </si>
  <si>
    <t xml:space="preserve"> 002 006 Culture de blé</t>
  </si>
  <si>
    <t xml:space="preserve"> 002 007 Culture de cacao</t>
  </si>
  <si>
    <t xml:space="preserve"> 002 008 Culture de café</t>
  </si>
  <si>
    <t xml:space="preserve"> 002 009 Culture de bananes d'exportation</t>
  </si>
  <si>
    <t xml:space="preserve"> 002 010 Culture d'ananas d'exportation</t>
  </si>
  <si>
    <t xml:space="preserve"> 002 011 Autres cultures industrielles</t>
  </si>
  <si>
    <t xml:space="preserve"> Elevage et chasse</t>
  </si>
  <si>
    <t xml:space="preserve"> 003 001 Elevage bovin</t>
  </si>
  <si>
    <t xml:space="preserve"> 003 002 Elevage ovin, caprin, équin</t>
  </si>
  <si>
    <t xml:space="preserve"> 003 003 Elevage de volailles</t>
  </si>
  <si>
    <t xml:space="preserve"> 003 004 Autres élevages</t>
  </si>
  <si>
    <t xml:space="preserve"> 003 005 Chasse</t>
  </si>
  <si>
    <t xml:space="preserve"> Sylviculture, exploitation forestière</t>
  </si>
  <si>
    <t xml:space="preserve"> 004 001 Sylviculture</t>
  </si>
  <si>
    <t xml:space="preserve"> 004 002 Exploitation forestière</t>
  </si>
  <si>
    <t xml:space="preserve"> Pêche et aquaculture</t>
  </si>
  <si>
    <t xml:space="preserve"> 005 001 Pêche de poissons</t>
  </si>
  <si>
    <t xml:space="preserve"> 005 002 Autres pêches et aquaculture</t>
  </si>
  <si>
    <t xml:space="preserve"> Industries extractives</t>
  </si>
  <si>
    <t xml:space="preserve"> 006 001 Extraction d'hydrocarbures</t>
  </si>
  <si>
    <t xml:space="preserve"> 006 002 Extraction d'autres produits</t>
  </si>
  <si>
    <t xml:space="preserve"> Production de viande et de poissons</t>
  </si>
  <si>
    <t xml:space="preserve"> Transformation du café et du cacao</t>
  </si>
  <si>
    <t xml:space="preserve"> 009 001 Transformation du café</t>
  </si>
  <si>
    <t xml:space="preserve"> 009 002 Transformation du cacao</t>
  </si>
  <si>
    <t xml:space="preserve"> Industrie des oléagineux</t>
  </si>
  <si>
    <t xml:space="preserve"> 010 001 Huiles brutes et tourteaux</t>
  </si>
  <si>
    <t xml:space="preserve"> 010 002 Autres corps gras</t>
  </si>
  <si>
    <t xml:space="preserve"> 011 002 Fabrication de pâtes alimentaires</t>
  </si>
  <si>
    <t xml:space="preserve"> Industries laitières</t>
  </si>
  <si>
    <t xml:space="preserve"> 012 000 Industries laitières</t>
  </si>
  <si>
    <t xml:space="preserve"> 001 006 Culture d'autres produits de l'agriculture vivrière</t>
  </si>
  <si>
    <t xml:space="preserve"> 011 001 Fabrication de pains, de biscuits et de pâtisserie</t>
  </si>
  <si>
    <t xml:space="preserve"> 008 000 Travail des grains et fabrication de produits amylacés</t>
  </si>
  <si>
    <t xml:space="preserve"> 007 002 Production de poissons et de produits à base de poissons</t>
  </si>
  <si>
    <t xml:space="preserve"> 007 001 Production de viande et de produits à base de viande</t>
  </si>
  <si>
    <t xml:space="preserve"> Travail des grains et fabrication de produits amylacés</t>
  </si>
  <si>
    <t xml:space="preserve"> Boulangerie, pâtisserie et pâtes alimentaires</t>
  </si>
  <si>
    <t xml:space="preserve"> Industries du caoutchouc et des plastiques</t>
  </si>
  <si>
    <t xml:space="preserve"> 022 001 Fabrication du caoutchouc naturel</t>
  </si>
  <si>
    <t xml:space="preserve"> 022 002 Industries du caoutchouc</t>
  </si>
  <si>
    <t xml:space="preserve"> 022 003 Fabrication de matières plastiques</t>
  </si>
  <si>
    <t xml:space="preserve"> Fabrication d'autres produits minéraux non</t>
  </si>
  <si>
    <t xml:space="preserve"> métalliques et de matériaux de construction</t>
  </si>
  <si>
    <t xml:space="preserve"> 023 001 Industries du verre</t>
  </si>
  <si>
    <t xml:space="preserve"> Métallurgie et travail des métaux</t>
  </si>
  <si>
    <t xml:space="preserve"> 024 001 Métallurgie</t>
  </si>
  <si>
    <t xml:space="preserve"> 024 002 Travail des métaux</t>
  </si>
  <si>
    <t xml:space="preserve"> Fabrication de machines, d'équipements</t>
  </si>
  <si>
    <t xml:space="preserve"> et d'appareils électriques</t>
  </si>
  <si>
    <t xml:space="preserve"> 025 002 Fabrication de machines de bureau</t>
  </si>
  <si>
    <t xml:space="preserve"> 025 003 Fabrication d'appareils électriques</t>
  </si>
  <si>
    <t xml:space="preserve"> Fabrication d'équipements et appareils</t>
  </si>
  <si>
    <t xml:space="preserve"> audiovisuels et de communication ;</t>
  </si>
  <si>
    <t xml:space="preserve"> fabrication d'instruments médicaux,</t>
  </si>
  <si>
    <t xml:space="preserve"> d'optique et d'horlogerie</t>
  </si>
  <si>
    <t xml:space="preserve"> Fabrication de matériel de transport</t>
  </si>
  <si>
    <t xml:space="preserve"> 027 001 Fabrication de véhicules routiers</t>
  </si>
  <si>
    <t xml:space="preserve"> Industries diverses</t>
  </si>
  <si>
    <t xml:space="preserve"> 028 001 Fabrication de meubles</t>
  </si>
  <si>
    <t xml:space="preserve"> 028 002 Industries diverses</t>
  </si>
  <si>
    <t xml:space="preserve"> Production et distribution d'eau,</t>
  </si>
  <si>
    <t xml:space="preserve"> d'électricité et de gaz </t>
  </si>
  <si>
    <t xml:space="preserve"> 029 001 Production, transport et</t>
  </si>
  <si>
    <t xml:space="preserve"> 029 002 Captage, épuration et distribution d'eau</t>
  </si>
  <si>
    <t xml:space="preserve"> 029 003 Production et distribution de gaz</t>
  </si>
  <si>
    <t xml:space="preserve"> 023 003 Fabrication d'autres produits minéraux non métalliques</t>
  </si>
  <si>
    <t xml:space="preserve"> 023 002 Fabrication de produits minéraux pour la construction </t>
  </si>
  <si>
    <t xml:space="preserve"> 025 001 Fabrication de machines et d'équipements</t>
  </si>
  <si>
    <t xml:space="preserve"> 026 001 Fabrication d'équipements et appareils audiovisuels et de communication</t>
  </si>
  <si>
    <t xml:space="preserve"> 026 002 Fabrication d'instruments médicaux, d'optique et d'horlogerie</t>
  </si>
  <si>
    <t xml:space="preserve"> 027 002 Fabrication d'autres matériels de  transport</t>
  </si>
  <si>
    <r>
      <t xml:space="preserve"> </t>
    </r>
    <r>
      <rPr>
        <b/>
        <sz val="8"/>
        <rFont val="Arial"/>
        <family val="2"/>
      </rPr>
      <t>Construction</t>
    </r>
  </si>
  <si>
    <t xml:space="preserve"> 030 002 Travaux d'installation et de finition</t>
  </si>
  <si>
    <t xml:space="preserve"> Commerce</t>
  </si>
  <si>
    <t xml:space="preserve"> 031 003 Autres commerces</t>
  </si>
  <si>
    <t xml:space="preserve"> Réparations</t>
  </si>
  <si>
    <r>
      <t xml:space="preserve"> </t>
    </r>
    <r>
      <rPr>
        <b/>
        <sz val="8"/>
        <rFont val="Arial"/>
        <family val="2"/>
      </rPr>
      <t>Hôtels, restaurants</t>
    </r>
  </si>
  <si>
    <t xml:space="preserve"> 033 001 Hôtels</t>
  </si>
  <si>
    <t xml:space="preserve"> 033 002 Bars et restaurants</t>
  </si>
  <si>
    <t xml:space="preserve"> Transport et communication</t>
  </si>
  <si>
    <t xml:space="preserve"> 034 001 Transports ferroviaires</t>
  </si>
  <si>
    <t xml:space="preserve"> 034 003 Transports par eau</t>
  </si>
  <si>
    <t xml:space="preserve"> 034 004 Transports aériens</t>
  </si>
  <si>
    <t xml:space="preserve"> 034 005 Services annexes et auxiliaires de</t>
  </si>
  <si>
    <t xml:space="preserve"> 030 001 Préparation de sites et construction d'ouvrages de bâtiment ou de génie civil</t>
  </si>
  <si>
    <t xml:space="preserve"> 031 001 Commerce de véhicules, d'accessoires et de carburant</t>
  </si>
  <si>
    <t xml:space="preserve"> 031 002 Commerce de produits agricoles bruts et d'animaux vivants</t>
  </si>
  <si>
    <t xml:space="preserve"> 032 001 Entretien et réparation de véhicules automobiles</t>
  </si>
  <si>
    <t xml:space="preserve"> 032 002 Réparation de biens personnels et domestiques</t>
  </si>
  <si>
    <t xml:space="preserve"> 034 002 Transports routiers ; transports par conduite</t>
  </si>
  <si>
    <t>Etats Supplémentaires-Direction Générale des Impôts</t>
  </si>
  <si>
    <t>GARDE(DGI)</t>
  </si>
  <si>
    <t>SUPPL DGI</t>
  </si>
  <si>
    <t>SUPPL1-Charg</t>
  </si>
  <si>
    <t>SUPPL2-Prod</t>
  </si>
  <si>
    <t>SUPPL3-TVA(1)</t>
  </si>
  <si>
    <t>SUPPL4-TVA(2)</t>
  </si>
  <si>
    <t>SUPPL5</t>
  </si>
  <si>
    <t>SUPPL6</t>
  </si>
  <si>
    <t>SUPPL7</t>
  </si>
  <si>
    <t>SUPPL8</t>
  </si>
  <si>
    <t>SUPPL9</t>
  </si>
  <si>
    <t>SUPPL10</t>
  </si>
  <si>
    <t>SUPPL11</t>
  </si>
  <si>
    <t>SUPPL12</t>
  </si>
  <si>
    <t>SUPPL13</t>
  </si>
  <si>
    <t>SUPPL14</t>
  </si>
  <si>
    <t>SUPPL15</t>
  </si>
  <si>
    <t>SUPPL16</t>
  </si>
  <si>
    <t>SUPPL17</t>
  </si>
  <si>
    <t>SUPPL18</t>
  </si>
  <si>
    <t>SUPPL19</t>
  </si>
  <si>
    <t xml:space="preserve">DETAIL DES AVANTAGES EN NATURE  </t>
  </si>
  <si>
    <t>SUPPL20 BAV</t>
  </si>
  <si>
    <t xml:space="preserve">ANNEX 1 </t>
  </si>
  <si>
    <t>ANNEX 2</t>
  </si>
  <si>
    <t>ETAT DES RETENUES SUPPORTEES AU COURS DE LA PERIODE A LAQUELLE SE RAPPORTE LA DECLARATION</t>
  </si>
  <si>
    <t>RELEVE DES PRELEVEMENTS ACQUITES SUR LES IMPORTATIONS DE BIENS</t>
  </si>
  <si>
    <t>ANNEX 3</t>
  </si>
  <si>
    <t>PAGE GARDE IS</t>
  </si>
  <si>
    <t xml:space="preserve">DETERMINATION DU RESULTAT FISCAL ET DE L'IMPOT SUR LES BENEFICES INDUSTRIELS OU COMMERCIAUX </t>
  </si>
  <si>
    <t>PAGE GARDE IBICA</t>
  </si>
  <si>
    <t>PAGE GARDE IBNC</t>
  </si>
  <si>
    <t xml:space="preserve">DECLARATION DES PRELEVEMENTS ET RETENUES A LA SOURCE SUPPORTES A TITRE D'ACOMPTE </t>
  </si>
  <si>
    <t>PREL ET RETENU</t>
  </si>
  <si>
    <t>SOMMAIRE</t>
  </si>
  <si>
    <t>INFORMATIONS</t>
  </si>
  <si>
    <t>GUIDE D'UTILISATION</t>
  </si>
  <si>
    <t>LIASSE SYSCOHADA</t>
  </si>
  <si>
    <t>PAGE DE GARDE LIASSE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</si>
</sst>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 #,##0.00\ &quot;€&quot;_-;\-* #,##0.00\ &quot;€&quot;_-;_-* &quot;-&quot;??\ &quot;€&quot;_-;_-@_-"/>
    <numFmt numFmtId="43" formatCode="_-* #,##0.00\ _€_-;\-* #,##0.00\ _€_-;_-* &quot;-&quot;??\ _€_-;_-@_-"/>
    <numFmt numFmtId="164" formatCode="_-* #,##0\ _€_-;\-* #,##0\ _€_-;_-* &quot;-&quot;??\ _€_-;_-@_-"/>
    <numFmt numFmtId="165" formatCode="[$-40C]d\ mmmm\ yyyy;@"/>
    <numFmt numFmtId="166" formatCode="00000"/>
    <numFmt numFmtId="167" formatCode="#&quot; &quot;00&quot; &quot;00&quot; &quot;00"/>
    <numFmt numFmtId="168" formatCode="\ #,###&quot;&quot;;\(#,##0\)"/>
    <numFmt numFmtId="169" formatCode="#,##0_ ;\-#,##0\ "/>
    <numFmt numFmtId="170" formatCode="_-* #,##0.00\ _F_-;\-* #,##0.00\ _F_-;_-* &quot;-&quot;??\ _F_-;_-@_-"/>
    <numFmt numFmtId="171" formatCode="0.0%"/>
  </numFmts>
  <fonts count="144"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1"/>
      <color theme="1"/>
      <name val="Arial"/>
      <family val="2"/>
    </font>
    <font>
      <b/>
      <u/>
      <sz val="12"/>
      <color theme="1"/>
      <name val="Arial"/>
      <family val="2"/>
    </font>
    <font>
      <b/>
      <sz val="11"/>
      <color theme="1"/>
      <name val="Arial"/>
      <family val="2"/>
    </font>
    <font>
      <b/>
      <u/>
      <sz val="11"/>
      <color theme="1"/>
      <name val="Arial"/>
      <family val="2"/>
    </font>
    <font>
      <sz val="8"/>
      <color theme="1"/>
      <name val="Arial"/>
      <family val="2"/>
    </font>
    <font>
      <b/>
      <sz val="8"/>
      <color theme="1"/>
      <name val="Arial"/>
      <family val="2"/>
    </font>
    <font>
      <sz val="10"/>
      <name val="Arial"/>
      <family val="2"/>
    </font>
    <font>
      <b/>
      <sz val="10"/>
      <name val="Arial"/>
      <family val="2"/>
    </font>
    <font>
      <u/>
      <sz val="11"/>
      <color theme="10"/>
      <name val="Calibri"/>
      <family val="2"/>
      <scheme val="minor"/>
    </font>
    <font>
      <b/>
      <sz val="14"/>
      <color theme="1"/>
      <name val="Arial"/>
      <family val="2"/>
    </font>
    <font>
      <b/>
      <sz val="12"/>
      <color theme="1"/>
      <name val="Arial"/>
      <family val="2"/>
    </font>
    <font>
      <b/>
      <sz val="12"/>
      <color theme="1"/>
      <name val="Calibri"/>
      <family val="2"/>
      <scheme val="minor"/>
    </font>
    <font>
      <sz val="8"/>
      <color theme="1"/>
      <name val="Calibri"/>
      <family val="2"/>
      <scheme val="minor"/>
    </font>
    <font>
      <sz val="10"/>
      <color theme="1"/>
      <name val="Arial"/>
      <family val="2"/>
    </font>
    <font>
      <b/>
      <sz val="9"/>
      <color theme="1"/>
      <name val="Arial"/>
      <family val="2"/>
    </font>
    <font>
      <b/>
      <sz val="10"/>
      <color theme="1"/>
      <name val="Calibri"/>
      <family val="2"/>
      <scheme val="minor"/>
    </font>
    <font>
      <b/>
      <sz val="10"/>
      <color theme="1"/>
      <name val="Arial"/>
      <family val="2"/>
    </font>
    <font>
      <sz val="10"/>
      <color theme="1"/>
      <name val="Calibri"/>
      <family val="2"/>
      <scheme val="minor"/>
    </font>
    <font>
      <sz val="10"/>
      <name val="Arial"/>
      <family val="2"/>
    </font>
    <font>
      <b/>
      <sz val="9"/>
      <name val="Arial"/>
      <family val="2"/>
    </font>
    <font>
      <b/>
      <sz val="12"/>
      <name val="Arial"/>
      <family val="2"/>
    </font>
    <font>
      <sz val="11"/>
      <color indexed="8"/>
      <name val="Calibri"/>
      <family val="2"/>
    </font>
    <font>
      <sz val="9"/>
      <color theme="1"/>
      <name val="Arial"/>
      <family val="2"/>
    </font>
    <font>
      <sz val="12"/>
      <color theme="1"/>
      <name val="Arial"/>
      <family val="2"/>
    </font>
    <font>
      <sz val="12"/>
      <color theme="1"/>
      <name val="Calibri"/>
      <family val="2"/>
      <scheme val="minor"/>
    </font>
    <font>
      <b/>
      <u/>
      <sz val="12"/>
      <color theme="1"/>
      <name val="Calibri"/>
      <family val="2"/>
      <scheme val="minor"/>
    </font>
    <font>
      <b/>
      <sz val="13"/>
      <color theme="1"/>
      <name val="Calibri"/>
      <family val="2"/>
      <scheme val="minor"/>
    </font>
    <font>
      <b/>
      <u/>
      <sz val="14"/>
      <color theme="1"/>
      <name val="Calibri"/>
      <family val="2"/>
      <scheme val="minor"/>
    </font>
    <font>
      <b/>
      <vertAlign val="superscript"/>
      <sz val="12"/>
      <color theme="1"/>
      <name val="Calibri"/>
      <family val="2"/>
      <scheme val="minor"/>
    </font>
    <font>
      <i/>
      <sz val="11"/>
      <color theme="1"/>
      <name val="Calibri"/>
      <family val="2"/>
      <scheme val="minor"/>
    </font>
    <font>
      <i/>
      <vertAlign val="superscript"/>
      <sz val="11"/>
      <color theme="1"/>
      <name val="Calibri"/>
      <family val="2"/>
      <scheme val="minor"/>
    </font>
    <font>
      <b/>
      <vertAlign val="superscript"/>
      <sz val="11"/>
      <color theme="1"/>
      <name val="Calibri"/>
      <family val="2"/>
      <scheme val="minor"/>
    </font>
    <font>
      <b/>
      <vertAlign val="superscript"/>
      <sz val="14"/>
      <color theme="1"/>
      <name val="Calibri"/>
      <family val="2"/>
      <scheme val="minor"/>
    </font>
    <font>
      <b/>
      <sz val="16"/>
      <color theme="1"/>
      <name val="Arial"/>
      <family val="2"/>
    </font>
    <font>
      <sz val="11"/>
      <name val="Arial"/>
      <family val="2"/>
    </font>
    <font>
      <sz val="8"/>
      <name val="Arial"/>
      <family val="2"/>
    </font>
    <font>
      <b/>
      <sz val="10"/>
      <color rgb="FFFF0000"/>
      <name val="Arial"/>
      <family val="2"/>
    </font>
    <font>
      <sz val="11"/>
      <color theme="10"/>
      <name val="Calibri"/>
      <family val="2"/>
      <scheme val="minor"/>
    </font>
    <font>
      <b/>
      <u/>
      <sz val="11"/>
      <color theme="1"/>
      <name val="Calibri"/>
      <family val="2"/>
      <scheme val="minor"/>
    </font>
    <font>
      <b/>
      <u/>
      <sz val="11"/>
      <name val="Calibri"/>
      <family val="2"/>
      <scheme val="minor"/>
    </font>
    <font>
      <sz val="12"/>
      <name val="Times New Roman"/>
      <family val="1"/>
    </font>
    <font>
      <b/>
      <sz val="12"/>
      <name val="Times New Roman"/>
      <family val="1"/>
    </font>
    <font>
      <b/>
      <sz val="10"/>
      <name val="Times New Roman"/>
      <family val="1"/>
    </font>
    <font>
      <sz val="9"/>
      <name val="Arial"/>
      <family val="2"/>
    </font>
    <font>
      <b/>
      <sz val="11"/>
      <name val="Arial"/>
      <family val="2"/>
    </font>
    <font>
      <b/>
      <i/>
      <sz val="10"/>
      <name val="Arial"/>
      <family val="2"/>
    </font>
    <font>
      <b/>
      <u/>
      <sz val="10"/>
      <name val="Arial"/>
      <family val="2"/>
    </font>
    <font>
      <sz val="10"/>
      <name val="Times New Roman"/>
      <family val="1"/>
    </font>
    <font>
      <sz val="8"/>
      <name val="Times New Roman"/>
      <family val="1"/>
    </font>
    <font>
      <sz val="9"/>
      <name val="Times New Roman"/>
      <family val="1"/>
    </font>
    <font>
      <u/>
      <sz val="10"/>
      <color theme="10"/>
      <name val="Arial"/>
      <family val="2"/>
    </font>
    <font>
      <b/>
      <sz val="8"/>
      <color indexed="81"/>
      <name val="Tahoma"/>
      <family val="2"/>
    </font>
    <font>
      <sz val="8"/>
      <color indexed="81"/>
      <name val="Tahoma"/>
      <family val="2"/>
    </font>
    <font>
      <b/>
      <sz val="8"/>
      <color theme="1"/>
      <name val="Calibri"/>
      <family val="2"/>
      <scheme val="minor"/>
    </font>
    <font>
      <b/>
      <sz val="11"/>
      <name val="Times New Roman"/>
      <family val="1"/>
    </font>
    <font>
      <b/>
      <sz val="8"/>
      <name val="Times New Roman"/>
      <family val="1"/>
    </font>
    <font>
      <u/>
      <sz val="11"/>
      <color theme="1"/>
      <name val="Calibri"/>
      <family val="2"/>
      <scheme val="minor"/>
    </font>
    <font>
      <b/>
      <u/>
      <sz val="10"/>
      <color theme="1"/>
      <name val="Calibri"/>
      <family val="2"/>
      <scheme val="minor"/>
    </font>
    <font>
      <b/>
      <sz val="8"/>
      <color theme="0"/>
      <name val="Arial"/>
      <family val="2"/>
    </font>
    <font>
      <b/>
      <sz val="9"/>
      <color theme="0"/>
      <name val="Arial"/>
      <family val="2"/>
    </font>
    <font>
      <b/>
      <sz val="8"/>
      <name val="Arial"/>
      <family val="2"/>
    </font>
    <font>
      <b/>
      <sz val="14"/>
      <color theme="1"/>
      <name val="Times New Roman"/>
      <family val="1"/>
    </font>
    <font>
      <sz val="12"/>
      <color theme="1"/>
      <name val="Times New Roman"/>
      <family val="1"/>
    </font>
    <font>
      <sz val="11"/>
      <color theme="1"/>
      <name val="Times New Roman"/>
      <family val="1"/>
    </font>
    <font>
      <sz val="11"/>
      <color theme="9" tint="-0.249977111117893"/>
      <name val="Times New Roman"/>
      <family val="1"/>
    </font>
    <font>
      <i/>
      <sz val="10"/>
      <name val="Times New Roman"/>
      <family val="1"/>
    </font>
    <font>
      <b/>
      <sz val="14"/>
      <name val="Arial"/>
      <family val="2"/>
    </font>
    <font>
      <b/>
      <i/>
      <sz val="12"/>
      <color rgb="FF000000"/>
      <name val="Arial"/>
      <family val="2"/>
    </font>
    <font>
      <b/>
      <sz val="12"/>
      <color rgb="FF000000"/>
      <name val="Arial"/>
      <family val="2"/>
    </font>
    <font>
      <sz val="12"/>
      <color rgb="FF000000"/>
      <name val="Arial"/>
      <family val="2"/>
    </font>
    <font>
      <sz val="7"/>
      <color rgb="FF000000"/>
      <name val="Times New Roman"/>
      <family val="1"/>
    </font>
    <font>
      <b/>
      <sz val="11.5"/>
      <color rgb="FF000000"/>
      <name val="Arial"/>
      <family val="2"/>
    </font>
    <font>
      <sz val="11.5"/>
      <color rgb="FF000000"/>
      <name val="Arial"/>
      <family val="2"/>
    </font>
    <font>
      <b/>
      <i/>
      <sz val="11.5"/>
      <color rgb="FF000000"/>
      <name val="Arial"/>
      <family val="2"/>
    </font>
    <font>
      <b/>
      <u/>
      <sz val="12"/>
      <color rgb="FF000000"/>
      <name val="Arial"/>
      <family val="2"/>
    </font>
    <font>
      <b/>
      <u/>
      <sz val="14"/>
      <name val="Arial"/>
      <family val="2"/>
    </font>
    <font>
      <sz val="10"/>
      <name val="Arial"/>
      <family val="2"/>
    </font>
    <font>
      <sz val="8"/>
      <name val="Tahoma"/>
      <family val="2"/>
    </font>
    <font>
      <b/>
      <i/>
      <sz val="16"/>
      <color rgb="FFFFFF00"/>
      <name val="Arial"/>
      <family val="2"/>
    </font>
    <font>
      <b/>
      <i/>
      <sz val="16"/>
      <color indexed="9"/>
      <name val="Arial"/>
      <family val="2"/>
    </font>
    <font>
      <b/>
      <i/>
      <sz val="16"/>
      <name val="Arial"/>
      <family val="2"/>
    </font>
    <font>
      <sz val="10"/>
      <color indexed="8"/>
      <name val="Arial"/>
      <family val="2"/>
    </font>
    <font>
      <b/>
      <u/>
      <sz val="9"/>
      <name val="Arial"/>
      <family val="2"/>
    </font>
    <font>
      <b/>
      <u/>
      <sz val="9"/>
      <color rgb="FFFF0000"/>
      <name val="Arial"/>
      <family val="2"/>
    </font>
    <font>
      <b/>
      <sz val="11"/>
      <color rgb="FFFF0000"/>
      <name val="Arial"/>
      <family val="2"/>
    </font>
    <font>
      <b/>
      <sz val="9"/>
      <color rgb="FFFF0000"/>
      <name val="Arial"/>
      <family val="2"/>
    </font>
    <font>
      <b/>
      <sz val="9"/>
      <color rgb="FFFFC000"/>
      <name val="Arial"/>
      <family val="2"/>
    </font>
    <font>
      <b/>
      <sz val="9"/>
      <color theme="3" tint="0.39997558519241921"/>
      <name val="Arial"/>
      <family val="2"/>
    </font>
    <font>
      <sz val="9"/>
      <color rgb="FFFF0000"/>
      <name val="Arial"/>
      <family val="2"/>
    </font>
    <font>
      <b/>
      <sz val="16"/>
      <name val="Arial"/>
      <family val="2"/>
    </font>
    <font>
      <sz val="14"/>
      <color theme="1"/>
      <name val="Calibri"/>
      <family val="2"/>
      <scheme val="minor"/>
    </font>
    <font>
      <b/>
      <sz val="9"/>
      <color theme="1"/>
      <name val="Calibri"/>
      <family val="2"/>
      <scheme val="minor"/>
    </font>
    <font>
      <sz val="9"/>
      <color rgb="FF000000"/>
      <name val="Arial"/>
      <family val="2"/>
    </font>
    <font>
      <b/>
      <sz val="9"/>
      <color rgb="FF000000"/>
      <name val="Arial"/>
      <family val="2"/>
    </font>
    <font>
      <b/>
      <sz val="11"/>
      <color rgb="FF006600"/>
      <name val="Arial"/>
      <family val="2"/>
    </font>
    <font>
      <b/>
      <i/>
      <sz val="9"/>
      <name val="Calibri"/>
      <family val="2"/>
      <scheme val="minor"/>
    </font>
    <font>
      <b/>
      <i/>
      <sz val="8"/>
      <name val="Arial"/>
      <family val="2"/>
    </font>
    <font>
      <b/>
      <i/>
      <sz val="8"/>
      <color theme="1"/>
      <name val="Arial"/>
      <family val="2"/>
    </font>
    <font>
      <sz val="11"/>
      <name val="Calibri"/>
      <family val="2"/>
      <scheme val="minor"/>
    </font>
    <font>
      <sz val="8"/>
      <color rgb="FF000000"/>
      <name val="Arial"/>
      <family val="2"/>
    </font>
    <font>
      <b/>
      <i/>
      <sz val="11"/>
      <color theme="1"/>
      <name val="Calibri"/>
      <family val="2"/>
      <scheme val="minor"/>
    </font>
    <font>
      <b/>
      <i/>
      <sz val="10"/>
      <color theme="1"/>
      <name val="Arial"/>
      <family val="2"/>
    </font>
    <font>
      <sz val="9"/>
      <color theme="1"/>
      <name val="Calibri"/>
      <family val="2"/>
      <scheme val="minor"/>
    </font>
    <font>
      <b/>
      <i/>
      <sz val="9"/>
      <name val="Arial"/>
      <family val="2"/>
    </font>
    <font>
      <i/>
      <sz val="8"/>
      <name val="Times New Roman"/>
      <family val="1"/>
    </font>
    <font>
      <b/>
      <u/>
      <sz val="8"/>
      <name val="Arial"/>
      <family val="2"/>
    </font>
    <font>
      <i/>
      <sz val="8"/>
      <color theme="1"/>
      <name val="Times New Roman"/>
      <family val="1"/>
    </font>
    <font>
      <i/>
      <sz val="9"/>
      <name val="Times New Roman"/>
      <family val="1"/>
    </font>
    <font>
      <sz val="8"/>
      <color indexed="8"/>
      <name val="Arial"/>
      <family val="2"/>
    </font>
    <font>
      <sz val="8"/>
      <color rgb="FFFF0000"/>
      <name val="Arial"/>
      <family val="2"/>
    </font>
    <font>
      <b/>
      <sz val="8"/>
      <color rgb="FFFF0000"/>
      <name val="Arial"/>
      <family val="2"/>
    </font>
    <font>
      <b/>
      <sz val="14"/>
      <color rgb="FF006600"/>
      <name val="Arial"/>
      <family val="2"/>
    </font>
    <font>
      <b/>
      <sz val="7"/>
      <name val="Arial"/>
      <family val="2"/>
    </font>
    <font>
      <b/>
      <sz val="12"/>
      <color rgb="FF006600"/>
      <name val="Arial"/>
      <family val="2"/>
    </font>
    <font>
      <vertAlign val="superscript"/>
      <sz val="9"/>
      <color theme="1"/>
      <name val="Arial"/>
      <family val="2"/>
    </font>
    <font>
      <sz val="10"/>
      <color theme="1"/>
      <name val="Times New Roman"/>
      <family val="1"/>
    </font>
    <font>
      <vertAlign val="superscript"/>
      <sz val="10"/>
      <color theme="1"/>
      <name val="Times New Roman"/>
      <family val="1"/>
    </font>
    <font>
      <b/>
      <sz val="14"/>
      <name val="Calibri"/>
      <family val="2"/>
      <scheme val="minor"/>
    </font>
    <font>
      <b/>
      <sz val="14"/>
      <name val="Times New Roman"/>
      <family val="1"/>
    </font>
    <font>
      <b/>
      <i/>
      <sz val="10"/>
      <name val="Times New Roman"/>
      <family val="1"/>
    </font>
    <font>
      <sz val="11"/>
      <name val="Times New Roman"/>
      <family val="1"/>
    </font>
    <font>
      <sz val="10"/>
      <name val="Symbol"/>
      <family val="1"/>
      <charset val="2"/>
    </font>
    <font>
      <b/>
      <sz val="13"/>
      <name val="Times New Roman"/>
      <family val="1"/>
    </font>
    <font>
      <i/>
      <sz val="11"/>
      <name val="Times New Roman"/>
      <family val="1"/>
    </font>
    <font>
      <i/>
      <sz val="11"/>
      <name val="Symbol"/>
      <family val="1"/>
      <charset val="2"/>
    </font>
    <font>
      <b/>
      <i/>
      <sz val="11"/>
      <name val="Times New Roman"/>
      <family val="1"/>
    </font>
    <font>
      <b/>
      <sz val="12"/>
      <name val="Calibri"/>
      <family val="2"/>
    </font>
    <font>
      <sz val="10"/>
      <name val="Calibri"/>
      <family val="2"/>
    </font>
    <font>
      <b/>
      <u/>
      <sz val="12"/>
      <name val="Times New Roman"/>
      <family val="1"/>
    </font>
    <font>
      <b/>
      <sz val="12"/>
      <color theme="1"/>
      <name val="Times New Roman"/>
      <family val="1"/>
    </font>
    <font>
      <i/>
      <sz val="11"/>
      <color theme="1"/>
      <name val="Times New Roman"/>
      <family val="1"/>
    </font>
    <font>
      <b/>
      <sz val="11"/>
      <color theme="1"/>
      <name val="Times New Roman"/>
      <family val="1"/>
    </font>
    <font>
      <b/>
      <sz val="11"/>
      <color theme="1"/>
      <name val="Bodoni MT Black"/>
      <family val="1"/>
    </font>
    <font>
      <b/>
      <sz val="15"/>
      <color theme="1"/>
      <name val="Bodoni MT Black"/>
      <family val="1"/>
    </font>
    <font>
      <b/>
      <u val="double"/>
      <sz val="14"/>
      <color theme="1"/>
      <name val="Bodoni MT Black"/>
      <family val="1"/>
    </font>
    <font>
      <b/>
      <u val="double"/>
      <sz val="16"/>
      <color theme="1"/>
      <name val="Bodoni MT Black"/>
      <family val="1"/>
    </font>
    <font>
      <b/>
      <u/>
      <sz val="14"/>
      <color theme="1"/>
      <name val="Bodoni MT Black"/>
      <family val="1"/>
    </font>
    <font>
      <b/>
      <u val="double"/>
      <sz val="12"/>
      <color theme="1"/>
      <name val="Calibri"/>
      <family val="2"/>
      <scheme val="minor"/>
    </font>
    <font>
      <b/>
      <sz val="11"/>
      <color rgb="FF008000"/>
      <name val="Calibri"/>
      <family val="2"/>
      <scheme val="minor"/>
    </font>
    <font>
      <b/>
      <sz val="6"/>
      <name val="Arial"/>
      <family val="2"/>
    </font>
  </fonts>
  <fills count="3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CC"/>
        <bgColor indexed="64"/>
      </patternFill>
    </fill>
    <fill>
      <patternFill patternType="solid">
        <fgColor theme="1" tint="0.34998626667073579"/>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249977111117893"/>
        <bgColor indexed="64"/>
      </patternFill>
    </fill>
    <fill>
      <patternFill patternType="solid">
        <fgColor theme="6" tint="0.59996337778862885"/>
        <bgColor auto="1"/>
      </patternFill>
    </fill>
    <fill>
      <patternFill patternType="gray125">
        <fgColor theme="6" tint="0.79995117038483843"/>
        <bgColor theme="6" tint="0.79992065187536243"/>
      </patternFill>
    </fill>
    <fill>
      <patternFill patternType="solid">
        <fgColor theme="4" tint="0.79998168889431442"/>
        <bgColor indexed="64"/>
      </patternFill>
    </fill>
    <fill>
      <patternFill patternType="solid">
        <fgColor rgb="FFFFFFFF"/>
        <bgColor indexed="64"/>
      </patternFill>
    </fill>
    <fill>
      <patternFill patternType="solid">
        <fgColor rgb="FFFFFF00"/>
        <bgColor indexed="64"/>
      </patternFill>
    </fill>
    <fill>
      <patternFill patternType="solid">
        <fgColor rgb="FF000000"/>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43"/>
        <bgColor indexed="64"/>
      </patternFill>
    </fill>
    <fill>
      <patternFill patternType="solid">
        <fgColor indexed="26"/>
        <bgColor indexed="64"/>
      </patternFill>
    </fill>
    <fill>
      <patternFill patternType="solid">
        <fgColor theme="0" tint="-0.14996795556505021"/>
        <bgColor indexed="64"/>
      </patternFill>
    </fill>
    <fill>
      <patternFill patternType="solid">
        <fgColor theme="4" tint="-0.499984740745262"/>
        <bgColor indexed="64"/>
      </patternFill>
    </fill>
    <fill>
      <patternFill patternType="solid">
        <fgColor rgb="FFFF0000"/>
        <bgColor indexed="64"/>
      </patternFill>
    </fill>
    <fill>
      <patternFill patternType="solid">
        <fgColor theme="3" tint="0.59999389629810485"/>
        <bgColor indexed="64"/>
      </patternFill>
    </fill>
    <fill>
      <patternFill patternType="solid">
        <fgColor theme="2"/>
        <bgColor indexed="64"/>
      </patternFill>
    </fill>
    <fill>
      <patternFill patternType="solid">
        <fgColor theme="8" tint="0.59999389629810485"/>
        <bgColor indexed="64"/>
      </patternFill>
    </fill>
    <fill>
      <patternFill patternType="gray0625">
        <bgColor theme="0"/>
      </patternFill>
    </fill>
  </fills>
  <borders count="2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top/>
      <bottom style="hair">
        <color indexed="64"/>
      </bottom>
      <diagonal/>
    </border>
    <border>
      <left style="thick">
        <color indexed="64"/>
      </left>
      <right/>
      <top style="thin">
        <color indexed="64"/>
      </top>
      <bottom style="thin">
        <color indexed="64"/>
      </bottom>
      <diagonal/>
    </border>
    <border>
      <left/>
      <right/>
      <top style="hair">
        <color indexed="64"/>
      </top>
      <bottom style="hair">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bottom/>
      <diagonal/>
    </border>
    <border>
      <left style="thick">
        <color indexed="64"/>
      </left>
      <right/>
      <top style="thin">
        <color indexed="64"/>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top style="medium">
        <color indexed="64"/>
      </top>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style="double">
        <color indexed="64"/>
      </left>
      <right/>
      <top style="double">
        <color indexed="64"/>
      </top>
      <bottom/>
      <diagonal/>
    </border>
    <border>
      <left/>
      <right/>
      <top style="double">
        <color indexed="64"/>
      </top>
      <bottom/>
      <diagonal/>
    </border>
    <border>
      <left/>
      <right/>
      <top/>
      <bottom style="double">
        <color indexed="64"/>
      </bottom>
      <diagonal/>
    </border>
    <border>
      <left/>
      <right/>
      <top style="medium">
        <color indexed="64"/>
      </top>
      <bottom/>
      <diagonal/>
    </border>
    <border>
      <left/>
      <right/>
      <top/>
      <bottom style="medium">
        <color indexed="64"/>
      </bottom>
      <diagonal/>
    </border>
    <border>
      <left/>
      <right style="medium">
        <color auto="1"/>
      </right>
      <top/>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auto="1"/>
      </right>
      <top/>
      <bottom/>
      <diagonal/>
    </border>
    <border>
      <left style="thin">
        <color auto="1"/>
      </left>
      <right style="thin">
        <color auto="1"/>
      </right>
      <top/>
      <bottom style="medium">
        <color auto="1"/>
      </bottom>
      <diagonal/>
    </border>
    <border>
      <left style="thin">
        <color auto="1"/>
      </left>
      <right/>
      <top/>
      <bottom style="medium">
        <color indexed="64"/>
      </bottom>
      <diagonal/>
    </border>
    <border>
      <left/>
      <right style="thin">
        <color auto="1"/>
      </right>
      <top/>
      <bottom style="medium">
        <color indexed="64"/>
      </bottom>
      <diagonal/>
    </border>
    <border>
      <left/>
      <right style="medium">
        <color auto="1"/>
      </right>
      <top/>
      <bottom style="medium">
        <color auto="1"/>
      </bottom>
      <diagonal/>
    </border>
    <border>
      <left/>
      <right/>
      <top style="medium">
        <color indexed="64"/>
      </top>
      <bottom style="thin">
        <color indexed="64"/>
      </bottom>
      <diagonal/>
    </border>
    <border>
      <left style="thin">
        <color auto="1"/>
      </left>
      <right/>
      <top style="medium">
        <color auto="1"/>
      </top>
      <bottom style="thin">
        <color indexed="64"/>
      </bottom>
      <diagonal/>
    </border>
    <border>
      <left/>
      <right style="thin">
        <color auto="1"/>
      </right>
      <top style="medium">
        <color auto="1"/>
      </top>
      <bottom style="thin">
        <color indexed="64"/>
      </bottom>
      <diagonal/>
    </border>
    <border>
      <left style="medium">
        <color auto="1"/>
      </left>
      <right/>
      <top style="thin">
        <color auto="1"/>
      </top>
      <bottom style="thin">
        <color auto="1"/>
      </bottom>
      <diagonal/>
    </border>
    <border>
      <left style="medium">
        <color indexed="64"/>
      </left>
      <right style="thin">
        <color indexed="64"/>
      </right>
      <top style="thin">
        <color indexed="64"/>
      </top>
      <bottom style="thin">
        <color indexed="64"/>
      </bottom>
      <diagonal/>
    </border>
    <border>
      <left style="medium">
        <color auto="1"/>
      </left>
      <right/>
      <top/>
      <bottom/>
      <diagonal/>
    </border>
    <border>
      <left style="medium">
        <color auto="1"/>
      </left>
      <right/>
      <top/>
      <bottom style="medium">
        <color auto="1"/>
      </bottom>
      <diagonal/>
    </border>
    <border>
      <left style="medium">
        <color indexed="64"/>
      </left>
      <right/>
      <top style="medium">
        <color indexed="64"/>
      </top>
      <bottom/>
      <diagonal/>
    </border>
    <border>
      <left/>
      <right style="double">
        <color indexed="64"/>
      </right>
      <top/>
      <bottom/>
      <diagonal/>
    </border>
    <border>
      <left/>
      <right style="double">
        <color indexed="64"/>
      </right>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double">
        <color indexed="64"/>
      </right>
      <top/>
      <bottom style="thin">
        <color indexed="64"/>
      </bottom>
      <diagonal/>
    </border>
    <border>
      <left style="double">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double">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style="thin">
        <color indexed="64"/>
      </top>
      <bottom style="thin">
        <color indexed="64"/>
      </bottom>
      <diagonal/>
    </border>
    <border>
      <left/>
      <right style="thin">
        <color indexed="64"/>
      </right>
      <top style="medium">
        <color indexed="64"/>
      </top>
      <bottom/>
      <diagonal/>
    </border>
    <border>
      <left style="double">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auto="1"/>
      </left>
      <right/>
      <top style="medium">
        <color auto="1"/>
      </top>
      <bottom style="medium">
        <color auto="1"/>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22"/>
      </left>
      <right style="thin">
        <color indexed="22"/>
      </right>
      <top style="thin">
        <color indexed="22"/>
      </top>
      <bottom style="thin">
        <color indexed="22"/>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dashed">
        <color auto="1"/>
      </bottom>
      <diagonal/>
    </border>
    <border>
      <left/>
      <right/>
      <top/>
      <bottom style="dashed">
        <color theme="1" tint="0.499984740745262"/>
      </bottom>
      <diagonal/>
    </border>
    <border>
      <left/>
      <right/>
      <top style="dashed">
        <color indexed="64"/>
      </top>
      <bottom/>
      <diagonal/>
    </border>
    <border>
      <left/>
      <right/>
      <top style="dashed">
        <color theme="1" tint="0.499984740745262"/>
      </top>
      <bottom style="dashed">
        <color theme="1" tint="0.499984740745262"/>
      </bottom>
      <diagonal/>
    </border>
    <border>
      <left/>
      <right/>
      <top style="dashed">
        <color theme="1" tint="0.499984740745262"/>
      </top>
      <bottom style="dashed">
        <color auto="1"/>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top style="thin">
        <color theme="0" tint="-0.34998626667073579"/>
      </top>
      <bottom style="thin">
        <color theme="0" tint="-0.34998626667073579"/>
      </bottom>
      <diagonal/>
    </border>
    <border>
      <left/>
      <right/>
      <top/>
      <bottom style="dashed">
        <color theme="0" tint="-0.34998626667073579"/>
      </bottom>
      <diagonal/>
    </border>
    <border>
      <left/>
      <right/>
      <top style="dashed">
        <color theme="0" tint="-0.34998626667073579"/>
      </top>
      <bottom style="dashed">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top style="thin">
        <color theme="0" tint="-0.34998626667073579"/>
      </top>
      <bottom/>
      <diagonal/>
    </border>
    <border>
      <left/>
      <right style="thin">
        <color theme="0" tint="-0.24994659260841701"/>
      </right>
      <top style="thin">
        <color theme="0" tint="-0.34998626667073579"/>
      </top>
      <bottom/>
      <diagonal/>
    </border>
    <border>
      <left style="thin">
        <color theme="0" tint="-0.24994659260841701"/>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style="dashed">
        <color theme="0" tint="-0.24994659260841701"/>
      </top>
      <bottom style="dashed">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34998626667073579"/>
      </bottom>
      <diagonal/>
    </border>
    <border>
      <left style="thin">
        <color theme="0" tint="-0.24994659260841701"/>
      </left>
      <right style="thin">
        <color theme="0" tint="-0.24994659260841701"/>
      </right>
      <top/>
      <bottom style="thin">
        <color theme="0" tint="-0.34998626667073579"/>
      </bottom>
      <diagonal/>
    </border>
    <border>
      <left style="thin">
        <color theme="0" tint="-0.24994659260841701"/>
      </left>
      <right style="thin">
        <color theme="0" tint="-0.24994659260841701"/>
      </right>
      <top style="dashed">
        <color theme="0" tint="-0.24994659260841701"/>
      </top>
      <bottom style="thin">
        <color theme="0" tint="-0.24994659260841701"/>
      </bottom>
      <diagonal/>
    </border>
    <border>
      <left style="thin">
        <color theme="0" tint="-0.34998626667073579"/>
      </left>
      <right/>
      <top/>
      <bottom style="thin">
        <color theme="0" tint="-0.34998626667073579"/>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bottom style="dashed">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dashed">
        <color theme="0" tint="-0.499984740745262"/>
      </top>
      <bottom/>
      <diagonal/>
    </border>
    <border>
      <left/>
      <right style="thin">
        <color theme="0" tint="-0.34998626667073579"/>
      </right>
      <top/>
      <bottom style="thin">
        <color theme="0" tint="-0.34998626667073579"/>
      </bottom>
      <diagonal/>
    </border>
    <border>
      <left style="thin">
        <color theme="0" tint="-0.24994659260841701"/>
      </left>
      <right style="thin">
        <color theme="0" tint="-0.24994659260841701"/>
      </right>
      <top style="double">
        <color theme="0" tint="-0.24994659260841701"/>
      </top>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dashed">
        <color theme="1" tint="0.499984740745262"/>
      </top>
      <bottom style="dashed">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style="dashed">
        <color theme="0" tint="-0.499984740745262"/>
      </top>
      <bottom style="dashed">
        <color theme="0" tint="-0.499984740745262"/>
      </bottom>
      <diagonal/>
    </border>
    <border>
      <left style="thin">
        <color theme="0" tint="-0.499984740745262"/>
      </left>
      <right style="thin">
        <color theme="0" tint="-0.499984740745262"/>
      </right>
      <top style="dashed">
        <color theme="0" tint="-0.499984740745262"/>
      </top>
      <bottom/>
      <diagonal/>
    </border>
    <border>
      <left style="thin">
        <color theme="0" tint="-0.499984740745262"/>
      </left>
      <right style="thin">
        <color theme="0" tint="-0.499984740745262"/>
      </right>
      <top style="double">
        <color theme="0" tint="-0.499984740745262"/>
      </top>
      <bottom style="double">
        <color theme="0" tint="-0.499984740745262"/>
      </bottom>
      <diagonal/>
    </border>
    <border>
      <left style="thin">
        <color theme="0" tint="-0.499984740745262"/>
      </left>
      <right style="thin">
        <color theme="0" tint="-0.499984740745262"/>
      </right>
      <top/>
      <bottom style="dashed">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double">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hair">
        <color indexed="64"/>
      </bottom>
      <diagonal/>
    </border>
    <border>
      <left/>
      <right style="thin">
        <color theme="0" tint="-0.499984740745262"/>
      </right>
      <top style="thin">
        <color theme="0" tint="-0.499984740745262"/>
      </top>
      <bottom style="hair">
        <color indexed="64"/>
      </bottom>
      <diagonal/>
    </border>
    <border>
      <left style="thin">
        <color theme="0" tint="-0.499984740745262"/>
      </left>
      <right style="thin">
        <color theme="0" tint="-0.499984740745262"/>
      </right>
      <top style="hair">
        <color indexed="64"/>
      </top>
      <bottom/>
      <diagonal/>
    </border>
    <border>
      <left/>
      <right style="thin">
        <color theme="0" tint="-0.499984740745262"/>
      </right>
      <top style="hair">
        <color indexed="64"/>
      </top>
      <bottom/>
      <diagonal/>
    </border>
    <border>
      <left/>
      <right/>
      <top style="dashed">
        <color theme="1" tint="0.499984740745262"/>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diagonal/>
    </border>
    <border>
      <left style="thin">
        <color theme="1" tint="0.499984740745262"/>
      </left>
      <right/>
      <top style="medium">
        <color theme="1" tint="0.499984740745262"/>
      </top>
      <bottom style="thin">
        <color theme="1" tint="0.499984740745262"/>
      </bottom>
      <diagonal/>
    </border>
    <border>
      <left/>
      <right/>
      <top style="medium">
        <color theme="1" tint="0.499984740745262"/>
      </top>
      <bottom style="thin">
        <color theme="1" tint="0.499984740745262"/>
      </bottom>
      <diagonal/>
    </border>
    <border>
      <left/>
      <right style="thin">
        <color theme="1" tint="0.499984740745262"/>
      </right>
      <top style="medium">
        <color theme="1" tint="0.499984740745262"/>
      </top>
      <bottom style="thin">
        <color theme="1" tint="0.499984740745262"/>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tint="0.499984740745262"/>
      </left>
      <right/>
      <top style="medium">
        <color indexed="64"/>
      </top>
      <bottom/>
      <diagonal/>
    </border>
    <border>
      <left/>
      <right style="thin">
        <color theme="1" tint="0.499984740745262"/>
      </right>
      <top style="medium">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top style="dashed">
        <color theme="1" tint="0.499984740745262"/>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double">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top style="medium">
        <color indexed="64"/>
      </top>
      <bottom style="hair">
        <color indexed="64"/>
      </bottom>
      <diagonal/>
    </border>
  </borders>
  <cellStyleXfs count="26">
    <xf numFmtId="0" fontId="0" fillId="0" borderId="0"/>
    <xf numFmtId="43" fontId="1" fillId="0" borderId="0" applyFont="0" applyFill="0" applyBorder="0" applyAlignment="0" applyProtection="0"/>
    <xf numFmtId="0" fontId="10" fillId="0" borderId="0"/>
    <xf numFmtId="0" fontId="12" fillId="0" borderId="0" applyNumberFormat="0" applyFill="0" applyBorder="0" applyAlignment="0" applyProtection="0"/>
    <xf numFmtId="9" fontId="1" fillId="0" borderId="0" applyFont="0" applyFill="0" applyBorder="0" applyAlignment="0" applyProtection="0"/>
    <xf numFmtId="0" fontId="22" fillId="0" borderId="0"/>
    <xf numFmtId="43" fontId="10" fillId="0" borderId="0" applyFont="0" applyFill="0" applyBorder="0" applyAlignment="0" applyProtection="0"/>
    <xf numFmtId="44" fontId="10"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0" fontId="1" fillId="0" borderId="0"/>
    <xf numFmtId="0" fontId="44" fillId="0" borderId="0"/>
    <xf numFmtId="0" fontId="10" fillId="0" borderId="0"/>
    <xf numFmtId="0" fontId="10" fillId="0" borderId="0" applyFont="0" applyFill="0" applyBorder="0" applyAlignment="0" applyProtection="0"/>
    <xf numFmtId="9" fontId="10" fillId="0" borderId="0" applyFont="0" applyFill="0" applyBorder="0" applyAlignment="0" applyProtection="0"/>
    <xf numFmtId="0" fontId="1" fillId="0" borderId="0"/>
    <xf numFmtId="43" fontId="1" fillId="0" borderId="0" applyFont="0" applyFill="0" applyBorder="0" applyAlignment="0" applyProtection="0"/>
    <xf numFmtId="0" fontId="10" fillId="0" borderId="0"/>
    <xf numFmtId="43" fontId="10" fillId="0" borderId="0" applyFont="0" applyFill="0" applyBorder="0" applyAlignment="0" applyProtection="0"/>
    <xf numFmtId="0" fontId="54" fillId="0" borderId="0" applyNumberFormat="0" applyFill="0" applyBorder="0" applyAlignment="0" applyProtection="0">
      <alignment vertical="top"/>
      <protection locked="0"/>
    </xf>
    <xf numFmtId="0" fontId="1" fillId="0" borderId="0"/>
    <xf numFmtId="0" fontId="80" fillId="0" borderId="0"/>
    <xf numFmtId="0" fontId="85" fillId="0" borderId="0"/>
    <xf numFmtId="0" fontId="38" fillId="0" borderId="0"/>
    <xf numFmtId="170" fontId="10" fillId="0" borderId="0" applyFont="0" applyFill="0" applyBorder="0" applyAlignment="0" applyProtection="0"/>
    <xf numFmtId="0" fontId="10" fillId="0" borderId="0"/>
  </cellStyleXfs>
  <cellXfs count="2792">
    <xf numFmtId="0" fontId="0" fillId="0" borderId="0" xfId="0"/>
    <xf numFmtId="0" fontId="4" fillId="0" borderId="1" xfId="0" applyFont="1" applyBorder="1"/>
    <xf numFmtId="0" fontId="4" fillId="0" borderId="0" xfId="0" applyFont="1"/>
    <xf numFmtId="0" fontId="6" fillId="0" borderId="1" xfId="0" applyFont="1" applyBorder="1" applyAlignment="1">
      <alignment horizontal="center" wrapText="1"/>
    </xf>
    <xf numFmtId="0" fontId="6" fillId="2" borderId="1" xfId="0" applyFont="1" applyFill="1" applyBorder="1"/>
    <xf numFmtId="164" fontId="4" fillId="0" borderId="1" xfId="1" applyNumberFormat="1" applyFont="1" applyBorder="1"/>
    <xf numFmtId="164" fontId="6" fillId="2" borderId="1" xfId="1" applyNumberFormat="1" applyFont="1" applyFill="1" applyBorder="1"/>
    <xf numFmtId="164" fontId="8" fillId="0" borderId="1" xfId="1" applyNumberFormat="1" applyFont="1" applyBorder="1"/>
    <xf numFmtId="164" fontId="9" fillId="2" borderId="1" xfId="1" applyNumberFormat="1" applyFont="1" applyFill="1" applyBorder="1"/>
    <xf numFmtId="0" fontId="5" fillId="0" borderId="4" xfId="0" applyFont="1" applyBorder="1"/>
    <xf numFmtId="0" fontId="4" fillId="0" borderId="4" xfId="0" applyFont="1" applyBorder="1"/>
    <xf numFmtId="0" fontId="6" fillId="2" borderId="4" xfId="0" applyFont="1" applyFill="1" applyBorder="1"/>
    <xf numFmtId="0" fontId="7" fillId="0" borderId="4" xfId="0" applyFont="1" applyBorder="1"/>
    <xf numFmtId="0" fontId="6" fillId="0" borderId="4" xfId="0" applyFont="1" applyBorder="1"/>
    <xf numFmtId="0" fontId="5" fillId="0" borderId="6" xfId="0" applyFont="1" applyBorder="1"/>
    <xf numFmtId="0" fontId="4" fillId="0" borderId="6" xfId="0" applyFont="1" applyBorder="1"/>
    <xf numFmtId="0" fontId="6" fillId="2" borderId="6" xfId="0" applyFont="1" applyFill="1" applyBorder="1"/>
    <xf numFmtId="0" fontId="7" fillId="0" borderId="6" xfId="0" applyFont="1" applyBorder="1"/>
    <xf numFmtId="0" fontId="6" fillId="0" borderId="6" xfId="0" applyFont="1" applyBorder="1"/>
    <xf numFmtId="0" fontId="0" fillId="3" borderId="7" xfId="0" applyFill="1" applyBorder="1"/>
    <xf numFmtId="0" fontId="0" fillId="3" borderId="9" xfId="0" applyFill="1" applyBorder="1"/>
    <xf numFmtId="0" fontId="0" fillId="3" borderId="0" xfId="0" applyFill="1" applyBorder="1"/>
    <xf numFmtId="0" fontId="0" fillId="3" borderId="8" xfId="0" applyFill="1" applyBorder="1"/>
    <xf numFmtId="0" fontId="0" fillId="3" borderId="13" xfId="0" applyFill="1" applyBorder="1"/>
    <xf numFmtId="0" fontId="0" fillId="3" borderId="10" xfId="0" applyFill="1" applyBorder="1"/>
    <xf numFmtId="0" fontId="2" fillId="2" borderId="1" xfId="0" applyFont="1" applyFill="1" applyBorder="1" applyAlignment="1">
      <alignment horizontal="center" vertical="center"/>
    </xf>
    <xf numFmtId="0" fontId="14" fillId="6" borderId="11" xfId="0" applyFont="1" applyFill="1" applyBorder="1"/>
    <xf numFmtId="0" fontId="27" fillId="6" borderId="11" xfId="0" applyFont="1" applyFill="1" applyBorder="1" applyAlignment="1">
      <alignment horizontal="center"/>
    </xf>
    <xf numFmtId="14" fontId="14" fillId="6" borderId="14" xfId="0" applyNumberFormat="1" applyFont="1" applyFill="1" applyBorder="1" applyAlignment="1">
      <alignment horizontal="right"/>
    </xf>
    <xf numFmtId="0" fontId="14" fillId="6" borderId="7" xfId="0" applyFont="1" applyFill="1" applyBorder="1"/>
    <xf numFmtId="164" fontId="27" fillId="6" borderId="7" xfId="1" applyNumberFormat="1" applyFont="1" applyFill="1" applyBorder="1"/>
    <xf numFmtId="0" fontId="27" fillId="6" borderId="7" xfId="0" applyFont="1" applyFill="1" applyBorder="1" applyAlignment="1">
      <alignment horizontal="center"/>
    </xf>
    <xf numFmtId="0" fontId="14" fillId="6" borderId="10" xfId="0" applyFont="1" applyFill="1" applyBorder="1"/>
    <xf numFmtId="0" fontId="6" fillId="6" borderId="12" xfId="0" applyFont="1" applyFill="1" applyBorder="1"/>
    <xf numFmtId="0" fontId="6" fillId="6" borderId="11" xfId="0" applyFont="1" applyFill="1" applyBorder="1"/>
    <xf numFmtId="14" fontId="6" fillId="6" borderId="15" xfId="0" applyNumberFormat="1" applyFont="1" applyFill="1" applyBorder="1"/>
    <xf numFmtId="0" fontId="6" fillId="6" borderId="13" xfId="0" applyFont="1" applyFill="1" applyBorder="1"/>
    <xf numFmtId="0" fontId="4" fillId="6" borderId="7" xfId="0" applyFont="1" applyFill="1" applyBorder="1"/>
    <xf numFmtId="0" fontId="6" fillId="6" borderId="7" xfId="0" applyFont="1" applyFill="1" applyBorder="1"/>
    <xf numFmtId="0" fontId="6" fillId="6" borderId="10" xfId="0" applyFont="1" applyFill="1" applyBorder="1"/>
    <xf numFmtId="0" fontId="14" fillId="6" borderId="11" xfId="0" applyFont="1" applyFill="1" applyBorder="1" applyAlignment="1"/>
    <xf numFmtId="0" fontId="14" fillId="6" borderId="7" xfId="0" applyFont="1" applyFill="1" applyBorder="1" applyAlignment="1"/>
    <xf numFmtId="164" fontId="14" fillId="6" borderId="11" xfId="1" applyNumberFormat="1" applyFont="1" applyFill="1" applyBorder="1" applyAlignment="1"/>
    <xf numFmtId="0" fontId="14" fillId="6" borderId="12" xfId="0" applyFont="1" applyFill="1" applyBorder="1"/>
    <xf numFmtId="0" fontId="28" fillId="6" borderId="11" xfId="0" applyFont="1" applyFill="1" applyBorder="1"/>
    <xf numFmtId="0" fontId="14" fillId="6" borderId="13" xfId="0" applyFont="1" applyFill="1" applyBorder="1"/>
    <xf numFmtId="0" fontId="28" fillId="6" borderId="7" xfId="0" applyFont="1" applyFill="1" applyBorder="1"/>
    <xf numFmtId="164" fontId="14" fillId="6" borderId="7" xfId="1" applyNumberFormat="1" applyFont="1" applyFill="1" applyBorder="1" applyAlignment="1"/>
    <xf numFmtId="0" fontId="28" fillId="3" borderId="0" xfId="0" applyFont="1" applyFill="1" applyBorder="1"/>
    <xf numFmtId="0" fontId="2" fillId="4" borderId="1" xfId="0" applyFont="1" applyFill="1" applyBorder="1" applyAlignment="1">
      <alignment horizontal="center"/>
    </xf>
    <xf numFmtId="0" fontId="0" fillId="3" borderId="0" xfId="0" applyFill="1"/>
    <xf numFmtId="0" fontId="0" fillId="3" borderId="9" xfId="0" applyFill="1" applyBorder="1" applyAlignment="1"/>
    <xf numFmtId="0" fontId="0" fillId="3" borderId="0" xfId="0" applyFill="1" applyBorder="1" applyAlignment="1"/>
    <xf numFmtId="0" fontId="0" fillId="3" borderId="8" xfId="0" applyFill="1" applyBorder="1" applyAlignment="1"/>
    <xf numFmtId="0" fontId="0" fillId="3" borderId="0" xfId="0" applyFill="1" applyAlignment="1">
      <alignment horizontal="center"/>
    </xf>
    <xf numFmtId="0" fontId="2" fillId="2" borderId="1" xfId="0" applyFont="1" applyFill="1" applyBorder="1" applyAlignment="1">
      <alignment horizontal="center"/>
    </xf>
    <xf numFmtId="0" fontId="27" fillId="3" borderId="0" xfId="0" applyFont="1" applyFill="1" applyBorder="1" applyAlignment="1">
      <alignment horizontal="center"/>
    </xf>
    <xf numFmtId="164" fontId="27" fillId="3" borderId="0" xfId="1" applyNumberFormat="1" applyFont="1" applyFill="1" applyBorder="1"/>
    <xf numFmtId="0" fontId="2" fillId="3" borderId="12" xfId="0" applyFont="1" applyFill="1" applyBorder="1" applyAlignment="1">
      <alignment horizontal="center" vertical="center"/>
    </xf>
    <xf numFmtId="0" fontId="2" fillId="3" borderId="11"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2" xfId="0" applyFont="1" applyFill="1" applyBorder="1" applyAlignment="1">
      <alignment horizontal="center" wrapText="1"/>
    </xf>
    <xf numFmtId="0" fontId="2" fillId="3" borderId="11" xfId="0" applyFont="1" applyFill="1" applyBorder="1" applyAlignment="1">
      <alignment horizontal="center" wrapText="1"/>
    </xf>
    <xf numFmtId="0" fontId="2" fillId="3" borderId="14" xfId="0" applyFont="1" applyFill="1" applyBorder="1" applyAlignment="1">
      <alignment horizontal="center" wrapText="1"/>
    </xf>
    <xf numFmtId="164" fontId="0" fillId="3" borderId="9" xfId="1" applyNumberFormat="1" applyFont="1" applyFill="1" applyBorder="1" applyAlignment="1">
      <alignment horizontal="center"/>
    </xf>
    <xf numFmtId="164" fontId="0" fillId="3" borderId="8" xfId="1" applyNumberFormat="1" applyFont="1" applyFill="1" applyBorder="1" applyAlignment="1">
      <alignment horizontal="center"/>
    </xf>
    <xf numFmtId="0" fontId="0" fillId="3" borderId="20" xfId="0" applyFill="1" applyBorder="1"/>
    <xf numFmtId="9" fontId="0" fillId="3" borderId="0" xfId="4" applyFont="1" applyFill="1" applyBorder="1" applyAlignment="1"/>
    <xf numFmtId="9" fontId="0" fillId="3" borderId="8" xfId="4" applyFont="1" applyFill="1" applyBorder="1" applyAlignment="1"/>
    <xf numFmtId="0" fontId="0" fillId="0" borderId="0" xfId="0" applyFill="1" applyBorder="1"/>
    <xf numFmtId="0" fontId="2" fillId="4" borderId="3" xfId="0" applyFont="1" applyFill="1" applyBorder="1" applyAlignment="1">
      <alignment horizontal="center"/>
    </xf>
    <xf numFmtId="0" fontId="0" fillId="3" borderId="23" xfId="0" applyFill="1" applyBorder="1" applyAlignment="1">
      <alignment horizontal="center"/>
    </xf>
    <xf numFmtId="164" fontId="2" fillId="3" borderId="0" xfId="1" applyNumberFormat="1" applyFont="1" applyFill="1" applyBorder="1" applyAlignment="1">
      <alignment horizontal="center"/>
    </xf>
    <xf numFmtId="9" fontId="2" fillId="3" borderId="0" xfId="0" applyNumberFormat="1" applyFont="1" applyFill="1" applyBorder="1" applyAlignment="1">
      <alignment horizontal="center"/>
    </xf>
    <xf numFmtId="0" fontId="33" fillId="3" borderId="9" xfId="0" applyFont="1" applyFill="1" applyBorder="1"/>
    <xf numFmtId="0" fontId="14" fillId="3" borderId="0" xfId="0" applyFont="1" applyFill="1" applyBorder="1"/>
    <xf numFmtId="164" fontId="14" fillId="3" borderId="0" xfId="1" applyNumberFormat="1" applyFont="1" applyFill="1" applyBorder="1" applyAlignment="1"/>
    <xf numFmtId="0" fontId="14" fillId="3" borderId="0" xfId="0" applyFont="1" applyFill="1" applyBorder="1" applyAlignment="1"/>
    <xf numFmtId="0" fontId="0" fillId="2" borderId="1" xfId="0" applyFill="1" applyBorder="1" applyAlignment="1">
      <alignment horizontal="center"/>
    </xf>
    <xf numFmtId="0" fontId="4" fillId="3" borderId="4" xfId="0" applyFont="1" applyFill="1" applyBorder="1"/>
    <xf numFmtId="0" fontId="4" fillId="3" borderId="6" xfId="0" applyFont="1" applyFill="1" applyBorder="1"/>
    <xf numFmtId="0" fontId="4" fillId="3" borderId="0" xfId="0" applyFont="1" applyFill="1"/>
    <xf numFmtId="0" fontId="0" fillId="10" borderId="0" xfId="0" applyFill="1"/>
    <xf numFmtId="0" fontId="28" fillId="10" borderId="0" xfId="0" applyFont="1" applyFill="1" applyBorder="1"/>
    <xf numFmtId="0" fontId="0" fillId="9" borderId="0" xfId="0" applyFill="1"/>
    <xf numFmtId="0" fontId="0" fillId="10" borderId="0" xfId="0" applyFill="1" applyBorder="1"/>
    <xf numFmtId="0" fontId="0" fillId="10" borderId="0" xfId="0" applyFill="1" applyAlignment="1">
      <alignment horizontal="center"/>
    </xf>
    <xf numFmtId="0" fontId="0" fillId="10" borderId="0" xfId="0" applyFill="1" applyBorder="1" applyAlignment="1"/>
    <xf numFmtId="0" fontId="0" fillId="12" borderId="0" xfId="0" applyFill="1" applyBorder="1"/>
    <xf numFmtId="0" fontId="0" fillId="10" borderId="1" xfId="0" applyFill="1" applyBorder="1"/>
    <xf numFmtId="0" fontId="0" fillId="10" borderId="9" xfId="0" applyFill="1" applyBorder="1"/>
    <xf numFmtId="0" fontId="0" fillId="10" borderId="8" xfId="0" applyFill="1" applyBorder="1"/>
    <xf numFmtId="0" fontId="0" fillId="10" borderId="13" xfId="0" applyFill="1" applyBorder="1"/>
    <xf numFmtId="0" fontId="0" fillId="10" borderId="7" xfId="0" applyFill="1" applyBorder="1"/>
    <xf numFmtId="0" fontId="0" fillId="10" borderId="10" xfId="0" applyFill="1" applyBorder="1"/>
    <xf numFmtId="0" fontId="2" fillId="2" borderId="1" xfId="0" applyFont="1" applyFill="1" applyBorder="1" applyAlignment="1">
      <alignment horizontal="center" vertical="center" wrapText="1"/>
    </xf>
    <xf numFmtId="0" fontId="0" fillId="2" borderId="9" xfId="0" applyFill="1" applyBorder="1"/>
    <xf numFmtId="0" fontId="0" fillId="2" borderId="0" xfId="0" applyFill="1" applyBorder="1"/>
    <xf numFmtId="0" fontId="0" fillId="2" borderId="8" xfId="0" applyFill="1" applyBorder="1"/>
    <xf numFmtId="0" fontId="0" fillId="15" borderId="0" xfId="0" applyFill="1"/>
    <xf numFmtId="0" fontId="28" fillId="15" borderId="0" xfId="0" applyFont="1" applyFill="1" applyBorder="1"/>
    <xf numFmtId="0" fontId="14" fillId="6" borderId="12" xfId="0" applyFont="1" applyFill="1" applyBorder="1" applyAlignment="1">
      <alignment horizontal="left"/>
    </xf>
    <xf numFmtId="0" fontId="14" fillId="6" borderId="13" xfId="0" applyFont="1" applyFill="1" applyBorder="1" applyAlignment="1">
      <alignment horizontal="left"/>
    </xf>
    <xf numFmtId="0" fontId="28" fillId="10" borderId="0" xfId="0" applyFont="1" applyFill="1" applyBorder="1" applyAlignment="1">
      <alignment horizontal="center"/>
    </xf>
    <xf numFmtId="0" fontId="4" fillId="9" borderId="0" xfId="0" applyFont="1" applyFill="1"/>
    <xf numFmtId="49" fontId="11" fillId="16" borderId="16" xfId="2" applyNumberFormat="1" applyFont="1" applyFill="1" applyBorder="1" applyAlignment="1" applyProtection="1">
      <alignment horizontal="center"/>
      <protection locked="0"/>
    </xf>
    <xf numFmtId="14" fontId="11" fillId="16" borderId="16" xfId="2" applyNumberFormat="1" applyFont="1" applyFill="1" applyBorder="1" applyAlignment="1" applyProtection="1">
      <alignment horizontal="center"/>
      <protection locked="0"/>
    </xf>
    <xf numFmtId="14" fontId="11" fillId="16" borderId="0" xfId="2" applyNumberFormat="1" applyFont="1" applyFill="1" applyBorder="1" applyAlignment="1" applyProtection="1">
      <alignment horizontal="center"/>
      <protection locked="0"/>
    </xf>
    <xf numFmtId="0" fontId="11" fillId="16" borderId="16" xfId="2" applyFont="1" applyFill="1" applyBorder="1" applyAlignment="1" applyProtection="1">
      <alignment horizontal="center"/>
      <protection locked="0"/>
    </xf>
    <xf numFmtId="0" fontId="6" fillId="3" borderId="11" xfId="0" applyFont="1" applyFill="1" applyBorder="1"/>
    <xf numFmtId="164" fontId="6" fillId="3" borderId="11" xfId="1" applyNumberFormat="1" applyFont="1" applyFill="1" applyBorder="1"/>
    <xf numFmtId="164" fontId="9" fillId="3" borderId="11" xfId="1" applyNumberFormat="1" applyFont="1" applyFill="1" applyBorder="1"/>
    <xf numFmtId="0" fontId="0" fillId="3" borderId="56" xfId="0" applyFill="1" applyBorder="1"/>
    <xf numFmtId="0" fontId="0" fillId="3" borderId="37" xfId="0" applyFill="1" applyBorder="1"/>
    <xf numFmtId="0" fontId="0" fillId="3" borderId="43" xfId="0" applyFill="1" applyBorder="1"/>
    <xf numFmtId="0" fontId="0" fillId="3" borderId="54" xfId="0" applyFill="1" applyBorder="1"/>
    <xf numFmtId="0" fontId="0" fillId="3" borderId="39" xfId="0" applyFill="1" applyBorder="1"/>
    <xf numFmtId="0" fontId="0" fillId="3" borderId="55" xfId="0" applyFill="1" applyBorder="1"/>
    <xf numFmtId="0" fontId="0" fillId="3" borderId="38" xfId="0" applyFill="1" applyBorder="1"/>
    <xf numFmtId="0" fontId="0" fillId="3" borderId="48" xfId="0" applyFill="1" applyBorder="1"/>
    <xf numFmtId="0" fontId="0" fillId="3" borderId="0" xfId="0" applyFill="1" applyProtection="1">
      <protection locked="0"/>
    </xf>
    <xf numFmtId="0" fontId="0" fillId="6" borderId="0" xfId="0" applyFill="1" applyProtection="1">
      <protection locked="0"/>
    </xf>
    <xf numFmtId="3" fontId="11" fillId="6" borderId="0" xfId="2" applyNumberFormat="1" applyFont="1" applyFill="1" applyBorder="1" applyAlignment="1" applyProtection="1">
      <alignment horizontal="center"/>
      <protection locked="0"/>
    </xf>
    <xf numFmtId="0" fontId="2" fillId="11" borderId="3" xfId="0" applyFont="1" applyFill="1" applyBorder="1" applyAlignment="1" applyProtection="1">
      <alignment horizontal="center"/>
      <protection locked="0"/>
    </xf>
    <xf numFmtId="0" fontId="35" fillId="6" borderId="0" xfId="0" applyFont="1" applyFill="1" applyAlignment="1" applyProtection="1">
      <alignment horizontal="center"/>
      <protection locked="0"/>
    </xf>
    <xf numFmtId="0" fontId="0" fillId="8" borderId="0" xfId="0" applyFill="1" applyProtection="1">
      <protection locked="0"/>
    </xf>
    <xf numFmtId="0" fontId="10" fillId="3" borderId="0" xfId="2" applyFill="1" applyProtection="1">
      <protection locked="0"/>
    </xf>
    <xf numFmtId="0" fontId="2" fillId="3" borderId="0" xfId="0" applyFont="1" applyFill="1" applyBorder="1" applyAlignment="1">
      <alignment horizontal="center"/>
    </xf>
    <xf numFmtId="0" fontId="2" fillId="3" borderId="8" xfId="0" applyFont="1" applyFill="1" applyBorder="1" applyAlignment="1">
      <alignment horizontal="center"/>
    </xf>
    <xf numFmtId="0" fontId="0" fillId="3" borderId="9" xfId="0" applyFill="1" applyBorder="1" applyAlignment="1">
      <alignment horizontal="center"/>
    </xf>
    <xf numFmtId="0" fontId="0" fillId="3" borderId="0" xfId="0" applyFill="1" applyBorder="1" applyAlignment="1">
      <alignment horizontal="center"/>
    </xf>
    <xf numFmtId="0" fontId="0" fillId="3" borderId="8" xfId="0" applyFill="1" applyBorder="1" applyAlignment="1">
      <alignment horizontal="center"/>
    </xf>
    <xf numFmtId="0" fontId="0" fillId="3" borderId="13" xfId="0" applyFill="1" applyBorder="1" applyAlignment="1">
      <alignment horizontal="center"/>
    </xf>
    <xf numFmtId="0" fontId="0" fillId="3" borderId="7" xfId="0" applyFill="1" applyBorder="1" applyAlignment="1">
      <alignment horizontal="center"/>
    </xf>
    <xf numFmtId="0" fontId="0" fillId="12" borderId="3" xfId="0" applyFill="1" applyBorder="1" applyProtection="1">
      <protection locked="0"/>
    </xf>
    <xf numFmtId="0" fontId="0" fillId="12" borderId="1" xfId="0" applyFill="1" applyBorder="1" applyProtection="1">
      <protection locked="0"/>
    </xf>
    <xf numFmtId="0" fontId="0" fillId="3" borderId="0" xfId="0" applyFill="1" applyBorder="1" applyAlignment="1" applyProtection="1">
      <protection locked="0"/>
    </xf>
    <xf numFmtId="0" fontId="0" fillId="3" borderId="8" xfId="0" applyFill="1" applyBorder="1" applyAlignment="1" applyProtection="1">
      <protection locked="0"/>
    </xf>
    <xf numFmtId="0" fontId="2" fillId="12" borderId="3" xfId="0" applyFont="1" applyFill="1" applyBorder="1" applyProtection="1">
      <protection locked="0"/>
    </xf>
    <xf numFmtId="0" fontId="2" fillId="3" borderId="0" xfId="0" applyFont="1" applyFill="1" applyBorder="1" applyAlignment="1" applyProtection="1">
      <protection locked="0"/>
    </xf>
    <xf numFmtId="164" fontId="0" fillId="3" borderId="9" xfId="1" applyNumberFormat="1" applyFont="1" applyFill="1" applyBorder="1" applyAlignment="1" applyProtection="1">
      <alignment horizontal="center"/>
      <protection locked="0"/>
    </xf>
    <xf numFmtId="164" fontId="0" fillId="3" borderId="8" xfId="1" applyNumberFormat="1" applyFont="1" applyFill="1" applyBorder="1" applyAlignment="1" applyProtection="1">
      <alignment horizontal="center"/>
      <protection locked="0"/>
    </xf>
    <xf numFmtId="0" fontId="0" fillId="3" borderId="1" xfId="0" applyFill="1" applyBorder="1" applyProtection="1">
      <protection locked="0"/>
    </xf>
    <xf numFmtId="164" fontId="38" fillId="16" borderId="1" xfId="1" applyNumberFormat="1" applyFont="1" applyFill="1" applyBorder="1" applyProtection="1">
      <protection locked="0"/>
    </xf>
    <xf numFmtId="164" fontId="39" fillId="16" borderId="1" xfId="1" applyNumberFormat="1" applyFont="1" applyFill="1" applyBorder="1" applyProtection="1">
      <protection locked="0"/>
    </xf>
    <xf numFmtId="164" fontId="4" fillId="16" borderId="1" xfId="1" applyNumberFormat="1" applyFont="1" applyFill="1" applyBorder="1" applyProtection="1">
      <protection locked="0"/>
    </xf>
    <xf numFmtId="164" fontId="8" fillId="16" borderId="1" xfId="1" applyNumberFormat="1" applyFont="1" applyFill="1" applyBorder="1" applyProtection="1">
      <protection locked="0"/>
    </xf>
    <xf numFmtId="0" fontId="43" fillId="3" borderId="12" xfId="3" applyFont="1" applyFill="1" applyBorder="1" applyAlignment="1" applyProtection="1">
      <alignment vertical="top" wrapText="1" readingOrder="1"/>
      <protection locked="0"/>
    </xf>
    <xf numFmtId="0" fontId="41" fillId="3" borderId="11" xfId="3" applyFont="1" applyFill="1" applyBorder="1" applyAlignment="1" applyProtection="1">
      <alignment vertical="top" wrapText="1" readingOrder="1"/>
      <protection locked="0"/>
    </xf>
    <xf numFmtId="0" fontId="4" fillId="9" borderId="0" xfId="0" applyFont="1" applyFill="1" applyProtection="1">
      <protection locked="0"/>
    </xf>
    <xf numFmtId="0" fontId="41" fillId="3" borderId="14" xfId="3" applyFont="1" applyFill="1" applyBorder="1" applyAlignment="1" applyProtection="1">
      <alignment vertical="top" wrapText="1" readingOrder="1"/>
      <protection locked="0"/>
    </xf>
    <xf numFmtId="0" fontId="6" fillId="6" borderId="12" xfId="0" applyFont="1" applyFill="1" applyBorder="1" applyAlignment="1">
      <alignment vertical="top"/>
    </xf>
    <xf numFmtId="0" fontId="6" fillId="6" borderId="11" xfId="0" applyFont="1" applyFill="1" applyBorder="1" applyAlignment="1">
      <alignment vertical="top"/>
    </xf>
    <xf numFmtId="14" fontId="6" fillId="6" borderId="15" xfId="0" applyNumberFormat="1" applyFont="1" applyFill="1" applyBorder="1" applyAlignment="1">
      <alignment vertical="top"/>
    </xf>
    <xf numFmtId="164" fontId="8" fillId="16" borderId="4" xfId="1" applyNumberFormat="1" applyFont="1" applyFill="1" applyBorder="1" applyProtection="1">
      <protection locked="0"/>
    </xf>
    <xf numFmtId="164" fontId="8" fillId="12" borderId="1" xfId="1" applyNumberFormat="1" applyFont="1" applyFill="1" applyBorder="1" applyProtection="1">
      <protection locked="0"/>
    </xf>
    <xf numFmtId="0" fontId="27" fillId="3" borderId="12" xfId="0" applyFont="1" applyFill="1" applyBorder="1" applyProtection="1">
      <protection locked="0"/>
    </xf>
    <xf numFmtId="0" fontId="27" fillId="3" borderId="14" xfId="0" applyFont="1" applyFill="1" applyBorder="1" applyProtection="1">
      <protection locked="0"/>
    </xf>
    <xf numFmtId="0" fontId="27" fillId="3" borderId="9" xfId="0" applyFont="1" applyFill="1" applyBorder="1" applyProtection="1">
      <protection locked="0"/>
    </xf>
    <xf numFmtId="0" fontId="27" fillId="3" borderId="8" xfId="0" applyFont="1" applyFill="1" applyBorder="1" applyProtection="1">
      <protection locked="0"/>
    </xf>
    <xf numFmtId="0" fontId="27" fillId="3" borderId="13" xfId="0" applyFont="1" applyFill="1" applyBorder="1" applyProtection="1">
      <protection locked="0"/>
    </xf>
    <xf numFmtId="0" fontId="27" fillId="3" borderId="10" xfId="0" applyFont="1" applyFill="1" applyBorder="1" applyProtection="1">
      <protection locked="0"/>
    </xf>
    <xf numFmtId="0" fontId="0" fillId="16" borderId="1" xfId="0" applyFill="1" applyBorder="1" applyProtection="1">
      <protection locked="0"/>
    </xf>
    <xf numFmtId="164" fontId="8" fillId="3" borderId="1" xfId="1" applyNumberFormat="1" applyFont="1" applyFill="1" applyBorder="1" applyProtection="1">
      <protection locked="0"/>
    </xf>
    <xf numFmtId="9" fontId="8" fillId="3" borderId="1" xfId="4" applyFont="1" applyFill="1" applyBorder="1" applyProtection="1">
      <protection locked="0"/>
    </xf>
    <xf numFmtId="0" fontId="4" fillId="3" borderId="6" xfId="0" applyFont="1" applyFill="1" applyBorder="1" applyProtection="1">
      <protection locked="0"/>
    </xf>
    <xf numFmtId="0" fontId="4" fillId="3" borderId="4" xfId="0" applyFont="1" applyFill="1" applyBorder="1" applyProtection="1">
      <protection locked="0"/>
    </xf>
    <xf numFmtId="0" fontId="7" fillId="3" borderId="4" xfId="0" applyFont="1" applyFill="1" applyBorder="1" applyProtection="1">
      <protection locked="0"/>
    </xf>
    <xf numFmtId="0" fontId="6" fillId="3" borderId="4" xfId="0" applyFont="1" applyFill="1" applyBorder="1" applyProtection="1">
      <protection locked="0"/>
    </xf>
    <xf numFmtId="0" fontId="6" fillId="16" borderId="1" xfId="0" applyFont="1" applyFill="1" applyBorder="1" applyAlignment="1" applyProtection="1">
      <alignment horizontal="center" vertical="center" wrapText="1"/>
      <protection locked="0"/>
    </xf>
    <xf numFmtId="164" fontId="8" fillId="16" borderId="1" xfId="1" applyNumberFormat="1" applyFont="1" applyFill="1" applyBorder="1" applyAlignment="1" applyProtection="1">
      <alignment vertical="center"/>
      <protection locked="0"/>
    </xf>
    <xf numFmtId="0" fontId="0" fillId="16" borderId="1" xfId="0" applyFill="1" applyBorder="1" applyAlignment="1" applyProtection="1">
      <alignment vertical="center"/>
      <protection locked="0"/>
    </xf>
    <xf numFmtId="0" fontId="6" fillId="3" borderId="4" xfId="0" applyFont="1" applyFill="1" applyBorder="1" applyAlignment="1" applyProtection="1">
      <alignment horizontal="left"/>
      <protection locked="0"/>
    </xf>
    <xf numFmtId="0" fontId="4" fillId="3" borderId="6" xfId="0" applyFont="1" applyFill="1" applyBorder="1" applyAlignment="1" applyProtection="1">
      <alignment horizontal="left"/>
      <protection locked="0"/>
    </xf>
    <xf numFmtId="0" fontId="8" fillId="16" borderId="1" xfId="0" applyFont="1" applyFill="1" applyBorder="1" applyProtection="1">
      <protection locked="0"/>
    </xf>
    <xf numFmtId="164" fontId="8" fillId="16" borderId="1" xfId="1" applyNumberFormat="1" applyFont="1" applyFill="1" applyBorder="1" applyAlignment="1" applyProtection="1">
      <alignment horizontal="left"/>
      <protection locked="0"/>
    </xf>
    <xf numFmtId="0" fontId="4" fillId="16" borderId="1" xfId="0" applyFont="1" applyFill="1" applyBorder="1" applyProtection="1">
      <protection locked="0"/>
    </xf>
    <xf numFmtId="9" fontId="8" fillId="16" borderId="1" xfId="4" applyFont="1" applyFill="1" applyBorder="1" applyProtection="1">
      <protection locked="0"/>
    </xf>
    <xf numFmtId="164" fontId="4" fillId="3" borderId="1" xfId="1" applyNumberFormat="1" applyFont="1" applyFill="1" applyBorder="1" applyProtection="1">
      <protection locked="0"/>
    </xf>
    <xf numFmtId="0" fontId="6" fillId="17" borderId="12" xfId="0" applyFont="1" applyFill="1" applyBorder="1" applyAlignment="1" applyProtection="1">
      <alignment horizontal="left"/>
      <protection locked="0"/>
    </xf>
    <xf numFmtId="0" fontId="6" fillId="17" borderId="11" xfId="0" applyFont="1" applyFill="1" applyBorder="1" applyAlignment="1" applyProtection="1">
      <alignment horizontal="left"/>
      <protection locked="0"/>
    </xf>
    <xf numFmtId="0" fontId="6" fillId="17" borderId="14" xfId="0" applyFont="1" applyFill="1" applyBorder="1" applyAlignment="1" applyProtection="1">
      <alignment horizontal="left"/>
      <protection locked="0"/>
    </xf>
    <xf numFmtId="0" fontId="4" fillId="17" borderId="9" xfId="0" applyFont="1" applyFill="1" applyBorder="1" applyAlignment="1" applyProtection="1">
      <alignment horizontal="left"/>
      <protection locked="0"/>
    </xf>
    <xf numFmtId="0" fontId="6" fillId="17" borderId="0" xfId="0" applyFont="1" applyFill="1" applyBorder="1" applyAlignment="1" applyProtection="1">
      <alignment horizontal="left"/>
      <protection locked="0"/>
    </xf>
    <xf numFmtId="0" fontId="6" fillId="17" borderId="8" xfId="0" applyFont="1" applyFill="1" applyBorder="1" applyAlignment="1" applyProtection="1">
      <alignment horizontal="left"/>
      <protection locked="0"/>
    </xf>
    <xf numFmtId="0" fontId="6" fillId="17" borderId="11" xfId="0" applyFont="1" applyFill="1" applyBorder="1" applyAlignment="1" applyProtection="1">
      <alignment horizontal="center"/>
      <protection locked="0"/>
    </xf>
    <xf numFmtId="0" fontId="6" fillId="17" borderId="14" xfId="0" applyFont="1" applyFill="1" applyBorder="1" applyAlignment="1" applyProtection="1">
      <alignment horizontal="center"/>
      <protection locked="0"/>
    </xf>
    <xf numFmtId="0" fontId="4" fillId="17" borderId="13" xfId="0" applyFont="1" applyFill="1" applyBorder="1" applyAlignment="1" applyProtection="1">
      <alignment horizontal="left"/>
      <protection locked="0"/>
    </xf>
    <xf numFmtId="0" fontId="6" fillId="17" borderId="7" xfId="0" applyFont="1" applyFill="1" applyBorder="1" applyAlignment="1" applyProtection="1">
      <alignment horizontal="left"/>
      <protection locked="0"/>
    </xf>
    <xf numFmtId="0" fontId="6" fillId="17" borderId="10" xfId="0" applyFont="1" applyFill="1" applyBorder="1" applyAlignment="1" applyProtection="1">
      <alignment horizontal="left"/>
      <protection locked="0"/>
    </xf>
    <xf numFmtId="0" fontId="6" fillId="17" borderId="9" xfId="0" applyFont="1" applyFill="1" applyBorder="1" applyAlignment="1" applyProtection="1">
      <alignment horizontal="left"/>
      <protection locked="0"/>
    </xf>
    <xf numFmtId="0" fontId="0" fillId="17" borderId="0" xfId="0" applyFill="1" applyProtection="1">
      <protection locked="0"/>
    </xf>
    <xf numFmtId="14" fontId="4" fillId="3" borderId="6" xfId="0" applyNumberFormat="1" applyFont="1" applyFill="1" applyBorder="1" applyAlignment="1" applyProtection="1">
      <alignment horizontal="left"/>
      <protection locked="0"/>
    </xf>
    <xf numFmtId="0" fontId="6" fillId="3" borderId="12" xfId="0" applyFont="1" applyFill="1" applyBorder="1" applyAlignment="1" applyProtection="1">
      <alignment vertical="center"/>
      <protection locked="0"/>
    </xf>
    <xf numFmtId="0" fontId="6" fillId="3" borderId="14" xfId="0" applyFont="1" applyFill="1" applyBorder="1" applyAlignment="1" applyProtection="1">
      <alignment vertical="center"/>
      <protection locked="0"/>
    </xf>
    <xf numFmtId="0" fontId="6" fillId="3" borderId="9" xfId="0" applyFont="1" applyFill="1" applyBorder="1" applyAlignment="1" applyProtection="1">
      <alignment vertical="center"/>
      <protection locked="0"/>
    </xf>
    <xf numFmtId="0" fontId="6" fillId="3" borderId="8" xfId="0" applyFont="1" applyFill="1" applyBorder="1" applyAlignment="1" applyProtection="1">
      <alignment vertical="center"/>
      <protection locked="0"/>
    </xf>
    <xf numFmtId="0" fontId="6" fillId="3" borderId="13" xfId="0" applyFont="1" applyFill="1" applyBorder="1" applyAlignment="1" applyProtection="1">
      <alignment vertical="center"/>
      <protection locked="0"/>
    </xf>
    <xf numFmtId="0" fontId="6" fillId="3" borderId="10" xfId="0" applyFont="1" applyFill="1" applyBorder="1" applyAlignment="1" applyProtection="1">
      <alignment vertical="center"/>
      <protection locked="0"/>
    </xf>
    <xf numFmtId="3" fontId="6" fillId="3" borderId="8" xfId="0" applyNumberFormat="1" applyFont="1" applyFill="1" applyBorder="1" applyAlignment="1" applyProtection="1">
      <alignment horizontal="left" vertical="center"/>
      <protection locked="0"/>
    </xf>
    <xf numFmtId="0" fontId="6" fillId="3" borderId="9" xfId="0" applyFont="1" applyFill="1" applyBorder="1" applyAlignment="1" applyProtection="1">
      <alignment horizontal="right" vertical="center"/>
      <protection locked="0"/>
    </xf>
    <xf numFmtId="3" fontId="4" fillId="3" borderId="6" xfId="0" applyNumberFormat="1" applyFont="1" applyFill="1" applyBorder="1" applyAlignment="1" applyProtection="1">
      <alignment horizontal="left"/>
      <protection locked="0"/>
    </xf>
    <xf numFmtId="0" fontId="4" fillId="3" borderId="4" xfId="0" applyFont="1" applyFill="1" applyBorder="1" applyAlignment="1" applyProtection="1">
      <alignment horizontal="right"/>
      <protection locked="0"/>
    </xf>
    <xf numFmtId="0" fontId="28" fillId="3" borderId="0" xfId="0" applyFont="1" applyFill="1" applyAlignment="1" applyProtection="1">
      <alignment vertical="top"/>
      <protection locked="0"/>
    </xf>
    <xf numFmtId="0" fontId="0" fillId="3" borderId="13" xfId="0" applyFill="1" applyBorder="1" applyAlignment="1">
      <alignment horizontal="left"/>
    </xf>
    <xf numFmtId="0" fontId="0" fillId="3" borderId="7" xfId="0" applyFill="1" applyBorder="1" applyAlignment="1">
      <alignment horizontal="left"/>
    </xf>
    <xf numFmtId="0" fontId="0" fillId="3" borderId="10" xfId="0" applyFill="1" applyBorder="1" applyAlignment="1">
      <alignment horizontal="left"/>
    </xf>
    <xf numFmtId="0" fontId="6" fillId="3" borderId="6" xfId="0" applyFont="1" applyFill="1" applyBorder="1" applyAlignment="1" applyProtection="1">
      <alignment horizontal="right"/>
      <protection locked="0"/>
    </xf>
    <xf numFmtId="164" fontId="9" fillId="16" borderId="1" xfId="1" applyNumberFormat="1" applyFont="1" applyFill="1" applyBorder="1" applyProtection="1">
      <protection locked="0"/>
    </xf>
    <xf numFmtId="164" fontId="2" fillId="16" borderId="1" xfId="1" applyNumberFormat="1" applyFont="1" applyFill="1" applyBorder="1" applyProtection="1">
      <protection locked="0"/>
    </xf>
    <xf numFmtId="0" fontId="15" fillId="3" borderId="1" xfId="0" applyFont="1" applyFill="1" applyBorder="1" applyAlignment="1" applyProtection="1">
      <alignment horizontal="center"/>
    </xf>
    <xf numFmtId="3" fontId="11" fillId="16" borderId="5" xfId="2" applyNumberFormat="1" applyFont="1" applyFill="1" applyBorder="1" applyAlignment="1" applyProtection="1">
      <protection locked="0"/>
    </xf>
    <xf numFmtId="3" fontId="11" fillId="6" borderId="0" xfId="2" applyNumberFormat="1" applyFont="1" applyFill="1" applyBorder="1" applyAlignment="1" applyProtection="1">
      <alignment horizontal="center"/>
    </xf>
    <xf numFmtId="0" fontId="2" fillId="11" borderId="11" xfId="0" applyFont="1" applyFill="1" applyBorder="1" applyAlignment="1" applyProtection="1">
      <alignment horizontal="center"/>
      <protection locked="0"/>
    </xf>
    <xf numFmtId="0" fontId="2" fillId="11" borderId="5" xfId="0" applyFont="1" applyFill="1" applyBorder="1" applyAlignment="1" applyProtection="1">
      <alignment horizontal="center"/>
      <protection locked="0"/>
    </xf>
    <xf numFmtId="0" fontId="2" fillId="11" borderId="7" xfId="0" applyFont="1" applyFill="1" applyBorder="1" applyAlignment="1" applyProtection="1">
      <alignment horizontal="center"/>
      <protection locked="0"/>
    </xf>
    <xf numFmtId="3" fontId="11" fillId="16" borderId="0" xfId="2" applyNumberFormat="1" applyFont="1" applyFill="1" applyBorder="1" applyAlignment="1" applyProtection="1">
      <protection locked="0"/>
    </xf>
    <xf numFmtId="49" fontId="2" fillId="11" borderId="11" xfId="0" applyNumberFormat="1" applyFont="1" applyFill="1" applyBorder="1" applyAlignment="1" applyProtection="1">
      <alignment horizontal="center"/>
      <protection locked="0"/>
    </xf>
    <xf numFmtId="0" fontId="2" fillId="6" borderId="74" xfId="0" applyFont="1" applyFill="1" applyBorder="1" applyProtection="1"/>
    <xf numFmtId="3" fontId="23" fillId="6" borderId="74" xfId="2" applyNumberFormat="1" applyFont="1" applyFill="1" applyBorder="1" applyAlignment="1" applyProtection="1"/>
    <xf numFmtId="3" fontId="64" fillId="6" borderId="74" xfId="2" applyNumberFormat="1" applyFont="1" applyFill="1" applyBorder="1" applyAlignment="1" applyProtection="1">
      <alignment horizontal="left" vertical="top"/>
    </xf>
    <xf numFmtId="3" fontId="11" fillId="6" borderId="0" xfId="2" applyNumberFormat="1" applyFont="1" applyFill="1" applyBorder="1" applyAlignment="1" applyProtection="1">
      <alignment horizontal="center"/>
    </xf>
    <xf numFmtId="3" fontId="64" fillId="6" borderId="74" xfId="2" applyNumberFormat="1" applyFont="1" applyFill="1" applyBorder="1" applyAlignment="1" applyProtection="1">
      <alignment horizontal="left" vertical="top" wrapText="1"/>
    </xf>
    <xf numFmtId="168" fontId="26" fillId="3" borderId="1" xfId="1" applyNumberFormat="1" applyFont="1" applyFill="1" applyBorder="1" applyAlignment="1" applyProtection="1">
      <alignment horizontal="center" vertical="center"/>
      <protection locked="0"/>
    </xf>
    <xf numFmtId="168" fontId="8" fillId="3" borderId="1" xfId="1" applyNumberFormat="1" applyFont="1" applyFill="1" applyBorder="1" applyProtection="1">
      <protection locked="0"/>
    </xf>
    <xf numFmtId="168" fontId="8" fillId="12" borderId="1" xfId="1" applyNumberFormat="1" applyFont="1" applyFill="1" applyBorder="1" applyProtection="1">
      <protection locked="0"/>
    </xf>
    <xf numFmtId="168" fontId="8" fillId="12" borderId="1" xfId="1" applyNumberFormat="1" applyFont="1" applyFill="1" applyBorder="1" applyAlignment="1" applyProtection="1">
      <alignment vertical="center"/>
      <protection locked="0"/>
    </xf>
    <xf numFmtId="164" fontId="8" fillId="20" borderId="1" xfId="1" applyNumberFormat="1" applyFont="1" applyFill="1" applyBorder="1" applyProtection="1">
      <protection locked="0"/>
    </xf>
    <xf numFmtId="164" fontId="0" fillId="16" borderId="1" xfId="1" applyNumberFormat="1" applyFont="1" applyFill="1" applyBorder="1" applyAlignment="1" applyProtection="1">
      <alignment vertical="center"/>
      <protection locked="0"/>
    </xf>
    <xf numFmtId="164" fontId="8" fillId="16" borderId="77" xfId="1" applyNumberFormat="1" applyFont="1" applyFill="1" applyBorder="1" applyProtection="1">
      <protection locked="0"/>
    </xf>
    <xf numFmtId="0" fontId="0" fillId="16" borderId="78" xfId="0" applyFill="1" applyBorder="1" applyProtection="1">
      <protection locked="0"/>
    </xf>
    <xf numFmtId="164" fontId="8" fillId="16" borderId="80" xfId="1" applyNumberFormat="1" applyFont="1" applyFill="1" applyBorder="1" applyProtection="1">
      <protection locked="0"/>
    </xf>
    <xf numFmtId="164" fontId="8" fillId="16" borderId="81" xfId="1" applyNumberFormat="1" applyFont="1" applyFill="1" applyBorder="1" applyProtection="1">
      <protection locked="0"/>
    </xf>
    <xf numFmtId="0" fontId="0" fillId="16" borderId="81" xfId="0" applyFill="1" applyBorder="1" applyProtection="1">
      <protection locked="0"/>
    </xf>
    <xf numFmtId="164" fontId="8" fillId="16" borderId="83" xfId="1" applyNumberFormat="1" applyFont="1" applyFill="1" applyBorder="1" applyProtection="1">
      <protection locked="0"/>
    </xf>
    <xf numFmtId="0" fontId="0" fillId="16" borderId="84" xfId="0" applyFill="1" applyBorder="1" applyProtection="1">
      <protection locked="0"/>
    </xf>
    <xf numFmtId="3" fontId="11" fillId="6" borderId="0" xfId="2" applyNumberFormat="1" applyFont="1" applyFill="1" applyBorder="1" applyAlignment="1" applyProtection="1">
      <alignment horizontal="left"/>
    </xf>
    <xf numFmtId="49" fontId="11" fillId="6" borderId="0" xfId="2" applyNumberFormat="1" applyFont="1" applyFill="1" applyAlignment="1" applyProtection="1">
      <alignment horizontal="right"/>
    </xf>
    <xf numFmtId="3" fontId="11" fillId="0" borderId="0" xfId="2" applyNumberFormat="1" applyFont="1" applyFill="1" applyBorder="1" applyAlignment="1" applyProtection="1">
      <alignment horizontal="center"/>
    </xf>
    <xf numFmtId="14" fontId="11" fillId="0" borderId="16" xfId="2" applyNumberFormat="1" applyFont="1" applyFill="1" applyBorder="1" applyAlignment="1" applyProtection="1">
      <alignment horizontal="center"/>
      <protection locked="0"/>
    </xf>
    <xf numFmtId="49" fontId="11" fillId="0" borderId="0" xfId="2" applyNumberFormat="1" applyFont="1" applyFill="1" applyAlignment="1" applyProtection="1">
      <alignment horizontal="right"/>
    </xf>
    <xf numFmtId="3" fontId="11" fillId="0" borderId="0" xfId="2" applyNumberFormat="1" applyFont="1" applyFill="1" applyBorder="1" applyAlignment="1" applyProtection="1">
      <alignment horizontal="left"/>
    </xf>
    <xf numFmtId="3" fontId="11" fillId="0" borderId="0" xfId="2" applyNumberFormat="1" applyFont="1" applyFill="1" applyBorder="1" applyAlignment="1" applyProtection="1">
      <alignment horizontal="center"/>
      <protection locked="0"/>
    </xf>
    <xf numFmtId="14" fontId="11" fillId="0" borderId="0" xfId="2" applyNumberFormat="1" applyFont="1" applyFill="1" applyBorder="1" applyAlignment="1" applyProtection="1">
      <alignment horizontal="center"/>
      <protection locked="0"/>
    </xf>
    <xf numFmtId="0" fontId="11" fillId="0" borderId="0" xfId="2" applyFont="1" applyFill="1" applyAlignment="1" applyProtection="1">
      <alignment horizontal="right"/>
      <protection locked="0"/>
    </xf>
    <xf numFmtId="0" fontId="11" fillId="0" borderId="0" xfId="2" applyFont="1" applyFill="1" applyBorder="1" applyAlignment="1" applyProtection="1">
      <alignment horizontal="center"/>
      <protection locked="0"/>
    </xf>
    <xf numFmtId="0" fontId="0" fillId="0" borderId="0" xfId="0" applyFill="1" applyProtection="1">
      <protection locked="0"/>
    </xf>
    <xf numFmtId="0" fontId="35" fillId="0" borderId="0" xfId="0" applyFont="1" applyFill="1" applyBorder="1" applyAlignment="1" applyProtection="1">
      <alignment horizontal="center"/>
      <protection locked="0"/>
    </xf>
    <xf numFmtId="0" fontId="0" fillId="0" borderId="0" xfId="0" applyFill="1" applyBorder="1" applyProtection="1">
      <protection locked="0"/>
    </xf>
    <xf numFmtId="0" fontId="2" fillId="0" borderId="0" xfId="0" applyFont="1" applyFill="1" applyBorder="1" applyAlignment="1" applyProtection="1">
      <alignment horizontal="center"/>
      <protection locked="0"/>
    </xf>
    <xf numFmtId="3" fontId="11" fillId="0" borderId="0" xfId="2" applyNumberFormat="1" applyFont="1" applyFill="1" applyBorder="1" applyAlignment="1" applyProtection="1"/>
    <xf numFmtId="3" fontId="11" fillId="0" borderId="0" xfId="2" applyNumberFormat="1" applyFont="1" applyFill="1" applyBorder="1" applyAlignment="1" applyProtection="1">
      <protection locked="0"/>
    </xf>
    <xf numFmtId="3" fontId="11" fillId="16" borderId="7" xfId="2" applyNumberFormat="1" applyFont="1" applyFill="1" applyBorder="1" applyAlignment="1" applyProtection="1">
      <protection locked="0"/>
    </xf>
    <xf numFmtId="0" fontId="35" fillId="6" borderId="0" xfId="0" applyFont="1" applyFill="1" applyAlignment="1" applyProtection="1">
      <alignment horizontal="left"/>
      <protection locked="0"/>
    </xf>
    <xf numFmtId="3" fontId="11" fillId="0" borderId="0" xfId="2" applyNumberFormat="1" applyFont="1" applyFill="1" applyBorder="1" applyAlignment="1" applyProtection="1">
      <alignment horizontal="right"/>
    </xf>
    <xf numFmtId="0" fontId="2" fillId="11" borderId="7" xfId="0" applyFont="1" applyFill="1" applyBorder="1" applyAlignment="1" applyProtection="1">
      <alignment horizontal="left"/>
      <protection locked="0"/>
    </xf>
    <xf numFmtId="3" fontId="11" fillId="6" borderId="5" xfId="2" applyNumberFormat="1" applyFont="1" applyFill="1" applyBorder="1" applyAlignment="1" applyProtection="1"/>
    <xf numFmtId="3" fontId="11" fillId="6" borderId="5" xfId="2" applyNumberFormat="1" applyFont="1" applyFill="1" applyBorder="1" applyAlignment="1" applyProtection="1">
      <alignment horizontal="right"/>
    </xf>
    <xf numFmtId="0" fontId="2" fillId="6" borderId="54" xfId="0" applyFont="1" applyFill="1" applyBorder="1" applyAlignment="1" applyProtection="1">
      <alignment horizontal="right"/>
    </xf>
    <xf numFmtId="3" fontId="11" fillId="6" borderId="54" xfId="2" applyNumberFormat="1" applyFont="1" applyFill="1" applyBorder="1" applyAlignment="1" applyProtection="1"/>
    <xf numFmtId="49" fontId="2" fillId="11" borderId="5" xfId="0" applyNumberFormat="1" applyFont="1" applyFill="1" applyBorder="1" applyAlignment="1" applyProtection="1">
      <alignment horizontal="center"/>
      <protection locked="0"/>
    </xf>
    <xf numFmtId="0" fontId="2" fillId="6" borderId="4" xfId="0" applyFont="1" applyFill="1" applyBorder="1" applyProtection="1"/>
    <xf numFmtId="3" fontId="11" fillId="6" borderId="4" xfId="2" applyNumberFormat="1" applyFont="1" applyFill="1" applyBorder="1" applyAlignment="1" applyProtection="1"/>
    <xf numFmtId="0" fontId="0" fillId="0" borderId="7" xfId="0" applyFill="1" applyBorder="1" applyProtection="1">
      <protection locked="0"/>
    </xf>
    <xf numFmtId="0" fontId="2" fillId="0" borderId="0" xfId="0" applyFont="1" applyFill="1" applyBorder="1" applyAlignment="1" applyProtection="1">
      <alignment vertical="top"/>
    </xf>
    <xf numFmtId="0" fontId="2" fillId="0" borderId="0" xfId="0" applyFont="1" applyFill="1" applyBorder="1" applyAlignment="1" applyProtection="1">
      <alignment vertical="top"/>
      <protection locked="0"/>
    </xf>
    <xf numFmtId="14" fontId="11" fillId="16" borderId="5" xfId="2" applyNumberFormat="1" applyFont="1" applyFill="1" applyBorder="1" applyAlignment="1" applyProtection="1">
      <alignment horizontal="center"/>
      <protection locked="0"/>
    </xf>
    <xf numFmtId="49" fontId="11" fillId="16" borderId="10" xfId="2" applyNumberFormat="1" applyFont="1" applyFill="1" applyBorder="1" applyAlignment="1" applyProtection="1">
      <alignment horizontal="center"/>
      <protection locked="0"/>
    </xf>
    <xf numFmtId="3" fontId="11" fillId="6" borderId="3" xfId="2" applyNumberFormat="1" applyFont="1" applyFill="1" applyBorder="1" applyAlignment="1" applyProtection="1">
      <alignment horizontal="center"/>
      <protection locked="0"/>
    </xf>
    <xf numFmtId="3" fontId="11" fillId="16" borderId="3" xfId="2" applyNumberFormat="1" applyFont="1" applyFill="1" applyBorder="1" applyAlignment="1" applyProtection="1">
      <alignment horizontal="center"/>
      <protection locked="0"/>
    </xf>
    <xf numFmtId="49" fontId="11" fillId="16" borderId="3" xfId="2" applyNumberFormat="1" applyFont="1" applyFill="1" applyBorder="1" applyAlignment="1" applyProtection="1">
      <protection locked="0"/>
    </xf>
    <xf numFmtId="49" fontId="11" fillId="16" borderId="13" xfId="2" applyNumberFormat="1" applyFont="1" applyFill="1" applyBorder="1" applyAlignment="1" applyProtection="1">
      <alignment horizontal="left"/>
      <protection locked="0"/>
    </xf>
    <xf numFmtId="0" fontId="0" fillId="0" borderId="0" xfId="0" applyFill="1" applyProtection="1"/>
    <xf numFmtId="3" fontId="11" fillId="0" borderId="5" xfId="2" applyNumberFormat="1" applyFont="1" applyFill="1" applyBorder="1" applyAlignment="1" applyProtection="1"/>
    <xf numFmtId="0" fontId="35" fillId="0" borderId="0" xfId="0" applyFont="1" applyFill="1" applyAlignment="1" applyProtection="1">
      <alignment horizontal="left"/>
      <protection locked="0"/>
    </xf>
    <xf numFmtId="3" fontId="11" fillId="16" borderId="0" xfId="2" applyNumberFormat="1" applyFont="1" applyFill="1" applyBorder="1" applyAlignment="1" applyProtection="1">
      <alignment horizontal="left"/>
      <protection locked="0"/>
    </xf>
    <xf numFmtId="14" fontId="14" fillId="6" borderId="14" xfId="0" applyNumberFormat="1" applyFont="1" applyFill="1" applyBorder="1" applyAlignment="1">
      <alignment horizontal="center"/>
    </xf>
    <xf numFmtId="49" fontId="2" fillId="11" borderId="3" xfId="0" applyNumberFormat="1" applyFont="1" applyFill="1" applyBorder="1" applyAlignment="1" applyProtection="1">
      <alignment horizontal="center"/>
      <protection locked="0"/>
    </xf>
    <xf numFmtId="167" fontId="2" fillId="11" borderId="5" xfId="0" applyNumberFormat="1" applyFont="1" applyFill="1" applyBorder="1" applyAlignment="1" applyProtection="1">
      <alignment horizontal="center"/>
      <protection locked="0"/>
    </xf>
    <xf numFmtId="14" fontId="11" fillId="16" borderId="7" xfId="2" applyNumberFormat="1" applyFont="1" applyFill="1" applyBorder="1" applyAlignment="1" applyProtection="1">
      <alignment horizontal="left"/>
      <protection locked="0"/>
    </xf>
    <xf numFmtId="0" fontId="0" fillId="3" borderId="1" xfId="0" applyFill="1" applyBorder="1" applyAlignment="1" applyProtection="1">
      <alignment horizontal="center"/>
      <protection locked="0"/>
    </xf>
    <xf numFmtId="0" fontId="28" fillId="3" borderId="9" xfId="0" applyFont="1" applyFill="1" applyBorder="1" applyAlignment="1" applyProtection="1">
      <alignment horizontal="center"/>
      <protection locked="0"/>
    </xf>
    <xf numFmtId="0" fontId="28" fillId="3" borderId="8" xfId="0" applyFont="1" applyFill="1" applyBorder="1" applyAlignment="1" applyProtection="1">
      <alignment horizontal="center"/>
      <protection locked="0"/>
    </xf>
    <xf numFmtId="164" fontId="8" fillId="3" borderId="6" xfId="1" applyNumberFormat="1" applyFont="1" applyFill="1" applyBorder="1" applyAlignment="1" applyProtection="1">
      <alignment horizontal="center"/>
      <protection locked="0"/>
    </xf>
    <xf numFmtId="49" fontId="15" fillId="6" borderId="7" xfId="0" applyNumberFormat="1" applyFont="1" applyFill="1" applyBorder="1"/>
    <xf numFmtId="3" fontId="15" fillId="6" borderId="11" xfId="0" applyNumberFormat="1" applyFont="1" applyFill="1" applyBorder="1"/>
    <xf numFmtId="0" fontId="15" fillId="6" borderId="7" xfId="0" applyFont="1" applyFill="1" applyBorder="1"/>
    <xf numFmtId="0" fontId="6" fillId="6" borderId="7" xfId="0" applyNumberFormat="1" applyFont="1" applyFill="1" applyBorder="1"/>
    <xf numFmtId="0" fontId="71" fillId="0" borderId="0" xfId="0" applyFont="1" applyAlignment="1">
      <alignment horizontal="justify" vertical="center"/>
    </xf>
    <xf numFmtId="0" fontId="0" fillId="3" borderId="0" xfId="0" applyFill="1" applyAlignment="1" applyProtection="1">
      <alignment wrapText="1"/>
      <protection locked="0"/>
    </xf>
    <xf numFmtId="0" fontId="0" fillId="8" borderId="0" xfId="0" applyFill="1" applyAlignment="1" applyProtection="1">
      <alignment wrapText="1"/>
      <protection locked="0"/>
    </xf>
    <xf numFmtId="0" fontId="71" fillId="0" borderId="0" xfId="0" applyFont="1" applyAlignment="1">
      <alignment horizontal="left" vertical="center" wrapText="1"/>
    </xf>
    <xf numFmtId="3" fontId="40" fillId="18" borderId="5" xfId="2" applyNumberFormat="1" applyFont="1" applyFill="1" applyBorder="1" applyAlignment="1" applyProtection="1">
      <protection locked="0"/>
    </xf>
    <xf numFmtId="3" fontId="11" fillId="6" borderId="2" xfId="2" applyNumberFormat="1" applyFont="1" applyFill="1" applyBorder="1" applyAlignment="1" applyProtection="1"/>
    <xf numFmtId="3" fontId="40" fillId="18" borderId="12" xfId="2" applyNumberFormat="1" applyFont="1" applyFill="1" applyBorder="1" applyAlignment="1" applyProtection="1">
      <protection locked="0"/>
    </xf>
    <xf numFmtId="3" fontId="11" fillId="6" borderId="3" xfId="2" applyNumberFormat="1" applyFont="1" applyFill="1" applyBorder="1" applyAlignment="1" applyProtection="1"/>
    <xf numFmtId="3" fontId="40" fillId="18" borderId="1" xfId="2" applyNumberFormat="1" applyFont="1" applyFill="1" applyBorder="1" applyAlignment="1" applyProtection="1">
      <protection locked="0"/>
    </xf>
    <xf numFmtId="164" fontId="0" fillId="0" borderId="0" xfId="1" applyNumberFormat="1" applyFont="1" applyFill="1" applyProtection="1">
      <protection locked="0"/>
    </xf>
    <xf numFmtId="0" fontId="0" fillId="0" borderId="0" xfId="0" applyProtection="1">
      <protection locked="0"/>
    </xf>
    <xf numFmtId="0" fontId="2" fillId="3" borderId="1" xfId="0" applyFont="1" applyFill="1" applyBorder="1" applyAlignment="1" applyProtection="1">
      <alignment horizontal="center"/>
      <protection locked="0"/>
    </xf>
    <xf numFmtId="0" fontId="0" fillId="10" borderId="0" xfId="0" applyFill="1" applyProtection="1">
      <protection hidden="1"/>
    </xf>
    <xf numFmtId="0" fontId="0" fillId="0" borderId="0" xfId="0" applyProtection="1">
      <protection hidden="1"/>
    </xf>
    <xf numFmtId="3" fontId="15" fillId="3" borderId="9" xfId="0" applyNumberFormat="1" applyFont="1" applyFill="1" applyBorder="1" applyAlignment="1" applyProtection="1">
      <alignment horizontal="center"/>
      <protection hidden="1"/>
    </xf>
    <xf numFmtId="3" fontId="15" fillId="3" borderId="0" xfId="0" applyNumberFormat="1" applyFont="1" applyFill="1" applyBorder="1" applyAlignment="1" applyProtection="1">
      <alignment horizontal="center"/>
      <protection hidden="1"/>
    </xf>
    <xf numFmtId="3" fontId="15" fillId="3" borderId="8" xfId="0" applyNumberFormat="1" applyFont="1" applyFill="1" applyBorder="1" applyAlignment="1" applyProtection="1">
      <alignment horizontal="center"/>
      <protection hidden="1"/>
    </xf>
    <xf numFmtId="0" fontId="2" fillId="3" borderId="9" xfId="0" applyFont="1" applyFill="1" applyBorder="1" applyProtection="1">
      <protection hidden="1"/>
    </xf>
    <xf numFmtId="0" fontId="0" fillId="3" borderId="0" xfId="0" applyFill="1" applyBorder="1" applyProtection="1">
      <protection hidden="1"/>
    </xf>
    <xf numFmtId="0" fontId="0" fillId="3" borderId="8" xfId="0" applyFill="1" applyBorder="1" applyProtection="1">
      <protection hidden="1"/>
    </xf>
    <xf numFmtId="3" fontId="15" fillId="3" borderId="8" xfId="0" applyNumberFormat="1" applyFont="1" applyFill="1" applyBorder="1" applyAlignment="1" applyProtection="1">
      <protection hidden="1"/>
    </xf>
    <xf numFmtId="0" fontId="0" fillId="3" borderId="9" xfId="0" applyFill="1" applyBorder="1" applyProtection="1">
      <protection hidden="1"/>
    </xf>
    <xf numFmtId="0" fontId="2" fillId="3" borderId="9" xfId="0" applyFont="1" applyFill="1" applyBorder="1" applyAlignment="1" applyProtection="1">
      <alignment horizontal="center"/>
      <protection hidden="1"/>
    </xf>
    <xf numFmtId="0" fontId="2" fillId="3" borderId="0" xfId="0" applyFont="1" applyFill="1" applyBorder="1" applyAlignment="1" applyProtection="1">
      <alignment horizontal="center"/>
      <protection hidden="1"/>
    </xf>
    <xf numFmtId="0" fontId="2" fillId="3" borderId="8" xfId="0" applyFont="1" applyFill="1" applyBorder="1" applyAlignment="1" applyProtection="1">
      <alignment horizontal="center"/>
      <protection hidden="1"/>
    </xf>
    <xf numFmtId="165" fontId="3" fillId="4" borderId="10" xfId="0" applyNumberFormat="1" applyFont="1" applyFill="1" applyBorder="1" applyAlignment="1" applyProtection="1">
      <alignment horizontal="left"/>
      <protection hidden="1"/>
    </xf>
    <xf numFmtId="0" fontId="0" fillId="10" borderId="0" xfId="0" applyFill="1" applyBorder="1" applyProtection="1">
      <protection hidden="1"/>
    </xf>
    <xf numFmtId="3" fontId="30" fillId="3" borderId="0" xfId="0" applyNumberFormat="1" applyFont="1" applyFill="1" applyBorder="1" applyAlignment="1" applyProtection="1">
      <alignment vertical="top"/>
      <protection hidden="1"/>
    </xf>
    <xf numFmtId="3" fontId="30" fillId="3" borderId="8" xfId="0" applyNumberFormat="1" applyFont="1" applyFill="1" applyBorder="1" applyAlignment="1" applyProtection="1">
      <alignment vertical="top"/>
      <protection hidden="1"/>
    </xf>
    <xf numFmtId="0" fontId="2" fillId="0" borderId="13" xfId="0" applyFont="1" applyBorder="1" applyProtection="1">
      <protection hidden="1"/>
    </xf>
    <xf numFmtId="3" fontId="3" fillId="4" borderId="7" xfId="0" applyNumberFormat="1" applyFont="1" applyFill="1" applyBorder="1" applyAlignment="1" applyProtection="1">
      <alignment vertical="top"/>
      <protection hidden="1"/>
    </xf>
    <xf numFmtId="0" fontId="3" fillId="4" borderId="7" xfId="0" applyFont="1" applyFill="1" applyBorder="1" applyProtection="1">
      <protection hidden="1"/>
    </xf>
    <xf numFmtId="0" fontId="3" fillId="4" borderId="10" xfId="0" applyFont="1" applyFill="1" applyBorder="1" applyProtection="1">
      <protection hidden="1"/>
    </xf>
    <xf numFmtId="3" fontId="30" fillId="3" borderId="0" xfId="0" applyNumberFormat="1" applyFont="1" applyFill="1" applyBorder="1" applyAlignment="1" applyProtection="1">
      <alignment horizontal="left"/>
      <protection hidden="1"/>
    </xf>
    <xf numFmtId="0" fontId="30" fillId="3" borderId="0" xfId="0" applyFont="1" applyFill="1" applyBorder="1" applyAlignment="1" applyProtection="1">
      <alignment horizontal="left"/>
      <protection hidden="1"/>
    </xf>
    <xf numFmtId="0" fontId="30" fillId="3" borderId="8" xfId="0" applyFont="1" applyFill="1" applyBorder="1" applyAlignment="1" applyProtection="1">
      <alignment horizontal="left"/>
      <protection hidden="1"/>
    </xf>
    <xf numFmtId="49" fontId="3" fillId="4" borderId="7" xfId="0" applyNumberFormat="1" applyFont="1" applyFill="1" applyBorder="1" applyAlignment="1" applyProtection="1">
      <alignment horizontal="right" indent="4"/>
      <protection hidden="1"/>
    </xf>
    <xf numFmtId="0" fontId="3" fillId="4" borderId="7" xfId="0" applyFont="1" applyFill="1" applyBorder="1" applyAlignment="1" applyProtection="1">
      <alignment horizontal="left"/>
      <protection hidden="1"/>
    </xf>
    <xf numFmtId="3" fontId="3" fillId="4" borderId="7" xfId="0" applyNumberFormat="1" applyFont="1" applyFill="1" applyBorder="1" applyAlignment="1" applyProtection="1">
      <alignment horizontal="center"/>
      <protection hidden="1"/>
    </xf>
    <xf numFmtId="3" fontId="3" fillId="4" borderId="7" xfId="0" applyNumberFormat="1" applyFont="1" applyFill="1" applyBorder="1" applyAlignment="1" applyProtection="1">
      <alignment horizontal="left"/>
      <protection hidden="1"/>
    </xf>
    <xf numFmtId="49" fontId="2" fillId="3" borderId="0" xfId="0" applyNumberFormat="1" applyFont="1" applyFill="1" applyBorder="1" applyAlignment="1" applyProtection="1">
      <alignment horizontal="center"/>
      <protection hidden="1"/>
    </xf>
    <xf numFmtId="3" fontId="2" fillId="3" borderId="0" xfId="0" applyNumberFormat="1" applyFont="1" applyFill="1" applyBorder="1" applyAlignment="1" applyProtection="1">
      <alignment horizontal="center"/>
      <protection hidden="1"/>
    </xf>
    <xf numFmtId="49" fontId="2" fillId="3" borderId="8" xfId="0" applyNumberFormat="1" applyFont="1" applyFill="1" applyBorder="1" applyProtection="1">
      <protection hidden="1"/>
    </xf>
    <xf numFmtId="0" fontId="15" fillId="3" borderId="0" xfId="0" applyFont="1" applyFill="1" applyBorder="1" applyAlignment="1" applyProtection="1">
      <alignment horizontal="center"/>
      <protection hidden="1"/>
    </xf>
    <xf numFmtId="0" fontId="28" fillId="3" borderId="0" xfId="0" applyFont="1" applyFill="1" applyBorder="1" applyProtection="1">
      <protection hidden="1"/>
    </xf>
    <xf numFmtId="0" fontId="0" fillId="3" borderId="1" xfId="0" applyFill="1" applyBorder="1" applyAlignment="1" applyProtection="1">
      <protection hidden="1"/>
    </xf>
    <xf numFmtId="0" fontId="2" fillId="3" borderId="1" xfId="0" applyFont="1" applyFill="1" applyBorder="1" applyAlignment="1" applyProtection="1">
      <alignment horizontal="center"/>
      <protection hidden="1"/>
    </xf>
    <xf numFmtId="0" fontId="0" fillId="3" borderId="1" xfId="0" applyFont="1" applyFill="1" applyBorder="1" applyAlignment="1" applyProtection="1">
      <alignment horizontal="center"/>
      <protection hidden="1"/>
    </xf>
    <xf numFmtId="0" fontId="0" fillId="3" borderId="13" xfId="0" applyFill="1" applyBorder="1" applyProtection="1">
      <protection hidden="1"/>
    </xf>
    <xf numFmtId="0" fontId="0" fillId="3" borderId="10" xfId="0" applyFill="1" applyBorder="1" applyProtection="1">
      <protection hidden="1"/>
    </xf>
    <xf numFmtId="0" fontId="0" fillId="3" borderId="3" xfId="0" applyFill="1" applyBorder="1" applyAlignment="1" applyProtection="1">
      <protection hidden="1"/>
    </xf>
    <xf numFmtId="0" fontId="2" fillId="3" borderId="4" xfId="0" applyFont="1" applyFill="1" applyBorder="1" applyProtection="1">
      <protection hidden="1"/>
    </xf>
    <xf numFmtId="0" fontId="2" fillId="3" borderId="10" xfId="0" applyFont="1" applyFill="1" applyBorder="1" applyProtection="1">
      <protection hidden="1"/>
    </xf>
    <xf numFmtId="49" fontId="2" fillId="3" borderId="3" xfId="0" applyNumberFormat="1" applyFont="1" applyFill="1" applyBorder="1" applyProtection="1">
      <protection hidden="1"/>
    </xf>
    <xf numFmtId="0" fontId="2" fillId="3" borderId="6" xfId="0" applyFont="1" applyFill="1" applyBorder="1" applyProtection="1">
      <protection hidden="1"/>
    </xf>
    <xf numFmtId="49" fontId="2" fillId="3" borderId="1" xfId="0" applyNumberFormat="1" applyFont="1" applyFill="1" applyBorder="1" applyProtection="1">
      <protection hidden="1"/>
    </xf>
    <xf numFmtId="0" fontId="13" fillId="10" borderId="0" xfId="0" applyFont="1" applyFill="1" applyBorder="1" applyAlignment="1" applyProtection="1">
      <alignment vertical="center"/>
      <protection hidden="1"/>
    </xf>
    <xf numFmtId="0" fontId="0" fillId="3" borderId="0" xfId="0" applyFill="1" applyProtection="1">
      <protection hidden="1"/>
    </xf>
    <xf numFmtId="0" fontId="0" fillId="3" borderId="4" xfId="0" applyFill="1" applyBorder="1" applyProtection="1">
      <protection hidden="1"/>
    </xf>
    <xf numFmtId="0" fontId="0" fillId="3" borderId="5" xfId="0" applyFill="1" applyBorder="1" applyProtection="1">
      <protection hidden="1"/>
    </xf>
    <xf numFmtId="0" fontId="0" fillId="3" borderId="4" xfId="0" applyFill="1" applyBorder="1" applyAlignment="1" applyProtection="1">
      <protection hidden="1"/>
    </xf>
    <xf numFmtId="0" fontId="0" fillId="3" borderId="5" xfId="0" applyFill="1" applyBorder="1" applyAlignment="1" applyProtection="1">
      <protection hidden="1"/>
    </xf>
    <xf numFmtId="14" fontId="14" fillId="3" borderId="6" xfId="0" applyNumberFormat="1" applyFont="1" applyFill="1" applyBorder="1" applyAlignment="1" applyProtection="1">
      <alignment horizontal="center"/>
      <protection hidden="1"/>
    </xf>
    <xf numFmtId="49" fontId="2" fillId="3" borderId="6" xfId="0" applyNumberFormat="1" applyFont="1" applyFill="1" applyBorder="1" applyAlignment="1" applyProtection="1">
      <alignment horizontal="center"/>
      <protection hidden="1"/>
    </xf>
    <xf numFmtId="0" fontId="2" fillId="4" borderId="1" xfId="0" applyFont="1" applyFill="1" applyBorder="1" applyAlignment="1" applyProtection="1">
      <alignment horizontal="center"/>
      <protection hidden="1"/>
    </xf>
    <xf numFmtId="0" fontId="2" fillId="3" borderId="0" xfId="0" applyFont="1" applyFill="1" applyBorder="1" applyProtection="1">
      <protection hidden="1"/>
    </xf>
    <xf numFmtId="0" fontId="0" fillId="3" borderId="9" xfId="0" applyFill="1" applyBorder="1" applyAlignment="1" applyProtection="1">
      <protection hidden="1"/>
    </xf>
    <xf numFmtId="0" fontId="0" fillId="3" borderId="0" xfId="0" applyFill="1" applyBorder="1" applyAlignment="1" applyProtection="1">
      <protection hidden="1"/>
    </xf>
    <xf numFmtId="0" fontId="0" fillId="3" borderId="8" xfId="0" applyFill="1" applyBorder="1" applyAlignment="1" applyProtection="1">
      <protection hidden="1"/>
    </xf>
    <xf numFmtId="3" fontId="2" fillId="3" borderId="3" xfId="0" applyNumberFormat="1" applyFont="1" applyFill="1" applyBorder="1" applyAlignment="1" applyProtection="1">
      <alignment horizontal="center"/>
      <protection hidden="1"/>
    </xf>
    <xf numFmtId="0" fontId="14" fillId="12" borderId="3" xfId="0" applyFont="1" applyFill="1" applyBorder="1" applyAlignment="1" applyProtection="1">
      <alignment horizontal="center"/>
      <protection hidden="1"/>
    </xf>
    <xf numFmtId="0" fontId="32" fillId="3" borderId="0" xfId="0" applyFont="1" applyFill="1" applyBorder="1" applyAlignment="1" applyProtection="1">
      <alignment horizontal="center"/>
      <protection hidden="1"/>
    </xf>
    <xf numFmtId="49" fontId="14" fillId="3" borderId="3" xfId="0" applyNumberFormat="1" applyFont="1" applyFill="1" applyBorder="1" applyAlignment="1" applyProtection="1">
      <alignment horizontal="center"/>
      <protection hidden="1"/>
    </xf>
    <xf numFmtId="0" fontId="32" fillId="3" borderId="0" xfId="0" applyFont="1" applyFill="1" applyBorder="1" applyAlignment="1" applyProtection="1">
      <protection hidden="1"/>
    </xf>
    <xf numFmtId="3" fontId="14" fillId="12" borderId="3" xfId="0" applyNumberFormat="1" applyFont="1" applyFill="1" applyBorder="1" applyAlignment="1" applyProtection="1">
      <alignment horizontal="center"/>
      <protection hidden="1"/>
    </xf>
    <xf numFmtId="49" fontId="14" fillId="12" borderId="13" xfId="0" applyNumberFormat="1" applyFont="1" applyFill="1" applyBorder="1" applyAlignment="1" applyProtection="1">
      <alignment horizontal="center"/>
      <protection hidden="1"/>
    </xf>
    <xf numFmtId="0" fontId="2" fillId="3" borderId="10" xfId="0" applyFont="1" applyFill="1" applyBorder="1" applyAlignment="1" applyProtection="1">
      <alignment horizontal="center"/>
      <protection hidden="1"/>
    </xf>
    <xf numFmtId="49" fontId="14" fillId="12" borderId="3" xfId="0" applyNumberFormat="1" applyFont="1" applyFill="1" applyBorder="1" applyAlignment="1" applyProtection="1">
      <alignment horizontal="center"/>
      <protection hidden="1"/>
    </xf>
    <xf numFmtId="0" fontId="0" fillId="10" borderId="0" xfId="0" applyFill="1" applyAlignment="1" applyProtection="1">
      <alignment horizontal="center"/>
      <protection hidden="1"/>
    </xf>
    <xf numFmtId="0" fontId="0" fillId="3" borderId="9" xfId="0" applyFill="1" applyBorder="1" applyAlignment="1" applyProtection="1">
      <alignment horizontal="center"/>
      <protection hidden="1"/>
    </xf>
    <xf numFmtId="0" fontId="0" fillId="3" borderId="0" xfId="0" applyFill="1" applyBorder="1" applyAlignment="1" applyProtection="1">
      <alignment horizontal="center"/>
      <protection hidden="1"/>
    </xf>
    <xf numFmtId="0" fontId="32" fillId="3" borderId="8" xfId="0" applyFont="1" applyFill="1" applyBorder="1" applyAlignment="1" applyProtection="1">
      <alignment horizontal="center"/>
      <protection hidden="1"/>
    </xf>
    <xf numFmtId="0" fontId="0" fillId="3" borderId="0" xfId="0" applyFill="1" applyAlignment="1" applyProtection="1">
      <alignment horizontal="center"/>
      <protection hidden="1"/>
    </xf>
    <xf numFmtId="0" fontId="32" fillId="3" borderId="9" xfId="0" applyFont="1" applyFill="1" applyBorder="1" applyAlignment="1" applyProtection="1">
      <alignment vertical="center"/>
      <protection hidden="1"/>
    </xf>
    <xf numFmtId="0" fontId="32" fillId="3" borderId="0" xfId="0" applyFont="1" applyFill="1" applyBorder="1" applyAlignment="1" applyProtection="1">
      <alignment vertical="center"/>
      <protection hidden="1"/>
    </xf>
    <xf numFmtId="0" fontId="32" fillId="3" borderId="11" xfId="0" applyFont="1" applyFill="1" applyBorder="1" applyAlignment="1" applyProtection="1">
      <alignment horizontal="center" vertical="center"/>
      <protection hidden="1"/>
    </xf>
    <xf numFmtId="0" fontId="32" fillId="3" borderId="14" xfId="0" applyFont="1" applyFill="1" applyBorder="1" applyAlignment="1" applyProtection="1">
      <alignment horizontal="center" vertical="center"/>
      <protection hidden="1"/>
    </xf>
    <xf numFmtId="0" fontId="32" fillId="3" borderId="12" xfId="0" applyFont="1" applyFill="1" applyBorder="1" applyAlignment="1" applyProtection="1">
      <alignment vertical="center"/>
      <protection hidden="1"/>
    </xf>
    <xf numFmtId="0" fontId="32" fillId="3" borderId="11" xfId="0" applyFont="1" applyFill="1" applyBorder="1" applyAlignment="1" applyProtection="1">
      <alignment vertical="center"/>
      <protection hidden="1"/>
    </xf>
    <xf numFmtId="0" fontId="32" fillId="3" borderId="14" xfId="0" applyFont="1" applyFill="1" applyBorder="1" applyAlignment="1" applyProtection="1">
      <alignment vertical="center"/>
      <protection hidden="1"/>
    </xf>
    <xf numFmtId="0" fontId="0" fillId="3" borderId="8" xfId="0" applyFill="1" applyBorder="1" applyAlignment="1" applyProtection="1">
      <alignment horizontal="center"/>
      <protection hidden="1"/>
    </xf>
    <xf numFmtId="0" fontId="0" fillId="3" borderId="7" xfId="0" applyFill="1" applyBorder="1" applyProtection="1">
      <protection hidden="1"/>
    </xf>
    <xf numFmtId="0" fontId="4" fillId="3" borderId="0" xfId="0" applyFont="1" applyFill="1" applyProtection="1">
      <protection locked="0"/>
    </xf>
    <xf numFmtId="0" fontId="2" fillId="3" borderId="0" xfId="0" applyFont="1" applyFill="1" applyProtection="1">
      <protection locked="0"/>
    </xf>
    <xf numFmtId="0" fontId="4" fillId="3" borderId="4" xfId="0" applyFont="1" applyFill="1" applyBorder="1" applyAlignment="1" applyProtection="1">
      <alignment wrapText="1"/>
      <protection locked="0"/>
    </xf>
    <xf numFmtId="14" fontId="13" fillId="8" borderId="5" xfId="0" applyNumberFormat="1" applyFont="1" applyFill="1" applyBorder="1" applyAlignment="1" applyProtection="1">
      <alignment horizontal="left" vertical="center"/>
      <protection hidden="1"/>
    </xf>
    <xf numFmtId="0" fontId="37" fillId="8" borderId="5" xfId="0" applyFont="1" applyFill="1" applyBorder="1" applyAlignment="1" applyProtection="1">
      <alignment vertical="center"/>
      <protection hidden="1"/>
    </xf>
    <xf numFmtId="168" fontId="37" fillId="8" borderId="5" xfId="0" applyNumberFormat="1" applyFont="1" applyFill="1" applyBorder="1" applyAlignment="1" applyProtection="1">
      <alignment vertical="center"/>
      <protection hidden="1"/>
    </xf>
    <xf numFmtId="168" fontId="37" fillId="8" borderId="6" xfId="0" applyNumberFormat="1" applyFont="1" applyFill="1" applyBorder="1" applyAlignment="1" applyProtection="1">
      <alignment vertical="center"/>
      <protection hidden="1"/>
    </xf>
    <xf numFmtId="0" fontId="4" fillId="3" borderId="0" xfId="0" applyFont="1" applyFill="1" applyAlignment="1" applyProtection="1">
      <alignment horizontal="center"/>
      <protection hidden="1"/>
    </xf>
    <xf numFmtId="0" fontId="4" fillId="3" borderId="0" xfId="0" applyFont="1" applyFill="1" applyProtection="1">
      <protection hidden="1"/>
    </xf>
    <xf numFmtId="168" fontId="8" fillId="3" borderId="0" xfId="1" applyNumberFormat="1" applyFont="1" applyFill="1" applyProtection="1">
      <protection hidden="1"/>
    </xf>
    <xf numFmtId="168" fontId="8" fillId="3" borderId="0" xfId="1" applyNumberFormat="1" applyFont="1" applyFill="1" applyAlignment="1" applyProtection="1">
      <alignment horizontal="right"/>
      <protection hidden="1"/>
    </xf>
    <xf numFmtId="168" fontId="8" fillId="3" borderId="0" xfId="1" applyNumberFormat="1" applyFont="1" applyFill="1" applyAlignment="1" applyProtection="1">
      <alignment horizontal="center"/>
      <protection hidden="1"/>
    </xf>
    <xf numFmtId="0" fontId="28" fillId="10" borderId="0" xfId="0" applyFont="1" applyFill="1" applyProtection="1">
      <protection hidden="1"/>
    </xf>
    <xf numFmtId="0" fontId="27" fillId="6" borderId="12" xfId="0" applyFont="1" applyFill="1" applyBorder="1" applyAlignment="1" applyProtection="1">
      <alignment horizontal="center"/>
      <protection hidden="1"/>
    </xf>
    <xf numFmtId="0" fontId="14" fillId="6" borderId="11" xfId="0" applyFont="1" applyFill="1" applyBorder="1" applyProtection="1">
      <protection hidden="1"/>
    </xf>
    <xf numFmtId="3" fontId="14" fillId="6" borderId="11" xfId="0" applyNumberFormat="1" applyFont="1" applyFill="1" applyBorder="1" applyProtection="1">
      <protection hidden="1"/>
    </xf>
    <xf numFmtId="0" fontId="14" fillId="6" borderId="11" xfId="0" applyFont="1" applyFill="1" applyBorder="1" applyAlignment="1" applyProtection="1">
      <alignment horizontal="center"/>
      <protection hidden="1"/>
    </xf>
    <xf numFmtId="14" fontId="14" fillId="6" borderId="14" xfId="0" applyNumberFormat="1" applyFont="1" applyFill="1" applyBorder="1" applyAlignment="1" applyProtection="1">
      <alignment horizontal="right"/>
      <protection hidden="1"/>
    </xf>
    <xf numFmtId="0" fontId="28" fillId="3" borderId="0" xfId="0" applyFont="1" applyFill="1" applyProtection="1">
      <protection hidden="1"/>
    </xf>
    <xf numFmtId="0" fontId="27" fillId="6" borderId="13" xfId="0" applyFont="1" applyFill="1" applyBorder="1" applyAlignment="1" applyProtection="1">
      <alignment horizontal="center"/>
      <protection hidden="1"/>
    </xf>
    <xf numFmtId="0" fontId="14" fillId="6" borderId="7" xfId="0" applyFont="1" applyFill="1" applyBorder="1" applyProtection="1">
      <protection hidden="1"/>
    </xf>
    <xf numFmtId="0" fontId="14" fillId="6" borderId="7" xfId="0" applyFont="1" applyFill="1" applyBorder="1" applyAlignment="1" applyProtection="1">
      <alignment horizontal="center"/>
      <protection hidden="1"/>
    </xf>
    <xf numFmtId="168" fontId="27" fillId="6" borderId="7" xfId="1" applyNumberFormat="1" applyFont="1" applyFill="1" applyBorder="1" applyProtection="1">
      <protection hidden="1"/>
    </xf>
    <xf numFmtId="0" fontId="27" fillId="6" borderId="7" xfId="0" applyFont="1" applyFill="1" applyBorder="1" applyAlignment="1" applyProtection="1">
      <alignment horizontal="center"/>
      <protection hidden="1"/>
    </xf>
    <xf numFmtId="0" fontId="27" fillId="6" borderId="7" xfId="0" applyFont="1" applyFill="1" applyBorder="1" applyProtection="1">
      <protection hidden="1"/>
    </xf>
    <xf numFmtId="168" fontId="14" fillId="6" borderId="10" xfId="0" applyNumberFormat="1" applyFont="1" applyFill="1" applyBorder="1" applyProtection="1">
      <protection hidden="1"/>
    </xf>
    <xf numFmtId="0" fontId="0" fillId="10" borderId="0" xfId="0" applyFont="1" applyFill="1" applyProtection="1">
      <protection hidden="1"/>
    </xf>
    <xf numFmtId="14" fontId="6" fillId="4" borderId="6" xfId="1" applyNumberFormat="1" applyFont="1" applyFill="1" applyBorder="1" applyAlignment="1" applyProtection="1">
      <alignment horizontal="center" vertical="center"/>
      <protection hidden="1"/>
    </xf>
    <xf numFmtId="0" fontId="0" fillId="3" borderId="0" xfId="0" applyFont="1" applyFill="1" applyProtection="1">
      <protection hidden="1"/>
    </xf>
    <xf numFmtId="168" fontId="6" fillId="4" borderId="1" xfId="1" applyNumberFormat="1" applyFont="1" applyFill="1" applyBorder="1" applyAlignment="1" applyProtection="1">
      <alignment horizontal="center" vertical="center"/>
      <protection hidden="1"/>
    </xf>
    <xf numFmtId="168" fontId="6" fillId="4" borderId="1" xfId="1" applyNumberFormat="1" applyFont="1" applyFill="1" applyBorder="1" applyAlignment="1" applyProtection="1">
      <alignment horizontal="center" vertical="center" wrapText="1"/>
      <protection hidden="1"/>
    </xf>
    <xf numFmtId="168" fontId="6" fillId="4" borderId="4" xfId="1" applyNumberFormat="1" applyFont="1" applyFill="1" applyBorder="1" applyAlignment="1" applyProtection="1">
      <alignment horizontal="center" vertical="center" wrapText="1"/>
      <protection hidden="1"/>
    </xf>
    <xf numFmtId="0" fontId="2" fillId="10" borderId="0" xfId="0" applyFont="1" applyFill="1" applyProtection="1">
      <protection hidden="1"/>
    </xf>
    <xf numFmtId="0" fontId="6" fillId="4" borderId="1" xfId="0" applyFont="1" applyFill="1" applyBorder="1" applyAlignment="1" applyProtection="1">
      <alignment horizontal="center"/>
      <protection hidden="1"/>
    </xf>
    <xf numFmtId="0" fontId="6" fillId="4" borderId="4" xfId="0" applyFont="1" applyFill="1" applyBorder="1" applyProtection="1">
      <protection hidden="1"/>
    </xf>
    <xf numFmtId="0" fontId="6" fillId="4" borderId="5" xfId="0" applyFont="1" applyFill="1" applyBorder="1" applyProtection="1">
      <protection hidden="1"/>
    </xf>
    <xf numFmtId="0" fontId="6" fillId="4" borderId="6" xfId="0" applyFont="1" applyFill="1" applyBorder="1" applyProtection="1">
      <protection hidden="1"/>
    </xf>
    <xf numFmtId="168" fontId="18" fillId="4" borderId="1" xfId="1" applyNumberFormat="1" applyFont="1" applyFill="1" applyBorder="1" applyAlignment="1" applyProtection="1">
      <alignment horizontal="center" vertical="center"/>
      <protection hidden="1"/>
    </xf>
    <xf numFmtId="0" fontId="4" fillId="3" borderId="19" xfId="0" applyFont="1" applyFill="1" applyBorder="1" applyAlignment="1" applyProtection="1">
      <alignment horizontal="center"/>
      <protection hidden="1"/>
    </xf>
    <xf numFmtId="0" fontId="4" fillId="3" borderId="1" xfId="0" applyFont="1" applyFill="1" applyBorder="1" applyProtection="1">
      <protection hidden="1"/>
    </xf>
    <xf numFmtId="0" fontId="4" fillId="3" borderId="1" xfId="0" applyFont="1" applyFill="1" applyBorder="1" applyAlignment="1" applyProtection="1">
      <alignment horizontal="center"/>
      <protection hidden="1"/>
    </xf>
    <xf numFmtId="168" fontId="26" fillId="3" borderId="1" xfId="1" applyNumberFormat="1" applyFont="1" applyFill="1" applyBorder="1" applyAlignment="1" applyProtection="1">
      <alignment vertical="center"/>
      <protection hidden="1"/>
    </xf>
    <xf numFmtId="0" fontId="2" fillId="3" borderId="0" xfId="0" applyFont="1" applyFill="1" applyProtection="1">
      <protection hidden="1"/>
    </xf>
    <xf numFmtId="0" fontId="4" fillId="3" borderId="4" xfId="0" applyFont="1" applyFill="1" applyBorder="1" applyProtection="1">
      <protection hidden="1"/>
    </xf>
    <xf numFmtId="0" fontId="4" fillId="3" borderId="5" xfId="0" applyFont="1" applyFill="1" applyBorder="1" applyProtection="1">
      <protection hidden="1"/>
    </xf>
    <xf numFmtId="0" fontId="4" fillId="3" borderId="6" xfId="0" applyFont="1" applyFill="1" applyBorder="1" applyProtection="1">
      <protection hidden="1"/>
    </xf>
    <xf numFmtId="168" fontId="47" fillId="0" borderId="0" xfId="1" applyNumberFormat="1" applyFont="1" applyAlignment="1" applyProtection="1">
      <alignment horizontal="center" vertical="center"/>
      <protection hidden="1"/>
    </xf>
    <xf numFmtId="168" fontId="26" fillId="3" borderId="1" xfId="1" applyNumberFormat="1" applyFont="1" applyFill="1" applyBorder="1" applyAlignment="1" applyProtection="1">
      <alignment horizontal="center" vertical="center"/>
      <protection hidden="1"/>
    </xf>
    <xf numFmtId="168" fontId="26" fillId="3" borderId="4" xfId="1" applyNumberFormat="1" applyFont="1" applyFill="1" applyBorder="1" applyAlignment="1" applyProtection="1">
      <alignment horizontal="center" vertical="center"/>
      <protection hidden="1"/>
    </xf>
    <xf numFmtId="0" fontId="6" fillId="3" borderId="19" xfId="0" applyFont="1" applyFill="1" applyBorder="1" applyAlignment="1" applyProtection="1">
      <alignment horizontal="center"/>
      <protection hidden="1"/>
    </xf>
    <xf numFmtId="0" fontId="4" fillId="3" borderId="4" xfId="0" applyFont="1" applyFill="1" applyBorder="1" applyAlignment="1" applyProtection="1">
      <alignment wrapText="1"/>
      <protection hidden="1"/>
    </xf>
    <xf numFmtId="168" fontId="26" fillId="2" borderId="1" xfId="1" applyNumberFormat="1" applyFont="1" applyFill="1" applyBorder="1" applyAlignment="1" applyProtection="1">
      <alignment horizontal="center" vertical="center"/>
      <protection hidden="1"/>
    </xf>
    <xf numFmtId="0" fontId="4" fillId="3" borderId="19" xfId="0" applyFont="1" applyFill="1" applyBorder="1" applyAlignment="1" applyProtection="1">
      <alignment horizontal="center" vertical="center"/>
      <protection hidden="1"/>
    </xf>
    <xf numFmtId="0" fontId="4" fillId="3" borderId="1" xfId="0" applyFont="1" applyFill="1" applyBorder="1" applyAlignment="1" applyProtection="1">
      <alignment vertical="center"/>
      <protection hidden="1"/>
    </xf>
    <xf numFmtId="0" fontId="4" fillId="3" borderId="1" xfId="0" applyFont="1" applyFill="1" applyBorder="1" applyAlignment="1" applyProtection="1">
      <alignment horizontal="center" vertical="center"/>
      <protection hidden="1"/>
    </xf>
    <xf numFmtId="0" fontId="4" fillId="3" borderId="1" xfId="0" applyFont="1" applyFill="1" applyBorder="1" applyAlignment="1" applyProtection="1">
      <alignment wrapText="1"/>
      <protection hidden="1"/>
    </xf>
    <xf numFmtId="0" fontId="4" fillId="3" borderId="1" xfId="0" applyFont="1" applyFill="1" applyBorder="1" applyAlignment="1" applyProtection="1">
      <alignment vertical="center" wrapText="1"/>
      <protection hidden="1"/>
    </xf>
    <xf numFmtId="0" fontId="4" fillId="3" borderId="4" xfId="0" applyFont="1" applyFill="1" applyBorder="1" applyAlignment="1" applyProtection="1">
      <alignment vertical="center"/>
      <protection hidden="1"/>
    </xf>
    <xf numFmtId="0" fontId="4" fillId="3" borderId="5" xfId="0" applyFont="1" applyFill="1" applyBorder="1" applyAlignment="1" applyProtection="1">
      <alignment vertical="center"/>
      <protection hidden="1"/>
    </xf>
    <xf numFmtId="0" fontId="4" fillId="3" borderId="6" xfId="0" applyFont="1" applyFill="1" applyBorder="1" applyAlignment="1" applyProtection="1">
      <alignment vertical="center"/>
      <protection hidden="1"/>
    </xf>
    <xf numFmtId="0" fontId="6" fillId="4" borderId="19" xfId="0" applyFont="1" applyFill="1" applyBorder="1" applyAlignment="1" applyProtection="1">
      <alignment horizontal="center" vertical="center"/>
      <protection hidden="1"/>
    </xf>
    <xf numFmtId="0" fontId="6" fillId="4" borderId="1" xfId="0" applyFont="1" applyFill="1" applyBorder="1" applyAlignment="1" applyProtection="1">
      <alignment wrapText="1"/>
      <protection hidden="1"/>
    </xf>
    <xf numFmtId="0" fontId="4" fillId="4" borderId="1" xfId="0" applyFont="1" applyFill="1" applyBorder="1" applyAlignment="1" applyProtection="1">
      <alignment horizontal="center"/>
      <protection hidden="1"/>
    </xf>
    <xf numFmtId="168" fontId="18" fillId="4" borderId="1" xfId="1" applyNumberFormat="1" applyFont="1" applyFill="1" applyBorder="1" applyAlignment="1" applyProtection="1">
      <alignment horizontal="right" vertical="center"/>
      <protection hidden="1"/>
    </xf>
    <xf numFmtId="0" fontId="4" fillId="3" borderId="1" xfId="0" applyFont="1" applyFill="1" applyBorder="1" applyAlignment="1" applyProtection="1">
      <alignment horizontal="center" vertical="top"/>
      <protection hidden="1"/>
    </xf>
    <xf numFmtId="0" fontId="6" fillId="4" borderId="19" xfId="0" applyFont="1" applyFill="1" applyBorder="1" applyAlignment="1" applyProtection="1">
      <alignment horizontal="center"/>
      <protection hidden="1"/>
    </xf>
    <xf numFmtId="0" fontId="6" fillId="4" borderId="1" xfId="0" applyFont="1" applyFill="1" applyBorder="1" applyProtection="1">
      <protection hidden="1"/>
    </xf>
    <xf numFmtId="164" fontId="2" fillId="10" borderId="0" xfId="0" applyNumberFormat="1" applyFont="1" applyFill="1" applyProtection="1">
      <protection hidden="1"/>
    </xf>
    <xf numFmtId="168" fontId="18" fillId="4" borderId="4" xfId="1" applyNumberFormat="1" applyFont="1" applyFill="1" applyBorder="1" applyAlignment="1" applyProtection="1">
      <alignment horizontal="center" vertical="center"/>
      <protection hidden="1"/>
    </xf>
    <xf numFmtId="0" fontId="0" fillId="10" borderId="0" xfId="0" applyFill="1" applyAlignment="1" applyProtection="1">
      <alignment vertical="center"/>
      <protection hidden="1"/>
    </xf>
    <xf numFmtId="0" fontId="0" fillId="3" borderId="0" xfId="0" applyFill="1" applyAlignment="1" applyProtection="1">
      <alignment vertical="center"/>
      <protection hidden="1"/>
    </xf>
    <xf numFmtId="168" fontId="26" fillId="3" borderId="2" xfId="1" applyNumberFormat="1" applyFont="1" applyFill="1" applyBorder="1" applyAlignment="1" applyProtection="1">
      <alignment vertical="center"/>
      <protection hidden="1"/>
    </xf>
    <xf numFmtId="168" fontId="26" fillId="3" borderId="3" xfId="1" applyNumberFormat="1" applyFont="1" applyFill="1" applyBorder="1" applyAlignment="1" applyProtection="1">
      <alignment vertical="center"/>
      <protection hidden="1"/>
    </xf>
    <xf numFmtId="0" fontId="4" fillId="4" borderId="26" xfId="0" applyFont="1" applyFill="1" applyBorder="1" applyAlignment="1" applyProtection="1">
      <alignment horizontal="center" vertical="center"/>
      <protection hidden="1"/>
    </xf>
    <xf numFmtId="0" fontId="6" fillId="4" borderId="2" xfId="0" applyFont="1" applyFill="1" applyBorder="1" applyAlignment="1" applyProtection="1">
      <alignment vertical="center" wrapText="1"/>
      <protection hidden="1"/>
    </xf>
    <xf numFmtId="0" fontId="4" fillId="10" borderId="0" xfId="0" applyFont="1" applyFill="1" applyAlignment="1" applyProtection="1">
      <alignment horizontal="center"/>
      <protection hidden="1"/>
    </xf>
    <xf numFmtId="0" fontId="4" fillId="10" borderId="0" xfId="0" applyFont="1" applyFill="1" applyProtection="1">
      <protection hidden="1"/>
    </xf>
    <xf numFmtId="168" fontId="8" fillId="10" borderId="0" xfId="1" applyNumberFormat="1" applyFont="1" applyFill="1" applyProtection="1">
      <protection hidden="1"/>
    </xf>
    <xf numFmtId="168" fontId="8" fillId="10" borderId="0" xfId="1" applyNumberFormat="1" applyFont="1" applyFill="1" applyAlignment="1" applyProtection="1">
      <alignment horizontal="right"/>
      <protection hidden="1"/>
    </xf>
    <xf numFmtId="168" fontId="8" fillId="10" borderId="0" xfId="1" applyNumberFormat="1" applyFont="1" applyFill="1" applyAlignment="1" applyProtection="1">
      <alignment horizontal="center"/>
      <protection hidden="1"/>
    </xf>
    <xf numFmtId="168" fontId="8" fillId="10" borderId="3" xfId="1" applyNumberFormat="1" applyFont="1" applyFill="1" applyBorder="1" applyProtection="1">
      <protection hidden="1"/>
    </xf>
    <xf numFmtId="168" fontId="8" fillId="10" borderId="13" xfId="1" applyNumberFormat="1" applyFont="1" applyFill="1" applyBorder="1" applyProtection="1">
      <protection hidden="1"/>
    </xf>
    <xf numFmtId="168" fontId="9" fillId="13" borderId="1" xfId="1" applyNumberFormat="1" applyFont="1" applyFill="1" applyBorder="1" applyProtection="1">
      <protection hidden="1"/>
    </xf>
    <xf numFmtId="168" fontId="9" fillId="13" borderId="4" xfId="1" applyNumberFormat="1" applyFont="1" applyFill="1" applyBorder="1" applyProtection="1">
      <protection hidden="1"/>
    </xf>
    <xf numFmtId="164" fontId="4" fillId="10" borderId="0" xfId="0" applyNumberFormat="1" applyFont="1" applyFill="1" applyProtection="1">
      <protection hidden="1"/>
    </xf>
    <xf numFmtId="168" fontId="9" fillId="10" borderId="8" xfId="1" applyNumberFormat="1" applyFont="1" applyFill="1" applyBorder="1" applyProtection="1">
      <protection hidden="1"/>
    </xf>
    <xf numFmtId="168" fontId="18" fillId="13" borderId="4" xfId="1" applyNumberFormat="1" applyFont="1" applyFill="1" applyBorder="1" applyProtection="1">
      <protection hidden="1"/>
    </xf>
    <xf numFmtId="0" fontId="4" fillId="17" borderId="0" xfId="0" applyFont="1" applyFill="1" applyProtection="1">
      <protection locked="0"/>
    </xf>
    <xf numFmtId="168" fontId="13" fillId="8" borderId="5" xfId="0" applyNumberFormat="1" applyFont="1" applyFill="1" applyBorder="1" applyAlignment="1" applyProtection="1">
      <alignment horizontal="left" vertical="center"/>
      <protection hidden="1"/>
    </xf>
    <xf numFmtId="168" fontId="13" fillId="8" borderId="6" xfId="0" applyNumberFormat="1" applyFont="1" applyFill="1" applyBorder="1" applyAlignment="1" applyProtection="1">
      <alignment vertical="center"/>
      <protection hidden="1"/>
    </xf>
    <xf numFmtId="0" fontId="0" fillId="14" borderId="0" xfId="0" applyFill="1" applyProtection="1">
      <protection hidden="1"/>
    </xf>
    <xf numFmtId="0" fontId="4" fillId="17" borderId="0" xfId="0" applyFont="1" applyFill="1" applyAlignment="1" applyProtection="1">
      <alignment horizontal="center"/>
      <protection hidden="1"/>
    </xf>
    <xf numFmtId="0" fontId="4" fillId="17" borderId="0" xfId="0" applyFont="1" applyFill="1" applyProtection="1">
      <protection hidden="1"/>
    </xf>
    <xf numFmtId="168" fontId="8" fillId="17" borderId="0" xfId="1" applyNumberFormat="1" applyFont="1" applyFill="1" applyAlignment="1" applyProtection="1">
      <alignment horizontal="center"/>
      <protection hidden="1"/>
    </xf>
    <xf numFmtId="168" fontId="8" fillId="17" borderId="0" xfId="1" applyNumberFormat="1" applyFont="1" applyFill="1" applyAlignment="1" applyProtection="1">
      <alignment vertical="center"/>
      <protection hidden="1"/>
    </xf>
    <xf numFmtId="0" fontId="28" fillId="10" borderId="0" xfId="0" applyFont="1" applyFill="1" applyBorder="1" applyAlignment="1" applyProtection="1">
      <alignment vertical="top"/>
      <protection hidden="1"/>
    </xf>
    <xf numFmtId="0" fontId="14" fillId="6" borderId="12" xfId="0" applyFont="1" applyFill="1" applyBorder="1" applyAlignment="1" applyProtection="1">
      <alignment vertical="top"/>
      <protection hidden="1"/>
    </xf>
    <xf numFmtId="0" fontId="28" fillId="6" borderId="11" xfId="0" applyFont="1" applyFill="1" applyBorder="1" applyAlignment="1" applyProtection="1">
      <alignment vertical="top"/>
      <protection hidden="1"/>
    </xf>
    <xf numFmtId="164" fontId="14" fillId="6" borderId="11" xfId="1" applyNumberFormat="1" applyFont="1" applyFill="1" applyBorder="1" applyAlignment="1" applyProtection="1">
      <alignment vertical="top" wrapText="1"/>
      <protection hidden="1"/>
    </xf>
    <xf numFmtId="0" fontId="14" fillId="6" borderId="11" xfId="0" applyFont="1" applyFill="1" applyBorder="1" applyAlignment="1" applyProtection="1">
      <alignment vertical="top"/>
      <protection hidden="1"/>
    </xf>
    <xf numFmtId="168" fontId="14" fillId="6" borderId="11" xfId="1" applyNumberFormat="1" applyFont="1" applyFill="1" applyBorder="1" applyAlignment="1" applyProtection="1">
      <alignment vertical="top"/>
      <protection hidden="1"/>
    </xf>
    <xf numFmtId="14" fontId="14" fillId="6" borderId="14" xfId="0" applyNumberFormat="1" applyFont="1" applyFill="1" applyBorder="1" applyAlignment="1" applyProtection="1">
      <alignment vertical="center"/>
      <protection hidden="1"/>
    </xf>
    <xf numFmtId="0" fontId="27" fillId="10" borderId="0" xfId="0" applyFont="1" applyFill="1" applyBorder="1" applyAlignment="1" applyProtection="1">
      <alignment horizontal="center" vertical="top"/>
      <protection hidden="1"/>
    </xf>
    <xf numFmtId="0" fontId="27" fillId="10" borderId="0" xfId="0" applyFont="1" applyFill="1" applyBorder="1" applyAlignment="1" applyProtection="1">
      <alignment vertical="top"/>
      <protection hidden="1"/>
    </xf>
    <xf numFmtId="0" fontId="14" fillId="14" borderId="0" xfId="0" applyFont="1" applyFill="1" applyBorder="1" applyAlignment="1" applyProtection="1">
      <alignment vertical="top"/>
      <protection hidden="1"/>
    </xf>
    <xf numFmtId="0" fontId="28" fillId="14" borderId="0" xfId="0" applyFont="1" applyFill="1" applyBorder="1" applyAlignment="1" applyProtection="1">
      <alignment vertical="top"/>
      <protection hidden="1"/>
    </xf>
    <xf numFmtId="0" fontId="28" fillId="10" borderId="0" xfId="0" applyFont="1" applyFill="1" applyBorder="1" applyProtection="1">
      <protection hidden="1"/>
    </xf>
    <xf numFmtId="0" fontId="14" fillId="6" borderId="13" xfId="0" applyFont="1" applyFill="1" applyBorder="1" applyProtection="1">
      <protection hidden="1"/>
    </xf>
    <xf numFmtId="0" fontId="28" fillId="6" borderId="7" xfId="0" applyFont="1" applyFill="1" applyBorder="1" applyProtection="1">
      <protection hidden="1"/>
    </xf>
    <xf numFmtId="164" fontId="14" fillId="6" borderId="7" xfId="1" applyNumberFormat="1" applyFont="1" applyFill="1" applyBorder="1" applyAlignment="1" applyProtection="1">
      <protection hidden="1"/>
    </xf>
    <xf numFmtId="0" fontId="14" fillId="6" borderId="7" xfId="0" applyFont="1" applyFill="1" applyBorder="1" applyAlignment="1" applyProtection="1">
      <protection hidden="1"/>
    </xf>
    <xf numFmtId="168" fontId="28" fillId="6" borderId="7" xfId="0" applyNumberFormat="1" applyFont="1" applyFill="1" applyBorder="1" applyProtection="1">
      <protection hidden="1"/>
    </xf>
    <xf numFmtId="168" fontId="14" fillId="6" borderId="10" xfId="0" applyNumberFormat="1" applyFont="1" applyFill="1" applyBorder="1" applyAlignment="1" applyProtection="1">
      <alignment vertical="center"/>
      <protection hidden="1"/>
    </xf>
    <xf numFmtId="164" fontId="27" fillId="10" borderId="0" xfId="1" applyNumberFormat="1" applyFont="1" applyFill="1" applyBorder="1" applyProtection="1">
      <protection hidden="1"/>
    </xf>
    <xf numFmtId="0" fontId="27" fillId="10" borderId="0" xfId="0" applyFont="1" applyFill="1" applyBorder="1" applyAlignment="1" applyProtection="1">
      <alignment horizontal="center"/>
      <protection hidden="1"/>
    </xf>
    <xf numFmtId="0" fontId="27" fillId="10" borderId="0" xfId="0" applyFont="1" applyFill="1" applyBorder="1" applyProtection="1">
      <protection hidden="1"/>
    </xf>
    <xf numFmtId="0" fontId="14" fillId="14" borderId="0" xfId="0" applyFont="1" applyFill="1" applyBorder="1" applyAlignment="1" applyProtection="1">
      <protection hidden="1"/>
    </xf>
    <xf numFmtId="0" fontId="28" fillId="14" borderId="0" xfId="0" applyFont="1" applyFill="1" applyBorder="1" applyProtection="1">
      <protection hidden="1"/>
    </xf>
    <xf numFmtId="0" fontId="12" fillId="17" borderId="0" xfId="3" applyFill="1" applyAlignment="1" applyProtection="1">
      <alignment horizontal="center"/>
      <protection hidden="1"/>
    </xf>
    <xf numFmtId="0" fontId="6" fillId="4" borderId="14" xfId="0" applyFont="1" applyFill="1" applyBorder="1" applyAlignment="1" applyProtection="1">
      <alignment horizontal="center" vertical="center"/>
      <protection hidden="1"/>
    </xf>
    <xf numFmtId="14" fontId="6" fillId="4" borderId="1" xfId="1" applyNumberFormat="1" applyFont="1" applyFill="1" applyBorder="1" applyAlignment="1" applyProtection="1">
      <alignment horizontal="center" vertical="center" wrapText="1"/>
      <protection hidden="1"/>
    </xf>
    <xf numFmtId="0" fontId="0" fillId="14" borderId="0" xfId="0" applyFont="1" applyFill="1" applyProtection="1">
      <protection hidden="1"/>
    </xf>
    <xf numFmtId="0" fontId="6" fillId="4" borderId="10" xfId="0" applyFont="1" applyFill="1" applyBorder="1" applyAlignment="1" applyProtection="1">
      <alignment horizontal="center" vertical="center"/>
      <protection hidden="1"/>
    </xf>
    <xf numFmtId="0" fontId="4" fillId="17" borderId="1" xfId="0" applyFont="1" applyFill="1" applyBorder="1" applyAlignment="1" applyProtection="1">
      <alignment horizontal="center"/>
      <protection hidden="1"/>
    </xf>
    <xf numFmtId="0" fontId="4" fillId="17" borderId="4" xfId="0" applyFont="1" applyFill="1" applyBorder="1" applyProtection="1">
      <protection hidden="1"/>
    </xf>
    <xf numFmtId="0" fontId="4" fillId="17" borderId="5" xfId="0" applyFont="1" applyFill="1" applyBorder="1" applyProtection="1">
      <protection hidden="1"/>
    </xf>
    <xf numFmtId="0" fontId="6" fillId="17" borderId="6" xfId="0" applyFont="1" applyFill="1" applyBorder="1" applyAlignment="1" applyProtection="1">
      <alignment horizontal="center"/>
      <protection hidden="1"/>
    </xf>
    <xf numFmtId="168" fontId="26" fillId="3" borderId="1" xfId="1" applyNumberFormat="1" applyFont="1" applyFill="1" applyBorder="1" applyAlignment="1" applyProtection="1">
      <alignment horizontal="right" vertical="center"/>
      <protection hidden="1"/>
    </xf>
    <xf numFmtId="0" fontId="4" fillId="17" borderId="6" xfId="0" applyFont="1" applyFill="1" applyBorder="1" applyAlignment="1" applyProtection="1">
      <alignment horizontal="center" wrapText="1"/>
      <protection hidden="1"/>
    </xf>
    <xf numFmtId="168" fontId="26" fillId="17" borderId="1" xfId="1" applyNumberFormat="1" applyFont="1" applyFill="1" applyBorder="1" applyAlignment="1" applyProtection="1">
      <alignment vertical="center"/>
      <protection hidden="1"/>
    </xf>
    <xf numFmtId="0" fontId="4" fillId="17" borderId="6" xfId="0" applyFont="1" applyFill="1" applyBorder="1" applyProtection="1">
      <protection hidden="1"/>
    </xf>
    <xf numFmtId="0" fontId="4" fillId="17" borderId="6" xfId="0" applyFont="1" applyFill="1" applyBorder="1" applyAlignment="1" applyProtection="1">
      <alignment horizontal="center"/>
      <protection hidden="1"/>
    </xf>
    <xf numFmtId="0" fontId="6" fillId="4" borderId="6" xfId="0" applyFont="1" applyFill="1" applyBorder="1" applyAlignment="1" applyProtection="1">
      <alignment horizontal="center"/>
      <protection hidden="1"/>
    </xf>
    <xf numFmtId="168" fontId="18" fillId="4" borderId="1" xfId="1" applyNumberFormat="1" applyFont="1" applyFill="1" applyBorder="1" applyAlignment="1" applyProtection="1">
      <alignment vertical="center"/>
      <protection hidden="1"/>
    </xf>
    <xf numFmtId="0" fontId="2" fillId="14" borderId="0" xfId="0" applyFont="1" applyFill="1" applyProtection="1">
      <protection hidden="1"/>
    </xf>
    <xf numFmtId="0" fontId="6" fillId="17" borderId="6" xfId="0" applyFont="1" applyFill="1" applyBorder="1" applyAlignment="1" applyProtection="1">
      <alignment horizontal="center" wrapText="1"/>
      <protection hidden="1"/>
    </xf>
    <xf numFmtId="164" fontId="0" fillId="10" borderId="0" xfId="0" applyNumberFormat="1" applyFill="1" applyProtection="1">
      <protection hidden="1"/>
    </xf>
    <xf numFmtId="0" fontId="4" fillId="17" borderId="1" xfId="0" applyFont="1" applyFill="1" applyBorder="1" applyAlignment="1" applyProtection="1">
      <alignment horizontal="center" vertical="center"/>
      <protection hidden="1"/>
    </xf>
    <xf numFmtId="0" fontId="6" fillId="17" borderId="6" xfId="0" applyFont="1" applyFill="1" applyBorder="1" applyAlignment="1" applyProtection="1">
      <alignment horizontal="center" vertical="center"/>
      <protection hidden="1"/>
    </xf>
    <xf numFmtId="0" fontId="6" fillId="4" borderId="1" xfId="0" applyFont="1" applyFill="1" applyBorder="1" applyAlignment="1" applyProtection="1">
      <alignment horizontal="center" vertical="center"/>
      <protection hidden="1"/>
    </xf>
    <xf numFmtId="0" fontId="6" fillId="4" borderId="6" xfId="0" applyFont="1" applyFill="1" applyBorder="1" applyAlignment="1" applyProtection="1">
      <alignment horizontal="center" wrapText="1"/>
      <protection hidden="1"/>
    </xf>
    <xf numFmtId="0" fontId="6" fillId="4" borderId="1" xfId="0" applyFont="1" applyFill="1" applyBorder="1" applyAlignment="1" applyProtection="1">
      <alignment horizontal="center" vertical="top"/>
      <protection hidden="1"/>
    </xf>
    <xf numFmtId="0" fontId="4" fillId="17" borderId="4" xfId="0" applyFont="1" applyFill="1" applyBorder="1" applyAlignment="1" applyProtection="1">
      <alignment vertical="center"/>
      <protection hidden="1"/>
    </xf>
    <xf numFmtId="0" fontId="4" fillId="17" borderId="5" xfId="0" applyFont="1" applyFill="1" applyBorder="1" applyAlignment="1" applyProtection="1">
      <alignment vertical="center"/>
      <protection hidden="1"/>
    </xf>
    <xf numFmtId="0" fontId="4" fillId="17" borderId="6" xfId="0" applyFont="1" applyFill="1" applyBorder="1" applyAlignment="1" applyProtection="1">
      <alignment vertical="center"/>
      <protection hidden="1"/>
    </xf>
    <xf numFmtId="0" fontId="4" fillId="17" borderId="6" xfId="0" applyFont="1" applyFill="1" applyBorder="1" applyAlignment="1" applyProtection="1">
      <alignment horizontal="center" vertical="center"/>
      <protection hidden="1"/>
    </xf>
    <xf numFmtId="0" fontId="0" fillId="14" borderId="0" xfId="0" applyFill="1" applyAlignment="1" applyProtection="1">
      <alignment vertical="center"/>
      <protection hidden="1"/>
    </xf>
    <xf numFmtId="0" fontId="4" fillId="17" borderId="10" xfId="0" applyFont="1" applyFill="1" applyBorder="1" applyAlignment="1" applyProtection="1">
      <alignment horizontal="center" vertical="center" wrapText="1"/>
      <protection hidden="1"/>
    </xf>
    <xf numFmtId="0" fontId="4" fillId="17" borderId="3" xfId="0" applyFont="1" applyFill="1" applyBorder="1" applyAlignment="1" applyProtection="1">
      <alignment horizontal="center" vertical="center"/>
      <protection hidden="1"/>
    </xf>
    <xf numFmtId="0" fontId="4" fillId="3" borderId="6" xfId="0" applyFont="1" applyFill="1" applyBorder="1" applyAlignment="1" applyProtection="1">
      <alignment horizontal="center"/>
      <protection hidden="1"/>
    </xf>
    <xf numFmtId="0" fontId="4" fillId="17" borderId="1" xfId="0" applyFont="1" applyFill="1" applyBorder="1" applyAlignment="1" applyProtection="1">
      <alignment horizontal="center" wrapText="1"/>
      <protection hidden="1"/>
    </xf>
    <xf numFmtId="168" fontId="8" fillId="10" borderId="0" xfId="1" applyNumberFormat="1" applyFont="1" applyFill="1" applyAlignment="1" applyProtection="1">
      <alignment vertical="center"/>
      <protection hidden="1"/>
    </xf>
    <xf numFmtId="168" fontId="8" fillId="3" borderId="0" xfId="1" applyNumberFormat="1" applyFont="1" applyFill="1" applyAlignment="1" applyProtection="1">
      <alignment vertical="center"/>
      <protection hidden="1"/>
    </xf>
    <xf numFmtId="0" fontId="0" fillId="9" borderId="0" xfId="0" applyFill="1" applyProtection="1">
      <protection locked="0"/>
    </xf>
    <xf numFmtId="0" fontId="0" fillId="9" borderId="0" xfId="0" applyFont="1" applyFill="1" applyProtection="1">
      <protection locked="0"/>
    </xf>
    <xf numFmtId="0" fontId="2" fillId="9" borderId="0" xfId="0" applyFont="1" applyFill="1" applyProtection="1">
      <protection locked="0"/>
    </xf>
    <xf numFmtId="0" fontId="6" fillId="2" borderId="1" xfId="0" applyFont="1" applyFill="1" applyBorder="1" applyAlignment="1" applyProtection="1">
      <alignment horizontal="center" vertical="center" wrapText="1"/>
      <protection locked="0"/>
    </xf>
    <xf numFmtId="0" fontId="0" fillId="9" borderId="0" xfId="0" applyFill="1" applyProtection="1">
      <protection hidden="1"/>
    </xf>
    <xf numFmtId="0" fontId="28" fillId="9" borderId="0" xfId="0" applyFont="1" applyFill="1" applyProtection="1">
      <protection hidden="1"/>
    </xf>
    <xf numFmtId="14" fontId="14" fillId="6" borderId="14" xfId="0" applyNumberFormat="1" applyFont="1" applyFill="1" applyBorder="1" applyAlignment="1" applyProtection="1">
      <alignment horizontal="right" vertical="top"/>
      <protection hidden="1"/>
    </xf>
    <xf numFmtId="168" fontId="14" fillId="6" borderId="10" xfId="0" applyNumberFormat="1" applyFont="1" applyFill="1" applyBorder="1" applyAlignment="1" applyProtection="1">
      <alignment horizontal="right"/>
      <protection hidden="1"/>
    </xf>
    <xf numFmtId="0" fontId="12" fillId="3" borderId="0" xfId="3" applyFill="1" applyAlignment="1" applyProtection="1">
      <alignment horizontal="center"/>
      <protection hidden="1"/>
    </xf>
    <xf numFmtId="0" fontId="0" fillId="9" borderId="0" xfId="0" applyFont="1" applyFill="1" applyProtection="1">
      <protection hidden="1"/>
    </xf>
    <xf numFmtId="0" fontId="6" fillId="2" borderId="1" xfId="0" applyFont="1" applyFill="1" applyBorder="1" applyAlignment="1" applyProtection="1">
      <alignment horizontal="center" vertical="center"/>
      <protection hidden="1"/>
    </xf>
    <xf numFmtId="14" fontId="6" fillId="2" borderId="1" xfId="1" applyNumberFormat="1" applyFont="1" applyFill="1" applyBorder="1" applyAlignment="1" applyProtection="1">
      <alignment horizontal="center" vertical="center" wrapText="1"/>
      <protection hidden="1"/>
    </xf>
    <xf numFmtId="14" fontId="6" fillId="2" borderId="1" xfId="1" applyNumberFormat="1" applyFont="1" applyFill="1" applyBorder="1" applyAlignment="1" applyProtection="1">
      <alignment horizontal="right" vertical="center" wrapText="1"/>
      <protection hidden="1"/>
    </xf>
    <xf numFmtId="0" fontId="2" fillId="9" borderId="0" xfId="0" applyFont="1" applyFill="1" applyProtection="1">
      <protection hidden="1"/>
    </xf>
    <xf numFmtId="0" fontId="6" fillId="2" borderId="6" xfId="0" applyFont="1" applyFill="1" applyBorder="1" applyAlignment="1" applyProtection="1">
      <alignment horizontal="center" vertical="center"/>
      <protection hidden="1"/>
    </xf>
    <xf numFmtId="168" fontId="18" fillId="2" borderId="1" xfId="1" applyNumberFormat="1" applyFont="1" applyFill="1" applyBorder="1" applyAlignment="1" applyProtection="1">
      <alignment horizontal="center" vertical="center"/>
      <protection hidden="1"/>
    </xf>
    <xf numFmtId="168" fontId="18" fillId="2" borderId="1" xfId="1" applyNumberFormat="1" applyFont="1" applyFill="1" applyBorder="1" applyAlignment="1" applyProtection="1">
      <alignment horizontal="right" vertical="center"/>
      <protection hidden="1"/>
    </xf>
    <xf numFmtId="0" fontId="6" fillId="3" borderId="6" xfId="0" applyFont="1" applyFill="1" applyBorder="1" applyAlignment="1" applyProtection="1">
      <alignment horizontal="center" wrapText="1"/>
      <protection hidden="1"/>
    </xf>
    <xf numFmtId="168" fontId="26" fillId="3" borderId="1" xfId="1" applyNumberFormat="1" applyFont="1" applyFill="1" applyBorder="1" applyAlignment="1" applyProtection="1">
      <alignment horizontal="center"/>
      <protection hidden="1"/>
    </xf>
    <xf numFmtId="168" fontId="26" fillId="3" borderId="1" xfId="1" applyNumberFormat="1" applyFont="1" applyFill="1" applyBorder="1" applyAlignment="1" applyProtection="1">
      <alignment horizontal="right"/>
      <protection hidden="1"/>
    </xf>
    <xf numFmtId="0" fontId="6" fillId="3" borderId="6" xfId="0" applyFont="1" applyFill="1" applyBorder="1" applyAlignment="1" applyProtection="1">
      <alignment horizontal="center"/>
      <protection hidden="1"/>
    </xf>
    <xf numFmtId="164" fontId="0" fillId="9" borderId="0" xfId="0" applyNumberFormat="1" applyFill="1" applyProtection="1">
      <protection hidden="1"/>
    </xf>
    <xf numFmtId="0" fontId="4" fillId="3" borderId="5" xfId="0" applyFont="1" applyFill="1" applyBorder="1" applyAlignment="1" applyProtection="1">
      <alignment horizontal="left" wrapText="1"/>
      <protection hidden="1"/>
    </xf>
    <xf numFmtId="0" fontId="4" fillId="3" borderId="6" xfId="0" applyFont="1" applyFill="1" applyBorder="1" applyAlignment="1" applyProtection="1">
      <alignment horizontal="center" wrapText="1"/>
      <protection hidden="1"/>
    </xf>
    <xf numFmtId="0" fontId="4" fillId="3" borderId="5" xfId="0" applyFont="1" applyFill="1" applyBorder="1" applyAlignment="1" applyProtection="1">
      <alignment horizontal="left"/>
      <protection hidden="1"/>
    </xf>
    <xf numFmtId="0" fontId="4" fillId="3" borderId="4" xfId="0" applyFont="1" applyFill="1" applyBorder="1" applyAlignment="1" applyProtection="1">
      <alignment horizontal="left" vertical="center"/>
      <protection hidden="1"/>
    </xf>
    <xf numFmtId="0" fontId="4" fillId="3" borderId="5" xfId="0" applyFont="1" applyFill="1" applyBorder="1" applyAlignment="1" applyProtection="1">
      <alignment horizontal="left" vertical="center"/>
      <protection hidden="1"/>
    </xf>
    <xf numFmtId="0" fontId="4" fillId="3" borderId="6" xfId="0" applyFont="1" applyFill="1" applyBorder="1" applyAlignment="1" applyProtection="1">
      <alignment horizontal="center" vertical="center"/>
      <protection hidden="1"/>
    </xf>
    <xf numFmtId="0" fontId="6" fillId="3" borderId="6" xfId="0" applyFont="1" applyFill="1" applyBorder="1" applyAlignment="1" applyProtection="1">
      <alignment horizontal="center" vertical="center"/>
      <protection hidden="1"/>
    </xf>
    <xf numFmtId="0" fontId="4" fillId="3" borderId="13" xfId="0" applyFont="1" applyFill="1" applyBorder="1" applyProtection="1">
      <protection hidden="1"/>
    </xf>
    <xf numFmtId="0" fontId="4" fillId="3" borderId="7" xfId="0" applyFont="1" applyFill="1" applyBorder="1" applyProtection="1">
      <protection hidden="1"/>
    </xf>
    <xf numFmtId="168" fontId="18" fillId="3" borderId="27" xfId="1" applyNumberFormat="1" applyFont="1" applyFill="1" applyBorder="1" applyAlignment="1" applyProtection="1">
      <alignment horizontal="center"/>
      <protection hidden="1"/>
    </xf>
    <xf numFmtId="0" fontId="0" fillId="6" borderId="0" xfId="0" applyFill="1" applyBorder="1" applyProtection="1">
      <protection hidden="1"/>
    </xf>
    <xf numFmtId="0" fontId="6" fillId="2" borderId="2" xfId="0" applyFont="1" applyFill="1" applyBorder="1" applyAlignment="1" applyProtection="1">
      <alignment vertical="center"/>
      <protection hidden="1"/>
    </xf>
    <xf numFmtId="0" fontId="6" fillId="2" borderId="10"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protection hidden="1"/>
    </xf>
    <xf numFmtId="168" fontId="18" fillId="2" borderId="3" xfId="1" applyNumberFormat="1" applyFont="1" applyFill="1" applyBorder="1" applyAlignment="1" applyProtection="1">
      <alignment horizontal="center" vertical="center"/>
      <protection hidden="1"/>
    </xf>
    <xf numFmtId="168" fontId="18" fillId="2" borderId="3" xfId="1" applyNumberFormat="1" applyFont="1" applyFill="1" applyBorder="1" applyAlignment="1" applyProtection="1">
      <alignment horizontal="right" vertical="center"/>
      <protection hidden="1"/>
    </xf>
    <xf numFmtId="164" fontId="2" fillId="9" borderId="0" xfId="0" applyNumberFormat="1" applyFont="1" applyFill="1" applyProtection="1">
      <protection hidden="1"/>
    </xf>
    <xf numFmtId="0" fontId="2" fillId="6" borderId="0" xfId="0" applyFont="1" applyFill="1" applyBorder="1" applyProtection="1">
      <protection hidden="1"/>
    </xf>
    <xf numFmtId="164" fontId="4" fillId="3" borderId="1" xfId="1" applyNumberFormat="1" applyFont="1" applyFill="1" applyBorder="1" applyAlignment="1" applyProtection="1">
      <alignment horizontal="center"/>
      <protection hidden="1"/>
    </xf>
    <xf numFmtId="164" fontId="0" fillId="6" borderId="0" xfId="0" applyNumberFormat="1" applyFill="1" applyBorder="1" applyProtection="1">
      <protection hidden="1"/>
    </xf>
    <xf numFmtId="0" fontId="0" fillId="9" borderId="0" xfId="0" applyFill="1" applyAlignment="1" applyProtection="1">
      <alignment vertical="center"/>
      <protection hidden="1"/>
    </xf>
    <xf numFmtId="3" fontId="0" fillId="9" borderId="0" xfId="0" applyNumberFormat="1" applyFill="1" applyProtection="1">
      <protection hidden="1"/>
    </xf>
    <xf numFmtId="0" fontId="0" fillId="6" borderId="0" xfId="0" applyFill="1" applyBorder="1" applyAlignment="1" applyProtection="1">
      <alignment vertical="center"/>
      <protection hidden="1"/>
    </xf>
    <xf numFmtId="3" fontId="0" fillId="9" borderId="0" xfId="0" applyNumberFormat="1" applyFill="1" applyAlignment="1" applyProtection="1">
      <alignment vertical="center"/>
      <protection hidden="1"/>
    </xf>
    <xf numFmtId="0" fontId="2" fillId="9" borderId="0" xfId="0" applyFont="1" applyFill="1" applyAlignment="1" applyProtection="1">
      <alignment vertical="center"/>
      <protection hidden="1"/>
    </xf>
    <xf numFmtId="164" fontId="2" fillId="9" borderId="0" xfId="0" applyNumberFormat="1" applyFont="1" applyFill="1" applyAlignment="1" applyProtection="1">
      <alignment vertical="center"/>
      <protection hidden="1"/>
    </xf>
    <xf numFmtId="0" fontId="6" fillId="3" borderId="10" xfId="0" applyFont="1" applyFill="1" applyBorder="1" applyAlignment="1" applyProtection="1">
      <alignment horizontal="center" vertical="center" wrapText="1"/>
      <protection hidden="1"/>
    </xf>
    <xf numFmtId="0" fontId="4" fillId="3" borderId="3" xfId="0" applyFont="1" applyFill="1" applyBorder="1" applyAlignment="1" applyProtection="1">
      <alignment horizontal="center" vertical="center"/>
      <protection hidden="1"/>
    </xf>
    <xf numFmtId="168" fontId="26" fillId="3" borderId="3" xfId="1" applyNumberFormat="1" applyFont="1" applyFill="1" applyBorder="1" applyAlignment="1" applyProtection="1">
      <alignment horizontal="center" vertical="center"/>
      <protection hidden="1"/>
    </xf>
    <xf numFmtId="168" fontId="26" fillId="3" borderId="3" xfId="1" applyNumberFormat="1" applyFont="1" applyFill="1" applyBorder="1" applyAlignment="1" applyProtection="1">
      <alignment horizontal="right" vertical="center"/>
      <protection hidden="1"/>
    </xf>
    <xf numFmtId="164" fontId="0" fillId="9" borderId="0" xfId="0" applyNumberFormat="1" applyFill="1" applyAlignment="1" applyProtection="1">
      <alignment vertical="center"/>
      <protection hidden="1"/>
    </xf>
    <xf numFmtId="0" fontId="0" fillId="9" borderId="0" xfId="0" applyFill="1" applyAlignment="1" applyProtection="1">
      <alignment horizontal="left"/>
      <protection hidden="1"/>
    </xf>
    <xf numFmtId="0" fontId="4" fillId="3" borderId="6" xfId="0" applyFont="1" applyFill="1" applyBorder="1" applyAlignment="1" applyProtection="1">
      <alignment horizontal="left" vertical="center"/>
      <protection hidden="1"/>
    </xf>
    <xf numFmtId="0" fontId="6" fillId="3" borderId="6" xfId="0" applyFont="1" applyFill="1" applyBorder="1" applyAlignment="1" applyProtection="1">
      <alignment horizontal="left" vertical="center"/>
      <protection hidden="1"/>
    </xf>
    <xf numFmtId="0" fontId="4" fillId="3" borderId="1" xfId="0" applyFont="1" applyFill="1" applyBorder="1" applyAlignment="1" applyProtection="1">
      <alignment horizontal="left" vertical="center"/>
      <protection hidden="1"/>
    </xf>
    <xf numFmtId="0" fontId="6" fillId="2" borderId="1" xfId="0" applyFont="1" applyFill="1" applyBorder="1" applyAlignment="1" applyProtection="1">
      <alignment horizontal="center" vertical="center" wrapText="1"/>
      <protection hidden="1"/>
    </xf>
    <xf numFmtId="0" fontId="6" fillId="2" borderId="4" xfId="0" applyFont="1" applyFill="1" applyBorder="1" applyAlignment="1" applyProtection="1">
      <alignment vertical="center"/>
      <protection hidden="1"/>
    </xf>
    <xf numFmtId="0" fontId="6" fillId="2" borderId="5" xfId="0" applyFont="1" applyFill="1" applyBorder="1" applyAlignment="1" applyProtection="1">
      <alignment vertical="center"/>
      <protection hidden="1"/>
    </xf>
    <xf numFmtId="0" fontId="6" fillId="2" borderId="6" xfId="0" applyFont="1" applyFill="1" applyBorder="1" applyAlignment="1" applyProtection="1">
      <alignment vertical="center"/>
      <protection hidden="1"/>
    </xf>
    <xf numFmtId="0" fontId="6" fillId="2" borderId="1" xfId="0" applyFont="1" applyFill="1" applyBorder="1" applyAlignment="1" applyProtection="1">
      <alignment horizontal="center"/>
      <protection hidden="1"/>
    </xf>
    <xf numFmtId="0" fontId="6" fillId="2" borderId="4" xfId="0" applyFont="1" applyFill="1" applyBorder="1" applyProtection="1">
      <protection hidden="1"/>
    </xf>
    <xf numFmtId="0" fontId="6" fillId="2" borderId="5" xfId="0" applyFont="1" applyFill="1" applyBorder="1" applyProtection="1">
      <protection hidden="1"/>
    </xf>
    <xf numFmtId="0" fontId="6" fillId="2" borderId="6" xfId="0" applyFont="1" applyFill="1" applyBorder="1" applyProtection="1">
      <protection hidden="1"/>
    </xf>
    <xf numFmtId="0" fontId="6" fillId="2" borderId="6" xfId="0" applyFont="1" applyFill="1" applyBorder="1" applyAlignment="1" applyProtection="1">
      <alignment horizontal="center"/>
      <protection hidden="1"/>
    </xf>
    <xf numFmtId="0" fontId="4" fillId="3" borderId="12" xfId="0" applyFont="1" applyFill="1" applyBorder="1" applyProtection="1">
      <protection hidden="1"/>
    </xf>
    <xf numFmtId="0" fontId="4" fillId="3" borderId="11" xfId="0" applyFont="1" applyFill="1" applyBorder="1" applyProtection="1">
      <protection hidden="1"/>
    </xf>
    <xf numFmtId="0" fontId="4" fillId="3" borderId="14" xfId="0" applyFont="1" applyFill="1" applyBorder="1" applyProtection="1">
      <protection hidden="1"/>
    </xf>
    <xf numFmtId="0" fontId="4" fillId="3" borderId="2" xfId="0" applyFont="1" applyFill="1" applyBorder="1" applyAlignment="1" applyProtection="1">
      <alignment horizontal="center"/>
      <protection hidden="1"/>
    </xf>
    <xf numFmtId="168" fontId="8" fillId="3" borderId="2" xfId="1" applyNumberFormat="1" applyFont="1" applyFill="1" applyBorder="1" applyAlignment="1" applyProtection="1">
      <alignment horizontal="center" vertical="center"/>
      <protection hidden="1"/>
    </xf>
    <xf numFmtId="168" fontId="8" fillId="3" borderId="2" xfId="1" applyNumberFormat="1" applyFont="1" applyFill="1" applyBorder="1" applyAlignment="1" applyProtection="1">
      <alignment horizontal="right"/>
      <protection hidden="1"/>
    </xf>
    <xf numFmtId="164" fontId="6" fillId="3" borderId="13" xfId="1" applyNumberFormat="1" applyFont="1" applyFill="1" applyBorder="1" applyProtection="1">
      <protection hidden="1"/>
    </xf>
    <xf numFmtId="164" fontId="6" fillId="3" borderId="27" xfId="1" applyNumberFormat="1" applyFont="1" applyFill="1" applyBorder="1" applyProtection="1">
      <protection hidden="1"/>
    </xf>
    <xf numFmtId="164" fontId="6" fillId="3" borderId="28" xfId="1" applyNumberFormat="1" applyFont="1" applyFill="1" applyBorder="1" applyProtection="1">
      <protection hidden="1"/>
    </xf>
    <xf numFmtId="0" fontId="4" fillId="3" borderId="3" xfId="0" applyFont="1" applyFill="1" applyBorder="1" applyAlignment="1" applyProtection="1">
      <alignment horizontal="center"/>
      <protection hidden="1"/>
    </xf>
    <xf numFmtId="168" fontId="8" fillId="3" borderId="3" xfId="1" applyNumberFormat="1" applyFont="1" applyFill="1" applyBorder="1" applyAlignment="1" applyProtection="1">
      <alignment horizontal="center" vertical="center"/>
      <protection hidden="1"/>
    </xf>
    <xf numFmtId="168" fontId="8" fillId="3" borderId="3" xfId="1" applyNumberFormat="1" applyFont="1" applyFill="1" applyBorder="1" applyAlignment="1" applyProtection="1">
      <alignment horizontal="right"/>
      <protection hidden="1"/>
    </xf>
    <xf numFmtId="0" fontId="4" fillId="9" borderId="0" xfId="0" applyFont="1" applyFill="1" applyAlignment="1" applyProtection="1">
      <alignment horizontal="center"/>
      <protection hidden="1"/>
    </xf>
    <xf numFmtId="0" fontId="4" fillId="9" borderId="0" xfId="0" applyFont="1" applyFill="1" applyProtection="1">
      <protection hidden="1"/>
    </xf>
    <xf numFmtId="168" fontId="8" fillId="9" borderId="0" xfId="1" applyNumberFormat="1" applyFont="1" applyFill="1" applyAlignment="1" applyProtection="1">
      <alignment horizontal="center"/>
      <protection hidden="1"/>
    </xf>
    <xf numFmtId="168" fontId="8" fillId="9" borderId="0" xfId="1" applyNumberFormat="1" applyFont="1" applyFill="1" applyAlignment="1" applyProtection="1">
      <alignment horizontal="right"/>
      <protection hidden="1"/>
    </xf>
    <xf numFmtId="164" fontId="62" fillId="13" borderId="1" xfId="1" applyNumberFormat="1" applyFont="1" applyFill="1" applyBorder="1" applyProtection="1">
      <protection hidden="1"/>
    </xf>
    <xf numFmtId="164" fontId="62" fillId="10" borderId="8" xfId="1" applyNumberFormat="1" applyFont="1" applyFill="1" applyBorder="1" applyProtection="1">
      <protection hidden="1"/>
    </xf>
    <xf numFmtId="164" fontId="63" fillId="13" borderId="1" xfId="1" applyNumberFormat="1" applyFont="1" applyFill="1" applyBorder="1" applyProtection="1">
      <protection hidden="1"/>
    </xf>
    <xf numFmtId="0" fontId="6" fillId="6" borderId="12" xfId="0" applyFont="1" applyFill="1" applyBorder="1" applyProtection="1">
      <protection locked="0"/>
    </xf>
    <xf numFmtId="0" fontId="0" fillId="6" borderId="11" xfId="0" applyFill="1" applyBorder="1" applyProtection="1">
      <protection locked="0"/>
    </xf>
    <xf numFmtId="14" fontId="6" fillId="6" borderId="15" xfId="0" applyNumberFormat="1" applyFont="1" applyFill="1" applyBorder="1" applyProtection="1">
      <protection locked="0"/>
    </xf>
    <xf numFmtId="0" fontId="6" fillId="6" borderId="13" xfId="0" applyFont="1" applyFill="1" applyBorder="1" applyProtection="1">
      <protection locked="0"/>
    </xf>
    <xf numFmtId="0" fontId="6" fillId="6" borderId="7" xfId="0" applyNumberFormat="1" applyFont="1" applyFill="1" applyBorder="1" applyProtection="1">
      <protection locked="0"/>
    </xf>
    <xf numFmtId="0" fontId="4" fillId="6" borderId="7" xfId="0" applyFont="1" applyFill="1" applyBorder="1" applyProtection="1">
      <protection locked="0"/>
    </xf>
    <xf numFmtId="0" fontId="0" fillId="6" borderId="7" xfId="0" applyFill="1" applyBorder="1" applyProtection="1">
      <protection locked="0"/>
    </xf>
    <xf numFmtId="0" fontId="6" fillId="6" borderId="10" xfId="0" applyFont="1" applyFill="1" applyBorder="1" applyProtection="1">
      <protection locked="0"/>
    </xf>
    <xf numFmtId="164" fontId="9" fillId="2" borderId="1" xfId="1" applyNumberFormat="1" applyFont="1" applyFill="1" applyBorder="1" applyProtection="1">
      <protection locked="0"/>
    </xf>
    <xf numFmtId="164" fontId="9" fillId="2" borderId="1" xfId="1" applyNumberFormat="1" applyFont="1" applyFill="1" applyBorder="1" applyAlignment="1" applyProtection="1">
      <alignment vertical="center"/>
      <protection locked="0"/>
    </xf>
    <xf numFmtId="0" fontId="42" fillId="3" borderId="0" xfId="0" applyFont="1" applyFill="1" applyProtection="1">
      <protection locked="0"/>
    </xf>
    <xf numFmtId="0" fontId="6" fillId="6" borderId="12" xfId="0" applyFont="1" applyFill="1" applyBorder="1" applyProtection="1">
      <protection hidden="1"/>
    </xf>
    <xf numFmtId="0" fontId="0" fillId="6" borderId="11" xfId="0" applyFill="1" applyBorder="1" applyProtection="1">
      <protection hidden="1"/>
    </xf>
    <xf numFmtId="14" fontId="6" fillId="6" borderId="15" xfId="0" applyNumberFormat="1" applyFont="1" applyFill="1" applyBorder="1" applyProtection="1">
      <protection hidden="1"/>
    </xf>
    <xf numFmtId="0" fontId="6" fillId="6" borderId="13" xfId="0" applyFont="1" applyFill="1" applyBorder="1" applyProtection="1">
      <protection hidden="1"/>
    </xf>
    <xf numFmtId="0" fontId="6" fillId="6" borderId="7" xfId="0" applyNumberFormat="1" applyFont="1" applyFill="1" applyBorder="1" applyProtection="1">
      <protection hidden="1"/>
    </xf>
    <xf numFmtId="0" fontId="4" fillId="6" borderId="7" xfId="0" applyFont="1" applyFill="1" applyBorder="1" applyProtection="1">
      <protection hidden="1"/>
    </xf>
    <xf numFmtId="0" fontId="0" fillId="6" borderId="7" xfId="0" applyFill="1" applyBorder="1" applyProtection="1">
      <protection hidden="1"/>
    </xf>
    <xf numFmtId="0" fontId="6" fillId="6" borderId="10" xfId="0" applyFont="1" applyFill="1" applyBorder="1" applyProtection="1">
      <protection hidden="1"/>
    </xf>
    <xf numFmtId="0" fontId="6" fillId="2" borderId="13" xfId="0" applyFont="1" applyFill="1" applyBorder="1" applyAlignment="1" applyProtection="1">
      <alignment horizontal="left" vertical="top"/>
      <protection hidden="1"/>
    </xf>
    <xf numFmtId="0" fontId="6" fillId="2" borderId="10" xfId="0" applyFont="1" applyFill="1" applyBorder="1" applyAlignment="1" applyProtection="1">
      <alignment horizontal="right" vertical="top"/>
      <protection hidden="1"/>
    </xf>
    <xf numFmtId="164" fontId="9" fillId="2" borderId="1" xfId="1" applyNumberFormat="1" applyFont="1" applyFill="1" applyBorder="1" applyProtection="1">
      <protection hidden="1"/>
    </xf>
    <xf numFmtId="164" fontId="8" fillId="3" borderId="1" xfId="1" applyNumberFormat="1" applyFont="1" applyFill="1" applyBorder="1" applyProtection="1">
      <protection hidden="1"/>
    </xf>
    <xf numFmtId="164" fontId="8" fillId="16" borderId="1" xfId="1" applyNumberFormat="1" applyFont="1" applyFill="1" applyBorder="1" applyProtection="1">
      <protection hidden="1"/>
    </xf>
    <xf numFmtId="164" fontId="9" fillId="2" borderId="1" xfId="1" applyNumberFormat="1" applyFont="1" applyFill="1" applyBorder="1" applyAlignment="1" applyProtection="1">
      <alignment vertical="center"/>
      <protection hidden="1"/>
    </xf>
    <xf numFmtId="0" fontId="6" fillId="3" borderId="0" xfId="0" applyFont="1" applyFill="1" applyBorder="1" applyProtection="1">
      <protection hidden="1"/>
    </xf>
    <xf numFmtId="164" fontId="9" fillId="3" borderId="0" xfId="1" applyNumberFormat="1" applyFont="1" applyFill="1" applyBorder="1" applyProtection="1">
      <protection hidden="1"/>
    </xf>
    <xf numFmtId="0" fontId="42" fillId="3" borderId="0" xfId="0" applyFont="1" applyFill="1" applyProtection="1">
      <protection hidden="1"/>
    </xf>
    <xf numFmtId="164" fontId="39" fillId="16" borderId="1" xfId="1" applyNumberFormat="1" applyFont="1" applyFill="1" applyBorder="1" applyProtection="1">
      <protection locked="0" hidden="1"/>
    </xf>
    <xf numFmtId="164" fontId="8" fillId="16" borderId="1" xfId="1" applyNumberFormat="1" applyFont="1" applyFill="1" applyBorder="1" applyProtection="1">
      <protection locked="0" hidden="1"/>
    </xf>
    <xf numFmtId="0" fontId="6" fillId="6" borderId="10" xfId="0" applyNumberFormat="1" applyFont="1" applyFill="1" applyBorder="1" applyProtection="1">
      <protection hidden="1"/>
    </xf>
    <xf numFmtId="0" fontId="6" fillId="2" borderId="19" xfId="0" applyFont="1" applyFill="1" applyBorder="1" applyAlignment="1" applyProtection="1">
      <alignment horizontal="center" vertical="center" wrapText="1"/>
      <protection hidden="1"/>
    </xf>
    <xf numFmtId="0" fontId="2" fillId="2" borderId="19" xfId="0" applyFont="1" applyFill="1" applyBorder="1" applyAlignment="1" applyProtection="1">
      <alignment horizontal="center" vertical="center"/>
      <protection hidden="1"/>
    </xf>
    <xf numFmtId="0" fontId="6" fillId="2" borderId="13" xfId="0" applyFont="1" applyFill="1" applyBorder="1" applyAlignment="1" applyProtection="1">
      <alignment horizontal="left" vertical="center"/>
      <protection hidden="1"/>
    </xf>
    <xf numFmtId="0" fontId="6" fillId="2" borderId="10" xfId="0" applyFont="1" applyFill="1" applyBorder="1" applyAlignment="1" applyProtection="1">
      <alignment horizontal="center" vertical="center"/>
      <protection hidden="1"/>
    </xf>
    <xf numFmtId="0" fontId="6" fillId="2" borderId="4" xfId="0" applyFont="1" applyFill="1" applyBorder="1" applyAlignment="1" applyProtection="1">
      <alignment horizontal="center" vertical="center" wrapText="1"/>
      <protection hidden="1"/>
    </xf>
    <xf numFmtId="164" fontId="8" fillId="3" borderId="4" xfId="1" applyNumberFormat="1" applyFont="1" applyFill="1" applyBorder="1" applyProtection="1">
      <protection hidden="1"/>
    </xf>
    <xf numFmtId="164" fontId="8" fillId="3" borderId="19" xfId="1" applyNumberFormat="1" applyFont="1" applyFill="1" applyBorder="1" applyProtection="1">
      <protection hidden="1"/>
    </xf>
    <xf numFmtId="164" fontId="8" fillId="2" borderId="4" xfId="1" applyNumberFormat="1" applyFont="1" applyFill="1" applyBorder="1" applyProtection="1">
      <protection hidden="1"/>
    </xf>
    <xf numFmtId="164" fontId="8" fillId="2" borderId="19" xfId="1" applyNumberFormat="1" applyFont="1" applyFill="1" applyBorder="1" applyProtection="1">
      <protection hidden="1"/>
    </xf>
    <xf numFmtId="164" fontId="8" fillId="2" borderId="1" xfId="1" applyNumberFormat="1" applyFont="1" applyFill="1" applyBorder="1" applyProtection="1">
      <protection hidden="1"/>
    </xf>
    <xf numFmtId="164" fontId="8" fillId="2" borderId="17" xfId="1" applyNumberFormat="1" applyFont="1" applyFill="1" applyBorder="1" applyProtection="1">
      <protection hidden="1"/>
    </xf>
    <xf numFmtId="164" fontId="8" fillId="2" borderId="6" xfId="1" applyNumberFormat="1" applyFont="1" applyFill="1" applyBorder="1" applyProtection="1">
      <protection hidden="1"/>
    </xf>
    <xf numFmtId="164" fontId="9" fillId="2" borderId="4" xfId="1" applyNumberFormat="1" applyFont="1" applyFill="1" applyBorder="1" applyProtection="1">
      <protection hidden="1"/>
    </xf>
    <xf numFmtId="164" fontId="9" fillId="2" borderId="19" xfId="1" applyNumberFormat="1" applyFont="1" applyFill="1" applyBorder="1" applyProtection="1">
      <protection hidden="1"/>
    </xf>
    <xf numFmtId="0" fontId="4" fillId="0" borderId="0" xfId="0" applyFont="1" applyProtection="1">
      <protection hidden="1"/>
    </xf>
    <xf numFmtId="3" fontId="6" fillId="6" borderId="11" xfId="0" applyNumberFormat="1" applyFont="1" applyFill="1" applyBorder="1" applyAlignment="1" applyProtection="1">
      <protection hidden="1"/>
    </xf>
    <xf numFmtId="0" fontId="6" fillId="6" borderId="11" xfId="0" applyFont="1" applyFill="1" applyBorder="1" applyAlignment="1" applyProtection="1">
      <protection hidden="1"/>
    </xf>
    <xf numFmtId="0" fontId="6" fillId="6" borderId="7" xfId="0" applyFont="1" applyFill="1" applyBorder="1" applyAlignment="1" applyProtection="1">
      <protection hidden="1"/>
    </xf>
    <xf numFmtId="3" fontId="6" fillId="6" borderId="10" xfId="0" applyNumberFormat="1" applyFont="1" applyFill="1" applyBorder="1" applyProtection="1">
      <protection hidden="1"/>
    </xf>
    <xf numFmtId="0" fontId="0" fillId="2" borderId="2" xfId="0" applyFill="1" applyBorder="1" applyAlignment="1" applyProtection="1">
      <alignment horizontal="center"/>
      <protection hidden="1"/>
    </xf>
    <xf numFmtId="0" fontId="4" fillId="0" borderId="4" xfId="0" applyFont="1" applyBorder="1" applyProtection="1">
      <protection hidden="1"/>
    </xf>
    <xf numFmtId="0" fontId="4" fillId="0" borderId="6" xfId="0" applyFont="1" applyBorder="1" applyProtection="1">
      <protection hidden="1"/>
    </xf>
    <xf numFmtId="164" fontId="8" fillId="0" borderId="1" xfId="1" applyNumberFormat="1" applyFont="1" applyBorder="1" applyProtection="1">
      <protection hidden="1"/>
    </xf>
    <xf numFmtId="0" fontId="2" fillId="0" borderId="0" xfId="0" applyFont="1" applyProtection="1">
      <protection hidden="1"/>
    </xf>
    <xf numFmtId="164" fontId="9" fillId="2" borderId="1" xfId="1" applyNumberFormat="1" applyFont="1" applyFill="1" applyBorder="1" applyAlignment="1" applyProtection="1">
      <protection hidden="1"/>
    </xf>
    <xf numFmtId="0" fontId="6" fillId="0" borderId="0" xfId="0" applyFont="1" applyFill="1" applyBorder="1" applyProtection="1">
      <protection hidden="1"/>
    </xf>
    <xf numFmtId="164" fontId="9" fillId="0" borderId="0" xfId="1" applyNumberFormat="1" applyFont="1" applyFill="1" applyBorder="1" applyProtection="1">
      <protection hidden="1"/>
    </xf>
    <xf numFmtId="0" fontId="0" fillId="17" borderId="0" xfId="0" applyFill="1" applyProtection="1">
      <protection hidden="1"/>
    </xf>
    <xf numFmtId="168" fontId="4" fillId="17" borderId="0" xfId="0" applyNumberFormat="1" applyFont="1" applyFill="1" applyProtection="1">
      <protection hidden="1"/>
    </xf>
    <xf numFmtId="168" fontId="6" fillId="6" borderId="11" xfId="0" applyNumberFormat="1" applyFont="1" applyFill="1" applyBorder="1" applyAlignment="1" applyProtection="1">
      <protection hidden="1"/>
    </xf>
    <xf numFmtId="168" fontId="4" fillId="6" borderId="7" xfId="0" applyNumberFormat="1" applyFont="1" applyFill="1" applyBorder="1" applyProtection="1">
      <protection hidden="1"/>
    </xf>
    <xf numFmtId="168" fontId="6" fillId="6" borderId="10" xfId="0" applyNumberFormat="1" applyFont="1" applyFill="1" applyBorder="1" applyProtection="1">
      <protection hidden="1"/>
    </xf>
    <xf numFmtId="168" fontId="0" fillId="17" borderId="0" xfId="0" applyNumberFormat="1" applyFill="1" applyProtection="1">
      <protection hidden="1"/>
    </xf>
    <xf numFmtId="168" fontId="6" fillId="2" borderId="1" xfId="0" applyNumberFormat="1" applyFont="1" applyFill="1" applyBorder="1" applyAlignment="1" applyProtection="1">
      <alignment horizontal="center" vertical="center" wrapText="1"/>
      <protection hidden="1"/>
    </xf>
    <xf numFmtId="168" fontId="8" fillId="3" borderId="1" xfId="1" applyNumberFormat="1" applyFont="1" applyFill="1" applyBorder="1" applyProtection="1">
      <protection hidden="1"/>
    </xf>
    <xf numFmtId="168" fontId="9" fillId="2" borderId="1" xfId="1" applyNumberFormat="1" applyFont="1" applyFill="1" applyBorder="1" applyProtection="1">
      <protection hidden="1"/>
    </xf>
    <xf numFmtId="0" fontId="2" fillId="17" borderId="0" xfId="0" applyFont="1" applyFill="1" applyProtection="1">
      <protection hidden="1"/>
    </xf>
    <xf numFmtId="168" fontId="8" fillId="3" borderId="1" xfId="1" applyNumberFormat="1" applyFont="1" applyFill="1" applyBorder="1" applyAlignment="1" applyProtection="1">
      <alignment vertical="center"/>
      <protection hidden="1"/>
    </xf>
    <xf numFmtId="168" fontId="0" fillId="9" borderId="0" xfId="0" applyNumberFormat="1" applyFill="1" applyProtection="1">
      <protection hidden="1"/>
    </xf>
    <xf numFmtId="0" fontId="4" fillId="17" borderId="0" xfId="0" applyFont="1" applyFill="1" applyBorder="1" applyProtection="1">
      <protection hidden="1"/>
    </xf>
    <xf numFmtId="0" fontId="4" fillId="17" borderId="8" xfId="0" applyFont="1" applyFill="1" applyBorder="1" applyProtection="1">
      <protection hidden="1"/>
    </xf>
    <xf numFmtId="3" fontId="6" fillId="6" borderId="11" xfId="0" applyNumberFormat="1" applyFont="1" applyFill="1" applyBorder="1" applyAlignment="1" applyProtection="1">
      <alignment horizontal="right"/>
      <protection hidden="1"/>
    </xf>
    <xf numFmtId="14" fontId="6" fillId="6" borderId="14" xfId="0" applyNumberFormat="1" applyFont="1" applyFill="1" applyBorder="1" applyAlignment="1" applyProtection="1">
      <protection hidden="1"/>
    </xf>
    <xf numFmtId="3" fontId="6" fillId="6" borderId="10" xfId="0" applyNumberFormat="1" applyFont="1" applyFill="1" applyBorder="1" applyAlignment="1" applyProtection="1">
      <protection hidden="1"/>
    </xf>
    <xf numFmtId="0" fontId="0" fillId="17" borderId="0" xfId="0" applyFill="1" applyBorder="1" applyProtection="1">
      <protection hidden="1"/>
    </xf>
    <xf numFmtId="0" fontId="0" fillId="17" borderId="8" xfId="0" applyFill="1" applyBorder="1" applyProtection="1">
      <protection hidden="1"/>
    </xf>
    <xf numFmtId="0" fontId="2" fillId="2" borderId="4" xfId="0" applyFont="1" applyFill="1" applyBorder="1" applyAlignment="1" applyProtection="1">
      <alignment horizontal="center" vertical="center" wrapText="1"/>
      <protection hidden="1"/>
    </xf>
    <xf numFmtId="0" fontId="2" fillId="2" borderId="1" xfId="0" applyFont="1" applyFill="1" applyBorder="1" applyAlignment="1" applyProtection="1">
      <alignment horizontal="center" vertical="center" wrapText="1"/>
      <protection hidden="1"/>
    </xf>
    <xf numFmtId="0" fontId="0" fillId="3" borderId="6" xfId="0" applyFill="1" applyBorder="1" applyProtection="1">
      <protection hidden="1"/>
    </xf>
    <xf numFmtId="164" fontId="2" fillId="2" borderId="1" xfId="1" applyNumberFormat="1" applyFont="1" applyFill="1" applyBorder="1" applyAlignment="1" applyProtection="1">
      <alignment horizontal="center"/>
      <protection hidden="1"/>
    </xf>
    <xf numFmtId="0" fontId="2" fillId="3" borderId="12" xfId="0" applyFont="1" applyFill="1" applyBorder="1" applyProtection="1">
      <protection hidden="1"/>
    </xf>
    <xf numFmtId="0" fontId="0" fillId="3" borderId="11" xfId="0" applyFill="1" applyBorder="1" applyProtection="1">
      <protection hidden="1"/>
    </xf>
    <xf numFmtId="0" fontId="0" fillId="3" borderId="14" xfId="0" applyFill="1" applyBorder="1" applyProtection="1">
      <protection hidden="1"/>
    </xf>
    <xf numFmtId="0" fontId="2" fillId="2" borderId="4" xfId="0" applyFont="1" applyFill="1" applyBorder="1" applyAlignment="1" applyProtection="1">
      <alignment vertical="center"/>
      <protection hidden="1"/>
    </xf>
    <xf numFmtId="0" fontId="0" fillId="2" borderId="5" xfId="0" applyFill="1" applyBorder="1" applyAlignment="1" applyProtection="1">
      <alignment vertical="center"/>
      <protection hidden="1"/>
    </xf>
    <xf numFmtId="0" fontId="0" fillId="16" borderId="1" xfId="0" applyFill="1" applyBorder="1" applyAlignment="1" applyProtection="1">
      <alignment horizontal="center" vertical="center"/>
      <protection hidden="1"/>
    </xf>
    <xf numFmtId="164" fontId="0" fillId="3" borderId="6" xfId="1" applyNumberFormat="1" applyFont="1" applyFill="1" applyBorder="1" applyProtection="1">
      <protection hidden="1"/>
    </xf>
    <xf numFmtId="164" fontId="2" fillId="16" borderId="1" xfId="1" applyNumberFormat="1" applyFont="1" applyFill="1" applyBorder="1" applyAlignment="1" applyProtection="1">
      <alignment horizontal="center"/>
      <protection hidden="1"/>
    </xf>
    <xf numFmtId="9" fontId="8" fillId="3" borderId="1" xfId="4" applyFont="1" applyFill="1" applyBorder="1" applyAlignment="1" applyProtection="1">
      <alignment horizontal="center"/>
      <protection hidden="1"/>
    </xf>
    <xf numFmtId="9" fontId="8" fillId="3" borderId="1" xfId="4" applyNumberFormat="1" applyFont="1" applyFill="1" applyBorder="1" applyAlignment="1" applyProtection="1">
      <alignment horizontal="center"/>
      <protection hidden="1"/>
    </xf>
    <xf numFmtId="9" fontId="8" fillId="2" borderId="1" xfId="4" applyNumberFormat="1" applyFont="1" applyFill="1" applyBorder="1" applyAlignment="1" applyProtection="1">
      <alignment horizontal="center"/>
      <protection hidden="1"/>
    </xf>
    <xf numFmtId="9" fontId="0" fillId="9" borderId="0" xfId="4" applyFont="1" applyFill="1" applyProtection="1">
      <protection hidden="1"/>
    </xf>
    <xf numFmtId="0" fontId="4" fillId="2" borderId="6" xfId="0" applyFont="1" applyFill="1" applyBorder="1" applyProtection="1">
      <protection hidden="1"/>
    </xf>
    <xf numFmtId="0" fontId="6" fillId="6" borderId="12" xfId="0" applyFont="1" applyFill="1" applyBorder="1" applyAlignment="1" applyProtection="1">
      <alignment vertical="top"/>
      <protection hidden="1"/>
    </xf>
    <xf numFmtId="0" fontId="6" fillId="6" borderId="11" xfId="0" applyFont="1" applyFill="1" applyBorder="1" applyAlignment="1" applyProtection="1">
      <alignment vertical="top"/>
      <protection hidden="1"/>
    </xf>
    <xf numFmtId="14" fontId="6" fillId="6" borderId="15" xfId="0" applyNumberFormat="1" applyFont="1" applyFill="1" applyBorder="1" applyAlignment="1" applyProtection="1">
      <alignment vertical="top"/>
      <protection hidden="1"/>
    </xf>
    <xf numFmtId="0" fontId="6" fillId="4" borderId="1" xfId="0" applyFont="1" applyFill="1" applyBorder="1" applyAlignment="1" applyProtection="1">
      <alignment horizontal="center" vertical="center" wrapText="1"/>
      <protection hidden="1"/>
    </xf>
    <xf numFmtId="164" fontId="8" fillId="17" borderId="1" xfId="1" applyNumberFormat="1" applyFont="1" applyFill="1" applyBorder="1" applyProtection="1">
      <protection hidden="1"/>
    </xf>
    <xf numFmtId="9" fontId="8" fillId="17" borderId="1" xfId="4" applyFont="1" applyFill="1" applyBorder="1" applyAlignment="1" applyProtection="1">
      <alignment horizontal="center"/>
      <protection hidden="1"/>
    </xf>
    <xf numFmtId="164" fontId="9" fillId="4" borderId="1" xfId="1" applyNumberFormat="1" applyFont="1" applyFill="1" applyBorder="1" applyAlignment="1" applyProtection="1">
      <alignment vertical="center"/>
      <protection hidden="1"/>
    </xf>
    <xf numFmtId="9" fontId="8" fillId="4" borderId="1" xfId="4" applyFont="1" applyFill="1" applyBorder="1" applyAlignment="1" applyProtection="1">
      <alignment horizontal="center" vertical="center"/>
      <protection hidden="1"/>
    </xf>
    <xf numFmtId="9" fontId="9" fillId="4" borderId="1" xfId="4" applyFont="1" applyFill="1" applyBorder="1" applyAlignment="1" applyProtection="1">
      <alignment horizontal="center" vertical="center"/>
      <protection hidden="1"/>
    </xf>
    <xf numFmtId="0" fontId="42" fillId="17" borderId="0" xfId="0" applyFont="1" applyFill="1" applyProtection="1">
      <protection hidden="1"/>
    </xf>
    <xf numFmtId="0" fontId="6" fillId="5" borderId="1" xfId="0" applyFont="1" applyFill="1" applyBorder="1" applyAlignment="1" applyProtection="1">
      <alignment horizontal="center" vertical="center" wrapText="1"/>
      <protection hidden="1"/>
    </xf>
    <xf numFmtId="9" fontId="9" fillId="3" borderId="1" xfId="4" applyFont="1" applyFill="1" applyBorder="1" applyAlignment="1" applyProtection="1">
      <alignment horizontal="center"/>
      <protection hidden="1"/>
    </xf>
    <xf numFmtId="9" fontId="9" fillId="3" borderId="1" xfId="4" applyFont="1" applyFill="1" applyBorder="1" applyAlignment="1" applyProtection="1">
      <alignment horizontal="center" vertical="center"/>
      <protection hidden="1"/>
    </xf>
    <xf numFmtId="164" fontId="9" fillId="5" borderId="1" xfId="1" applyNumberFormat="1" applyFont="1" applyFill="1" applyBorder="1" applyProtection="1">
      <protection hidden="1"/>
    </xf>
    <xf numFmtId="9" fontId="9" fillId="5" borderId="1" xfId="4" applyFont="1" applyFill="1" applyBorder="1" applyAlignment="1" applyProtection="1">
      <alignment horizontal="center"/>
      <protection hidden="1"/>
    </xf>
    <xf numFmtId="0" fontId="0" fillId="17" borderId="0" xfId="0" applyFill="1" applyProtection="1">
      <protection locked="0" hidden="1"/>
    </xf>
    <xf numFmtId="0" fontId="42" fillId="17" borderId="0" xfId="0" applyFont="1" applyFill="1" applyProtection="1">
      <protection locked="0" hidden="1"/>
    </xf>
    <xf numFmtId="168" fontId="4" fillId="3" borderId="0" xfId="0" applyNumberFormat="1" applyFont="1" applyFill="1" applyProtection="1">
      <protection hidden="1"/>
    </xf>
    <xf numFmtId="14" fontId="6" fillId="6" borderId="15" xfId="0" applyNumberFormat="1" applyFont="1" applyFill="1" applyBorder="1" applyAlignment="1" applyProtection="1">
      <alignment horizontal="center"/>
      <protection hidden="1"/>
    </xf>
    <xf numFmtId="168" fontId="6" fillId="6" borderId="7" xfId="0" applyNumberFormat="1" applyFont="1" applyFill="1" applyBorder="1" applyAlignment="1" applyProtection="1">
      <protection hidden="1"/>
    </xf>
    <xf numFmtId="3" fontId="6" fillId="6" borderId="10" xfId="0" applyNumberFormat="1" applyFont="1" applyFill="1" applyBorder="1" applyAlignment="1" applyProtection="1">
      <alignment horizontal="center"/>
      <protection hidden="1"/>
    </xf>
    <xf numFmtId="168" fontId="0" fillId="3" borderId="0" xfId="0" applyNumberFormat="1" applyFill="1" applyProtection="1">
      <protection hidden="1"/>
    </xf>
    <xf numFmtId="168" fontId="6" fillId="4" borderId="1" xfId="0" applyNumberFormat="1" applyFont="1" applyFill="1" applyBorder="1" applyAlignment="1" applyProtection="1">
      <alignment horizontal="center" vertical="center" wrapText="1"/>
      <protection hidden="1"/>
    </xf>
    <xf numFmtId="164" fontId="9" fillId="4" borderId="1" xfId="1" applyNumberFormat="1" applyFont="1" applyFill="1" applyBorder="1" applyProtection="1">
      <protection hidden="1"/>
    </xf>
    <xf numFmtId="9" fontId="9" fillId="4" borderId="1" xfId="4" applyFont="1" applyFill="1" applyBorder="1" applyAlignment="1" applyProtection="1">
      <alignment horizontal="center"/>
      <protection hidden="1"/>
    </xf>
    <xf numFmtId="0" fontId="0" fillId="9" borderId="0" xfId="0" applyFill="1" applyAlignment="1" applyProtection="1">
      <alignment horizontal="center"/>
      <protection hidden="1"/>
    </xf>
    <xf numFmtId="164" fontId="8" fillId="4" borderId="1" xfId="1" applyNumberFormat="1" applyFont="1" applyFill="1" applyBorder="1" applyProtection="1">
      <protection hidden="1"/>
    </xf>
    <xf numFmtId="9" fontId="8" fillId="9" borderId="0" xfId="4" applyFont="1" applyFill="1" applyBorder="1" applyProtection="1">
      <protection hidden="1"/>
    </xf>
    <xf numFmtId="0" fontId="0" fillId="6" borderId="11" xfId="0" applyFill="1" applyBorder="1" applyAlignment="1" applyProtection="1">
      <alignment horizontal="center"/>
      <protection hidden="1"/>
    </xf>
    <xf numFmtId="0" fontId="0" fillId="6" borderId="7" xfId="0" applyFill="1" applyBorder="1" applyAlignment="1" applyProtection="1">
      <alignment horizontal="center"/>
      <protection hidden="1"/>
    </xf>
    <xf numFmtId="0" fontId="0" fillId="17" borderId="0" xfId="0" applyFill="1" applyAlignment="1" applyProtection="1">
      <alignment horizontal="center"/>
      <protection hidden="1"/>
    </xf>
    <xf numFmtId="0" fontId="4" fillId="17" borderId="4" xfId="0" applyFont="1" applyFill="1" applyBorder="1" applyAlignment="1" applyProtection="1">
      <alignment wrapText="1"/>
      <protection hidden="1"/>
    </xf>
    <xf numFmtId="9" fontId="9" fillId="17" borderId="1" xfId="4" applyFont="1" applyFill="1" applyBorder="1" applyAlignment="1" applyProtection="1">
      <alignment horizontal="center"/>
      <protection hidden="1"/>
    </xf>
    <xf numFmtId="0" fontId="0" fillId="9" borderId="0" xfId="0" applyFill="1" applyAlignment="1" applyProtection="1">
      <alignment vertical="top"/>
      <protection hidden="1"/>
    </xf>
    <xf numFmtId="0" fontId="0" fillId="3" borderId="0" xfId="0" applyFill="1" applyAlignment="1" applyProtection="1">
      <alignment vertical="top"/>
      <protection hidden="1"/>
    </xf>
    <xf numFmtId="0" fontId="0" fillId="3" borderId="1" xfId="0" applyFill="1" applyBorder="1" applyProtection="1">
      <protection hidden="1"/>
    </xf>
    <xf numFmtId="168" fontId="8" fillId="2" borderId="1" xfId="1" applyNumberFormat="1" applyFont="1" applyFill="1" applyBorder="1" applyProtection="1">
      <protection hidden="1"/>
    </xf>
    <xf numFmtId="9" fontId="8" fillId="2" borderId="1" xfId="4" applyFont="1" applyFill="1" applyBorder="1" applyProtection="1">
      <protection hidden="1"/>
    </xf>
    <xf numFmtId="9" fontId="9" fillId="2" borderId="1" xfId="4" applyFont="1" applyFill="1" applyBorder="1" applyProtection="1">
      <protection hidden="1"/>
    </xf>
    <xf numFmtId="9" fontId="9" fillId="2" borderId="1" xfId="4" applyFont="1" applyFill="1" applyBorder="1" applyAlignment="1" applyProtection="1">
      <alignment horizontal="center"/>
      <protection hidden="1"/>
    </xf>
    <xf numFmtId="0" fontId="7" fillId="2" borderId="4" xfId="0" applyFont="1" applyFill="1" applyBorder="1" applyProtection="1">
      <protection hidden="1"/>
    </xf>
    <xf numFmtId="168" fontId="8" fillId="3" borderId="1" xfId="4" applyNumberFormat="1" applyFont="1" applyFill="1" applyBorder="1" applyAlignment="1" applyProtection="1">
      <alignment vertical="center"/>
      <protection hidden="1"/>
    </xf>
    <xf numFmtId="168" fontId="8" fillId="3" borderId="1" xfId="4" applyNumberFormat="1" applyFont="1" applyFill="1" applyBorder="1" applyProtection="1">
      <protection hidden="1"/>
    </xf>
    <xf numFmtId="9" fontId="9" fillId="2" borderId="1" xfId="4" applyFont="1" applyFill="1" applyBorder="1" applyAlignment="1" applyProtection="1">
      <alignment horizontal="center" vertical="center"/>
      <protection hidden="1"/>
    </xf>
    <xf numFmtId="9" fontId="8" fillId="7" borderId="1" xfId="4" applyFont="1" applyFill="1" applyBorder="1" applyAlignment="1" applyProtection="1">
      <alignment horizontal="center"/>
      <protection hidden="1"/>
    </xf>
    <xf numFmtId="0" fontId="7" fillId="3" borderId="4" xfId="0" applyFont="1" applyFill="1" applyBorder="1" applyProtection="1">
      <protection hidden="1"/>
    </xf>
    <xf numFmtId="9" fontId="8" fillId="3" borderId="1" xfId="4" applyFont="1" applyFill="1" applyBorder="1" applyProtection="1">
      <protection hidden="1"/>
    </xf>
    <xf numFmtId="168" fontId="0" fillId="3" borderId="1" xfId="0" applyNumberFormat="1" applyFill="1" applyBorder="1" applyProtection="1">
      <protection hidden="1"/>
    </xf>
    <xf numFmtId="9" fontId="8" fillId="7" borderId="1" xfId="4" applyFont="1" applyFill="1" applyBorder="1" applyProtection="1">
      <protection hidden="1"/>
    </xf>
    <xf numFmtId="0" fontId="6" fillId="2" borderId="13" xfId="0" applyFont="1" applyFill="1" applyBorder="1" applyAlignment="1" applyProtection="1">
      <alignment vertical="center"/>
      <protection hidden="1"/>
    </xf>
    <xf numFmtId="0" fontId="6" fillId="2" borderId="10" xfId="0" applyFont="1" applyFill="1" applyBorder="1" applyAlignment="1" applyProtection="1">
      <alignment vertical="center"/>
      <protection hidden="1"/>
    </xf>
    <xf numFmtId="0" fontId="17" fillId="3" borderId="11" xfId="0" applyFont="1" applyFill="1" applyBorder="1" applyProtection="1">
      <protection hidden="1"/>
    </xf>
    <xf numFmtId="0" fontId="21" fillId="3" borderId="0" xfId="0" applyFont="1" applyFill="1" applyProtection="1">
      <protection hidden="1"/>
    </xf>
    <xf numFmtId="168" fontId="21" fillId="3" borderId="0" xfId="0" applyNumberFormat="1" applyFont="1" applyFill="1" applyProtection="1">
      <protection hidden="1"/>
    </xf>
    <xf numFmtId="0" fontId="17" fillId="3" borderId="0" xfId="0" applyFont="1" applyFill="1" applyBorder="1" applyProtection="1">
      <protection hidden="1"/>
    </xf>
    <xf numFmtId="14" fontId="6" fillId="6" borderId="15" xfId="0" applyNumberFormat="1" applyFont="1" applyFill="1" applyBorder="1" applyAlignment="1" applyProtection="1">
      <alignment horizontal="center" vertical="top"/>
      <protection hidden="1"/>
    </xf>
    <xf numFmtId="168" fontId="4" fillId="3" borderId="4" xfId="0" applyNumberFormat="1" applyFont="1" applyFill="1" applyBorder="1" applyAlignment="1" applyProtection="1">
      <alignment horizontal="left"/>
      <protection hidden="1"/>
    </xf>
    <xf numFmtId="0" fontId="4" fillId="3" borderId="6" xfId="0" applyFont="1" applyFill="1" applyBorder="1" applyAlignment="1" applyProtection="1">
      <alignment horizontal="left"/>
      <protection hidden="1"/>
    </xf>
    <xf numFmtId="0" fontId="4" fillId="3" borderId="4" xfId="0" applyFont="1" applyFill="1" applyBorder="1" applyAlignment="1" applyProtection="1">
      <alignment horizontal="left"/>
      <protection hidden="1"/>
    </xf>
    <xf numFmtId="0" fontId="6" fillId="2" borderId="4" xfId="0" applyFont="1" applyFill="1" applyBorder="1" applyAlignment="1" applyProtection="1">
      <alignment horizontal="left"/>
      <protection hidden="1"/>
    </xf>
    <xf numFmtId="0" fontId="6" fillId="2" borderId="6" xfId="0" applyFont="1" applyFill="1" applyBorder="1" applyAlignment="1" applyProtection="1">
      <alignment horizontal="left"/>
      <protection hidden="1"/>
    </xf>
    <xf numFmtId="0" fontId="7" fillId="3" borderId="4" xfId="0" applyFont="1" applyFill="1" applyBorder="1" applyAlignment="1" applyProtection="1">
      <alignment horizontal="left"/>
      <protection hidden="1"/>
    </xf>
    <xf numFmtId="0" fontId="4" fillId="2" borderId="6" xfId="0" applyFont="1" applyFill="1" applyBorder="1" applyAlignment="1" applyProtection="1">
      <alignment horizontal="left"/>
      <protection hidden="1"/>
    </xf>
    <xf numFmtId="0" fontId="2" fillId="2" borderId="1" xfId="0" applyFont="1" applyFill="1" applyBorder="1" applyAlignment="1" applyProtection="1">
      <alignment horizontal="center" vertical="center"/>
      <protection hidden="1"/>
    </xf>
    <xf numFmtId="164" fontId="16" fillId="3" borderId="1" xfId="0" applyNumberFormat="1" applyFont="1" applyFill="1" applyBorder="1" applyProtection="1">
      <protection hidden="1"/>
    </xf>
    <xf numFmtId="164" fontId="57" fillId="3" borderId="1" xfId="0" applyNumberFormat="1" applyFont="1" applyFill="1" applyBorder="1" applyProtection="1">
      <protection hidden="1"/>
    </xf>
    <xf numFmtId="164" fontId="57" fillId="2" borderId="1" xfId="0" applyNumberFormat="1" applyFont="1" applyFill="1" applyBorder="1" applyAlignment="1" applyProtection="1">
      <alignment vertical="center"/>
      <protection hidden="1"/>
    </xf>
    <xf numFmtId="164" fontId="57" fillId="3" borderId="1" xfId="0" applyNumberFormat="1" applyFont="1" applyFill="1" applyBorder="1" applyAlignment="1" applyProtection="1">
      <alignment vertical="center"/>
      <protection hidden="1"/>
    </xf>
    <xf numFmtId="164" fontId="8" fillId="2" borderId="1" xfId="1" applyNumberFormat="1" applyFont="1" applyFill="1" applyBorder="1" applyAlignment="1" applyProtection="1">
      <alignment vertical="center"/>
      <protection hidden="1"/>
    </xf>
    <xf numFmtId="0" fontId="6" fillId="2" borderId="1" xfId="0" applyFont="1" applyFill="1" applyBorder="1" applyProtection="1">
      <protection hidden="1"/>
    </xf>
    <xf numFmtId="164" fontId="57" fillId="2" borderId="1" xfId="0" applyNumberFormat="1" applyFont="1" applyFill="1" applyBorder="1" applyProtection="1">
      <protection hidden="1"/>
    </xf>
    <xf numFmtId="0" fontId="16" fillId="3" borderId="0" xfId="0" applyFont="1" applyFill="1" applyProtection="1">
      <protection hidden="1"/>
    </xf>
    <xf numFmtId="0" fontId="6" fillId="6" borderId="15" xfId="0" applyNumberFormat="1" applyFont="1" applyFill="1" applyBorder="1" applyAlignment="1" applyProtection="1">
      <alignment vertical="top"/>
      <protection hidden="1"/>
    </xf>
    <xf numFmtId="164" fontId="8" fillId="3" borderId="1" xfId="1" applyNumberFormat="1" applyFont="1" applyFill="1" applyBorder="1" applyAlignment="1" applyProtection="1">
      <alignment vertical="center"/>
      <protection hidden="1"/>
    </xf>
    <xf numFmtId="164" fontId="0" fillId="3" borderId="0" xfId="0" applyNumberFormat="1" applyFill="1" applyProtection="1">
      <protection hidden="1"/>
    </xf>
    <xf numFmtId="0" fontId="6" fillId="3" borderId="6" xfId="0" applyFont="1" applyFill="1" applyBorder="1" applyAlignment="1" applyProtection="1">
      <alignment horizontal="right"/>
      <protection hidden="1"/>
    </xf>
    <xf numFmtId="164" fontId="9" fillId="16" borderId="1" xfId="1" applyNumberFormat="1" applyFont="1" applyFill="1" applyBorder="1" applyProtection="1">
      <protection hidden="1"/>
    </xf>
    <xf numFmtId="164" fontId="8" fillId="3" borderId="79" xfId="1" applyNumberFormat="1" applyFont="1" applyFill="1" applyBorder="1" applyProtection="1">
      <protection hidden="1"/>
    </xf>
    <xf numFmtId="164" fontId="8" fillId="3" borderId="82" xfId="1" applyNumberFormat="1" applyFont="1" applyFill="1" applyBorder="1" applyProtection="1">
      <protection hidden="1"/>
    </xf>
    <xf numFmtId="164" fontId="8" fillId="3" borderId="82" xfId="1" applyNumberFormat="1" applyFont="1" applyFill="1" applyBorder="1" applyAlignment="1" applyProtection="1">
      <alignment vertical="center"/>
      <protection hidden="1"/>
    </xf>
    <xf numFmtId="164" fontId="8" fillId="3" borderId="85" xfId="1" applyNumberFormat="1" applyFont="1" applyFill="1" applyBorder="1" applyProtection="1">
      <protection hidden="1"/>
    </xf>
    <xf numFmtId="164" fontId="9" fillId="3" borderId="1" xfId="1" applyNumberFormat="1" applyFont="1" applyFill="1" applyBorder="1" applyProtection="1">
      <protection hidden="1"/>
    </xf>
    <xf numFmtId="164" fontId="9" fillId="3" borderId="1" xfId="1" applyNumberFormat="1" applyFont="1" applyFill="1" applyBorder="1" applyAlignment="1" applyProtection="1">
      <alignment horizontal="center"/>
      <protection hidden="1"/>
    </xf>
    <xf numFmtId="164" fontId="8" fillId="3" borderId="1" xfId="1" applyNumberFormat="1" applyFont="1" applyFill="1" applyBorder="1" applyAlignment="1" applyProtection="1">
      <alignment horizontal="center"/>
      <protection hidden="1"/>
    </xf>
    <xf numFmtId="164" fontId="9" fillId="2" borderId="1" xfId="1" applyNumberFormat="1" applyFont="1" applyFill="1" applyBorder="1" applyAlignment="1" applyProtection="1">
      <alignment horizontal="center"/>
      <protection hidden="1"/>
    </xf>
    <xf numFmtId="164" fontId="8" fillId="3" borderId="1" xfId="1" applyNumberFormat="1" applyFont="1" applyFill="1" applyBorder="1" applyAlignment="1" applyProtection="1">
      <alignment horizontal="center" vertical="center"/>
      <protection hidden="1"/>
    </xf>
    <xf numFmtId="0" fontId="6" fillId="3" borderId="4" xfId="0" applyFont="1" applyFill="1" applyBorder="1" applyProtection="1">
      <protection hidden="1"/>
    </xf>
    <xf numFmtId="164" fontId="9" fillId="3" borderId="1" xfId="1" applyNumberFormat="1" applyFont="1" applyFill="1" applyBorder="1" applyAlignment="1" applyProtection="1">
      <alignment vertical="center"/>
      <protection hidden="1"/>
    </xf>
    <xf numFmtId="0" fontId="42" fillId="3" borderId="0" xfId="0" applyFont="1" applyFill="1" applyBorder="1" applyProtection="1">
      <protection hidden="1"/>
    </xf>
    <xf numFmtId="0" fontId="3" fillId="3" borderId="0" xfId="0" applyFont="1" applyFill="1" applyBorder="1" applyAlignment="1" applyProtection="1">
      <alignment vertical="center"/>
      <protection hidden="1"/>
    </xf>
    <xf numFmtId="0" fontId="9" fillId="3" borderId="1" xfId="4" applyNumberFormat="1" applyFont="1" applyFill="1" applyBorder="1" applyAlignment="1" applyProtection="1">
      <alignment horizontal="center"/>
      <protection hidden="1"/>
    </xf>
    <xf numFmtId="0" fontId="9" fillId="4" borderId="1" xfId="4" applyNumberFormat="1" applyFont="1" applyFill="1" applyBorder="1" applyAlignment="1" applyProtection="1">
      <alignment horizontal="center"/>
      <protection hidden="1"/>
    </xf>
    <xf numFmtId="164" fontId="6" fillId="2" borderId="1" xfId="1" applyNumberFormat="1" applyFont="1" applyFill="1" applyBorder="1" applyAlignment="1" applyProtection="1">
      <alignment horizontal="center"/>
      <protection locked="0"/>
    </xf>
    <xf numFmtId="164" fontId="6" fillId="2" borderId="1" xfId="1" applyNumberFormat="1" applyFont="1" applyFill="1" applyBorder="1" applyProtection="1">
      <protection locked="0"/>
    </xf>
    <xf numFmtId="0" fontId="21" fillId="9" borderId="0" xfId="0" applyFont="1" applyFill="1" applyProtection="1">
      <protection locked="0"/>
    </xf>
    <xf numFmtId="9" fontId="9" fillId="3" borderId="1" xfId="4" applyFont="1" applyFill="1" applyBorder="1" applyAlignment="1" applyProtection="1">
      <alignment horizontal="center"/>
      <protection locked="0"/>
    </xf>
    <xf numFmtId="9" fontId="9" fillId="2" borderId="1" xfId="4" applyFont="1" applyFill="1" applyBorder="1" applyAlignment="1" applyProtection="1">
      <alignment horizontal="center"/>
      <protection locked="0"/>
    </xf>
    <xf numFmtId="164" fontId="18" fillId="2" borderId="1" xfId="1" applyNumberFormat="1" applyFont="1" applyFill="1" applyBorder="1" applyAlignment="1" applyProtection="1">
      <alignment horizontal="center"/>
      <protection locked="0"/>
    </xf>
    <xf numFmtId="0" fontId="8" fillId="2" borderId="1" xfId="0" applyFont="1" applyFill="1" applyBorder="1" applyProtection="1">
      <protection locked="0"/>
    </xf>
    <xf numFmtId="164" fontId="16" fillId="2" borderId="1" xfId="0" applyNumberFormat="1" applyFont="1" applyFill="1" applyBorder="1" applyProtection="1">
      <protection locked="0"/>
    </xf>
    <xf numFmtId="164" fontId="16" fillId="2" borderId="1" xfId="1" applyNumberFormat="1" applyFont="1" applyFill="1" applyBorder="1" applyProtection="1">
      <protection locked="0"/>
    </xf>
    <xf numFmtId="164" fontId="16" fillId="3" borderId="0" xfId="1" applyNumberFormat="1" applyFont="1" applyFill="1" applyProtection="1">
      <protection locked="0"/>
    </xf>
    <xf numFmtId="0" fontId="0" fillId="2" borderId="1" xfId="0" applyFill="1" applyBorder="1" applyProtection="1">
      <protection locked="0"/>
    </xf>
    <xf numFmtId="164" fontId="9" fillId="3" borderId="1" xfId="1" applyNumberFormat="1" applyFont="1" applyFill="1" applyBorder="1" applyProtection="1">
      <protection locked="0"/>
    </xf>
    <xf numFmtId="164" fontId="6" fillId="3" borderId="1" xfId="1" applyNumberFormat="1" applyFont="1" applyFill="1" applyBorder="1" applyAlignment="1" applyProtection="1">
      <alignment horizontal="center"/>
      <protection locked="0"/>
    </xf>
    <xf numFmtId="0" fontId="0" fillId="9" borderId="0" xfId="0" applyFill="1" applyAlignment="1" applyProtection="1">
      <alignment vertical="top"/>
      <protection locked="0"/>
    </xf>
    <xf numFmtId="0" fontId="6" fillId="6" borderId="12" xfId="0" applyFont="1" applyFill="1" applyBorder="1" applyAlignment="1" applyProtection="1">
      <alignment vertical="top"/>
      <protection locked="0"/>
    </xf>
    <xf numFmtId="0" fontId="6" fillId="6" borderId="11" xfId="0" applyFont="1" applyFill="1" applyBorder="1" applyAlignment="1" applyProtection="1">
      <alignment vertical="top"/>
      <protection locked="0"/>
    </xf>
    <xf numFmtId="14" fontId="6" fillId="6" borderId="15" xfId="0" applyNumberFormat="1" applyFont="1" applyFill="1" applyBorder="1" applyAlignment="1" applyProtection="1">
      <alignment vertical="top"/>
      <protection locked="0"/>
    </xf>
    <xf numFmtId="0" fontId="0" fillId="3" borderId="0" xfId="0" applyFill="1" applyAlignment="1" applyProtection="1">
      <alignment vertical="top"/>
      <protection locked="0"/>
    </xf>
    <xf numFmtId="0" fontId="6" fillId="6" borderId="7" xfId="0" applyFont="1" applyFill="1" applyBorder="1" applyAlignment="1" applyProtection="1">
      <protection locked="0"/>
    </xf>
    <xf numFmtId="3" fontId="6" fillId="6" borderId="10" xfId="0" applyNumberFormat="1" applyFont="1" applyFill="1" applyBorder="1" applyProtection="1">
      <protection locked="0"/>
    </xf>
    <xf numFmtId="49" fontId="6" fillId="6" borderId="7" xfId="0" applyNumberFormat="1" applyFont="1" applyFill="1" applyBorder="1" applyProtection="1">
      <protection locked="0"/>
    </xf>
    <xf numFmtId="0" fontId="6" fillId="6" borderId="7" xfId="0" applyFont="1" applyFill="1" applyBorder="1" applyProtection="1">
      <protection locked="0"/>
    </xf>
    <xf numFmtId="0" fontId="6" fillId="6" borderId="7" xfId="0" applyFont="1" applyFill="1" applyBorder="1" applyAlignment="1" applyProtection="1">
      <alignment horizontal="center"/>
      <protection locked="0"/>
    </xf>
    <xf numFmtId="0" fontId="0" fillId="17" borderId="0" xfId="0" applyFill="1" applyAlignment="1" applyProtection="1">
      <alignment vertical="top"/>
      <protection locked="0"/>
    </xf>
    <xf numFmtId="0" fontId="4" fillId="6" borderId="7" xfId="0" applyNumberFormat="1" applyFont="1" applyFill="1" applyBorder="1" applyProtection="1">
      <protection locked="0"/>
    </xf>
    <xf numFmtId="0" fontId="0" fillId="17" borderId="0" xfId="0" applyFont="1" applyFill="1" applyProtection="1">
      <protection locked="0"/>
    </xf>
    <xf numFmtId="0" fontId="17" fillId="9" borderId="0" xfId="0" applyFont="1" applyFill="1" applyBorder="1" applyProtection="1">
      <protection locked="0"/>
    </xf>
    <xf numFmtId="0" fontId="0" fillId="9" borderId="0" xfId="0" applyFill="1" applyBorder="1" applyProtection="1">
      <protection locked="0"/>
    </xf>
    <xf numFmtId="3" fontId="6" fillId="6" borderId="11" xfId="0" applyNumberFormat="1" applyFont="1" applyFill="1" applyBorder="1" applyAlignment="1" applyProtection="1">
      <protection locked="0"/>
    </xf>
    <xf numFmtId="0" fontId="4" fillId="3" borderId="4" xfId="0" applyFont="1" applyFill="1" applyBorder="1" applyAlignment="1" applyProtection="1">
      <alignment horizontal="left"/>
      <protection locked="0"/>
    </xf>
    <xf numFmtId="0" fontId="19" fillId="3" borderId="0" xfId="0" applyFont="1" applyFill="1" applyProtection="1">
      <protection locked="0"/>
    </xf>
    <xf numFmtId="164" fontId="0" fillId="3" borderId="0" xfId="1" applyNumberFormat="1" applyFont="1" applyFill="1" applyProtection="1">
      <protection locked="0"/>
    </xf>
    <xf numFmtId="164" fontId="4" fillId="3" borderId="0" xfId="1" applyNumberFormat="1" applyFont="1" applyFill="1" applyProtection="1">
      <protection locked="0"/>
    </xf>
    <xf numFmtId="164" fontId="0" fillId="6" borderId="11" xfId="1" applyNumberFormat="1" applyFont="1" applyFill="1" applyBorder="1" applyProtection="1">
      <protection locked="0"/>
    </xf>
    <xf numFmtId="14" fontId="6" fillId="6" borderId="14" xfId="0" applyNumberFormat="1" applyFont="1" applyFill="1" applyBorder="1" applyAlignment="1" applyProtection="1">
      <protection locked="0"/>
    </xf>
    <xf numFmtId="14" fontId="6" fillId="3" borderId="0" xfId="0" applyNumberFormat="1" applyFont="1" applyFill="1" applyBorder="1" applyAlignment="1" applyProtection="1">
      <protection locked="0"/>
    </xf>
    <xf numFmtId="164" fontId="0" fillId="6" borderId="7" xfId="1" applyNumberFormat="1" applyFont="1" applyFill="1" applyBorder="1" applyProtection="1">
      <protection locked="0"/>
    </xf>
    <xf numFmtId="3" fontId="6" fillId="6" borderId="10" xfId="0" applyNumberFormat="1" applyFont="1" applyFill="1" applyBorder="1" applyAlignment="1" applyProtection="1">
      <protection locked="0"/>
    </xf>
    <xf numFmtId="0" fontId="6" fillId="3" borderId="0" xfId="0" applyFont="1" applyFill="1" applyBorder="1" applyAlignment="1" applyProtection="1">
      <protection locked="0"/>
    </xf>
    <xf numFmtId="0" fontId="4" fillId="9" borderId="0" xfId="0" applyFont="1" applyFill="1" applyAlignment="1" applyProtection="1">
      <alignment horizontal="center" vertical="center"/>
      <protection locked="0"/>
    </xf>
    <xf numFmtId="0" fontId="4" fillId="3" borderId="0" xfId="0" applyFont="1" applyFill="1" applyAlignment="1" applyProtection="1">
      <alignment horizontal="center" vertical="center"/>
      <protection locked="0"/>
    </xf>
    <xf numFmtId="0" fontId="20" fillId="3" borderId="10" xfId="0" applyFont="1" applyFill="1" applyBorder="1" applyProtection="1">
      <protection locked="0"/>
    </xf>
    <xf numFmtId="0" fontId="18" fillId="2" borderId="1" xfId="0" applyFont="1" applyFill="1" applyBorder="1" applyAlignment="1" applyProtection="1">
      <alignment horizontal="center"/>
      <protection locked="0"/>
    </xf>
    <xf numFmtId="0" fontId="20" fillId="2" borderId="1" xfId="0" applyFont="1" applyFill="1" applyBorder="1" applyProtection="1">
      <protection locked="0"/>
    </xf>
    <xf numFmtId="164" fontId="8" fillId="3" borderId="0" xfId="1" applyNumberFormat="1" applyFont="1" applyFill="1" applyProtection="1">
      <protection locked="0"/>
    </xf>
    <xf numFmtId="0" fontId="61" fillId="3" borderId="0" xfId="0" applyFont="1" applyFill="1" applyProtection="1">
      <protection locked="0"/>
    </xf>
    <xf numFmtId="0" fontId="60" fillId="3" borderId="0" xfId="0" applyFont="1" applyFill="1" applyProtection="1">
      <protection locked="0"/>
    </xf>
    <xf numFmtId="0" fontId="19" fillId="9" borderId="0" xfId="0" applyFont="1" applyFill="1" applyProtection="1">
      <protection locked="0"/>
    </xf>
    <xf numFmtId="164" fontId="0" fillId="9" borderId="0" xfId="1" applyNumberFormat="1" applyFont="1" applyFill="1" applyProtection="1">
      <protection locked="0"/>
    </xf>
    <xf numFmtId="0" fontId="3" fillId="9" borderId="9" xfId="0" applyFont="1" applyFill="1" applyBorder="1" applyAlignment="1" applyProtection="1">
      <alignment vertical="center"/>
      <protection locked="0"/>
    </xf>
    <xf numFmtId="3" fontId="6" fillId="6" borderId="11" xfId="0" applyNumberFormat="1" applyFont="1" applyFill="1" applyBorder="1" applyAlignment="1" applyProtection="1">
      <alignment horizontal="left" vertical="top" wrapText="1"/>
      <protection locked="0"/>
    </xf>
    <xf numFmtId="0" fontId="3" fillId="3" borderId="9" xfId="0" applyFont="1" applyFill="1" applyBorder="1" applyAlignment="1" applyProtection="1">
      <alignment vertical="center"/>
      <protection locked="0"/>
    </xf>
    <xf numFmtId="0" fontId="10" fillId="3" borderId="0" xfId="2" applyFill="1" applyAlignment="1" applyProtection="1">
      <protection locked="0"/>
    </xf>
    <xf numFmtId="0" fontId="10" fillId="3" borderId="0" xfId="2" applyFill="1" applyAlignment="1" applyProtection="1">
      <alignment horizontal="center"/>
      <protection locked="0"/>
    </xf>
    <xf numFmtId="0" fontId="10" fillId="3" borderId="0" xfId="2" applyFill="1" applyProtection="1">
      <protection hidden="1"/>
    </xf>
    <xf numFmtId="0" fontId="23" fillId="3" borderId="0" xfId="2" applyFont="1" applyFill="1" applyProtection="1">
      <protection hidden="1"/>
    </xf>
    <xf numFmtId="49" fontId="24" fillId="0" borderId="13" xfId="2" applyNumberFormat="1" applyFont="1" applyFill="1" applyBorder="1" applyProtection="1">
      <protection hidden="1"/>
    </xf>
    <xf numFmtId="49" fontId="24" fillId="0" borderId="3" xfId="2" applyNumberFormat="1" applyFont="1" applyFill="1" applyBorder="1" applyProtection="1">
      <protection hidden="1"/>
    </xf>
    <xf numFmtId="49" fontId="24" fillId="0" borderId="0" xfId="2" applyNumberFormat="1" applyFont="1" applyFill="1" applyBorder="1" applyProtection="1">
      <protection hidden="1"/>
    </xf>
    <xf numFmtId="0" fontId="24" fillId="0" borderId="13" xfId="2" applyNumberFormat="1" applyFont="1" applyFill="1" applyBorder="1" applyProtection="1">
      <protection hidden="1"/>
    </xf>
    <xf numFmtId="49" fontId="24" fillId="3" borderId="20" xfId="2" applyNumberFormat="1" applyFont="1" applyFill="1" applyBorder="1" applyProtection="1">
      <protection hidden="1"/>
    </xf>
    <xf numFmtId="0" fontId="11" fillId="3" borderId="42" xfId="2" applyFont="1" applyFill="1" applyBorder="1" applyAlignment="1" applyProtection="1">
      <alignment horizontal="center"/>
      <protection hidden="1"/>
    </xf>
    <xf numFmtId="0" fontId="10" fillId="3" borderId="0" xfId="2" applyFill="1" applyBorder="1" applyProtection="1">
      <protection hidden="1"/>
    </xf>
    <xf numFmtId="49" fontId="10" fillId="3" borderId="13" xfId="2" applyNumberFormat="1" applyFill="1" applyBorder="1" applyProtection="1">
      <protection hidden="1"/>
    </xf>
    <xf numFmtId="0" fontId="10" fillId="3" borderId="13" xfId="2" applyNumberFormat="1" applyFill="1" applyBorder="1" applyProtection="1">
      <protection hidden="1"/>
    </xf>
    <xf numFmtId="0" fontId="48" fillId="3" borderId="4" xfId="2" applyNumberFormat="1" applyFont="1" applyFill="1" applyBorder="1" applyAlignment="1" applyProtection="1">
      <protection hidden="1"/>
    </xf>
    <xf numFmtId="0" fontId="48" fillId="3" borderId="5" xfId="2" applyNumberFormat="1" applyFont="1" applyFill="1" applyBorder="1" applyAlignment="1" applyProtection="1">
      <protection hidden="1"/>
    </xf>
    <xf numFmtId="0" fontId="48" fillId="3" borderId="6" xfId="2" applyNumberFormat="1" applyFont="1" applyFill="1" applyBorder="1" applyAlignment="1" applyProtection="1">
      <protection hidden="1"/>
    </xf>
    <xf numFmtId="49" fontId="10" fillId="3" borderId="4" xfId="2" applyNumberFormat="1" applyFill="1" applyBorder="1" applyProtection="1">
      <protection hidden="1"/>
    </xf>
    <xf numFmtId="49" fontId="10" fillId="3" borderId="5" xfId="2" applyNumberFormat="1" applyFill="1" applyBorder="1" applyProtection="1">
      <protection hidden="1"/>
    </xf>
    <xf numFmtId="49" fontId="10" fillId="3" borderId="11" xfId="2" applyNumberFormat="1" applyFill="1" applyBorder="1" applyProtection="1">
      <protection hidden="1"/>
    </xf>
    <xf numFmtId="0" fontId="10" fillId="3" borderId="14" xfId="2" applyFill="1" applyBorder="1" applyProtection="1">
      <protection hidden="1"/>
    </xf>
    <xf numFmtId="0" fontId="10" fillId="0" borderId="11" xfId="2" applyFill="1" applyBorder="1" applyProtection="1">
      <protection hidden="1"/>
    </xf>
    <xf numFmtId="0" fontId="11" fillId="0" borderId="11" xfId="2" applyFont="1" applyFill="1" applyBorder="1" applyProtection="1">
      <protection hidden="1"/>
    </xf>
    <xf numFmtId="49" fontId="10" fillId="3" borderId="7" xfId="2" applyNumberFormat="1" applyFill="1" applyBorder="1" applyProtection="1">
      <protection hidden="1"/>
    </xf>
    <xf numFmtId="49" fontId="10" fillId="0" borderId="5" xfId="2" applyNumberFormat="1" applyFill="1" applyBorder="1" applyAlignment="1" applyProtection="1">
      <protection hidden="1"/>
    </xf>
    <xf numFmtId="49" fontId="10" fillId="0" borderId="6" xfId="2" applyNumberFormat="1" applyFill="1" applyBorder="1" applyAlignment="1" applyProtection="1">
      <protection hidden="1"/>
    </xf>
    <xf numFmtId="0" fontId="10" fillId="3" borderId="4" xfId="2" applyFill="1" applyBorder="1" applyAlignment="1" applyProtection="1">
      <protection hidden="1"/>
    </xf>
    <xf numFmtId="0" fontId="10" fillId="3" borderId="5" xfId="2" applyFill="1" applyBorder="1" applyAlignment="1" applyProtection="1">
      <protection hidden="1"/>
    </xf>
    <xf numFmtId="0" fontId="10" fillId="3" borderId="6" xfId="2" applyFill="1" applyBorder="1" applyAlignment="1" applyProtection="1">
      <protection hidden="1"/>
    </xf>
    <xf numFmtId="0" fontId="10" fillId="3" borderId="5" xfId="19" applyFont="1" applyFill="1" applyBorder="1" applyAlignment="1" applyProtection="1">
      <protection hidden="1"/>
    </xf>
    <xf numFmtId="0" fontId="10" fillId="3" borderId="5" xfId="2" applyFont="1" applyFill="1" applyBorder="1" applyAlignment="1" applyProtection="1">
      <protection hidden="1"/>
    </xf>
    <xf numFmtId="0" fontId="10" fillId="0" borderId="5" xfId="2" applyFont="1" applyFill="1" applyBorder="1" applyAlignment="1" applyProtection="1">
      <protection hidden="1"/>
    </xf>
    <xf numFmtId="0" fontId="11" fillId="3" borderId="4" xfId="2" applyFont="1" applyFill="1" applyBorder="1" applyAlignment="1" applyProtection="1">
      <protection hidden="1"/>
    </xf>
    <xf numFmtId="3" fontId="11" fillId="3" borderId="6" xfId="2" applyNumberFormat="1" applyFont="1" applyFill="1" applyBorder="1" applyAlignment="1" applyProtection="1">
      <protection hidden="1"/>
    </xf>
    <xf numFmtId="0" fontId="11" fillId="3" borderId="6" xfId="2" applyFont="1" applyFill="1" applyBorder="1" applyAlignment="1" applyProtection="1">
      <protection hidden="1"/>
    </xf>
    <xf numFmtId="49" fontId="11" fillId="3" borderId="1" xfId="2" applyNumberFormat="1" applyFont="1" applyFill="1" applyBorder="1" applyAlignment="1" applyProtection="1">
      <alignment horizontal="center"/>
      <protection hidden="1"/>
    </xf>
    <xf numFmtId="0" fontId="11" fillId="3" borderId="5" xfId="2" applyFont="1" applyFill="1" applyBorder="1" applyAlignment="1" applyProtection="1">
      <protection hidden="1"/>
    </xf>
    <xf numFmtId="0" fontId="10" fillId="0" borderId="12" xfId="2" applyFill="1" applyBorder="1" applyProtection="1">
      <protection hidden="1"/>
    </xf>
    <xf numFmtId="0" fontId="10" fillId="0" borderId="14" xfId="2" applyFill="1" applyBorder="1" applyProtection="1">
      <protection hidden="1"/>
    </xf>
    <xf numFmtId="0" fontId="10" fillId="3" borderId="20" xfId="2" applyFill="1" applyBorder="1" applyProtection="1">
      <protection hidden="1"/>
    </xf>
    <xf numFmtId="0" fontId="10" fillId="3" borderId="8" xfId="2" applyFill="1" applyBorder="1" applyProtection="1">
      <protection hidden="1"/>
    </xf>
    <xf numFmtId="0" fontId="10" fillId="3" borderId="0" xfId="2" applyFill="1" applyAlignment="1" applyProtection="1">
      <protection hidden="1"/>
    </xf>
    <xf numFmtId="0" fontId="11" fillId="3" borderId="20" xfId="2" applyFont="1" applyFill="1" applyBorder="1" applyAlignment="1" applyProtection="1">
      <alignment horizontal="center"/>
      <protection hidden="1"/>
    </xf>
    <xf numFmtId="0" fontId="10" fillId="3" borderId="0" xfId="2" applyFill="1" applyAlignment="1" applyProtection="1">
      <alignment horizontal="center" wrapText="1"/>
      <protection hidden="1"/>
    </xf>
    <xf numFmtId="0" fontId="10" fillId="3" borderId="39" xfId="2" applyFill="1" applyBorder="1" applyAlignment="1" applyProtection="1">
      <alignment horizontal="center" wrapText="1"/>
      <protection hidden="1"/>
    </xf>
    <xf numFmtId="0" fontId="47" fillId="3" borderId="0" xfId="2" applyFont="1" applyFill="1" applyProtection="1">
      <protection hidden="1"/>
    </xf>
    <xf numFmtId="0" fontId="47" fillId="3" borderId="9" xfId="2" applyFont="1" applyFill="1" applyBorder="1" applyAlignment="1" applyProtection="1">
      <protection hidden="1"/>
    </xf>
    <xf numFmtId="0" fontId="47" fillId="3" borderId="0" xfId="2" applyFont="1" applyFill="1" applyAlignment="1" applyProtection="1">
      <protection hidden="1"/>
    </xf>
    <xf numFmtId="0" fontId="10" fillId="0" borderId="0" xfId="2" applyFill="1" applyProtection="1">
      <protection hidden="1"/>
    </xf>
    <xf numFmtId="0" fontId="58" fillId="0" borderId="0" xfId="11" applyFont="1" applyBorder="1" applyProtection="1">
      <protection hidden="1"/>
    </xf>
    <xf numFmtId="164" fontId="11" fillId="3" borderId="0" xfId="13" applyNumberFormat="1" applyFont="1" applyFill="1" applyBorder="1" applyAlignment="1" applyProtection="1">
      <alignment horizontal="center"/>
      <protection hidden="1"/>
    </xf>
    <xf numFmtId="0" fontId="10" fillId="3" borderId="3" xfId="2" applyFill="1" applyBorder="1" applyProtection="1">
      <protection hidden="1"/>
    </xf>
    <xf numFmtId="0" fontId="10" fillId="3" borderId="7" xfId="2" applyFill="1" applyBorder="1" applyProtection="1">
      <protection hidden="1"/>
    </xf>
    <xf numFmtId="0" fontId="10" fillId="3" borderId="10" xfId="2" applyFill="1" applyBorder="1" applyProtection="1">
      <protection hidden="1"/>
    </xf>
    <xf numFmtId="164" fontId="10" fillId="0" borderId="12" xfId="1" applyNumberFormat="1" applyFont="1" applyBorder="1" applyProtection="1">
      <protection hidden="1"/>
    </xf>
    <xf numFmtId="164" fontId="38" fillId="0" borderId="14" xfId="1" applyNumberFormat="1" applyFont="1" applyBorder="1" applyAlignment="1" applyProtection="1">
      <alignment horizontal="center"/>
      <protection hidden="1"/>
    </xf>
    <xf numFmtId="164" fontId="38" fillId="0" borderId="11" xfId="1" applyNumberFormat="1" applyFont="1" applyBorder="1" applyAlignment="1" applyProtection="1">
      <alignment horizontal="center"/>
      <protection hidden="1"/>
    </xf>
    <xf numFmtId="164" fontId="10" fillId="0" borderId="14" xfId="1" applyNumberFormat="1" applyFont="1" applyBorder="1" applyProtection="1">
      <protection hidden="1"/>
    </xf>
    <xf numFmtId="164" fontId="10" fillId="0" borderId="9" xfId="1" applyNumberFormat="1" applyFont="1" applyBorder="1" applyProtection="1">
      <protection hidden="1"/>
    </xf>
    <xf numFmtId="164" fontId="38" fillId="0" borderId="8" xfId="1" applyNumberFormat="1" applyFont="1" applyBorder="1" applyAlignment="1" applyProtection="1">
      <alignment horizontal="center"/>
      <protection hidden="1"/>
    </xf>
    <xf numFmtId="164" fontId="38" fillId="0" borderId="0" xfId="1" applyNumberFormat="1" applyFont="1" applyBorder="1" applyAlignment="1" applyProtection="1">
      <alignment horizontal="center"/>
      <protection hidden="1"/>
    </xf>
    <xf numFmtId="164" fontId="10" fillId="0" borderId="8" xfId="1" applyNumberFormat="1" applyFont="1" applyBorder="1" applyProtection="1">
      <protection hidden="1"/>
    </xf>
    <xf numFmtId="164" fontId="10" fillId="0" borderId="13" xfId="1" applyNumberFormat="1" applyFont="1" applyBorder="1" applyProtection="1">
      <protection hidden="1"/>
    </xf>
    <xf numFmtId="164" fontId="38" fillId="0" borderId="10" xfId="1" applyNumberFormat="1" applyFont="1" applyBorder="1" applyAlignment="1" applyProtection="1">
      <alignment horizontal="center"/>
      <protection hidden="1"/>
    </xf>
    <xf numFmtId="164" fontId="38" fillId="0" borderId="7" xfId="1" applyNumberFormat="1" applyFont="1" applyBorder="1" applyAlignment="1" applyProtection="1">
      <alignment horizontal="center"/>
      <protection hidden="1"/>
    </xf>
    <xf numFmtId="164" fontId="10" fillId="0" borderId="10" xfId="1" applyNumberFormat="1" applyFont="1" applyBorder="1" applyProtection="1">
      <protection hidden="1"/>
    </xf>
    <xf numFmtId="164" fontId="48" fillId="0" borderId="4" xfId="1" applyNumberFormat="1" applyFont="1" applyBorder="1" applyProtection="1">
      <protection hidden="1"/>
    </xf>
    <xf numFmtId="164" fontId="48" fillId="0" borderId="6" xfId="1" applyNumberFormat="1" applyFont="1" applyBorder="1" applyProtection="1">
      <protection hidden="1"/>
    </xf>
    <xf numFmtId="164" fontId="48" fillId="0" borderId="6" xfId="1" applyNumberFormat="1" applyFont="1" applyBorder="1" applyAlignment="1" applyProtection="1">
      <alignment horizontal="center"/>
      <protection hidden="1"/>
    </xf>
    <xf numFmtId="164" fontId="48" fillId="0" borderId="5" xfId="1" applyNumberFormat="1" applyFont="1" applyBorder="1" applyAlignment="1" applyProtection="1">
      <alignment horizontal="center"/>
      <protection hidden="1"/>
    </xf>
    <xf numFmtId="164" fontId="38" fillId="0" borderId="9" xfId="1" applyNumberFormat="1" applyFont="1" applyBorder="1" applyProtection="1">
      <protection hidden="1"/>
    </xf>
    <xf numFmtId="164" fontId="38" fillId="0" borderId="8" xfId="1" applyNumberFormat="1" applyFont="1" applyBorder="1" applyProtection="1">
      <protection hidden="1"/>
    </xf>
    <xf numFmtId="164" fontId="38" fillId="0" borderId="13" xfId="1" applyNumberFormat="1" applyFont="1" applyBorder="1" applyProtection="1">
      <protection hidden="1"/>
    </xf>
    <xf numFmtId="164" fontId="38" fillId="0" borderId="10" xfId="1" applyNumberFormat="1" applyFont="1" applyBorder="1" applyProtection="1">
      <protection hidden="1"/>
    </xf>
    <xf numFmtId="164" fontId="38" fillId="0" borderId="1" xfId="1" applyNumberFormat="1" applyFont="1" applyBorder="1" applyProtection="1">
      <protection hidden="1"/>
    </xf>
    <xf numFmtId="164" fontId="38" fillId="0" borderId="13" xfId="1" applyNumberFormat="1" applyFont="1" applyBorder="1" applyAlignment="1" applyProtection="1">
      <alignment horizontal="left"/>
      <protection hidden="1"/>
    </xf>
    <xf numFmtId="164" fontId="38" fillId="0" borderId="3" xfId="1" applyNumberFormat="1" applyFont="1" applyBorder="1" applyProtection="1">
      <protection hidden="1"/>
    </xf>
    <xf numFmtId="0" fontId="4" fillId="9" borderId="0" xfId="0" applyFont="1" applyFill="1" applyAlignment="1" applyProtection="1">
      <protection hidden="1"/>
    </xf>
    <xf numFmtId="0" fontId="0" fillId="9" borderId="9" xfId="0" applyFill="1" applyBorder="1" applyProtection="1">
      <protection hidden="1"/>
    </xf>
    <xf numFmtId="0" fontId="0" fillId="0" borderId="0" xfId="0" applyFill="1" applyAlignment="1" applyProtection="1">
      <protection locked="0"/>
    </xf>
    <xf numFmtId="1" fontId="0" fillId="0" borderId="66" xfId="0" applyNumberFormat="1" applyFont="1" applyBorder="1" applyProtection="1">
      <protection locked="0"/>
    </xf>
    <xf numFmtId="0" fontId="0" fillId="0" borderId="66" xfId="0" applyFont="1" applyBorder="1" applyAlignment="1" applyProtection="1">
      <alignment wrapText="1"/>
      <protection locked="0"/>
    </xf>
    <xf numFmtId="3" fontId="0" fillId="0" borderId="66" xfId="0" applyNumberFormat="1" applyFont="1" applyBorder="1" applyProtection="1">
      <protection locked="0"/>
    </xf>
    <xf numFmtId="0" fontId="0" fillId="0" borderId="0" xfId="0" applyFont="1" applyProtection="1">
      <protection locked="0"/>
    </xf>
    <xf numFmtId="1" fontId="0" fillId="0" borderId="64" xfId="0" applyNumberFormat="1" applyFont="1" applyBorder="1" applyProtection="1">
      <protection locked="0"/>
    </xf>
    <xf numFmtId="0" fontId="0" fillId="21" borderId="64" xfId="0" applyFont="1" applyFill="1" applyBorder="1" applyAlignment="1" applyProtection="1">
      <alignment wrapText="1"/>
      <protection locked="0"/>
    </xf>
    <xf numFmtId="3" fontId="0" fillId="0" borderId="64" xfId="0" applyNumberFormat="1" applyFont="1" applyBorder="1" applyProtection="1">
      <protection locked="0"/>
    </xf>
    <xf numFmtId="0" fontId="0" fillId="0" borderId="64" xfId="0" applyFont="1" applyBorder="1" applyAlignment="1" applyProtection="1">
      <alignment wrapText="1"/>
      <protection locked="0"/>
    </xf>
    <xf numFmtId="164" fontId="0" fillId="0" borderId="0" xfId="1" applyNumberFormat="1" applyFont="1" applyProtection="1">
      <protection locked="0"/>
    </xf>
    <xf numFmtId="3" fontId="0" fillId="0" borderId="0" xfId="0" applyNumberFormat="1" applyFont="1" applyProtection="1">
      <protection locked="0"/>
    </xf>
    <xf numFmtId="1" fontId="0" fillId="0" borderId="64" xfId="0" applyNumberFormat="1" applyFont="1" applyFill="1" applyBorder="1" applyProtection="1">
      <protection locked="0"/>
    </xf>
    <xf numFmtId="0" fontId="0" fillId="0" borderId="64" xfId="0" applyFont="1" applyFill="1" applyBorder="1" applyAlignment="1" applyProtection="1">
      <alignment wrapText="1"/>
      <protection locked="0"/>
    </xf>
    <xf numFmtId="0" fontId="0" fillId="0" borderId="0" xfId="0" applyFont="1" applyFill="1" applyProtection="1">
      <protection locked="0"/>
    </xf>
    <xf numFmtId="3" fontId="2" fillId="0" borderId="0" xfId="0" applyNumberFormat="1" applyFont="1" applyProtection="1">
      <protection locked="0"/>
    </xf>
    <xf numFmtId="164" fontId="2" fillId="0" borderId="0" xfId="1" applyNumberFormat="1" applyFont="1" applyProtection="1">
      <protection locked="0"/>
    </xf>
    <xf numFmtId="164" fontId="0" fillId="0" borderId="0" xfId="0" applyNumberFormat="1" applyFont="1" applyProtection="1">
      <protection locked="0"/>
    </xf>
    <xf numFmtId="164" fontId="0" fillId="18" borderId="0" xfId="1" applyNumberFormat="1" applyFont="1" applyFill="1" applyProtection="1">
      <protection locked="0"/>
    </xf>
    <xf numFmtId="0" fontId="0" fillId="0" borderId="64" xfId="1" applyNumberFormat="1" applyFont="1" applyBorder="1" applyAlignment="1" applyProtection="1">
      <alignment horizontal="left"/>
      <protection locked="0"/>
    </xf>
    <xf numFmtId="164" fontId="0" fillId="0" borderId="64" xfId="1" applyNumberFormat="1" applyFont="1" applyBorder="1" applyProtection="1">
      <protection locked="0"/>
    </xf>
    <xf numFmtId="0" fontId="0" fillId="0" borderId="93" xfId="1" applyNumberFormat="1" applyFont="1" applyBorder="1" applyAlignment="1" applyProtection="1">
      <alignment horizontal="left"/>
      <protection locked="0"/>
    </xf>
    <xf numFmtId="164" fontId="0" fillId="0" borderId="93" xfId="1" applyNumberFormat="1" applyFont="1" applyBorder="1" applyProtection="1">
      <protection locked="0"/>
    </xf>
    <xf numFmtId="0" fontId="0" fillId="0" borderId="0" xfId="0" applyNumberFormat="1" applyAlignment="1" applyProtection="1">
      <alignment horizontal="left"/>
      <protection locked="0"/>
    </xf>
    <xf numFmtId="164" fontId="14" fillId="5" borderId="2" xfId="1" applyNumberFormat="1" applyFont="1" applyFill="1" applyBorder="1" applyAlignment="1" applyProtection="1">
      <alignment horizontal="center" vertical="center"/>
      <protection hidden="1"/>
    </xf>
    <xf numFmtId="1" fontId="0" fillId="0" borderId="66" xfId="0" applyNumberFormat="1" applyFont="1" applyBorder="1" applyAlignment="1" applyProtection="1">
      <alignment horizontal="left"/>
      <protection locked="0"/>
    </xf>
    <xf numFmtId="1" fontId="0" fillId="0" borderId="64" xfId="0" applyNumberFormat="1" applyFont="1" applyBorder="1" applyAlignment="1" applyProtection="1">
      <alignment horizontal="left"/>
      <protection locked="0"/>
    </xf>
    <xf numFmtId="0" fontId="0" fillId="0" borderId="64" xfId="0" applyBorder="1" applyAlignment="1" applyProtection="1">
      <alignment horizontal="left"/>
      <protection locked="0"/>
    </xf>
    <xf numFmtId="0" fontId="66" fillId="0" borderId="64" xfId="0" applyFont="1" applyBorder="1" applyAlignment="1" applyProtection="1">
      <protection locked="0"/>
    </xf>
    <xf numFmtId="3" fontId="67" fillId="0" borderId="64" xfId="1" applyNumberFormat="1" applyFont="1" applyBorder="1" applyAlignment="1" applyProtection="1">
      <alignment horizontal="right"/>
      <protection locked="0"/>
    </xf>
    <xf numFmtId="0" fontId="0" fillId="0" borderId="64" xfId="0" applyFill="1" applyBorder="1" applyAlignment="1" applyProtection="1">
      <alignment horizontal="left"/>
      <protection locked="0"/>
    </xf>
    <xf numFmtId="0" fontId="66" fillId="0" borderId="64" xfId="0" applyFont="1" applyFill="1" applyBorder="1" applyAlignment="1" applyProtection="1">
      <protection locked="0"/>
    </xf>
    <xf numFmtId="3" fontId="67" fillId="0" borderId="64" xfId="1" applyNumberFormat="1" applyFont="1" applyFill="1" applyBorder="1" applyAlignment="1" applyProtection="1">
      <alignment horizontal="right"/>
      <protection locked="0"/>
    </xf>
    <xf numFmtId="3" fontId="68" fillId="0" borderId="64" xfId="1" applyNumberFormat="1" applyFont="1" applyFill="1" applyBorder="1" applyAlignment="1" applyProtection="1">
      <alignment horizontal="right"/>
      <protection locked="0"/>
    </xf>
    <xf numFmtId="0" fontId="81" fillId="0" borderId="0" xfId="21" applyFont="1"/>
    <xf numFmtId="0" fontId="81" fillId="0" borderId="0" xfId="21" applyFont="1" applyAlignment="1">
      <alignment horizontal="center"/>
    </xf>
    <xf numFmtId="0" fontId="48" fillId="25" borderId="94" xfId="21" applyFont="1" applyFill="1" applyBorder="1" applyAlignment="1">
      <alignment horizontal="center" vertical="center" wrapText="1"/>
    </xf>
    <xf numFmtId="0" fontId="38" fillId="16" borderId="64" xfId="21" applyFont="1" applyFill="1" applyBorder="1" applyAlignment="1">
      <alignment horizontal="center" vertical="center" wrapText="1"/>
    </xf>
    <xf numFmtId="0" fontId="48" fillId="16" borderId="64" xfId="21" applyFont="1" applyFill="1" applyBorder="1" applyAlignment="1">
      <alignment vertical="center" wrapText="1"/>
    </xf>
    <xf numFmtId="0" fontId="38" fillId="16" borderId="75" xfId="21" applyFont="1" applyFill="1" applyBorder="1" applyAlignment="1">
      <alignment horizontal="center" vertical="center" wrapText="1"/>
    </xf>
    <xf numFmtId="0" fontId="23" fillId="16" borderId="64" xfId="21" applyFont="1" applyFill="1" applyBorder="1" applyAlignment="1">
      <alignment horizontal="left" vertical="center" wrapText="1"/>
    </xf>
    <xf numFmtId="0" fontId="25" fillId="0" borderId="95" xfId="22" applyFont="1" applyFill="1" applyBorder="1" applyAlignment="1">
      <alignment wrapText="1"/>
    </xf>
    <xf numFmtId="3" fontId="47" fillId="0" borderId="0" xfId="2" applyNumberFormat="1" applyFont="1" applyBorder="1" applyAlignment="1">
      <alignment horizontal="left"/>
    </xf>
    <xf numFmtId="49" fontId="48" fillId="0" borderId="0" xfId="2" applyNumberFormat="1" applyFont="1" applyProtection="1">
      <protection locked="0"/>
    </xf>
    <xf numFmtId="2" fontId="48" fillId="0" borderId="0" xfId="2" applyNumberFormat="1" applyFont="1" applyProtection="1">
      <protection locked="0"/>
    </xf>
    <xf numFmtId="49" fontId="70" fillId="0" borderId="32" xfId="2" applyNumberFormat="1" applyFont="1" applyBorder="1" applyAlignment="1" applyProtection="1">
      <alignment horizontal="center"/>
      <protection hidden="1"/>
    </xf>
    <xf numFmtId="49" fontId="79" fillId="0" borderId="0" xfId="2" applyNumberFormat="1" applyFont="1" applyBorder="1" applyAlignment="1" applyProtection="1">
      <alignment horizontal="center"/>
      <protection hidden="1"/>
    </xf>
    <xf numFmtId="49" fontId="79" fillId="0" borderId="57" xfId="2" applyNumberFormat="1" applyFont="1" applyBorder="1" applyAlignment="1" applyProtection="1">
      <alignment horizontal="center"/>
      <protection hidden="1"/>
    </xf>
    <xf numFmtId="49" fontId="70" fillId="0" borderId="0" xfId="2" applyNumberFormat="1" applyFont="1" applyBorder="1" applyAlignment="1" applyProtection="1">
      <alignment horizontal="center"/>
      <protection hidden="1"/>
    </xf>
    <xf numFmtId="49" fontId="86" fillId="0" borderId="0" xfId="2" applyNumberFormat="1" applyFont="1" applyBorder="1" applyAlignment="1" applyProtection="1">
      <alignment horizontal="left"/>
      <protection hidden="1"/>
    </xf>
    <xf numFmtId="49" fontId="86" fillId="0" borderId="0" xfId="2" applyNumberFormat="1" applyFont="1" applyBorder="1" applyAlignment="1" applyProtection="1">
      <alignment horizontal="left" indent="4"/>
      <protection hidden="1"/>
    </xf>
    <xf numFmtId="3" fontId="47" fillId="0" borderId="0" xfId="2" applyNumberFormat="1" applyFont="1" applyBorder="1" applyAlignment="1" applyProtection="1">
      <alignment horizontal="left"/>
      <protection hidden="1"/>
    </xf>
    <xf numFmtId="49" fontId="23" fillId="0" borderId="0" xfId="2" applyNumberFormat="1" applyFont="1" applyBorder="1" applyAlignment="1" applyProtection="1">
      <alignment horizontal="left"/>
      <protection hidden="1"/>
    </xf>
    <xf numFmtId="49" fontId="87" fillId="0" borderId="0" xfId="2" applyNumberFormat="1" applyFont="1" applyBorder="1" applyAlignment="1" applyProtection="1">
      <alignment horizontal="left"/>
      <protection hidden="1"/>
    </xf>
    <xf numFmtId="3" fontId="23" fillId="0" borderId="0" xfId="2" applyNumberFormat="1" applyFont="1" applyBorder="1" applyAlignment="1" applyProtection="1">
      <protection hidden="1"/>
    </xf>
    <xf numFmtId="49" fontId="48" fillId="0" borderId="32" xfId="2" applyNumberFormat="1" applyFont="1" applyBorder="1" applyProtection="1">
      <protection hidden="1"/>
    </xf>
    <xf numFmtId="49" fontId="48" fillId="0" borderId="0" xfId="2" applyNumberFormat="1" applyFont="1" applyBorder="1" applyProtection="1">
      <protection hidden="1"/>
    </xf>
    <xf numFmtId="49" fontId="48" fillId="0" borderId="57" xfId="2" applyNumberFormat="1" applyFont="1" applyBorder="1" applyProtection="1">
      <protection hidden="1"/>
    </xf>
    <xf numFmtId="49" fontId="89" fillId="0" borderId="0" xfId="2" applyNumberFormat="1" applyFont="1" applyBorder="1" applyAlignment="1" applyProtection="1">
      <alignment horizontal="left"/>
      <protection hidden="1"/>
    </xf>
    <xf numFmtId="49" fontId="90" fillId="0" borderId="0" xfId="2" applyNumberFormat="1" applyFont="1" applyBorder="1" applyAlignment="1" applyProtection="1">
      <alignment horizontal="left"/>
      <protection hidden="1"/>
    </xf>
    <xf numFmtId="49" fontId="23" fillId="0" borderId="0" xfId="2" applyNumberFormat="1" applyFont="1" applyBorder="1" applyAlignment="1" applyProtection="1">
      <alignment horizontal="left" indent="4"/>
      <protection hidden="1"/>
    </xf>
    <xf numFmtId="49" fontId="79" fillId="28" borderId="42" xfId="2" applyNumberFormat="1" applyFont="1" applyFill="1" applyBorder="1" applyAlignment="1" applyProtection="1">
      <alignment horizontal="center"/>
      <protection hidden="1"/>
    </xf>
    <xf numFmtId="3" fontId="11" fillId="0" borderId="0" xfId="2" applyNumberFormat="1" applyFont="1" applyBorder="1" applyAlignment="1" applyProtection="1">
      <protection hidden="1"/>
    </xf>
    <xf numFmtId="3" fontId="47" fillId="27" borderId="0" xfId="2" applyNumberFormat="1" applyFont="1" applyFill="1" applyBorder="1" applyAlignment="1" applyProtection="1">
      <alignment horizontal="left"/>
      <protection hidden="1"/>
    </xf>
    <xf numFmtId="49" fontId="48" fillId="27" borderId="0" xfId="2" applyNumberFormat="1" applyFont="1" applyFill="1" applyBorder="1" applyProtection="1">
      <protection hidden="1"/>
    </xf>
    <xf numFmtId="49" fontId="48" fillId="27" borderId="57" xfId="2" applyNumberFormat="1" applyFont="1" applyFill="1" applyBorder="1" applyProtection="1">
      <protection hidden="1"/>
    </xf>
    <xf numFmtId="3" fontId="92" fillId="0" borderId="0" xfId="2" applyNumberFormat="1" applyFont="1" applyBorder="1" applyAlignment="1" applyProtection="1">
      <alignment horizontal="left"/>
      <protection hidden="1"/>
    </xf>
    <xf numFmtId="3" fontId="23" fillId="0" borderId="0" xfId="2" applyNumberFormat="1" applyFont="1" applyBorder="1" applyAlignment="1" applyProtection="1">
      <alignment horizontal="left"/>
      <protection hidden="1"/>
    </xf>
    <xf numFmtId="3" fontId="23" fillId="0" borderId="0" xfId="2" applyNumberFormat="1" applyFont="1" applyBorder="1" applyAlignment="1" applyProtection="1">
      <alignment horizontal="left" indent="2"/>
      <protection hidden="1"/>
    </xf>
    <xf numFmtId="3" fontId="23" fillId="0" borderId="0" xfId="2" applyNumberFormat="1" applyFont="1" applyBorder="1" applyAlignment="1" applyProtection="1">
      <alignment horizontal="left" indent="1"/>
      <protection hidden="1"/>
    </xf>
    <xf numFmtId="3" fontId="89" fillId="0" borderId="0" xfId="2" applyNumberFormat="1" applyFont="1" applyBorder="1" applyAlignment="1" applyProtection="1">
      <alignment horizontal="left" indent="1"/>
      <protection hidden="1"/>
    </xf>
    <xf numFmtId="49" fontId="48" fillId="0" borderId="0" xfId="2" applyNumberFormat="1" applyFont="1" applyAlignment="1" applyProtection="1">
      <protection hidden="1"/>
    </xf>
    <xf numFmtId="49" fontId="48" fillId="23" borderId="32" xfId="2" applyNumberFormat="1" applyFont="1" applyFill="1" applyBorder="1" applyAlignment="1" applyProtection="1">
      <alignment horizontal="center"/>
      <protection hidden="1"/>
    </xf>
    <xf numFmtId="49" fontId="48" fillId="23" borderId="0" xfId="2" applyNumberFormat="1" applyFont="1" applyFill="1" applyBorder="1" applyAlignment="1" applyProtection="1">
      <alignment horizontal="center"/>
      <protection hidden="1"/>
    </xf>
    <xf numFmtId="49" fontId="48" fillId="23" borderId="0" xfId="2" applyNumberFormat="1" applyFont="1" applyFill="1" applyBorder="1" applyAlignment="1" applyProtection="1">
      <alignment horizontal="left" indent="1"/>
      <protection hidden="1"/>
    </xf>
    <xf numFmtId="49" fontId="48" fillId="23" borderId="57" xfId="2" applyNumberFormat="1" applyFont="1" applyFill="1" applyBorder="1" applyAlignment="1" applyProtection="1">
      <alignment horizontal="center"/>
      <protection hidden="1"/>
    </xf>
    <xf numFmtId="49" fontId="48" fillId="23" borderId="33" xfId="2" applyNumberFormat="1" applyFont="1" applyFill="1" applyBorder="1" applyAlignment="1" applyProtection="1">
      <alignment horizontal="center"/>
      <protection hidden="1"/>
    </xf>
    <xf numFmtId="49" fontId="48" fillId="23" borderId="36" xfId="2" applyNumberFormat="1" applyFont="1" applyFill="1" applyBorder="1" applyAlignment="1" applyProtection="1">
      <alignment horizontal="center"/>
      <protection hidden="1"/>
    </xf>
    <xf numFmtId="49" fontId="48" fillId="23" borderId="58" xfId="2" applyNumberFormat="1" applyFont="1" applyFill="1" applyBorder="1" applyAlignment="1" applyProtection="1">
      <alignment horizontal="center"/>
      <protection hidden="1"/>
    </xf>
    <xf numFmtId="49" fontId="86" fillId="27" borderId="56" xfId="2" applyNumberFormat="1" applyFont="1" applyFill="1" applyBorder="1" applyAlignment="1" applyProtection="1">
      <alignment horizontal="left"/>
      <protection hidden="1"/>
    </xf>
    <xf numFmtId="49" fontId="48" fillId="27" borderId="37" xfId="2" applyNumberFormat="1" applyFont="1" applyFill="1" applyBorder="1" applyProtection="1">
      <protection hidden="1"/>
    </xf>
    <xf numFmtId="49" fontId="48" fillId="27" borderId="43" xfId="2" applyNumberFormat="1" applyFont="1" applyFill="1" applyBorder="1" applyProtection="1">
      <protection hidden="1"/>
    </xf>
    <xf numFmtId="49" fontId="23" fillId="27" borderId="54" xfId="2" applyNumberFormat="1" applyFont="1" applyFill="1" applyBorder="1" applyAlignment="1" applyProtection="1">
      <alignment horizontal="left"/>
      <protection hidden="1"/>
    </xf>
    <xf numFmtId="49" fontId="48" fillId="27" borderId="39" xfId="2" applyNumberFormat="1" applyFont="1" applyFill="1" applyBorder="1" applyProtection="1">
      <protection hidden="1"/>
    </xf>
    <xf numFmtId="49" fontId="23" fillId="27" borderId="55" xfId="2" applyNumberFormat="1" applyFont="1" applyFill="1" applyBorder="1" applyAlignment="1" applyProtection="1">
      <alignment horizontal="left"/>
      <protection hidden="1"/>
    </xf>
    <xf numFmtId="49" fontId="48" fillId="27" borderId="38" xfId="2" applyNumberFormat="1" applyFont="1" applyFill="1" applyBorder="1" applyProtection="1">
      <protection hidden="1"/>
    </xf>
    <xf numFmtId="49" fontId="48" fillId="27" borderId="48" xfId="2" applyNumberFormat="1" applyFont="1" applyFill="1" applyBorder="1" applyProtection="1">
      <protection hidden="1"/>
    </xf>
    <xf numFmtId="49" fontId="48" fillId="27" borderId="0" xfId="2" applyNumberFormat="1" applyFont="1" applyFill="1" applyProtection="1">
      <protection hidden="1"/>
    </xf>
    <xf numFmtId="49" fontId="48" fillId="27" borderId="32" xfId="2" applyNumberFormat="1" applyFont="1" applyFill="1" applyBorder="1" applyAlignment="1" applyProtection="1">
      <alignment horizontal="right" indent="3"/>
      <protection hidden="1"/>
    </xf>
    <xf numFmtId="3" fontId="48" fillId="27" borderId="0" xfId="2" applyNumberFormat="1" applyFont="1" applyFill="1" applyBorder="1" applyAlignment="1" applyProtection="1">
      <alignment horizontal="left" indent="6"/>
      <protection hidden="1"/>
    </xf>
    <xf numFmtId="49" fontId="48" fillId="23" borderId="36" xfId="2" applyNumberFormat="1" applyFont="1" applyFill="1" applyBorder="1" applyAlignment="1" applyProtection="1">
      <alignment horizontal="left" indent="1"/>
      <protection hidden="1"/>
    </xf>
    <xf numFmtId="0" fontId="0" fillId="0" borderId="0" xfId="0" applyProtection="1"/>
    <xf numFmtId="0" fontId="0" fillId="0" borderId="56" xfId="0" applyBorder="1" applyProtection="1"/>
    <xf numFmtId="0" fontId="0" fillId="0" borderId="37" xfId="0" applyBorder="1" applyProtection="1"/>
    <xf numFmtId="0" fontId="0" fillId="0" borderId="43" xfId="0" applyBorder="1" applyProtection="1"/>
    <xf numFmtId="0" fontId="0" fillId="0" borderId="54" xfId="0" applyBorder="1" applyProtection="1"/>
    <xf numFmtId="0" fontId="0" fillId="0" borderId="12" xfId="0" applyBorder="1" applyProtection="1"/>
    <xf numFmtId="0" fontId="0" fillId="0" borderId="11" xfId="0" applyBorder="1" applyProtection="1"/>
    <xf numFmtId="0" fontId="0" fillId="0" borderId="14" xfId="0" applyBorder="1" applyProtection="1"/>
    <xf numFmtId="0" fontId="0" fillId="0" borderId="39" xfId="0" applyBorder="1" applyProtection="1"/>
    <xf numFmtId="0" fontId="0" fillId="0" borderId="9" xfId="0" applyBorder="1" applyProtection="1"/>
    <xf numFmtId="0" fontId="15" fillId="0" borderId="0" xfId="0" applyFont="1" applyBorder="1" applyAlignment="1" applyProtection="1"/>
    <xf numFmtId="0" fontId="0" fillId="0" borderId="8" xfId="0" applyBorder="1" applyProtection="1"/>
    <xf numFmtId="0" fontId="0" fillId="0" borderId="0" xfId="0" applyBorder="1" applyProtection="1"/>
    <xf numFmtId="0" fontId="15" fillId="0" borderId="0" xfId="0" applyFont="1" applyBorder="1" applyAlignment="1" applyProtection="1">
      <alignment vertical="center" wrapText="1"/>
    </xf>
    <xf numFmtId="0" fontId="3" fillId="0" borderId="0" xfId="0" applyFont="1" applyBorder="1" applyAlignment="1" applyProtection="1">
      <alignment vertical="center" wrapText="1"/>
    </xf>
    <xf numFmtId="0" fontId="3" fillId="0" borderId="0" xfId="0" applyFont="1" applyBorder="1" applyAlignment="1" applyProtection="1">
      <alignment vertical="center"/>
    </xf>
    <xf numFmtId="0" fontId="94" fillId="0" borderId="0" xfId="0" applyFont="1" applyBorder="1" applyAlignment="1" applyProtection="1"/>
    <xf numFmtId="0" fontId="0" fillId="0" borderId="13" xfId="0" applyBorder="1" applyProtection="1"/>
    <xf numFmtId="0" fontId="0" fillId="0" borderId="7" xfId="0" applyBorder="1" applyProtection="1"/>
    <xf numFmtId="0" fontId="0" fillId="0" borderId="10" xfId="0" applyBorder="1" applyProtection="1"/>
    <xf numFmtId="0" fontId="0" fillId="0" borderId="55" xfId="0" applyBorder="1" applyProtection="1"/>
    <xf numFmtId="0" fontId="0" fillId="0" borderId="38" xfId="0" applyBorder="1" applyProtection="1"/>
    <xf numFmtId="0" fontId="0" fillId="0" borderId="48" xfId="0" applyBorder="1" applyProtection="1"/>
    <xf numFmtId="0" fontId="8" fillId="0" borderId="0" xfId="0" applyFont="1"/>
    <xf numFmtId="0" fontId="26" fillId="0" borderId="0" xfId="0" applyFont="1"/>
    <xf numFmtId="0" fontId="26" fillId="0" borderId="0" xfId="0" applyFont="1" applyAlignment="1">
      <alignment horizontal="center"/>
    </xf>
    <xf numFmtId="0" fontId="26" fillId="0" borderId="0" xfId="0" applyNumberFormat="1" applyFont="1" applyAlignment="1"/>
    <xf numFmtId="0" fontId="0" fillId="0" borderId="0" xfId="0" applyNumberFormat="1" applyAlignment="1"/>
    <xf numFmtId="0" fontId="26" fillId="0" borderId="100" xfId="0" applyNumberFormat="1" applyFont="1" applyBorder="1" applyAlignment="1">
      <alignment horizontal="right"/>
    </xf>
    <xf numFmtId="0" fontId="26" fillId="0" borderId="0" xfId="0" applyNumberFormat="1" applyFont="1" applyAlignment="1">
      <alignment vertical="center"/>
    </xf>
    <xf numFmtId="0" fontId="26" fillId="0" borderId="0" xfId="0" applyNumberFormat="1" applyFont="1" applyBorder="1" applyAlignment="1">
      <alignment horizontal="center"/>
    </xf>
    <xf numFmtId="0" fontId="96" fillId="0" borderId="0" xfId="0" applyNumberFormat="1" applyFont="1"/>
    <xf numFmtId="0" fontId="26" fillId="0" borderId="104" xfId="0" applyNumberFormat="1" applyFont="1" applyBorder="1" applyAlignment="1">
      <alignment horizontal="center"/>
    </xf>
    <xf numFmtId="0" fontId="18" fillId="0" borderId="104" xfId="0" applyNumberFormat="1" applyFont="1" applyBorder="1" applyAlignment="1">
      <alignment horizontal="center"/>
    </xf>
    <xf numFmtId="0" fontId="95" fillId="0" borderId="104" xfId="0" applyNumberFormat="1" applyFont="1" applyBorder="1" applyAlignment="1" applyProtection="1">
      <alignment horizontal="center"/>
      <protection locked="0"/>
    </xf>
    <xf numFmtId="0" fontId="18" fillId="12" borderId="96" xfId="0" applyFont="1" applyFill="1" applyBorder="1" applyAlignment="1">
      <alignment horizontal="center" vertical="center"/>
    </xf>
    <xf numFmtId="0" fontId="95" fillId="12" borderId="97" xfId="0" applyFont="1" applyFill="1" applyBorder="1" applyAlignment="1">
      <alignment horizontal="center" vertical="center"/>
    </xf>
    <xf numFmtId="0" fontId="95" fillId="12" borderId="106" xfId="0" applyFont="1" applyFill="1" applyBorder="1" applyAlignment="1">
      <alignment horizontal="center" vertical="center"/>
    </xf>
    <xf numFmtId="0" fontId="95" fillId="0" borderId="106" xfId="0" applyNumberFormat="1" applyFont="1" applyBorder="1" applyAlignment="1">
      <alignment horizontal="left" vertical="center"/>
    </xf>
    <xf numFmtId="0" fontId="95" fillId="0" borderId="97" xfId="0" applyFont="1" applyFill="1" applyBorder="1" applyAlignment="1" applyProtection="1">
      <alignment horizontal="center" vertical="center"/>
      <protection locked="0"/>
    </xf>
    <xf numFmtId="0" fontId="95" fillId="0" borderId="106" xfId="0" applyFont="1" applyFill="1" applyBorder="1" applyAlignment="1" applyProtection="1">
      <alignment horizontal="center" vertical="center"/>
      <protection locked="0"/>
    </xf>
    <xf numFmtId="0" fontId="95" fillId="0" borderId="0" xfId="0" applyFont="1" applyAlignment="1">
      <alignment vertical="center"/>
    </xf>
    <xf numFmtId="0" fontId="95" fillId="0" borderId="96" xfId="0" applyNumberFormat="1" applyFont="1" applyBorder="1" applyAlignment="1" applyProtection="1">
      <alignment horizontal="left" vertical="center"/>
      <protection locked="0"/>
    </xf>
    <xf numFmtId="0" fontId="95" fillId="0" borderId="105" xfId="0" applyNumberFormat="1" applyFont="1" applyBorder="1" applyAlignment="1" applyProtection="1">
      <alignment horizontal="left" vertical="center" wrapText="1"/>
      <protection locked="0"/>
    </xf>
    <xf numFmtId="0" fontId="95" fillId="0" borderId="97" xfId="0" applyNumberFormat="1" applyFont="1" applyBorder="1" applyAlignment="1" applyProtection="1">
      <alignment horizontal="left" vertical="center" wrapText="1"/>
      <protection locked="0"/>
    </xf>
    <xf numFmtId="0" fontId="95" fillId="0" borderId="106" xfId="0" applyFont="1" applyFill="1" applyBorder="1" applyAlignment="1" applyProtection="1">
      <alignment horizontal="center" vertical="center" wrapText="1"/>
      <protection locked="0"/>
    </xf>
    <xf numFmtId="0" fontId="95" fillId="0" borderId="0" xfId="0" applyFont="1" applyAlignment="1">
      <alignment vertical="center" wrapText="1"/>
    </xf>
    <xf numFmtId="0" fontId="95" fillId="0" borderId="106" xfId="0" applyNumberFormat="1" applyFont="1" applyBorder="1" applyAlignment="1" applyProtection="1">
      <alignment horizontal="left" vertical="center"/>
      <protection locked="0"/>
    </xf>
    <xf numFmtId="0" fontId="95" fillId="0" borderId="106" xfId="0" applyFont="1" applyBorder="1" applyAlignment="1" applyProtection="1">
      <alignment horizontal="center" vertical="center"/>
      <protection locked="0"/>
    </xf>
    <xf numFmtId="0" fontId="0" fillId="0" borderId="0" xfId="0" applyAlignment="1">
      <alignment vertical="top"/>
    </xf>
    <xf numFmtId="0" fontId="16" fillId="0" borderId="0" xfId="0" applyFont="1" applyAlignment="1">
      <alignment horizontal="left" vertical="top"/>
    </xf>
    <xf numFmtId="0" fontId="16" fillId="0" borderId="0" xfId="0" applyFont="1" applyAlignment="1">
      <alignment vertical="top"/>
    </xf>
    <xf numFmtId="49" fontId="17" fillId="0" borderId="0" xfId="0" applyNumberFormat="1" applyFont="1" applyAlignment="1">
      <alignment horizontal="center" vertical="center"/>
    </xf>
    <xf numFmtId="0" fontId="18" fillId="0" borderId="0" xfId="0" applyNumberFormat="1" applyFont="1" applyBorder="1" applyAlignment="1">
      <alignment vertical="center"/>
    </xf>
    <xf numFmtId="0" fontId="26" fillId="0" borderId="0" xfId="0" applyNumberFormat="1" applyFont="1" applyAlignment="1">
      <alignment horizontal="right" vertical="center"/>
    </xf>
    <xf numFmtId="0" fontId="18" fillId="0" borderId="99" xfId="0" applyNumberFormat="1" applyFont="1" applyBorder="1" applyAlignment="1">
      <alignment horizontal="center" vertical="center"/>
    </xf>
    <xf numFmtId="0" fontId="26" fillId="0" borderId="0" xfId="0" applyNumberFormat="1" applyFont="1" applyBorder="1" applyAlignment="1">
      <alignment horizontal="right" vertical="center"/>
    </xf>
    <xf numFmtId="14" fontId="18" fillId="0" borderId="99" xfId="0" applyNumberFormat="1" applyFont="1" applyBorder="1" applyAlignment="1">
      <alignment horizontal="center" vertical="center"/>
    </xf>
    <xf numFmtId="0" fontId="26" fillId="0" borderId="104" xfId="0" applyNumberFormat="1" applyFont="1" applyBorder="1" applyAlignment="1">
      <alignment horizontal="right" vertical="center"/>
    </xf>
    <xf numFmtId="0" fontId="18" fillId="0" borderId="104" xfId="0" applyNumberFormat="1" applyFont="1" applyBorder="1" applyAlignment="1">
      <alignment horizontal="center" vertical="center"/>
    </xf>
    <xf numFmtId="0" fontId="18" fillId="0" borderId="0" xfId="0" applyNumberFormat="1" applyFont="1" applyBorder="1" applyAlignment="1">
      <alignment horizontal="center" vertical="center"/>
    </xf>
    <xf numFmtId="0" fontId="0" fillId="0" borderId="0" xfId="0" applyAlignment="1">
      <alignment vertical="center"/>
    </xf>
    <xf numFmtId="0" fontId="18" fillId="0" borderId="104" xfId="0" applyNumberFormat="1" applyFont="1" applyBorder="1" applyAlignment="1">
      <alignment vertical="center"/>
    </xf>
    <xf numFmtId="169" fontId="47" fillId="0" borderId="165" xfId="0" applyNumberFormat="1" applyFont="1" applyBorder="1" applyAlignment="1" applyProtection="1">
      <alignment vertical="center"/>
      <protection locked="0"/>
    </xf>
    <xf numFmtId="169" fontId="47" fillId="0" borderId="166" xfId="0" applyNumberFormat="1" applyFont="1" applyBorder="1" applyAlignment="1" applyProtection="1">
      <alignment vertical="center"/>
      <protection locked="0"/>
    </xf>
    <xf numFmtId="169" fontId="47" fillId="0" borderId="167" xfId="0" applyNumberFormat="1" applyFont="1" applyBorder="1" applyAlignment="1" applyProtection="1">
      <alignment vertical="center"/>
      <protection locked="0"/>
    </xf>
    <xf numFmtId="169" fontId="47" fillId="0" borderId="168" xfId="0" applyNumberFormat="1" applyFont="1" applyBorder="1" applyAlignment="1" applyProtection="1">
      <alignment vertical="center"/>
      <protection locked="0"/>
    </xf>
    <xf numFmtId="49" fontId="8" fillId="0" borderId="0" xfId="0" applyNumberFormat="1" applyFont="1" applyBorder="1" applyAlignment="1">
      <alignment horizontal="center" vertical="center" wrapText="1"/>
    </xf>
    <xf numFmtId="49" fontId="8" fillId="0" borderId="0" xfId="0" applyNumberFormat="1" applyFont="1" applyBorder="1" applyAlignment="1">
      <alignment vertical="center" wrapText="1"/>
    </xf>
    <xf numFmtId="0" fontId="106" fillId="0" borderId="0" xfId="0" applyFont="1"/>
    <xf numFmtId="0" fontId="26" fillId="0" borderId="169" xfId="0" applyNumberFormat="1" applyFont="1" applyBorder="1" applyAlignment="1">
      <alignment vertical="center"/>
    </xf>
    <xf numFmtId="0" fontId="26" fillId="0" borderId="169" xfId="0" applyNumberFormat="1" applyFont="1" applyBorder="1" applyAlignment="1">
      <alignment horizontal="center" vertical="center"/>
    </xf>
    <xf numFmtId="0" fontId="106" fillId="0" borderId="0" xfId="0" applyNumberFormat="1" applyFont="1"/>
    <xf numFmtId="0" fontId="26" fillId="0" borderId="104" xfId="0" applyNumberFormat="1" applyFont="1" applyBorder="1" applyAlignment="1">
      <alignment vertical="center"/>
    </xf>
    <xf numFmtId="0" fontId="26" fillId="0" borderId="104" xfId="0" applyNumberFormat="1" applyFont="1" applyBorder="1" applyAlignment="1">
      <alignment horizontal="center" vertical="center"/>
    </xf>
    <xf numFmtId="0" fontId="106" fillId="0" borderId="104" xfId="0" applyNumberFormat="1" applyFont="1" applyBorder="1"/>
    <xf numFmtId="0" fontId="39" fillId="0" borderId="0" xfId="0" applyFont="1" applyAlignment="1">
      <alignment vertical="center" wrapText="1"/>
    </xf>
    <xf numFmtId="0" fontId="16" fillId="0" borderId="0" xfId="0" applyFont="1"/>
    <xf numFmtId="0" fontId="39" fillId="12" borderId="106" xfId="0" applyFont="1" applyFill="1" applyBorder="1" applyAlignment="1">
      <alignment horizontal="center" vertical="center" wrapText="1"/>
    </xf>
    <xf numFmtId="0" fontId="39" fillId="0" borderId="174" xfId="0" applyFont="1" applyBorder="1" applyAlignment="1">
      <alignment vertical="center" wrapText="1"/>
    </xf>
    <xf numFmtId="0" fontId="39" fillId="0" borderId="0" xfId="0" applyFont="1" applyBorder="1" applyAlignment="1">
      <alignment vertical="center" wrapText="1"/>
    </xf>
    <xf numFmtId="0" fontId="108" fillId="0" borderId="106" xfId="0" applyFont="1" applyBorder="1" applyAlignment="1" applyProtection="1">
      <alignment horizontal="left" vertical="center" wrapText="1" indent="1"/>
      <protection locked="0"/>
    </xf>
    <xf numFmtId="3" fontId="108" fillId="0" borderId="106" xfId="0" applyNumberFormat="1" applyFont="1" applyBorder="1" applyAlignment="1" applyProtection="1">
      <alignment horizontal="center" vertical="center" wrapText="1"/>
      <protection locked="0"/>
    </xf>
    <xf numFmtId="3" fontId="39" fillId="0" borderId="106" xfId="0" applyNumberFormat="1" applyFont="1" applyBorder="1" applyAlignment="1" applyProtection="1">
      <alignment horizontal="right" vertical="center" wrapText="1"/>
      <protection locked="0"/>
    </xf>
    <xf numFmtId="0" fontId="16" fillId="0" borderId="174" xfId="0" applyFont="1" applyBorder="1"/>
    <xf numFmtId="0" fontId="16" fillId="0" borderId="0" xfId="0" applyFont="1" applyBorder="1"/>
    <xf numFmtId="0" fontId="39" fillId="0" borderId="174" xfId="0" applyFont="1" applyBorder="1" applyAlignment="1">
      <alignment horizontal="left" vertical="center" wrapText="1" indent="1"/>
    </xf>
    <xf numFmtId="0" fontId="39" fillId="0" borderId="0" xfId="0" applyFont="1" applyBorder="1" applyAlignment="1">
      <alignment horizontal="left" vertical="center" wrapText="1" indent="1"/>
    </xf>
    <xf numFmtId="3" fontId="64" fillId="21" borderId="106" xfId="0" applyNumberFormat="1" applyFont="1" applyFill="1" applyBorder="1" applyAlignment="1">
      <alignment horizontal="right" vertical="center" wrapText="1"/>
    </xf>
    <xf numFmtId="0" fontId="39" fillId="0" borderId="96" xfId="0" applyFont="1" applyBorder="1" applyAlignment="1">
      <alignment horizontal="center" vertical="center" wrapText="1"/>
    </xf>
    <xf numFmtId="0" fontId="39" fillId="0" borderId="106" xfId="0" applyFont="1" applyBorder="1" applyAlignment="1">
      <alignment horizontal="center" vertical="center" wrapText="1"/>
    </xf>
    <xf numFmtId="3" fontId="39" fillId="0" borderId="106" xfId="0" applyNumberFormat="1" applyFont="1" applyBorder="1" applyAlignment="1" applyProtection="1">
      <alignment vertical="center" wrapText="1"/>
      <protection locked="0"/>
    </xf>
    <xf numFmtId="0" fontId="39" fillId="0" borderId="175" xfId="0" applyFont="1" applyBorder="1" applyAlignment="1">
      <alignment horizontal="left" vertical="center" wrapText="1" indent="1"/>
    </xf>
    <xf numFmtId="3" fontId="39" fillId="0" borderId="173" xfId="0" applyNumberFormat="1" applyFont="1" applyBorder="1" applyAlignment="1" applyProtection="1">
      <alignment vertical="center" wrapText="1"/>
      <protection locked="0"/>
    </xf>
    <xf numFmtId="0" fontId="64" fillId="21" borderId="106" xfId="0" applyFont="1" applyFill="1" applyBorder="1" applyAlignment="1">
      <alignment horizontal="left" vertical="center" wrapText="1" indent="1"/>
    </xf>
    <xf numFmtId="3" fontId="64" fillId="21" borderId="106" xfId="0" applyNumberFormat="1" applyFont="1" applyFill="1" applyBorder="1" applyAlignment="1">
      <alignment vertical="center" wrapText="1"/>
    </xf>
    <xf numFmtId="0" fontId="39" fillId="0" borderId="106" xfId="0" applyFont="1" applyBorder="1" applyAlignment="1">
      <alignment horizontal="left" vertical="center" wrapText="1" indent="1"/>
    </xf>
    <xf numFmtId="0" fontId="39" fillId="0" borderId="176" xfId="0" applyFont="1" applyBorder="1" applyAlignment="1">
      <alignment vertical="center"/>
    </xf>
    <xf numFmtId="0" fontId="39" fillId="0" borderId="178" xfId="0" applyFont="1" applyBorder="1" applyAlignment="1">
      <alignment vertical="center"/>
    </xf>
    <xf numFmtId="0" fontId="39" fillId="0" borderId="177" xfId="0" applyFont="1" applyBorder="1" applyAlignment="1">
      <alignment vertical="center"/>
    </xf>
    <xf numFmtId="0" fontId="39" fillId="0" borderId="106" xfId="0" applyFont="1" applyBorder="1" applyAlignment="1">
      <alignment horizontal="left" vertical="center" indent="1"/>
    </xf>
    <xf numFmtId="3" fontId="39" fillId="0" borderId="106" xfId="0" applyNumberFormat="1" applyFont="1" applyBorder="1" applyAlignment="1" applyProtection="1">
      <alignment vertical="center"/>
      <protection locked="0"/>
    </xf>
    <xf numFmtId="0" fontId="39" fillId="0" borderId="0" xfId="0" applyFont="1" applyAlignment="1">
      <alignment vertical="center"/>
    </xf>
    <xf numFmtId="49" fontId="8" fillId="0" borderId="0" xfId="0" applyNumberFormat="1" applyFont="1" applyBorder="1" applyAlignment="1">
      <alignment vertical="center"/>
    </xf>
    <xf numFmtId="0" fontId="18" fillId="0" borderId="99" xfId="0" applyNumberFormat="1" applyFont="1" applyBorder="1" applyAlignment="1">
      <alignment vertical="center"/>
    </xf>
    <xf numFmtId="14" fontId="18" fillId="0" borderId="101" xfId="0" applyNumberFormat="1" applyFont="1" applyBorder="1" applyAlignment="1">
      <alignment horizontal="center" vertical="center"/>
    </xf>
    <xf numFmtId="0" fontId="110" fillId="0" borderId="106" xfId="0" applyFont="1" applyBorder="1" applyAlignment="1" applyProtection="1">
      <alignment horizontal="center" vertical="center"/>
      <protection locked="0"/>
    </xf>
    <xf numFmtId="3" fontId="16" fillId="0" borderId="106" xfId="0" applyNumberFormat="1" applyFont="1" applyBorder="1" applyAlignment="1" applyProtection="1">
      <alignment horizontal="right" vertical="center"/>
      <protection locked="0"/>
    </xf>
    <xf numFmtId="3" fontId="57" fillId="21" borderId="106" xfId="0" applyNumberFormat="1" applyFont="1" applyFill="1" applyBorder="1" applyAlignment="1">
      <alignment horizontal="right" vertical="center"/>
    </xf>
    <xf numFmtId="0" fontId="26" fillId="0" borderId="0" xfId="0" applyNumberFormat="1" applyFont="1" applyBorder="1" applyAlignment="1">
      <alignment horizontal="center" vertical="center"/>
    </xf>
    <xf numFmtId="0" fontId="26" fillId="12" borderId="96" xfId="0" applyFont="1" applyFill="1" applyBorder="1"/>
    <xf numFmtId="0" fontId="26" fillId="12" borderId="105" xfId="0" applyFont="1" applyFill="1" applyBorder="1"/>
    <xf numFmtId="0" fontId="106" fillId="12" borderId="105" xfId="0" applyFont="1" applyFill="1" applyBorder="1"/>
    <xf numFmtId="0" fontId="26" fillId="12" borderId="106" xfId="0" applyFont="1" applyFill="1" applyBorder="1" applyAlignment="1">
      <alignment horizontal="center" vertical="center" wrapText="1"/>
    </xf>
    <xf numFmtId="0" fontId="111" fillId="0" borderId="97" xfId="0" applyFont="1" applyBorder="1" applyAlignment="1" applyProtection="1">
      <alignment horizontal="center" vertical="center"/>
      <protection locked="0"/>
    </xf>
    <xf numFmtId="0" fontId="39" fillId="12" borderId="107" xfId="0" applyNumberFormat="1" applyFont="1" applyFill="1" applyBorder="1" applyAlignment="1">
      <alignment horizontal="center" vertical="center" wrapText="1"/>
    </xf>
    <xf numFmtId="0" fontId="110" fillId="0" borderId="179" xfId="0" applyFont="1" applyBorder="1" applyAlignment="1" applyProtection="1">
      <alignment vertical="center"/>
      <protection locked="0"/>
    </xf>
    <xf numFmtId="9" fontId="8" fillId="0" borderId="179" xfId="0" applyNumberFormat="1" applyFont="1" applyBorder="1" applyAlignment="1" applyProtection="1">
      <alignment horizontal="right" vertical="center"/>
      <protection locked="0"/>
    </xf>
    <xf numFmtId="14" fontId="8" fillId="0" borderId="179" xfId="0" applyNumberFormat="1" applyFont="1" applyBorder="1" applyAlignment="1" applyProtection="1">
      <alignment horizontal="center" vertical="center"/>
      <protection locked="0"/>
    </xf>
    <xf numFmtId="3" fontId="8" fillId="0" borderId="179" xfId="0" applyNumberFormat="1" applyFont="1" applyBorder="1" applyAlignment="1" applyProtection="1">
      <alignment vertical="center"/>
      <protection locked="0"/>
    </xf>
    <xf numFmtId="3" fontId="9" fillId="21" borderId="180" xfId="0" applyNumberFormat="1" applyFont="1" applyFill="1" applyBorder="1" applyAlignment="1">
      <alignment vertical="center"/>
    </xf>
    <xf numFmtId="0" fontId="110" fillId="0" borderId="106" xfId="0" applyFont="1" applyBorder="1" applyAlignment="1" applyProtection="1">
      <alignment vertical="center"/>
      <protection locked="0"/>
    </xf>
    <xf numFmtId="9" fontId="8" fillId="0" borderId="106" xfId="0" applyNumberFormat="1" applyFont="1" applyBorder="1" applyAlignment="1" applyProtection="1">
      <alignment horizontal="right" vertical="center"/>
      <protection locked="0"/>
    </xf>
    <xf numFmtId="14" fontId="8" fillId="0" borderId="106" xfId="0" applyNumberFormat="1" applyFont="1" applyBorder="1" applyAlignment="1" applyProtection="1">
      <alignment horizontal="center" vertical="center"/>
      <protection locked="0"/>
    </xf>
    <xf numFmtId="3" fontId="8" fillId="0" borderId="106" xfId="0" applyNumberFormat="1" applyFont="1" applyBorder="1" applyAlignment="1" applyProtection="1">
      <alignment vertical="center"/>
      <protection locked="0"/>
    </xf>
    <xf numFmtId="3" fontId="9" fillId="21" borderId="106" xfId="0" applyNumberFormat="1" applyFont="1" applyFill="1" applyBorder="1" applyAlignment="1">
      <alignment vertical="center"/>
    </xf>
    <xf numFmtId="0" fontId="110" fillId="0" borderId="107" xfId="0" applyFont="1" applyBorder="1" applyAlignment="1" applyProtection="1">
      <alignment vertical="center"/>
      <protection locked="0"/>
    </xf>
    <xf numFmtId="9" fontId="8" fillId="0" borderId="107" xfId="0" applyNumberFormat="1" applyFont="1" applyBorder="1" applyAlignment="1" applyProtection="1">
      <alignment horizontal="right" vertical="center"/>
      <protection locked="0"/>
    </xf>
    <xf numFmtId="14" fontId="8" fillId="0" borderId="107" xfId="0" applyNumberFormat="1" applyFont="1" applyBorder="1" applyAlignment="1" applyProtection="1">
      <alignment horizontal="center" vertical="center"/>
      <protection locked="0"/>
    </xf>
    <xf numFmtId="3" fontId="8" fillId="0" borderId="107" xfId="0" applyNumberFormat="1" applyFont="1" applyBorder="1" applyAlignment="1" applyProtection="1">
      <alignment vertical="center"/>
      <protection locked="0"/>
    </xf>
    <xf numFmtId="3" fontId="9" fillId="21" borderId="173" xfId="0" applyNumberFormat="1" applyFont="1" applyFill="1" applyBorder="1" applyAlignment="1">
      <alignment vertical="center"/>
    </xf>
    <xf numFmtId="3" fontId="9" fillId="21" borderId="179" xfId="0" applyNumberFormat="1" applyFont="1" applyFill="1" applyBorder="1" applyAlignment="1">
      <alignment vertical="center"/>
    </xf>
    <xf numFmtId="0" fontId="0" fillId="0" borderId="0" xfId="0" applyAlignment="1">
      <alignment horizontal="center"/>
    </xf>
    <xf numFmtId="0" fontId="0" fillId="0" borderId="0" xfId="0" applyAlignment="1">
      <alignment vertical="center" wrapText="1"/>
    </xf>
    <xf numFmtId="0" fontId="0" fillId="0" borderId="0" xfId="0" applyAlignment="1">
      <alignment horizontal="left" vertical="center" indent="1"/>
    </xf>
    <xf numFmtId="0" fontId="47" fillId="12" borderId="106" xfId="23" applyFont="1" applyFill="1" applyBorder="1" applyAlignment="1">
      <alignment horizontal="center" vertical="center" wrapText="1"/>
    </xf>
    <xf numFmtId="3" fontId="47" fillId="3" borderId="106" xfId="23" applyNumberFormat="1" applyFont="1" applyFill="1" applyBorder="1" applyAlignment="1" applyProtection="1">
      <alignment horizontal="right" vertical="center"/>
      <protection locked="0"/>
    </xf>
    <xf numFmtId="3" fontId="47" fillId="0" borderId="106" xfId="23" applyNumberFormat="1" applyFont="1" applyBorder="1" applyAlignment="1" applyProtection="1">
      <alignment horizontal="right" vertical="center"/>
      <protection locked="0"/>
    </xf>
    <xf numFmtId="3" fontId="23" fillId="21" borderId="106" xfId="23" applyNumberFormat="1" applyFont="1" applyFill="1" applyBorder="1" applyAlignment="1">
      <alignment horizontal="right" vertical="center"/>
    </xf>
    <xf numFmtId="0" fontId="39" fillId="0" borderId="0" xfId="23" applyFont="1"/>
    <xf numFmtId="0" fontId="52" fillId="0" borderId="0" xfId="0" applyFont="1"/>
    <xf numFmtId="0" fontId="113" fillId="0" borderId="0" xfId="23" quotePrefix="1" applyFont="1"/>
    <xf numFmtId="49" fontId="8" fillId="0" borderId="0" xfId="0" applyNumberFormat="1" applyFont="1" applyBorder="1" applyAlignment="1" applyProtection="1">
      <alignment vertical="center"/>
    </xf>
    <xf numFmtId="49" fontId="17" fillId="0" borderId="0" xfId="0" applyNumberFormat="1" applyFont="1" applyAlignment="1" applyProtection="1">
      <alignment horizontal="center" vertical="center"/>
    </xf>
    <xf numFmtId="0" fontId="26" fillId="0" borderId="0" xfId="0" applyNumberFormat="1" applyFont="1" applyAlignment="1" applyProtection="1">
      <alignment vertical="center"/>
    </xf>
    <xf numFmtId="0" fontId="18" fillId="0" borderId="0" xfId="0" applyNumberFormat="1" applyFont="1" applyBorder="1" applyAlignment="1" applyProtection="1">
      <alignment vertical="center"/>
    </xf>
    <xf numFmtId="0" fontId="106" fillId="0" borderId="0" xfId="0" applyFont="1" applyProtection="1"/>
    <xf numFmtId="0" fontId="26" fillId="0" borderId="0" xfId="0" applyNumberFormat="1" applyFont="1" applyAlignment="1" applyProtection="1">
      <alignment horizontal="right" vertical="center"/>
    </xf>
    <xf numFmtId="0" fontId="18" fillId="0" borderId="99" xfId="0" applyNumberFormat="1" applyFont="1" applyBorder="1" applyAlignment="1" applyProtection="1">
      <alignment horizontal="center" vertical="center"/>
    </xf>
    <xf numFmtId="0" fontId="106" fillId="0" borderId="0" xfId="0" applyNumberFormat="1" applyFont="1" applyProtection="1"/>
    <xf numFmtId="0" fontId="26" fillId="0" borderId="0" xfId="0" applyNumberFormat="1" applyFont="1" applyBorder="1" applyAlignment="1" applyProtection="1">
      <alignment horizontal="right" vertical="center"/>
    </xf>
    <xf numFmtId="0" fontId="26" fillId="0" borderId="104" xfId="0" applyNumberFormat="1" applyFont="1" applyBorder="1" applyAlignment="1" applyProtection="1">
      <alignment horizontal="right" vertical="center"/>
    </xf>
    <xf numFmtId="0" fontId="18" fillId="0" borderId="104" xfId="0" applyNumberFormat="1" applyFont="1" applyBorder="1" applyAlignment="1" applyProtection="1">
      <alignment horizontal="center" vertical="center"/>
    </xf>
    <xf numFmtId="0" fontId="95" fillId="30" borderId="106" xfId="0" applyFont="1" applyFill="1" applyBorder="1" applyAlignment="1" applyProtection="1">
      <alignment horizontal="center" vertical="center"/>
    </xf>
    <xf numFmtId="3" fontId="26" fillId="0" borderId="173" xfId="0" applyNumberFormat="1" applyFont="1" applyBorder="1" applyAlignment="1" applyProtection="1">
      <alignment horizontal="center" vertical="center"/>
      <protection locked="0"/>
    </xf>
    <xf numFmtId="3" fontId="26" fillId="0" borderId="106" xfId="0" applyNumberFormat="1" applyFont="1" applyBorder="1" applyAlignment="1" applyProtection="1">
      <alignment horizontal="center" vertical="center"/>
      <protection locked="0"/>
    </xf>
    <xf numFmtId="3" fontId="26" fillId="0" borderId="107" xfId="0" applyNumberFormat="1" applyFont="1" applyBorder="1" applyAlignment="1" applyProtection="1">
      <alignment horizontal="center" vertical="center"/>
      <protection locked="0"/>
    </xf>
    <xf numFmtId="0" fontId="95" fillId="12" borderId="106" xfId="0" applyFont="1" applyFill="1" applyBorder="1" applyAlignment="1" applyProtection="1">
      <alignment horizontal="center" vertical="center"/>
    </xf>
    <xf numFmtId="3" fontId="26" fillId="0" borderId="106" xfId="0" applyNumberFormat="1" applyFont="1" applyBorder="1" applyAlignment="1" applyProtection="1">
      <alignment horizontal="center" vertical="center" wrapText="1"/>
      <protection locked="0"/>
    </xf>
    <xf numFmtId="49" fontId="18" fillId="0" borderId="0" xfId="0" applyNumberFormat="1" applyFont="1" applyBorder="1" applyAlignment="1">
      <alignment horizontal="center" vertical="center" wrapText="1"/>
    </xf>
    <xf numFmtId="0" fontId="18" fillId="0" borderId="101" xfId="0" applyNumberFormat="1" applyFont="1" applyBorder="1" applyAlignment="1">
      <alignment vertical="center"/>
    </xf>
    <xf numFmtId="0" fontId="98" fillId="0" borderId="0" xfId="0" applyFont="1" applyBorder="1" applyAlignment="1">
      <alignment vertical="center"/>
    </xf>
    <xf numFmtId="0" fontId="116" fillId="0" borderId="88" xfId="0" applyFont="1" applyBorder="1" applyAlignment="1">
      <alignment horizontal="center" vertical="center" wrapText="1"/>
    </xf>
    <xf numFmtId="0" fontId="116" fillId="0" borderId="92" xfId="0" applyFont="1" applyBorder="1" applyAlignment="1">
      <alignment horizontal="center" vertical="center" wrapText="1"/>
    </xf>
    <xf numFmtId="0" fontId="116" fillId="0" borderId="44" xfId="0" applyFont="1" applyBorder="1" applyAlignment="1">
      <alignment horizontal="center" vertical="center" wrapText="1"/>
    </xf>
    <xf numFmtId="0" fontId="116" fillId="0" borderId="20" xfId="0" applyFont="1" applyBorder="1" applyAlignment="1">
      <alignment horizontal="center" vertical="center" wrapText="1"/>
    </xf>
    <xf numFmtId="0" fontId="116" fillId="0" borderId="2" xfId="0" applyFont="1" applyBorder="1" applyAlignment="1">
      <alignment horizontal="center" vertical="center" wrapText="1"/>
    </xf>
    <xf numFmtId="0" fontId="116" fillId="0" borderId="189" xfId="0" applyFont="1" applyBorder="1" applyAlignment="1">
      <alignment horizontal="center" vertical="center" wrapText="1"/>
    </xf>
    <xf numFmtId="0" fontId="47" fillId="0" borderId="53" xfId="0" applyFont="1" applyBorder="1" applyProtection="1">
      <protection locked="0"/>
    </xf>
    <xf numFmtId="0" fontId="10" fillId="0" borderId="1" xfId="0" applyFont="1" applyBorder="1" applyProtection="1">
      <protection locked="0"/>
    </xf>
    <xf numFmtId="0" fontId="47" fillId="0" borderId="1" xfId="0" applyFont="1" applyBorder="1" applyAlignment="1" applyProtection="1">
      <alignment wrapText="1"/>
      <protection locked="0"/>
    </xf>
    <xf numFmtId="3" fontId="10" fillId="0" borderId="1" xfId="0" applyNumberFormat="1" applyFont="1" applyBorder="1" applyProtection="1">
      <protection locked="0"/>
    </xf>
    <xf numFmtId="3" fontId="10" fillId="0" borderId="190" xfId="0" applyNumberFormat="1" applyFont="1" applyBorder="1" applyProtection="1">
      <protection locked="0"/>
    </xf>
    <xf numFmtId="0" fontId="0" fillId="0" borderId="0" xfId="0" applyAlignment="1" applyProtection="1">
      <alignment vertical="center"/>
      <protection locked="0"/>
    </xf>
    <xf numFmtId="0" fontId="47" fillId="0" borderId="3" xfId="0" applyFont="1" applyBorder="1" applyAlignment="1" applyProtection="1">
      <alignment wrapText="1"/>
      <protection locked="0"/>
    </xf>
    <xf numFmtId="3" fontId="10" fillId="0" borderId="3" xfId="0" applyNumberFormat="1" applyFont="1" applyBorder="1" applyProtection="1">
      <protection locked="0"/>
    </xf>
    <xf numFmtId="0" fontId="10" fillId="0" borderId="53" xfId="0" applyFont="1" applyBorder="1" applyProtection="1">
      <protection locked="0"/>
    </xf>
    <xf numFmtId="0" fontId="10" fillId="0" borderId="190" xfId="0" applyFont="1" applyBorder="1" applyProtection="1">
      <protection locked="0"/>
    </xf>
    <xf numFmtId="0" fontId="10" fillId="0" borderId="88" xfId="0" applyFont="1" applyBorder="1" applyProtection="1">
      <protection locked="0"/>
    </xf>
    <xf numFmtId="0" fontId="10" fillId="0" borderId="92" xfId="0" applyFont="1" applyBorder="1" applyProtection="1">
      <protection locked="0"/>
    </xf>
    <xf numFmtId="0" fontId="10" fillId="0" borderId="188" xfId="0" applyFont="1" applyBorder="1" applyProtection="1">
      <protection locked="0"/>
    </xf>
    <xf numFmtId="0" fontId="11" fillId="0" borderId="191" xfId="0" applyFont="1" applyBorder="1"/>
    <xf numFmtId="0" fontId="10" fillId="0" borderId="76" xfId="0" applyFont="1" applyBorder="1"/>
    <xf numFmtId="3" fontId="11" fillId="0" borderId="76" xfId="0" applyNumberFormat="1" applyFont="1" applyBorder="1"/>
    <xf numFmtId="0" fontId="11" fillId="0" borderId="76" xfId="0" applyFont="1" applyBorder="1"/>
    <xf numFmtId="3" fontId="11" fillId="0" borderId="192" xfId="0" applyNumberFormat="1" applyFont="1" applyBorder="1"/>
    <xf numFmtId="0" fontId="26" fillId="0" borderId="0" xfId="0" applyNumberFormat="1" applyFont="1" applyAlignment="1">
      <alignment horizontal="left" vertical="center"/>
    </xf>
    <xf numFmtId="0" fontId="39" fillId="12" borderId="56" xfId="0" applyFont="1" applyFill="1" applyBorder="1" applyAlignment="1">
      <alignment horizontal="center" vertical="center" wrapText="1"/>
    </xf>
    <xf numFmtId="0" fontId="39" fillId="12" borderId="193" xfId="0" applyFont="1" applyFill="1" applyBorder="1" applyAlignment="1">
      <alignment horizontal="center" vertical="center" wrapText="1"/>
    </xf>
    <xf numFmtId="0" fontId="39" fillId="12" borderId="170" xfId="0" applyFont="1" applyFill="1" applyBorder="1" applyAlignment="1">
      <alignment horizontal="center" vertical="center" wrapText="1"/>
    </xf>
    <xf numFmtId="0" fontId="39" fillId="12" borderId="195" xfId="0" applyFont="1" applyFill="1" applyBorder="1" applyAlignment="1">
      <alignment horizontal="center" vertical="center" wrapText="1"/>
    </xf>
    <xf numFmtId="0" fontId="114" fillId="0" borderId="53" xfId="0" applyFont="1" applyBorder="1" applyAlignment="1" applyProtection="1">
      <alignment horizontal="center" vertical="center" wrapText="1"/>
      <protection locked="0"/>
    </xf>
    <xf numFmtId="0" fontId="114" fillId="0" borderId="1" xfId="0" applyFont="1" applyBorder="1" applyAlignment="1" applyProtection="1">
      <alignment horizontal="center" vertical="center" wrapText="1"/>
      <protection locked="0"/>
    </xf>
    <xf numFmtId="0" fontId="114" fillId="0" borderId="190" xfId="0" applyFont="1" applyBorder="1" applyAlignment="1" applyProtection="1">
      <alignment horizontal="center" vertical="center" wrapText="1"/>
      <protection locked="0"/>
    </xf>
    <xf numFmtId="0" fontId="47" fillId="0" borderId="53" xfId="0" applyFont="1" applyBorder="1" applyAlignment="1" applyProtection="1">
      <alignment wrapText="1"/>
      <protection locked="0"/>
    </xf>
    <xf numFmtId="0" fontId="10" fillId="0" borderId="52" xfId="0" applyFont="1" applyBorder="1" applyProtection="1">
      <protection locked="0"/>
    </xf>
    <xf numFmtId="0" fontId="10" fillId="0" borderId="4" xfId="0" applyFont="1" applyBorder="1" applyProtection="1">
      <protection locked="0"/>
    </xf>
    <xf numFmtId="0" fontId="10" fillId="0" borderId="196" xfId="0" applyFont="1" applyBorder="1" applyProtection="1">
      <protection locked="0"/>
    </xf>
    <xf numFmtId="0" fontId="10" fillId="0" borderId="90" xfId="0" applyFont="1" applyBorder="1" applyProtection="1">
      <protection locked="0"/>
    </xf>
    <xf numFmtId="0" fontId="11" fillId="0" borderId="74" xfId="0" applyFont="1" applyBorder="1"/>
    <xf numFmtId="0" fontId="11" fillId="0" borderId="198" xfId="0" applyFont="1" applyBorder="1"/>
    <xf numFmtId="49" fontId="20" fillId="0" borderId="0" xfId="0" applyNumberFormat="1" applyFont="1" applyBorder="1" applyAlignment="1">
      <alignment vertical="center" wrapText="1"/>
    </xf>
    <xf numFmtId="0" fontId="64" fillId="12" borderId="1" xfId="0" applyFont="1" applyFill="1" applyBorder="1" applyAlignment="1">
      <alignment horizontal="center" vertical="center" wrapText="1"/>
    </xf>
    <xf numFmtId="0" fontId="47" fillId="0" borderId="1" xfId="0" applyFont="1" applyBorder="1" applyProtection="1">
      <protection locked="0"/>
    </xf>
    <xf numFmtId="0" fontId="11" fillId="0" borderId="1" xfId="0" applyFont="1" applyBorder="1"/>
    <xf numFmtId="0" fontId="18" fillId="0" borderId="99" xfId="0" applyNumberFormat="1" applyFont="1" applyBorder="1" applyAlignment="1">
      <alignment horizontal="left" vertical="center"/>
    </xf>
    <xf numFmtId="0" fontId="18" fillId="0" borderId="101" xfId="0" applyNumberFormat="1" applyFont="1" applyBorder="1" applyAlignment="1">
      <alignment horizontal="left" vertical="center"/>
    </xf>
    <xf numFmtId="0" fontId="18" fillId="0" borderId="169" xfId="0" applyNumberFormat="1" applyFont="1" applyBorder="1" applyAlignment="1">
      <alignment horizontal="left" vertical="center"/>
    </xf>
    <xf numFmtId="3" fontId="11" fillId="0" borderId="1" xfId="0" applyNumberFormat="1" applyFont="1" applyBorder="1"/>
    <xf numFmtId="0" fontId="18" fillId="0" borderId="169" xfId="0" applyNumberFormat="1" applyFont="1" applyBorder="1" applyAlignment="1">
      <alignment vertical="center"/>
    </xf>
    <xf numFmtId="0" fontId="39" fillId="12" borderId="1" xfId="0" applyFont="1" applyFill="1" applyBorder="1" applyAlignment="1">
      <alignment horizontal="center" vertical="center" wrapText="1"/>
    </xf>
    <xf numFmtId="0" fontId="0" fillId="0" borderId="1" xfId="0" applyBorder="1"/>
    <xf numFmtId="0" fontId="110" fillId="0" borderId="1" xfId="0" applyFont="1" applyBorder="1" applyAlignment="1" applyProtection="1">
      <alignment horizontal="left" vertical="center" indent="1"/>
      <protection locked="0"/>
    </xf>
    <xf numFmtId="0" fontId="110" fillId="0" borderId="1" xfId="0" applyFont="1" applyBorder="1" applyAlignment="1" applyProtection="1">
      <alignment horizontal="center" vertical="center"/>
      <protection locked="0"/>
    </xf>
    <xf numFmtId="3" fontId="16" fillId="0" borderId="1" xfId="0" applyNumberFormat="1" applyFont="1" applyBorder="1" applyAlignment="1" applyProtection="1">
      <alignment horizontal="right" vertical="center"/>
      <protection locked="0"/>
    </xf>
    <xf numFmtId="0" fontId="0" fillId="0" borderId="1" xfId="0" applyBorder="1" applyProtection="1">
      <protection locked="0"/>
    </xf>
    <xf numFmtId="3" fontId="57" fillId="3" borderId="1" xfId="0" applyNumberFormat="1" applyFont="1" applyFill="1" applyBorder="1" applyAlignment="1">
      <alignment horizontal="right" vertical="center"/>
    </xf>
    <xf numFmtId="0" fontId="0" fillId="3" borderId="1" xfId="0" applyFill="1" applyBorder="1"/>
    <xf numFmtId="3" fontId="0" fillId="0" borderId="1" xfId="0" applyNumberFormat="1" applyBorder="1" applyProtection="1">
      <protection locked="0"/>
    </xf>
    <xf numFmtId="3" fontId="0" fillId="3" borderId="1" xfId="0" applyNumberFormat="1" applyFill="1" applyBorder="1"/>
    <xf numFmtId="3" fontId="26" fillId="0" borderId="150" xfId="0" applyNumberFormat="1" applyFont="1" applyBorder="1" applyAlignment="1" applyProtection="1">
      <alignment horizontal="right" vertical="center"/>
      <protection locked="0"/>
    </xf>
    <xf numFmtId="0" fontId="26" fillId="0" borderId="0" xfId="0" applyFont="1" applyAlignment="1" applyProtection="1">
      <alignment vertical="center"/>
      <protection locked="0"/>
    </xf>
    <xf numFmtId="10" fontId="18" fillId="0" borderId="150" xfId="0" applyNumberFormat="1" applyFont="1" applyFill="1" applyBorder="1" applyAlignment="1" applyProtection="1">
      <alignment horizontal="center" vertical="center"/>
      <protection locked="0"/>
    </xf>
    <xf numFmtId="0" fontId="46" fillId="0" borderId="0" xfId="0" applyFont="1" applyBorder="1" applyAlignment="1" applyProtection="1">
      <alignment vertical="center" wrapText="1"/>
    </xf>
    <xf numFmtId="0" fontId="45" fillId="16" borderId="3" xfId="0" applyFont="1" applyFill="1" applyBorder="1" applyAlignment="1" applyProtection="1">
      <alignment horizontal="center"/>
      <protection locked="0"/>
    </xf>
    <xf numFmtId="0" fontId="51" fillId="0" borderId="5" xfId="0" applyFont="1" applyFill="1" applyBorder="1" applyAlignment="1" applyProtection="1">
      <alignment horizontal="center" vertical="center"/>
      <protection locked="0"/>
    </xf>
    <xf numFmtId="0" fontId="51" fillId="0" borderId="5" xfId="0" applyFont="1" applyFill="1" applyBorder="1" applyAlignment="1" applyProtection="1">
      <alignment horizontal="left" vertical="center"/>
      <protection locked="0"/>
    </xf>
    <xf numFmtId="0" fontId="51" fillId="0" borderId="6" xfId="0" applyFont="1" applyFill="1" applyBorder="1" applyAlignment="1" applyProtection="1">
      <alignment horizontal="left" vertical="center"/>
      <protection locked="0"/>
    </xf>
    <xf numFmtId="0" fontId="51" fillId="0" borderId="0" xfId="0" applyFont="1" applyFill="1" applyAlignment="1" applyProtection="1">
      <alignment vertical="center"/>
      <protection locked="0"/>
    </xf>
    <xf numFmtId="0" fontId="51" fillId="0" borderId="0" xfId="0" applyFont="1" applyFill="1" applyAlignment="1" applyProtection="1">
      <alignment horizontal="left"/>
      <protection locked="0"/>
    </xf>
    <xf numFmtId="0" fontId="67" fillId="0" borderId="0" xfId="0" applyFont="1" applyAlignment="1">
      <alignment vertical="center"/>
    </xf>
    <xf numFmtId="0" fontId="133" fillId="0" borderId="203" xfId="0" applyFont="1" applyBorder="1" applyAlignment="1">
      <alignment horizontal="center" vertical="center" wrapText="1"/>
    </xf>
    <xf numFmtId="0" fontId="133" fillId="0" borderId="204" xfId="0" applyFont="1" applyBorder="1" applyAlignment="1">
      <alignment horizontal="center" vertical="center" wrapText="1"/>
    </xf>
    <xf numFmtId="0" fontId="133" fillId="0" borderId="205" xfId="0" applyFont="1" applyBorder="1" applyAlignment="1">
      <alignment horizontal="center" vertical="center" wrapText="1"/>
    </xf>
    <xf numFmtId="0" fontId="133" fillId="0" borderId="0" xfId="0" applyFont="1" applyAlignment="1">
      <alignment horizontal="center" vertical="center"/>
    </xf>
    <xf numFmtId="0" fontId="66" fillId="0" borderId="65" xfId="0" applyFont="1" applyBorder="1" applyAlignment="1" applyProtection="1">
      <alignment vertical="center" wrapText="1"/>
      <protection locked="0"/>
    </xf>
    <xf numFmtId="0" fontId="66" fillId="0" borderId="3" xfId="0" applyFont="1" applyBorder="1" applyAlignment="1" applyProtection="1">
      <alignment vertical="center" wrapText="1"/>
      <protection locked="0"/>
    </xf>
    <xf numFmtId="3" fontId="66" fillId="0" borderId="62" xfId="0" applyNumberFormat="1" applyFont="1" applyBorder="1" applyAlignment="1" applyProtection="1">
      <alignment vertical="center"/>
      <protection locked="0"/>
    </xf>
    <xf numFmtId="0" fontId="66" fillId="0" borderId="59" xfId="0" applyFont="1" applyBorder="1" applyAlignment="1" applyProtection="1">
      <alignment vertical="center" wrapText="1"/>
      <protection locked="0"/>
    </xf>
    <xf numFmtId="0" fontId="66" fillId="0" borderId="1" xfId="0" applyFont="1" applyBorder="1" applyAlignment="1" applyProtection="1">
      <alignment vertical="center" wrapText="1"/>
      <protection locked="0"/>
    </xf>
    <xf numFmtId="3" fontId="66" fillId="0" borderId="68" xfId="0" applyNumberFormat="1" applyFont="1" applyBorder="1" applyAlignment="1" applyProtection="1">
      <alignment vertical="center"/>
      <protection locked="0"/>
    </xf>
    <xf numFmtId="0" fontId="66" fillId="0" borderId="60" xfId="0" applyFont="1" applyBorder="1" applyAlignment="1" applyProtection="1">
      <alignment vertical="center" wrapText="1"/>
      <protection locked="0"/>
    </xf>
    <xf numFmtId="0" fontId="66" fillId="0" borderId="71" xfId="0" applyFont="1" applyBorder="1" applyAlignment="1" applyProtection="1">
      <alignment vertical="center" wrapText="1"/>
      <protection locked="0"/>
    </xf>
    <xf numFmtId="3" fontId="66" fillId="0" borderId="73" xfId="0" applyNumberFormat="1" applyFont="1" applyBorder="1" applyAlignment="1" applyProtection="1">
      <alignment vertical="center"/>
      <protection locked="0"/>
    </xf>
    <xf numFmtId="0" fontId="66" fillId="0" borderId="0" xfId="0" applyFont="1" applyAlignment="1">
      <alignment vertical="center"/>
    </xf>
    <xf numFmtId="0" fontId="133" fillId="0" borderId="0" xfId="0" applyFont="1" applyAlignment="1">
      <alignment horizontal="right" vertical="center" indent="2"/>
    </xf>
    <xf numFmtId="3" fontId="133" fillId="0" borderId="206" xfId="0" applyNumberFormat="1" applyFont="1" applyBorder="1" applyAlignment="1">
      <alignment vertical="center"/>
    </xf>
    <xf numFmtId="0" fontId="134" fillId="0" borderId="0" xfId="0" applyFont="1" applyAlignment="1">
      <alignment vertical="center"/>
    </xf>
    <xf numFmtId="3" fontId="46" fillId="0" borderId="0" xfId="0" applyNumberFormat="1" applyFont="1" applyBorder="1" applyAlignment="1" applyProtection="1">
      <alignment vertical="center" wrapText="1"/>
    </xf>
    <xf numFmtId="0" fontId="67" fillId="0" borderId="0" xfId="0" applyFont="1" applyAlignment="1">
      <alignment horizontal="center" vertical="center"/>
    </xf>
    <xf numFmtId="3" fontId="67" fillId="0" borderId="0" xfId="0" applyNumberFormat="1" applyFont="1" applyAlignment="1">
      <alignment vertical="center"/>
    </xf>
    <xf numFmtId="0" fontId="133" fillId="0" borderId="207" xfId="0" applyFont="1" applyBorder="1" applyAlignment="1">
      <alignment horizontal="center" vertical="center" wrapText="1"/>
    </xf>
    <xf numFmtId="0" fontId="133" fillId="0" borderId="208" xfId="0" applyFont="1" applyBorder="1" applyAlignment="1">
      <alignment horizontal="center" vertical="center" wrapText="1"/>
    </xf>
    <xf numFmtId="3" fontId="133" fillId="0" borderId="208" xfId="0" applyNumberFormat="1" applyFont="1" applyBorder="1" applyAlignment="1">
      <alignment horizontal="center" vertical="center" wrapText="1"/>
    </xf>
    <xf numFmtId="0" fontId="133" fillId="0" borderId="0" xfId="0" applyFont="1" applyAlignment="1">
      <alignment horizontal="center" vertical="center" wrapText="1"/>
    </xf>
    <xf numFmtId="0" fontId="66" fillId="0" borderId="59" xfId="0" applyFont="1" applyBorder="1" applyAlignment="1" applyProtection="1">
      <alignment vertical="center"/>
      <protection locked="0"/>
    </xf>
    <xf numFmtId="0" fontId="66" fillId="0" borderId="1" xfId="0" applyFont="1" applyBorder="1" applyAlignment="1" applyProtection="1">
      <alignment vertical="center"/>
      <protection locked="0"/>
    </xf>
    <xf numFmtId="3" fontId="119" fillId="0" borderId="1" xfId="0" applyNumberFormat="1" applyFont="1" applyBorder="1" applyAlignment="1" applyProtection="1">
      <alignment horizontal="center" vertical="center"/>
      <protection locked="0"/>
    </xf>
    <xf numFmtId="0" fontId="119" fillId="0" borderId="1" xfId="0" applyFont="1" applyBorder="1" applyAlignment="1" applyProtection="1">
      <alignment horizontal="left" vertical="center" wrapText="1"/>
      <protection locked="0"/>
    </xf>
    <xf numFmtId="14" fontId="67" fillId="0" borderId="1" xfId="0" applyNumberFormat="1" applyFont="1" applyBorder="1" applyAlignment="1" applyProtection="1">
      <alignment horizontal="center" vertical="center"/>
      <protection locked="0"/>
    </xf>
    <xf numFmtId="3" fontId="66" fillId="0" borderId="1" xfId="0" applyNumberFormat="1" applyFont="1" applyBorder="1" applyAlignment="1" applyProtection="1">
      <alignment vertical="center"/>
      <protection locked="0"/>
    </xf>
    <xf numFmtId="0" fontId="67" fillId="0" borderId="1" xfId="0" applyFont="1" applyBorder="1" applyAlignment="1" applyProtection="1">
      <alignment horizontal="center" vertical="center"/>
      <protection locked="0"/>
    </xf>
    <xf numFmtId="0" fontId="66" fillId="0" borderId="60" xfId="0" applyFont="1" applyBorder="1" applyAlignment="1" applyProtection="1">
      <alignment vertical="center"/>
      <protection locked="0"/>
    </xf>
    <xf numFmtId="0" fontId="66" fillId="0" borderId="71" xfId="0" applyFont="1" applyBorder="1" applyAlignment="1" applyProtection="1">
      <alignment vertical="center"/>
      <protection locked="0"/>
    </xf>
    <xf numFmtId="3" fontId="119" fillId="0" borderId="71" xfId="0" applyNumberFormat="1" applyFont="1" applyBorder="1" applyAlignment="1" applyProtection="1">
      <alignment horizontal="center" vertical="center"/>
      <protection locked="0"/>
    </xf>
    <xf numFmtId="0" fontId="119" fillId="0" borderId="71" xfId="0" applyFont="1" applyBorder="1" applyAlignment="1" applyProtection="1">
      <alignment horizontal="left" vertical="center" wrapText="1"/>
      <protection locked="0"/>
    </xf>
    <xf numFmtId="0" fontId="67" fillId="0" borderId="71" xfId="0" applyFont="1" applyBorder="1" applyAlignment="1" applyProtection="1">
      <alignment horizontal="center" vertical="center"/>
      <protection locked="0"/>
    </xf>
    <xf numFmtId="3" fontId="66" fillId="0" borderId="71" xfId="0" applyNumberFormat="1" applyFont="1" applyBorder="1" applyAlignment="1" applyProtection="1">
      <alignment vertical="center"/>
      <protection locked="0"/>
    </xf>
    <xf numFmtId="3" fontId="133" fillId="0" borderId="0" xfId="0" applyNumberFormat="1" applyFont="1" applyAlignment="1">
      <alignment horizontal="right" vertical="center" indent="2"/>
    </xf>
    <xf numFmtId="3" fontId="133" fillId="0" borderId="209" xfId="0" applyNumberFormat="1" applyFont="1" applyBorder="1" applyAlignment="1">
      <alignment vertical="center"/>
    </xf>
    <xf numFmtId="0" fontId="134" fillId="0" borderId="0" xfId="0" applyFont="1" applyAlignment="1">
      <alignment horizontal="center" vertical="center"/>
    </xf>
    <xf numFmtId="3" fontId="133" fillId="0" borderId="210" xfId="0" applyNumberFormat="1" applyFont="1" applyBorder="1" applyAlignment="1">
      <alignment horizontal="center" vertical="center" wrapText="1"/>
    </xf>
    <xf numFmtId="3" fontId="67" fillId="0" borderId="1" xfId="0" applyNumberFormat="1" applyFont="1" applyBorder="1" applyAlignment="1" applyProtection="1">
      <alignment horizontal="center" vertical="center"/>
      <protection locked="0"/>
    </xf>
    <xf numFmtId="3" fontId="67" fillId="0" borderId="71" xfId="0" applyNumberFormat="1" applyFont="1" applyBorder="1" applyAlignment="1" applyProtection="1">
      <alignment horizontal="center" vertical="center"/>
      <protection locked="0"/>
    </xf>
    <xf numFmtId="0" fontId="135" fillId="0" borderId="0" xfId="0" applyFont="1" applyAlignment="1">
      <alignment horizontal="center" vertical="center"/>
    </xf>
    <xf numFmtId="0" fontId="0" fillId="3" borderId="1" xfId="0" applyFont="1" applyFill="1" applyBorder="1" applyAlignment="1" applyProtection="1">
      <alignment horizontal="center"/>
      <protection hidden="1"/>
    </xf>
    <xf numFmtId="3" fontId="11" fillId="11" borderId="0" xfId="2" applyNumberFormat="1" applyFont="1" applyFill="1" applyBorder="1" applyProtection="1">
      <protection hidden="1"/>
    </xf>
    <xf numFmtId="0" fontId="10" fillId="11" borderId="0" xfId="2" applyFill="1" applyProtection="1">
      <protection hidden="1"/>
    </xf>
    <xf numFmtId="0" fontId="0" fillId="3" borderId="1" xfId="0" applyFill="1" applyBorder="1" applyAlignment="1" applyProtection="1">
      <alignment horizontal="center"/>
      <protection locked="0"/>
    </xf>
    <xf numFmtId="0" fontId="11" fillId="3" borderId="20" xfId="2" applyNumberFormat="1" applyFont="1" applyFill="1" applyBorder="1" applyAlignment="1" applyProtection="1">
      <alignment horizontal="center"/>
      <protection hidden="1"/>
    </xf>
    <xf numFmtId="0" fontId="2" fillId="3" borderId="13" xfId="0" applyFont="1" applyFill="1" applyBorder="1" applyAlignment="1" applyProtection="1">
      <alignment horizontal="left"/>
      <protection hidden="1"/>
    </xf>
    <xf numFmtId="0" fontId="2" fillId="3" borderId="10" xfId="0" applyFont="1" applyFill="1" applyBorder="1" applyAlignment="1" applyProtection="1">
      <alignment horizontal="left"/>
      <protection hidden="1"/>
    </xf>
    <xf numFmtId="0" fontId="136" fillId="3" borderId="0" xfId="0" applyFont="1" applyFill="1" applyBorder="1" applyAlignment="1">
      <alignment horizontal="left"/>
    </xf>
    <xf numFmtId="0" fontId="136" fillId="3" borderId="54" xfId="0" applyFont="1" applyFill="1" applyBorder="1" applyAlignment="1">
      <alignment horizontal="left" indent="1"/>
    </xf>
    <xf numFmtId="0" fontId="0" fillId="31" borderId="54" xfId="0" applyFill="1" applyBorder="1"/>
    <xf numFmtId="0" fontId="0" fillId="31" borderId="0" xfId="0" applyFill="1" applyBorder="1"/>
    <xf numFmtId="0" fontId="0" fillId="31" borderId="39" xfId="0" applyFill="1" applyBorder="1"/>
    <xf numFmtId="0" fontId="0" fillId="31" borderId="0" xfId="0" applyFill="1"/>
    <xf numFmtId="0" fontId="136" fillId="31" borderId="0" xfId="0" applyFont="1" applyFill="1" applyBorder="1" applyAlignment="1">
      <alignment horizontal="left"/>
    </xf>
    <xf numFmtId="0" fontId="137" fillId="31" borderId="54" xfId="0" applyFont="1" applyFill="1" applyBorder="1" applyAlignment="1">
      <alignment horizontal="left" indent="8"/>
    </xf>
    <xf numFmtId="0" fontId="137" fillId="31" borderId="54" xfId="0" applyFont="1" applyFill="1" applyBorder="1" applyAlignment="1">
      <alignment horizontal="left" indent="2"/>
    </xf>
    <xf numFmtId="0" fontId="137" fillId="31" borderId="0" xfId="0" applyFont="1" applyFill="1" applyBorder="1" applyAlignment="1">
      <alignment horizontal="left" indent="9"/>
    </xf>
    <xf numFmtId="0" fontId="139" fillId="3" borderId="0" xfId="0" applyFont="1" applyFill="1" applyBorder="1" applyAlignment="1">
      <alignment horizontal="left" indent="2"/>
    </xf>
    <xf numFmtId="0" fontId="140" fillId="3" borderId="0" xfId="0" applyFont="1" applyFill="1" applyBorder="1"/>
    <xf numFmtId="3" fontId="141" fillId="3" borderId="0" xfId="0" applyNumberFormat="1" applyFont="1" applyFill="1" applyBorder="1" applyAlignment="1" applyProtection="1">
      <alignment horizontal="center"/>
      <protection hidden="1"/>
    </xf>
    <xf numFmtId="3" fontId="138" fillId="3" borderId="0" xfId="0" applyNumberFormat="1" applyFont="1" applyFill="1" applyBorder="1" applyAlignment="1" applyProtection="1">
      <alignment horizontal="left" indent="2"/>
      <protection hidden="1"/>
    </xf>
    <xf numFmtId="49" fontId="2" fillId="3" borderId="0" xfId="0" applyNumberFormat="1" applyFont="1" applyFill="1" applyBorder="1" applyProtection="1">
      <protection hidden="1"/>
    </xf>
    <xf numFmtId="0" fontId="0" fillId="3" borderId="8" xfId="0" applyFont="1" applyFill="1" applyBorder="1" applyAlignment="1" applyProtection="1">
      <alignment horizontal="center"/>
      <protection hidden="1"/>
    </xf>
    <xf numFmtId="0" fontId="142" fillId="0" borderId="0" xfId="0" applyFont="1" applyAlignment="1">
      <alignment horizontal="left" indent="31"/>
    </xf>
    <xf numFmtId="0" fontId="6" fillId="0" borderId="0" xfId="0" applyFont="1" applyAlignment="1">
      <alignment horizontal="left" indent="11"/>
    </xf>
    <xf numFmtId="0" fontId="0" fillId="10" borderId="0" xfId="0" applyFill="1" applyAlignment="1" applyProtection="1">
      <alignment horizontal="left" indent="11"/>
      <protection hidden="1"/>
    </xf>
    <xf numFmtId="0" fontId="2" fillId="3" borderId="9" xfId="0" applyFont="1" applyFill="1" applyBorder="1" applyAlignment="1" applyProtection="1">
      <alignment horizontal="left" indent="11"/>
      <protection hidden="1"/>
    </xf>
    <xf numFmtId="0" fontId="2" fillId="3" borderId="0" xfId="0" applyFont="1" applyFill="1" applyBorder="1" applyAlignment="1" applyProtection="1">
      <alignment horizontal="left" indent="11"/>
      <protection hidden="1"/>
    </xf>
    <xf numFmtId="49" fontId="2" fillId="3" borderId="0" xfId="0" applyNumberFormat="1" applyFont="1" applyFill="1" applyBorder="1" applyAlignment="1" applyProtection="1">
      <alignment horizontal="left" indent="11"/>
      <protection hidden="1"/>
    </xf>
    <xf numFmtId="0" fontId="0" fillId="3" borderId="0" xfId="0" applyFill="1" applyBorder="1" applyAlignment="1" applyProtection="1">
      <alignment horizontal="left" indent="11"/>
      <protection hidden="1"/>
    </xf>
    <xf numFmtId="0" fontId="0" fillId="3" borderId="8" xfId="0" applyFont="1" applyFill="1" applyBorder="1" applyAlignment="1" applyProtection="1">
      <alignment horizontal="left" indent="11"/>
      <protection hidden="1"/>
    </xf>
    <xf numFmtId="0" fontId="0" fillId="0" borderId="0" xfId="0" applyAlignment="1" applyProtection="1">
      <alignment horizontal="left" indent="11"/>
      <protection hidden="1"/>
    </xf>
    <xf numFmtId="0" fontId="0" fillId="3" borderId="9" xfId="0" applyFont="1" applyFill="1" applyBorder="1" applyAlignment="1" applyProtection="1">
      <alignment horizontal="left" indent="11"/>
      <protection hidden="1"/>
    </xf>
    <xf numFmtId="0" fontId="0" fillId="3" borderId="11" xfId="0" applyFill="1" applyBorder="1" applyProtection="1">
      <protection locked="0"/>
    </xf>
    <xf numFmtId="0" fontId="0" fillId="3" borderId="40" xfId="0" applyFill="1" applyBorder="1" applyProtection="1">
      <protection locked="0"/>
    </xf>
    <xf numFmtId="0" fontId="0" fillId="3" borderId="40" xfId="0" applyFill="1" applyBorder="1" applyAlignment="1" applyProtection="1">
      <alignment horizontal="center"/>
      <protection locked="0"/>
    </xf>
    <xf numFmtId="0" fontId="0" fillId="3" borderId="41" xfId="0" applyFill="1" applyBorder="1" applyAlignment="1" applyProtection="1">
      <alignment horizontal="center"/>
      <protection locked="0"/>
    </xf>
    <xf numFmtId="49" fontId="64" fillId="0" borderId="9" xfId="25" applyNumberFormat="1" applyFont="1" applyBorder="1" applyAlignment="1" applyProtection="1">
      <alignment vertical="center"/>
      <protection hidden="1"/>
    </xf>
    <xf numFmtId="49" fontId="39" fillId="0" borderId="9" xfId="25" applyNumberFormat="1" applyFont="1" applyBorder="1" applyAlignment="1" applyProtection="1">
      <alignment vertical="center"/>
      <protection hidden="1"/>
    </xf>
    <xf numFmtId="49" fontId="39" fillId="0" borderId="0" xfId="25" applyNumberFormat="1" applyFont="1" applyBorder="1" applyAlignment="1" applyProtection="1">
      <alignment vertical="center"/>
      <protection hidden="1"/>
    </xf>
    <xf numFmtId="0" fontId="2" fillId="0" borderId="56" xfId="0" applyFont="1" applyBorder="1"/>
    <xf numFmtId="0" fontId="0" fillId="3" borderId="37" xfId="0" applyFill="1" applyBorder="1" applyProtection="1">
      <protection locked="0"/>
    </xf>
    <xf numFmtId="49" fontId="64" fillId="0" borderId="0" xfId="25" applyNumberFormat="1" applyFont="1" applyBorder="1" applyAlignment="1" applyProtection="1">
      <alignment vertical="center"/>
      <protection hidden="1"/>
    </xf>
    <xf numFmtId="0" fontId="0" fillId="21" borderId="37" xfId="0" applyFill="1" applyBorder="1" applyProtection="1">
      <protection locked="0"/>
    </xf>
    <xf numFmtId="0" fontId="0" fillId="21" borderId="0" xfId="0" applyFill="1" applyBorder="1" applyProtection="1">
      <protection locked="0"/>
    </xf>
    <xf numFmtId="0" fontId="0" fillId="21" borderId="7" xfId="0" applyFill="1" applyBorder="1" applyProtection="1">
      <protection locked="0"/>
    </xf>
    <xf numFmtId="49" fontId="64" fillId="0" borderId="37" xfId="25" applyNumberFormat="1" applyFont="1" applyBorder="1" applyAlignment="1" applyProtection="1">
      <alignment vertical="center"/>
      <protection hidden="1"/>
    </xf>
    <xf numFmtId="49" fontId="64" fillId="0" borderId="69" xfId="25" applyNumberFormat="1" applyFont="1" applyBorder="1" applyAlignment="1" applyProtection="1">
      <alignment vertical="center"/>
      <protection hidden="1"/>
    </xf>
    <xf numFmtId="49" fontId="64" fillId="0" borderId="8" xfId="25" applyNumberFormat="1" applyFont="1" applyBorder="1" applyAlignment="1" applyProtection="1">
      <alignment vertical="center"/>
      <protection hidden="1"/>
    </xf>
    <xf numFmtId="49" fontId="64" fillId="0" borderId="13" xfId="25" applyNumberFormat="1" applyFont="1" applyBorder="1" applyAlignment="1" applyProtection="1">
      <alignment vertical="center"/>
      <protection hidden="1"/>
    </xf>
    <xf numFmtId="49" fontId="39" fillId="0" borderId="7" xfId="25" applyNumberFormat="1" applyFont="1" applyBorder="1" applyAlignment="1" applyProtection="1">
      <alignment vertical="center"/>
      <protection hidden="1"/>
    </xf>
    <xf numFmtId="49" fontId="64" fillId="0" borderId="7" xfId="25" applyNumberFormat="1" applyFont="1" applyBorder="1" applyAlignment="1" applyProtection="1">
      <alignment vertical="center"/>
      <protection hidden="1"/>
    </xf>
    <xf numFmtId="49" fontId="64" fillId="0" borderId="10" xfId="25" applyNumberFormat="1" applyFont="1" applyBorder="1" applyAlignment="1" applyProtection="1">
      <alignment vertical="center"/>
      <protection hidden="1"/>
    </xf>
    <xf numFmtId="3" fontId="18" fillId="0" borderId="99" xfId="0" applyNumberFormat="1" applyFont="1" applyBorder="1" applyAlignment="1">
      <alignment horizontal="center" vertical="center"/>
    </xf>
    <xf numFmtId="0" fontId="10" fillId="3" borderId="1" xfId="2" applyFill="1" applyBorder="1" applyAlignment="1" applyProtection="1">
      <alignment horizontal="left"/>
      <protection hidden="1"/>
    </xf>
    <xf numFmtId="0" fontId="11" fillId="16" borderId="64" xfId="21" applyFont="1" applyFill="1" applyBorder="1" applyAlignment="1">
      <alignment vertical="center" wrapText="1"/>
    </xf>
    <xf numFmtId="0" fontId="64" fillId="16" borderId="64" xfId="21" applyFont="1" applyFill="1" applyBorder="1" applyAlignment="1">
      <alignment vertical="center" wrapText="1"/>
    </xf>
    <xf numFmtId="0" fontId="23" fillId="16" borderId="64" xfId="21" applyFont="1" applyFill="1" applyBorder="1" applyAlignment="1">
      <alignment vertical="center" wrapText="1"/>
    </xf>
    <xf numFmtId="0" fontId="64" fillId="16" borderId="64" xfId="21" applyFont="1" applyFill="1" applyBorder="1" applyAlignment="1">
      <alignment horizontal="left" vertical="center" wrapText="1"/>
    </xf>
    <xf numFmtId="0" fontId="143" fillId="16" borderId="64" xfId="21" applyFont="1" applyFill="1" applyBorder="1" applyAlignment="1">
      <alignment vertical="center" wrapText="1"/>
    </xf>
    <xf numFmtId="0" fontId="23" fillId="16" borderId="29" xfId="21" applyFont="1" applyFill="1" applyBorder="1" applyAlignment="1">
      <alignment horizontal="left" vertical="center" wrapText="1"/>
    </xf>
    <xf numFmtId="0" fontId="48" fillId="25" borderId="94" xfId="21" applyFont="1" applyFill="1" applyBorder="1" applyAlignment="1">
      <alignment horizontal="left" vertical="center" wrapText="1"/>
    </xf>
    <xf numFmtId="0" fontId="11" fillId="25" borderId="94" xfId="21" applyFont="1" applyFill="1" applyBorder="1" applyAlignment="1">
      <alignment horizontal="left" vertical="center" wrapText="1"/>
    </xf>
    <xf numFmtId="0" fontId="11" fillId="25" borderId="211" xfId="21" applyFont="1" applyFill="1" applyBorder="1" applyAlignment="1">
      <alignment horizontal="left" vertical="center" wrapText="1"/>
    </xf>
    <xf numFmtId="0" fontId="38" fillId="0" borderId="0" xfId="2" applyNumberFormat="1" applyFont="1" applyProtection="1">
      <protection locked="0"/>
    </xf>
    <xf numFmtId="0" fontId="38" fillId="0" borderId="12" xfId="2" applyNumberFormat="1" applyFont="1" applyBorder="1" applyProtection="1">
      <protection locked="0"/>
    </xf>
    <xf numFmtId="0" fontId="38" fillId="0" borderId="8" xfId="2" applyNumberFormat="1" applyFont="1" applyBorder="1" applyProtection="1">
      <protection locked="0"/>
    </xf>
    <xf numFmtId="0" fontId="38" fillId="0" borderId="2" xfId="2" applyNumberFormat="1" applyFont="1" applyBorder="1" applyProtection="1">
      <protection locked="0"/>
    </xf>
    <xf numFmtId="0" fontId="64" fillId="0" borderId="9" xfId="2" applyNumberFormat="1" applyFont="1" applyBorder="1" applyAlignment="1" applyProtection="1">
      <alignment horizontal="center"/>
      <protection locked="0"/>
    </xf>
    <xf numFmtId="0" fontId="38" fillId="0" borderId="40" xfId="2" applyNumberFormat="1" applyFont="1" applyBorder="1" applyProtection="1">
      <protection locked="0"/>
    </xf>
    <xf numFmtId="0" fontId="64" fillId="0" borderId="20" xfId="2" applyNumberFormat="1" applyFont="1" applyBorder="1" applyAlignment="1" applyProtection="1">
      <alignment horizontal="center"/>
      <protection locked="0"/>
    </xf>
    <xf numFmtId="0" fontId="48" fillId="0" borderId="0" xfId="2" applyNumberFormat="1" applyFont="1" applyProtection="1">
      <protection locked="0"/>
    </xf>
    <xf numFmtId="0" fontId="47" fillId="0" borderId="0" xfId="2" applyNumberFormat="1" applyFont="1" applyProtection="1">
      <protection locked="0"/>
    </xf>
    <xf numFmtId="0" fontId="38" fillId="0" borderId="20" xfId="2" applyNumberFormat="1" applyFont="1" applyBorder="1" applyProtection="1">
      <protection locked="0"/>
    </xf>
    <xf numFmtId="0" fontId="10" fillId="3" borderId="63" xfId="5" applyNumberFormat="1" applyFont="1" applyFill="1" applyBorder="1" applyAlignment="1" applyProtection="1">
      <alignment vertical="center"/>
      <protection locked="0"/>
    </xf>
    <xf numFmtId="0" fontId="38" fillId="0" borderId="18" xfId="2" applyNumberFormat="1" applyFont="1" applyBorder="1" applyProtection="1">
      <protection locked="0"/>
    </xf>
    <xf numFmtId="0" fontId="38" fillId="0" borderId="30" xfId="2" applyNumberFormat="1" applyFont="1" applyBorder="1" applyProtection="1">
      <protection locked="0"/>
    </xf>
    <xf numFmtId="0" fontId="22" fillId="3" borderId="63" xfId="5" applyNumberFormat="1" applyFill="1" applyBorder="1" applyAlignment="1" applyProtection="1">
      <alignment vertical="center"/>
      <protection locked="0"/>
    </xf>
    <xf numFmtId="0" fontId="22" fillId="3" borderId="32" xfId="5" applyNumberFormat="1" applyFill="1" applyBorder="1" applyAlignment="1" applyProtection="1">
      <alignment vertical="center"/>
      <protection locked="0"/>
    </xf>
    <xf numFmtId="0" fontId="38" fillId="0" borderId="9" xfId="2" applyNumberFormat="1" applyFont="1" applyBorder="1" applyProtection="1">
      <protection locked="0"/>
    </xf>
    <xf numFmtId="0" fontId="23" fillId="0" borderId="74" xfId="2" applyNumberFormat="1" applyFont="1" applyBorder="1" applyProtection="1">
      <protection locked="0"/>
    </xf>
    <xf numFmtId="0" fontId="38" fillId="0" borderId="37" xfId="2" applyNumberFormat="1" applyFont="1" applyBorder="1" applyProtection="1">
      <protection locked="0"/>
    </xf>
    <xf numFmtId="0" fontId="38" fillId="0" borderId="69" xfId="2" applyNumberFormat="1" applyFont="1" applyBorder="1" applyProtection="1">
      <protection locked="0"/>
    </xf>
    <xf numFmtId="0" fontId="38" fillId="0" borderId="0" xfId="2" applyNumberFormat="1" applyFont="1" applyBorder="1" applyProtection="1">
      <protection locked="0"/>
    </xf>
    <xf numFmtId="0" fontId="23" fillId="0" borderId="0" xfId="2" applyNumberFormat="1" applyFont="1" applyAlignment="1" applyProtection="1">
      <alignment horizontal="left" indent="7"/>
      <protection locked="0"/>
    </xf>
    <xf numFmtId="0" fontId="23" fillId="0" borderId="87" xfId="2" applyNumberFormat="1" applyFont="1" applyBorder="1" applyAlignment="1" applyProtection="1">
      <alignment horizontal="center" vertical="center"/>
      <protection locked="0"/>
    </xf>
    <xf numFmtId="0" fontId="23" fillId="0" borderId="87" xfId="2" applyNumberFormat="1" applyFont="1" applyBorder="1" applyAlignment="1" applyProtection="1">
      <alignment vertical="center"/>
      <protection locked="0"/>
    </xf>
    <xf numFmtId="0" fontId="11" fillId="11" borderId="1" xfId="2" applyNumberFormat="1" applyFont="1" applyFill="1" applyBorder="1" applyAlignment="1" applyProtection="1">
      <alignment horizontal="right"/>
      <protection locked="0"/>
    </xf>
    <xf numFmtId="0" fontId="11" fillId="0" borderId="1" xfId="2" applyNumberFormat="1" applyFont="1" applyBorder="1" applyAlignment="1" applyProtection="1">
      <protection locked="0"/>
    </xf>
    <xf numFmtId="0" fontId="11" fillId="11" borderId="45" xfId="2" applyNumberFormat="1" applyFont="1" applyFill="1" applyBorder="1" applyAlignment="1" applyProtection="1">
      <alignment horizontal="right"/>
      <protection locked="0"/>
    </xf>
    <xf numFmtId="0" fontId="11" fillId="0" borderId="92" xfId="2" applyNumberFormat="1" applyFont="1" applyBorder="1" applyAlignment="1" applyProtection="1">
      <protection locked="0"/>
    </xf>
    <xf numFmtId="0" fontId="64" fillId="0" borderId="0" xfId="2" applyNumberFormat="1" applyFont="1" applyProtection="1">
      <protection locked="0"/>
    </xf>
    <xf numFmtId="0" fontId="10" fillId="0" borderId="0" xfId="2" applyNumberFormat="1" applyFont="1" applyProtection="1">
      <protection locked="0"/>
    </xf>
    <xf numFmtId="0" fontId="38" fillId="0" borderId="0" xfId="1" applyNumberFormat="1" applyFont="1" applyProtection="1">
      <protection locked="0"/>
    </xf>
    <xf numFmtId="0" fontId="48" fillId="0" borderId="74" xfId="2" applyNumberFormat="1" applyFont="1" applyBorder="1" applyAlignment="1" applyProtection="1">
      <alignment horizontal="left"/>
      <protection hidden="1"/>
    </xf>
    <xf numFmtId="0" fontId="48" fillId="0" borderId="40" xfId="2" applyNumberFormat="1" applyFont="1" applyBorder="1" applyProtection="1">
      <protection hidden="1"/>
    </xf>
    <xf numFmtId="0" fontId="38" fillId="0" borderId="40" xfId="2" applyNumberFormat="1" applyFont="1" applyBorder="1" applyProtection="1">
      <protection hidden="1"/>
    </xf>
    <xf numFmtId="0" fontId="38" fillId="0" borderId="41" xfId="2" applyNumberFormat="1" applyFont="1" applyBorder="1" applyProtection="1">
      <protection hidden="1"/>
    </xf>
    <xf numFmtId="0" fontId="48" fillId="0" borderId="0" xfId="2" applyNumberFormat="1" applyFont="1" applyProtection="1">
      <protection hidden="1"/>
    </xf>
    <xf numFmtId="0" fontId="47" fillId="0" borderId="0" xfId="2" applyNumberFormat="1" applyFont="1" applyProtection="1">
      <protection hidden="1"/>
    </xf>
    <xf numFmtId="0" fontId="38" fillId="0" borderId="0" xfId="2" applyNumberFormat="1" applyFont="1" applyProtection="1">
      <protection hidden="1"/>
    </xf>
    <xf numFmtId="0" fontId="38" fillId="0" borderId="0" xfId="2" applyNumberFormat="1" applyFont="1" applyBorder="1" applyProtection="1">
      <protection hidden="1"/>
    </xf>
    <xf numFmtId="0" fontId="38" fillId="0" borderId="8" xfId="2" applyNumberFormat="1" applyFont="1" applyBorder="1" applyProtection="1">
      <protection hidden="1"/>
    </xf>
    <xf numFmtId="0" fontId="38" fillId="0" borderId="74" xfId="2" applyNumberFormat="1" applyFont="1" applyBorder="1" applyProtection="1">
      <protection hidden="1"/>
    </xf>
    <xf numFmtId="0" fontId="23" fillId="0" borderId="0" xfId="2" applyNumberFormat="1" applyFont="1" applyProtection="1">
      <protection hidden="1"/>
    </xf>
    <xf numFmtId="0" fontId="38" fillId="0" borderId="0" xfId="2" applyNumberFormat="1" applyFont="1" applyAlignment="1" applyProtection="1">
      <alignment horizontal="left" indent="3"/>
      <protection hidden="1"/>
    </xf>
    <xf numFmtId="0" fontId="23" fillId="0" borderId="0" xfId="2" applyNumberFormat="1" applyFont="1" applyAlignment="1" applyProtection="1">
      <alignment horizontal="left" indent="7"/>
      <protection hidden="1"/>
    </xf>
    <xf numFmtId="0" fontId="10" fillId="0" borderId="4" xfId="2" applyNumberFormat="1" applyFont="1" applyBorder="1" applyProtection="1">
      <protection hidden="1"/>
    </xf>
    <xf numFmtId="0" fontId="10" fillId="0" borderId="6" xfId="2" applyNumberFormat="1" applyFont="1" applyBorder="1" applyProtection="1">
      <protection hidden="1"/>
    </xf>
    <xf numFmtId="0" fontId="48" fillId="0" borderId="4" xfId="2" applyNumberFormat="1" applyFont="1" applyBorder="1" applyAlignment="1" applyProtection="1">
      <alignment horizontal="center"/>
      <protection hidden="1"/>
    </xf>
    <xf numFmtId="0" fontId="10" fillId="0" borderId="6" xfId="2" applyNumberFormat="1" applyFont="1" applyBorder="1" applyAlignment="1" applyProtection="1">
      <alignment horizontal="center"/>
      <protection hidden="1"/>
    </xf>
    <xf numFmtId="0" fontId="11" fillId="0" borderId="6" xfId="1" applyNumberFormat="1" applyFont="1" applyBorder="1" applyAlignment="1" applyProtection="1">
      <alignment horizontal="center"/>
      <protection hidden="1"/>
    </xf>
    <xf numFmtId="0" fontId="11" fillId="0" borderId="5" xfId="1" applyNumberFormat="1" applyFont="1" applyBorder="1" applyAlignment="1" applyProtection="1">
      <alignment horizontal="center"/>
      <protection hidden="1"/>
    </xf>
    <xf numFmtId="0" fontId="48" fillId="0" borderId="6" xfId="2" applyNumberFormat="1" applyFont="1" applyBorder="1" applyAlignment="1" applyProtection="1">
      <alignment horizontal="center"/>
      <protection hidden="1"/>
    </xf>
    <xf numFmtId="0" fontId="10" fillId="0" borderId="12" xfId="2" applyNumberFormat="1" applyFont="1" applyBorder="1" applyProtection="1">
      <protection hidden="1"/>
    </xf>
    <xf numFmtId="0" fontId="10" fillId="0" borderId="11" xfId="2" applyNumberFormat="1" applyFont="1" applyBorder="1" applyProtection="1">
      <protection hidden="1"/>
    </xf>
    <xf numFmtId="0" fontId="38" fillId="0" borderId="14" xfId="2" applyNumberFormat="1" applyFont="1" applyBorder="1" applyProtection="1">
      <protection hidden="1"/>
    </xf>
    <xf numFmtId="0" fontId="38" fillId="0" borderId="9" xfId="2" applyNumberFormat="1" applyFont="1" applyBorder="1" applyProtection="1">
      <protection hidden="1"/>
    </xf>
    <xf numFmtId="0" fontId="10" fillId="0" borderId="0" xfId="2" applyNumberFormat="1" applyFont="1" applyBorder="1" applyProtection="1">
      <protection hidden="1"/>
    </xf>
    <xf numFmtId="0" fontId="10" fillId="0" borderId="13" xfId="2" applyNumberFormat="1" applyFont="1" applyBorder="1" applyProtection="1">
      <protection hidden="1"/>
    </xf>
    <xf numFmtId="0" fontId="10" fillId="0" borderId="7" xfId="2" applyNumberFormat="1" applyFont="1" applyBorder="1" applyProtection="1">
      <protection hidden="1"/>
    </xf>
    <xf numFmtId="0" fontId="38" fillId="0" borderId="10" xfId="2" applyNumberFormat="1" applyFont="1" applyBorder="1" applyProtection="1">
      <protection hidden="1"/>
    </xf>
    <xf numFmtId="0" fontId="48" fillId="0" borderId="13" xfId="2" applyNumberFormat="1" applyFont="1" applyBorder="1" applyProtection="1">
      <protection hidden="1"/>
    </xf>
    <xf numFmtId="0" fontId="48" fillId="0" borderId="10" xfId="2" applyNumberFormat="1" applyFont="1" applyBorder="1" applyProtection="1">
      <protection hidden="1"/>
    </xf>
    <xf numFmtId="0" fontId="38" fillId="0" borderId="12" xfId="2" applyNumberFormat="1" applyFont="1" applyBorder="1" applyProtection="1">
      <protection hidden="1"/>
    </xf>
    <xf numFmtId="0" fontId="38" fillId="0" borderId="13" xfId="2" applyNumberFormat="1" applyFont="1" applyBorder="1" applyProtection="1">
      <protection hidden="1"/>
    </xf>
    <xf numFmtId="0" fontId="48" fillId="0" borderId="4" xfId="2" applyNumberFormat="1" applyFont="1" applyBorder="1" applyProtection="1">
      <protection hidden="1"/>
    </xf>
    <xf numFmtId="0" fontId="48" fillId="0" borderId="6" xfId="2" applyNumberFormat="1" applyFont="1" applyBorder="1" applyProtection="1">
      <protection hidden="1"/>
    </xf>
    <xf numFmtId="0" fontId="38" fillId="0" borderId="4" xfId="2" applyNumberFormat="1" applyFont="1" applyBorder="1" applyAlignment="1" applyProtection="1">
      <protection hidden="1"/>
    </xf>
    <xf numFmtId="0" fontId="38" fillId="0" borderId="6" xfId="2" applyNumberFormat="1" applyFont="1" applyBorder="1" applyAlignment="1" applyProtection="1">
      <protection hidden="1"/>
    </xf>
    <xf numFmtId="0" fontId="38" fillId="0" borderId="1" xfId="2" applyNumberFormat="1" applyFont="1" applyBorder="1" applyProtection="1">
      <protection hidden="1"/>
    </xf>
    <xf numFmtId="0" fontId="38" fillId="0" borderId="4" xfId="2" applyNumberFormat="1" applyFont="1" applyBorder="1" applyProtection="1">
      <protection hidden="1"/>
    </xf>
    <xf numFmtId="0" fontId="38" fillId="0" borderId="6" xfId="2" applyNumberFormat="1" applyFont="1" applyBorder="1" applyProtection="1">
      <protection hidden="1"/>
    </xf>
    <xf numFmtId="0" fontId="38" fillId="0" borderId="5" xfId="2" applyNumberFormat="1" applyFont="1" applyBorder="1" applyProtection="1">
      <protection hidden="1"/>
    </xf>
    <xf numFmtId="0" fontId="48" fillId="0" borderId="1" xfId="2" applyNumberFormat="1" applyFont="1" applyBorder="1" applyAlignment="1" applyProtection="1">
      <alignment horizontal="left"/>
      <protection hidden="1"/>
    </xf>
    <xf numFmtId="0" fontId="38" fillId="0" borderId="4" xfId="1" applyNumberFormat="1" applyFont="1" applyBorder="1" applyAlignment="1" applyProtection="1">
      <alignment horizontal="left"/>
      <protection hidden="1"/>
    </xf>
    <xf numFmtId="0" fontId="38" fillId="0" borderId="20" xfId="2" applyNumberFormat="1" applyFont="1" applyBorder="1" applyProtection="1">
      <protection hidden="1"/>
    </xf>
    <xf numFmtId="0" fontId="38" fillId="0" borderId="9" xfId="2" applyNumberFormat="1" applyFont="1" applyBorder="1" applyAlignment="1" applyProtection="1">
      <alignment horizontal="left"/>
      <protection hidden="1"/>
    </xf>
    <xf numFmtId="0" fontId="38" fillId="0" borderId="3" xfId="2" applyNumberFormat="1" applyFont="1" applyBorder="1" applyAlignment="1" applyProtection="1">
      <alignment horizontal="center"/>
      <protection hidden="1"/>
    </xf>
    <xf numFmtId="0" fontId="38" fillId="0" borderId="3" xfId="2" applyNumberFormat="1" applyFont="1" applyBorder="1" applyProtection="1">
      <protection hidden="1"/>
    </xf>
    <xf numFmtId="0" fontId="48" fillId="0" borderId="0" xfId="2" applyNumberFormat="1" applyFont="1" applyAlignment="1" applyProtection="1">
      <alignment horizontal="left" indent="33"/>
      <protection hidden="1"/>
    </xf>
    <xf numFmtId="164" fontId="23" fillId="22" borderId="51" xfId="1" applyNumberFormat="1" applyFont="1" applyFill="1" applyBorder="1" applyAlignment="1" applyProtection="1">
      <protection hidden="1"/>
    </xf>
    <xf numFmtId="164" fontId="38" fillId="0" borderId="20" xfId="1" applyNumberFormat="1" applyFont="1" applyBorder="1" applyProtection="1">
      <protection locked="0"/>
    </xf>
    <xf numFmtId="164" fontId="11" fillId="11" borderId="67" xfId="1" applyNumberFormat="1" applyFont="1" applyFill="1" applyBorder="1" applyAlignment="1" applyProtection="1">
      <protection locked="0"/>
    </xf>
    <xf numFmtId="164" fontId="38" fillId="0" borderId="20" xfId="1" applyNumberFormat="1" applyFont="1" applyBorder="1" applyAlignment="1" applyProtection="1">
      <protection locked="0"/>
    </xf>
    <xf numFmtId="164" fontId="11" fillId="24" borderId="67" xfId="1" applyNumberFormat="1" applyFont="1" applyFill="1" applyBorder="1" applyAlignment="1" applyProtection="1">
      <protection hidden="1"/>
    </xf>
    <xf numFmtId="164" fontId="11" fillId="11" borderId="20" xfId="1" applyNumberFormat="1" applyFont="1" applyFill="1" applyBorder="1" applyAlignment="1" applyProtection="1">
      <protection locked="0"/>
    </xf>
    <xf numFmtId="164" fontId="38" fillId="0" borderId="14" xfId="1" applyNumberFormat="1" applyFont="1" applyBorder="1" applyProtection="1">
      <protection hidden="1"/>
    </xf>
    <xf numFmtId="164" fontId="38" fillId="0" borderId="12" xfId="1" applyNumberFormat="1" applyFont="1" applyBorder="1" applyProtection="1">
      <protection hidden="1"/>
    </xf>
    <xf numFmtId="171" fontId="38" fillId="0" borderId="1" xfId="4" applyNumberFormat="1" applyFont="1" applyBorder="1" applyProtection="1">
      <protection hidden="1"/>
    </xf>
    <xf numFmtId="9" fontId="38" fillId="0" borderId="6" xfId="4" applyFont="1" applyBorder="1" applyProtection="1">
      <protection hidden="1"/>
    </xf>
    <xf numFmtId="9" fontId="38" fillId="0" borderId="1" xfId="4" applyFont="1" applyBorder="1" applyAlignment="1" applyProtection="1">
      <alignment horizontal="left"/>
      <protection hidden="1"/>
    </xf>
    <xf numFmtId="9" fontId="38" fillId="0" borderId="20" xfId="4" applyFont="1" applyBorder="1" applyAlignment="1" applyProtection="1">
      <alignment horizontal="left"/>
      <protection hidden="1"/>
    </xf>
    <xf numFmtId="9" fontId="38" fillId="0" borderId="3" xfId="4" applyFont="1" applyBorder="1" applyAlignment="1" applyProtection="1">
      <alignment horizontal="left"/>
      <protection hidden="1"/>
    </xf>
    <xf numFmtId="171" fontId="38" fillId="0" borderId="3" xfId="4" applyNumberFormat="1" applyFont="1" applyBorder="1" applyAlignment="1" applyProtection="1">
      <alignment horizontal="left"/>
      <protection hidden="1"/>
    </xf>
    <xf numFmtId="164" fontId="38" fillId="0" borderId="20" xfId="1" applyNumberFormat="1" applyFont="1" applyBorder="1" applyProtection="1">
      <protection hidden="1"/>
    </xf>
    <xf numFmtId="164" fontId="38" fillId="0" borderId="9" xfId="1" applyNumberFormat="1" applyFont="1" applyBorder="1" applyAlignment="1" applyProtection="1">
      <alignment horizontal="left"/>
      <protection hidden="1"/>
    </xf>
    <xf numFmtId="164" fontId="11" fillId="11" borderId="1" xfId="1" applyNumberFormat="1" applyFont="1" applyFill="1" applyBorder="1" applyAlignment="1" applyProtection="1">
      <alignment horizontal="right"/>
      <protection hidden="1"/>
    </xf>
    <xf numFmtId="164" fontId="38" fillId="0" borderId="0" xfId="1" applyNumberFormat="1" applyFont="1" applyProtection="1">
      <protection hidden="1"/>
    </xf>
    <xf numFmtId="164" fontId="11" fillId="11" borderId="1" xfId="1" applyNumberFormat="1" applyFont="1" applyFill="1" applyBorder="1" applyAlignment="1" applyProtection="1">
      <alignment horizontal="right"/>
      <protection locked="0"/>
    </xf>
    <xf numFmtId="0" fontId="17" fillId="0" borderId="0" xfId="0" applyNumberFormat="1" applyFont="1" applyAlignment="1" applyProtection="1">
      <alignment horizontal="center" vertical="center"/>
      <protection locked="0"/>
    </xf>
    <xf numFmtId="0" fontId="8" fillId="0" borderId="0" xfId="0" applyNumberFormat="1" applyFont="1" applyAlignment="1" applyProtection="1">
      <alignment vertical="center"/>
      <protection locked="0"/>
    </xf>
    <xf numFmtId="0" fontId="9" fillId="0" borderId="0" xfId="0" applyNumberFormat="1" applyFont="1" applyBorder="1" applyAlignment="1" applyProtection="1">
      <alignment vertical="center"/>
      <protection locked="0"/>
    </xf>
    <xf numFmtId="168" fontId="8" fillId="0" borderId="0" xfId="0" applyNumberFormat="1" applyFont="1" applyAlignment="1" applyProtection="1">
      <alignment horizontal="right" vertical="center"/>
      <protection locked="0"/>
    </xf>
    <xf numFmtId="0" fontId="9" fillId="0" borderId="113" xfId="0" applyNumberFormat="1" applyFont="1" applyBorder="1" applyAlignment="1" applyProtection="1">
      <alignment horizontal="center" vertical="center"/>
      <protection locked="0"/>
    </xf>
    <xf numFmtId="0" fontId="26" fillId="0" borderId="0" xfId="0" applyNumberFormat="1" applyFont="1" applyAlignment="1" applyProtection="1">
      <alignment vertical="center"/>
      <protection locked="0"/>
    </xf>
    <xf numFmtId="0" fontId="8" fillId="0" borderId="113" xfId="0" applyNumberFormat="1" applyFont="1" applyBorder="1" applyAlignment="1" applyProtection="1">
      <alignment vertical="center"/>
      <protection locked="0"/>
    </xf>
    <xf numFmtId="0" fontId="8" fillId="0" borderId="0" xfId="0" applyNumberFormat="1" applyFont="1" applyBorder="1" applyAlignment="1" applyProtection="1">
      <alignment horizontal="right" vertical="center"/>
      <protection locked="0"/>
    </xf>
    <xf numFmtId="14" fontId="9" fillId="0" borderId="114" xfId="0" applyNumberFormat="1" applyFont="1" applyBorder="1" applyAlignment="1" applyProtection="1">
      <alignment horizontal="center" vertical="center"/>
      <protection locked="0"/>
    </xf>
    <xf numFmtId="0" fontId="96" fillId="0" borderId="0" xfId="0" applyNumberFormat="1" applyFont="1" applyProtection="1">
      <protection locked="0"/>
    </xf>
    <xf numFmtId="0" fontId="8" fillId="0" borderId="113" xfId="0" applyNumberFormat="1" applyFont="1" applyBorder="1" applyAlignment="1" applyProtection="1">
      <alignment horizontal="right" vertical="center"/>
      <protection locked="0"/>
    </xf>
    <xf numFmtId="0" fontId="9" fillId="0" borderId="113" xfId="0" quotePrefix="1" applyNumberFormat="1" applyFont="1" applyBorder="1" applyAlignment="1" applyProtection="1">
      <alignment horizontal="center" vertical="center"/>
      <protection locked="0"/>
    </xf>
    <xf numFmtId="168" fontId="8" fillId="0" borderId="113" xfId="0" applyNumberFormat="1" applyFont="1" applyBorder="1" applyAlignment="1" applyProtection="1">
      <alignment vertical="center"/>
      <protection locked="0"/>
    </xf>
    <xf numFmtId="0" fontId="18" fillId="0" borderId="0" xfId="0" applyNumberFormat="1" applyFont="1" applyBorder="1" applyAlignment="1" applyProtection="1">
      <alignment horizontal="center" vertical="center"/>
      <protection locked="0"/>
    </xf>
    <xf numFmtId="0" fontId="26" fillId="0" borderId="0" xfId="0" applyFont="1" applyBorder="1" applyAlignment="1" applyProtection="1">
      <alignment horizontal="right" vertical="center"/>
      <protection locked="0"/>
    </xf>
    <xf numFmtId="14" fontId="18" fillId="0" borderId="0" xfId="0" applyNumberFormat="1" applyFont="1" applyBorder="1" applyAlignment="1" applyProtection="1">
      <alignment horizontal="center" vertical="center"/>
      <protection locked="0"/>
    </xf>
    <xf numFmtId="0" fontId="26" fillId="0" borderId="0" xfId="0" applyFont="1" applyAlignment="1" applyProtection="1">
      <alignment horizontal="right" vertical="center"/>
      <protection locked="0"/>
    </xf>
    <xf numFmtId="0" fontId="18" fillId="0" borderId="0" xfId="0" applyFont="1" applyBorder="1" applyAlignment="1" applyProtection="1">
      <alignment horizontal="center" vertical="center"/>
      <protection locked="0"/>
    </xf>
    <xf numFmtId="168" fontId="4" fillId="0" borderId="0" xfId="0" applyNumberFormat="1" applyFont="1" applyAlignment="1" applyProtection="1">
      <alignment vertical="center"/>
      <protection locked="0"/>
    </xf>
    <xf numFmtId="0" fontId="4" fillId="0" borderId="0" xfId="0" applyFont="1" applyAlignment="1" applyProtection="1">
      <alignment vertical="center"/>
      <protection locked="0"/>
    </xf>
    <xf numFmtId="0" fontId="102" fillId="0" borderId="0" xfId="0" applyFont="1" applyProtection="1">
      <protection locked="0"/>
    </xf>
    <xf numFmtId="0" fontId="38" fillId="0" borderId="0" xfId="0" applyFont="1" applyBorder="1" applyProtection="1">
      <protection locked="0"/>
    </xf>
    <xf numFmtId="168" fontId="0" fillId="0" borderId="0" xfId="0" applyNumberFormat="1" applyProtection="1">
      <protection locked="0"/>
    </xf>
    <xf numFmtId="0" fontId="4" fillId="0" borderId="0" xfId="0" applyFont="1" applyAlignment="1" applyProtection="1">
      <alignment vertical="center"/>
      <protection hidden="1"/>
    </xf>
    <xf numFmtId="168" fontId="4" fillId="0" borderId="0" xfId="0" applyNumberFormat="1" applyFont="1" applyAlignment="1" applyProtection="1">
      <alignment vertical="center"/>
      <protection hidden="1"/>
    </xf>
    <xf numFmtId="168" fontId="18" fillId="12" borderId="109" xfId="0" applyNumberFormat="1" applyFont="1" applyFill="1" applyBorder="1" applyAlignment="1" applyProtection="1">
      <alignment horizontal="center" vertical="center"/>
      <protection hidden="1"/>
    </xf>
    <xf numFmtId="0" fontId="18" fillId="12" borderId="122" xfId="0" applyFont="1" applyFill="1" applyBorder="1" applyAlignment="1" applyProtection="1">
      <alignment horizontal="center" vertical="center"/>
      <protection hidden="1"/>
    </xf>
    <xf numFmtId="1" fontId="39" fillId="0" borderId="123" xfId="0" applyNumberFormat="1" applyFont="1" applyBorder="1" applyAlignment="1" applyProtection="1">
      <alignment horizontal="center" vertical="center"/>
      <protection hidden="1"/>
    </xf>
    <xf numFmtId="0" fontId="39" fillId="0" borderId="124" xfId="0" applyFont="1" applyBorder="1" applyAlignment="1" applyProtection="1">
      <alignment horizontal="left" vertical="center"/>
      <protection hidden="1"/>
    </xf>
    <xf numFmtId="0" fontId="8" fillId="0" borderId="116" xfId="0" applyFont="1" applyBorder="1" applyAlignment="1" applyProtection="1">
      <alignment vertical="center"/>
      <protection hidden="1"/>
    </xf>
    <xf numFmtId="0" fontId="8" fillId="0" borderId="125" xfId="0" applyFont="1" applyBorder="1" applyAlignment="1" applyProtection="1">
      <alignment vertical="center"/>
      <protection hidden="1"/>
    </xf>
    <xf numFmtId="3" fontId="8" fillId="0" borderId="123" xfId="0" applyNumberFormat="1" applyFont="1" applyFill="1" applyBorder="1" applyAlignment="1" applyProtection="1">
      <alignment vertical="center"/>
      <protection hidden="1"/>
    </xf>
    <xf numFmtId="168" fontId="8" fillId="0" borderId="126" xfId="0" applyNumberFormat="1" applyFont="1" applyBorder="1" applyAlignment="1" applyProtection="1">
      <alignment vertical="center"/>
      <protection hidden="1"/>
    </xf>
    <xf numFmtId="10" fontId="8" fillId="0" borderId="126" xfId="0" applyNumberFormat="1" applyFont="1" applyBorder="1" applyAlignment="1" applyProtection="1">
      <alignment horizontal="right" vertical="center"/>
      <protection hidden="1"/>
    </xf>
    <xf numFmtId="1" fontId="39" fillId="0" borderId="126" xfId="0" applyNumberFormat="1" applyFont="1" applyBorder="1" applyAlignment="1" applyProtection="1">
      <alignment horizontal="center" vertical="center"/>
      <protection hidden="1"/>
    </xf>
    <xf numFmtId="0" fontId="39" fillId="0" borderId="127" xfId="0" applyFont="1" applyBorder="1" applyAlignment="1" applyProtection="1">
      <alignment horizontal="left" vertical="center"/>
      <protection hidden="1"/>
    </xf>
    <xf numFmtId="0" fontId="8" fillId="0" borderId="0" xfId="0" applyFont="1" applyBorder="1" applyAlignment="1" applyProtection="1">
      <alignment vertical="center"/>
      <protection hidden="1"/>
    </xf>
    <xf numFmtId="0" fontId="8" fillId="0" borderId="128" xfId="0" applyFont="1" applyBorder="1" applyAlignment="1" applyProtection="1">
      <alignment vertical="center"/>
      <protection hidden="1"/>
    </xf>
    <xf numFmtId="3" fontId="8" fillId="0" borderId="129" xfId="0" applyNumberFormat="1" applyFont="1" applyFill="1" applyBorder="1" applyAlignment="1" applyProtection="1">
      <alignment vertical="center"/>
      <protection hidden="1"/>
    </xf>
    <xf numFmtId="168" fontId="8" fillId="0" borderId="129" xfId="0" applyNumberFormat="1" applyFont="1" applyBorder="1" applyAlignment="1" applyProtection="1">
      <alignment vertical="center"/>
      <protection hidden="1"/>
    </xf>
    <xf numFmtId="10" fontId="8" fillId="0" borderId="129" xfId="0" applyNumberFormat="1" applyFont="1" applyBorder="1" applyAlignment="1" applyProtection="1">
      <alignment horizontal="right" vertical="center"/>
      <protection hidden="1"/>
    </xf>
    <xf numFmtId="168" fontId="8" fillId="0" borderId="126" xfId="0" applyNumberFormat="1" applyFont="1" applyFill="1" applyBorder="1" applyAlignment="1" applyProtection="1">
      <alignment vertical="center"/>
      <protection hidden="1"/>
    </xf>
    <xf numFmtId="1" fontId="100" fillId="0" borderId="126" xfId="0" applyNumberFormat="1" applyFont="1" applyBorder="1" applyAlignment="1" applyProtection="1">
      <alignment horizontal="center" vertical="center"/>
      <protection hidden="1"/>
    </xf>
    <xf numFmtId="0" fontId="100" fillId="0" borderId="127" xfId="0" applyFont="1" applyBorder="1" applyAlignment="1" applyProtection="1">
      <alignment horizontal="left" vertical="center"/>
      <protection hidden="1"/>
    </xf>
    <xf numFmtId="0" fontId="101" fillId="0" borderId="0" xfId="0" applyFont="1" applyBorder="1" applyAlignment="1" applyProtection="1">
      <alignment vertical="center"/>
      <protection hidden="1"/>
    </xf>
    <xf numFmtId="3" fontId="9" fillId="0" borderId="130" xfId="0" applyNumberFormat="1" applyFont="1" applyFill="1" applyBorder="1" applyAlignment="1" applyProtection="1">
      <alignment vertical="center"/>
      <protection hidden="1"/>
    </xf>
    <xf numFmtId="168" fontId="9" fillId="0" borderId="130" xfId="0" applyNumberFormat="1" applyFont="1" applyBorder="1" applyAlignment="1" applyProtection="1">
      <alignment vertical="center"/>
      <protection hidden="1"/>
    </xf>
    <xf numFmtId="10" fontId="9" fillId="0" borderId="130" xfId="0" applyNumberFormat="1" applyFont="1" applyBorder="1" applyAlignment="1" applyProtection="1">
      <alignment horizontal="right" vertical="center"/>
      <protection hidden="1"/>
    </xf>
    <xf numFmtId="168" fontId="8" fillId="0" borderId="130" xfId="0" applyNumberFormat="1" applyFont="1" applyFill="1" applyBorder="1" applyAlignment="1" applyProtection="1">
      <alignment vertical="center"/>
      <protection hidden="1"/>
    </xf>
    <xf numFmtId="168" fontId="8" fillId="0" borderId="130" xfId="0" applyNumberFormat="1" applyFont="1" applyBorder="1" applyAlignment="1" applyProtection="1">
      <alignment vertical="center"/>
      <protection hidden="1"/>
    </xf>
    <xf numFmtId="168" fontId="9" fillId="0" borderId="130" xfId="0" applyNumberFormat="1" applyFont="1" applyBorder="1" applyAlignment="1" applyProtection="1">
      <alignment horizontal="right" vertical="center"/>
      <protection hidden="1"/>
    </xf>
    <xf numFmtId="168" fontId="9" fillId="0" borderId="130" xfId="0" applyNumberFormat="1" applyFont="1" applyFill="1" applyBorder="1" applyAlignment="1" applyProtection="1">
      <alignment vertical="center"/>
      <protection hidden="1"/>
    </xf>
    <xf numFmtId="3" fontId="8" fillId="0" borderId="126" xfId="0" applyNumberFormat="1" applyFont="1" applyFill="1" applyBorder="1" applyAlignment="1" applyProtection="1">
      <alignment vertical="center"/>
      <protection hidden="1"/>
    </xf>
    <xf numFmtId="168" fontId="8" fillId="0" borderId="129" xfId="0" applyNumberFormat="1" applyFont="1" applyFill="1" applyBorder="1" applyAlignment="1" applyProtection="1">
      <alignment vertical="center"/>
      <protection hidden="1"/>
    </xf>
    <xf numFmtId="0" fontId="39" fillId="0" borderId="0" xfId="0" applyFont="1" applyBorder="1" applyAlignment="1" applyProtection="1">
      <alignment vertical="center"/>
      <protection hidden="1"/>
    </xf>
    <xf numFmtId="0" fontId="39" fillId="0" borderId="128" xfId="0" applyFont="1" applyBorder="1" applyAlignment="1" applyProtection="1">
      <alignment vertical="center"/>
      <protection hidden="1"/>
    </xf>
    <xf numFmtId="168" fontId="39" fillId="0" borderId="126" xfId="0" applyNumberFormat="1" applyFont="1" applyFill="1" applyBorder="1" applyAlignment="1" applyProtection="1">
      <alignment vertical="center"/>
      <protection hidden="1"/>
    </xf>
    <xf numFmtId="168" fontId="39" fillId="0" borderId="126" xfId="0" applyNumberFormat="1" applyFont="1" applyBorder="1" applyAlignment="1" applyProtection="1">
      <alignment vertical="center"/>
      <protection hidden="1"/>
    </xf>
    <xf numFmtId="1" fontId="39" fillId="0" borderId="131" xfId="0" applyNumberFormat="1" applyFont="1" applyBorder="1" applyAlignment="1" applyProtection="1">
      <alignment horizontal="center" vertical="center"/>
      <protection hidden="1"/>
    </xf>
    <xf numFmtId="0" fontId="39" fillId="0" borderId="132" xfId="0" applyFont="1" applyBorder="1" applyAlignment="1" applyProtection="1">
      <alignment horizontal="left" vertical="center"/>
      <protection hidden="1"/>
    </xf>
    <xf numFmtId="0" fontId="8" fillId="0" borderId="121" xfId="0" applyFont="1" applyBorder="1" applyAlignment="1" applyProtection="1">
      <alignment vertical="center"/>
      <protection hidden="1"/>
    </xf>
    <xf numFmtId="0" fontId="8" fillId="0" borderId="133" xfId="0" applyFont="1" applyBorder="1" applyAlignment="1" applyProtection="1">
      <alignment vertical="center"/>
      <protection hidden="1"/>
    </xf>
    <xf numFmtId="3" fontId="8" fillId="0" borderId="134" xfId="0" applyNumberFormat="1" applyFont="1" applyFill="1" applyBorder="1" applyAlignment="1" applyProtection="1">
      <alignment vertical="center"/>
      <protection hidden="1"/>
    </xf>
    <xf numFmtId="168" fontId="8" fillId="0" borderId="135" xfId="0" applyNumberFormat="1" applyFont="1" applyBorder="1" applyAlignment="1" applyProtection="1">
      <alignment vertical="center"/>
      <protection hidden="1"/>
    </xf>
    <xf numFmtId="10" fontId="8" fillId="0" borderId="135" xfId="0" applyNumberFormat="1" applyFont="1" applyBorder="1" applyAlignment="1" applyProtection="1">
      <alignment horizontal="right" vertical="center"/>
      <protection hidden="1"/>
    </xf>
    <xf numFmtId="1" fontId="39" fillId="0" borderId="0" xfId="0" applyNumberFormat="1" applyFont="1" applyBorder="1" applyAlignment="1" applyProtection="1">
      <alignment horizontal="center" vertical="center"/>
      <protection hidden="1"/>
    </xf>
    <xf numFmtId="0" fontId="39" fillId="0" borderId="0" xfId="0" applyFont="1" applyBorder="1" applyAlignment="1" applyProtection="1">
      <alignment horizontal="left" vertical="center"/>
      <protection hidden="1"/>
    </xf>
    <xf numFmtId="3" fontId="8" fillId="0" borderId="0" xfId="0" applyNumberFormat="1" applyFont="1" applyBorder="1" applyAlignment="1" applyProtection="1">
      <alignment vertical="center"/>
      <protection hidden="1"/>
    </xf>
    <xf numFmtId="168" fontId="8" fillId="0" borderId="0" xfId="0" applyNumberFormat="1" applyFont="1" applyBorder="1" applyAlignment="1" applyProtection="1">
      <alignment vertical="center"/>
      <protection hidden="1"/>
    </xf>
    <xf numFmtId="10" fontId="8" fillId="0" borderId="0" xfId="0" applyNumberFormat="1" applyFont="1" applyBorder="1" applyAlignment="1" applyProtection="1">
      <alignment horizontal="right" vertical="center"/>
      <protection hidden="1"/>
    </xf>
    <xf numFmtId="0" fontId="17" fillId="0" borderId="0" xfId="0" applyNumberFormat="1" applyFont="1" applyAlignment="1" applyProtection="1">
      <alignment horizontal="center" vertical="center"/>
      <protection hidden="1"/>
    </xf>
    <xf numFmtId="0" fontId="8" fillId="0" borderId="0" xfId="0" applyNumberFormat="1" applyFont="1" applyAlignment="1" applyProtection="1">
      <alignment vertical="center"/>
      <protection hidden="1"/>
    </xf>
    <xf numFmtId="0" fontId="9" fillId="0" borderId="0" xfId="0" applyNumberFormat="1" applyFont="1" applyBorder="1" applyAlignment="1" applyProtection="1">
      <alignment vertical="center"/>
      <protection hidden="1"/>
    </xf>
    <xf numFmtId="168" fontId="8" fillId="0" borderId="0" xfId="0" applyNumberFormat="1" applyFont="1" applyAlignment="1" applyProtection="1">
      <alignment horizontal="right" vertical="center"/>
      <protection hidden="1"/>
    </xf>
    <xf numFmtId="0" fontId="9" fillId="0" borderId="113" xfId="0" applyNumberFormat="1" applyFont="1" applyBorder="1" applyAlignment="1" applyProtection="1">
      <alignment horizontal="center" vertical="center"/>
      <protection hidden="1"/>
    </xf>
    <xf numFmtId="0" fontId="26" fillId="0" borderId="0" xfId="0" applyNumberFormat="1" applyFont="1" applyAlignment="1" applyProtection="1">
      <alignment vertical="center"/>
      <protection hidden="1"/>
    </xf>
    <xf numFmtId="0" fontId="8" fillId="0" borderId="113" xfId="0" applyNumberFormat="1" applyFont="1" applyBorder="1" applyAlignment="1" applyProtection="1">
      <alignment vertical="center"/>
      <protection hidden="1"/>
    </xf>
    <xf numFmtId="0" fontId="8" fillId="0" borderId="0" xfId="0" applyNumberFormat="1" applyFont="1" applyBorder="1" applyAlignment="1" applyProtection="1">
      <alignment horizontal="right" vertical="center"/>
      <protection hidden="1"/>
    </xf>
    <xf numFmtId="14" fontId="9" fillId="0" borderId="113" xfId="0" applyNumberFormat="1" applyFont="1" applyBorder="1" applyAlignment="1" applyProtection="1">
      <alignment horizontal="center" vertical="center"/>
      <protection hidden="1"/>
    </xf>
    <xf numFmtId="0" fontId="96" fillId="0" borderId="0" xfId="0" applyNumberFormat="1" applyFont="1" applyProtection="1">
      <protection hidden="1"/>
    </xf>
    <xf numFmtId="0" fontId="8" fillId="0" borderId="113" xfId="0" applyNumberFormat="1" applyFont="1" applyBorder="1" applyAlignment="1" applyProtection="1">
      <alignment horizontal="right" vertical="center"/>
      <protection hidden="1"/>
    </xf>
    <xf numFmtId="168" fontId="8" fillId="0" borderId="113" xfId="0" applyNumberFormat="1" applyFont="1" applyBorder="1" applyAlignment="1" applyProtection="1">
      <alignment vertical="center"/>
      <protection hidden="1"/>
    </xf>
    <xf numFmtId="0" fontId="26" fillId="0" borderId="0" xfId="0" applyFont="1" applyAlignment="1" applyProtection="1">
      <alignment vertical="center"/>
      <protection hidden="1"/>
    </xf>
    <xf numFmtId="0" fontId="18" fillId="0" borderId="0" xfId="0" applyNumberFormat="1" applyFont="1" applyBorder="1" applyAlignment="1" applyProtection="1">
      <alignment horizontal="center" vertical="center"/>
      <protection hidden="1"/>
    </xf>
    <xf numFmtId="0" fontId="26" fillId="0" borderId="0" xfId="0" applyFont="1" applyBorder="1" applyAlignment="1" applyProtection="1">
      <alignment horizontal="right" vertical="center"/>
      <protection hidden="1"/>
    </xf>
    <xf numFmtId="14" fontId="18" fillId="0" borderId="0" xfId="0" applyNumberFormat="1" applyFont="1" applyBorder="1" applyAlignment="1" applyProtection="1">
      <alignment horizontal="center" vertical="center"/>
      <protection hidden="1"/>
    </xf>
    <xf numFmtId="0" fontId="26" fillId="0" borderId="0" xfId="0" applyFont="1" applyAlignment="1" applyProtection="1">
      <alignment horizontal="right" vertical="center"/>
      <protection hidden="1"/>
    </xf>
    <xf numFmtId="0" fontId="18" fillId="0" borderId="0" xfId="0" applyFont="1" applyBorder="1" applyAlignment="1" applyProtection="1">
      <alignment horizontal="center" vertical="center"/>
      <protection hidden="1"/>
    </xf>
    <xf numFmtId="3" fontId="39" fillId="0" borderId="129" xfId="0" applyNumberFormat="1" applyFont="1" applyFill="1" applyBorder="1" applyAlignment="1" applyProtection="1">
      <alignment vertical="center"/>
      <protection hidden="1"/>
    </xf>
    <xf numFmtId="168" fontId="39" fillId="0" borderId="129" xfId="0" applyNumberFormat="1" applyFont="1" applyBorder="1" applyAlignment="1" applyProtection="1">
      <alignment vertical="center"/>
      <protection hidden="1"/>
    </xf>
    <xf numFmtId="10" fontId="39" fillId="0" borderId="129" xfId="0" applyNumberFormat="1" applyFont="1" applyBorder="1" applyAlignment="1" applyProtection="1">
      <alignment horizontal="right" vertical="center"/>
      <protection hidden="1"/>
    </xf>
    <xf numFmtId="1" fontId="39" fillId="0" borderId="126" xfId="0" applyNumberFormat="1" applyFont="1" applyFill="1" applyBorder="1" applyAlignment="1" applyProtection="1">
      <alignment horizontal="center" vertical="center"/>
      <protection hidden="1"/>
    </xf>
    <xf numFmtId="3" fontId="39" fillId="0" borderId="137" xfId="0" applyNumberFormat="1" applyFont="1" applyFill="1" applyBorder="1" applyAlignment="1" applyProtection="1">
      <alignment vertical="center"/>
      <protection hidden="1"/>
    </xf>
    <xf numFmtId="0" fontId="38" fillId="0" borderId="0" xfId="0" applyFont="1" applyBorder="1" applyProtection="1">
      <protection hidden="1"/>
    </xf>
    <xf numFmtId="3" fontId="8" fillId="0" borderId="138" xfId="0" applyNumberFormat="1" applyFont="1" applyFill="1" applyBorder="1" applyAlignment="1" applyProtection="1">
      <alignment vertical="center"/>
      <protection hidden="1"/>
    </xf>
    <xf numFmtId="168" fontId="8" fillId="0" borderId="138" xfId="0" applyNumberFormat="1" applyFont="1" applyBorder="1" applyAlignment="1" applyProtection="1">
      <alignment vertical="center"/>
      <protection hidden="1"/>
    </xf>
    <xf numFmtId="0" fontId="38" fillId="0" borderId="128" xfId="0" applyFont="1" applyBorder="1" applyProtection="1">
      <protection hidden="1"/>
    </xf>
    <xf numFmtId="0" fontId="8" fillId="0" borderId="139" xfId="0" applyFont="1" applyBorder="1" applyAlignment="1" applyProtection="1">
      <alignment vertical="center"/>
      <protection hidden="1"/>
    </xf>
    <xf numFmtId="0" fontId="38" fillId="0" borderId="139" xfId="0" applyFont="1" applyBorder="1" applyProtection="1">
      <protection hidden="1"/>
    </xf>
    <xf numFmtId="0" fontId="38" fillId="0" borderId="140" xfId="0" applyFont="1" applyBorder="1" applyProtection="1">
      <protection hidden="1"/>
    </xf>
    <xf numFmtId="0" fontId="39" fillId="0" borderId="131" xfId="0" applyFont="1" applyFill="1" applyBorder="1" applyProtection="1">
      <protection hidden="1"/>
    </xf>
    <xf numFmtId="168" fontId="39" fillId="0" borderId="131" xfId="0" applyNumberFormat="1" applyFont="1" applyBorder="1" applyProtection="1">
      <protection hidden="1"/>
    </xf>
    <xf numFmtId="1" fontId="100" fillId="0" borderId="0" xfId="0" applyNumberFormat="1" applyFont="1" applyBorder="1" applyAlignment="1" applyProtection="1">
      <alignment horizontal="center" vertical="center"/>
      <protection hidden="1"/>
    </xf>
    <xf numFmtId="0" fontId="100" fillId="0" borderId="0" xfId="0" applyFont="1" applyBorder="1" applyAlignment="1" applyProtection="1">
      <alignment horizontal="left" vertical="center"/>
      <protection hidden="1"/>
    </xf>
    <xf numFmtId="3" fontId="9" fillId="0" borderId="0" xfId="0" applyNumberFormat="1" applyFont="1" applyBorder="1" applyAlignment="1" applyProtection="1">
      <alignment vertical="center"/>
      <protection hidden="1"/>
    </xf>
    <xf numFmtId="168" fontId="9" fillId="0" borderId="0" xfId="0" applyNumberFormat="1" applyFont="1" applyBorder="1" applyAlignment="1" applyProtection="1">
      <alignment vertical="center"/>
      <protection hidden="1"/>
    </xf>
    <xf numFmtId="10" fontId="9" fillId="0" borderId="0" xfId="0" applyNumberFormat="1" applyFont="1" applyBorder="1" applyAlignment="1" applyProtection="1">
      <alignment horizontal="right" vertical="center"/>
      <protection hidden="1"/>
    </xf>
    <xf numFmtId="0" fontId="103" fillId="0" borderId="127" xfId="0" applyFont="1" applyBorder="1" applyAlignment="1" applyProtection="1">
      <alignment horizontal="left" vertical="center"/>
      <protection hidden="1"/>
    </xf>
    <xf numFmtId="0" fontId="100" fillId="0" borderId="127" xfId="0" applyFont="1" applyBorder="1" applyAlignment="1" applyProtection="1">
      <alignment vertical="center"/>
      <protection hidden="1"/>
    </xf>
    <xf numFmtId="0" fontId="39" fillId="0" borderId="0" xfId="0" applyFont="1" applyBorder="1" applyAlignment="1" applyProtection="1">
      <alignment horizontal="left" vertical="center" wrapText="1"/>
      <protection hidden="1"/>
    </xf>
    <xf numFmtId="0" fontId="39" fillId="0" borderId="128" xfId="0" applyFont="1" applyBorder="1" applyAlignment="1" applyProtection="1">
      <alignment horizontal="left" vertical="center" wrapText="1"/>
      <protection hidden="1"/>
    </xf>
    <xf numFmtId="3" fontId="8" fillId="0" borderId="141" xfId="0" applyNumberFormat="1" applyFont="1" applyFill="1" applyBorder="1" applyAlignment="1" applyProtection="1">
      <alignment vertical="center"/>
      <protection hidden="1"/>
    </xf>
    <xf numFmtId="0" fontId="39" fillId="0" borderId="139" xfId="0" applyFont="1" applyFill="1" applyBorder="1" applyProtection="1">
      <protection hidden="1"/>
    </xf>
    <xf numFmtId="0" fontId="64" fillId="0" borderId="0" xfId="0" applyFont="1" applyBorder="1" applyAlignment="1" applyProtection="1">
      <alignment vertical="center"/>
      <protection hidden="1"/>
    </xf>
    <xf numFmtId="0" fontId="100" fillId="0" borderId="127" xfId="0" applyFont="1" applyBorder="1" applyAlignment="1" applyProtection="1">
      <alignment horizontal="left" vertical="center" indent="4"/>
      <protection hidden="1"/>
    </xf>
    <xf numFmtId="0" fontId="16" fillId="0" borderId="0" xfId="0" applyFont="1" applyBorder="1" applyProtection="1">
      <protection hidden="1"/>
    </xf>
    <xf numFmtId="168" fontId="8" fillId="0" borderId="141" xfId="0" applyNumberFormat="1" applyFont="1" applyBorder="1" applyAlignment="1" applyProtection="1">
      <alignment vertical="center"/>
      <protection hidden="1"/>
    </xf>
    <xf numFmtId="0" fontId="0" fillId="0" borderId="109" xfId="0" applyBorder="1" applyProtection="1">
      <protection hidden="1"/>
    </xf>
    <xf numFmtId="0" fontId="0" fillId="0" borderId="112" xfId="0" applyBorder="1" applyProtection="1">
      <protection hidden="1"/>
    </xf>
    <xf numFmtId="168" fontId="0" fillId="0" borderId="109" xfId="0" applyNumberFormat="1" applyBorder="1" applyProtection="1">
      <protection hidden="1"/>
    </xf>
    <xf numFmtId="10" fontId="8" fillId="0" borderId="143" xfId="0" applyNumberFormat="1" applyFont="1" applyBorder="1" applyAlignment="1" applyProtection="1">
      <alignment horizontal="right" vertical="center"/>
      <protection hidden="1"/>
    </xf>
    <xf numFmtId="3" fontId="19" fillId="2" borderId="144" xfId="0" applyNumberFormat="1" applyFont="1" applyFill="1" applyBorder="1" applyAlignment="1" applyProtection="1">
      <alignment vertical="center"/>
      <protection hidden="1"/>
    </xf>
    <xf numFmtId="168" fontId="19" fillId="2" borderId="144" xfId="0" applyNumberFormat="1" applyFont="1" applyFill="1" applyBorder="1" applyAlignment="1" applyProtection="1">
      <alignment vertical="center"/>
      <protection hidden="1"/>
    </xf>
    <xf numFmtId="10" fontId="9" fillId="2" borderId="145" xfId="0" applyNumberFormat="1" applyFont="1" applyFill="1" applyBorder="1" applyAlignment="1" applyProtection="1">
      <alignment horizontal="right" vertical="center"/>
      <protection hidden="1"/>
    </xf>
    <xf numFmtId="0" fontId="8" fillId="0" borderId="0" xfId="0" applyNumberFormat="1" applyFont="1" applyAlignment="1" applyProtection="1">
      <alignment horizontal="right" vertical="center"/>
      <protection locked="0"/>
    </xf>
    <xf numFmtId="0" fontId="104" fillId="0" borderId="0" xfId="0" applyFont="1" applyProtection="1">
      <protection locked="0"/>
    </xf>
    <xf numFmtId="0" fontId="18" fillId="12" borderId="109" xfId="0" applyFont="1" applyFill="1" applyBorder="1" applyAlignment="1" applyProtection="1">
      <alignment horizontal="center" vertical="center"/>
      <protection hidden="1"/>
    </xf>
    <xf numFmtId="3" fontId="8" fillId="0" borderId="129" xfId="0" applyNumberFormat="1" applyFont="1" applyBorder="1" applyAlignment="1" applyProtection="1">
      <alignment vertical="center"/>
      <protection hidden="1"/>
    </xf>
    <xf numFmtId="0" fontId="4" fillId="0" borderId="0" xfId="0" applyNumberFormat="1" applyFont="1" applyProtection="1">
      <protection locked="0"/>
    </xf>
    <xf numFmtId="0" fontId="0" fillId="0" borderId="0" xfId="0" applyNumberFormat="1" applyProtection="1">
      <protection locked="0"/>
    </xf>
    <xf numFmtId="0" fontId="18" fillId="0" borderId="0" xfId="0" applyNumberFormat="1" applyFont="1" applyBorder="1" applyAlignment="1" applyProtection="1">
      <alignment vertical="center"/>
      <protection locked="0"/>
    </xf>
    <xf numFmtId="0" fontId="26" fillId="0" borderId="0" xfId="0" applyNumberFormat="1" applyFont="1" applyAlignment="1" applyProtection="1">
      <alignment horizontal="right" vertical="center"/>
      <protection locked="0"/>
    </xf>
    <xf numFmtId="0" fontId="18" fillId="0" borderId="99" xfId="0" applyNumberFormat="1" applyFont="1" applyBorder="1" applyAlignment="1" applyProtection="1">
      <alignment horizontal="center" vertical="center"/>
      <protection locked="0"/>
    </xf>
    <xf numFmtId="0" fontId="26" fillId="0" borderId="0" xfId="0" applyNumberFormat="1" applyFont="1" applyBorder="1" applyAlignment="1" applyProtection="1">
      <alignment horizontal="right" vertical="center"/>
      <protection locked="0"/>
    </xf>
    <xf numFmtId="0" fontId="26" fillId="0" borderId="104" xfId="0" applyNumberFormat="1" applyFont="1" applyBorder="1" applyAlignment="1" applyProtection="1">
      <alignment horizontal="right" vertical="center"/>
      <protection locked="0"/>
    </xf>
    <xf numFmtId="0" fontId="18" fillId="0" borderId="104" xfId="0" applyNumberFormat="1" applyFont="1" applyBorder="1" applyAlignment="1" applyProtection="1">
      <alignment horizontal="center" vertical="center"/>
      <protection locked="0"/>
    </xf>
    <xf numFmtId="0" fontId="26" fillId="0" borderId="0" xfId="0" applyNumberFormat="1" applyFont="1" applyProtection="1">
      <protection locked="0"/>
    </xf>
    <xf numFmtId="0" fontId="0" fillId="0" borderId="0" xfId="0" applyNumberFormat="1" applyAlignment="1" applyProtection="1">
      <alignment vertical="center"/>
      <protection locked="0"/>
    </xf>
    <xf numFmtId="0" fontId="4" fillId="0" borderId="0" xfId="0" applyNumberFormat="1" applyFont="1" applyProtection="1">
      <protection hidden="1"/>
    </xf>
    <xf numFmtId="0" fontId="20" fillId="12" borderId="150" xfId="0" applyNumberFormat="1" applyFont="1" applyFill="1" applyBorder="1" applyAlignment="1" applyProtection="1">
      <alignment horizontal="center" vertical="center"/>
      <protection hidden="1"/>
    </xf>
    <xf numFmtId="0" fontId="0" fillId="0" borderId="151" xfId="0" applyNumberFormat="1" applyBorder="1" applyAlignment="1" applyProtection="1">
      <alignment vertical="center"/>
      <protection hidden="1"/>
    </xf>
    <xf numFmtId="0" fontId="47" fillId="0" borderId="151" xfId="0" applyNumberFormat="1" applyFont="1" applyBorder="1" applyAlignment="1" applyProtection="1">
      <alignment horizontal="left" vertical="center" indent="1"/>
      <protection hidden="1"/>
    </xf>
    <xf numFmtId="0" fontId="106" fillId="0" borderId="152" xfId="0" applyNumberFormat="1" applyFont="1" applyBorder="1" applyAlignment="1" applyProtection="1">
      <alignment horizontal="left" vertical="center" indent="1"/>
      <protection hidden="1"/>
    </xf>
    <xf numFmtId="0" fontId="106" fillId="0" borderId="153" xfId="0" applyNumberFormat="1" applyFont="1" applyBorder="1" applyAlignment="1" applyProtection="1">
      <alignment vertical="center"/>
      <protection hidden="1"/>
    </xf>
    <xf numFmtId="164" fontId="106" fillId="0" borderId="154" xfId="1" applyNumberFormat="1" applyFont="1" applyBorder="1" applyAlignment="1" applyProtection="1">
      <alignment vertical="center"/>
      <protection hidden="1"/>
    </xf>
    <xf numFmtId="0" fontId="0" fillId="0" borderId="155" xfId="0" applyNumberFormat="1" applyBorder="1" applyAlignment="1" applyProtection="1">
      <alignment vertical="center"/>
      <protection hidden="1"/>
    </xf>
    <xf numFmtId="0" fontId="47" fillId="0" borderId="155" xfId="0" applyNumberFormat="1" applyFont="1" applyBorder="1" applyAlignment="1" applyProtection="1">
      <alignment horizontal="left" vertical="center" indent="1"/>
      <protection hidden="1"/>
    </xf>
    <xf numFmtId="0" fontId="106" fillId="0" borderId="0" xfId="0" applyNumberFormat="1" applyFont="1" applyBorder="1" applyAlignment="1" applyProtection="1">
      <alignment horizontal="left" vertical="center" indent="1"/>
      <protection hidden="1"/>
    </xf>
    <xf numFmtId="0" fontId="106" fillId="0" borderId="156" xfId="0" applyNumberFormat="1" applyFont="1" applyBorder="1" applyAlignment="1" applyProtection="1">
      <alignment vertical="center"/>
      <protection hidden="1"/>
    </xf>
    <xf numFmtId="164" fontId="106" fillId="0" borderId="157" xfId="1" applyNumberFormat="1" applyFont="1" applyBorder="1" applyAlignment="1" applyProtection="1">
      <alignment vertical="center"/>
      <protection hidden="1"/>
    </xf>
    <xf numFmtId="164" fontId="106" fillId="0" borderId="158" xfId="1" applyNumberFormat="1" applyFont="1" applyBorder="1" applyAlignment="1" applyProtection="1">
      <alignment vertical="center"/>
      <protection hidden="1"/>
    </xf>
    <xf numFmtId="0" fontId="107" fillId="0" borderId="155" xfId="0" applyNumberFormat="1" applyFont="1" applyBorder="1" applyAlignment="1" applyProtection="1">
      <alignment horizontal="left" vertical="center"/>
      <protection hidden="1"/>
    </xf>
    <xf numFmtId="0" fontId="0" fillId="0" borderId="155" xfId="0" applyNumberFormat="1" applyBorder="1" applyAlignment="1" applyProtection="1">
      <alignment horizontal="left" vertical="center" indent="1"/>
      <protection hidden="1"/>
    </xf>
    <xf numFmtId="0" fontId="107" fillId="0" borderId="0" xfId="0" applyNumberFormat="1" applyFont="1" applyBorder="1" applyAlignment="1" applyProtection="1">
      <alignment horizontal="left" vertical="center" indent="1"/>
      <protection hidden="1"/>
    </xf>
    <xf numFmtId="164" fontId="95" fillId="0" borderId="159" xfId="1" applyNumberFormat="1" applyFont="1" applyBorder="1" applyAlignment="1" applyProtection="1">
      <alignment vertical="center"/>
      <protection hidden="1"/>
    </xf>
    <xf numFmtId="164" fontId="106" fillId="0" borderId="160" xfId="1" applyNumberFormat="1" applyFont="1" applyBorder="1" applyAlignment="1" applyProtection="1">
      <alignment vertical="center"/>
      <protection hidden="1"/>
    </xf>
    <xf numFmtId="0" fontId="47" fillId="0" borderId="155" xfId="0" applyNumberFormat="1" applyFont="1" applyBorder="1" applyAlignment="1" applyProtection="1">
      <alignment horizontal="left" vertical="center"/>
      <protection hidden="1"/>
    </xf>
    <xf numFmtId="0" fontId="107" fillId="0" borderId="161" xfId="0" applyNumberFormat="1" applyFont="1" applyBorder="1" applyAlignment="1" applyProtection="1">
      <alignment horizontal="left" vertical="center"/>
      <protection hidden="1"/>
    </xf>
    <xf numFmtId="0" fontId="0" fillId="0" borderId="161" xfId="0" applyNumberFormat="1" applyBorder="1" applyAlignment="1" applyProtection="1">
      <alignment horizontal="left" vertical="center" indent="1"/>
      <protection hidden="1"/>
    </xf>
    <xf numFmtId="0" fontId="107" fillId="0" borderId="162" xfId="0" applyNumberFormat="1" applyFont="1" applyBorder="1" applyAlignment="1" applyProtection="1">
      <alignment horizontal="left" vertical="center" indent="1"/>
      <protection hidden="1"/>
    </xf>
    <xf numFmtId="0" fontId="106" fillId="0" borderId="162" xfId="0" applyNumberFormat="1" applyFont="1" applyBorder="1" applyAlignment="1" applyProtection="1">
      <alignment horizontal="left" vertical="center" indent="1"/>
      <protection hidden="1"/>
    </xf>
    <xf numFmtId="0" fontId="106" fillId="0" borderId="163" xfId="0" applyNumberFormat="1" applyFont="1" applyBorder="1" applyAlignment="1" applyProtection="1">
      <alignment vertical="center"/>
      <protection hidden="1"/>
    </xf>
    <xf numFmtId="164" fontId="95" fillId="0" borderId="164" xfId="1" applyNumberFormat="1" applyFont="1" applyBorder="1" applyAlignment="1" applyProtection="1">
      <alignment vertical="center"/>
      <protection hidden="1"/>
    </xf>
    <xf numFmtId="49" fontId="17" fillId="0" borderId="0" xfId="0" applyNumberFormat="1" applyFont="1" applyAlignment="1" applyProtection="1">
      <alignment horizontal="center" vertical="center"/>
      <protection locked="0"/>
    </xf>
    <xf numFmtId="14" fontId="18" fillId="0" borderId="99" xfId="0" applyNumberFormat="1" applyFont="1" applyBorder="1" applyAlignment="1" applyProtection="1">
      <alignment horizontal="center" vertical="center"/>
      <protection locked="0"/>
    </xf>
    <xf numFmtId="0" fontId="18" fillId="0" borderId="104" xfId="0" applyNumberFormat="1" applyFont="1" applyBorder="1" applyAlignment="1" applyProtection="1">
      <alignment vertical="center"/>
      <protection locked="0"/>
    </xf>
    <xf numFmtId="1" fontId="38" fillId="0" borderId="9" xfId="0" applyNumberFormat="1" applyFont="1" applyBorder="1" applyProtection="1">
      <protection locked="0"/>
    </xf>
    <xf numFmtId="0" fontId="38" fillId="0" borderId="8" xfId="0" applyFont="1" applyBorder="1" applyProtection="1">
      <protection locked="0"/>
    </xf>
    <xf numFmtId="0" fontId="11" fillId="12" borderId="150" xfId="0" applyFont="1" applyFill="1" applyBorder="1" applyAlignment="1" applyProtection="1">
      <alignment horizontal="center" vertical="center"/>
      <protection locked="0"/>
    </xf>
    <xf numFmtId="1" fontId="10" fillId="0" borderId="151" xfId="0" applyNumberFormat="1" applyFont="1" applyBorder="1" applyAlignment="1" applyProtection="1">
      <alignment horizontal="center" vertical="center"/>
      <protection locked="0"/>
    </xf>
    <xf numFmtId="0" fontId="47" fillId="0" borderId="151" xfId="0" applyFont="1" applyBorder="1" applyAlignment="1" applyProtection="1">
      <alignment horizontal="left" vertical="center" indent="1"/>
      <protection locked="0"/>
    </xf>
    <xf numFmtId="0" fontId="47" fillId="0" borderId="152" xfId="0" applyFont="1" applyBorder="1" applyAlignment="1" applyProtection="1">
      <alignment vertical="center"/>
      <protection locked="0"/>
    </xf>
    <xf numFmtId="0" fontId="47" fillId="0" borderId="153" xfId="0" applyFont="1" applyBorder="1" applyAlignment="1" applyProtection="1">
      <alignment vertical="center"/>
      <protection locked="0"/>
    </xf>
    <xf numFmtId="1" fontId="10" fillId="0" borderId="155" xfId="0" applyNumberFormat="1" applyFont="1" applyBorder="1" applyAlignment="1" applyProtection="1">
      <alignment horizontal="center" vertical="center"/>
      <protection locked="0"/>
    </xf>
    <xf numFmtId="0" fontId="47" fillId="0" borderId="155" xfId="0" applyFont="1" applyBorder="1" applyAlignment="1" applyProtection="1">
      <alignment horizontal="left" vertical="center" indent="1"/>
      <protection locked="0"/>
    </xf>
    <xf numFmtId="0" fontId="47" fillId="0" borderId="0" xfId="0" applyFont="1" applyBorder="1" applyAlignment="1" applyProtection="1">
      <alignment vertical="center"/>
      <protection locked="0"/>
    </xf>
    <xf numFmtId="0" fontId="47" fillId="0" borderId="156" xfId="0" applyFont="1" applyBorder="1" applyAlignment="1" applyProtection="1">
      <alignment vertical="center"/>
      <protection locked="0"/>
    </xf>
    <xf numFmtId="1" fontId="49" fillId="0" borderId="161" xfId="0" applyNumberFormat="1" applyFont="1" applyBorder="1" applyAlignment="1" applyProtection="1">
      <alignment horizontal="center" vertical="center"/>
      <protection locked="0"/>
    </xf>
    <xf numFmtId="0" fontId="107" fillId="0" borderId="161" xfId="0" applyFont="1" applyBorder="1" applyAlignment="1" applyProtection="1">
      <alignment vertical="center"/>
      <protection locked="0"/>
    </xf>
    <xf numFmtId="0" fontId="107" fillId="0" borderId="162" xfId="0" applyFont="1" applyBorder="1" applyAlignment="1" applyProtection="1">
      <alignment vertical="center"/>
      <protection locked="0"/>
    </xf>
    <xf numFmtId="0" fontId="107" fillId="0" borderId="163" xfId="0" applyFont="1" applyBorder="1" applyAlignment="1" applyProtection="1">
      <alignment vertical="center"/>
      <protection locked="0"/>
    </xf>
    <xf numFmtId="169" fontId="23" fillId="29" borderId="150" xfId="0" applyNumberFormat="1" applyFont="1" applyFill="1" applyBorder="1" applyAlignment="1" applyProtection="1">
      <alignment vertical="center"/>
      <protection locked="0"/>
    </xf>
    <xf numFmtId="0" fontId="26" fillId="0" borderId="0" xfId="0" applyNumberFormat="1" applyFont="1" applyBorder="1" applyAlignment="1" applyProtection="1">
      <alignment vertical="center"/>
      <protection locked="0"/>
    </xf>
    <xf numFmtId="0" fontId="18" fillId="0" borderId="101" xfId="0" applyNumberFormat="1" applyFont="1" applyBorder="1" applyAlignment="1" applyProtection="1">
      <alignment horizontal="center" vertical="center"/>
      <protection locked="0"/>
    </xf>
    <xf numFmtId="0" fontId="26" fillId="0" borderId="0" xfId="0" applyNumberFormat="1" applyFont="1" applyBorder="1" applyAlignment="1" applyProtection="1">
      <alignment horizontal="center" vertical="center"/>
      <protection locked="0"/>
    </xf>
    <xf numFmtId="0" fontId="26" fillId="0" borderId="104" xfId="0" applyNumberFormat="1" applyFont="1" applyBorder="1" applyAlignment="1" applyProtection="1">
      <alignment horizontal="center" vertical="center"/>
      <protection locked="0"/>
    </xf>
    <xf numFmtId="0" fontId="18" fillId="12" borderId="150" xfId="0" applyFont="1" applyFill="1" applyBorder="1" applyAlignment="1" applyProtection="1">
      <alignment horizontal="center" vertical="center"/>
      <protection locked="0"/>
    </xf>
    <xf numFmtId="0" fontId="26" fillId="2" borderId="150" xfId="0" applyFont="1" applyFill="1" applyBorder="1" applyAlignment="1" applyProtection="1">
      <alignment horizontal="left" vertical="center" indent="1"/>
      <protection locked="0"/>
    </xf>
    <xf numFmtId="0" fontId="26" fillId="2" borderId="150" xfId="0" applyFont="1" applyFill="1" applyBorder="1" applyAlignment="1" applyProtection="1">
      <alignment vertical="center"/>
      <protection locked="0"/>
    </xf>
    <xf numFmtId="0" fontId="26" fillId="2" borderId="0" xfId="0" applyFont="1" applyFill="1" applyAlignment="1" applyProtection="1">
      <alignment vertical="center"/>
      <protection locked="0"/>
    </xf>
    <xf numFmtId="0" fontId="106" fillId="0" borderId="0" xfId="0" applyFont="1" applyProtection="1">
      <protection locked="0"/>
    </xf>
    <xf numFmtId="0" fontId="106" fillId="0" borderId="0" xfId="0" applyFont="1" applyAlignment="1" applyProtection="1">
      <alignment horizontal="center"/>
      <protection locked="0"/>
    </xf>
    <xf numFmtId="0" fontId="0" fillId="0" borderId="0" xfId="0" applyAlignment="1" applyProtection="1">
      <alignment horizontal="center"/>
      <protection locked="0"/>
    </xf>
    <xf numFmtId="3" fontId="18" fillId="2" borderId="150" xfId="0" applyNumberFormat="1" applyFont="1" applyFill="1" applyBorder="1" applyAlignment="1" applyProtection="1">
      <alignment horizontal="right" vertical="center"/>
      <protection hidden="1"/>
    </xf>
    <xf numFmtId="0" fontId="10" fillId="10" borderId="0" xfId="2" applyFill="1" applyProtection="1">
      <protection locked="0"/>
    </xf>
    <xf numFmtId="164" fontId="10" fillId="10" borderId="0" xfId="2" applyNumberFormat="1" applyFill="1" applyProtection="1">
      <protection locked="0"/>
    </xf>
    <xf numFmtId="0" fontId="10" fillId="3" borderId="2" xfId="2" applyFill="1" applyBorder="1" applyProtection="1">
      <protection locked="0"/>
    </xf>
    <xf numFmtId="0" fontId="39" fillId="3" borderId="0" xfId="2" applyFont="1" applyFill="1" applyProtection="1">
      <protection locked="0"/>
    </xf>
    <xf numFmtId="49" fontId="10" fillId="3" borderId="0" xfId="2" applyNumberFormat="1" applyFill="1" applyProtection="1">
      <protection hidden="1"/>
    </xf>
    <xf numFmtId="0" fontId="51" fillId="0" borderId="0" xfId="0" applyFont="1" applyProtection="1">
      <protection locked="0"/>
    </xf>
    <xf numFmtId="0" fontId="46" fillId="0" borderId="8" xfId="0" applyFont="1" applyBorder="1" applyAlignment="1" applyProtection="1">
      <alignment vertical="center" wrapText="1"/>
      <protection locked="0"/>
    </xf>
    <xf numFmtId="0" fontId="46" fillId="0" borderId="9" xfId="0" applyFont="1" applyBorder="1" applyAlignment="1" applyProtection="1">
      <alignment vertical="center" wrapText="1"/>
      <protection locked="0"/>
    </xf>
    <xf numFmtId="0" fontId="46" fillId="0" borderId="0" xfId="0" applyFont="1" applyBorder="1" applyAlignment="1" applyProtection="1">
      <alignment vertical="center" wrapText="1"/>
      <protection locked="0"/>
    </xf>
    <xf numFmtId="0" fontId="51" fillId="0" borderId="9" xfId="0" applyFont="1" applyBorder="1" applyProtection="1">
      <protection locked="0"/>
    </xf>
    <xf numFmtId="0" fontId="51" fillId="0" borderId="0" xfId="0" applyFont="1" applyBorder="1" applyProtection="1">
      <protection locked="0"/>
    </xf>
    <xf numFmtId="0" fontId="51" fillId="0" borderId="8" xfId="0" applyFont="1" applyBorder="1" applyProtection="1">
      <protection locked="0"/>
    </xf>
    <xf numFmtId="0" fontId="51" fillId="0" borderId="13" xfId="0" applyFont="1" applyBorder="1" applyProtection="1">
      <protection locked="0"/>
    </xf>
    <xf numFmtId="0" fontId="51" fillId="0" borderId="7" xfId="0" applyFont="1" applyBorder="1" applyProtection="1">
      <protection locked="0"/>
    </xf>
    <xf numFmtId="0" fontId="51" fillId="0" borderId="10" xfId="0" applyFont="1" applyBorder="1" applyProtection="1">
      <protection locked="0"/>
    </xf>
    <xf numFmtId="0" fontId="58" fillId="0" borderId="0" xfId="0" applyFont="1" applyAlignment="1" applyProtection="1">
      <protection locked="0"/>
    </xf>
    <xf numFmtId="0" fontId="58" fillId="0" borderId="0" xfId="0" applyFont="1" applyBorder="1" applyAlignment="1" applyProtection="1">
      <alignment horizontal="center" vertical="center"/>
      <protection locked="0"/>
    </xf>
    <xf numFmtId="0" fontId="45" fillId="0" borderId="0" xfId="0" applyFont="1" applyFill="1" applyBorder="1" applyAlignment="1" applyProtection="1">
      <protection locked="0"/>
    </xf>
    <xf numFmtId="0" fontId="45" fillId="0" borderId="0" xfId="0" applyFont="1" applyBorder="1" applyAlignment="1" applyProtection="1">
      <protection locked="0"/>
    </xf>
    <xf numFmtId="0" fontId="51" fillId="0" borderId="7" xfId="0" applyFont="1" applyBorder="1" applyAlignment="1" applyProtection="1">
      <alignment horizontal="center"/>
      <protection locked="0"/>
    </xf>
    <xf numFmtId="0" fontId="45" fillId="0" borderId="7" xfId="0" applyFont="1" applyBorder="1" applyAlignment="1" applyProtection="1">
      <protection locked="0"/>
    </xf>
    <xf numFmtId="0" fontId="45" fillId="0" borderId="7" xfId="0" applyFont="1" applyBorder="1" applyAlignment="1" applyProtection="1">
      <alignment horizontal="center"/>
      <protection locked="0"/>
    </xf>
    <xf numFmtId="0" fontId="45" fillId="0" borderId="7" xfId="0" applyFont="1" applyFill="1" applyBorder="1" applyAlignment="1" applyProtection="1">
      <protection locked="0"/>
    </xf>
    <xf numFmtId="0" fontId="46" fillId="0" borderId="12" xfId="0" applyFont="1" applyBorder="1" applyProtection="1">
      <protection locked="0"/>
    </xf>
    <xf numFmtId="0" fontId="51" fillId="0" borderId="11" xfId="0" applyFont="1" applyBorder="1" applyProtection="1">
      <protection locked="0"/>
    </xf>
    <xf numFmtId="0" fontId="51" fillId="0" borderId="14" xfId="0" applyFont="1" applyBorder="1" applyProtection="1">
      <protection locked="0"/>
    </xf>
    <xf numFmtId="0" fontId="51" fillId="0" borderId="13" xfId="0" applyFont="1" applyFill="1" applyBorder="1" applyAlignment="1" applyProtection="1">
      <alignment vertical="center"/>
      <protection locked="0"/>
    </xf>
    <xf numFmtId="0" fontId="51" fillId="0" borderId="7" xfId="0" applyFont="1" applyFill="1" applyBorder="1" applyAlignment="1" applyProtection="1">
      <alignment vertical="center"/>
      <protection locked="0"/>
    </xf>
    <xf numFmtId="0" fontId="46" fillId="0" borderId="13" xfId="0" applyFont="1" applyFill="1" applyBorder="1" applyAlignment="1" applyProtection="1">
      <alignment horizontal="left" vertical="center"/>
      <protection locked="0"/>
    </xf>
    <xf numFmtId="0" fontId="51" fillId="0" borderId="12" xfId="0" applyFont="1" applyFill="1" applyBorder="1" applyAlignment="1" applyProtection="1">
      <alignment vertical="center"/>
      <protection locked="0"/>
    </xf>
    <xf numFmtId="0" fontId="51" fillId="0" borderId="11" xfId="0" applyFont="1" applyFill="1" applyBorder="1" applyAlignment="1" applyProtection="1">
      <alignment vertical="center"/>
      <protection locked="0"/>
    </xf>
    <xf numFmtId="0" fontId="58" fillId="0" borderId="0" xfId="0" applyFont="1" applyAlignment="1" applyProtection="1">
      <alignment vertical="top"/>
      <protection locked="0"/>
    </xf>
    <xf numFmtId="0" fontId="122" fillId="0" borderId="7" xfId="0" applyFont="1" applyFill="1" applyBorder="1" applyAlignment="1" applyProtection="1">
      <alignment vertical="center"/>
      <protection locked="0"/>
    </xf>
    <xf numFmtId="0" fontId="51" fillId="0" borderId="4" xfId="0" applyFont="1" applyFill="1" applyBorder="1" applyAlignment="1" applyProtection="1">
      <alignment vertical="center"/>
      <protection locked="0"/>
    </xf>
    <xf numFmtId="0" fontId="122" fillId="0" borderId="5" xfId="0" applyFont="1" applyFill="1" applyBorder="1" applyAlignment="1" applyProtection="1">
      <alignment vertical="center"/>
      <protection locked="0"/>
    </xf>
    <xf numFmtId="0" fontId="122" fillId="0" borderId="5" xfId="0" applyFont="1" applyFill="1" applyBorder="1" applyAlignment="1" applyProtection="1">
      <alignment horizontal="left" vertical="center"/>
      <protection locked="0"/>
    </xf>
    <xf numFmtId="0" fontId="122" fillId="0" borderId="10" xfId="0" applyFont="1" applyFill="1" applyBorder="1" applyAlignment="1" applyProtection="1">
      <alignment vertical="center"/>
      <protection locked="0"/>
    </xf>
    <xf numFmtId="0" fontId="51" fillId="0" borderId="13" xfId="0" applyFont="1" applyFill="1" applyBorder="1" applyAlignment="1" applyProtection="1">
      <protection locked="0"/>
    </xf>
    <xf numFmtId="0" fontId="51" fillId="0" borderId="7" xfId="0" applyFont="1" applyFill="1" applyBorder="1" applyAlignment="1" applyProtection="1">
      <protection locked="0"/>
    </xf>
    <xf numFmtId="0" fontId="51" fillId="0" borderId="10" xfId="0" applyFont="1" applyFill="1" applyBorder="1" applyAlignment="1" applyProtection="1">
      <protection locked="0"/>
    </xf>
    <xf numFmtId="0" fontId="51" fillId="0" borderId="9" xfId="0" applyFont="1" applyFill="1" applyBorder="1" applyProtection="1">
      <protection locked="0"/>
    </xf>
    <xf numFmtId="0" fontId="51" fillId="0" borderId="0" xfId="0" applyFont="1" applyFill="1" applyBorder="1" applyProtection="1">
      <protection locked="0"/>
    </xf>
    <xf numFmtId="0" fontId="51" fillId="0" borderId="8" xfId="0" applyFont="1" applyFill="1" applyBorder="1" applyProtection="1">
      <protection locked="0"/>
    </xf>
    <xf numFmtId="0" fontId="51" fillId="0" borderId="4" xfId="0" applyFont="1" applyBorder="1" applyAlignment="1" applyProtection="1">
      <alignment vertical="center"/>
      <protection locked="0"/>
    </xf>
    <xf numFmtId="0" fontId="51" fillId="0" borderId="5" xfId="0" applyFont="1" applyFill="1" applyBorder="1" applyAlignment="1" applyProtection="1">
      <alignment vertical="center"/>
      <protection locked="0"/>
    </xf>
    <xf numFmtId="0" fontId="51" fillId="0" borderId="0" xfId="0" applyFont="1" applyFill="1" applyProtection="1">
      <protection locked="0"/>
    </xf>
    <xf numFmtId="0" fontId="58" fillId="0" borderId="12" xfId="0" applyFont="1" applyBorder="1" applyAlignment="1" applyProtection="1">
      <alignment horizontal="center"/>
      <protection locked="0"/>
    </xf>
    <xf numFmtId="0" fontId="58" fillId="0" borderId="11" xfId="0" applyFont="1" applyBorder="1" applyAlignment="1" applyProtection="1">
      <alignment horizontal="center"/>
      <protection locked="0"/>
    </xf>
    <xf numFmtId="0" fontId="58" fillId="0" borderId="14" xfId="0" applyFont="1" applyBorder="1" applyAlignment="1" applyProtection="1">
      <alignment horizontal="center"/>
      <protection locked="0"/>
    </xf>
    <xf numFmtId="3" fontId="58" fillId="0" borderId="0" xfId="0" applyNumberFormat="1" applyFont="1" applyFill="1" applyBorder="1" applyAlignment="1" applyProtection="1">
      <alignment vertical="center"/>
      <protection locked="0"/>
    </xf>
    <xf numFmtId="0" fontId="124" fillId="0" borderId="9" xfId="0" applyFont="1" applyBorder="1" applyAlignment="1" applyProtection="1">
      <alignment horizontal="left" vertical="center"/>
      <protection locked="0"/>
    </xf>
    <xf numFmtId="0" fontId="124" fillId="0" borderId="0" xfId="0" applyFont="1" applyBorder="1" applyAlignment="1" applyProtection="1">
      <alignment horizontal="left" vertical="center"/>
      <protection locked="0"/>
    </xf>
    <xf numFmtId="3" fontId="58" fillId="0" borderId="0" xfId="0" applyNumberFormat="1" applyFont="1" applyFill="1" applyBorder="1" applyAlignment="1" applyProtection="1">
      <alignment horizontal="center" vertical="center"/>
      <protection locked="0"/>
    </xf>
    <xf numFmtId="164" fontId="58" fillId="0" borderId="0" xfId="1" applyNumberFormat="1" applyFont="1" applyFill="1" applyBorder="1" applyAlignment="1" applyProtection="1">
      <alignment horizontal="center" vertical="center"/>
      <protection locked="0"/>
    </xf>
    <xf numFmtId="164" fontId="58" fillId="0" borderId="8" xfId="1" applyNumberFormat="1" applyFont="1" applyFill="1" applyBorder="1" applyAlignment="1" applyProtection="1">
      <alignment horizontal="center" vertical="center"/>
      <protection locked="0"/>
    </xf>
    <xf numFmtId="3" fontId="58" fillId="0" borderId="0" xfId="0" applyNumberFormat="1" applyFont="1" applyBorder="1" applyAlignment="1" applyProtection="1">
      <alignment vertical="center"/>
      <protection locked="0"/>
    </xf>
    <xf numFmtId="3" fontId="58" fillId="0" borderId="0" xfId="0" applyNumberFormat="1" applyFont="1" applyBorder="1" applyAlignment="1" applyProtection="1">
      <alignment horizontal="center" vertical="center"/>
      <protection locked="0"/>
    </xf>
    <xf numFmtId="164" fontId="58" fillId="0" borderId="0" xfId="1" applyNumberFormat="1" applyFont="1" applyBorder="1" applyAlignment="1" applyProtection="1">
      <alignment horizontal="center" vertical="center"/>
      <protection locked="0"/>
    </xf>
    <xf numFmtId="164" fontId="58" fillId="0" borderId="8" xfId="1" applyNumberFormat="1" applyFont="1" applyBorder="1" applyAlignment="1" applyProtection="1">
      <alignment horizontal="center" vertical="center"/>
      <protection locked="0"/>
    </xf>
    <xf numFmtId="164" fontId="58" fillId="0" borderId="0" xfId="0" applyNumberFormat="1" applyFont="1" applyBorder="1" applyAlignment="1" applyProtection="1">
      <alignment horizontal="center" vertical="center"/>
      <protection locked="0"/>
    </xf>
    <xf numFmtId="164" fontId="58" fillId="0" borderId="8" xfId="0" applyNumberFormat="1" applyFont="1" applyBorder="1" applyAlignment="1" applyProtection="1">
      <alignment horizontal="center" vertical="center"/>
      <protection locked="0"/>
    </xf>
    <xf numFmtId="0" fontId="51" fillId="0" borderId="0" xfId="0" applyFont="1" applyBorder="1" applyAlignment="1" applyProtection="1">
      <alignment vertical="center" wrapText="1"/>
      <protection locked="0"/>
    </xf>
    <xf numFmtId="0" fontId="51" fillId="0" borderId="9" xfId="0" applyFont="1" applyBorder="1" applyAlignment="1" applyProtection="1">
      <alignment horizontal="left" vertical="center" wrapText="1"/>
      <protection locked="0"/>
    </xf>
    <xf numFmtId="0" fontId="51" fillId="0" borderId="0" xfId="0" applyFont="1" applyBorder="1" applyAlignment="1" applyProtection="1">
      <alignment horizontal="left" vertical="center" wrapText="1"/>
      <protection locked="0"/>
    </xf>
    <xf numFmtId="0" fontId="124" fillId="0" borderId="13" xfId="0" applyFont="1" applyBorder="1" applyAlignment="1" applyProtection="1">
      <alignment horizontal="left" vertical="center"/>
      <protection locked="0"/>
    </xf>
    <xf numFmtId="0" fontId="124" fillId="0" borderId="7" xfId="0" applyFont="1" applyBorder="1" applyAlignment="1" applyProtection="1">
      <alignment horizontal="left" vertical="center"/>
      <protection locked="0"/>
    </xf>
    <xf numFmtId="3" fontId="58" fillId="0" borderId="7" xfId="0" applyNumberFormat="1" applyFont="1" applyBorder="1" applyAlignment="1" applyProtection="1">
      <alignment horizontal="center" vertical="center"/>
      <protection locked="0"/>
    </xf>
    <xf numFmtId="3" fontId="58" fillId="0" borderId="5" xfId="0" applyNumberFormat="1" applyFont="1" applyBorder="1" applyAlignment="1" applyProtection="1">
      <alignment horizontal="center" vertical="center"/>
      <protection locked="0"/>
    </xf>
    <xf numFmtId="3" fontId="58" fillId="0" borderId="6" xfId="0" applyNumberFormat="1" applyFont="1" applyBorder="1" applyAlignment="1" applyProtection="1">
      <alignment horizontal="center" vertical="center"/>
      <protection locked="0"/>
    </xf>
    <xf numFmtId="0" fontId="51" fillId="0" borderId="12" xfId="0" applyFont="1" applyBorder="1" applyProtection="1">
      <protection locked="0"/>
    </xf>
    <xf numFmtId="0" fontId="51" fillId="0" borderId="0" xfId="0" applyFont="1" applyFill="1" applyAlignment="1" applyProtection="1">
      <alignment horizontal="center" vertical="center"/>
      <protection locked="0"/>
    </xf>
    <xf numFmtId="0" fontId="125" fillId="0" borderId="0" xfId="0" applyFont="1" applyProtection="1">
      <protection locked="0"/>
    </xf>
    <xf numFmtId="0" fontId="69" fillId="0" borderId="0" xfId="0" applyFont="1" applyProtection="1">
      <protection locked="0"/>
    </xf>
    <xf numFmtId="0" fontId="6" fillId="6" borderId="7" xfId="0" applyNumberFormat="1" applyFont="1" applyFill="1" applyBorder="1" applyAlignment="1" applyProtection="1">
      <alignment horizontal="left"/>
      <protection hidden="1"/>
    </xf>
    <xf numFmtId="49" fontId="79" fillId="0" borderId="34" xfId="2" applyNumberFormat="1" applyFont="1" applyBorder="1" applyAlignment="1" applyProtection="1">
      <alignment horizontal="center"/>
      <protection hidden="1"/>
    </xf>
    <xf numFmtId="49" fontId="79" fillId="0" borderId="35" xfId="2" applyNumberFormat="1" applyFont="1" applyBorder="1" applyAlignment="1" applyProtection="1">
      <alignment horizontal="center"/>
      <protection hidden="1"/>
    </xf>
    <xf numFmtId="49" fontId="79" fillId="0" borderId="31" xfId="2" applyNumberFormat="1" applyFont="1" applyBorder="1" applyAlignment="1" applyProtection="1">
      <alignment horizontal="center"/>
      <protection hidden="1"/>
    </xf>
    <xf numFmtId="49" fontId="48" fillId="0" borderId="70" xfId="2" applyNumberFormat="1" applyFont="1" applyFill="1" applyBorder="1" applyAlignment="1" applyProtection="1">
      <alignment horizontal="center" vertical="justify" wrapText="1"/>
      <protection hidden="1"/>
    </xf>
    <xf numFmtId="49" fontId="48" fillId="0" borderId="72" xfId="2" applyNumberFormat="1" applyFont="1" applyFill="1" applyBorder="1" applyAlignment="1" applyProtection="1">
      <alignment horizontal="center" vertical="justify"/>
      <protection hidden="1"/>
    </xf>
    <xf numFmtId="49" fontId="48" fillId="0" borderId="61" xfId="2" applyNumberFormat="1" applyFont="1" applyFill="1" applyBorder="1" applyAlignment="1" applyProtection="1">
      <alignment horizontal="center" vertical="justify"/>
      <protection hidden="1"/>
    </xf>
    <xf numFmtId="0" fontId="82" fillId="26" borderId="0" xfId="21" applyFont="1" applyFill="1" applyAlignment="1">
      <alignment horizontal="center"/>
    </xf>
    <xf numFmtId="0" fontId="84" fillId="26" borderId="0" xfId="21" applyFont="1" applyFill="1" applyAlignment="1">
      <alignment horizontal="center"/>
    </xf>
    <xf numFmtId="3" fontId="11" fillId="16" borderId="5" xfId="2" applyNumberFormat="1" applyFont="1" applyFill="1" applyBorder="1" applyAlignment="1" applyProtection="1">
      <alignment horizontal="left"/>
      <protection locked="0"/>
    </xf>
    <xf numFmtId="0" fontId="71" fillId="0" borderId="0" xfId="0" applyFont="1" applyAlignment="1">
      <alignment horizontal="center" vertical="center"/>
    </xf>
    <xf numFmtId="0" fontId="71" fillId="0" borderId="0" xfId="0" applyFont="1" applyAlignment="1">
      <alignment horizontal="left" vertical="center" wrapText="1"/>
    </xf>
    <xf numFmtId="0" fontId="78" fillId="0" borderId="0" xfId="0" applyFont="1" applyAlignment="1">
      <alignment horizontal="left" vertical="center"/>
    </xf>
    <xf numFmtId="0" fontId="2" fillId="0" borderId="0" xfId="0" applyFont="1" applyAlignment="1">
      <alignment horizontal="center"/>
    </xf>
    <xf numFmtId="164" fontId="14" fillId="5" borderId="4" xfId="1" applyNumberFormat="1" applyFont="1" applyFill="1" applyBorder="1" applyAlignment="1" applyProtection="1">
      <alignment horizontal="center" vertical="center"/>
      <protection hidden="1"/>
    </xf>
    <xf numFmtId="164" fontId="14" fillId="5" borderId="6" xfId="1" applyNumberFormat="1" applyFont="1" applyFill="1" applyBorder="1" applyAlignment="1" applyProtection="1">
      <alignment horizontal="center" vertical="center"/>
      <protection hidden="1"/>
    </xf>
    <xf numFmtId="0" fontId="65" fillId="2" borderId="4" xfId="0" applyFont="1" applyFill="1" applyBorder="1" applyAlignment="1" applyProtection="1">
      <alignment horizontal="center" vertical="center"/>
      <protection hidden="1"/>
    </xf>
    <xf numFmtId="0" fontId="65" fillId="2" borderId="5" xfId="0" applyFont="1" applyFill="1" applyBorder="1" applyAlignment="1" applyProtection="1">
      <alignment horizontal="center" vertical="center"/>
      <protection hidden="1"/>
    </xf>
    <xf numFmtId="0" fontId="65" fillId="2" borderId="6" xfId="0" applyFont="1" applyFill="1" applyBorder="1" applyAlignment="1" applyProtection="1">
      <alignment horizontal="center" vertical="center"/>
      <protection hidden="1"/>
    </xf>
    <xf numFmtId="0" fontId="14" fillId="5" borderId="2" xfId="0" applyNumberFormat="1" applyFont="1" applyFill="1" applyBorder="1" applyAlignment="1" applyProtection="1">
      <alignment horizontal="left" vertical="center"/>
      <protection hidden="1"/>
    </xf>
    <xf numFmtId="0" fontId="14" fillId="5" borderId="20" xfId="0" applyNumberFormat="1" applyFont="1" applyFill="1" applyBorder="1" applyAlignment="1" applyProtection="1">
      <alignment horizontal="left" vertical="center"/>
      <protection hidden="1"/>
    </xf>
    <xf numFmtId="0" fontId="14" fillId="5" borderId="2" xfId="0" applyFont="1" applyFill="1" applyBorder="1" applyAlignment="1" applyProtection="1">
      <alignment horizontal="center" vertical="center"/>
      <protection hidden="1"/>
    </xf>
    <xf numFmtId="0" fontId="14" fillId="5" borderId="20" xfId="0" applyFont="1" applyFill="1" applyBorder="1" applyAlignment="1" applyProtection="1">
      <alignment horizontal="center" vertical="center"/>
      <protection hidden="1"/>
    </xf>
    <xf numFmtId="0" fontId="48" fillId="0" borderId="1" xfId="2" applyNumberFormat="1" applyFont="1" applyBorder="1" applyAlignment="1" applyProtection="1">
      <alignment horizontal="left"/>
      <protection hidden="1"/>
    </xf>
    <xf numFmtId="0" fontId="24" fillId="0" borderId="74" xfId="2" applyNumberFormat="1" applyFont="1" applyBorder="1" applyAlignment="1" applyProtection="1">
      <protection locked="0"/>
    </xf>
    <xf numFmtId="0" fontId="48" fillId="0" borderId="40" xfId="2" applyNumberFormat="1" applyFont="1" applyBorder="1" applyAlignment="1" applyProtection="1">
      <protection locked="0"/>
    </xf>
    <xf numFmtId="0" fontId="48" fillId="0" borderId="41" xfId="2" applyNumberFormat="1" applyFont="1" applyBorder="1" applyAlignment="1" applyProtection="1">
      <protection locked="0"/>
    </xf>
    <xf numFmtId="0" fontId="70" fillId="0" borderId="4" xfId="2" applyNumberFormat="1" applyFont="1" applyBorder="1" applyAlignment="1" applyProtection="1">
      <alignment horizontal="center"/>
      <protection hidden="1"/>
    </xf>
    <xf numFmtId="0" fontId="70" fillId="0" borderId="5" xfId="2" applyNumberFormat="1" applyFont="1" applyBorder="1" applyAlignment="1" applyProtection="1">
      <alignment horizontal="center"/>
      <protection hidden="1"/>
    </xf>
    <xf numFmtId="0" fontId="70" fillId="0" borderId="6" xfId="2" applyNumberFormat="1" applyFont="1" applyBorder="1" applyAlignment="1" applyProtection="1">
      <alignment horizontal="center"/>
      <protection hidden="1"/>
    </xf>
    <xf numFmtId="0" fontId="47" fillId="0" borderId="9" xfId="2" applyNumberFormat="1" applyFont="1" applyBorder="1" applyAlignment="1" applyProtection="1">
      <alignment horizontal="center" vertical="center"/>
      <protection locked="0"/>
    </xf>
    <xf numFmtId="0" fontId="47" fillId="0" borderId="8" xfId="2" applyNumberFormat="1" applyFont="1" applyBorder="1" applyAlignment="1" applyProtection="1">
      <alignment horizontal="center" vertical="center"/>
      <protection locked="0"/>
    </xf>
    <xf numFmtId="0" fontId="23" fillId="0" borderId="90" xfId="2" applyNumberFormat="1" applyFont="1" applyBorder="1" applyAlignment="1" applyProtection="1">
      <alignment horizontal="center"/>
      <protection locked="0"/>
    </xf>
    <xf numFmtId="0" fontId="23" fillId="0" borderId="89" xfId="2" applyNumberFormat="1" applyFont="1" applyBorder="1" applyAlignment="1" applyProtection="1">
      <alignment horizontal="center"/>
      <protection locked="0"/>
    </xf>
    <xf numFmtId="0" fontId="11" fillId="11" borderId="4" xfId="2" applyNumberFormat="1" applyFont="1" applyFill="1" applyBorder="1" applyAlignment="1" applyProtection="1">
      <alignment horizontal="right"/>
      <protection locked="0"/>
    </xf>
    <xf numFmtId="0" fontId="11" fillId="11" borderId="5" xfId="2" applyNumberFormat="1" applyFont="1" applyFill="1" applyBorder="1" applyAlignment="1" applyProtection="1">
      <alignment horizontal="right"/>
      <protection locked="0"/>
    </xf>
    <xf numFmtId="0" fontId="11" fillId="11" borderId="6" xfId="2" applyNumberFormat="1" applyFont="1" applyFill="1" applyBorder="1" applyAlignment="1" applyProtection="1">
      <alignment horizontal="right"/>
      <protection locked="0"/>
    </xf>
    <xf numFmtId="0" fontId="47" fillId="0" borderId="46" xfId="2" applyNumberFormat="1" applyFont="1" applyBorder="1" applyAlignment="1" applyProtection="1">
      <alignment horizontal="center" vertical="center"/>
      <protection locked="0"/>
    </xf>
    <xf numFmtId="0" fontId="47" fillId="0" borderId="47" xfId="2" applyNumberFormat="1" applyFont="1" applyBorder="1" applyAlignment="1" applyProtection="1">
      <alignment horizontal="center" vertical="center"/>
      <protection locked="0"/>
    </xf>
    <xf numFmtId="0" fontId="11" fillId="11" borderId="46" xfId="2" applyNumberFormat="1" applyFont="1" applyFill="1" applyBorder="1" applyAlignment="1" applyProtection="1">
      <alignment horizontal="right"/>
      <protection locked="0"/>
    </xf>
    <xf numFmtId="0" fontId="11" fillId="11" borderId="38" xfId="2" applyNumberFormat="1" applyFont="1" applyFill="1" applyBorder="1" applyAlignment="1" applyProtection="1">
      <alignment horizontal="right"/>
      <protection locked="0"/>
    </xf>
    <xf numFmtId="0" fontId="11" fillId="11" borderId="47" xfId="2" applyNumberFormat="1" applyFont="1" applyFill="1" applyBorder="1" applyAlignment="1" applyProtection="1">
      <alignment horizontal="right"/>
      <protection locked="0"/>
    </xf>
    <xf numFmtId="0" fontId="23" fillId="0" borderId="50" xfId="2" applyNumberFormat="1" applyFont="1" applyBorder="1" applyAlignment="1" applyProtection="1">
      <alignment horizontal="center" vertical="center"/>
      <protection locked="0"/>
    </xf>
    <xf numFmtId="0" fontId="10" fillId="0" borderId="49" xfId="2" applyNumberFormat="1" applyBorder="1" applyAlignment="1" applyProtection="1">
      <alignment vertical="center"/>
      <protection locked="0"/>
    </xf>
    <xf numFmtId="0" fontId="10" fillId="0" borderId="51" xfId="2" applyNumberFormat="1" applyBorder="1" applyAlignment="1" applyProtection="1">
      <alignment vertical="center"/>
      <protection locked="0"/>
    </xf>
    <xf numFmtId="0" fontId="47" fillId="0" borderId="9" xfId="2" applyNumberFormat="1" applyFont="1" applyBorder="1" applyAlignment="1" applyProtection="1">
      <alignment horizontal="center"/>
      <protection locked="0"/>
    </xf>
    <xf numFmtId="0" fontId="47" fillId="0" borderId="8" xfId="2" applyNumberFormat="1" applyFont="1" applyBorder="1" applyAlignment="1" applyProtection="1">
      <alignment horizontal="center"/>
      <protection locked="0"/>
    </xf>
    <xf numFmtId="0" fontId="23" fillId="0" borderId="50" xfId="2" applyNumberFormat="1" applyFont="1" applyBorder="1" applyAlignment="1" applyProtection="1">
      <alignment horizontal="center"/>
      <protection locked="0"/>
    </xf>
    <xf numFmtId="0" fontId="10" fillId="0" borderId="51" xfId="2" applyNumberFormat="1" applyBorder="1" applyProtection="1">
      <protection locked="0"/>
    </xf>
    <xf numFmtId="0" fontId="23" fillId="0" borderId="4" xfId="2" applyNumberFormat="1" applyFont="1" applyBorder="1" applyAlignment="1" applyProtection="1">
      <alignment horizontal="center"/>
      <protection locked="0"/>
    </xf>
    <xf numFmtId="0" fontId="23" fillId="0" borderId="6" xfId="2" applyNumberFormat="1" applyFont="1" applyBorder="1" applyAlignment="1" applyProtection="1">
      <alignment horizontal="center"/>
      <protection locked="0"/>
    </xf>
    <xf numFmtId="0" fontId="64" fillId="0" borderId="20" xfId="2" applyNumberFormat="1" applyFont="1" applyBorder="1" applyAlignment="1" applyProtection="1">
      <alignment horizontal="center" vertical="center"/>
      <protection locked="0"/>
    </xf>
    <xf numFmtId="0" fontId="64" fillId="0" borderId="9" xfId="2" applyNumberFormat="1" applyFont="1" applyBorder="1" applyAlignment="1" applyProtection="1">
      <alignment horizontal="center" vertical="center"/>
      <protection locked="0"/>
    </xf>
    <xf numFmtId="0" fontId="24" fillId="0" borderId="74" xfId="2" applyNumberFormat="1" applyFont="1" applyBorder="1" applyAlignment="1" applyProtection="1">
      <protection hidden="1"/>
    </xf>
    <xf numFmtId="0" fontId="48" fillId="0" borderId="40" xfId="2" applyNumberFormat="1" applyFont="1" applyBorder="1" applyAlignment="1" applyProtection="1">
      <protection hidden="1"/>
    </xf>
    <xf numFmtId="0" fontId="48" fillId="0" borderId="41" xfId="2" applyNumberFormat="1" applyFont="1" applyBorder="1" applyAlignment="1" applyProtection="1">
      <protection hidden="1"/>
    </xf>
    <xf numFmtId="0" fontId="48" fillId="0" borderId="40" xfId="2" applyNumberFormat="1" applyFont="1" applyBorder="1" applyAlignment="1" applyProtection="1">
      <alignment horizontal="right"/>
      <protection hidden="1"/>
    </xf>
    <xf numFmtId="0" fontId="48" fillId="0" borderId="41" xfId="2" applyNumberFormat="1" applyFont="1" applyBorder="1" applyAlignment="1" applyProtection="1">
      <alignment horizontal="right"/>
      <protection hidden="1"/>
    </xf>
    <xf numFmtId="0" fontId="48" fillId="0" borderId="91" xfId="2" applyNumberFormat="1" applyFont="1" applyBorder="1" applyAlignment="1" applyProtection="1">
      <alignment horizontal="right"/>
      <protection hidden="1"/>
    </xf>
    <xf numFmtId="0" fontId="23" fillId="0" borderId="24" xfId="2" applyNumberFormat="1" applyFont="1" applyBorder="1" applyAlignment="1" applyProtection="1">
      <alignment horizontal="center"/>
      <protection locked="0"/>
    </xf>
    <xf numFmtId="0" fontId="23" fillId="0" borderId="37" xfId="2" applyNumberFormat="1" applyFont="1" applyBorder="1" applyAlignment="1" applyProtection="1">
      <alignment horizontal="center"/>
      <protection locked="0"/>
    </xf>
    <xf numFmtId="0" fontId="15" fillId="3" borderId="9" xfId="0" applyFont="1" applyFill="1" applyBorder="1" applyAlignment="1" applyProtection="1">
      <alignment horizontal="center"/>
      <protection hidden="1"/>
    </xf>
    <xf numFmtId="0" fontId="15" fillId="3" borderId="13" xfId="0" applyFont="1" applyFill="1" applyBorder="1" applyAlignment="1" applyProtection="1">
      <alignment horizontal="center"/>
      <protection hidden="1"/>
    </xf>
    <xf numFmtId="0" fontId="31" fillId="3" borderId="9" xfId="0" applyFont="1" applyFill="1" applyBorder="1" applyAlignment="1" applyProtection="1">
      <alignment horizontal="center"/>
      <protection hidden="1"/>
    </xf>
    <xf numFmtId="0" fontId="31" fillId="3" borderId="0" xfId="0" applyFont="1" applyFill="1" applyBorder="1" applyAlignment="1" applyProtection="1">
      <alignment horizontal="center"/>
      <protection hidden="1"/>
    </xf>
    <xf numFmtId="0" fontId="31" fillId="3" borderId="8" xfId="0" applyFont="1" applyFill="1" applyBorder="1" applyAlignment="1" applyProtection="1">
      <alignment horizontal="center"/>
      <protection hidden="1"/>
    </xf>
    <xf numFmtId="3" fontId="15" fillId="3" borderId="12" xfId="0" applyNumberFormat="1" applyFont="1" applyFill="1" applyBorder="1" applyAlignment="1" applyProtection="1">
      <alignment horizontal="center"/>
      <protection hidden="1"/>
    </xf>
    <xf numFmtId="3" fontId="15" fillId="3" borderId="11" xfId="0" applyNumberFormat="1" applyFont="1" applyFill="1" applyBorder="1" applyAlignment="1" applyProtection="1">
      <alignment horizontal="center"/>
      <protection hidden="1"/>
    </xf>
    <xf numFmtId="3" fontId="15" fillId="3" borderId="14" xfId="0" applyNumberFormat="1" applyFont="1" applyFill="1" applyBorder="1" applyAlignment="1" applyProtection="1">
      <alignment horizontal="center"/>
      <protection hidden="1"/>
    </xf>
    <xf numFmtId="3" fontId="15" fillId="3" borderId="9" xfId="0" applyNumberFormat="1" applyFont="1" applyFill="1" applyBorder="1" applyAlignment="1" applyProtection="1">
      <alignment horizontal="center"/>
      <protection hidden="1"/>
    </xf>
    <xf numFmtId="3" fontId="15" fillId="3" borderId="0" xfId="0" applyNumberFormat="1" applyFont="1" applyFill="1" applyBorder="1" applyAlignment="1" applyProtection="1">
      <alignment horizontal="center"/>
      <protection hidden="1"/>
    </xf>
    <xf numFmtId="3" fontId="15" fillId="3" borderId="8" xfId="0" applyNumberFormat="1" applyFont="1" applyFill="1" applyBorder="1" applyAlignment="1" applyProtection="1">
      <alignment horizontal="center"/>
      <protection hidden="1"/>
    </xf>
    <xf numFmtId="3" fontId="15" fillId="4" borderId="9" xfId="0" applyNumberFormat="1" applyFont="1" applyFill="1" applyBorder="1" applyAlignment="1" applyProtection="1">
      <alignment horizontal="center"/>
      <protection hidden="1"/>
    </xf>
    <xf numFmtId="3" fontId="15" fillId="4" borderId="0" xfId="0" applyNumberFormat="1" applyFont="1" applyFill="1" applyBorder="1" applyAlignment="1" applyProtection="1">
      <alignment horizontal="center"/>
      <protection hidden="1"/>
    </xf>
    <xf numFmtId="3" fontId="15" fillId="4" borderId="8" xfId="0" applyNumberFormat="1" applyFont="1" applyFill="1" applyBorder="1" applyAlignment="1" applyProtection="1">
      <alignment horizontal="center"/>
      <protection hidden="1"/>
    </xf>
    <xf numFmtId="0" fontId="15" fillId="3" borderId="9" xfId="0" applyFont="1" applyFill="1" applyBorder="1" applyAlignment="1" applyProtection="1">
      <alignment horizontal="right"/>
      <protection hidden="1"/>
    </xf>
    <xf numFmtId="0" fontId="15" fillId="3" borderId="0" xfId="0" applyFont="1" applyFill="1" applyBorder="1" applyAlignment="1" applyProtection="1">
      <alignment horizontal="right"/>
      <protection hidden="1"/>
    </xf>
    <xf numFmtId="0" fontId="29" fillId="3" borderId="9" xfId="0" applyFont="1" applyFill="1" applyBorder="1" applyAlignment="1" applyProtection="1">
      <alignment horizontal="center"/>
      <protection hidden="1"/>
    </xf>
    <xf numFmtId="0" fontId="29" fillId="3" borderId="0" xfId="0" applyFont="1" applyFill="1" applyBorder="1" applyAlignment="1" applyProtection="1">
      <alignment horizontal="center"/>
      <protection hidden="1"/>
    </xf>
    <xf numFmtId="0" fontId="29" fillId="3" borderId="8" xfId="0" applyFont="1" applyFill="1" applyBorder="1" applyAlignment="1" applyProtection="1">
      <alignment horizontal="center"/>
      <protection hidden="1"/>
    </xf>
    <xf numFmtId="0" fontId="3" fillId="4" borderId="13" xfId="0" applyFont="1" applyFill="1" applyBorder="1" applyAlignment="1" applyProtection="1">
      <alignment horizontal="right"/>
      <protection hidden="1"/>
    </xf>
    <xf numFmtId="0" fontId="3" fillId="4" borderId="7" xfId="0" applyFont="1" applyFill="1" applyBorder="1" applyAlignment="1" applyProtection="1">
      <alignment horizontal="right"/>
      <protection hidden="1"/>
    </xf>
    <xf numFmtId="3" fontId="3" fillId="4" borderId="7" xfId="0" applyNumberFormat="1" applyFont="1" applyFill="1" applyBorder="1" applyAlignment="1" applyProtection="1">
      <alignment horizontal="left"/>
      <protection hidden="1"/>
    </xf>
    <xf numFmtId="0" fontId="3" fillId="4" borderId="7" xfId="0" applyFont="1" applyFill="1" applyBorder="1" applyAlignment="1" applyProtection="1">
      <alignment horizontal="left"/>
      <protection hidden="1"/>
    </xf>
    <xf numFmtId="0" fontId="3" fillId="4" borderId="10" xfId="0" applyFont="1" applyFill="1" applyBorder="1" applyAlignment="1" applyProtection="1">
      <alignment horizontal="left"/>
      <protection hidden="1"/>
    </xf>
    <xf numFmtId="0" fontId="3" fillId="4" borderId="7" xfId="0" applyNumberFormat="1" applyFont="1" applyFill="1" applyBorder="1" applyAlignment="1" applyProtection="1">
      <alignment horizontal="left"/>
      <protection hidden="1"/>
    </xf>
    <xf numFmtId="0" fontId="3" fillId="4" borderId="10" xfId="0" applyNumberFormat="1" applyFont="1" applyFill="1" applyBorder="1" applyAlignment="1" applyProtection="1">
      <alignment horizontal="left"/>
      <protection hidden="1"/>
    </xf>
    <xf numFmtId="0" fontId="3" fillId="0" borderId="9" xfId="0" applyFont="1" applyFill="1" applyBorder="1" applyAlignment="1" applyProtection="1">
      <alignment horizontal="center"/>
      <protection hidden="1"/>
    </xf>
    <xf numFmtId="0" fontId="3" fillId="0" borderId="0" xfId="0" applyFont="1" applyFill="1" applyBorder="1" applyAlignment="1" applyProtection="1">
      <alignment horizontal="center"/>
      <protection hidden="1"/>
    </xf>
    <xf numFmtId="0" fontId="3" fillId="0" borderId="8" xfId="0" applyFont="1" applyFill="1" applyBorder="1" applyAlignment="1" applyProtection="1">
      <alignment horizontal="center"/>
      <protection hidden="1"/>
    </xf>
    <xf numFmtId="0" fontId="15" fillId="3" borderId="8" xfId="0" applyFont="1" applyFill="1" applyBorder="1" applyAlignment="1" applyProtection="1">
      <alignment horizontal="center"/>
      <protection hidden="1"/>
    </xf>
    <xf numFmtId="0" fontId="15" fillId="3" borderId="10" xfId="0" applyFont="1" applyFill="1" applyBorder="1" applyAlignment="1" applyProtection="1">
      <alignment horizontal="center"/>
      <protection hidden="1"/>
    </xf>
    <xf numFmtId="0" fontId="2" fillId="3" borderId="9" xfId="0" applyFont="1" applyFill="1" applyBorder="1" applyAlignment="1" applyProtection="1">
      <alignment horizontal="center"/>
      <protection hidden="1"/>
    </xf>
    <xf numFmtId="0" fontId="2" fillId="3" borderId="0" xfId="0" applyFont="1" applyFill="1" applyBorder="1" applyAlignment="1" applyProtection="1">
      <alignment horizontal="center"/>
      <protection hidden="1"/>
    </xf>
    <xf numFmtId="0" fontId="2" fillId="3" borderId="8" xfId="0" applyFont="1" applyFill="1" applyBorder="1" applyAlignment="1" applyProtection="1">
      <alignment horizontal="center"/>
      <protection hidden="1"/>
    </xf>
    <xf numFmtId="0" fontId="2" fillId="3" borderId="13" xfId="0" applyFont="1" applyFill="1" applyBorder="1" applyAlignment="1" applyProtection="1">
      <alignment horizontal="center"/>
      <protection hidden="1"/>
    </xf>
    <xf numFmtId="0" fontId="2" fillId="3" borderId="7" xfId="0" applyFont="1" applyFill="1" applyBorder="1" applyAlignment="1" applyProtection="1">
      <alignment horizontal="center"/>
      <protection hidden="1"/>
    </xf>
    <xf numFmtId="0" fontId="2" fillId="3" borderId="10" xfId="0" applyFont="1" applyFill="1" applyBorder="1" applyAlignment="1" applyProtection="1">
      <alignment horizontal="center"/>
      <protection hidden="1"/>
    </xf>
    <xf numFmtId="0" fontId="2" fillId="3" borderId="1" xfId="0" applyFont="1" applyFill="1" applyBorder="1" applyAlignment="1" applyProtection="1">
      <alignment horizontal="left"/>
      <protection hidden="1"/>
    </xf>
    <xf numFmtId="0" fontId="0" fillId="3" borderId="1" xfId="0" applyFont="1" applyFill="1" applyBorder="1" applyAlignment="1" applyProtection="1">
      <alignment horizontal="center"/>
      <protection hidden="1"/>
    </xf>
    <xf numFmtId="0" fontId="0" fillId="3" borderId="1" xfId="0" applyFill="1" applyBorder="1" applyAlignment="1" applyProtection="1">
      <alignment horizontal="center"/>
      <protection locked="0"/>
    </xf>
    <xf numFmtId="0" fontId="3" fillId="8" borderId="4" xfId="0" applyFont="1" applyFill="1" applyBorder="1" applyAlignment="1" applyProtection="1">
      <alignment horizontal="center" vertical="center"/>
      <protection locked="0"/>
    </xf>
    <xf numFmtId="0" fontId="3" fillId="8" borderId="5" xfId="0" applyFont="1" applyFill="1" applyBorder="1" applyAlignment="1" applyProtection="1">
      <alignment horizontal="center" vertical="center"/>
      <protection locked="0"/>
    </xf>
    <xf numFmtId="0" fontId="2" fillId="3" borderId="0" xfId="0" applyFont="1" applyFill="1" applyAlignment="1" applyProtection="1">
      <alignment horizontal="center"/>
      <protection locked="0"/>
    </xf>
    <xf numFmtId="0" fontId="2" fillId="2" borderId="4" xfId="0" applyFont="1" applyFill="1" applyBorder="1" applyAlignment="1" applyProtection="1">
      <alignment horizontal="center"/>
      <protection locked="0"/>
    </xf>
    <xf numFmtId="0" fontId="2" fillId="2" borderId="5" xfId="0" applyFont="1" applyFill="1" applyBorder="1" applyAlignment="1" applyProtection="1">
      <alignment horizontal="center"/>
      <protection locked="0"/>
    </xf>
    <xf numFmtId="0" fontId="2" fillId="2" borderId="6" xfId="0" applyFont="1" applyFill="1" applyBorder="1" applyAlignment="1" applyProtection="1">
      <alignment horizontal="center"/>
      <protection locked="0"/>
    </xf>
    <xf numFmtId="3" fontId="6" fillId="6" borderId="11" xfId="0" applyNumberFormat="1" applyFont="1" applyFill="1" applyBorder="1" applyAlignment="1" applyProtection="1">
      <alignment vertical="top" wrapText="1"/>
      <protection locked="0"/>
    </xf>
    <xf numFmtId="0" fontId="6" fillId="6" borderId="11" xfId="0" applyFont="1" applyFill="1" applyBorder="1" applyAlignment="1" applyProtection="1">
      <alignment horizontal="center" vertical="top"/>
      <protection locked="0"/>
    </xf>
    <xf numFmtId="0" fontId="32" fillId="3" borderId="13" xfId="0" applyFont="1" applyFill="1" applyBorder="1" applyAlignment="1" applyProtection="1">
      <alignment horizontal="center" vertical="center"/>
      <protection hidden="1"/>
    </xf>
    <xf numFmtId="0" fontId="32" fillId="3" borderId="7" xfId="0" applyFont="1" applyFill="1" applyBorder="1" applyAlignment="1" applyProtection="1">
      <alignment horizontal="center" vertical="center"/>
      <protection hidden="1"/>
    </xf>
    <xf numFmtId="0" fontId="32" fillId="3" borderId="10" xfId="0" applyFont="1" applyFill="1" applyBorder="1" applyAlignment="1" applyProtection="1">
      <alignment horizontal="center" vertical="center"/>
      <protection hidden="1"/>
    </xf>
    <xf numFmtId="0" fontId="14" fillId="12" borderId="13" xfId="0" applyFont="1" applyFill="1" applyBorder="1" applyAlignment="1" applyProtection="1">
      <alignment horizontal="center"/>
      <protection hidden="1"/>
    </xf>
    <xf numFmtId="0" fontId="14" fillId="12" borderId="7" xfId="0" applyFont="1" applyFill="1" applyBorder="1" applyAlignment="1" applyProtection="1">
      <alignment horizontal="center"/>
      <protection hidden="1"/>
    </xf>
    <xf numFmtId="0" fontId="14" fillId="12" borderId="10" xfId="0" applyFont="1" applyFill="1" applyBorder="1" applyAlignment="1" applyProtection="1">
      <alignment horizontal="center"/>
      <protection hidden="1"/>
    </xf>
    <xf numFmtId="0" fontId="32" fillId="3" borderId="11" xfId="0" applyFont="1" applyFill="1" applyBorder="1" applyAlignment="1" applyProtection="1">
      <alignment horizontal="center"/>
      <protection hidden="1"/>
    </xf>
    <xf numFmtId="14" fontId="14" fillId="3" borderId="3" xfId="0" applyNumberFormat="1" applyFont="1" applyFill="1" applyBorder="1" applyAlignment="1" applyProtection="1">
      <alignment horizontal="left"/>
      <protection hidden="1"/>
    </xf>
    <xf numFmtId="0" fontId="14" fillId="3" borderId="3" xfId="0" applyFont="1" applyFill="1" applyBorder="1" applyAlignment="1" applyProtection="1">
      <alignment horizontal="left"/>
      <protection hidden="1"/>
    </xf>
    <xf numFmtId="3" fontId="14" fillId="12" borderId="13" xfId="0" applyNumberFormat="1" applyFont="1" applyFill="1" applyBorder="1" applyAlignment="1" applyProtection="1">
      <alignment horizontal="left"/>
      <protection hidden="1"/>
    </xf>
    <xf numFmtId="0" fontId="14" fillId="12" borderId="10" xfId="0" applyFont="1" applyFill="1" applyBorder="1" applyAlignment="1" applyProtection="1">
      <alignment horizontal="left"/>
      <protection hidden="1"/>
    </xf>
    <xf numFmtId="0" fontId="14" fillId="12" borderId="13" xfId="0" applyFont="1" applyFill="1" applyBorder="1" applyAlignment="1" applyProtection="1">
      <alignment horizontal="left"/>
      <protection hidden="1"/>
    </xf>
    <xf numFmtId="0" fontId="32" fillId="3" borderId="0" xfId="0" applyFont="1" applyFill="1" applyBorder="1" applyAlignment="1" applyProtection="1">
      <alignment horizontal="center"/>
      <protection hidden="1"/>
    </xf>
    <xf numFmtId="0" fontId="14" fillId="12" borderId="3" xfId="0" applyFont="1" applyFill="1" applyBorder="1" applyAlignment="1" applyProtection="1">
      <alignment horizontal="center"/>
      <protection hidden="1"/>
    </xf>
    <xf numFmtId="3" fontId="14" fillId="12" borderId="3" xfId="0" applyNumberFormat="1" applyFont="1" applyFill="1" applyBorder="1" applyAlignment="1" applyProtection="1">
      <alignment horizontal="left"/>
      <protection hidden="1"/>
    </xf>
    <xf numFmtId="0" fontId="14" fillId="12" borderId="3" xfId="0" applyFont="1" applyFill="1" applyBorder="1" applyAlignment="1" applyProtection="1">
      <alignment horizontal="left"/>
      <protection hidden="1"/>
    </xf>
    <xf numFmtId="167" fontId="14" fillId="12" borderId="3" xfId="0" applyNumberFormat="1" applyFont="1" applyFill="1" applyBorder="1" applyAlignment="1" applyProtection="1">
      <alignment horizontal="left"/>
      <protection hidden="1"/>
    </xf>
    <xf numFmtId="3" fontId="14" fillId="3" borderId="3" xfId="0" applyNumberFormat="1" applyFont="1" applyFill="1" applyBorder="1" applyAlignment="1" applyProtection="1">
      <alignment horizontal="left"/>
      <protection hidden="1"/>
    </xf>
    <xf numFmtId="0" fontId="32" fillId="3" borderId="8" xfId="0" applyFont="1" applyFill="1" applyBorder="1" applyAlignment="1" applyProtection="1">
      <alignment horizontal="center"/>
      <protection hidden="1"/>
    </xf>
    <xf numFmtId="0" fontId="14" fillId="3" borderId="12" xfId="0" applyFont="1" applyFill="1" applyBorder="1" applyAlignment="1" applyProtection="1">
      <alignment horizontal="left"/>
      <protection hidden="1"/>
    </xf>
    <xf numFmtId="0" fontId="14" fillId="3" borderId="11" xfId="0" applyFont="1" applyFill="1" applyBorder="1" applyAlignment="1" applyProtection="1">
      <alignment horizontal="left"/>
      <protection hidden="1"/>
    </xf>
    <xf numFmtId="3" fontId="14" fillId="3" borderId="11" xfId="0" applyNumberFormat="1" applyFont="1" applyFill="1" applyBorder="1" applyAlignment="1" applyProtection="1">
      <alignment horizontal="left"/>
      <protection hidden="1"/>
    </xf>
    <xf numFmtId="0" fontId="14" fillId="3" borderId="14" xfId="0" applyFont="1" applyFill="1" applyBorder="1" applyAlignment="1" applyProtection="1">
      <alignment horizontal="left"/>
      <protection hidden="1"/>
    </xf>
    <xf numFmtId="0" fontId="14" fillId="3" borderId="4" xfId="0" applyNumberFormat="1" applyFont="1" applyFill="1" applyBorder="1" applyAlignment="1" applyProtection="1">
      <alignment horizontal="left"/>
      <protection hidden="1"/>
    </xf>
    <xf numFmtId="0" fontId="14" fillId="3" borderId="6" xfId="0" applyNumberFormat="1" applyFont="1" applyFill="1" applyBorder="1" applyAlignment="1" applyProtection="1">
      <alignment horizontal="left"/>
      <protection hidden="1"/>
    </xf>
    <xf numFmtId="3" fontId="14" fillId="3" borderId="3" xfId="0" applyNumberFormat="1" applyFont="1" applyFill="1" applyBorder="1" applyAlignment="1" applyProtection="1">
      <alignment horizontal="center"/>
      <protection hidden="1"/>
    </xf>
    <xf numFmtId="0" fontId="14" fillId="3" borderId="3" xfId="0" applyFont="1" applyFill="1" applyBorder="1" applyAlignment="1" applyProtection="1">
      <alignment horizontal="center"/>
      <protection hidden="1"/>
    </xf>
    <xf numFmtId="0" fontId="0" fillId="3" borderId="0" xfId="0" applyFill="1" applyBorder="1" applyAlignment="1" applyProtection="1">
      <alignment horizontal="left"/>
      <protection hidden="1"/>
    </xf>
    <xf numFmtId="0" fontId="0" fillId="3" borderId="8" xfId="0" applyFill="1" applyBorder="1" applyAlignment="1" applyProtection="1">
      <alignment horizontal="left"/>
      <protection hidden="1"/>
    </xf>
    <xf numFmtId="0" fontId="0" fillId="3" borderId="0" xfId="0" applyFill="1" applyBorder="1" applyAlignment="1" applyProtection="1">
      <alignment horizontal="center"/>
      <protection hidden="1"/>
    </xf>
    <xf numFmtId="0" fontId="0" fillId="3" borderId="8" xfId="0" applyFill="1" applyBorder="1" applyAlignment="1" applyProtection="1">
      <alignment horizontal="center"/>
      <protection hidden="1"/>
    </xf>
    <xf numFmtId="0" fontId="0" fillId="3" borderId="4" xfId="0" applyFill="1" applyBorder="1" applyAlignment="1" applyProtection="1">
      <alignment horizontal="center"/>
      <protection hidden="1"/>
    </xf>
    <xf numFmtId="0" fontId="0" fillId="3" borderId="5" xfId="0" applyFill="1" applyBorder="1" applyAlignment="1" applyProtection="1">
      <alignment horizontal="center"/>
      <protection hidden="1"/>
    </xf>
    <xf numFmtId="0" fontId="0" fillId="3" borderId="9" xfId="0" applyFill="1" applyBorder="1" applyAlignment="1" applyProtection="1">
      <alignment horizontal="left"/>
      <protection hidden="1"/>
    </xf>
    <xf numFmtId="14" fontId="14" fillId="3" borderId="3" xfId="0" applyNumberFormat="1" applyFont="1" applyFill="1" applyBorder="1" applyAlignment="1" applyProtection="1">
      <alignment horizontal="center"/>
      <protection hidden="1"/>
    </xf>
    <xf numFmtId="0" fontId="32" fillId="3" borderId="0" xfId="0" applyFont="1" applyFill="1" applyBorder="1" applyAlignment="1" applyProtection="1">
      <alignment horizontal="center" vertical="center"/>
      <protection hidden="1"/>
    </xf>
    <xf numFmtId="0" fontId="32" fillId="3" borderId="8" xfId="0" applyFont="1" applyFill="1" applyBorder="1" applyAlignment="1" applyProtection="1">
      <alignment horizontal="center" vertical="center"/>
      <protection hidden="1"/>
    </xf>
    <xf numFmtId="0" fontId="4" fillId="12" borderId="13" xfId="0" applyFont="1" applyFill="1" applyBorder="1" applyAlignment="1" applyProtection="1">
      <alignment horizontal="left"/>
      <protection hidden="1"/>
    </xf>
    <xf numFmtId="0" fontId="4" fillId="12" borderId="7" xfId="0" applyFont="1" applyFill="1" applyBorder="1" applyAlignment="1" applyProtection="1">
      <alignment horizontal="left"/>
      <protection hidden="1"/>
    </xf>
    <xf numFmtId="0" fontId="4" fillId="12" borderId="10" xfId="0" applyFont="1" applyFill="1" applyBorder="1" applyAlignment="1" applyProtection="1">
      <alignment horizontal="left"/>
      <protection hidden="1"/>
    </xf>
    <xf numFmtId="0" fontId="32" fillId="3" borderId="12" xfId="0" applyFont="1" applyFill="1" applyBorder="1" applyAlignment="1" applyProtection="1">
      <alignment horizontal="center" vertical="top"/>
      <protection hidden="1"/>
    </xf>
    <xf numFmtId="0" fontId="32" fillId="3" borderId="11" xfId="0" applyFont="1" applyFill="1" applyBorder="1" applyAlignment="1" applyProtection="1">
      <alignment horizontal="center" vertical="top"/>
      <protection hidden="1"/>
    </xf>
    <xf numFmtId="0" fontId="32" fillId="3" borderId="14" xfId="0" applyFont="1" applyFill="1" applyBorder="1" applyAlignment="1" applyProtection="1">
      <alignment horizontal="center" vertical="top"/>
      <protection hidden="1"/>
    </xf>
    <xf numFmtId="0" fontId="32" fillId="3" borderId="9" xfId="0" applyFont="1" applyFill="1" applyBorder="1" applyAlignment="1" applyProtection="1">
      <alignment horizontal="center" vertical="top"/>
      <protection hidden="1"/>
    </xf>
    <xf numFmtId="0" fontId="32" fillId="3" borderId="0" xfId="0" applyFont="1" applyFill="1" applyBorder="1" applyAlignment="1" applyProtection="1">
      <alignment horizontal="center" vertical="top"/>
      <protection hidden="1"/>
    </xf>
    <xf numFmtId="0" fontId="32" fillId="3" borderId="8" xfId="0" applyFont="1" applyFill="1" applyBorder="1" applyAlignment="1" applyProtection="1">
      <alignment horizontal="center" vertical="top"/>
      <protection hidden="1"/>
    </xf>
    <xf numFmtId="0" fontId="32" fillId="3" borderId="13" xfId="0" applyFont="1" applyFill="1" applyBorder="1" applyAlignment="1" applyProtection="1">
      <alignment horizontal="center" vertical="top"/>
      <protection hidden="1"/>
    </xf>
    <xf numFmtId="0" fontId="32" fillId="3" borderId="7" xfId="0" applyFont="1" applyFill="1" applyBorder="1" applyAlignment="1" applyProtection="1">
      <alignment horizontal="center" vertical="top"/>
      <protection hidden="1"/>
    </xf>
    <xf numFmtId="0" fontId="32" fillId="3" borderId="10" xfId="0" applyFont="1" applyFill="1" applyBorder="1" applyAlignment="1" applyProtection="1">
      <alignment horizontal="center" vertical="top"/>
      <protection hidden="1"/>
    </xf>
    <xf numFmtId="0" fontId="0" fillId="3" borderId="9" xfId="0" applyFill="1" applyBorder="1" applyAlignment="1" applyProtection="1">
      <alignment horizontal="center"/>
      <protection hidden="1"/>
    </xf>
    <xf numFmtId="0" fontId="13" fillId="4" borderId="4" xfId="0" applyFont="1" applyFill="1" applyBorder="1" applyAlignment="1" applyProtection="1">
      <alignment horizontal="center" vertical="center"/>
      <protection hidden="1"/>
    </xf>
    <xf numFmtId="0" fontId="13" fillId="4" borderId="5" xfId="0" applyFont="1" applyFill="1" applyBorder="1" applyAlignment="1" applyProtection="1">
      <alignment horizontal="center" vertical="center"/>
      <protection hidden="1"/>
    </xf>
    <xf numFmtId="0" fontId="13" fillId="4" borderId="6" xfId="0" applyFont="1" applyFill="1" applyBorder="1" applyAlignment="1" applyProtection="1">
      <alignment horizontal="center" vertical="center"/>
      <protection hidden="1"/>
    </xf>
    <xf numFmtId="49" fontId="2" fillId="3" borderId="13" xfId="0" applyNumberFormat="1" applyFont="1" applyFill="1" applyBorder="1" applyAlignment="1" applyProtection="1">
      <alignment horizontal="center"/>
      <protection hidden="1"/>
    </xf>
    <xf numFmtId="0" fontId="2" fillId="3" borderId="10" xfId="0" applyNumberFormat="1" applyFont="1" applyFill="1" applyBorder="1" applyAlignment="1" applyProtection="1">
      <alignment horizontal="center"/>
      <protection hidden="1"/>
    </xf>
    <xf numFmtId="3" fontId="14" fillId="3" borderId="4" xfId="0" applyNumberFormat="1" applyFont="1" applyFill="1" applyBorder="1" applyAlignment="1" applyProtection="1">
      <alignment horizontal="left"/>
      <protection hidden="1"/>
    </xf>
    <xf numFmtId="0" fontId="14" fillId="3" borderId="5" xfId="0" applyFont="1" applyFill="1" applyBorder="1" applyAlignment="1" applyProtection="1">
      <alignment horizontal="left"/>
      <protection hidden="1"/>
    </xf>
    <xf numFmtId="0" fontId="14" fillId="3" borderId="6" xfId="0" applyFont="1" applyFill="1" applyBorder="1" applyAlignment="1" applyProtection="1">
      <alignment horizontal="left"/>
      <protection hidden="1"/>
    </xf>
    <xf numFmtId="0" fontId="14" fillId="3" borderId="5" xfId="0" applyFont="1" applyFill="1" applyBorder="1" applyAlignment="1" applyProtection="1">
      <alignment horizontal="right"/>
      <protection hidden="1"/>
    </xf>
    <xf numFmtId="0" fontId="12" fillId="12" borderId="13" xfId="3" applyFill="1" applyBorder="1" applyAlignment="1" applyProtection="1">
      <alignment horizontal="left"/>
      <protection hidden="1"/>
    </xf>
    <xf numFmtId="0" fontId="0" fillId="12" borderId="10" xfId="0" applyFill="1" applyBorder="1" applyAlignment="1" applyProtection="1">
      <alignment horizontal="left"/>
      <protection hidden="1"/>
    </xf>
    <xf numFmtId="3" fontId="14" fillId="3" borderId="13" xfId="0" applyNumberFormat="1" applyFont="1" applyFill="1" applyBorder="1" applyAlignment="1" applyProtection="1">
      <alignment horizontal="center"/>
      <protection hidden="1"/>
    </xf>
    <xf numFmtId="0" fontId="14" fillId="3" borderId="10" xfId="0" applyFont="1" applyFill="1" applyBorder="1" applyAlignment="1" applyProtection="1">
      <alignment horizontal="center"/>
      <protection hidden="1"/>
    </xf>
    <xf numFmtId="49" fontId="14" fillId="3" borderId="13" xfId="0" applyNumberFormat="1" applyFont="1" applyFill="1" applyBorder="1" applyAlignment="1" applyProtection="1">
      <alignment horizontal="center"/>
      <protection hidden="1"/>
    </xf>
    <xf numFmtId="0" fontId="14" fillId="3" borderId="10" xfId="0" applyNumberFormat="1" applyFont="1" applyFill="1" applyBorder="1" applyAlignment="1" applyProtection="1">
      <alignment horizontal="center"/>
      <protection hidden="1"/>
    </xf>
    <xf numFmtId="49" fontId="4" fillId="12" borderId="13" xfId="0" applyNumberFormat="1" applyFont="1" applyFill="1" applyBorder="1" applyAlignment="1" applyProtection="1">
      <alignment horizontal="left"/>
      <protection hidden="1"/>
    </xf>
    <xf numFmtId="0" fontId="32" fillId="3" borderId="5" xfId="0" applyFont="1" applyFill="1" applyBorder="1" applyAlignment="1" applyProtection="1">
      <alignment horizontal="center"/>
      <protection hidden="1"/>
    </xf>
    <xf numFmtId="0" fontId="0" fillId="3" borderId="1" xfId="0" applyFill="1" applyBorder="1" applyAlignment="1" applyProtection="1">
      <alignment horizontal="center"/>
      <protection hidden="1"/>
    </xf>
    <xf numFmtId="0" fontId="2" fillId="3" borderId="1" xfId="0" applyFont="1" applyFill="1" applyBorder="1" applyAlignment="1" applyProtection="1">
      <alignment horizontal="center"/>
      <protection hidden="1"/>
    </xf>
    <xf numFmtId="0" fontId="0" fillId="3" borderId="1" xfId="0" applyFill="1" applyBorder="1" applyAlignment="1" applyProtection="1">
      <alignment horizontal="left"/>
      <protection hidden="1"/>
    </xf>
    <xf numFmtId="0" fontId="0" fillId="12" borderId="1" xfId="0" applyNumberFormat="1" applyFill="1" applyBorder="1" applyAlignment="1" applyProtection="1">
      <alignment horizontal="left"/>
      <protection hidden="1"/>
    </xf>
    <xf numFmtId="0" fontId="0" fillId="12" borderId="13" xfId="0" applyFill="1" applyBorder="1" applyAlignment="1" applyProtection="1">
      <alignment horizontal="left"/>
      <protection hidden="1"/>
    </xf>
    <xf numFmtId="0" fontId="0" fillId="12" borderId="7" xfId="0" applyFill="1" applyBorder="1" applyAlignment="1" applyProtection="1">
      <alignment horizontal="left"/>
      <protection hidden="1"/>
    </xf>
    <xf numFmtId="0" fontId="0" fillId="12" borderId="1" xfId="0" applyFill="1" applyBorder="1" applyAlignment="1" applyProtection="1">
      <alignment horizontal="left"/>
      <protection hidden="1"/>
    </xf>
    <xf numFmtId="49" fontId="0" fillId="12" borderId="13" xfId="0" applyNumberFormat="1" applyFill="1" applyBorder="1" applyAlignment="1" applyProtection="1">
      <alignment horizontal="left"/>
      <protection hidden="1"/>
    </xf>
    <xf numFmtId="0" fontId="0" fillId="3" borderId="12" xfId="0" applyFill="1" applyBorder="1" applyAlignment="1" applyProtection="1">
      <alignment horizontal="center"/>
      <protection hidden="1"/>
    </xf>
    <xf numFmtId="0" fontId="0" fillId="3" borderId="11" xfId="0" applyFill="1" applyBorder="1" applyAlignment="1" applyProtection="1">
      <alignment horizontal="center"/>
      <protection hidden="1"/>
    </xf>
    <xf numFmtId="0" fontId="0" fillId="3" borderId="14" xfId="0" applyFill="1" applyBorder="1" applyAlignment="1" applyProtection="1">
      <alignment horizontal="center"/>
      <protection hidden="1"/>
    </xf>
    <xf numFmtId="0" fontId="0" fillId="3" borderId="13" xfId="0" applyFill="1" applyBorder="1" applyAlignment="1" applyProtection="1">
      <alignment horizontal="center"/>
      <protection hidden="1"/>
    </xf>
    <xf numFmtId="0" fontId="0" fillId="3" borderId="7" xfId="0" applyFill="1" applyBorder="1" applyAlignment="1" applyProtection="1">
      <alignment horizontal="center"/>
      <protection hidden="1"/>
    </xf>
    <xf numFmtId="0" fontId="0" fillId="3" borderId="10" xfId="0" applyFill="1" applyBorder="1" applyAlignment="1" applyProtection="1">
      <alignment horizontal="center"/>
      <protection hidden="1"/>
    </xf>
    <xf numFmtId="0" fontId="13" fillId="2" borderId="4" xfId="0" applyFont="1" applyFill="1" applyBorder="1" applyAlignment="1">
      <alignment horizontal="center" vertical="center"/>
    </xf>
    <xf numFmtId="0" fontId="13" fillId="2" borderId="5" xfId="0" applyFont="1" applyFill="1" applyBorder="1" applyAlignment="1">
      <alignment horizontal="center" vertical="center"/>
    </xf>
    <xf numFmtId="0" fontId="13" fillId="2" borderId="6" xfId="0" applyFont="1" applyFill="1" applyBorder="1" applyAlignment="1">
      <alignment horizontal="center" vertical="center"/>
    </xf>
    <xf numFmtId="0" fontId="0" fillId="3" borderId="12" xfId="0" applyFill="1" applyBorder="1" applyAlignment="1">
      <alignment horizontal="center"/>
    </xf>
    <xf numFmtId="0" fontId="0" fillId="3" borderId="11" xfId="0" applyFill="1" applyBorder="1" applyAlignment="1">
      <alignment horizontal="center"/>
    </xf>
    <xf numFmtId="0" fontId="0" fillId="3" borderId="14" xfId="0" applyFill="1" applyBorder="1" applyAlignment="1">
      <alignment horizontal="center"/>
    </xf>
    <xf numFmtId="0" fontId="21" fillId="3" borderId="9" xfId="0" applyFont="1" applyFill="1" applyBorder="1" applyAlignment="1">
      <alignment horizontal="left" wrapText="1"/>
    </xf>
    <xf numFmtId="0" fontId="21" fillId="3" borderId="8" xfId="0" applyFont="1" applyFill="1" applyBorder="1" applyAlignment="1">
      <alignment horizontal="left" wrapText="1"/>
    </xf>
    <xf numFmtId="9" fontId="0" fillId="3" borderId="16" xfId="4" applyFont="1" applyFill="1" applyBorder="1" applyAlignment="1">
      <alignment horizontal="center"/>
    </xf>
    <xf numFmtId="9" fontId="0" fillId="3" borderId="22" xfId="4" applyFont="1" applyFill="1" applyBorder="1" applyAlignment="1">
      <alignment horizontal="center"/>
    </xf>
    <xf numFmtId="0" fontId="0" fillId="12" borderId="16" xfId="0" applyFill="1" applyBorder="1" applyAlignment="1" applyProtection="1">
      <alignment horizontal="left"/>
      <protection locked="0"/>
    </xf>
    <xf numFmtId="0" fontId="0" fillId="12" borderId="22" xfId="0" applyFill="1" applyBorder="1" applyAlignment="1" applyProtection="1">
      <alignment horizontal="left"/>
      <protection locked="0"/>
    </xf>
    <xf numFmtId="0" fontId="0" fillId="12" borderId="16" xfId="0" applyFill="1" applyBorder="1" applyAlignment="1" applyProtection="1">
      <alignment horizontal="center"/>
      <protection locked="0"/>
    </xf>
    <xf numFmtId="0" fontId="0" fillId="12" borderId="22" xfId="0" applyFill="1" applyBorder="1" applyAlignment="1" applyProtection="1">
      <alignment horizontal="center"/>
      <protection locked="0"/>
    </xf>
    <xf numFmtId="164" fontId="0" fillId="12" borderId="23" xfId="1" applyNumberFormat="1" applyFont="1" applyFill="1" applyBorder="1" applyAlignment="1" applyProtection="1">
      <alignment horizontal="center"/>
      <protection locked="0"/>
    </xf>
    <xf numFmtId="164" fontId="0" fillId="12" borderId="22" xfId="1" applyNumberFormat="1" applyFont="1" applyFill="1" applyBorder="1" applyAlignment="1" applyProtection="1">
      <alignment horizontal="center"/>
      <protection locked="0"/>
    </xf>
    <xf numFmtId="14" fontId="6" fillId="6" borderId="11" xfId="0" applyNumberFormat="1" applyFont="1" applyFill="1" applyBorder="1" applyAlignment="1">
      <alignment horizontal="center"/>
    </xf>
    <xf numFmtId="14" fontId="6" fillId="6" borderId="14" xfId="0" applyNumberFormat="1" applyFont="1"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applyAlignment="1">
      <alignment horizontal="center"/>
    </xf>
    <xf numFmtId="0" fontId="2" fillId="3" borderId="9" xfId="0" applyFont="1" applyFill="1" applyBorder="1" applyAlignment="1">
      <alignment horizontal="center"/>
    </xf>
    <xf numFmtId="0" fontId="2" fillId="3" borderId="0" xfId="0" applyFont="1" applyFill="1" applyBorder="1" applyAlignment="1">
      <alignment horizontal="center"/>
    </xf>
    <xf numFmtId="0" fontId="2" fillId="3" borderId="8" xfId="0" applyFont="1" applyFill="1" applyBorder="1" applyAlignment="1">
      <alignment horizontal="center"/>
    </xf>
    <xf numFmtId="0" fontId="0" fillId="2" borderId="13" xfId="0" applyFill="1" applyBorder="1" applyAlignment="1">
      <alignment horizontal="center"/>
    </xf>
    <xf numFmtId="0" fontId="0" fillId="2" borderId="7" xfId="0" applyFill="1" applyBorder="1" applyAlignment="1">
      <alignment horizontal="center"/>
    </xf>
    <xf numFmtId="0" fontId="0" fillId="2" borderId="10" xfId="0" applyFill="1" applyBorder="1" applyAlignment="1">
      <alignment horizontal="center"/>
    </xf>
    <xf numFmtId="0" fontId="2" fillId="2" borderId="13" xfId="0" applyFont="1" applyFill="1" applyBorder="1" applyAlignment="1">
      <alignment horizontal="center"/>
    </xf>
    <xf numFmtId="0" fontId="2" fillId="2" borderId="7" xfId="0" applyFont="1" applyFill="1" applyBorder="1" applyAlignment="1">
      <alignment horizontal="center"/>
    </xf>
    <xf numFmtId="0" fontId="2" fillId="2" borderId="10" xfId="0" applyFont="1" applyFill="1" applyBorder="1" applyAlignment="1">
      <alignment horizontal="center"/>
    </xf>
    <xf numFmtId="9" fontId="2" fillId="2" borderId="3" xfId="0" applyNumberFormat="1" applyFont="1" applyFill="1" applyBorder="1" applyAlignment="1">
      <alignment horizontal="center"/>
    </xf>
    <xf numFmtId="0" fontId="2" fillId="2" borderId="3" xfId="0" applyFont="1" applyFill="1" applyBorder="1" applyAlignment="1">
      <alignment horizont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 xfId="0" applyFont="1" applyFill="1" applyBorder="1" applyAlignment="1">
      <alignment horizontal="center" wrapText="1"/>
    </xf>
    <xf numFmtId="164" fontId="2" fillId="2" borderId="13" xfId="1" applyNumberFormat="1" applyFont="1" applyFill="1" applyBorder="1" applyAlignment="1">
      <alignment horizontal="center"/>
    </xf>
    <xf numFmtId="164" fontId="2" fillId="2" borderId="10" xfId="1" applyNumberFormat="1" applyFont="1" applyFill="1" applyBorder="1" applyAlignment="1">
      <alignment horizontal="center"/>
    </xf>
    <xf numFmtId="164" fontId="0" fillId="12" borderId="23" xfId="1" applyNumberFormat="1" applyFont="1" applyFill="1" applyBorder="1" applyAlignment="1" applyProtection="1">
      <protection locked="0"/>
    </xf>
    <xf numFmtId="164" fontId="0" fillId="12" borderId="22" xfId="1" applyNumberFormat="1" applyFont="1" applyFill="1" applyBorder="1" applyAlignment="1" applyProtection="1">
      <protection locked="0"/>
    </xf>
    <xf numFmtId="0" fontId="2" fillId="2" borderId="1" xfId="0" applyFont="1" applyFill="1" applyBorder="1" applyAlignment="1">
      <alignment horizontal="center" vertical="center" wrapText="1"/>
    </xf>
    <xf numFmtId="0" fontId="0" fillId="3" borderId="4" xfId="0" applyFill="1" applyBorder="1" applyAlignment="1" applyProtection="1">
      <alignment horizontal="left"/>
      <protection locked="0"/>
    </xf>
    <xf numFmtId="0" fontId="0" fillId="3" borderId="6" xfId="0" applyFill="1" applyBorder="1" applyAlignment="1" applyProtection="1">
      <alignment horizontal="left"/>
      <protection locked="0"/>
    </xf>
    <xf numFmtId="0" fontId="3" fillId="2" borderId="12" xfId="0" applyFont="1" applyFill="1" applyBorder="1" applyAlignment="1">
      <alignment horizontal="center"/>
    </xf>
    <xf numFmtId="0" fontId="3" fillId="2" borderId="11" xfId="0" applyFont="1" applyFill="1" applyBorder="1" applyAlignment="1">
      <alignment horizontal="center"/>
    </xf>
    <xf numFmtId="0" fontId="3" fillId="2" borderId="14" xfId="0" applyFont="1" applyFill="1" applyBorder="1" applyAlignment="1">
      <alignment horizont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6" xfId="0" applyFont="1" applyFill="1" applyBorder="1" applyAlignment="1">
      <alignment horizontal="center" vertical="center"/>
    </xf>
    <xf numFmtId="0" fontId="0" fillId="3" borderId="0" xfId="0" applyFill="1" applyAlignment="1">
      <alignment horizontal="left"/>
    </xf>
    <xf numFmtId="0" fontId="0" fillId="3" borderId="13" xfId="0" applyFill="1" applyBorder="1" applyAlignment="1">
      <alignment horizontal="left"/>
    </xf>
    <xf numFmtId="0" fontId="0" fillId="3" borderId="7" xfId="0" applyFill="1" applyBorder="1" applyAlignment="1">
      <alignment horizontal="left"/>
    </xf>
    <xf numFmtId="0" fontId="0" fillId="3" borderId="10" xfId="0" applyFill="1" applyBorder="1" applyAlignment="1">
      <alignment horizontal="left"/>
    </xf>
    <xf numFmtId="0" fontId="0" fillId="3" borderId="4" xfId="0" applyFill="1" applyBorder="1" applyAlignment="1">
      <alignment horizontal="left" wrapText="1"/>
    </xf>
    <xf numFmtId="0" fontId="0" fillId="3" borderId="5" xfId="0" applyFill="1" applyBorder="1" applyAlignment="1">
      <alignment horizontal="left" wrapText="1"/>
    </xf>
    <xf numFmtId="0" fontId="0" fillId="3" borderId="6" xfId="0" applyFill="1" applyBorder="1" applyAlignment="1">
      <alignment horizontal="left" wrapText="1"/>
    </xf>
    <xf numFmtId="0" fontId="0" fillId="3" borderId="11" xfId="0" applyFill="1" applyBorder="1" applyAlignment="1">
      <alignment horizontal="left"/>
    </xf>
    <xf numFmtId="0" fontId="2" fillId="2" borderId="1" xfId="0" applyFont="1" applyFill="1" applyBorder="1" applyAlignment="1">
      <alignment horizontal="center"/>
    </xf>
    <xf numFmtId="0" fontId="13" fillId="8" borderId="4" xfId="0" applyFont="1" applyFill="1" applyBorder="1" applyAlignment="1" applyProtection="1">
      <alignment horizontal="right" vertical="center"/>
      <protection hidden="1"/>
    </xf>
    <xf numFmtId="0" fontId="13" fillId="8" borderId="5" xfId="0" applyFont="1" applyFill="1" applyBorder="1" applyAlignment="1" applyProtection="1">
      <alignment horizontal="right" vertical="center"/>
      <protection hidden="1"/>
    </xf>
    <xf numFmtId="0" fontId="6" fillId="4" borderId="1" xfId="0" applyFont="1" applyFill="1" applyBorder="1" applyAlignment="1" applyProtection="1">
      <alignment horizontal="center" vertical="center"/>
      <protection hidden="1"/>
    </xf>
    <xf numFmtId="0" fontId="6" fillId="4" borderId="12" xfId="0" applyFont="1" applyFill="1" applyBorder="1" applyAlignment="1" applyProtection="1">
      <alignment horizontal="center" vertical="center"/>
      <protection hidden="1"/>
    </xf>
    <xf numFmtId="0" fontId="6" fillId="4" borderId="11" xfId="0" applyFont="1" applyFill="1" applyBorder="1" applyAlignment="1" applyProtection="1">
      <alignment horizontal="center" vertical="center"/>
      <protection hidden="1"/>
    </xf>
    <xf numFmtId="0" fontId="6" fillId="4" borderId="14" xfId="0" applyFont="1" applyFill="1" applyBorder="1" applyAlignment="1" applyProtection="1">
      <alignment horizontal="center" vertical="center"/>
      <protection hidden="1"/>
    </xf>
    <xf numFmtId="0" fontId="6" fillId="4" borderId="13" xfId="0" applyFont="1" applyFill="1" applyBorder="1" applyAlignment="1" applyProtection="1">
      <alignment horizontal="center" vertical="center"/>
      <protection hidden="1"/>
    </xf>
    <xf numFmtId="0" fontId="6" fillId="4" borderId="7" xfId="0" applyFont="1" applyFill="1" applyBorder="1" applyAlignment="1" applyProtection="1">
      <alignment horizontal="center" vertical="center"/>
      <protection hidden="1"/>
    </xf>
    <xf numFmtId="0" fontId="6" fillId="4" borderId="10" xfId="0" applyFont="1" applyFill="1" applyBorder="1" applyAlignment="1" applyProtection="1">
      <alignment horizontal="center" vertical="center"/>
      <protection hidden="1"/>
    </xf>
    <xf numFmtId="0" fontId="6" fillId="4" borderId="19" xfId="0" applyFont="1" applyFill="1" applyBorder="1" applyAlignment="1" applyProtection="1">
      <alignment horizontal="center" vertical="center"/>
      <protection hidden="1"/>
    </xf>
    <xf numFmtId="0" fontId="14" fillId="6" borderId="11" xfId="0" applyFont="1" applyFill="1" applyBorder="1" applyAlignment="1" applyProtection="1">
      <alignment horizontal="center"/>
      <protection hidden="1"/>
    </xf>
    <xf numFmtId="0" fontId="14" fillId="6" borderId="7" xfId="0" applyFont="1" applyFill="1" applyBorder="1" applyAlignment="1" applyProtection="1">
      <alignment horizontal="center"/>
      <protection hidden="1"/>
    </xf>
    <xf numFmtId="0" fontId="12" fillId="3" borderId="0" xfId="3" applyFill="1" applyAlignment="1" applyProtection="1">
      <alignment horizontal="center"/>
      <protection hidden="1"/>
    </xf>
    <xf numFmtId="164" fontId="14" fillId="6" borderId="11" xfId="1" applyNumberFormat="1" applyFont="1" applyFill="1" applyBorder="1" applyAlignment="1" applyProtection="1">
      <alignment horizontal="left"/>
      <protection hidden="1"/>
    </xf>
    <xf numFmtId="168" fontId="14" fillId="6" borderId="7" xfId="1" applyNumberFormat="1" applyFont="1" applyFill="1" applyBorder="1" applyAlignment="1" applyProtection="1">
      <alignment horizontal="left"/>
      <protection hidden="1"/>
    </xf>
    <xf numFmtId="0" fontId="4" fillId="3" borderId="4" xfId="0" applyFont="1" applyFill="1" applyBorder="1" applyAlignment="1" applyProtection="1">
      <alignment horizontal="left" vertical="center" wrapText="1"/>
      <protection hidden="1"/>
    </xf>
    <xf numFmtId="0" fontId="4" fillId="3" borderId="5" xfId="0" applyFont="1" applyFill="1" applyBorder="1" applyAlignment="1" applyProtection="1">
      <alignment horizontal="left" vertical="center" wrapText="1"/>
      <protection hidden="1"/>
    </xf>
    <xf numFmtId="0" fontId="4" fillId="3" borderId="6" xfId="0" applyFont="1" applyFill="1" applyBorder="1" applyAlignment="1" applyProtection="1">
      <alignment horizontal="left" vertical="center" wrapText="1"/>
      <protection hidden="1"/>
    </xf>
    <xf numFmtId="0" fontId="4" fillId="3" borderId="4" xfId="0" applyFont="1" applyFill="1" applyBorder="1" applyAlignment="1" applyProtection="1">
      <alignment horizontal="left" wrapText="1"/>
      <protection hidden="1"/>
    </xf>
    <xf numFmtId="0" fontId="4" fillId="3" borderId="5" xfId="0" applyFont="1" applyFill="1" applyBorder="1" applyAlignment="1" applyProtection="1">
      <alignment horizontal="left" wrapText="1"/>
      <protection hidden="1"/>
    </xf>
    <xf numFmtId="0" fontId="4" fillId="3" borderId="6" xfId="0" applyFont="1" applyFill="1" applyBorder="1" applyAlignment="1" applyProtection="1">
      <alignment horizontal="left" wrapText="1"/>
      <protection hidden="1"/>
    </xf>
    <xf numFmtId="0" fontId="4" fillId="3" borderId="4" xfId="0" applyFont="1" applyFill="1" applyBorder="1" applyAlignment="1" applyProtection="1">
      <alignment horizontal="left" vertical="center"/>
      <protection hidden="1"/>
    </xf>
    <xf numFmtId="0" fontId="4" fillId="3" borderId="5" xfId="0" applyFont="1" applyFill="1" applyBorder="1" applyAlignment="1" applyProtection="1">
      <alignment horizontal="left" vertical="center"/>
      <protection hidden="1"/>
    </xf>
    <xf numFmtId="0" fontId="4" fillId="3" borderId="6" xfId="0" applyFont="1" applyFill="1" applyBorder="1" applyAlignment="1" applyProtection="1">
      <alignment horizontal="left" vertical="center"/>
      <protection hidden="1"/>
    </xf>
    <xf numFmtId="0" fontId="4" fillId="3" borderId="21" xfId="0" applyFont="1" applyFill="1" applyBorder="1" applyAlignment="1" applyProtection="1">
      <alignment horizontal="center" vertical="center"/>
      <protection hidden="1"/>
    </xf>
    <xf numFmtId="0" fontId="4" fillId="3" borderId="25" xfId="0" applyFont="1" applyFill="1" applyBorder="1" applyAlignment="1" applyProtection="1">
      <alignment horizontal="center" vertical="center"/>
      <protection hidden="1"/>
    </xf>
    <xf numFmtId="0" fontId="4" fillId="3" borderId="1" xfId="0" applyFont="1" applyFill="1" applyBorder="1" applyAlignment="1" applyProtection="1">
      <alignment horizontal="left" vertical="center" wrapText="1"/>
      <protection hidden="1"/>
    </xf>
    <xf numFmtId="0" fontId="4" fillId="3" borderId="2" xfId="0" applyFont="1" applyFill="1" applyBorder="1" applyAlignment="1" applyProtection="1">
      <alignment horizontal="center" vertical="center"/>
      <protection hidden="1"/>
    </xf>
    <xf numFmtId="0" fontId="4" fillId="3" borderId="3" xfId="0" applyFont="1" applyFill="1" applyBorder="1" applyAlignment="1" applyProtection="1">
      <alignment horizontal="center" vertical="center"/>
      <protection hidden="1"/>
    </xf>
    <xf numFmtId="168" fontId="6" fillId="4" borderId="4" xfId="1" applyNumberFormat="1" applyFont="1" applyFill="1" applyBorder="1" applyAlignment="1" applyProtection="1">
      <alignment horizontal="right" vertical="center"/>
      <protection hidden="1"/>
    </xf>
    <xf numFmtId="168" fontId="6" fillId="4" borderId="5" xfId="1" applyNumberFormat="1" applyFont="1" applyFill="1" applyBorder="1" applyAlignment="1" applyProtection="1">
      <alignment horizontal="right" vertical="center"/>
      <protection hidden="1"/>
    </xf>
    <xf numFmtId="0" fontId="12" fillId="17" borderId="0" xfId="3" applyFill="1" applyAlignment="1" applyProtection="1">
      <alignment horizontal="center"/>
      <protection hidden="1"/>
    </xf>
    <xf numFmtId="0" fontId="4" fillId="17" borderId="4" xfId="0" applyFont="1" applyFill="1" applyBorder="1" applyAlignment="1" applyProtection="1">
      <alignment horizontal="left" vertical="center" wrapText="1"/>
      <protection hidden="1"/>
    </xf>
    <xf numFmtId="0" fontId="4" fillId="17" borderId="5" xfId="0" applyFont="1" applyFill="1" applyBorder="1" applyAlignment="1" applyProtection="1">
      <alignment horizontal="left" vertical="center" wrapText="1"/>
      <protection hidden="1"/>
    </xf>
    <xf numFmtId="0" fontId="4" fillId="17" borderId="6" xfId="0" applyFont="1" applyFill="1" applyBorder="1" applyAlignment="1" applyProtection="1">
      <alignment horizontal="left" vertical="center" wrapText="1"/>
      <protection hidden="1"/>
    </xf>
    <xf numFmtId="0" fontId="4" fillId="17" borderId="4" xfId="0" applyFont="1" applyFill="1" applyBorder="1" applyAlignment="1" applyProtection="1">
      <alignment horizontal="left" vertical="center"/>
      <protection hidden="1"/>
    </xf>
    <xf numFmtId="0" fontId="4" fillId="17" borderId="5" xfId="0" applyFont="1" applyFill="1" applyBorder="1" applyAlignment="1" applyProtection="1">
      <alignment horizontal="left" vertical="center"/>
      <protection hidden="1"/>
    </xf>
    <xf numFmtId="0" fontId="4" fillId="17" borderId="6" xfId="0" applyFont="1" applyFill="1" applyBorder="1" applyAlignment="1" applyProtection="1">
      <alignment horizontal="left" vertical="center"/>
      <protection hidden="1"/>
    </xf>
    <xf numFmtId="0" fontId="4" fillId="17" borderId="4" xfId="0" applyFont="1" applyFill="1" applyBorder="1" applyAlignment="1" applyProtection="1">
      <alignment horizontal="left" wrapText="1"/>
      <protection hidden="1"/>
    </xf>
    <xf numFmtId="0" fontId="4" fillId="17" borderId="5" xfId="0" applyFont="1" applyFill="1" applyBorder="1" applyAlignment="1" applyProtection="1">
      <alignment horizontal="left" wrapText="1"/>
      <protection hidden="1"/>
    </xf>
    <xf numFmtId="0" fontId="4" fillId="17" borderId="4" xfId="0" applyFont="1" applyFill="1" applyBorder="1" applyAlignment="1" applyProtection="1">
      <alignment horizontal="left"/>
      <protection hidden="1"/>
    </xf>
    <xf numFmtId="0" fontId="4" fillId="17" borderId="5" xfId="0" applyFont="1" applyFill="1" applyBorder="1" applyAlignment="1" applyProtection="1">
      <alignment horizontal="left"/>
      <protection hidden="1"/>
    </xf>
    <xf numFmtId="0" fontId="4" fillId="17" borderId="6" xfId="0" applyFont="1" applyFill="1" applyBorder="1" applyAlignment="1" applyProtection="1">
      <alignment horizontal="left" wrapText="1"/>
      <protection hidden="1"/>
    </xf>
    <xf numFmtId="0" fontId="6" fillId="4" borderId="4" xfId="0" applyFont="1" applyFill="1" applyBorder="1" applyAlignment="1" applyProtection="1">
      <alignment horizontal="left" wrapText="1"/>
      <protection hidden="1"/>
    </xf>
    <xf numFmtId="0" fontId="6" fillId="4" borderId="5" xfId="0" applyFont="1" applyFill="1" applyBorder="1" applyAlignment="1" applyProtection="1">
      <alignment horizontal="left" wrapText="1"/>
      <protection hidden="1"/>
    </xf>
    <xf numFmtId="0" fontId="6" fillId="4" borderId="6" xfId="0" applyFont="1" applyFill="1" applyBorder="1" applyAlignment="1" applyProtection="1">
      <alignment horizontal="left" wrapText="1"/>
      <protection hidden="1"/>
    </xf>
    <xf numFmtId="0" fontId="6" fillId="2" borderId="4" xfId="0" applyFont="1" applyFill="1" applyBorder="1" applyAlignment="1" applyProtection="1">
      <alignment horizontal="left" vertical="center" wrapText="1"/>
      <protection hidden="1"/>
    </xf>
    <xf numFmtId="0" fontId="6" fillId="2" borderId="5" xfId="0" applyFont="1" applyFill="1" applyBorder="1" applyAlignment="1" applyProtection="1">
      <alignment horizontal="left" vertical="center" wrapText="1"/>
      <protection hidden="1"/>
    </xf>
    <xf numFmtId="0" fontId="6" fillId="2" borderId="6" xfId="0" applyFont="1" applyFill="1" applyBorder="1" applyAlignment="1" applyProtection="1">
      <alignment horizontal="left" vertical="center" wrapText="1"/>
      <protection hidden="1"/>
    </xf>
    <xf numFmtId="0" fontId="4" fillId="3" borderId="4" xfId="0" applyFont="1" applyFill="1" applyBorder="1" applyAlignment="1" applyProtection="1">
      <alignment horizontal="left"/>
      <protection hidden="1"/>
    </xf>
    <xf numFmtId="0" fontId="4" fillId="3" borderId="5" xfId="0" applyFont="1" applyFill="1" applyBorder="1" applyAlignment="1" applyProtection="1">
      <alignment horizontal="left"/>
      <protection hidden="1"/>
    </xf>
    <xf numFmtId="0" fontId="13" fillId="8" borderId="4" xfId="0" applyFont="1" applyFill="1" applyBorder="1" applyAlignment="1" applyProtection="1">
      <alignment horizontal="center" vertical="center"/>
      <protection hidden="1"/>
    </xf>
    <xf numFmtId="0" fontId="13" fillId="8" borderId="5" xfId="0" applyFont="1" applyFill="1" applyBorder="1" applyAlignment="1" applyProtection="1">
      <alignment horizontal="center" vertical="center"/>
      <protection hidden="1"/>
    </xf>
    <xf numFmtId="0" fontId="13" fillId="8" borderId="6" xfId="0" applyFont="1" applyFill="1" applyBorder="1" applyAlignment="1" applyProtection="1">
      <alignment horizontal="center" vertical="center"/>
      <protection hidden="1"/>
    </xf>
    <xf numFmtId="0" fontId="14" fillId="6" borderId="11" xfId="0" applyFont="1" applyFill="1" applyBorder="1" applyAlignment="1" applyProtection="1">
      <alignment horizontal="center" vertical="top"/>
      <protection hidden="1"/>
    </xf>
    <xf numFmtId="0" fontId="6" fillId="2" borderId="4" xfId="0" applyFont="1" applyFill="1" applyBorder="1" applyAlignment="1" applyProtection="1">
      <alignment horizontal="center" vertical="center"/>
      <protection hidden="1"/>
    </xf>
    <xf numFmtId="0" fontId="6" fillId="2" borderId="5" xfId="0" applyFont="1" applyFill="1" applyBorder="1" applyAlignment="1" applyProtection="1">
      <alignment horizontal="center" vertical="center"/>
      <protection hidden="1"/>
    </xf>
    <xf numFmtId="0" fontId="6" fillId="2" borderId="6" xfId="0" applyFont="1" applyFill="1" applyBorder="1" applyAlignment="1" applyProtection="1">
      <alignment horizontal="center" vertical="center"/>
      <protection hidden="1"/>
    </xf>
    <xf numFmtId="0" fontId="14" fillId="6" borderId="7" xfId="0" applyNumberFormat="1" applyFont="1" applyFill="1" applyBorder="1" applyAlignment="1" applyProtection="1">
      <alignment horizontal="left"/>
      <protection hidden="1"/>
    </xf>
    <xf numFmtId="3" fontId="14" fillId="6" borderId="11" xfId="0" applyNumberFormat="1" applyFont="1" applyFill="1" applyBorder="1" applyAlignment="1" applyProtection="1">
      <alignment horizontal="left" vertical="top" wrapText="1"/>
      <protection hidden="1"/>
    </xf>
    <xf numFmtId="0" fontId="6" fillId="3" borderId="4" xfId="0" applyFont="1" applyFill="1" applyBorder="1" applyAlignment="1" applyProtection="1">
      <alignment horizontal="left" wrapText="1"/>
      <protection hidden="1"/>
    </xf>
    <xf numFmtId="0" fontId="6" fillId="3" borderId="5" xfId="0" applyFont="1" applyFill="1" applyBorder="1" applyAlignment="1" applyProtection="1">
      <alignment horizontal="left" wrapText="1"/>
      <protection hidden="1"/>
    </xf>
    <xf numFmtId="0" fontId="6" fillId="3" borderId="6" xfId="0" applyFont="1" applyFill="1" applyBorder="1" applyAlignment="1" applyProtection="1">
      <alignment horizontal="left" wrapText="1"/>
      <protection hidden="1"/>
    </xf>
    <xf numFmtId="0" fontId="4" fillId="0" borderId="4" xfId="0" applyFont="1" applyFill="1" applyBorder="1" applyAlignment="1" applyProtection="1">
      <alignment horizontal="left" vertical="top" wrapText="1"/>
      <protection hidden="1"/>
    </xf>
    <xf numFmtId="0" fontId="4" fillId="0" borderId="5" xfId="0" applyFont="1" applyFill="1" applyBorder="1" applyAlignment="1" applyProtection="1">
      <alignment horizontal="left" vertical="top" wrapText="1"/>
      <protection hidden="1"/>
    </xf>
    <xf numFmtId="0" fontId="6" fillId="3" borderId="12" xfId="0" applyFont="1" applyFill="1" applyBorder="1" applyAlignment="1" applyProtection="1">
      <alignment horizontal="center" wrapText="1"/>
      <protection hidden="1"/>
    </xf>
    <xf numFmtId="0" fontId="6" fillId="3" borderId="11" xfId="0" applyFont="1" applyFill="1" applyBorder="1" applyAlignment="1" applyProtection="1">
      <alignment horizontal="center" wrapText="1"/>
      <protection hidden="1"/>
    </xf>
    <xf numFmtId="0" fontId="6" fillId="3" borderId="14" xfId="0" applyFont="1" applyFill="1" applyBorder="1" applyAlignment="1" applyProtection="1">
      <alignment horizontal="center" wrapText="1"/>
      <protection hidden="1"/>
    </xf>
    <xf numFmtId="0" fontId="6" fillId="3" borderId="13" xfId="0" applyFont="1" applyFill="1" applyBorder="1" applyAlignment="1" applyProtection="1">
      <alignment horizontal="center" wrapText="1"/>
      <protection hidden="1"/>
    </xf>
    <xf numFmtId="0" fontId="6" fillId="3" borderId="7" xfId="0" applyFont="1" applyFill="1" applyBorder="1" applyAlignment="1" applyProtection="1">
      <alignment horizontal="center" wrapText="1"/>
      <protection hidden="1"/>
    </xf>
    <xf numFmtId="0" fontId="6" fillId="3" borderId="10" xfId="0" applyFont="1" applyFill="1" applyBorder="1" applyAlignment="1" applyProtection="1">
      <alignment horizontal="center" wrapText="1"/>
      <protection hidden="1"/>
    </xf>
    <xf numFmtId="0" fontId="6" fillId="2" borderId="7" xfId="0" applyFont="1" applyFill="1" applyBorder="1" applyAlignment="1" applyProtection="1">
      <alignment horizontal="left" vertical="center" wrapText="1"/>
      <protection hidden="1"/>
    </xf>
    <xf numFmtId="0" fontId="4" fillId="3" borderId="1" xfId="0" applyFont="1" applyFill="1" applyBorder="1" applyAlignment="1" applyProtection="1">
      <alignment horizontal="center"/>
      <protection hidden="1"/>
    </xf>
    <xf numFmtId="0" fontId="4" fillId="3" borderId="12" xfId="0" applyFont="1" applyFill="1" applyBorder="1" applyAlignment="1" applyProtection="1">
      <alignment horizontal="left" wrapText="1"/>
      <protection hidden="1"/>
    </xf>
    <xf numFmtId="0" fontId="4" fillId="3" borderId="11" xfId="0" applyFont="1" applyFill="1" applyBorder="1" applyAlignment="1" applyProtection="1">
      <alignment horizontal="left" wrapText="1"/>
      <protection hidden="1"/>
    </xf>
    <xf numFmtId="0" fontId="4" fillId="3" borderId="14" xfId="0" applyFont="1" applyFill="1" applyBorder="1" applyAlignment="1" applyProtection="1">
      <alignment horizontal="left" wrapText="1"/>
      <protection hidden="1"/>
    </xf>
    <xf numFmtId="0" fontId="41" fillId="3" borderId="9" xfId="3" applyFont="1" applyFill="1" applyBorder="1" applyAlignment="1" applyProtection="1">
      <alignment horizontal="left" vertical="top" wrapText="1" readingOrder="1"/>
      <protection locked="0"/>
    </xf>
    <xf numFmtId="0" fontId="41" fillId="3" borderId="0" xfId="3" applyFont="1" applyFill="1" applyBorder="1" applyAlignment="1" applyProtection="1">
      <alignment horizontal="left" vertical="top" wrapText="1" readingOrder="1"/>
      <protection locked="0"/>
    </xf>
    <xf numFmtId="0" fontId="41" fillId="3" borderId="8" xfId="3" applyFont="1" applyFill="1" applyBorder="1" applyAlignment="1" applyProtection="1">
      <alignment horizontal="left" vertical="top" wrapText="1" readingOrder="1"/>
      <protection locked="0"/>
    </xf>
    <xf numFmtId="0" fontId="41" fillId="3" borderId="13" xfId="3" applyFont="1" applyFill="1" applyBorder="1" applyAlignment="1" applyProtection="1">
      <alignment horizontal="left" vertical="top" wrapText="1" readingOrder="1"/>
      <protection locked="0"/>
    </xf>
    <xf numFmtId="0" fontId="41" fillId="3" borderId="7" xfId="3" applyFont="1" applyFill="1" applyBorder="1" applyAlignment="1" applyProtection="1">
      <alignment horizontal="left" vertical="top" wrapText="1" readingOrder="1"/>
      <protection locked="0"/>
    </xf>
    <xf numFmtId="0" fontId="41" fillId="3" borderId="10" xfId="3" applyFont="1" applyFill="1" applyBorder="1" applyAlignment="1" applyProtection="1">
      <alignment horizontal="left" vertical="top" wrapText="1" readingOrder="1"/>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3" fillId="8" borderId="6"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xf>
    <xf numFmtId="0" fontId="6" fillId="2" borderId="5" xfId="0" applyFont="1" applyFill="1" applyBorder="1" applyAlignment="1">
      <alignment horizontal="center"/>
    </xf>
    <xf numFmtId="0" fontId="6" fillId="2" borderId="6" xfId="0" applyFont="1" applyFill="1" applyBorder="1" applyAlignment="1">
      <alignment horizontal="center"/>
    </xf>
    <xf numFmtId="0" fontId="6" fillId="2" borderId="12"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0" xfId="0" applyFont="1" applyFill="1" applyBorder="1" applyAlignment="1">
      <alignment horizontal="center" vertical="center"/>
    </xf>
    <xf numFmtId="3" fontId="6" fillId="6" borderId="11" xfId="0" applyNumberFormat="1" applyFont="1" applyFill="1" applyBorder="1" applyAlignment="1">
      <alignment horizontal="left"/>
    </xf>
    <xf numFmtId="0" fontId="3" fillId="3" borderId="12" xfId="0" applyFont="1" applyFill="1" applyBorder="1" applyAlignment="1">
      <alignment horizontal="center" vertical="center"/>
    </xf>
    <xf numFmtId="0" fontId="3" fillId="3" borderId="11" xfId="0" applyFont="1" applyFill="1" applyBorder="1" applyAlignment="1">
      <alignment horizontal="center" vertical="center"/>
    </xf>
    <xf numFmtId="0" fontId="3" fillId="3" borderId="14"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0"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13"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0" xfId="0" applyFont="1" applyFill="1" applyBorder="1" applyAlignment="1">
      <alignment horizontal="center" vertical="center"/>
    </xf>
    <xf numFmtId="0" fontId="14" fillId="0" borderId="4" xfId="0" applyFont="1" applyBorder="1" applyAlignment="1">
      <alignment horizontal="center" wrapText="1"/>
    </xf>
    <xf numFmtId="0" fontId="14" fillId="0" borderId="5" xfId="0" applyFont="1" applyBorder="1" applyAlignment="1">
      <alignment horizontal="center" wrapText="1"/>
    </xf>
    <xf numFmtId="0" fontId="14" fillId="0" borderId="6" xfId="0" applyFont="1" applyBorder="1" applyAlignment="1">
      <alignment horizontal="center" wrapText="1"/>
    </xf>
    <xf numFmtId="3" fontId="6" fillId="6" borderId="11" xfId="0" applyNumberFormat="1" applyFont="1" applyFill="1" applyBorder="1" applyAlignment="1">
      <alignment horizontal="left" vertical="top" wrapText="1"/>
    </xf>
    <xf numFmtId="0" fontId="14" fillId="0" borderId="4" xfId="0" applyFont="1" applyBorder="1" applyAlignment="1">
      <alignment horizontal="center"/>
    </xf>
    <xf numFmtId="0" fontId="14" fillId="0" borderId="5" xfId="0" applyFont="1" applyBorder="1" applyAlignment="1">
      <alignment horizontal="center"/>
    </xf>
    <xf numFmtId="0" fontId="14" fillId="0" borderId="6" xfId="0" applyFont="1" applyBorder="1" applyAlignment="1">
      <alignment horizontal="center"/>
    </xf>
    <xf numFmtId="0" fontId="14" fillId="0" borderId="1" xfId="0" applyFont="1" applyBorder="1" applyAlignment="1">
      <alignment horizontal="center"/>
    </xf>
    <xf numFmtId="0" fontId="27" fillId="3" borderId="12" xfId="0" applyFont="1" applyFill="1" applyBorder="1" applyAlignment="1">
      <alignment horizontal="left" vertical="center" wrapText="1"/>
    </xf>
    <xf numFmtId="0" fontId="27" fillId="3" borderId="11" xfId="0" applyFont="1" applyFill="1" applyBorder="1" applyAlignment="1">
      <alignment horizontal="left" vertical="center"/>
    </xf>
    <xf numFmtId="0" fontId="27" fillId="3" borderId="14" xfId="0" applyFont="1" applyFill="1" applyBorder="1" applyAlignment="1">
      <alignment horizontal="left" vertical="center"/>
    </xf>
    <xf numFmtId="0" fontId="27" fillId="3" borderId="9" xfId="0" applyFont="1" applyFill="1" applyBorder="1" applyAlignment="1">
      <alignment horizontal="left" vertical="center"/>
    </xf>
    <xf numFmtId="0" fontId="27" fillId="3" borderId="0" xfId="0" applyFont="1" applyFill="1" applyBorder="1" applyAlignment="1">
      <alignment horizontal="left" vertical="center"/>
    </xf>
    <xf numFmtId="0" fontId="27" fillId="3" borderId="8" xfId="0" applyFont="1" applyFill="1" applyBorder="1" applyAlignment="1">
      <alignment horizontal="left" vertical="center"/>
    </xf>
    <xf numFmtId="0" fontId="27" fillId="3" borderId="13" xfId="0" applyFont="1" applyFill="1" applyBorder="1" applyAlignment="1">
      <alignment horizontal="left" vertical="center"/>
    </xf>
    <xf numFmtId="0" fontId="27" fillId="3" borderId="7" xfId="0" applyFont="1" applyFill="1" applyBorder="1" applyAlignment="1">
      <alignment horizontal="left" vertical="center"/>
    </xf>
    <xf numFmtId="0" fontId="27" fillId="3" borderId="10" xfId="0" applyFont="1" applyFill="1" applyBorder="1" applyAlignment="1">
      <alignment horizontal="left" vertical="center"/>
    </xf>
    <xf numFmtId="0" fontId="27" fillId="3" borderId="11" xfId="0" applyFont="1" applyFill="1" applyBorder="1" applyAlignment="1">
      <alignment horizontal="left" vertical="center" wrapText="1"/>
    </xf>
    <xf numFmtId="0" fontId="27" fillId="3" borderId="14" xfId="0" applyFont="1" applyFill="1" applyBorder="1" applyAlignment="1">
      <alignment horizontal="left" vertical="center" wrapText="1"/>
    </xf>
    <xf numFmtId="0" fontId="27" fillId="3" borderId="9"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7" fillId="3" borderId="13" xfId="0" applyFont="1" applyFill="1" applyBorder="1" applyAlignment="1">
      <alignment horizontal="left" vertical="center" wrapText="1"/>
    </xf>
    <xf numFmtId="0" fontId="27" fillId="3" borderId="7" xfId="0" applyFont="1" applyFill="1" applyBorder="1" applyAlignment="1">
      <alignment horizontal="left" vertical="center" wrapText="1"/>
    </xf>
    <xf numFmtId="0" fontId="27" fillId="3" borderId="10" xfId="0" applyFont="1" applyFill="1" applyBorder="1" applyAlignment="1">
      <alignment horizontal="left" vertical="center" wrapText="1"/>
    </xf>
    <xf numFmtId="3" fontId="6" fillId="6" borderId="11" xfId="0" applyNumberFormat="1" applyFont="1" applyFill="1" applyBorder="1" applyAlignment="1" applyProtection="1">
      <alignment horizontal="left"/>
      <protection hidden="1"/>
    </xf>
    <xf numFmtId="0" fontId="6" fillId="6" borderId="11" xfId="0" applyFont="1" applyFill="1" applyBorder="1" applyAlignment="1" applyProtection="1">
      <alignment horizontal="center"/>
      <protection hidden="1"/>
    </xf>
    <xf numFmtId="0" fontId="6" fillId="6" borderId="7" xfId="0" applyFont="1" applyFill="1" applyBorder="1" applyAlignment="1" applyProtection="1">
      <alignment horizontal="center"/>
      <protection hidden="1"/>
    </xf>
    <xf numFmtId="0" fontId="3" fillId="9" borderId="1" xfId="0" applyFont="1" applyFill="1" applyBorder="1" applyAlignment="1" applyProtection="1">
      <alignment horizontal="center" vertical="center"/>
      <protection hidden="1"/>
    </xf>
    <xf numFmtId="0" fontId="6" fillId="2" borderId="12" xfId="0" applyFont="1" applyFill="1" applyBorder="1" applyAlignment="1" applyProtection="1">
      <alignment horizontal="right" vertical="center"/>
      <protection hidden="1"/>
    </xf>
    <xf numFmtId="0" fontId="6" fillId="2" borderId="14" xfId="0" applyFont="1" applyFill="1" applyBorder="1" applyAlignment="1" applyProtection="1">
      <alignment horizontal="right" vertical="center"/>
      <protection hidden="1"/>
    </xf>
    <xf numFmtId="0" fontId="6" fillId="2" borderId="2" xfId="0" applyFont="1" applyFill="1" applyBorder="1" applyAlignment="1" applyProtection="1">
      <alignment horizontal="center" vertical="center" wrapText="1"/>
      <protection hidden="1"/>
    </xf>
    <xf numFmtId="0" fontId="6" fillId="2" borderId="3" xfId="0" applyFont="1" applyFill="1" applyBorder="1" applyAlignment="1" applyProtection="1">
      <alignment horizontal="center" vertical="center" wrapText="1"/>
      <protection hidden="1"/>
    </xf>
    <xf numFmtId="0" fontId="28" fillId="3" borderId="0" xfId="0" applyFont="1" applyFill="1" applyAlignment="1" applyProtection="1">
      <alignment horizontal="left" vertical="top" wrapText="1"/>
      <protection hidden="1"/>
    </xf>
    <xf numFmtId="0" fontId="6" fillId="2" borderId="4" xfId="0" applyFont="1" applyFill="1" applyBorder="1" applyAlignment="1" applyProtection="1">
      <alignment horizontal="left" wrapText="1"/>
      <protection hidden="1"/>
    </xf>
    <xf numFmtId="0" fontId="6" fillId="2" borderId="6" xfId="0" applyFont="1" applyFill="1" applyBorder="1" applyAlignment="1" applyProtection="1">
      <alignment horizontal="left" wrapText="1"/>
      <protection hidden="1"/>
    </xf>
    <xf numFmtId="0" fontId="28" fillId="3" borderId="0" xfId="0" applyFont="1" applyFill="1" applyAlignment="1" applyProtection="1">
      <alignment horizontal="left" vertical="top"/>
      <protection hidden="1"/>
    </xf>
    <xf numFmtId="0" fontId="3" fillId="9" borderId="4" xfId="0" applyFont="1" applyFill="1" applyBorder="1" applyAlignment="1" applyProtection="1">
      <alignment horizontal="center" vertical="center"/>
      <protection hidden="1"/>
    </xf>
    <xf numFmtId="0" fontId="3" fillId="9" borderId="5" xfId="0" applyFont="1" applyFill="1" applyBorder="1" applyAlignment="1" applyProtection="1">
      <alignment horizontal="center" vertical="center"/>
      <protection hidden="1"/>
    </xf>
    <xf numFmtId="0" fontId="3" fillId="9" borderId="6" xfId="0" applyFont="1" applyFill="1" applyBorder="1" applyAlignment="1" applyProtection="1">
      <alignment horizontal="center" vertical="center"/>
      <protection hidden="1"/>
    </xf>
    <xf numFmtId="0" fontId="6" fillId="6" borderId="11" xfId="0" applyFont="1" applyFill="1" applyBorder="1" applyAlignment="1" applyProtection="1">
      <alignment horizontal="right"/>
      <protection hidden="1"/>
    </xf>
    <xf numFmtId="0" fontId="6" fillId="6" borderId="7" xfId="0" applyFont="1" applyFill="1" applyBorder="1" applyAlignment="1" applyProtection="1">
      <alignment horizontal="right"/>
      <protection hidden="1"/>
    </xf>
    <xf numFmtId="0" fontId="6" fillId="2" borderId="4" xfId="0" applyFont="1" applyFill="1" applyBorder="1" applyAlignment="1" applyProtection="1">
      <alignment horizontal="center" vertical="center" wrapText="1"/>
      <protection hidden="1"/>
    </xf>
    <xf numFmtId="0" fontId="6" fillId="2" borderId="5" xfId="0" applyFont="1" applyFill="1" applyBorder="1" applyAlignment="1" applyProtection="1">
      <alignment horizontal="center" vertical="center" wrapText="1"/>
      <protection hidden="1"/>
    </xf>
    <xf numFmtId="0" fontId="6" fillId="2" borderId="17" xfId="0" applyFont="1" applyFill="1" applyBorder="1" applyAlignment="1" applyProtection="1">
      <alignment horizontal="center" vertical="center" wrapText="1"/>
      <protection hidden="1"/>
    </xf>
    <xf numFmtId="0" fontId="6" fillId="2" borderId="12" xfId="0" applyFont="1" applyFill="1" applyBorder="1" applyAlignment="1" applyProtection="1">
      <alignment horizontal="center" vertical="center" wrapText="1"/>
      <protection hidden="1"/>
    </xf>
    <xf numFmtId="0" fontId="6" fillId="2" borderId="13" xfId="0" applyFont="1" applyFill="1" applyBorder="1" applyAlignment="1" applyProtection="1">
      <alignment horizontal="center" vertical="center" wrapText="1"/>
      <protection hidden="1"/>
    </xf>
    <xf numFmtId="0" fontId="28" fillId="3" borderId="0" xfId="0" applyFont="1" applyFill="1" applyAlignment="1" applyProtection="1">
      <alignment horizontal="left" vertical="top" wrapText="1"/>
      <protection locked="0"/>
    </xf>
    <xf numFmtId="0" fontId="3" fillId="8" borderId="4" xfId="0" applyFont="1" applyFill="1" applyBorder="1" applyAlignment="1" applyProtection="1">
      <alignment horizontal="center" vertical="center"/>
      <protection hidden="1"/>
    </xf>
    <xf numFmtId="0" fontId="3" fillId="8" borderId="5" xfId="0" applyFont="1" applyFill="1" applyBorder="1" applyAlignment="1" applyProtection="1">
      <alignment horizontal="center" vertical="center"/>
      <protection hidden="1"/>
    </xf>
    <xf numFmtId="0" fontId="3" fillId="8" borderId="6" xfId="0" applyFont="1" applyFill="1" applyBorder="1" applyAlignment="1" applyProtection="1">
      <alignment horizontal="center" vertical="center"/>
      <protection hidden="1"/>
    </xf>
    <xf numFmtId="0" fontId="6" fillId="2" borderId="20" xfId="0" applyFont="1" applyFill="1" applyBorder="1" applyAlignment="1" applyProtection="1">
      <alignment horizontal="center" vertical="center" wrapText="1"/>
      <protection hidden="1"/>
    </xf>
    <xf numFmtId="0" fontId="4" fillId="0" borderId="4" xfId="0" applyFont="1" applyBorder="1" applyAlignment="1" applyProtection="1">
      <alignment horizontal="left"/>
      <protection hidden="1"/>
    </xf>
    <xf numFmtId="0" fontId="4" fillId="0" borderId="6" xfId="0" applyFont="1" applyBorder="1" applyAlignment="1" applyProtection="1">
      <alignment horizontal="left"/>
      <protection hidden="1"/>
    </xf>
    <xf numFmtId="0" fontId="6" fillId="2" borderId="13" xfId="0" applyFont="1" applyFill="1" applyBorder="1" applyAlignment="1" applyProtection="1">
      <alignment horizontal="left" vertical="top"/>
      <protection hidden="1"/>
    </xf>
    <xf numFmtId="0" fontId="6" fillId="2" borderId="10" xfId="0" applyFont="1" applyFill="1" applyBorder="1" applyAlignment="1" applyProtection="1">
      <alignment horizontal="left" vertical="top"/>
      <protection hidden="1"/>
    </xf>
    <xf numFmtId="0" fontId="28" fillId="17" borderId="0" xfId="0" applyFont="1" applyFill="1" applyAlignment="1" applyProtection="1">
      <alignment horizontal="left" vertical="top"/>
      <protection locked="0"/>
    </xf>
    <xf numFmtId="0" fontId="6" fillId="2" borderId="4" xfId="0" applyFont="1" applyFill="1" applyBorder="1" applyAlignment="1" applyProtection="1">
      <alignment horizontal="center"/>
      <protection hidden="1"/>
    </xf>
    <xf numFmtId="0" fontId="6" fillId="2" borderId="6" xfId="0" applyFont="1" applyFill="1" applyBorder="1" applyAlignment="1" applyProtection="1">
      <alignment horizontal="center"/>
      <protection hidden="1"/>
    </xf>
    <xf numFmtId="168" fontId="6" fillId="6" borderId="11" xfId="0" applyNumberFormat="1" applyFont="1" applyFill="1" applyBorder="1" applyAlignment="1" applyProtection="1">
      <alignment horizontal="center"/>
      <protection hidden="1"/>
    </xf>
    <xf numFmtId="168" fontId="6" fillId="6" borderId="7" xfId="0" applyNumberFormat="1" applyFont="1" applyFill="1" applyBorder="1" applyAlignment="1" applyProtection="1">
      <alignment horizontal="center"/>
      <protection hidden="1"/>
    </xf>
    <xf numFmtId="0" fontId="28" fillId="3" borderId="9" xfId="0" applyFont="1" applyFill="1" applyBorder="1" applyAlignment="1" applyProtection="1">
      <alignment horizontal="left" vertical="top"/>
      <protection locked="0"/>
    </xf>
    <xf numFmtId="0" fontId="28" fillId="3" borderId="0" xfId="0" applyFont="1" applyFill="1" applyBorder="1" applyAlignment="1" applyProtection="1">
      <alignment horizontal="left" vertical="top"/>
      <protection locked="0"/>
    </xf>
    <xf numFmtId="0" fontId="28" fillId="3" borderId="8" xfId="0" applyFont="1" applyFill="1" applyBorder="1" applyAlignment="1" applyProtection="1">
      <alignment horizontal="left" vertical="top"/>
      <protection locked="0"/>
    </xf>
    <xf numFmtId="0" fontId="28" fillId="3" borderId="13" xfId="0" applyFont="1" applyFill="1" applyBorder="1" applyAlignment="1" applyProtection="1">
      <alignment horizontal="left" vertical="top"/>
      <protection locked="0"/>
    </xf>
    <xf numFmtId="0" fontId="28" fillId="3" borderId="7" xfId="0" applyFont="1" applyFill="1" applyBorder="1" applyAlignment="1" applyProtection="1">
      <alignment horizontal="left" vertical="top"/>
      <protection locked="0"/>
    </xf>
    <xf numFmtId="0" fontId="28" fillId="3" borderId="10" xfId="0" applyFont="1" applyFill="1" applyBorder="1" applyAlignment="1" applyProtection="1">
      <alignment horizontal="left" vertical="top"/>
      <protection locked="0"/>
    </xf>
    <xf numFmtId="0" fontId="6" fillId="2" borderId="5" xfId="0" applyFont="1" applyFill="1" applyBorder="1" applyAlignment="1" applyProtection="1">
      <alignment horizontal="center"/>
      <protection hidden="1"/>
    </xf>
    <xf numFmtId="0" fontId="2" fillId="0" borderId="4" xfId="0" applyFont="1" applyBorder="1" applyAlignment="1" applyProtection="1">
      <alignment horizontal="center"/>
      <protection hidden="1"/>
    </xf>
    <xf numFmtId="0" fontId="2" fillId="0" borderId="5" xfId="0" applyFont="1" applyBorder="1" applyAlignment="1" applyProtection="1">
      <alignment horizontal="center"/>
      <protection hidden="1"/>
    </xf>
    <xf numFmtId="0" fontId="2" fillId="0" borderId="6" xfId="0" applyFont="1" applyBorder="1" applyAlignment="1" applyProtection="1">
      <alignment horizontal="center"/>
      <protection hidden="1"/>
    </xf>
    <xf numFmtId="0" fontId="2" fillId="2" borderId="12" xfId="0" applyFont="1" applyFill="1" applyBorder="1" applyAlignment="1" applyProtection="1">
      <alignment horizontal="center" vertical="center"/>
      <protection hidden="1"/>
    </xf>
    <xf numFmtId="0" fontId="2" fillId="2" borderId="14" xfId="0" applyFont="1" applyFill="1" applyBorder="1" applyAlignment="1" applyProtection="1">
      <alignment horizontal="center" vertical="center"/>
      <protection hidden="1"/>
    </xf>
    <xf numFmtId="0" fontId="28" fillId="3" borderId="12" xfId="0" applyFont="1" applyFill="1" applyBorder="1" applyAlignment="1" applyProtection="1">
      <alignment horizontal="center"/>
      <protection locked="0"/>
    </xf>
    <xf numFmtId="0" fontId="28" fillId="3" borderId="14" xfId="0" applyFont="1" applyFill="1" applyBorder="1" applyAlignment="1" applyProtection="1">
      <alignment horizontal="center"/>
      <protection locked="0"/>
    </xf>
    <xf numFmtId="0" fontId="28" fillId="3" borderId="9" xfId="0" applyFont="1" applyFill="1" applyBorder="1" applyAlignment="1" applyProtection="1">
      <alignment horizontal="center"/>
      <protection locked="0"/>
    </xf>
    <xf numFmtId="0" fontId="28" fillId="3" borderId="8" xfId="0" applyFont="1" applyFill="1" applyBorder="1" applyAlignment="1" applyProtection="1">
      <alignment horizontal="center"/>
      <protection locked="0"/>
    </xf>
    <xf numFmtId="0" fontId="28" fillId="3" borderId="13" xfId="0" applyFont="1" applyFill="1" applyBorder="1" applyAlignment="1" applyProtection="1">
      <alignment horizontal="center"/>
      <protection locked="0"/>
    </xf>
    <xf numFmtId="0" fontId="28" fillId="3" borderId="10" xfId="0" applyFont="1" applyFill="1" applyBorder="1" applyAlignment="1" applyProtection="1">
      <alignment horizontal="center"/>
      <protection locked="0"/>
    </xf>
    <xf numFmtId="0" fontId="28" fillId="3" borderId="0" xfId="0" applyFont="1" applyFill="1" applyAlignment="1" applyProtection="1">
      <alignment horizontal="left" vertical="top"/>
      <protection locked="0"/>
    </xf>
    <xf numFmtId="0" fontId="0" fillId="12" borderId="4" xfId="0" applyFill="1" applyBorder="1" applyAlignment="1" applyProtection="1">
      <alignment horizontal="center"/>
      <protection locked="0"/>
    </xf>
    <xf numFmtId="0" fontId="0" fillId="12" borderId="6" xfId="0" applyFill="1" applyBorder="1" applyAlignment="1" applyProtection="1">
      <alignment horizontal="center"/>
      <protection locked="0"/>
    </xf>
    <xf numFmtId="0" fontId="2" fillId="2" borderId="4" xfId="0" applyFont="1" applyFill="1" applyBorder="1" applyAlignment="1" applyProtection="1">
      <alignment horizontal="center" vertical="center"/>
      <protection hidden="1"/>
    </xf>
    <xf numFmtId="0" fontId="2" fillId="2" borderId="6" xfId="0" applyFont="1" applyFill="1" applyBorder="1" applyAlignment="1" applyProtection="1">
      <alignment horizontal="center" vertical="center"/>
      <protection hidden="1"/>
    </xf>
    <xf numFmtId="0" fontId="15" fillId="3" borderId="0" xfId="0" applyFont="1" applyFill="1" applyAlignment="1" applyProtection="1">
      <alignment horizontal="center"/>
      <protection hidden="1"/>
    </xf>
    <xf numFmtId="0" fontId="2" fillId="2" borderId="1" xfId="0" applyFont="1" applyFill="1" applyBorder="1" applyAlignment="1" applyProtection="1">
      <alignment horizontal="center" vertical="center"/>
      <protection hidden="1"/>
    </xf>
    <xf numFmtId="0" fontId="6" fillId="5" borderId="12" xfId="0" applyFont="1" applyFill="1" applyBorder="1" applyAlignment="1" applyProtection="1">
      <alignment horizontal="right" vertical="center"/>
      <protection hidden="1"/>
    </xf>
    <xf numFmtId="0" fontId="6" fillId="5" borderId="14" xfId="0" applyFont="1" applyFill="1" applyBorder="1" applyAlignment="1" applyProtection="1">
      <alignment horizontal="right" vertical="center"/>
      <protection hidden="1"/>
    </xf>
    <xf numFmtId="0" fontId="6" fillId="5" borderId="4" xfId="0" applyFont="1" applyFill="1" applyBorder="1" applyAlignment="1" applyProtection="1">
      <alignment horizontal="center"/>
      <protection hidden="1"/>
    </xf>
    <xf numFmtId="0" fontId="6" fillId="5" borderId="6" xfId="0" applyFont="1" applyFill="1" applyBorder="1" applyAlignment="1" applyProtection="1">
      <alignment horizontal="center"/>
      <protection hidden="1"/>
    </xf>
    <xf numFmtId="0" fontId="3" fillId="8" borderId="1" xfId="0" applyFont="1" applyFill="1" applyBorder="1" applyAlignment="1" applyProtection="1">
      <alignment horizontal="center" vertical="center"/>
      <protection hidden="1"/>
    </xf>
    <xf numFmtId="0" fontId="6" fillId="4" borderId="12" xfId="0" applyFont="1" applyFill="1" applyBorder="1" applyAlignment="1" applyProtection="1">
      <alignment horizontal="right" vertical="center"/>
      <protection hidden="1"/>
    </xf>
    <xf numFmtId="0" fontId="6" fillId="4" borderId="14" xfId="0" applyFont="1" applyFill="1" applyBorder="1" applyAlignment="1" applyProtection="1">
      <alignment horizontal="right" vertical="center"/>
      <protection hidden="1"/>
    </xf>
    <xf numFmtId="0" fontId="6" fillId="4" borderId="4" xfId="0" applyFont="1" applyFill="1" applyBorder="1" applyAlignment="1" applyProtection="1">
      <alignment horizontal="left" vertical="center" wrapText="1"/>
      <protection hidden="1"/>
    </xf>
    <xf numFmtId="0" fontId="6" fillId="4" borderId="6" xfId="0" applyFont="1" applyFill="1" applyBorder="1" applyAlignment="1" applyProtection="1">
      <alignment horizontal="left" vertical="center" wrapText="1"/>
      <protection hidden="1"/>
    </xf>
    <xf numFmtId="0" fontId="6" fillId="4" borderId="4" xfId="0" applyFont="1" applyFill="1" applyBorder="1" applyAlignment="1" applyProtection="1">
      <alignment horizontal="center" vertical="center"/>
      <protection hidden="1"/>
    </xf>
    <xf numFmtId="0" fontId="6" fillId="4" borderId="6" xfId="0" applyFont="1" applyFill="1" applyBorder="1" applyAlignment="1" applyProtection="1">
      <alignment horizontal="center" vertical="center"/>
      <protection hidden="1"/>
    </xf>
    <xf numFmtId="0" fontId="28" fillId="17" borderId="7" xfId="0" applyFont="1" applyFill="1" applyBorder="1" applyAlignment="1" applyProtection="1">
      <alignment horizontal="left" vertical="top"/>
      <protection locked="0"/>
    </xf>
    <xf numFmtId="3" fontId="6" fillId="6" borderId="11" xfId="0" applyNumberFormat="1" applyFont="1" applyFill="1" applyBorder="1" applyAlignment="1" applyProtection="1">
      <alignment horizontal="left" vertical="top" wrapText="1"/>
      <protection hidden="1"/>
    </xf>
    <xf numFmtId="0" fontId="6" fillId="4" borderId="4" xfId="0" applyFont="1" applyFill="1" applyBorder="1" applyAlignment="1" applyProtection="1">
      <alignment horizontal="center"/>
      <protection hidden="1"/>
    </xf>
    <xf numFmtId="0" fontId="6" fillId="4" borderId="6" xfId="0" applyFont="1" applyFill="1" applyBorder="1" applyAlignment="1" applyProtection="1">
      <alignment horizontal="center"/>
      <protection hidden="1"/>
    </xf>
    <xf numFmtId="0" fontId="0" fillId="3" borderId="0" xfId="0" applyFill="1" applyAlignment="1" applyProtection="1">
      <alignment horizontal="left" vertical="top" wrapText="1"/>
      <protection locked="0"/>
    </xf>
    <xf numFmtId="0" fontId="4" fillId="3" borderId="6" xfId="0" applyFont="1" applyFill="1" applyBorder="1" applyAlignment="1" applyProtection="1">
      <alignment horizontal="left"/>
      <protection hidden="1"/>
    </xf>
    <xf numFmtId="0" fontId="4" fillId="17" borderId="6" xfId="0" applyFont="1" applyFill="1" applyBorder="1" applyAlignment="1" applyProtection="1">
      <alignment horizontal="left"/>
      <protection hidden="1"/>
    </xf>
    <xf numFmtId="0" fontId="3" fillId="8" borderId="6" xfId="0" applyFont="1" applyFill="1" applyBorder="1" applyAlignment="1" applyProtection="1">
      <alignment horizontal="center" vertical="center"/>
      <protection locked="0"/>
    </xf>
    <xf numFmtId="0" fontId="6" fillId="2" borderId="12" xfId="0" applyFont="1" applyFill="1" applyBorder="1" applyAlignment="1" applyProtection="1">
      <alignment horizontal="right" vertical="center"/>
      <protection locked="0"/>
    </xf>
    <xf numFmtId="0" fontId="6" fillId="2" borderId="14" xfId="0" applyFont="1" applyFill="1" applyBorder="1" applyAlignment="1" applyProtection="1">
      <alignment horizontal="right" vertical="center"/>
      <protection locked="0"/>
    </xf>
    <xf numFmtId="0" fontId="6" fillId="2" borderId="4"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6" fillId="2" borderId="4" xfId="0" applyFont="1" applyFill="1" applyBorder="1" applyAlignment="1" applyProtection="1">
      <alignment horizontal="center" vertical="center" wrapText="1"/>
      <protection locked="0"/>
    </xf>
    <xf numFmtId="0" fontId="6" fillId="2" borderId="6" xfId="0" applyFont="1" applyFill="1" applyBorder="1" applyAlignment="1" applyProtection="1">
      <alignment horizontal="center" vertical="center" wrapText="1"/>
      <protection locked="0"/>
    </xf>
    <xf numFmtId="164" fontId="8" fillId="3" borderId="4" xfId="1" applyNumberFormat="1" applyFont="1" applyFill="1" applyBorder="1" applyAlignment="1" applyProtection="1">
      <alignment horizontal="center"/>
      <protection locked="0"/>
    </xf>
    <xf numFmtId="164" fontId="8" fillId="3" borderId="6" xfId="1" applyNumberFormat="1" applyFont="1" applyFill="1" applyBorder="1" applyAlignment="1" applyProtection="1">
      <alignment horizontal="center"/>
      <protection locked="0"/>
    </xf>
    <xf numFmtId="3" fontId="6" fillId="6" borderId="11" xfId="0" applyNumberFormat="1" applyFont="1" applyFill="1" applyBorder="1" applyAlignment="1" applyProtection="1">
      <alignment horizontal="left" vertical="top" wrapText="1"/>
      <protection locked="0"/>
    </xf>
    <xf numFmtId="0" fontId="28" fillId="3" borderId="0" xfId="0" applyFont="1" applyFill="1" applyAlignment="1" applyProtection="1">
      <alignment horizontal="left"/>
      <protection locked="0"/>
    </xf>
    <xf numFmtId="0" fontId="0" fillId="3" borderId="0" xfId="0" applyFill="1" applyAlignment="1" applyProtection="1">
      <alignment horizontal="left" vertical="top"/>
      <protection locked="0"/>
    </xf>
    <xf numFmtId="0" fontId="6" fillId="6" borderId="11" xfId="0" applyFont="1" applyFill="1" applyBorder="1" applyAlignment="1" applyProtection="1">
      <alignment horizontal="right" vertical="top"/>
      <protection hidden="1"/>
    </xf>
    <xf numFmtId="0" fontId="6" fillId="2" borderId="5" xfId="0" applyFont="1" applyFill="1" applyBorder="1" applyAlignment="1" applyProtection="1">
      <alignment horizontal="center"/>
      <protection locked="0"/>
    </xf>
    <xf numFmtId="0" fontId="6" fillId="6" borderId="11" xfId="0" applyFont="1" applyFill="1" applyBorder="1" applyAlignment="1" applyProtection="1">
      <alignment horizontal="right" vertical="top"/>
      <protection locked="0"/>
    </xf>
    <xf numFmtId="0" fontId="6" fillId="6" borderId="7" xfId="0" applyFont="1" applyFill="1" applyBorder="1" applyAlignment="1" applyProtection="1">
      <alignment horizontal="right"/>
      <protection locked="0"/>
    </xf>
    <xf numFmtId="0" fontId="6" fillId="2" borderId="4" xfId="0" applyFont="1" applyFill="1" applyBorder="1" applyAlignment="1" applyProtection="1">
      <alignment horizontal="center" vertical="center"/>
      <protection locked="0"/>
    </xf>
    <xf numFmtId="0" fontId="6" fillId="2" borderId="6" xfId="0" applyFont="1" applyFill="1" applyBorder="1" applyAlignment="1" applyProtection="1">
      <alignment horizontal="center" vertical="center"/>
      <protection locked="0"/>
    </xf>
    <xf numFmtId="0" fontId="2" fillId="2" borderId="1" xfId="0" applyFont="1" applyFill="1" applyBorder="1" applyAlignment="1" applyProtection="1">
      <alignment horizontal="center"/>
      <protection locked="0"/>
    </xf>
    <xf numFmtId="0" fontId="4" fillId="3" borderId="4" xfId="0" applyFont="1" applyFill="1" applyBorder="1" applyAlignment="1" applyProtection="1">
      <alignment horizontal="left"/>
      <protection locked="0"/>
    </xf>
    <xf numFmtId="0" fontId="4" fillId="3" borderId="6" xfId="0" applyFont="1" applyFill="1" applyBorder="1" applyAlignment="1" applyProtection="1">
      <alignment horizontal="left"/>
      <protection locked="0"/>
    </xf>
    <xf numFmtId="0" fontId="6" fillId="2" borderId="4" xfId="0" applyFont="1" applyFill="1" applyBorder="1" applyAlignment="1" applyProtection="1">
      <alignment horizontal="left" wrapText="1"/>
      <protection locked="0"/>
    </xf>
    <xf numFmtId="0" fontId="6" fillId="2" borderId="6" xfId="0" applyFont="1" applyFill="1" applyBorder="1" applyAlignment="1" applyProtection="1">
      <alignment horizontal="left" wrapText="1"/>
      <protection locked="0"/>
    </xf>
    <xf numFmtId="0" fontId="6" fillId="6" borderId="11" xfId="0" applyFont="1" applyFill="1" applyBorder="1" applyAlignment="1" applyProtection="1">
      <alignment horizontal="right"/>
      <protection locked="0"/>
    </xf>
    <xf numFmtId="0" fontId="4" fillId="3" borderId="4" xfId="0" applyFont="1" applyFill="1" applyBorder="1" applyAlignment="1" applyProtection="1">
      <alignment horizontal="left" wrapText="1"/>
      <protection locked="0"/>
    </xf>
    <xf numFmtId="0" fontId="4" fillId="3" borderId="6" xfId="0" applyFont="1" applyFill="1" applyBorder="1" applyAlignment="1" applyProtection="1">
      <alignment horizontal="left" wrapText="1"/>
      <protection locked="0"/>
    </xf>
    <xf numFmtId="0" fontId="4" fillId="3" borderId="1" xfId="0" applyFont="1" applyFill="1" applyBorder="1" applyAlignment="1" applyProtection="1">
      <alignment horizontal="left" wrapText="1"/>
      <protection locked="0"/>
    </xf>
    <xf numFmtId="0" fontId="6" fillId="2" borderId="1"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protection locked="0"/>
    </xf>
    <xf numFmtId="0" fontId="3" fillId="8" borderId="1" xfId="0" applyFont="1" applyFill="1" applyBorder="1" applyAlignment="1" applyProtection="1">
      <alignment horizontal="center" vertical="center"/>
      <protection locked="0"/>
    </xf>
    <xf numFmtId="0" fontId="14" fillId="2" borderId="4" xfId="0" applyFont="1" applyFill="1" applyBorder="1" applyAlignment="1" applyProtection="1">
      <alignment horizontal="center"/>
      <protection locked="0"/>
    </xf>
    <xf numFmtId="0" fontId="14" fillId="2" borderId="5" xfId="0" applyFont="1" applyFill="1" applyBorder="1" applyAlignment="1" applyProtection="1">
      <alignment horizontal="center"/>
      <protection locked="0"/>
    </xf>
    <xf numFmtId="0" fontId="14" fillId="2" borderId="6" xfId="0" applyFont="1" applyFill="1" applyBorder="1" applyAlignment="1" applyProtection="1">
      <alignment horizontal="center"/>
      <protection locked="0"/>
    </xf>
    <xf numFmtId="0" fontId="6" fillId="3" borderId="4" xfId="0" applyFont="1" applyFill="1" applyBorder="1" applyAlignment="1" applyProtection="1">
      <alignment horizontal="left" wrapText="1"/>
      <protection locked="0"/>
    </xf>
    <xf numFmtId="0" fontId="6" fillId="3" borderId="6" xfId="0" applyFont="1" applyFill="1" applyBorder="1" applyAlignment="1" applyProtection="1">
      <alignment horizontal="left" wrapText="1"/>
      <protection locked="0"/>
    </xf>
    <xf numFmtId="0" fontId="6" fillId="2"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left" wrapText="1"/>
      <protection locked="0"/>
    </xf>
    <xf numFmtId="0" fontId="28" fillId="3" borderId="0" xfId="0" applyFont="1" applyFill="1" applyAlignment="1" applyProtection="1">
      <alignment horizontal="center" vertical="top"/>
      <protection locked="0"/>
    </xf>
    <xf numFmtId="3" fontId="6" fillId="6" borderId="11" xfId="0" applyNumberFormat="1" applyFont="1" applyFill="1" applyBorder="1" applyAlignment="1" applyProtection="1">
      <protection locked="0"/>
    </xf>
    <xf numFmtId="0" fontId="6" fillId="6" borderId="7" xfId="0" applyNumberFormat="1" applyFont="1" applyFill="1" applyBorder="1" applyAlignment="1" applyProtection="1">
      <alignment horizontal="left"/>
      <protection locked="0"/>
    </xf>
    <xf numFmtId="0" fontId="19" fillId="3" borderId="4" xfId="0" applyFont="1" applyFill="1" applyBorder="1" applyAlignment="1" applyProtection="1">
      <alignment horizontal="left"/>
      <protection locked="0"/>
    </xf>
    <xf numFmtId="0" fontId="19" fillId="3" borderId="6" xfId="0" applyFont="1" applyFill="1" applyBorder="1" applyAlignment="1" applyProtection="1">
      <alignment horizontal="left"/>
      <protection locked="0"/>
    </xf>
    <xf numFmtId="0" fontId="19" fillId="2" borderId="4" xfId="0" applyFont="1" applyFill="1" applyBorder="1" applyAlignment="1" applyProtection="1">
      <alignment horizontal="left"/>
      <protection locked="0"/>
    </xf>
    <xf numFmtId="0" fontId="19" fillId="2" borderId="6" xfId="0" applyFont="1" applyFill="1" applyBorder="1" applyAlignment="1" applyProtection="1">
      <alignment horizontal="left"/>
      <protection locked="0"/>
    </xf>
    <xf numFmtId="0" fontId="6" fillId="2" borderId="3" xfId="0" applyFont="1" applyFill="1" applyBorder="1" applyAlignment="1" applyProtection="1">
      <alignment horizontal="left" vertical="top"/>
      <protection locked="0"/>
    </xf>
    <xf numFmtId="164" fontId="18" fillId="2" borderId="1" xfId="1" applyNumberFormat="1" applyFont="1" applyFill="1" applyBorder="1" applyAlignment="1" applyProtection="1">
      <alignment horizontal="center" vertical="center" wrapText="1"/>
      <protection locked="0"/>
    </xf>
    <xf numFmtId="0" fontId="19" fillId="3" borderId="4" xfId="0" applyFont="1" applyFill="1" applyBorder="1" applyAlignment="1" applyProtection="1">
      <alignment horizontal="left" wrapText="1"/>
      <protection locked="0"/>
    </xf>
    <xf numFmtId="0" fontId="19" fillId="3" borderId="6" xfId="0" applyFont="1" applyFill="1" applyBorder="1" applyAlignment="1" applyProtection="1">
      <alignment horizontal="left" wrapText="1"/>
      <protection locked="0"/>
    </xf>
    <xf numFmtId="164" fontId="18" fillId="2" borderId="1" xfId="1" applyNumberFormat="1" applyFont="1" applyFill="1" applyBorder="1" applyAlignment="1" applyProtection="1">
      <alignment horizontal="center"/>
      <protection locked="0"/>
    </xf>
    <xf numFmtId="0" fontId="18" fillId="2" borderId="2" xfId="0" applyFont="1" applyFill="1" applyBorder="1" applyAlignment="1" applyProtection="1">
      <alignment horizontal="center" vertical="center"/>
      <protection locked="0"/>
    </xf>
    <xf numFmtId="0" fontId="18" fillId="2" borderId="3" xfId="0" applyFont="1" applyFill="1" applyBorder="1" applyAlignment="1" applyProtection="1">
      <alignment horizontal="center" vertical="center"/>
      <protection locked="0"/>
    </xf>
    <xf numFmtId="164" fontId="18" fillId="2" borderId="2" xfId="1" applyNumberFormat="1" applyFont="1" applyFill="1" applyBorder="1" applyAlignment="1" applyProtection="1">
      <alignment horizontal="center" vertical="center"/>
      <protection locked="0"/>
    </xf>
    <xf numFmtId="164" fontId="18" fillId="2" borderId="3" xfId="1" applyNumberFormat="1" applyFont="1" applyFill="1" applyBorder="1" applyAlignment="1" applyProtection="1">
      <alignment horizontal="center" vertical="center"/>
      <protection locked="0"/>
    </xf>
    <xf numFmtId="0" fontId="6" fillId="2" borderId="1" xfId="0" applyFont="1" applyFill="1" applyBorder="1" applyAlignment="1" applyProtection="1">
      <alignment horizontal="right" vertical="top"/>
      <protection locked="0"/>
    </xf>
    <xf numFmtId="0" fontId="6" fillId="2" borderId="2" xfId="0" applyFont="1" applyFill="1" applyBorder="1" applyAlignment="1" applyProtection="1">
      <alignment horizontal="right" vertical="top"/>
      <protection locked="0"/>
    </xf>
    <xf numFmtId="0" fontId="19" fillId="3" borderId="0" xfId="0" applyFont="1" applyFill="1" applyAlignment="1" applyProtection="1">
      <alignment horizontal="left" vertical="top" wrapText="1"/>
      <protection locked="0"/>
    </xf>
    <xf numFmtId="0" fontId="20" fillId="3" borderId="8" xfId="0" applyFont="1" applyFill="1" applyBorder="1" applyAlignment="1" applyProtection="1">
      <alignment horizontal="center"/>
      <protection locked="0"/>
    </xf>
    <xf numFmtId="0" fontId="18" fillId="2" borderId="1"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protection locked="0"/>
    </xf>
    <xf numFmtId="164" fontId="18" fillId="2" borderId="1" xfId="1" applyNumberFormat="1" applyFont="1" applyFill="1" applyBorder="1" applyAlignment="1" applyProtection="1">
      <alignment horizontal="center" vertical="center"/>
      <protection locked="0"/>
    </xf>
    <xf numFmtId="164" fontId="6" fillId="2" borderId="1" xfId="1" applyNumberFormat="1" applyFont="1" applyFill="1" applyBorder="1" applyAlignment="1" applyProtection="1">
      <alignment horizontal="center"/>
      <protection locked="0"/>
    </xf>
    <xf numFmtId="0" fontId="18" fillId="2" borderId="1"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wrapText="1"/>
      <protection hidden="1"/>
    </xf>
    <xf numFmtId="0" fontId="4" fillId="3" borderId="1" xfId="0" applyFont="1" applyFill="1" applyBorder="1" applyAlignment="1" applyProtection="1">
      <alignment horizontal="left" wrapText="1"/>
      <protection hidden="1"/>
    </xf>
    <xf numFmtId="0" fontId="6" fillId="2" borderId="1" xfId="0" applyFont="1" applyFill="1" applyBorder="1" applyAlignment="1" applyProtection="1">
      <alignment horizontal="left" vertical="center" wrapText="1"/>
      <protection hidden="1"/>
    </xf>
    <xf numFmtId="0" fontId="6" fillId="2" borderId="2" xfId="0" applyFont="1" applyFill="1" applyBorder="1" applyAlignment="1" applyProtection="1">
      <alignment horizontal="right" vertical="center"/>
      <protection hidden="1"/>
    </xf>
    <xf numFmtId="0" fontId="6" fillId="2" borderId="1" xfId="0" applyFont="1" applyFill="1" applyBorder="1" applyAlignment="1" applyProtection="1">
      <alignment horizontal="left" wrapText="1"/>
      <protection hidden="1"/>
    </xf>
    <xf numFmtId="0" fontId="6" fillId="2" borderId="3" xfId="0" applyFont="1" applyFill="1" applyBorder="1" applyAlignment="1" applyProtection="1">
      <alignment horizontal="left" vertical="center"/>
      <protection hidden="1"/>
    </xf>
    <xf numFmtId="0" fontId="6" fillId="2" borderId="1" xfId="0" applyFont="1" applyFill="1" applyBorder="1" applyAlignment="1" applyProtection="1">
      <alignment horizontal="left" vertical="center"/>
      <protection hidden="1"/>
    </xf>
    <xf numFmtId="0" fontId="28" fillId="3" borderId="0" xfId="0" applyFont="1" applyFill="1" applyAlignment="1" applyProtection="1">
      <alignment horizontal="left" wrapText="1"/>
      <protection locked="0"/>
    </xf>
    <xf numFmtId="0" fontId="20" fillId="2" borderId="4" xfId="0" applyFont="1" applyFill="1" applyBorder="1" applyAlignment="1" applyProtection="1">
      <alignment horizontal="center"/>
      <protection hidden="1"/>
    </xf>
    <xf numFmtId="0" fontId="20" fillId="2" borderId="6" xfId="0" applyFont="1" applyFill="1" applyBorder="1" applyAlignment="1" applyProtection="1">
      <alignment horizontal="center"/>
      <protection hidden="1"/>
    </xf>
    <xf numFmtId="168" fontId="6" fillId="2" borderId="2" xfId="0" applyNumberFormat="1" applyFont="1" applyFill="1" applyBorder="1" applyAlignment="1" applyProtection="1">
      <alignment horizontal="center" vertical="center" wrapText="1"/>
      <protection hidden="1"/>
    </xf>
    <xf numFmtId="168" fontId="6" fillId="2" borderId="3" xfId="0" applyNumberFormat="1" applyFont="1" applyFill="1" applyBorder="1" applyAlignment="1" applyProtection="1">
      <alignment horizontal="center" vertical="center" wrapText="1"/>
      <protection hidden="1"/>
    </xf>
    <xf numFmtId="0" fontId="4" fillId="3" borderId="4" xfId="0" applyFont="1" applyFill="1" applyBorder="1" applyAlignment="1" applyProtection="1">
      <alignment horizontal="center"/>
      <protection hidden="1"/>
    </xf>
    <xf numFmtId="0" fontId="4" fillId="3" borderId="6" xfId="0" applyFont="1" applyFill="1" applyBorder="1" applyAlignment="1" applyProtection="1">
      <alignment horizontal="center"/>
      <protection hidden="1"/>
    </xf>
    <xf numFmtId="164" fontId="6" fillId="2" borderId="4" xfId="1" applyNumberFormat="1" applyFont="1" applyFill="1" applyBorder="1" applyAlignment="1" applyProtection="1">
      <alignment horizontal="center"/>
      <protection locked="0"/>
    </xf>
    <xf numFmtId="164" fontId="6" fillId="2" borderId="6" xfId="1" applyNumberFormat="1" applyFont="1" applyFill="1" applyBorder="1" applyAlignment="1" applyProtection="1">
      <alignment horizontal="center"/>
      <protection locked="0"/>
    </xf>
    <xf numFmtId="0" fontId="6" fillId="2" borderId="5"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protection locked="0"/>
    </xf>
    <xf numFmtId="0" fontId="6" fillId="2" borderId="13" xfId="0"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wrapText="1"/>
      <protection locked="0"/>
    </xf>
    <xf numFmtId="164" fontId="6" fillId="2" borderId="2" xfId="1" applyNumberFormat="1" applyFont="1" applyFill="1" applyBorder="1" applyAlignment="1" applyProtection="1">
      <alignment horizontal="center" vertical="center"/>
      <protection locked="0"/>
    </xf>
    <xf numFmtId="164" fontId="6" fillId="2" borderId="3" xfId="1" applyNumberFormat="1" applyFont="1" applyFill="1" applyBorder="1" applyAlignment="1" applyProtection="1">
      <alignment horizontal="center" vertical="center"/>
      <protection locked="0"/>
    </xf>
    <xf numFmtId="3" fontId="6" fillId="6" borderId="11" xfId="0" applyNumberFormat="1" applyFont="1" applyFill="1" applyBorder="1" applyAlignment="1" applyProtection="1">
      <alignment horizontal="center" vertical="top" wrapText="1"/>
      <protection locked="0"/>
    </xf>
    <xf numFmtId="0" fontId="20" fillId="3" borderId="4" xfId="0" applyFont="1" applyFill="1" applyBorder="1" applyAlignment="1" applyProtection="1">
      <alignment horizontal="left" wrapText="1"/>
      <protection hidden="1"/>
    </xf>
    <xf numFmtId="0" fontId="20" fillId="3" borderId="6" xfId="0" applyFont="1" applyFill="1" applyBorder="1" applyAlignment="1" applyProtection="1">
      <alignment horizontal="left" wrapText="1"/>
      <protection hidden="1"/>
    </xf>
    <xf numFmtId="9" fontId="8" fillId="7" borderId="2" xfId="4" applyFont="1" applyFill="1" applyBorder="1" applyAlignment="1" applyProtection="1">
      <alignment horizontal="center"/>
      <protection hidden="1"/>
    </xf>
    <xf numFmtId="9" fontId="8" fillId="7" borderId="20" xfId="4" applyFont="1" applyFill="1" applyBorder="1" applyAlignment="1" applyProtection="1">
      <alignment horizontal="center"/>
      <protection hidden="1"/>
    </xf>
    <xf numFmtId="9" fontId="8" fillId="19" borderId="20" xfId="4" applyFont="1" applyFill="1" applyBorder="1" applyAlignment="1" applyProtection="1">
      <alignment horizontal="center"/>
      <protection hidden="1"/>
    </xf>
    <xf numFmtId="9" fontId="8" fillId="7" borderId="3" xfId="4" applyFont="1" applyFill="1" applyBorder="1" applyAlignment="1" applyProtection="1">
      <alignment horizontal="center"/>
      <protection hidden="1"/>
    </xf>
    <xf numFmtId="0" fontId="7" fillId="2" borderId="4" xfId="0" applyFont="1" applyFill="1" applyBorder="1" applyAlignment="1" applyProtection="1">
      <alignment horizontal="left"/>
      <protection hidden="1"/>
    </xf>
    <xf numFmtId="0" fontId="7" fillId="2" borderId="6" xfId="0" applyFont="1" applyFill="1" applyBorder="1" applyAlignment="1" applyProtection="1">
      <alignment horizontal="left"/>
      <protection hidden="1"/>
    </xf>
    <xf numFmtId="0" fontId="3" fillId="8" borderId="4" xfId="0" applyFont="1" applyFill="1" applyBorder="1" applyAlignment="1" applyProtection="1">
      <alignment horizontal="center" vertical="center" wrapText="1"/>
      <protection locked="0"/>
    </xf>
    <xf numFmtId="0" fontId="3" fillId="8" borderId="5" xfId="0" applyFont="1" applyFill="1" applyBorder="1" applyAlignment="1" applyProtection="1">
      <alignment horizontal="center" vertical="center" wrapText="1"/>
      <protection locked="0"/>
    </xf>
    <xf numFmtId="0" fontId="3" fillId="8" borderId="6" xfId="0" applyFont="1" applyFill="1" applyBorder="1" applyAlignment="1" applyProtection="1">
      <alignment horizontal="center" vertical="center" wrapText="1"/>
      <protection locked="0"/>
    </xf>
    <xf numFmtId="0" fontId="14" fillId="17" borderId="4" xfId="0" applyFont="1" applyFill="1" applyBorder="1" applyAlignment="1" applyProtection="1">
      <alignment horizontal="center"/>
      <protection locked="0"/>
    </xf>
    <xf numFmtId="0" fontId="14" fillId="17" borderId="5" xfId="0" applyFont="1" applyFill="1" applyBorder="1" applyAlignment="1" applyProtection="1">
      <alignment horizontal="center"/>
      <protection locked="0"/>
    </xf>
    <xf numFmtId="0" fontId="14" fillId="17" borderId="6" xfId="0" applyFont="1" applyFill="1" applyBorder="1" applyAlignment="1" applyProtection="1">
      <alignment horizontal="center"/>
      <protection locked="0"/>
    </xf>
    <xf numFmtId="0" fontId="4" fillId="17" borderId="13" xfId="0" applyFont="1" applyFill="1" applyBorder="1" applyAlignment="1" applyProtection="1">
      <alignment horizontal="left" wrapText="1"/>
      <protection locked="0"/>
    </xf>
    <xf numFmtId="0" fontId="4" fillId="17" borderId="7" xfId="0" applyFont="1" applyFill="1" applyBorder="1" applyAlignment="1" applyProtection="1">
      <alignment horizontal="left" wrapText="1"/>
      <protection locked="0"/>
    </xf>
    <xf numFmtId="0" fontId="4" fillId="17" borderId="10" xfId="0" applyFont="1" applyFill="1" applyBorder="1" applyAlignment="1" applyProtection="1">
      <alignment horizontal="left" wrapText="1"/>
      <protection locked="0"/>
    </xf>
    <xf numFmtId="0" fontId="4" fillId="3" borderId="9" xfId="0" applyFont="1" applyFill="1" applyBorder="1" applyAlignment="1" applyProtection="1">
      <alignment horizontal="left" wrapText="1"/>
      <protection locked="0"/>
    </xf>
    <xf numFmtId="0" fontId="4" fillId="3" borderId="0" xfId="0" applyFont="1" applyFill="1" applyBorder="1" applyAlignment="1" applyProtection="1">
      <alignment horizontal="left" wrapText="1"/>
      <protection locked="0"/>
    </xf>
    <xf numFmtId="0" fontId="4" fillId="3" borderId="8" xfId="0" applyFont="1" applyFill="1" applyBorder="1" applyAlignment="1" applyProtection="1">
      <alignment horizontal="left" wrapText="1"/>
      <protection locked="0"/>
    </xf>
    <xf numFmtId="0" fontId="4" fillId="17" borderId="9" xfId="0" applyFont="1" applyFill="1" applyBorder="1" applyAlignment="1" applyProtection="1">
      <alignment horizontal="left" wrapText="1"/>
      <protection locked="0"/>
    </xf>
    <xf numFmtId="0" fontId="4" fillId="17" borderId="0" xfId="0" applyFont="1" applyFill="1" applyBorder="1" applyAlignment="1" applyProtection="1">
      <alignment horizontal="left" wrapText="1"/>
      <protection locked="0"/>
    </xf>
    <xf numFmtId="0" fontId="4" fillId="17" borderId="8" xfId="0" applyFont="1" applyFill="1" applyBorder="1" applyAlignment="1" applyProtection="1">
      <alignment horizontal="left" wrapText="1"/>
      <protection locked="0"/>
    </xf>
    <xf numFmtId="0" fontId="6" fillId="17" borderId="4" xfId="0" applyFont="1" applyFill="1" applyBorder="1" applyAlignment="1" applyProtection="1">
      <alignment horizontal="center" wrapText="1"/>
      <protection locked="0"/>
    </xf>
    <xf numFmtId="0" fontId="6" fillId="17" borderId="5" xfId="0" applyFont="1" applyFill="1" applyBorder="1" applyAlignment="1" applyProtection="1">
      <alignment horizontal="center" wrapText="1"/>
      <protection locked="0"/>
    </xf>
    <xf numFmtId="0" fontId="6" fillId="17" borderId="6" xfId="0" applyFont="1" applyFill="1" applyBorder="1" applyAlignment="1" applyProtection="1">
      <alignment horizontal="center" wrapText="1"/>
      <protection locked="0"/>
    </xf>
    <xf numFmtId="0" fontId="6" fillId="17" borderId="12" xfId="0" applyFont="1" applyFill="1" applyBorder="1" applyAlignment="1" applyProtection="1">
      <alignment horizontal="left" wrapText="1"/>
      <protection locked="0"/>
    </xf>
    <xf numFmtId="0" fontId="6" fillId="17" borderId="11" xfId="0" applyFont="1" applyFill="1" applyBorder="1" applyAlignment="1" applyProtection="1">
      <alignment horizontal="left" wrapText="1"/>
      <protection locked="0"/>
    </xf>
    <xf numFmtId="0" fontId="6" fillId="17" borderId="14" xfId="0" applyFont="1" applyFill="1" applyBorder="1" applyAlignment="1" applyProtection="1">
      <alignment horizontal="left" wrapText="1"/>
      <protection locked="0"/>
    </xf>
    <xf numFmtId="0" fontId="93" fillId="0" borderId="0" xfId="0" applyFont="1" applyBorder="1" applyAlignment="1" applyProtection="1">
      <alignment horizontal="center" vertical="center" wrapText="1"/>
    </xf>
    <xf numFmtId="0" fontId="93" fillId="0" borderId="0" xfId="0" applyFont="1" applyBorder="1" applyAlignment="1" applyProtection="1">
      <alignment horizontal="center" vertical="center"/>
    </xf>
    <xf numFmtId="0" fontId="95" fillId="0" borderId="96" xfId="0" applyNumberFormat="1" applyFont="1" applyFill="1" applyBorder="1" applyAlignment="1">
      <alignment horizontal="left" vertical="center"/>
    </xf>
    <xf numFmtId="0" fontId="95" fillId="0" borderId="105" xfId="0" applyNumberFormat="1" applyFont="1" applyFill="1" applyBorder="1" applyAlignment="1">
      <alignment horizontal="left" vertical="center"/>
    </xf>
    <xf numFmtId="0" fontId="95" fillId="0" borderId="97" xfId="0" applyNumberFormat="1" applyFont="1" applyFill="1" applyBorder="1" applyAlignment="1">
      <alignment horizontal="left" vertical="center"/>
    </xf>
    <xf numFmtId="49" fontId="17" fillId="0" borderId="0" xfId="0" applyNumberFormat="1" applyFont="1" applyAlignment="1">
      <alignment horizontal="center" vertical="center"/>
    </xf>
    <xf numFmtId="49" fontId="9" fillId="0" borderId="96" xfId="0" applyNumberFormat="1" applyFont="1" applyBorder="1" applyAlignment="1">
      <alignment horizontal="center" vertical="center" wrapText="1"/>
    </xf>
    <xf numFmtId="49" fontId="9" fillId="0" borderId="97" xfId="0" applyNumberFormat="1" applyFont="1" applyBorder="1" applyAlignment="1">
      <alignment horizontal="center" vertical="center" wrapText="1"/>
    </xf>
    <xf numFmtId="3" fontId="18" fillId="16" borderId="98" xfId="0" applyNumberFormat="1" applyFont="1" applyFill="1" applyBorder="1" applyAlignment="1" applyProtection="1">
      <alignment horizontal="left"/>
      <protection locked="0"/>
    </xf>
    <xf numFmtId="0" fontId="18" fillId="16" borderId="98" xfId="0" applyNumberFormat="1" applyFont="1" applyFill="1" applyBorder="1" applyAlignment="1" applyProtection="1">
      <alignment horizontal="left"/>
      <protection locked="0"/>
    </xf>
    <xf numFmtId="0" fontId="18" fillId="16" borderId="99" xfId="0" applyNumberFormat="1" applyFont="1" applyFill="1" applyBorder="1" applyAlignment="1" applyProtection="1">
      <alignment horizontal="left"/>
      <protection locked="0"/>
    </xf>
    <xf numFmtId="3" fontId="95" fillId="16" borderId="98" xfId="0" applyNumberFormat="1" applyFont="1" applyFill="1" applyBorder="1" applyAlignment="1" applyProtection="1">
      <alignment horizontal="center"/>
      <protection locked="0"/>
    </xf>
    <xf numFmtId="0" fontId="95" fillId="16" borderId="98" xfId="0" applyNumberFormat="1" applyFont="1" applyFill="1" applyBorder="1" applyAlignment="1" applyProtection="1">
      <alignment horizontal="center"/>
      <protection locked="0"/>
    </xf>
    <xf numFmtId="14" fontId="18" fillId="16" borderId="101" xfId="0" applyNumberFormat="1" applyFont="1" applyFill="1" applyBorder="1" applyAlignment="1" applyProtection="1">
      <alignment horizontal="center"/>
      <protection locked="0"/>
    </xf>
    <xf numFmtId="0" fontId="18" fillId="16" borderId="101" xfId="0" applyNumberFormat="1" applyFont="1" applyFill="1" applyBorder="1" applyAlignment="1" applyProtection="1">
      <alignment horizontal="center"/>
      <protection locked="0"/>
    </xf>
    <xf numFmtId="0" fontId="95" fillId="16" borderId="102" xfId="0" applyNumberFormat="1" applyFont="1" applyFill="1" applyBorder="1" applyAlignment="1" applyProtection="1">
      <alignment horizontal="center"/>
      <protection locked="0"/>
    </xf>
    <xf numFmtId="1" fontId="97" fillId="16" borderId="103" xfId="0" applyNumberFormat="1" applyFont="1" applyFill="1" applyBorder="1" applyAlignment="1" applyProtection="1">
      <alignment horizontal="left"/>
      <protection locked="0"/>
    </xf>
    <xf numFmtId="0" fontId="98" fillId="0" borderId="0" xfId="0" applyFont="1" applyAlignment="1">
      <alignment horizontal="center" vertical="center"/>
    </xf>
    <xf numFmtId="0" fontId="95" fillId="12" borderId="96" xfId="0" applyFont="1" applyFill="1" applyBorder="1" applyAlignment="1">
      <alignment horizontal="center" vertical="center"/>
    </xf>
    <xf numFmtId="0" fontId="95" fillId="12" borderId="105" xfId="0" applyFont="1" applyFill="1" applyBorder="1" applyAlignment="1">
      <alignment horizontal="center" vertical="center"/>
    </xf>
    <xf numFmtId="0" fontId="95" fillId="12" borderId="97" xfId="0" applyFont="1" applyFill="1" applyBorder="1" applyAlignment="1">
      <alignment horizontal="center" vertical="center"/>
    </xf>
    <xf numFmtId="0" fontId="95" fillId="0" borderId="106" xfId="0" applyNumberFormat="1" applyFont="1" applyBorder="1" applyAlignment="1">
      <alignment horizontal="left" vertical="center"/>
    </xf>
    <xf numFmtId="0" fontId="95" fillId="0" borderId="96" xfId="0" applyNumberFormat="1" applyFont="1" applyBorder="1" applyAlignment="1" applyProtection="1">
      <alignment horizontal="left" vertical="center" wrapText="1"/>
      <protection locked="0"/>
    </xf>
    <xf numFmtId="0" fontId="95" fillId="0" borderId="105" xfId="0" applyNumberFormat="1" applyFont="1" applyBorder="1" applyAlignment="1" applyProtection="1">
      <alignment horizontal="left" vertical="center" wrapText="1"/>
      <protection locked="0"/>
    </xf>
    <xf numFmtId="0" fontId="95" fillId="0" borderId="97" xfId="0" applyNumberFormat="1" applyFont="1" applyBorder="1" applyAlignment="1" applyProtection="1">
      <alignment horizontal="left" vertical="center" wrapText="1"/>
      <protection locked="0"/>
    </xf>
    <xf numFmtId="2" fontId="95" fillId="0" borderId="106" xfId="0" applyNumberFormat="1" applyFont="1" applyBorder="1" applyAlignment="1">
      <alignment horizontal="left" vertical="center"/>
    </xf>
    <xf numFmtId="0" fontId="95" fillId="0" borderId="96" xfId="0" applyNumberFormat="1" applyFont="1" applyBorder="1" applyAlignment="1">
      <alignment horizontal="left" vertical="center"/>
    </xf>
    <xf numFmtId="0" fontId="95" fillId="0" borderId="105" xfId="0" applyNumberFormat="1" applyFont="1" applyBorder="1" applyAlignment="1">
      <alignment horizontal="left" vertical="center"/>
    </xf>
    <xf numFmtId="0" fontId="95" fillId="0" borderId="97" xfId="0" applyNumberFormat="1" applyFont="1" applyBorder="1" applyAlignment="1">
      <alignment horizontal="left" vertical="center"/>
    </xf>
    <xf numFmtId="0" fontId="95" fillId="0" borderId="96" xfId="0" applyNumberFormat="1" applyFont="1" applyBorder="1" applyAlignment="1">
      <alignment horizontal="left" vertical="center" wrapText="1"/>
    </xf>
    <xf numFmtId="0" fontId="95" fillId="0" borderId="105" xfId="0" applyNumberFormat="1" applyFont="1" applyBorder="1" applyAlignment="1">
      <alignment horizontal="left" vertical="center" wrapText="1"/>
    </xf>
    <xf numFmtId="0" fontId="95" fillId="0" borderId="97" xfId="0" applyNumberFormat="1" applyFont="1" applyBorder="1" applyAlignment="1">
      <alignment horizontal="left" vertical="center" wrapText="1"/>
    </xf>
    <xf numFmtId="0" fontId="95" fillId="0" borderId="106" xfId="0" applyNumberFormat="1" applyFont="1" applyBorder="1" applyAlignment="1" applyProtection="1">
      <alignment horizontal="left" vertical="center"/>
      <protection locked="0"/>
    </xf>
    <xf numFmtId="0" fontId="16" fillId="0" borderId="0" xfId="0" applyFont="1" applyAlignment="1">
      <alignment horizontal="left" vertical="top"/>
    </xf>
    <xf numFmtId="0" fontId="99" fillId="0" borderId="107" xfId="0" applyNumberFormat="1" applyFont="1" applyBorder="1" applyAlignment="1">
      <alignment horizontal="center" vertical="center" wrapText="1"/>
    </xf>
    <xf numFmtId="0" fontId="99" fillId="0" borderId="108" xfId="0" applyNumberFormat="1" applyFont="1" applyBorder="1" applyAlignment="1">
      <alignment horizontal="center" vertical="center" wrapText="1"/>
    </xf>
    <xf numFmtId="0" fontId="9" fillId="0" borderId="113" xfId="0" applyNumberFormat="1" applyFont="1" applyBorder="1" applyAlignment="1" applyProtection="1">
      <alignment horizontal="left" vertical="center"/>
      <protection locked="0"/>
    </xf>
    <xf numFmtId="0" fontId="8" fillId="0" borderId="109" xfId="0" applyNumberFormat="1" applyFont="1" applyBorder="1" applyAlignment="1" applyProtection="1">
      <alignment horizontal="center" vertical="center" wrapText="1"/>
      <protection locked="0"/>
    </xf>
    <xf numFmtId="0" fontId="8" fillId="0" borderId="110" xfId="0" applyNumberFormat="1" applyFont="1" applyBorder="1" applyAlignment="1" applyProtection="1">
      <alignment horizontal="center" vertical="center" wrapText="1"/>
      <protection locked="0"/>
    </xf>
    <xf numFmtId="49" fontId="17" fillId="0" borderId="0" xfId="0" applyNumberFormat="1" applyFont="1" applyAlignment="1" applyProtection="1">
      <alignment horizontal="center" vertical="center"/>
      <protection locked="0"/>
    </xf>
    <xf numFmtId="49" fontId="17" fillId="0" borderId="111" xfId="0" applyNumberFormat="1" applyFont="1" applyBorder="1" applyAlignment="1" applyProtection="1">
      <alignment horizontal="center" vertical="center"/>
      <protection locked="0"/>
    </xf>
    <xf numFmtId="0" fontId="18" fillId="0" borderId="109" xfId="0" applyNumberFormat="1" applyFont="1" applyBorder="1" applyAlignment="1" applyProtection="1">
      <alignment horizontal="center" vertical="center" wrapText="1"/>
      <protection locked="0"/>
    </xf>
    <xf numFmtId="0" fontId="18" fillId="0" borderId="112" xfId="0" applyNumberFormat="1" applyFont="1" applyBorder="1" applyAlignment="1" applyProtection="1">
      <alignment horizontal="center" vertical="center" wrapText="1"/>
      <protection locked="0"/>
    </xf>
    <xf numFmtId="0" fontId="18" fillId="0" borderId="110" xfId="0" applyNumberFormat="1" applyFont="1" applyBorder="1" applyAlignment="1" applyProtection="1">
      <alignment horizontal="center" vertical="center" wrapText="1"/>
      <protection locked="0"/>
    </xf>
    <xf numFmtId="0" fontId="9" fillId="0" borderId="113" xfId="0" applyNumberFormat="1" applyFont="1" applyBorder="1" applyAlignment="1" applyProtection="1">
      <alignment horizontal="left" vertical="center"/>
      <protection hidden="1"/>
    </xf>
    <xf numFmtId="0" fontId="98" fillId="21" borderId="109" xfId="0" applyFont="1" applyFill="1" applyBorder="1" applyAlignment="1" applyProtection="1">
      <alignment horizontal="center" vertical="center" wrapText="1"/>
      <protection hidden="1"/>
    </xf>
    <xf numFmtId="0" fontId="98" fillId="21" borderId="112" xfId="0" applyFont="1" applyFill="1" applyBorder="1" applyAlignment="1" applyProtection="1">
      <alignment horizontal="center" vertical="center" wrapText="1"/>
      <protection hidden="1"/>
    </xf>
    <xf numFmtId="0" fontId="98" fillId="21" borderId="110" xfId="0" applyFont="1" applyFill="1" applyBorder="1" applyAlignment="1" applyProtection="1">
      <alignment horizontal="center" vertical="center" wrapText="1"/>
      <protection hidden="1"/>
    </xf>
    <xf numFmtId="0" fontId="18" fillId="12" borderId="115" xfId="0" applyFont="1" applyFill="1" applyBorder="1" applyAlignment="1" applyProtection="1">
      <alignment horizontal="center" vertical="center"/>
      <protection hidden="1"/>
    </xf>
    <xf numFmtId="0" fontId="18" fillId="12" borderId="116" xfId="0" applyFont="1" applyFill="1" applyBorder="1" applyAlignment="1" applyProtection="1">
      <alignment horizontal="center" vertical="center"/>
      <protection hidden="1"/>
    </xf>
    <xf numFmtId="0" fontId="18" fillId="12" borderId="119" xfId="0" applyFont="1" applyFill="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18" fillId="12" borderId="117" xfId="0" applyFont="1" applyFill="1" applyBorder="1" applyAlignment="1" applyProtection="1">
      <alignment horizontal="center" vertical="center"/>
      <protection hidden="1"/>
    </xf>
    <xf numFmtId="0" fontId="18" fillId="12" borderId="120" xfId="0" applyFont="1" applyFill="1" applyBorder="1" applyAlignment="1" applyProtection="1">
      <alignment horizontal="center" vertical="center"/>
      <protection hidden="1"/>
    </xf>
    <xf numFmtId="0" fontId="18" fillId="12" borderId="121" xfId="0" applyFont="1" applyFill="1" applyBorder="1" applyAlignment="1" applyProtection="1">
      <alignment horizontal="center" vertical="center"/>
      <protection hidden="1"/>
    </xf>
    <xf numFmtId="0" fontId="18" fillId="12" borderId="118" xfId="0" applyFont="1" applyFill="1" applyBorder="1" applyAlignment="1" applyProtection="1">
      <alignment horizontal="center" vertical="center"/>
      <protection hidden="1"/>
    </xf>
    <xf numFmtId="0" fontId="8" fillId="0" borderId="109" xfId="0" applyNumberFormat="1" applyFont="1" applyBorder="1" applyAlignment="1" applyProtection="1">
      <alignment horizontal="center" vertical="center" wrapText="1"/>
      <protection hidden="1"/>
    </xf>
    <xf numFmtId="0" fontId="8" fillId="0" borderId="110" xfId="0" applyNumberFormat="1" applyFont="1" applyBorder="1" applyAlignment="1" applyProtection="1">
      <alignment horizontal="center" vertical="center" wrapText="1"/>
      <protection hidden="1"/>
    </xf>
    <xf numFmtId="49" fontId="17" fillId="0" borderId="0" xfId="0" applyNumberFormat="1" applyFont="1" applyBorder="1" applyAlignment="1" applyProtection="1">
      <alignment horizontal="center" vertical="center"/>
      <protection hidden="1"/>
    </xf>
    <xf numFmtId="49" fontId="17" fillId="0" borderId="111" xfId="0" applyNumberFormat="1" applyFont="1" applyBorder="1" applyAlignment="1" applyProtection="1">
      <alignment horizontal="center" vertical="center"/>
      <protection hidden="1"/>
    </xf>
    <xf numFmtId="0" fontId="18" fillId="0" borderId="109" xfId="0" applyNumberFormat="1" applyFont="1" applyBorder="1" applyAlignment="1" applyProtection="1">
      <alignment horizontal="center" vertical="center" wrapText="1"/>
      <protection hidden="1"/>
    </xf>
    <xf numFmtId="0" fontId="18" fillId="0" borderId="112" xfId="0" applyNumberFormat="1" applyFont="1" applyBorder="1" applyAlignment="1" applyProtection="1">
      <alignment horizontal="center" vertical="center" wrapText="1"/>
      <protection hidden="1"/>
    </xf>
    <xf numFmtId="0" fontId="18" fillId="0" borderId="110" xfId="0" applyNumberFormat="1" applyFont="1" applyBorder="1" applyAlignment="1" applyProtection="1">
      <alignment horizontal="center" vertical="center" wrapText="1"/>
      <protection hidden="1"/>
    </xf>
    <xf numFmtId="0" fontId="18" fillId="12" borderId="136" xfId="0" applyFont="1" applyFill="1" applyBorder="1" applyAlignment="1" applyProtection="1">
      <alignment horizontal="center" vertical="center"/>
      <protection hidden="1"/>
    </xf>
    <xf numFmtId="0" fontId="8" fillId="0" borderId="96" xfId="0" applyNumberFormat="1" applyFont="1" applyBorder="1" applyAlignment="1" applyProtection="1">
      <alignment horizontal="center" vertical="center" wrapText="1"/>
      <protection hidden="1"/>
    </xf>
    <xf numFmtId="0" fontId="8" fillId="0" borderId="97" xfId="0" applyNumberFormat="1" applyFont="1" applyBorder="1" applyAlignment="1" applyProtection="1">
      <alignment horizontal="center" vertical="center" wrapText="1"/>
      <protection hidden="1"/>
    </xf>
    <xf numFmtId="0" fontId="2" fillId="0" borderId="144" xfId="0" applyFont="1" applyBorder="1" applyAlignment="1" applyProtection="1">
      <alignment horizontal="center" vertical="center"/>
      <protection hidden="1"/>
    </xf>
    <xf numFmtId="0" fontId="18" fillId="12" borderId="142" xfId="0" applyFont="1" applyFill="1" applyBorder="1" applyAlignment="1" applyProtection="1">
      <alignment horizontal="center" vertical="center"/>
      <protection hidden="1"/>
    </xf>
    <xf numFmtId="0" fontId="9" fillId="0" borderId="109" xfId="0" applyNumberFormat="1" applyFont="1" applyBorder="1" applyAlignment="1" applyProtection="1">
      <alignment horizontal="center" vertical="center" wrapText="1"/>
      <protection locked="0"/>
    </xf>
    <xf numFmtId="0" fontId="9" fillId="0" borderId="112" xfId="0" applyNumberFormat="1" applyFont="1" applyBorder="1" applyAlignment="1" applyProtection="1">
      <alignment horizontal="center" vertical="center" wrapText="1"/>
      <protection locked="0"/>
    </xf>
    <xf numFmtId="0" fontId="9" fillId="0" borderId="110" xfId="0" applyNumberFormat="1" applyFont="1" applyBorder="1" applyAlignment="1" applyProtection="1">
      <alignment horizontal="center" vertical="center" wrapText="1"/>
      <protection locked="0"/>
    </xf>
    <xf numFmtId="0" fontId="98" fillId="2" borderId="147" xfId="0" applyNumberFormat="1" applyFont="1" applyFill="1" applyBorder="1" applyAlignment="1" applyProtection="1">
      <alignment horizontal="center" vertical="center" wrapText="1"/>
      <protection hidden="1"/>
    </xf>
    <xf numFmtId="0" fontId="98" fillId="2" borderId="148" xfId="0" applyNumberFormat="1" applyFont="1" applyFill="1" applyBorder="1" applyAlignment="1" applyProtection="1">
      <alignment horizontal="center" vertical="center"/>
      <protection hidden="1"/>
    </xf>
    <xf numFmtId="0" fontId="98" fillId="2" borderId="149" xfId="0" applyNumberFormat="1" applyFont="1" applyFill="1" applyBorder="1" applyAlignment="1" applyProtection="1">
      <alignment horizontal="center" vertical="center"/>
      <protection hidden="1"/>
    </xf>
    <xf numFmtId="0" fontId="20" fillId="12" borderId="147" xfId="0" applyNumberFormat="1" applyFont="1" applyFill="1" applyBorder="1" applyAlignment="1" applyProtection="1">
      <alignment horizontal="center" vertical="center" wrapText="1"/>
      <protection hidden="1"/>
    </xf>
    <xf numFmtId="0" fontId="20" fillId="12" borderId="148" xfId="0" applyNumberFormat="1" applyFont="1" applyFill="1" applyBorder="1" applyAlignment="1" applyProtection="1">
      <alignment horizontal="center" vertical="center" wrapText="1"/>
      <protection hidden="1"/>
    </xf>
    <xf numFmtId="0" fontId="20" fillId="12" borderId="149" xfId="0" applyNumberFormat="1" applyFont="1" applyFill="1" applyBorder="1" applyAlignment="1" applyProtection="1">
      <alignment horizontal="center" vertical="center" wrapText="1"/>
      <protection hidden="1"/>
    </xf>
    <xf numFmtId="0" fontId="8" fillId="0" borderId="96" xfId="0" applyNumberFormat="1" applyFont="1" applyBorder="1" applyAlignment="1" applyProtection="1">
      <alignment horizontal="center" vertical="center" wrapText="1"/>
      <protection locked="0"/>
    </xf>
    <xf numFmtId="0" fontId="8" fillId="0" borderId="97" xfId="0" applyNumberFormat="1" applyFont="1" applyBorder="1" applyAlignment="1" applyProtection="1">
      <alignment horizontal="center" vertical="center" wrapText="1"/>
      <protection locked="0"/>
    </xf>
    <xf numFmtId="0" fontId="18" fillId="0" borderId="96" xfId="0" applyNumberFormat="1" applyFont="1" applyBorder="1" applyAlignment="1" applyProtection="1">
      <alignment horizontal="center" vertical="center" wrapText="1"/>
      <protection locked="0"/>
    </xf>
    <xf numFmtId="0" fontId="18" fillId="0" borderId="97" xfId="0" applyNumberFormat="1" applyFont="1" applyBorder="1" applyAlignment="1" applyProtection="1">
      <alignment horizontal="center" vertical="center" wrapText="1"/>
      <protection locked="0"/>
    </xf>
    <xf numFmtId="0" fontId="18" fillId="0" borderId="99" xfId="0" applyNumberFormat="1" applyFont="1" applyBorder="1" applyAlignment="1" applyProtection="1">
      <alignment horizontal="left" vertical="center"/>
      <protection locked="0"/>
    </xf>
    <xf numFmtId="0" fontId="18" fillId="0" borderId="101" xfId="0" applyNumberFormat="1" applyFont="1" applyBorder="1" applyAlignment="1" applyProtection="1">
      <alignment horizontal="left" vertical="center"/>
      <protection locked="0"/>
    </xf>
    <xf numFmtId="0" fontId="18" fillId="0" borderId="146" xfId="0" applyNumberFormat="1" applyFont="1" applyBorder="1" applyAlignment="1" applyProtection="1">
      <alignment horizontal="left" vertical="center"/>
      <protection locked="0"/>
    </xf>
    <xf numFmtId="0" fontId="98" fillId="2" borderId="147" xfId="0" applyFont="1" applyFill="1" applyBorder="1" applyAlignment="1" applyProtection="1">
      <alignment horizontal="center" vertical="center" wrapText="1"/>
      <protection locked="0"/>
    </xf>
    <xf numFmtId="0" fontId="98" fillId="2" borderId="148" xfId="0" applyFont="1" applyFill="1" applyBorder="1" applyAlignment="1" applyProtection="1">
      <alignment horizontal="center" vertical="center"/>
      <protection locked="0"/>
    </xf>
    <xf numFmtId="0" fontId="98" fillId="2" borderId="149" xfId="0" applyFont="1" applyFill="1" applyBorder="1" applyAlignment="1" applyProtection="1">
      <alignment horizontal="center" vertical="center"/>
      <protection locked="0"/>
    </xf>
    <xf numFmtId="0" fontId="11" fillId="12" borderId="151" xfId="0" applyFont="1" applyFill="1" applyBorder="1" applyAlignment="1" applyProtection="1">
      <alignment horizontal="center" vertical="center" wrapText="1"/>
      <protection locked="0"/>
    </xf>
    <xf numFmtId="0" fontId="11" fillId="12" borderId="152" xfId="0" applyFont="1" applyFill="1" applyBorder="1" applyAlignment="1" applyProtection="1">
      <alignment horizontal="center" vertical="center" wrapText="1"/>
      <protection locked="0"/>
    </xf>
    <xf numFmtId="0" fontId="11" fillId="12" borderId="153" xfId="0" applyFont="1" applyFill="1" applyBorder="1" applyAlignment="1" applyProtection="1">
      <alignment horizontal="center" vertical="center" wrapText="1"/>
      <protection locked="0"/>
    </xf>
    <xf numFmtId="49" fontId="8" fillId="0" borderId="96" xfId="0" applyNumberFormat="1" applyFont="1" applyBorder="1" applyAlignment="1" applyProtection="1">
      <alignment horizontal="center" vertical="center" wrapText="1"/>
      <protection locked="0"/>
    </xf>
    <xf numFmtId="49" fontId="8" fillId="0" borderId="97" xfId="0" applyNumberFormat="1" applyFont="1" applyBorder="1" applyAlignment="1" applyProtection="1">
      <alignment horizontal="center" vertical="center" wrapText="1"/>
      <protection locked="0"/>
    </xf>
    <xf numFmtId="49" fontId="18" fillId="0" borderId="96" xfId="0" applyNumberFormat="1" applyFont="1" applyBorder="1" applyAlignment="1" applyProtection="1">
      <alignment horizontal="center" vertical="center" wrapText="1"/>
      <protection locked="0"/>
    </xf>
    <xf numFmtId="49" fontId="18" fillId="0" borderId="97" xfId="0" applyNumberFormat="1" applyFont="1" applyBorder="1" applyAlignment="1" applyProtection="1">
      <alignment horizontal="center" vertical="center" wrapText="1"/>
      <protection locked="0"/>
    </xf>
    <xf numFmtId="49" fontId="18" fillId="0" borderId="96" xfId="0" applyNumberFormat="1" applyFont="1" applyBorder="1" applyAlignment="1">
      <alignment horizontal="center" vertical="center" wrapText="1"/>
    </xf>
    <xf numFmtId="49" fontId="18" fillId="0" borderId="105" xfId="0" applyNumberFormat="1" applyFont="1" applyBorder="1" applyAlignment="1">
      <alignment horizontal="center" vertical="center" wrapText="1"/>
    </xf>
    <xf numFmtId="49" fontId="18" fillId="0" borderId="97" xfId="0" applyNumberFormat="1" applyFont="1" applyBorder="1" applyAlignment="1">
      <alignment horizontal="center" vertical="center" wrapText="1"/>
    </xf>
    <xf numFmtId="0" fontId="18" fillId="0" borderId="99" xfId="0" applyNumberFormat="1" applyFont="1" applyBorder="1" applyAlignment="1">
      <alignment horizontal="left" vertical="center"/>
    </xf>
    <xf numFmtId="0" fontId="18" fillId="0" borderId="99" xfId="0" applyNumberFormat="1" applyFont="1" applyBorder="1" applyAlignment="1">
      <alignment horizontal="center" vertical="center"/>
    </xf>
    <xf numFmtId="0" fontId="18" fillId="0" borderId="101" xfId="0" applyNumberFormat="1" applyFont="1" applyBorder="1" applyAlignment="1">
      <alignment horizontal="left" vertical="center"/>
    </xf>
    <xf numFmtId="14" fontId="18" fillId="0" borderId="101" xfId="0" applyNumberFormat="1" applyFont="1" applyBorder="1" applyAlignment="1">
      <alignment horizontal="center" vertical="center"/>
    </xf>
    <xf numFmtId="0" fontId="18" fillId="0" borderId="101" xfId="0" applyNumberFormat="1" applyFont="1" applyBorder="1" applyAlignment="1">
      <alignment horizontal="center" vertical="center"/>
    </xf>
    <xf numFmtId="0" fontId="39" fillId="12" borderId="106" xfId="0" applyFont="1" applyFill="1" applyBorder="1" applyAlignment="1">
      <alignment horizontal="center" vertical="center" wrapText="1"/>
    </xf>
    <xf numFmtId="3" fontId="39" fillId="0" borderId="107" xfId="0" applyNumberFormat="1" applyFont="1" applyBorder="1" applyAlignment="1">
      <alignment horizontal="right" vertical="center" wrapText="1"/>
    </xf>
    <xf numFmtId="0" fontId="109" fillId="0" borderId="174" xfId="0" applyFont="1" applyBorder="1" applyAlignment="1">
      <alignment horizontal="center" vertical="center" wrapText="1"/>
    </xf>
    <xf numFmtId="0" fontId="109" fillId="0" borderId="0" xfId="0" applyFont="1" applyBorder="1" applyAlignment="1">
      <alignment horizontal="center" vertical="center" wrapText="1"/>
    </xf>
    <xf numFmtId="3" fontId="39" fillId="0" borderId="108" xfId="0" applyNumberFormat="1" applyFont="1" applyBorder="1" applyAlignment="1">
      <alignment horizontal="right" vertical="center" wrapText="1"/>
    </xf>
    <xf numFmtId="0" fontId="18" fillId="0" borderId="146" xfId="0" applyNumberFormat="1" applyFont="1" applyBorder="1" applyAlignment="1">
      <alignment horizontal="left" vertical="center"/>
    </xf>
    <xf numFmtId="0" fontId="98" fillId="0" borderId="0" xfId="0" applyFont="1" applyBorder="1" applyAlignment="1">
      <alignment horizontal="center" vertical="center"/>
    </xf>
    <xf numFmtId="0" fontId="39" fillId="12" borderId="170" xfId="0" applyFont="1" applyFill="1" applyBorder="1" applyAlignment="1">
      <alignment horizontal="center" vertical="center" wrapText="1"/>
    </xf>
    <xf numFmtId="0" fontId="64" fillId="12" borderId="171" xfId="0" applyFont="1" applyFill="1" applyBorder="1" applyAlignment="1">
      <alignment horizontal="center" vertical="center" wrapText="1"/>
    </xf>
    <xf numFmtId="0" fontId="64" fillId="12" borderId="172" xfId="0" applyFont="1" applyFill="1" applyBorder="1" applyAlignment="1">
      <alignment horizontal="center" vertical="center" wrapText="1"/>
    </xf>
    <xf numFmtId="0" fontId="39" fillId="12" borderId="171" xfId="0" applyFont="1" applyFill="1" applyBorder="1" applyAlignment="1">
      <alignment horizontal="center" vertical="center" wrapText="1"/>
    </xf>
    <xf numFmtId="0" fontId="39" fillId="12" borderId="172" xfId="0" applyFont="1" applyFill="1" applyBorder="1" applyAlignment="1">
      <alignment horizontal="center" vertical="center" wrapText="1"/>
    </xf>
    <xf numFmtId="0" fontId="39" fillId="12" borderId="107" xfId="0" applyFont="1" applyFill="1" applyBorder="1" applyAlignment="1">
      <alignment horizontal="center" vertical="center" wrapText="1"/>
    </xf>
    <xf numFmtId="0" fontId="39" fillId="12" borderId="108" xfId="0" applyFont="1" applyFill="1" applyBorder="1" applyAlignment="1">
      <alignment horizontal="center" vertical="center" wrapText="1"/>
    </xf>
    <xf numFmtId="0" fontId="39" fillId="12" borderId="173" xfId="0" applyFont="1" applyFill="1" applyBorder="1" applyAlignment="1">
      <alignment horizontal="center" vertical="center" wrapText="1"/>
    </xf>
    <xf numFmtId="3" fontId="39" fillId="0" borderId="108" xfId="0" applyNumberFormat="1" applyFont="1" applyBorder="1" applyAlignment="1" applyProtection="1">
      <alignment horizontal="right" vertical="center" wrapText="1"/>
      <protection locked="0"/>
    </xf>
    <xf numFmtId="0" fontId="39" fillId="0" borderId="174" xfId="0" applyFont="1" applyBorder="1" applyAlignment="1">
      <alignment horizontal="left" indent="1"/>
    </xf>
    <xf numFmtId="0" fontId="39" fillId="0" borderId="0" xfId="0" applyFont="1" applyBorder="1" applyAlignment="1">
      <alignment horizontal="left" indent="1"/>
    </xf>
    <xf numFmtId="3" fontId="39" fillId="0" borderId="106" xfId="0" applyNumberFormat="1" applyFont="1" applyBorder="1" applyAlignment="1" applyProtection="1">
      <alignment horizontal="right" vertical="center" wrapText="1"/>
      <protection locked="0"/>
    </xf>
    <xf numFmtId="0" fontId="39" fillId="0" borderId="174" xfId="0" applyFont="1" applyBorder="1" applyAlignment="1">
      <alignment horizontal="left" vertical="center" wrapText="1" indent="1"/>
    </xf>
    <xf numFmtId="0" fontId="39" fillId="0" borderId="0" xfId="0" applyFont="1" applyBorder="1" applyAlignment="1">
      <alignment horizontal="left" vertical="center" wrapText="1" indent="1"/>
    </xf>
    <xf numFmtId="0" fontId="108" fillId="0" borderId="96" xfId="0" applyFont="1" applyBorder="1" applyAlignment="1" applyProtection="1">
      <alignment horizontal="left" vertical="center" wrapText="1" indent="1"/>
      <protection locked="0"/>
    </xf>
    <xf numFmtId="0" fontId="108" fillId="0" borderId="105" xfId="0" applyFont="1" applyBorder="1" applyAlignment="1" applyProtection="1">
      <alignment horizontal="left" vertical="center" wrapText="1" indent="1"/>
      <protection locked="0"/>
    </xf>
    <xf numFmtId="0" fontId="108" fillId="0" borderId="174" xfId="0" applyFont="1" applyBorder="1" applyAlignment="1" applyProtection="1">
      <alignment horizontal="left" vertical="center" wrapText="1" indent="1"/>
      <protection locked="0"/>
    </xf>
    <xf numFmtId="0" fontId="108" fillId="0" borderId="0" xfId="0" applyFont="1" applyBorder="1" applyAlignment="1" applyProtection="1">
      <alignment horizontal="left" vertical="center" wrapText="1" indent="1"/>
      <protection locked="0"/>
    </xf>
    <xf numFmtId="0" fontId="64" fillId="0" borderId="96" xfId="0" applyFont="1" applyBorder="1" applyAlignment="1">
      <alignment horizontal="center" vertical="center" wrapText="1"/>
    </xf>
    <xf numFmtId="0" fontId="64" fillId="0" borderId="97" xfId="0" applyFont="1" applyBorder="1" applyAlignment="1">
      <alignment horizontal="center" vertical="center" wrapText="1"/>
    </xf>
    <xf numFmtId="0" fontId="108" fillId="0" borderId="97" xfId="0" applyFont="1" applyBorder="1" applyAlignment="1" applyProtection="1">
      <alignment horizontal="left" vertical="center" wrapText="1" indent="1"/>
      <protection locked="0"/>
    </xf>
    <xf numFmtId="3" fontId="39" fillId="0" borderId="173" xfId="0" applyNumberFormat="1" applyFont="1" applyBorder="1" applyAlignment="1" applyProtection="1">
      <alignment horizontal="right" vertical="center" wrapText="1"/>
      <protection locked="0"/>
    </xf>
    <xf numFmtId="0" fontId="64" fillId="21" borderId="96" xfId="0" applyFont="1" applyFill="1" applyBorder="1" applyAlignment="1">
      <alignment horizontal="center" vertical="center" wrapText="1"/>
    </xf>
    <xf numFmtId="0" fontId="64" fillId="21" borderId="97" xfId="0" applyFont="1" applyFill="1" applyBorder="1" applyAlignment="1">
      <alignment horizontal="center" vertical="center" wrapText="1"/>
    </xf>
    <xf numFmtId="0" fontId="39" fillId="0" borderId="96" xfId="0" applyFont="1" applyBorder="1" applyAlignment="1">
      <alignment horizontal="center" vertical="center" wrapText="1"/>
    </xf>
    <xf numFmtId="0" fontId="39" fillId="0" borderId="105" xfId="0" applyFont="1" applyBorder="1" applyAlignment="1">
      <alignment horizontal="center" vertical="center" wrapText="1"/>
    </xf>
    <xf numFmtId="0" fontId="39" fillId="0" borderId="97" xfId="0" applyFont="1" applyBorder="1" applyAlignment="1">
      <alignment horizontal="center" vertical="center" wrapText="1"/>
    </xf>
    <xf numFmtId="0" fontId="39" fillId="0" borderId="106" xfId="0" applyFont="1" applyBorder="1" applyAlignment="1">
      <alignment horizontal="center" vertical="center" wrapText="1"/>
    </xf>
    <xf numFmtId="0" fontId="39" fillId="0" borderId="107" xfId="0" applyFont="1" applyBorder="1" applyAlignment="1">
      <alignment horizontal="center" vertical="center" wrapText="1"/>
    </xf>
    <xf numFmtId="0" fontId="39" fillId="0" borderId="170" xfId="0" applyFont="1" applyBorder="1" applyAlignment="1">
      <alignment horizontal="left" vertical="center" wrapText="1" indent="1"/>
    </xf>
    <xf numFmtId="0" fontId="39" fillId="0" borderId="171" xfId="0" applyFont="1" applyBorder="1" applyAlignment="1">
      <alignment horizontal="left" vertical="center" wrapText="1" indent="1"/>
    </xf>
    <xf numFmtId="0" fontId="39" fillId="0" borderId="172" xfId="0" applyFont="1" applyBorder="1" applyAlignment="1">
      <alignment horizontal="left" vertical="center" wrapText="1" indent="1"/>
    </xf>
    <xf numFmtId="3" fontId="39" fillId="0" borderId="96" xfId="0" applyNumberFormat="1" applyFont="1" applyBorder="1" applyAlignment="1" applyProtection="1">
      <alignment horizontal="right" vertical="center" wrapText="1"/>
      <protection locked="0"/>
    </xf>
    <xf numFmtId="3" fontId="39" fillId="0" borderId="97" xfId="0" applyNumberFormat="1" applyFont="1" applyBorder="1" applyAlignment="1" applyProtection="1">
      <alignment horizontal="right" vertical="center" wrapText="1"/>
      <protection locked="0"/>
    </xf>
    <xf numFmtId="0" fontId="39" fillId="0" borderId="175" xfId="0" applyFont="1" applyBorder="1" applyAlignment="1">
      <alignment horizontal="left" vertical="center" wrapText="1" indent="1"/>
    </xf>
    <xf numFmtId="3" fontId="39" fillId="0" borderId="170" xfId="0" applyNumberFormat="1" applyFont="1" applyBorder="1" applyAlignment="1" applyProtection="1">
      <alignment horizontal="right" vertical="center" wrapText="1"/>
      <protection locked="0"/>
    </xf>
    <xf numFmtId="3" fontId="39" fillId="0" borderId="172" xfId="0" applyNumberFormat="1" applyFont="1" applyBorder="1" applyAlignment="1" applyProtection="1">
      <alignment horizontal="right" vertical="center" wrapText="1"/>
      <protection locked="0"/>
    </xf>
    <xf numFmtId="3" fontId="39" fillId="0" borderId="176" xfId="0" applyNumberFormat="1" applyFont="1" applyBorder="1" applyAlignment="1" applyProtection="1">
      <alignment horizontal="right" vertical="center" wrapText="1"/>
      <protection locked="0"/>
    </xf>
    <xf numFmtId="3" fontId="39" fillId="0" borderId="177" xfId="0" applyNumberFormat="1" applyFont="1" applyBorder="1" applyAlignment="1" applyProtection="1">
      <alignment horizontal="right" vertical="center" wrapText="1"/>
      <protection locked="0"/>
    </xf>
    <xf numFmtId="0" fontId="100" fillId="21" borderId="96" xfId="0" applyFont="1" applyFill="1" applyBorder="1" applyAlignment="1">
      <alignment horizontal="center" vertical="center" wrapText="1"/>
    </xf>
    <xf numFmtId="0" fontId="100" fillId="21" borderId="105" xfId="0" applyFont="1" applyFill="1" applyBorder="1" applyAlignment="1">
      <alignment horizontal="center" vertical="center" wrapText="1"/>
    </xf>
    <xf numFmtId="0" fontId="100" fillId="21" borderId="97" xfId="0" applyFont="1" applyFill="1" applyBorder="1" applyAlignment="1">
      <alignment horizontal="center" vertical="center" wrapText="1"/>
    </xf>
    <xf numFmtId="3" fontId="64" fillId="21" borderId="96" xfId="0" applyNumberFormat="1" applyFont="1" applyFill="1" applyBorder="1" applyAlignment="1">
      <alignment horizontal="right" vertical="center" wrapText="1"/>
    </xf>
    <xf numFmtId="3" fontId="64" fillId="21" borderId="97" xfId="0" applyNumberFormat="1" applyFont="1" applyFill="1" applyBorder="1" applyAlignment="1">
      <alignment horizontal="right" vertical="center" wrapText="1"/>
    </xf>
    <xf numFmtId="3" fontId="64" fillId="0" borderId="106" xfId="0" applyNumberFormat="1" applyFont="1" applyBorder="1" applyAlignment="1" applyProtection="1">
      <alignment horizontal="right" vertical="center" wrapText="1"/>
      <protection locked="0"/>
    </xf>
    <xf numFmtId="0" fontId="100" fillId="21" borderId="176" xfId="0" applyFont="1" applyFill="1" applyBorder="1" applyAlignment="1">
      <alignment horizontal="center" vertical="center"/>
    </xf>
    <xf numFmtId="0" fontId="100" fillId="21" borderId="178" xfId="0" applyFont="1" applyFill="1" applyBorder="1" applyAlignment="1">
      <alignment horizontal="center" vertical="center"/>
    </xf>
    <xf numFmtId="3" fontId="64" fillId="21" borderId="96" xfId="0" applyNumberFormat="1" applyFont="1" applyFill="1" applyBorder="1" applyAlignment="1">
      <alignment horizontal="right" vertical="center"/>
    </xf>
    <xf numFmtId="3" fontId="64" fillId="21" borderId="97" xfId="0" applyNumberFormat="1" applyFont="1" applyFill="1" applyBorder="1" applyAlignment="1">
      <alignment horizontal="right" vertical="center"/>
    </xf>
    <xf numFmtId="0" fontId="39" fillId="0" borderId="174" xfId="0" applyFont="1" applyBorder="1" applyAlignment="1">
      <alignment horizontal="left" vertical="center" wrapText="1"/>
    </xf>
    <xf numFmtId="0" fontId="39" fillId="0" borderId="0" xfId="0" applyFont="1" applyBorder="1" applyAlignment="1">
      <alignment horizontal="left" vertical="center" wrapText="1"/>
    </xf>
    <xf numFmtId="0" fontId="39" fillId="0" borderId="175" xfId="0" applyFont="1" applyBorder="1" applyAlignment="1">
      <alignment horizontal="left" vertical="center" wrapText="1"/>
    </xf>
    <xf numFmtId="3" fontId="39" fillId="0" borderId="174" xfId="0" applyNumberFormat="1" applyFont="1" applyBorder="1" applyAlignment="1">
      <alignment horizontal="right" vertical="center" wrapText="1"/>
    </xf>
    <xf numFmtId="3" fontId="39" fillId="0" borderId="175" xfId="0" applyNumberFormat="1" applyFont="1" applyBorder="1" applyAlignment="1">
      <alignment horizontal="right" vertical="center" wrapText="1"/>
    </xf>
    <xf numFmtId="3" fontId="39" fillId="0" borderId="0" xfId="0" applyNumberFormat="1" applyFont="1" applyBorder="1" applyAlignment="1">
      <alignment horizontal="right" vertical="center" wrapText="1"/>
    </xf>
    <xf numFmtId="0" fontId="110" fillId="0" borderId="170" xfId="0" applyFont="1" applyBorder="1" applyAlignment="1" applyProtection="1">
      <alignment horizontal="left" vertical="center" indent="1"/>
      <protection locked="0"/>
    </xf>
    <xf numFmtId="0" fontId="110" fillId="0" borderId="171" xfId="0" applyFont="1" applyBorder="1" applyAlignment="1" applyProtection="1">
      <alignment horizontal="left" vertical="center" indent="1"/>
      <protection locked="0"/>
    </xf>
    <xf numFmtId="0" fontId="110" fillId="0" borderId="172" xfId="0" applyFont="1" applyBorder="1" applyAlignment="1" applyProtection="1">
      <alignment horizontal="left" vertical="center" indent="1"/>
      <protection locked="0"/>
    </xf>
    <xf numFmtId="0" fontId="110" fillId="0" borderId="96" xfId="0" applyFont="1" applyBorder="1" applyAlignment="1" applyProtection="1">
      <alignment horizontal="left" vertical="center" indent="1"/>
      <protection locked="0"/>
    </xf>
    <xf numFmtId="0" fontId="110" fillId="0" borderId="105" xfId="0" applyFont="1" applyBorder="1" applyAlignment="1" applyProtection="1">
      <alignment horizontal="left" vertical="center" indent="1"/>
      <protection locked="0"/>
    </xf>
    <xf numFmtId="0" fontId="110" fillId="0" borderId="97" xfId="0" applyFont="1" applyBorder="1" applyAlignment="1" applyProtection="1">
      <alignment horizontal="left" vertical="center" indent="1"/>
      <protection locked="0"/>
    </xf>
    <xf numFmtId="0" fontId="110" fillId="0" borderId="106" xfId="0" applyFont="1" applyBorder="1" applyAlignment="1" applyProtection="1">
      <alignment horizontal="left" vertical="center" indent="1"/>
      <protection locked="0"/>
    </xf>
    <xf numFmtId="0" fontId="57" fillId="21" borderId="96" xfId="0" applyFont="1" applyFill="1" applyBorder="1" applyAlignment="1">
      <alignment horizontal="right" vertical="center" indent="1"/>
    </xf>
    <xf numFmtId="0" fontId="57" fillId="21" borderId="105" xfId="0" applyFont="1" applyFill="1" applyBorder="1" applyAlignment="1">
      <alignment horizontal="right" vertical="center" indent="1"/>
    </xf>
    <xf numFmtId="0" fontId="57" fillId="21" borderId="97" xfId="0" applyFont="1" applyFill="1" applyBorder="1" applyAlignment="1">
      <alignment horizontal="right" vertical="center" indent="1"/>
    </xf>
    <xf numFmtId="14" fontId="18" fillId="0" borderId="99" xfId="0" applyNumberFormat="1" applyFont="1" applyBorder="1" applyAlignment="1">
      <alignment horizontal="center" vertical="center"/>
    </xf>
    <xf numFmtId="0" fontId="47" fillId="0" borderId="96" xfId="0" applyFont="1" applyBorder="1" applyAlignment="1">
      <alignment horizontal="left" vertical="center" indent="1"/>
    </xf>
    <xf numFmtId="0" fontId="47" fillId="0" borderId="105" xfId="0" applyFont="1" applyBorder="1" applyAlignment="1">
      <alignment horizontal="left" vertical="center" indent="1"/>
    </xf>
    <xf numFmtId="0" fontId="47" fillId="0" borderId="97" xfId="0" applyFont="1" applyBorder="1" applyAlignment="1">
      <alignment horizontal="left" vertical="center" indent="1"/>
    </xf>
    <xf numFmtId="3" fontId="26" fillId="0" borderId="96" xfId="0" applyNumberFormat="1" applyFont="1" applyBorder="1" applyAlignment="1" applyProtection="1">
      <alignment horizontal="right" vertical="center" indent="1"/>
      <protection locked="0"/>
    </xf>
    <xf numFmtId="3" fontId="26" fillId="0" borderId="97" xfId="0" applyNumberFormat="1" applyFont="1" applyBorder="1" applyAlignment="1" applyProtection="1">
      <alignment horizontal="right" vertical="center" indent="1"/>
      <protection locked="0"/>
    </xf>
    <xf numFmtId="0" fontId="18" fillId="12" borderId="105" xfId="0" applyFont="1" applyFill="1" applyBorder="1" applyAlignment="1">
      <alignment horizontal="center" vertical="center"/>
    </xf>
    <xf numFmtId="0" fontId="26" fillId="0" borderId="0" xfId="0" applyNumberFormat="1" applyFont="1" applyBorder="1" applyAlignment="1">
      <alignment horizontal="center" vertical="center"/>
    </xf>
    <xf numFmtId="49" fontId="20" fillId="0" borderId="96" xfId="0" applyNumberFormat="1" applyFont="1" applyBorder="1" applyAlignment="1">
      <alignment horizontal="center" vertical="center" wrapText="1"/>
    </xf>
    <xf numFmtId="49" fontId="20" fillId="0" borderId="97" xfId="0" applyNumberFormat="1" applyFont="1" applyBorder="1" applyAlignment="1">
      <alignment horizontal="center" vertical="center" wrapText="1"/>
    </xf>
    <xf numFmtId="0" fontId="98" fillId="0" borderId="178" xfId="0" applyFont="1" applyBorder="1" applyAlignment="1">
      <alignment horizontal="center" vertical="center"/>
    </xf>
    <xf numFmtId="0" fontId="39" fillId="12" borderId="106" xfId="0" applyNumberFormat="1" applyFont="1" applyFill="1" applyBorder="1" applyAlignment="1">
      <alignment horizontal="center" vertical="center" wrapText="1"/>
    </xf>
    <xf numFmtId="0" fontId="39" fillId="12" borderId="107" xfId="0" applyNumberFormat="1" applyFont="1" applyFill="1" applyBorder="1" applyAlignment="1">
      <alignment horizontal="center" vertical="center" wrapText="1"/>
    </xf>
    <xf numFmtId="0" fontId="39" fillId="12" borderId="106" xfId="0" applyNumberFormat="1" applyFont="1" applyFill="1" applyBorder="1" applyAlignment="1">
      <alignment horizontal="center" vertical="center"/>
    </xf>
    <xf numFmtId="0" fontId="39" fillId="12" borderId="107" xfId="0" applyNumberFormat="1" applyFont="1" applyFill="1" applyBorder="1" applyAlignment="1">
      <alignment horizontal="center" vertical="center"/>
    </xf>
    <xf numFmtId="0" fontId="112" fillId="12" borderId="106" xfId="0" applyNumberFormat="1" applyFont="1" applyFill="1" applyBorder="1" applyAlignment="1">
      <alignment horizontal="center" vertical="center"/>
    </xf>
    <xf numFmtId="0" fontId="110" fillId="0" borderId="106" xfId="0" applyFont="1" applyBorder="1" applyAlignment="1" applyProtection="1">
      <alignment horizontal="left" vertical="center"/>
      <protection locked="0"/>
    </xf>
    <xf numFmtId="0" fontId="110" fillId="0" borderId="179" xfId="0" applyFont="1" applyBorder="1" applyAlignment="1" applyProtection="1">
      <alignment horizontal="left" vertical="center"/>
      <protection locked="0"/>
    </xf>
    <xf numFmtId="0" fontId="110" fillId="0" borderId="107" xfId="0" applyFont="1" applyBorder="1" applyAlignment="1" applyProtection="1">
      <alignment horizontal="left" vertical="center"/>
      <protection locked="0"/>
    </xf>
    <xf numFmtId="0" fontId="9" fillId="21" borderId="181" xfId="0" applyFont="1" applyFill="1" applyBorder="1" applyAlignment="1">
      <alignment horizontal="center" vertical="center"/>
    </xf>
    <xf numFmtId="0" fontId="9" fillId="21" borderId="182" xfId="0" applyFont="1" applyFill="1" applyBorder="1" applyAlignment="1">
      <alignment horizontal="center" vertical="center"/>
    </xf>
    <xf numFmtId="0" fontId="9" fillId="21" borderId="183" xfId="0" applyFont="1" applyFill="1" applyBorder="1" applyAlignment="1">
      <alignment horizontal="center" vertical="center"/>
    </xf>
    <xf numFmtId="0" fontId="18" fillId="0" borderId="104" xfId="0" applyNumberFormat="1" applyFont="1" applyBorder="1" applyAlignment="1">
      <alignment horizontal="left" vertical="center"/>
    </xf>
    <xf numFmtId="49" fontId="18" fillId="0" borderId="184" xfId="0" applyNumberFormat="1" applyFont="1" applyBorder="1" applyAlignment="1">
      <alignment horizontal="center" vertical="center" wrapText="1"/>
    </xf>
    <xf numFmtId="49" fontId="18" fillId="0" borderId="185" xfId="0" applyNumberFormat="1" applyFont="1" applyBorder="1" applyAlignment="1">
      <alignment horizontal="center" vertical="center" wrapText="1"/>
    </xf>
    <xf numFmtId="49" fontId="18" fillId="0" borderId="186" xfId="0" applyNumberFormat="1" applyFont="1" applyBorder="1" applyAlignment="1">
      <alignment horizontal="center" vertical="center" wrapText="1"/>
    </xf>
    <xf numFmtId="0" fontId="18" fillId="0" borderId="104" xfId="0" applyNumberFormat="1" applyFont="1" applyBorder="1" applyAlignment="1">
      <alignment horizontal="center" vertical="center"/>
    </xf>
    <xf numFmtId="14" fontId="18" fillId="0" borderId="104" xfId="0" applyNumberFormat="1" applyFont="1" applyBorder="1" applyAlignment="1">
      <alignment horizontal="center" vertical="center"/>
    </xf>
    <xf numFmtId="0" fontId="26" fillId="12" borderId="106" xfId="0" applyFont="1" applyFill="1" applyBorder="1" applyAlignment="1">
      <alignment horizontal="center" vertical="center" wrapText="1"/>
    </xf>
    <xf numFmtId="3" fontId="95" fillId="21" borderId="106" xfId="0" applyNumberFormat="1" applyFont="1" applyFill="1" applyBorder="1" applyAlignment="1">
      <alignment horizontal="right" vertical="center"/>
    </xf>
    <xf numFmtId="3" fontId="26" fillId="0" borderId="106" xfId="0" applyNumberFormat="1" applyFont="1" applyBorder="1" applyAlignment="1" applyProtection="1">
      <alignment horizontal="right" vertical="center"/>
      <protection locked="0"/>
    </xf>
    <xf numFmtId="0" fontId="26" fillId="0" borderId="106" xfId="0" applyFont="1" applyBorder="1" applyAlignment="1">
      <alignment horizontal="left" vertical="center" indent="1"/>
    </xf>
    <xf numFmtId="3" fontId="18" fillId="21" borderId="106" xfId="0" applyNumberFormat="1" applyFont="1" applyFill="1" applyBorder="1" applyAlignment="1">
      <alignment horizontal="right" vertical="center"/>
    </xf>
    <xf numFmtId="0" fontId="18" fillId="21" borderId="106" xfId="0" applyFont="1" applyFill="1" applyBorder="1" applyAlignment="1">
      <alignment horizontal="left" vertical="center" indent="1"/>
    </xf>
    <xf numFmtId="49" fontId="8" fillId="0" borderId="0" xfId="0" applyNumberFormat="1" applyFont="1" applyBorder="1" applyAlignment="1">
      <alignment horizontal="center" vertical="center"/>
    </xf>
    <xf numFmtId="0" fontId="47" fillId="3" borderId="106" xfId="23" applyFont="1" applyFill="1" applyBorder="1" applyAlignment="1">
      <alignment horizontal="left" vertical="center"/>
    </xf>
    <xf numFmtId="0" fontId="98" fillId="0" borderId="0" xfId="0" applyFont="1" applyBorder="1" applyAlignment="1">
      <alignment horizontal="center" vertical="center" wrapText="1"/>
    </xf>
    <xf numFmtId="0" fontId="47" fillId="12" borderId="106" xfId="23" applyFont="1" applyFill="1" applyBorder="1" applyAlignment="1">
      <alignment horizontal="center"/>
    </xf>
    <xf numFmtId="0" fontId="47" fillId="3" borderId="96" xfId="23" applyFont="1" applyFill="1" applyBorder="1" applyAlignment="1">
      <alignment horizontal="left" vertical="center"/>
    </xf>
    <xf numFmtId="0" fontId="47" fillId="3" borderId="105" xfId="23" applyFont="1" applyFill="1" applyBorder="1" applyAlignment="1">
      <alignment horizontal="left" vertical="center"/>
    </xf>
    <xf numFmtId="0" fontId="47" fillId="3" borderId="97" xfId="23" applyFont="1" applyFill="1" applyBorder="1" applyAlignment="1">
      <alignment horizontal="left" vertical="center"/>
    </xf>
    <xf numFmtId="0" fontId="23" fillId="21" borderId="106" xfId="23" applyFont="1" applyFill="1" applyBorder="1" applyAlignment="1">
      <alignment horizontal="right" vertical="center"/>
    </xf>
    <xf numFmtId="0" fontId="53" fillId="21" borderId="106" xfId="0" applyFont="1" applyFill="1" applyBorder="1" applyAlignment="1">
      <alignment horizontal="center" vertical="center"/>
    </xf>
    <xf numFmtId="0" fontId="47" fillId="0" borderId="106" xfId="23" applyFont="1" applyBorder="1" applyAlignment="1">
      <alignment horizontal="left" vertical="center"/>
    </xf>
    <xf numFmtId="0" fontId="47" fillId="0" borderId="106" xfId="23" applyFont="1" applyBorder="1" applyAlignment="1" applyProtection="1">
      <alignment horizontal="left" vertical="center" indent="1"/>
      <protection locked="0"/>
    </xf>
    <xf numFmtId="49" fontId="17" fillId="0" borderId="0" xfId="0" applyNumberFormat="1" applyFont="1" applyAlignment="1" applyProtection="1">
      <alignment horizontal="center" vertical="center"/>
    </xf>
    <xf numFmtId="49" fontId="20" fillId="0" borderId="96" xfId="0" applyNumberFormat="1" applyFont="1" applyBorder="1" applyAlignment="1" applyProtection="1">
      <alignment horizontal="center" vertical="center" wrapText="1"/>
    </xf>
    <xf numFmtId="49" fontId="20" fillId="0" borderId="97" xfId="0" applyNumberFormat="1" applyFont="1" applyBorder="1" applyAlignment="1" applyProtection="1">
      <alignment horizontal="center" vertical="center" wrapText="1"/>
    </xf>
    <xf numFmtId="0" fontId="18" fillId="0" borderId="104" xfId="0" applyNumberFormat="1" applyFont="1" applyBorder="1" applyAlignment="1" applyProtection="1">
      <alignment horizontal="left" vertical="center"/>
    </xf>
    <xf numFmtId="0" fontId="18" fillId="0" borderId="99" xfId="0" applyNumberFormat="1" applyFont="1" applyBorder="1" applyAlignment="1" applyProtection="1">
      <alignment horizontal="left" vertical="center"/>
    </xf>
    <xf numFmtId="14" fontId="18" fillId="0" borderId="103" xfId="0" applyNumberFormat="1" applyFont="1" applyBorder="1" applyAlignment="1" applyProtection="1">
      <alignment horizontal="center" vertical="center"/>
    </xf>
    <xf numFmtId="0" fontId="18" fillId="0" borderId="103" xfId="0" applyNumberFormat="1" applyFont="1" applyBorder="1" applyAlignment="1" applyProtection="1">
      <alignment horizontal="center" vertical="center"/>
    </xf>
    <xf numFmtId="0" fontId="26" fillId="0" borderId="106" xfId="0" applyFont="1" applyBorder="1" applyAlignment="1" applyProtection="1">
      <alignment horizontal="left" vertical="center" indent="1"/>
      <protection locked="0"/>
    </xf>
    <xf numFmtId="0" fontId="18" fillId="0" borderId="146" xfId="0" applyNumberFormat="1" applyFont="1" applyBorder="1" applyAlignment="1" applyProtection="1">
      <alignment horizontal="left" vertical="center"/>
    </xf>
    <xf numFmtId="0" fontId="98" fillId="0" borderId="0" xfId="0" applyFont="1" applyBorder="1" applyAlignment="1" applyProtection="1">
      <alignment horizontal="center" vertical="center" wrapText="1"/>
    </xf>
    <xf numFmtId="0" fontId="95" fillId="30" borderId="106" xfId="0" applyFont="1" applyFill="1" applyBorder="1" applyAlignment="1" applyProtection="1">
      <alignment horizontal="center" vertical="center"/>
    </xf>
    <xf numFmtId="0" fontId="26" fillId="0" borderId="173" xfId="0" applyFont="1" applyBorder="1" applyAlignment="1" applyProtection="1">
      <alignment horizontal="left" vertical="center" indent="1"/>
      <protection locked="0"/>
    </xf>
    <xf numFmtId="0" fontId="26" fillId="0" borderId="96" xfId="0" applyFont="1" applyBorder="1" applyAlignment="1" applyProtection="1">
      <alignment horizontal="left" vertical="center" indent="1"/>
      <protection locked="0"/>
    </xf>
    <xf numFmtId="0" fontId="26" fillId="0" borderId="105" xfId="0" applyFont="1" applyBorder="1" applyAlignment="1" applyProtection="1">
      <alignment horizontal="left" vertical="center" indent="1"/>
      <protection locked="0"/>
    </xf>
    <xf numFmtId="0" fontId="26" fillId="0" borderId="97" xfId="0" applyFont="1" applyBorder="1" applyAlignment="1" applyProtection="1">
      <alignment horizontal="left" vertical="center" indent="1"/>
      <protection locked="0"/>
    </xf>
    <xf numFmtId="0" fontId="26" fillId="0" borderId="107" xfId="0" applyFont="1" applyBorder="1" applyAlignment="1" applyProtection="1">
      <alignment horizontal="left" vertical="center" indent="1"/>
      <protection locked="0"/>
    </xf>
    <xf numFmtId="0" fontId="95" fillId="12" borderId="106" xfId="0" applyFont="1" applyFill="1" applyBorder="1" applyAlignment="1" applyProtection="1">
      <alignment horizontal="center" vertical="center"/>
    </xf>
    <xf numFmtId="0" fontId="26" fillId="0" borderId="106" xfId="0" applyFont="1" applyBorder="1" applyAlignment="1" applyProtection="1">
      <alignment horizontal="left" vertical="center" wrapText="1" indent="1"/>
      <protection locked="0"/>
    </xf>
    <xf numFmtId="49" fontId="18" fillId="0" borderId="74" xfId="0" applyNumberFormat="1" applyFont="1" applyBorder="1" applyAlignment="1">
      <alignment horizontal="center" vertical="center" wrapText="1"/>
    </xf>
    <xf numFmtId="49" fontId="18" fillId="0" borderId="40" xfId="0" applyNumberFormat="1" applyFont="1" applyBorder="1" applyAlignment="1">
      <alignment horizontal="center" vertical="center" wrapText="1"/>
    </xf>
    <xf numFmtId="49" fontId="18" fillId="0" borderId="41" xfId="0" applyNumberFormat="1" applyFont="1" applyBorder="1" applyAlignment="1">
      <alignment horizontal="center" vertical="center" wrapText="1"/>
    </xf>
    <xf numFmtId="0" fontId="18" fillId="0" borderId="169" xfId="0" applyNumberFormat="1" applyFont="1" applyBorder="1" applyAlignment="1">
      <alignment horizontal="left" vertical="center"/>
    </xf>
    <xf numFmtId="0" fontId="26" fillId="0" borderId="101" xfId="0" applyNumberFormat="1" applyFont="1" applyBorder="1" applyAlignment="1">
      <alignment horizontal="left" vertical="center"/>
    </xf>
    <xf numFmtId="0" fontId="116" fillId="0" borderId="187" xfId="0" applyFont="1" applyBorder="1" applyAlignment="1">
      <alignment horizontal="center" vertical="center" wrapText="1"/>
    </xf>
    <xf numFmtId="0" fontId="116" fillId="0" borderId="188" xfId="0" applyFont="1" applyBorder="1" applyAlignment="1">
      <alignment horizontal="center" vertical="center" wrapText="1"/>
    </xf>
    <xf numFmtId="0" fontId="115" fillId="0" borderId="74" xfId="0" applyFont="1" applyBorder="1" applyAlignment="1">
      <alignment horizontal="center" vertical="center"/>
    </xf>
    <xf numFmtId="0" fontId="115" fillId="0" borderId="40" xfId="0" applyFont="1" applyBorder="1" applyAlignment="1">
      <alignment horizontal="center" vertical="center"/>
    </xf>
    <xf numFmtId="0" fontId="115" fillId="0" borderId="41" xfId="0" applyFont="1" applyBorder="1" applyAlignment="1">
      <alignment horizontal="center" vertical="center"/>
    </xf>
    <xf numFmtId="0" fontId="116" fillId="0" borderId="86" xfId="0" applyFont="1" applyBorder="1" applyAlignment="1">
      <alignment horizontal="center" vertical="center"/>
    </xf>
    <xf numFmtId="0" fontId="116" fillId="0" borderId="87" xfId="0" applyFont="1" applyBorder="1" applyAlignment="1">
      <alignment horizontal="center" vertical="center"/>
    </xf>
    <xf numFmtId="0" fontId="116" fillId="0" borderId="87" xfId="0" applyFont="1" applyBorder="1" applyAlignment="1">
      <alignment horizontal="center" vertical="center" wrapText="1"/>
    </xf>
    <xf numFmtId="0" fontId="116" fillId="0" borderId="92" xfId="0" applyFont="1" applyBorder="1" applyAlignment="1">
      <alignment horizontal="center" vertical="center" wrapText="1"/>
    </xf>
    <xf numFmtId="0" fontId="114" fillId="0" borderId="1" xfId="0" applyFont="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49" fontId="6" fillId="0" borderId="1" xfId="0" applyNumberFormat="1" applyFont="1" applyBorder="1" applyAlignment="1">
      <alignment horizontal="center" vertical="center" wrapText="1"/>
    </xf>
    <xf numFmtId="0" fontId="18" fillId="0" borderId="0" xfId="0" applyNumberFormat="1" applyFont="1" applyBorder="1" applyAlignment="1">
      <alignment horizontal="left" vertical="center"/>
    </xf>
    <xf numFmtId="0" fontId="18" fillId="0" borderId="74" xfId="0" applyNumberFormat="1" applyFont="1" applyBorder="1" applyAlignment="1">
      <alignment horizontal="left" vertical="center"/>
    </xf>
    <xf numFmtId="0" fontId="18" fillId="0" borderId="40" xfId="0" applyNumberFormat="1" applyFont="1" applyBorder="1" applyAlignment="1">
      <alignment horizontal="left" vertical="center"/>
    </xf>
    <xf numFmtId="0" fontId="18" fillId="0" borderId="41" xfId="0" applyNumberFormat="1" applyFont="1" applyBorder="1" applyAlignment="1">
      <alignment horizontal="left" vertical="center"/>
    </xf>
    <xf numFmtId="1" fontId="18" fillId="0" borderId="37" xfId="0" applyNumberFormat="1" applyFont="1" applyBorder="1" applyAlignment="1">
      <alignment horizontal="left" vertical="center"/>
    </xf>
    <xf numFmtId="0" fontId="18" fillId="0" borderId="37" xfId="0" applyNumberFormat="1" applyFont="1" applyBorder="1" applyAlignment="1">
      <alignment horizontal="left" vertical="center"/>
    </xf>
    <xf numFmtId="14" fontId="18" fillId="0" borderId="37" xfId="0" applyNumberFormat="1" applyFont="1" applyBorder="1" applyAlignment="1">
      <alignment horizontal="left" vertical="center"/>
    </xf>
    <xf numFmtId="1" fontId="18" fillId="0" borderId="38" xfId="0" applyNumberFormat="1" applyFont="1" applyBorder="1" applyAlignment="1">
      <alignment horizontal="left" vertical="center"/>
    </xf>
    <xf numFmtId="0" fontId="18" fillId="0" borderId="38" xfId="0" applyNumberFormat="1" applyFont="1" applyBorder="1" applyAlignment="1">
      <alignment horizontal="left" vertical="center"/>
    </xf>
    <xf numFmtId="0" fontId="98" fillId="0" borderId="74" xfId="0" applyFont="1" applyBorder="1" applyAlignment="1">
      <alignment horizontal="center" vertical="center"/>
    </xf>
    <xf numFmtId="0" fontId="98" fillId="0" borderId="40" xfId="0" applyFont="1" applyBorder="1" applyAlignment="1">
      <alignment horizontal="center" vertical="center"/>
    </xf>
    <xf numFmtId="0" fontId="98" fillId="0" borderId="41" xfId="0" applyFont="1" applyBorder="1" applyAlignment="1">
      <alignment horizontal="center" vertical="center"/>
    </xf>
    <xf numFmtId="0" fontId="39" fillId="12" borderId="193" xfId="0" applyFont="1" applyFill="1" applyBorder="1" applyAlignment="1">
      <alignment horizontal="center" vertical="center" wrapText="1"/>
    </xf>
    <xf numFmtId="0" fontId="39" fillId="12" borderId="194" xfId="0" applyFont="1" applyFill="1" applyBorder="1" applyAlignment="1">
      <alignment horizontal="center" vertical="center" wrapText="1"/>
    </xf>
    <xf numFmtId="0" fontId="47" fillId="0" borderId="1" xfId="0" applyFont="1" applyBorder="1" applyAlignment="1" applyProtection="1">
      <alignment wrapText="1"/>
      <protection locked="0"/>
    </xf>
    <xf numFmtId="0" fontId="10" fillId="0" borderId="1" xfId="0" applyFont="1" applyBorder="1" applyProtection="1">
      <protection locked="0"/>
    </xf>
    <xf numFmtId="3" fontId="11" fillId="0" borderId="198" xfId="0" applyNumberFormat="1" applyFont="1" applyBorder="1"/>
    <xf numFmtId="3" fontId="11" fillId="0" borderId="40" xfId="0" applyNumberFormat="1" applyFont="1" applyBorder="1"/>
    <xf numFmtId="3" fontId="11" fillId="0" borderId="91" xfId="0" applyNumberFormat="1" applyFont="1" applyBorder="1"/>
    <xf numFmtId="0" fontId="11" fillId="0" borderId="198" xfId="0" applyFont="1" applyBorder="1"/>
    <xf numFmtId="0" fontId="11" fillId="0" borderId="91" xfId="0" applyFont="1" applyBorder="1"/>
    <xf numFmtId="0" fontId="10" fillId="0" borderId="4" xfId="0" applyFont="1" applyBorder="1" applyProtection="1">
      <protection locked="0"/>
    </xf>
    <xf numFmtId="0" fontId="10" fillId="0" borderId="5" xfId="0" applyFont="1" applyBorder="1" applyProtection="1">
      <protection locked="0"/>
    </xf>
    <xf numFmtId="0" fontId="10" fillId="0" borderId="6" xfId="0" applyFont="1" applyBorder="1" applyProtection="1">
      <protection locked="0"/>
    </xf>
    <xf numFmtId="0" fontId="10" fillId="0" borderId="90" xfId="0" applyFont="1" applyBorder="1" applyProtection="1">
      <protection locked="0"/>
    </xf>
    <xf numFmtId="0" fontId="10" fillId="0" borderId="197" xfId="0" applyFont="1" applyBorder="1" applyProtection="1">
      <protection locked="0"/>
    </xf>
    <xf numFmtId="0" fontId="10" fillId="0" borderId="89" xfId="0" applyFont="1" applyBorder="1" applyProtection="1">
      <protection locked="0"/>
    </xf>
    <xf numFmtId="49" fontId="20" fillId="0" borderId="4" xfId="0" applyNumberFormat="1" applyFont="1" applyBorder="1" applyAlignment="1">
      <alignment horizontal="center" vertical="center" wrapText="1"/>
    </xf>
    <xf numFmtId="49" fontId="20" fillId="0" borderId="6" xfId="0" applyNumberFormat="1" applyFont="1" applyBorder="1" applyAlignment="1">
      <alignment horizontal="center" vertical="center" wrapText="1"/>
    </xf>
    <xf numFmtId="0" fontId="26" fillId="0" borderId="169" xfId="0" applyNumberFormat="1" applyFont="1" applyBorder="1" applyAlignment="1">
      <alignment horizontal="center" vertical="center"/>
    </xf>
    <xf numFmtId="0" fontId="64" fillId="12" borderId="1" xfId="0" applyFont="1" applyFill="1" applyBorder="1" applyAlignment="1">
      <alignment horizontal="center" vertical="center" wrapText="1"/>
    </xf>
    <xf numFmtId="3" fontId="11" fillId="0" borderId="1" xfId="0" applyNumberFormat="1" applyFont="1" applyBorder="1"/>
    <xf numFmtId="0" fontId="11" fillId="0" borderId="1" xfId="0" applyFont="1" applyBorder="1"/>
    <xf numFmtId="49" fontId="20" fillId="0" borderId="5" xfId="0" applyNumberFormat="1" applyFont="1" applyBorder="1" applyAlignment="1">
      <alignment horizontal="center" vertical="center" wrapText="1"/>
    </xf>
    <xf numFmtId="0" fontId="18" fillId="0" borderId="0" xfId="0" applyNumberFormat="1" applyFont="1" applyBorder="1" applyAlignment="1">
      <alignment horizontal="center" vertical="center"/>
    </xf>
    <xf numFmtId="1" fontId="18" fillId="0" borderId="199" xfId="0" applyNumberFormat="1" applyFont="1" applyBorder="1" applyAlignment="1">
      <alignment horizontal="left" vertical="center"/>
    </xf>
    <xf numFmtId="0" fontId="18" fillId="0" borderId="199" xfId="0" applyNumberFormat="1" applyFont="1" applyBorder="1" applyAlignment="1">
      <alignment horizontal="left" vertical="center"/>
    </xf>
    <xf numFmtId="0" fontId="98" fillId="0" borderId="1" xfId="0" applyFont="1" applyBorder="1" applyAlignment="1">
      <alignment horizontal="center" vertical="center"/>
    </xf>
    <xf numFmtId="49" fontId="18" fillId="0" borderId="1" xfId="0" applyNumberFormat="1" applyFont="1" applyBorder="1" applyAlignment="1">
      <alignment horizontal="center" vertical="center" wrapText="1"/>
    </xf>
    <xf numFmtId="0" fontId="26" fillId="0" borderId="0" xfId="0" applyNumberFormat="1" applyFont="1" applyAlignment="1">
      <alignment horizontal="left" vertical="center"/>
    </xf>
    <xf numFmtId="0" fontId="96" fillId="0" borderId="7" xfId="0" applyNumberFormat="1" applyFont="1" applyBorder="1" applyAlignment="1">
      <alignment horizontal="left"/>
    </xf>
    <xf numFmtId="0" fontId="39" fillId="12" borderId="1" xfId="0" applyFont="1" applyFill="1" applyBorder="1" applyAlignment="1">
      <alignment horizontal="center" vertical="center" wrapText="1"/>
    </xf>
    <xf numFmtId="0" fontId="47" fillId="0" borderId="1" xfId="0" applyFont="1" applyBorder="1" applyProtection="1">
      <protection locked="0"/>
    </xf>
    <xf numFmtId="0" fontId="110" fillId="0" borderId="1" xfId="0" applyFont="1" applyBorder="1" applyAlignment="1" applyProtection="1">
      <alignment horizontal="left" vertical="center" indent="1"/>
      <protection locked="0"/>
    </xf>
    <xf numFmtId="0" fontId="18" fillId="0" borderId="169" xfId="0" applyNumberFormat="1" applyFont="1" applyBorder="1" applyAlignment="1">
      <alignment horizontal="center" vertical="center"/>
    </xf>
    <xf numFmtId="1" fontId="18" fillId="0" borderId="169" xfId="0" applyNumberFormat="1" applyFont="1" applyBorder="1" applyAlignment="1">
      <alignment horizontal="left" vertical="center"/>
    </xf>
    <xf numFmtId="14" fontId="18" fillId="0" borderId="169" xfId="0" applyNumberFormat="1" applyFont="1" applyBorder="1" applyAlignment="1">
      <alignment horizontal="left" vertical="center"/>
    </xf>
    <xf numFmtId="0" fontId="19" fillId="3" borderId="1" xfId="0" applyFont="1" applyFill="1" applyBorder="1" applyAlignment="1">
      <alignment horizontal="right" vertical="center" indent="1"/>
    </xf>
    <xf numFmtId="0" fontId="117" fillId="0" borderId="0" xfId="0" applyFont="1" applyBorder="1" applyAlignment="1">
      <alignment horizontal="center" vertical="center"/>
    </xf>
    <xf numFmtId="49" fontId="26" fillId="0" borderId="147" xfId="0" applyNumberFormat="1" applyFont="1" applyBorder="1" applyAlignment="1" applyProtection="1">
      <alignment horizontal="left" vertical="center" indent="1"/>
      <protection locked="0"/>
    </xf>
    <xf numFmtId="49" fontId="26" fillId="0" borderId="148" xfId="0" applyNumberFormat="1" applyFont="1" applyBorder="1" applyAlignment="1" applyProtection="1">
      <alignment horizontal="left" vertical="center" indent="1"/>
      <protection locked="0"/>
    </xf>
    <xf numFmtId="49" fontId="26" fillId="0" borderId="149" xfId="0" applyNumberFormat="1" applyFont="1" applyBorder="1" applyAlignment="1" applyProtection="1">
      <alignment horizontal="left" vertical="center" indent="1"/>
      <protection locked="0"/>
    </xf>
    <xf numFmtId="49" fontId="11" fillId="0" borderId="147" xfId="0" applyNumberFormat="1" applyFont="1" applyBorder="1" applyAlignment="1" applyProtection="1">
      <alignment horizontal="center" vertical="center"/>
      <protection locked="0"/>
    </xf>
    <xf numFmtId="49" fontId="11" fillId="0" borderId="149" xfId="0" applyNumberFormat="1" applyFont="1" applyBorder="1" applyAlignment="1" applyProtection="1">
      <alignment horizontal="center" vertical="center"/>
      <protection locked="0"/>
    </xf>
    <xf numFmtId="0" fontId="18" fillId="0" borderId="104" xfId="0" applyNumberFormat="1" applyFont="1" applyBorder="1" applyAlignment="1" applyProtection="1">
      <alignment horizontal="left" vertical="center"/>
      <protection locked="0"/>
    </xf>
    <xf numFmtId="1" fontId="18" fillId="0" borderId="146" xfId="0" applyNumberFormat="1" applyFont="1" applyBorder="1" applyAlignment="1" applyProtection="1">
      <alignment horizontal="left" vertical="center"/>
      <protection locked="0"/>
    </xf>
    <xf numFmtId="0" fontId="48" fillId="0" borderId="0" xfId="0" applyFont="1" applyBorder="1" applyAlignment="1" applyProtection="1">
      <alignment horizontal="center" vertical="center"/>
      <protection locked="0"/>
    </xf>
    <xf numFmtId="0" fontId="18" fillId="12" borderId="147" xfId="0" applyFont="1" applyFill="1" applyBorder="1" applyAlignment="1" applyProtection="1">
      <alignment horizontal="center" vertical="center"/>
      <protection locked="0"/>
    </xf>
    <xf numFmtId="0" fontId="18" fillId="12" borderId="148" xfId="0" applyFont="1" applyFill="1" applyBorder="1" applyAlignment="1" applyProtection="1">
      <alignment horizontal="center" vertical="center"/>
      <protection locked="0"/>
    </xf>
    <xf numFmtId="0" fontId="18" fillId="12" borderId="149" xfId="0" applyFont="1" applyFill="1" applyBorder="1" applyAlignment="1" applyProtection="1">
      <alignment horizontal="center" vertical="center"/>
      <protection locked="0"/>
    </xf>
    <xf numFmtId="0" fontId="26" fillId="2" borderId="155" xfId="0" applyFont="1" applyFill="1" applyBorder="1" applyAlignment="1" applyProtection="1">
      <alignment horizontal="left" vertical="center" indent="1"/>
      <protection locked="0"/>
    </xf>
    <xf numFmtId="0" fontId="26" fillId="2" borderId="0" xfId="0" applyFont="1" applyFill="1" applyBorder="1" applyAlignment="1" applyProtection="1">
      <alignment horizontal="left" vertical="center" indent="1"/>
      <protection locked="0"/>
    </xf>
    <xf numFmtId="0" fontId="26" fillId="2" borderId="156" xfId="0" applyFont="1" applyFill="1" applyBorder="1" applyAlignment="1" applyProtection="1">
      <alignment horizontal="left" vertical="center" indent="1"/>
      <protection locked="0"/>
    </xf>
    <xf numFmtId="0" fontId="26" fillId="0" borderId="147" xfId="0" applyFont="1" applyBorder="1" applyAlignment="1" applyProtection="1">
      <alignment horizontal="left" vertical="center" indent="1"/>
      <protection locked="0"/>
    </xf>
    <xf numFmtId="0" fontId="26" fillId="0" borderId="148" xfId="0" applyFont="1" applyBorder="1" applyAlignment="1" applyProtection="1">
      <alignment horizontal="left" vertical="center" indent="1"/>
      <protection locked="0"/>
    </xf>
    <xf numFmtId="0" fontId="26" fillId="0" borderId="149" xfId="0" applyFont="1" applyBorder="1" applyAlignment="1" applyProtection="1">
      <alignment horizontal="left" vertical="center" indent="1"/>
      <protection locked="0"/>
    </xf>
    <xf numFmtId="0" fontId="26" fillId="2" borderId="155" xfId="0" applyFont="1" applyFill="1" applyBorder="1" applyAlignment="1" applyProtection="1">
      <alignment horizontal="left" vertical="center" indent="1"/>
      <protection hidden="1"/>
    </xf>
    <xf numFmtId="0" fontId="26" fillId="2" borderId="0" xfId="0" applyFont="1" applyFill="1" applyBorder="1" applyAlignment="1" applyProtection="1">
      <alignment horizontal="left" vertical="center" indent="1"/>
      <protection hidden="1"/>
    </xf>
    <xf numFmtId="0" fontId="26" fillId="2" borderId="156" xfId="0" applyFont="1" applyFill="1" applyBorder="1" applyAlignment="1" applyProtection="1">
      <alignment horizontal="left" vertical="center" indent="1"/>
      <protection hidden="1"/>
    </xf>
    <xf numFmtId="0" fontId="106" fillId="0" borderId="0" xfId="0" applyFont="1" applyAlignment="1" applyProtection="1">
      <protection locked="0"/>
    </xf>
    <xf numFmtId="0" fontId="119" fillId="0" borderId="0" xfId="0" applyFont="1" applyAlignment="1" applyProtection="1">
      <protection locked="0"/>
    </xf>
    <xf numFmtId="0" fontId="26" fillId="2" borderId="155" xfId="0" applyFont="1" applyFill="1" applyBorder="1" applyAlignment="1" applyProtection="1">
      <alignment horizontal="center" vertical="center"/>
      <protection hidden="1"/>
    </xf>
    <xf numFmtId="0" fontId="26" fillId="2" borderId="0" xfId="0" applyFont="1" applyFill="1" applyBorder="1" applyAlignment="1" applyProtection="1">
      <alignment horizontal="center" vertical="center"/>
      <protection hidden="1"/>
    </xf>
    <xf numFmtId="0" fontId="26" fillId="2" borderId="156" xfId="0" applyFont="1" applyFill="1" applyBorder="1" applyAlignment="1" applyProtection="1">
      <alignment horizontal="center" vertical="center"/>
      <protection hidden="1"/>
    </xf>
    <xf numFmtId="0" fontId="10" fillId="0" borderId="5" xfId="2" applyFill="1" applyBorder="1" applyAlignment="1" applyProtection="1">
      <alignment horizontal="left"/>
      <protection hidden="1"/>
    </xf>
    <xf numFmtId="0" fontId="10" fillId="0" borderId="6" xfId="2" applyFill="1" applyBorder="1" applyAlignment="1" applyProtection="1">
      <alignment horizontal="left"/>
      <protection hidden="1"/>
    </xf>
    <xf numFmtId="43" fontId="11" fillId="3" borderId="5" xfId="1" applyFont="1" applyFill="1" applyBorder="1" applyAlignment="1" applyProtection="1">
      <alignment horizontal="center"/>
      <protection hidden="1"/>
    </xf>
    <xf numFmtId="3" fontId="11" fillId="3" borderId="5" xfId="2" applyNumberFormat="1" applyFont="1" applyFill="1" applyBorder="1" applyAlignment="1" applyProtection="1">
      <alignment horizontal="center"/>
      <protection hidden="1"/>
    </xf>
    <xf numFmtId="0" fontId="11" fillId="3" borderId="6" xfId="2" applyNumberFormat="1" applyFont="1" applyFill="1" applyBorder="1" applyAlignment="1" applyProtection="1">
      <alignment horizontal="center"/>
      <protection hidden="1"/>
    </xf>
    <xf numFmtId="0" fontId="11" fillId="3" borderId="5" xfId="2" applyFont="1" applyFill="1" applyBorder="1" applyAlignment="1" applyProtection="1">
      <alignment horizontal="center"/>
      <protection hidden="1"/>
    </xf>
    <xf numFmtId="0" fontId="11" fillId="3" borderId="6" xfId="2" applyFont="1" applyFill="1" applyBorder="1" applyAlignment="1" applyProtection="1">
      <alignment horizontal="center"/>
      <protection hidden="1"/>
    </xf>
    <xf numFmtId="166" fontId="11" fillId="3" borderId="5" xfId="2" applyNumberFormat="1" applyFont="1" applyFill="1" applyBorder="1" applyAlignment="1" applyProtection="1">
      <alignment horizontal="left"/>
      <protection hidden="1"/>
    </xf>
    <xf numFmtId="0" fontId="10" fillId="0" borderId="5" xfId="2" applyFont="1" applyFill="1" applyBorder="1" applyAlignment="1" applyProtection="1">
      <alignment horizontal="left"/>
      <protection hidden="1"/>
    </xf>
    <xf numFmtId="0" fontId="10" fillId="3" borderId="1" xfId="2" applyFill="1" applyBorder="1" applyAlignment="1" applyProtection="1">
      <alignment horizontal="center"/>
      <protection locked="0"/>
    </xf>
    <xf numFmtId="0" fontId="10" fillId="3" borderId="12" xfId="2" applyFill="1" applyBorder="1" applyAlignment="1" applyProtection="1">
      <alignment horizontal="left"/>
      <protection locked="0"/>
    </xf>
    <xf numFmtId="0" fontId="10" fillId="3" borderId="11" xfId="2" applyFill="1" applyBorder="1" applyAlignment="1" applyProtection="1">
      <alignment horizontal="left"/>
      <protection locked="0"/>
    </xf>
    <xf numFmtId="0" fontId="10" fillId="3" borderId="14" xfId="2" applyFill="1" applyBorder="1" applyAlignment="1" applyProtection="1">
      <alignment horizontal="left"/>
      <protection locked="0"/>
    </xf>
    <xf numFmtId="0" fontId="10" fillId="3" borderId="2" xfId="2" applyFill="1" applyBorder="1" applyAlignment="1" applyProtection="1">
      <alignment horizontal="left"/>
      <protection locked="0"/>
    </xf>
    <xf numFmtId="0" fontId="10" fillId="3" borderId="13" xfId="2" applyFill="1" applyBorder="1" applyAlignment="1" applyProtection="1">
      <alignment horizontal="left"/>
      <protection locked="0"/>
    </xf>
    <xf numFmtId="0" fontId="10" fillId="3" borderId="7" xfId="2" applyFill="1" applyBorder="1" applyAlignment="1" applyProtection="1">
      <alignment horizontal="left"/>
      <protection locked="0"/>
    </xf>
    <xf numFmtId="0" fontId="10" fillId="3" borderId="10" xfId="2" applyFill="1" applyBorder="1" applyAlignment="1" applyProtection="1">
      <alignment horizontal="left"/>
      <protection locked="0"/>
    </xf>
    <xf numFmtId="0" fontId="10" fillId="3" borderId="3" xfId="2" applyFill="1" applyBorder="1" applyAlignment="1" applyProtection="1">
      <alignment horizontal="left"/>
      <protection locked="0"/>
    </xf>
    <xf numFmtId="0" fontId="10" fillId="3" borderId="9" xfId="2" applyFill="1" applyBorder="1" applyAlignment="1" applyProtection="1">
      <alignment horizontal="left"/>
      <protection locked="0"/>
    </xf>
    <xf numFmtId="0" fontId="10" fillId="3" borderId="0" xfId="2" applyFill="1" applyBorder="1" applyAlignment="1" applyProtection="1">
      <alignment horizontal="left"/>
      <protection locked="0"/>
    </xf>
    <xf numFmtId="0" fontId="10" fillId="3" borderId="8" xfId="2" applyFill="1" applyBorder="1" applyAlignment="1" applyProtection="1">
      <alignment horizontal="left"/>
      <protection locked="0"/>
    </xf>
    <xf numFmtId="0" fontId="10" fillId="3" borderId="20" xfId="2" applyFill="1" applyBorder="1" applyAlignment="1" applyProtection="1">
      <alignment horizontal="left"/>
      <protection locked="0"/>
    </xf>
    <xf numFmtId="0" fontId="11" fillId="3" borderId="9" xfId="2" applyFont="1" applyFill="1" applyBorder="1" applyAlignment="1" applyProtection="1">
      <protection hidden="1"/>
    </xf>
    <xf numFmtId="0" fontId="11" fillId="3" borderId="0" xfId="2" applyFont="1" applyFill="1" applyAlignment="1" applyProtection="1">
      <protection hidden="1"/>
    </xf>
    <xf numFmtId="168" fontId="11" fillId="3" borderId="74" xfId="13" applyNumberFormat="1" applyFont="1" applyFill="1" applyBorder="1" applyAlignment="1" applyProtection="1">
      <alignment horizontal="center" shrinkToFit="1"/>
      <protection hidden="1"/>
    </xf>
    <xf numFmtId="168" fontId="11" fillId="3" borderId="40" xfId="13" applyNumberFormat="1" applyFont="1" applyFill="1" applyBorder="1" applyAlignment="1" applyProtection="1">
      <alignment horizontal="center" shrinkToFit="1"/>
      <protection hidden="1"/>
    </xf>
    <xf numFmtId="168" fontId="11" fillId="3" borderId="41" xfId="13" applyNumberFormat="1" applyFont="1" applyFill="1" applyBorder="1" applyAlignment="1" applyProtection="1">
      <alignment horizontal="center" shrinkToFit="1"/>
      <protection hidden="1"/>
    </xf>
    <xf numFmtId="165" fontId="11" fillId="12" borderId="0" xfId="2" applyNumberFormat="1" applyFont="1" applyFill="1" applyAlignment="1" applyProtection="1">
      <alignment horizontal="center"/>
      <protection locked="0"/>
    </xf>
    <xf numFmtId="0" fontId="11" fillId="3" borderId="4" xfId="2" applyFont="1" applyFill="1" applyBorder="1" applyAlignment="1" applyProtection="1">
      <alignment horizontal="center"/>
      <protection locked="0"/>
    </xf>
    <xf numFmtId="0" fontId="11" fillId="3" borderId="5" xfId="2" applyFont="1" applyFill="1" applyBorder="1" applyAlignment="1" applyProtection="1">
      <alignment horizontal="center"/>
      <protection locked="0"/>
    </xf>
    <xf numFmtId="0" fontId="11" fillId="3" borderId="6" xfId="2" applyFont="1" applyFill="1" applyBorder="1" applyAlignment="1" applyProtection="1">
      <alignment horizontal="center"/>
      <protection locked="0"/>
    </xf>
    <xf numFmtId="164" fontId="11" fillId="3" borderId="37" xfId="13" applyNumberFormat="1" applyFont="1" applyFill="1" applyBorder="1" applyAlignment="1" applyProtection="1">
      <alignment horizontal="center"/>
      <protection hidden="1"/>
    </xf>
    <xf numFmtId="0" fontId="50" fillId="3" borderId="4" xfId="2" applyFont="1" applyFill="1" applyBorder="1" applyAlignment="1" applyProtection="1">
      <alignment horizontal="center" vertical="center"/>
      <protection hidden="1"/>
    </xf>
    <xf numFmtId="0" fontId="50" fillId="3" borderId="5" xfId="2" applyFont="1" applyFill="1" applyBorder="1" applyAlignment="1" applyProtection="1">
      <alignment horizontal="center" vertical="center"/>
      <protection hidden="1"/>
    </xf>
    <xf numFmtId="0" fontId="50" fillId="3" borderId="6" xfId="2" applyFont="1" applyFill="1" applyBorder="1" applyAlignment="1" applyProtection="1">
      <alignment horizontal="center" vertical="center"/>
      <protection hidden="1"/>
    </xf>
    <xf numFmtId="168" fontId="11" fillId="3" borderId="74" xfId="13" applyNumberFormat="1" applyFont="1" applyFill="1" applyBorder="1" applyAlignment="1" applyProtection="1">
      <alignment horizontal="center"/>
      <protection hidden="1"/>
    </xf>
    <xf numFmtId="168" fontId="11" fillId="3" borderId="40" xfId="13" applyNumberFormat="1" applyFont="1" applyFill="1" applyBorder="1" applyAlignment="1" applyProtection="1">
      <alignment horizontal="center"/>
      <protection hidden="1"/>
    </xf>
    <xf numFmtId="168" fontId="11" fillId="3" borderId="41" xfId="13" applyNumberFormat="1" applyFont="1" applyFill="1" applyBorder="1" applyAlignment="1" applyProtection="1">
      <alignment horizontal="center"/>
      <protection hidden="1"/>
    </xf>
    <xf numFmtId="0" fontId="10" fillId="3" borderId="9" xfId="2" applyFill="1" applyBorder="1" applyAlignment="1" applyProtection="1">
      <alignment horizontal="left" wrapText="1"/>
      <protection hidden="1"/>
    </xf>
    <xf numFmtId="0" fontId="10" fillId="3" borderId="0" xfId="2" applyFill="1" applyBorder="1" applyAlignment="1" applyProtection="1">
      <alignment horizontal="left" wrapText="1"/>
      <protection hidden="1"/>
    </xf>
    <xf numFmtId="0" fontId="10" fillId="3" borderId="0" xfId="2" applyFill="1" applyAlignment="1" applyProtection="1">
      <alignment horizontal="right" wrapText="1"/>
      <protection hidden="1"/>
    </xf>
    <xf numFmtId="43" fontId="48" fillId="0" borderId="0" xfId="1" applyFont="1" applyFill="1" applyBorder="1" applyAlignment="1" applyProtection="1">
      <alignment horizontal="center" wrapText="1"/>
      <protection hidden="1"/>
    </xf>
    <xf numFmtId="0" fontId="10" fillId="0" borderId="0" xfId="2" applyFill="1" applyAlignment="1" applyProtection="1">
      <alignment horizontal="right" wrapText="1"/>
      <protection hidden="1"/>
    </xf>
    <xf numFmtId="43" fontId="48" fillId="0" borderId="0" xfId="1" applyFont="1" applyFill="1" applyBorder="1" applyAlignment="1" applyProtection="1">
      <alignment horizontal="left" wrapText="1"/>
      <protection hidden="1"/>
    </xf>
    <xf numFmtId="0" fontId="10" fillId="0" borderId="9" xfId="2" applyFill="1" applyBorder="1" applyAlignment="1" applyProtection="1">
      <alignment horizontal="left"/>
      <protection hidden="1"/>
    </xf>
    <xf numFmtId="0" fontId="10" fillId="0" borderId="0" xfId="2" applyFill="1" applyBorder="1" applyAlignment="1" applyProtection="1">
      <alignment horizontal="left"/>
      <protection hidden="1"/>
    </xf>
    <xf numFmtId="0" fontId="10" fillId="0" borderId="8" xfId="2" applyFill="1" applyBorder="1" applyAlignment="1" applyProtection="1">
      <alignment horizontal="left"/>
      <protection hidden="1"/>
    </xf>
    <xf numFmtId="0" fontId="10" fillId="0" borderId="13" xfId="2" applyFill="1" applyBorder="1" applyAlignment="1" applyProtection="1">
      <alignment horizontal="left"/>
      <protection hidden="1"/>
    </xf>
    <xf numFmtId="0" fontId="10" fillId="0" borderId="7" xfId="2" applyFill="1" applyBorder="1" applyAlignment="1" applyProtection="1">
      <alignment horizontal="left"/>
      <protection hidden="1"/>
    </xf>
    <xf numFmtId="0" fontId="10" fillId="0" borderId="10" xfId="2" applyFill="1" applyBorder="1" applyAlignment="1" applyProtection="1">
      <alignment horizontal="left"/>
      <protection hidden="1"/>
    </xf>
    <xf numFmtId="0" fontId="10" fillId="3" borderId="4" xfId="2" applyFill="1" applyBorder="1" applyAlignment="1" applyProtection="1">
      <alignment horizontal="left"/>
      <protection hidden="1"/>
    </xf>
    <xf numFmtId="0" fontId="10" fillId="3" borderId="5" xfId="2" applyFill="1" applyBorder="1" applyAlignment="1" applyProtection="1">
      <alignment horizontal="left"/>
      <protection hidden="1"/>
    </xf>
    <xf numFmtId="0" fontId="10" fillId="3" borderId="6" xfId="2" applyFill="1" applyBorder="1" applyAlignment="1" applyProtection="1">
      <alignment horizontal="left"/>
      <protection hidden="1"/>
    </xf>
    <xf numFmtId="0" fontId="10" fillId="3" borderId="1" xfId="2" applyFill="1" applyBorder="1" applyAlignment="1" applyProtection="1">
      <alignment horizontal="left"/>
      <protection hidden="1"/>
    </xf>
    <xf numFmtId="0" fontId="48" fillId="3" borderId="5" xfId="2" applyFont="1" applyFill="1" applyBorder="1" applyAlignment="1" applyProtection="1">
      <alignment horizontal="left"/>
      <protection hidden="1"/>
    </xf>
    <xf numFmtId="49" fontId="10" fillId="3" borderId="4" xfId="2" applyNumberFormat="1" applyFill="1" applyBorder="1" applyAlignment="1" applyProtection="1">
      <alignment horizontal="center"/>
      <protection hidden="1"/>
    </xf>
    <xf numFmtId="49" fontId="10" fillId="3" borderId="5" xfId="2" applyNumberFormat="1" applyFill="1" applyBorder="1" applyAlignment="1" applyProtection="1">
      <alignment horizontal="center"/>
      <protection hidden="1"/>
    </xf>
    <xf numFmtId="49" fontId="10" fillId="3" borderId="6" xfId="2" applyNumberFormat="1" applyFill="1" applyBorder="1" applyAlignment="1" applyProtection="1">
      <alignment horizontal="center"/>
      <protection hidden="1"/>
    </xf>
    <xf numFmtId="49" fontId="10" fillId="0" borderId="4" xfId="2" applyNumberFormat="1" applyFill="1" applyBorder="1" applyAlignment="1" applyProtection="1">
      <alignment horizontal="center" vertical="center" wrapText="1"/>
      <protection hidden="1"/>
    </xf>
    <xf numFmtId="49" fontId="10" fillId="0" borderId="5" xfId="2" applyNumberFormat="1" applyFill="1" applyBorder="1" applyAlignment="1" applyProtection="1">
      <alignment horizontal="center" vertical="center" wrapText="1"/>
      <protection hidden="1"/>
    </xf>
    <xf numFmtId="49" fontId="10" fillId="0" borderId="6" xfId="2" applyNumberFormat="1" applyFill="1" applyBorder="1" applyAlignment="1" applyProtection="1">
      <alignment horizontal="center" vertical="center" wrapText="1"/>
      <protection hidden="1"/>
    </xf>
    <xf numFmtId="0" fontId="45" fillId="3" borderId="13" xfId="11" applyNumberFormat="1" applyFont="1" applyFill="1" applyBorder="1" applyAlignment="1" applyProtection="1">
      <alignment horizontal="left"/>
      <protection hidden="1"/>
    </xf>
    <xf numFmtId="0" fontId="45" fillId="3" borderId="7" xfId="11" applyNumberFormat="1" applyFont="1" applyFill="1" applyBorder="1" applyAlignment="1" applyProtection="1">
      <alignment horizontal="left"/>
      <protection hidden="1"/>
    </xf>
    <xf numFmtId="0" fontId="45" fillId="3" borderId="10" xfId="11" applyNumberFormat="1" applyFont="1" applyFill="1" applyBorder="1" applyAlignment="1" applyProtection="1">
      <alignment horizontal="left"/>
      <protection hidden="1"/>
    </xf>
    <xf numFmtId="49" fontId="10" fillId="3" borderId="4" xfId="2" applyNumberFormat="1" applyFill="1" applyBorder="1" applyAlignment="1" applyProtection="1">
      <alignment horizontal="left"/>
      <protection hidden="1"/>
    </xf>
    <xf numFmtId="49" fontId="10" fillId="3" borderId="5" xfId="2" applyNumberFormat="1" applyFill="1" applyBorder="1" applyAlignment="1" applyProtection="1">
      <alignment horizontal="left"/>
      <protection hidden="1"/>
    </xf>
    <xf numFmtId="49" fontId="10" fillId="3" borderId="6" xfId="2" applyNumberFormat="1" applyFill="1" applyBorder="1" applyAlignment="1" applyProtection="1">
      <alignment horizontal="left"/>
      <protection hidden="1"/>
    </xf>
    <xf numFmtId="0" fontId="48" fillId="0" borderId="4" xfId="2" applyNumberFormat="1" applyFont="1" applyFill="1" applyBorder="1" applyAlignment="1" applyProtection="1">
      <alignment horizontal="left"/>
      <protection hidden="1"/>
    </xf>
    <xf numFmtId="0" fontId="48" fillId="0" borderId="5" xfId="2" applyNumberFormat="1" applyFont="1" applyFill="1" applyBorder="1" applyAlignment="1" applyProtection="1">
      <alignment horizontal="left"/>
      <protection hidden="1"/>
    </xf>
    <xf numFmtId="0" fontId="48" fillId="0" borderId="6" xfId="2" applyNumberFormat="1" applyFont="1" applyFill="1" applyBorder="1" applyAlignment="1" applyProtection="1">
      <alignment horizontal="left"/>
      <protection hidden="1"/>
    </xf>
    <xf numFmtId="0" fontId="23" fillId="3" borderId="0" xfId="2" applyFont="1" applyFill="1" applyAlignment="1" applyProtection="1">
      <alignment horizontal="center"/>
      <protection hidden="1"/>
    </xf>
    <xf numFmtId="0" fontId="23" fillId="3" borderId="0" xfId="2" applyFont="1" applyFill="1" applyAlignment="1" applyProtection="1">
      <alignment horizontal="center" vertical="center" wrapText="1"/>
      <protection hidden="1"/>
    </xf>
    <xf numFmtId="0" fontId="11" fillId="0" borderId="0" xfId="2" applyFont="1" applyFill="1" applyBorder="1" applyAlignment="1" applyProtection="1">
      <alignment horizontal="center"/>
      <protection hidden="1"/>
    </xf>
    <xf numFmtId="0" fontId="24" fillId="0" borderId="13" xfId="1" applyNumberFormat="1" applyFont="1" applyFill="1" applyBorder="1" applyAlignment="1" applyProtection="1">
      <alignment horizontal="center"/>
      <protection hidden="1"/>
    </xf>
    <xf numFmtId="0" fontId="24" fillId="0" borderId="7" xfId="1" applyNumberFormat="1" applyFont="1" applyFill="1" applyBorder="1" applyAlignment="1" applyProtection="1">
      <alignment horizontal="center"/>
      <protection hidden="1"/>
    </xf>
    <xf numFmtId="0" fontId="24" fillId="0" borderId="10" xfId="1" applyNumberFormat="1" applyFont="1" applyFill="1" applyBorder="1" applyAlignment="1" applyProtection="1">
      <alignment horizontal="center"/>
      <protection hidden="1"/>
    </xf>
    <xf numFmtId="0" fontId="45" fillId="0" borderId="200" xfId="0" applyFont="1" applyFill="1" applyBorder="1" applyAlignment="1" applyProtection="1">
      <alignment horizontal="center" vertical="center"/>
      <protection locked="0"/>
    </xf>
    <xf numFmtId="0" fontId="45" fillId="0" borderId="201" xfId="0" applyFont="1" applyFill="1" applyBorder="1" applyAlignment="1" applyProtection="1">
      <alignment horizontal="center" vertical="center"/>
      <protection locked="0"/>
    </xf>
    <xf numFmtId="0" fontId="45" fillId="0" borderId="202" xfId="0" applyFont="1" applyFill="1" applyBorder="1" applyAlignment="1" applyProtection="1">
      <alignment horizontal="center" vertical="center"/>
      <protection locked="0"/>
    </xf>
    <xf numFmtId="0" fontId="58" fillId="0" borderId="12" xfId="0" applyFont="1" applyBorder="1" applyAlignment="1" applyProtection="1">
      <alignment horizontal="center"/>
      <protection locked="0"/>
    </xf>
    <xf numFmtId="0" fontId="58" fillId="0" borderId="11" xfId="0" applyFont="1" applyBorder="1" applyAlignment="1" applyProtection="1">
      <alignment horizontal="center"/>
      <protection locked="0"/>
    </xf>
    <xf numFmtId="0" fontId="58" fillId="0" borderId="14" xfId="0" applyFont="1" applyBorder="1" applyAlignment="1" applyProtection="1">
      <alignment horizontal="center"/>
      <protection locked="0"/>
    </xf>
    <xf numFmtId="0" fontId="46" fillId="0" borderId="0" xfId="0" applyFont="1" applyBorder="1" applyAlignment="1" applyProtection="1">
      <alignment horizontal="center" vertical="center" wrapText="1"/>
      <protection locked="0"/>
    </xf>
    <xf numFmtId="0" fontId="58" fillId="0" borderId="13" xfId="0" applyFont="1" applyBorder="1" applyAlignment="1" applyProtection="1">
      <alignment horizontal="center"/>
      <protection locked="0"/>
    </xf>
    <xf numFmtId="0" fontId="58" fillId="0" borderId="7" xfId="0" applyFont="1" applyBorder="1" applyAlignment="1" applyProtection="1">
      <alignment horizontal="center"/>
      <protection locked="0"/>
    </xf>
    <xf numFmtId="0" fontId="58" fillId="0" borderId="10" xfId="0" applyFont="1" applyBorder="1" applyAlignment="1" applyProtection="1">
      <alignment horizontal="center"/>
      <protection locked="0"/>
    </xf>
    <xf numFmtId="0" fontId="58" fillId="0" borderId="0" xfId="0" applyFont="1" applyBorder="1" applyAlignment="1" applyProtection="1">
      <alignment horizontal="center" vertical="top" wrapText="1"/>
      <protection locked="0"/>
    </xf>
    <xf numFmtId="0" fontId="45" fillId="16" borderId="13" xfId="0" applyFont="1" applyFill="1" applyBorder="1" applyAlignment="1" applyProtection="1">
      <alignment horizontal="center"/>
      <protection locked="0"/>
    </xf>
    <xf numFmtId="0" fontId="45" fillId="16" borderId="7" xfId="0" applyFont="1" applyFill="1" applyBorder="1" applyAlignment="1" applyProtection="1">
      <alignment horizontal="center"/>
      <protection locked="0"/>
    </xf>
    <xf numFmtId="0" fontId="45" fillId="16" borderId="10" xfId="0" applyFont="1" applyFill="1" applyBorder="1" applyAlignment="1" applyProtection="1">
      <alignment horizontal="center"/>
      <protection locked="0"/>
    </xf>
    <xf numFmtId="0" fontId="45" fillId="0" borderId="0" xfId="0" applyFont="1" applyBorder="1" applyAlignment="1" applyProtection="1">
      <alignment horizontal="left" indent="1"/>
      <protection locked="0"/>
    </xf>
    <xf numFmtId="0" fontId="58" fillId="0" borderId="4" xfId="0" applyFont="1" applyBorder="1" applyAlignment="1" applyProtection="1">
      <alignment horizontal="left" indent="1"/>
      <protection locked="0"/>
    </xf>
    <xf numFmtId="0" fontId="58" fillId="0" borderId="5" xfId="0" applyFont="1" applyBorder="1" applyAlignment="1" applyProtection="1">
      <alignment horizontal="left" indent="1"/>
      <protection locked="0"/>
    </xf>
    <xf numFmtId="0" fontId="58" fillId="0" borderId="6" xfId="0" applyFont="1" applyBorder="1" applyAlignment="1" applyProtection="1">
      <alignment horizontal="left" indent="1"/>
      <protection locked="0"/>
    </xf>
    <xf numFmtId="0" fontId="46" fillId="16" borderId="13" xfId="0" applyFont="1" applyFill="1" applyBorder="1" applyAlignment="1" applyProtection="1">
      <alignment horizontal="left" vertical="center"/>
      <protection locked="0"/>
    </xf>
    <xf numFmtId="0" fontId="46" fillId="16" borderId="7" xfId="0" applyFont="1" applyFill="1" applyBorder="1" applyAlignment="1" applyProtection="1">
      <alignment horizontal="left" vertical="center"/>
      <protection locked="0"/>
    </xf>
    <xf numFmtId="0" fontId="46" fillId="16" borderId="10" xfId="0" applyFont="1" applyFill="1" applyBorder="1" applyAlignment="1" applyProtection="1">
      <alignment horizontal="left" vertical="center"/>
      <protection locked="0"/>
    </xf>
    <xf numFmtId="0" fontId="122" fillId="0" borderId="13" xfId="0" applyFont="1" applyFill="1" applyBorder="1" applyAlignment="1" applyProtection="1">
      <alignment horizontal="center" vertical="center"/>
      <protection locked="0"/>
    </xf>
    <xf numFmtId="0" fontId="122" fillId="0" borderId="7" xfId="0" applyFont="1" applyFill="1" applyBorder="1" applyAlignment="1" applyProtection="1">
      <alignment horizontal="center" vertical="center"/>
      <protection locked="0"/>
    </xf>
    <xf numFmtId="0" fontId="122" fillId="0" borderId="10" xfId="0" applyFont="1" applyFill="1" applyBorder="1" applyAlignment="1" applyProtection="1">
      <alignment horizontal="center" vertical="center"/>
      <protection locked="0"/>
    </xf>
    <xf numFmtId="0" fontId="58" fillId="0" borderId="11" xfId="0" applyFont="1" applyFill="1" applyBorder="1" applyAlignment="1" applyProtection="1">
      <alignment horizontal="center" vertical="center"/>
      <protection locked="0"/>
    </xf>
    <xf numFmtId="0" fontId="58" fillId="0" borderId="14" xfId="0" applyFont="1" applyFill="1" applyBorder="1" applyAlignment="1" applyProtection="1">
      <alignment horizontal="center" vertical="center"/>
      <protection locked="0"/>
    </xf>
    <xf numFmtId="0" fontId="123" fillId="16" borderId="201" xfId="0" applyFont="1" applyFill="1" applyBorder="1" applyAlignment="1" applyProtection="1">
      <alignment horizontal="left" vertical="center"/>
      <protection locked="0"/>
    </xf>
    <xf numFmtId="0" fontId="123" fillId="16" borderId="202" xfId="0" applyFont="1" applyFill="1" applyBorder="1" applyAlignment="1" applyProtection="1">
      <alignment horizontal="left" vertical="center"/>
      <protection locked="0"/>
    </xf>
    <xf numFmtId="49" fontId="59" fillId="16" borderId="201" xfId="0" applyNumberFormat="1" applyFont="1" applyFill="1" applyBorder="1" applyAlignment="1" applyProtection="1">
      <alignment horizontal="left" vertical="center"/>
      <protection locked="0"/>
    </xf>
    <xf numFmtId="0" fontId="59" fillId="16" borderId="201" xfId="0" applyFont="1" applyFill="1" applyBorder="1" applyAlignment="1" applyProtection="1">
      <alignment horizontal="left" vertical="center"/>
      <protection locked="0"/>
    </xf>
    <xf numFmtId="3" fontId="46" fillId="16" borderId="5" xfId="0" applyNumberFormat="1" applyFont="1" applyFill="1" applyBorder="1" applyAlignment="1" applyProtection="1">
      <alignment horizontal="center" vertical="center"/>
      <protection locked="0"/>
    </xf>
    <xf numFmtId="0" fontId="46" fillId="16" borderId="6" xfId="0" applyFont="1" applyFill="1" applyBorder="1" applyAlignment="1" applyProtection="1">
      <alignment horizontal="center" vertical="center"/>
      <protection locked="0"/>
    </xf>
    <xf numFmtId="0" fontId="51" fillId="0" borderId="4" xfId="0" applyFont="1" applyFill="1" applyBorder="1" applyAlignment="1" applyProtection="1">
      <alignment horizontal="left" vertical="center"/>
      <protection locked="0"/>
    </xf>
    <xf numFmtId="0" fontId="51" fillId="0" borderId="5" xfId="0" applyFont="1" applyFill="1" applyBorder="1" applyAlignment="1" applyProtection="1">
      <alignment horizontal="left" vertical="center"/>
      <protection locked="0"/>
    </xf>
    <xf numFmtId="49" fontId="46" fillId="16" borderId="5" xfId="0" applyNumberFormat="1" applyFont="1" applyFill="1" applyBorder="1" applyAlignment="1" applyProtection="1">
      <alignment horizontal="center" vertical="center"/>
      <protection locked="0"/>
    </xf>
    <xf numFmtId="0" fontId="46" fillId="16" borderId="7" xfId="0" applyFont="1" applyFill="1" applyBorder="1" applyAlignment="1" applyProtection="1">
      <alignment horizontal="center" vertical="center"/>
      <protection locked="0"/>
    </xf>
    <xf numFmtId="0" fontId="46" fillId="16" borderId="10" xfId="0" applyFont="1" applyFill="1" applyBorder="1" applyAlignment="1" applyProtection="1">
      <alignment horizontal="center" vertical="center"/>
      <protection locked="0"/>
    </xf>
    <xf numFmtId="49" fontId="46" fillId="16" borderId="7" xfId="0" applyNumberFormat="1" applyFont="1" applyFill="1" applyBorder="1" applyAlignment="1" applyProtection="1">
      <alignment horizontal="center" vertical="center"/>
      <protection locked="0"/>
    </xf>
    <xf numFmtId="3" fontId="46" fillId="16" borderId="5" xfId="0" applyNumberFormat="1" applyFont="1" applyFill="1" applyBorder="1" applyAlignment="1" applyProtection="1">
      <alignment horizontal="left" vertical="center"/>
      <protection locked="0"/>
    </xf>
    <xf numFmtId="0" fontId="46" fillId="16" borderId="5" xfId="0" applyFont="1" applyFill="1" applyBorder="1" applyAlignment="1" applyProtection="1">
      <alignment horizontal="left" vertical="center"/>
      <protection locked="0"/>
    </xf>
    <xf numFmtId="0" fontId="46" fillId="16" borderId="6" xfId="0" applyFont="1" applyFill="1" applyBorder="1" applyAlignment="1" applyProtection="1">
      <alignment horizontal="left" vertical="center"/>
      <protection locked="0"/>
    </xf>
    <xf numFmtId="0" fontId="69" fillId="0" borderId="201" xfId="0" applyFont="1" applyFill="1" applyBorder="1" applyAlignment="1" applyProtection="1">
      <alignment horizontal="left"/>
      <protection locked="0"/>
    </xf>
    <xf numFmtId="0" fontId="69" fillId="0" borderId="202" xfId="0" applyFont="1" applyFill="1" applyBorder="1" applyAlignment="1" applyProtection="1">
      <alignment horizontal="left"/>
      <protection locked="0"/>
    </xf>
    <xf numFmtId="0" fontId="51" fillId="16" borderId="5" xfId="0" applyFont="1" applyFill="1" applyBorder="1" applyAlignment="1" applyProtection="1">
      <alignment horizontal="center" vertical="center"/>
      <protection locked="0"/>
    </xf>
    <xf numFmtId="0" fontId="51" fillId="16" borderId="6" xfId="0" applyFont="1" applyFill="1" applyBorder="1" applyAlignment="1" applyProtection="1">
      <alignment horizontal="center" vertical="center"/>
      <protection locked="0"/>
    </xf>
    <xf numFmtId="0" fontId="51" fillId="16" borderId="5" xfId="0" applyFont="1" applyFill="1" applyBorder="1" applyAlignment="1" applyProtection="1">
      <alignment horizontal="left" vertical="center"/>
      <protection locked="0"/>
    </xf>
    <xf numFmtId="0" fontId="51" fillId="16" borderId="6" xfId="0" applyFont="1" applyFill="1" applyBorder="1" applyAlignment="1" applyProtection="1">
      <alignment horizontal="left" vertical="center"/>
      <protection locked="0"/>
    </xf>
    <xf numFmtId="0" fontId="124" fillId="0" borderId="9" xfId="0" applyFont="1" applyBorder="1" applyAlignment="1" applyProtection="1">
      <alignment horizontal="left" vertical="center"/>
      <protection locked="0"/>
    </xf>
    <xf numFmtId="0" fontId="124" fillId="0" borderId="0" xfId="0" applyFont="1" applyBorder="1" applyAlignment="1" applyProtection="1">
      <alignment horizontal="left" vertical="center"/>
      <protection locked="0"/>
    </xf>
    <xf numFmtId="164" fontId="58" fillId="16" borderId="4" xfId="1" applyNumberFormat="1" applyFont="1" applyFill="1" applyBorder="1" applyAlignment="1" applyProtection="1">
      <alignment horizontal="center" vertical="center"/>
      <protection locked="0"/>
    </xf>
    <xf numFmtId="164" fontId="58" fillId="16" borderId="5" xfId="1" applyNumberFormat="1" applyFont="1" applyFill="1" applyBorder="1" applyAlignment="1" applyProtection="1">
      <alignment horizontal="center" vertical="center"/>
      <protection locked="0"/>
    </xf>
    <xf numFmtId="164" fontId="58" fillId="16" borderId="6" xfId="1" applyNumberFormat="1" applyFont="1" applyFill="1" applyBorder="1" applyAlignment="1" applyProtection="1">
      <alignment horizontal="center" vertical="center"/>
      <protection locked="0"/>
    </xf>
    <xf numFmtId="0" fontId="58" fillId="0" borderId="9" xfId="0" applyFont="1" applyBorder="1" applyAlignment="1" applyProtection="1">
      <alignment horizontal="left" vertical="center"/>
      <protection locked="0"/>
    </xf>
    <xf numFmtId="0" fontId="58" fillId="0" borderId="9" xfId="0" applyFont="1" applyBorder="1" applyAlignment="1" applyProtection="1">
      <alignment horizontal="left" vertical="top" indent="6"/>
      <protection locked="0"/>
    </xf>
    <xf numFmtId="0" fontId="124" fillId="0" borderId="0" xfId="0" applyFont="1" applyBorder="1" applyAlignment="1" applyProtection="1">
      <alignment horizontal="left" vertical="top" indent="6"/>
      <protection locked="0"/>
    </xf>
    <xf numFmtId="164" fontId="58" fillId="0" borderId="4" xfId="1" applyNumberFormat="1" applyFont="1" applyBorder="1" applyAlignment="1" applyProtection="1">
      <alignment horizontal="center" vertical="center"/>
      <protection locked="0"/>
    </xf>
    <xf numFmtId="164" fontId="58" fillId="0" borderId="5" xfId="1" applyNumberFormat="1" applyFont="1" applyBorder="1" applyAlignment="1" applyProtection="1">
      <alignment horizontal="center" vertical="center"/>
      <protection locked="0"/>
    </xf>
    <xf numFmtId="164" fontId="58" fillId="0" borderId="6" xfId="1" applyNumberFormat="1" applyFont="1" applyBorder="1" applyAlignment="1" applyProtection="1">
      <alignment horizontal="center" vertical="center"/>
      <protection locked="0"/>
    </xf>
    <xf numFmtId="0" fontId="46" fillId="0" borderId="9" xfId="0" applyFont="1" applyBorder="1" applyAlignment="1" applyProtection="1">
      <alignment horizontal="left" vertical="top"/>
      <protection locked="0"/>
    </xf>
    <xf numFmtId="0" fontId="51" fillId="0" borderId="0" xfId="0" applyFont="1" applyBorder="1" applyAlignment="1" applyProtection="1">
      <alignment horizontal="left" vertical="top"/>
      <protection locked="0"/>
    </xf>
    <xf numFmtId="0" fontId="46" fillId="0" borderId="0" xfId="0" applyFont="1" applyBorder="1" applyAlignment="1" applyProtection="1">
      <alignment horizontal="left" vertical="top"/>
      <protection locked="0"/>
    </xf>
    <xf numFmtId="164" fontId="58" fillId="0" borderId="4" xfId="1" applyNumberFormat="1" applyFont="1" applyFill="1" applyBorder="1" applyAlignment="1" applyProtection="1">
      <alignment horizontal="center" vertical="center"/>
      <protection locked="0"/>
    </xf>
    <xf numFmtId="164" fontId="58" fillId="0" borderId="5" xfId="1" applyNumberFormat="1" applyFont="1" applyFill="1" applyBorder="1" applyAlignment="1" applyProtection="1">
      <alignment horizontal="center" vertical="center"/>
      <protection locked="0"/>
    </xf>
    <xf numFmtId="164" fontId="58" fillId="0" borderId="6" xfId="1" applyNumberFormat="1" applyFont="1" applyFill="1" applyBorder="1" applyAlignment="1" applyProtection="1">
      <alignment horizontal="center" vertical="center"/>
      <protection locked="0"/>
    </xf>
    <xf numFmtId="0" fontId="58" fillId="0" borderId="20" xfId="0" applyFont="1" applyBorder="1" applyAlignment="1" applyProtection="1">
      <alignment horizontal="left" vertical="center"/>
      <protection locked="0"/>
    </xf>
    <xf numFmtId="49" fontId="51" fillId="16" borderId="0" xfId="0" applyNumberFormat="1" applyFont="1" applyFill="1" applyAlignment="1" applyProtection="1">
      <alignment vertical="center"/>
      <protection locked="0"/>
    </xf>
    <xf numFmtId="0" fontId="51" fillId="16" borderId="0" xfId="0" applyFont="1" applyFill="1" applyAlignment="1" applyProtection="1">
      <alignment vertical="center"/>
      <protection locked="0"/>
    </xf>
    <xf numFmtId="0" fontId="51" fillId="0" borderId="0" xfId="0" applyFont="1" applyFill="1" applyAlignment="1" applyProtection="1">
      <alignment horizontal="center" vertical="center"/>
      <protection locked="0"/>
    </xf>
    <xf numFmtId="49" fontId="51" fillId="16" borderId="0" xfId="0" applyNumberFormat="1" applyFont="1" applyFill="1" applyAlignment="1" applyProtection="1">
      <alignment horizontal="left"/>
      <protection locked="0"/>
    </xf>
    <xf numFmtId="0" fontId="51" fillId="16" borderId="0" xfId="0" applyFont="1" applyFill="1" applyAlignment="1" applyProtection="1">
      <alignment horizontal="left"/>
      <protection locked="0"/>
    </xf>
    <xf numFmtId="0" fontId="51" fillId="0" borderId="0" xfId="0" applyFont="1" applyAlignment="1" applyProtection="1">
      <alignment horizontal="justify" vertical="top" wrapText="1"/>
      <protection locked="0"/>
    </xf>
    <xf numFmtId="0" fontId="58" fillId="0" borderId="4" xfId="0" applyFont="1" applyBorder="1" applyAlignment="1" applyProtection="1">
      <alignment horizontal="center"/>
      <protection locked="0"/>
    </xf>
    <xf numFmtId="0" fontId="58" fillId="0" borderId="5" xfId="0" applyFont="1" applyBorder="1" applyAlignment="1" applyProtection="1">
      <alignment horizontal="center"/>
      <protection locked="0"/>
    </xf>
    <xf numFmtId="0" fontId="58" fillId="0" borderId="6" xfId="0" applyFont="1" applyBorder="1" applyAlignment="1" applyProtection="1">
      <alignment horizontal="center"/>
      <protection locked="0"/>
    </xf>
    <xf numFmtId="0" fontId="51" fillId="0" borderId="12" xfId="0" applyFont="1" applyBorder="1" applyAlignment="1" applyProtection="1">
      <alignment horizontal="center"/>
      <protection locked="0"/>
    </xf>
    <xf numFmtId="0" fontId="51" fillId="0" borderId="11" xfId="0" applyFont="1" applyBorder="1" applyAlignment="1" applyProtection="1">
      <alignment horizontal="center"/>
      <protection locked="0"/>
    </xf>
    <xf numFmtId="0" fontId="51" fillId="0" borderId="14" xfId="0" applyFont="1" applyBorder="1" applyAlignment="1" applyProtection="1">
      <alignment horizontal="center"/>
      <protection locked="0"/>
    </xf>
    <xf numFmtId="0" fontId="45" fillId="0" borderId="0" xfId="0" applyFont="1" applyBorder="1" applyAlignment="1" applyProtection="1">
      <alignment horizontal="center" vertical="justify" wrapText="1"/>
    </xf>
    <xf numFmtId="0" fontId="45" fillId="0" borderId="0" xfId="0" applyFont="1" applyBorder="1" applyAlignment="1" applyProtection="1">
      <alignment horizontal="center" vertical="center" wrapText="1"/>
    </xf>
    <xf numFmtId="0" fontId="121" fillId="0" borderId="0" xfId="0" applyFont="1" applyBorder="1" applyAlignment="1" applyProtection="1">
      <alignment horizontal="center" vertical="center" wrapText="1"/>
    </xf>
    <xf numFmtId="0" fontId="121" fillId="0" borderId="0" xfId="0" applyFont="1" applyBorder="1" applyAlignment="1" applyProtection="1">
      <alignment horizontal="center" vertical="center"/>
    </xf>
  </cellXfs>
  <cellStyles count="26">
    <cellStyle name="Euro" xfId="7"/>
    <cellStyle name="Lien hypertexte" xfId="3" builtinId="8"/>
    <cellStyle name="Lien hypertexte 2" xfId="19"/>
    <cellStyle name="Milliers" xfId="1" builtinId="3"/>
    <cellStyle name="Milliers 2" xfId="6"/>
    <cellStyle name="Milliers 2 2" xfId="13"/>
    <cellStyle name="Milliers 2 3" xfId="24"/>
    <cellStyle name="Milliers 3" xfId="8"/>
    <cellStyle name="Milliers 3 2" xfId="16"/>
    <cellStyle name="Milliers 3 2 2" xfId="18"/>
    <cellStyle name="Milliers 4" xfId="9"/>
    <cellStyle name="Normal" xfId="0" builtinId="0"/>
    <cellStyle name="Normal 2" xfId="2"/>
    <cellStyle name="Normal 2 2" xfId="12"/>
    <cellStyle name="Normal 2 3" xfId="15"/>
    <cellStyle name="Normal 3" xfId="5"/>
    <cellStyle name="Normal 3 2" xfId="17"/>
    <cellStyle name="Normal 3 3" xfId="20"/>
    <cellStyle name="Normal 3 4" xfId="23"/>
    <cellStyle name="Normal 4" xfId="10"/>
    <cellStyle name="Normal 5" xfId="21"/>
    <cellStyle name="Normal_avis imposition" xfId="11"/>
    <cellStyle name="Normal_Feuil1" xfId="22"/>
    <cellStyle name="Normal_LIASSE SYSCOA ESSAI 1999" xfId="25"/>
    <cellStyle name="Pourcentage" xfId="4" builtinId="5"/>
    <cellStyle name="Pourcentage 2" xfId="14"/>
  </cellStyles>
  <dxfs count="19">
    <dxf>
      <border>
        <left/>
        <right/>
        <top/>
        <bottom/>
        <vertical/>
        <horizontal/>
      </border>
    </dxf>
    <dxf>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right/>
        <top/>
        <bottom/>
      </border>
    </dxf>
    <dxf>
      <font>
        <b/>
      </font>
      <numFmt numFmtId="168" formatCode="\ #,###&quot;&quot;;\(#,##0\)"/>
      <fill>
        <patternFill patternType="solid">
          <fgColor indexed="64"/>
          <bgColor theme="6" tint="0.79998168889431442"/>
        </patternFill>
      </fill>
      <protection locked="1" hidden="1"/>
    </dxf>
    <dxf>
      <font>
        <b/>
        <i val="0"/>
        <strike val="0"/>
        <condense val="0"/>
        <extend val="0"/>
        <outline val="0"/>
        <shadow val="0"/>
        <u val="none"/>
        <vertAlign val="baseline"/>
        <sz val="8"/>
        <color theme="1"/>
        <name val="Arial"/>
        <scheme val="none"/>
      </font>
      <numFmt numFmtId="168" formatCode="\ #,###&quot;&quot;;\(#,##0\)"/>
      <fill>
        <patternFill patternType="solid">
          <fgColor indexed="64"/>
          <bgColor theme="6" tint="0.79998168889431442"/>
        </patternFill>
      </fill>
      <border diagonalUp="0" diagonalDown="0">
        <left style="thin">
          <color indexed="64"/>
        </left>
        <right style="thin">
          <color indexed="64"/>
        </right>
        <top style="thin">
          <color indexed="64"/>
        </top>
        <bottom style="thin">
          <color indexed="64"/>
        </bottom>
      </border>
      <protection locked="1" hidden="1"/>
    </dxf>
    <dxf>
      <font>
        <b/>
        <i val="0"/>
        <strike val="0"/>
        <condense val="0"/>
        <extend val="0"/>
        <outline val="0"/>
        <shadow val="0"/>
        <u val="none"/>
        <vertAlign val="baseline"/>
        <sz val="8"/>
        <color theme="1"/>
        <name val="Arial"/>
        <scheme val="none"/>
      </font>
      <numFmt numFmtId="168" formatCode="\ #,###&quot;&quot;;\(#,##0\)"/>
      <fill>
        <patternFill patternType="solid">
          <fgColor indexed="64"/>
          <bgColor theme="6" tint="0.79998168889431442"/>
        </patternFill>
      </fill>
      <border diagonalUp="0" diagonalDown="0">
        <left/>
        <right style="thin">
          <color indexed="64"/>
        </right>
        <top/>
        <bottom/>
      </border>
      <protection locked="1" hidden="1"/>
    </dxf>
    <dxf>
      <border outline="0">
        <right style="thin">
          <color indexed="64"/>
        </right>
        <top style="thin">
          <color indexed="64"/>
        </top>
      </border>
    </dxf>
    <dxf>
      <font>
        <b/>
      </font>
      <numFmt numFmtId="164" formatCode="_-* #,##0\ _€_-;\-* #,##0\ _€_-;_-* &quot;-&quot;??\ _€_-;_-@_-"/>
      <fill>
        <patternFill patternType="solid">
          <fgColor indexed="64"/>
          <bgColor theme="6" tint="0.79998168889431442"/>
        </patternFill>
      </fill>
      <protection locked="1" hidden="1"/>
    </dxf>
    <dxf>
      <border outline="0">
        <bottom style="thin">
          <color indexed="64"/>
        </bottom>
      </border>
    </dxf>
    <dxf>
      <font>
        <b val="0"/>
        <i val="0"/>
        <strike val="0"/>
        <condense val="0"/>
        <extend val="0"/>
        <outline val="0"/>
        <shadow val="0"/>
        <u val="none"/>
        <vertAlign val="baseline"/>
        <sz val="8"/>
        <color theme="1"/>
        <name val="Arial"/>
        <scheme val="none"/>
      </font>
      <numFmt numFmtId="164" formatCode="_-* #,##0\ _€_-;\-* #,##0\ _€_-;_-* &quot;-&quot;??\ _€_-;_-@_-"/>
      <fill>
        <patternFill patternType="solid">
          <fgColor indexed="64"/>
          <bgColor theme="6" tint="0.79998168889431442"/>
        </patternFill>
      </fill>
      <border diagonalUp="0" diagonalDown="0">
        <left style="thin">
          <color indexed="64"/>
        </left>
        <right style="thin">
          <color indexed="64"/>
        </right>
        <top/>
        <bottom/>
      </border>
      <protection locked="1" hidden="1"/>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colors>
    <mruColors>
      <color rgb="FF008000"/>
      <color rgb="FF000000"/>
      <color rgb="FF43C6E5"/>
      <color rgb="FFAB7055"/>
      <color rgb="FFD60000"/>
      <color rgb="FFFFFF66"/>
      <color rgb="FFFFFFCC"/>
      <color rgb="FFFFFF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57</xdr:row>
      <xdr:rowOff>171450</xdr:rowOff>
    </xdr:from>
    <xdr:to>
      <xdr:col>4</xdr:col>
      <xdr:colOff>619125</xdr:colOff>
      <xdr:row>61</xdr:row>
      <xdr:rowOff>190500</xdr:rowOff>
    </xdr:to>
    <xdr:pic>
      <xdr:nvPicPr>
        <xdr:cNvPr id="2" name="Image 1" descr="D:\SAM CONSEILS\ADMNISTRATION\Documents société\Nouveau Logo SAM.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334750"/>
          <a:ext cx="3352800" cy="8667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9525</xdr:colOff>
      <xdr:row>0</xdr:row>
      <xdr:rowOff>28575</xdr:rowOff>
    </xdr:from>
    <xdr:to>
      <xdr:col>5</xdr:col>
      <xdr:colOff>427566</xdr:colOff>
      <xdr:row>2</xdr:row>
      <xdr:rowOff>361950</xdr:rowOff>
    </xdr:to>
    <xdr:sp macro="" textlink="">
      <xdr:nvSpPr>
        <xdr:cNvPr id="2" name="Text Box 5">
          <a:extLst/>
        </xdr:cNvPr>
        <xdr:cNvSpPr txBox="1">
          <a:spLocks noChangeArrowheads="1"/>
        </xdr:cNvSpPr>
      </xdr:nvSpPr>
      <xdr:spPr bwMode="auto">
        <a:xfrm>
          <a:off x="19050" y="28575"/>
          <a:ext cx="11904132" cy="600075"/>
        </a:xfrm>
        <a:prstGeom prst="rect">
          <a:avLst/>
        </a:prstGeom>
        <a:solidFill>
          <a:srgbClr val="002060"/>
        </a:solidFill>
        <a:ln w="9525">
          <a:noFill/>
          <a:miter lim="800000"/>
          <a:headEnd/>
          <a:tailEnd/>
        </a:ln>
        <a:effectLst>
          <a:outerShdw dist="35921" dir="2700000" algn="ctr" rotWithShape="0">
            <a:srgbClr val="808080"/>
          </a:outerShdw>
        </a:effectLst>
      </xdr:spPr>
      <xdr:txBody>
        <a:bodyPr vertOverflow="clip" wrap="square" lIns="45720" tIns="41148" rIns="45720" bIns="41148" anchor="ctr" upright="1"/>
        <a:lstStyle/>
        <a:p>
          <a:pPr algn="ctr" rtl="0">
            <a:defRPr sz="1000"/>
          </a:pPr>
          <a:r>
            <a:rPr lang="fr-FR" sz="2800" b="1" i="0" strike="noStrike" baseline="0">
              <a:solidFill>
                <a:srgbClr val="FFFFFF"/>
              </a:solidFill>
              <a:latin typeface="Arial Black" pitchFamily="34" charset="0"/>
              <a:cs typeface="Arial"/>
            </a:rPr>
            <a:t>SOMMAIRE LIASSE SYSCOHADA ET LIASSES FISCALES</a:t>
          </a:r>
        </a:p>
        <a:p>
          <a:pPr algn="ctr" rtl="0">
            <a:defRPr sz="1000"/>
          </a:pPr>
          <a:endParaRPr lang="fr-FR" sz="100" b="1" i="0" strike="noStrike" baseline="0">
            <a:solidFill>
              <a:srgbClr val="FFFFFF"/>
            </a:solidFill>
            <a:latin typeface="Arial"/>
            <a:cs typeface="Arial"/>
          </a:endParaRPr>
        </a:p>
        <a:p>
          <a:pPr algn="ctr" rtl="0">
            <a:defRPr sz="1000"/>
          </a:pPr>
          <a:r>
            <a:rPr lang="fr-FR" sz="2000" b="1" i="0" strike="noStrike" baseline="0">
              <a:solidFill>
                <a:srgbClr val="FFFFFF"/>
              </a:solidFill>
              <a:latin typeface="Arial"/>
              <a:cs typeface="Arial"/>
            </a:rPr>
            <a:t> </a:t>
          </a:r>
          <a:endParaRPr lang="fr-FR" sz="2000" b="1" i="0" strike="noStrike">
            <a:solidFill>
              <a:srgbClr val="FFFF00"/>
            </a:solidFill>
            <a:latin typeface="Arial Black" pitchFamily="34" charset="0"/>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466725</xdr:colOff>
      <xdr:row>2</xdr:row>
      <xdr:rowOff>0</xdr:rowOff>
    </xdr:to>
    <xdr:sp macro="" textlink="">
      <xdr:nvSpPr>
        <xdr:cNvPr id="2" name="AutoShape 5"/>
        <xdr:cNvSpPr>
          <a:spLocks noChangeArrowheads="1"/>
        </xdr:cNvSpPr>
      </xdr:nvSpPr>
      <xdr:spPr bwMode="auto">
        <a:xfrm>
          <a:off x="0" y="9067800"/>
          <a:ext cx="1990725" cy="0"/>
        </a:xfrm>
        <a:prstGeom prst="bracketPair">
          <a:avLst>
            <a:gd name="adj" fmla="val 16667"/>
          </a:avLst>
        </a:prstGeom>
        <a:noFill/>
        <a:ln w="9525">
          <a:solidFill>
            <a:srgbClr val="000000"/>
          </a:solidFill>
          <a:round/>
          <a:headEnd/>
          <a:tailEnd/>
        </a:ln>
      </xdr:spPr>
    </xdr:sp>
    <xdr:clientData/>
  </xdr:twoCellAnchor>
  <xdr:twoCellAnchor>
    <xdr:from>
      <xdr:col>6</xdr:col>
      <xdr:colOff>752475</xdr:colOff>
      <xdr:row>2</xdr:row>
      <xdr:rowOff>0</xdr:rowOff>
    </xdr:from>
    <xdr:to>
      <xdr:col>7</xdr:col>
      <xdr:colOff>171450</xdr:colOff>
      <xdr:row>2</xdr:row>
      <xdr:rowOff>0</xdr:rowOff>
    </xdr:to>
    <xdr:sp macro="" textlink="">
      <xdr:nvSpPr>
        <xdr:cNvPr id="5" name="Rectangle 10"/>
        <xdr:cNvSpPr>
          <a:spLocks noChangeArrowheads="1"/>
        </xdr:cNvSpPr>
      </xdr:nvSpPr>
      <xdr:spPr bwMode="auto">
        <a:xfrm>
          <a:off x="5324475" y="9067800"/>
          <a:ext cx="180975" cy="0"/>
        </a:xfrm>
        <a:prstGeom prst="rect">
          <a:avLst/>
        </a:prstGeom>
        <a:noFill/>
        <a:ln w="9525">
          <a:solidFill>
            <a:srgbClr val="000000"/>
          </a:solidFill>
          <a:miter lim="800000"/>
          <a:headEnd/>
          <a:tailEnd/>
        </a:ln>
      </xdr:spPr>
    </xdr:sp>
    <xdr:clientData/>
  </xdr:twoCellAnchor>
  <xdr:twoCellAnchor>
    <xdr:from>
      <xdr:col>7</xdr:col>
      <xdr:colOff>0</xdr:colOff>
      <xdr:row>2</xdr:row>
      <xdr:rowOff>0</xdr:rowOff>
    </xdr:from>
    <xdr:to>
      <xdr:col>7</xdr:col>
      <xdr:colOff>180975</xdr:colOff>
      <xdr:row>2</xdr:row>
      <xdr:rowOff>0</xdr:rowOff>
    </xdr:to>
    <xdr:sp macro="" textlink="">
      <xdr:nvSpPr>
        <xdr:cNvPr id="6" name="Rectangle 13"/>
        <xdr:cNvSpPr>
          <a:spLocks noChangeArrowheads="1"/>
        </xdr:cNvSpPr>
      </xdr:nvSpPr>
      <xdr:spPr bwMode="auto">
        <a:xfrm>
          <a:off x="5334000" y="9067800"/>
          <a:ext cx="180975" cy="0"/>
        </a:xfrm>
        <a:prstGeom prst="rect">
          <a:avLst/>
        </a:prstGeom>
        <a:no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152400</xdr:colOff>
          <xdr:row>35</xdr:row>
          <xdr:rowOff>190500</xdr:rowOff>
        </xdr:from>
        <xdr:to>
          <xdr:col>6</xdr:col>
          <xdr:colOff>276225</xdr:colOff>
          <xdr:row>37</xdr:row>
          <xdr:rowOff>9525</xdr:rowOff>
        </xdr:to>
        <xdr:sp macro="" textlink="">
          <xdr:nvSpPr>
            <xdr:cNvPr id="2050" name="Check Box 2" hidden="1">
              <a:extLst>
                <a:ext uri="{63B3BB69-23CF-44E3-9099-C40C66FF867C}">
                  <a14:compatExt spid="_x0000_s2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37</xdr:row>
          <xdr:rowOff>28575</xdr:rowOff>
        </xdr:from>
        <xdr:to>
          <xdr:col>7</xdr:col>
          <xdr:colOff>685800</xdr:colOff>
          <xdr:row>38</xdr:row>
          <xdr:rowOff>0</xdr:rowOff>
        </xdr:to>
        <xdr:sp macro="" textlink="">
          <xdr:nvSpPr>
            <xdr:cNvPr id="2052" name="Check Box 4" hidden="1">
              <a:extLst>
                <a:ext uri="{63B3BB69-23CF-44E3-9099-C40C66FF867C}">
                  <a14:compatExt spid="_x0000_s2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38</xdr:row>
          <xdr:rowOff>9525</xdr:rowOff>
        </xdr:from>
        <xdr:to>
          <xdr:col>6</xdr:col>
          <xdr:colOff>495300</xdr:colOff>
          <xdr:row>39</xdr:row>
          <xdr:rowOff>9525</xdr:rowOff>
        </xdr:to>
        <xdr:sp macro="" textlink="">
          <xdr:nvSpPr>
            <xdr:cNvPr id="2053" name="Check Box 5" hidden="1">
              <a:extLst>
                <a:ext uri="{63B3BB69-23CF-44E3-9099-C40C66FF867C}">
                  <a14:compatExt spid="_x0000_s2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39</xdr:row>
          <xdr:rowOff>28575</xdr:rowOff>
        </xdr:from>
        <xdr:to>
          <xdr:col>7</xdr:col>
          <xdr:colOff>66675</xdr:colOff>
          <xdr:row>39</xdr:row>
          <xdr:rowOff>238125</xdr:rowOff>
        </xdr:to>
        <xdr:sp macro="" textlink="">
          <xdr:nvSpPr>
            <xdr:cNvPr id="2054" name="Check Box 6" hidden="1">
              <a:extLst>
                <a:ext uri="{63B3BB69-23CF-44E3-9099-C40C66FF867C}">
                  <a14:compatExt spid="_x0000_s2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40</xdr:row>
          <xdr:rowOff>28575</xdr:rowOff>
        </xdr:from>
        <xdr:to>
          <xdr:col>7</xdr:col>
          <xdr:colOff>57150</xdr:colOff>
          <xdr:row>40</xdr:row>
          <xdr:rowOff>238125</xdr:rowOff>
        </xdr:to>
        <xdr:sp macro="" textlink="">
          <xdr:nvSpPr>
            <xdr:cNvPr id="2055" name="Check Box 7" hidden="1">
              <a:extLst>
                <a:ext uri="{63B3BB69-23CF-44E3-9099-C40C66FF867C}">
                  <a14:compatExt spid="_x0000_s2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41</xdr:row>
          <xdr:rowOff>28575</xdr:rowOff>
        </xdr:from>
        <xdr:to>
          <xdr:col>7</xdr:col>
          <xdr:colOff>57150</xdr:colOff>
          <xdr:row>41</xdr:row>
          <xdr:rowOff>238125</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266700</xdr:colOff>
          <xdr:row>37</xdr:row>
          <xdr:rowOff>28575</xdr:rowOff>
        </xdr:from>
        <xdr:to>
          <xdr:col>13</xdr:col>
          <xdr:colOff>476250</xdr:colOff>
          <xdr:row>38</xdr:row>
          <xdr:rowOff>47625</xdr:rowOff>
        </xdr:to>
        <xdr:sp macro="" textlink="">
          <xdr:nvSpPr>
            <xdr:cNvPr id="81921" name="Check Box 1" hidden="1">
              <a:extLst>
                <a:ext uri="{63B3BB69-23CF-44E3-9099-C40C66FF867C}">
                  <a14:compatExt spid="_x0000_s8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37</xdr:row>
          <xdr:rowOff>9525</xdr:rowOff>
        </xdr:from>
        <xdr:to>
          <xdr:col>14</xdr:col>
          <xdr:colOff>476250</xdr:colOff>
          <xdr:row>38</xdr:row>
          <xdr:rowOff>28575</xdr:rowOff>
        </xdr:to>
        <xdr:sp macro="" textlink="">
          <xdr:nvSpPr>
            <xdr:cNvPr id="81922" name="Check Box 2" hidden="1">
              <a:extLst>
                <a:ext uri="{63B3BB69-23CF-44E3-9099-C40C66FF867C}">
                  <a14:compatExt spid="_x0000_s8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323850</xdr:colOff>
          <xdr:row>37</xdr:row>
          <xdr:rowOff>38100</xdr:rowOff>
        </xdr:from>
        <xdr:to>
          <xdr:col>12</xdr:col>
          <xdr:colOff>180975</xdr:colOff>
          <xdr:row>38</xdr:row>
          <xdr:rowOff>57150</xdr:rowOff>
        </xdr:to>
        <xdr:sp macro="" textlink="">
          <xdr:nvSpPr>
            <xdr:cNvPr id="81923" name="Check Box 3" hidden="1">
              <a:extLst>
                <a:ext uri="{63B3BB69-23CF-44E3-9099-C40C66FF867C}">
                  <a14:compatExt spid="_x0000_s8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28575</xdr:colOff>
          <xdr:row>8</xdr:row>
          <xdr:rowOff>0</xdr:rowOff>
        </xdr:from>
        <xdr:to>
          <xdr:col>21</xdr:col>
          <xdr:colOff>152400</xdr:colOff>
          <xdr:row>9</xdr:row>
          <xdr:rowOff>19050</xdr:rowOff>
        </xdr:to>
        <xdr:sp macro="" textlink="">
          <xdr:nvSpPr>
            <xdr:cNvPr id="9830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9</xdr:row>
          <xdr:rowOff>180975</xdr:rowOff>
        </xdr:from>
        <xdr:to>
          <xdr:col>21</xdr:col>
          <xdr:colOff>142875</xdr:colOff>
          <xdr:row>11</xdr:row>
          <xdr:rowOff>9525</xdr:rowOff>
        </xdr:to>
        <xdr:sp macro="" textlink="">
          <xdr:nvSpPr>
            <xdr:cNvPr id="9830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11</xdr:row>
          <xdr:rowOff>180975</xdr:rowOff>
        </xdr:from>
        <xdr:to>
          <xdr:col>21</xdr:col>
          <xdr:colOff>142875</xdr:colOff>
          <xdr:row>13</xdr:row>
          <xdr:rowOff>9525</xdr:rowOff>
        </xdr:to>
        <xdr:sp macro="" textlink="">
          <xdr:nvSpPr>
            <xdr:cNvPr id="98307" name="Check Box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13</xdr:col>
      <xdr:colOff>257175</xdr:colOff>
      <xdr:row>4</xdr:row>
      <xdr:rowOff>85725</xdr:rowOff>
    </xdr:from>
    <xdr:to>
      <xdr:col>24</xdr:col>
      <xdr:colOff>161925</xdr:colOff>
      <xdr:row>4</xdr:row>
      <xdr:rowOff>85725</xdr:rowOff>
    </xdr:to>
    <xdr:sp macro="" textlink="">
      <xdr:nvSpPr>
        <xdr:cNvPr id="2" name="Line 1"/>
        <xdr:cNvSpPr>
          <a:spLocks noChangeShapeType="1"/>
        </xdr:cNvSpPr>
      </xdr:nvSpPr>
      <xdr:spPr bwMode="auto">
        <a:xfrm>
          <a:off x="2562225" y="733425"/>
          <a:ext cx="1971675" cy="0"/>
        </a:xfrm>
        <a:prstGeom prst="line">
          <a:avLst/>
        </a:prstGeom>
        <a:noFill/>
        <a:ln w="9525">
          <a:solidFill>
            <a:srgbClr val="000000"/>
          </a:solidFill>
          <a:round/>
          <a:headEnd/>
          <a:tailEnd/>
        </a:ln>
      </xdr:spPr>
    </xdr:sp>
    <xdr:clientData/>
  </xdr:twoCellAnchor>
  <xdr:twoCellAnchor>
    <xdr:from>
      <xdr:col>4</xdr:col>
      <xdr:colOff>38100</xdr:colOff>
      <xdr:row>0</xdr:row>
      <xdr:rowOff>114300</xdr:rowOff>
    </xdr:from>
    <xdr:to>
      <xdr:col>8</xdr:col>
      <xdr:colOff>219076</xdr:colOff>
      <xdr:row>5</xdr:row>
      <xdr:rowOff>47625</xdr:rowOff>
    </xdr:to>
    <xdr:sp macro="" textlink="">
      <xdr:nvSpPr>
        <xdr:cNvPr id="3" name="Rectangle 2"/>
        <xdr:cNvSpPr>
          <a:spLocks noChangeArrowheads="1"/>
        </xdr:cNvSpPr>
      </xdr:nvSpPr>
      <xdr:spPr bwMode="auto">
        <a:xfrm>
          <a:off x="3086100" y="114300"/>
          <a:ext cx="1714501" cy="742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CACHET DU SERVICE</a:t>
          </a:r>
        </a:p>
      </xdr:txBody>
    </xdr:sp>
    <xdr:clientData/>
  </xdr:twoCellAnchor>
  <xdr:twoCellAnchor>
    <xdr:from>
      <xdr:col>28</xdr:col>
      <xdr:colOff>66675</xdr:colOff>
      <xdr:row>0</xdr:row>
      <xdr:rowOff>28575</xdr:rowOff>
    </xdr:from>
    <xdr:to>
      <xdr:col>34</xdr:col>
      <xdr:colOff>304800</xdr:colOff>
      <xdr:row>4</xdr:row>
      <xdr:rowOff>123825</xdr:rowOff>
    </xdr:to>
    <xdr:sp macro="" textlink="">
      <xdr:nvSpPr>
        <xdr:cNvPr id="4" name="Rectangle 3"/>
        <xdr:cNvSpPr>
          <a:spLocks noChangeArrowheads="1"/>
        </xdr:cNvSpPr>
      </xdr:nvSpPr>
      <xdr:spPr bwMode="auto">
        <a:xfrm>
          <a:off x="5172075" y="28575"/>
          <a:ext cx="1352550" cy="7429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fr-FR" sz="1000" b="0" i="0" strike="noStrike">
              <a:solidFill>
                <a:srgbClr val="000000"/>
              </a:solidFill>
              <a:latin typeface="Arial"/>
              <a:cs typeface="Arial"/>
            </a:rPr>
            <a:t>DATE DE RECEPTION</a:t>
          </a:r>
        </a:p>
      </xdr:txBody>
    </xdr:sp>
    <xdr:clientData/>
  </xdr:twoCellAnchor>
  <xdr:twoCellAnchor>
    <xdr:from>
      <xdr:col>28</xdr:col>
      <xdr:colOff>66675</xdr:colOff>
      <xdr:row>2</xdr:row>
      <xdr:rowOff>28575</xdr:rowOff>
    </xdr:from>
    <xdr:to>
      <xdr:col>34</xdr:col>
      <xdr:colOff>295875</xdr:colOff>
      <xdr:row>2</xdr:row>
      <xdr:rowOff>28575</xdr:rowOff>
    </xdr:to>
    <xdr:sp macro="" textlink="">
      <xdr:nvSpPr>
        <xdr:cNvPr id="5" name="Line 7"/>
        <xdr:cNvSpPr>
          <a:spLocks noChangeShapeType="1"/>
        </xdr:cNvSpPr>
      </xdr:nvSpPr>
      <xdr:spPr bwMode="auto">
        <a:xfrm>
          <a:off x="5172075" y="352425"/>
          <a:ext cx="1343625" cy="0"/>
        </a:xfrm>
        <a:prstGeom prst="line">
          <a:avLst/>
        </a:prstGeom>
        <a:noFill/>
        <a:ln w="9525">
          <a:solidFill>
            <a:srgbClr val="000000"/>
          </a:solidFill>
          <a:round/>
          <a:headEnd/>
          <a:tailEnd/>
        </a:ln>
      </xdr:spPr>
    </xdr:sp>
    <xdr:clientData/>
  </xdr:twoCellAnchor>
  <xdr:twoCellAnchor>
    <xdr:from>
      <xdr:col>4</xdr:col>
      <xdr:colOff>28575</xdr:colOff>
      <xdr:row>1</xdr:row>
      <xdr:rowOff>142875</xdr:rowOff>
    </xdr:from>
    <xdr:to>
      <xdr:col>8</xdr:col>
      <xdr:colOff>224025</xdr:colOff>
      <xdr:row>1</xdr:row>
      <xdr:rowOff>142875</xdr:rowOff>
    </xdr:to>
    <xdr:sp macro="" textlink="">
      <xdr:nvSpPr>
        <xdr:cNvPr id="6" name="Line 7"/>
        <xdr:cNvSpPr>
          <a:spLocks noChangeShapeType="1"/>
        </xdr:cNvSpPr>
      </xdr:nvSpPr>
      <xdr:spPr bwMode="auto">
        <a:xfrm>
          <a:off x="28575" y="304800"/>
          <a:ext cx="1728975" cy="0"/>
        </a:xfrm>
        <a:prstGeom prst="line">
          <a:avLst/>
        </a:prstGeom>
        <a:noFill/>
        <a:ln w="9525">
          <a:solidFill>
            <a:srgbClr val="000000"/>
          </a:solidFill>
          <a:round/>
          <a:headEnd/>
          <a:tailEnd/>
        </a:ln>
      </xdr:spPr>
    </xdr:sp>
    <xdr:clientData/>
  </xdr:twoCellAnchor>
  <xdr:twoCellAnchor editAs="oneCell">
    <xdr:from>
      <xdr:col>16</xdr:col>
      <xdr:colOff>1</xdr:colOff>
      <xdr:row>0</xdr:row>
      <xdr:rowOff>19050</xdr:rowOff>
    </xdr:from>
    <xdr:to>
      <xdr:col>19</xdr:col>
      <xdr:colOff>57150</xdr:colOff>
      <xdr:row>2</xdr:row>
      <xdr:rowOff>0</xdr:rowOff>
    </xdr:to>
    <xdr:pic>
      <xdr:nvPicPr>
        <xdr:cNvPr id="7" name="Picture 2"/>
        <xdr:cNvPicPr>
          <a:picLocks noChangeAspect="1" noChangeArrowheads="1"/>
        </xdr:cNvPicPr>
      </xdr:nvPicPr>
      <xdr:blipFill>
        <a:blip xmlns:r="http://schemas.openxmlformats.org/officeDocument/2006/relationships" r:embed="rId1"/>
        <a:srcRect/>
        <a:stretch>
          <a:fillRect/>
        </a:stretch>
      </xdr:blipFill>
      <xdr:spPr bwMode="auto">
        <a:xfrm>
          <a:off x="2914651" y="19050"/>
          <a:ext cx="628649" cy="4953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9524</xdr:colOff>
      <xdr:row>1</xdr:row>
      <xdr:rowOff>9525</xdr:rowOff>
    </xdr:from>
    <xdr:to>
      <xdr:col>17</xdr:col>
      <xdr:colOff>47625</xdr:colOff>
      <xdr:row>3</xdr:row>
      <xdr:rowOff>247650</xdr:rowOff>
    </xdr:to>
    <xdr:pic>
      <xdr:nvPicPr>
        <xdr:cNvPr id="2" name="Image 1" descr="logo dgi"/>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4" y="190500"/>
          <a:ext cx="952501"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AM%20CONSEILS\LIBRAIRIE\Ressources%20techniques\Dossier%20Etat%20financiers\ETAT%20FINANCIER%20REVISER%20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opyright"/>
      <sheetName val="MENU PRINCIPAL"/>
      <sheetName val="ENTITE"/>
      <sheetName val="BALANCE N"/>
      <sheetName val="BALANCE N-1"/>
      <sheetName val="CONTROLE BALANCE"/>
      <sheetName val="Equilibre comptes balance N"/>
      <sheetName val="Equilibre comptes balance N-1"/>
      <sheetName val="Page de garde"/>
      <sheetName val="FICHE R1"/>
      <sheetName val="FICHE R2"/>
      <sheetName val="FICHE R3"/>
      <sheetName val="FICHE R4"/>
      <sheetName val="Bilan modèle 1"/>
      <sheetName val="Bilan actif "/>
      <sheetName val="Bilan passif"/>
      <sheetName val="compte de résultat"/>
      <sheetName val="TFT"/>
      <sheetName val="TBFT"/>
      <sheetName val="NOTE 1"/>
      <sheetName val="NOTE 2"/>
      <sheetName val="NOTE 3A"/>
      <sheetName val="NOTE 3B"/>
      <sheetName val="NOTE 3C"/>
      <sheetName val="NOTE 3D"/>
      <sheetName val="NOTE 3E"/>
      <sheetName val="NOTE 4"/>
      <sheetName val="NOTE 5"/>
      <sheetName val="NOTE 6"/>
      <sheetName val="NOTE 7"/>
      <sheetName val="NOTE 8"/>
      <sheetName val="NOTE 8A"/>
      <sheetName val="NOTE 9"/>
      <sheetName val="NOTE 10"/>
      <sheetName val="NOTE 11"/>
      <sheetName val="NOTE 12"/>
      <sheetName val="NOTE 13"/>
      <sheetName val="NOTE 14"/>
      <sheetName val="NOTE 15A"/>
      <sheetName val="NOTE 15B"/>
      <sheetName val="NOTE 16A"/>
      <sheetName val="NOTE 16B"/>
      <sheetName val="NOTE 16bis"/>
      <sheetName val="NOTE 16C"/>
      <sheetName val="NOTE 17"/>
      <sheetName val="NOTE 18"/>
      <sheetName val="NOTE 19"/>
      <sheetName val="NOTE 20"/>
      <sheetName val="NOTE 21"/>
      <sheetName val="NOTE 22"/>
      <sheetName val="NOTE 23"/>
      <sheetName val="NOTE 24"/>
      <sheetName val="NOTE 25"/>
      <sheetName val="NOTE 26"/>
      <sheetName val="NOTE 27A"/>
      <sheetName val="NOTE 27B"/>
      <sheetName val="NOTE 28"/>
      <sheetName val="NOTE 29"/>
      <sheetName val="NOTE 30"/>
      <sheetName val="NOTE 31"/>
      <sheetName val="NOTE 32"/>
      <sheetName val="NOTE 33"/>
      <sheetName val="NOTE 34"/>
      <sheetName val="NOTE 35"/>
      <sheetName val="NOTE 36"/>
    </sheetNames>
    <sheetDataSet>
      <sheetData sheetId="0"/>
      <sheetData sheetId="1"/>
      <sheetData sheetId="2">
        <row r="2">
          <cell r="D2" t="str">
            <v>THIOMBIANO BODOIN DESIRE</v>
          </cell>
        </row>
        <row r="3">
          <cell r="D3" t="str">
            <v>Numéro d'Identification :  00015580V</v>
          </cell>
        </row>
        <row r="4">
          <cell r="D4" t="str">
            <v xml:space="preserve">Exercice clos  le  31- 12 - 2018 </v>
          </cell>
        </row>
        <row r="5">
          <cell r="D5" t="str">
            <v>Durée (en mois) : 12</v>
          </cell>
        </row>
        <row r="7">
          <cell r="E7" t="str">
            <v>BURKINA FASO</v>
          </cell>
        </row>
        <row r="8">
          <cell r="E8" t="str">
            <v>DES FINANCES</v>
          </cell>
        </row>
        <row r="9">
          <cell r="E9" t="str">
            <v>DES IMPÔTS</v>
          </cell>
        </row>
        <row r="10">
          <cell r="E10" t="str">
            <v>OUAGADOUGOU</v>
          </cell>
        </row>
        <row r="11">
          <cell r="E11" t="str">
            <v>THIOMBIANO BODOIN DESIRE</v>
          </cell>
        </row>
        <row r="12">
          <cell r="E12" t="str">
            <v>ARCHITECH</v>
          </cell>
        </row>
        <row r="13">
          <cell r="E13" t="str">
            <v>01 BP 6932 Ouagadougou 09</v>
          </cell>
        </row>
      </sheetData>
      <sheetData sheetId="3">
        <row r="2">
          <cell r="A2">
            <v>101100</v>
          </cell>
          <cell r="C2">
            <v>101100</v>
          </cell>
          <cell r="D2">
            <v>101100</v>
          </cell>
          <cell r="E2">
            <v>200000000</v>
          </cell>
          <cell r="F2">
            <v>300000000</v>
          </cell>
          <cell r="G2">
            <v>300000000</v>
          </cell>
          <cell r="H2">
            <v>100000000</v>
          </cell>
          <cell r="I2" t="str">
            <v>10</v>
          </cell>
          <cell r="J2" t="str">
            <v>101</v>
          </cell>
          <cell r="K2" t="str">
            <v>1011</v>
          </cell>
          <cell r="L2" t="str">
            <v>10110</v>
          </cell>
          <cell r="M2" t="str">
            <v>101100</v>
          </cell>
        </row>
        <row r="3">
          <cell r="A3">
            <v>101200</v>
          </cell>
          <cell r="C3">
            <v>101200</v>
          </cell>
          <cell r="D3">
            <v>101200</v>
          </cell>
          <cell r="E3">
            <v>200000000</v>
          </cell>
          <cell r="F3">
            <v>200000000</v>
          </cell>
          <cell r="G3">
            <v>200000000</v>
          </cell>
          <cell r="H3">
            <v>0</v>
          </cell>
          <cell r="I3" t="str">
            <v>10</v>
          </cell>
          <cell r="J3" t="str">
            <v>101</v>
          </cell>
          <cell r="K3" t="str">
            <v>1012</v>
          </cell>
          <cell r="L3" t="str">
            <v>10120</v>
          </cell>
          <cell r="M3" t="str">
            <v>101200</v>
          </cell>
        </row>
        <row r="4">
          <cell r="A4">
            <v>101300</v>
          </cell>
          <cell r="C4">
            <v>101300</v>
          </cell>
          <cell r="D4">
            <v>100000000</v>
          </cell>
          <cell r="E4">
            <v>100000000</v>
          </cell>
          <cell r="F4">
            <v>200000000</v>
          </cell>
          <cell r="G4">
            <v>200000000</v>
          </cell>
          <cell r="H4">
            <v>300000000</v>
          </cell>
          <cell r="I4" t="str">
            <v>10</v>
          </cell>
          <cell r="J4" t="str">
            <v>101</v>
          </cell>
          <cell r="K4" t="str">
            <v>1013</v>
          </cell>
          <cell r="L4" t="str">
            <v>10130</v>
          </cell>
          <cell r="M4" t="str">
            <v>101300</v>
          </cell>
        </row>
        <row r="5">
          <cell r="A5">
            <v>106200</v>
          </cell>
          <cell r="C5">
            <v>106200</v>
          </cell>
          <cell r="D5">
            <v>106200</v>
          </cell>
          <cell r="E5">
            <v>106200</v>
          </cell>
          <cell r="F5">
            <v>3500000</v>
          </cell>
          <cell r="G5">
            <v>3500000</v>
          </cell>
          <cell r="H5">
            <v>3500000</v>
          </cell>
          <cell r="I5" t="str">
            <v>10</v>
          </cell>
          <cell r="J5" t="str">
            <v>106</v>
          </cell>
          <cell r="K5" t="str">
            <v>1062</v>
          </cell>
          <cell r="L5" t="str">
            <v>10620</v>
          </cell>
          <cell r="M5" t="str">
            <v>106200</v>
          </cell>
        </row>
        <row r="6">
          <cell r="A6">
            <v>109000</v>
          </cell>
          <cell r="C6">
            <v>109000</v>
          </cell>
          <cell r="D6">
            <v>109000</v>
          </cell>
          <cell r="E6">
            <v>300000000</v>
          </cell>
          <cell r="F6">
            <v>200000000</v>
          </cell>
          <cell r="G6">
            <v>100000000</v>
          </cell>
          <cell r="H6">
            <v>100000000</v>
          </cell>
          <cell r="I6" t="str">
            <v>10</v>
          </cell>
          <cell r="J6" t="str">
            <v>109</v>
          </cell>
          <cell r="K6" t="str">
            <v>1090</v>
          </cell>
          <cell r="L6" t="str">
            <v>10900</v>
          </cell>
          <cell r="M6" t="str">
            <v>109000</v>
          </cell>
        </row>
        <row r="7">
          <cell r="A7">
            <v>111000</v>
          </cell>
          <cell r="C7">
            <v>111000</v>
          </cell>
          <cell r="D7">
            <v>20000000</v>
          </cell>
          <cell r="E7">
            <v>20000000</v>
          </cell>
          <cell r="F7">
            <v>20000000</v>
          </cell>
          <cell r="G7">
            <v>20000000</v>
          </cell>
          <cell r="H7">
            <v>20000000</v>
          </cell>
          <cell r="I7" t="str">
            <v>11</v>
          </cell>
          <cell r="J7" t="str">
            <v>111</v>
          </cell>
          <cell r="K7" t="str">
            <v>1110</v>
          </cell>
          <cell r="L7" t="str">
            <v>11100</v>
          </cell>
          <cell r="M7" t="str">
            <v>111000</v>
          </cell>
        </row>
        <row r="8">
          <cell r="A8">
            <v>120000</v>
          </cell>
          <cell r="C8">
            <v>120000</v>
          </cell>
          <cell r="D8">
            <v>47450317</v>
          </cell>
          <cell r="E8">
            <v>90000000</v>
          </cell>
          <cell r="F8">
            <v>118619674</v>
          </cell>
          <cell r="G8">
            <v>118619648</v>
          </cell>
          <cell r="H8">
            <v>76069991</v>
          </cell>
          <cell r="I8" t="str">
            <v>12</v>
          </cell>
          <cell r="J8" t="str">
            <v>120</v>
          </cell>
          <cell r="K8" t="str">
            <v>1200</v>
          </cell>
          <cell r="L8" t="str">
            <v>12000</v>
          </cell>
          <cell r="M8" t="str">
            <v>120000</v>
          </cell>
        </row>
        <row r="9">
          <cell r="A9">
            <v>131000</v>
          </cell>
          <cell r="C9">
            <v>131000</v>
          </cell>
          <cell r="D9">
            <v>118619674</v>
          </cell>
          <cell r="E9">
            <v>118619674</v>
          </cell>
          <cell r="F9">
            <v>118619648</v>
          </cell>
          <cell r="G9">
            <v>118619648</v>
          </cell>
          <cell r="H9">
            <v>118619648</v>
          </cell>
          <cell r="I9" t="str">
            <v>13</v>
          </cell>
          <cell r="J9" t="str">
            <v>131</v>
          </cell>
          <cell r="K9" t="str">
            <v>1310</v>
          </cell>
          <cell r="L9" t="str">
            <v>13100</v>
          </cell>
          <cell r="M9" t="str">
            <v>131000</v>
          </cell>
        </row>
        <row r="10">
          <cell r="A10">
            <v>141600</v>
          </cell>
          <cell r="C10">
            <v>141600</v>
          </cell>
          <cell r="D10">
            <v>141600</v>
          </cell>
          <cell r="E10">
            <v>141600</v>
          </cell>
          <cell r="F10">
            <v>2000000</v>
          </cell>
          <cell r="G10">
            <v>2000000</v>
          </cell>
          <cell r="H10">
            <v>2000000</v>
          </cell>
          <cell r="I10" t="str">
            <v>14</v>
          </cell>
          <cell r="J10" t="str">
            <v>141</v>
          </cell>
          <cell r="K10" t="str">
            <v>1416</v>
          </cell>
          <cell r="L10" t="str">
            <v>14160</v>
          </cell>
          <cell r="M10" t="str">
            <v>141600</v>
          </cell>
        </row>
        <row r="11">
          <cell r="A11">
            <v>154000</v>
          </cell>
          <cell r="C11">
            <v>154000</v>
          </cell>
          <cell r="D11">
            <v>154000</v>
          </cell>
          <cell r="E11">
            <v>154000</v>
          </cell>
          <cell r="F11">
            <v>40000000</v>
          </cell>
          <cell r="G11">
            <v>40000000</v>
          </cell>
          <cell r="H11">
            <v>40000000</v>
          </cell>
          <cell r="I11" t="str">
            <v>15</v>
          </cell>
          <cell r="J11" t="str">
            <v>154</v>
          </cell>
          <cell r="K11" t="str">
            <v>1540</v>
          </cell>
          <cell r="L11" t="str">
            <v>15400</v>
          </cell>
          <cell r="M11" t="str">
            <v>154000</v>
          </cell>
        </row>
        <row r="12">
          <cell r="A12">
            <v>162000</v>
          </cell>
          <cell r="C12">
            <v>162000</v>
          </cell>
          <cell r="D12">
            <v>162000</v>
          </cell>
          <cell r="E12">
            <v>7500925</v>
          </cell>
          <cell r="F12">
            <v>100000000</v>
          </cell>
          <cell r="G12">
            <v>100000000</v>
          </cell>
          <cell r="H12">
            <v>92499075</v>
          </cell>
          <cell r="I12" t="str">
            <v>16</v>
          </cell>
          <cell r="J12" t="str">
            <v>162</v>
          </cell>
          <cell r="K12" t="str">
            <v>1620</v>
          </cell>
          <cell r="L12" t="str">
            <v>16200</v>
          </cell>
          <cell r="M12" t="str">
            <v>162000</v>
          </cell>
        </row>
        <row r="13">
          <cell r="A13">
            <v>165200</v>
          </cell>
          <cell r="C13">
            <v>165200</v>
          </cell>
          <cell r="D13">
            <v>2200000</v>
          </cell>
          <cell r="E13">
            <v>2200000</v>
          </cell>
          <cell r="F13">
            <v>2200000</v>
          </cell>
          <cell r="G13">
            <v>2200000</v>
          </cell>
          <cell r="H13">
            <v>2200000</v>
          </cell>
          <cell r="I13" t="str">
            <v>16</v>
          </cell>
          <cell r="J13" t="str">
            <v>165</v>
          </cell>
          <cell r="K13" t="str">
            <v>1652</v>
          </cell>
          <cell r="L13" t="str">
            <v>16520</v>
          </cell>
          <cell r="M13" t="str">
            <v>165200</v>
          </cell>
        </row>
        <row r="14">
          <cell r="A14">
            <v>196000</v>
          </cell>
          <cell r="C14">
            <v>196000</v>
          </cell>
          <cell r="D14">
            <v>54864697</v>
          </cell>
          <cell r="E14">
            <v>6701530</v>
          </cell>
          <cell r="F14">
            <v>13953199</v>
          </cell>
          <cell r="G14">
            <v>13953192</v>
          </cell>
          <cell r="H14">
            <v>62116366</v>
          </cell>
          <cell r="I14" t="str">
            <v>19</v>
          </cell>
          <cell r="J14" t="str">
            <v>196</v>
          </cell>
          <cell r="K14" t="str">
            <v>1960</v>
          </cell>
          <cell r="L14" t="str">
            <v>19600</v>
          </cell>
          <cell r="M14" t="str">
            <v>196000</v>
          </cell>
        </row>
        <row r="15">
          <cell r="A15">
            <v>213000</v>
          </cell>
          <cell r="C15">
            <v>1050000</v>
          </cell>
          <cell r="D15">
            <v>1050000</v>
          </cell>
          <cell r="E15">
            <v>2000000</v>
          </cell>
          <cell r="F15">
            <v>2000000</v>
          </cell>
          <cell r="G15">
            <v>3050000</v>
          </cell>
          <cell r="H15">
            <v>3050000</v>
          </cell>
          <cell r="I15" t="str">
            <v>21</v>
          </cell>
          <cell r="J15" t="str">
            <v>213</v>
          </cell>
          <cell r="K15" t="str">
            <v>2130</v>
          </cell>
          <cell r="L15" t="str">
            <v>21300</v>
          </cell>
          <cell r="M15" t="str">
            <v>213000</v>
          </cell>
        </row>
        <row r="16">
          <cell r="A16">
            <v>215000</v>
          </cell>
          <cell r="C16">
            <v>1600000</v>
          </cell>
          <cell r="D16">
            <v>1600000</v>
          </cell>
          <cell r="E16">
            <v>1600000</v>
          </cell>
          <cell r="F16">
            <v>1600000</v>
          </cell>
          <cell r="G16">
            <v>1600000</v>
          </cell>
          <cell r="H16">
            <v>1600000</v>
          </cell>
          <cell r="I16" t="str">
            <v>21</v>
          </cell>
          <cell r="J16" t="str">
            <v>215</v>
          </cell>
          <cell r="K16" t="str">
            <v>2150</v>
          </cell>
          <cell r="L16" t="str">
            <v>21500</v>
          </cell>
          <cell r="M16" t="str">
            <v>215000</v>
          </cell>
        </row>
        <row r="17">
          <cell r="A17">
            <v>223000</v>
          </cell>
          <cell r="C17">
            <v>12500000</v>
          </cell>
          <cell r="D17">
            <v>12500000</v>
          </cell>
          <cell r="E17">
            <v>3500000</v>
          </cell>
          <cell r="F17">
            <v>3500000</v>
          </cell>
          <cell r="G17">
            <v>16000000</v>
          </cell>
          <cell r="H17">
            <v>16000000</v>
          </cell>
          <cell r="I17" t="str">
            <v>22</v>
          </cell>
          <cell r="J17" t="str">
            <v>223</v>
          </cell>
          <cell r="K17" t="str">
            <v>2230</v>
          </cell>
          <cell r="L17" t="str">
            <v>22300</v>
          </cell>
          <cell r="M17" t="str">
            <v>223000</v>
          </cell>
        </row>
        <row r="18">
          <cell r="A18">
            <v>229000</v>
          </cell>
          <cell r="C18">
            <v>22673950</v>
          </cell>
          <cell r="D18">
            <v>22673936</v>
          </cell>
          <cell r="E18">
            <v>22673936</v>
          </cell>
          <cell r="F18">
            <v>22673936</v>
          </cell>
          <cell r="G18">
            <v>22673950</v>
          </cell>
          <cell r="H18">
            <v>22673936</v>
          </cell>
          <cell r="I18" t="str">
            <v>22</v>
          </cell>
          <cell r="J18" t="str">
            <v>229</v>
          </cell>
          <cell r="K18" t="str">
            <v>2290</v>
          </cell>
          <cell r="L18" t="str">
            <v>22900</v>
          </cell>
          <cell r="M18" t="str">
            <v>229000</v>
          </cell>
        </row>
        <row r="19">
          <cell r="A19">
            <v>231100</v>
          </cell>
          <cell r="C19">
            <v>55000000</v>
          </cell>
          <cell r="D19">
            <v>55000000</v>
          </cell>
          <cell r="E19">
            <v>23000000</v>
          </cell>
          <cell r="F19">
            <v>23000000</v>
          </cell>
          <cell r="G19">
            <v>78000000</v>
          </cell>
          <cell r="H19">
            <v>78000000</v>
          </cell>
          <cell r="I19" t="str">
            <v>23</v>
          </cell>
          <cell r="J19" t="str">
            <v>231</v>
          </cell>
          <cell r="K19" t="str">
            <v>2311</v>
          </cell>
          <cell r="L19" t="str">
            <v>23110</v>
          </cell>
          <cell r="M19" t="str">
            <v>231100</v>
          </cell>
        </row>
        <row r="20">
          <cell r="A20">
            <v>232100</v>
          </cell>
          <cell r="C20">
            <v>231411100</v>
          </cell>
          <cell r="D20">
            <v>231411072</v>
          </cell>
          <cell r="E20">
            <v>432000000</v>
          </cell>
          <cell r="F20">
            <v>432000000</v>
          </cell>
          <cell r="G20">
            <v>663411100</v>
          </cell>
          <cell r="H20">
            <v>663410688</v>
          </cell>
          <cell r="I20" t="str">
            <v>23</v>
          </cell>
          <cell r="J20" t="str">
            <v>232</v>
          </cell>
          <cell r="K20" t="str">
            <v>2321</v>
          </cell>
          <cell r="L20" t="str">
            <v>23210</v>
          </cell>
          <cell r="M20" t="str">
            <v>232100</v>
          </cell>
        </row>
        <row r="21">
          <cell r="A21">
            <v>235100</v>
          </cell>
          <cell r="C21">
            <v>60263648</v>
          </cell>
          <cell r="D21">
            <v>60263648</v>
          </cell>
          <cell r="E21">
            <v>1000000</v>
          </cell>
          <cell r="F21">
            <v>1000000</v>
          </cell>
          <cell r="G21">
            <v>61263648</v>
          </cell>
          <cell r="H21">
            <v>61263648</v>
          </cell>
          <cell r="I21" t="str">
            <v>23</v>
          </cell>
          <cell r="J21" t="str">
            <v>235</v>
          </cell>
          <cell r="K21" t="str">
            <v>2351</v>
          </cell>
          <cell r="L21" t="str">
            <v>23510</v>
          </cell>
          <cell r="M21" t="str">
            <v>235100</v>
          </cell>
        </row>
        <row r="22">
          <cell r="A22">
            <v>238000</v>
          </cell>
          <cell r="C22">
            <v>11064619</v>
          </cell>
          <cell r="D22">
            <v>11064616</v>
          </cell>
          <cell r="E22">
            <v>1000000</v>
          </cell>
          <cell r="F22">
            <v>1000000</v>
          </cell>
          <cell r="G22">
            <v>12064619</v>
          </cell>
          <cell r="H22">
            <v>12064616</v>
          </cell>
          <cell r="I22" t="str">
            <v>23</v>
          </cell>
          <cell r="J22" t="str">
            <v>238</v>
          </cell>
          <cell r="K22" t="str">
            <v>2380</v>
          </cell>
          <cell r="L22" t="str">
            <v>23800</v>
          </cell>
          <cell r="M22" t="str">
            <v>238000</v>
          </cell>
        </row>
        <row r="23">
          <cell r="A23">
            <v>241100</v>
          </cell>
          <cell r="C23">
            <v>91310403</v>
          </cell>
          <cell r="D23">
            <v>91310400</v>
          </cell>
          <cell r="E23">
            <v>17694000</v>
          </cell>
          <cell r="F23">
            <v>40023276</v>
          </cell>
          <cell r="G23">
            <v>68981127</v>
          </cell>
          <cell r="H23">
            <v>68981120</v>
          </cell>
          <cell r="I23" t="str">
            <v>24</v>
          </cell>
          <cell r="J23" t="str">
            <v>241</v>
          </cell>
          <cell r="K23" t="str">
            <v>2411</v>
          </cell>
          <cell r="L23" t="str">
            <v>24110</v>
          </cell>
          <cell r="M23" t="str">
            <v>241100</v>
          </cell>
        </row>
        <row r="24">
          <cell r="A24">
            <v>244100</v>
          </cell>
          <cell r="C24">
            <v>1325000</v>
          </cell>
          <cell r="D24">
            <v>1325000</v>
          </cell>
          <cell r="E24">
            <v>5075000</v>
          </cell>
          <cell r="F24">
            <v>140000</v>
          </cell>
          <cell r="G24">
            <v>6260000</v>
          </cell>
          <cell r="H24">
            <v>6260000</v>
          </cell>
          <cell r="I24" t="str">
            <v>24</v>
          </cell>
          <cell r="J24" t="str">
            <v>244</v>
          </cell>
          <cell r="K24" t="str">
            <v>2441</v>
          </cell>
          <cell r="L24" t="str">
            <v>24410</v>
          </cell>
          <cell r="M24" t="str">
            <v>244100</v>
          </cell>
        </row>
        <row r="25">
          <cell r="A25">
            <v>244200</v>
          </cell>
          <cell r="C25">
            <v>6867703</v>
          </cell>
          <cell r="D25">
            <v>6867700</v>
          </cell>
          <cell r="E25">
            <v>1199000</v>
          </cell>
          <cell r="F25">
            <v>5829703</v>
          </cell>
          <cell r="G25">
            <v>2237000</v>
          </cell>
          <cell r="H25">
            <v>2237000</v>
          </cell>
          <cell r="I25" t="str">
            <v>24</v>
          </cell>
          <cell r="J25" t="str">
            <v>244</v>
          </cell>
          <cell r="K25" t="str">
            <v>2442</v>
          </cell>
          <cell r="L25" t="str">
            <v>24420</v>
          </cell>
          <cell r="M25" t="str">
            <v>244200</v>
          </cell>
        </row>
        <row r="26">
          <cell r="A26">
            <v>244400</v>
          </cell>
          <cell r="C26">
            <v>4968900</v>
          </cell>
          <cell r="D26">
            <v>4968900</v>
          </cell>
          <cell r="E26">
            <v>500000</v>
          </cell>
          <cell r="F26">
            <v>500000</v>
          </cell>
          <cell r="G26">
            <v>5468900</v>
          </cell>
          <cell r="H26">
            <v>5468900</v>
          </cell>
          <cell r="I26" t="str">
            <v>24</v>
          </cell>
          <cell r="J26" t="str">
            <v>244</v>
          </cell>
          <cell r="K26" t="str">
            <v>2444</v>
          </cell>
          <cell r="L26" t="str">
            <v>24440</v>
          </cell>
          <cell r="M26" t="str">
            <v>244400</v>
          </cell>
        </row>
        <row r="27">
          <cell r="A27">
            <v>245100</v>
          </cell>
          <cell r="C27">
            <v>54050000</v>
          </cell>
          <cell r="D27">
            <v>54049984</v>
          </cell>
          <cell r="E27">
            <v>22000000</v>
          </cell>
          <cell r="F27">
            <v>22000000</v>
          </cell>
          <cell r="G27">
            <v>76050000</v>
          </cell>
          <cell r="H27">
            <v>76049984</v>
          </cell>
          <cell r="I27" t="str">
            <v>24</v>
          </cell>
          <cell r="J27" t="str">
            <v>245</v>
          </cell>
          <cell r="K27" t="str">
            <v>2451</v>
          </cell>
          <cell r="L27" t="str">
            <v>24510</v>
          </cell>
          <cell r="M27" t="str">
            <v>245100</v>
          </cell>
        </row>
        <row r="28">
          <cell r="A28">
            <v>252000</v>
          </cell>
          <cell r="C28">
            <v>252000</v>
          </cell>
          <cell r="D28">
            <v>252000</v>
          </cell>
          <cell r="E28">
            <v>25000000</v>
          </cell>
          <cell r="F28">
            <v>5000000</v>
          </cell>
          <cell r="G28">
            <v>20000000</v>
          </cell>
          <cell r="H28">
            <v>20000000</v>
          </cell>
          <cell r="I28" t="str">
            <v>25</v>
          </cell>
          <cell r="J28" t="str">
            <v>252</v>
          </cell>
          <cell r="K28" t="str">
            <v>2520</v>
          </cell>
          <cell r="L28" t="str">
            <v>25200</v>
          </cell>
          <cell r="M28" t="str">
            <v>252000</v>
          </cell>
        </row>
        <row r="29">
          <cell r="A29">
            <v>272800</v>
          </cell>
          <cell r="C29">
            <v>1927000</v>
          </cell>
          <cell r="D29">
            <v>1927000</v>
          </cell>
          <cell r="E29">
            <v>1927000</v>
          </cell>
          <cell r="F29">
            <v>1927000</v>
          </cell>
          <cell r="G29">
            <v>1927000</v>
          </cell>
          <cell r="H29">
            <v>1927000</v>
          </cell>
          <cell r="I29" t="str">
            <v>27</v>
          </cell>
          <cell r="J29" t="str">
            <v>272</v>
          </cell>
          <cell r="K29" t="str">
            <v>2728</v>
          </cell>
          <cell r="L29" t="str">
            <v>27280</v>
          </cell>
          <cell r="M29" t="str">
            <v>272800</v>
          </cell>
        </row>
        <row r="30">
          <cell r="A30">
            <v>275000</v>
          </cell>
          <cell r="C30">
            <v>1335290</v>
          </cell>
          <cell r="D30">
            <v>1335290</v>
          </cell>
          <cell r="E30">
            <v>401175</v>
          </cell>
          <cell r="F30">
            <v>730043</v>
          </cell>
          <cell r="G30">
            <v>1006422</v>
          </cell>
          <cell r="H30">
            <v>1006422</v>
          </cell>
          <cell r="I30" t="str">
            <v>27</v>
          </cell>
          <cell r="J30" t="str">
            <v>275</v>
          </cell>
          <cell r="K30" t="str">
            <v>2750</v>
          </cell>
          <cell r="L30" t="str">
            <v>27500</v>
          </cell>
          <cell r="M30" t="str">
            <v>275000</v>
          </cell>
        </row>
        <row r="31">
          <cell r="A31">
            <v>275300</v>
          </cell>
          <cell r="C31">
            <v>87068</v>
          </cell>
          <cell r="D31">
            <v>87068</v>
          </cell>
          <cell r="E31">
            <v>87068</v>
          </cell>
          <cell r="F31">
            <v>87068</v>
          </cell>
          <cell r="G31">
            <v>87068</v>
          </cell>
          <cell r="H31">
            <v>87068</v>
          </cell>
          <cell r="I31" t="str">
            <v>27</v>
          </cell>
          <cell r="J31" t="str">
            <v>275</v>
          </cell>
          <cell r="K31" t="str">
            <v>2753</v>
          </cell>
          <cell r="L31" t="str">
            <v>27530</v>
          </cell>
          <cell r="M31" t="str">
            <v>275300</v>
          </cell>
        </row>
        <row r="32">
          <cell r="A32">
            <v>275500</v>
          </cell>
          <cell r="C32">
            <v>449300</v>
          </cell>
          <cell r="D32">
            <v>449300</v>
          </cell>
          <cell r="E32">
            <v>200000</v>
          </cell>
          <cell r="F32">
            <v>200000</v>
          </cell>
          <cell r="G32">
            <v>649300</v>
          </cell>
          <cell r="H32">
            <v>649300</v>
          </cell>
          <cell r="I32" t="str">
            <v>27</v>
          </cell>
          <cell r="J32" t="str">
            <v>275</v>
          </cell>
          <cell r="K32" t="str">
            <v>2755</v>
          </cell>
          <cell r="L32" t="str">
            <v>27550</v>
          </cell>
          <cell r="M32" t="str">
            <v>275500</v>
          </cell>
        </row>
        <row r="33">
          <cell r="A33">
            <v>275800</v>
          </cell>
          <cell r="C33">
            <v>750000</v>
          </cell>
          <cell r="D33">
            <v>750000</v>
          </cell>
          <cell r="E33">
            <v>750000</v>
          </cell>
          <cell r="F33">
            <v>750000</v>
          </cell>
          <cell r="G33">
            <v>750000</v>
          </cell>
          <cell r="H33">
            <v>750000</v>
          </cell>
          <cell r="I33" t="str">
            <v>27</v>
          </cell>
          <cell r="J33" t="str">
            <v>275</v>
          </cell>
          <cell r="K33" t="str">
            <v>2758</v>
          </cell>
          <cell r="L33" t="str">
            <v>27580</v>
          </cell>
          <cell r="M33" t="str">
            <v>275800</v>
          </cell>
        </row>
        <row r="34">
          <cell r="A34">
            <v>283210</v>
          </cell>
          <cell r="C34">
            <v>283210</v>
          </cell>
          <cell r="D34">
            <v>150313959</v>
          </cell>
          <cell r="E34">
            <v>150313856</v>
          </cell>
          <cell r="F34">
            <v>9734682</v>
          </cell>
          <cell r="G34">
            <v>9734680</v>
          </cell>
          <cell r="H34">
            <v>160048641</v>
          </cell>
          <cell r="I34" t="str">
            <v>28</v>
          </cell>
          <cell r="J34" t="str">
            <v>283</v>
          </cell>
          <cell r="K34" t="str">
            <v>2832</v>
          </cell>
          <cell r="L34" t="str">
            <v>28321</v>
          </cell>
          <cell r="M34" t="str">
            <v>283210</v>
          </cell>
        </row>
        <row r="35">
          <cell r="A35">
            <v>283510</v>
          </cell>
          <cell r="C35">
            <v>283510</v>
          </cell>
          <cell r="D35">
            <v>71328267</v>
          </cell>
          <cell r="E35">
            <v>71328256</v>
          </cell>
          <cell r="F35">
            <v>71328256</v>
          </cell>
          <cell r="G35">
            <v>71328256</v>
          </cell>
          <cell r="H35">
            <v>71328267</v>
          </cell>
          <cell r="I35" t="str">
            <v>28</v>
          </cell>
          <cell r="J35" t="str">
            <v>283</v>
          </cell>
          <cell r="K35" t="str">
            <v>2835</v>
          </cell>
          <cell r="L35" t="str">
            <v>28351</v>
          </cell>
          <cell r="M35" t="str">
            <v>283510</v>
          </cell>
        </row>
        <row r="36">
          <cell r="A36">
            <v>284110</v>
          </cell>
          <cell r="C36">
            <v>284110</v>
          </cell>
          <cell r="D36">
            <v>60303913</v>
          </cell>
          <cell r="E36">
            <v>40023276</v>
          </cell>
          <cell r="F36">
            <v>8385232</v>
          </cell>
          <cell r="G36">
            <v>8385232</v>
          </cell>
          <cell r="H36">
            <v>28665869</v>
          </cell>
          <cell r="I36" t="str">
            <v>28</v>
          </cell>
          <cell r="J36" t="str">
            <v>284</v>
          </cell>
          <cell r="K36" t="str">
            <v>2841</v>
          </cell>
          <cell r="L36" t="str">
            <v>28411</v>
          </cell>
          <cell r="M36" t="str">
            <v>284110</v>
          </cell>
        </row>
        <row r="37">
          <cell r="A37">
            <v>284410</v>
          </cell>
          <cell r="C37">
            <v>284410</v>
          </cell>
          <cell r="D37">
            <v>1325000</v>
          </cell>
          <cell r="E37">
            <v>140000</v>
          </cell>
          <cell r="F37">
            <v>4833</v>
          </cell>
          <cell r="G37">
            <v>4833</v>
          </cell>
          <cell r="H37">
            <v>1189833</v>
          </cell>
          <cell r="I37" t="str">
            <v>28</v>
          </cell>
          <cell r="J37" t="str">
            <v>284</v>
          </cell>
          <cell r="K37" t="str">
            <v>2844</v>
          </cell>
          <cell r="L37" t="str">
            <v>28441</v>
          </cell>
          <cell r="M37" t="str">
            <v>284410</v>
          </cell>
        </row>
        <row r="38">
          <cell r="A38">
            <v>284420</v>
          </cell>
          <cell r="C38">
            <v>284420</v>
          </cell>
          <cell r="D38">
            <v>6175037</v>
          </cell>
          <cell r="E38">
            <v>5829703</v>
          </cell>
          <cell r="F38">
            <v>496917</v>
          </cell>
          <cell r="G38">
            <v>496917</v>
          </cell>
          <cell r="H38">
            <v>842251</v>
          </cell>
          <cell r="I38" t="str">
            <v>28</v>
          </cell>
          <cell r="J38" t="str">
            <v>284</v>
          </cell>
          <cell r="K38" t="str">
            <v>2844</v>
          </cell>
          <cell r="L38" t="str">
            <v>28442</v>
          </cell>
          <cell r="M38" t="str">
            <v>284420</v>
          </cell>
        </row>
        <row r="39">
          <cell r="A39">
            <v>284440</v>
          </cell>
          <cell r="C39">
            <v>284440</v>
          </cell>
          <cell r="D39">
            <v>4582020</v>
          </cell>
          <cell r="E39">
            <v>4582020</v>
          </cell>
          <cell r="F39">
            <v>260480</v>
          </cell>
          <cell r="G39">
            <v>260480</v>
          </cell>
          <cell r="H39">
            <v>4842500</v>
          </cell>
          <cell r="I39" t="str">
            <v>28</v>
          </cell>
          <cell r="J39" t="str">
            <v>284</v>
          </cell>
          <cell r="K39" t="str">
            <v>2844</v>
          </cell>
          <cell r="L39" t="str">
            <v>28444</v>
          </cell>
          <cell r="M39" t="str">
            <v>284440</v>
          </cell>
        </row>
        <row r="40">
          <cell r="A40">
            <v>284510</v>
          </cell>
          <cell r="C40">
            <v>284510</v>
          </cell>
          <cell r="D40">
            <v>53862500</v>
          </cell>
          <cell r="E40">
            <v>53862496</v>
          </cell>
          <cell r="F40">
            <v>377500</v>
          </cell>
          <cell r="G40">
            <v>377500</v>
          </cell>
          <cell r="H40">
            <v>54240000</v>
          </cell>
          <cell r="I40" t="str">
            <v>28</v>
          </cell>
          <cell r="J40" t="str">
            <v>284</v>
          </cell>
          <cell r="K40" t="str">
            <v>2845</v>
          </cell>
          <cell r="L40" t="str">
            <v>28451</v>
          </cell>
          <cell r="M40" t="str">
            <v>284510</v>
          </cell>
        </row>
        <row r="41">
          <cell r="A41">
            <v>311000</v>
          </cell>
          <cell r="C41">
            <v>311000</v>
          </cell>
          <cell r="D41">
            <v>311000</v>
          </cell>
          <cell r="E41">
            <v>5000000</v>
          </cell>
          <cell r="F41">
            <v>5000000</v>
          </cell>
          <cell r="G41">
            <v>5000000</v>
          </cell>
          <cell r="H41">
            <v>5000000</v>
          </cell>
          <cell r="I41" t="str">
            <v>31</v>
          </cell>
          <cell r="J41" t="str">
            <v>311</v>
          </cell>
          <cell r="K41" t="str">
            <v>3110</v>
          </cell>
          <cell r="L41" t="str">
            <v>31100</v>
          </cell>
          <cell r="M41" t="str">
            <v>311000</v>
          </cell>
        </row>
        <row r="42">
          <cell r="A42">
            <v>321100</v>
          </cell>
          <cell r="C42">
            <v>7721440</v>
          </cell>
          <cell r="D42">
            <v>7721440</v>
          </cell>
          <cell r="E42">
            <v>57881451</v>
          </cell>
          <cell r="F42">
            <v>57775035</v>
          </cell>
          <cell r="G42">
            <v>7827856</v>
          </cell>
          <cell r="H42">
            <v>7827856</v>
          </cell>
          <cell r="I42" t="str">
            <v>32</v>
          </cell>
          <cell r="J42" t="str">
            <v>321</v>
          </cell>
          <cell r="K42" t="str">
            <v>3211</v>
          </cell>
          <cell r="L42" t="str">
            <v>32110</v>
          </cell>
          <cell r="M42" t="str">
            <v>321100</v>
          </cell>
        </row>
        <row r="43">
          <cell r="A43">
            <v>335100</v>
          </cell>
          <cell r="C43">
            <v>8146993</v>
          </cell>
          <cell r="D43">
            <v>8146992</v>
          </cell>
          <cell r="E43">
            <v>76874255</v>
          </cell>
          <cell r="F43">
            <v>79288966</v>
          </cell>
          <cell r="G43">
            <v>5732282</v>
          </cell>
          <cell r="H43">
            <v>5732280</v>
          </cell>
          <cell r="I43" t="str">
            <v>33</v>
          </cell>
          <cell r="J43" t="str">
            <v>335</v>
          </cell>
          <cell r="K43" t="str">
            <v>3351</v>
          </cell>
          <cell r="L43" t="str">
            <v>33510</v>
          </cell>
          <cell r="M43" t="str">
            <v>335100</v>
          </cell>
        </row>
        <row r="44">
          <cell r="A44">
            <v>401100</v>
          </cell>
          <cell r="C44">
            <v>401100</v>
          </cell>
          <cell r="D44">
            <v>40583900</v>
          </cell>
          <cell r="E44">
            <v>579308293</v>
          </cell>
          <cell r="F44">
            <v>565419408</v>
          </cell>
          <cell r="G44">
            <v>565419008</v>
          </cell>
          <cell r="H44">
            <v>26695015</v>
          </cell>
          <cell r="I44" t="str">
            <v>40</v>
          </cell>
          <cell r="J44" t="str">
            <v>401</v>
          </cell>
          <cell r="K44" t="str">
            <v>4011</v>
          </cell>
          <cell r="L44" t="str">
            <v>40110</v>
          </cell>
          <cell r="M44" t="str">
            <v>401100</v>
          </cell>
        </row>
        <row r="45">
          <cell r="A45">
            <v>408100</v>
          </cell>
          <cell r="C45">
            <v>408100</v>
          </cell>
          <cell r="D45">
            <v>15310306</v>
          </cell>
          <cell r="E45">
            <v>117810569</v>
          </cell>
          <cell r="F45">
            <v>114015470</v>
          </cell>
          <cell r="G45">
            <v>114015424</v>
          </cell>
          <cell r="H45">
            <v>11515207</v>
          </cell>
          <cell r="I45" t="str">
            <v>40</v>
          </cell>
          <cell r="J45" t="str">
            <v>408</v>
          </cell>
          <cell r="K45" t="str">
            <v>4081</v>
          </cell>
          <cell r="L45" t="str">
            <v>40810</v>
          </cell>
          <cell r="M45" t="str">
            <v>408100</v>
          </cell>
        </row>
        <row r="46">
          <cell r="A46">
            <v>409100</v>
          </cell>
          <cell r="C46">
            <v>700000</v>
          </cell>
          <cell r="D46">
            <v>700000</v>
          </cell>
          <cell r="E46">
            <v>4007612</v>
          </cell>
          <cell r="F46">
            <v>3850000</v>
          </cell>
          <cell r="G46">
            <v>857612</v>
          </cell>
          <cell r="H46">
            <v>857612</v>
          </cell>
          <cell r="I46" t="str">
            <v>40</v>
          </cell>
          <cell r="J46" t="str">
            <v>409</v>
          </cell>
          <cell r="K46" t="str">
            <v>4091</v>
          </cell>
          <cell r="L46" t="str">
            <v>40910</v>
          </cell>
          <cell r="M46" t="str">
            <v>409100</v>
          </cell>
        </row>
        <row r="47">
          <cell r="A47">
            <v>411100</v>
          </cell>
          <cell r="C47">
            <v>140683833</v>
          </cell>
          <cell r="D47">
            <v>140683776</v>
          </cell>
          <cell r="E47">
            <v>2068782537</v>
          </cell>
          <cell r="F47">
            <v>2073205069</v>
          </cell>
          <cell r="G47">
            <v>136261301</v>
          </cell>
          <cell r="H47">
            <v>136261248</v>
          </cell>
          <cell r="I47" t="str">
            <v>41</v>
          </cell>
          <cell r="J47" t="str">
            <v>411</v>
          </cell>
          <cell r="K47" t="str">
            <v>4111</v>
          </cell>
          <cell r="L47" t="str">
            <v>41110</v>
          </cell>
          <cell r="M47" t="str">
            <v>411100</v>
          </cell>
        </row>
        <row r="48">
          <cell r="A48">
            <v>416200</v>
          </cell>
          <cell r="C48">
            <v>31677520</v>
          </cell>
          <cell r="D48">
            <v>31677520</v>
          </cell>
          <cell r="E48">
            <v>31677520</v>
          </cell>
          <cell r="F48">
            <v>31677520</v>
          </cell>
          <cell r="G48">
            <v>31677520</v>
          </cell>
          <cell r="H48">
            <v>31677520</v>
          </cell>
          <cell r="I48" t="str">
            <v>41</v>
          </cell>
          <cell r="J48" t="str">
            <v>416</v>
          </cell>
          <cell r="K48" t="str">
            <v>4162</v>
          </cell>
          <cell r="L48" t="str">
            <v>41620</v>
          </cell>
          <cell r="M48" t="str">
            <v>416200</v>
          </cell>
        </row>
        <row r="49">
          <cell r="A49">
            <v>421000</v>
          </cell>
          <cell r="C49">
            <v>692500</v>
          </cell>
          <cell r="D49">
            <v>692500</v>
          </cell>
          <cell r="E49">
            <v>20740622</v>
          </cell>
          <cell r="F49">
            <v>6330272</v>
          </cell>
          <cell r="G49">
            <v>15102850</v>
          </cell>
          <cell r="H49">
            <v>15102848</v>
          </cell>
          <cell r="I49" t="str">
            <v>42</v>
          </cell>
          <cell r="J49" t="str">
            <v>421</v>
          </cell>
          <cell r="K49" t="str">
            <v>4210</v>
          </cell>
          <cell r="L49" t="str">
            <v>42100</v>
          </cell>
          <cell r="M49" t="str">
            <v>421000</v>
          </cell>
        </row>
        <row r="50">
          <cell r="A50">
            <v>421300</v>
          </cell>
          <cell r="C50">
            <v>587786</v>
          </cell>
          <cell r="D50">
            <v>587786</v>
          </cell>
          <cell r="E50">
            <v>2856452</v>
          </cell>
          <cell r="F50">
            <v>1625425</v>
          </cell>
          <cell r="G50">
            <v>1818813</v>
          </cell>
          <cell r="H50">
            <v>1818813</v>
          </cell>
          <cell r="I50" t="str">
            <v>42</v>
          </cell>
          <cell r="J50" t="str">
            <v>421</v>
          </cell>
          <cell r="K50" t="str">
            <v>4213</v>
          </cell>
          <cell r="L50" t="str">
            <v>42130</v>
          </cell>
          <cell r="M50" t="str">
            <v>421300</v>
          </cell>
        </row>
        <row r="51">
          <cell r="A51">
            <v>422000</v>
          </cell>
          <cell r="C51">
            <v>422000</v>
          </cell>
          <cell r="D51">
            <v>983251</v>
          </cell>
          <cell r="E51">
            <v>106926551</v>
          </cell>
          <cell r="F51">
            <v>106078239</v>
          </cell>
          <cell r="G51">
            <v>106078208</v>
          </cell>
          <cell r="H51">
            <v>134939</v>
          </cell>
          <cell r="I51" t="str">
            <v>42</v>
          </cell>
          <cell r="J51" t="str">
            <v>422</v>
          </cell>
          <cell r="K51" t="str">
            <v>4220</v>
          </cell>
          <cell r="L51" t="str">
            <v>42200</v>
          </cell>
          <cell r="M51" t="str">
            <v>422000</v>
          </cell>
        </row>
        <row r="52">
          <cell r="A52">
            <v>423200</v>
          </cell>
          <cell r="C52">
            <v>423200</v>
          </cell>
          <cell r="D52">
            <v>40000</v>
          </cell>
          <cell r="E52">
            <v>520000</v>
          </cell>
          <cell r="F52">
            <v>480000</v>
          </cell>
          <cell r="G52">
            <v>480000</v>
          </cell>
          <cell r="H52">
            <v>480000</v>
          </cell>
          <cell r="I52" t="str">
            <v>42</v>
          </cell>
          <cell r="J52" t="str">
            <v>423</v>
          </cell>
          <cell r="K52" t="str">
            <v>4232</v>
          </cell>
          <cell r="L52" t="str">
            <v>42320</v>
          </cell>
          <cell r="M52" t="str">
            <v>423200</v>
          </cell>
        </row>
        <row r="53">
          <cell r="A53">
            <v>424200</v>
          </cell>
          <cell r="C53">
            <v>424200</v>
          </cell>
          <cell r="D53">
            <v>424200</v>
          </cell>
          <cell r="E53">
            <v>56700</v>
          </cell>
          <cell r="F53">
            <v>56700</v>
          </cell>
          <cell r="G53">
            <v>56700</v>
          </cell>
          <cell r="H53">
            <v>56700</v>
          </cell>
          <cell r="I53" t="str">
            <v>42</v>
          </cell>
          <cell r="J53" t="str">
            <v>424</v>
          </cell>
          <cell r="K53" t="str">
            <v>4242</v>
          </cell>
          <cell r="L53" t="str">
            <v>42420</v>
          </cell>
          <cell r="M53" t="str">
            <v>424200</v>
          </cell>
        </row>
        <row r="54">
          <cell r="A54">
            <v>427000</v>
          </cell>
          <cell r="C54">
            <v>427000</v>
          </cell>
          <cell r="D54">
            <v>72500</v>
          </cell>
          <cell r="E54">
            <v>197000</v>
          </cell>
          <cell r="F54">
            <v>186500</v>
          </cell>
          <cell r="G54">
            <v>186500</v>
          </cell>
          <cell r="H54">
            <v>62000</v>
          </cell>
          <cell r="I54" t="str">
            <v>42</v>
          </cell>
          <cell r="J54" t="str">
            <v>427</v>
          </cell>
          <cell r="K54" t="str">
            <v>4270</v>
          </cell>
          <cell r="L54" t="str">
            <v>42700</v>
          </cell>
          <cell r="M54" t="str">
            <v>427000</v>
          </cell>
        </row>
        <row r="55">
          <cell r="A55">
            <v>428101</v>
          </cell>
          <cell r="C55">
            <v>428101</v>
          </cell>
          <cell r="D55">
            <v>3057458</v>
          </cell>
          <cell r="E55">
            <v>3057458</v>
          </cell>
          <cell r="F55">
            <v>2690099</v>
          </cell>
          <cell r="G55">
            <v>2690098</v>
          </cell>
          <cell r="H55">
            <v>2690099</v>
          </cell>
          <cell r="I55" t="str">
            <v>42</v>
          </cell>
          <cell r="J55" t="str">
            <v>428</v>
          </cell>
          <cell r="K55" t="str">
            <v>4281</v>
          </cell>
          <cell r="L55" t="str">
            <v>42810</v>
          </cell>
          <cell r="M55" t="str">
            <v>428101</v>
          </cell>
        </row>
        <row r="56">
          <cell r="A56">
            <v>428102</v>
          </cell>
          <cell r="C56">
            <v>428102</v>
          </cell>
          <cell r="D56">
            <v>955634</v>
          </cell>
          <cell r="E56">
            <v>955634</v>
          </cell>
          <cell r="F56">
            <v>956541</v>
          </cell>
          <cell r="G56">
            <v>956541</v>
          </cell>
          <cell r="H56">
            <v>956541</v>
          </cell>
          <cell r="I56" t="str">
            <v>42</v>
          </cell>
          <cell r="J56" t="str">
            <v>428</v>
          </cell>
          <cell r="K56" t="str">
            <v>4281</v>
          </cell>
          <cell r="L56" t="str">
            <v>42810</v>
          </cell>
          <cell r="M56" t="str">
            <v>428102</v>
          </cell>
        </row>
        <row r="57">
          <cell r="A57">
            <v>431000</v>
          </cell>
          <cell r="C57">
            <v>431000</v>
          </cell>
          <cell r="D57">
            <v>775903</v>
          </cell>
          <cell r="E57">
            <v>7301357</v>
          </cell>
          <cell r="F57">
            <v>7148050</v>
          </cell>
          <cell r="G57">
            <v>7148048</v>
          </cell>
          <cell r="H57">
            <v>622596</v>
          </cell>
          <cell r="I57" t="str">
            <v>43</v>
          </cell>
          <cell r="J57" t="str">
            <v>431</v>
          </cell>
          <cell r="K57" t="str">
            <v>4310</v>
          </cell>
          <cell r="L57" t="str">
            <v>43100</v>
          </cell>
          <cell r="M57" t="str">
            <v>431000</v>
          </cell>
        </row>
        <row r="58">
          <cell r="A58">
            <v>431300</v>
          </cell>
          <cell r="C58">
            <v>431300</v>
          </cell>
          <cell r="D58">
            <v>1249810</v>
          </cell>
          <cell r="E58">
            <v>13665738</v>
          </cell>
          <cell r="F58">
            <v>13921213</v>
          </cell>
          <cell r="G58">
            <v>13921208</v>
          </cell>
          <cell r="H58">
            <v>1505285</v>
          </cell>
          <cell r="I58" t="str">
            <v>43</v>
          </cell>
          <cell r="J58" t="str">
            <v>431</v>
          </cell>
          <cell r="K58" t="str">
            <v>4313</v>
          </cell>
          <cell r="L58" t="str">
            <v>43130</v>
          </cell>
          <cell r="M58" t="str">
            <v>431300</v>
          </cell>
        </row>
        <row r="59">
          <cell r="A59">
            <v>433110</v>
          </cell>
          <cell r="C59">
            <v>433110</v>
          </cell>
          <cell r="D59">
            <v>470001</v>
          </cell>
          <cell r="E59">
            <v>3704942</v>
          </cell>
          <cell r="F59">
            <v>3539940</v>
          </cell>
          <cell r="G59">
            <v>3539940</v>
          </cell>
          <cell r="H59">
            <v>304999</v>
          </cell>
          <cell r="I59" t="str">
            <v>43</v>
          </cell>
          <cell r="J59" t="str">
            <v>433</v>
          </cell>
          <cell r="K59" t="str">
            <v>4331</v>
          </cell>
          <cell r="L59" t="str">
            <v>43311</v>
          </cell>
          <cell r="M59" t="str">
            <v>433110</v>
          </cell>
        </row>
        <row r="60">
          <cell r="A60">
            <v>438200</v>
          </cell>
          <cell r="C60">
            <v>438200</v>
          </cell>
          <cell r="D60">
            <v>508585</v>
          </cell>
          <cell r="E60">
            <v>508585</v>
          </cell>
          <cell r="F60">
            <v>479581</v>
          </cell>
          <cell r="G60">
            <v>479581</v>
          </cell>
          <cell r="H60">
            <v>479581</v>
          </cell>
          <cell r="I60" t="str">
            <v>43</v>
          </cell>
          <cell r="J60" t="str">
            <v>438</v>
          </cell>
          <cell r="K60" t="str">
            <v>4382</v>
          </cell>
          <cell r="L60" t="str">
            <v>43820</v>
          </cell>
          <cell r="M60" t="str">
            <v>438200</v>
          </cell>
        </row>
        <row r="61">
          <cell r="A61">
            <v>441100</v>
          </cell>
          <cell r="C61">
            <v>441100</v>
          </cell>
          <cell r="D61">
            <v>23411413</v>
          </cell>
          <cell r="E61">
            <v>23411413</v>
          </cell>
          <cell r="F61">
            <v>31102200</v>
          </cell>
          <cell r="G61">
            <v>31102192</v>
          </cell>
          <cell r="H61">
            <v>31102200</v>
          </cell>
          <cell r="I61" t="str">
            <v>44</v>
          </cell>
          <cell r="J61" t="str">
            <v>441</v>
          </cell>
          <cell r="K61" t="str">
            <v>4411</v>
          </cell>
          <cell r="L61" t="str">
            <v>44110</v>
          </cell>
          <cell r="M61" t="str">
            <v>441100</v>
          </cell>
        </row>
        <row r="62">
          <cell r="A62">
            <v>442100</v>
          </cell>
          <cell r="C62">
            <v>442100</v>
          </cell>
          <cell r="D62">
            <v>3213144</v>
          </cell>
          <cell r="E62">
            <v>3213144</v>
          </cell>
          <cell r="F62">
            <v>456192</v>
          </cell>
          <cell r="G62">
            <v>456192</v>
          </cell>
          <cell r="H62">
            <v>3669336</v>
          </cell>
          <cell r="I62" t="str">
            <v>44</v>
          </cell>
          <cell r="J62" t="str">
            <v>442</v>
          </cell>
          <cell r="K62" t="str">
            <v>4421</v>
          </cell>
          <cell r="L62" t="str">
            <v>44210</v>
          </cell>
          <cell r="M62" t="str">
            <v>442100</v>
          </cell>
        </row>
        <row r="63">
          <cell r="A63">
            <v>443200</v>
          </cell>
          <cell r="C63">
            <v>443200</v>
          </cell>
          <cell r="D63">
            <v>89781</v>
          </cell>
          <cell r="E63">
            <v>316062</v>
          </cell>
          <cell r="F63">
            <v>226281</v>
          </cell>
          <cell r="G63">
            <v>226281</v>
          </cell>
          <cell r="H63">
            <v>226281</v>
          </cell>
          <cell r="I63" t="str">
            <v>44</v>
          </cell>
          <cell r="J63" t="str">
            <v>443</v>
          </cell>
          <cell r="K63" t="str">
            <v>4432</v>
          </cell>
          <cell r="L63" t="str">
            <v>44320</v>
          </cell>
          <cell r="M63" t="str">
            <v>443200</v>
          </cell>
        </row>
        <row r="64">
          <cell r="A64">
            <v>444100</v>
          </cell>
          <cell r="C64">
            <v>444100</v>
          </cell>
          <cell r="D64">
            <v>444100</v>
          </cell>
          <cell r="E64">
            <v>226281</v>
          </cell>
          <cell r="F64">
            <v>226281</v>
          </cell>
          <cell r="G64">
            <v>226281</v>
          </cell>
          <cell r="H64">
            <v>226281</v>
          </cell>
          <cell r="I64" t="str">
            <v>44</v>
          </cell>
          <cell r="J64" t="str">
            <v>444</v>
          </cell>
          <cell r="K64" t="str">
            <v>4441</v>
          </cell>
          <cell r="L64" t="str">
            <v>44410</v>
          </cell>
          <cell r="M64" t="str">
            <v>444100</v>
          </cell>
        </row>
        <row r="65">
          <cell r="A65">
            <v>447000</v>
          </cell>
          <cell r="C65">
            <v>447000</v>
          </cell>
          <cell r="D65">
            <v>1182818</v>
          </cell>
          <cell r="E65">
            <v>15162688</v>
          </cell>
          <cell r="F65">
            <v>15120541</v>
          </cell>
          <cell r="G65">
            <v>15120536</v>
          </cell>
          <cell r="H65">
            <v>1140671</v>
          </cell>
          <cell r="I65" t="str">
            <v>44</v>
          </cell>
          <cell r="J65" t="str">
            <v>447</v>
          </cell>
          <cell r="K65" t="str">
            <v>4470</v>
          </cell>
          <cell r="L65" t="str">
            <v>44700</v>
          </cell>
          <cell r="M65" t="str">
            <v>447000</v>
          </cell>
        </row>
        <row r="66">
          <cell r="A66">
            <v>462000</v>
          </cell>
          <cell r="C66">
            <v>462000</v>
          </cell>
          <cell r="D66">
            <v>9938959</v>
          </cell>
          <cell r="E66">
            <v>33999957</v>
          </cell>
          <cell r="F66">
            <v>4060998</v>
          </cell>
          <cell r="G66">
            <v>20000000</v>
          </cell>
          <cell r="H66">
            <v>20000000</v>
          </cell>
          <cell r="I66" t="str">
            <v>46</v>
          </cell>
          <cell r="J66" t="str">
            <v>462</v>
          </cell>
          <cell r="K66" t="str">
            <v>4620</v>
          </cell>
          <cell r="L66" t="str">
            <v>46200</v>
          </cell>
          <cell r="M66" t="str">
            <v>462000</v>
          </cell>
        </row>
        <row r="67">
          <cell r="A67">
            <v>465000</v>
          </cell>
          <cell r="C67">
            <v>465000</v>
          </cell>
          <cell r="D67">
            <v>465000</v>
          </cell>
          <cell r="E67">
            <v>90000000</v>
          </cell>
          <cell r="F67">
            <v>90000000</v>
          </cell>
          <cell r="G67">
            <v>90000000</v>
          </cell>
          <cell r="H67">
            <v>90000000</v>
          </cell>
          <cell r="I67" t="str">
            <v>46</v>
          </cell>
          <cell r="J67" t="str">
            <v>465</v>
          </cell>
          <cell r="K67" t="str">
            <v>4650</v>
          </cell>
          <cell r="L67" t="str">
            <v>46500</v>
          </cell>
          <cell r="M67" t="str">
            <v>465000</v>
          </cell>
        </row>
        <row r="68">
          <cell r="A68">
            <v>467000</v>
          </cell>
          <cell r="C68">
            <v>467000</v>
          </cell>
          <cell r="D68">
            <v>467000</v>
          </cell>
          <cell r="E68">
            <v>200000000</v>
          </cell>
          <cell r="F68">
            <v>200000000</v>
          </cell>
          <cell r="G68">
            <v>200000000</v>
          </cell>
          <cell r="H68">
            <v>200000000</v>
          </cell>
          <cell r="I68" t="str">
            <v>46</v>
          </cell>
          <cell r="J68" t="str">
            <v>467</v>
          </cell>
          <cell r="K68" t="str">
            <v>4670</v>
          </cell>
          <cell r="L68" t="str">
            <v>46700</v>
          </cell>
          <cell r="M68" t="str">
            <v>467000</v>
          </cell>
        </row>
        <row r="69">
          <cell r="A69">
            <v>471100</v>
          </cell>
          <cell r="C69">
            <v>450000</v>
          </cell>
          <cell r="D69">
            <v>450000</v>
          </cell>
          <cell r="E69">
            <v>13050</v>
          </cell>
          <cell r="F69">
            <v>463050</v>
          </cell>
          <cell r="G69">
            <v>0</v>
          </cell>
          <cell r="H69">
            <v>0</v>
          </cell>
          <cell r="I69" t="str">
            <v>47</v>
          </cell>
          <cell r="J69" t="str">
            <v>471</v>
          </cell>
          <cell r="K69" t="str">
            <v>4711</v>
          </cell>
          <cell r="L69" t="str">
            <v>47110</v>
          </cell>
          <cell r="M69" t="str">
            <v>471100</v>
          </cell>
        </row>
        <row r="70">
          <cell r="A70">
            <v>471300</v>
          </cell>
          <cell r="C70">
            <v>471300</v>
          </cell>
          <cell r="D70">
            <v>710000</v>
          </cell>
          <cell r="E70">
            <v>3330000</v>
          </cell>
          <cell r="F70">
            <v>3240000</v>
          </cell>
          <cell r="G70">
            <v>3240000</v>
          </cell>
          <cell r="H70">
            <v>620000</v>
          </cell>
          <cell r="I70" t="str">
            <v>47</v>
          </cell>
          <cell r="J70" t="str">
            <v>471</v>
          </cell>
          <cell r="K70" t="str">
            <v>4713</v>
          </cell>
          <cell r="L70" t="str">
            <v>47130</v>
          </cell>
          <cell r="M70" t="str">
            <v>471300</v>
          </cell>
        </row>
        <row r="71">
          <cell r="A71">
            <v>476000</v>
          </cell>
          <cell r="C71">
            <v>1398099</v>
          </cell>
          <cell r="D71">
            <v>1398099</v>
          </cell>
          <cell r="E71">
            <v>6817087</v>
          </cell>
          <cell r="F71">
            <v>6951322</v>
          </cell>
          <cell r="G71">
            <v>1263864</v>
          </cell>
          <cell r="H71">
            <v>1263864</v>
          </cell>
          <cell r="I71" t="str">
            <v>47</v>
          </cell>
          <cell r="J71" t="str">
            <v>476</v>
          </cell>
          <cell r="K71" t="str">
            <v>4760</v>
          </cell>
          <cell r="L71" t="str">
            <v>47600</v>
          </cell>
          <cell r="M71" t="str">
            <v>476000</v>
          </cell>
        </row>
        <row r="72">
          <cell r="A72">
            <v>477000</v>
          </cell>
          <cell r="C72">
            <v>477000</v>
          </cell>
          <cell r="D72">
            <v>477000</v>
          </cell>
          <cell r="E72">
            <v>10560000</v>
          </cell>
          <cell r="F72">
            <v>10560000</v>
          </cell>
          <cell r="G72">
            <v>10560000</v>
          </cell>
          <cell r="H72">
            <v>10560000</v>
          </cell>
          <cell r="I72" t="str">
            <v>47</v>
          </cell>
          <cell r="J72" t="str">
            <v>477</v>
          </cell>
          <cell r="K72" t="str">
            <v>4770</v>
          </cell>
          <cell r="L72" t="str">
            <v>47700</v>
          </cell>
          <cell r="M72" t="str">
            <v>477000</v>
          </cell>
        </row>
        <row r="73">
          <cell r="A73">
            <v>478100</v>
          </cell>
          <cell r="C73">
            <v>478100</v>
          </cell>
          <cell r="D73">
            <v>478100</v>
          </cell>
          <cell r="E73">
            <v>15000000</v>
          </cell>
          <cell r="F73">
            <v>15000000</v>
          </cell>
          <cell r="G73">
            <v>15000000</v>
          </cell>
          <cell r="H73">
            <v>15000000</v>
          </cell>
          <cell r="I73" t="str">
            <v>47</v>
          </cell>
          <cell r="J73" t="str">
            <v>478</v>
          </cell>
          <cell r="K73" t="str">
            <v>4781</v>
          </cell>
          <cell r="L73" t="str">
            <v>47810</v>
          </cell>
          <cell r="M73" t="str">
            <v>478100</v>
          </cell>
        </row>
        <row r="74">
          <cell r="A74">
            <v>479400</v>
          </cell>
          <cell r="C74">
            <v>479400</v>
          </cell>
          <cell r="D74">
            <v>479400</v>
          </cell>
          <cell r="E74">
            <v>479400</v>
          </cell>
          <cell r="F74">
            <v>2500925</v>
          </cell>
          <cell r="G74">
            <v>2500924</v>
          </cell>
          <cell r="H74">
            <v>2500925</v>
          </cell>
          <cell r="I74" t="str">
            <v>47</v>
          </cell>
          <cell r="J74" t="str">
            <v>479</v>
          </cell>
          <cell r="K74" t="str">
            <v>4794</v>
          </cell>
          <cell r="L74" t="str">
            <v>47940</v>
          </cell>
          <cell r="M74" t="str">
            <v>479400</v>
          </cell>
        </row>
        <row r="75">
          <cell r="A75">
            <v>481200</v>
          </cell>
          <cell r="C75">
            <v>481200</v>
          </cell>
          <cell r="D75">
            <v>481200</v>
          </cell>
          <cell r="E75">
            <v>7000000</v>
          </cell>
          <cell r="F75">
            <v>163250000</v>
          </cell>
          <cell r="G75">
            <v>163249920</v>
          </cell>
          <cell r="H75">
            <v>156250000</v>
          </cell>
          <cell r="I75" t="str">
            <v>48</v>
          </cell>
          <cell r="J75" t="str">
            <v>481</v>
          </cell>
          <cell r="K75" t="str">
            <v>4812</v>
          </cell>
          <cell r="L75" t="str">
            <v>48120</v>
          </cell>
          <cell r="M75" t="str">
            <v>481200</v>
          </cell>
        </row>
        <row r="76">
          <cell r="A76">
            <v>481800</v>
          </cell>
          <cell r="C76">
            <v>481800</v>
          </cell>
          <cell r="D76">
            <v>399942</v>
          </cell>
          <cell r="E76">
            <v>399942</v>
          </cell>
          <cell r="F76">
            <v>399942</v>
          </cell>
          <cell r="G76">
            <v>399942</v>
          </cell>
          <cell r="H76">
            <v>399942</v>
          </cell>
          <cell r="I76" t="str">
            <v>48</v>
          </cell>
          <cell r="J76" t="str">
            <v>481</v>
          </cell>
          <cell r="K76" t="str">
            <v>4818</v>
          </cell>
          <cell r="L76" t="str">
            <v>48180</v>
          </cell>
          <cell r="M76" t="str">
            <v>481800</v>
          </cell>
        </row>
        <row r="77">
          <cell r="A77">
            <v>488000</v>
          </cell>
          <cell r="C77">
            <v>488000</v>
          </cell>
          <cell r="D77">
            <v>488000</v>
          </cell>
          <cell r="E77">
            <v>2000000</v>
          </cell>
          <cell r="F77">
            <v>2000000</v>
          </cell>
          <cell r="G77">
            <v>2000000</v>
          </cell>
          <cell r="H77">
            <v>2000000</v>
          </cell>
          <cell r="I77" t="str">
            <v>48</v>
          </cell>
          <cell r="J77" t="str">
            <v>488</v>
          </cell>
          <cell r="K77" t="str">
            <v>4880</v>
          </cell>
          <cell r="L77" t="str">
            <v>48800</v>
          </cell>
          <cell r="M77" t="str">
            <v>488000</v>
          </cell>
        </row>
        <row r="78">
          <cell r="A78">
            <v>485100</v>
          </cell>
          <cell r="C78">
            <v>380000</v>
          </cell>
          <cell r="D78">
            <v>380000</v>
          </cell>
          <cell r="E78">
            <v>380000</v>
          </cell>
          <cell r="F78">
            <v>240000</v>
          </cell>
          <cell r="G78">
            <v>140000</v>
          </cell>
          <cell r="H78">
            <v>140000</v>
          </cell>
          <cell r="I78" t="str">
            <v>48</v>
          </cell>
          <cell r="J78" t="str">
            <v>485</v>
          </cell>
          <cell r="K78" t="str">
            <v>4851</v>
          </cell>
          <cell r="L78" t="str">
            <v>48510</v>
          </cell>
          <cell r="M78" t="str">
            <v>485100</v>
          </cell>
        </row>
        <row r="79">
          <cell r="A79">
            <v>491000</v>
          </cell>
          <cell r="C79">
            <v>491000</v>
          </cell>
          <cell r="D79">
            <v>31677520</v>
          </cell>
          <cell r="E79">
            <v>31677520</v>
          </cell>
          <cell r="F79">
            <v>31677520</v>
          </cell>
          <cell r="G79">
            <v>31677520</v>
          </cell>
          <cell r="H79">
            <v>31677520</v>
          </cell>
          <cell r="I79" t="str">
            <v>49</v>
          </cell>
          <cell r="J79" t="str">
            <v>491</v>
          </cell>
          <cell r="K79" t="str">
            <v>4910</v>
          </cell>
          <cell r="L79" t="str">
            <v>49100</v>
          </cell>
          <cell r="M79" t="str">
            <v>491000</v>
          </cell>
        </row>
        <row r="80">
          <cell r="A80">
            <v>521400</v>
          </cell>
          <cell r="C80">
            <v>69123976</v>
          </cell>
          <cell r="D80">
            <v>69123968</v>
          </cell>
          <cell r="E80">
            <v>2247552500</v>
          </cell>
          <cell r="F80">
            <v>2195523485</v>
          </cell>
          <cell r="G80">
            <v>121152991</v>
          </cell>
          <cell r="H80">
            <v>121152960</v>
          </cell>
          <cell r="I80" t="str">
            <v>52</v>
          </cell>
          <cell r="J80" t="str">
            <v>521</v>
          </cell>
          <cell r="K80" t="str">
            <v>5214</v>
          </cell>
          <cell r="L80" t="str">
            <v>52140</v>
          </cell>
          <cell r="M80" t="str">
            <v>521400</v>
          </cell>
        </row>
        <row r="81">
          <cell r="A81">
            <v>571100</v>
          </cell>
          <cell r="C81">
            <v>5460181</v>
          </cell>
          <cell r="D81">
            <v>5460180</v>
          </cell>
          <cell r="E81">
            <v>141403437</v>
          </cell>
          <cell r="F81">
            <v>144919482</v>
          </cell>
          <cell r="G81">
            <v>1944136</v>
          </cell>
          <cell r="H81">
            <v>1944136</v>
          </cell>
          <cell r="I81" t="str">
            <v>57</v>
          </cell>
          <cell r="J81" t="str">
            <v>571</v>
          </cell>
          <cell r="K81" t="str">
            <v>5711</v>
          </cell>
          <cell r="L81" t="str">
            <v>57110</v>
          </cell>
          <cell r="M81" t="str">
            <v>571100</v>
          </cell>
        </row>
        <row r="82">
          <cell r="A82">
            <v>585000</v>
          </cell>
          <cell r="C82">
            <v>585000</v>
          </cell>
          <cell r="D82">
            <v>585000</v>
          </cell>
          <cell r="E82">
            <v>144502048</v>
          </cell>
          <cell r="F82">
            <v>144502048</v>
          </cell>
          <cell r="G82">
            <v>144502016</v>
          </cell>
          <cell r="H82">
            <v>144502016</v>
          </cell>
          <cell r="I82" t="str">
            <v>58</v>
          </cell>
          <cell r="J82" t="str">
            <v>585</v>
          </cell>
          <cell r="K82" t="str">
            <v>5850</v>
          </cell>
          <cell r="L82" t="str">
            <v>58500</v>
          </cell>
          <cell r="M82" t="str">
            <v>585000</v>
          </cell>
        </row>
        <row r="83">
          <cell r="A83">
            <v>601100</v>
          </cell>
          <cell r="C83">
            <v>601100</v>
          </cell>
          <cell r="D83">
            <v>601100</v>
          </cell>
          <cell r="E83">
            <v>75000000</v>
          </cell>
          <cell r="F83">
            <v>75000000</v>
          </cell>
          <cell r="G83">
            <v>75000000</v>
          </cell>
          <cell r="H83">
            <v>75000000</v>
          </cell>
          <cell r="I83" t="str">
            <v>60</v>
          </cell>
          <cell r="J83" t="str">
            <v>601</v>
          </cell>
          <cell r="K83" t="str">
            <v>6011</v>
          </cell>
          <cell r="L83" t="str">
            <v>60110</v>
          </cell>
          <cell r="M83" t="str">
            <v>601100</v>
          </cell>
        </row>
        <row r="84">
          <cell r="A84">
            <v>602100</v>
          </cell>
          <cell r="C84">
            <v>602100</v>
          </cell>
          <cell r="D84">
            <v>602100</v>
          </cell>
          <cell r="E84">
            <v>924957492</v>
          </cell>
          <cell r="F84">
            <v>1770650</v>
          </cell>
          <cell r="G84">
            <v>923186842</v>
          </cell>
          <cell r="H84">
            <v>923186688</v>
          </cell>
          <cell r="I84" t="str">
            <v>60</v>
          </cell>
          <cell r="J84" t="str">
            <v>602</v>
          </cell>
          <cell r="K84" t="str">
            <v>6021</v>
          </cell>
          <cell r="L84" t="str">
            <v>60210</v>
          </cell>
          <cell r="M84" t="str">
            <v>602100</v>
          </cell>
        </row>
        <row r="85">
          <cell r="A85">
            <v>602210</v>
          </cell>
          <cell r="C85">
            <v>602210</v>
          </cell>
          <cell r="D85">
            <v>602210</v>
          </cell>
          <cell r="E85">
            <v>5116850</v>
          </cell>
          <cell r="F85">
            <v>5116848</v>
          </cell>
          <cell r="G85">
            <v>5116850</v>
          </cell>
          <cell r="H85">
            <v>5116848</v>
          </cell>
          <cell r="I85" t="str">
            <v>60</v>
          </cell>
          <cell r="J85" t="str">
            <v>602</v>
          </cell>
          <cell r="K85" t="str">
            <v>6022</v>
          </cell>
          <cell r="L85" t="str">
            <v>60221</v>
          </cell>
          <cell r="M85" t="str">
            <v>602210</v>
          </cell>
        </row>
        <row r="86">
          <cell r="A86">
            <v>603100</v>
          </cell>
          <cell r="C86">
            <v>603100</v>
          </cell>
          <cell r="D86">
            <v>603100</v>
          </cell>
          <cell r="E86">
            <v>603100</v>
          </cell>
          <cell r="F86">
            <v>5000000</v>
          </cell>
          <cell r="G86">
            <v>5000000</v>
          </cell>
          <cell r="H86">
            <v>5000000</v>
          </cell>
          <cell r="I86" t="str">
            <v>60</v>
          </cell>
          <cell r="J86" t="str">
            <v>603</v>
          </cell>
          <cell r="K86" t="str">
            <v>6031</v>
          </cell>
          <cell r="L86" t="str">
            <v>60310</v>
          </cell>
          <cell r="M86" t="str">
            <v>603100</v>
          </cell>
        </row>
        <row r="87">
          <cell r="A87">
            <v>603201</v>
          </cell>
          <cell r="C87">
            <v>603201</v>
          </cell>
          <cell r="D87">
            <v>603201</v>
          </cell>
          <cell r="E87">
            <v>57775035</v>
          </cell>
          <cell r="F87">
            <v>57881451</v>
          </cell>
          <cell r="G87">
            <v>57881440</v>
          </cell>
          <cell r="H87">
            <v>106416</v>
          </cell>
          <cell r="I87" t="str">
            <v>60</v>
          </cell>
          <cell r="J87" t="str">
            <v>603</v>
          </cell>
          <cell r="K87" t="str">
            <v>6032</v>
          </cell>
          <cell r="L87" t="str">
            <v>60320</v>
          </cell>
          <cell r="M87" t="str">
            <v>603201</v>
          </cell>
        </row>
        <row r="88">
          <cell r="A88">
            <v>603302</v>
          </cell>
          <cell r="C88">
            <v>603302</v>
          </cell>
          <cell r="D88">
            <v>603302</v>
          </cell>
          <cell r="E88">
            <v>79288966</v>
          </cell>
          <cell r="F88">
            <v>76874255</v>
          </cell>
          <cell r="G88">
            <v>2414711</v>
          </cell>
          <cell r="H88">
            <v>2414710</v>
          </cell>
          <cell r="I88" t="str">
            <v>60</v>
          </cell>
          <cell r="J88" t="str">
            <v>603</v>
          </cell>
          <cell r="K88" t="str">
            <v>6033</v>
          </cell>
          <cell r="L88" t="str">
            <v>60330</v>
          </cell>
          <cell r="M88" t="str">
            <v>603302</v>
          </cell>
        </row>
        <row r="89">
          <cell r="A89">
            <v>604200</v>
          </cell>
          <cell r="C89">
            <v>604200</v>
          </cell>
          <cell r="D89">
            <v>604200</v>
          </cell>
          <cell r="E89">
            <v>21691425</v>
          </cell>
          <cell r="F89">
            <v>10431949</v>
          </cell>
          <cell r="G89">
            <v>11259476</v>
          </cell>
          <cell r="H89">
            <v>11259472</v>
          </cell>
          <cell r="I89" t="str">
            <v>60</v>
          </cell>
          <cell r="J89" t="str">
            <v>604</v>
          </cell>
          <cell r="K89" t="str">
            <v>6042</v>
          </cell>
          <cell r="L89" t="str">
            <v>60420</v>
          </cell>
          <cell r="M89" t="str">
            <v>604200</v>
          </cell>
        </row>
        <row r="90">
          <cell r="A90">
            <v>605100</v>
          </cell>
          <cell r="C90">
            <v>605100</v>
          </cell>
          <cell r="D90">
            <v>605100</v>
          </cell>
          <cell r="E90">
            <v>10895715</v>
          </cell>
          <cell r="F90">
            <v>5387895</v>
          </cell>
          <cell r="G90">
            <v>5507820</v>
          </cell>
          <cell r="H90">
            <v>5507820</v>
          </cell>
          <cell r="I90" t="str">
            <v>60</v>
          </cell>
          <cell r="J90" t="str">
            <v>605</v>
          </cell>
          <cell r="K90" t="str">
            <v>6051</v>
          </cell>
          <cell r="L90" t="str">
            <v>60510</v>
          </cell>
          <cell r="M90" t="str">
            <v>605100</v>
          </cell>
        </row>
        <row r="91">
          <cell r="A91">
            <v>605200</v>
          </cell>
          <cell r="C91">
            <v>605200</v>
          </cell>
          <cell r="D91">
            <v>605200</v>
          </cell>
          <cell r="E91">
            <v>56706955</v>
          </cell>
          <cell r="F91">
            <v>32760604</v>
          </cell>
          <cell r="G91">
            <v>23946351</v>
          </cell>
          <cell r="H91">
            <v>23946336</v>
          </cell>
          <cell r="I91" t="str">
            <v>60</v>
          </cell>
          <cell r="J91" t="str">
            <v>605</v>
          </cell>
          <cell r="K91" t="str">
            <v>6052</v>
          </cell>
          <cell r="L91" t="str">
            <v>60520</v>
          </cell>
          <cell r="M91" t="str">
            <v>605200</v>
          </cell>
        </row>
        <row r="92">
          <cell r="A92">
            <v>605400</v>
          </cell>
          <cell r="C92">
            <v>605400</v>
          </cell>
          <cell r="D92">
            <v>605400</v>
          </cell>
          <cell r="E92">
            <v>4268103</v>
          </cell>
          <cell r="F92">
            <v>285000</v>
          </cell>
          <cell r="G92">
            <v>3983103</v>
          </cell>
          <cell r="H92">
            <v>3983102</v>
          </cell>
          <cell r="I92" t="str">
            <v>60</v>
          </cell>
          <cell r="J92" t="str">
            <v>605</v>
          </cell>
          <cell r="K92" t="str">
            <v>6054</v>
          </cell>
          <cell r="L92" t="str">
            <v>60540</v>
          </cell>
          <cell r="M92" t="str">
            <v>605400</v>
          </cell>
        </row>
        <row r="93">
          <cell r="A93">
            <v>605500</v>
          </cell>
          <cell r="C93">
            <v>605500</v>
          </cell>
          <cell r="D93">
            <v>605500</v>
          </cell>
          <cell r="E93">
            <v>4480500</v>
          </cell>
          <cell r="F93">
            <v>207000</v>
          </cell>
          <cell r="G93">
            <v>4273500</v>
          </cell>
          <cell r="H93">
            <v>4273500</v>
          </cell>
          <cell r="I93" t="str">
            <v>60</v>
          </cell>
          <cell r="J93" t="str">
            <v>605</v>
          </cell>
          <cell r="K93" t="str">
            <v>6055</v>
          </cell>
          <cell r="L93" t="str">
            <v>60550</v>
          </cell>
          <cell r="M93" t="str">
            <v>605500</v>
          </cell>
        </row>
        <row r="94">
          <cell r="A94">
            <v>605600</v>
          </cell>
          <cell r="C94">
            <v>605600</v>
          </cell>
          <cell r="D94">
            <v>605600</v>
          </cell>
          <cell r="E94">
            <v>13718052</v>
          </cell>
          <cell r="F94">
            <v>13718048</v>
          </cell>
          <cell r="G94">
            <v>13718052</v>
          </cell>
          <cell r="H94">
            <v>13718048</v>
          </cell>
          <cell r="I94" t="str">
            <v>60</v>
          </cell>
          <cell r="J94" t="str">
            <v>605</v>
          </cell>
          <cell r="K94" t="str">
            <v>6056</v>
          </cell>
          <cell r="L94" t="str">
            <v>60560</v>
          </cell>
          <cell r="M94" t="str">
            <v>605600</v>
          </cell>
        </row>
        <row r="95">
          <cell r="A95">
            <v>605700</v>
          </cell>
          <cell r="C95">
            <v>605700</v>
          </cell>
          <cell r="D95">
            <v>605700</v>
          </cell>
          <cell r="E95">
            <v>12000</v>
          </cell>
          <cell r="F95">
            <v>12000</v>
          </cell>
          <cell r="G95">
            <v>12000</v>
          </cell>
          <cell r="H95">
            <v>12000</v>
          </cell>
          <cell r="I95" t="str">
            <v>60</v>
          </cell>
          <cell r="J95" t="str">
            <v>605</v>
          </cell>
          <cell r="K95" t="str">
            <v>6057</v>
          </cell>
          <cell r="L95" t="str">
            <v>60570</v>
          </cell>
          <cell r="M95" t="str">
            <v>605700</v>
          </cell>
        </row>
        <row r="96">
          <cell r="A96">
            <v>608100</v>
          </cell>
          <cell r="C96">
            <v>608100</v>
          </cell>
          <cell r="D96">
            <v>608100</v>
          </cell>
          <cell r="E96">
            <v>132571022</v>
          </cell>
          <cell r="F96">
            <v>37004365</v>
          </cell>
          <cell r="G96">
            <v>95566657</v>
          </cell>
          <cell r="H96">
            <v>95566656</v>
          </cell>
          <cell r="I96" t="str">
            <v>60</v>
          </cell>
          <cell r="J96" t="str">
            <v>608</v>
          </cell>
          <cell r="K96" t="str">
            <v>6081</v>
          </cell>
          <cell r="L96" t="str">
            <v>60810</v>
          </cell>
          <cell r="M96" t="str">
            <v>608100</v>
          </cell>
        </row>
        <row r="97">
          <cell r="A97">
            <v>612000</v>
          </cell>
          <cell r="C97">
            <v>612000</v>
          </cell>
          <cell r="D97">
            <v>612000</v>
          </cell>
          <cell r="E97">
            <v>343513892</v>
          </cell>
          <cell r="F97">
            <v>19987821</v>
          </cell>
          <cell r="G97">
            <v>323526071</v>
          </cell>
          <cell r="H97">
            <v>323525888</v>
          </cell>
          <cell r="I97" t="str">
            <v>61</v>
          </cell>
          <cell r="J97" t="str">
            <v>612</v>
          </cell>
          <cell r="K97" t="str">
            <v>6120</v>
          </cell>
          <cell r="L97" t="str">
            <v>61200</v>
          </cell>
          <cell r="M97" t="str">
            <v>612000</v>
          </cell>
        </row>
        <row r="98">
          <cell r="A98">
            <v>618100</v>
          </cell>
          <cell r="C98">
            <v>618100</v>
          </cell>
          <cell r="D98">
            <v>618100</v>
          </cell>
          <cell r="E98">
            <v>3958126</v>
          </cell>
          <cell r="F98">
            <v>3958126</v>
          </cell>
          <cell r="G98">
            <v>3958126</v>
          </cell>
          <cell r="H98">
            <v>3958126</v>
          </cell>
          <cell r="I98" t="str">
            <v>61</v>
          </cell>
          <cell r="J98" t="str">
            <v>618</v>
          </cell>
          <cell r="K98" t="str">
            <v>6181</v>
          </cell>
          <cell r="L98" t="str">
            <v>61810</v>
          </cell>
          <cell r="M98" t="str">
            <v>618100</v>
          </cell>
        </row>
        <row r="99">
          <cell r="A99">
            <v>618300</v>
          </cell>
          <cell r="C99">
            <v>618300</v>
          </cell>
          <cell r="D99">
            <v>618300</v>
          </cell>
          <cell r="E99">
            <v>1662475</v>
          </cell>
          <cell r="F99">
            <v>1662475</v>
          </cell>
          <cell r="G99">
            <v>1662475</v>
          </cell>
          <cell r="H99">
            <v>1662475</v>
          </cell>
          <cell r="I99" t="str">
            <v>61</v>
          </cell>
          <cell r="J99" t="str">
            <v>618</v>
          </cell>
          <cell r="K99" t="str">
            <v>6183</v>
          </cell>
          <cell r="L99" t="str">
            <v>61830</v>
          </cell>
          <cell r="M99" t="str">
            <v>618300</v>
          </cell>
        </row>
        <row r="100">
          <cell r="A100">
            <v>622200</v>
          </cell>
          <cell r="C100">
            <v>622200</v>
          </cell>
          <cell r="D100">
            <v>622200</v>
          </cell>
          <cell r="E100">
            <v>8750000</v>
          </cell>
          <cell r="F100">
            <v>350000</v>
          </cell>
          <cell r="G100">
            <v>8400000</v>
          </cell>
          <cell r="H100">
            <v>8400000</v>
          </cell>
          <cell r="I100" t="str">
            <v>62</v>
          </cell>
          <cell r="J100" t="str">
            <v>622</v>
          </cell>
          <cell r="K100" t="str">
            <v>6222</v>
          </cell>
          <cell r="L100" t="str">
            <v>62220</v>
          </cell>
          <cell r="M100" t="str">
            <v>622200</v>
          </cell>
        </row>
        <row r="101">
          <cell r="A101">
            <v>622300</v>
          </cell>
          <cell r="C101">
            <v>622300</v>
          </cell>
          <cell r="D101">
            <v>622300</v>
          </cell>
          <cell r="E101">
            <v>15080000</v>
          </cell>
          <cell r="F101">
            <v>2955000</v>
          </cell>
          <cell r="G101">
            <v>12125000</v>
          </cell>
          <cell r="H101">
            <v>12125000</v>
          </cell>
          <cell r="I101" t="str">
            <v>62</v>
          </cell>
          <cell r="J101" t="str">
            <v>622</v>
          </cell>
          <cell r="K101" t="str">
            <v>6223</v>
          </cell>
          <cell r="L101" t="str">
            <v>62230</v>
          </cell>
          <cell r="M101" t="str">
            <v>622300</v>
          </cell>
        </row>
        <row r="102">
          <cell r="A102">
            <v>622800</v>
          </cell>
          <cell r="C102">
            <v>622800</v>
          </cell>
          <cell r="D102">
            <v>622800</v>
          </cell>
          <cell r="E102">
            <v>682298</v>
          </cell>
          <cell r="F102">
            <v>399400</v>
          </cell>
          <cell r="G102">
            <v>282898</v>
          </cell>
          <cell r="H102">
            <v>282898</v>
          </cell>
          <cell r="I102" t="str">
            <v>62</v>
          </cell>
          <cell r="J102" t="str">
            <v>622</v>
          </cell>
          <cell r="K102" t="str">
            <v>6228</v>
          </cell>
          <cell r="L102" t="str">
            <v>62280</v>
          </cell>
          <cell r="M102" t="str">
            <v>622800</v>
          </cell>
        </row>
        <row r="103">
          <cell r="A103">
            <v>624100</v>
          </cell>
          <cell r="C103">
            <v>624100</v>
          </cell>
          <cell r="D103">
            <v>624100</v>
          </cell>
          <cell r="E103">
            <v>1951316</v>
          </cell>
          <cell r="F103">
            <v>1951316</v>
          </cell>
          <cell r="G103">
            <v>1951316</v>
          </cell>
          <cell r="H103">
            <v>1951316</v>
          </cell>
          <cell r="I103" t="str">
            <v>62</v>
          </cell>
          <cell r="J103" t="str">
            <v>624</v>
          </cell>
          <cell r="K103" t="str">
            <v>6241</v>
          </cell>
          <cell r="L103" t="str">
            <v>62410</v>
          </cell>
          <cell r="M103" t="str">
            <v>624100</v>
          </cell>
        </row>
        <row r="104">
          <cell r="A104">
            <v>624200</v>
          </cell>
          <cell r="C104">
            <v>624200</v>
          </cell>
          <cell r="D104">
            <v>624200</v>
          </cell>
          <cell r="E104">
            <v>4392302</v>
          </cell>
          <cell r="F104">
            <v>720054</v>
          </cell>
          <cell r="G104">
            <v>3672248</v>
          </cell>
          <cell r="H104">
            <v>3672248</v>
          </cell>
          <cell r="I104" t="str">
            <v>62</v>
          </cell>
          <cell r="J104" t="str">
            <v>624</v>
          </cell>
          <cell r="K104" t="str">
            <v>6242</v>
          </cell>
          <cell r="L104" t="str">
            <v>62420</v>
          </cell>
          <cell r="M104" t="str">
            <v>624200</v>
          </cell>
        </row>
        <row r="105">
          <cell r="A105">
            <v>624300</v>
          </cell>
          <cell r="C105">
            <v>624300</v>
          </cell>
          <cell r="D105">
            <v>624300</v>
          </cell>
          <cell r="E105">
            <v>6460000</v>
          </cell>
          <cell r="F105">
            <v>650000</v>
          </cell>
          <cell r="G105">
            <v>5810000</v>
          </cell>
          <cell r="H105">
            <v>5810000</v>
          </cell>
          <cell r="I105" t="str">
            <v>62</v>
          </cell>
          <cell r="J105" t="str">
            <v>624</v>
          </cell>
          <cell r="K105" t="str">
            <v>6243</v>
          </cell>
          <cell r="L105" t="str">
            <v>62430</v>
          </cell>
          <cell r="M105" t="str">
            <v>624300</v>
          </cell>
        </row>
        <row r="106">
          <cell r="A106">
            <v>624330</v>
          </cell>
          <cell r="C106">
            <v>624330</v>
          </cell>
          <cell r="D106">
            <v>624330</v>
          </cell>
          <cell r="E106">
            <v>585000</v>
          </cell>
          <cell r="F106">
            <v>585000</v>
          </cell>
          <cell r="G106">
            <v>585000</v>
          </cell>
          <cell r="H106">
            <v>585000</v>
          </cell>
          <cell r="I106" t="str">
            <v>62</v>
          </cell>
          <cell r="J106" t="str">
            <v>624</v>
          </cell>
          <cell r="K106" t="str">
            <v>6243</v>
          </cell>
          <cell r="L106" t="str">
            <v>62433</v>
          </cell>
          <cell r="M106" t="str">
            <v>624330</v>
          </cell>
        </row>
        <row r="107">
          <cell r="A107">
            <v>625100</v>
          </cell>
          <cell r="C107">
            <v>625100</v>
          </cell>
          <cell r="D107">
            <v>625100</v>
          </cell>
          <cell r="E107">
            <v>2796869</v>
          </cell>
          <cell r="F107">
            <v>1378167</v>
          </cell>
          <cell r="G107">
            <v>1418702</v>
          </cell>
          <cell r="H107">
            <v>1418702</v>
          </cell>
          <cell r="I107" t="str">
            <v>62</v>
          </cell>
          <cell r="J107" t="str">
            <v>625</v>
          </cell>
          <cell r="K107" t="str">
            <v>6251</v>
          </cell>
          <cell r="L107" t="str">
            <v>62510</v>
          </cell>
          <cell r="M107" t="str">
            <v>625100</v>
          </cell>
        </row>
        <row r="108">
          <cell r="A108">
            <v>625200</v>
          </cell>
          <cell r="C108">
            <v>625200</v>
          </cell>
          <cell r="D108">
            <v>625200</v>
          </cell>
          <cell r="E108">
            <v>2660291</v>
          </cell>
          <cell r="F108">
            <v>1617217</v>
          </cell>
          <cell r="G108">
            <v>1043074</v>
          </cell>
          <cell r="H108">
            <v>1043074</v>
          </cell>
          <cell r="I108" t="str">
            <v>62</v>
          </cell>
          <cell r="J108" t="str">
            <v>625</v>
          </cell>
          <cell r="K108" t="str">
            <v>6252</v>
          </cell>
          <cell r="L108" t="str">
            <v>62520</v>
          </cell>
          <cell r="M108" t="str">
            <v>625200</v>
          </cell>
        </row>
        <row r="109">
          <cell r="A109">
            <v>628100</v>
          </cell>
          <cell r="C109">
            <v>628100</v>
          </cell>
          <cell r="D109">
            <v>628100</v>
          </cell>
          <cell r="E109">
            <v>10693350</v>
          </cell>
          <cell r="F109">
            <v>4187100</v>
          </cell>
          <cell r="G109">
            <v>6506250</v>
          </cell>
          <cell r="H109">
            <v>6506248</v>
          </cell>
          <cell r="I109" t="str">
            <v>62</v>
          </cell>
          <cell r="J109" t="str">
            <v>628</v>
          </cell>
          <cell r="K109" t="str">
            <v>6281</v>
          </cell>
          <cell r="L109" t="str">
            <v>62810</v>
          </cell>
          <cell r="M109" t="str">
            <v>628100</v>
          </cell>
        </row>
        <row r="110">
          <cell r="A110">
            <v>628800</v>
          </cell>
          <cell r="C110">
            <v>628800</v>
          </cell>
          <cell r="D110">
            <v>628800</v>
          </cell>
          <cell r="E110">
            <v>1207400</v>
          </cell>
          <cell r="F110">
            <v>397000</v>
          </cell>
          <cell r="G110">
            <v>810400</v>
          </cell>
          <cell r="H110">
            <v>810400</v>
          </cell>
          <cell r="I110" t="str">
            <v>62</v>
          </cell>
          <cell r="J110" t="str">
            <v>628</v>
          </cell>
          <cell r="K110" t="str">
            <v>6288</v>
          </cell>
          <cell r="L110" t="str">
            <v>62880</v>
          </cell>
          <cell r="M110" t="str">
            <v>628800</v>
          </cell>
        </row>
        <row r="111">
          <cell r="A111">
            <v>631800</v>
          </cell>
          <cell r="C111">
            <v>631800</v>
          </cell>
          <cell r="D111">
            <v>631800</v>
          </cell>
          <cell r="E111">
            <v>2012656</v>
          </cell>
          <cell r="F111">
            <v>2012656</v>
          </cell>
          <cell r="G111">
            <v>2012656</v>
          </cell>
          <cell r="H111">
            <v>2012656</v>
          </cell>
          <cell r="I111" t="str">
            <v>63</v>
          </cell>
          <cell r="J111" t="str">
            <v>631</v>
          </cell>
          <cell r="K111" t="str">
            <v>6318</v>
          </cell>
          <cell r="L111" t="str">
            <v>63180</v>
          </cell>
          <cell r="M111" t="str">
            <v>631800</v>
          </cell>
        </row>
        <row r="112">
          <cell r="A112">
            <v>631810</v>
          </cell>
          <cell r="C112">
            <v>631810</v>
          </cell>
          <cell r="D112">
            <v>631810</v>
          </cell>
          <cell r="E112">
            <v>6417410</v>
          </cell>
          <cell r="F112">
            <v>6417408</v>
          </cell>
          <cell r="G112">
            <v>6417410</v>
          </cell>
          <cell r="H112">
            <v>6417408</v>
          </cell>
          <cell r="I112" t="str">
            <v>63</v>
          </cell>
          <cell r="J112" t="str">
            <v>631</v>
          </cell>
          <cell r="K112" t="str">
            <v>6318</v>
          </cell>
          <cell r="L112" t="str">
            <v>63181</v>
          </cell>
          <cell r="M112" t="str">
            <v>631810</v>
          </cell>
        </row>
        <row r="113">
          <cell r="A113">
            <v>632400</v>
          </cell>
          <cell r="C113">
            <v>632400</v>
          </cell>
          <cell r="D113">
            <v>632400</v>
          </cell>
          <cell r="E113">
            <v>22500000</v>
          </cell>
          <cell r="F113">
            <v>6600000</v>
          </cell>
          <cell r="G113">
            <v>15900000</v>
          </cell>
          <cell r="H113">
            <v>15900000</v>
          </cell>
          <cell r="I113" t="str">
            <v>63</v>
          </cell>
          <cell r="J113" t="str">
            <v>632</v>
          </cell>
          <cell r="K113" t="str">
            <v>6324</v>
          </cell>
          <cell r="L113" t="str">
            <v>63240</v>
          </cell>
          <cell r="M113" t="str">
            <v>632400</v>
          </cell>
        </row>
        <row r="114">
          <cell r="A114">
            <v>632401</v>
          </cell>
          <cell r="C114">
            <v>632401</v>
          </cell>
          <cell r="D114">
            <v>632401</v>
          </cell>
          <cell r="E114">
            <v>1500000</v>
          </cell>
          <cell r="F114">
            <v>1500000</v>
          </cell>
          <cell r="G114">
            <v>1500000</v>
          </cell>
          <cell r="H114">
            <v>1500000</v>
          </cell>
          <cell r="I114" t="str">
            <v>63</v>
          </cell>
          <cell r="J114" t="str">
            <v>632</v>
          </cell>
          <cell r="K114" t="str">
            <v>6324</v>
          </cell>
          <cell r="L114" t="str">
            <v>63240</v>
          </cell>
          <cell r="M114" t="str">
            <v>632401</v>
          </cell>
        </row>
        <row r="115">
          <cell r="A115">
            <v>632410</v>
          </cell>
          <cell r="C115">
            <v>632410</v>
          </cell>
          <cell r="D115">
            <v>632410</v>
          </cell>
          <cell r="E115">
            <v>2049080</v>
          </cell>
          <cell r="F115">
            <v>647560</v>
          </cell>
          <cell r="G115">
            <v>1401520</v>
          </cell>
          <cell r="H115">
            <v>1401520</v>
          </cell>
          <cell r="I115" t="str">
            <v>63</v>
          </cell>
          <cell r="J115" t="str">
            <v>632</v>
          </cell>
          <cell r="K115" t="str">
            <v>6324</v>
          </cell>
          <cell r="L115" t="str">
            <v>63241</v>
          </cell>
          <cell r="M115" t="str">
            <v>632410</v>
          </cell>
        </row>
        <row r="116">
          <cell r="A116">
            <v>632500</v>
          </cell>
          <cell r="C116">
            <v>632500</v>
          </cell>
          <cell r="D116">
            <v>632500</v>
          </cell>
          <cell r="E116">
            <v>46680</v>
          </cell>
          <cell r="F116">
            <v>46680</v>
          </cell>
          <cell r="G116">
            <v>46680</v>
          </cell>
          <cell r="H116">
            <v>46680</v>
          </cell>
          <cell r="I116" t="str">
            <v>63</v>
          </cell>
          <cell r="J116" t="str">
            <v>632</v>
          </cell>
          <cell r="K116" t="str">
            <v>6325</v>
          </cell>
          <cell r="L116" t="str">
            <v>63250</v>
          </cell>
          <cell r="M116" t="str">
            <v>632500</v>
          </cell>
        </row>
        <row r="117">
          <cell r="A117">
            <v>632800</v>
          </cell>
          <cell r="C117">
            <v>632800</v>
          </cell>
          <cell r="D117">
            <v>632800</v>
          </cell>
          <cell r="E117">
            <v>2277000</v>
          </cell>
          <cell r="F117">
            <v>2277000</v>
          </cell>
          <cell r="G117">
            <v>2277000</v>
          </cell>
          <cell r="H117">
            <v>2277000</v>
          </cell>
          <cell r="I117" t="str">
            <v>63</v>
          </cell>
          <cell r="J117" t="str">
            <v>632</v>
          </cell>
          <cell r="K117" t="str">
            <v>6328</v>
          </cell>
          <cell r="L117" t="str">
            <v>63280</v>
          </cell>
          <cell r="M117" t="str">
            <v>632800</v>
          </cell>
        </row>
        <row r="118">
          <cell r="A118">
            <v>632801</v>
          </cell>
          <cell r="C118">
            <v>632801</v>
          </cell>
          <cell r="D118">
            <v>632801</v>
          </cell>
          <cell r="E118">
            <v>129375</v>
          </cell>
          <cell r="F118">
            <v>129375</v>
          </cell>
          <cell r="G118">
            <v>129375</v>
          </cell>
          <cell r="H118">
            <v>129375</v>
          </cell>
          <cell r="I118" t="str">
            <v>63</v>
          </cell>
          <cell r="J118" t="str">
            <v>632</v>
          </cell>
          <cell r="K118" t="str">
            <v>6328</v>
          </cell>
          <cell r="L118" t="str">
            <v>63280</v>
          </cell>
          <cell r="M118" t="str">
            <v>632801</v>
          </cell>
        </row>
        <row r="119">
          <cell r="A119">
            <v>634800</v>
          </cell>
          <cell r="C119">
            <v>634800</v>
          </cell>
          <cell r="D119">
            <v>634800</v>
          </cell>
          <cell r="E119">
            <v>48000</v>
          </cell>
          <cell r="F119">
            <v>48000</v>
          </cell>
          <cell r="G119">
            <v>48000</v>
          </cell>
          <cell r="H119">
            <v>48000</v>
          </cell>
          <cell r="I119" t="str">
            <v>63</v>
          </cell>
          <cell r="J119" t="str">
            <v>634</v>
          </cell>
          <cell r="K119" t="str">
            <v>6348</v>
          </cell>
          <cell r="L119" t="str">
            <v>63480</v>
          </cell>
          <cell r="M119" t="str">
            <v>634800</v>
          </cell>
        </row>
        <row r="120">
          <cell r="A120">
            <v>635101</v>
          </cell>
          <cell r="C120">
            <v>635101</v>
          </cell>
          <cell r="D120">
            <v>635101</v>
          </cell>
          <cell r="E120">
            <v>400000</v>
          </cell>
          <cell r="F120">
            <v>200000</v>
          </cell>
          <cell r="G120">
            <v>200000</v>
          </cell>
          <cell r="H120">
            <v>200000</v>
          </cell>
          <cell r="I120" t="str">
            <v>63</v>
          </cell>
          <cell r="J120" t="str">
            <v>635</v>
          </cell>
          <cell r="K120" t="str">
            <v>6351</v>
          </cell>
          <cell r="L120" t="str">
            <v>63510</v>
          </cell>
          <cell r="M120" t="str">
            <v>635101</v>
          </cell>
        </row>
        <row r="121">
          <cell r="A121">
            <v>638300</v>
          </cell>
          <cell r="C121">
            <v>638300</v>
          </cell>
          <cell r="D121">
            <v>638300</v>
          </cell>
          <cell r="E121">
            <v>31500</v>
          </cell>
          <cell r="F121">
            <v>31500</v>
          </cell>
          <cell r="G121">
            <v>31500</v>
          </cell>
          <cell r="H121">
            <v>31500</v>
          </cell>
          <cell r="I121" t="str">
            <v>63</v>
          </cell>
          <cell r="J121" t="str">
            <v>638</v>
          </cell>
          <cell r="K121" t="str">
            <v>6383</v>
          </cell>
          <cell r="L121" t="str">
            <v>63830</v>
          </cell>
          <cell r="M121" t="str">
            <v>638300</v>
          </cell>
        </row>
        <row r="122">
          <cell r="A122">
            <v>638900</v>
          </cell>
          <cell r="C122">
            <v>638900</v>
          </cell>
          <cell r="D122">
            <v>638900</v>
          </cell>
          <cell r="E122">
            <v>30300</v>
          </cell>
          <cell r="F122">
            <v>30300</v>
          </cell>
          <cell r="G122">
            <v>30300</v>
          </cell>
          <cell r="H122">
            <v>30300</v>
          </cell>
          <cell r="I122" t="str">
            <v>63</v>
          </cell>
          <cell r="J122" t="str">
            <v>638</v>
          </cell>
          <cell r="K122" t="str">
            <v>6389</v>
          </cell>
          <cell r="L122" t="str">
            <v>63890</v>
          </cell>
          <cell r="M122" t="str">
            <v>638900</v>
          </cell>
        </row>
        <row r="123">
          <cell r="A123">
            <v>646100</v>
          </cell>
          <cell r="C123">
            <v>646100</v>
          </cell>
          <cell r="D123">
            <v>646100</v>
          </cell>
          <cell r="E123">
            <v>3000000</v>
          </cell>
          <cell r="F123">
            <v>3000000</v>
          </cell>
          <cell r="G123">
            <v>3000000</v>
          </cell>
          <cell r="H123">
            <v>3000000</v>
          </cell>
          <cell r="I123" t="str">
            <v>64</v>
          </cell>
          <cell r="J123" t="str">
            <v>646</v>
          </cell>
          <cell r="K123" t="str">
            <v>6461</v>
          </cell>
          <cell r="L123" t="str">
            <v>64610</v>
          </cell>
          <cell r="M123" t="str">
            <v>646100</v>
          </cell>
        </row>
        <row r="124">
          <cell r="A124">
            <v>646200</v>
          </cell>
          <cell r="C124">
            <v>646200</v>
          </cell>
          <cell r="D124">
            <v>646200</v>
          </cell>
          <cell r="E124">
            <v>10200</v>
          </cell>
          <cell r="F124">
            <v>10200</v>
          </cell>
          <cell r="G124">
            <v>10200</v>
          </cell>
          <cell r="H124">
            <v>10200</v>
          </cell>
          <cell r="I124" t="str">
            <v>64</v>
          </cell>
          <cell r="J124" t="str">
            <v>646</v>
          </cell>
          <cell r="K124" t="str">
            <v>6462</v>
          </cell>
          <cell r="L124" t="str">
            <v>64620</v>
          </cell>
          <cell r="M124" t="str">
            <v>646200</v>
          </cell>
        </row>
        <row r="125">
          <cell r="A125">
            <v>646400</v>
          </cell>
          <cell r="C125">
            <v>646400</v>
          </cell>
          <cell r="D125">
            <v>646400</v>
          </cell>
          <cell r="E125">
            <v>35000</v>
          </cell>
          <cell r="F125">
            <v>35000</v>
          </cell>
          <cell r="G125">
            <v>35000</v>
          </cell>
          <cell r="H125">
            <v>35000</v>
          </cell>
          <cell r="I125" t="str">
            <v>64</v>
          </cell>
          <cell r="J125" t="str">
            <v>646</v>
          </cell>
          <cell r="K125" t="str">
            <v>6464</v>
          </cell>
          <cell r="L125" t="str">
            <v>64640</v>
          </cell>
          <cell r="M125" t="str">
            <v>646400</v>
          </cell>
        </row>
        <row r="126">
          <cell r="A126">
            <v>647200</v>
          </cell>
          <cell r="C126">
            <v>647200</v>
          </cell>
          <cell r="D126">
            <v>647200</v>
          </cell>
          <cell r="E126">
            <v>90000</v>
          </cell>
          <cell r="F126">
            <v>90000</v>
          </cell>
          <cell r="G126">
            <v>90000</v>
          </cell>
          <cell r="H126">
            <v>90000</v>
          </cell>
          <cell r="I126" t="str">
            <v>64</v>
          </cell>
          <cell r="J126" t="str">
            <v>647</v>
          </cell>
          <cell r="K126" t="str">
            <v>6472</v>
          </cell>
          <cell r="L126" t="str">
            <v>64720</v>
          </cell>
          <cell r="M126" t="str">
            <v>647200</v>
          </cell>
        </row>
        <row r="127">
          <cell r="A127">
            <v>651100</v>
          </cell>
          <cell r="C127">
            <v>651100</v>
          </cell>
          <cell r="D127">
            <v>651100</v>
          </cell>
          <cell r="E127">
            <v>4150956</v>
          </cell>
          <cell r="F127">
            <v>4150956</v>
          </cell>
          <cell r="G127">
            <v>4150956</v>
          </cell>
          <cell r="H127">
            <v>4150956</v>
          </cell>
          <cell r="I127" t="str">
            <v>65</v>
          </cell>
          <cell r="J127" t="str">
            <v>651</v>
          </cell>
          <cell r="K127" t="str">
            <v>6511</v>
          </cell>
          <cell r="L127" t="str">
            <v>65110</v>
          </cell>
          <cell r="M127" t="str">
            <v>651100</v>
          </cell>
        </row>
        <row r="128">
          <cell r="A128">
            <v>658200</v>
          </cell>
          <cell r="C128">
            <v>658200</v>
          </cell>
          <cell r="D128">
            <v>658200</v>
          </cell>
          <cell r="E128">
            <v>100000</v>
          </cell>
          <cell r="F128">
            <v>100000</v>
          </cell>
          <cell r="G128">
            <v>100000</v>
          </cell>
          <cell r="H128">
            <v>100000</v>
          </cell>
          <cell r="I128" t="str">
            <v>65</v>
          </cell>
          <cell r="J128" t="str">
            <v>658</v>
          </cell>
          <cell r="K128" t="str">
            <v>6582</v>
          </cell>
          <cell r="L128" t="str">
            <v>65820</v>
          </cell>
          <cell r="M128" t="str">
            <v>658200</v>
          </cell>
        </row>
        <row r="129">
          <cell r="A129">
            <v>658800</v>
          </cell>
          <cell r="C129">
            <v>658800</v>
          </cell>
          <cell r="D129">
            <v>658800</v>
          </cell>
          <cell r="E129">
            <v>12973</v>
          </cell>
          <cell r="F129">
            <v>12973</v>
          </cell>
          <cell r="G129">
            <v>12973</v>
          </cell>
          <cell r="H129">
            <v>12973</v>
          </cell>
          <cell r="I129" t="str">
            <v>65</v>
          </cell>
          <cell r="J129" t="str">
            <v>658</v>
          </cell>
          <cell r="K129" t="str">
            <v>6588</v>
          </cell>
          <cell r="L129" t="str">
            <v>65880</v>
          </cell>
          <cell r="M129" t="str">
            <v>658800</v>
          </cell>
        </row>
        <row r="130">
          <cell r="A130">
            <v>661100</v>
          </cell>
          <cell r="C130">
            <v>661100</v>
          </cell>
          <cell r="D130">
            <v>661100</v>
          </cell>
          <cell r="E130">
            <v>101601787</v>
          </cell>
          <cell r="F130">
            <v>101601728</v>
          </cell>
          <cell r="G130">
            <v>101601787</v>
          </cell>
          <cell r="H130">
            <v>101601728</v>
          </cell>
          <cell r="I130" t="str">
            <v>66</v>
          </cell>
          <cell r="J130" t="str">
            <v>661</v>
          </cell>
          <cell r="K130" t="str">
            <v>6611</v>
          </cell>
          <cell r="L130" t="str">
            <v>66110</v>
          </cell>
          <cell r="M130" t="str">
            <v>661100</v>
          </cell>
        </row>
        <row r="131">
          <cell r="A131">
            <v>661300</v>
          </cell>
          <cell r="C131">
            <v>661300</v>
          </cell>
          <cell r="D131">
            <v>661300</v>
          </cell>
          <cell r="E131">
            <v>7690099</v>
          </cell>
          <cell r="F131">
            <v>3057458</v>
          </cell>
          <cell r="G131">
            <v>4632641</v>
          </cell>
          <cell r="H131">
            <v>4632640</v>
          </cell>
          <cell r="I131" t="str">
            <v>66</v>
          </cell>
          <cell r="J131" t="str">
            <v>661</v>
          </cell>
          <cell r="K131" t="str">
            <v>6613</v>
          </cell>
          <cell r="L131" t="str">
            <v>66130</v>
          </cell>
          <cell r="M131" t="str">
            <v>661300</v>
          </cell>
        </row>
        <row r="132">
          <cell r="A132">
            <v>661800</v>
          </cell>
          <cell r="C132">
            <v>661800</v>
          </cell>
          <cell r="D132">
            <v>661800</v>
          </cell>
          <cell r="E132">
            <v>45353580</v>
          </cell>
          <cell r="F132">
            <v>45353568</v>
          </cell>
          <cell r="G132">
            <v>45353580</v>
          </cell>
          <cell r="H132">
            <v>45353568</v>
          </cell>
          <cell r="I132" t="str">
            <v>66</v>
          </cell>
          <cell r="J132" t="str">
            <v>661</v>
          </cell>
          <cell r="K132" t="str">
            <v>6618</v>
          </cell>
          <cell r="L132" t="str">
            <v>66180</v>
          </cell>
          <cell r="M132" t="str">
            <v>661800</v>
          </cell>
        </row>
        <row r="133">
          <cell r="A133">
            <v>662100</v>
          </cell>
          <cell r="C133">
            <v>662100</v>
          </cell>
          <cell r="D133">
            <v>662100</v>
          </cell>
          <cell r="E133">
            <v>26964127</v>
          </cell>
          <cell r="F133">
            <v>26964112</v>
          </cell>
          <cell r="G133">
            <v>26964127</v>
          </cell>
          <cell r="H133">
            <v>26964112</v>
          </cell>
          <cell r="I133" t="str">
            <v>66</v>
          </cell>
          <cell r="J133" t="str">
            <v>662</v>
          </cell>
          <cell r="K133" t="str">
            <v>6621</v>
          </cell>
          <cell r="L133" t="str">
            <v>66210</v>
          </cell>
          <cell r="M133" t="str">
            <v>662100</v>
          </cell>
        </row>
        <row r="134">
          <cell r="A134">
            <v>662300</v>
          </cell>
          <cell r="C134">
            <v>662300</v>
          </cell>
          <cell r="D134">
            <v>662300</v>
          </cell>
          <cell r="E134">
            <v>956541</v>
          </cell>
          <cell r="F134">
            <v>955634</v>
          </cell>
          <cell r="G134">
            <v>907</v>
          </cell>
          <cell r="H134">
            <v>907</v>
          </cell>
          <cell r="I134" t="str">
            <v>66</v>
          </cell>
          <cell r="J134" t="str">
            <v>662</v>
          </cell>
          <cell r="K134" t="str">
            <v>6623</v>
          </cell>
          <cell r="L134" t="str">
            <v>66230</v>
          </cell>
          <cell r="M134" t="str">
            <v>662300</v>
          </cell>
        </row>
        <row r="135">
          <cell r="A135">
            <v>663100</v>
          </cell>
          <cell r="C135">
            <v>663100</v>
          </cell>
          <cell r="D135">
            <v>663100</v>
          </cell>
          <cell r="E135">
            <v>3216000</v>
          </cell>
          <cell r="F135">
            <v>3216000</v>
          </cell>
          <cell r="G135">
            <v>3216000</v>
          </cell>
          <cell r="H135">
            <v>3216000</v>
          </cell>
          <cell r="I135" t="str">
            <v>66</v>
          </cell>
          <cell r="J135" t="str">
            <v>663</v>
          </cell>
          <cell r="K135" t="str">
            <v>6631</v>
          </cell>
          <cell r="L135" t="str">
            <v>66310</v>
          </cell>
          <cell r="M135" t="str">
            <v>663100</v>
          </cell>
        </row>
        <row r="136">
          <cell r="A136">
            <v>663400</v>
          </cell>
          <cell r="C136">
            <v>663400</v>
          </cell>
          <cell r="D136">
            <v>663400</v>
          </cell>
          <cell r="E136">
            <v>5407994</v>
          </cell>
          <cell r="F136">
            <v>5407992</v>
          </cell>
          <cell r="G136">
            <v>5407994</v>
          </cell>
          <cell r="H136">
            <v>5407992</v>
          </cell>
          <cell r="I136" t="str">
            <v>66</v>
          </cell>
          <cell r="J136" t="str">
            <v>663</v>
          </cell>
          <cell r="K136" t="str">
            <v>6634</v>
          </cell>
          <cell r="L136" t="str">
            <v>66340</v>
          </cell>
          <cell r="M136" t="str">
            <v>663400</v>
          </cell>
        </row>
        <row r="137">
          <cell r="A137">
            <v>663800</v>
          </cell>
          <cell r="C137">
            <v>663800</v>
          </cell>
          <cell r="D137">
            <v>663800</v>
          </cell>
          <cell r="E137">
            <v>4651183</v>
          </cell>
          <cell r="F137">
            <v>4651180</v>
          </cell>
          <cell r="G137">
            <v>4651183</v>
          </cell>
          <cell r="H137">
            <v>4651180</v>
          </cell>
          <cell r="I137" t="str">
            <v>66</v>
          </cell>
          <cell r="J137" t="str">
            <v>663</v>
          </cell>
          <cell r="K137" t="str">
            <v>6638</v>
          </cell>
          <cell r="L137" t="str">
            <v>66380</v>
          </cell>
          <cell r="M137" t="str">
            <v>663800</v>
          </cell>
        </row>
        <row r="138">
          <cell r="A138">
            <v>664120</v>
          </cell>
          <cell r="C138">
            <v>664120</v>
          </cell>
          <cell r="D138">
            <v>664120</v>
          </cell>
          <cell r="E138">
            <v>2588506</v>
          </cell>
          <cell r="F138">
            <v>171878</v>
          </cell>
          <cell r="G138">
            <v>2416628</v>
          </cell>
          <cell r="H138">
            <v>2416628</v>
          </cell>
          <cell r="I138" t="str">
            <v>66</v>
          </cell>
          <cell r="J138" t="str">
            <v>664</v>
          </cell>
          <cell r="K138" t="str">
            <v>6641</v>
          </cell>
          <cell r="L138" t="str">
            <v>66412</v>
          </cell>
          <cell r="M138" t="str">
            <v>664120</v>
          </cell>
        </row>
        <row r="139">
          <cell r="A139">
            <v>664121</v>
          </cell>
          <cell r="C139">
            <v>664121</v>
          </cell>
          <cell r="D139">
            <v>664121</v>
          </cell>
          <cell r="E139">
            <v>4728850</v>
          </cell>
          <cell r="F139">
            <v>4728848</v>
          </cell>
          <cell r="G139">
            <v>4728850</v>
          </cell>
          <cell r="H139">
            <v>4728848</v>
          </cell>
          <cell r="I139" t="str">
            <v>66</v>
          </cell>
          <cell r="J139" t="str">
            <v>664</v>
          </cell>
          <cell r="K139" t="str">
            <v>6641</v>
          </cell>
          <cell r="L139" t="str">
            <v>66412</v>
          </cell>
          <cell r="M139" t="str">
            <v>664121</v>
          </cell>
        </row>
        <row r="140">
          <cell r="A140">
            <v>664130</v>
          </cell>
          <cell r="C140">
            <v>664130</v>
          </cell>
          <cell r="D140">
            <v>664130</v>
          </cell>
          <cell r="E140">
            <v>8662975</v>
          </cell>
          <cell r="F140">
            <v>336707</v>
          </cell>
          <cell r="G140">
            <v>8326268</v>
          </cell>
          <cell r="H140">
            <v>8326268</v>
          </cell>
          <cell r="I140" t="str">
            <v>66</v>
          </cell>
          <cell r="J140" t="str">
            <v>664</v>
          </cell>
          <cell r="K140" t="str">
            <v>6641</v>
          </cell>
          <cell r="L140" t="str">
            <v>66413</v>
          </cell>
          <cell r="M140" t="str">
            <v>664130</v>
          </cell>
        </row>
        <row r="141">
          <cell r="A141">
            <v>664140</v>
          </cell>
          <cell r="C141">
            <v>664140</v>
          </cell>
          <cell r="D141">
            <v>664140</v>
          </cell>
          <cell r="E141">
            <v>1739939</v>
          </cell>
          <cell r="F141">
            <v>1739939</v>
          </cell>
          <cell r="G141">
            <v>1739939</v>
          </cell>
          <cell r="H141">
            <v>1739939</v>
          </cell>
          <cell r="I141" t="str">
            <v>66</v>
          </cell>
          <cell r="J141" t="str">
            <v>664</v>
          </cell>
          <cell r="K141" t="str">
            <v>6641</v>
          </cell>
          <cell r="L141" t="str">
            <v>66414</v>
          </cell>
          <cell r="M141" t="str">
            <v>664140</v>
          </cell>
        </row>
        <row r="142">
          <cell r="A142">
            <v>664200</v>
          </cell>
          <cell r="C142">
            <v>664200</v>
          </cell>
          <cell r="D142">
            <v>664200</v>
          </cell>
          <cell r="E142">
            <v>9164992</v>
          </cell>
          <cell r="F142">
            <v>2893292</v>
          </cell>
          <cell r="G142">
            <v>6271700</v>
          </cell>
          <cell r="H142">
            <v>6271700</v>
          </cell>
          <cell r="I142" t="str">
            <v>66</v>
          </cell>
          <cell r="J142" t="str">
            <v>664</v>
          </cell>
          <cell r="K142" t="str">
            <v>6642</v>
          </cell>
          <cell r="L142" t="str">
            <v>66420</v>
          </cell>
          <cell r="M142" t="str">
            <v>664200</v>
          </cell>
        </row>
        <row r="143">
          <cell r="A143">
            <v>664800</v>
          </cell>
          <cell r="C143">
            <v>664800</v>
          </cell>
          <cell r="D143">
            <v>664800</v>
          </cell>
          <cell r="E143">
            <v>800000</v>
          </cell>
          <cell r="F143">
            <v>800000</v>
          </cell>
          <cell r="G143">
            <v>800000</v>
          </cell>
          <cell r="H143">
            <v>800000</v>
          </cell>
          <cell r="I143" t="str">
            <v>66</v>
          </cell>
          <cell r="J143" t="str">
            <v>664</v>
          </cell>
          <cell r="K143" t="str">
            <v>6648</v>
          </cell>
          <cell r="L143" t="str">
            <v>66480</v>
          </cell>
          <cell r="M143" t="str">
            <v>664800</v>
          </cell>
        </row>
        <row r="144">
          <cell r="A144">
            <v>668400</v>
          </cell>
          <cell r="C144">
            <v>668400</v>
          </cell>
          <cell r="D144">
            <v>668400</v>
          </cell>
          <cell r="E144">
            <v>2929779</v>
          </cell>
          <cell r="F144">
            <v>1241500</v>
          </cell>
          <cell r="G144">
            <v>1688279</v>
          </cell>
          <cell r="H144">
            <v>1688279</v>
          </cell>
          <cell r="I144" t="str">
            <v>66</v>
          </cell>
          <cell r="J144" t="str">
            <v>668</v>
          </cell>
          <cell r="K144" t="str">
            <v>6684</v>
          </cell>
          <cell r="L144" t="str">
            <v>66840</v>
          </cell>
          <cell r="M144" t="str">
            <v>668400</v>
          </cell>
        </row>
        <row r="145">
          <cell r="A145">
            <v>668500</v>
          </cell>
          <cell r="C145">
            <v>668500</v>
          </cell>
          <cell r="D145">
            <v>668500</v>
          </cell>
          <cell r="E145">
            <v>417210</v>
          </cell>
          <cell r="F145">
            <v>417210</v>
          </cell>
          <cell r="G145">
            <v>417210</v>
          </cell>
          <cell r="H145">
            <v>417210</v>
          </cell>
          <cell r="I145" t="str">
            <v>66</v>
          </cell>
          <cell r="J145" t="str">
            <v>668</v>
          </cell>
          <cell r="K145" t="str">
            <v>6685</v>
          </cell>
          <cell r="L145" t="str">
            <v>66850</v>
          </cell>
          <cell r="M145" t="str">
            <v>668500</v>
          </cell>
        </row>
        <row r="146">
          <cell r="A146">
            <v>671200</v>
          </cell>
          <cell r="C146">
            <v>671200</v>
          </cell>
          <cell r="D146">
            <v>671200</v>
          </cell>
          <cell r="E146">
            <v>3500000</v>
          </cell>
          <cell r="F146">
            <v>3500000</v>
          </cell>
          <cell r="G146">
            <v>3500000</v>
          </cell>
          <cell r="H146">
            <v>3500000</v>
          </cell>
          <cell r="I146" t="str">
            <v>67</v>
          </cell>
          <cell r="J146" t="str">
            <v>671</v>
          </cell>
          <cell r="K146" t="str">
            <v>6712</v>
          </cell>
          <cell r="L146" t="str">
            <v>67120</v>
          </cell>
          <cell r="M146" t="str">
            <v>671200</v>
          </cell>
        </row>
        <row r="147">
          <cell r="A147">
            <v>681300</v>
          </cell>
          <cell r="C147">
            <v>681300</v>
          </cell>
          <cell r="D147">
            <v>681300</v>
          </cell>
          <cell r="E147">
            <v>41555720</v>
          </cell>
          <cell r="F147">
            <v>22296076</v>
          </cell>
          <cell r="G147">
            <v>19259644</v>
          </cell>
          <cell r="H147">
            <v>19259632</v>
          </cell>
          <cell r="I147" t="str">
            <v>68</v>
          </cell>
          <cell r="J147" t="str">
            <v>681</v>
          </cell>
          <cell r="K147" t="str">
            <v>6813</v>
          </cell>
          <cell r="L147" t="str">
            <v>68130</v>
          </cell>
          <cell r="M147" t="str">
            <v>681300</v>
          </cell>
        </row>
        <row r="148">
          <cell r="A148">
            <v>691100</v>
          </cell>
          <cell r="C148">
            <v>691100</v>
          </cell>
          <cell r="D148">
            <v>691100</v>
          </cell>
          <cell r="E148">
            <v>13953199</v>
          </cell>
          <cell r="F148">
            <v>6701530</v>
          </cell>
          <cell r="G148">
            <v>7251669</v>
          </cell>
          <cell r="H148">
            <v>7251668</v>
          </cell>
          <cell r="I148" t="str">
            <v>69</v>
          </cell>
          <cell r="J148" t="str">
            <v>691</v>
          </cell>
          <cell r="K148" t="str">
            <v>6911</v>
          </cell>
          <cell r="L148" t="str">
            <v>69110</v>
          </cell>
          <cell r="M148" t="str">
            <v>691100</v>
          </cell>
        </row>
        <row r="149">
          <cell r="A149">
            <v>701100</v>
          </cell>
          <cell r="C149">
            <v>701100</v>
          </cell>
          <cell r="D149">
            <v>701100</v>
          </cell>
          <cell r="E149">
            <v>701100</v>
          </cell>
          <cell r="F149">
            <v>110000000</v>
          </cell>
          <cell r="G149">
            <v>110000000</v>
          </cell>
          <cell r="H149">
            <v>110000000</v>
          </cell>
          <cell r="I149" t="str">
            <v>70</v>
          </cell>
          <cell r="J149" t="str">
            <v>701</v>
          </cell>
          <cell r="K149" t="str">
            <v>7011</v>
          </cell>
          <cell r="L149" t="str">
            <v>70110</v>
          </cell>
          <cell r="M149" t="str">
            <v>701100</v>
          </cell>
        </row>
        <row r="150">
          <cell r="A150">
            <v>702200</v>
          </cell>
          <cell r="C150">
            <v>702200</v>
          </cell>
          <cell r="D150">
            <v>702200</v>
          </cell>
          <cell r="E150">
            <v>702200</v>
          </cell>
          <cell r="F150">
            <v>1941053121</v>
          </cell>
          <cell r="G150">
            <v>1941052416</v>
          </cell>
          <cell r="H150">
            <v>1941053121</v>
          </cell>
          <cell r="I150" t="str">
            <v>70</v>
          </cell>
          <cell r="J150" t="str">
            <v>702</v>
          </cell>
          <cell r="K150" t="str">
            <v>7022</v>
          </cell>
          <cell r="L150" t="str">
            <v>70220</v>
          </cell>
          <cell r="M150" t="str">
            <v>702200</v>
          </cell>
        </row>
        <row r="151">
          <cell r="A151">
            <v>702600</v>
          </cell>
          <cell r="C151">
            <v>702600</v>
          </cell>
          <cell r="D151">
            <v>702600</v>
          </cell>
          <cell r="E151">
            <v>1112590</v>
          </cell>
          <cell r="F151">
            <v>1112590</v>
          </cell>
          <cell r="G151">
            <v>1112590</v>
          </cell>
          <cell r="H151">
            <v>1112590</v>
          </cell>
          <cell r="I151" t="str">
            <v>70</v>
          </cell>
          <cell r="J151" t="str">
            <v>702</v>
          </cell>
          <cell r="K151" t="str">
            <v>7026</v>
          </cell>
          <cell r="L151" t="str">
            <v>70260</v>
          </cell>
          <cell r="M151" t="str">
            <v>702600</v>
          </cell>
        </row>
        <row r="152">
          <cell r="A152">
            <v>702901</v>
          </cell>
          <cell r="C152">
            <v>702901</v>
          </cell>
          <cell r="D152">
            <v>702901</v>
          </cell>
          <cell r="E152">
            <v>21795786</v>
          </cell>
          <cell r="F152">
            <v>21795776</v>
          </cell>
          <cell r="G152">
            <v>21795786</v>
          </cell>
          <cell r="H152">
            <v>21795776</v>
          </cell>
          <cell r="I152" t="str">
            <v>70</v>
          </cell>
          <cell r="J152" t="str">
            <v>702</v>
          </cell>
          <cell r="K152" t="str">
            <v>7029</v>
          </cell>
          <cell r="L152" t="str">
            <v>70290</v>
          </cell>
          <cell r="M152" t="str">
            <v>702901</v>
          </cell>
        </row>
        <row r="153">
          <cell r="A153">
            <v>706100</v>
          </cell>
          <cell r="C153">
            <v>706100</v>
          </cell>
          <cell r="D153">
            <v>706100</v>
          </cell>
          <cell r="E153">
            <v>706100</v>
          </cell>
          <cell r="F153">
            <v>12672000</v>
          </cell>
          <cell r="G153">
            <v>12672000</v>
          </cell>
          <cell r="H153">
            <v>12672000</v>
          </cell>
          <cell r="I153" t="str">
            <v>70</v>
          </cell>
          <cell r="J153" t="str">
            <v>706</v>
          </cell>
          <cell r="K153" t="str">
            <v>7061</v>
          </cell>
          <cell r="L153" t="str">
            <v>70610</v>
          </cell>
          <cell r="M153" t="str">
            <v>706100</v>
          </cell>
        </row>
        <row r="154">
          <cell r="A154">
            <v>707800</v>
          </cell>
          <cell r="C154">
            <v>707800</v>
          </cell>
          <cell r="D154">
            <v>707800</v>
          </cell>
          <cell r="E154">
            <v>707800</v>
          </cell>
          <cell r="F154">
            <v>1130000</v>
          </cell>
          <cell r="G154">
            <v>1130000</v>
          </cell>
          <cell r="H154">
            <v>1130000</v>
          </cell>
          <cell r="I154" t="str">
            <v>70</v>
          </cell>
          <cell r="J154" t="str">
            <v>707</v>
          </cell>
          <cell r="K154" t="str">
            <v>7078</v>
          </cell>
          <cell r="L154" t="str">
            <v>70780</v>
          </cell>
          <cell r="M154" t="str">
            <v>707800</v>
          </cell>
        </row>
        <row r="155">
          <cell r="A155">
            <v>722100</v>
          </cell>
          <cell r="C155">
            <v>722100</v>
          </cell>
          <cell r="D155">
            <v>722100</v>
          </cell>
          <cell r="E155">
            <v>722100</v>
          </cell>
          <cell r="F155">
            <v>4500000</v>
          </cell>
          <cell r="G155">
            <v>4500000</v>
          </cell>
          <cell r="H155">
            <v>4500000</v>
          </cell>
          <cell r="I155" t="str">
            <v>72</v>
          </cell>
          <cell r="J155" t="str">
            <v>722</v>
          </cell>
          <cell r="K155" t="str">
            <v>7221</v>
          </cell>
          <cell r="L155" t="str">
            <v>72210</v>
          </cell>
          <cell r="M155" t="str">
            <v>722100</v>
          </cell>
        </row>
        <row r="156">
          <cell r="A156">
            <v>756000</v>
          </cell>
          <cell r="C156">
            <v>756000</v>
          </cell>
          <cell r="D156">
            <v>756000</v>
          </cell>
          <cell r="E156">
            <v>756000</v>
          </cell>
          <cell r="F156">
            <v>1081031</v>
          </cell>
          <cell r="G156">
            <v>1081031</v>
          </cell>
          <cell r="H156">
            <v>1081031</v>
          </cell>
          <cell r="I156" t="str">
            <v>75</v>
          </cell>
          <cell r="J156" t="str">
            <v>756</v>
          </cell>
          <cell r="K156" t="str">
            <v>7560</v>
          </cell>
          <cell r="L156" t="str">
            <v>75600</v>
          </cell>
          <cell r="M156" t="str">
            <v>756000</v>
          </cell>
        </row>
        <row r="157">
          <cell r="A157">
            <v>758000</v>
          </cell>
          <cell r="C157">
            <v>758000</v>
          </cell>
          <cell r="D157">
            <v>758000</v>
          </cell>
          <cell r="E157">
            <v>758000</v>
          </cell>
          <cell r="F157">
            <v>2355947</v>
          </cell>
          <cell r="G157">
            <v>2355946</v>
          </cell>
          <cell r="H157">
            <v>2355947</v>
          </cell>
          <cell r="I157" t="str">
            <v>75</v>
          </cell>
          <cell r="J157" t="str">
            <v>758</v>
          </cell>
          <cell r="K157" t="str">
            <v>7580</v>
          </cell>
          <cell r="L157" t="str">
            <v>75800</v>
          </cell>
          <cell r="M157" t="str">
            <v>758000</v>
          </cell>
        </row>
        <row r="158">
          <cell r="A158">
            <v>773000</v>
          </cell>
          <cell r="C158">
            <v>773000</v>
          </cell>
          <cell r="D158">
            <v>773000</v>
          </cell>
          <cell r="E158">
            <v>773000</v>
          </cell>
          <cell r="F158">
            <v>7500000</v>
          </cell>
          <cell r="G158">
            <v>7500000</v>
          </cell>
          <cell r="H158">
            <v>7500000</v>
          </cell>
          <cell r="I158" t="str">
            <v>77</v>
          </cell>
          <cell r="J158" t="str">
            <v>773</v>
          </cell>
          <cell r="K158" t="str">
            <v>7730</v>
          </cell>
          <cell r="L158" t="str">
            <v>77300</v>
          </cell>
          <cell r="M158" t="str">
            <v>773000</v>
          </cell>
        </row>
        <row r="159">
          <cell r="A159">
            <v>781000</v>
          </cell>
          <cell r="C159">
            <v>781000</v>
          </cell>
          <cell r="D159">
            <v>781000</v>
          </cell>
          <cell r="E159">
            <v>781000</v>
          </cell>
          <cell r="F159">
            <v>3233550</v>
          </cell>
          <cell r="G159">
            <v>3233550</v>
          </cell>
          <cell r="H159">
            <v>3233550</v>
          </cell>
          <cell r="I159" t="str">
            <v>78</v>
          </cell>
          <cell r="J159" t="str">
            <v>781</v>
          </cell>
          <cell r="K159" t="str">
            <v>7810</v>
          </cell>
          <cell r="L159" t="str">
            <v>78100</v>
          </cell>
          <cell r="M159" t="str">
            <v>781000</v>
          </cell>
        </row>
        <row r="160">
          <cell r="A160">
            <v>812000</v>
          </cell>
          <cell r="C160">
            <v>812000</v>
          </cell>
          <cell r="D160">
            <v>812000</v>
          </cell>
          <cell r="E160">
            <v>45992979</v>
          </cell>
          <cell r="F160">
            <v>45992979</v>
          </cell>
          <cell r="G160">
            <v>45992960</v>
          </cell>
          <cell r="H160">
            <v>45992960</v>
          </cell>
          <cell r="I160" t="str">
            <v>81</v>
          </cell>
          <cell r="J160" t="str">
            <v>812</v>
          </cell>
          <cell r="K160" t="str">
            <v>8120</v>
          </cell>
          <cell r="L160" t="str">
            <v>81200</v>
          </cell>
          <cell r="M160" t="str">
            <v>812000</v>
          </cell>
        </row>
        <row r="161">
          <cell r="A161">
            <v>822000</v>
          </cell>
          <cell r="C161">
            <v>822000</v>
          </cell>
          <cell r="D161">
            <v>822000</v>
          </cell>
          <cell r="E161">
            <v>822000</v>
          </cell>
          <cell r="F161">
            <v>127119</v>
          </cell>
          <cell r="G161">
            <v>127119</v>
          </cell>
          <cell r="H161">
            <v>127119</v>
          </cell>
          <cell r="I161" t="str">
            <v>82</v>
          </cell>
          <cell r="J161" t="str">
            <v>822</v>
          </cell>
          <cell r="K161" t="str">
            <v>8220</v>
          </cell>
          <cell r="L161" t="str">
            <v>82200</v>
          </cell>
          <cell r="M161" t="str">
            <v>822000</v>
          </cell>
        </row>
        <row r="162">
          <cell r="A162">
            <v>845000</v>
          </cell>
          <cell r="C162">
            <v>845000</v>
          </cell>
          <cell r="D162">
            <v>845000</v>
          </cell>
          <cell r="E162">
            <v>845000</v>
          </cell>
          <cell r="F162">
            <v>2000000</v>
          </cell>
          <cell r="G162">
            <v>2000000</v>
          </cell>
          <cell r="H162">
            <v>2000000</v>
          </cell>
          <cell r="I162" t="str">
            <v>84</v>
          </cell>
          <cell r="J162" t="str">
            <v>845</v>
          </cell>
          <cell r="K162" t="str">
            <v>8450</v>
          </cell>
          <cell r="L162" t="str">
            <v>84500</v>
          </cell>
          <cell r="M162" t="str">
            <v>845000</v>
          </cell>
        </row>
        <row r="163">
          <cell r="A163">
            <v>891000</v>
          </cell>
          <cell r="C163">
            <v>891000</v>
          </cell>
          <cell r="D163">
            <v>891000</v>
          </cell>
          <cell r="E163">
            <v>31102200</v>
          </cell>
          <cell r="F163">
            <v>31102192</v>
          </cell>
          <cell r="G163">
            <v>31102200</v>
          </cell>
          <cell r="H163">
            <v>31102192</v>
          </cell>
          <cell r="I163" t="str">
            <v>89</v>
          </cell>
          <cell r="J163" t="str">
            <v>891</v>
          </cell>
          <cell r="K163" t="str">
            <v>8910</v>
          </cell>
          <cell r="L163" t="str">
            <v>89100</v>
          </cell>
          <cell r="M163" t="str">
            <v>891000</v>
          </cell>
        </row>
        <row r="164">
          <cell r="A164">
            <v>31102192</v>
          </cell>
          <cell r="C164">
            <v>31102192</v>
          </cell>
          <cell r="D164">
            <v>31102192</v>
          </cell>
          <cell r="E164">
            <v>31102192</v>
          </cell>
          <cell r="F164">
            <v>31102192</v>
          </cell>
          <cell r="G164">
            <v>31102192</v>
          </cell>
          <cell r="H164">
            <v>31102192</v>
          </cell>
          <cell r="I164" t="str">
            <v/>
          </cell>
          <cell r="J164" t="str">
            <v/>
          </cell>
          <cell r="K164" t="str">
            <v/>
          </cell>
          <cell r="L164" t="str">
            <v/>
          </cell>
          <cell r="M164" t="str">
            <v/>
          </cell>
        </row>
        <row r="165">
          <cell r="A165">
            <v>31102192</v>
          </cell>
          <cell r="C165">
            <v>31102192</v>
          </cell>
          <cell r="D165">
            <v>31102192</v>
          </cell>
          <cell r="E165">
            <v>31102192</v>
          </cell>
          <cell r="F165">
            <v>31102192</v>
          </cell>
          <cell r="G165">
            <v>31102192</v>
          </cell>
          <cell r="H165">
            <v>31102192</v>
          </cell>
          <cell r="I165" t="str">
            <v/>
          </cell>
          <cell r="J165" t="str">
            <v/>
          </cell>
          <cell r="K165" t="str">
            <v/>
          </cell>
          <cell r="L165" t="str">
            <v/>
          </cell>
          <cell r="M165" t="str">
            <v/>
          </cell>
        </row>
        <row r="166">
          <cell r="A166">
            <v>31102192</v>
          </cell>
          <cell r="C166">
            <v>31102192</v>
          </cell>
          <cell r="D166">
            <v>31102192</v>
          </cell>
          <cell r="E166">
            <v>31102192</v>
          </cell>
          <cell r="F166">
            <v>31102192</v>
          </cell>
          <cell r="G166">
            <v>31102192</v>
          </cell>
          <cell r="H166">
            <v>31102192</v>
          </cell>
          <cell r="I166" t="str">
            <v/>
          </cell>
          <cell r="J166" t="str">
            <v/>
          </cell>
          <cell r="K166" t="str">
            <v/>
          </cell>
          <cell r="L166" t="str">
            <v/>
          </cell>
          <cell r="M166" t="str">
            <v/>
          </cell>
        </row>
        <row r="167">
          <cell r="A167">
            <v>31102192</v>
          </cell>
          <cell r="C167">
            <v>31102192</v>
          </cell>
          <cell r="D167">
            <v>31102192</v>
          </cell>
          <cell r="E167">
            <v>31102192</v>
          </cell>
          <cell r="F167">
            <v>31102192</v>
          </cell>
          <cell r="G167">
            <v>31102192</v>
          </cell>
          <cell r="H167">
            <v>31102192</v>
          </cell>
          <cell r="I167" t="str">
            <v/>
          </cell>
          <cell r="J167" t="str">
            <v/>
          </cell>
          <cell r="K167" t="str">
            <v/>
          </cell>
          <cell r="L167" t="str">
            <v/>
          </cell>
          <cell r="M167" t="str">
            <v/>
          </cell>
        </row>
        <row r="168">
          <cell r="A168">
            <v>31102192</v>
          </cell>
          <cell r="C168">
            <v>31102192</v>
          </cell>
          <cell r="D168">
            <v>31102192</v>
          </cell>
          <cell r="E168">
            <v>31102192</v>
          </cell>
          <cell r="F168">
            <v>31102192</v>
          </cell>
          <cell r="G168">
            <v>31102192</v>
          </cell>
          <cell r="H168">
            <v>31102192</v>
          </cell>
          <cell r="I168" t="str">
            <v/>
          </cell>
          <cell r="J168" t="str">
            <v/>
          </cell>
          <cell r="K168" t="str">
            <v/>
          </cell>
          <cell r="L168" t="str">
            <v/>
          </cell>
          <cell r="M168" t="str">
            <v/>
          </cell>
        </row>
        <row r="169">
          <cell r="A169">
            <v>31102192</v>
          </cell>
          <cell r="C169">
            <v>31102192</v>
          </cell>
          <cell r="D169">
            <v>31102192</v>
          </cell>
          <cell r="E169">
            <v>31102192</v>
          </cell>
          <cell r="F169">
            <v>31102192</v>
          </cell>
          <cell r="G169">
            <v>31102192</v>
          </cell>
          <cell r="H169">
            <v>31102192</v>
          </cell>
          <cell r="I169" t="str">
            <v/>
          </cell>
          <cell r="J169" t="str">
            <v/>
          </cell>
          <cell r="K169" t="str">
            <v/>
          </cell>
          <cell r="L169" t="str">
            <v/>
          </cell>
          <cell r="M169" t="str">
            <v/>
          </cell>
        </row>
        <row r="170">
          <cell r="A170">
            <v>31102192</v>
          </cell>
          <cell r="C170">
            <v>31102192</v>
          </cell>
          <cell r="D170">
            <v>31102192</v>
          </cell>
          <cell r="E170">
            <v>31102192</v>
          </cell>
          <cell r="F170">
            <v>31102192</v>
          </cell>
          <cell r="G170">
            <v>31102192</v>
          </cell>
          <cell r="H170">
            <v>31102192</v>
          </cell>
          <cell r="I170" t="str">
            <v/>
          </cell>
          <cell r="J170" t="str">
            <v/>
          </cell>
          <cell r="K170" t="str">
            <v/>
          </cell>
          <cell r="L170" t="str">
            <v/>
          </cell>
          <cell r="M170" t="str">
            <v/>
          </cell>
        </row>
        <row r="171">
          <cell r="A171">
            <v>31102192</v>
          </cell>
          <cell r="C171">
            <v>31102192</v>
          </cell>
          <cell r="D171">
            <v>31102192</v>
          </cell>
          <cell r="E171">
            <v>31102192</v>
          </cell>
          <cell r="F171">
            <v>31102192</v>
          </cell>
          <cell r="G171">
            <v>31102192</v>
          </cell>
          <cell r="H171">
            <v>31102192</v>
          </cell>
          <cell r="I171" t="str">
            <v/>
          </cell>
          <cell r="J171" t="str">
            <v/>
          </cell>
          <cell r="K171" t="str">
            <v/>
          </cell>
          <cell r="L171" t="str">
            <v/>
          </cell>
          <cell r="M171" t="str">
            <v/>
          </cell>
        </row>
        <row r="172">
          <cell r="A172">
            <v>31102192</v>
          </cell>
          <cell r="C172">
            <v>31102192</v>
          </cell>
          <cell r="D172">
            <v>31102192</v>
          </cell>
          <cell r="E172">
            <v>31102192</v>
          </cell>
          <cell r="F172">
            <v>31102192</v>
          </cell>
          <cell r="G172">
            <v>31102192</v>
          </cell>
          <cell r="H172">
            <v>31102192</v>
          </cell>
          <cell r="I172" t="str">
            <v/>
          </cell>
          <cell r="J172" t="str">
            <v/>
          </cell>
          <cell r="K172" t="str">
            <v/>
          </cell>
          <cell r="L172" t="str">
            <v/>
          </cell>
          <cell r="M172" t="str">
            <v/>
          </cell>
        </row>
        <row r="173">
          <cell r="A173">
            <v>31102192</v>
          </cell>
          <cell r="C173">
            <v>31102192</v>
          </cell>
          <cell r="D173">
            <v>31102192</v>
          </cell>
          <cell r="E173">
            <v>31102192</v>
          </cell>
          <cell r="F173">
            <v>31102192</v>
          </cell>
          <cell r="G173">
            <v>31102192</v>
          </cell>
          <cell r="H173">
            <v>31102192</v>
          </cell>
          <cell r="I173" t="str">
            <v/>
          </cell>
          <cell r="J173" t="str">
            <v/>
          </cell>
          <cell r="K173" t="str">
            <v/>
          </cell>
          <cell r="L173" t="str">
            <v/>
          </cell>
          <cell r="M173" t="str">
            <v/>
          </cell>
        </row>
        <row r="174">
          <cell r="A174">
            <v>31102192</v>
          </cell>
          <cell r="C174">
            <v>31102192</v>
          </cell>
          <cell r="D174">
            <v>31102192</v>
          </cell>
          <cell r="E174">
            <v>31102192</v>
          </cell>
          <cell r="F174">
            <v>31102192</v>
          </cell>
          <cell r="G174">
            <v>31102192</v>
          </cell>
          <cell r="H174">
            <v>31102192</v>
          </cell>
          <cell r="I174" t="str">
            <v/>
          </cell>
          <cell r="J174" t="str">
            <v/>
          </cell>
          <cell r="K174" t="str">
            <v/>
          </cell>
          <cell r="L174" t="str">
            <v/>
          </cell>
          <cell r="M174" t="str">
            <v/>
          </cell>
        </row>
        <row r="175">
          <cell r="A175">
            <v>31102192</v>
          </cell>
          <cell r="C175">
            <v>31102192</v>
          </cell>
          <cell r="D175">
            <v>31102192</v>
          </cell>
          <cell r="E175">
            <v>31102192</v>
          </cell>
          <cell r="F175">
            <v>31102192</v>
          </cell>
          <cell r="G175">
            <v>31102192</v>
          </cell>
          <cell r="H175">
            <v>31102192</v>
          </cell>
          <cell r="I175" t="str">
            <v/>
          </cell>
          <cell r="J175" t="str">
            <v/>
          </cell>
          <cell r="K175" t="str">
            <v/>
          </cell>
          <cell r="L175" t="str">
            <v/>
          </cell>
          <cell r="M175" t="str">
            <v/>
          </cell>
        </row>
        <row r="176">
          <cell r="A176">
            <v>31102192</v>
          </cell>
          <cell r="C176">
            <v>31102192</v>
          </cell>
          <cell r="D176">
            <v>31102192</v>
          </cell>
          <cell r="E176">
            <v>31102192</v>
          </cell>
          <cell r="F176">
            <v>31102192</v>
          </cell>
          <cell r="G176">
            <v>31102192</v>
          </cell>
          <cell r="H176">
            <v>31102192</v>
          </cell>
          <cell r="I176" t="str">
            <v/>
          </cell>
          <cell r="J176" t="str">
            <v/>
          </cell>
          <cell r="K176" t="str">
            <v/>
          </cell>
          <cell r="L176" t="str">
            <v/>
          </cell>
          <cell r="M176" t="str">
            <v/>
          </cell>
        </row>
        <row r="177">
          <cell r="A177">
            <v>31102192</v>
          </cell>
          <cell r="C177">
            <v>31102192</v>
          </cell>
          <cell r="D177">
            <v>31102192</v>
          </cell>
          <cell r="E177">
            <v>31102192</v>
          </cell>
          <cell r="F177">
            <v>31102192</v>
          </cell>
          <cell r="G177">
            <v>31102192</v>
          </cell>
          <cell r="H177">
            <v>31102192</v>
          </cell>
          <cell r="I177" t="str">
            <v/>
          </cell>
          <cell r="J177" t="str">
            <v/>
          </cell>
          <cell r="K177" t="str">
            <v/>
          </cell>
          <cell r="L177" t="str">
            <v/>
          </cell>
          <cell r="M177" t="str">
            <v/>
          </cell>
        </row>
        <row r="178">
          <cell r="A178">
            <v>31102192</v>
          </cell>
          <cell r="C178">
            <v>31102192</v>
          </cell>
          <cell r="D178">
            <v>31102192</v>
          </cell>
          <cell r="E178">
            <v>31102192</v>
          </cell>
          <cell r="F178">
            <v>31102192</v>
          </cell>
          <cell r="G178">
            <v>31102192</v>
          </cell>
          <cell r="H178">
            <v>31102192</v>
          </cell>
          <cell r="I178" t="str">
            <v/>
          </cell>
          <cell r="J178" t="str">
            <v/>
          </cell>
          <cell r="K178" t="str">
            <v/>
          </cell>
          <cell r="L178" t="str">
            <v/>
          </cell>
          <cell r="M178" t="str">
            <v/>
          </cell>
        </row>
        <row r="179">
          <cell r="A179">
            <v>31102192</v>
          </cell>
          <cell r="C179">
            <v>31102192</v>
          </cell>
          <cell r="D179">
            <v>31102192</v>
          </cell>
          <cell r="E179">
            <v>31102192</v>
          </cell>
          <cell r="F179">
            <v>31102192</v>
          </cell>
          <cell r="G179">
            <v>31102192</v>
          </cell>
          <cell r="H179">
            <v>31102192</v>
          </cell>
          <cell r="I179" t="str">
            <v/>
          </cell>
          <cell r="J179" t="str">
            <v/>
          </cell>
          <cell r="K179" t="str">
            <v/>
          </cell>
          <cell r="L179" t="str">
            <v/>
          </cell>
          <cell r="M179" t="str">
            <v/>
          </cell>
        </row>
        <row r="180">
          <cell r="A180">
            <v>31102192</v>
          </cell>
          <cell r="C180">
            <v>31102192</v>
          </cell>
          <cell r="D180">
            <v>31102192</v>
          </cell>
          <cell r="E180">
            <v>31102192</v>
          </cell>
          <cell r="F180">
            <v>31102192</v>
          </cell>
          <cell r="G180">
            <v>31102192</v>
          </cell>
          <cell r="H180">
            <v>31102192</v>
          </cell>
          <cell r="I180" t="str">
            <v/>
          </cell>
          <cell r="J180" t="str">
            <v/>
          </cell>
          <cell r="K180" t="str">
            <v/>
          </cell>
          <cell r="L180" t="str">
            <v/>
          </cell>
          <cell r="M180" t="str">
            <v/>
          </cell>
        </row>
        <row r="181">
          <cell r="A181">
            <v>31102192</v>
          </cell>
          <cell r="C181">
            <v>31102192</v>
          </cell>
          <cell r="D181">
            <v>31102192</v>
          </cell>
          <cell r="E181">
            <v>31102192</v>
          </cell>
          <cell r="F181">
            <v>31102192</v>
          </cell>
          <cell r="G181">
            <v>31102192</v>
          </cell>
          <cell r="H181">
            <v>31102192</v>
          </cell>
          <cell r="I181" t="str">
            <v/>
          </cell>
          <cell r="J181" t="str">
            <v/>
          </cell>
          <cell r="K181" t="str">
            <v/>
          </cell>
          <cell r="L181" t="str">
            <v/>
          </cell>
          <cell r="M181" t="str">
            <v/>
          </cell>
        </row>
        <row r="182">
          <cell r="A182">
            <v>31102192</v>
          </cell>
          <cell r="C182">
            <v>31102192</v>
          </cell>
          <cell r="D182">
            <v>31102192</v>
          </cell>
          <cell r="E182">
            <v>31102192</v>
          </cell>
          <cell r="F182">
            <v>31102192</v>
          </cell>
          <cell r="G182">
            <v>31102192</v>
          </cell>
          <cell r="H182">
            <v>31102192</v>
          </cell>
          <cell r="I182" t="str">
            <v/>
          </cell>
          <cell r="J182" t="str">
            <v/>
          </cell>
          <cell r="K182" t="str">
            <v/>
          </cell>
          <cell r="L182" t="str">
            <v/>
          </cell>
          <cell r="M182" t="str">
            <v/>
          </cell>
        </row>
        <row r="183">
          <cell r="A183">
            <v>31102192</v>
          </cell>
          <cell r="C183">
            <v>31102192</v>
          </cell>
          <cell r="D183">
            <v>31102192</v>
          </cell>
          <cell r="E183">
            <v>31102192</v>
          </cell>
          <cell r="F183">
            <v>31102192</v>
          </cell>
          <cell r="G183">
            <v>31102192</v>
          </cell>
          <cell r="H183">
            <v>31102192</v>
          </cell>
          <cell r="I183" t="str">
            <v/>
          </cell>
          <cell r="J183" t="str">
            <v/>
          </cell>
          <cell r="K183" t="str">
            <v/>
          </cell>
          <cell r="L183" t="str">
            <v/>
          </cell>
          <cell r="M183" t="str">
            <v/>
          </cell>
        </row>
        <row r="184">
          <cell r="A184">
            <v>31102192</v>
          </cell>
          <cell r="C184">
            <v>31102192</v>
          </cell>
          <cell r="D184">
            <v>31102192</v>
          </cell>
          <cell r="E184">
            <v>31102192</v>
          </cell>
          <cell r="F184">
            <v>31102192</v>
          </cell>
          <cell r="G184">
            <v>31102192</v>
          </cell>
          <cell r="H184">
            <v>31102192</v>
          </cell>
          <cell r="I184" t="str">
            <v/>
          </cell>
          <cell r="J184" t="str">
            <v/>
          </cell>
          <cell r="K184" t="str">
            <v/>
          </cell>
          <cell r="L184" t="str">
            <v/>
          </cell>
          <cell r="M184" t="str">
            <v/>
          </cell>
        </row>
        <row r="185">
          <cell r="A185">
            <v>31102192</v>
          </cell>
          <cell r="C185">
            <v>31102192</v>
          </cell>
          <cell r="D185">
            <v>31102192</v>
          </cell>
          <cell r="E185">
            <v>31102192</v>
          </cell>
          <cell r="F185">
            <v>31102192</v>
          </cell>
          <cell r="G185">
            <v>31102192</v>
          </cell>
          <cell r="H185">
            <v>31102192</v>
          </cell>
          <cell r="I185" t="str">
            <v/>
          </cell>
          <cell r="J185" t="str">
            <v/>
          </cell>
          <cell r="K185" t="str">
            <v/>
          </cell>
          <cell r="L185" t="str">
            <v/>
          </cell>
          <cell r="M185" t="str">
            <v/>
          </cell>
        </row>
        <row r="186">
          <cell r="A186">
            <v>31102192</v>
          </cell>
          <cell r="C186">
            <v>31102192</v>
          </cell>
          <cell r="D186">
            <v>31102192</v>
          </cell>
          <cell r="E186">
            <v>31102192</v>
          </cell>
          <cell r="F186">
            <v>31102192</v>
          </cell>
          <cell r="G186">
            <v>31102192</v>
          </cell>
          <cell r="H186">
            <v>31102192</v>
          </cell>
          <cell r="I186" t="str">
            <v/>
          </cell>
          <cell r="J186" t="str">
            <v/>
          </cell>
          <cell r="K186" t="str">
            <v/>
          </cell>
          <cell r="L186" t="str">
            <v/>
          </cell>
          <cell r="M186" t="str">
            <v/>
          </cell>
        </row>
        <row r="187">
          <cell r="A187">
            <v>31102192</v>
          </cell>
          <cell r="C187">
            <v>31102192</v>
          </cell>
          <cell r="D187">
            <v>31102192</v>
          </cell>
          <cell r="E187">
            <v>31102192</v>
          </cell>
          <cell r="F187">
            <v>31102192</v>
          </cell>
          <cell r="G187">
            <v>31102192</v>
          </cell>
          <cell r="H187">
            <v>31102192</v>
          </cell>
          <cell r="I187" t="str">
            <v/>
          </cell>
          <cell r="J187" t="str">
            <v/>
          </cell>
          <cell r="K187" t="str">
            <v/>
          </cell>
          <cell r="L187" t="str">
            <v/>
          </cell>
          <cell r="M187" t="str">
            <v/>
          </cell>
        </row>
        <row r="188">
          <cell r="A188">
            <v>31102192</v>
          </cell>
          <cell r="C188">
            <v>31102192</v>
          </cell>
          <cell r="D188">
            <v>31102192</v>
          </cell>
          <cell r="E188">
            <v>31102192</v>
          </cell>
          <cell r="F188">
            <v>31102192</v>
          </cell>
          <cell r="G188">
            <v>31102192</v>
          </cell>
          <cell r="H188">
            <v>31102192</v>
          </cell>
          <cell r="I188" t="str">
            <v/>
          </cell>
          <cell r="J188" t="str">
            <v/>
          </cell>
          <cell r="K188" t="str">
            <v/>
          </cell>
          <cell r="L188" t="str">
            <v/>
          </cell>
          <cell r="M188" t="str">
            <v/>
          </cell>
        </row>
        <row r="189">
          <cell r="A189">
            <v>31102192</v>
          </cell>
          <cell r="C189">
            <v>31102192</v>
          </cell>
          <cell r="D189">
            <v>31102192</v>
          </cell>
          <cell r="E189">
            <v>31102192</v>
          </cell>
          <cell r="F189">
            <v>31102192</v>
          </cell>
          <cell r="G189">
            <v>31102192</v>
          </cell>
          <cell r="H189">
            <v>31102192</v>
          </cell>
          <cell r="I189" t="str">
            <v/>
          </cell>
          <cell r="J189" t="str">
            <v/>
          </cell>
          <cell r="K189" t="str">
            <v/>
          </cell>
          <cell r="L189" t="str">
            <v/>
          </cell>
          <cell r="M189" t="str">
            <v/>
          </cell>
        </row>
        <row r="190">
          <cell r="A190">
            <v>31102192</v>
          </cell>
          <cell r="C190">
            <v>31102192</v>
          </cell>
          <cell r="D190">
            <v>31102192</v>
          </cell>
          <cell r="E190">
            <v>31102192</v>
          </cell>
          <cell r="F190">
            <v>31102192</v>
          </cell>
          <cell r="G190">
            <v>31102192</v>
          </cell>
          <cell r="H190">
            <v>31102192</v>
          </cell>
          <cell r="I190" t="str">
            <v/>
          </cell>
          <cell r="J190" t="str">
            <v/>
          </cell>
          <cell r="K190" t="str">
            <v/>
          </cell>
          <cell r="L190" t="str">
            <v/>
          </cell>
          <cell r="M190" t="str">
            <v/>
          </cell>
        </row>
        <row r="191">
          <cell r="A191">
            <v>31102192</v>
          </cell>
          <cell r="C191">
            <v>31102192</v>
          </cell>
          <cell r="D191">
            <v>31102192</v>
          </cell>
          <cell r="E191">
            <v>31102192</v>
          </cell>
          <cell r="F191">
            <v>31102192</v>
          </cell>
          <cell r="G191">
            <v>31102192</v>
          </cell>
          <cell r="H191">
            <v>31102192</v>
          </cell>
          <cell r="I191" t="str">
            <v/>
          </cell>
          <cell r="J191" t="str">
            <v/>
          </cell>
          <cell r="K191" t="str">
            <v/>
          </cell>
          <cell r="L191" t="str">
            <v/>
          </cell>
          <cell r="M191" t="str">
            <v/>
          </cell>
        </row>
        <row r="192">
          <cell r="A192">
            <v>31102192</v>
          </cell>
          <cell r="C192">
            <v>31102192</v>
          </cell>
          <cell r="D192">
            <v>31102192</v>
          </cell>
          <cell r="E192">
            <v>31102192</v>
          </cell>
          <cell r="F192">
            <v>31102192</v>
          </cell>
          <cell r="G192">
            <v>31102192</v>
          </cell>
          <cell r="H192">
            <v>31102192</v>
          </cell>
          <cell r="I192" t="str">
            <v/>
          </cell>
          <cell r="J192" t="str">
            <v/>
          </cell>
          <cell r="K192" t="str">
            <v/>
          </cell>
          <cell r="L192" t="str">
            <v/>
          </cell>
          <cell r="M192" t="str">
            <v/>
          </cell>
        </row>
        <row r="193">
          <cell r="A193">
            <v>31102192</v>
          </cell>
          <cell r="C193">
            <v>31102192</v>
          </cell>
          <cell r="D193">
            <v>31102192</v>
          </cell>
          <cell r="E193">
            <v>31102192</v>
          </cell>
          <cell r="F193">
            <v>31102192</v>
          </cell>
          <cell r="G193">
            <v>31102192</v>
          </cell>
          <cell r="H193">
            <v>31102192</v>
          </cell>
          <cell r="I193" t="str">
            <v/>
          </cell>
          <cell r="J193" t="str">
            <v/>
          </cell>
          <cell r="K193" t="str">
            <v/>
          </cell>
          <cell r="L193" t="str">
            <v/>
          </cell>
          <cell r="M193" t="str">
            <v/>
          </cell>
        </row>
        <row r="194">
          <cell r="A194">
            <v>31102192</v>
          </cell>
          <cell r="C194">
            <v>31102192</v>
          </cell>
          <cell r="D194">
            <v>31102192</v>
          </cell>
          <cell r="E194">
            <v>31102192</v>
          </cell>
          <cell r="F194">
            <v>31102192</v>
          </cell>
          <cell r="G194">
            <v>31102192</v>
          </cell>
          <cell r="H194">
            <v>31102192</v>
          </cell>
          <cell r="I194" t="str">
            <v/>
          </cell>
          <cell r="J194" t="str">
            <v/>
          </cell>
          <cell r="K194" t="str">
            <v/>
          </cell>
          <cell r="L194" t="str">
            <v/>
          </cell>
          <cell r="M194" t="str">
            <v/>
          </cell>
        </row>
        <row r="195">
          <cell r="A195">
            <v>31102192</v>
          </cell>
          <cell r="C195">
            <v>31102192</v>
          </cell>
          <cell r="D195">
            <v>31102192</v>
          </cell>
          <cell r="E195">
            <v>31102192</v>
          </cell>
          <cell r="F195">
            <v>31102192</v>
          </cell>
          <cell r="G195">
            <v>31102192</v>
          </cell>
          <cell r="H195">
            <v>31102192</v>
          </cell>
          <cell r="I195" t="str">
            <v/>
          </cell>
          <cell r="J195" t="str">
            <v/>
          </cell>
          <cell r="K195" t="str">
            <v/>
          </cell>
          <cell r="L195" t="str">
            <v/>
          </cell>
          <cell r="M195" t="str">
            <v/>
          </cell>
        </row>
        <row r="196">
          <cell r="A196">
            <v>31102192</v>
          </cell>
          <cell r="C196">
            <v>31102192</v>
          </cell>
          <cell r="D196">
            <v>31102192</v>
          </cell>
          <cell r="E196">
            <v>31102192</v>
          </cell>
          <cell r="F196">
            <v>31102192</v>
          </cell>
          <cell r="G196">
            <v>31102192</v>
          </cell>
          <cell r="H196">
            <v>31102192</v>
          </cell>
          <cell r="I196" t="str">
            <v/>
          </cell>
          <cell r="J196" t="str">
            <v/>
          </cell>
          <cell r="K196" t="str">
            <v/>
          </cell>
          <cell r="L196" t="str">
            <v/>
          </cell>
          <cell r="M196" t="str">
            <v/>
          </cell>
        </row>
        <row r="197">
          <cell r="A197">
            <v>31102192</v>
          </cell>
          <cell r="C197">
            <v>31102192</v>
          </cell>
          <cell r="D197">
            <v>31102192</v>
          </cell>
          <cell r="E197">
            <v>31102192</v>
          </cell>
          <cell r="F197">
            <v>31102192</v>
          </cell>
          <cell r="G197">
            <v>31102192</v>
          </cell>
          <cell r="H197">
            <v>31102192</v>
          </cell>
          <cell r="I197" t="str">
            <v/>
          </cell>
          <cell r="J197" t="str">
            <v/>
          </cell>
          <cell r="K197" t="str">
            <v/>
          </cell>
          <cell r="L197" t="str">
            <v/>
          </cell>
          <cell r="M197" t="str">
            <v/>
          </cell>
        </row>
        <row r="198">
          <cell r="A198">
            <v>31102192</v>
          </cell>
          <cell r="C198">
            <v>31102192</v>
          </cell>
          <cell r="D198">
            <v>31102192</v>
          </cell>
          <cell r="E198">
            <v>31102192</v>
          </cell>
          <cell r="F198">
            <v>31102192</v>
          </cell>
          <cell r="G198">
            <v>31102192</v>
          </cell>
          <cell r="H198">
            <v>31102192</v>
          </cell>
          <cell r="I198" t="str">
            <v/>
          </cell>
          <cell r="J198" t="str">
            <v/>
          </cell>
          <cell r="K198" t="str">
            <v/>
          </cell>
          <cell r="L198" t="str">
            <v/>
          </cell>
          <cell r="M198" t="str">
            <v/>
          </cell>
        </row>
        <row r="199">
          <cell r="A199">
            <v>31102192</v>
          </cell>
          <cell r="C199">
            <v>31102192</v>
          </cell>
          <cell r="D199">
            <v>31102192</v>
          </cell>
          <cell r="E199">
            <v>31102192</v>
          </cell>
          <cell r="F199">
            <v>31102192</v>
          </cell>
          <cell r="G199">
            <v>31102192</v>
          </cell>
          <cell r="H199">
            <v>31102192</v>
          </cell>
          <cell r="I199" t="str">
            <v/>
          </cell>
          <cell r="J199" t="str">
            <v/>
          </cell>
          <cell r="K199" t="str">
            <v/>
          </cell>
          <cell r="L199" t="str">
            <v/>
          </cell>
          <cell r="M199" t="str">
            <v/>
          </cell>
        </row>
        <row r="200">
          <cell r="A200">
            <v>31102192</v>
          </cell>
          <cell r="C200">
            <v>31102192</v>
          </cell>
          <cell r="D200">
            <v>31102192</v>
          </cell>
          <cell r="E200">
            <v>31102192</v>
          </cell>
          <cell r="F200">
            <v>31102192</v>
          </cell>
          <cell r="G200">
            <v>31102192</v>
          </cell>
          <cell r="H200">
            <v>31102192</v>
          </cell>
          <cell r="I200" t="str">
            <v/>
          </cell>
          <cell r="J200" t="str">
            <v/>
          </cell>
          <cell r="K200" t="str">
            <v/>
          </cell>
          <cell r="L200" t="str">
            <v/>
          </cell>
          <cell r="M200" t="str">
            <v/>
          </cell>
        </row>
        <row r="201">
          <cell r="A201">
            <v>31102192</v>
          </cell>
          <cell r="C201">
            <v>31102192</v>
          </cell>
          <cell r="D201">
            <v>31102192</v>
          </cell>
          <cell r="E201">
            <v>31102192</v>
          </cell>
          <cell r="F201">
            <v>31102192</v>
          </cell>
          <cell r="G201">
            <v>31102192</v>
          </cell>
          <cell r="H201">
            <v>31102192</v>
          </cell>
          <cell r="I201" t="str">
            <v/>
          </cell>
          <cell r="J201" t="str">
            <v/>
          </cell>
          <cell r="K201" t="str">
            <v/>
          </cell>
          <cell r="L201" t="str">
            <v/>
          </cell>
          <cell r="M201" t="str">
            <v/>
          </cell>
        </row>
        <row r="202">
          <cell r="A202">
            <v>31102192</v>
          </cell>
          <cell r="C202">
            <v>31102192</v>
          </cell>
          <cell r="D202">
            <v>31102192</v>
          </cell>
          <cell r="E202">
            <v>31102192</v>
          </cell>
          <cell r="F202">
            <v>31102192</v>
          </cell>
          <cell r="G202">
            <v>31102192</v>
          </cell>
          <cell r="H202">
            <v>31102192</v>
          </cell>
          <cell r="I202" t="str">
            <v/>
          </cell>
          <cell r="J202" t="str">
            <v/>
          </cell>
          <cell r="K202" t="str">
            <v/>
          </cell>
          <cell r="L202" t="str">
            <v/>
          </cell>
          <cell r="M202" t="str">
            <v/>
          </cell>
        </row>
        <row r="203">
          <cell r="A203">
            <v>31102192</v>
          </cell>
          <cell r="C203">
            <v>31102192</v>
          </cell>
          <cell r="D203">
            <v>31102192</v>
          </cell>
          <cell r="E203">
            <v>31102192</v>
          </cell>
          <cell r="F203">
            <v>31102192</v>
          </cell>
          <cell r="G203">
            <v>31102192</v>
          </cell>
          <cell r="H203">
            <v>31102192</v>
          </cell>
          <cell r="I203" t="str">
            <v/>
          </cell>
          <cell r="J203" t="str">
            <v/>
          </cell>
          <cell r="K203" t="str">
            <v/>
          </cell>
          <cell r="L203" t="str">
            <v/>
          </cell>
          <cell r="M203" t="str">
            <v/>
          </cell>
        </row>
        <row r="204">
          <cell r="A204">
            <v>31102192</v>
          </cell>
          <cell r="C204">
            <v>31102192</v>
          </cell>
          <cell r="D204">
            <v>31102192</v>
          </cell>
          <cell r="E204">
            <v>31102192</v>
          </cell>
          <cell r="F204">
            <v>31102192</v>
          </cell>
          <cell r="G204">
            <v>31102192</v>
          </cell>
          <cell r="H204">
            <v>31102192</v>
          </cell>
          <cell r="I204" t="str">
            <v/>
          </cell>
          <cell r="J204" t="str">
            <v/>
          </cell>
          <cell r="K204" t="str">
            <v/>
          </cell>
          <cell r="L204" t="str">
            <v/>
          </cell>
          <cell r="M204" t="str">
            <v/>
          </cell>
        </row>
        <row r="205">
          <cell r="A205">
            <v>31102192</v>
          </cell>
          <cell r="C205">
            <v>31102192</v>
          </cell>
          <cell r="D205">
            <v>31102192</v>
          </cell>
          <cell r="E205">
            <v>31102192</v>
          </cell>
          <cell r="F205">
            <v>31102192</v>
          </cell>
          <cell r="G205">
            <v>31102192</v>
          </cell>
          <cell r="H205">
            <v>31102192</v>
          </cell>
          <cell r="I205" t="str">
            <v/>
          </cell>
          <cell r="J205" t="str">
            <v/>
          </cell>
          <cell r="K205" t="str">
            <v/>
          </cell>
          <cell r="L205" t="str">
            <v/>
          </cell>
          <cell r="M205" t="str">
            <v/>
          </cell>
        </row>
        <row r="206">
          <cell r="A206">
            <v>31102192</v>
          </cell>
          <cell r="C206">
            <v>31102192</v>
          </cell>
          <cell r="D206">
            <v>31102192</v>
          </cell>
          <cell r="E206">
            <v>31102192</v>
          </cell>
          <cell r="F206">
            <v>31102192</v>
          </cell>
          <cell r="G206">
            <v>31102192</v>
          </cell>
          <cell r="H206">
            <v>31102192</v>
          </cell>
          <cell r="I206" t="str">
            <v/>
          </cell>
          <cell r="J206" t="str">
            <v/>
          </cell>
          <cell r="K206" t="str">
            <v/>
          </cell>
          <cell r="L206" t="str">
            <v/>
          </cell>
          <cell r="M206" t="str">
            <v/>
          </cell>
        </row>
        <row r="207">
          <cell r="A207">
            <v>31102192</v>
          </cell>
          <cell r="C207">
            <v>31102192</v>
          </cell>
          <cell r="D207">
            <v>31102192</v>
          </cell>
          <cell r="E207">
            <v>31102192</v>
          </cell>
          <cell r="F207">
            <v>31102192</v>
          </cell>
          <cell r="G207">
            <v>31102192</v>
          </cell>
          <cell r="H207">
            <v>31102192</v>
          </cell>
          <cell r="I207" t="str">
            <v/>
          </cell>
          <cell r="J207" t="str">
            <v/>
          </cell>
          <cell r="K207" t="str">
            <v/>
          </cell>
          <cell r="L207" t="str">
            <v/>
          </cell>
          <cell r="M207" t="str">
            <v/>
          </cell>
        </row>
        <row r="208">
          <cell r="A208">
            <v>31102192</v>
          </cell>
          <cell r="C208">
            <v>31102192</v>
          </cell>
          <cell r="D208">
            <v>31102192</v>
          </cell>
          <cell r="E208">
            <v>31102192</v>
          </cell>
          <cell r="F208">
            <v>31102192</v>
          </cell>
          <cell r="G208">
            <v>31102192</v>
          </cell>
          <cell r="H208">
            <v>31102192</v>
          </cell>
          <cell r="I208" t="str">
            <v/>
          </cell>
          <cell r="J208" t="str">
            <v/>
          </cell>
          <cell r="K208" t="str">
            <v/>
          </cell>
          <cell r="L208" t="str">
            <v/>
          </cell>
          <cell r="M208" t="str">
            <v/>
          </cell>
        </row>
        <row r="209">
          <cell r="A209">
            <v>31102192</v>
          </cell>
          <cell r="C209">
            <v>31102192</v>
          </cell>
          <cell r="D209">
            <v>31102192</v>
          </cell>
          <cell r="E209">
            <v>31102192</v>
          </cell>
          <cell r="F209">
            <v>31102192</v>
          </cell>
          <cell r="G209">
            <v>31102192</v>
          </cell>
          <cell r="H209">
            <v>31102192</v>
          </cell>
          <cell r="I209" t="str">
            <v/>
          </cell>
          <cell r="J209" t="str">
            <v/>
          </cell>
          <cell r="K209" t="str">
            <v/>
          </cell>
          <cell r="L209" t="str">
            <v/>
          </cell>
          <cell r="M209" t="str">
            <v/>
          </cell>
        </row>
        <row r="210">
          <cell r="A210">
            <v>31102192</v>
          </cell>
          <cell r="C210">
            <v>31102192</v>
          </cell>
          <cell r="D210">
            <v>31102192</v>
          </cell>
          <cell r="E210">
            <v>31102192</v>
          </cell>
          <cell r="F210">
            <v>31102192</v>
          </cell>
          <cell r="G210">
            <v>31102192</v>
          </cell>
          <cell r="H210">
            <v>31102192</v>
          </cell>
          <cell r="I210" t="str">
            <v/>
          </cell>
          <cell r="J210" t="str">
            <v/>
          </cell>
          <cell r="K210" t="str">
            <v/>
          </cell>
          <cell r="L210" t="str">
            <v/>
          </cell>
          <cell r="M210" t="str">
            <v/>
          </cell>
        </row>
        <row r="211">
          <cell r="A211">
            <v>31102192</v>
          </cell>
          <cell r="C211">
            <v>31102192</v>
          </cell>
          <cell r="D211">
            <v>31102192</v>
          </cell>
          <cell r="E211">
            <v>31102192</v>
          </cell>
          <cell r="F211">
            <v>31102192</v>
          </cell>
          <cell r="G211">
            <v>31102192</v>
          </cell>
          <cell r="H211">
            <v>31102192</v>
          </cell>
          <cell r="I211" t="str">
            <v/>
          </cell>
          <cell r="J211" t="str">
            <v/>
          </cell>
          <cell r="K211" t="str">
            <v/>
          </cell>
          <cell r="L211" t="str">
            <v/>
          </cell>
          <cell r="M211" t="str">
            <v/>
          </cell>
        </row>
        <row r="212">
          <cell r="A212">
            <v>31102192</v>
          </cell>
          <cell r="C212">
            <v>31102192</v>
          </cell>
          <cell r="D212">
            <v>31102192</v>
          </cell>
          <cell r="E212">
            <v>31102192</v>
          </cell>
          <cell r="F212">
            <v>31102192</v>
          </cell>
          <cell r="G212">
            <v>31102192</v>
          </cell>
          <cell r="H212">
            <v>31102192</v>
          </cell>
          <cell r="I212" t="str">
            <v/>
          </cell>
          <cell r="J212" t="str">
            <v/>
          </cell>
          <cell r="K212" t="str">
            <v/>
          </cell>
          <cell r="L212" t="str">
            <v/>
          </cell>
          <cell r="M212" t="str">
            <v/>
          </cell>
        </row>
        <row r="213">
          <cell r="A213">
            <v>31102192</v>
          </cell>
          <cell r="C213">
            <v>31102192</v>
          </cell>
          <cell r="D213">
            <v>31102192</v>
          </cell>
          <cell r="E213">
            <v>31102192</v>
          </cell>
          <cell r="F213">
            <v>31102192</v>
          </cell>
          <cell r="G213">
            <v>31102192</v>
          </cell>
          <cell r="H213">
            <v>31102192</v>
          </cell>
          <cell r="I213" t="str">
            <v/>
          </cell>
          <cell r="J213" t="str">
            <v/>
          </cell>
          <cell r="K213" t="str">
            <v/>
          </cell>
          <cell r="L213" t="str">
            <v/>
          </cell>
          <cell r="M213" t="str">
            <v/>
          </cell>
        </row>
        <row r="214">
          <cell r="A214">
            <v>31102192</v>
          </cell>
          <cell r="C214">
            <v>31102192</v>
          </cell>
          <cell r="D214">
            <v>31102192</v>
          </cell>
          <cell r="E214">
            <v>31102192</v>
          </cell>
          <cell r="F214">
            <v>31102192</v>
          </cell>
          <cell r="G214">
            <v>31102192</v>
          </cell>
          <cell r="H214">
            <v>31102192</v>
          </cell>
          <cell r="I214" t="str">
            <v/>
          </cell>
          <cell r="J214" t="str">
            <v/>
          </cell>
          <cell r="K214" t="str">
            <v/>
          </cell>
          <cell r="L214" t="str">
            <v/>
          </cell>
          <cell r="M214" t="str">
            <v/>
          </cell>
        </row>
        <row r="215">
          <cell r="A215">
            <v>31102192</v>
          </cell>
          <cell r="C215">
            <v>31102192</v>
          </cell>
          <cell r="D215">
            <v>31102192</v>
          </cell>
          <cell r="E215">
            <v>31102192</v>
          </cell>
          <cell r="F215">
            <v>31102192</v>
          </cell>
          <cell r="G215">
            <v>31102192</v>
          </cell>
          <cell r="H215">
            <v>31102192</v>
          </cell>
          <cell r="I215" t="str">
            <v/>
          </cell>
          <cell r="J215" t="str">
            <v/>
          </cell>
          <cell r="K215" t="str">
            <v/>
          </cell>
          <cell r="L215" t="str">
            <v/>
          </cell>
          <cell r="M215" t="str">
            <v/>
          </cell>
        </row>
        <row r="216">
          <cell r="A216">
            <v>31102192</v>
          </cell>
          <cell r="C216">
            <v>31102192</v>
          </cell>
          <cell r="D216">
            <v>31102192</v>
          </cell>
          <cell r="E216">
            <v>31102192</v>
          </cell>
          <cell r="F216">
            <v>31102192</v>
          </cell>
          <cell r="G216">
            <v>31102192</v>
          </cell>
          <cell r="H216">
            <v>31102192</v>
          </cell>
          <cell r="I216" t="str">
            <v/>
          </cell>
          <cell r="J216" t="str">
            <v/>
          </cell>
          <cell r="K216" t="str">
            <v/>
          </cell>
          <cell r="L216" t="str">
            <v/>
          </cell>
          <cell r="M216" t="str">
            <v/>
          </cell>
        </row>
        <row r="217">
          <cell r="A217">
            <v>31102192</v>
          </cell>
          <cell r="C217">
            <v>31102192</v>
          </cell>
          <cell r="D217">
            <v>31102192</v>
          </cell>
          <cell r="E217">
            <v>31102192</v>
          </cell>
          <cell r="F217">
            <v>31102192</v>
          </cell>
          <cell r="G217">
            <v>31102192</v>
          </cell>
          <cell r="H217">
            <v>31102192</v>
          </cell>
          <cell r="I217" t="str">
            <v/>
          </cell>
          <cell r="J217" t="str">
            <v/>
          </cell>
          <cell r="K217" t="str">
            <v/>
          </cell>
          <cell r="L217" t="str">
            <v/>
          </cell>
          <cell r="M217" t="str">
            <v/>
          </cell>
        </row>
        <row r="218">
          <cell r="A218">
            <v>31102192</v>
          </cell>
          <cell r="C218">
            <v>31102192</v>
          </cell>
          <cell r="D218">
            <v>31102192</v>
          </cell>
          <cell r="E218">
            <v>31102192</v>
          </cell>
          <cell r="F218">
            <v>31102192</v>
          </cell>
          <cell r="G218">
            <v>31102192</v>
          </cell>
          <cell r="H218">
            <v>31102192</v>
          </cell>
          <cell r="I218" t="str">
            <v/>
          </cell>
          <cell r="J218" t="str">
            <v/>
          </cell>
          <cell r="K218" t="str">
            <v/>
          </cell>
          <cell r="L218" t="str">
            <v/>
          </cell>
          <cell r="M218" t="str">
            <v/>
          </cell>
        </row>
        <row r="219">
          <cell r="A219">
            <v>31102192</v>
          </cell>
          <cell r="C219">
            <v>31102192</v>
          </cell>
          <cell r="D219">
            <v>31102192</v>
          </cell>
          <cell r="E219">
            <v>31102192</v>
          </cell>
          <cell r="F219">
            <v>31102192</v>
          </cell>
          <cell r="G219">
            <v>31102192</v>
          </cell>
          <cell r="H219">
            <v>31102192</v>
          </cell>
          <cell r="I219" t="str">
            <v/>
          </cell>
          <cell r="J219" t="str">
            <v/>
          </cell>
          <cell r="K219" t="str">
            <v/>
          </cell>
          <cell r="L219" t="str">
            <v/>
          </cell>
          <cell r="M219" t="str">
            <v/>
          </cell>
        </row>
        <row r="220">
          <cell r="A220">
            <v>31102192</v>
          </cell>
          <cell r="C220">
            <v>31102192</v>
          </cell>
          <cell r="D220">
            <v>31102192</v>
          </cell>
          <cell r="E220">
            <v>31102192</v>
          </cell>
          <cell r="F220">
            <v>31102192</v>
          </cell>
          <cell r="G220">
            <v>31102192</v>
          </cell>
          <cell r="H220">
            <v>31102192</v>
          </cell>
          <cell r="I220" t="str">
            <v/>
          </cell>
          <cell r="J220" t="str">
            <v/>
          </cell>
          <cell r="K220" t="str">
            <v/>
          </cell>
          <cell r="L220" t="str">
            <v/>
          </cell>
          <cell r="M220" t="str">
            <v/>
          </cell>
        </row>
        <row r="221">
          <cell r="A221">
            <v>31102192</v>
          </cell>
          <cell r="C221">
            <v>31102192</v>
          </cell>
          <cell r="D221">
            <v>31102192</v>
          </cell>
          <cell r="E221">
            <v>31102192</v>
          </cell>
          <cell r="F221">
            <v>31102192</v>
          </cell>
          <cell r="G221">
            <v>31102192</v>
          </cell>
          <cell r="H221">
            <v>31102192</v>
          </cell>
          <cell r="I221" t="str">
            <v/>
          </cell>
          <cell r="J221" t="str">
            <v/>
          </cell>
          <cell r="K221" t="str">
            <v/>
          </cell>
          <cell r="L221" t="str">
            <v/>
          </cell>
          <cell r="M221" t="str">
            <v/>
          </cell>
        </row>
        <row r="222">
          <cell r="A222">
            <v>31102192</v>
          </cell>
          <cell r="C222">
            <v>31102192</v>
          </cell>
          <cell r="D222">
            <v>31102192</v>
          </cell>
          <cell r="E222">
            <v>31102192</v>
          </cell>
          <cell r="F222">
            <v>31102192</v>
          </cell>
          <cell r="G222">
            <v>31102192</v>
          </cell>
          <cell r="H222">
            <v>31102192</v>
          </cell>
          <cell r="I222" t="str">
            <v/>
          </cell>
          <cell r="J222" t="str">
            <v/>
          </cell>
          <cell r="K222" t="str">
            <v/>
          </cell>
          <cell r="L222" t="str">
            <v/>
          </cell>
          <cell r="M222" t="str">
            <v/>
          </cell>
        </row>
        <row r="223">
          <cell r="A223">
            <v>31102192</v>
          </cell>
          <cell r="C223">
            <v>31102192</v>
          </cell>
          <cell r="D223">
            <v>31102192</v>
          </cell>
          <cell r="E223">
            <v>31102192</v>
          </cell>
          <cell r="F223">
            <v>31102192</v>
          </cell>
          <cell r="G223">
            <v>31102192</v>
          </cell>
          <cell r="H223">
            <v>31102192</v>
          </cell>
          <cell r="I223" t="str">
            <v/>
          </cell>
          <cell r="J223" t="str">
            <v/>
          </cell>
          <cell r="K223" t="str">
            <v/>
          </cell>
          <cell r="L223" t="str">
            <v/>
          </cell>
          <cell r="M223" t="str">
            <v/>
          </cell>
        </row>
        <row r="224">
          <cell r="A224">
            <v>31102192</v>
          </cell>
          <cell r="C224">
            <v>31102192</v>
          </cell>
          <cell r="D224">
            <v>31102192</v>
          </cell>
          <cell r="E224">
            <v>31102192</v>
          </cell>
          <cell r="F224">
            <v>31102192</v>
          </cell>
          <cell r="G224">
            <v>31102192</v>
          </cell>
          <cell r="H224">
            <v>31102192</v>
          </cell>
          <cell r="I224" t="str">
            <v/>
          </cell>
          <cell r="J224" t="str">
            <v/>
          </cell>
          <cell r="K224" t="str">
            <v/>
          </cell>
          <cell r="L224" t="str">
            <v/>
          </cell>
          <cell r="M224" t="str">
            <v/>
          </cell>
        </row>
        <row r="225">
          <cell r="A225">
            <v>31102192</v>
          </cell>
          <cell r="C225">
            <v>31102192</v>
          </cell>
          <cell r="D225">
            <v>31102192</v>
          </cell>
          <cell r="E225">
            <v>31102192</v>
          </cell>
          <cell r="F225">
            <v>31102192</v>
          </cell>
          <cell r="G225">
            <v>31102192</v>
          </cell>
          <cell r="H225">
            <v>31102192</v>
          </cell>
          <cell r="I225" t="str">
            <v/>
          </cell>
          <cell r="J225" t="str">
            <v/>
          </cell>
          <cell r="K225" t="str">
            <v/>
          </cell>
          <cell r="L225" t="str">
            <v/>
          </cell>
          <cell r="M225" t="str">
            <v/>
          </cell>
        </row>
        <row r="226">
          <cell r="A226">
            <v>31102192</v>
          </cell>
          <cell r="C226">
            <v>31102192</v>
          </cell>
          <cell r="D226">
            <v>31102192</v>
          </cell>
          <cell r="E226">
            <v>31102192</v>
          </cell>
          <cell r="F226">
            <v>31102192</v>
          </cell>
          <cell r="G226">
            <v>31102192</v>
          </cell>
          <cell r="H226">
            <v>31102192</v>
          </cell>
          <cell r="I226" t="str">
            <v/>
          </cell>
          <cell r="J226" t="str">
            <v/>
          </cell>
          <cell r="K226" t="str">
            <v/>
          </cell>
          <cell r="L226" t="str">
            <v/>
          </cell>
          <cell r="M226" t="str">
            <v/>
          </cell>
        </row>
        <row r="227">
          <cell r="A227">
            <v>31102192</v>
          </cell>
          <cell r="C227">
            <v>31102192</v>
          </cell>
          <cell r="D227">
            <v>31102192</v>
          </cell>
          <cell r="E227">
            <v>31102192</v>
          </cell>
          <cell r="F227">
            <v>31102192</v>
          </cell>
          <cell r="G227">
            <v>31102192</v>
          </cell>
          <cell r="H227">
            <v>31102192</v>
          </cell>
          <cell r="I227" t="str">
            <v/>
          </cell>
          <cell r="J227" t="str">
            <v/>
          </cell>
          <cell r="K227" t="str">
            <v/>
          </cell>
          <cell r="L227" t="str">
            <v/>
          </cell>
          <cell r="M227" t="str">
            <v/>
          </cell>
        </row>
        <row r="228">
          <cell r="A228">
            <v>31102192</v>
          </cell>
          <cell r="C228">
            <v>31102192</v>
          </cell>
          <cell r="D228">
            <v>31102192</v>
          </cell>
          <cell r="E228">
            <v>31102192</v>
          </cell>
          <cell r="F228">
            <v>31102192</v>
          </cell>
          <cell r="G228">
            <v>31102192</v>
          </cell>
          <cell r="H228">
            <v>31102192</v>
          </cell>
          <cell r="I228" t="str">
            <v/>
          </cell>
          <cell r="J228" t="str">
            <v/>
          </cell>
          <cell r="K228" t="str">
            <v/>
          </cell>
          <cell r="L228" t="str">
            <v/>
          </cell>
          <cell r="M228" t="str">
            <v/>
          </cell>
        </row>
        <row r="229">
          <cell r="A229">
            <v>31102192</v>
          </cell>
          <cell r="C229">
            <v>31102192</v>
          </cell>
          <cell r="D229">
            <v>31102192</v>
          </cell>
          <cell r="E229">
            <v>31102192</v>
          </cell>
          <cell r="F229">
            <v>31102192</v>
          </cell>
          <cell r="G229">
            <v>31102192</v>
          </cell>
          <cell r="H229">
            <v>31102192</v>
          </cell>
          <cell r="I229" t="str">
            <v/>
          </cell>
          <cell r="J229" t="str">
            <v/>
          </cell>
          <cell r="K229" t="str">
            <v/>
          </cell>
          <cell r="L229" t="str">
            <v/>
          </cell>
          <cell r="M229" t="str">
            <v/>
          </cell>
        </row>
        <row r="230">
          <cell r="A230">
            <v>31102192</v>
          </cell>
          <cell r="C230">
            <v>31102192</v>
          </cell>
          <cell r="D230">
            <v>31102192</v>
          </cell>
          <cell r="E230">
            <v>31102192</v>
          </cell>
          <cell r="F230">
            <v>31102192</v>
          </cell>
          <cell r="G230">
            <v>31102192</v>
          </cell>
          <cell r="H230">
            <v>31102192</v>
          </cell>
          <cell r="I230" t="str">
            <v/>
          </cell>
          <cell r="J230" t="str">
            <v/>
          </cell>
          <cell r="K230" t="str">
            <v/>
          </cell>
          <cell r="L230" t="str">
            <v/>
          </cell>
          <cell r="M230" t="str">
            <v/>
          </cell>
        </row>
        <row r="231">
          <cell r="A231">
            <v>31102192</v>
          </cell>
          <cell r="C231">
            <v>31102192</v>
          </cell>
          <cell r="D231">
            <v>31102192</v>
          </cell>
          <cell r="E231">
            <v>31102192</v>
          </cell>
          <cell r="F231">
            <v>31102192</v>
          </cell>
          <cell r="G231">
            <v>31102192</v>
          </cell>
          <cell r="H231">
            <v>31102192</v>
          </cell>
          <cell r="I231" t="str">
            <v/>
          </cell>
          <cell r="J231" t="str">
            <v/>
          </cell>
          <cell r="K231" t="str">
            <v/>
          </cell>
          <cell r="L231" t="str">
            <v/>
          </cell>
          <cell r="M231" t="str">
            <v/>
          </cell>
        </row>
        <row r="232">
          <cell r="A232">
            <v>31102192</v>
          </cell>
          <cell r="C232">
            <v>31102192</v>
          </cell>
          <cell r="D232">
            <v>31102192</v>
          </cell>
          <cell r="E232">
            <v>31102192</v>
          </cell>
          <cell r="F232">
            <v>31102192</v>
          </cell>
          <cell r="G232">
            <v>31102192</v>
          </cell>
          <cell r="H232">
            <v>31102192</v>
          </cell>
          <cell r="I232" t="str">
            <v/>
          </cell>
          <cell r="J232" t="str">
            <v/>
          </cell>
          <cell r="K232" t="str">
            <v/>
          </cell>
          <cell r="L232" t="str">
            <v/>
          </cell>
          <cell r="M232" t="str">
            <v/>
          </cell>
        </row>
        <row r="233">
          <cell r="A233">
            <v>31102192</v>
          </cell>
          <cell r="C233">
            <v>31102192</v>
          </cell>
          <cell r="D233">
            <v>31102192</v>
          </cell>
          <cell r="E233">
            <v>31102192</v>
          </cell>
          <cell r="F233">
            <v>31102192</v>
          </cell>
          <cell r="G233">
            <v>31102192</v>
          </cell>
          <cell r="H233">
            <v>31102192</v>
          </cell>
          <cell r="I233" t="str">
            <v/>
          </cell>
          <cell r="J233" t="str">
            <v/>
          </cell>
          <cell r="K233" t="str">
            <v/>
          </cell>
          <cell r="L233" t="str">
            <v/>
          </cell>
          <cell r="M233" t="str">
            <v/>
          </cell>
        </row>
        <row r="234">
          <cell r="A234">
            <v>31102192</v>
          </cell>
          <cell r="C234">
            <v>31102192</v>
          </cell>
          <cell r="D234">
            <v>31102192</v>
          </cell>
          <cell r="E234">
            <v>31102192</v>
          </cell>
          <cell r="F234">
            <v>31102192</v>
          </cell>
          <cell r="G234">
            <v>31102192</v>
          </cell>
          <cell r="H234">
            <v>31102192</v>
          </cell>
          <cell r="I234" t="str">
            <v/>
          </cell>
          <cell r="J234" t="str">
            <v/>
          </cell>
          <cell r="K234" t="str">
            <v/>
          </cell>
          <cell r="L234" t="str">
            <v/>
          </cell>
          <cell r="M234" t="str">
            <v/>
          </cell>
        </row>
        <row r="235">
          <cell r="A235">
            <v>31102192</v>
          </cell>
          <cell r="C235">
            <v>31102192</v>
          </cell>
          <cell r="D235">
            <v>31102192</v>
          </cell>
          <cell r="E235">
            <v>31102192</v>
          </cell>
          <cell r="F235">
            <v>31102192</v>
          </cell>
          <cell r="G235">
            <v>31102192</v>
          </cell>
          <cell r="H235">
            <v>31102192</v>
          </cell>
          <cell r="I235" t="str">
            <v/>
          </cell>
          <cell r="J235" t="str">
            <v/>
          </cell>
          <cell r="K235" t="str">
            <v/>
          </cell>
          <cell r="L235" t="str">
            <v/>
          </cell>
          <cell r="M235" t="str">
            <v/>
          </cell>
        </row>
        <row r="236">
          <cell r="A236">
            <v>31102192</v>
          </cell>
          <cell r="C236">
            <v>31102192</v>
          </cell>
          <cell r="D236">
            <v>31102192</v>
          </cell>
          <cell r="E236">
            <v>31102192</v>
          </cell>
          <cell r="F236">
            <v>31102192</v>
          </cell>
          <cell r="G236">
            <v>31102192</v>
          </cell>
          <cell r="H236">
            <v>31102192</v>
          </cell>
          <cell r="I236" t="str">
            <v/>
          </cell>
          <cell r="J236" t="str">
            <v/>
          </cell>
          <cell r="K236" t="str">
            <v/>
          </cell>
          <cell r="L236" t="str">
            <v/>
          </cell>
          <cell r="M236" t="str">
            <v/>
          </cell>
        </row>
        <row r="237">
          <cell r="A237">
            <v>31102192</v>
          </cell>
          <cell r="C237">
            <v>31102192</v>
          </cell>
          <cell r="D237">
            <v>31102192</v>
          </cell>
          <cell r="E237">
            <v>31102192</v>
          </cell>
          <cell r="F237">
            <v>31102192</v>
          </cell>
          <cell r="G237">
            <v>31102192</v>
          </cell>
          <cell r="H237">
            <v>31102192</v>
          </cell>
          <cell r="I237" t="str">
            <v/>
          </cell>
          <cell r="J237" t="str">
            <v/>
          </cell>
          <cell r="K237" t="str">
            <v/>
          </cell>
          <cell r="L237" t="str">
            <v/>
          </cell>
          <cell r="M237" t="str">
            <v/>
          </cell>
        </row>
        <row r="238">
          <cell r="A238">
            <v>31102192</v>
          </cell>
          <cell r="C238">
            <v>31102192</v>
          </cell>
          <cell r="D238">
            <v>31102192</v>
          </cell>
          <cell r="E238">
            <v>31102192</v>
          </cell>
          <cell r="F238">
            <v>31102192</v>
          </cell>
          <cell r="G238">
            <v>31102192</v>
          </cell>
          <cell r="H238">
            <v>31102192</v>
          </cell>
          <cell r="I238" t="str">
            <v/>
          </cell>
          <cell r="J238" t="str">
            <v/>
          </cell>
          <cell r="K238" t="str">
            <v/>
          </cell>
          <cell r="L238" t="str">
            <v/>
          </cell>
          <cell r="M238" t="str">
            <v/>
          </cell>
        </row>
        <row r="239">
          <cell r="A239">
            <v>31102192</v>
          </cell>
          <cell r="C239">
            <v>31102192</v>
          </cell>
          <cell r="D239">
            <v>31102192</v>
          </cell>
          <cell r="E239">
            <v>31102192</v>
          </cell>
          <cell r="F239">
            <v>31102192</v>
          </cell>
          <cell r="G239">
            <v>31102192</v>
          </cell>
          <cell r="H239">
            <v>31102192</v>
          </cell>
          <cell r="I239" t="str">
            <v/>
          </cell>
          <cell r="J239" t="str">
            <v/>
          </cell>
          <cell r="K239" t="str">
            <v/>
          </cell>
          <cell r="L239" t="str">
            <v/>
          </cell>
          <cell r="M239" t="str">
            <v/>
          </cell>
        </row>
        <row r="240">
          <cell r="A240">
            <v>31102192</v>
          </cell>
          <cell r="C240">
            <v>31102192</v>
          </cell>
          <cell r="D240">
            <v>31102192</v>
          </cell>
          <cell r="E240">
            <v>31102192</v>
          </cell>
          <cell r="F240">
            <v>31102192</v>
          </cell>
          <cell r="G240">
            <v>31102192</v>
          </cell>
          <cell r="H240">
            <v>31102192</v>
          </cell>
          <cell r="I240" t="str">
            <v/>
          </cell>
          <cell r="J240" t="str">
            <v/>
          </cell>
          <cell r="K240" t="str">
            <v/>
          </cell>
          <cell r="L240" t="str">
            <v/>
          </cell>
          <cell r="M240" t="str">
            <v/>
          </cell>
        </row>
        <row r="241">
          <cell r="A241">
            <v>31102192</v>
          </cell>
          <cell r="C241">
            <v>31102192</v>
          </cell>
          <cell r="D241">
            <v>31102192</v>
          </cell>
          <cell r="E241">
            <v>31102192</v>
          </cell>
          <cell r="F241">
            <v>31102192</v>
          </cell>
          <cell r="G241">
            <v>31102192</v>
          </cell>
          <cell r="H241">
            <v>31102192</v>
          </cell>
          <cell r="I241" t="str">
            <v/>
          </cell>
          <cell r="J241" t="str">
            <v/>
          </cell>
          <cell r="K241" t="str">
            <v/>
          </cell>
          <cell r="L241" t="str">
            <v/>
          </cell>
          <cell r="M241" t="str">
            <v/>
          </cell>
        </row>
        <row r="242">
          <cell r="A242">
            <v>31102192</v>
          </cell>
          <cell r="C242">
            <v>31102192</v>
          </cell>
          <cell r="D242">
            <v>31102192</v>
          </cell>
          <cell r="E242">
            <v>31102192</v>
          </cell>
          <cell r="F242">
            <v>31102192</v>
          </cell>
          <cell r="G242">
            <v>31102192</v>
          </cell>
          <cell r="H242">
            <v>31102192</v>
          </cell>
          <cell r="I242" t="str">
            <v/>
          </cell>
          <cell r="J242" t="str">
            <v/>
          </cell>
          <cell r="K242" t="str">
            <v/>
          </cell>
          <cell r="L242" t="str">
            <v/>
          </cell>
          <cell r="M242" t="str">
            <v/>
          </cell>
        </row>
        <row r="243">
          <cell r="A243">
            <v>31102192</v>
          </cell>
          <cell r="C243">
            <v>31102192</v>
          </cell>
          <cell r="D243">
            <v>31102192</v>
          </cell>
          <cell r="E243">
            <v>31102192</v>
          </cell>
          <cell r="F243">
            <v>31102192</v>
          </cell>
          <cell r="G243">
            <v>31102192</v>
          </cell>
          <cell r="H243">
            <v>31102192</v>
          </cell>
          <cell r="I243" t="str">
            <v/>
          </cell>
          <cell r="J243" t="str">
            <v/>
          </cell>
          <cell r="K243" t="str">
            <v/>
          </cell>
          <cell r="L243" t="str">
            <v/>
          </cell>
          <cell r="M243" t="str">
            <v/>
          </cell>
        </row>
        <row r="244">
          <cell r="A244">
            <v>31102192</v>
          </cell>
          <cell r="C244">
            <v>31102192</v>
          </cell>
          <cell r="D244">
            <v>31102192</v>
          </cell>
          <cell r="E244">
            <v>31102192</v>
          </cell>
          <cell r="F244">
            <v>31102192</v>
          </cell>
          <cell r="G244">
            <v>31102192</v>
          </cell>
          <cell r="H244">
            <v>31102192</v>
          </cell>
          <cell r="I244" t="str">
            <v/>
          </cell>
          <cell r="J244" t="str">
            <v/>
          </cell>
          <cell r="K244" t="str">
            <v/>
          </cell>
          <cell r="L244" t="str">
            <v/>
          </cell>
          <cell r="M244" t="str">
            <v/>
          </cell>
        </row>
        <row r="245">
          <cell r="A245">
            <v>31102192</v>
          </cell>
          <cell r="C245">
            <v>31102192</v>
          </cell>
          <cell r="D245">
            <v>31102192</v>
          </cell>
          <cell r="E245">
            <v>31102192</v>
          </cell>
          <cell r="F245">
            <v>31102192</v>
          </cell>
          <cell r="G245">
            <v>31102192</v>
          </cell>
          <cell r="H245">
            <v>31102192</v>
          </cell>
          <cell r="I245" t="str">
            <v/>
          </cell>
          <cell r="J245" t="str">
            <v/>
          </cell>
          <cell r="K245" t="str">
            <v/>
          </cell>
          <cell r="L245" t="str">
            <v/>
          </cell>
          <cell r="M245" t="str">
            <v/>
          </cell>
        </row>
        <row r="246">
          <cell r="A246">
            <v>31102192</v>
          </cell>
          <cell r="C246">
            <v>31102192</v>
          </cell>
          <cell r="D246">
            <v>31102192</v>
          </cell>
          <cell r="E246">
            <v>31102192</v>
          </cell>
          <cell r="F246">
            <v>31102192</v>
          </cell>
          <cell r="G246">
            <v>31102192</v>
          </cell>
          <cell r="H246">
            <v>31102192</v>
          </cell>
          <cell r="I246" t="str">
            <v/>
          </cell>
          <cell r="J246" t="str">
            <v/>
          </cell>
          <cell r="K246" t="str">
            <v/>
          </cell>
          <cell r="L246" t="str">
            <v/>
          </cell>
          <cell r="M246" t="str">
            <v/>
          </cell>
        </row>
        <row r="247">
          <cell r="A247">
            <v>31102192</v>
          </cell>
          <cell r="C247">
            <v>31102192</v>
          </cell>
          <cell r="D247">
            <v>31102192</v>
          </cell>
          <cell r="E247">
            <v>31102192</v>
          </cell>
          <cell r="F247">
            <v>31102192</v>
          </cell>
          <cell r="G247">
            <v>31102192</v>
          </cell>
          <cell r="H247">
            <v>31102192</v>
          </cell>
          <cell r="I247" t="str">
            <v/>
          </cell>
          <cell r="J247" t="str">
            <v/>
          </cell>
          <cell r="K247" t="str">
            <v/>
          </cell>
          <cell r="L247" t="str">
            <v/>
          </cell>
          <cell r="M247" t="str">
            <v/>
          </cell>
        </row>
        <row r="248">
          <cell r="A248">
            <v>31102192</v>
          </cell>
          <cell r="C248">
            <v>31102192</v>
          </cell>
          <cell r="D248">
            <v>31102192</v>
          </cell>
          <cell r="E248">
            <v>31102192</v>
          </cell>
          <cell r="F248">
            <v>31102192</v>
          </cell>
          <cell r="G248">
            <v>31102192</v>
          </cell>
          <cell r="H248">
            <v>31102192</v>
          </cell>
          <cell r="I248" t="str">
            <v/>
          </cell>
          <cell r="J248" t="str">
            <v/>
          </cell>
          <cell r="K248" t="str">
            <v/>
          </cell>
          <cell r="L248" t="str">
            <v/>
          </cell>
          <cell r="M248" t="str">
            <v/>
          </cell>
        </row>
        <row r="249">
          <cell r="A249">
            <v>31102192</v>
          </cell>
          <cell r="C249">
            <v>31102192</v>
          </cell>
          <cell r="D249">
            <v>31102192</v>
          </cell>
          <cell r="E249">
            <v>31102192</v>
          </cell>
          <cell r="F249">
            <v>31102192</v>
          </cell>
          <cell r="G249">
            <v>31102192</v>
          </cell>
          <cell r="H249">
            <v>31102192</v>
          </cell>
          <cell r="I249" t="str">
            <v/>
          </cell>
          <cell r="J249" t="str">
            <v/>
          </cell>
          <cell r="K249" t="str">
            <v/>
          </cell>
          <cell r="L249" t="str">
            <v/>
          </cell>
          <cell r="M249" t="str">
            <v/>
          </cell>
        </row>
        <row r="250">
          <cell r="A250">
            <v>31102192</v>
          </cell>
          <cell r="C250">
            <v>31102192</v>
          </cell>
          <cell r="D250">
            <v>31102192</v>
          </cell>
          <cell r="E250">
            <v>31102192</v>
          </cell>
          <cell r="F250">
            <v>31102192</v>
          </cell>
          <cell r="G250">
            <v>31102192</v>
          </cell>
          <cell r="H250">
            <v>31102192</v>
          </cell>
          <cell r="I250" t="str">
            <v/>
          </cell>
          <cell r="J250" t="str">
            <v/>
          </cell>
          <cell r="K250" t="str">
            <v/>
          </cell>
          <cell r="L250" t="str">
            <v/>
          </cell>
          <cell r="M250" t="str">
            <v/>
          </cell>
        </row>
        <row r="251">
          <cell r="A251">
            <v>31102192</v>
          </cell>
          <cell r="C251">
            <v>31102192</v>
          </cell>
          <cell r="D251">
            <v>31102192</v>
          </cell>
          <cell r="E251">
            <v>31102192</v>
          </cell>
          <cell r="F251">
            <v>31102192</v>
          </cell>
          <cell r="G251">
            <v>31102192</v>
          </cell>
          <cell r="H251">
            <v>31102192</v>
          </cell>
          <cell r="I251" t="str">
            <v/>
          </cell>
          <cell r="J251" t="str">
            <v/>
          </cell>
          <cell r="K251" t="str">
            <v/>
          </cell>
          <cell r="L251" t="str">
            <v/>
          </cell>
          <cell r="M251" t="str">
            <v/>
          </cell>
        </row>
        <row r="252">
          <cell r="A252">
            <v>31102192</v>
          </cell>
          <cell r="C252">
            <v>31102192</v>
          </cell>
          <cell r="D252">
            <v>31102192</v>
          </cell>
          <cell r="E252">
            <v>31102192</v>
          </cell>
          <cell r="F252">
            <v>31102192</v>
          </cell>
          <cell r="G252">
            <v>31102192</v>
          </cell>
          <cell r="H252">
            <v>31102192</v>
          </cell>
          <cell r="I252" t="str">
            <v/>
          </cell>
          <cell r="J252" t="str">
            <v/>
          </cell>
          <cell r="K252" t="str">
            <v/>
          </cell>
          <cell r="L252" t="str">
            <v/>
          </cell>
          <cell r="M252" t="str">
            <v/>
          </cell>
        </row>
        <row r="253">
          <cell r="A253">
            <v>31102192</v>
          </cell>
          <cell r="C253">
            <v>31102192</v>
          </cell>
          <cell r="D253">
            <v>31102192</v>
          </cell>
          <cell r="E253">
            <v>31102192</v>
          </cell>
          <cell r="F253">
            <v>31102192</v>
          </cell>
          <cell r="G253">
            <v>31102192</v>
          </cell>
          <cell r="H253">
            <v>31102192</v>
          </cell>
          <cell r="I253" t="str">
            <v/>
          </cell>
          <cell r="J253" t="str">
            <v/>
          </cell>
          <cell r="K253" t="str">
            <v/>
          </cell>
          <cell r="L253" t="str">
            <v/>
          </cell>
          <cell r="M253" t="str">
            <v/>
          </cell>
        </row>
        <row r="254">
          <cell r="A254">
            <v>31102192</v>
          </cell>
          <cell r="C254">
            <v>31102192</v>
          </cell>
          <cell r="D254">
            <v>31102192</v>
          </cell>
          <cell r="E254">
            <v>31102192</v>
          </cell>
          <cell r="F254">
            <v>31102192</v>
          </cell>
          <cell r="G254">
            <v>31102192</v>
          </cell>
          <cell r="H254">
            <v>31102192</v>
          </cell>
          <cell r="I254" t="str">
            <v/>
          </cell>
          <cell r="J254" t="str">
            <v/>
          </cell>
          <cell r="K254" t="str">
            <v/>
          </cell>
          <cell r="L254" t="str">
            <v/>
          </cell>
          <cell r="M254" t="str">
            <v/>
          </cell>
        </row>
        <row r="255">
          <cell r="A255">
            <v>31102192</v>
          </cell>
          <cell r="C255">
            <v>31102192</v>
          </cell>
          <cell r="D255">
            <v>31102192</v>
          </cell>
          <cell r="E255">
            <v>31102192</v>
          </cell>
          <cell r="F255">
            <v>31102192</v>
          </cell>
          <cell r="G255">
            <v>31102192</v>
          </cell>
          <cell r="H255">
            <v>31102192</v>
          </cell>
          <cell r="I255" t="str">
            <v/>
          </cell>
          <cell r="J255" t="str">
            <v/>
          </cell>
          <cell r="K255" t="str">
            <v/>
          </cell>
          <cell r="L255" t="str">
            <v/>
          </cell>
          <cell r="M255" t="str">
            <v/>
          </cell>
        </row>
        <row r="256">
          <cell r="A256">
            <v>31102192</v>
          </cell>
          <cell r="C256">
            <v>31102192</v>
          </cell>
          <cell r="D256">
            <v>31102192</v>
          </cell>
          <cell r="E256">
            <v>31102192</v>
          </cell>
          <cell r="F256">
            <v>31102192</v>
          </cell>
          <cell r="G256">
            <v>31102192</v>
          </cell>
          <cell r="H256">
            <v>31102192</v>
          </cell>
          <cell r="I256" t="str">
            <v/>
          </cell>
          <cell r="J256" t="str">
            <v/>
          </cell>
          <cell r="K256" t="str">
            <v/>
          </cell>
          <cell r="L256" t="str">
            <v/>
          </cell>
          <cell r="M256" t="str">
            <v/>
          </cell>
        </row>
        <row r="257">
          <cell r="A257">
            <v>31102192</v>
          </cell>
          <cell r="C257">
            <v>31102192</v>
          </cell>
          <cell r="D257">
            <v>31102192</v>
          </cell>
          <cell r="E257">
            <v>31102192</v>
          </cell>
          <cell r="F257">
            <v>31102192</v>
          </cell>
          <cell r="G257">
            <v>31102192</v>
          </cell>
          <cell r="H257">
            <v>31102192</v>
          </cell>
          <cell r="I257" t="str">
            <v/>
          </cell>
          <cell r="J257" t="str">
            <v/>
          </cell>
          <cell r="K257" t="str">
            <v/>
          </cell>
          <cell r="L257" t="str">
            <v/>
          </cell>
          <cell r="M257" t="str">
            <v/>
          </cell>
        </row>
        <row r="258">
          <cell r="A258">
            <v>31102192</v>
          </cell>
          <cell r="C258">
            <v>31102192</v>
          </cell>
          <cell r="D258">
            <v>31102192</v>
          </cell>
          <cell r="E258">
            <v>31102192</v>
          </cell>
          <cell r="F258">
            <v>31102192</v>
          </cell>
          <cell r="G258">
            <v>31102192</v>
          </cell>
          <cell r="H258">
            <v>31102192</v>
          </cell>
          <cell r="I258" t="str">
            <v/>
          </cell>
          <cell r="J258" t="str">
            <v/>
          </cell>
          <cell r="K258" t="str">
            <v/>
          </cell>
          <cell r="L258" t="str">
            <v/>
          </cell>
          <cell r="M258" t="str">
            <v/>
          </cell>
        </row>
        <row r="259">
          <cell r="A259">
            <v>31102192</v>
          </cell>
          <cell r="C259">
            <v>31102192</v>
          </cell>
          <cell r="D259">
            <v>31102192</v>
          </cell>
          <cell r="E259">
            <v>31102192</v>
          </cell>
          <cell r="F259">
            <v>31102192</v>
          </cell>
          <cell r="G259">
            <v>31102192</v>
          </cell>
          <cell r="H259">
            <v>31102192</v>
          </cell>
          <cell r="I259" t="str">
            <v/>
          </cell>
          <cell r="J259" t="str">
            <v/>
          </cell>
          <cell r="K259" t="str">
            <v/>
          </cell>
          <cell r="L259" t="str">
            <v/>
          </cell>
          <cell r="M259" t="str">
            <v/>
          </cell>
        </row>
        <row r="260">
          <cell r="A260">
            <v>31102192</v>
          </cell>
          <cell r="C260">
            <v>31102192</v>
          </cell>
          <cell r="D260">
            <v>31102192</v>
          </cell>
          <cell r="E260">
            <v>31102192</v>
          </cell>
          <cell r="F260">
            <v>31102192</v>
          </cell>
          <cell r="G260">
            <v>31102192</v>
          </cell>
          <cell r="H260">
            <v>31102192</v>
          </cell>
          <cell r="I260" t="str">
            <v/>
          </cell>
          <cell r="J260" t="str">
            <v/>
          </cell>
          <cell r="K260" t="str">
            <v/>
          </cell>
          <cell r="L260" t="str">
            <v/>
          </cell>
          <cell r="M260" t="str">
            <v/>
          </cell>
        </row>
        <row r="261">
          <cell r="A261">
            <v>31102192</v>
          </cell>
          <cell r="C261">
            <v>31102192</v>
          </cell>
          <cell r="D261">
            <v>31102192</v>
          </cell>
          <cell r="E261">
            <v>31102192</v>
          </cell>
          <cell r="F261">
            <v>31102192</v>
          </cell>
          <cell r="G261">
            <v>31102192</v>
          </cell>
          <cell r="H261">
            <v>31102192</v>
          </cell>
          <cell r="I261" t="str">
            <v/>
          </cell>
          <cell r="J261" t="str">
            <v/>
          </cell>
          <cell r="K261" t="str">
            <v/>
          </cell>
          <cell r="L261" t="str">
            <v/>
          </cell>
          <cell r="M261" t="str">
            <v/>
          </cell>
        </row>
        <row r="262">
          <cell r="A262">
            <v>31102192</v>
          </cell>
          <cell r="C262">
            <v>31102192</v>
          </cell>
          <cell r="D262">
            <v>31102192</v>
          </cell>
          <cell r="E262">
            <v>31102192</v>
          </cell>
          <cell r="F262">
            <v>31102192</v>
          </cell>
          <cell r="G262">
            <v>31102192</v>
          </cell>
          <cell r="H262">
            <v>31102192</v>
          </cell>
          <cell r="I262" t="str">
            <v/>
          </cell>
          <cell r="J262" t="str">
            <v/>
          </cell>
          <cell r="K262" t="str">
            <v/>
          </cell>
          <cell r="L262" t="str">
            <v/>
          </cell>
          <cell r="M262" t="str">
            <v/>
          </cell>
        </row>
        <row r="263">
          <cell r="A263">
            <v>31102192</v>
          </cell>
          <cell r="C263">
            <v>31102192</v>
          </cell>
          <cell r="D263">
            <v>31102192</v>
          </cell>
          <cell r="E263">
            <v>31102192</v>
          </cell>
          <cell r="F263">
            <v>31102192</v>
          </cell>
          <cell r="G263">
            <v>31102192</v>
          </cell>
          <cell r="H263">
            <v>31102192</v>
          </cell>
          <cell r="I263" t="str">
            <v/>
          </cell>
          <cell r="J263" t="str">
            <v/>
          </cell>
          <cell r="K263" t="str">
            <v/>
          </cell>
          <cell r="L263" t="str">
            <v/>
          </cell>
          <cell r="M263" t="str">
            <v/>
          </cell>
        </row>
        <row r="264">
          <cell r="A264">
            <v>31102192</v>
          </cell>
          <cell r="C264">
            <v>31102192</v>
          </cell>
          <cell r="D264">
            <v>31102192</v>
          </cell>
          <cell r="E264">
            <v>31102192</v>
          </cell>
          <cell r="F264">
            <v>31102192</v>
          </cell>
          <cell r="G264">
            <v>31102192</v>
          </cell>
          <cell r="H264">
            <v>31102192</v>
          </cell>
          <cell r="I264" t="str">
            <v/>
          </cell>
          <cell r="J264" t="str">
            <v/>
          </cell>
          <cell r="K264" t="str">
            <v/>
          </cell>
          <cell r="L264" t="str">
            <v/>
          </cell>
          <cell r="M264" t="str">
            <v/>
          </cell>
        </row>
        <row r="265">
          <cell r="A265">
            <v>31102192</v>
          </cell>
          <cell r="C265">
            <v>31102192</v>
          </cell>
          <cell r="D265">
            <v>31102192</v>
          </cell>
          <cell r="E265">
            <v>31102192</v>
          </cell>
          <cell r="F265">
            <v>31102192</v>
          </cell>
          <cell r="G265">
            <v>31102192</v>
          </cell>
          <cell r="H265">
            <v>31102192</v>
          </cell>
          <cell r="I265" t="str">
            <v/>
          </cell>
          <cell r="J265" t="str">
            <v/>
          </cell>
          <cell r="K265" t="str">
            <v/>
          </cell>
          <cell r="L265" t="str">
            <v/>
          </cell>
          <cell r="M265" t="str">
            <v/>
          </cell>
        </row>
        <row r="266">
          <cell r="A266">
            <v>31102192</v>
          </cell>
          <cell r="C266">
            <v>31102192</v>
          </cell>
          <cell r="D266">
            <v>31102192</v>
          </cell>
          <cell r="E266">
            <v>31102192</v>
          </cell>
          <cell r="F266">
            <v>31102192</v>
          </cell>
          <cell r="G266">
            <v>31102192</v>
          </cell>
          <cell r="H266">
            <v>31102192</v>
          </cell>
          <cell r="I266" t="str">
            <v/>
          </cell>
          <cell r="J266" t="str">
            <v/>
          </cell>
          <cell r="K266" t="str">
            <v/>
          </cell>
          <cell r="L266" t="str">
            <v/>
          </cell>
          <cell r="M266" t="str">
            <v/>
          </cell>
        </row>
        <row r="267">
          <cell r="A267">
            <v>31102192</v>
          </cell>
          <cell r="C267">
            <v>31102192</v>
          </cell>
          <cell r="D267">
            <v>31102192</v>
          </cell>
          <cell r="E267">
            <v>31102192</v>
          </cell>
          <cell r="F267">
            <v>31102192</v>
          </cell>
          <cell r="G267">
            <v>31102192</v>
          </cell>
          <cell r="H267">
            <v>31102192</v>
          </cell>
          <cell r="I267" t="str">
            <v/>
          </cell>
          <cell r="J267" t="str">
            <v/>
          </cell>
          <cell r="K267" t="str">
            <v/>
          </cell>
          <cell r="L267" t="str">
            <v/>
          </cell>
          <cell r="M267" t="str">
            <v/>
          </cell>
        </row>
        <row r="268">
          <cell r="A268">
            <v>31102192</v>
          </cell>
          <cell r="C268">
            <v>31102192</v>
          </cell>
          <cell r="D268">
            <v>31102192</v>
          </cell>
          <cell r="E268">
            <v>31102192</v>
          </cell>
          <cell r="F268">
            <v>31102192</v>
          </cell>
          <cell r="G268">
            <v>31102192</v>
          </cell>
          <cell r="H268">
            <v>31102192</v>
          </cell>
          <cell r="I268" t="str">
            <v/>
          </cell>
          <cell r="J268" t="str">
            <v/>
          </cell>
          <cell r="K268" t="str">
            <v/>
          </cell>
          <cell r="L268" t="str">
            <v/>
          </cell>
          <cell r="M268" t="str">
            <v/>
          </cell>
        </row>
        <row r="269">
          <cell r="A269">
            <v>31102192</v>
          </cell>
          <cell r="C269">
            <v>31102192</v>
          </cell>
          <cell r="D269">
            <v>31102192</v>
          </cell>
          <cell r="E269">
            <v>31102192</v>
          </cell>
          <cell r="F269">
            <v>31102192</v>
          </cell>
          <cell r="G269">
            <v>31102192</v>
          </cell>
          <cell r="H269">
            <v>31102192</v>
          </cell>
          <cell r="I269" t="str">
            <v/>
          </cell>
          <cell r="J269" t="str">
            <v/>
          </cell>
          <cell r="K269" t="str">
            <v/>
          </cell>
          <cell r="L269" t="str">
            <v/>
          </cell>
          <cell r="M269" t="str">
            <v/>
          </cell>
        </row>
        <row r="270">
          <cell r="A270">
            <v>31102192</v>
          </cell>
          <cell r="C270">
            <v>31102192</v>
          </cell>
          <cell r="D270">
            <v>31102192</v>
          </cell>
          <cell r="E270">
            <v>31102192</v>
          </cell>
          <cell r="F270">
            <v>31102192</v>
          </cell>
          <cell r="G270">
            <v>31102192</v>
          </cell>
          <cell r="H270">
            <v>31102192</v>
          </cell>
          <cell r="I270" t="str">
            <v/>
          </cell>
          <cell r="J270" t="str">
            <v/>
          </cell>
          <cell r="K270" t="str">
            <v/>
          </cell>
          <cell r="L270" t="str">
            <v/>
          </cell>
          <cell r="M270" t="str">
            <v/>
          </cell>
        </row>
        <row r="271">
          <cell r="A271">
            <v>31102192</v>
          </cell>
          <cell r="C271">
            <v>31102192</v>
          </cell>
          <cell r="D271">
            <v>31102192</v>
          </cell>
          <cell r="E271">
            <v>31102192</v>
          </cell>
          <cell r="F271">
            <v>31102192</v>
          </cell>
          <cell r="G271">
            <v>31102192</v>
          </cell>
          <cell r="H271">
            <v>31102192</v>
          </cell>
          <cell r="I271" t="str">
            <v/>
          </cell>
          <cell r="J271" t="str">
            <v/>
          </cell>
          <cell r="K271" t="str">
            <v/>
          </cell>
          <cell r="L271" t="str">
            <v/>
          </cell>
          <cell r="M271" t="str">
            <v/>
          </cell>
        </row>
        <row r="272">
          <cell r="A272">
            <v>31102192</v>
          </cell>
          <cell r="C272">
            <v>31102192</v>
          </cell>
          <cell r="D272">
            <v>31102192</v>
          </cell>
          <cell r="E272">
            <v>31102192</v>
          </cell>
          <cell r="F272">
            <v>31102192</v>
          </cell>
          <cell r="G272">
            <v>31102192</v>
          </cell>
          <cell r="H272">
            <v>31102192</v>
          </cell>
          <cell r="I272" t="str">
            <v/>
          </cell>
          <cell r="J272" t="str">
            <v/>
          </cell>
          <cell r="K272" t="str">
            <v/>
          </cell>
          <cell r="L272" t="str">
            <v/>
          </cell>
          <cell r="M272" t="str">
            <v/>
          </cell>
        </row>
        <row r="273">
          <cell r="A273">
            <v>31102192</v>
          </cell>
          <cell r="C273">
            <v>31102192</v>
          </cell>
          <cell r="D273">
            <v>31102192</v>
          </cell>
          <cell r="E273">
            <v>31102192</v>
          </cell>
          <cell r="F273">
            <v>31102192</v>
          </cell>
          <cell r="G273">
            <v>31102192</v>
          </cell>
          <cell r="H273">
            <v>31102192</v>
          </cell>
          <cell r="I273" t="str">
            <v/>
          </cell>
          <cell r="J273" t="str">
            <v/>
          </cell>
          <cell r="K273" t="str">
            <v/>
          </cell>
          <cell r="L273" t="str">
            <v/>
          </cell>
          <cell r="M273" t="str">
            <v/>
          </cell>
        </row>
        <row r="274">
          <cell r="A274">
            <v>31102192</v>
          </cell>
          <cell r="C274">
            <v>31102192</v>
          </cell>
          <cell r="D274">
            <v>31102192</v>
          </cell>
          <cell r="E274">
            <v>31102192</v>
          </cell>
          <cell r="F274">
            <v>31102192</v>
          </cell>
          <cell r="G274">
            <v>31102192</v>
          </cell>
          <cell r="H274">
            <v>31102192</v>
          </cell>
          <cell r="I274" t="str">
            <v/>
          </cell>
          <cell r="J274" t="str">
            <v/>
          </cell>
          <cell r="K274" t="str">
            <v/>
          </cell>
          <cell r="L274" t="str">
            <v/>
          </cell>
          <cell r="M274" t="str">
            <v/>
          </cell>
        </row>
        <row r="275">
          <cell r="A275">
            <v>31102192</v>
          </cell>
          <cell r="C275">
            <v>31102192</v>
          </cell>
          <cell r="D275">
            <v>31102192</v>
          </cell>
          <cell r="E275">
            <v>31102192</v>
          </cell>
          <cell r="F275">
            <v>31102192</v>
          </cell>
          <cell r="G275">
            <v>31102192</v>
          </cell>
          <cell r="H275">
            <v>31102192</v>
          </cell>
          <cell r="I275" t="str">
            <v/>
          </cell>
          <cell r="J275" t="str">
            <v/>
          </cell>
          <cell r="K275" t="str">
            <v/>
          </cell>
          <cell r="L275" t="str">
            <v/>
          </cell>
          <cell r="M275" t="str">
            <v/>
          </cell>
        </row>
        <row r="276">
          <cell r="A276">
            <v>31102192</v>
          </cell>
          <cell r="C276">
            <v>31102192</v>
          </cell>
          <cell r="D276">
            <v>31102192</v>
          </cell>
          <cell r="E276">
            <v>31102192</v>
          </cell>
          <cell r="F276">
            <v>31102192</v>
          </cell>
          <cell r="G276">
            <v>31102192</v>
          </cell>
          <cell r="H276">
            <v>31102192</v>
          </cell>
          <cell r="I276" t="str">
            <v/>
          </cell>
          <cell r="J276" t="str">
            <v/>
          </cell>
          <cell r="K276" t="str">
            <v/>
          </cell>
          <cell r="L276" t="str">
            <v/>
          </cell>
          <cell r="M276" t="str">
            <v/>
          </cell>
        </row>
        <row r="277">
          <cell r="A277">
            <v>31102192</v>
          </cell>
          <cell r="C277">
            <v>31102192</v>
          </cell>
          <cell r="D277">
            <v>31102192</v>
          </cell>
          <cell r="E277">
            <v>31102192</v>
          </cell>
          <cell r="F277">
            <v>31102192</v>
          </cell>
          <cell r="G277">
            <v>31102192</v>
          </cell>
          <cell r="H277">
            <v>31102192</v>
          </cell>
          <cell r="I277" t="str">
            <v/>
          </cell>
          <cell r="J277" t="str">
            <v/>
          </cell>
          <cell r="K277" t="str">
            <v/>
          </cell>
          <cell r="L277" t="str">
            <v/>
          </cell>
          <cell r="M277" t="str">
            <v/>
          </cell>
        </row>
        <row r="278">
          <cell r="A278">
            <v>31102192</v>
          </cell>
          <cell r="C278">
            <v>31102192</v>
          </cell>
          <cell r="D278">
            <v>31102192</v>
          </cell>
          <cell r="E278">
            <v>31102192</v>
          </cell>
          <cell r="F278">
            <v>31102192</v>
          </cell>
          <cell r="G278">
            <v>31102192</v>
          </cell>
          <cell r="H278">
            <v>31102192</v>
          </cell>
          <cell r="I278" t="str">
            <v/>
          </cell>
          <cell r="J278" t="str">
            <v/>
          </cell>
          <cell r="K278" t="str">
            <v/>
          </cell>
          <cell r="L278" t="str">
            <v/>
          </cell>
          <cell r="M278" t="str">
            <v/>
          </cell>
        </row>
        <row r="279">
          <cell r="A279">
            <v>31102192</v>
          </cell>
          <cell r="C279">
            <v>31102192</v>
          </cell>
          <cell r="D279">
            <v>31102192</v>
          </cell>
          <cell r="E279">
            <v>31102192</v>
          </cell>
          <cell r="F279">
            <v>31102192</v>
          </cell>
          <cell r="G279">
            <v>31102192</v>
          </cell>
          <cell r="H279">
            <v>31102192</v>
          </cell>
          <cell r="I279" t="str">
            <v/>
          </cell>
          <cell r="J279" t="str">
            <v/>
          </cell>
          <cell r="K279" t="str">
            <v/>
          </cell>
          <cell r="L279" t="str">
            <v/>
          </cell>
          <cell r="M279" t="str">
            <v/>
          </cell>
        </row>
        <row r="280">
          <cell r="A280">
            <v>31102192</v>
          </cell>
          <cell r="C280">
            <v>31102192</v>
          </cell>
          <cell r="D280">
            <v>31102192</v>
          </cell>
          <cell r="E280">
            <v>31102192</v>
          </cell>
          <cell r="F280">
            <v>31102192</v>
          </cell>
          <cell r="G280">
            <v>31102192</v>
          </cell>
          <cell r="H280">
            <v>31102192</v>
          </cell>
          <cell r="I280" t="str">
            <v/>
          </cell>
          <cell r="J280" t="str">
            <v/>
          </cell>
          <cell r="K280" t="str">
            <v/>
          </cell>
          <cell r="L280" t="str">
            <v/>
          </cell>
          <cell r="M280" t="str">
            <v/>
          </cell>
        </row>
        <row r="281">
          <cell r="A281">
            <v>31102192</v>
          </cell>
          <cell r="C281">
            <v>31102192</v>
          </cell>
          <cell r="D281">
            <v>31102192</v>
          </cell>
          <cell r="E281">
            <v>31102192</v>
          </cell>
          <cell r="F281">
            <v>31102192</v>
          </cell>
          <cell r="G281">
            <v>31102192</v>
          </cell>
          <cell r="H281">
            <v>31102192</v>
          </cell>
          <cell r="I281" t="str">
            <v/>
          </cell>
          <cell r="J281" t="str">
            <v/>
          </cell>
          <cell r="K281" t="str">
            <v/>
          </cell>
          <cell r="L281" t="str">
            <v/>
          </cell>
          <cell r="M281" t="str">
            <v/>
          </cell>
        </row>
        <row r="282">
          <cell r="A282">
            <v>31102192</v>
          </cell>
          <cell r="C282">
            <v>31102192</v>
          </cell>
          <cell r="D282">
            <v>31102192</v>
          </cell>
          <cell r="E282">
            <v>31102192</v>
          </cell>
          <cell r="F282">
            <v>31102192</v>
          </cell>
          <cell r="G282">
            <v>31102192</v>
          </cell>
          <cell r="H282">
            <v>31102192</v>
          </cell>
          <cell r="I282" t="str">
            <v/>
          </cell>
          <cell r="J282" t="str">
            <v/>
          </cell>
          <cell r="K282" t="str">
            <v/>
          </cell>
          <cell r="L282" t="str">
            <v/>
          </cell>
          <cell r="M282" t="str">
            <v/>
          </cell>
        </row>
        <row r="283">
          <cell r="A283">
            <v>31102192</v>
          </cell>
          <cell r="C283">
            <v>31102192</v>
          </cell>
          <cell r="D283">
            <v>31102192</v>
          </cell>
          <cell r="E283">
            <v>31102192</v>
          </cell>
          <cell r="F283">
            <v>31102192</v>
          </cell>
          <cell r="G283">
            <v>31102192</v>
          </cell>
          <cell r="H283">
            <v>31102192</v>
          </cell>
          <cell r="I283" t="str">
            <v/>
          </cell>
          <cell r="J283" t="str">
            <v/>
          </cell>
          <cell r="K283" t="str">
            <v/>
          </cell>
          <cell r="L283" t="str">
            <v/>
          </cell>
          <cell r="M283" t="str">
            <v/>
          </cell>
        </row>
        <row r="284">
          <cell r="A284">
            <v>31102192</v>
          </cell>
          <cell r="C284">
            <v>31102192</v>
          </cell>
          <cell r="D284">
            <v>31102192</v>
          </cell>
          <cell r="E284">
            <v>31102192</v>
          </cell>
          <cell r="F284">
            <v>31102192</v>
          </cell>
          <cell r="G284">
            <v>31102192</v>
          </cell>
          <cell r="H284">
            <v>31102192</v>
          </cell>
          <cell r="I284" t="str">
            <v/>
          </cell>
          <cell r="J284" t="str">
            <v/>
          </cell>
          <cell r="K284" t="str">
            <v/>
          </cell>
          <cell r="L284" t="str">
            <v/>
          </cell>
          <cell r="M284" t="str">
            <v/>
          </cell>
        </row>
        <row r="285">
          <cell r="A285">
            <v>31102192</v>
          </cell>
          <cell r="C285">
            <v>31102192</v>
          </cell>
          <cell r="D285">
            <v>31102192</v>
          </cell>
          <cell r="E285">
            <v>31102192</v>
          </cell>
          <cell r="F285">
            <v>31102192</v>
          </cell>
          <cell r="G285">
            <v>31102192</v>
          </cell>
          <cell r="H285">
            <v>31102192</v>
          </cell>
          <cell r="I285" t="str">
            <v/>
          </cell>
          <cell r="J285" t="str">
            <v/>
          </cell>
          <cell r="K285" t="str">
            <v/>
          </cell>
          <cell r="L285" t="str">
            <v/>
          </cell>
          <cell r="M285" t="str">
            <v/>
          </cell>
        </row>
        <row r="286">
          <cell r="A286">
            <v>31102192</v>
          </cell>
          <cell r="C286">
            <v>31102192</v>
          </cell>
          <cell r="D286">
            <v>31102192</v>
          </cell>
          <cell r="E286">
            <v>31102192</v>
          </cell>
          <cell r="F286">
            <v>31102192</v>
          </cell>
          <cell r="G286">
            <v>31102192</v>
          </cell>
          <cell r="H286">
            <v>31102192</v>
          </cell>
          <cell r="I286" t="str">
            <v/>
          </cell>
          <cell r="J286" t="str">
            <v/>
          </cell>
          <cell r="K286" t="str">
            <v/>
          </cell>
          <cell r="L286" t="str">
            <v/>
          </cell>
          <cell r="M286" t="str">
            <v/>
          </cell>
        </row>
        <row r="287">
          <cell r="A287">
            <v>31102192</v>
          </cell>
          <cell r="C287">
            <v>31102192</v>
          </cell>
          <cell r="D287">
            <v>31102192</v>
          </cell>
          <cell r="E287">
            <v>31102192</v>
          </cell>
          <cell r="F287">
            <v>31102192</v>
          </cell>
          <cell r="G287">
            <v>31102192</v>
          </cell>
          <cell r="H287">
            <v>31102192</v>
          </cell>
          <cell r="I287" t="str">
            <v/>
          </cell>
          <cell r="J287" t="str">
            <v/>
          </cell>
          <cell r="K287" t="str">
            <v/>
          </cell>
          <cell r="L287" t="str">
            <v/>
          </cell>
          <cell r="M287" t="str">
            <v/>
          </cell>
        </row>
        <row r="288">
          <cell r="A288">
            <v>31102192</v>
          </cell>
          <cell r="C288">
            <v>31102192</v>
          </cell>
          <cell r="D288">
            <v>31102192</v>
          </cell>
          <cell r="E288">
            <v>31102192</v>
          </cell>
          <cell r="F288">
            <v>31102192</v>
          </cell>
          <cell r="G288">
            <v>31102192</v>
          </cell>
          <cell r="H288">
            <v>31102192</v>
          </cell>
          <cell r="I288" t="str">
            <v/>
          </cell>
          <cell r="J288" t="str">
            <v/>
          </cell>
          <cell r="K288" t="str">
            <v/>
          </cell>
          <cell r="L288" t="str">
            <v/>
          </cell>
          <cell r="M288" t="str">
            <v/>
          </cell>
        </row>
        <row r="289">
          <cell r="A289">
            <v>31102192</v>
          </cell>
          <cell r="C289">
            <v>31102192</v>
          </cell>
          <cell r="D289">
            <v>31102192</v>
          </cell>
          <cell r="E289">
            <v>31102192</v>
          </cell>
          <cell r="F289">
            <v>31102192</v>
          </cell>
          <cell r="G289">
            <v>31102192</v>
          </cell>
          <cell r="H289">
            <v>31102192</v>
          </cell>
          <cell r="I289" t="str">
            <v/>
          </cell>
          <cell r="J289" t="str">
            <v/>
          </cell>
          <cell r="K289" t="str">
            <v/>
          </cell>
          <cell r="L289" t="str">
            <v/>
          </cell>
          <cell r="M289" t="str">
            <v/>
          </cell>
        </row>
        <row r="290">
          <cell r="A290">
            <v>31102192</v>
          </cell>
          <cell r="C290">
            <v>31102192</v>
          </cell>
          <cell r="D290">
            <v>31102192</v>
          </cell>
          <cell r="E290">
            <v>31102192</v>
          </cell>
          <cell r="F290">
            <v>31102192</v>
          </cell>
          <cell r="G290">
            <v>31102192</v>
          </cell>
          <cell r="H290">
            <v>31102192</v>
          </cell>
          <cell r="I290" t="str">
            <v/>
          </cell>
          <cell r="J290" t="str">
            <v/>
          </cell>
          <cell r="K290" t="str">
            <v/>
          </cell>
          <cell r="L290" t="str">
            <v/>
          </cell>
          <cell r="M290" t="str">
            <v/>
          </cell>
        </row>
        <row r="291">
          <cell r="A291">
            <v>31102192</v>
          </cell>
          <cell r="C291">
            <v>31102192</v>
          </cell>
          <cell r="D291">
            <v>31102192</v>
          </cell>
          <cell r="E291">
            <v>31102192</v>
          </cell>
          <cell r="F291">
            <v>31102192</v>
          </cell>
          <cell r="G291">
            <v>31102192</v>
          </cell>
          <cell r="H291">
            <v>31102192</v>
          </cell>
          <cell r="I291" t="str">
            <v/>
          </cell>
          <cell r="J291" t="str">
            <v/>
          </cell>
          <cell r="K291" t="str">
            <v/>
          </cell>
          <cell r="L291" t="str">
            <v/>
          </cell>
          <cell r="M291" t="str">
            <v/>
          </cell>
        </row>
        <row r="292">
          <cell r="A292">
            <v>31102192</v>
          </cell>
          <cell r="C292">
            <v>31102192</v>
          </cell>
          <cell r="D292">
            <v>31102192</v>
          </cell>
          <cell r="E292">
            <v>31102192</v>
          </cell>
          <cell r="F292">
            <v>31102192</v>
          </cell>
          <cell r="G292">
            <v>31102192</v>
          </cell>
          <cell r="H292">
            <v>31102192</v>
          </cell>
          <cell r="I292" t="str">
            <v/>
          </cell>
          <cell r="J292" t="str">
            <v/>
          </cell>
          <cell r="K292" t="str">
            <v/>
          </cell>
          <cell r="L292" t="str">
            <v/>
          </cell>
          <cell r="M292" t="str">
            <v/>
          </cell>
        </row>
        <row r="293">
          <cell r="A293">
            <v>31102192</v>
          </cell>
          <cell r="C293">
            <v>31102192</v>
          </cell>
          <cell r="D293">
            <v>31102192</v>
          </cell>
          <cell r="E293">
            <v>31102192</v>
          </cell>
          <cell r="F293">
            <v>31102192</v>
          </cell>
          <cell r="G293">
            <v>31102192</v>
          </cell>
          <cell r="H293">
            <v>31102192</v>
          </cell>
          <cell r="I293" t="str">
            <v/>
          </cell>
          <cell r="J293" t="str">
            <v/>
          </cell>
          <cell r="K293" t="str">
            <v/>
          </cell>
          <cell r="L293" t="str">
            <v/>
          </cell>
          <cell r="M293" t="str">
            <v/>
          </cell>
        </row>
        <row r="294">
          <cell r="A294">
            <v>31102192</v>
          </cell>
          <cell r="C294">
            <v>31102192</v>
          </cell>
          <cell r="D294">
            <v>31102192</v>
          </cell>
          <cell r="E294">
            <v>31102192</v>
          </cell>
          <cell r="F294">
            <v>31102192</v>
          </cell>
          <cell r="G294">
            <v>31102192</v>
          </cell>
          <cell r="H294">
            <v>31102192</v>
          </cell>
          <cell r="I294" t="str">
            <v/>
          </cell>
          <cell r="J294" t="str">
            <v/>
          </cell>
          <cell r="K294" t="str">
            <v/>
          </cell>
          <cell r="L294" t="str">
            <v/>
          </cell>
          <cell r="M294" t="str">
            <v/>
          </cell>
        </row>
        <row r="295">
          <cell r="A295">
            <v>31102192</v>
          </cell>
          <cell r="C295">
            <v>31102192</v>
          </cell>
          <cell r="D295">
            <v>31102192</v>
          </cell>
          <cell r="E295">
            <v>31102192</v>
          </cell>
          <cell r="F295">
            <v>31102192</v>
          </cell>
          <cell r="G295">
            <v>31102192</v>
          </cell>
          <cell r="H295">
            <v>31102192</v>
          </cell>
          <cell r="I295" t="str">
            <v/>
          </cell>
          <cell r="J295" t="str">
            <v/>
          </cell>
          <cell r="K295" t="str">
            <v/>
          </cell>
          <cell r="L295" t="str">
            <v/>
          </cell>
          <cell r="M295" t="str">
            <v/>
          </cell>
        </row>
        <row r="296">
          <cell r="A296">
            <v>31102192</v>
          </cell>
          <cell r="C296">
            <v>31102192</v>
          </cell>
          <cell r="D296">
            <v>31102192</v>
          </cell>
          <cell r="E296">
            <v>31102192</v>
          </cell>
          <cell r="F296">
            <v>31102192</v>
          </cell>
          <cell r="G296">
            <v>31102192</v>
          </cell>
          <cell r="H296">
            <v>31102192</v>
          </cell>
          <cell r="I296" t="str">
            <v/>
          </cell>
          <cell r="J296" t="str">
            <v/>
          </cell>
          <cell r="K296" t="str">
            <v/>
          </cell>
          <cell r="L296" t="str">
            <v/>
          </cell>
          <cell r="M296" t="str">
            <v/>
          </cell>
        </row>
        <row r="297">
          <cell r="A297">
            <v>31102192</v>
          </cell>
          <cell r="C297">
            <v>31102192</v>
          </cell>
          <cell r="D297">
            <v>31102192</v>
          </cell>
          <cell r="E297">
            <v>31102192</v>
          </cell>
          <cell r="F297">
            <v>31102192</v>
          </cell>
          <cell r="G297">
            <v>31102192</v>
          </cell>
          <cell r="H297">
            <v>31102192</v>
          </cell>
          <cell r="I297" t="str">
            <v/>
          </cell>
          <cell r="J297" t="str">
            <v/>
          </cell>
          <cell r="K297" t="str">
            <v/>
          </cell>
          <cell r="L297" t="str">
            <v/>
          </cell>
          <cell r="M297" t="str">
            <v/>
          </cell>
        </row>
        <row r="298">
          <cell r="A298">
            <v>31102192</v>
          </cell>
          <cell r="C298">
            <v>31102192</v>
          </cell>
          <cell r="D298">
            <v>31102192</v>
          </cell>
          <cell r="E298">
            <v>31102192</v>
          </cell>
          <cell r="F298">
            <v>31102192</v>
          </cell>
          <cell r="G298">
            <v>31102192</v>
          </cell>
          <cell r="H298">
            <v>31102192</v>
          </cell>
          <cell r="I298" t="str">
            <v/>
          </cell>
          <cell r="J298" t="str">
            <v/>
          </cell>
          <cell r="K298" t="str">
            <v/>
          </cell>
          <cell r="L298" t="str">
            <v/>
          </cell>
          <cell r="M298" t="str">
            <v/>
          </cell>
        </row>
        <row r="299">
          <cell r="A299">
            <v>31102192</v>
          </cell>
          <cell r="C299">
            <v>31102192</v>
          </cell>
          <cell r="D299">
            <v>31102192</v>
          </cell>
          <cell r="E299">
            <v>31102192</v>
          </cell>
          <cell r="F299">
            <v>31102192</v>
          </cell>
          <cell r="G299">
            <v>31102192</v>
          </cell>
          <cell r="H299">
            <v>31102192</v>
          </cell>
          <cell r="I299" t="str">
            <v/>
          </cell>
          <cell r="J299" t="str">
            <v/>
          </cell>
          <cell r="K299" t="str">
            <v/>
          </cell>
          <cell r="L299" t="str">
            <v/>
          </cell>
          <cell r="M299" t="str">
            <v/>
          </cell>
        </row>
        <row r="300">
          <cell r="A300">
            <v>31102192</v>
          </cell>
          <cell r="C300">
            <v>31102192</v>
          </cell>
          <cell r="D300">
            <v>31102192</v>
          </cell>
          <cell r="E300">
            <v>31102192</v>
          </cell>
          <cell r="F300">
            <v>31102192</v>
          </cell>
          <cell r="G300">
            <v>31102192</v>
          </cell>
          <cell r="H300">
            <v>31102192</v>
          </cell>
          <cell r="I300" t="str">
            <v/>
          </cell>
          <cell r="J300" t="str">
            <v/>
          </cell>
          <cell r="K300" t="str">
            <v/>
          </cell>
          <cell r="L300" t="str">
            <v/>
          </cell>
          <cell r="M300" t="str">
            <v/>
          </cell>
        </row>
        <row r="301">
          <cell r="A301">
            <v>31102192</v>
          </cell>
          <cell r="C301">
            <v>31102192</v>
          </cell>
          <cell r="D301">
            <v>31102192</v>
          </cell>
          <cell r="E301">
            <v>31102192</v>
          </cell>
          <cell r="F301">
            <v>31102192</v>
          </cell>
          <cell r="G301">
            <v>31102192</v>
          </cell>
          <cell r="H301">
            <v>31102192</v>
          </cell>
          <cell r="I301" t="str">
            <v/>
          </cell>
          <cell r="J301" t="str">
            <v/>
          </cell>
          <cell r="K301" t="str">
            <v/>
          </cell>
          <cell r="L301" t="str">
            <v/>
          </cell>
          <cell r="M301" t="str">
            <v/>
          </cell>
        </row>
        <row r="302">
          <cell r="A302">
            <v>31102192</v>
          </cell>
          <cell r="C302">
            <v>31102192</v>
          </cell>
          <cell r="D302">
            <v>31102192</v>
          </cell>
          <cell r="E302">
            <v>31102192</v>
          </cell>
          <cell r="F302">
            <v>31102192</v>
          </cell>
          <cell r="G302">
            <v>31102192</v>
          </cell>
          <cell r="H302">
            <v>31102192</v>
          </cell>
          <cell r="I302" t="str">
            <v/>
          </cell>
          <cell r="J302" t="str">
            <v/>
          </cell>
          <cell r="K302" t="str">
            <v/>
          </cell>
          <cell r="L302" t="str">
            <v/>
          </cell>
          <cell r="M302" t="str">
            <v/>
          </cell>
        </row>
        <row r="303">
          <cell r="A303">
            <v>31102192</v>
          </cell>
          <cell r="C303">
            <v>31102192</v>
          </cell>
          <cell r="D303">
            <v>31102192</v>
          </cell>
          <cell r="E303">
            <v>31102192</v>
          </cell>
          <cell r="F303">
            <v>31102192</v>
          </cell>
          <cell r="G303">
            <v>31102192</v>
          </cell>
          <cell r="H303">
            <v>31102192</v>
          </cell>
          <cell r="I303" t="str">
            <v/>
          </cell>
          <cell r="J303" t="str">
            <v/>
          </cell>
          <cell r="K303" t="str">
            <v/>
          </cell>
          <cell r="L303" t="str">
            <v/>
          </cell>
          <cell r="M303" t="str">
            <v/>
          </cell>
        </row>
        <row r="304">
          <cell r="A304">
            <v>31102192</v>
          </cell>
          <cell r="C304">
            <v>31102192</v>
          </cell>
          <cell r="D304">
            <v>31102192</v>
          </cell>
          <cell r="E304">
            <v>31102192</v>
          </cell>
          <cell r="F304">
            <v>31102192</v>
          </cell>
          <cell r="G304">
            <v>31102192</v>
          </cell>
          <cell r="H304">
            <v>31102192</v>
          </cell>
          <cell r="I304" t="str">
            <v/>
          </cell>
          <cell r="J304" t="str">
            <v/>
          </cell>
          <cell r="K304" t="str">
            <v/>
          </cell>
          <cell r="L304" t="str">
            <v/>
          </cell>
          <cell r="M304" t="str">
            <v/>
          </cell>
        </row>
        <row r="305">
          <cell r="A305">
            <v>31102192</v>
          </cell>
          <cell r="C305">
            <v>31102192</v>
          </cell>
          <cell r="D305">
            <v>31102192</v>
          </cell>
          <cell r="E305">
            <v>31102192</v>
          </cell>
          <cell r="F305">
            <v>31102192</v>
          </cell>
          <cell r="G305">
            <v>31102192</v>
          </cell>
          <cell r="H305">
            <v>31102192</v>
          </cell>
          <cell r="I305" t="str">
            <v/>
          </cell>
          <cell r="J305" t="str">
            <v/>
          </cell>
          <cell r="K305" t="str">
            <v/>
          </cell>
          <cell r="L305" t="str">
            <v/>
          </cell>
          <cell r="M305" t="str">
            <v/>
          </cell>
        </row>
        <row r="306">
          <cell r="A306">
            <v>31102192</v>
          </cell>
          <cell r="C306">
            <v>31102192</v>
          </cell>
          <cell r="D306">
            <v>31102192</v>
          </cell>
          <cell r="E306">
            <v>31102192</v>
          </cell>
          <cell r="F306">
            <v>31102192</v>
          </cell>
          <cell r="G306">
            <v>31102192</v>
          </cell>
          <cell r="H306">
            <v>31102192</v>
          </cell>
          <cell r="I306" t="str">
            <v/>
          </cell>
          <cell r="J306" t="str">
            <v/>
          </cell>
          <cell r="K306" t="str">
            <v/>
          </cell>
          <cell r="L306" t="str">
            <v/>
          </cell>
          <cell r="M306" t="str">
            <v/>
          </cell>
        </row>
        <row r="307">
          <cell r="A307">
            <v>31102192</v>
          </cell>
          <cell r="C307">
            <v>31102192</v>
          </cell>
          <cell r="D307">
            <v>31102192</v>
          </cell>
          <cell r="E307">
            <v>31102192</v>
          </cell>
          <cell r="F307">
            <v>31102192</v>
          </cell>
          <cell r="G307">
            <v>31102192</v>
          </cell>
          <cell r="H307">
            <v>31102192</v>
          </cell>
          <cell r="I307" t="str">
            <v/>
          </cell>
          <cell r="J307" t="str">
            <v/>
          </cell>
          <cell r="K307" t="str">
            <v/>
          </cell>
          <cell r="L307" t="str">
            <v/>
          </cell>
          <cell r="M307" t="str">
            <v/>
          </cell>
        </row>
        <row r="308">
          <cell r="A308">
            <v>31102192</v>
          </cell>
          <cell r="C308">
            <v>31102192</v>
          </cell>
          <cell r="D308">
            <v>31102192</v>
          </cell>
          <cell r="E308">
            <v>31102192</v>
          </cell>
          <cell r="F308">
            <v>31102192</v>
          </cell>
          <cell r="G308">
            <v>31102192</v>
          </cell>
          <cell r="H308">
            <v>31102192</v>
          </cell>
          <cell r="I308" t="str">
            <v/>
          </cell>
          <cell r="J308" t="str">
            <v/>
          </cell>
          <cell r="K308" t="str">
            <v/>
          </cell>
          <cell r="L308" t="str">
            <v/>
          </cell>
          <cell r="M308" t="str">
            <v/>
          </cell>
        </row>
        <row r="309">
          <cell r="A309">
            <v>31102192</v>
          </cell>
          <cell r="C309">
            <v>31102192</v>
          </cell>
          <cell r="D309">
            <v>31102192</v>
          </cell>
          <cell r="E309">
            <v>31102192</v>
          </cell>
          <cell r="F309">
            <v>31102192</v>
          </cell>
          <cell r="G309">
            <v>31102192</v>
          </cell>
          <cell r="H309">
            <v>31102192</v>
          </cell>
          <cell r="I309" t="str">
            <v/>
          </cell>
          <cell r="J309" t="str">
            <v/>
          </cell>
          <cell r="K309" t="str">
            <v/>
          </cell>
          <cell r="L309" t="str">
            <v/>
          </cell>
          <cell r="M309" t="str">
            <v/>
          </cell>
        </row>
        <row r="310">
          <cell r="A310">
            <v>31102192</v>
          </cell>
          <cell r="C310">
            <v>31102192</v>
          </cell>
          <cell r="D310">
            <v>31102192</v>
          </cell>
          <cell r="E310">
            <v>31102192</v>
          </cell>
          <cell r="F310">
            <v>31102192</v>
          </cell>
          <cell r="G310">
            <v>31102192</v>
          </cell>
          <cell r="H310">
            <v>31102192</v>
          </cell>
          <cell r="I310" t="str">
            <v/>
          </cell>
          <cell r="J310" t="str">
            <v/>
          </cell>
          <cell r="K310" t="str">
            <v/>
          </cell>
          <cell r="L310" t="str">
            <v/>
          </cell>
          <cell r="M310" t="str">
            <v/>
          </cell>
        </row>
        <row r="311">
          <cell r="A311">
            <v>31102192</v>
          </cell>
          <cell r="C311">
            <v>31102192</v>
          </cell>
          <cell r="D311">
            <v>31102192</v>
          </cell>
          <cell r="E311">
            <v>31102192</v>
          </cell>
          <cell r="F311">
            <v>31102192</v>
          </cell>
          <cell r="G311">
            <v>31102192</v>
          </cell>
          <cell r="H311">
            <v>31102192</v>
          </cell>
          <cell r="I311" t="str">
            <v/>
          </cell>
          <cell r="J311" t="str">
            <v/>
          </cell>
          <cell r="K311" t="str">
            <v/>
          </cell>
          <cell r="L311" t="str">
            <v/>
          </cell>
          <cell r="M311" t="str">
            <v/>
          </cell>
        </row>
        <row r="312">
          <cell r="A312">
            <v>31102192</v>
          </cell>
          <cell r="C312">
            <v>31102192</v>
          </cell>
          <cell r="D312">
            <v>31102192</v>
          </cell>
          <cell r="E312">
            <v>31102192</v>
          </cell>
          <cell r="F312">
            <v>31102192</v>
          </cell>
          <cell r="G312">
            <v>31102192</v>
          </cell>
          <cell r="H312">
            <v>31102192</v>
          </cell>
          <cell r="I312" t="str">
            <v/>
          </cell>
          <cell r="J312" t="str">
            <v/>
          </cell>
          <cell r="K312" t="str">
            <v/>
          </cell>
          <cell r="L312" t="str">
            <v/>
          </cell>
          <cell r="M312" t="str">
            <v/>
          </cell>
        </row>
        <row r="313">
          <cell r="A313">
            <v>31102192</v>
          </cell>
          <cell r="C313">
            <v>31102192</v>
          </cell>
          <cell r="D313">
            <v>31102192</v>
          </cell>
          <cell r="E313">
            <v>31102192</v>
          </cell>
          <cell r="F313">
            <v>31102192</v>
          </cell>
          <cell r="G313">
            <v>31102192</v>
          </cell>
          <cell r="H313">
            <v>31102192</v>
          </cell>
          <cell r="I313" t="str">
            <v/>
          </cell>
          <cell r="J313" t="str">
            <v/>
          </cell>
          <cell r="K313" t="str">
            <v/>
          </cell>
          <cell r="L313" t="str">
            <v/>
          </cell>
          <cell r="M313" t="str">
            <v/>
          </cell>
        </row>
        <row r="314">
          <cell r="A314">
            <v>31102192</v>
          </cell>
          <cell r="C314">
            <v>31102192</v>
          </cell>
          <cell r="D314">
            <v>31102192</v>
          </cell>
          <cell r="E314">
            <v>31102192</v>
          </cell>
          <cell r="F314">
            <v>31102192</v>
          </cell>
          <cell r="G314">
            <v>31102192</v>
          </cell>
          <cell r="H314">
            <v>31102192</v>
          </cell>
          <cell r="I314" t="str">
            <v/>
          </cell>
          <cell r="J314" t="str">
            <v/>
          </cell>
          <cell r="K314" t="str">
            <v/>
          </cell>
          <cell r="L314" t="str">
            <v/>
          </cell>
          <cell r="M314" t="str">
            <v/>
          </cell>
        </row>
        <row r="315">
          <cell r="A315">
            <v>31102192</v>
          </cell>
          <cell r="C315">
            <v>31102192</v>
          </cell>
          <cell r="D315">
            <v>31102192</v>
          </cell>
          <cell r="E315">
            <v>31102192</v>
          </cell>
          <cell r="F315">
            <v>31102192</v>
          </cell>
          <cell r="G315">
            <v>31102192</v>
          </cell>
          <cell r="H315">
            <v>31102192</v>
          </cell>
          <cell r="I315" t="str">
            <v/>
          </cell>
          <cell r="J315" t="str">
            <v/>
          </cell>
          <cell r="K315" t="str">
            <v/>
          </cell>
          <cell r="L315" t="str">
            <v/>
          </cell>
          <cell r="M315" t="str">
            <v/>
          </cell>
        </row>
        <row r="316">
          <cell r="A316">
            <v>31102192</v>
          </cell>
          <cell r="C316">
            <v>31102192</v>
          </cell>
          <cell r="D316">
            <v>31102192</v>
          </cell>
          <cell r="E316">
            <v>31102192</v>
          </cell>
          <cell r="F316">
            <v>31102192</v>
          </cell>
          <cell r="G316">
            <v>31102192</v>
          </cell>
          <cell r="H316">
            <v>31102192</v>
          </cell>
          <cell r="I316" t="str">
            <v/>
          </cell>
          <cell r="J316" t="str">
            <v/>
          </cell>
          <cell r="K316" t="str">
            <v/>
          </cell>
          <cell r="L316" t="str">
            <v/>
          </cell>
          <cell r="M316" t="str">
            <v/>
          </cell>
        </row>
        <row r="317">
          <cell r="A317">
            <v>31102192</v>
          </cell>
          <cell r="C317">
            <v>31102192</v>
          </cell>
          <cell r="D317">
            <v>31102192</v>
          </cell>
          <cell r="E317">
            <v>31102192</v>
          </cell>
          <cell r="F317">
            <v>31102192</v>
          </cell>
          <cell r="G317">
            <v>31102192</v>
          </cell>
          <cell r="H317">
            <v>31102192</v>
          </cell>
          <cell r="I317" t="str">
            <v/>
          </cell>
          <cell r="J317" t="str">
            <v/>
          </cell>
          <cell r="K317" t="str">
            <v/>
          </cell>
          <cell r="L317" t="str">
            <v/>
          </cell>
          <cell r="M317" t="str">
            <v/>
          </cell>
        </row>
        <row r="318">
          <cell r="A318">
            <v>31102192</v>
          </cell>
          <cell r="C318">
            <v>31102192</v>
          </cell>
          <cell r="D318">
            <v>31102192</v>
          </cell>
          <cell r="E318">
            <v>31102192</v>
          </cell>
          <cell r="F318">
            <v>31102192</v>
          </cell>
          <cell r="G318">
            <v>31102192</v>
          </cell>
          <cell r="H318">
            <v>31102192</v>
          </cell>
          <cell r="I318" t="str">
            <v/>
          </cell>
          <cell r="J318" t="str">
            <v/>
          </cell>
          <cell r="K318" t="str">
            <v/>
          </cell>
          <cell r="L318" t="str">
            <v/>
          </cell>
          <cell r="M318" t="str">
            <v/>
          </cell>
        </row>
        <row r="319">
          <cell r="A319">
            <v>31102192</v>
          </cell>
          <cell r="C319">
            <v>31102192</v>
          </cell>
          <cell r="D319">
            <v>31102192</v>
          </cell>
          <cell r="E319">
            <v>31102192</v>
          </cell>
          <cell r="F319">
            <v>31102192</v>
          </cell>
          <cell r="G319">
            <v>31102192</v>
          </cell>
          <cell r="H319">
            <v>31102192</v>
          </cell>
          <cell r="I319" t="str">
            <v/>
          </cell>
          <cell r="J319" t="str">
            <v/>
          </cell>
          <cell r="K319" t="str">
            <v/>
          </cell>
          <cell r="L319" t="str">
            <v/>
          </cell>
          <cell r="M319" t="str">
            <v/>
          </cell>
        </row>
        <row r="320">
          <cell r="A320">
            <v>31102192</v>
          </cell>
          <cell r="C320">
            <v>31102192</v>
          </cell>
          <cell r="D320">
            <v>31102192</v>
          </cell>
          <cell r="E320">
            <v>31102192</v>
          </cell>
          <cell r="F320">
            <v>31102192</v>
          </cell>
          <cell r="G320">
            <v>31102192</v>
          </cell>
          <cell r="H320">
            <v>31102192</v>
          </cell>
          <cell r="I320" t="str">
            <v/>
          </cell>
          <cell r="J320" t="str">
            <v/>
          </cell>
          <cell r="K320" t="str">
            <v/>
          </cell>
          <cell r="L320" t="str">
            <v/>
          </cell>
          <cell r="M320" t="str">
            <v/>
          </cell>
        </row>
        <row r="321">
          <cell r="A321">
            <v>31102192</v>
          </cell>
          <cell r="C321">
            <v>31102192</v>
          </cell>
          <cell r="D321">
            <v>31102192</v>
          </cell>
          <cell r="E321">
            <v>31102192</v>
          </cell>
          <cell r="F321">
            <v>31102192</v>
          </cell>
          <cell r="G321">
            <v>31102192</v>
          </cell>
          <cell r="H321">
            <v>31102192</v>
          </cell>
          <cell r="I321" t="str">
            <v/>
          </cell>
          <cell r="J321" t="str">
            <v/>
          </cell>
          <cell r="K321" t="str">
            <v/>
          </cell>
          <cell r="L321" t="str">
            <v/>
          </cell>
          <cell r="M321" t="str">
            <v/>
          </cell>
        </row>
        <row r="322">
          <cell r="A322">
            <v>31102192</v>
          </cell>
          <cell r="C322">
            <v>31102192</v>
          </cell>
          <cell r="D322">
            <v>31102192</v>
          </cell>
          <cell r="E322">
            <v>31102192</v>
          </cell>
          <cell r="F322">
            <v>31102192</v>
          </cell>
          <cell r="G322">
            <v>31102192</v>
          </cell>
          <cell r="H322">
            <v>31102192</v>
          </cell>
          <cell r="I322" t="str">
            <v/>
          </cell>
          <cell r="J322" t="str">
            <v/>
          </cell>
          <cell r="K322" t="str">
            <v/>
          </cell>
          <cell r="L322" t="str">
            <v/>
          </cell>
          <cell r="M322" t="str">
            <v/>
          </cell>
        </row>
        <row r="323">
          <cell r="A323">
            <v>31102192</v>
          </cell>
          <cell r="C323">
            <v>31102192</v>
          </cell>
          <cell r="D323">
            <v>31102192</v>
          </cell>
          <cell r="E323">
            <v>31102192</v>
          </cell>
          <cell r="F323">
            <v>31102192</v>
          </cell>
          <cell r="G323">
            <v>31102192</v>
          </cell>
          <cell r="H323">
            <v>31102192</v>
          </cell>
          <cell r="I323" t="str">
            <v/>
          </cell>
          <cell r="J323" t="str">
            <v/>
          </cell>
          <cell r="K323" t="str">
            <v/>
          </cell>
          <cell r="L323" t="str">
            <v/>
          </cell>
          <cell r="M323" t="str">
            <v/>
          </cell>
        </row>
        <row r="324">
          <cell r="A324">
            <v>31102192</v>
          </cell>
          <cell r="C324">
            <v>31102192</v>
          </cell>
          <cell r="D324">
            <v>31102192</v>
          </cell>
          <cell r="E324">
            <v>31102192</v>
          </cell>
          <cell r="F324">
            <v>31102192</v>
          </cell>
          <cell r="G324">
            <v>31102192</v>
          </cell>
          <cell r="H324">
            <v>31102192</v>
          </cell>
          <cell r="I324" t="str">
            <v/>
          </cell>
          <cell r="J324" t="str">
            <v/>
          </cell>
          <cell r="K324" t="str">
            <v/>
          </cell>
          <cell r="L324" t="str">
            <v/>
          </cell>
          <cell r="M324" t="str">
            <v/>
          </cell>
        </row>
        <row r="325">
          <cell r="A325">
            <v>31102192</v>
          </cell>
          <cell r="C325">
            <v>31102192</v>
          </cell>
          <cell r="D325">
            <v>31102192</v>
          </cell>
          <cell r="E325">
            <v>31102192</v>
          </cell>
          <cell r="F325">
            <v>31102192</v>
          </cell>
          <cell r="G325">
            <v>31102192</v>
          </cell>
          <cell r="H325">
            <v>31102192</v>
          </cell>
          <cell r="I325" t="str">
            <v/>
          </cell>
          <cell r="J325" t="str">
            <v/>
          </cell>
          <cell r="K325" t="str">
            <v/>
          </cell>
          <cell r="L325" t="str">
            <v/>
          </cell>
          <cell r="M325" t="str">
            <v/>
          </cell>
        </row>
        <row r="326">
          <cell r="A326">
            <v>31102192</v>
          </cell>
          <cell r="C326">
            <v>31102192</v>
          </cell>
          <cell r="D326">
            <v>31102192</v>
          </cell>
          <cell r="E326">
            <v>31102192</v>
          </cell>
          <cell r="F326">
            <v>31102192</v>
          </cell>
          <cell r="G326">
            <v>31102192</v>
          </cell>
          <cell r="H326">
            <v>31102192</v>
          </cell>
          <cell r="I326" t="str">
            <v/>
          </cell>
          <cell r="J326" t="str">
            <v/>
          </cell>
          <cell r="K326" t="str">
            <v/>
          </cell>
          <cell r="L326" t="str">
            <v/>
          </cell>
          <cell r="M326" t="str">
            <v/>
          </cell>
        </row>
        <row r="327">
          <cell r="A327">
            <v>31102192</v>
          </cell>
          <cell r="C327">
            <v>31102192</v>
          </cell>
          <cell r="D327">
            <v>31102192</v>
          </cell>
          <cell r="E327">
            <v>31102192</v>
          </cell>
          <cell r="F327">
            <v>31102192</v>
          </cell>
          <cell r="G327">
            <v>31102192</v>
          </cell>
          <cell r="H327">
            <v>31102192</v>
          </cell>
          <cell r="I327" t="str">
            <v/>
          </cell>
          <cell r="J327" t="str">
            <v/>
          </cell>
          <cell r="K327" t="str">
            <v/>
          </cell>
          <cell r="L327" t="str">
            <v/>
          </cell>
          <cell r="M327" t="str">
            <v/>
          </cell>
        </row>
        <row r="328">
          <cell r="A328">
            <v>31102192</v>
          </cell>
          <cell r="C328">
            <v>31102192</v>
          </cell>
          <cell r="D328">
            <v>31102192</v>
          </cell>
          <cell r="E328">
            <v>31102192</v>
          </cell>
          <cell r="F328">
            <v>31102192</v>
          </cell>
          <cell r="G328">
            <v>31102192</v>
          </cell>
          <cell r="H328">
            <v>31102192</v>
          </cell>
          <cell r="I328" t="str">
            <v/>
          </cell>
          <cell r="J328" t="str">
            <v/>
          </cell>
          <cell r="K328" t="str">
            <v/>
          </cell>
          <cell r="L328" t="str">
            <v/>
          </cell>
          <cell r="M328" t="str">
            <v/>
          </cell>
        </row>
        <row r="329">
          <cell r="A329">
            <v>31102192</v>
          </cell>
          <cell r="C329">
            <v>31102192</v>
          </cell>
          <cell r="D329">
            <v>31102192</v>
          </cell>
          <cell r="E329">
            <v>31102192</v>
          </cell>
          <cell r="F329">
            <v>31102192</v>
          </cell>
          <cell r="G329">
            <v>31102192</v>
          </cell>
          <cell r="H329">
            <v>31102192</v>
          </cell>
          <cell r="I329" t="str">
            <v/>
          </cell>
          <cell r="J329" t="str">
            <v/>
          </cell>
          <cell r="K329" t="str">
            <v/>
          </cell>
          <cell r="L329" t="str">
            <v/>
          </cell>
          <cell r="M329" t="str">
            <v/>
          </cell>
        </row>
        <row r="330">
          <cell r="A330">
            <v>31102192</v>
          </cell>
          <cell r="C330">
            <v>31102192</v>
          </cell>
          <cell r="D330">
            <v>31102192</v>
          </cell>
          <cell r="E330">
            <v>31102192</v>
          </cell>
          <cell r="F330">
            <v>31102192</v>
          </cell>
          <cell r="G330">
            <v>31102192</v>
          </cell>
          <cell r="H330">
            <v>31102192</v>
          </cell>
          <cell r="I330" t="str">
            <v/>
          </cell>
          <cell r="J330" t="str">
            <v/>
          </cell>
          <cell r="K330" t="str">
            <v/>
          </cell>
          <cell r="L330" t="str">
            <v/>
          </cell>
          <cell r="M330" t="str">
            <v/>
          </cell>
        </row>
        <row r="331">
          <cell r="A331">
            <v>31102192</v>
          </cell>
          <cell r="C331">
            <v>31102192</v>
          </cell>
          <cell r="D331">
            <v>31102192</v>
          </cell>
          <cell r="E331">
            <v>31102192</v>
          </cell>
          <cell r="F331">
            <v>31102192</v>
          </cell>
          <cell r="G331">
            <v>31102192</v>
          </cell>
          <cell r="H331">
            <v>31102192</v>
          </cell>
          <cell r="I331" t="str">
            <v/>
          </cell>
          <cell r="J331" t="str">
            <v/>
          </cell>
          <cell r="K331" t="str">
            <v/>
          </cell>
          <cell r="L331" t="str">
            <v/>
          </cell>
          <cell r="M331" t="str">
            <v/>
          </cell>
        </row>
        <row r="332">
          <cell r="A332">
            <v>31102192</v>
          </cell>
          <cell r="C332">
            <v>31102192</v>
          </cell>
          <cell r="D332">
            <v>31102192</v>
          </cell>
          <cell r="E332">
            <v>31102192</v>
          </cell>
          <cell r="F332">
            <v>31102192</v>
          </cell>
          <cell r="G332">
            <v>31102192</v>
          </cell>
          <cell r="H332">
            <v>31102192</v>
          </cell>
          <cell r="I332" t="str">
            <v/>
          </cell>
          <cell r="J332" t="str">
            <v/>
          </cell>
          <cell r="K332" t="str">
            <v/>
          </cell>
          <cell r="L332" t="str">
            <v/>
          </cell>
          <cell r="M332" t="str">
            <v/>
          </cell>
        </row>
        <row r="333">
          <cell r="A333">
            <v>31102192</v>
          </cell>
          <cell r="C333">
            <v>31102192</v>
          </cell>
          <cell r="D333">
            <v>31102192</v>
          </cell>
          <cell r="E333">
            <v>31102192</v>
          </cell>
          <cell r="F333">
            <v>31102192</v>
          </cell>
          <cell r="G333">
            <v>31102192</v>
          </cell>
          <cell r="H333">
            <v>31102192</v>
          </cell>
          <cell r="I333" t="str">
            <v/>
          </cell>
          <cell r="J333" t="str">
            <v/>
          </cell>
          <cell r="K333" t="str">
            <v/>
          </cell>
          <cell r="L333" t="str">
            <v/>
          </cell>
          <cell r="M333" t="str">
            <v/>
          </cell>
        </row>
        <row r="334">
          <cell r="A334">
            <v>31102192</v>
          </cell>
          <cell r="C334">
            <v>31102192</v>
          </cell>
          <cell r="D334">
            <v>31102192</v>
          </cell>
          <cell r="E334">
            <v>31102192</v>
          </cell>
          <cell r="F334">
            <v>31102192</v>
          </cell>
          <cell r="G334">
            <v>31102192</v>
          </cell>
          <cell r="H334">
            <v>31102192</v>
          </cell>
          <cell r="I334" t="str">
            <v/>
          </cell>
          <cell r="J334" t="str">
            <v/>
          </cell>
          <cell r="K334" t="str">
            <v/>
          </cell>
          <cell r="L334" t="str">
            <v/>
          </cell>
          <cell r="M334" t="str">
            <v/>
          </cell>
        </row>
        <row r="335">
          <cell r="A335">
            <v>31102192</v>
          </cell>
          <cell r="C335">
            <v>31102192</v>
          </cell>
          <cell r="D335">
            <v>31102192</v>
          </cell>
          <cell r="E335">
            <v>31102192</v>
          </cell>
          <cell r="F335">
            <v>31102192</v>
          </cell>
          <cell r="G335">
            <v>31102192</v>
          </cell>
          <cell r="H335">
            <v>31102192</v>
          </cell>
          <cell r="I335" t="str">
            <v/>
          </cell>
          <cell r="J335" t="str">
            <v/>
          </cell>
          <cell r="K335" t="str">
            <v/>
          </cell>
          <cell r="L335" t="str">
            <v/>
          </cell>
          <cell r="M335" t="str">
            <v/>
          </cell>
        </row>
        <row r="336">
          <cell r="A336">
            <v>31102192</v>
          </cell>
          <cell r="C336">
            <v>31102192</v>
          </cell>
          <cell r="D336">
            <v>31102192</v>
          </cell>
          <cell r="E336">
            <v>31102192</v>
          </cell>
          <cell r="F336">
            <v>31102192</v>
          </cell>
          <cell r="G336">
            <v>31102192</v>
          </cell>
          <cell r="H336">
            <v>31102192</v>
          </cell>
          <cell r="I336" t="str">
            <v/>
          </cell>
          <cell r="J336" t="str">
            <v/>
          </cell>
          <cell r="K336" t="str">
            <v/>
          </cell>
          <cell r="L336" t="str">
            <v/>
          </cell>
          <cell r="M336" t="str">
            <v/>
          </cell>
        </row>
        <row r="337">
          <cell r="A337">
            <v>31102192</v>
          </cell>
          <cell r="C337">
            <v>31102192</v>
          </cell>
          <cell r="D337">
            <v>31102192</v>
          </cell>
          <cell r="E337">
            <v>31102192</v>
          </cell>
          <cell r="F337">
            <v>31102192</v>
          </cell>
          <cell r="G337">
            <v>31102192</v>
          </cell>
          <cell r="H337">
            <v>31102192</v>
          </cell>
          <cell r="I337" t="str">
            <v/>
          </cell>
          <cell r="J337" t="str">
            <v/>
          </cell>
          <cell r="K337" t="str">
            <v/>
          </cell>
          <cell r="L337" t="str">
            <v/>
          </cell>
          <cell r="M337" t="str">
            <v/>
          </cell>
        </row>
        <row r="338">
          <cell r="A338">
            <v>31102192</v>
          </cell>
          <cell r="C338">
            <v>31102192</v>
          </cell>
          <cell r="D338">
            <v>31102192</v>
          </cell>
          <cell r="E338">
            <v>31102192</v>
          </cell>
          <cell r="F338">
            <v>31102192</v>
          </cell>
          <cell r="G338">
            <v>31102192</v>
          </cell>
          <cell r="H338">
            <v>31102192</v>
          </cell>
          <cell r="I338" t="str">
            <v/>
          </cell>
          <cell r="J338" t="str">
            <v/>
          </cell>
          <cell r="K338" t="str">
            <v/>
          </cell>
          <cell r="L338" t="str">
            <v/>
          </cell>
          <cell r="M338" t="str">
            <v/>
          </cell>
        </row>
        <row r="339">
          <cell r="A339">
            <v>31102192</v>
          </cell>
          <cell r="C339">
            <v>31102192</v>
          </cell>
          <cell r="D339">
            <v>31102192</v>
          </cell>
          <cell r="E339">
            <v>31102192</v>
          </cell>
          <cell r="F339">
            <v>31102192</v>
          </cell>
          <cell r="G339">
            <v>31102192</v>
          </cell>
          <cell r="H339">
            <v>31102192</v>
          </cell>
          <cell r="I339" t="str">
            <v/>
          </cell>
          <cell r="J339" t="str">
            <v/>
          </cell>
          <cell r="K339" t="str">
            <v/>
          </cell>
          <cell r="L339" t="str">
            <v/>
          </cell>
          <cell r="M339" t="str">
            <v/>
          </cell>
        </row>
        <row r="340">
          <cell r="A340">
            <v>31102192</v>
          </cell>
          <cell r="C340">
            <v>31102192</v>
          </cell>
          <cell r="D340">
            <v>31102192</v>
          </cell>
          <cell r="E340">
            <v>31102192</v>
          </cell>
          <cell r="F340">
            <v>31102192</v>
          </cell>
          <cell r="G340">
            <v>31102192</v>
          </cell>
          <cell r="H340">
            <v>31102192</v>
          </cell>
          <cell r="I340" t="str">
            <v/>
          </cell>
          <cell r="J340" t="str">
            <v/>
          </cell>
          <cell r="K340" t="str">
            <v/>
          </cell>
          <cell r="L340" t="str">
            <v/>
          </cell>
          <cell r="M340" t="str">
            <v/>
          </cell>
        </row>
        <row r="341">
          <cell r="A341">
            <v>31102192</v>
          </cell>
          <cell r="C341">
            <v>31102192</v>
          </cell>
          <cell r="D341">
            <v>31102192</v>
          </cell>
          <cell r="E341">
            <v>31102192</v>
          </cell>
          <cell r="F341">
            <v>31102192</v>
          </cell>
          <cell r="G341">
            <v>31102192</v>
          </cell>
          <cell r="H341">
            <v>31102192</v>
          </cell>
          <cell r="I341" t="str">
            <v/>
          </cell>
          <cell r="J341" t="str">
            <v/>
          </cell>
          <cell r="K341" t="str">
            <v/>
          </cell>
          <cell r="L341" t="str">
            <v/>
          </cell>
          <cell r="M341" t="str">
            <v/>
          </cell>
        </row>
        <row r="342">
          <cell r="A342">
            <v>31102192</v>
          </cell>
          <cell r="C342">
            <v>31102192</v>
          </cell>
          <cell r="D342">
            <v>31102192</v>
          </cell>
          <cell r="E342">
            <v>31102192</v>
          </cell>
          <cell r="F342">
            <v>31102192</v>
          </cell>
          <cell r="G342">
            <v>31102192</v>
          </cell>
          <cell r="H342">
            <v>31102192</v>
          </cell>
          <cell r="I342" t="str">
            <v/>
          </cell>
          <cell r="J342" t="str">
            <v/>
          </cell>
          <cell r="K342" t="str">
            <v/>
          </cell>
          <cell r="L342" t="str">
            <v/>
          </cell>
          <cell r="M342" t="str">
            <v/>
          </cell>
        </row>
        <row r="343">
          <cell r="A343">
            <v>31102192</v>
          </cell>
          <cell r="C343">
            <v>31102192</v>
          </cell>
          <cell r="D343">
            <v>31102192</v>
          </cell>
          <cell r="E343">
            <v>31102192</v>
          </cell>
          <cell r="F343">
            <v>31102192</v>
          </cell>
          <cell r="G343">
            <v>31102192</v>
          </cell>
          <cell r="H343">
            <v>31102192</v>
          </cell>
          <cell r="I343" t="str">
            <v/>
          </cell>
          <cell r="J343" t="str">
            <v/>
          </cell>
          <cell r="K343" t="str">
            <v/>
          </cell>
          <cell r="L343" t="str">
            <v/>
          </cell>
          <cell r="M343" t="str">
            <v/>
          </cell>
        </row>
        <row r="344">
          <cell r="A344">
            <v>31102192</v>
          </cell>
          <cell r="C344">
            <v>31102192</v>
          </cell>
          <cell r="D344">
            <v>31102192</v>
          </cell>
          <cell r="E344">
            <v>31102192</v>
          </cell>
          <cell r="F344">
            <v>31102192</v>
          </cell>
          <cell r="G344">
            <v>31102192</v>
          </cell>
          <cell r="H344">
            <v>31102192</v>
          </cell>
          <cell r="I344" t="str">
            <v/>
          </cell>
          <cell r="J344" t="str">
            <v/>
          </cell>
          <cell r="K344" t="str">
            <v/>
          </cell>
          <cell r="L344" t="str">
            <v/>
          </cell>
          <cell r="M344" t="str">
            <v/>
          </cell>
        </row>
        <row r="345">
          <cell r="A345">
            <v>31102192</v>
          </cell>
          <cell r="C345">
            <v>31102192</v>
          </cell>
          <cell r="D345">
            <v>31102192</v>
          </cell>
          <cell r="E345">
            <v>31102192</v>
          </cell>
          <cell r="F345">
            <v>31102192</v>
          </cell>
          <cell r="G345">
            <v>31102192</v>
          </cell>
          <cell r="H345">
            <v>31102192</v>
          </cell>
          <cell r="I345" t="str">
            <v/>
          </cell>
          <cell r="J345" t="str">
            <v/>
          </cell>
          <cell r="K345" t="str">
            <v/>
          </cell>
          <cell r="L345" t="str">
            <v/>
          </cell>
          <cell r="M345" t="str">
            <v/>
          </cell>
        </row>
        <row r="346">
          <cell r="A346">
            <v>31102192</v>
          </cell>
          <cell r="C346">
            <v>31102192</v>
          </cell>
          <cell r="D346">
            <v>31102192</v>
          </cell>
          <cell r="E346">
            <v>31102192</v>
          </cell>
          <cell r="F346">
            <v>31102192</v>
          </cell>
          <cell r="G346">
            <v>31102192</v>
          </cell>
          <cell r="H346">
            <v>31102192</v>
          </cell>
          <cell r="I346" t="str">
            <v/>
          </cell>
          <cell r="J346" t="str">
            <v/>
          </cell>
          <cell r="K346" t="str">
            <v/>
          </cell>
          <cell r="L346" t="str">
            <v/>
          </cell>
          <cell r="M346" t="str">
            <v/>
          </cell>
        </row>
        <row r="347">
          <cell r="A347">
            <v>31102192</v>
          </cell>
          <cell r="C347">
            <v>31102192</v>
          </cell>
          <cell r="D347">
            <v>31102192</v>
          </cell>
          <cell r="E347">
            <v>31102192</v>
          </cell>
          <cell r="F347">
            <v>31102192</v>
          </cell>
          <cell r="G347">
            <v>31102192</v>
          </cell>
          <cell r="H347">
            <v>31102192</v>
          </cell>
          <cell r="I347" t="str">
            <v/>
          </cell>
          <cell r="J347" t="str">
            <v/>
          </cell>
          <cell r="K347" t="str">
            <v/>
          </cell>
          <cell r="L347" t="str">
            <v/>
          </cell>
          <cell r="M347" t="str">
            <v/>
          </cell>
        </row>
        <row r="348">
          <cell r="A348">
            <v>31102192</v>
          </cell>
          <cell r="C348">
            <v>31102192</v>
          </cell>
          <cell r="D348">
            <v>31102192</v>
          </cell>
          <cell r="E348">
            <v>31102192</v>
          </cell>
          <cell r="F348">
            <v>31102192</v>
          </cell>
          <cell r="G348">
            <v>31102192</v>
          </cell>
          <cell r="H348">
            <v>31102192</v>
          </cell>
          <cell r="I348" t="str">
            <v/>
          </cell>
          <cell r="J348" t="str">
            <v/>
          </cell>
          <cell r="K348" t="str">
            <v/>
          </cell>
          <cell r="L348" t="str">
            <v/>
          </cell>
          <cell r="M348" t="str">
            <v/>
          </cell>
        </row>
        <row r="349">
          <cell r="A349">
            <v>31102192</v>
          </cell>
          <cell r="C349">
            <v>31102192</v>
          </cell>
          <cell r="D349">
            <v>31102192</v>
          </cell>
          <cell r="E349">
            <v>31102192</v>
          </cell>
          <cell r="F349">
            <v>31102192</v>
          </cell>
          <cell r="G349">
            <v>31102192</v>
          </cell>
          <cell r="H349">
            <v>31102192</v>
          </cell>
          <cell r="I349" t="str">
            <v/>
          </cell>
          <cell r="J349" t="str">
            <v/>
          </cell>
          <cell r="K349" t="str">
            <v/>
          </cell>
          <cell r="L349" t="str">
            <v/>
          </cell>
          <cell r="M349" t="str">
            <v/>
          </cell>
        </row>
        <row r="350">
          <cell r="A350">
            <v>31102192</v>
          </cell>
          <cell r="C350">
            <v>31102192</v>
          </cell>
          <cell r="D350">
            <v>31102192</v>
          </cell>
          <cell r="E350">
            <v>31102192</v>
          </cell>
          <cell r="F350">
            <v>31102192</v>
          </cell>
          <cell r="G350">
            <v>31102192</v>
          </cell>
          <cell r="H350">
            <v>31102192</v>
          </cell>
          <cell r="I350" t="str">
            <v/>
          </cell>
          <cell r="J350" t="str">
            <v/>
          </cell>
          <cell r="K350" t="str">
            <v/>
          </cell>
          <cell r="L350" t="str">
            <v/>
          </cell>
          <cell r="M350" t="str">
            <v/>
          </cell>
        </row>
        <row r="351">
          <cell r="A351">
            <v>31102192</v>
          </cell>
          <cell r="C351">
            <v>31102192</v>
          </cell>
          <cell r="D351">
            <v>31102192</v>
          </cell>
          <cell r="E351">
            <v>31102192</v>
          </cell>
          <cell r="F351">
            <v>31102192</v>
          </cell>
          <cell r="G351">
            <v>31102192</v>
          </cell>
          <cell r="H351">
            <v>31102192</v>
          </cell>
          <cell r="I351" t="str">
            <v/>
          </cell>
          <cell r="J351" t="str">
            <v/>
          </cell>
          <cell r="K351" t="str">
            <v/>
          </cell>
          <cell r="L351" t="str">
            <v/>
          </cell>
          <cell r="M351" t="str">
            <v/>
          </cell>
        </row>
        <row r="352">
          <cell r="A352">
            <v>31102192</v>
          </cell>
          <cell r="C352">
            <v>31102192</v>
          </cell>
          <cell r="D352">
            <v>31102192</v>
          </cell>
          <cell r="E352">
            <v>31102192</v>
          </cell>
          <cell r="F352">
            <v>31102192</v>
          </cell>
          <cell r="G352">
            <v>31102192</v>
          </cell>
          <cell r="H352">
            <v>31102192</v>
          </cell>
          <cell r="I352" t="str">
            <v/>
          </cell>
          <cell r="J352" t="str">
            <v/>
          </cell>
          <cell r="K352" t="str">
            <v/>
          </cell>
          <cell r="L352" t="str">
            <v/>
          </cell>
          <cell r="M352" t="str">
            <v/>
          </cell>
        </row>
        <row r="353">
          <cell r="A353">
            <v>31102192</v>
          </cell>
          <cell r="C353">
            <v>31102192</v>
          </cell>
          <cell r="D353">
            <v>31102192</v>
          </cell>
          <cell r="E353">
            <v>31102192</v>
          </cell>
          <cell r="F353">
            <v>31102192</v>
          </cell>
          <cell r="G353">
            <v>31102192</v>
          </cell>
          <cell r="H353">
            <v>31102192</v>
          </cell>
          <cell r="I353" t="str">
            <v/>
          </cell>
          <cell r="J353" t="str">
            <v/>
          </cell>
          <cell r="K353" t="str">
            <v/>
          </cell>
          <cell r="L353" t="str">
            <v/>
          </cell>
          <cell r="M353" t="str">
            <v/>
          </cell>
        </row>
        <row r="354">
          <cell r="A354">
            <v>31102192</v>
          </cell>
          <cell r="C354">
            <v>31102192</v>
          </cell>
          <cell r="D354">
            <v>31102192</v>
          </cell>
          <cell r="E354">
            <v>31102192</v>
          </cell>
          <cell r="F354">
            <v>31102192</v>
          </cell>
          <cell r="G354">
            <v>31102192</v>
          </cell>
          <cell r="H354">
            <v>31102192</v>
          </cell>
          <cell r="I354" t="str">
            <v/>
          </cell>
          <cell r="J354" t="str">
            <v/>
          </cell>
          <cell r="K354" t="str">
            <v/>
          </cell>
          <cell r="L354" t="str">
            <v/>
          </cell>
          <cell r="M354" t="str">
            <v/>
          </cell>
        </row>
        <row r="355">
          <cell r="A355">
            <v>31102192</v>
          </cell>
          <cell r="C355">
            <v>31102192</v>
          </cell>
          <cell r="D355">
            <v>31102192</v>
          </cell>
          <cell r="E355">
            <v>31102192</v>
          </cell>
          <cell r="F355">
            <v>31102192</v>
          </cell>
          <cell r="G355">
            <v>31102192</v>
          </cell>
          <cell r="H355">
            <v>31102192</v>
          </cell>
          <cell r="I355" t="str">
            <v/>
          </cell>
          <cell r="J355" t="str">
            <v/>
          </cell>
          <cell r="K355" t="str">
            <v/>
          </cell>
          <cell r="L355" t="str">
            <v/>
          </cell>
          <cell r="M355" t="str">
            <v/>
          </cell>
        </row>
        <row r="356">
          <cell r="A356">
            <v>31102192</v>
          </cell>
          <cell r="C356">
            <v>31102192</v>
          </cell>
          <cell r="D356">
            <v>31102192</v>
          </cell>
          <cell r="E356">
            <v>31102192</v>
          </cell>
          <cell r="F356">
            <v>31102192</v>
          </cell>
          <cell r="G356">
            <v>31102192</v>
          </cell>
          <cell r="H356">
            <v>31102192</v>
          </cell>
          <cell r="I356" t="str">
            <v/>
          </cell>
          <cell r="J356" t="str">
            <v/>
          </cell>
          <cell r="K356" t="str">
            <v/>
          </cell>
          <cell r="L356" t="str">
            <v/>
          </cell>
          <cell r="M356" t="str">
            <v/>
          </cell>
        </row>
        <row r="357">
          <cell r="A357">
            <v>31102192</v>
          </cell>
          <cell r="C357">
            <v>31102192</v>
          </cell>
          <cell r="D357">
            <v>31102192</v>
          </cell>
          <cell r="E357">
            <v>31102192</v>
          </cell>
          <cell r="F357">
            <v>31102192</v>
          </cell>
          <cell r="G357">
            <v>31102192</v>
          </cell>
          <cell r="H357">
            <v>31102192</v>
          </cell>
          <cell r="I357" t="str">
            <v/>
          </cell>
          <cell r="J357" t="str">
            <v/>
          </cell>
          <cell r="K357" t="str">
            <v/>
          </cell>
          <cell r="L357" t="str">
            <v/>
          </cell>
          <cell r="M357" t="str">
            <v/>
          </cell>
        </row>
        <row r="358">
          <cell r="A358">
            <v>31102192</v>
          </cell>
          <cell r="C358">
            <v>31102192</v>
          </cell>
          <cell r="D358">
            <v>31102192</v>
          </cell>
          <cell r="E358">
            <v>31102192</v>
          </cell>
          <cell r="F358">
            <v>31102192</v>
          </cell>
          <cell r="G358">
            <v>31102192</v>
          </cell>
          <cell r="H358">
            <v>31102192</v>
          </cell>
          <cell r="I358" t="str">
            <v/>
          </cell>
          <cell r="J358" t="str">
            <v/>
          </cell>
          <cell r="K358" t="str">
            <v/>
          </cell>
          <cell r="L358" t="str">
            <v/>
          </cell>
          <cell r="M358" t="str">
            <v/>
          </cell>
        </row>
        <row r="359">
          <cell r="A359">
            <v>31102192</v>
          </cell>
          <cell r="C359">
            <v>31102192</v>
          </cell>
          <cell r="D359">
            <v>31102192</v>
          </cell>
          <cell r="E359">
            <v>31102192</v>
          </cell>
          <cell r="F359">
            <v>31102192</v>
          </cell>
          <cell r="G359">
            <v>31102192</v>
          </cell>
          <cell r="H359">
            <v>31102192</v>
          </cell>
          <cell r="I359" t="str">
            <v/>
          </cell>
          <cell r="J359" t="str">
            <v/>
          </cell>
          <cell r="K359" t="str">
            <v/>
          </cell>
          <cell r="L359" t="str">
            <v/>
          </cell>
          <cell r="M359" t="str">
            <v/>
          </cell>
        </row>
        <row r="360">
          <cell r="A360">
            <v>31102192</v>
          </cell>
          <cell r="C360">
            <v>31102192</v>
          </cell>
          <cell r="D360">
            <v>31102192</v>
          </cell>
          <cell r="E360">
            <v>31102192</v>
          </cell>
          <cell r="F360">
            <v>31102192</v>
          </cell>
          <cell r="G360">
            <v>31102192</v>
          </cell>
          <cell r="H360">
            <v>31102192</v>
          </cell>
          <cell r="I360" t="str">
            <v/>
          </cell>
          <cell r="J360" t="str">
            <v/>
          </cell>
          <cell r="K360" t="str">
            <v/>
          </cell>
          <cell r="L360" t="str">
            <v/>
          </cell>
          <cell r="M360" t="str">
            <v/>
          </cell>
        </row>
        <row r="361">
          <cell r="A361">
            <v>31102192</v>
          </cell>
          <cell r="C361">
            <v>31102192</v>
          </cell>
          <cell r="D361">
            <v>31102192</v>
          </cell>
          <cell r="E361">
            <v>31102192</v>
          </cell>
          <cell r="F361">
            <v>31102192</v>
          </cell>
          <cell r="G361">
            <v>31102192</v>
          </cell>
          <cell r="H361">
            <v>31102192</v>
          </cell>
          <cell r="I361" t="str">
            <v/>
          </cell>
          <cell r="J361" t="str">
            <v/>
          </cell>
          <cell r="K361" t="str">
            <v/>
          </cell>
          <cell r="L361" t="str">
            <v/>
          </cell>
          <cell r="M361" t="str">
            <v/>
          </cell>
        </row>
        <row r="362">
          <cell r="A362">
            <v>31102192</v>
          </cell>
          <cell r="C362">
            <v>31102192</v>
          </cell>
          <cell r="D362">
            <v>31102192</v>
          </cell>
          <cell r="E362">
            <v>31102192</v>
          </cell>
          <cell r="F362">
            <v>31102192</v>
          </cell>
          <cell r="G362">
            <v>31102192</v>
          </cell>
          <cell r="H362">
            <v>31102192</v>
          </cell>
          <cell r="I362" t="str">
            <v/>
          </cell>
          <cell r="J362" t="str">
            <v/>
          </cell>
          <cell r="K362" t="str">
            <v/>
          </cell>
          <cell r="L362" t="str">
            <v/>
          </cell>
          <cell r="M362" t="str">
            <v/>
          </cell>
        </row>
        <row r="363">
          <cell r="A363">
            <v>31102192</v>
          </cell>
          <cell r="C363">
            <v>31102192</v>
          </cell>
          <cell r="D363">
            <v>31102192</v>
          </cell>
          <cell r="E363">
            <v>31102192</v>
          </cell>
          <cell r="F363">
            <v>31102192</v>
          </cell>
          <cell r="G363">
            <v>31102192</v>
          </cell>
          <cell r="H363">
            <v>31102192</v>
          </cell>
          <cell r="I363" t="str">
            <v/>
          </cell>
          <cell r="J363" t="str">
            <v/>
          </cell>
          <cell r="K363" t="str">
            <v/>
          </cell>
          <cell r="L363" t="str">
            <v/>
          </cell>
          <cell r="M363" t="str">
            <v/>
          </cell>
        </row>
        <row r="364">
          <cell r="A364">
            <v>31102192</v>
          </cell>
          <cell r="C364">
            <v>31102192</v>
          </cell>
          <cell r="D364">
            <v>31102192</v>
          </cell>
          <cell r="E364">
            <v>31102192</v>
          </cell>
          <cell r="F364">
            <v>31102192</v>
          </cell>
          <cell r="G364">
            <v>31102192</v>
          </cell>
          <cell r="H364">
            <v>31102192</v>
          </cell>
          <cell r="I364" t="str">
            <v/>
          </cell>
          <cell r="J364" t="str">
            <v/>
          </cell>
          <cell r="K364" t="str">
            <v/>
          </cell>
          <cell r="L364" t="str">
            <v/>
          </cell>
          <cell r="M364" t="str">
            <v/>
          </cell>
        </row>
        <row r="365">
          <cell r="A365">
            <v>31102192</v>
          </cell>
          <cell r="C365">
            <v>31102192</v>
          </cell>
          <cell r="D365">
            <v>31102192</v>
          </cell>
          <cell r="E365">
            <v>31102192</v>
          </cell>
          <cell r="F365">
            <v>31102192</v>
          </cell>
          <cell r="G365">
            <v>31102192</v>
          </cell>
          <cell r="H365">
            <v>31102192</v>
          </cell>
          <cell r="I365" t="str">
            <v/>
          </cell>
          <cell r="J365" t="str">
            <v/>
          </cell>
          <cell r="K365" t="str">
            <v/>
          </cell>
          <cell r="L365" t="str">
            <v/>
          </cell>
          <cell r="M365" t="str">
            <v/>
          </cell>
        </row>
        <row r="366">
          <cell r="A366">
            <v>31102192</v>
          </cell>
          <cell r="C366">
            <v>31102192</v>
          </cell>
          <cell r="D366">
            <v>31102192</v>
          </cell>
          <cell r="E366">
            <v>31102192</v>
          </cell>
          <cell r="F366">
            <v>31102192</v>
          </cell>
          <cell r="G366">
            <v>31102192</v>
          </cell>
          <cell r="H366">
            <v>31102192</v>
          </cell>
          <cell r="I366" t="str">
            <v/>
          </cell>
          <cell r="J366" t="str">
            <v/>
          </cell>
          <cell r="K366" t="str">
            <v/>
          </cell>
          <cell r="L366" t="str">
            <v/>
          </cell>
          <cell r="M366" t="str">
            <v/>
          </cell>
        </row>
        <row r="367">
          <cell r="A367">
            <v>31102192</v>
          </cell>
          <cell r="C367">
            <v>31102192</v>
          </cell>
          <cell r="D367">
            <v>31102192</v>
          </cell>
          <cell r="E367">
            <v>31102192</v>
          </cell>
          <cell r="F367">
            <v>31102192</v>
          </cell>
          <cell r="G367">
            <v>31102192</v>
          </cell>
          <cell r="H367">
            <v>31102192</v>
          </cell>
          <cell r="I367" t="str">
            <v/>
          </cell>
          <cell r="J367" t="str">
            <v/>
          </cell>
          <cell r="K367" t="str">
            <v/>
          </cell>
          <cell r="L367" t="str">
            <v/>
          </cell>
          <cell r="M367" t="str">
            <v/>
          </cell>
        </row>
        <row r="368">
          <cell r="A368">
            <v>31102192</v>
          </cell>
          <cell r="C368">
            <v>31102192</v>
          </cell>
          <cell r="D368">
            <v>31102192</v>
          </cell>
          <cell r="E368">
            <v>31102192</v>
          </cell>
          <cell r="F368">
            <v>31102192</v>
          </cell>
          <cell r="G368">
            <v>31102192</v>
          </cell>
          <cell r="H368">
            <v>31102192</v>
          </cell>
          <cell r="I368" t="str">
            <v/>
          </cell>
          <cell r="J368" t="str">
            <v/>
          </cell>
          <cell r="K368" t="str">
            <v/>
          </cell>
          <cell r="L368" t="str">
            <v/>
          </cell>
          <cell r="M368" t="str">
            <v/>
          </cell>
        </row>
        <row r="369">
          <cell r="A369">
            <v>31102192</v>
          </cell>
          <cell r="C369">
            <v>31102192</v>
          </cell>
          <cell r="D369">
            <v>31102192</v>
          </cell>
          <cell r="E369">
            <v>31102192</v>
          </cell>
          <cell r="F369">
            <v>31102192</v>
          </cell>
          <cell r="G369">
            <v>31102192</v>
          </cell>
          <cell r="H369">
            <v>31102192</v>
          </cell>
          <cell r="I369" t="str">
            <v/>
          </cell>
          <cell r="J369" t="str">
            <v/>
          </cell>
          <cell r="K369" t="str">
            <v/>
          </cell>
          <cell r="L369" t="str">
            <v/>
          </cell>
          <cell r="M369" t="str">
            <v/>
          </cell>
        </row>
        <row r="370">
          <cell r="A370">
            <v>31102192</v>
          </cell>
          <cell r="C370">
            <v>31102192</v>
          </cell>
          <cell r="D370">
            <v>31102192</v>
          </cell>
          <cell r="E370">
            <v>31102192</v>
          </cell>
          <cell r="F370">
            <v>31102192</v>
          </cell>
          <cell r="G370">
            <v>31102192</v>
          </cell>
          <cell r="H370">
            <v>31102192</v>
          </cell>
          <cell r="I370" t="str">
            <v/>
          </cell>
          <cell r="J370" t="str">
            <v/>
          </cell>
          <cell r="K370" t="str">
            <v/>
          </cell>
          <cell r="L370" t="str">
            <v/>
          </cell>
          <cell r="M370" t="str">
            <v/>
          </cell>
        </row>
        <row r="371">
          <cell r="A371">
            <v>31102192</v>
          </cell>
          <cell r="C371">
            <v>31102192</v>
          </cell>
          <cell r="D371">
            <v>31102192</v>
          </cell>
          <cell r="E371">
            <v>31102192</v>
          </cell>
          <cell r="F371">
            <v>31102192</v>
          </cell>
          <cell r="G371">
            <v>31102192</v>
          </cell>
          <cell r="H371">
            <v>31102192</v>
          </cell>
          <cell r="I371" t="str">
            <v/>
          </cell>
          <cell r="J371" t="str">
            <v/>
          </cell>
          <cell r="K371" t="str">
            <v/>
          </cell>
          <cell r="L371" t="str">
            <v/>
          </cell>
          <cell r="M371" t="str">
            <v/>
          </cell>
        </row>
        <row r="372">
          <cell r="A372">
            <v>31102192</v>
          </cell>
          <cell r="C372">
            <v>31102192</v>
          </cell>
          <cell r="D372">
            <v>31102192</v>
          </cell>
          <cell r="E372">
            <v>31102192</v>
          </cell>
          <cell r="F372">
            <v>31102192</v>
          </cell>
          <cell r="G372">
            <v>31102192</v>
          </cell>
          <cell r="H372">
            <v>31102192</v>
          </cell>
          <cell r="I372" t="str">
            <v/>
          </cell>
          <cell r="J372" t="str">
            <v/>
          </cell>
          <cell r="K372" t="str">
            <v/>
          </cell>
          <cell r="L372" t="str">
            <v/>
          </cell>
          <cell r="M372" t="str">
            <v/>
          </cell>
        </row>
        <row r="373">
          <cell r="A373">
            <v>31102192</v>
          </cell>
          <cell r="C373">
            <v>31102192</v>
          </cell>
          <cell r="D373">
            <v>31102192</v>
          </cell>
          <cell r="E373">
            <v>31102192</v>
          </cell>
          <cell r="F373">
            <v>31102192</v>
          </cell>
          <cell r="G373">
            <v>31102192</v>
          </cell>
          <cell r="H373">
            <v>31102192</v>
          </cell>
          <cell r="I373" t="str">
            <v/>
          </cell>
          <cell r="J373" t="str">
            <v/>
          </cell>
          <cell r="K373" t="str">
            <v/>
          </cell>
          <cell r="L373" t="str">
            <v/>
          </cell>
          <cell r="M373" t="str">
            <v/>
          </cell>
        </row>
        <row r="374">
          <cell r="A374">
            <v>31102192</v>
          </cell>
          <cell r="C374">
            <v>31102192</v>
          </cell>
          <cell r="D374">
            <v>31102192</v>
          </cell>
          <cell r="E374">
            <v>31102192</v>
          </cell>
          <cell r="F374">
            <v>31102192</v>
          </cell>
          <cell r="G374">
            <v>31102192</v>
          </cell>
          <cell r="H374">
            <v>31102192</v>
          </cell>
          <cell r="I374" t="str">
            <v/>
          </cell>
          <cell r="J374" t="str">
            <v/>
          </cell>
          <cell r="K374" t="str">
            <v/>
          </cell>
          <cell r="L374" t="str">
            <v/>
          </cell>
          <cell r="M374" t="str">
            <v/>
          </cell>
        </row>
        <row r="375">
          <cell r="A375">
            <v>31102192</v>
          </cell>
          <cell r="C375">
            <v>31102192</v>
          </cell>
          <cell r="D375">
            <v>31102192</v>
          </cell>
          <cell r="E375">
            <v>31102192</v>
          </cell>
          <cell r="F375">
            <v>31102192</v>
          </cell>
          <cell r="G375">
            <v>31102192</v>
          </cell>
          <cell r="H375">
            <v>31102192</v>
          </cell>
          <cell r="I375" t="str">
            <v/>
          </cell>
          <cell r="J375" t="str">
            <v/>
          </cell>
          <cell r="K375" t="str">
            <v/>
          </cell>
          <cell r="L375" t="str">
            <v/>
          </cell>
          <cell r="M375" t="str">
            <v/>
          </cell>
        </row>
        <row r="376">
          <cell r="A376">
            <v>31102192</v>
          </cell>
          <cell r="C376">
            <v>31102192</v>
          </cell>
          <cell r="D376">
            <v>31102192</v>
          </cell>
          <cell r="E376">
            <v>31102192</v>
          </cell>
          <cell r="F376">
            <v>31102192</v>
          </cell>
          <cell r="G376">
            <v>31102192</v>
          </cell>
          <cell r="H376">
            <v>31102192</v>
          </cell>
          <cell r="I376" t="str">
            <v/>
          </cell>
          <cell r="J376" t="str">
            <v/>
          </cell>
          <cell r="K376" t="str">
            <v/>
          </cell>
          <cell r="L376" t="str">
            <v/>
          </cell>
          <cell r="M376" t="str">
            <v/>
          </cell>
        </row>
        <row r="377">
          <cell r="A377">
            <v>31102192</v>
          </cell>
          <cell r="C377">
            <v>31102192</v>
          </cell>
          <cell r="D377">
            <v>31102192</v>
          </cell>
          <cell r="E377">
            <v>31102192</v>
          </cell>
          <cell r="F377">
            <v>31102192</v>
          </cell>
          <cell r="G377">
            <v>31102192</v>
          </cell>
          <cell r="H377">
            <v>31102192</v>
          </cell>
          <cell r="I377" t="str">
            <v/>
          </cell>
          <cell r="J377" t="str">
            <v/>
          </cell>
          <cell r="K377" t="str">
            <v/>
          </cell>
          <cell r="L377" t="str">
            <v/>
          </cell>
          <cell r="M377" t="str">
            <v/>
          </cell>
        </row>
        <row r="378">
          <cell r="A378">
            <v>31102192</v>
          </cell>
          <cell r="C378">
            <v>31102192</v>
          </cell>
          <cell r="D378">
            <v>31102192</v>
          </cell>
          <cell r="E378">
            <v>31102192</v>
          </cell>
          <cell r="F378">
            <v>31102192</v>
          </cell>
          <cell r="G378">
            <v>31102192</v>
          </cell>
          <cell r="H378">
            <v>31102192</v>
          </cell>
          <cell r="I378" t="str">
            <v/>
          </cell>
          <cell r="J378" t="str">
            <v/>
          </cell>
          <cell r="K378" t="str">
            <v/>
          </cell>
          <cell r="L378" t="str">
            <v/>
          </cell>
          <cell r="M378" t="str">
            <v/>
          </cell>
        </row>
        <row r="379">
          <cell r="A379">
            <v>31102192</v>
          </cell>
          <cell r="C379">
            <v>31102192</v>
          </cell>
          <cell r="D379">
            <v>31102192</v>
          </cell>
          <cell r="E379">
            <v>31102192</v>
          </cell>
          <cell r="F379">
            <v>31102192</v>
          </cell>
          <cell r="G379">
            <v>31102192</v>
          </cell>
          <cell r="H379">
            <v>31102192</v>
          </cell>
          <cell r="I379" t="str">
            <v/>
          </cell>
          <cell r="J379" t="str">
            <v/>
          </cell>
          <cell r="K379" t="str">
            <v/>
          </cell>
          <cell r="L379" t="str">
            <v/>
          </cell>
          <cell r="M379" t="str">
            <v/>
          </cell>
        </row>
        <row r="380">
          <cell r="A380">
            <v>31102192</v>
          </cell>
          <cell r="C380">
            <v>31102192</v>
          </cell>
          <cell r="D380">
            <v>31102192</v>
          </cell>
          <cell r="E380">
            <v>31102192</v>
          </cell>
          <cell r="F380">
            <v>31102192</v>
          </cell>
          <cell r="G380">
            <v>31102192</v>
          </cell>
          <cell r="H380">
            <v>31102192</v>
          </cell>
          <cell r="I380" t="str">
            <v/>
          </cell>
          <cell r="J380" t="str">
            <v/>
          </cell>
          <cell r="K380" t="str">
            <v/>
          </cell>
          <cell r="L380" t="str">
            <v/>
          </cell>
          <cell r="M380" t="str">
            <v/>
          </cell>
        </row>
        <row r="381">
          <cell r="A381">
            <v>31102192</v>
          </cell>
          <cell r="C381">
            <v>31102192</v>
          </cell>
          <cell r="D381">
            <v>31102192</v>
          </cell>
          <cell r="E381">
            <v>31102192</v>
          </cell>
          <cell r="F381">
            <v>31102192</v>
          </cell>
          <cell r="G381">
            <v>31102192</v>
          </cell>
          <cell r="H381">
            <v>31102192</v>
          </cell>
          <cell r="I381" t="str">
            <v/>
          </cell>
          <cell r="J381" t="str">
            <v/>
          </cell>
          <cell r="K381" t="str">
            <v/>
          </cell>
          <cell r="L381" t="str">
            <v/>
          </cell>
          <cell r="M381" t="str">
            <v/>
          </cell>
        </row>
        <row r="382">
          <cell r="A382">
            <v>31102192</v>
          </cell>
          <cell r="C382">
            <v>31102192</v>
          </cell>
          <cell r="D382">
            <v>31102192</v>
          </cell>
          <cell r="E382">
            <v>31102192</v>
          </cell>
          <cell r="F382">
            <v>31102192</v>
          </cell>
          <cell r="G382">
            <v>31102192</v>
          </cell>
          <cell r="H382">
            <v>31102192</v>
          </cell>
          <cell r="I382" t="str">
            <v/>
          </cell>
          <cell r="J382" t="str">
            <v/>
          </cell>
          <cell r="K382" t="str">
            <v/>
          </cell>
          <cell r="L382" t="str">
            <v/>
          </cell>
          <cell r="M382" t="str">
            <v/>
          </cell>
        </row>
        <row r="383">
          <cell r="A383">
            <v>31102192</v>
          </cell>
          <cell r="C383">
            <v>31102192</v>
          </cell>
          <cell r="D383">
            <v>31102192</v>
          </cell>
          <cell r="E383">
            <v>31102192</v>
          </cell>
          <cell r="F383">
            <v>31102192</v>
          </cell>
          <cell r="G383">
            <v>31102192</v>
          </cell>
          <cell r="H383">
            <v>31102192</v>
          </cell>
          <cell r="I383" t="str">
            <v/>
          </cell>
          <cell r="J383" t="str">
            <v/>
          </cell>
          <cell r="K383" t="str">
            <v/>
          </cell>
          <cell r="L383" t="str">
            <v/>
          </cell>
          <cell r="M383" t="str">
            <v/>
          </cell>
        </row>
        <row r="384">
          <cell r="A384">
            <v>31102192</v>
          </cell>
          <cell r="C384">
            <v>31102192</v>
          </cell>
          <cell r="D384">
            <v>31102192</v>
          </cell>
          <cell r="E384">
            <v>31102192</v>
          </cell>
          <cell r="F384">
            <v>31102192</v>
          </cell>
          <cell r="G384">
            <v>31102192</v>
          </cell>
          <cell r="H384">
            <v>31102192</v>
          </cell>
          <cell r="I384" t="str">
            <v/>
          </cell>
          <cell r="J384" t="str">
            <v/>
          </cell>
          <cell r="K384" t="str">
            <v/>
          </cell>
          <cell r="L384" t="str">
            <v/>
          </cell>
          <cell r="M384" t="str">
            <v/>
          </cell>
        </row>
        <row r="385">
          <cell r="A385">
            <v>31102192</v>
          </cell>
          <cell r="C385">
            <v>31102192</v>
          </cell>
          <cell r="D385">
            <v>31102192</v>
          </cell>
          <cell r="E385">
            <v>31102192</v>
          </cell>
          <cell r="F385">
            <v>31102192</v>
          </cell>
          <cell r="G385">
            <v>31102192</v>
          </cell>
          <cell r="H385">
            <v>31102192</v>
          </cell>
          <cell r="I385" t="str">
            <v/>
          </cell>
          <cell r="J385" t="str">
            <v/>
          </cell>
          <cell r="K385" t="str">
            <v/>
          </cell>
          <cell r="L385" t="str">
            <v/>
          </cell>
          <cell r="M385" t="str">
            <v/>
          </cell>
        </row>
        <row r="386">
          <cell r="A386">
            <v>31102192</v>
          </cell>
          <cell r="C386">
            <v>31102192</v>
          </cell>
          <cell r="D386">
            <v>31102192</v>
          </cell>
          <cell r="E386">
            <v>31102192</v>
          </cell>
          <cell r="F386">
            <v>31102192</v>
          </cell>
          <cell r="G386">
            <v>31102192</v>
          </cell>
          <cell r="H386">
            <v>31102192</v>
          </cell>
          <cell r="I386" t="str">
            <v/>
          </cell>
          <cell r="J386" t="str">
            <v/>
          </cell>
          <cell r="K386" t="str">
            <v/>
          </cell>
          <cell r="L386" t="str">
            <v/>
          </cell>
          <cell r="M386" t="str">
            <v/>
          </cell>
        </row>
        <row r="387">
          <cell r="A387">
            <v>31102192</v>
          </cell>
          <cell r="C387">
            <v>31102192</v>
          </cell>
          <cell r="D387">
            <v>31102192</v>
          </cell>
          <cell r="E387">
            <v>31102192</v>
          </cell>
          <cell r="F387">
            <v>31102192</v>
          </cell>
          <cell r="G387">
            <v>31102192</v>
          </cell>
          <cell r="H387">
            <v>31102192</v>
          </cell>
          <cell r="I387" t="str">
            <v/>
          </cell>
          <cell r="J387" t="str">
            <v/>
          </cell>
          <cell r="K387" t="str">
            <v/>
          </cell>
          <cell r="L387" t="str">
            <v/>
          </cell>
          <cell r="M387" t="str">
            <v/>
          </cell>
        </row>
        <row r="388">
          <cell r="A388">
            <v>31102192</v>
          </cell>
          <cell r="C388">
            <v>31102192</v>
          </cell>
          <cell r="D388">
            <v>31102192</v>
          </cell>
          <cell r="E388">
            <v>31102192</v>
          </cell>
          <cell r="F388">
            <v>31102192</v>
          </cell>
          <cell r="G388">
            <v>31102192</v>
          </cell>
          <cell r="H388">
            <v>31102192</v>
          </cell>
          <cell r="I388" t="str">
            <v/>
          </cell>
          <cell r="J388" t="str">
            <v/>
          </cell>
          <cell r="K388" t="str">
            <v/>
          </cell>
          <cell r="L388" t="str">
            <v/>
          </cell>
          <cell r="M388" t="str">
            <v/>
          </cell>
        </row>
        <row r="389">
          <cell r="A389">
            <v>31102192</v>
          </cell>
          <cell r="C389">
            <v>31102192</v>
          </cell>
          <cell r="D389">
            <v>31102192</v>
          </cell>
          <cell r="E389">
            <v>31102192</v>
          </cell>
          <cell r="F389">
            <v>31102192</v>
          </cell>
          <cell r="G389">
            <v>31102192</v>
          </cell>
          <cell r="H389">
            <v>31102192</v>
          </cell>
          <cell r="I389" t="str">
            <v/>
          </cell>
          <cell r="J389" t="str">
            <v/>
          </cell>
          <cell r="K389" t="str">
            <v/>
          </cell>
          <cell r="L389" t="str">
            <v/>
          </cell>
          <cell r="M389" t="str">
            <v/>
          </cell>
        </row>
        <row r="390">
          <cell r="A390">
            <v>31102192</v>
          </cell>
          <cell r="C390">
            <v>31102192</v>
          </cell>
          <cell r="D390">
            <v>31102192</v>
          </cell>
          <cell r="E390">
            <v>31102192</v>
          </cell>
          <cell r="F390">
            <v>31102192</v>
          </cell>
          <cell r="G390">
            <v>31102192</v>
          </cell>
          <cell r="H390">
            <v>31102192</v>
          </cell>
          <cell r="I390" t="str">
            <v/>
          </cell>
          <cell r="J390" t="str">
            <v/>
          </cell>
          <cell r="K390" t="str">
            <v/>
          </cell>
          <cell r="L390" t="str">
            <v/>
          </cell>
          <cell r="M390" t="str">
            <v/>
          </cell>
        </row>
        <row r="391">
          <cell r="A391">
            <v>31102192</v>
          </cell>
          <cell r="C391">
            <v>31102192</v>
          </cell>
          <cell r="D391">
            <v>31102192</v>
          </cell>
          <cell r="E391">
            <v>31102192</v>
          </cell>
          <cell r="F391">
            <v>31102192</v>
          </cell>
          <cell r="G391">
            <v>31102192</v>
          </cell>
          <cell r="H391">
            <v>31102192</v>
          </cell>
          <cell r="I391" t="str">
            <v/>
          </cell>
          <cell r="J391" t="str">
            <v/>
          </cell>
          <cell r="K391" t="str">
            <v/>
          </cell>
          <cell r="L391" t="str">
            <v/>
          </cell>
          <cell r="M391" t="str">
            <v/>
          </cell>
        </row>
        <row r="392">
          <cell r="A392">
            <v>31102192</v>
          </cell>
          <cell r="C392">
            <v>31102192</v>
          </cell>
          <cell r="D392">
            <v>31102192</v>
          </cell>
          <cell r="E392">
            <v>31102192</v>
          </cell>
          <cell r="F392">
            <v>31102192</v>
          </cell>
          <cell r="G392">
            <v>31102192</v>
          </cell>
          <cell r="H392">
            <v>31102192</v>
          </cell>
          <cell r="I392" t="str">
            <v/>
          </cell>
          <cell r="J392" t="str">
            <v/>
          </cell>
          <cell r="K392" t="str">
            <v/>
          </cell>
          <cell r="L392" t="str">
            <v/>
          </cell>
          <cell r="M392" t="str">
            <v/>
          </cell>
        </row>
        <row r="393">
          <cell r="A393">
            <v>31102192</v>
          </cell>
          <cell r="C393">
            <v>31102192</v>
          </cell>
          <cell r="D393">
            <v>31102192</v>
          </cell>
          <cell r="E393">
            <v>31102192</v>
          </cell>
          <cell r="F393">
            <v>31102192</v>
          </cell>
          <cell r="G393">
            <v>31102192</v>
          </cell>
          <cell r="H393">
            <v>31102192</v>
          </cell>
          <cell r="I393" t="str">
            <v/>
          </cell>
          <cell r="J393" t="str">
            <v/>
          </cell>
          <cell r="K393" t="str">
            <v/>
          </cell>
          <cell r="L393" t="str">
            <v/>
          </cell>
          <cell r="M393" t="str">
            <v/>
          </cell>
        </row>
        <row r="394">
          <cell r="A394">
            <v>31102192</v>
          </cell>
          <cell r="C394">
            <v>31102192</v>
          </cell>
          <cell r="D394">
            <v>31102192</v>
          </cell>
          <cell r="E394">
            <v>31102192</v>
          </cell>
          <cell r="F394">
            <v>31102192</v>
          </cell>
          <cell r="G394">
            <v>31102192</v>
          </cell>
          <cell r="H394">
            <v>31102192</v>
          </cell>
          <cell r="I394" t="str">
            <v/>
          </cell>
          <cell r="J394" t="str">
            <v/>
          </cell>
          <cell r="K394" t="str">
            <v/>
          </cell>
          <cell r="L394" t="str">
            <v/>
          </cell>
          <cell r="M394" t="str">
            <v/>
          </cell>
        </row>
        <row r="395">
          <cell r="A395">
            <v>31102192</v>
          </cell>
          <cell r="C395">
            <v>31102192</v>
          </cell>
          <cell r="D395">
            <v>31102192</v>
          </cell>
          <cell r="E395">
            <v>31102192</v>
          </cell>
          <cell r="F395">
            <v>31102192</v>
          </cell>
          <cell r="G395">
            <v>31102192</v>
          </cell>
          <cell r="H395">
            <v>31102192</v>
          </cell>
          <cell r="I395" t="str">
            <v/>
          </cell>
          <cell r="J395" t="str">
            <v/>
          </cell>
          <cell r="K395" t="str">
            <v/>
          </cell>
          <cell r="L395" t="str">
            <v/>
          </cell>
          <cell r="M395" t="str">
            <v/>
          </cell>
        </row>
        <row r="396">
          <cell r="A396">
            <v>31102192</v>
          </cell>
          <cell r="C396">
            <v>31102192</v>
          </cell>
          <cell r="D396">
            <v>31102192</v>
          </cell>
          <cell r="E396">
            <v>31102192</v>
          </cell>
          <cell r="F396">
            <v>31102192</v>
          </cell>
          <cell r="G396">
            <v>31102192</v>
          </cell>
          <cell r="H396">
            <v>31102192</v>
          </cell>
          <cell r="I396" t="str">
            <v/>
          </cell>
          <cell r="J396" t="str">
            <v/>
          </cell>
          <cell r="K396" t="str">
            <v/>
          </cell>
          <cell r="L396" t="str">
            <v/>
          </cell>
          <cell r="M396" t="str">
            <v/>
          </cell>
        </row>
        <row r="397">
          <cell r="A397">
            <v>31102192</v>
          </cell>
          <cell r="C397">
            <v>31102192</v>
          </cell>
          <cell r="D397">
            <v>31102192</v>
          </cell>
          <cell r="E397">
            <v>31102192</v>
          </cell>
          <cell r="F397">
            <v>31102192</v>
          </cell>
          <cell r="G397">
            <v>31102192</v>
          </cell>
          <cell r="H397">
            <v>31102192</v>
          </cell>
          <cell r="I397" t="str">
            <v/>
          </cell>
          <cell r="J397" t="str">
            <v/>
          </cell>
          <cell r="K397" t="str">
            <v/>
          </cell>
          <cell r="L397" t="str">
            <v/>
          </cell>
          <cell r="M397" t="str">
            <v/>
          </cell>
        </row>
        <row r="398">
          <cell r="A398">
            <v>31102192</v>
          </cell>
          <cell r="C398">
            <v>31102192</v>
          </cell>
          <cell r="D398">
            <v>31102192</v>
          </cell>
          <cell r="E398">
            <v>31102192</v>
          </cell>
          <cell r="F398">
            <v>31102192</v>
          </cell>
          <cell r="G398">
            <v>31102192</v>
          </cell>
          <cell r="H398">
            <v>31102192</v>
          </cell>
          <cell r="I398" t="str">
            <v/>
          </cell>
          <cell r="J398" t="str">
            <v/>
          </cell>
          <cell r="K398" t="str">
            <v/>
          </cell>
          <cell r="L398" t="str">
            <v/>
          </cell>
          <cell r="M398" t="str">
            <v/>
          </cell>
        </row>
        <row r="399">
          <cell r="A399">
            <v>31102192</v>
          </cell>
          <cell r="C399">
            <v>31102192</v>
          </cell>
          <cell r="D399">
            <v>31102192</v>
          </cell>
          <cell r="E399">
            <v>31102192</v>
          </cell>
          <cell r="F399">
            <v>31102192</v>
          </cell>
          <cell r="G399">
            <v>31102192</v>
          </cell>
          <cell r="H399">
            <v>31102192</v>
          </cell>
          <cell r="I399" t="str">
            <v/>
          </cell>
          <cell r="J399" t="str">
            <v/>
          </cell>
          <cell r="K399" t="str">
            <v/>
          </cell>
          <cell r="L399" t="str">
            <v/>
          </cell>
          <cell r="M399" t="str">
            <v/>
          </cell>
        </row>
        <row r="400">
          <cell r="A400">
            <v>31102192</v>
          </cell>
          <cell r="C400">
            <v>31102192</v>
          </cell>
          <cell r="D400">
            <v>31102192</v>
          </cell>
          <cell r="E400">
            <v>31102192</v>
          </cell>
          <cell r="F400">
            <v>31102192</v>
          </cell>
          <cell r="G400">
            <v>31102192</v>
          </cell>
          <cell r="H400">
            <v>31102192</v>
          </cell>
          <cell r="I400" t="str">
            <v/>
          </cell>
          <cell r="J400" t="str">
            <v/>
          </cell>
          <cell r="K400" t="str">
            <v/>
          </cell>
          <cell r="L400" t="str">
            <v/>
          </cell>
          <cell r="M400" t="str">
            <v/>
          </cell>
        </row>
        <row r="401">
          <cell r="A401">
            <v>31102192</v>
          </cell>
          <cell r="C401">
            <v>31102192</v>
          </cell>
          <cell r="D401">
            <v>31102192</v>
          </cell>
          <cell r="E401">
            <v>31102192</v>
          </cell>
          <cell r="F401">
            <v>31102192</v>
          </cell>
          <cell r="G401">
            <v>31102192</v>
          </cell>
          <cell r="H401">
            <v>31102192</v>
          </cell>
          <cell r="I401" t="str">
            <v/>
          </cell>
          <cell r="J401" t="str">
            <v/>
          </cell>
          <cell r="K401" t="str">
            <v/>
          </cell>
          <cell r="L401" t="str">
            <v/>
          </cell>
          <cell r="M401" t="str">
            <v/>
          </cell>
        </row>
        <row r="402">
          <cell r="A402">
            <v>31102192</v>
          </cell>
          <cell r="C402">
            <v>31102192</v>
          </cell>
          <cell r="D402">
            <v>31102192</v>
          </cell>
          <cell r="E402">
            <v>31102192</v>
          </cell>
          <cell r="F402">
            <v>31102192</v>
          </cell>
          <cell r="G402">
            <v>31102192</v>
          </cell>
          <cell r="H402">
            <v>31102192</v>
          </cell>
          <cell r="I402" t="str">
            <v/>
          </cell>
          <cell r="J402" t="str">
            <v/>
          </cell>
          <cell r="K402" t="str">
            <v/>
          </cell>
          <cell r="L402" t="str">
            <v/>
          </cell>
          <cell r="M402" t="str">
            <v/>
          </cell>
        </row>
        <row r="403">
          <cell r="A403">
            <v>31102192</v>
          </cell>
          <cell r="C403">
            <v>31102192</v>
          </cell>
          <cell r="D403">
            <v>31102192</v>
          </cell>
          <cell r="E403">
            <v>31102192</v>
          </cell>
          <cell r="F403">
            <v>31102192</v>
          </cell>
          <cell r="G403">
            <v>31102192</v>
          </cell>
          <cell r="H403">
            <v>31102192</v>
          </cell>
          <cell r="I403" t="str">
            <v/>
          </cell>
          <cell r="J403" t="str">
            <v/>
          </cell>
          <cell r="K403" t="str">
            <v/>
          </cell>
          <cell r="L403" t="str">
            <v/>
          </cell>
          <cell r="M403" t="str">
            <v/>
          </cell>
        </row>
        <row r="404">
          <cell r="A404">
            <v>31102192</v>
          </cell>
          <cell r="C404">
            <v>31102192</v>
          </cell>
          <cell r="D404">
            <v>31102192</v>
          </cell>
          <cell r="E404">
            <v>31102192</v>
          </cell>
          <cell r="F404">
            <v>31102192</v>
          </cell>
          <cell r="G404">
            <v>31102192</v>
          </cell>
          <cell r="H404">
            <v>31102192</v>
          </cell>
          <cell r="I404" t="str">
            <v/>
          </cell>
          <cell r="J404" t="str">
            <v/>
          </cell>
          <cell r="K404" t="str">
            <v/>
          </cell>
          <cell r="L404" t="str">
            <v/>
          </cell>
          <cell r="M404" t="str">
            <v/>
          </cell>
        </row>
        <row r="405">
          <cell r="A405">
            <v>31102192</v>
          </cell>
          <cell r="C405">
            <v>31102192</v>
          </cell>
          <cell r="D405">
            <v>31102192</v>
          </cell>
          <cell r="E405">
            <v>31102192</v>
          </cell>
          <cell r="F405">
            <v>31102192</v>
          </cell>
          <cell r="G405">
            <v>31102192</v>
          </cell>
          <cell r="H405">
            <v>31102192</v>
          </cell>
          <cell r="I405" t="str">
            <v/>
          </cell>
          <cell r="J405" t="str">
            <v/>
          </cell>
          <cell r="K405" t="str">
            <v/>
          </cell>
          <cell r="L405" t="str">
            <v/>
          </cell>
          <cell r="M405" t="str">
            <v/>
          </cell>
        </row>
        <row r="406">
          <cell r="A406">
            <v>31102192</v>
          </cell>
          <cell r="C406">
            <v>31102192</v>
          </cell>
          <cell r="D406">
            <v>31102192</v>
          </cell>
          <cell r="E406">
            <v>31102192</v>
          </cell>
          <cell r="F406">
            <v>31102192</v>
          </cell>
          <cell r="G406">
            <v>31102192</v>
          </cell>
          <cell r="H406">
            <v>31102192</v>
          </cell>
          <cell r="I406" t="str">
            <v/>
          </cell>
          <cell r="J406" t="str">
            <v/>
          </cell>
          <cell r="K406" t="str">
            <v/>
          </cell>
          <cell r="L406" t="str">
            <v/>
          </cell>
          <cell r="M406" t="str">
            <v/>
          </cell>
        </row>
        <row r="407">
          <cell r="A407">
            <v>31102192</v>
          </cell>
          <cell r="C407">
            <v>31102192</v>
          </cell>
          <cell r="D407">
            <v>31102192</v>
          </cell>
          <cell r="E407">
            <v>31102192</v>
          </cell>
          <cell r="F407">
            <v>31102192</v>
          </cell>
          <cell r="G407">
            <v>31102192</v>
          </cell>
          <cell r="H407">
            <v>31102192</v>
          </cell>
          <cell r="I407" t="str">
            <v/>
          </cell>
          <cell r="J407" t="str">
            <v/>
          </cell>
          <cell r="K407" t="str">
            <v/>
          </cell>
          <cell r="L407" t="str">
            <v/>
          </cell>
          <cell r="M407" t="str">
            <v/>
          </cell>
        </row>
        <row r="408">
          <cell r="A408">
            <v>31102192</v>
          </cell>
          <cell r="C408">
            <v>31102192</v>
          </cell>
          <cell r="D408">
            <v>31102192</v>
          </cell>
          <cell r="E408">
            <v>31102192</v>
          </cell>
          <cell r="F408">
            <v>31102192</v>
          </cell>
          <cell r="G408">
            <v>31102192</v>
          </cell>
          <cell r="H408">
            <v>31102192</v>
          </cell>
          <cell r="I408" t="str">
            <v/>
          </cell>
          <cell r="J408" t="str">
            <v/>
          </cell>
          <cell r="K408" t="str">
            <v/>
          </cell>
          <cell r="L408" t="str">
            <v/>
          </cell>
          <cell r="M408" t="str">
            <v/>
          </cell>
        </row>
        <row r="409">
          <cell r="A409">
            <v>31102192</v>
          </cell>
          <cell r="C409">
            <v>31102192</v>
          </cell>
          <cell r="D409">
            <v>31102192</v>
          </cell>
          <cell r="E409">
            <v>31102192</v>
          </cell>
          <cell r="F409">
            <v>31102192</v>
          </cell>
          <cell r="G409">
            <v>31102192</v>
          </cell>
          <cell r="H409">
            <v>31102192</v>
          </cell>
          <cell r="I409" t="str">
            <v/>
          </cell>
          <cell r="J409" t="str">
            <v/>
          </cell>
          <cell r="K409" t="str">
            <v/>
          </cell>
          <cell r="L409" t="str">
            <v/>
          </cell>
          <cell r="M409" t="str">
            <v/>
          </cell>
        </row>
        <row r="410">
          <cell r="A410">
            <v>31102192</v>
          </cell>
          <cell r="C410">
            <v>31102192</v>
          </cell>
          <cell r="D410">
            <v>31102192</v>
          </cell>
          <cell r="E410">
            <v>31102192</v>
          </cell>
          <cell r="F410">
            <v>31102192</v>
          </cell>
          <cell r="G410">
            <v>31102192</v>
          </cell>
          <cell r="H410">
            <v>31102192</v>
          </cell>
          <cell r="I410" t="str">
            <v/>
          </cell>
          <cell r="J410" t="str">
            <v/>
          </cell>
          <cell r="K410" t="str">
            <v/>
          </cell>
          <cell r="L410" t="str">
            <v/>
          </cell>
          <cell r="M410" t="str">
            <v/>
          </cell>
        </row>
        <row r="411">
          <cell r="A411">
            <v>31102192</v>
          </cell>
          <cell r="C411">
            <v>31102192</v>
          </cell>
          <cell r="D411">
            <v>31102192</v>
          </cell>
          <cell r="E411">
            <v>31102192</v>
          </cell>
          <cell r="F411">
            <v>31102192</v>
          </cell>
          <cell r="G411">
            <v>31102192</v>
          </cell>
          <cell r="H411">
            <v>31102192</v>
          </cell>
          <cell r="I411" t="str">
            <v/>
          </cell>
          <cell r="J411" t="str">
            <v/>
          </cell>
          <cell r="K411" t="str">
            <v/>
          </cell>
          <cell r="L411" t="str">
            <v/>
          </cell>
          <cell r="M411" t="str">
            <v/>
          </cell>
        </row>
        <row r="412">
          <cell r="A412">
            <v>31102192</v>
          </cell>
          <cell r="C412">
            <v>31102192</v>
          </cell>
          <cell r="D412">
            <v>31102192</v>
          </cell>
          <cell r="E412">
            <v>31102192</v>
          </cell>
          <cell r="F412">
            <v>31102192</v>
          </cell>
          <cell r="G412">
            <v>31102192</v>
          </cell>
          <cell r="H412">
            <v>31102192</v>
          </cell>
          <cell r="I412" t="str">
            <v/>
          </cell>
          <cell r="J412" t="str">
            <v/>
          </cell>
          <cell r="K412" t="str">
            <v/>
          </cell>
          <cell r="L412" t="str">
            <v/>
          </cell>
          <cell r="M412" t="str">
            <v/>
          </cell>
        </row>
        <row r="413">
          <cell r="A413">
            <v>31102192</v>
          </cell>
          <cell r="C413">
            <v>31102192</v>
          </cell>
          <cell r="D413">
            <v>31102192</v>
          </cell>
          <cell r="E413">
            <v>31102192</v>
          </cell>
          <cell r="F413">
            <v>31102192</v>
          </cell>
          <cell r="G413">
            <v>31102192</v>
          </cell>
          <cell r="H413">
            <v>31102192</v>
          </cell>
          <cell r="I413" t="str">
            <v/>
          </cell>
          <cell r="J413" t="str">
            <v/>
          </cell>
          <cell r="K413" t="str">
            <v/>
          </cell>
          <cell r="L413" t="str">
            <v/>
          </cell>
          <cell r="M413" t="str">
            <v/>
          </cell>
        </row>
        <row r="414">
          <cell r="A414">
            <v>31102192</v>
          </cell>
          <cell r="C414">
            <v>31102192</v>
          </cell>
          <cell r="D414">
            <v>31102192</v>
          </cell>
          <cell r="E414">
            <v>31102192</v>
          </cell>
          <cell r="F414">
            <v>31102192</v>
          </cell>
          <cell r="G414">
            <v>31102192</v>
          </cell>
          <cell r="H414">
            <v>31102192</v>
          </cell>
          <cell r="I414" t="str">
            <v/>
          </cell>
          <cell r="J414" t="str">
            <v/>
          </cell>
          <cell r="K414" t="str">
            <v/>
          </cell>
          <cell r="L414" t="str">
            <v/>
          </cell>
          <cell r="M414" t="str">
            <v/>
          </cell>
        </row>
        <row r="415">
          <cell r="A415">
            <v>31102192</v>
          </cell>
          <cell r="C415">
            <v>31102192</v>
          </cell>
          <cell r="D415">
            <v>31102192</v>
          </cell>
          <cell r="E415">
            <v>31102192</v>
          </cell>
          <cell r="F415">
            <v>31102192</v>
          </cell>
          <cell r="G415">
            <v>31102192</v>
          </cell>
          <cell r="H415">
            <v>31102192</v>
          </cell>
          <cell r="I415" t="str">
            <v/>
          </cell>
          <cell r="J415" t="str">
            <v/>
          </cell>
          <cell r="K415" t="str">
            <v/>
          </cell>
          <cell r="L415" t="str">
            <v/>
          </cell>
          <cell r="M415" t="str">
            <v/>
          </cell>
        </row>
        <row r="416">
          <cell r="A416">
            <v>31102192</v>
          </cell>
          <cell r="C416">
            <v>31102192</v>
          </cell>
          <cell r="D416">
            <v>31102192</v>
          </cell>
          <cell r="E416">
            <v>31102192</v>
          </cell>
          <cell r="F416">
            <v>31102192</v>
          </cell>
          <cell r="G416">
            <v>31102192</v>
          </cell>
          <cell r="H416">
            <v>31102192</v>
          </cell>
          <cell r="I416" t="str">
            <v/>
          </cell>
          <cell r="J416" t="str">
            <v/>
          </cell>
          <cell r="K416" t="str">
            <v/>
          </cell>
          <cell r="L416" t="str">
            <v/>
          </cell>
          <cell r="M416" t="str">
            <v/>
          </cell>
        </row>
        <row r="417">
          <cell r="A417">
            <v>31102192</v>
          </cell>
          <cell r="C417">
            <v>31102192</v>
          </cell>
          <cell r="D417">
            <v>31102192</v>
          </cell>
          <cell r="E417">
            <v>31102192</v>
          </cell>
          <cell r="F417">
            <v>31102192</v>
          </cell>
          <cell r="G417">
            <v>31102192</v>
          </cell>
          <cell r="H417">
            <v>31102192</v>
          </cell>
          <cell r="I417" t="str">
            <v/>
          </cell>
          <cell r="J417" t="str">
            <v/>
          </cell>
          <cell r="K417" t="str">
            <v/>
          </cell>
          <cell r="L417" t="str">
            <v/>
          </cell>
          <cell r="M417" t="str">
            <v/>
          </cell>
        </row>
        <row r="418">
          <cell r="A418">
            <v>31102192</v>
          </cell>
          <cell r="C418">
            <v>31102192</v>
          </cell>
          <cell r="D418">
            <v>31102192</v>
          </cell>
          <cell r="E418">
            <v>31102192</v>
          </cell>
          <cell r="F418">
            <v>31102192</v>
          </cell>
          <cell r="G418">
            <v>31102192</v>
          </cell>
          <cell r="H418">
            <v>31102192</v>
          </cell>
          <cell r="I418" t="str">
            <v/>
          </cell>
          <cell r="J418" t="str">
            <v/>
          </cell>
          <cell r="K418" t="str">
            <v/>
          </cell>
          <cell r="L418" t="str">
            <v/>
          </cell>
          <cell r="M418" t="str">
            <v/>
          </cell>
        </row>
        <row r="419">
          <cell r="A419">
            <v>31102192</v>
          </cell>
          <cell r="C419">
            <v>31102192</v>
          </cell>
          <cell r="D419">
            <v>31102192</v>
          </cell>
          <cell r="E419">
            <v>31102192</v>
          </cell>
          <cell r="F419">
            <v>31102192</v>
          </cell>
          <cell r="G419">
            <v>31102192</v>
          </cell>
          <cell r="H419">
            <v>31102192</v>
          </cell>
          <cell r="I419" t="str">
            <v/>
          </cell>
          <cell r="J419" t="str">
            <v/>
          </cell>
          <cell r="K419" t="str">
            <v/>
          </cell>
          <cell r="L419" t="str">
            <v/>
          </cell>
          <cell r="M419" t="str">
            <v/>
          </cell>
        </row>
        <row r="420">
          <cell r="A420">
            <v>31102192</v>
          </cell>
          <cell r="C420">
            <v>31102192</v>
          </cell>
          <cell r="D420">
            <v>31102192</v>
          </cell>
          <cell r="E420">
            <v>31102192</v>
          </cell>
          <cell r="F420">
            <v>31102192</v>
          </cell>
          <cell r="G420">
            <v>31102192</v>
          </cell>
          <cell r="H420">
            <v>31102192</v>
          </cell>
          <cell r="I420" t="str">
            <v/>
          </cell>
          <cell r="J420" t="str">
            <v/>
          </cell>
          <cell r="K420" t="str">
            <v/>
          </cell>
          <cell r="L420" t="str">
            <v/>
          </cell>
          <cell r="M420" t="str">
            <v/>
          </cell>
        </row>
        <row r="421">
          <cell r="A421">
            <v>31102192</v>
          </cell>
          <cell r="C421">
            <v>31102192</v>
          </cell>
          <cell r="D421">
            <v>31102192</v>
          </cell>
          <cell r="E421">
            <v>31102192</v>
          </cell>
          <cell r="F421">
            <v>31102192</v>
          </cell>
          <cell r="G421">
            <v>31102192</v>
          </cell>
          <cell r="H421">
            <v>31102192</v>
          </cell>
          <cell r="I421" t="str">
            <v/>
          </cell>
          <cell r="J421" t="str">
            <v/>
          </cell>
          <cell r="K421" t="str">
            <v/>
          </cell>
          <cell r="L421" t="str">
            <v/>
          </cell>
          <cell r="M421" t="str">
            <v/>
          </cell>
        </row>
        <row r="422">
          <cell r="A422">
            <v>31102192</v>
          </cell>
          <cell r="C422">
            <v>31102192</v>
          </cell>
          <cell r="D422">
            <v>31102192</v>
          </cell>
          <cell r="E422">
            <v>31102192</v>
          </cell>
          <cell r="F422">
            <v>31102192</v>
          </cell>
          <cell r="G422">
            <v>31102192</v>
          </cell>
          <cell r="H422">
            <v>31102192</v>
          </cell>
          <cell r="I422" t="str">
            <v/>
          </cell>
          <cell r="J422" t="str">
            <v/>
          </cell>
          <cell r="K422" t="str">
            <v/>
          </cell>
          <cell r="L422" t="str">
            <v/>
          </cell>
          <cell r="M422" t="str">
            <v/>
          </cell>
        </row>
        <row r="423">
          <cell r="A423">
            <v>31102192</v>
          </cell>
          <cell r="C423">
            <v>31102192</v>
          </cell>
          <cell r="D423">
            <v>31102192</v>
          </cell>
          <cell r="E423">
            <v>31102192</v>
          </cell>
          <cell r="F423">
            <v>31102192</v>
          </cell>
          <cell r="G423">
            <v>31102192</v>
          </cell>
          <cell r="H423">
            <v>31102192</v>
          </cell>
          <cell r="I423" t="str">
            <v/>
          </cell>
          <cell r="J423" t="str">
            <v/>
          </cell>
          <cell r="K423" t="str">
            <v/>
          </cell>
          <cell r="L423" t="str">
            <v/>
          </cell>
          <cell r="M423" t="str">
            <v/>
          </cell>
        </row>
        <row r="424">
          <cell r="A424">
            <v>31102192</v>
          </cell>
          <cell r="C424">
            <v>31102192</v>
          </cell>
          <cell r="D424">
            <v>31102192</v>
          </cell>
          <cell r="E424">
            <v>31102192</v>
          </cell>
          <cell r="F424">
            <v>31102192</v>
          </cell>
          <cell r="G424">
            <v>31102192</v>
          </cell>
          <cell r="H424">
            <v>31102192</v>
          </cell>
          <cell r="I424" t="str">
            <v/>
          </cell>
          <cell r="J424" t="str">
            <v/>
          </cell>
          <cell r="K424" t="str">
            <v/>
          </cell>
          <cell r="L424" t="str">
            <v/>
          </cell>
          <cell r="M424" t="str">
            <v/>
          </cell>
        </row>
        <row r="425">
          <cell r="A425">
            <v>31102192</v>
          </cell>
          <cell r="C425">
            <v>31102192</v>
          </cell>
          <cell r="D425">
            <v>31102192</v>
          </cell>
          <cell r="E425">
            <v>31102192</v>
          </cell>
          <cell r="F425">
            <v>31102192</v>
          </cell>
          <cell r="G425">
            <v>31102192</v>
          </cell>
          <cell r="H425">
            <v>31102192</v>
          </cell>
          <cell r="I425" t="str">
            <v/>
          </cell>
          <cell r="J425" t="str">
            <v/>
          </cell>
          <cell r="K425" t="str">
            <v/>
          </cell>
          <cell r="L425" t="str">
            <v/>
          </cell>
          <cell r="M425" t="str">
            <v/>
          </cell>
        </row>
        <row r="426">
          <cell r="A426">
            <v>31102192</v>
          </cell>
          <cell r="C426">
            <v>31102192</v>
          </cell>
          <cell r="D426">
            <v>31102192</v>
          </cell>
          <cell r="E426">
            <v>31102192</v>
          </cell>
          <cell r="F426">
            <v>31102192</v>
          </cell>
          <cell r="G426">
            <v>31102192</v>
          </cell>
          <cell r="H426">
            <v>31102192</v>
          </cell>
          <cell r="I426" t="str">
            <v/>
          </cell>
          <cell r="J426" t="str">
            <v/>
          </cell>
          <cell r="K426" t="str">
            <v/>
          </cell>
          <cell r="L426" t="str">
            <v/>
          </cell>
          <cell r="M426" t="str">
            <v/>
          </cell>
        </row>
        <row r="427">
          <cell r="A427">
            <v>31102192</v>
          </cell>
          <cell r="C427">
            <v>31102192</v>
          </cell>
          <cell r="D427">
            <v>31102192</v>
          </cell>
          <cell r="E427">
            <v>31102192</v>
          </cell>
          <cell r="F427">
            <v>31102192</v>
          </cell>
          <cell r="G427">
            <v>31102192</v>
          </cell>
          <cell r="H427">
            <v>31102192</v>
          </cell>
          <cell r="I427" t="str">
            <v/>
          </cell>
          <cell r="J427" t="str">
            <v/>
          </cell>
          <cell r="K427" t="str">
            <v/>
          </cell>
          <cell r="L427" t="str">
            <v/>
          </cell>
          <cell r="M427" t="str">
            <v/>
          </cell>
        </row>
        <row r="428">
          <cell r="A428">
            <v>31102192</v>
          </cell>
          <cell r="C428">
            <v>31102192</v>
          </cell>
          <cell r="D428">
            <v>31102192</v>
          </cell>
          <cell r="E428">
            <v>31102192</v>
          </cell>
          <cell r="F428">
            <v>31102192</v>
          </cell>
          <cell r="G428">
            <v>31102192</v>
          </cell>
          <cell r="H428">
            <v>31102192</v>
          </cell>
          <cell r="I428" t="str">
            <v/>
          </cell>
          <cell r="J428" t="str">
            <v/>
          </cell>
          <cell r="K428" t="str">
            <v/>
          </cell>
          <cell r="L428" t="str">
            <v/>
          </cell>
          <cell r="M428" t="str">
            <v/>
          </cell>
        </row>
        <row r="429">
          <cell r="A429">
            <v>31102192</v>
          </cell>
          <cell r="C429">
            <v>31102192</v>
          </cell>
          <cell r="D429">
            <v>31102192</v>
          </cell>
          <cell r="E429">
            <v>31102192</v>
          </cell>
          <cell r="F429">
            <v>31102192</v>
          </cell>
          <cell r="G429">
            <v>31102192</v>
          </cell>
          <cell r="H429">
            <v>31102192</v>
          </cell>
          <cell r="I429" t="str">
            <v/>
          </cell>
          <cell r="J429" t="str">
            <v/>
          </cell>
          <cell r="K429" t="str">
            <v/>
          </cell>
          <cell r="L429" t="str">
            <v/>
          </cell>
          <cell r="M429" t="str">
            <v/>
          </cell>
        </row>
        <row r="430">
          <cell r="A430">
            <v>31102192</v>
          </cell>
          <cell r="C430">
            <v>31102192</v>
          </cell>
          <cell r="D430">
            <v>31102192</v>
          </cell>
          <cell r="E430">
            <v>31102192</v>
          </cell>
          <cell r="F430">
            <v>31102192</v>
          </cell>
          <cell r="G430">
            <v>31102192</v>
          </cell>
          <cell r="H430">
            <v>31102192</v>
          </cell>
          <cell r="I430" t="str">
            <v/>
          </cell>
          <cell r="J430" t="str">
            <v/>
          </cell>
          <cell r="K430" t="str">
            <v/>
          </cell>
          <cell r="L430" t="str">
            <v/>
          </cell>
          <cell r="M430" t="str">
            <v/>
          </cell>
        </row>
        <row r="431">
          <cell r="A431">
            <v>31102192</v>
          </cell>
          <cell r="C431">
            <v>31102192</v>
          </cell>
          <cell r="D431">
            <v>31102192</v>
          </cell>
          <cell r="E431">
            <v>31102192</v>
          </cell>
          <cell r="F431">
            <v>31102192</v>
          </cell>
          <cell r="G431">
            <v>31102192</v>
          </cell>
          <cell r="H431">
            <v>31102192</v>
          </cell>
          <cell r="I431" t="str">
            <v/>
          </cell>
          <cell r="J431" t="str">
            <v/>
          </cell>
          <cell r="K431" t="str">
            <v/>
          </cell>
          <cell r="L431" t="str">
            <v/>
          </cell>
          <cell r="M431" t="str">
            <v/>
          </cell>
        </row>
        <row r="432">
          <cell r="A432">
            <v>31102192</v>
          </cell>
          <cell r="C432">
            <v>31102192</v>
          </cell>
          <cell r="D432">
            <v>31102192</v>
          </cell>
          <cell r="E432">
            <v>31102192</v>
          </cell>
          <cell r="F432">
            <v>31102192</v>
          </cell>
          <cell r="G432">
            <v>31102192</v>
          </cell>
          <cell r="H432">
            <v>31102192</v>
          </cell>
          <cell r="I432" t="str">
            <v/>
          </cell>
          <cell r="J432" t="str">
            <v/>
          </cell>
          <cell r="K432" t="str">
            <v/>
          </cell>
          <cell r="L432" t="str">
            <v/>
          </cell>
          <cell r="M432" t="str">
            <v/>
          </cell>
        </row>
        <row r="433">
          <cell r="A433">
            <v>31102192</v>
          </cell>
          <cell r="C433">
            <v>31102192</v>
          </cell>
          <cell r="D433">
            <v>31102192</v>
          </cell>
          <cell r="E433">
            <v>31102192</v>
          </cell>
          <cell r="F433">
            <v>31102192</v>
          </cell>
          <cell r="G433">
            <v>31102192</v>
          </cell>
          <cell r="H433">
            <v>31102192</v>
          </cell>
          <cell r="I433" t="str">
            <v/>
          </cell>
          <cell r="J433" t="str">
            <v/>
          </cell>
          <cell r="K433" t="str">
            <v/>
          </cell>
          <cell r="L433" t="str">
            <v/>
          </cell>
          <cell r="M433" t="str">
            <v/>
          </cell>
        </row>
        <row r="434">
          <cell r="A434">
            <v>31102192</v>
          </cell>
          <cell r="C434">
            <v>31102192</v>
          </cell>
          <cell r="D434">
            <v>31102192</v>
          </cell>
          <cell r="E434">
            <v>31102192</v>
          </cell>
          <cell r="F434">
            <v>31102192</v>
          </cell>
          <cell r="G434">
            <v>31102192</v>
          </cell>
          <cell r="H434">
            <v>31102192</v>
          </cell>
          <cell r="I434" t="str">
            <v/>
          </cell>
          <cell r="J434" t="str">
            <v/>
          </cell>
          <cell r="K434" t="str">
            <v/>
          </cell>
          <cell r="L434" t="str">
            <v/>
          </cell>
          <cell r="M434" t="str">
            <v/>
          </cell>
        </row>
        <row r="435">
          <cell r="A435">
            <v>31102192</v>
          </cell>
          <cell r="C435">
            <v>31102192</v>
          </cell>
          <cell r="D435">
            <v>31102192</v>
          </cell>
          <cell r="E435">
            <v>31102192</v>
          </cell>
          <cell r="F435">
            <v>31102192</v>
          </cell>
          <cell r="G435">
            <v>31102192</v>
          </cell>
          <cell r="H435">
            <v>31102192</v>
          </cell>
          <cell r="I435" t="str">
            <v/>
          </cell>
          <cell r="J435" t="str">
            <v/>
          </cell>
          <cell r="K435" t="str">
            <v/>
          </cell>
          <cell r="L435" t="str">
            <v/>
          </cell>
          <cell r="M435" t="str">
            <v/>
          </cell>
        </row>
        <row r="436">
          <cell r="A436">
            <v>31102192</v>
          </cell>
          <cell r="C436">
            <v>31102192</v>
          </cell>
          <cell r="D436">
            <v>31102192</v>
          </cell>
          <cell r="E436">
            <v>31102192</v>
          </cell>
          <cell r="F436">
            <v>31102192</v>
          </cell>
          <cell r="G436">
            <v>31102192</v>
          </cell>
          <cell r="H436">
            <v>31102192</v>
          </cell>
          <cell r="I436" t="str">
            <v/>
          </cell>
          <cell r="J436" t="str">
            <v/>
          </cell>
          <cell r="K436" t="str">
            <v/>
          </cell>
          <cell r="L436" t="str">
            <v/>
          </cell>
          <cell r="M436" t="str">
            <v/>
          </cell>
        </row>
        <row r="437">
          <cell r="A437">
            <v>31102192</v>
          </cell>
          <cell r="C437">
            <v>31102192</v>
          </cell>
          <cell r="D437">
            <v>31102192</v>
          </cell>
          <cell r="E437">
            <v>31102192</v>
          </cell>
          <cell r="F437">
            <v>31102192</v>
          </cell>
          <cell r="G437">
            <v>31102192</v>
          </cell>
          <cell r="H437">
            <v>31102192</v>
          </cell>
          <cell r="I437" t="str">
            <v/>
          </cell>
          <cell r="J437" t="str">
            <v/>
          </cell>
          <cell r="K437" t="str">
            <v/>
          </cell>
          <cell r="L437" t="str">
            <v/>
          </cell>
          <cell r="M437" t="str">
            <v/>
          </cell>
        </row>
        <row r="438">
          <cell r="A438">
            <v>31102192</v>
          </cell>
          <cell r="C438">
            <v>31102192</v>
          </cell>
          <cell r="D438">
            <v>31102192</v>
          </cell>
          <cell r="E438">
            <v>31102192</v>
          </cell>
          <cell r="F438">
            <v>31102192</v>
          </cell>
          <cell r="G438">
            <v>31102192</v>
          </cell>
          <cell r="H438">
            <v>31102192</v>
          </cell>
          <cell r="I438" t="str">
            <v/>
          </cell>
          <cell r="J438" t="str">
            <v/>
          </cell>
          <cell r="K438" t="str">
            <v/>
          </cell>
          <cell r="L438" t="str">
            <v/>
          </cell>
          <cell r="M438" t="str">
            <v/>
          </cell>
        </row>
        <row r="439">
          <cell r="A439">
            <v>31102192</v>
          </cell>
          <cell r="C439">
            <v>31102192</v>
          </cell>
          <cell r="D439">
            <v>31102192</v>
          </cell>
          <cell r="E439">
            <v>31102192</v>
          </cell>
          <cell r="F439">
            <v>31102192</v>
          </cell>
          <cell r="G439">
            <v>31102192</v>
          </cell>
          <cell r="H439">
            <v>31102192</v>
          </cell>
          <cell r="I439" t="str">
            <v/>
          </cell>
          <cell r="J439" t="str">
            <v/>
          </cell>
          <cell r="K439" t="str">
            <v/>
          </cell>
          <cell r="L439" t="str">
            <v/>
          </cell>
          <cell r="M439" t="str">
            <v/>
          </cell>
        </row>
        <row r="440">
          <cell r="A440">
            <v>31102192</v>
          </cell>
          <cell r="C440">
            <v>31102192</v>
          </cell>
          <cell r="D440">
            <v>31102192</v>
          </cell>
          <cell r="E440">
            <v>31102192</v>
          </cell>
          <cell r="F440">
            <v>31102192</v>
          </cell>
          <cell r="G440">
            <v>31102192</v>
          </cell>
          <cell r="H440">
            <v>31102192</v>
          </cell>
          <cell r="I440" t="str">
            <v/>
          </cell>
          <cell r="J440" t="str">
            <v/>
          </cell>
          <cell r="K440" t="str">
            <v/>
          </cell>
          <cell r="L440" t="str">
            <v/>
          </cell>
          <cell r="M440" t="str">
            <v/>
          </cell>
        </row>
        <row r="441">
          <cell r="A441">
            <v>31102192</v>
          </cell>
          <cell r="C441">
            <v>31102192</v>
          </cell>
          <cell r="D441">
            <v>31102192</v>
          </cell>
          <cell r="E441">
            <v>31102192</v>
          </cell>
          <cell r="F441">
            <v>31102192</v>
          </cell>
          <cell r="G441">
            <v>31102192</v>
          </cell>
          <cell r="H441">
            <v>31102192</v>
          </cell>
          <cell r="I441" t="str">
            <v/>
          </cell>
          <cell r="J441" t="str">
            <v/>
          </cell>
          <cell r="K441" t="str">
            <v/>
          </cell>
          <cell r="L441" t="str">
            <v/>
          </cell>
          <cell r="M441" t="str">
            <v/>
          </cell>
        </row>
        <row r="442">
          <cell r="A442">
            <v>31102192</v>
          </cell>
          <cell r="C442">
            <v>31102192</v>
          </cell>
          <cell r="D442">
            <v>31102192</v>
          </cell>
          <cell r="E442">
            <v>31102192</v>
          </cell>
          <cell r="F442">
            <v>31102192</v>
          </cell>
          <cell r="G442">
            <v>31102192</v>
          </cell>
          <cell r="H442">
            <v>31102192</v>
          </cell>
          <cell r="I442" t="str">
            <v/>
          </cell>
          <cell r="J442" t="str">
            <v/>
          </cell>
          <cell r="K442" t="str">
            <v/>
          </cell>
          <cell r="L442" t="str">
            <v/>
          </cell>
          <cell r="M442" t="str">
            <v/>
          </cell>
        </row>
        <row r="443">
          <cell r="A443">
            <v>31102192</v>
          </cell>
          <cell r="C443">
            <v>31102192</v>
          </cell>
          <cell r="D443">
            <v>31102192</v>
          </cell>
          <cell r="E443">
            <v>31102192</v>
          </cell>
          <cell r="F443">
            <v>31102192</v>
          </cell>
          <cell r="G443">
            <v>31102192</v>
          </cell>
          <cell r="H443">
            <v>31102192</v>
          </cell>
          <cell r="I443" t="str">
            <v/>
          </cell>
          <cell r="J443" t="str">
            <v/>
          </cell>
          <cell r="K443" t="str">
            <v/>
          </cell>
          <cell r="L443" t="str">
            <v/>
          </cell>
          <cell r="M443" t="str">
            <v/>
          </cell>
        </row>
        <row r="444">
          <cell r="A444">
            <v>31102192</v>
          </cell>
          <cell r="C444">
            <v>31102192</v>
          </cell>
          <cell r="D444">
            <v>31102192</v>
          </cell>
          <cell r="E444">
            <v>31102192</v>
          </cell>
          <cell r="F444">
            <v>31102192</v>
          </cell>
          <cell r="G444">
            <v>31102192</v>
          </cell>
          <cell r="H444">
            <v>31102192</v>
          </cell>
          <cell r="I444" t="str">
            <v/>
          </cell>
          <cell r="J444" t="str">
            <v/>
          </cell>
          <cell r="K444" t="str">
            <v/>
          </cell>
          <cell r="L444" t="str">
            <v/>
          </cell>
          <cell r="M444" t="str">
            <v/>
          </cell>
        </row>
        <row r="445">
          <cell r="A445">
            <v>31102192</v>
          </cell>
          <cell r="C445">
            <v>31102192</v>
          </cell>
          <cell r="D445">
            <v>31102192</v>
          </cell>
          <cell r="E445">
            <v>31102192</v>
          </cell>
          <cell r="F445">
            <v>31102192</v>
          </cell>
          <cell r="G445">
            <v>31102192</v>
          </cell>
          <cell r="H445">
            <v>31102192</v>
          </cell>
          <cell r="I445" t="str">
            <v/>
          </cell>
          <cell r="J445" t="str">
            <v/>
          </cell>
          <cell r="K445" t="str">
            <v/>
          </cell>
          <cell r="L445" t="str">
            <v/>
          </cell>
          <cell r="M445" t="str">
            <v/>
          </cell>
        </row>
        <row r="446">
          <cell r="A446">
            <v>31102192</v>
          </cell>
          <cell r="C446">
            <v>31102192</v>
          </cell>
          <cell r="D446">
            <v>31102192</v>
          </cell>
          <cell r="E446">
            <v>31102192</v>
          </cell>
          <cell r="F446">
            <v>31102192</v>
          </cell>
          <cell r="G446">
            <v>31102192</v>
          </cell>
          <cell r="H446">
            <v>31102192</v>
          </cell>
          <cell r="I446" t="str">
            <v/>
          </cell>
          <cell r="J446" t="str">
            <v/>
          </cell>
          <cell r="K446" t="str">
            <v/>
          </cell>
          <cell r="L446" t="str">
            <v/>
          </cell>
          <cell r="M446" t="str">
            <v/>
          </cell>
        </row>
        <row r="447">
          <cell r="A447">
            <v>31102192</v>
          </cell>
          <cell r="C447">
            <v>31102192</v>
          </cell>
          <cell r="D447">
            <v>31102192</v>
          </cell>
          <cell r="E447">
            <v>31102192</v>
          </cell>
          <cell r="F447">
            <v>31102192</v>
          </cell>
          <cell r="G447">
            <v>31102192</v>
          </cell>
          <cell r="H447">
            <v>31102192</v>
          </cell>
          <cell r="I447" t="str">
            <v/>
          </cell>
          <cell r="J447" t="str">
            <v/>
          </cell>
          <cell r="K447" t="str">
            <v/>
          </cell>
          <cell r="L447" t="str">
            <v/>
          </cell>
          <cell r="M447" t="str">
            <v/>
          </cell>
        </row>
        <row r="448">
          <cell r="A448">
            <v>31102192</v>
          </cell>
          <cell r="C448">
            <v>31102192</v>
          </cell>
          <cell r="D448">
            <v>31102192</v>
          </cell>
          <cell r="E448">
            <v>31102192</v>
          </cell>
          <cell r="F448">
            <v>31102192</v>
          </cell>
          <cell r="G448">
            <v>31102192</v>
          </cell>
          <cell r="H448">
            <v>31102192</v>
          </cell>
          <cell r="I448" t="str">
            <v/>
          </cell>
          <cell r="J448" t="str">
            <v/>
          </cell>
          <cell r="K448" t="str">
            <v/>
          </cell>
          <cell r="L448" t="str">
            <v/>
          </cell>
          <cell r="M448" t="str">
            <v/>
          </cell>
        </row>
        <row r="449">
          <cell r="A449">
            <v>31102192</v>
          </cell>
          <cell r="C449">
            <v>31102192</v>
          </cell>
          <cell r="D449">
            <v>31102192</v>
          </cell>
          <cell r="E449">
            <v>31102192</v>
          </cell>
          <cell r="F449">
            <v>31102192</v>
          </cell>
          <cell r="G449">
            <v>31102192</v>
          </cell>
          <cell r="H449">
            <v>31102192</v>
          </cell>
          <cell r="I449" t="str">
            <v/>
          </cell>
          <cell r="J449" t="str">
            <v/>
          </cell>
          <cell r="K449" t="str">
            <v/>
          </cell>
          <cell r="L449" t="str">
            <v/>
          </cell>
          <cell r="M449" t="str">
            <v/>
          </cell>
        </row>
        <row r="450">
          <cell r="A450">
            <v>31102192</v>
          </cell>
          <cell r="C450">
            <v>31102192</v>
          </cell>
          <cell r="D450">
            <v>31102192</v>
          </cell>
          <cell r="E450">
            <v>31102192</v>
          </cell>
          <cell r="F450">
            <v>31102192</v>
          </cell>
          <cell r="G450">
            <v>31102192</v>
          </cell>
          <cell r="H450">
            <v>31102192</v>
          </cell>
          <cell r="I450" t="str">
            <v/>
          </cell>
          <cell r="J450" t="str">
            <v/>
          </cell>
          <cell r="K450" t="str">
            <v/>
          </cell>
          <cell r="L450" t="str">
            <v/>
          </cell>
          <cell r="M450" t="str">
            <v/>
          </cell>
        </row>
        <row r="451">
          <cell r="A451">
            <v>31102192</v>
          </cell>
          <cell r="C451">
            <v>31102192</v>
          </cell>
          <cell r="D451">
            <v>31102192</v>
          </cell>
          <cell r="E451">
            <v>31102192</v>
          </cell>
          <cell r="F451">
            <v>31102192</v>
          </cell>
          <cell r="G451">
            <v>31102192</v>
          </cell>
          <cell r="H451">
            <v>31102192</v>
          </cell>
          <cell r="I451" t="str">
            <v/>
          </cell>
          <cell r="J451" t="str">
            <v/>
          </cell>
          <cell r="K451" t="str">
            <v/>
          </cell>
          <cell r="L451" t="str">
            <v/>
          </cell>
          <cell r="M451" t="str">
            <v/>
          </cell>
        </row>
        <row r="452">
          <cell r="A452">
            <v>31102192</v>
          </cell>
          <cell r="C452">
            <v>31102192</v>
          </cell>
          <cell r="D452">
            <v>31102192</v>
          </cell>
          <cell r="E452">
            <v>31102192</v>
          </cell>
          <cell r="F452">
            <v>31102192</v>
          </cell>
          <cell r="G452">
            <v>31102192</v>
          </cell>
          <cell r="H452">
            <v>31102192</v>
          </cell>
          <cell r="I452" t="str">
            <v/>
          </cell>
          <cell r="J452" t="str">
            <v/>
          </cell>
          <cell r="K452" t="str">
            <v/>
          </cell>
          <cell r="L452" t="str">
            <v/>
          </cell>
          <cell r="M452" t="str">
            <v/>
          </cell>
        </row>
        <row r="453">
          <cell r="A453">
            <v>31102192</v>
          </cell>
          <cell r="C453">
            <v>31102192</v>
          </cell>
          <cell r="D453">
            <v>31102192</v>
          </cell>
          <cell r="E453">
            <v>31102192</v>
          </cell>
          <cell r="F453">
            <v>31102192</v>
          </cell>
          <cell r="G453">
            <v>31102192</v>
          </cell>
          <cell r="H453">
            <v>31102192</v>
          </cell>
          <cell r="I453" t="str">
            <v/>
          </cell>
          <cell r="J453" t="str">
            <v/>
          </cell>
          <cell r="K453" t="str">
            <v/>
          </cell>
          <cell r="L453" t="str">
            <v/>
          </cell>
          <cell r="M453" t="str">
            <v/>
          </cell>
        </row>
        <row r="454">
          <cell r="A454">
            <v>31102192</v>
          </cell>
          <cell r="C454">
            <v>31102192</v>
          </cell>
          <cell r="D454">
            <v>31102192</v>
          </cell>
          <cell r="E454">
            <v>31102192</v>
          </cell>
          <cell r="F454">
            <v>31102192</v>
          </cell>
          <cell r="G454">
            <v>31102192</v>
          </cell>
          <cell r="H454">
            <v>31102192</v>
          </cell>
          <cell r="I454" t="str">
            <v/>
          </cell>
          <cell r="J454" t="str">
            <v/>
          </cell>
          <cell r="K454" t="str">
            <v/>
          </cell>
          <cell r="L454" t="str">
            <v/>
          </cell>
          <cell r="M454" t="str">
            <v/>
          </cell>
        </row>
        <row r="455">
          <cell r="A455">
            <v>31102192</v>
          </cell>
          <cell r="C455">
            <v>31102192</v>
          </cell>
          <cell r="D455">
            <v>31102192</v>
          </cell>
          <cell r="E455">
            <v>31102192</v>
          </cell>
          <cell r="F455">
            <v>31102192</v>
          </cell>
          <cell r="G455">
            <v>31102192</v>
          </cell>
          <cell r="H455">
            <v>31102192</v>
          </cell>
          <cell r="I455" t="str">
            <v/>
          </cell>
          <cell r="J455" t="str">
            <v/>
          </cell>
          <cell r="K455" t="str">
            <v/>
          </cell>
          <cell r="L455" t="str">
            <v/>
          </cell>
          <cell r="M455" t="str">
            <v/>
          </cell>
        </row>
        <row r="456">
          <cell r="A456">
            <v>31102192</v>
          </cell>
          <cell r="C456">
            <v>31102192</v>
          </cell>
          <cell r="D456">
            <v>31102192</v>
          </cell>
          <cell r="E456">
            <v>31102192</v>
          </cell>
          <cell r="F456">
            <v>31102192</v>
          </cell>
          <cell r="G456">
            <v>31102192</v>
          </cell>
          <cell r="H456">
            <v>31102192</v>
          </cell>
          <cell r="I456" t="str">
            <v/>
          </cell>
          <cell r="J456" t="str">
            <v/>
          </cell>
          <cell r="K456" t="str">
            <v/>
          </cell>
          <cell r="L456" t="str">
            <v/>
          </cell>
          <cell r="M456" t="str">
            <v/>
          </cell>
        </row>
        <row r="457">
          <cell r="A457">
            <v>31102192</v>
          </cell>
          <cell r="C457">
            <v>31102192</v>
          </cell>
          <cell r="D457">
            <v>31102192</v>
          </cell>
          <cell r="E457">
            <v>31102192</v>
          </cell>
          <cell r="F457">
            <v>31102192</v>
          </cell>
          <cell r="G457">
            <v>31102192</v>
          </cell>
          <cell r="H457">
            <v>31102192</v>
          </cell>
          <cell r="I457" t="str">
            <v/>
          </cell>
          <cell r="J457" t="str">
            <v/>
          </cell>
          <cell r="K457" t="str">
            <v/>
          </cell>
          <cell r="L457" t="str">
            <v/>
          </cell>
          <cell r="M457" t="str">
            <v/>
          </cell>
        </row>
        <row r="458">
          <cell r="A458">
            <v>31102192</v>
          </cell>
          <cell r="C458">
            <v>31102192</v>
          </cell>
          <cell r="D458">
            <v>31102192</v>
          </cell>
          <cell r="E458">
            <v>31102192</v>
          </cell>
          <cell r="F458">
            <v>31102192</v>
          </cell>
          <cell r="G458">
            <v>31102192</v>
          </cell>
          <cell r="H458">
            <v>31102192</v>
          </cell>
          <cell r="I458" t="str">
            <v/>
          </cell>
          <cell r="J458" t="str">
            <v/>
          </cell>
          <cell r="K458" t="str">
            <v/>
          </cell>
          <cell r="L458" t="str">
            <v/>
          </cell>
          <cell r="M458" t="str">
            <v/>
          </cell>
        </row>
        <row r="459">
          <cell r="A459">
            <v>31102192</v>
          </cell>
          <cell r="C459">
            <v>31102192</v>
          </cell>
          <cell r="D459">
            <v>31102192</v>
          </cell>
          <cell r="E459">
            <v>31102192</v>
          </cell>
          <cell r="F459">
            <v>31102192</v>
          </cell>
          <cell r="G459">
            <v>31102192</v>
          </cell>
          <cell r="H459">
            <v>31102192</v>
          </cell>
          <cell r="I459" t="str">
            <v/>
          </cell>
          <cell r="J459" t="str">
            <v/>
          </cell>
          <cell r="K459" t="str">
            <v/>
          </cell>
          <cell r="L459" t="str">
            <v/>
          </cell>
          <cell r="M459" t="str">
            <v/>
          </cell>
        </row>
        <row r="460">
          <cell r="A460">
            <v>31102192</v>
          </cell>
          <cell r="C460">
            <v>31102192</v>
          </cell>
          <cell r="D460">
            <v>31102192</v>
          </cell>
          <cell r="E460">
            <v>31102192</v>
          </cell>
          <cell r="F460">
            <v>31102192</v>
          </cell>
          <cell r="G460">
            <v>31102192</v>
          </cell>
          <cell r="H460">
            <v>31102192</v>
          </cell>
          <cell r="I460" t="str">
            <v/>
          </cell>
          <cell r="J460" t="str">
            <v/>
          </cell>
          <cell r="K460" t="str">
            <v/>
          </cell>
          <cell r="L460" t="str">
            <v/>
          </cell>
          <cell r="M460" t="str">
            <v/>
          </cell>
        </row>
        <row r="461">
          <cell r="A461">
            <v>31102192</v>
          </cell>
          <cell r="C461">
            <v>31102192</v>
          </cell>
          <cell r="D461">
            <v>31102192</v>
          </cell>
          <cell r="E461">
            <v>31102192</v>
          </cell>
          <cell r="F461">
            <v>31102192</v>
          </cell>
          <cell r="G461">
            <v>31102192</v>
          </cell>
          <cell r="H461">
            <v>31102192</v>
          </cell>
          <cell r="I461" t="str">
            <v/>
          </cell>
          <cell r="J461" t="str">
            <v/>
          </cell>
          <cell r="K461" t="str">
            <v/>
          </cell>
          <cell r="L461" t="str">
            <v/>
          </cell>
          <cell r="M461" t="str">
            <v/>
          </cell>
        </row>
        <row r="462">
          <cell r="A462">
            <v>31102192</v>
          </cell>
          <cell r="C462">
            <v>31102192</v>
          </cell>
          <cell r="D462">
            <v>31102192</v>
          </cell>
          <cell r="E462">
            <v>31102192</v>
          </cell>
          <cell r="F462">
            <v>31102192</v>
          </cell>
          <cell r="G462">
            <v>31102192</v>
          </cell>
          <cell r="H462">
            <v>31102192</v>
          </cell>
          <cell r="I462" t="str">
            <v/>
          </cell>
          <cell r="J462" t="str">
            <v/>
          </cell>
          <cell r="K462" t="str">
            <v/>
          </cell>
          <cell r="L462" t="str">
            <v/>
          </cell>
          <cell r="M462" t="str">
            <v/>
          </cell>
        </row>
        <row r="463">
          <cell r="A463">
            <v>31102192</v>
          </cell>
          <cell r="C463">
            <v>31102192</v>
          </cell>
          <cell r="D463">
            <v>31102192</v>
          </cell>
          <cell r="E463">
            <v>31102192</v>
          </cell>
          <cell r="F463">
            <v>31102192</v>
          </cell>
          <cell r="G463">
            <v>31102192</v>
          </cell>
          <cell r="H463">
            <v>31102192</v>
          </cell>
          <cell r="I463" t="str">
            <v/>
          </cell>
          <cell r="J463" t="str">
            <v/>
          </cell>
          <cell r="K463" t="str">
            <v/>
          </cell>
          <cell r="L463" t="str">
            <v/>
          </cell>
          <cell r="M463" t="str">
            <v/>
          </cell>
        </row>
        <row r="464">
          <cell r="A464">
            <v>31102192</v>
          </cell>
          <cell r="C464">
            <v>31102192</v>
          </cell>
          <cell r="D464">
            <v>31102192</v>
          </cell>
          <cell r="E464">
            <v>31102192</v>
          </cell>
          <cell r="F464">
            <v>31102192</v>
          </cell>
          <cell r="G464">
            <v>31102192</v>
          </cell>
          <cell r="H464">
            <v>31102192</v>
          </cell>
          <cell r="I464" t="str">
            <v/>
          </cell>
          <cell r="J464" t="str">
            <v/>
          </cell>
          <cell r="K464" t="str">
            <v/>
          </cell>
          <cell r="L464" t="str">
            <v/>
          </cell>
          <cell r="M464" t="str">
            <v/>
          </cell>
        </row>
        <row r="465">
          <cell r="A465">
            <v>31102192</v>
          </cell>
          <cell r="C465">
            <v>31102192</v>
          </cell>
          <cell r="D465">
            <v>31102192</v>
          </cell>
          <cell r="E465">
            <v>31102192</v>
          </cell>
          <cell r="F465">
            <v>31102192</v>
          </cell>
          <cell r="G465">
            <v>31102192</v>
          </cell>
          <cell r="H465">
            <v>31102192</v>
          </cell>
          <cell r="I465" t="str">
            <v/>
          </cell>
          <cell r="J465" t="str">
            <v/>
          </cell>
          <cell r="K465" t="str">
            <v/>
          </cell>
          <cell r="L465" t="str">
            <v/>
          </cell>
          <cell r="M465" t="str">
            <v/>
          </cell>
        </row>
        <row r="466">
          <cell r="A466">
            <v>31102192</v>
          </cell>
          <cell r="C466">
            <v>31102192</v>
          </cell>
          <cell r="D466">
            <v>31102192</v>
          </cell>
          <cell r="E466">
            <v>31102192</v>
          </cell>
          <cell r="F466">
            <v>31102192</v>
          </cell>
          <cell r="G466">
            <v>31102192</v>
          </cell>
          <cell r="H466">
            <v>31102192</v>
          </cell>
          <cell r="I466" t="str">
            <v/>
          </cell>
          <cell r="J466" t="str">
            <v/>
          </cell>
          <cell r="K466" t="str">
            <v/>
          </cell>
          <cell r="L466" t="str">
            <v/>
          </cell>
          <cell r="M466" t="str">
            <v/>
          </cell>
        </row>
        <row r="467">
          <cell r="A467">
            <v>31102192</v>
          </cell>
          <cell r="C467">
            <v>31102192</v>
          </cell>
          <cell r="D467">
            <v>31102192</v>
          </cell>
          <cell r="E467">
            <v>31102192</v>
          </cell>
          <cell r="F467">
            <v>31102192</v>
          </cell>
          <cell r="G467">
            <v>31102192</v>
          </cell>
          <cell r="H467">
            <v>31102192</v>
          </cell>
          <cell r="I467" t="str">
            <v/>
          </cell>
          <cell r="J467" t="str">
            <v/>
          </cell>
          <cell r="K467" t="str">
            <v/>
          </cell>
          <cell r="L467" t="str">
            <v/>
          </cell>
          <cell r="M467" t="str">
            <v/>
          </cell>
        </row>
        <row r="468">
          <cell r="A468">
            <v>31102192</v>
          </cell>
          <cell r="C468">
            <v>31102192</v>
          </cell>
          <cell r="D468">
            <v>31102192</v>
          </cell>
          <cell r="E468">
            <v>31102192</v>
          </cell>
          <cell r="F468">
            <v>31102192</v>
          </cell>
          <cell r="G468">
            <v>31102192</v>
          </cell>
          <cell r="H468">
            <v>31102192</v>
          </cell>
          <cell r="I468" t="str">
            <v/>
          </cell>
          <cell r="J468" t="str">
            <v/>
          </cell>
          <cell r="K468" t="str">
            <v/>
          </cell>
          <cell r="L468" t="str">
            <v/>
          </cell>
          <cell r="M468" t="str">
            <v/>
          </cell>
        </row>
        <row r="469">
          <cell r="A469">
            <v>31102192</v>
          </cell>
          <cell r="C469">
            <v>31102192</v>
          </cell>
          <cell r="D469">
            <v>31102192</v>
          </cell>
          <cell r="E469">
            <v>31102192</v>
          </cell>
          <cell r="F469">
            <v>31102192</v>
          </cell>
          <cell r="G469">
            <v>31102192</v>
          </cell>
          <cell r="H469">
            <v>31102192</v>
          </cell>
          <cell r="I469" t="str">
            <v/>
          </cell>
          <cell r="J469" t="str">
            <v/>
          </cell>
          <cell r="K469" t="str">
            <v/>
          </cell>
          <cell r="L469" t="str">
            <v/>
          </cell>
          <cell r="M469" t="str">
            <v/>
          </cell>
        </row>
        <row r="470">
          <cell r="A470">
            <v>31102192</v>
          </cell>
          <cell r="C470">
            <v>31102192</v>
          </cell>
          <cell r="D470">
            <v>31102192</v>
          </cell>
          <cell r="E470">
            <v>31102192</v>
          </cell>
          <cell r="F470">
            <v>31102192</v>
          </cell>
          <cell r="G470">
            <v>31102192</v>
          </cell>
          <cell r="H470">
            <v>31102192</v>
          </cell>
          <cell r="I470" t="str">
            <v/>
          </cell>
          <cell r="J470" t="str">
            <v/>
          </cell>
          <cell r="K470" t="str">
            <v/>
          </cell>
          <cell r="L470" t="str">
            <v/>
          </cell>
          <cell r="M470" t="str">
            <v/>
          </cell>
        </row>
        <row r="471">
          <cell r="A471">
            <v>31102192</v>
          </cell>
          <cell r="C471">
            <v>31102192</v>
          </cell>
          <cell r="D471">
            <v>31102192</v>
          </cell>
          <cell r="E471">
            <v>31102192</v>
          </cell>
          <cell r="F471">
            <v>31102192</v>
          </cell>
          <cell r="G471">
            <v>31102192</v>
          </cell>
          <cell r="H471">
            <v>31102192</v>
          </cell>
          <cell r="I471" t="str">
            <v/>
          </cell>
          <cell r="J471" t="str">
            <v/>
          </cell>
          <cell r="K471" t="str">
            <v/>
          </cell>
          <cell r="L471" t="str">
            <v/>
          </cell>
          <cell r="M471" t="str">
            <v/>
          </cell>
        </row>
        <row r="472">
          <cell r="A472">
            <v>31102192</v>
          </cell>
          <cell r="C472">
            <v>31102192</v>
          </cell>
          <cell r="D472">
            <v>31102192</v>
          </cell>
          <cell r="E472">
            <v>31102192</v>
          </cell>
          <cell r="F472">
            <v>31102192</v>
          </cell>
          <cell r="G472">
            <v>31102192</v>
          </cell>
          <cell r="H472">
            <v>31102192</v>
          </cell>
          <cell r="I472" t="str">
            <v/>
          </cell>
          <cell r="J472" t="str">
            <v/>
          </cell>
          <cell r="K472" t="str">
            <v/>
          </cell>
          <cell r="L472" t="str">
            <v/>
          </cell>
          <cell r="M472" t="str">
            <v/>
          </cell>
        </row>
        <row r="473">
          <cell r="A473">
            <v>31102192</v>
          </cell>
          <cell r="C473">
            <v>31102192</v>
          </cell>
          <cell r="D473">
            <v>31102192</v>
          </cell>
          <cell r="E473">
            <v>31102192</v>
          </cell>
          <cell r="F473">
            <v>31102192</v>
          </cell>
          <cell r="G473">
            <v>31102192</v>
          </cell>
          <cell r="H473">
            <v>31102192</v>
          </cell>
          <cell r="I473" t="str">
            <v/>
          </cell>
          <cell r="J473" t="str">
            <v/>
          </cell>
          <cell r="K473" t="str">
            <v/>
          </cell>
          <cell r="L473" t="str">
            <v/>
          </cell>
          <cell r="M473" t="str">
            <v/>
          </cell>
        </row>
        <row r="474">
          <cell r="A474">
            <v>31102192</v>
          </cell>
          <cell r="C474">
            <v>31102192</v>
          </cell>
          <cell r="D474">
            <v>31102192</v>
          </cell>
          <cell r="E474">
            <v>31102192</v>
          </cell>
          <cell r="F474">
            <v>31102192</v>
          </cell>
          <cell r="G474">
            <v>31102192</v>
          </cell>
          <cell r="H474">
            <v>31102192</v>
          </cell>
          <cell r="I474" t="str">
            <v/>
          </cell>
          <cell r="J474" t="str">
            <v/>
          </cell>
          <cell r="K474" t="str">
            <v/>
          </cell>
          <cell r="L474" t="str">
            <v/>
          </cell>
          <cell r="M474" t="str">
            <v/>
          </cell>
        </row>
        <row r="475">
          <cell r="A475">
            <v>31102192</v>
          </cell>
          <cell r="C475">
            <v>31102192</v>
          </cell>
          <cell r="D475">
            <v>31102192</v>
          </cell>
          <cell r="E475">
            <v>31102192</v>
          </cell>
          <cell r="F475">
            <v>31102192</v>
          </cell>
          <cell r="G475">
            <v>31102192</v>
          </cell>
          <cell r="H475">
            <v>31102192</v>
          </cell>
          <cell r="I475" t="str">
            <v/>
          </cell>
          <cell r="J475" t="str">
            <v/>
          </cell>
          <cell r="K475" t="str">
            <v/>
          </cell>
          <cell r="L475" t="str">
            <v/>
          </cell>
          <cell r="M475" t="str">
            <v/>
          </cell>
        </row>
        <row r="476">
          <cell r="A476">
            <v>31102192</v>
          </cell>
          <cell r="C476">
            <v>31102192</v>
          </cell>
          <cell r="D476">
            <v>31102192</v>
          </cell>
          <cell r="E476">
            <v>31102192</v>
          </cell>
          <cell r="F476">
            <v>31102192</v>
          </cell>
          <cell r="G476">
            <v>31102192</v>
          </cell>
          <cell r="H476">
            <v>31102192</v>
          </cell>
          <cell r="I476" t="str">
            <v/>
          </cell>
          <cell r="J476" t="str">
            <v/>
          </cell>
          <cell r="K476" t="str">
            <v/>
          </cell>
          <cell r="L476" t="str">
            <v/>
          </cell>
          <cell r="M476" t="str">
            <v/>
          </cell>
        </row>
        <row r="477">
          <cell r="A477">
            <v>31102192</v>
          </cell>
          <cell r="C477">
            <v>31102192</v>
          </cell>
          <cell r="D477">
            <v>31102192</v>
          </cell>
          <cell r="E477">
            <v>31102192</v>
          </cell>
          <cell r="F477">
            <v>31102192</v>
          </cell>
          <cell r="G477">
            <v>31102192</v>
          </cell>
          <cell r="H477">
            <v>31102192</v>
          </cell>
          <cell r="I477" t="str">
            <v/>
          </cell>
          <cell r="J477" t="str">
            <v/>
          </cell>
          <cell r="K477" t="str">
            <v/>
          </cell>
          <cell r="L477" t="str">
            <v/>
          </cell>
          <cell r="M477" t="str">
            <v/>
          </cell>
        </row>
        <row r="478">
          <cell r="A478">
            <v>31102192</v>
          </cell>
          <cell r="C478">
            <v>31102192</v>
          </cell>
          <cell r="D478">
            <v>31102192</v>
          </cell>
          <cell r="E478">
            <v>31102192</v>
          </cell>
          <cell r="F478">
            <v>31102192</v>
          </cell>
          <cell r="G478">
            <v>31102192</v>
          </cell>
          <cell r="H478">
            <v>31102192</v>
          </cell>
          <cell r="I478" t="str">
            <v/>
          </cell>
          <cell r="J478" t="str">
            <v/>
          </cell>
          <cell r="K478" t="str">
            <v/>
          </cell>
          <cell r="L478" t="str">
            <v/>
          </cell>
          <cell r="M478" t="str">
            <v/>
          </cell>
        </row>
        <row r="479">
          <cell r="A479">
            <v>31102192</v>
          </cell>
          <cell r="C479">
            <v>31102192</v>
          </cell>
          <cell r="D479">
            <v>31102192</v>
          </cell>
          <cell r="E479">
            <v>31102192</v>
          </cell>
          <cell r="F479">
            <v>31102192</v>
          </cell>
          <cell r="G479">
            <v>31102192</v>
          </cell>
          <cell r="H479">
            <v>31102192</v>
          </cell>
          <cell r="I479" t="str">
            <v/>
          </cell>
          <cell r="J479" t="str">
            <v/>
          </cell>
          <cell r="K479" t="str">
            <v/>
          </cell>
          <cell r="L479" t="str">
            <v/>
          </cell>
          <cell r="M479" t="str">
            <v/>
          </cell>
        </row>
        <row r="480">
          <cell r="A480">
            <v>31102192</v>
          </cell>
          <cell r="C480">
            <v>31102192</v>
          </cell>
          <cell r="D480">
            <v>31102192</v>
          </cell>
          <cell r="E480">
            <v>31102192</v>
          </cell>
          <cell r="F480">
            <v>31102192</v>
          </cell>
          <cell r="G480">
            <v>31102192</v>
          </cell>
          <cell r="H480">
            <v>31102192</v>
          </cell>
          <cell r="I480" t="str">
            <v/>
          </cell>
          <cell r="J480" t="str">
            <v/>
          </cell>
          <cell r="K480" t="str">
            <v/>
          </cell>
          <cell r="L480" t="str">
            <v/>
          </cell>
          <cell r="M480" t="str">
            <v/>
          </cell>
        </row>
        <row r="481">
          <cell r="A481">
            <v>31102192</v>
          </cell>
          <cell r="C481">
            <v>31102192</v>
          </cell>
          <cell r="D481">
            <v>31102192</v>
          </cell>
          <cell r="E481">
            <v>31102192</v>
          </cell>
          <cell r="F481">
            <v>31102192</v>
          </cell>
          <cell r="G481">
            <v>31102192</v>
          </cell>
          <cell r="H481">
            <v>31102192</v>
          </cell>
          <cell r="I481" t="str">
            <v/>
          </cell>
          <cell r="J481" t="str">
            <v/>
          </cell>
          <cell r="K481" t="str">
            <v/>
          </cell>
          <cell r="L481" t="str">
            <v/>
          </cell>
          <cell r="M481" t="str">
            <v/>
          </cell>
        </row>
        <row r="482">
          <cell r="A482">
            <v>31102192</v>
          </cell>
          <cell r="C482">
            <v>31102192</v>
          </cell>
          <cell r="D482">
            <v>31102192</v>
          </cell>
          <cell r="E482">
            <v>31102192</v>
          </cell>
          <cell r="F482">
            <v>31102192</v>
          </cell>
          <cell r="G482">
            <v>31102192</v>
          </cell>
          <cell r="H482">
            <v>31102192</v>
          </cell>
          <cell r="I482" t="str">
            <v/>
          </cell>
          <cell r="J482" t="str">
            <v/>
          </cell>
          <cell r="K482" t="str">
            <v/>
          </cell>
          <cell r="L482" t="str">
            <v/>
          </cell>
          <cell r="M482" t="str">
            <v/>
          </cell>
        </row>
        <row r="483">
          <cell r="A483">
            <v>31102192</v>
          </cell>
          <cell r="C483">
            <v>31102192</v>
          </cell>
          <cell r="D483">
            <v>31102192</v>
          </cell>
          <cell r="E483">
            <v>31102192</v>
          </cell>
          <cell r="F483">
            <v>31102192</v>
          </cell>
          <cell r="G483">
            <v>31102192</v>
          </cell>
          <cell r="H483">
            <v>31102192</v>
          </cell>
          <cell r="I483" t="str">
            <v/>
          </cell>
          <cell r="J483" t="str">
            <v/>
          </cell>
          <cell r="K483" t="str">
            <v/>
          </cell>
          <cell r="L483" t="str">
            <v/>
          </cell>
          <cell r="M483" t="str">
            <v/>
          </cell>
        </row>
        <row r="484">
          <cell r="A484">
            <v>31102192</v>
          </cell>
          <cell r="C484">
            <v>31102192</v>
          </cell>
          <cell r="D484">
            <v>31102192</v>
          </cell>
          <cell r="E484">
            <v>31102192</v>
          </cell>
          <cell r="F484">
            <v>31102192</v>
          </cell>
          <cell r="G484">
            <v>31102192</v>
          </cell>
          <cell r="H484">
            <v>31102192</v>
          </cell>
          <cell r="I484" t="str">
            <v/>
          </cell>
          <cell r="J484" t="str">
            <v/>
          </cell>
          <cell r="K484" t="str">
            <v/>
          </cell>
          <cell r="L484" t="str">
            <v/>
          </cell>
          <cell r="M484" t="str">
            <v/>
          </cell>
        </row>
        <row r="485">
          <cell r="A485">
            <v>31102192</v>
          </cell>
          <cell r="C485">
            <v>31102192</v>
          </cell>
          <cell r="D485">
            <v>31102192</v>
          </cell>
          <cell r="E485">
            <v>31102192</v>
          </cell>
          <cell r="F485">
            <v>31102192</v>
          </cell>
          <cell r="G485">
            <v>31102192</v>
          </cell>
          <cell r="H485">
            <v>31102192</v>
          </cell>
          <cell r="I485" t="str">
            <v/>
          </cell>
          <cell r="J485" t="str">
            <v/>
          </cell>
          <cell r="K485" t="str">
            <v/>
          </cell>
          <cell r="L485" t="str">
            <v/>
          </cell>
          <cell r="M485" t="str">
            <v/>
          </cell>
        </row>
        <row r="486">
          <cell r="A486">
            <v>31102192</v>
          </cell>
          <cell r="C486">
            <v>31102192</v>
          </cell>
          <cell r="D486">
            <v>31102192</v>
          </cell>
          <cell r="E486">
            <v>31102192</v>
          </cell>
          <cell r="F486">
            <v>31102192</v>
          </cell>
          <cell r="G486">
            <v>31102192</v>
          </cell>
          <cell r="H486">
            <v>31102192</v>
          </cell>
          <cell r="I486" t="str">
            <v/>
          </cell>
          <cell r="J486" t="str">
            <v/>
          </cell>
          <cell r="K486" t="str">
            <v/>
          </cell>
          <cell r="L486" t="str">
            <v/>
          </cell>
          <cell r="M486" t="str">
            <v/>
          </cell>
        </row>
        <row r="487">
          <cell r="A487">
            <v>31102192</v>
          </cell>
          <cell r="C487">
            <v>31102192</v>
          </cell>
          <cell r="D487">
            <v>31102192</v>
          </cell>
          <cell r="E487">
            <v>31102192</v>
          </cell>
          <cell r="F487">
            <v>31102192</v>
          </cell>
          <cell r="G487">
            <v>31102192</v>
          </cell>
          <cell r="H487">
            <v>31102192</v>
          </cell>
          <cell r="I487" t="str">
            <v/>
          </cell>
          <cell r="J487" t="str">
            <v/>
          </cell>
          <cell r="K487" t="str">
            <v/>
          </cell>
          <cell r="L487" t="str">
            <v/>
          </cell>
          <cell r="M487" t="str">
            <v/>
          </cell>
        </row>
        <row r="488">
          <cell r="A488">
            <v>31102192</v>
          </cell>
          <cell r="C488">
            <v>31102192</v>
          </cell>
          <cell r="D488">
            <v>31102192</v>
          </cell>
          <cell r="E488">
            <v>31102192</v>
          </cell>
          <cell r="F488">
            <v>31102192</v>
          </cell>
          <cell r="G488">
            <v>31102192</v>
          </cell>
          <cell r="H488">
            <v>31102192</v>
          </cell>
          <cell r="I488" t="str">
            <v/>
          </cell>
          <cell r="J488" t="str">
            <v/>
          </cell>
          <cell r="K488" t="str">
            <v/>
          </cell>
          <cell r="L488" t="str">
            <v/>
          </cell>
          <cell r="M488" t="str">
            <v/>
          </cell>
        </row>
        <row r="489">
          <cell r="A489">
            <v>31102192</v>
          </cell>
          <cell r="C489">
            <v>31102192</v>
          </cell>
          <cell r="D489">
            <v>31102192</v>
          </cell>
          <cell r="E489">
            <v>31102192</v>
          </cell>
          <cell r="F489">
            <v>31102192</v>
          </cell>
          <cell r="G489">
            <v>31102192</v>
          </cell>
          <cell r="H489">
            <v>31102192</v>
          </cell>
          <cell r="I489" t="str">
            <v/>
          </cell>
          <cell r="J489" t="str">
            <v/>
          </cell>
          <cell r="K489" t="str">
            <v/>
          </cell>
          <cell r="L489" t="str">
            <v/>
          </cell>
          <cell r="M489" t="str">
            <v/>
          </cell>
        </row>
        <row r="490">
          <cell r="A490">
            <v>31102192</v>
          </cell>
          <cell r="C490">
            <v>31102192</v>
          </cell>
          <cell r="D490">
            <v>31102192</v>
          </cell>
          <cell r="E490">
            <v>31102192</v>
          </cell>
          <cell r="F490">
            <v>31102192</v>
          </cell>
          <cell r="G490">
            <v>31102192</v>
          </cell>
          <cell r="H490">
            <v>31102192</v>
          </cell>
          <cell r="I490" t="str">
            <v/>
          </cell>
          <cell r="J490" t="str">
            <v/>
          </cell>
          <cell r="K490" t="str">
            <v/>
          </cell>
          <cell r="L490" t="str">
            <v/>
          </cell>
          <cell r="M490" t="str">
            <v/>
          </cell>
        </row>
        <row r="491">
          <cell r="A491">
            <v>31102192</v>
          </cell>
          <cell r="C491">
            <v>31102192</v>
          </cell>
          <cell r="D491">
            <v>31102192</v>
          </cell>
          <cell r="E491">
            <v>31102192</v>
          </cell>
          <cell r="F491">
            <v>31102192</v>
          </cell>
          <cell r="G491">
            <v>31102192</v>
          </cell>
          <cell r="H491">
            <v>31102192</v>
          </cell>
          <cell r="I491" t="str">
            <v/>
          </cell>
          <cell r="J491" t="str">
            <v/>
          </cell>
          <cell r="K491" t="str">
            <v/>
          </cell>
          <cell r="L491" t="str">
            <v/>
          </cell>
          <cell r="M491" t="str">
            <v/>
          </cell>
        </row>
        <row r="492">
          <cell r="A492">
            <v>31102192</v>
          </cell>
          <cell r="C492">
            <v>31102192</v>
          </cell>
          <cell r="D492">
            <v>31102192</v>
          </cell>
          <cell r="E492">
            <v>31102192</v>
          </cell>
          <cell r="F492">
            <v>31102192</v>
          </cell>
          <cell r="G492">
            <v>31102192</v>
          </cell>
          <cell r="H492">
            <v>31102192</v>
          </cell>
          <cell r="I492" t="str">
            <v/>
          </cell>
          <cell r="J492" t="str">
            <v/>
          </cell>
          <cell r="K492" t="str">
            <v/>
          </cell>
          <cell r="L492" t="str">
            <v/>
          </cell>
          <cell r="M492" t="str">
            <v/>
          </cell>
        </row>
        <row r="493">
          <cell r="A493">
            <v>31102192</v>
          </cell>
          <cell r="C493">
            <v>31102192</v>
          </cell>
          <cell r="D493">
            <v>31102192</v>
          </cell>
          <cell r="E493">
            <v>31102192</v>
          </cell>
          <cell r="F493">
            <v>31102192</v>
          </cell>
          <cell r="G493">
            <v>31102192</v>
          </cell>
          <cell r="H493">
            <v>31102192</v>
          </cell>
          <cell r="I493" t="str">
            <v/>
          </cell>
          <cell r="J493" t="str">
            <v/>
          </cell>
          <cell r="K493" t="str">
            <v/>
          </cell>
          <cell r="L493" t="str">
            <v/>
          </cell>
          <cell r="M493" t="str">
            <v/>
          </cell>
        </row>
        <row r="494">
          <cell r="A494">
            <v>31102192</v>
          </cell>
          <cell r="C494">
            <v>31102192</v>
          </cell>
          <cell r="D494">
            <v>31102192</v>
          </cell>
          <cell r="E494">
            <v>31102192</v>
          </cell>
          <cell r="F494">
            <v>31102192</v>
          </cell>
          <cell r="G494">
            <v>31102192</v>
          </cell>
          <cell r="H494">
            <v>31102192</v>
          </cell>
          <cell r="I494" t="str">
            <v/>
          </cell>
          <cell r="J494" t="str">
            <v/>
          </cell>
          <cell r="K494" t="str">
            <v/>
          </cell>
          <cell r="L494" t="str">
            <v/>
          </cell>
          <cell r="M494" t="str">
            <v/>
          </cell>
        </row>
        <row r="495">
          <cell r="A495">
            <v>31102192</v>
          </cell>
          <cell r="C495">
            <v>31102192</v>
          </cell>
          <cell r="D495">
            <v>31102192</v>
          </cell>
          <cell r="E495">
            <v>31102192</v>
          </cell>
          <cell r="F495">
            <v>31102192</v>
          </cell>
          <cell r="G495">
            <v>31102192</v>
          </cell>
          <cell r="H495">
            <v>31102192</v>
          </cell>
          <cell r="I495" t="str">
            <v/>
          </cell>
          <cell r="J495" t="str">
            <v/>
          </cell>
          <cell r="K495" t="str">
            <v/>
          </cell>
          <cell r="L495" t="str">
            <v/>
          </cell>
          <cell r="M495" t="str">
            <v/>
          </cell>
        </row>
        <row r="496">
          <cell r="A496">
            <v>31102192</v>
          </cell>
          <cell r="C496">
            <v>31102192</v>
          </cell>
          <cell r="D496">
            <v>31102192</v>
          </cell>
          <cell r="E496">
            <v>31102192</v>
          </cell>
          <cell r="F496">
            <v>31102192</v>
          </cell>
          <cell r="G496">
            <v>31102192</v>
          </cell>
          <cell r="H496">
            <v>31102192</v>
          </cell>
          <cell r="I496" t="str">
            <v/>
          </cell>
          <cell r="J496" t="str">
            <v/>
          </cell>
          <cell r="K496" t="str">
            <v/>
          </cell>
          <cell r="L496" t="str">
            <v/>
          </cell>
          <cell r="M496" t="str">
            <v/>
          </cell>
        </row>
        <row r="497">
          <cell r="A497">
            <v>31102192</v>
          </cell>
          <cell r="C497">
            <v>31102192</v>
          </cell>
          <cell r="D497">
            <v>31102192</v>
          </cell>
          <cell r="E497">
            <v>31102192</v>
          </cell>
          <cell r="F497">
            <v>31102192</v>
          </cell>
          <cell r="G497">
            <v>31102192</v>
          </cell>
          <cell r="H497">
            <v>31102192</v>
          </cell>
          <cell r="I497" t="str">
            <v/>
          </cell>
          <cell r="J497" t="str">
            <v/>
          </cell>
          <cell r="K497" t="str">
            <v/>
          </cell>
          <cell r="L497" t="str">
            <v/>
          </cell>
          <cell r="M497" t="str">
            <v/>
          </cell>
        </row>
        <row r="498">
          <cell r="A498">
            <v>31102192</v>
          </cell>
          <cell r="C498">
            <v>31102192</v>
          </cell>
          <cell r="D498">
            <v>31102192</v>
          </cell>
          <cell r="E498">
            <v>31102192</v>
          </cell>
          <cell r="F498">
            <v>31102192</v>
          </cell>
          <cell r="G498">
            <v>31102192</v>
          </cell>
          <cell r="H498">
            <v>31102192</v>
          </cell>
          <cell r="I498" t="str">
            <v/>
          </cell>
          <cell r="J498" t="str">
            <v/>
          </cell>
          <cell r="K498" t="str">
            <v/>
          </cell>
          <cell r="L498" t="str">
            <v/>
          </cell>
          <cell r="M498" t="str">
            <v/>
          </cell>
        </row>
        <row r="499">
          <cell r="A499">
            <v>31102192</v>
          </cell>
          <cell r="C499">
            <v>31102192</v>
          </cell>
          <cell r="D499">
            <v>31102192</v>
          </cell>
          <cell r="E499">
            <v>31102192</v>
          </cell>
          <cell r="F499">
            <v>31102192</v>
          </cell>
          <cell r="G499">
            <v>31102192</v>
          </cell>
          <cell r="H499">
            <v>31102192</v>
          </cell>
          <cell r="I499" t="str">
            <v/>
          </cell>
          <cell r="J499" t="str">
            <v/>
          </cell>
          <cell r="K499" t="str">
            <v/>
          </cell>
          <cell r="L499" t="str">
            <v/>
          </cell>
          <cell r="M499" t="str">
            <v/>
          </cell>
        </row>
        <row r="500">
          <cell r="A500">
            <v>31102192</v>
          </cell>
          <cell r="C500">
            <v>31102192</v>
          </cell>
          <cell r="D500">
            <v>31102192</v>
          </cell>
          <cell r="E500">
            <v>31102192</v>
          </cell>
          <cell r="F500">
            <v>31102192</v>
          </cell>
          <cell r="G500">
            <v>31102192</v>
          </cell>
          <cell r="H500">
            <v>31102192</v>
          </cell>
          <cell r="I500" t="str">
            <v/>
          </cell>
          <cell r="J500" t="str">
            <v/>
          </cell>
          <cell r="K500" t="str">
            <v/>
          </cell>
          <cell r="L500" t="str">
            <v/>
          </cell>
          <cell r="M500" t="str">
            <v/>
          </cell>
        </row>
        <row r="501">
          <cell r="A501">
            <v>31102192</v>
          </cell>
          <cell r="C501">
            <v>31102192</v>
          </cell>
          <cell r="D501">
            <v>31102192</v>
          </cell>
          <cell r="E501">
            <v>31102192</v>
          </cell>
          <cell r="F501">
            <v>31102192</v>
          </cell>
          <cell r="G501">
            <v>31102192</v>
          </cell>
          <cell r="H501">
            <v>31102192</v>
          </cell>
          <cell r="I501" t="str">
            <v/>
          </cell>
          <cell r="J501" t="str">
            <v/>
          </cell>
          <cell r="K501" t="str">
            <v/>
          </cell>
          <cell r="L501" t="str">
            <v/>
          </cell>
          <cell r="M501" t="str">
            <v/>
          </cell>
        </row>
        <row r="502">
          <cell r="A502">
            <v>31102192</v>
          </cell>
          <cell r="C502">
            <v>31102192</v>
          </cell>
          <cell r="D502">
            <v>31102192</v>
          </cell>
          <cell r="E502">
            <v>31102192</v>
          </cell>
          <cell r="F502">
            <v>31102192</v>
          </cell>
          <cell r="G502">
            <v>31102192</v>
          </cell>
          <cell r="H502">
            <v>31102192</v>
          </cell>
          <cell r="I502" t="str">
            <v/>
          </cell>
          <cell r="J502" t="str">
            <v/>
          </cell>
          <cell r="K502" t="str">
            <v/>
          </cell>
          <cell r="L502" t="str">
            <v/>
          </cell>
          <cell r="M502" t="str">
            <v/>
          </cell>
        </row>
        <row r="503">
          <cell r="A503">
            <v>31102192</v>
          </cell>
          <cell r="C503">
            <v>31102192</v>
          </cell>
          <cell r="D503">
            <v>31102192</v>
          </cell>
          <cell r="E503">
            <v>31102192</v>
          </cell>
          <cell r="F503">
            <v>31102192</v>
          </cell>
          <cell r="G503">
            <v>31102192</v>
          </cell>
          <cell r="H503">
            <v>31102192</v>
          </cell>
          <cell r="I503" t="str">
            <v/>
          </cell>
          <cell r="J503" t="str">
            <v/>
          </cell>
          <cell r="K503" t="str">
            <v/>
          </cell>
          <cell r="L503" t="str">
            <v/>
          </cell>
          <cell r="M503" t="str">
            <v/>
          </cell>
        </row>
        <row r="504">
          <cell r="A504">
            <v>31102192</v>
          </cell>
          <cell r="C504">
            <v>31102192</v>
          </cell>
          <cell r="D504">
            <v>31102192</v>
          </cell>
          <cell r="E504">
            <v>31102192</v>
          </cell>
          <cell r="F504">
            <v>31102192</v>
          </cell>
          <cell r="G504">
            <v>31102192</v>
          </cell>
          <cell r="H504">
            <v>31102192</v>
          </cell>
          <cell r="I504" t="str">
            <v/>
          </cell>
          <cell r="J504" t="str">
            <v/>
          </cell>
          <cell r="K504" t="str">
            <v/>
          </cell>
          <cell r="L504" t="str">
            <v/>
          </cell>
          <cell r="M504" t="str">
            <v/>
          </cell>
        </row>
        <row r="505">
          <cell r="A505">
            <v>31102192</v>
          </cell>
          <cell r="C505">
            <v>31102192</v>
          </cell>
          <cell r="D505">
            <v>31102192</v>
          </cell>
          <cell r="E505">
            <v>31102192</v>
          </cell>
          <cell r="F505">
            <v>31102192</v>
          </cell>
          <cell r="G505">
            <v>31102192</v>
          </cell>
          <cell r="H505">
            <v>31102192</v>
          </cell>
          <cell r="I505" t="str">
            <v/>
          </cell>
          <cell r="J505" t="str">
            <v/>
          </cell>
          <cell r="K505" t="str">
            <v/>
          </cell>
          <cell r="L505" t="str">
            <v/>
          </cell>
          <cell r="M505" t="str">
            <v/>
          </cell>
        </row>
        <row r="506">
          <cell r="A506">
            <v>31102192</v>
          </cell>
          <cell r="C506">
            <v>31102192</v>
          </cell>
          <cell r="D506">
            <v>31102192</v>
          </cell>
          <cell r="E506">
            <v>31102192</v>
          </cell>
          <cell r="F506">
            <v>31102192</v>
          </cell>
          <cell r="G506">
            <v>31102192</v>
          </cell>
          <cell r="H506">
            <v>31102192</v>
          </cell>
          <cell r="I506" t="str">
            <v/>
          </cell>
          <cell r="J506" t="str">
            <v/>
          </cell>
          <cell r="K506" t="str">
            <v/>
          </cell>
          <cell r="L506" t="str">
            <v/>
          </cell>
          <cell r="M506" t="str">
            <v/>
          </cell>
        </row>
        <row r="507">
          <cell r="A507">
            <v>31102192</v>
          </cell>
          <cell r="C507">
            <v>31102192</v>
          </cell>
          <cell r="D507">
            <v>31102192</v>
          </cell>
          <cell r="E507">
            <v>31102192</v>
          </cell>
          <cell r="F507">
            <v>31102192</v>
          </cell>
          <cell r="G507">
            <v>31102192</v>
          </cell>
          <cell r="H507">
            <v>31102192</v>
          </cell>
          <cell r="I507" t="str">
            <v/>
          </cell>
          <cell r="J507" t="str">
            <v/>
          </cell>
          <cell r="K507" t="str">
            <v/>
          </cell>
          <cell r="L507" t="str">
            <v/>
          </cell>
          <cell r="M507" t="str">
            <v/>
          </cell>
        </row>
        <row r="508">
          <cell r="A508">
            <v>31102192</v>
          </cell>
          <cell r="C508">
            <v>31102192</v>
          </cell>
          <cell r="D508">
            <v>31102192</v>
          </cell>
          <cell r="E508">
            <v>31102192</v>
          </cell>
          <cell r="F508">
            <v>31102192</v>
          </cell>
          <cell r="G508">
            <v>31102192</v>
          </cell>
          <cell r="H508">
            <v>31102192</v>
          </cell>
          <cell r="I508" t="str">
            <v/>
          </cell>
          <cell r="J508" t="str">
            <v/>
          </cell>
          <cell r="K508" t="str">
            <v/>
          </cell>
          <cell r="L508" t="str">
            <v/>
          </cell>
          <cell r="M508" t="str">
            <v/>
          </cell>
        </row>
        <row r="509">
          <cell r="A509">
            <v>31102192</v>
          </cell>
          <cell r="C509">
            <v>31102192</v>
          </cell>
          <cell r="D509">
            <v>31102192</v>
          </cell>
          <cell r="E509">
            <v>31102192</v>
          </cell>
          <cell r="F509">
            <v>31102192</v>
          </cell>
          <cell r="G509">
            <v>31102192</v>
          </cell>
          <cell r="H509">
            <v>31102192</v>
          </cell>
          <cell r="I509" t="str">
            <v/>
          </cell>
          <cell r="J509" t="str">
            <v/>
          </cell>
          <cell r="K509" t="str">
            <v/>
          </cell>
          <cell r="L509" t="str">
            <v/>
          </cell>
          <cell r="M509" t="str">
            <v/>
          </cell>
        </row>
        <row r="510">
          <cell r="A510">
            <v>31102192</v>
          </cell>
          <cell r="C510">
            <v>31102192</v>
          </cell>
          <cell r="D510">
            <v>31102192</v>
          </cell>
          <cell r="E510">
            <v>31102192</v>
          </cell>
          <cell r="F510">
            <v>31102192</v>
          </cell>
          <cell r="G510">
            <v>31102192</v>
          </cell>
          <cell r="H510">
            <v>31102192</v>
          </cell>
          <cell r="I510" t="str">
            <v/>
          </cell>
          <cell r="J510" t="str">
            <v/>
          </cell>
          <cell r="K510" t="str">
            <v/>
          </cell>
          <cell r="L510" t="str">
            <v/>
          </cell>
          <cell r="M510" t="str">
            <v/>
          </cell>
        </row>
        <row r="511">
          <cell r="A511">
            <v>31102192</v>
          </cell>
          <cell r="C511">
            <v>31102192</v>
          </cell>
          <cell r="D511">
            <v>31102192</v>
          </cell>
          <cell r="E511">
            <v>31102192</v>
          </cell>
          <cell r="F511">
            <v>31102192</v>
          </cell>
          <cell r="G511">
            <v>31102192</v>
          </cell>
          <cell r="H511">
            <v>31102192</v>
          </cell>
          <cell r="I511" t="str">
            <v/>
          </cell>
          <cell r="J511" t="str">
            <v/>
          </cell>
          <cell r="K511" t="str">
            <v/>
          </cell>
          <cell r="L511" t="str">
            <v/>
          </cell>
          <cell r="M511" t="str">
            <v/>
          </cell>
        </row>
        <row r="512">
          <cell r="A512">
            <v>31102192</v>
          </cell>
          <cell r="C512">
            <v>31102192</v>
          </cell>
          <cell r="D512">
            <v>31102192</v>
          </cell>
          <cell r="E512">
            <v>31102192</v>
          </cell>
          <cell r="F512">
            <v>31102192</v>
          </cell>
          <cell r="G512">
            <v>31102192</v>
          </cell>
          <cell r="H512">
            <v>31102192</v>
          </cell>
          <cell r="I512" t="str">
            <v/>
          </cell>
          <cell r="J512" t="str">
            <v/>
          </cell>
          <cell r="K512" t="str">
            <v/>
          </cell>
          <cell r="L512" t="str">
            <v/>
          </cell>
          <cell r="M512" t="str">
            <v/>
          </cell>
        </row>
        <row r="513">
          <cell r="A513">
            <v>31102192</v>
          </cell>
          <cell r="C513">
            <v>31102192</v>
          </cell>
          <cell r="D513">
            <v>31102192</v>
          </cell>
          <cell r="E513">
            <v>31102192</v>
          </cell>
          <cell r="F513">
            <v>31102192</v>
          </cell>
          <cell r="G513">
            <v>31102192</v>
          </cell>
          <cell r="H513">
            <v>31102192</v>
          </cell>
          <cell r="I513" t="str">
            <v/>
          </cell>
          <cell r="J513" t="str">
            <v/>
          </cell>
          <cell r="K513" t="str">
            <v/>
          </cell>
          <cell r="L513" t="str">
            <v/>
          </cell>
          <cell r="M513" t="str">
            <v/>
          </cell>
        </row>
        <row r="514">
          <cell r="A514">
            <v>31102192</v>
          </cell>
          <cell r="C514">
            <v>31102192</v>
          </cell>
          <cell r="D514">
            <v>31102192</v>
          </cell>
          <cell r="E514">
            <v>31102192</v>
          </cell>
          <cell r="F514">
            <v>31102192</v>
          </cell>
          <cell r="G514">
            <v>31102192</v>
          </cell>
          <cell r="H514">
            <v>31102192</v>
          </cell>
          <cell r="I514" t="str">
            <v/>
          </cell>
          <cell r="J514" t="str">
            <v/>
          </cell>
          <cell r="K514" t="str">
            <v/>
          </cell>
          <cell r="L514" t="str">
            <v/>
          </cell>
          <cell r="M514" t="str">
            <v/>
          </cell>
        </row>
        <row r="515">
          <cell r="A515">
            <v>31102192</v>
          </cell>
          <cell r="C515">
            <v>31102192</v>
          </cell>
          <cell r="D515">
            <v>31102192</v>
          </cell>
          <cell r="E515">
            <v>31102192</v>
          </cell>
          <cell r="F515">
            <v>31102192</v>
          </cell>
          <cell r="G515">
            <v>31102192</v>
          </cell>
          <cell r="H515">
            <v>31102192</v>
          </cell>
          <cell r="I515" t="str">
            <v/>
          </cell>
          <cell r="J515" t="str">
            <v/>
          </cell>
          <cell r="K515" t="str">
            <v/>
          </cell>
          <cell r="L515" t="str">
            <v/>
          </cell>
          <cell r="M515" t="str">
            <v/>
          </cell>
        </row>
        <row r="516">
          <cell r="A516">
            <v>31102192</v>
          </cell>
          <cell r="C516">
            <v>31102192</v>
          </cell>
          <cell r="D516">
            <v>31102192</v>
          </cell>
          <cell r="E516">
            <v>31102192</v>
          </cell>
          <cell r="F516">
            <v>31102192</v>
          </cell>
          <cell r="G516">
            <v>31102192</v>
          </cell>
          <cell r="H516">
            <v>31102192</v>
          </cell>
          <cell r="I516" t="str">
            <v/>
          </cell>
          <cell r="J516" t="str">
            <v/>
          </cell>
          <cell r="K516" t="str">
            <v/>
          </cell>
          <cell r="L516" t="str">
            <v/>
          </cell>
          <cell r="M516" t="str">
            <v/>
          </cell>
        </row>
        <row r="517">
          <cell r="A517">
            <v>31102192</v>
          </cell>
          <cell r="C517">
            <v>31102192</v>
          </cell>
          <cell r="D517">
            <v>31102192</v>
          </cell>
          <cell r="E517">
            <v>31102192</v>
          </cell>
          <cell r="F517">
            <v>31102192</v>
          </cell>
          <cell r="G517">
            <v>31102192</v>
          </cell>
          <cell r="H517">
            <v>31102192</v>
          </cell>
          <cell r="I517" t="str">
            <v/>
          </cell>
          <cell r="J517" t="str">
            <v/>
          </cell>
          <cell r="K517" t="str">
            <v/>
          </cell>
          <cell r="L517" t="str">
            <v/>
          </cell>
          <cell r="M517" t="str">
            <v/>
          </cell>
        </row>
        <row r="518">
          <cell r="A518">
            <v>31102192</v>
          </cell>
          <cell r="C518">
            <v>31102192</v>
          </cell>
          <cell r="D518">
            <v>31102192</v>
          </cell>
          <cell r="E518">
            <v>31102192</v>
          </cell>
          <cell r="F518">
            <v>31102192</v>
          </cell>
          <cell r="G518">
            <v>31102192</v>
          </cell>
          <cell r="H518">
            <v>31102192</v>
          </cell>
          <cell r="I518" t="str">
            <v/>
          </cell>
          <cell r="J518" t="str">
            <v/>
          </cell>
          <cell r="K518" t="str">
            <v/>
          </cell>
          <cell r="L518" t="str">
            <v/>
          </cell>
          <cell r="M518" t="str">
            <v/>
          </cell>
        </row>
        <row r="519">
          <cell r="A519">
            <v>31102192</v>
          </cell>
          <cell r="C519">
            <v>31102192</v>
          </cell>
          <cell r="D519">
            <v>31102192</v>
          </cell>
          <cell r="E519">
            <v>31102192</v>
          </cell>
          <cell r="F519">
            <v>31102192</v>
          </cell>
          <cell r="G519">
            <v>31102192</v>
          </cell>
          <cell r="H519">
            <v>31102192</v>
          </cell>
          <cell r="I519" t="str">
            <v/>
          </cell>
          <cell r="J519" t="str">
            <v/>
          </cell>
          <cell r="K519" t="str">
            <v/>
          </cell>
          <cell r="L519" t="str">
            <v/>
          </cell>
          <cell r="M519" t="str">
            <v/>
          </cell>
        </row>
        <row r="520">
          <cell r="A520">
            <v>31102192</v>
          </cell>
          <cell r="C520">
            <v>31102192</v>
          </cell>
          <cell r="D520">
            <v>31102192</v>
          </cell>
          <cell r="E520">
            <v>31102192</v>
          </cell>
          <cell r="F520">
            <v>31102192</v>
          </cell>
          <cell r="G520">
            <v>31102192</v>
          </cell>
          <cell r="H520">
            <v>31102192</v>
          </cell>
          <cell r="I520" t="str">
            <v/>
          </cell>
          <cell r="J520" t="str">
            <v/>
          </cell>
          <cell r="K520" t="str">
            <v/>
          </cell>
          <cell r="L520" t="str">
            <v/>
          </cell>
          <cell r="M520" t="str">
            <v/>
          </cell>
        </row>
        <row r="521">
          <cell r="A521">
            <v>31102192</v>
          </cell>
          <cell r="C521">
            <v>31102192</v>
          </cell>
          <cell r="D521">
            <v>31102192</v>
          </cell>
          <cell r="E521">
            <v>31102192</v>
          </cell>
          <cell r="F521">
            <v>31102192</v>
          </cell>
          <cell r="G521">
            <v>31102192</v>
          </cell>
          <cell r="H521">
            <v>31102192</v>
          </cell>
          <cell r="I521" t="str">
            <v/>
          </cell>
          <cell r="J521" t="str">
            <v/>
          </cell>
          <cell r="K521" t="str">
            <v/>
          </cell>
          <cell r="L521" t="str">
            <v/>
          </cell>
          <cell r="M521" t="str">
            <v/>
          </cell>
        </row>
        <row r="522">
          <cell r="A522">
            <v>31102192</v>
          </cell>
          <cell r="C522">
            <v>31102192</v>
          </cell>
          <cell r="D522">
            <v>31102192</v>
          </cell>
          <cell r="E522">
            <v>31102192</v>
          </cell>
          <cell r="F522">
            <v>31102192</v>
          </cell>
          <cell r="G522">
            <v>31102192</v>
          </cell>
          <cell r="H522">
            <v>31102192</v>
          </cell>
          <cell r="I522" t="str">
            <v/>
          </cell>
          <cell r="J522" t="str">
            <v/>
          </cell>
          <cell r="K522" t="str">
            <v/>
          </cell>
          <cell r="L522" t="str">
            <v/>
          </cell>
          <cell r="M522" t="str">
            <v/>
          </cell>
        </row>
        <row r="523">
          <cell r="A523">
            <v>31102192</v>
          </cell>
          <cell r="C523">
            <v>31102192</v>
          </cell>
          <cell r="D523">
            <v>31102192</v>
          </cell>
          <cell r="E523">
            <v>31102192</v>
          </cell>
          <cell r="F523">
            <v>31102192</v>
          </cell>
          <cell r="G523">
            <v>31102192</v>
          </cell>
          <cell r="H523">
            <v>31102192</v>
          </cell>
          <cell r="I523" t="str">
            <v/>
          </cell>
          <cell r="J523" t="str">
            <v/>
          </cell>
          <cell r="K523" t="str">
            <v/>
          </cell>
          <cell r="L523" t="str">
            <v/>
          </cell>
          <cell r="M523" t="str">
            <v/>
          </cell>
        </row>
        <row r="524">
          <cell r="A524">
            <v>31102192</v>
          </cell>
          <cell r="C524">
            <v>31102192</v>
          </cell>
          <cell r="D524">
            <v>31102192</v>
          </cell>
          <cell r="E524">
            <v>31102192</v>
          </cell>
          <cell r="F524">
            <v>31102192</v>
          </cell>
          <cell r="G524">
            <v>31102192</v>
          </cell>
          <cell r="H524">
            <v>31102192</v>
          </cell>
          <cell r="I524" t="str">
            <v/>
          </cell>
          <cell r="J524" t="str">
            <v/>
          </cell>
          <cell r="K524" t="str">
            <v/>
          </cell>
          <cell r="L524" t="str">
            <v/>
          </cell>
          <cell r="M524" t="str">
            <v/>
          </cell>
        </row>
        <row r="525">
          <cell r="A525">
            <v>31102192</v>
          </cell>
          <cell r="C525">
            <v>31102192</v>
          </cell>
          <cell r="D525">
            <v>31102192</v>
          </cell>
          <cell r="E525">
            <v>31102192</v>
          </cell>
          <cell r="F525">
            <v>31102192</v>
          </cell>
          <cell r="G525">
            <v>31102192</v>
          </cell>
          <cell r="H525">
            <v>31102192</v>
          </cell>
          <cell r="I525" t="str">
            <v/>
          </cell>
          <cell r="J525" t="str">
            <v/>
          </cell>
          <cell r="K525" t="str">
            <v/>
          </cell>
          <cell r="L525" t="str">
            <v/>
          </cell>
          <cell r="M525" t="str">
            <v/>
          </cell>
        </row>
        <row r="526">
          <cell r="A526">
            <v>31102192</v>
          </cell>
          <cell r="C526">
            <v>31102192</v>
          </cell>
          <cell r="D526">
            <v>31102192</v>
          </cell>
          <cell r="E526">
            <v>31102192</v>
          </cell>
          <cell r="F526">
            <v>31102192</v>
          </cell>
          <cell r="G526">
            <v>31102192</v>
          </cell>
          <cell r="H526">
            <v>31102192</v>
          </cell>
          <cell r="I526" t="str">
            <v/>
          </cell>
          <cell r="J526" t="str">
            <v/>
          </cell>
          <cell r="K526" t="str">
            <v/>
          </cell>
          <cell r="L526" t="str">
            <v/>
          </cell>
          <cell r="M526" t="str">
            <v/>
          </cell>
        </row>
        <row r="527">
          <cell r="A527">
            <v>31102192</v>
          </cell>
          <cell r="C527">
            <v>31102192</v>
          </cell>
          <cell r="D527">
            <v>31102192</v>
          </cell>
          <cell r="E527">
            <v>31102192</v>
          </cell>
          <cell r="F527">
            <v>31102192</v>
          </cell>
          <cell r="G527">
            <v>31102192</v>
          </cell>
          <cell r="H527">
            <v>31102192</v>
          </cell>
          <cell r="I527" t="str">
            <v/>
          </cell>
          <cell r="J527" t="str">
            <v/>
          </cell>
          <cell r="K527" t="str">
            <v/>
          </cell>
          <cell r="L527" t="str">
            <v/>
          </cell>
          <cell r="M527" t="str">
            <v/>
          </cell>
        </row>
        <row r="528">
          <cell r="A528">
            <v>31102192</v>
          </cell>
          <cell r="C528">
            <v>31102192</v>
          </cell>
          <cell r="D528">
            <v>31102192</v>
          </cell>
          <cell r="E528">
            <v>31102192</v>
          </cell>
          <cell r="F528">
            <v>31102192</v>
          </cell>
          <cell r="G528">
            <v>31102192</v>
          </cell>
          <cell r="H528">
            <v>31102192</v>
          </cell>
          <cell r="I528" t="str">
            <v/>
          </cell>
          <cell r="J528" t="str">
            <v/>
          </cell>
          <cell r="K528" t="str">
            <v/>
          </cell>
          <cell r="L528" t="str">
            <v/>
          </cell>
          <cell r="M528" t="str">
            <v/>
          </cell>
        </row>
        <row r="529">
          <cell r="A529">
            <v>31102192</v>
          </cell>
          <cell r="C529">
            <v>31102192</v>
          </cell>
          <cell r="D529">
            <v>31102192</v>
          </cell>
          <cell r="E529">
            <v>31102192</v>
          </cell>
          <cell r="F529">
            <v>31102192</v>
          </cell>
          <cell r="G529">
            <v>31102192</v>
          </cell>
          <cell r="H529">
            <v>31102192</v>
          </cell>
          <cell r="I529" t="str">
            <v/>
          </cell>
          <cell r="J529" t="str">
            <v/>
          </cell>
          <cell r="K529" t="str">
            <v/>
          </cell>
          <cell r="L529" t="str">
            <v/>
          </cell>
          <cell r="M529" t="str">
            <v/>
          </cell>
        </row>
        <row r="530">
          <cell r="A530">
            <v>31102192</v>
          </cell>
          <cell r="C530">
            <v>31102192</v>
          </cell>
          <cell r="D530">
            <v>31102192</v>
          </cell>
          <cell r="E530">
            <v>31102192</v>
          </cell>
          <cell r="F530">
            <v>31102192</v>
          </cell>
          <cell r="G530">
            <v>31102192</v>
          </cell>
          <cell r="H530">
            <v>31102192</v>
          </cell>
          <cell r="I530" t="str">
            <v/>
          </cell>
          <cell r="J530" t="str">
            <v/>
          </cell>
          <cell r="K530" t="str">
            <v/>
          </cell>
          <cell r="L530" t="str">
            <v/>
          </cell>
          <cell r="M530" t="str">
            <v/>
          </cell>
        </row>
        <row r="531">
          <cell r="A531">
            <v>31102192</v>
          </cell>
          <cell r="C531">
            <v>31102192</v>
          </cell>
          <cell r="D531">
            <v>31102192</v>
          </cell>
          <cell r="E531">
            <v>31102192</v>
          </cell>
          <cell r="F531">
            <v>31102192</v>
          </cell>
          <cell r="G531">
            <v>31102192</v>
          </cell>
          <cell r="H531">
            <v>31102192</v>
          </cell>
          <cell r="I531" t="str">
            <v/>
          </cell>
          <cell r="J531" t="str">
            <v/>
          </cell>
          <cell r="K531" t="str">
            <v/>
          </cell>
          <cell r="L531" t="str">
            <v/>
          </cell>
          <cell r="M531" t="str">
            <v/>
          </cell>
        </row>
        <row r="532">
          <cell r="A532">
            <v>31102192</v>
          </cell>
          <cell r="C532">
            <v>31102192</v>
          </cell>
          <cell r="D532">
            <v>31102192</v>
          </cell>
          <cell r="E532">
            <v>31102192</v>
          </cell>
          <cell r="F532">
            <v>31102192</v>
          </cell>
          <cell r="G532">
            <v>31102192</v>
          </cell>
          <cell r="H532">
            <v>31102192</v>
          </cell>
          <cell r="I532" t="str">
            <v/>
          </cell>
          <cell r="J532" t="str">
            <v/>
          </cell>
          <cell r="K532" t="str">
            <v/>
          </cell>
          <cell r="L532" t="str">
            <v/>
          </cell>
          <cell r="M532" t="str">
            <v/>
          </cell>
        </row>
        <row r="533">
          <cell r="A533">
            <v>31102192</v>
          </cell>
          <cell r="C533">
            <v>31102192</v>
          </cell>
          <cell r="D533">
            <v>31102192</v>
          </cell>
          <cell r="E533">
            <v>31102192</v>
          </cell>
          <cell r="F533">
            <v>31102192</v>
          </cell>
          <cell r="G533">
            <v>31102192</v>
          </cell>
          <cell r="H533">
            <v>31102192</v>
          </cell>
          <cell r="I533" t="str">
            <v/>
          </cell>
          <cell r="J533" t="str">
            <v/>
          </cell>
          <cell r="K533" t="str">
            <v/>
          </cell>
          <cell r="L533" t="str">
            <v/>
          </cell>
          <cell r="M533" t="str">
            <v/>
          </cell>
        </row>
        <row r="534">
          <cell r="A534">
            <v>31102192</v>
          </cell>
          <cell r="C534">
            <v>31102192</v>
          </cell>
          <cell r="D534">
            <v>31102192</v>
          </cell>
          <cell r="E534">
            <v>31102192</v>
          </cell>
          <cell r="F534">
            <v>31102192</v>
          </cell>
          <cell r="G534">
            <v>31102192</v>
          </cell>
          <cell r="H534">
            <v>31102192</v>
          </cell>
          <cell r="I534" t="str">
            <v/>
          </cell>
          <cell r="J534" t="str">
            <v/>
          </cell>
          <cell r="K534" t="str">
            <v/>
          </cell>
          <cell r="L534" t="str">
            <v/>
          </cell>
          <cell r="M534" t="str">
            <v/>
          </cell>
        </row>
        <row r="535">
          <cell r="A535">
            <v>31102192</v>
          </cell>
          <cell r="C535">
            <v>31102192</v>
          </cell>
          <cell r="D535">
            <v>31102192</v>
          </cell>
          <cell r="E535">
            <v>31102192</v>
          </cell>
          <cell r="F535">
            <v>31102192</v>
          </cell>
          <cell r="G535">
            <v>31102192</v>
          </cell>
          <cell r="H535">
            <v>31102192</v>
          </cell>
          <cell r="I535" t="str">
            <v/>
          </cell>
          <cell r="J535" t="str">
            <v/>
          </cell>
          <cell r="K535" t="str">
            <v/>
          </cell>
          <cell r="L535" t="str">
            <v/>
          </cell>
          <cell r="M535" t="str">
            <v/>
          </cell>
        </row>
        <row r="536">
          <cell r="A536">
            <v>31102192</v>
          </cell>
          <cell r="C536">
            <v>31102192</v>
          </cell>
          <cell r="D536">
            <v>31102192</v>
          </cell>
          <cell r="E536">
            <v>31102192</v>
          </cell>
          <cell r="F536">
            <v>31102192</v>
          </cell>
          <cell r="G536">
            <v>31102192</v>
          </cell>
          <cell r="H536">
            <v>31102192</v>
          </cell>
          <cell r="I536" t="str">
            <v/>
          </cell>
          <cell r="J536" t="str">
            <v/>
          </cell>
          <cell r="K536" t="str">
            <v/>
          </cell>
          <cell r="L536" t="str">
            <v/>
          </cell>
          <cell r="M536" t="str">
            <v/>
          </cell>
        </row>
        <row r="537">
          <cell r="A537">
            <v>31102192</v>
          </cell>
          <cell r="C537">
            <v>31102192</v>
          </cell>
          <cell r="D537">
            <v>31102192</v>
          </cell>
          <cell r="E537">
            <v>31102192</v>
          </cell>
          <cell r="F537">
            <v>31102192</v>
          </cell>
          <cell r="G537">
            <v>31102192</v>
          </cell>
          <cell r="H537">
            <v>31102192</v>
          </cell>
          <cell r="I537" t="str">
            <v/>
          </cell>
          <cell r="J537" t="str">
            <v/>
          </cell>
          <cell r="K537" t="str">
            <v/>
          </cell>
          <cell r="L537" t="str">
            <v/>
          </cell>
          <cell r="M537" t="str">
            <v/>
          </cell>
        </row>
        <row r="538">
          <cell r="A538">
            <v>31102192</v>
          </cell>
          <cell r="C538">
            <v>31102192</v>
          </cell>
          <cell r="D538">
            <v>31102192</v>
          </cell>
          <cell r="E538">
            <v>31102192</v>
          </cell>
          <cell r="F538">
            <v>31102192</v>
          </cell>
          <cell r="G538">
            <v>31102192</v>
          </cell>
          <cell r="H538">
            <v>31102192</v>
          </cell>
          <cell r="I538" t="str">
            <v/>
          </cell>
          <cell r="J538" t="str">
            <v/>
          </cell>
          <cell r="K538" t="str">
            <v/>
          </cell>
          <cell r="L538" t="str">
            <v/>
          </cell>
          <cell r="M538" t="str">
            <v/>
          </cell>
        </row>
        <row r="539">
          <cell r="A539">
            <v>31102192</v>
          </cell>
          <cell r="C539">
            <v>31102192</v>
          </cell>
          <cell r="D539">
            <v>31102192</v>
          </cell>
          <cell r="E539">
            <v>31102192</v>
          </cell>
          <cell r="F539">
            <v>31102192</v>
          </cell>
          <cell r="G539">
            <v>31102192</v>
          </cell>
          <cell r="H539">
            <v>31102192</v>
          </cell>
          <cell r="I539" t="str">
            <v/>
          </cell>
          <cell r="J539" t="str">
            <v/>
          </cell>
          <cell r="K539" t="str">
            <v/>
          </cell>
          <cell r="L539" t="str">
            <v/>
          </cell>
          <cell r="M539" t="str">
            <v/>
          </cell>
        </row>
        <row r="540">
          <cell r="A540">
            <v>31102192</v>
          </cell>
          <cell r="C540">
            <v>31102192</v>
          </cell>
          <cell r="D540">
            <v>31102192</v>
          </cell>
          <cell r="E540">
            <v>31102192</v>
          </cell>
          <cell r="F540">
            <v>31102192</v>
          </cell>
          <cell r="G540">
            <v>31102192</v>
          </cell>
          <cell r="H540">
            <v>31102192</v>
          </cell>
          <cell r="I540" t="str">
            <v/>
          </cell>
          <cell r="J540" t="str">
            <v/>
          </cell>
          <cell r="K540" t="str">
            <v/>
          </cell>
          <cell r="L540" t="str">
            <v/>
          </cell>
          <cell r="M540" t="str">
            <v/>
          </cell>
        </row>
        <row r="541">
          <cell r="A541">
            <v>31102192</v>
          </cell>
          <cell r="C541">
            <v>31102192</v>
          </cell>
          <cell r="D541">
            <v>31102192</v>
          </cell>
          <cell r="E541">
            <v>31102192</v>
          </cell>
          <cell r="F541">
            <v>31102192</v>
          </cell>
          <cell r="G541">
            <v>31102192</v>
          </cell>
          <cell r="H541">
            <v>31102192</v>
          </cell>
          <cell r="I541" t="str">
            <v/>
          </cell>
          <cell r="J541" t="str">
            <v/>
          </cell>
          <cell r="K541" t="str">
            <v/>
          </cell>
          <cell r="L541" t="str">
            <v/>
          </cell>
          <cell r="M541" t="str">
            <v/>
          </cell>
        </row>
        <row r="542">
          <cell r="A542">
            <v>31102192</v>
          </cell>
          <cell r="C542">
            <v>31102192</v>
          </cell>
          <cell r="D542">
            <v>31102192</v>
          </cell>
          <cell r="E542">
            <v>31102192</v>
          </cell>
          <cell r="F542">
            <v>31102192</v>
          </cell>
          <cell r="G542">
            <v>31102192</v>
          </cell>
          <cell r="H542">
            <v>31102192</v>
          </cell>
          <cell r="I542" t="str">
            <v/>
          </cell>
          <cell r="J542" t="str">
            <v/>
          </cell>
          <cell r="K542" t="str">
            <v/>
          </cell>
          <cell r="L542" t="str">
            <v/>
          </cell>
          <cell r="M542" t="str">
            <v/>
          </cell>
        </row>
        <row r="543">
          <cell r="A543">
            <v>31102192</v>
          </cell>
          <cell r="C543">
            <v>31102192</v>
          </cell>
          <cell r="D543">
            <v>31102192</v>
          </cell>
          <cell r="E543">
            <v>31102192</v>
          </cell>
          <cell r="F543">
            <v>31102192</v>
          </cell>
          <cell r="G543">
            <v>31102192</v>
          </cell>
          <cell r="H543">
            <v>31102192</v>
          </cell>
          <cell r="I543" t="str">
            <v/>
          </cell>
          <cell r="J543" t="str">
            <v/>
          </cell>
          <cell r="K543" t="str">
            <v/>
          </cell>
          <cell r="L543" t="str">
            <v/>
          </cell>
          <cell r="M543" t="str">
            <v/>
          </cell>
        </row>
        <row r="544">
          <cell r="A544">
            <v>31102192</v>
          </cell>
          <cell r="C544">
            <v>31102192</v>
          </cell>
          <cell r="D544">
            <v>31102192</v>
          </cell>
          <cell r="E544">
            <v>31102192</v>
          </cell>
          <cell r="F544">
            <v>31102192</v>
          </cell>
          <cell r="G544">
            <v>31102192</v>
          </cell>
          <cell r="H544">
            <v>31102192</v>
          </cell>
          <cell r="I544" t="str">
            <v/>
          </cell>
          <cell r="J544" t="str">
            <v/>
          </cell>
          <cell r="K544" t="str">
            <v/>
          </cell>
          <cell r="L544" t="str">
            <v/>
          </cell>
          <cell r="M544" t="str">
            <v/>
          </cell>
        </row>
        <row r="545">
          <cell r="A545">
            <v>31102192</v>
          </cell>
          <cell r="C545">
            <v>31102192</v>
          </cell>
          <cell r="D545">
            <v>31102192</v>
          </cell>
          <cell r="E545">
            <v>31102192</v>
          </cell>
          <cell r="F545">
            <v>31102192</v>
          </cell>
          <cell r="G545">
            <v>31102192</v>
          </cell>
          <cell r="H545">
            <v>31102192</v>
          </cell>
          <cell r="I545" t="str">
            <v/>
          </cell>
          <cell r="J545" t="str">
            <v/>
          </cell>
          <cell r="K545" t="str">
            <v/>
          </cell>
          <cell r="L545" t="str">
            <v/>
          </cell>
          <cell r="M545" t="str">
            <v/>
          </cell>
        </row>
        <row r="546">
          <cell r="A546">
            <v>31102192</v>
          </cell>
          <cell r="C546">
            <v>31102192</v>
          </cell>
          <cell r="D546">
            <v>31102192</v>
          </cell>
          <cell r="E546">
            <v>31102192</v>
          </cell>
          <cell r="F546">
            <v>31102192</v>
          </cell>
          <cell r="G546">
            <v>31102192</v>
          </cell>
          <cell r="H546">
            <v>31102192</v>
          </cell>
          <cell r="I546" t="str">
            <v/>
          </cell>
          <cell r="J546" t="str">
            <v/>
          </cell>
          <cell r="K546" t="str">
            <v/>
          </cell>
          <cell r="L546" t="str">
            <v/>
          </cell>
          <cell r="M546" t="str">
            <v/>
          </cell>
        </row>
        <row r="547">
          <cell r="A547">
            <v>31102192</v>
          </cell>
          <cell r="C547">
            <v>31102192</v>
          </cell>
          <cell r="D547">
            <v>31102192</v>
          </cell>
          <cell r="E547">
            <v>31102192</v>
          </cell>
          <cell r="F547">
            <v>31102192</v>
          </cell>
          <cell r="G547">
            <v>31102192</v>
          </cell>
          <cell r="H547">
            <v>31102192</v>
          </cell>
          <cell r="I547" t="str">
            <v/>
          </cell>
          <cell r="J547" t="str">
            <v/>
          </cell>
          <cell r="K547" t="str">
            <v/>
          </cell>
          <cell r="L547" t="str">
            <v/>
          </cell>
          <cell r="M547" t="str">
            <v/>
          </cell>
        </row>
        <row r="548">
          <cell r="A548">
            <v>31102192</v>
          </cell>
          <cell r="C548">
            <v>31102192</v>
          </cell>
          <cell r="D548">
            <v>31102192</v>
          </cell>
          <cell r="E548">
            <v>31102192</v>
          </cell>
          <cell r="F548">
            <v>31102192</v>
          </cell>
          <cell r="G548">
            <v>31102192</v>
          </cell>
          <cell r="H548">
            <v>31102192</v>
          </cell>
          <cell r="I548" t="str">
            <v/>
          </cell>
          <cell r="J548" t="str">
            <v/>
          </cell>
          <cell r="K548" t="str">
            <v/>
          </cell>
          <cell r="L548" t="str">
            <v/>
          </cell>
          <cell r="M548" t="str">
            <v/>
          </cell>
        </row>
        <row r="549">
          <cell r="A549">
            <v>31102192</v>
          </cell>
          <cell r="C549">
            <v>31102192</v>
          </cell>
          <cell r="D549">
            <v>31102192</v>
          </cell>
          <cell r="E549">
            <v>31102192</v>
          </cell>
          <cell r="F549">
            <v>31102192</v>
          </cell>
          <cell r="G549">
            <v>31102192</v>
          </cell>
          <cell r="H549">
            <v>31102192</v>
          </cell>
          <cell r="I549" t="str">
            <v/>
          </cell>
          <cell r="J549" t="str">
            <v/>
          </cell>
          <cell r="K549" t="str">
            <v/>
          </cell>
          <cell r="L549" t="str">
            <v/>
          </cell>
          <cell r="M549" t="str">
            <v/>
          </cell>
        </row>
        <row r="550">
          <cell r="A550">
            <v>31102192</v>
          </cell>
          <cell r="C550">
            <v>31102192</v>
          </cell>
          <cell r="D550">
            <v>31102192</v>
          </cell>
          <cell r="E550">
            <v>31102192</v>
          </cell>
          <cell r="F550">
            <v>31102192</v>
          </cell>
          <cell r="G550">
            <v>31102192</v>
          </cell>
          <cell r="H550">
            <v>31102192</v>
          </cell>
          <cell r="I550" t="str">
            <v/>
          </cell>
          <cell r="J550" t="str">
            <v/>
          </cell>
          <cell r="K550" t="str">
            <v/>
          </cell>
          <cell r="L550" t="str">
            <v/>
          </cell>
          <cell r="M550" t="str">
            <v/>
          </cell>
        </row>
        <row r="551">
          <cell r="A551">
            <v>31102192</v>
          </cell>
          <cell r="C551">
            <v>31102192</v>
          </cell>
          <cell r="D551">
            <v>31102192</v>
          </cell>
          <cell r="E551">
            <v>31102192</v>
          </cell>
          <cell r="F551">
            <v>31102192</v>
          </cell>
          <cell r="G551">
            <v>31102192</v>
          </cell>
          <cell r="H551">
            <v>31102192</v>
          </cell>
          <cell r="I551" t="str">
            <v/>
          </cell>
          <cell r="J551" t="str">
            <v/>
          </cell>
          <cell r="K551" t="str">
            <v/>
          </cell>
          <cell r="L551" t="str">
            <v/>
          </cell>
          <cell r="M551" t="str">
            <v/>
          </cell>
        </row>
        <row r="552">
          <cell r="A552">
            <v>31102192</v>
          </cell>
          <cell r="C552">
            <v>31102192</v>
          </cell>
          <cell r="D552">
            <v>31102192</v>
          </cell>
          <cell r="E552">
            <v>31102192</v>
          </cell>
          <cell r="F552">
            <v>31102192</v>
          </cell>
          <cell r="G552">
            <v>31102192</v>
          </cell>
          <cell r="H552">
            <v>31102192</v>
          </cell>
          <cell r="I552" t="str">
            <v/>
          </cell>
          <cell r="J552" t="str">
            <v/>
          </cell>
          <cell r="K552" t="str">
            <v/>
          </cell>
          <cell r="L552" t="str">
            <v/>
          </cell>
          <cell r="M552" t="str">
            <v/>
          </cell>
        </row>
        <row r="553">
          <cell r="A553">
            <v>31102192</v>
          </cell>
          <cell r="C553">
            <v>31102192</v>
          </cell>
          <cell r="D553">
            <v>31102192</v>
          </cell>
          <cell r="E553">
            <v>31102192</v>
          </cell>
          <cell r="F553">
            <v>31102192</v>
          </cell>
          <cell r="G553">
            <v>31102192</v>
          </cell>
          <cell r="H553">
            <v>31102192</v>
          </cell>
          <cell r="I553" t="str">
            <v/>
          </cell>
          <cell r="J553" t="str">
            <v/>
          </cell>
          <cell r="K553" t="str">
            <v/>
          </cell>
          <cell r="L553" t="str">
            <v/>
          </cell>
          <cell r="M553" t="str">
            <v/>
          </cell>
        </row>
        <row r="554">
          <cell r="A554">
            <v>31102192</v>
          </cell>
          <cell r="C554">
            <v>31102192</v>
          </cell>
          <cell r="D554">
            <v>31102192</v>
          </cell>
          <cell r="E554">
            <v>31102192</v>
          </cell>
          <cell r="F554">
            <v>31102192</v>
          </cell>
          <cell r="G554">
            <v>31102192</v>
          </cell>
          <cell r="H554">
            <v>31102192</v>
          </cell>
          <cell r="I554" t="str">
            <v/>
          </cell>
          <cell r="J554" t="str">
            <v/>
          </cell>
          <cell r="K554" t="str">
            <v/>
          </cell>
          <cell r="L554" t="str">
            <v/>
          </cell>
          <cell r="M554" t="str">
            <v/>
          </cell>
        </row>
        <row r="555">
          <cell r="A555">
            <v>31102192</v>
          </cell>
          <cell r="C555">
            <v>31102192</v>
          </cell>
          <cell r="D555">
            <v>31102192</v>
          </cell>
          <cell r="E555">
            <v>31102192</v>
          </cell>
          <cell r="F555">
            <v>31102192</v>
          </cell>
          <cell r="G555">
            <v>31102192</v>
          </cell>
          <cell r="H555">
            <v>31102192</v>
          </cell>
          <cell r="I555" t="str">
            <v/>
          </cell>
          <cell r="J555" t="str">
            <v/>
          </cell>
          <cell r="K555" t="str">
            <v/>
          </cell>
          <cell r="L555" t="str">
            <v/>
          </cell>
          <cell r="M555" t="str">
            <v/>
          </cell>
        </row>
        <row r="556">
          <cell r="A556">
            <v>31102192</v>
          </cell>
          <cell r="C556">
            <v>31102192</v>
          </cell>
          <cell r="D556">
            <v>31102192</v>
          </cell>
          <cell r="E556">
            <v>31102192</v>
          </cell>
          <cell r="F556">
            <v>31102192</v>
          </cell>
          <cell r="G556">
            <v>31102192</v>
          </cell>
          <cell r="H556">
            <v>31102192</v>
          </cell>
          <cell r="I556" t="str">
            <v/>
          </cell>
          <cell r="J556" t="str">
            <v/>
          </cell>
          <cell r="K556" t="str">
            <v/>
          </cell>
          <cell r="L556" t="str">
            <v/>
          </cell>
          <cell r="M556" t="str">
            <v/>
          </cell>
        </row>
        <row r="557">
          <cell r="A557">
            <v>31102192</v>
          </cell>
          <cell r="C557">
            <v>31102192</v>
          </cell>
          <cell r="D557">
            <v>31102192</v>
          </cell>
          <cell r="E557">
            <v>31102192</v>
          </cell>
          <cell r="F557">
            <v>31102192</v>
          </cell>
          <cell r="G557">
            <v>31102192</v>
          </cell>
          <cell r="H557">
            <v>31102192</v>
          </cell>
          <cell r="I557" t="str">
            <v/>
          </cell>
          <cell r="J557" t="str">
            <v/>
          </cell>
          <cell r="K557" t="str">
            <v/>
          </cell>
          <cell r="L557" t="str">
            <v/>
          </cell>
          <cell r="M557" t="str">
            <v/>
          </cell>
        </row>
        <row r="558">
          <cell r="A558">
            <v>31102192</v>
          </cell>
          <cell r="C558">
            <v>31102192</v>
          </cell>
          <cell r="D558">
            <v>31102192</v>
          </cell>
          <cell r="E558">
            <v>31102192</v>
          </cell>
          <cell r="F558">
            <v>31102192</v>
          </cell>
          <cell r="G558">
            <v>31102192</v>
          </cell>
          <cell r="H558">
            <v>31102192</v>
          </cell>
          <cell r="I558" t="str">
            <v/>
          </cell>
          <cell r="J558" t="str">
            <v/>
          </cell>
          <cell r="K558" t="str">
            <v/>
          </cell>
          <cell r="L558" t="str">
            <v/>
          </cell>
          <cell r="M558" t="str">
            <v/>
          </cell>
        </row>
        <row r="559">
          <cell r="A559">
            <v>31102192</v>
          </cell>
          <cell r="C559">
            <v>31102192</v>
          </cell>
          <cell r="D559">
            <v>31102192</v>
          </cell>
          <cell r="E559">
            <v>31102192</v>
          </cell>
          <cell r="F559">
            <v>31102192</v>
          </cell>
          <cell r="G559">
            <v>31102192</v>
          </cell>
          <cell r="H559">
            <v>31102192</v>
          </cell>
          <cell r="I559" t="str">
            <v/>
          </cell>
          <cell r="J559" t="str">
            <v/>
          </cell>
          <cell r="K559" t="str">
            <v/>
          </cell>
          <cell r="L559" t="str">
            <v/>
          </cell>
          <cell r="M559" t="str">
            <v/>
          </cell>
        </row>
        <row r="560">
          <cell r="A560">
            <v>31102192</v>
          </cell>
          <cell r="C560">
            <v>31102192</v>
          </cell>
          <cell r="D560">
            <v>31102192</v>
          </cell>
          <cell r="E560">
            <v>31102192</v>
          </cell>
          <cell r="F560">
            <v>31102192</v>
          </cell>
          <cell r="G560">
            <v>31102192</v>
          </cell>
          <cell r="H560">
            <v>31102192</v>
          </cell>
          <cell r="I560" t="str">
            <v/>
          </cell>
          <cell r="J560" t="str">
            <v/>
          </cell>
          <cell r="K560" t="str">
            <v/>
          </cell>
          <cell r="L560" t="str">
            <v/>
          </cell>
          <cell r="M560" t="str">
            <v/>
          </cell>
        </row>
        <row r="561">
          <cell r="A561">
            <v>31102192</v>
          </cell>
          <cell r="C561">
            <v>31102192</v>
          </cell>
          <cell r="D561">
            <v>31102192</v>
          </cell>
          <cell r="E561">
            <v>31102192</v>
          </cell>
          <cell r="F561">
            <v>31102192</v>
          </cell>
          <cell r="G561">
            <v>31102192</v>
          </cell>
          <cell r="H561">
            <v>31102192</v>
          </cell>
          <cell r="I561" t="str">
            <v/>
          </cell>
          <cell r="J561" t="str">
            <v/>
          </cell>
          <cell r="K561" t="str">
            <v/>
          </cell>
          <cell r="L561" t="str">
            <v/>
          </cell>
          <cell r="M561" t="str">
            <v/>
          </cell>
        </row>
        <row r="562">
          <cell r="A562">
            <v>31102192</v>
          </cell>
          <cell r="C562">
            <v>31102192</v>
          </cell>
          <cell r="D562">
            <v>31102192</v>
          </cell>
          <cell r="E562">
            <v>31102192</v>
          </cell>
          <cell r="F562">
            <v>31102192</v>
          </cell>
          <cell r="G562">
            <v>31102192</v>
          </cell>
          <cell r="H562">
            <v>31102192</v>
          </cell>
          <cell r="I562" t="str">
            <v/>
          </cell>
          <cell r="J562" t="str">
            <v/>
          </cell>
          <cell r="K562" t="str">
            <v/>
          </cell>
          <cell r="L562" t="str">
            <v/>
          </cell>
          <cell r="M562" t="str">
            <v/>
          </cell>
        </row>
        <row r="563">
          <cell r="A563">
            <v>31102192</v>
          </cell>
          <cell r="C563">
            <v>31102192</v>
          </cell>
          <cell r="D563">
            <v>31102192</v>
          </cell>
          <cell r="E563">
            <v>31102192</v>
          </cell>
          <cell r="F563">
            <v>31102192</v>
          </cell>
          <cell r="G563">
            <v>31102192</v>
          </cell>
          <cell r="H563">
            <v>31102192</v>
          </cell>
          <cell r="I563" t="str">
            <v/>
          </cell>
          <cell r="J563" t="str">
            <v/>
          </cell>
          <cell r="K563" t="str">
            <v/>
          </cell>
          <cell r="L563" t="str">
            <v/>
          </cell>
          <cell r="M563" t="str">
            <v/>
          </cell>
        </row>
        <row r="564">
          <cell r="A564">
            <v>31102192</v>
          </cell>
          <cell r="C564">
            <v>31102192</v>
          </cell>
          <cell r="D564">
            <v>31102192</v>
          </cell>
          <cell r="E564">
            <v>31102192</v>
          </cell>
          <cell r="F564">
            <v>31102192</v>
          </cell>
          <cell r="G564">
            <v>31102192</v>
          </cell>
          <cell r="H564">
            <v>31102192</v>
          </cell>
          <cell r="I564" t="str">
            <v/>
          </cell>
          <cell r="J564" t="str">
            <v/>
          </cell>
          <cell r="K564" t="str">
            <v/>
          </cell>
          <cell r="L564" t="str">
            <v/>
          </cell>
          <cell r="M564" t="str">
            <v/>
          </cell>
        </row>
        <row r="565">
          <cell r="A565">
            <v>31102192</v>
          </cell>
          <cell r="C565">
            <v>31102192</v>
          </cell>
          <cell r="D565">
            <v>31102192</v>
          </cell>
          <cell r="E565">
            <v>31102192</v>
          </cell>
          <cell r="F565">
            <v>31102192</v>
          </cell>
          <cell r="G565">
            <v>31102192</v>
          </cell>
          <cell r="H565">
            <v>31102192</v>
          </cell>
          <cell r="I565" t="str">
            <v/>
          </cell>
          <cell r="J565" t="str">
            <v/>
          </cell>
          <cell r="K565" t="str">
            <v/>
          </cell>
          <cell r="L565" t="str">
            <v/>
          </cell>
          <cell r="M565" t="str">
            <v/>
          </cell>
        </row>
        <row r="566">
          <cell r="A566">
            <v>31102192</v>
          </cell>
          <cell r="C566">
            <v>31102192</v>
          </cell>
          <cell r="D566">
            <v>31102192</v>
          </cell>
          <cell r="E566">
            <v>31102192</v>
          </cell>
          <cell r="F566">
            <v>31102192</v>
          </cell>
          <cell r="G566">
            <v>31102192</v>
          </cell>
          <cell r="H566">
            <v>31102192</v>
          </cell>
          <cell r="I566" t="str">
            <v/>
          </cell>
          <cell r="J566" t="str">
            <v/>
          </cell>
          <cell r="K566" t="str">
            <v/>
          </cell>
          <cell r="L566" t="str">
            <v/>
          </cell>
          <cell r="M566" t="str">
            <v/>
          </cell>
        </row>
        <row r="567">
          <cell r="A567">
            <v>31102192</v>
          </cell>
          <cell r="C567">
            <v>31102192</v>
          </cell>
          <cell r="D567">
            <v>31102192</v>
          </cell>
          <cell r="E567">
            <v>31102192</v>
          </cell>
          <cell r="F567">
            <v>31102192</v>
          </cell>
          <cell r="G567">
            <v>31102192</v>
          </cell>
          <cell r="H567">
            <v>31102192</v>
          </cell>
          <cell r="I567" t="str">
            <v/>
          </cell>
          <cell r="J567" t="str">
            <v/>
          </cell>
          <cell r="K567" t="str">
            <v/>
          </cell>
          <cell r="L567" t="str">
            <v/>
          </cell>
          <cell r="M567" t="str">
            <v/>
          </cell>
        </row>
        <row r="568">
          <cell r="A568">
            <v>31102192</v>
          </cell>
          <cell r="C568">
            <v>31102192</v>
          </cell>
          <cell r="D568">
            <v>31102192</v>
          </cell>
          <cell r="E568">
            <v>31102192</v>
          </cell>
          <cell r="F568">
            <v>31102192</v>
          </cell>
          <cell r="G568">
            <v>31102192</v>
          </cell>
          <cell r="H568">
            <v>31102192</v>
          </cell>
          <cell r="I568" t="str">
            <v/>
          </cell>
          <cell r="J568" t="str">
            <v/>
          </cell>
          <cell r="K568" t="str">
            <v/>
          </cell>
          <cell r="L568" t="str">
            <v/>
          </cell>
          <cell r="M568" t="str">
            <v/>
          </cell>
        </row>
        <row r="569">
          <cell r="A569">
            <v>31102192</v>
          </cell>
          <cell r="C569">
            <v>31102192</v>
          </cell>
          <cell r="D569">
            <v>31102192</v>
          </cell>
          <cell r="E569">
            <v>31102192</v>
          </cell>
          <cell r="F569">
            <v>31102192</v>
          </cell>
          <cell r="G569">
            <v>31102192</v>
          </cell>
          <cell r="H569">
            <v>31102192</v>
          </cell>
          <cell r="I569" t="str">
            <v/>
          </cell>
          <cell r="J569" t="str">
            <v/>
          </cell>
          <cell r="K569" t="str">
            <v/>
          </cell>
          <cell r="L569" t="str">
            <v/>
          </cell>
          <cell r="M569" t="str">
            <v/>
          </cell>
        </row>
        <row r="570">
          <cell r="A570">
            <v>31102192</v>
          </cell>
          <cell r="C570">
            <v>31102192</v>
          </cell>
          <cell r="D570">
            <v>31102192</v>
          </cell>
          <cell r="E570">
            <v>31102192</v>
          </cell>
          <cell r="F570">
            <v>31102192</v>
          </cell>
          <cell r="G570">
            <v>31102192</v>
          </cell>
          <cell r="H570">
            <v>31102192</v>
          </cell>
          <cell r="I570" t="str">
            <v/>
          </cell>
          <cell r="J570" t="str">
            <v/>
          </cell>
          <cell r="K570" t="str">
            <v/>
          </cell>
          <cell r="L570" t="str">
            <v/>
          </cell>
          <cell r="M570" t="str">
            <v/>
          </cell>
        </row>
        <row r="571">
          <cell r="A571">
            <v>31102192</v>
          </cell>
          <cell r="C571">
            <v>31102192</v>
          </cell>
          <cell r="D571">
            <v>31102192</v>
          </cell>
          <cell r="E571">
            <v>31102192</v>
          </cell>
          <cell r="F571">
            <v>31102192</v>
          </cell>
          <cell r="G571">
            <v>31102192</v>
          </cell>
          <cell r="H571">
            <v>31102192</v>
          </cell>
          <cell r="I571" t="str">
            <v/>
          </cell>
          <cell r="J571" t="str">
            <v/>
          </cell>
          <cell r="K571" t="str">
            <v/>
          </cell>
          <cell r="L571" t="str">
            <v/>
          </cell>
          <cell r="M571" t="str">
            <v/>
          </cell>
        </row>
        <row r="572">
          <cell r="A572">
            <v>31102192</v>
          </cell>
          <cell r="C572">
            <v>31102192</v>
          </cell>
          <cell r="D572">
            <v>31102192</v>
          </cell>
          <cell r="E572">
            <v>31102192</v>
          </cell>
          <cell r="F572">
            <v>31102192</v>
          </cell>
          <cell r="G572">
            <v>31102192</v>
          </cell>
          <cell r="H572">
            <v>31102192</v>
          </cell>
          <cell r="I572" t="str">
            <v/>
          </cell>
          <cell r="J572" t="str">
            <v/>
          </cell>
          <cell r="K572" t="str">
            <v/>
          </cell>
          <cell r="L572" t="str">
            <v/>
          </cell>
          <cell r="M572" t="str">
            <v/>
          </cell>
        </row>
        <row r="573">
          <cell r="A573">
            <v>31102192</v>
          </cell>
          <cell r="C573">
            <v>31102192</v>
          </cell>
          <cell r="D573">
            <v>31102192</v>
          </cell>
          <cell r="E573">
            <v>31102192</v>
          </cell>
          <cell r="F573">
            <v>31102192</v>
          </cell>
          <cell r="G573">
            <v>31102192</v>
          </cell>
          <cell r="H573">
            <v>31102192</v>
          </cell>
          <cell r="I573" t="str">
            <v/>
          </cell>
          <cell r="J573" t="str">
            <v/>
          </cell>
          <cell r="K573" t="str">
            <v/>
          </cell>
          <cell r="L573" t="str">
            <v/>
          </cell>
          <cell r="M573" t="str">
            <v/>
          </cell>
        </row>
        <row r="574">
          <cell r="A574">
            <v>31102192</v>
          </cell>
          <cell r="C574">
            <v>31102192</v>
          </cell>
          <cell r="D574">
            <v>31102192</v>
          </cell>
          <cell r="E574">
            <v>31102192</v>
          </cell>
          <cell r="F574">
            <v>31102192</v>
          </cell>
          <cell r="G574">
            <v>31102192</v>
          </cell>
          <cell r="H574">
            <v>31102192</v>
          </cell>
          <cell r="I574" t="str">
            <v/>
          </cell>
          <cell r="J574" t="str">
            <v/>
          </cell>
          <cell r="K574" t="str">
            <v/>
          </cell>
          <cell r="L574" t="str">
            <v/>
          </cell>
          <cell r="M574" t="str">
            <v/>
          </cell>
        </row>
        <row r="575">
          <cell r="A575">
            <v>31102192</v>
          </cell>
          <cell r="C575">
            <v>31102192</v>
          </cell>
          <cell r="D575">
            <v>31102192</v>
          </cell>
          <cell r="E575">
            <v>31102192</v>
          </cell>
          <cell r="F575">
            <v>31102192</v>
          </cell>
          <cell r="G575">
            <v>31102192</v>
          </cell>
          <cell r="H575">
            <v>31102192</v>
          </cell>
          <cell r="I575" t="str">
            <v/>
          </cell>
          <cell r="J575" t="str">
            <v/>
          </cell>
          <cell r="K575" t="str">
            <v/>
          </cell>
          <cell r="L575" t="str">
            <v/>
          </cell>
          <cell r="M575" t="str">
            <v/>
          </cell>
        </row>
        <row r="576">
          <cell r="A576">
            <v>31102192</v>
          </cell>
          <cell r="C576">
            <v>31102192</v>
          </cell>
          <cell r="D576">
            <v>31102192</v>
          </cell>
          <cell r="E576">
            <v>31102192</v>
          </cell>
          <cell r="F576">
            <v>31102192</v>
          </cell>
          <cell r="G576">
            <v>31102192</v>
          </cell>
          <cell r="H576">
            <v>31102192</v>
          </cell>
          <cell r="I576" t="str">
            <v/>
          </cell>
          <cell r="J576" t="str">
            <v/>
          </cell>
          <cell r="K576" t="str">
            <v/>
          </cell>
          <cell r="L576" t="str">
            <v/>
          </cell>
          <cell r="M576" t="str">
            <v/>
          </cell>
        </row>
        <row r="577">
          <cell r="A577">
            <v>31102192</v>
          </cell>
          <cell r="C577">
            <v>31102192</v>
          </cell>
          <cell r="D577">
            <v>31102192</v>
          </cell>
          <cell r="E577">
            <v>31102192</v>
          </cell>
          <cell r="F577">
            <v>31102192</v>
          </cell>
          <cell r="G577">
            <v>31102192</v>
          </cell>
          <cell r="H577">
            <v>31102192</v>
          </cell>
          <cell r="I577" t="str">
            <v/>
          </cell>
          <cell r="J577" t="str">
            <v/>
          </cell>
          <cell r="K577" t="str">
            <v/>
          </cell>
          <cell r="L577" t="str">
            <v/>
          </cell>
          <cell r="M577" t="str">
            <v/>
          </cell>
        </row>
        <row r="578">
          <cell r="A578">
            <v>31102192</v>
          </cell>
          <cell r="C578">
            <v>31102192</v>
          </cell>
          <cell r="D578">
            <v>31102192</v>
          </cell>
          <cell r="E578">
            <v>31102192</v>
          </cell>
          <cell r="F578">
            <v>31102192</v>
          </cell>
          <cell r="G578">
            <v>31102192</v>
          </cell>
          <cell r="H578">
            <v>31102192</v>
          </cell>
          <cell r="I578" t="str">
            <v/>
          </cell>
          <cell r="J578" t="str">
            <v/>
          </cell>
          <cell r="K578" t="str">
            <v/>
          </cell>
          <cell r="L578" t="str">
            <v/>
          </cell>
          <cell r="M578" t="str">
            <v/>
          </cell>
        </row>
        <row r="579">
          <cell r="A579">
            <v>31102192</v>
          </cell>
          <cell r="C579">
            <v>31102192</v>
          </cell>
          <cell r="D579">
            <v>31102192</v>
          </cell>
          <cell r="E579">
            <v>31102192</v>
          </cell>
          <cell r="F579">
            <v>31102192</v>
          </cell>
          <cell r="G579">
            <v>31102192</v>
          </cell>
          <cell r="H579">
            <v>31102192</v>
          </cell>
          <cell r="I579" t="str">
            <v/>
          </cell>
          <cell r="J579" t="str">
            <v/>
          </cell>
          <cell r="K579" t="str">
            <v/>
          </cell>
          <cell r="L579" t="str">
            <v/>
          </cell>
          <cell r="M579" t="str">
            <v/>
          </cell>
        </row>
        <row r="580">
          <cell r="A580">
            <v>31102192</v>
          </cell>
          <cell r="C580">
            <v>31102192</v>
          </cell>
          <cell r="D580">
            <v>31102192</v>
          </cell>
          <cell r="E580">
            <v>31102192</v>
          </cell>
          <cell r="F580">
            <v>31102192</v>
          </cell>
          <cell r="G580">
            <v>31102192</v>
          </cell>
          <cell r="H580">
            <v>31102192</v>
          </cell>
          <cell r="I580" t="str">
            <v/>
          </cell>
          <cell r="J580" t="str">
            <v/>
          </cell>
          <cell r="K580" t="str">
            <v/>
          </cell>
          <cell r="L580" t="str">
            <v/>
          </cell>
          <cell r="M580" t="str">
            <v/>
          </cell>
        </row>
        <row r="581">
          <cell r="A581">
            <v>31102192</v>
          </cell>
          <cell r="C581">
            <v>31102192</v>
          </cell>
          <cell r="D581">
            <v>31102192</v>
          </cell>
          <cell r="E581">
            <v>31102192</v>
          </cell>
          <cell r="F581">
            <v>31102192</v>
          </cell>
          <cell r="G581">
            <v>31102192</v>
          </cell>
          <cell r="H581">
            <v>31102192</v>
          </cell>
          <cell r="I581" t="str">
            <v/>
          </cell>
          <cell r="J581" t="str">
            <v/>
          </cell>
          <cell r="K581" t="str">
            <v/>
          </cell>
          <cell r="L581" t="str">
            <v/>
          </cell>
          <cell r="M581" t="str">
            <v/>
          </cell>
        </row>
        <row r="582">
          <cell r="A582">
            <v>31102192</v>
          </cell>
          <cell r="C582">
            <v>31102192</v>
          </cell>
          <cell r="D582">
            <v>31102192</v>
          </cell>
          <cell r="E582">
            <v>31102192</v>
          </cell>
          <cell r="F582">
            <v>31102192</v>
          </cell>
          <cell r="G582">
            <v>31102192</v>
          </cell>
          <cell r="H582">
            <v>31102192</v>
          </cell>
          <cell r="I582" t="str">
            <v/>
          </cell>
          <cell r="J582" t="str">
            <v/>
          </cell>
          <cell r="K582" t="str">
            <v/>
          </cell>
          <cell r="L582" t="str">
            <v/>
          </cell>
          <cell r="M582" t="str">
            <v/>
          </cell>
        </row>
        <row r="583">
          <cell r="A583">
            <v>31102192</v>
          </cell>
          <cell r="C583">
            <v>31102192</v>
          </cell>
          <cell r="D583">
            <v>31102192</v>
          </cell>
          <cell r="E583">
            <v>31102192</v>
          </cell>
          <cell r="F583">
            <v>31102192</v>
          </cell>
          <cell r="G583">
            <v>31102192</v>
          </cell>
          <cell r="H583">
            <v>31102192</v>
          </cell>
          <cell r="I583" t="str">
            <v/>
          </cell>
          <cell r="J583" t="str">
            <v/>
          </cell>
          <cell r="K583" t="str">
            <v/>
          </cell>
          <cell r="L583" t="str">
            <v/>
          </cell>
          <cell r="M583" t="str">
            <v/>
          </cell>
        </row>
        <row r="584">
          <cell r="A584">
            <v>31102192</v>
          </cell>
          <cell r="C584">
            <v>31102192</v>
          </cell>
          <cell r="D584">
            <v>31102192</v>
          </cell>
          <cell r="E584">
            <v>31102192</v>
          </cell>
          <cell r="F584">
            <v>31102192</v>
          </cell>
          <cell r="G584">
            <v>31102192</v>
          </cell>
          <cell r="H584">
            <v>31102192</v>
          </cell>
          <cell r="I584" t="str">
            <v/>
          </cell>
          <cell r="J584" t="str">
            <v/>
          </cell>
          <cell r="K584" t="str">
            <v/>
          </cell>
          <cell r="L584" t="str">
            <v/>
          </cell>
          <cell r="M584" t="str">
            <v/>
          </cell>
        </row>
        <row r="585">
          <cell r="A585">
            <v>31102192</v>
          </cell>
          <cell r="C585">
            <v>31102192</v>
          </cell>
          <cell r="D585">
            <v>31102192</v>
          </cell>
          <cell r="E585">
            <v>31102192</v>
          </cell>
          <cell r="F585">
            <v>31102192</v>
          </cell>
          <cell r="G585">
            <v>31102192</v>
          </cell>
          <cell r="H585">
            <v>31102192</v>
          </cell>
          <cell r="I585" t="str">
            <v/>
          </cell>
          <cell r="J585" t="str">
            <v/>
          </cell>
          <cell r="K585" t="str">
            <v/>
          </cell>
          <cell r="L585" t="str">
            <v/>
          </cell>
          <cell r="M585" t="str">
            <v/>
          </cell>
        </row>
        <row r="586">
          <cell r="A586">
            <v>31102192</v>
          </cell>
          <cell r="C586">
            <v>31102192</v>
          </cell>
          <cell r="D586">
            <v>31102192</v>
          </cell>
          <cell r="E586">
            <v>31102192</v>
          </cell>
          <cell r="F586">
            <v>31102192</v>
          </cell>
          <cell r="G586">
            <v>31102192</v>
          </cell>
          <cell r="H586">
            <v>31102192</v>
          </cell>
          <cell r="I586" t="str">
            <v/>
          </cell>
          <cell r="J586" t="str">
            <v/>
          </cell>
          <cell r="K586" t="str">
            <v/>
          </cell>
          <cell r="L586" t="str">
            <v/>
          </cell>
          <cell r="M586" t="str">
            <v/>
          </cell>
        </row>
        <row r="587">
          <cell r="A587">
            <v>31102192</v>
          </cell>
          <cell r="C587">
            <v>31102192</v>
          </cell>
          <cell r="D587">
            <v>31102192</v>
          </cell>
          <cell r="E587">
            <v>31102192</v>
          </cell>
          <cell r="F587">
            <v>31102192</v>
          </cell>
          <cell r="G587">
            <v>31102192</v>
          </cell>
          <cell r="H587">
            <v>31102192</v>
          </cell>
          <cell r="I587" t="str">
            <v/>
          </cell>
          <cell r="J587" t="str">
            <v/>
          </cell>
          <cell r="K587" t="str">
            <v/>
          </cell>
          <cell r="L587" t="str">
            <v/>
          </cell>
          <cell r="M587" t="str">
            <v/>
          </cell>
        </row>
        <row r="588">
          <cell r="A588">
            <v>31102192</v>
          </cell>
          <cell r="C588">
            <v>31102192</v>
          </cell>
          <cell r="D588">
            <v>31102192</v>
          </cell>
          <cell r="E588">
            <v>31102192</v>
          </cell>
          <cell r="F588">
            <v>31102192</v>
          </cell>
          <cell r="G588">
            <v>31102192</v>
          </cell>
          <cell r="H588">
            <v>31102192</v>
          </cell>
          <cell r="I588" t="str">
            <v/>
          </cell>
          <cell r="J588" t="str">
            <v/>
          </cell>
          <cell r="K588" t="str">
            <v/>
          </cell>
          <cell r="L588" t="str">
            <v/>
          </cell>
          <cell r="M588" t="str">
            <v/>
          </cell>
        </row>
        <row r="589">
          <cell r="A589">
            <v>31102192</v>
          </cell>
          <cell r="C589">
            <v>31102192</v>
          </cell>
          <cell r="D589">
            <v>31102192</v>
          </cell>
          <cell r="E589">
            <v>31102192</v>
          </cell>
          <cell r="F589">
            <v>31102192</v>
          </cell>
          <cell r="G589">
            <v>31102192</v>
          </cell>
          <cell r="H589">
            <v>31102192</v>
          </cell>
          <cell r="I589" t="str">
            <v/>
          </cell>
          <cell r="J589" t="str">
            <v/>
          </cell>
          <cell r="K589" t="str">
            <v/>
          </cell>
          <cell r="L589" t="str">
            <v/>
          </cell>
          <cell r="M589" t="str">
            <v/>
          </cell>
        </row>
        <row r="590">
          <cell r="A590">
            <v>31102192</v>
          </cell>
          <cell r="C590">
            <v>31102192</v>
          </cell>
          <cell r="D590">
            <v>31102192</v>
          </cell>
          <cell r="E590">
            <v>31102192</v>
          </cell>
          <cell r="F590">
            <v>31102192</v>
          </cell>
          <cell r="G590">
            <v>31102192</v>
          </cell>
          <cell r="H590">
            <v>31102192</v>
          </cell>
          <cell r="I590" t="str">
            <v/>
          </cell>
          <cell r="J590" t="str">
            <v/>
          </cell>
          <cell r="K590" t="str">
            <v/>
          </cell>
          <cell r="L590" t="str">
            <v/>
          </cell>
          <cell r="M590" t="str">
            <v/>
          </cell>
        </row>
        <row r="591">
          <cell r="A591">
            <v>31102192</v>
          </cell>
          <cell r="C591">
            <v>31102192</v>
          </cell>
          <cell r="D591">
            <v>31102192</v>
          </cell>
          <cell r="E591">
            <v>31102192</v>
          </cell>
          <cell r="F591">
            <v>31102192</v>
          </cell>
          <cell r="G591">
            <v>31102192</v>
          </cell>
          <cell r="H591">
            <v>31102192</v>
          </cell>
          <cell r="I591" t="str">
            <v/>
          </cell>
          <cell r="J591" t="str">
            <v/>
          </cell>
          <cell r="K591" t="str">
            <v/>
          </cell>
          <cell r="L591" t="str">
            <v/>
          </cell>
          <cell r="M591" t="str">
            <v/>
          </cell>
        </row>
        <row r="592">
          <cell r="A592">
            <v>31102192</v>
          </cell>
          <cell r="C592">
            <v>31102192</v>
          </cell>
          <cell r="D592">
            <v>31102192</v>
          </cell>
          <cell r="E592">
            <v>31102192</v>
          </cell>
          <cell r="F592">
            <v>31102192</v>
          </cell>
          <cell r="G592">
            <v>31102192</v>
          </cell>
          <cell r="H592">
            <v>31102192</v>
          </cell>
          <cell r="I592" t="str">
            <v/>
          </cell>
          <cell r="J592" t="str">
            <v/>
          </cell>
          <cell r="K592" t="str">
            <v/>
          </cell>
          <cell r="L592" t="str">
            <v/>
          </cell>
          <cell r="M592" t="str">
            <v/>
          </cell>
        </row>
        <row r="593">
          <cell r="A593">
            <v>31102192</v>
          </cell>
          <cell r="C593">
            <v>31102192</v>
          </cell>
          <cell r="D593">
            <v>31102192</v>
          </cell>
          <cell r="E593">
            <v>31102192</v>
          </cell>
          <cell r="F593">
            <v>31102192</v>
          </cell>
          <cell r="G593">
            <v>31102192</v>
          </cell>
          <cell r="H593">
            <v>31102192</v>
          </cell>
          <cell r="I593" t="str">
            <v/>
          </cell>
          <cell r="J593" t="str">
            <v/>
          </cell>
          <cell r="K593" t="str">
            <v/>
          </cell>
          <cell r="L593" t="str">
            <v/>
          </cell>
          <cell r="M593" t="str">
            <v/>
          </cell>
        </row>
        <row r="594">
          <cell r="A594">
            <v>31102192</v>
          </cell>
          <cell r="C594">
            <v>31102192</v>
          </cell>
          <cell r="D594">
            <v>31102192</v>
          </cell>
          <cell r="E594">
            <v>31102192</v>
          </cell>
          <cell r="F594">
            <v>31102192</v>
          </cell>
          <cell r="G594">
            <v>31102192</v>
          </cell>
          <cell r="H594">
            <v>31102192</v>
          </cell>
          <cell r="I594" t="str">
            <v/>
          </cell>
          <cell r="J594" t="str">
            <v/>
          </cell>
          <cell r="K594" t="str">
            <v/>
          </cell>
          <cell r="L594" t="str">
            <v/>
          </cell>
          <cell r="M594" t="str">
            <v/>
          </cell>
        </row>
        <row r="595">
          <cell r="A595">
            <v>31102192</v>
          </cell>
          <cell r="C595">
            <v>31102192</v>
          </cell>
          <cell r="D595">
            <v>31102192</v>
          </cell>
          <cell r="E595">
            <v>31102192</v>
          </cell>
          <cell r="F595">
            <v>31102192</v>
          </cell>
          <cell r="G595">
            <v>31102192</v>
          </cell>
          <cell r="H595">
            <v>31102192</v>
          </cell>
          <cell r="I595" t="str">
            <v/>
          </cell>
          <cell r="J595" t="str">
            <v/>
          </cell>
          <cell r="K595" t="str">
            <v/>
          </cell>
          <cell r="L595" t="str">
            <v/>
          </cell>
          <cell r="M595" t="str">
            <v/>
          </cell>
        </row>
        <row r="596">
          <cell r="A596">
            <v>31102192</v>
          </cell>
          <cell r="C596">
            <v>31102192</v>
          </cell>
          <cell r="D596">
            <v>31102192</v>
          </cell>
          <cell r="E596">
            <v>31102192</v>
          </cell>
          <cell r="F596">
            <v>31102192</v>
          </cell>
          <cell r="G596">
            <v>31102192</v>
          </cell>
          <cell r="H596">
            <v>31102192</v>
          </cell>
          <cell r="I596" t="str">
            <v/>
          </cell>
          <cell r="J596" t="str">
            <v/>
          </cell>
          <cell r="K596" t="str">
            <v/>
          </cell>
          <cell r="L596" t="str">
            <v/>
          </cell>
          <cell r="M596" t="str">
            <v/>
          </cell>
        </row>
        <row r="597">
          <cell r="A597">
            <v>31102192</v>
          </cell>
          <cell r="C597">
            <v>31102192</v>
          </cell>
          <cell r="D597">
            <v>31102192</v>
          </cell>
          <cell r="E597">
            <v>31102192</v>
          </cell>
          <cell r="F597">
            <v>31102192</v>
          </cell>
          <cell r="G597">
            <v>31102192</v>
          </cell>
          <cell r="H597">
            <v>31102192</v>
          </cell>
          <cell r="I597" t="str">
            <v/>
          </cell>
          <cell r="J597" t="str">
            <v/>
          </cell>
          <cell r="K597" t="str">
            <v/>
          </cell>
          <cell r="L597" t="str">
            <v/>
          </cell>
          <cell r="M597" t="str">
            <v/>
          </cell>
        </row>
        <row r="598">
          <cell r="A598">
            <v>31102192</v>
          </cell>
          <cell r="C598">
            <v>31102192</v>
          </cell>
          <cell r="D598">
            <v>31102192</v>
          </cell>
          <cell r="E598">
            <v>31102192</v>
          </cell>
          <cell r="F598">
            <v>31102192</v>
          </cell>
          <cell r="G598">
            <v>31102192</v>
          </cell>
          <cell r="H598">
            <v>31102192</v>
          </cell>
          <cell r="I598" t="str">
            <v/>
          </cell>
          <cell r="J598" t="str">
            <v/>
          </cell>
          <cell r="K598" t="str">
            <v/>
          </cell>
          <cell r="L598" t="str">
            <v/>
          </cell>
          <cell r="M598" t="str">
            <v/>
          </cell>
        </row>
        <row r="599">
          <cell r="A599">
            <v>31102192</v>
          </cell>
          <cell r="C599">
            <v>31102192</v>
          </cell>
          <cell r="D599">
            <v>31102192</v>
          </cell>
          <cell r="E599">
            <v>31102192</v>
          </cell>
          <cell r="F599">
            <v>31102192</v>
          </cell>
          <cell r="G599">
            <v>31102192</v>
          </cell>
          <cell r="H599">
            <v>31102192</v>
          </cell>
          <cell r="I599" t="str">
            <v/>
          </cell>
          <cell r="J599" t="str">
            <v/>
          </cell>
          <cell r="K599" t="str">
            <v/>
          </cell>
          <cell r="L599" t="str">
            <v/>
          </cell>
          <cell r="M599" t="str">
            <v/>
          </cell>
        </row>
        <row r="600">
          <cell r="A600">
            <v>31102192</v>
          </cell>
          <cell r="C600">
            <v>31102192</v>
          </cell>
          <cell r="D600">
            <v>31102192</v>
          </cell>
          <cell r="E600">
            <v>31102192</v>
          </cell>
          <cell r="F600">
            <v>31102192</v>
          </cell>
          <cell r="G600">
            <v>31102192</v>
          </cell>
          <cell r="H600">
            <v>31102192</v>
          </cell>
          <cell r="I600" t="str">
            <v/>
          </cell>
          <cell r="J600" t="str">
            <v/>
          </cell>
          <cell r="K600" t="str">
            <v/>
          </cell>
          <cell r="L600" t="str">
            <v/>
          </cell>
          <cell r="M600" t="str">
            <v/>
          </cell>
        </row>
        <row r="601">
          <cell r="A601">
            <v>31102192</v>
          </cell>
          <cell r="C601">
            <v>31102192</v>
          </cell>
          <cell r="D601">
            <v>31102192</v>
          </cell>
          <cell r="E601">
            <v>31102192</v>
          </cell>
          <cell r="F601">
            <v>31102192</v>
          </cell>
          <cell r="G601">
            <v>31102192</v>
          </cell>
          <cell r="H601">
            <v>31102192</v>
          </cell>
          <cell r="I601" t="str">
            <v/>
          </cell>
          <cell r="J601" t="str">
            <v/>
          </cell>
          <cell r="K601" t="str">
            <v/>
          </cell>
          <cell r="L601" t="str">
            <v/>
          </cell>
          <cell r="M601" t="str">
            <v/>
          </cell>
        </row>
        <row r="602">
          <cell r="A602">
            <v>31102192</v>
          </cell>
          <cell r="C602">
            <v>31102192</v>
          </cell>
          <cell r="D602">
            <v>31102192</v>
          </cell>
          <cell r="E602">
            <v>31102192</v>
          </cell>
          <cell r="F602">
            <v>31102192</v>
          </cell>
          <cell r="G602">
            <v>31102192</v>
          </cell>
          <cell r="H602">
            <v>31102192</v>
          </cell>
          <cell r="I602" t="str">
            <v/>
          </cell>
          <cell r="J602" t="str">
            <v/>
          </cell>
          <cell r="K602" t="str">
            <v/>
          </cell>
          <cell r="L602" t="str">
            <v/>
          </cell>
          <cell r="M602" t="str">
            <v/>
          </cell>
        </row>
        <row r="603">
          <cell r="A603">
            <v>31102192</v>
          </cell>
          <cell r="C603">
            <v>31102192</v>
          </cell>
          <cell r="D603">
            <v>31102192</v>
          </cell>
          <cell r="E603">
            <v>31102192</v>
          </cell>
          <cell r="F603">
            <v>31102192</v>
          </cell>
          <cell r="G603">
            <v>31102192</v>
          </cell>
          <cell r="H603">
            <v>31102192</v>
          </cell>
          <cell r="I603" t="str">
            <v/>
          </cell>
          <cell r="J603" t="str">
            <v/>
          </cell>
          <cell r="K603" t="str">
            <v/>
          </cell>
          <cell r="L603" t="str">
            <v/>
          </cell>
          <cell r="M603" t="str">
            <v/>
          </cell>
        </row>
        <row r="604">
          <cell r="A604">
            <v>31102192</v>
          </cell>
          <cell r="C604">
            <v>31102192</v>
          </cell>
          <cell r="D604">
            <v>31102192</v>
          </cell>
          <cell r="E604">
            <v>31102192</v>
          </cell>
          <cell r="F604">
            <v>31102192</v>
          </cell>
          <cell r="G604">
            <v>31102192</v>
          </cell>
          <cell r="H604">
            <v>31102192</v>
          </cell>
          <cell r="I604" t="str">
            <v/>
          </cell>
          <cell r="J604" t="str">
            <v/>
          </cell>
          <cell r="K604" t="str">
            <v/>
          </cell>
          <cell r="L604" t="str">
            <v/>
          </cell>
          <cell r="M604" t="str">
            <v/>
          </cell>
        </row>
        <row r="605">
          <cell r="A605">
            <v>31102192</v>
          </cell>
          <cell r="C605">
            <v>31102192</v>
          </cell>
          <cell r="D605">
            <v>31102192</v>
          </cell>
          <cell r="E605">
            <v>31102192</v>
          </cell>
          <cell r="F605">
            <v>31102192</v>
          </cell>
          <cell r="G605">
            <v>31102192</v>
          </cell>
          <cell r="H605">
            <v>31102192</v>
          </cell>
          <cell r="I605" t="str">
            <v/>
          </cell>
          <cell r="J605" t="str">
            <v/>
          </cell>
          <cell r="K605" t="str">
            <v/>
          </cell>
          <cell r="L605" t="str">
            <v/>
          </cell>
          <cell r="M605" t="str">
            <v/>
          </cell>
        </row>
        <row r="606">
          <cell r="A606">
            <v>31102192</v>
          </cell>
          <cell r="C606">
            <v>31102192</v>
          </cell>
          <cell r="D606">
            <v>31102192</v>
          </cell>
          <cell r="E606">
            <v>31102192</v>
          </cell>
          <cell r="F606">
            <v>31102192</v>
          </cell>
          <cell r="G606">
            <v>31102192</v>
          </cell>
          <cell r="H606">
            <v>31102192</v>
          </cell>
          <cell r="I606" t="str">
            <v/>
          </cell>
          <cell r="J606" t="str">
            <v/>
          </cell>
          <cell r="K606" t="str">
            <v/>
          </cell>
          <cell r="L606" t="str">
            <v/>
          </cell>
          <cell r="M606" t="str">
            <v/>
          </cell>
        </row>
        <row r="607">
          <cell r="A607">
            <v>31102192</v>
          </cell>
          <cell r="C607">
            <v>31102192</v>
          </cell>
          <cell r="D607">
            <v>31102192</v>
          </cell>
          <cell r="E607">
            <v>31102192</v>
          </cell>
          <cell r="F607">
            <v>31102192</v>
          </cell>
          <cell r="G607">
            <v>31102192</v>
          </cell>
          <cell r="H607">
            <v>31102192</v>
          </cell>
          <cell r="I607" t="str">
            <v/>
          </cell>
          <cell r="J607" t="str">
            <v/>
          </cell>
          <cell r="K607" t="str">
            <v/>
          </cell>
          <cell r="L607" t="str">
            <v/>
          </cell>
          <cell r="M607" t="str">
            <v/>
          </cell>
        </row>
        <row r="608">
          <cell r="A608">
            <v>31102192</v>
          </cell>
          <cell r="C608">
            <v>31102192</v>
          </cell>
          <cell r="D608">
            <v>31102192</v>
          </cell>
          <cell r="E608">
            <v>31102192</v>
          </cell>
          <cell r="F608">
            <v>31102192</v>
          </cell>
          <cell r="G608">
            <v>31102192</v>
          </cell>
          <cell r="H608">
            <v>31102192</v>
          </cell>
          <cell r="I608" t="str">
            <v/>
          </cell>
          <cell r="J608" t="str">
            <v/>
          </cell>
          <cell r="K608" t="str">
            <v/>
          </cell>
          <cell r="L608" t="str">
            <v/>
          </cell>
          <cell r="M608" t="str">
            <v/>
          </cell>
        </row>
        <row r="609">
          <cell r="A609">
            <v>31102192</v>
          </cell>
          <cell r="C609">
            <v>31102192</v>
          </cell>
          <cell r="D609">
            <v>31102192</v>
          </cell>
          <cell r="E609">
            <v>31102192</v>
          </cell>
          <cell r="F609">
            <v>31102192</v>
          </cell>
          <cell r="G609">
            <v>31102192</v>
          </cell>
          <cell r="H609">
            <v>31102192</v>
          </cell>
          <cell r="I609" t="str">
            <v/>
          </cell>
          <cell r="J609" t="str">
            <v/>
          </cell>
          <cell r="K609" t="str">
            <v/>
          </cell>
          <cell r="L609" t="str">
            <v/>
          </cell>
          <cell r="M609" t="str">
            <v/>
          </cell>
        </row>
        <row r="610">
          <cell r="A610">
            <v>31102192</v>
          </cell>
          <cell r="C610">
            <v>31102192</v>
          </cell>
          <cell r="D610">
            <v>31102192</v>
          </cell>
          <cell r="E610">
            <v>31102192</v>
          </cell>
          <cell r="F610">
            <v>31102192</v>
          </cell>
          <cell r="G610">
            <v>31102192</v>
          </cell>
          <cell r="H610">
            <v>31102192</v>
          </cell>
          <cell r="I610" t="str">
            <v/>
          </cell>
          <cell r="J610" t="str">
            <v/>
          </cell>
          <cell r="K610" t="str">
            <v/>
          </cell>
          <cell r="L610" t="str">
            <v/>
          </cell>
          <cell r="M610" t="str">
            <v/>
          </cell>
        </row>
        <row r="611">
          <cell r="A611">
            <v>31102192</v>
          </cell>
          <cell r="C611">
            <v>31102192</v>
          </cell>
          <cell r="D611">
            <v>31102192</v>
          </cell>
          <cell r="E611">
            <v>31102192</v>
          </cell>
          <cell r="F611">
            <v>31102192</v>
          </cell>
          <cell r="G611">
            <v>31102192</v>
          </cell>
          <cell r="H611">
            <v>31102192</v>
          </cell>
          <cell r="I611" t="str">
            <v/>
          </cell>
          <cell r="J611" t="str">
            <v/>
          </cell>
          <cell r="K611" t="str">
            <v/>
          </cell>
          <cell r="L611" t="str">
            <v/>
          </cell>
          <cell r="M611" t="str">
            <v/>
          </cell>
        </row>
        <row r="612">
          <cell r="A612">
            <v>31102192</v>
          </cell>
          <cell r="C612">
            <v>31102192</v>
          </cell>
          <cell r="D612">
            <v>31102192</v>
          </cell>
          <cell r="E612">
            <v>31102192</v>
          </cell>
          <cell r="F612">
            <v>31102192</v>
          </cell>
          <cell r="G612">
            <v>31102192</v>
          </cell>
          <cell r="H612">
            <v>31102192</v>
          </cell>
          <cell r="I612" t="str">
            <v/>
          </cell>
          <cell r="J612" t="str">
            <v/>
          </cell>
          <cell r="K612" t="str">
            <v/>
          </cell>
          <cell r="L612" t="str">
            <v/>
          </cell>
          <cell r="M612" t="str">
            <v/>
          </cell>
        </row>
        <row r="613">
          <cell r="A613">
            <v>31102192</v>
          </cell>
          <cell r="C613">
            <v>31102192</v>
          </cell>
          <cell r="D613">
            <v>31102192</v>
          </cell>
          <cell r="E613">
            <v>31102192</v>
          </cell>
          <cell r="F613">
            <v>31102192</v>
          </cell>
          <cell r="G613">
            <v>31102192</v>
          </cell>
          <cell r="H613">
            <v>31102192</v>
          </cell>
          <cell r="I613" t="str">
            <v/>
          </cell>
          <cell r="J613" t="str">
            <v/>
          </cell>
          <cell r="K613" t="str">
            <v/>
          </cell>
          <cell r="L613" t="str">
            <v/>
          </cell>
          <cell r="M613" t="str">
            <v/>
          </cell>
        </row>
        <row r="614">
          <cell r="A614">
            <v>31102192</v>
          </cell>
          <cell r="C614">
            <v>31102192</v>
          </cell>
          <cell r="D614">
            <v>31102192</v>
          </cell>
          <cell r="E614">
            <v>31102192</v>
          </cell>
          <cell r="F614">
            <v>31102192</v>
          </cell>
          <cell r="G614">
            <v>31102192</v>
          </cell>
          <cell r="H614">
            <v>31102192</v>
          </cell>
          <cell r="I614" t="str">
            <v/>
          </cell>
          <cell r="J614" t="str">
            <v/>
          </cell>
          <cell r="K614" t="str">
            <v/>
          </cell>
          <cell r="L614" t="str">
            <v/>
          </cell>
          <cell r="M614" t="str">
            <v/>
          </cell>
        </row>
        <row r="615">
          <cell r="A615">
            <v>31102192</v>
          </cell>
          <cell r="C615">
            <v>31102192</v>
          </cell>
          <cell r="D615">
            <v>31102192</v>
          </cell>
          <cell r="E615">
            <v>31102192</v>
          </cell>
          <cell r="F615">
            <v>31102192</v>
          </cell>
          <cell r="G615">
            <v>31102192</v>
          </cell>
          <cell r="H615">
            <v>31102192</v>
          </cell>
          <cell r="I615" t="str">
            <v/>
          </cell>
          <cell r="J615" t="str">
            <v/>
          </cell>
          <cell r="K615" t="str">
            <v/>
          </cell>
          <cell r="L615" t="str">
            <v/>
          </cell>
          <cell r="M615" t="str">
            <v/>
          </cell>
        </row>
        <row r="616">
          <cell r="A616">
            <v>31102192</v>
          </cell>
          <cell r="C616">
            <v>31102192</v>
          </cell>
          <cell r="D616">
            <v>31102192</v>
          </cell>
          <cell r="E616">
            <v>31102192</v>
          </cell>
          <cell r="F616">
            <v>31102192</v>
          </cell>
          <cell r="G616">
            <v>31102192</v>
          </cell>
          <cell r="H616">
            <v>31102192</v>
          </cell>
          <cell r="I616" t="str">
            <v/>
          </cell>
          <cell r="J616" t="str">
            <v/>
          </cell>
          <cell r="K616" t="str">
            <v/>
          </cell>
          <cell r="L616" t="str">
            <v/>
          </cell>
          <cell r="M616" t="str">
            <v/>
          </cell>
        </row>
        <row r="617">
          <cell r="A617">
            <v>31102192</v>
          </cell>
          <cell r="C617">
            <v>31102192</v>
          </cell>
          <cell r="D617">
            <v>31102192</v>
          </cell>
          <cell r="E617">
            <v>31102192</v>
          </cell>
          <cell r="F617">
            <v>31102192</v>
          </cell>
          <cell r="G617">
            <v>31102192</v>
          </cell>
          <cell r="H617">
            <v>31102192</v>
          </cell>
          <cell r="I617" t="str">
            <v/>
          </cell>
          <cell r="J617" t="str">
            <v/>
          </cell>
          <cell r="K617" t="str">
            <v/>
          </cell>
          <cell r="L617" t="str">
            <v/>
          </cell>
          <cell r="M617" t="str">
            <v/>
          </cell>
        </row>
        <row r="618">
          <cell r="A618">
            <v>31102192</v>
          </cell>
          <cell r="C618">
            <v>31102192</v>
          </cell>
          <cell r="D618">
            <v>31102192</v>
          </cell>
          <cell r="E618">
            <v>31102192</v>
          </cell>
          <cell r="F618">
            <v>31102192</v>
          </cell>
          <cell r="G618">
            <v>31102192</v>
          </cell>
          <cell r="H618">
            <v>31102192</v>
          </cell>
          <cell r="I618" t="str">
            <v/>
          </cell>
          <cell r="J618" t="str">
            <v/>
          </cell>
          <cell r="K618" t="str">
            <v/>
          </cell>
          <cell r="L618" t="str">
            <v/>
          </cell>
          <cell r="M618" t="str">
            <v/>
          </cell>
        </row>
        <row r="619">
          <cell r="A619">
            <v>31102192</v>
          </cell>
          <cell r="C619">
            <v>31102192</v>
          </cell>
          <cell r="D619">
            <v>31102192</v>
          </cell>
          <cell r="E619">
            <v>31102192</v>
          </cell>
          <cell r="F619">
            <v>31102192</v>
          </cell>
          <cell r="G619">
            <v>31102192</v>
          </cell>
          <cell r="H619">
            <v>31102192</v>
          </cell>
          <cell r="I619" t="str">
            <v/>
          </cell>
          <cell r="J619" t="str">
            <v/>
          </cell>
          <cell r="K619" t="str">
            <v/>
          </cell>
          <cell r="L619" t="str">
            <v/>
          </cell>
          <cell r="M619" t="str">
            <v/>
          </cell>
        </row>
        <row r="620">
          <cell r="A620">
            <v>31102192</v>
          </cell>
          <cell r="C620">
            <v>31102192</v>
          </cell>
          <cell r="D620">
            <v>31102192</v>
          </cell>
          <cell r="E620">
            <v>31102192</v>
          </cell>
          <cell r="F620">
            <v>31102192</v>
          </cell>
          <cell r="G620">
            <v>31102192</v>
          </cell>
          <cell r="H620">
            <v>31102192</v>
          </cell>
          <cell r="I620" t="str">
            <v/>
          </cell>
          <cell r="J620" t="str">
            <v/>
          </cell>
          <cell r="K620" t="str">
            <v/>
          </cell>
          <cell r="L620" t="str">
            <v/>
          </cell>
          <cell r="M620" t="str">
            <v/>
          </cell>
        </row>
        <row r="621">
          <cell r="A621">
            <v>31102192</v>
          </cell>
          <cell r="C621">
            <v>31102192</v>
          </cell>
          <cell r="D621">
            <v>31102192</v>
          </cell>
          <cell r="E621">
            <v>31102192</v>
          </cell>
          <cell r="F621">
            <v>31102192</v>
          </cell>
          <cell r="G621">
            <v>31102192</v>
          </cell>
          <cell r="H621">
            <v>31102192</v>
          </cell>
          <cell r="I621" t="str">
            <v/>
          </cell>
          <cell r="J621" t="str">
            <v/>
          </cell>
          <cell r="K621" t="str">
            <v/>
          </cell>
          <cell r="L621" t="str">
            <v/>
          </cell>
          <cell r="M621" t="str">
            <v/>
          </cell>
        </row>
        <row r="622">
          <cell r="A622">
            <v>31102192</v>
          </cell>
          <cell r="C622">
            <v>31102192</v>
          </cell>
          <cell r="D622">
            <v>31102192</v>
          </cell>
          <cell r="E622">
            <v>31102192</v>
          </cell>
          <cell r="F622">
            <v>31102192</v>
          </cell>
          <cell r="G622">
            <v>31102192</v>
          </cell>
          <cell r="H622">
            <v>31102192</v>
          </cell>
          <cell r="I622" t="str">
            <v/>
          </cell>
          <cell r="J622" t="str">
            <v/>
          </cell>
          <cell r="K622" t="str">
            <v/>
          </cell>
          <cell r="L622" t="str">
            <v/>
          </cell>
          <cell r="M622" t="str">
            <v/>
          </cell>
        </row>
        <row r="623">
          <cell r="A623">
            <v>31102192</v>
          </cell>
          <cell r="C623">
            <v>31102192</v>
          </cell>
          <cell r="D623">
            <v>31102192</v>
          </cell>
          <cell r="E623">
            <v>31102192</v>
          </cell>
          <cell r="F623">
            <v>31102192</v>
          </cell>
          <cell r="G623">
            <v>31102192</v>
          </cell>
          <cell r="H623">
            <v>31102192</v>
          </cell>
          <cell r="I623" t="str">
            <v/>
          </cell>
          <cell r="J623" t="str">
            <v/>
          </cell>
          <cell r="K623" t="str">
            <v/>
          </cell>
          <cell r="L623" t="str">
            <v/>
          </cell>
          <cell r="M623" t="str">
            <v/>
          </cell>
        </row>
        <row r="624">
          <cell r="A624">
            <v>31102192</v>
          </cell>
          <cell r="C624">
            <v>31102192</v>
          </cell>
          <cell r="D624">
            <v>31102192</v>
          </cell>
          <cell r="E624">
            <v>31102192</v>
          </cell>
          <cell r="F624">
            <v>31102192</v>
          </cell>
          <cell r="G624">
            <v>31102192</v>
          </cell>
          <cell r="H624">
            <v>31102192</v>
          </cell>
          <cell r="I624" t="str">
            <v/>
          </cell>
          <cell r="J624" t="str">
            <v/>
          </cell>
          <cell r="K624" t="str">
            <v/>
          </cell>
          <cell r="L624" t="str">
            <v/>
          </cell>
          <cell r="M624" t="str">
            <v/>
          </cell>
        </row>
        <row r="625">
          <cell r="A625">
            <v>31102192</v>
          </cell>
          <cell r="C625">
            <v>31102192</v>
          </cell>
          <cell r="D625">
            <v>31102192</v>
          </cell>
          <cell r="E625">
            <v>31102192</v>
          </cell>
          <cell r="F625">
            <v>31102192</v>
          </cell>
          <cell r="G625">
            <v>31102192</v>
          </cell>
          <cell r="H625">
            <v>31102192</v>
          </cell>
          <cell r="I625" t="str">
            <v/>
          </cell>
          <cell r="J625" t="str">
            <v/>
          </cell>
          <cell r="K625" t="str">
            <v/>
          </cell>
          <cell r="L625" t="str">
            <v/>
          </cell>
          <cell r="M625" t="str">
            <v/>
          </cell>
        </row>
        <row r="626">
          <cell r="A626">
            <v>31102192</v>
          </cell>
          <cell r="C626">
            <v>31102192</v>
          </cell>
          <cell r="D626">
            <v>31102192</v>
          </cell>
          <cell r="E626">
            <v>31102192</v>
          </cell>
          <cell r="F626">
            <v>31102192</v>
          </cell>
          <cell r="G626">
            <v>31102192</v>
          </cell>
          <cell r="H626">
            <v>31102192</v>
          </cell>
          <cell r="I626" t="str">
            <v/>
          </cell>
          <cell r="J626" t="str">
            <v/>
          </cell>
          <cell r="K626" t="str">
            <v/>
          </cell>
          <cell r="L626" t="str">
            <v/>
          </cell>
          <cell r="M626" t="str">
            <v/>
          </cell>
        </row>
        <row r="627">
          <cell r="A627">
            <v>31102192</v>
          </cell>
          <cell r="C627">
            <v>31102192</v>
          </cell>
          <cell r="D627">
            <v>31102192</v>
          </cell>
          <cell r="E627">
            <v>31102192</v>
          </cell>
          <cell r="F627">
            <v>31102192</v>
          </cell>
          <cell r="G627">
            <v>31102192</v>
          </cell>
          <cell r="H627">
            <v>31102192</v>
          </cell>
          <cell r="I627" t="str">
            <v/>
          </cell>
          <cell r="J627" t="str">
            <v/>
          </cell>
          <cell r="K627" t="str">
            <v/>
          </cell>
          <cell r="L627" t="str">
            <v/>
          </cell>
          <cell r="M627" t="str">
            <v/>
          </cell>
        </row>
        <row r="628">
          <cell r="A628">
            <v>31102192</v>
          </cell>
          <cell r="C628">
            <v>31102192</v>
          </cell>
          <cell r="D628">
            <v>31102192</v>
          </cell>
          <cell r="E628">
            <v>31102192</v>
          </cell>
          <cell r="F628">
            <v>31102192</v>
          </cell>
          <cell r="G628">
            <v>31102192</v>
          </cell>
          <cell r="H628">
            <v>31102192</v>
          </cell>
          <cell r="I628" t="str">
            <v/>
          </cell>
          <cell r="J628" t="str">
            <v/>
          </cell>
          <cell r="K628" t="str">
            <v/>
          </cell>
          <cell r="L628" t="str">
            <v/>
          </cell>
          <cell r="M628" t="str">
            <v/>
          </cell>
        </row>
        <row r="629">
          <cell r="A629">
            <v>31102192</v>
          </cell>
          <cell r="C629">
            <v>31102192</v>
          </cell>
          <cell r="D629">
            <v>31102192</v>
          </cell>
          <cell r="E629">
            <v>31102192</v>
          </cell>
          <cell r="F629">
            <v>31102192</v>
          </cell>
          <cell r="G629">
            <v>31102192</v>
          </cell>
          <cell r="H629">
            <v>31102192</v>
          </cell>
          <cell r="I629" t="str">
            <v/>
          </cell>
          <cell r="J629" t="str">
            <v/>
          </cell>
          <cell r="K629" t="str">
            <v/>
          </cell>
          <cell r="L629" t="str">
            <v/>
          </cell>
          <cell r="M629" t="str">
            <v/>
          </cell>
        </row>
        <row r="630">
          <cell r="A630">
            <v>31102192</v>
          </cell>
          <cell r="C630">
            <v>31102192</v>
          </cell>
          <cell r="D630">
            <v>31102192</v>
          </cell>
          <cell r="E630">
            <v>31102192</v>
          </cell>
          <cell r="F630">
            <v>31102192</v>
          </cell>
          <cell r="G630">
            <v>31102192</v>
          </cell>
          <cell r="H630">
            <v>31102192</v>
          </cell>
          <cell r="I630" t="str">
            <v/>
          </cell>
          <cell r="J630" t="str">
            <v/>
          </cell>
          <cell r="K630" t="str">
            <v/>
          </cell>
          <cell r="L630" t="str">
            <v/>
          </cell>
          <cell r="M630" t="str">
            <v/>
          </cell>
        </row>
        <row r="631">
          <cell r="A631">
            <v>31102192</v>
          </cell>
          <cell r="C631">
            <v>31102192</v>
          </cell>
          <cell r="D631">
            <v>31102192</v>
          </cell>
          <cell r="E631">
            <v>31102192</v>
          </cell>
          <cell r="F631">
            <v>31102192</v>
          </cell>
          <cell r="G631">
            <v>31102192</v>
          </cell>
          <cell r="H631">
            <v>31102192</v>
          </cell>
          <cell r="I631" t="str">
            <v/>
          </cell>
          <cell r="J631" t="str">
            <v/>
          </cell>
          <cell r="K631" t="str">
            <v/>
          </cell>
          <cell r="L631" t="str">
            <v/>
          </cell>
          <cell r="M631" t="str">
            <v/>
          </cell>
        </row>
        <row r="632">
          <cell r="A632">
            <v>31102192</v>
          </cell>
          <cell r="C632">
            <v>31102192</v>
          </cell>
          <cell r="D632">
            <v>31102192</v>
          </cell>
          <cell r="E632">
            <v>31102192</v>
          </cell>
          <cell r="F632">
            <v>31102192</v>
          </cell>
          <cell r="G632">
            <v>31102192</v>
          </cell>
          <cell r="H632">
            <v>31102192</v>
          </cell>
          <cell r="I632" t="str">
            <v/>
          </cell>
          <cell r="J632" t="str">
            <v/>
          </cell>
          <cell r="K632" t="str">
            <v/>
          </cell>
          <cell r="L632" t="str">
            <v/>
          </cell>
          <cell r="M632" t="str">
            <v/>
          </cell>
        </row>
        <row r="633">
          <cell r="A633">
            <v>31102192</v>
          </cell>
          <cell r="C633">
            <v>31102192</v>
          </cell>
          <cell r="D633">
            <v>31102192</v>
          </cell>
          <cell r="E633">
            <v>31102192</v>
          </cell>
          <cell r="F633">
            <v>31102192</v>
          </cell>
          <cell r="G633">
            <v>31102192</v>
          </cell>
          <cell r="H633">
            <v>31102192</v>
          </cell>
          <cell r="I633" t="str">
            <v/>
          </cell>
          <cell r="J633" t="str">
            <v/>
          </cell>
          <cell r="K633" t="str">
            <v/>
          </cell>
          <cell r="L633" t="str">
            <v/>
          </cell>
          <cell r="M633" t="str">
            <v/>
          </cell>
        </row>
        <row r="634">
          <cell r="A634">
            <v>31102192</v>
          </cell>
          <cell r="C634">
            <v>31102192</v>
          </cell>
          <cell r="D634">
            <v>31102192</v>
          </cell>
          <cell r="E634">
            <v>31102192</v>
          </cell>
          <cell r="F634">
            <v>31102192</v>
          </cell>
          <cell r="G634">
            <v>31102192</v>
          </cell>
          <cell r="H634">
            <v>31102192</v>
          </cell>
          <cell r="I634" t="str">
            <v/>
          </cell>
          <cell r="J634" t="str">
            <v/>
          </cell>
          <cell r="K634" t="str">
            <v/>
          </cell>
          <cell r="L634" t="str">
            <v/>
          </cell>
          <cell r="M634" t="str">
            <v/>
          </cell>
        </row>
        <row r="635">
          <cell r="A635">
            <v>31102192</v>
          </cell>
          <cell r="C635">
            <v>31102192</v>
          </cell>
          <cell r="D635">
            <v>31102192</v>
          </cell>
          <cell r="E635">
            <v>31102192</v>
          </cell>
          <cell r="F635">
            <v>31102192</v>
          </cell>
          <cell r="G635">
            <v>31102192</v>
          </cell>
          <cell r="H635">
            <v>31102192</v>
          </cell>
          <cell r="I635" t="str">
            <v/>
          </cell>
          <cell r="J635" t="str">
            <v/>
          </cell>
          <cell r="K635" t="str">
            <v/>
          </cell>
          <cell r="L635" t="str">
            <v/>
          </cell>
          <cell r="M635" t="str">
            <v/>
          </cell>
        </row>
        <row r="636">
          <cell r="A636">
            <v>31102192</v>
          </cell>
          <cell r="C636">
            <v>31102192</v>
          </cell>
          <cell r="D636">
            <v>31102192</v>
          </cell>
          <cell r="E636">
            <v>31102192</v>
          </cell>
          <cell r="F636">
            <v>31102192</v>
          </cell>
          <cell r="G636">
            <v>31102192</v>
          </cell>
          <cell r="H636">
            <v>31102192</v>
          </cell>
          <cell r="I636" t="str">
            <v/>
          </cell>
          <cell r="J636" t="str">
            <v/>
          </cell>
          <cell r="K636" t="str">
            <v/>
          </cell>
          <cell r="L636" t="str">
            <v/>
          </cell>
          <cell r="M636" t="str">
            <v/>
          </cell>
        </row>
        <row r="637">
          <cell r="A637">
            <v>31102192</v>
          </cell>
          <cell r="C637">
            <v>31102192</v>
          </cell>
          <cell r="D637">
            <v>31102192</v>
          </cell>
          <cell r="E637">
            <v>31102192</v>
          </cell>
          <cell r="F637">
            <v>31102192</v>
          </cell>
          <cell r="G637">
            <v>31102192</v>
          </cell>
          <cell r="H637">
            <v>31102192</v>
          </cell>
          <cell r="I637" t="str">
            <v/>
          </cell>
          <cell r="J637" t="str">
            <v/>
          </cell>
          <cell r="K637" t="str">
            <v/>
          </cell>
          <cell r="L637" t="str">
            <v/>
          </cell>
          <cell r="M637" t="str">
            <v/>
          </cell>
        </row>
        <row r="638">
          <cell r="A638">
            <v>31102192</v>
          </cell>
          <cell r="C638">
            <v>31102192</v>
          </cell>
          <cell r="D638">
            <v>31102192</v>
          </cell>
          <cell r="E638">
            <v>31102192</v>
          </cell>
          <cell r="F638">
            <v>31102192</v>
          </cell>
          <cell r="G638">
            <v>31102192</v>
          </cell>
          <cell r="H638">
            <v>31102192</v>
          </cell>
          <cell r="I638" t="str">
            <v/>
          </cell>
          <cell r="J638" t="str">
            <v/>
          </cell>
          <cell r="K638" t="str">
            <v/>
          </cell>
          <cell r="L638" t="str">
            <v/>
          </cell>
          <cell r="M638" t="str">
            <v/>
          </cell>
        </row>
        <row r="639">
          <cell r="A639">
            <v>31102192</v>
          </cell>
          <cell r="C639">
            <v>31102192</v>
          </cell>
          <cell r="D639">
            <v>31102192</v>
          </cell>
          <cell r="E639">
            <v>31102192</v>
          </cell>
          <cell r="F639">
            <v>31102192</v>
          </cell>
          <cell r="G639">
            <v>31102192</v>
          </cell>
          <cell r="H639">
            <v>31102192</v>
          </cell>
          <cell r="I639" t="str">
            <v/>
          </cell>
          <cell r="J639" t="str">
            <v/>
          </cell>
          <cell r="K639" t="str">
            <v/>
          </cell>
          <cell r="L639" t="str">
            <v/>
          </cell>
          <cell r="M639" t="str">
            <v/>
          </cell>
        </row>
        <row r="640">
          <cell r="A640">
            <v>31102192</v>
          </cell>
          <cell r="C640">
            <v>31102192</v>
          </cell>
          <cell r="D640">
            <v>31102192</v>
          </cell>
          <cell r="E640">
            <v>31102192</v>
          </cell>
          <cell r="F640">
            <v>31102192</v>
          </cell>
          <cell r="G640">
            <v>31102192</v>
          </cell>
          <cell r="H640">
            <v>31102192</v>
          </cell>
          <cell r="I640" t="str">
            <v/>
          </cell>
          <cell r="J640" t="str">
            <v/>
          </cell>
          <cell r="K640" t="str">
            <v/>
          </cell>
          <cell r="L640" t="str">
            <v/>
          </cell>
          <cell r="M640" t="str">
            <v/>
          </cell>
        </row>
        <row r="641">
          <cell r="A641">
            <v>31102192</v>
          </cell>
          <cell r="C641">
            <v>31102192</v>
          </cell>
          <cell r="D641">
            <v>31102192</v>
          </cell>
          <cell r="E641">
            <v>31102192</v>
          </cell>
          <cell r="F641">
            <v>31102192</v>
          </cell>
          <cell r="G641">
            <v>31102192</v>
          </cell>
          <cell r="H641">
            <v>31102192</v>
          </cell>
          <cell r="I641" t="str">
            <v/>
          </cell>
          <cell r="J641" t="str">
            <v/>
          </cell>
          <cell r="K641" t="str">
            <v/>
          </cell>
          <cell r="L641" t="str">
            <v/>
          </cell>
          <cell r="M641" t="str">
            <v/>
          </cell>
        </row>
        <row r="642">
          <cell r="A642">
            <v>31102192</v>
          </cell>
          <cell r="C642">
            <v>31102192</v>
          </cell>
          <cell r="D642">
            <v>31102192</v>
          </cell>
          <cell r="E642">
            <v>31102192</v>
          </cell>
          <cell r="F642">
            <v>31102192</v>
          </cell>
          <cell r="G642">
            <v>31102192</v>
          </cell>
          <cell r="H642">
            <v>31102192</v>
          </cell>
          <cell r="I642" t="str">
            <v/>
          </cell>
          <cell r="J642" t="str">
            <v/>
          </cell>
          <cell r="K642" t="str">
            <v/>
          </cell>
          <cell r="L642" t="str">
            <v/>
          </cell>
          <cell r="M642" t="str">
            <v/>
          </cell>
        </row>
        <row r="643">
          <cell r="A643">
            <v>31102192</v>
          </cell>
          <cell r="C643">
            <v>31102192</v>
          </cell>
          <cell r="D643">
            <v>31102192</v>
          </cell>
          <cell r="E643">
            <v>31102192</v>
          </cell>
          <cell r="F643">
            <v>31102192</v>
          </cell>
          <cell r="G643">
            <v>31102192</v>
          </cell>
          <cell r="H643">
            <v>31102192</v>
          </cell>
          <cell r="I643" t="str">
            <v/>
          </cell>
          <cell r="J643" t="str">
            <v/>
          </cell>
          <cell r="K643" t="str">
            <v/>
          </cell>
          <cell r="L643" t="str">
            <v/>
          </cell>
          <cell r="M643" t="str">
            <v/>
          </cell>
        </row>
        <row r="644">
          <cell r="A644">
            <v>31102192</v>
          </cell>
          <cell r="C644">
            <v>31102192</v>
          </cell>
          <cell r="D644">
            <v>31102192</v>
          </cell>
          <cell r="E644">
            <v>31102192</v>
          </cell>
          <cell r="F644">
            <v>31102192</v>
          </cell>
          <cell r="G644">
            <v>31102192</v>
          </cell>
          <cell r="H644">
            <v>31102192</v>
          </cell>
          <cell r="I644" t="str">
            <v/>
          </cell>
          <cell r="J644" t="str">
            <v/>
          </cell>
          <cell r="K644" t="str">
            <v/>
          </cell>
          <cell r="L644" t="str">
            <v/>
          </cell>
          <cell r="M644" t="str">
            <v/>
          </cell>
        </row>
        <row r="645">
          <cell r="A645">
            <v>31102192</v>
          </cell>
          <cell r="C645">
            <v>31102192</v>
          </cell>
          <cell r="D645">
            <v>31102192</v>
          </cell>
          <cell r="E645">
            <v>31102192</v>
          </cell>
          <cell r="F645">
            <v>31102192</v>
          </cell>
          <cell r="G645">
            <v>31102192</v>
          </cell>
          <cell r="H645">
            <v>31102192</v>
          </cell>
          <cell r="I645" t="str">
            <v/>
          </cell>
          <cell r="J645" t="str">
            <v/>
          </cell>
          <cell r="K645" t="str">
            <v/>
          </cell>
          <cell r="L645" t="str">
            <v/>
          </cell>
          <cell r="M645" t="str">
            <v/>
          </cell>
        </row>
        <row r="646">
          <cell r="A646">
            <v>31102192</v>
          </cell>
          <cell r="C646">
            <v>31102192</v>
          </cell>
          <cell r="D646">
            <v>31102192</v>
          </cell>
          <cell r="E646">
            <v>31102192</v>
          </cell>
          <cell r="F646">
            <v>31102192</v>
          </cell>
          <cell r="G646">
            <v>31102192</v>
          </cell>
          <cell r="H646">
            <v>31102192</v>
          </cell>
          <cell r="I646" t="str">
            <v/>
          </cell>
          <cell r="J646" t="str">
            <v/>
          </cell>
          <cell r="K646" t="str">
            <v/>
          </cell>
          <cell r="L646" t="str">
            <v/>
          </cell>
          <cell r="M646" t="str">
            <v/>
          </cell>
        </row>
        <row r="647">
          <cell r="A647">
            <v>31102192</v>
          </cell>
          <cell r="C647">
            <v>31102192</v>
          </cell>
          <cell r="D647">
            <v>31102192</v>
          </cell>
          <cell r="E647">
            <v>31102192</v>
          </cell>
          <cell r="F647">
            <v>31102192</v>
          </cell>
          <cell r="G647">
            <v>31102192</v>
          </cell>
          <cell r="H647">
            <v>31102192</v>
          </cell>
          <cell r="I647" t="str">
            <v/>
          </cell>
          <cell r="J647" t="str">
            <v/>
          </cell>
          <cell r="K647" t="str">
            <v/>
          </cell>
          <cell r="L647" t="str">
            <v/>
          </cell>
          <cell r="M647" t="str">
            <v/>
          </cell>
        </row>
        <row r="648">
          <cell r="A648">
            <v>31102192</v>
          </cell>
          <cell r="C648">
            <v>31102192</v>
          </cell>
          <cell r="D648">
            <v>31102192</v>
          </cell>
          <cell r="E648">
            <v>31102192</v>
          </cell>
          <cell r="F648">
            <v>31102192</v>
          </cell>
          <cell r="G648">
            <v>31102192</v>
          </cell>
          <cell r="H648">
            <v>31102192</v>
          </cell>
          <cell r="I648" t="str">
            <v/>
          </cell>
          <cell r="J648" t="str">
            <v/>
          </cell>
          <cell r="K648" t="str">
            <v/>
          </cell>
          <cell r="L648" t="str">
            <v/>
          </cell>
          <cell r="M648" t="str">
            <v/>
          </cell>
        </row>
        <row r="649">
          <cell r="A649">
            <v>31102192</v>
          </cell>
          <cell r="C649">
            <v>31102192</v>
          </cell>
          <cell r="D649">
            <v>31102192</v>
          </cell>
          <cell r="E649">
            <v>31102192</v>
          </cell>
          <cell r="F649">
            <v>31102192</v>
          </cell>
          <cell r="G649">
            <v>31102192</v>
          </cell>
          <cell r="H649">
            <v>31102192</v>
          </cell>
          <cell r="I649" t="str">
            <v/>
          </cell>
          <cell r="J649" t="str">
            <v/>
          </cell>
          <cell r="K649" t="str">
            <v/>
          </cell>
          <cell r="L649" t="str">
            <v/>
          </cell>
          <cell r="M649" t="str">
            <v/>
          </cell>
        </row>
        <row r="650">
          <cell r="A650">
            <v>31102192</v>
          </cell>
          <cell r="C650">
            <v>31102192</v>
          </cell>
          <cell r="D650">
            <v>31102192</v>
          </cell>
          <cell r="E650">
            <v>31102192</v>
          </cell>
          <cell r="F650">
            <v>31102192</v>
          </cell>
          <cell r="G650">
            <v>31102192</v>
          </cell>
          <cell r="H650">
            <v>31102192</v>
          </cell>
          <cell r="I650" t="str">
            <v/>
          </cell>
          <cell r="J650" t="str">
            <v/>
          </cell>
          <cell r="K650" t="str">
            <v/>
          </cell>
          <cell r="L650" t="str">
            <v/>
          </cell>
          <cell r="M650" t="str">
            <v/>
          </cell>
        </row>
        <row r="651">
          <cell r="A651">
            <v>31102192</v>
          </cell>
          <cell r="C651">
            <v>31102192</v>
          </cell>
          <cell r="D651">
            <v>31102192</v>
          </cell>
          <cell r="E651">
            <v>31102192</v>
          </cell>
          <cell r="F651">
            <v>31102192</v>
          </cell>
          <cell r="G651">
            <v>31102192</v>
          </cell>
          <cell r="H651">
            <v>31102192</v>
          </cell>
          <cell r="I651" t="str">
            <v/>
          </cell>
          <cell r="J651" t="str">
            <v/>
          </cell>
          <cell r="K651" t="str">
            <v/>
          </cell>
          <cell r="L651" t="str">
            <v/>
          </cell>
          <cell r="M651" t="str">
            <v/>
          </cell>
        </row>
        <row r="652">
          <cell r="A652">
            <v>31102192</v>
          </cell>
          <cell r="C652">
            <v>31102192</v>
          </cell>
          <cell r="D652">
            <v>31102192</v>
          </cell>
          <cell r="E652">
            <v>31102192</v>
          </cell>
          <cell r="F652">
            <v>31102192</v>
          </cell>
          <cell r="G652">
            <v>31102192</v>
          </cell>
          <cell r="H652">
            <v>31102192</v>
          </cell>
          <cell r="I652" t="str">
            <v/>
          </cell>
          <cell r="J652" t="str">
            <v/>
          </cell>
          <cell r="K652" t="str">
            <v/>
          </cell>
          <cell r="L652" t="str">
            <v/>
          </cell>
          <cell r="M652" t="str">
            <v/>
          </cell>
        </row>
        <row r="653">
          <cell r="A653">
            <v>31102192</v>
          </cell>
          <cell r="C653">
            <v>31102192</v>
          </cell>
          <cell r="D653">
            <v>31102192</v>
          </cell>
          <cell r="E653">
            <v>31102192</v>
          </cell>
          <cell r="F653">
            <v>31102192</v>
          </cell>
          <cell r="G653">
            <v>31102192</v>
          </cell>
          <cell r="H653">
            <v>31102192</v>
          </cell>
          <cell r="I653" t="str">
            <v/>
          </cell>
          <cell r="J653" t="str">
            <v/>
          </cell>
          <cell r="K653" t="str">
            <v/>
          </cell>
          <cell r="L653" t="str">
            <v/>
          </cell>
          <cell r="M653" t="str">
            <v/>
          </cell>
        </row>
        <row r="654">
          <cell r="A654">
            <v>31102192</v>
          </cell>
          <cell r="C654">
            <v>31102192</v>
          </cell>
          <cell r="D654">
            <v>31102192</v>
          </cell>
          <cell r="E654">
            <v>31102192</v>
          </cell>
          <cell r="F654">
            <v>31102192</v>
          </cell>
          <cell r="G654">
            <v>31102192</v>
          </cell>
          <cell r="H654">
            <v>31102192</v>
          </cell>
          <cell r="I654" t="str">
            <v/>
          </cell>
          <cell r="J654" t="str">
            <v/>
          </cell>
          <cell r="K654" t="str">
            <v/>
          </cell>
          <cell r="L654" t="str">
            <v/>
          </cell>
          <cell r="M654" t="str">
            <v/>
          </cell>
        </row>
        <row r="655">
          <cell r="A655">
            <v>31102192</v>
          </cell>
          <cell r="C655">
            <v>31102192</v>
          </cell>
          <cell r="D655">
            <v>31102192</v>
          </cell>
          <cell r="E655">
            <v>31102192</v>
          </cell>
          <cell r="F655">
            <v>31102192</v>
          </cell>
          <cell r="G655">
            <v>31102192</v>
          </cell>
          <cell r="H655">
            <v>31102192</v>
          </cell>
          <cell r="I655" t="str">
            <v/>
          </cell>
          <cell r="J655" t="str">
            <v/>
          </cell>
          <cell r="K655" t="str">
            <v/>
          </cell>
          <cell r="L655" t="str">
            <v/>
          </cell>
          <cell r="M655" t="str">
            <v/>
          </cell>
        </row>
        <row r="656">
          <cell r="A656">
            <v>31102192</v>
          </cell>
          <cell r="C656">
            <v>31102192</v>
          </cell>
          <cell r="D656">
            <v>31102192</v>
          </cell>
          <cell r="E656">
            <v>31102192</v>
          </cell>
          <cell r="F656">
            <v>31102192</v>
          </cell>
          <cell r="G656">
            <v>31102192</v>
          </cell>
          <cell r="H656">
            <v>31102192</v>
          </cell>
          <cell r="I656" t="str">
            <v/>
          </cell>
          <cell r="J656" t="str">
            <v/>
          </cell>
          <cell r="K656" t="str">
            <v/>
          </cell>
          <cell r="L656" t="str">
            <v/>
          </cell>
          <cell r="M656" t="str">
            <v/>
          </cell>
        </row>
        <row r="657">
          <cell r="A657">
            <v>31102192</v>
          </cell>
          <cell r="C657">
            <v>31102192</v>
          </cell>
          <cell r="D657">
            <v>31102192</v>
          </cell>
          <cell r="E657">
            <v>31102192</v>
          </cell>
          <cell r="F657">
            <v>31102192</v>
          </cell>
          <cell r="G657">
            <v>31102192</v>
          </cell>
          <cell r="H657">
            <v>31102192</v>
          </cell>
          <cell r="I657" t="str">
            <v/>
          </cell>
          <cell r="J657" t="str">
            <v/>
          </cell>
          <cell r="K657" t="str">
            <v/>
          </cell>
          <cell r="L657" t="str">
            <v/>
          </cell>
          <cell r="M657" t="str">
            <v/>
          </cell>
        </row>
        <row r="658">
          <cell r="A658">
            <v>31102192</v>
          </cell>
          <cell r="C658">
            <v>31102192</v>
          </cell>
          <cell r="D658">
            <v>31102192</v>
          </cell>
          <cell r="E658">
            <v>31102192</v>
          </cell>
          <cell r="F658">
            <v>31102192</v>
          </cell>
          <cell r="G658">
            <v>31102192</v>
          </cell>
          <cell r="H658">
            <v>31102192</v>
          </cell>
          <cell r="I658" t="str">
            <v/>
          </cell>
          <cell r="J658" t="str">
            <v/>
          </cell>
          <cell r="K658" t="str">
            <v/>
          </cell>
          <cell r="L658" t="str">
            <v/>
          </cell>
          <cell r="M658" t="str">
            <v/>
          </cell>
        </row>
        <row r="659">
          <cell r="A659">
            <v>31102192</v>
          </cell>
          <cell r="C659">
            <v>31102192</v>
          </cell>
          <cell r="D659">
            <v>31102192</v>
          </cell>
          <cell r="E659">
            <v>31102192</v>
          </cell>
          <cell r="F659">
            <v>31102192</v>
          </cell>
          <cell r="G659">
            <v>31102192</v>
          </cell>
          <cell r="H659">
            <v>31102192</v>
          </cell>
          <cell r="I659" t="str">
            <v/>
          </cell>
          <cell r="J659" t="str">
            <v/>
          </cell>
          <cell r="K659" t="str">
            <v/>
          </cell>
          <cell r="L659" t="str">
            <v/>
          </cell>
          <cell r="M659" t="str">
            <v/>
          </cell>
        </row>
        <row r="660">
          <cell r="A660">
            <v>31102192</v>
          </cell>
          <cell r="C660">
            <v>31102192</v>
          </cell>
          <cell r="D660">
            <v>31102192</v>
          </cell>
          <cell r="E660">
            <v>31102192</v>
          </cell>
          <cell r="F660">
            <v>31102192</v>
          </cell>
          <cell r="G660">
            <v>31102192</v>
          </cell>
          <cell r="H660">
            <v>31102192</v>
          </cell>
          <cell r="I660" t="str">
            <v/>
          </cell>
          <cell r="J660" t="str">
            <v/>
          </cell>
          <cell r="K660" t="str">
            <v/>
          </cell>
          <cell r="L660" t="str">
            <v/>
          </cell>
          <cell r="M660" t="str">
            <v/>
          </cell>
        </row>
        <row r="661">
          <cell r="A661">
            <v>31102192</v>
          </cell>
          <cell r="C661">
            <v>31102192</v>
          </cell>
          <cell r="D661">
            <v>31102192</v>
          </cell>
          <cell r="E661">
            <v>31102192</v>
          </cell>
          <cell r="F661">
            <v>31102192</v>
          </cell>
          <cell r="G661">
            <v>31102192</v>
          </cell>
          <cell r="H661">
            <v>31102192</v>
          </cell>
          <cell r="I661" t="str">
            <v/>
          </cell>
          <cell r="J661" t="str">
            <v/>
          </cell>
          <cell r="K661" t="str">
            <v/>
          </cell>
          <cell r="L661" t="str">
            <v/>
          </cell>
          <cell r="M661" t="str">
            <v/>
          </cell>
        </row>
        <row r="662">
          <cell r="A662">
            <v>31102192</v>
          </cell>
          <cell r="C662">
            <v>31102192</v>
          </cell>
          <cell r="D662">
            <v>31102192</v>
          </cell>
          <cell r="E662">
            <v>31102192</v>
          </cell>
          <cell r="F662">
            <v>31102192</v>
          </cell>
          <cell r="G662">
            <v>31102192</v>
          </cell>
          <cell r="H662">
            <v>31102192</v>
          </cell>
          <cell r="I662" t="str">
            <v/>
          </cell>
          <cell r="J662" t="str">
            <v/>
          </cell>
          <cell r="K662" t="str">
            <v/>
          </cell>
          <cell r="L662" t="str">
            <v/>
          </cell>
          <cell r="M662" t="str">
            <v/>
          </cell>
        </row>
        <row r="663">
          <cell r="A663">
            <v>31102192</v>
          </cell>
          <cell r="C663">
            <v>31102192</v>
          </cell>
          <cell r="D663">
            <v>31102192</v>
          </cell>
          <cell r="E663">
            <v>31102192</v>
          </cell>
          <cell r="F663">
            <v>31102192</v>
          </cell>
          <cell r="G663">
            <v>31102192</v>
          </cell>
          <cell r="H663">
            <v>31102192</v>
          </cell>
          <cell r="I663" t="str">
            <v/>
          </cell>
          <cell r="J663" t="str">
            <v/>
          </cell>
          <cell r="K663" t="str">
            <v/>
          </cell>
          <cell r="L663" t="str">
            <v/>
          </cell>
          <cell r="M663" t="str">
            <v/>
          </cell>
        </row>
        <row r="664">
          <cell r="A664">
            <v>31102192</v>
          </cell>
          <cell r="C664">
            <v>31102192</v>
          </cell>
          <cell r="D664">
            <v>31102192</v>
          </cell>
          <cell r="E664">
            <v>31102192</v>
          </cell>
          <cell r="F664">
            <v>31102192</v>
          </cell>
          <cell r="G664">
            <v>31102192</v>
          </cell>
          <cell r="H664">
            <v>31102192</v>
          </cell>
          <cell r="I664" t="str">
            <v/>
          </cell>
          <cell r="J664" t="str">
            <v/>
          </cell>
          <cell r="K664" t="str">
            <v/>
          </cell>
          <cell r="L664" t="str">
            <v/>
          </cell>
          <cell r="M664" t="str">
            <v/>
          </cell>
        </row>
        <row r="665">
          <cell r="A665">
            <v>31102192</v>
          </cell>
          <cell r="C665">
            <v>31102192</v>
          </cell>
          <cell r="D665">
            <v>31102192</v>
          </cell>
          <cell r="E665">
            <v>31102192</v>
          </cell>
          <cell r="F665">
            <v>31102192</v>
          </cell>
          <cell r="G665">
            <v>31102192</v>
          </cell>
          <cell r="H665">
            <v>31102192</v>
          </cell>
          <cell r="I665" t="str">
            <v/>
          </cell>
          <cell r="J665" t="str">
            <v/>
          </cell>
          <cell r="K665" t="str">
            <v/>
          </cell>
          <cell r="L665" t="str">
            <v/>
          </cell>
          <cell r="M665" t="str">
            <v/>
          </cell>
        </row>
        <row r="666">
          <cell r="A666">
            <v>31102192</v>
          </cell>
          <cell r="C666">
            <v>31102192</v>
          </cell>
          <cell r="D666">
            <v>31102192</v>
          </cell>
          <cell r="E666">
            <v>31102192</v>
          </cell>
          <cell r="F666">
            <v>31102192</v>
          </cell>
          <cell r="G666">
            <v>31102192</v>
          </cell>
          <cell r="H666">
            <v>31102192</v>
          </cell>
          <cell r="I666" t="str">
            <v/>
          </cell>
          <cell r="J666" t="str">
            <v/>
          </cell>
          <cell r="K666" t="str">
            <v/>
          </cell>
          <cell r="L666" t="str">
            <v/>
          </cell>
          <cell r="M666" t="str">
            <v/>
          </cell>
        </row>
        <row r="667">
          <cell r="A667">
            <v>31102192</v>
          </cell>
          <cell r="C667">
            <v>31102192</v>
          </cell>
          <cell r="D667">
            <v>31102192</v>
          </cell>
          <cell r="E667">
            <v>31102192</v>
          </cell>
          <cell r="F667">
            <v>31102192</v>
          </cell>
          <cell r="G667">
            <v>31102192</v>
          </cell>
          <cell r="H667">
            <v>31102192</v>
          </cell>
          <cell r="I667" t="str">
            <v/>
          </cell>
          <cell r="J667" t="str">
            <v/>
          </cell>
          <cell r="K667" t="str">
            <v/>
          </cell>
          <cell r="L667" t="str">
            <v/>
          </cell>
          <cell r="M667" t="str">
            <v/>
          </cell>
        </row>
        <row r="668">
          <cell r="A668">
            <v>31102192</v>
          </cell>
          <cell r="C668">
            <v>31102192</v>
          </cell>
          <cell r="D668">
            <v>31102192</v>
          </cell>
          <cell r="E668">
            <v>31102192</v>
          </cell>
          <cell r="F668">
            <v>31102192</v>
          </cell>
          <cell r="G668">
            <v>31102192</v>
          </cell>
          <cell r="H668">
            <v>31102192</v>
          </cell>
          <cell r="I668" t="str">
            <v/>
          </cell>
          <cell r="J668" t="str">
            <v/>
          </cell>
          <cell r="K668" t="str">
            <v/>
          </cell>
          <cell r="L668" t="str">
            <v/>
          </cell>
          <cell r="M668" t="str">
            <v/>
          </cell>
        </row>
        <row r="669">
          <cell r="A669">
            <v>31102192</v>
          </cell>
          <cell r="C669">
            <v>31102192</v>
          </cell>
          <cell r="D669">
            <v>31102192</v>
          </cell>
          <cell r="E669">
            <v>31102192</v>
          </cell>
          <cell r="F669">
            <v>31102192</v>
          </cell>
          <cell r="G669">
            <v>31102192</v>
          </cell>
          <cell r="H669">
            <v>31102192</v>
          </cell>
          <cell r="I669" t="str">
            <v/>
          </cell>
          <cell r="J669" t="str">
            <v/>
          </cell>
          <cell r="K669" t="str">
            <v/>
          </cell>
          <cell r="L669" t="str">
            <v/>
          </cell>
          <cell r="M669" t="str">
            <v/>
          </cell>
        </row>
        <row r="670">
          <cell r="A670">
            <v>31102192</v>
          </cell>
          <cell r="C670">
            <v>31102192</v>
          </cell>
          <cell r="D670">
            <v>31102192</v>
          </cell>
          <cell r="E670">
            <v>31102192</v>
          </cell>
          <cell r="F670">
            <v>31102192</v>
          </cell>
          <cell r="G670">
            <v>31102192</v>
          </cell>
          <cell r="H670">
            <v>31102192</v>
          </cell>
          <cell r="I670" t="str">
            <v/>
          </cell>
          <cell r="J670" t="str">
            <v/>
          </cell>
          <cell r="K670" t="str">
            <v/>
          </cell>
          <cell r="L670" t="str">
            <v/>
          </cell>
          <cell r="M670" t="str">
            <v/>
          </cell>
        </row>
        <row r="671">
          <cell r="A671">
            <v>31102192</v>
          </cell>
          <cell r="C671">
            <v>31102192</v>
          </cell>
          <cell r="D671">
            <v>31102192</v>
          </cell>
          <cell r="E671">
            <v>31102192</v>
          </cell>
          <cell r="F671">
            <v>31102192</v>
          </cell>
          <cell r="G671">
            <v>31102192</v>
          </cell>
          <cell r="H671">
            <v>31102192</v>
          </cell>
          <cell r="I671" t="str">
            <v/>
          </cell>
          <cell r="J671" t="str">
            <v/>
          </cell>
          <cell r="K671" t="str">
            <v/>
          </cell>
          <cell r="L671" t="str">
            <v/>
          </cell>
          <cell r="M671" t="str">
            <v/>
          </cell>
        </row>
        <row r="672">
          <cell r="A672">
            <v>31102192</v>
          </cell>
          <cell r="C672">
            <v>31102192</v>
          </cell>
          <cell r="D672">
            <v>31102192</v>
          </cell>
          <cell r="E672">
            <v>31102192</v>
          </cell>
          <cell r="F672">
            <v>31102192</v>
          </cell>
          <cell r="G672">
            <v>31102192</v>
          </cell>
          <cell r="H672">
            <v>31102192</v>
          </cell>
          <cell r="I672" t="str">
            <v/>
          </cell>
          <cell r="J672" t="str">
            <v/>
          </cell>
          <cell r="K672" t="str">
            <v/>
          </cell>
          <cell r="L672" t="str">
            <v/>
          </cell>
          <cell r="M672" t="str">
            <v/>
          </cell>
        </row>
        <row r="673">
          <cell r="A673">
            <v>31102192</v>
          </cell>
          <cell r="C673">
            <v>31102192</v>
          </cell>
          <cell r="D673">
            <v>31102192</v>
          </cell>
          <cell r="E673">
            <v>31102192</v>
          </cell>
          <cell r="F673">
            <v>31102192</v>
          </cell>
          <cell r="G673">
            <v>31102192</v>
          </cell>
          <cell r="H673">
            <v>31102192</v>
          </cell>
          <cell r="I673" t="str">
            <v/>
          </cell>
          <cell r="J673" t="str">
            <v/>
          </cell>
          <cell r="K673" t="str">
            <v/>
          </cell>
          <cell r="L673" t="str">
            <v/>
          </cell>
          <cell r="M673" t="str">
            <v/>
          </cell>
        </row>
        <row r="674">
          <cell r="A674">
            <v>31102192</v>
          </cell>
          <cell r="C674">
            <v>31102192</v>
          </cell>
          <cell r="D674">
            <v>31102192</v>
          </cell>
          <cell r="E674">
            <v>31102192</v>
          </cell>
          <cell r="F674">
            <v>31102192</v>
          </cell>
          <cell r="G674">
            <v>31102192</v>
          </cell>
          <cell r="H674">
            <v>31102192</v>
          </cell>
          <cell r="I674" t="str">
            <v/>
          </cell>
          <cell r="J674" t="str">
            <v/>
          </cell>
          <cell r="K674" t="str">
            <v/>
          </cell>
          <cell r="L674" t="str">
            <v/>
          </cell>
          <cell r="M674" t="str">
            <v/>
          </cell>
        </row>
        <row r="675">
          <cell r="A675">
            <v>31102192</v>
          </cell>
          <cell r="C675">
            <v>31102192</v>
          </cell>
          <cell r="D675">
            <v>31102192</v>
          </cell>
          <cell r="E675">
            <v>31102192</v>
          </cell>
          <cell r="F675">
            <v>31102192</v>
          </cell>
          <cell r="G675">
            <v>31102192</v>
          </cell>
          <cell r="H675">
            <v>31102192</v>
          </cell>
          <cell r="I675" t="str">
            <v/>
          </cell>
          <cell r="J675" t="str">
            <v/>
          </cell>
          <cell r="K675" t="str">
            <v/>
          </cell>
          <cell r="L675" t="str">
            <v/>
          </cell>
          <cell r="M675" t="str">
            <v/>
          </cell>
        </row>
        <row r="676">
          <cell r="A676">
            <v>31102192</v>
          </cell>
          <cell r="C676">
            <v>31102192</v>
          </cell>
          <cell r="D676">
            <v>31102192</v>
          </cell>
          <cell r="E676">
            <v>31102192</v>
          </cell>
          <cell r="F676">
            <v>31102192</v>
          </cell>
          <cell r="G676">
            <v>31102192</v>
          </cell>
          <cell r="H676">
            <v>31102192</v>
          </cell>
          <cell r="I676" t="str">
            <v/>
          </cell>
          <cell r="J676" t="str">
            <v/>
          </cell>
          <cell r="K676" t="str">
            <v/>
          </cell>
          <cell r="L676" t="str">
            <v/>
          </cell>
          <cell r="M676" t="str">
            <v/>
          </cell>
        </row>
        <row r="677">
          <cell r="A677">
            <v>31102192</v>
          </cell>
          <cell r="C677">
            <v>31102192</v>
          </cell>
          <cell r="D677">
            <v>31102192</v>
          </cell>
          <cell r="E677">
            <v>31102192</v>
          </cell>
          <cell r="F677">
            <v>31102192</v>
          </cell>
          <cell r="G677">
            <v>31102192</v>
          </cell>
          <cell r="H677">
            <v>31102192</v>
          </cell>
          <cell r="I677" t="str">
            <v/>
          </cell>
          <cell r="J677" t="str">
            <v/>
          </cell>
          <cell r="K677" t="str">
            <v/>
          </cell>
          <cell r="L677" t="str">
            <v/>
          </cell>
          <cell r="M677" t="str">
            <v/>
          </cell>
        </row>
        <row r="678">
          <cell r="A678">
            <v>31102192</v>
          </cell>
          <cell r="C678">
            <v>31102192</v>
          </cell>
          <cell r="D678">
            <v>31102192</v>
          </cell>
          <cell r="E678">
            <v>31102192</v>
          </cell>
          <cell r="F678">
            <v>31102192</v>
          </cell>
          <cell r="G678">
            <v>31102192</v>
          </cell>
          <cell r="H678">
            <v>31102192</v>
          </cell>
          <cell r="I678" t="str">
            <v/>
          </cell>
          <cell r="J678" t="str">
            <v/>
          </cell>
          <cell r="K678" t="str">
            <v/>
          </cell>
          <cell r="L678" t="str">
            <v/>
          </cell>
          <cell r="M678" t="str">
            <v/>
          </cell>
        </row>
        <row r="679">
          <cell r="A679">
            <v>31102192</v>
          </cell>
          <cell r="C679">
            <v>31102192</v>
          </cell>
          <cell r="D679">
            <v>31102192</v>
          </cell>
          <cell r="E679">
            <v>31102192</v>
          </cell>
          <cell r="F679">
            <v>31102192</v>
          </cell>
          <cell r="G679">
            <v>31102192</v>
          </cell>
          <cell r="H679">
            <v>31102192</v>
          </cell>
          <cell r="I679" t="str">
            <v/>
          </cell>
          <cell r="J679" t="str">
            <v/>
          </cell>
          <cell r="K679" t="str">
            <v/>
          </cell>
          <cell r="L679" t="str">
            <v/>
          </cell>
          <cell r="M679" t="str">
            <v/>
          </cell>
        </row>
        <row r="680">
          <cell r="A680">
            <v>31102192</v>
          </cell>
          <cell r="C680">
            <v>31102192</v>
          </cell>
          <cell r="D680">
            <v>31102192</v>
          </cell>
          <cell r="E680">
            <v>31102192</v>
          </cell>
          <cell r="F680">
            <v>31102192</v>
          </cell>
          <cell r="G680">
            <v>31102192</v>
          </cell>
          <cell r="H680">
            <v>31102192</v>
          </cell>
          <cell r="I680" t="str">
            <v/>
          </cell>
          <cell r="J680" t="str">
            <v/>
          </cell>
          <cell r="K680" t="str">
            <v/>
          </cell>
          <cell r="L680" t="str">
            <v/>
          </cell>
          <cell r="M680" t="str">
            <v/>
          </cell>
        </row>
        <row r="681">
          <cell r="A681">
            <v>31102192</v>
          </cell>
          <cell r="C681">
            <v>31102192</v>
          </cell>
          <cell r="D681">
            <v>31102192</v>
          </cell>
          <cell r="E681">
            <v>31102192</v>
          </cell>
          <cell r="F681">
            <v>31102192</v>
          </cell>
          <cell r="G681">
            <v>31102192</v>
          </cell>
          <cell r="H681">
            <v>31102192</v>
          </cell>
          <cell r="I681" t="str">
            <v/>
          </cell>
          <cell r="J681" t="str">
            <v/>
          </cell>
          <cell r="K681" t="str">
            <v/>
          </cell>
          <cell r="L681" t="str">
            <v/>
          </cell>
          <cell r="M681" t="str">
            <v/>
          </cell>
        </row>
        <row r="682">
          <cell r="A682">
            <v>31102192</v>
          </cell>
          <cell r="C682">
            <v>31102192</v>
          </cell>
          <cell r="D682">
            <v>31102192</v>
          </cell>
          <cell r="E682">
            <v>31102192</v>
          </cell>
          <cell r="F682">
            <v>31102192</v>
          </cell>
          <cell r="G682">
            <v>31102192</v>
          </cell>
          <cell r="H682">
            <v>31102192</v>
          </cell>
          <cell r="I682" t="str">
            <v/>
          </cell>
          <cell r="J682" t="str">
            <v/>
          </cell>
          <cell r="K682" t="str">
            <v/>
          </cell>
          <cell r="L682" t="str">
            <v/>
          </cell>
          <cell r="M682" t="str">
            <v/>
          </cell>
        </row>
        <row r="683">
          <cell r="A683">
            <v>31102192</v>
          </cell>
          <cell r="C683">
            <v>31102192</v>
          </cell>
          <cell r="D683">
            <v>31102192</v>
          </cell>
          <cell r="E683">
            <v>31102192</v>
          </cell>
          <cell r="F683">
            <v>31102192</v>
          </cell>
          <cell r="G683">
            <v>31102192</v>
          </cell>
          <cell r="H683">
            <v>31102192</v>
          </cell>
          <cell r="I683" t="str">
            <v/>
          </cell>
          <cell r="J683" t="str">
            <v/>
          </cell>
          <cell r="K683" t="str">
            <v/>
          </cell>
          <cell r="L683" t="str">
            <v/>
          </cell>
          <cell r="M683" t="str">
            <v/>
          </cell>
        </row>
        <row r="684">
          <cell r="A684">
            <v>31102192</v>
          </cell>
          <cell r="C684">
            <v>31102192</v>
          </cell>
          <cell r="D684">
            <v>31102192</v>
          </cell>
          <cell r="E684">
            <v>31102192</v>
          </cell>
          <cell r="F684">
            <v>31102192</v>
          </cell>
          <cell r="G684">
            <v>31102192</v>
          </cell>
          <cell r="H684">
            <v>31102192</v>
          </cell>
          <cell r="I684" t="str">
            <v/>
          </cell>
          <cell r="J684" t="str">
            <v/>
          </cell>
          <cell r="K684" t="str">
            <v/>
          </cell>
          <cell r="L684" t="str">
            <v/>
          </cell>
          <cell r="M684" t="str">
            <v/>
          </cell>
        </row>
        <row r="685">
          <cell r="A685">
            <v>31102192</v>
          </cell>
          <cell r="C685">
            <v>31102192</v>
          </cell>
          <cell r="D685">
            <v>31102192</v>
          </cell>
          <cell r="E685">
            <v>31102192</v>
          </cell>
          <cell r="F685">
            <v>31102192</v>
          </cell>
          <cell r="G685">
            <v>31102192</v>
          </cell>
          <cell r="H685">
            <v>31102192</v>
          </cell>
          <cell r="I685" t="str">
            <v/>
          </cell>
          <cell r="J685" t="str">
            <v/>
          </cell>
          <cell r="K685" t="str">
            <v/>
          </cell>
          <cell r="L685" t="str">
            <v/>
          </cell>
          <cell r="M685" t="str">
            <v/>
          </cell>
        </row>
        <row r="686">
          <cell r="A686">
            <v>31102192</v>
          </cell>
          <cell r="C686">
            <v>31102192</v>
          </cell>
          <cell r="D686">
            <v>31102192</v>
          </cell>
          <cell r="E686">
            <v>31102192</v>
          </cell>
          <cell r="F686">
            <v>31102192</v>
          </cell>
          <cell r="G686">
            <v>31102192</v>
          </cell>
          <cell r="H686">
            <v>31102192</v>
          </cell>
          <cell r="I686" t="str">
            <v/>
          </cell>
          <cell r="J686" t="str">
            <v/>
          </cell>
          <cell r="K686" t="str">
            <v/>
          </cell>
          <cell r="L686" t="str">
            <v/>
          </cell>
          <cell r="M686" t="str">
            <v/>
          </cell>
        </row>
        <row r="687">
          <cell r="A687">
            <v>31102192</v>
          </cell>
          <cell r="C687">
            <v>31102192</v>
          </cell>
          <cell r="D687">
            <v>31102192</v>
          </cell>
          <cell r="E687">
            <v>31102192</v>
          </cell>
          <cell r="F687">
            <v>31102192</v>
          </cell>
          <cell r="G687">
            <v>31102192</v>
          </cell>
          <cell r="H687">
            <v>31102192</v>
          </cell>
          <cell r="I687" t="str">
            <v/>
          </cell>
          <cell r="J687" t="str">
            <v/>
          </cell>
          <cell r="K687" t="str">
            <v/>
          </cell>
          <cell r="L687" t="str">
            <v/>
          </cell>
          <cell r="M687" t="str">
            <v/>
          </cell>
        </row>
        <row r="688">
          <cell r="A688">
            <v>31102192</v>
          </cell>
          <cell r="C688">
            <v>31102192</v>
          </cell>
          <cell r="D688">
            <v>31102192</v>
          </cell>
          <cell r="E688">
            <v>31102192</v>
          </cell>
          <cell r="F688">
            <v>31102192</v>
          </cell>
          <cell r="G688">
            <v>31102192</v>
          </cell>
          <cell r="H688">
            <v>31102192</v>
          </cell>
          <cell r="I688" t="str">
            <v/>
          </cell>
          <cell r="J688" t="str">
            <v/>
          </cell>
          <cell r="K688" t="str">
            <v/>
          </cell>
          <cell r="L688" t="str">
            <v/>
          </cell>
          <cell r="M688" t="str">
            <v/>
          </cell>
        </row>
        <row r="689">
          <cell r="A689">
            <v>31102192</v>
          </cell>
          <cell r="C689">
            <v>31102192</v>
          </cell>
          <cell r="D689">
            <v>31102192</v>
          </cell>
          <cell r="E689">
            <v>31102192</v>
          </cell>
          <cell r="F689">
            <v>31102192</v>
          </cell>
          <cell r="G689">
            <v>31102192</v>
          </cell>
          <cell r="H689">
            <v>31102192</v>
          </cell>
          <cell r="I689" t="str">
            <v/>
          </cell>
          <cell r="J689" t="str">
            <v/>
          </cell>
          <cell r="K689" t="str">
            <v/>
          </cell>
          <cell r="L689" t="str">
            <v/>
          </cell>
          <cell r="M689" t="str">
            <v/>
          </cell>
        </row>
        <row r="690">
          <cell r="A690">
            <v>31102192</v>
          </cell>
          <cell r="C690">
            <v>31102192</v>
          </cell>
          <cell r="D690">
            <v>31102192</v>
          </cell>
          <cell r="E690">
            <v>31102192</v>
          </cell>
          <cell r="F690">
            <v>31102192</v>
          </cell>
          <cell r="G690">
            <v>31102192</v>
          </cell>
          <cell r="H690">
            <v>31102192</v>
          </cell>
          <cell r="I690" t="str">
            <v/>
          </cell>
          <cell r="J690" t="str">
            <v/>
          </cell>
          <cell r="K690" t="str">
            <v/>
          </cell>
          <cell r="L690" t="str">
            <v/>
          </cell>
          <cell r="M690" t="str">
            <v/>
          </cell>
        </row>
        <row r="691">
          <cell r="A691">
            <v>31102192</v>
          </cell>
          <cell r="C691">
            <v>31102192</v>
          </cell>
          <cell r="D691">
            <v>31102192</v>
          </cell>
          <cell r="E691">
            <v>31102192</v>
          </cell>
          <cell r="F691">
            <v>31102192</v>
          </cell>
          <cell r="G691">
            <v>31102192</v>
          </cell>
          <cell r="H691">
            <v>31102192</v>
          </cell>
          <cell r="I691" t="str">
            <v/>
          </cell>
          <cell r="J691" t="str">
            <v/>
          </cell>
          <cell r="K691" t="str">
            <v/>
          </cell>
          <cell r="L691" t="str">
            <v/>
          </cell>
          <cell r="M691" t="str">
            <v/>
          </cell>
        </row>
        <row r="692">
          <cell r="A692">
            <v>31102192</v>
          </cell>
          <cell r="C692">
            <v>31102192</v>
          </cell>
          <cell r="D692">
            <v>31102192</v>
          </cell>
          <cell r="E692">
            <v>31102192</v>
          </cell>
          <cell r="F692">
            <v>31102192</v>
          </cell>
          <cell r="G692">
            <v>31102192</v>
          </cell>
          <cell r="H692">
            <v>31102192</v>
          </cell>
          <cell r="I692" t="str">
            <v/>
          </cell>
          <cell r="J692" t="str">
            <v/>
          </cell>
          <cell r="K692" t="str">
            <v/>
          </cell>
          <cell r="L692" t="str">
            <v/>
          </cell>
          <cell r="M692" t="str">
            <v/>
          </cell>
        </row>
        <row r="693">
          <cell r="A693">
            <v>31102192</v>
          </cell>
          <cell r="C693">
            <v>31102192</v>
          </cell>
          <cell r="D693">
            <v>31102192</v>
          </cell>
          <cell r="E693">
            <v>31102192</v>
          </cell>
          <cell r="F693">
            <v>31102192</v>
          </cell>
          <cell r="G693">
            <v>31102192</v>
          </cell>
          <cell r="H693">
            <v>31102192</v>
          </cell>
          <cell r="I693" t="str">
            <v/>
          </cell>
          <cell r="J693" t="str">
            <v/>
          </cell>
          <cell r="K693" t="str">
            <v/>
          </cell>
          <cell r="L693" t="str">
            <v/>
          </cell>
          <cell r="M693" t="str">
            <v/>
          </cell>
        </row>
        <row r="694">
          <cell r="A694">
            <v>31102192</v>
          </cell>
          <cell r="C694">
            <v>31102192</v>
          </cell>
          <cell r="D694">
            <v>31102192</v>
          </cell>
          <cell r="E694">
            <v>31102192</v>
          </cell>
          <cell r="F694">
            <v>31102192</v>
          </cell>
          <cell r="G694">
            <v>31102192</v>
          </cell>
          <cell r="H694">
            <v>31102192</v>
          </cell>
          <cell r="I694" t="str">
            <v/>
          </cell>
          <cell r="J694" t="str">
            <v/>
          </cell>
          <cell r="K694" t="str">
            <v/>
          </cell>
          <cell r="L694" t="str">
            <v/>
          </cell>
          <cell r="M694" t="str">
            <v/>
          </cell>
        </row>
        <row r="695">
          <cell r="A695">
            <v>31102192</v>
          </cell>
          <cell r="C695">
            <v>31102192</v>
          </cell>
          <cell r="D695">
            <v>31102192</v>
          </cell>
          <cell r="E695">
            <v>31102192</v>
          </cell>
          <cell r="F695">
            <v>31102192</v>
          </cell>
          <cell r="G695">
            <v>31102192</v>
          </cell>
          <cell r="H695">
            <v>31102192</v>
          </cell>
          <cell r="I695" t="str">
            <v/>
          </cell>
          <cell r="J695" t="str">
            <v/>
          </cell>
          <cell r="K695" t="str">
            <v/>
          </cell>
          <cell r="L695" t="str">
            <v/>
          </cell>
          <cell r="M695" t="str">
            <v/>
          </cell>
        </row>
        <row r="696">
          <cell r="A696">
            <v>31102192</v>
          </cell>
          <cell r="C696">
            <v>31102192</v>
          </cell>
          <cell r="D696">
            <v>31102192</v>
          </cell>
          <cell r="E696">
            <v>31102192</v>
          </cell>
          <cell r="F696">
            <v>31102192</v>
          </cell>
          <cell r="G696">
            <v>31102192</v>
          </cell>
          <cell r="H696">
            <v>31102192</v>
          </cell>
          <cell r="I696" t="str">
            <v/>
          </cell>
          <cell r="J696" t="str">
            <v/>
          </cell>
          <cell r="K696" t="str">
            <v/>
          </cell>
          <cell r="L696" t="str">
            <v/>
          </cell>
          <cell r="M696" t="str">
            <v/>
          </cell>
        </row>
        <row r="697">
          <cell r="A697">
            <v>31102192</v>
          </cell>
          <cell r="C697">
            <v>31102192</v>
          </cell>
          <cell r="D697">
            <v>31102192</v>
          </cell>
          <cell r="E697">
            <v>31102192</v>
          </cell>
          <cell r="F697">
            <v>31102192</v>
          </cell>
          <cell r="G697">
            <v>31102192</v>
          </cell>
          <cell r="H697">
            <v>31102192</v>
          </cell>
          <cell r="I697" t="str">
            <v/>
          </cell>
          <cell r="J697" t="str">
            <v/>
          </cell>
          <cell r="K697" t="str">
            <v/>
          </cell>
          <cell r="L697" t="str">
            <v/>
          </cell>
          <cell r="M697" t="str">
            <v/>
          </cell>
        </row>
        <row r="698">
          <cell r="A698">
            <v>31102192</v>
          </cell>
          <cell r="C698">
            <v>31102192</v>
          </cell>
          <cell r="D698">
            <v>31102192</v>
          </cell>
          <cell r="E698">
            <v>31102192</v>
          </cell>
          <cell r="F698">
            <v>31102192</v>
          </cell>
          <cell r="G698">
            <v>31102192</v>
          </cell>
          <cell r="H698">
            <v>31102192</v>
          </cell>
          <cell r="I698" t="str">
            <v/>
          </cell>
          <cell r="J698" t="str">
            <v/>
          </cell>
          <cell r="K698" t="str">
            <v/>
          </cell>
          <cell r="L698" t="str">
            <v/>
          </cell>
          <cell r="M698" t="str">
            <v/>
          </cell>
        </row>
        <row r="699">
          <cell r="A699">
            <v>31102192</v>
          </cell>
          <cell r="C699">
            <v>31102192</v>
          </cell>
          <cell r="D699">
            <v>31102192</v>
          </cell>
          <cell r="E699">
            <v>31102192</v>
          </cell>
          <cell r="F699">
            <v>31102192</v>
          </cell>
          <cell r="G699">
            <v>31102192</v>
          </cell>
          <cell r="H699">
            <v>31102192</v>
          </cell>
          <cell r="I699" t="str">
            <v/>
          </cell>
          <cell r="J699" t="str">
            <v/>
          </cell>
          <cell r="K699" t="str">
            <v/>
          </cell>
          <cell r="L699" t="str">
            <v/>
          </cell>
          <cell r="M699" t="str">
            <v/>
          </cell>
        </row>
        <row r="700">
          <cell r="A700">
            <v>31102192</v>
          </cell>
          <cell r="C700">
            <v>31102192</v>
          </cell>
          <cell r="D700">
            <v>31102192</v>
          </cell>
          <cell r="E700">
            <v>31102192</v>
          </cell>
          <cell r="F700">
            <v>31102192</v>
          </cell>
          <cell r="G700">
            <v>31102192</v>
          </cell>
          <cell r="H700">
            <v>31102192</v>
          </cell>
          <cell r="I700" t="str">
            <v/>
          </cell>
          <cell r="J700" t="str">
            <v/>
          </cell>
          <cell r="K700" t="str">
            <v/>
          </cell>
          <cell r="L700" t="str">
            <v/>
          </cell>
          <cell r="M700" t="str">
            <v/>
          </cell>
        </row>
        <row r="701">
          <cell r="A701">
            <v>31102192</v>
          </cell>
          <cell r="C701">
            <v>31102192</v>
          </cell>
          <cell r="D701">
            <v>31102192</v>
          </cell>
          <cell r="E701">
            <v>31102192</v>
          </cell>
          <cell r="F701">
            <v>31102192</v>
          </cell>
          <cell r="G701">
            <v>31102192</v>
          </cell>
          <cell r="H701">
            <v>31102192</v>
          </cell>
          <cell r="I701" t="str">
            <v/>
          </cell>
          <cell r="J701" t="str">
            <v/>
          </cell>
          <cell r="K701" t="str">
            <v/>
          </cell>
          <cell r="L701" t="str">
            <v/>
          </cell>
          <cell r="M701" t="str">
            <v/>
          </cell>
        </row>
        <row r="702">
          <cell r="A702">
            <v>31102192</v>
          </cell>
          <cell r="C702">
            <v>31102192</v>
          </cell>
          <cell r="D702">
            <v>31102192</v>
          </cell>
          <cell r="E702">
            <v>31102192</v>
          </cell>
          <cell r="F702">
            <v>31102192</v>
          </cell>
          <cell r="G702">
            <v>31102192</v>
          </cell>
          <cell r="H702">
            <v>31102192</v>
          </cell>
          <cell r="I702" t="str">
            <v/>
          </cell>
          <cell r="J702" t="str">
            <v/>
          </cell>
          <cell r="K702" t="str">
            <v/>
          </cell>
          <cell r="L702" t="str">
            <v/>
          </cell>
          <cell r="M702" t="str">
            <v/>
          </cell>
        </row>
        <row r="703">
          <cell r="A703">
            <v>31102192</v>
          </cell>
          <cell r="C703">
            <v>31102192</v>
          </cell>
          <cell r="D703">
            <v>31102192</v>
          </cell>
          <cell r="E703">
            <v>31102192</v>
          </cell>
          <cell r="F703">
            <v>31102192</v>
          </cell>
          <cell r="G703">
            <v>31102192</v>
          </cell>
          <cell r="H703">
            <v>31102192</v>
          </cell>
          <cell r="I703" t="str">
            <v/>
          </cell>
          <cell r="J703" t="str">
            <v/>
          </cell>
          <cell r="K703" t="str">
            <v/>
          </cell>
          <cell r="L703" t="str">
            <v/>
          </cell>
          <cell r="M703" t="str">
            <v/>
          </cell>
        </row>
        <row r="704">
          <cell r="A704">
            <v>31102192</v>
          </cell>
          <cell r="C704">
            <v>31102192</v>
          </cell>
          <cell r="D704">
            <v>31102192</v>
          </cell>
          <cell r="E704">
            <v>31102192</v>
          </cell>
          <cell r="F704">
            <v>31102192</v>
          </cell>
          <cell r="G704">
            <v>31102192</v>
          </cell>
          <cell r="H704">
            <v>31102192</v>
          </cell>
          <cell r="I704" t="str">
            <v/>
          </cell>
          <cell r="J704" t="str">
            <v/>
          </cell>
          <cell r="K704" t="str">
            <v/>
          </cell>
          <cell r="L704" t="str">
            <v/>
          </cell>
          <cell r="M704" t="str">
            <v/>
          </cell>
        </row>
        <row r="705">
          <cell r="A705">
            <v>31102192</v>
          </cell>
          <cell r="C705">
            <v>31102192</v>
          </cell>
          <cell r="D705">
            <v>31102192</v>
          </cell>
          <cell r="E705">
            <v>31102192</v>
          </cell>
          <cell r="F705">
            <v>31102192</v>
          </cell>
          <cell r="G705">
            <v>31102192</v>
          </cell>
          <cell r="H705">
            <v>31102192</v>
          </cell>
          <cell r="I705" t="str">
            <v/>
          </cell>
          <cell r="J705" t="str">
            <v/>
          </cell>
          <cell r="K705" t="str">
            <v/>
          </cell>
          <cell r="L705" t="str">
            <v/>
          </cell>
          <cell r="M705" t="str">
            <v/>
          </cell>
        </row>
        <row r="706">
          <cell r="A706">
            <v>31102192</v>
          </cell>
          <cell r="C706">
            <v>31102192</v>
          </cell>
          <cell r="D706">
            <v>31102192</v>
          </cell>
          <cell r="E706">
            <v>31102192</v>
          </cell>
          <cell r="F706">
            <v>31102192</v>
          </cell>
          <cell r="G706">
            <v>31102192</v>
          </cell>
          <cell r="H706">
            <v>31102192</v>
          </cell>
          <cell r="I706" t="str">
            <v/>
          </cell>
          <cell r="J706" t="str">
            <v/>
          </cell>
          <cell r="K706" t="str">
            <v/>
          </cell>
          <cell r="L706" t="str">
            <v/>
          </cell>
          <cell r="M706" t="str">
            <v/>
          </cell>
        </row>
        <row r="707">
          <cell r="A707">
            <v>31102192</v>
          </cell>
          <cell r="C707">
            <v>31102192</v>
          </cell>
          <cell r="D707">
            <v>31102192</v>
          </cell>
          <cell r="E707">
            <v>31102192</v>
          </cell>
          <cell r="F707">
            <v>31102192</v>
          </cell>
          <cell r="G707">
            <v>31102192</v>
          </cell>
          <cell r="H707">
            <v>31102192</v>
          </cell>
          <cell r="I707" t="str">
            <v/>
          </cell>
          <cell r="J707" t="str">
            <v/>
          </cell>
          <cell r="K707" t="str">
            <v/>
          </cell>
          <cell r="L707" t="str">
            <v/>
          </cell>
          <cell r="M707" t="str">
            <v/>
          </cell>
        </row>
        <row r="708">
          <cell r="A708">
            <v>31102192</v>
          </cell>
          <cell r="C708">
            <v>31102192</v>
          </cell>
          <cell r="D708">
            <v>31102192</v>
          </cell>
          <cell r="E708">
            <v>31102192</v>
          </cell>
          <cell r="F708">
            <v>31102192</v>
          </cell>
          <cell r="G708">
            <v>31102192</v>
          </cell>
          <cell r="H708">
            <v>31102192</v>
          </cell>
          <cell r="I708" t="str">
            <v/>
          </cell>
          <cell r="J708" t="str">
            <v/>
          </cell>
          <cell r="K708" t="str">
            <v/>
          </cell>
          <cell r="L708" t="str">
            <v/>
          </cell>
          <cell r="M708" t="str">
            <v/>
          </cell>
        </row>
        <row r="709">
          <cell r="A709">
            <v>31102192</v>
          </cell>
          <cell r="C709">
            <v>31102192</v>
          </cell>
          <cell r="D709">
            <v>31102192</v>
          </cell>
          <cell r="E709">
            <v>31102192</v>
          </cell>
          <cell r="F709">
            <v>31102192</v>
          </cell>
          <cell r="G709">
            <v>31102192</v>
          </cell>
          <cell r="H709">
            <v>31102192</v>
          </cell>
          <cell r="I709" t="str">
            <v/>
          </cell>
          <cell r="J709" t="str">
            <v/>
          </cell>
          <cell r="K709" t="str">
            <v/>
          </cell>
          <cell r="L709" t="str">
            <v/>
          </cell>
          <cell r="M709" t="str">
            <v/>
          </cell>
        </row>
        <row r="710">
          <cell r="A710">
            <v>31102192</v>
          </cell>
          <cell r="C710">
            <v>31102192</v>
          </cell>
          <cell r="D710">
            <v>31102192</v>
          </cell>
          <cell r="E710">
            <v>31102192</v>
          </cell>
          <cell r="F710">
            <v>31102192</v>
          </cell>
          <cell r="G710">
            <v>31102192</v>
          </cell>
          <cell r="H710">
            <v>31102192</v>
          </cell>
          <cell r="I710" t="str">
            <v/>
          </cell>
          <cell r="J710" t="str">
            <v/>
          </cell>
          <cell r="K710" t="str">
            <v/>
          </cell>
          <cell r="L710" t="str">
            <v/>
          </cell>
          <cell r="M710" t="str">
            <v/>
          </cell>
        </row>
        <row r="711">
          <cell r="A711">
            <v>31102192</v>
          </cell>
          <cell r="C711">
            <v>31102192</v>
          </cell>
          <cell r="D711">
            <v>31102192</v>
          </cell>
          <cell r="E711">
            <v>31102192</v>
          </cell>
          <cell r="F711">
            <v>31102192</v>
          </cell>
          <cell r="G711">
            <v>31102192</v>
          </cell>
          <cell r="H711">
            <v>31102192</v>
          </cell>
          <cell r="I711" t="str">
            <v/>
          </cell>
          <cell r="J711" t="str">
            <v/>
          </cell>
          <cell r="K711" t="str">
            <v/>
          </cell>
          <cell r="L711" t="str">
            <v/>
          </cell>
          <cell r="M711" t="str">
            <v/>
          </cell>
        </row>
        <row r="712">
          <cell r="A712">
            <v>31102192</v>
          </cell>
          <cell r="C712">
            <v>31102192</v>
          </cell>
          <cell r="D712">
            <v>31102192</v>
          </cell>
          <cell r="E712">
            <v>31102192</v>
          </cell>
          <cell r="F712">
            <v>31102192</v>
          </cell>
          <cell r="G712">
            <v>31102192</v>
          </cell>
          <cell r="H712">
            <v>31102192</v>
          </cell>
          <cell r="I712" t="str">
            <v/>
          </cell>
          <cell r="J712" t="str">
            <v/>
          </cell>
          <cell r="K712" t="str">
            <v/>
          </cell>
          <cell r="L712" t="str">
            <v/>
          </cell>
          <cell r="M712" t="str">
            <v/>
          </cell>
        </row>
        <row r="713">
          <cell r="A713">
            <v>31102192</v>
          </cell>
          <cell r="C713">
            <v>31102192</v>
          </cell>
          <cell r="D713">
            <v>31102192</v>
          </cell>
          <cell r="E713">
            <v>31102192</v>
          </cell>
          <cell r="F713">
            <v>31102192</v>
          </cell>
          <cell r="G713">
            <v>31102192</v>
          </cell>
          <cell r="H713">
            <v>31102192</v>
          </cell>
          <cell r="I713" t="str">
            <v/>
          </cell>
          <cell r="J713" t="str">
            <v/>
          </cell>
          <cell r="K713" t="str">
            <v/>
          </cell>
          <cell r="L713" t="str">
            <v/>
          </cell>
          <cell r="M713" t="str">
            <v/>
          </cell>
        </row>
        <row r="714">
          <cell r="A714">
            <v>31102192</v>
          </cell>
          <cell r="C714">
            <v>31102192</v>
          </cell>
          <cell r="D714">
            <v>31102192</v>
          </cell>
          <cell r="E714">
            <v>31102192</v>
          </cell>
          <cell r="F714">
            <v>31102192</v>
          </cell>
          <cell r="G714">
            <v>31102192</v>
          </cell>
          <cell r="H714">
            <v>31102192</v>
          </cell>
          <cell r="I714" t="str">
            <v/>
          </cell>
          <cell r="J714" t="str">
            <v/>
          </cell>
          <cell r="K714" t="str">
            <v/>
          </cell>
          <cell r="L714" t="str">
            <v/>
          </cell>
          <cell r="M714" t="str">
            <v/>
          </cell>
        </row>
        <row r="715">
          <cell r="A715">
            <v>31102192</v>
          </cell>
          <cell r="C715">
            <v>31102192</v>
          </cell>
          <cell r="D715">
            <v>31102192</v>
          </cell>
          <cell r="E715">
            <v>31102192</v>
          </cell>
          <cell r="F715">
            <v>31102192</v>
          </cell>
          <cell r="G715">
            <v>31102192</v>
          </cell>
          <cell r="H715">
            <v>31102192</v>
          </cell>
          <cell r="I715" t="str">
            <v/>
          </cell>
          <cell r="J715" t="str">
            <v/>
          </cell>
          <cell r="K715" t="str">
            <v/>
          </cell>
          <cell r="L715" t="str">
            <v/>
          </cell>
          <cell r="M715" t="str">
            <v/>
          </cell>
        </row>
        <row r="716">
          <cell r="A716">
            <v>31102192</v>
          </cell>
          <cell r="C716">
            <v>31102192</v>
          </cell>
          <cell r="D716">
            <v>31102192</v>
          </cell>
          <cell r="E716">
            <v>31102192</v>
          </cell>
          <cell r="F716">
            <v>31102192</v>
          </cell>
          <cell r="G716">
            <v>31102192</v>
          </cell>
          <cell r="H716">
            <v>31102192</v>
          </cell>
          <cell r="I716" t="str">
            <v/>
          </cell>
          <cell r="J716" t="str">
            <v/>
          </cell>
          <cell r="K716" t="str">
            <v/>
          </cell>
          <cell r="L716" t="str">
            <v/>
          </cell>
          <cell r="M716" t="str">
            <v/>
          </cell>
        </row>
        <row r="717">
          <cell r="A717">
            <v>31102192</v>
          </cell>
          <cell r="C717">
            <v>31102192</v>
          </cell>
          <cell r="D717">
            <v>31102192</v>
          </cell>
          <cell r="E717">
            <v>31102192</v>
          </cell>
          <cell r="F717">
            <v>31102192</v>
          </cell>
          <cell r="G717">
            <v>31102192</v>
          </cell>
          <cell r="H717">
            <v>31102192</v>
          </cell>
          <cell r="I717" t="str">
            <v/>
          </cell>
          <cell r="J717" t="str">
            <v/>
          </cell>
          <cell r="K717" t="str">
            <v/>
          </cell>
          <cell r="L717" t="str">
            <v/>
          </cell>
          <cell r="M717" t="str">
            <v/>
          </cell>
        </row>
        <row r="718">
          <cell r="A718">
            <v>31102192</v>
          </cell>
          <cell r="C718">
            <v>31102192</v>
          </cell>
          <cell r="D718">
            <v>31102192</v>
          </cell>
          <cell r="E718">
            <v>31102192</v>
          </cell>
          <cell r="F718">
            <v>31102192</v>
          </cell>
          <cell r="G718">
            <v>31102192</v>
          </cell>
          <cell r="H718">
            <v>31102192</v>
          </cell>
          <cell r="I718" t="str">
            <v/>
          </cell>
          <cell r="J718" t="str">
            <v/>
          </cell>
          <cell r="K718" t="str">
            <v/>
          </cell>
          <cell r="L718" t="str">
            <v/>
          </cell>
          <cell r="M718" t="str">
            <v/>
          </cell>
        </row>
        <row r="719">
          <cell r="A719">
            <v>31102192</v>
          </cell>
          <cell r="C719">
            <v>31102192</v>
          </cell>
          <cell r="D719">
            <v>31102192</v>
          </cell>
          <cell r="E719">
            <v>31102192</v>
          </cell>
          <cell r="F719">
            <v>31102192</v>
          </cell>
          <cell r="G719">
            <v>31102192</v>
          </cell>
          <cell r="H719">
            <v>31102192</v>
          </cell>
          <cell r="I719" t="str">
            <v/>
          </cell>
          <cell r="J719" t="str">
            <v/>
          </cell>
          <cell r="K719" t="str">
            <v/>
          </cell>
          <cell r="L719" t="str">
            <v/>
          </cell>
          <cell r="M719" t="str">
            <v/>
          </cell>
        </row>
        <row r="720">
          <cell r="A720">
            <v>31102192</v>
          </cell>
          <cell r="C720">
            <v>31102192</v>
          </cell>
          <cell r="D720">
            <v>31102192</v>
          </cell>
          <cell r="E720">
            <v>31102192</v>
          </cell>
          <cell r="F720">
            <v>31102192</v>
          </cell>
          <cell r="G720">
            <v>31102192</v>
          </cell>
          <cell r="H720">
            <v>31102192</v>
          </cell>
          <cell r="I720" t="str">
            <v/>
          </cell>
          <cell r="J720" t="str">
            <v/>
          </cell>
          <cell r="K720" t="str">
            <v/>
          </cell>
          <cell r="L720" t="str">
            <v/>
          </cell>
          <cell r="M720" t="str">
            <v/>
          </cell>
        </row>
        <row r="721">
          <cell r="A721">
            <v>31102192</v>
          </cell>
          <cell r="C721">
            <v>31102192</v>
          </cell>
          <cell r="D721">
            <v>31102192</v>
          </cell>
          <cell r="E721">
            <v>31102192</v>
          </cell>
          <cell r="F721">
            <v>31102192</v>
          </cell>
          <cell r="G721">
            <v>31102192</v>
          </cell>
          <cell r="H721">
            <v>31102192</v>
          </cell>
          <cell r="I721" t="str">
            <v/>
          </cell>
          <cell r="J721" t="str">
            <v/>
          </cell>
          <cell r="K721" t="str">
            <v/>
          </cell>
          <cell r="L721" t="str">
            <v/>
          </cell>
          <cell r="M721" t="str">
            <v/>
          </cell>
        </row>
        <row r="722">
          <cell r="A722">
            <v>31102192</v>
          </cell>
          <cell r="C722">
            <v>31102192</v>
          </cell>
          <cell r="D722">
            <v>31102192</v>
          </cell>
          <cell r="E722">
            <v>31102192</v>
          </cell>
          <cell r="F722">
            <v>31102192</v>
          </cell>
          <cell r="G722">
            <v>31102192</v>
          </cell>
          <cell r="H722">
            <v>31102192</v>
          </cell>
          <cell r="I722" t="str">
            <v/>
          </cell>
          <cell r="J722" t="str">
            <v/>
          </cell>
          <cell r="K722" t="str">
            <v/>
          </cell>
          <cell r="L722" t="str">
            <v/>
          </cell>
          <cell r="M722" t="str">
            <v/>
          </cell>
        </row>
        <row r="723">
          <cell r="A723">
            <v>31102192</v>
          </cell>
          <cell r="C723">
            <v>31102192</v>
          </cell>
          <cell r="D723">
            <v>31102192</v>
          </cell>
          <cell r="E723">
            <v>31102192</v>
          </cell>
          <cell r="F723">
            <v>31102192</v>
          </cell>
          <cell r="G723">
            <v>31102192</v>
          </cell>
          <cell r="H723">
            <v>31102192</v>
          </cell>
          <cell r="I723" t="str">
            <v/>
          </cell>
          <cell r="J723" t="str">
            <v/>
          </cell>
          <cell r="K723" t="str">
            <v/>
          </cell>
          <cell r="L723" t="str">
            <v/>
          </cell>
          <cell r="M723" t="str">
            <v/>
          </cell>
        </row>
        <row r="724">
          <cell r="A724">
            <v>31102192</v>
          </cell>
          <cell r="C724">
            <v>31102192</v>
          </cell>
          <cell r="D724">
            <v>31102192</v>
          </cell>
          <cell r="E724">
            <v>31102192</v>
          </cell>
          <cell r="F724">
            <v>31102192</v>
          </cell>
          <cell r="G724">
            <v>31102192</v>
          </cell>
          <cell r="H724">
            <v>31102192</v>
          </cell>
          <cell r="I724" t="str">
            <v/>
          </cell>
          <cell r="J724" t="str">
            <v/>
          </cell>
          <cell r="K724" t="str">
            <v/>
          </cell>
          <cell r="L724" t="str">
            <v/>
          </cell>
          <cell r="M724" t="str">
            <v/>
          </cell>
        </row>
        <row r="725">
          <cell r="A725">
            <v>31102192</v>
          </cell>
          <cell r="C725">
            <v>31102192</v>
          </cell>
          <cell r="D725">
            <v>31102192</v>
          </cell>
          <cell r="E725">
            <v>31102192</v>
          </cell>
          <cell r="F725">
            <v>31102192</v>
          </cell>
          <cell r="G725">
            <v>31102192</v>
          </cell>
          <cell r="H725">
            <v>31102192</v>
          </cell>
          <cell r="I725" t="str">
            <v/>
          </cell>
          <cell r="J725" t="str">
            <v/>
          </cell>
          <cell r="K725" t="str">
            <v/>
          </cell>
          <cell r="L725" t="str">
            <v/>
          </cell>
          <cell r="M725" t="str">
            <v/>
          </cell>
        </row>
        <row r="726">
          <cell r="A726">
            <v>31102192</v>
          </cell>
          <cell r="C726">
            <v>31102192</v>
          </cell>
          <cell r="D726">
            <v>31102192</v>
          </cell>
          <cell r="E726">
            <v>31102192</v>
          </cell>
          <cell r="F726">
            <v>31102192</v>
          </cell>
          <cell r="G726">
            <v>31102192</v>
          </cell>
          <cell r="H726">
            <v>31102192</v>
          </cell>
          <cell r="I726" t="str">
            <v/>
          </cell>
          <cell r="J726" t="str">
            <v/>
          </cell>
          <cell r="K726" t="str">
            <v/>
          </cell>
          <cell r="L726" t="str">
            <v/>
          </cell>
          <cell r="M726" t="str">
            <v/>
          </cell>
        </row>
        <row r="727">
          <cell r="A727">
            <v>31102192</v>
          </cell>
          <cell r="C727">
            <v>31102192</v>
          </cell>
          <cell r="D727">
            <v>31102192</v>
          </cell>
          <cell r="E727">
            <v>31102192</v>
          </cell>
          <cell r="F727">
            <v>31102192</v>
          </cell>
          <cell r="G727">
            <v>31102192</v>
          </cell>
          <cell r="H727">
            <v>31102192</v>
          </cell>
          <cell r="I727" t="str">
            <v/>
          </cell>
          <cell r="J727" t="str">
            <v/>
          </cell>
          <cell r="K727" t="str">
            <v/>
          </cell>
          <cell r="L727" t="str">
            <v/>
          </cell>
          <cell r="M727" t="str">
            <v/>
          </cell>
        </row>
        <row r="728">
          <cell r="A728">
            <v>31102192</v>
          </cell>
          <cell r="C728">
            <v>31102192</v>
          </cell>
          <cell r="D728">
            <v>31102192</v>
          </cell>
          <cell r="E728">
            <v>31102192</v>
          </cell>
          <cell r="F728">
            <v>31102192</v>
          </cell>
          <cell r="G728">
            <v>31102192</v>
          </cell>
          <cell r="H728">
            <v>31102192</v>
          </cell>
          <cell r="I728" t="str">
            <v/>
          </cell>
          <cell r="J728" t="str">
            <v/>
          </cell>
          <cell r="K728" t="str">
            <v/>
          </cell>
          <cell r="L728" t="str">
            <v/>
          </cell>
          <cell r="M728" t="str">
            <v/>
          </cell>
        </row>
        <row r="729">
          <cell r="A729">
            <v>31102192</v>
          </cell>
          <cell r="C729">
            <v>31102192</v>
          </cell>
          <cell r="D729">
            <v>31102192</v>
          </cell>
          <cell r="E729">
            <v>31102192</v>
          </cell>
          <cell r="F729">
            <v>31102192</v>
          </cell>
          <cell r="G729">
            <v>31102192</v>
          </cell>
          <cell r="H729">
            <v>31102192</v>
          </cell>
          <cell r="I729" t="str">
            <v/>
          </cell>
          <cell r="J729" t="str">
            <v/>
          </cell>
          <cell r="K729" t="str">
            <v/>
          </cell>
          <cell r="L729" t="str">
            <v/>
          </cell>
          <cell r="M729" t="str">
            <v/>
          </cell>
        </row>
        <row r="730">
          <cell r="A730">
            <v>31102192</v>
          </cell>
          <cell r="C730">
            <v>31102192</v>
          </cell>
          <cell r="D730">
            <v>31102192</v>
          </cell>
          <cell r="E730">
            <v>31102192</v>
          </cell>
          <cell r="F730">
            <v>31102192</v>
          </cell>
          <cell r="G730">
            <v>31102192</v>
          </cell>
          <cell r="H730">
            <v>31102192</v>
          </cell>
          <cell r="I730" t="str">
            <v/>
          </cell>
          <cell r="J730" t="str">
            <v/>
          </cell>
          <cell r="K730" t="str">
            <v/>
          </cell>
          <cell r="L730" t="str">
            <v/>
          </cell>
          <cell r="M730" t="str">
            <v/>
          </cell>
        </row>
        <row r="731">
          <cell r="A731">
            <v>31102192</v>
          </cell>
          <cell r="C731">
            <v>31102192</v>
          </cell>
          <cell r="D731">
            <v>31102192</v>
          </cell>
          <cell r="E731">
            <v>31102192</v>
          </cell>
          <cell r="F731">
            <v>31102192</v>
          </cell>
          <cell r="G731">
            <v>31102192</v>
          </cell>
          <cell r="H731">
            <v>31102192</v>
          </cell>
          <cell r="I731" t="str">
            <v/>
          </cell>
          <cell r="J731" t="str">
            <v/>
          </cell>
          <cell r="K731" t="str">
            <v/>
          </cell>
          <cell r="L731" t="str">
            <v/>
          </cell>
          <cell r="M731" t="str">
            <v/>
          </cell>
        </row>
        <row r="732">
          <cell r="A732">
            <v>31102192</v>
          </cell>
          <cell r="C732">
            <v>31102192</v>
          </cell>
          <cell r="D732">
            <v>31102192</v>
          </cell>
          <cell r="E732">
            <v>31102192</v>
          </cell>
          <cell r="F732">
            <v>31102192</v>
          </cell>
          <cell r="G732">
            <v>31102192</v>
          </cell>
          <cell r="H732">
            <v>31102192</v>
          </cell>
          <cell r="I732" t="str">
            <v/>
          </cell>
          <cell r="J732" t="str">
            <v/>
          </cell>
          <cell r="K732" t="str">
            <v/>
          </cell>
          <cell r="L732" t="str">
            <v/>
          </cell>
          <cell r="M732" t="str">
            <v/>
          </cell>
        </row>
        <row r="733">
          <cell r="A733">
            <v>31102192</v>
          </cell>
          <cell r="C733">
            <v>31102192</v>
          </cell>
          <cell r="D733">
            <v>31102192</v>
          </cell>
          <cell r="E733">
            <v>31102192</v>
          </cell>
          <cell r="F733">
            <v>31102192</v>
          </cell>
          <cell r="G733">
            <v>31102192</v>
          </cell>
          <cell r="H733">
            <v>31102192</v>
          </cell>
          <cell r="I733" t="str">
            <v/>
          </cell>
          <cell r="J733" t="str">
            <v/>
          </cell>
          <cell r="K733" t="str">
            <v/>
          </cell>
          <cell r="L733" t="str">
            <v/>
          </cell>
          <cell r="M733" t="str">
            <v/>
          </cell>
        </row>
        <row r="734">
          <cell r="A734">
            <v>31102192</v>
          </cell>
          <cell r="C734">
            <v>31102192</v>
          </cell>
          <cell r="D734">
            <v>31102192</v>
          </cell>
          <cell r="E734">
            <v>31102192</v>
          </cell>
          <cell r="F734">
            <v>31102192</v>
          </cell>
          <cell r="G734">
            <v>31102192</v>
          </cell>
          <cell r="H734">
            <v>31102192</v>
          </cell>
          <cell r="I734" t="str">
            <v/>
          </cell>
          <cell r="J734" t="str">
            <v/>
          </cell>
          <cell r="K734" t="str">
            <v/>
          </cell>
          <cell r="L734" t="str">
            <v/>
          </cell>
          <cell r="M734" t="str">
            <v/>
          </cell>
        </row>
        <row r="735">
          <cell r="A735">
            <v>31102192</v>
          </cell>
          <cell r="C735">
            <v>31102192</v>
          </cell>
          <cell r="D735">
            <v>31102192</v>
          </cell>
          <cell r="E735">
            <v>31102192</v>
          </cell>
          <cell r="F735">
            <v>31102192</v>
          </cell>
          <cell r="G735">
            <v>31102192</v>
          </cell>
          <cell r="H735">
            <v>31102192</v>
          </cell>
          <cell r="I735" t="str">
            <v/>
          </cell>
          <cell r="J735" t="str">
            <v/>
          </cell>
          <cell r="K735" t="str">
            <v/>
          </cell>
          <cell r="L735" t="str">
            <v/>
          </cell>
          <cell r="M735" t="str">
            <v/>
          </cell>
        </row>
        <row r="736">
          <cell r="A736">
            <v>31102192</v>
          </cell>
          <cell r="C736">
            <v>31102192</v>
          </cell>
          <cell r="D736">
            <v>31102192</v>
          </cell>
          <cell r="E736">
            <v>31102192</v>
          </cell>
          <cell r="F736">
            <v>31102192</v>
          </cell>
          <cell r="G736">
            <v>31102192</v>
          </cell>
          <cell r="H736">
            <v>31102192</v>
          </cell>
          <cell r="I736" t="str">
            <v/>
          </cell>
          <cell r="J736" t="str">
            <v/>
          </cell>
          <cell r="K736" t="str">
            <v/>
          </cell>
          <cell r="L736" t="str">
            <v/>
          </cell>
          <cell r="M736" t="str">
            <v/>
          </cell>
        </row>
        <row r="737">
          <cell r="A737">
            <v>31102192</v>
          </cell>
          <cell r="C737">
            <v>31102192</v>
          </cell>
          <cell r="D737">
            <v>31102192</v>
          </cell>
          <cell r="E737">
            <v>31102192</v>
          </cell>
          <cell r="F737">
            <v>31102192</v>
          </cell>
          <cell r="G737">
            <v>31102192</v>
          </cell>
          <cell r="H737">
            <v>31102192</v>
          </cell>
          <cell r="I737" t="str">
            <v/>
          </cell>
          <cell r="J737" t="str">
            <v/>
          </cell>
          <cell r="K737" t="str">
            <v/>
          </cell>
          <cell r="L737" t="str">
            <v/>
          </cell>
          <cell r="M737" t="str">
            <v/>
          </cell>
        </row>
        <row r="738">
          <cell r="A738">
            <v>31102192</v>
          </cell>
          <cell r="C738">
            <v>31102192</v>
          </cell>
          <cell r="D738">
            <v>31102192</v>
          </cell>
          <cell r="E738">
            <v>31102192</v>
          </cell>
          <cell r="F738">
            <v>31102192</v>
          </cell>
          <cell r="G738">
            <v>31102192</v>
          </cell>
          <cell r="H738">
            <v>31102192</v>
          </cell>
          <cell r="I738" t="str">
            <v/>
          </cell>
          <cell r="J738" t="str">
            <v/>
          </cell>
          <cell r="K738" t="str">
            <v/>
          </cell>
          <cell r="L738" t="str">
            <v/>
          </cell>
          <cell r="M738" t="str">
            <v/>
          </cell>
        </row>
        <row r="739">
          <cell r="A739">
            <v>31102192</v>
          </cell>
          <cell r="C739">
            <v>31102192</v>
          </cell>
          <cell r="D739">
            <v>31102192</v>
          </cell>
          <cell r="E739">
            <v>31102192</v>
          </cell>
          <cell r="F739">
            <v>31102192</v>
          </cell>
          <cell r="G739">
            <v>31102192</v>
          </cell>
          <cell r="H739">
            <v>31102192</v>
          </cell>
          <cell r="I739" t="str">
            <v/>
          </cell>
          <cell r="J739" t="str">
            <v/>
          </cell>
          <cell r="K739" t="str">
            <v/>
          </cell>
          <cell r="L739" t="str">
            <v/>
          </cell>
          <cell r="M739" t="str">
            <v/>
          </cell>
        </row>
        <row r="740">
          <cell r="A740">
            <v>31102192</v>
          </cell>
          <cell r="C740">
            <v>31102192</v>
          </cell>
          <cell r="D740">
            <v>31102192</v>
          </cell>
          <cell r="E740">
            <v>31102192</v>
          </cell>
          <cell r="F740">
            <v>31102192</v>
          </cell>
          <cell r="G740">
            <v>31102192</v>
          </cell>
          <cell r="H740">
            <v>31102192</v>
          </cell>
          <cell r="I740" t="str">
            <v/>
          </cell>
          <cell r="J740" t="str">
            <v/>
          </cell>
          <cell r="K740" t="str">
            <v/>
          </cell>
          <cell r="L740" t="str">
            <v/>
          </cell>
          <cell r="M740" t="str">
            <v/>
          </cell>
        </row>
        <row r="741">
          <cell r="A741">
            <v>31102192</v>
          </cell>
          <cell r="C741">
            <v>31102192</v>
          </cell>
          <cell r="D741">
            <v>31102192</v>
          </cell>
          <cell r="E741">
            <v>31102192</v>
          </cell>
          <cell r="F741">
            <v>31102192</v>
          </cell>
          <cell r="G741">
            <v>31102192</v>
          </cell>
          <cell r="H741">
            <v>31102192</v>
          </cell>
          <cell r="I741" t="str">
            <v/>
          </cell>
          <cell r="J741" t="str">
            <v/>
          </cell>
          <cell r="K741" t="str">
            <v/>
          </cell>
          <cell r="L741" t="str">
            <v/>
          </cell>
          <cell r="M741" t="str">
            <v/>
          </cell>
        </row>
        <row r="742">
          <cell r="A742">
            <v>31102192</v>
          </cell>
          <cell r="C742">
            <v>31102192</v>
          </cell>
          <cell r="D742">
            <v>31102192</v>
          </cell>
          <cell r="E742">
            <v>31102192</v>
          </cell>
          <cell r="F742">
            <v>31102192</v>
          </cell>
          <cell r="G742">
            <v>31102192</v>
          </cell>
          <cell r="H742">
            <v>31102192</v>
          </cell>
          <cell r="I742" t="str">
            <v/>
          </cell>
          <cell r="J742" t="str">
            <v/>
          </cell>
          <cell r="K742" t="str">
            <v/>
          </cell>
          <cell r="L742" t="str">
            <v/>
          </cell>
          <cell r="M742" t="str">
            <v/>
          </cell>
        </row>
        <row r="743">
          <cell r="A743">
            <v>31102192</v>
          </cell>
          <cell r="C743">
            <v>31102192</v>
          </cell>
          <cell r="D743">
            <v>31102192</v>
          </cell>
          <cell r="E743">
            <v>31102192</v>
          </cell>
          <cell r="F743">
            <v>31102192</v>
          </cell>
          <cell r="G743">
            <v>31102192</v>
          </cell>
          <cell r="H743">
            <v>31102192</v>
          </cell>
          <cell r="I743" t="str">
            <v/>
          </cell>
          <cell r="J743" t="str">
            <v/>
          </cell>
          <cell r="K743" t="str">
            <v/>
          </cell>
          <cell r="L743" t="str">
            <v/>
          </cell>
          <cell r="M743" t="str">
            <v/>
          </cell>
        </row>
        <row r="744">
          <cell r="A744">
            <v>31102192</v>
          </cell>
          <cell r="C744">
            <v>31102192</v>
          </cell>
          <cell r="D744">
            <v>31102192</v>
          </cell>
          <cell r="E744">
            <v>31102192</v>
          </cell>
          <cell r="F744">
            <v>31102192</v>
          </cell>
          <cell r="G744">
            <v>31102192</v>
          </cell>
          <cell r="H744">
            <v>31102192</v>
          </cell>
          <cell r="I744" t="str">
            <v/>
          </cell>
          <cell r="J744" t="str">
            <v/>
          </cell>
          <cell r="K744" t="str">
            <v/>
          </cell>
          <cell r="L744" t="str">
            <v/>
          </cell>
          <cell r="M744" t="str">
            <v/>
          </cell>
        </row>
        <row r="745">
          <cell r="A745">
            <v>31102192</v>
          </cell>
          <cell r="C745">
            <v>31102192</v>
          </cell>
          <cell r="D745">
            <v>31102192</v>
          </cell>
          <cell r="E745">
            <v>31102192</v>
          </cell>
          <cell r="F745">
            <v>31102192</v>
          </cell>
          <cell r="G745">
            <v>31102192</v>
          </cell>
          <cell r="H745">
            <v>31102192</v>
          </cell>
          <cell r="I745" t="str">
            <v/>
          </cell>
          <cell r="J745" t="str">
            <v/>
          </cell>
          <cell r="K745" t="str">
            <v/>
          </cell>
          <cell r="L745" t="str">
            <v/>
          </cell>
          <cell r="M745" t="str">
            <v/>
          </cell>
        </row>
        <row r="746">
          <cell r="A746">
            <v>31102192</v>
          </cell>
          <cell r="C746">
            <v>31102192</v>
          </cell>
          <cell r="D746">
            <v>31102192</v>
          </cell>
          <cell r="E746">
            <v>31102192</v>
          </cell>
          <cell r="F746">
            <v>31102192</v>
          </cell>
          <cell r="G746">
            <v>31102192</v>
          </cell>
          <cell r="H746">
            <v>31102192</v>
          </cell>
          <cell r="I746" t="str">
            <v/>
          </cell>
          <cell r="J746" t="str">
            <v/>
          </cell>
          <cell r="K746" t="str">
            <v/>
          </cell>
          <cell r="L746" t="str">
            <v/>
          </cell>
          <cell r="M746" t="str">
            <v/>
          </cell>
        </row>
        <row r="747">
          <cell r="A747">
            <v>31102192</v>
          </cell>
          <cell r="C747">
            <v>31102192</v>
          </cell>
          <cell r="D747">
            <v>31102192</v>
          </cell>
          <cell r="E747">
            <v>31102192</v>
          </cell>
          <cell r="F747">
            <v>31102192</v>
          </cell>
          <cell r="G747">
            <v>31102192</v>
          </cell>
          <cell r="H747">
            <v>31102192</v>
          </cell>
          <cell r="I747" t="str">
            <v/>
          </cell>
          <cell r="J747" t="str">
            <v/>
          </cell>
          <cell r="K747" t="str">
            <v/>
          </cell>
          <cell r="L747" t="str">
            <v/>
          </cell>
          <cell r="M747" t="str">
            <v/>
          </cell>
        </row>
        <row r="748">
          <cell r="A748">
            <v>31102192</v>
          </cell>
          <cell r="C748">
            <v>31102192</v>
          </cell>
          <cell r="D748">
            <v>31102192</v>
          </cell>
          <cell r="E748">
            <v>31102192</v>
          </cell>
          <cell r="F748">
            <v>31102192</v>
          </cell>
          <cell r="G748">
            <v>31102192</v>
          </cell>
          <cell r="H748">
            <v>31102192</v>
          </cell>
          <cell r="I748" t="str">
            <v/>
          </cell>
          <cell r="J748" t="str">
            <v/>
          </cell>
          <cell r="K748" t="str">
            <v/>
          </cell>
          <cell r="L748" t="str">
            <v/>
          </cell>
          <cell r="M748" t="str">
            <v/>
          </cell>
        </row>
        <row r="749">
          <cell r="A749">
            <v>31102192</v>
          </cell>
          <cell r="C749">
            <v>31102192</v>
          </cell>
          <cell r="D749">
            <v>31102192</v>
          </cell>
          <cell r="E749">
            <v>31102192</v>
          </cell>
          <cell r="F749">
            <v>31102192</v>
          </cell>
          <cell r="G749">
            <v>31102192</v>
          </cell>
          <cell r="H749">
            <v>31102192</v>
          </cell>
          <cell r="I749" t="str">
            <v/>
          </cell>
          <cell r="J749" t="str">
            <v/>
          </cell>
          <cell r="K749" t="str">
            <v/>
          </cell>
          <cell r="L749" t="str">
            <v/>
          </cell>
          <cell r="M749" t="str">
            <v/>
          </cell>
        </row>
        <row r="750">
          <cell r="A750">
            <v>31102192</v>
          </cell>
          <cell r="C750">
            <v>31102192</v>
          </cell>
          <cell r="D750">
            <v>31102192</v>
          </cell>
          <cell r="E750">
            <v>31102192</v>
          </cell>
          <cell r="F750">
            <v>31102192</v>
          </cell>
          <cell r="G750">
            <v>31102192</v>
          </cell>
          <cell r="H750">
            <v>31102192</v>
          </cell>
          <cell r="I750" t="str">
            <v/>
          </cell>
          <cell r="J750" t="str">
            <v/>
          </cell>
          <cell r="K750" t="str">
            <v/>
          </cell>
          <cell r="L750" t="str">
            <v/>
          </cell>
          <cell r="M750" t="str">
            <v/>
          </cell>
        </row>
        <row r="751">
          <cell r="A751">
            <v>31102192</v>
          </cell>
          <cell r="C751">
            <v>31102192</v>
          </cell>
          <cell r="D751">
            <v>31102192</v>
          </cell>
          <cell r="E751">
            <v>31102192</v>
          </cell>
          <cell r="F751">
            <v>31102192</v>
          </cell>
          <cell r="G751">
            <v>31102192</v>
          </cell>
          <cell r="H751">
            <v>31102192</v>
          </cell>
          <cell r="I751" t="str">
            <v/>
          </cell>
          <cell r="J751" t="str">
            <v/>
          </cell>
          <cell r="K751" t="str">
            <v/>
          </cell>
          <cell r="L751" t="str">
            <v/>
          </cell>
          <cell r="M751" t="str">
            <v/>
          </cell>
        </row>
        <row r="752">
          <cell r="A752">
            <v>31102192</v>
          </cell>
          <cell r="C752">
            <v>31102192</v>
          </cell>
          <cell r="D752">
            <v>31102192</v>
          </cell>
          <cell r="E752">
            <v>31102192</v>
          </cell>
          <cell r="F752">
            <v>31102192</v>
          </cell>
          <cell r="G752">
            <v>31102192</v>
          </cell>
          <cell r="H752">
            <v>31102192</v>
          </cell>
          <cell r="I752" t="str">
            <v/>
          </cell>
          <cell r="J752" t="str">
            <v/>
          </cell>
          <cell r="K752" t="str">
            <v/>
          </cell>
          <cell r="L752" t="str">
            <v/>
          </cell>
          <cell r="M752" t="str">
            <v/>
          </cell>
        </row>
        <row r="753">
          <cell r="A753">
            <v>31102192</v>
          </cell>
          <cell r="C753">
            <v>31102192</v>
          </cell>
          <cell r="D753">
            <v>31102192</v>
          </cell>
          <cell r="E753">
            <v>31102192</v>
          </cell>
          <cell r="F753">
            <v>31102192</v>
          </cell>
          <cell r="G753">
            <v>31102192</v>
          </cell>
          <cell r="H753">
            <v>31102192</v>
          </cell>
          <cell r="I753" t="str">
            <v/>
          </cell>
          <cell r="J753" t="str">
            <v/>
          </cell>
          <cell r="K753" t="str">
            <v/>
          </cell>
          <cell r="L753" t="str">
            <v/>
          </cell>
          <cell r="M753" t="str">
            <v/>
          </cell>
        </row>
        <row r="754">
          <cell r="A754">
            <v>31102192</v>
          </cell>
          <cell r="C754">
            <v>31102192</v>
          </cell>
          <cell r="D754">
            <v>31102192</v>
          </cell>
          <cell r="E754">
            <v>31102192</v>
          </cell>
          <cell r="F754">
            <v>31102192</v>
          </cell>
          <cell r="G754">
            <v>31102192</v>
          </cell>
          <cell r="H754">
            <v>31102192</v>
          </cell>
          <cell r="I754" t="str">
            <v/>
          </cell>
          <cell r="J754" t="str">
            <v/>
          </cell>
          <cell r="K754" t="str">
            <v/>
          </cell>
          <cell r="L754" t="str">
            <v/>
          </cell>
          <cell r="M754" t="str">
            <v/>
          </cell>
        </row>
        <row r="755">
          <cell r="A755">
            <v>31102192</v>
          </cell>
          <cell r="C755">
            <v>31102192</v>
          </cell>
          <cell r="D755">
            <v>31102192</v>
          </cell>
          <cell r="E755">
            <v>31102192</v>
          </cell>
          <cell r="F755">
            <v>31102192</v>
          </cell>
          <cell r="G755">
            <v>31102192</v>
          </cell>
          <cell r="H755">
            <v>31102192</v>
          </cell>
          <cell r="I755" t="str">
            <v/>
          </cell>
          <cell r="J755" t="str">
            <v/>
          </cell>
          <cell r="K755" t="str">
            <v/>
          </cell>
          <cell r="L755" t="str">
            <v/>
          </cell>
          <cell r="M755" t="str">
            <v/>
          </cell>
        </row>
        <row r="756">
          <cell r="A756">
            <v>31102192</v>
          </cell>
          <cell r="C756">
            <v>31102192</v>
          </cell>
          <cell r="D756">
            <v>31102192</v>
          </cell>
          <cell r="E756">
            <v>31102192</v>
          </cell>
          <cell r="F756">
            <v>31102192</v>
          </cell>
          <cell r="G756">
            <v>31102192</v>
          </cell>
          <cell r="H756">
            <v>31102192</v>
          </cell>
          <cell r="I756" t="str">
            <v/>
          </cell>
          <cell r="J756" t="str">
            <v/>
          </cell>
          <cell r="K756" t="str">
            <v/>
          </cell>
          <cell r="L756" t="str">
            <v/>
          </cell>
          <cell r="M756" t="str">
            <v/>
          </cell>
        </row>
        <row r="757">
          <cell r="A757">
            <v>31102192</v>
          </cell>
          <cell r="C757">
            <v>31102192</v>
          </cell>
          <cell r="D757">
            <v>31102192</v>
          </cell>
          <cell r="E757">
            <v>31102192</v>
          </cell>
          <cell r="F757">
            <v>31102192</v>
          </cell>
          <cell r="G757">
            <v>31102192</v>
          </cell>
          <cell r="H757">
            <v>31102192</v>
          </cell>
          <cell r="I757" t="str">
            <v/>
          </cell>
          <cell r="J757" t="str">
            <v/>
          </cell>
          <cell r="K757" t="str">
            <v/>
          </cell>
          <cell r="L757" t="str">
            <v/>
          </cell>
          <cell r="M757" t="str">
            <v/>
          </cell>
        </row>
        <row r="758">
          <cell r="A758">
            <v>31102192</v>
          </cell>
          <cell r="C758">
            <v>31102192</v>
          </cell>
          <cell r="D758">
            <v>31102192</v>
          </cell>
          <cell r="E758">
            <v>31102192</v>
          </cell>
          <cell r="F758">
            <v>31102192</v>
          </cell>
          <cell r="G758">
            <v>31102192</v>
          </cell>
          <cell r="H758">
            <v>31102192</v>
          </cell>
          <cell r="I758" t="str">
            <v/>
          </cell>
          <cell r="J758" t="str">
            <v/>
          </cell>
          <cell r="K758" t="str">
            <v/>
          </cell>
          <cell r="L758" t="str">
            <v/>
          </cell>
          <cell r="M758" t="str">
            <v/>
          </cell>
        </row>
        <row r="759">
          <cell r="A759">
            <v>31102192</v>
          </cell>
          <cell r="C759">
            <v>31102192</v>
          </cell>
          <cell r="D759">
            <v>31102192</v>
          </cell>
          <cell r="E759">
            <v>31102192</v>
          </cell>
          <cell r="F759">
            <v>31102192</v>
          </cell>
          <cell r="G759">
            <v>31102192</v>
          </cell>
          <cell r="H759">
            <v>31102192</v>
          </cell>
          <cell r="I759" t="str">
            <v/>
          </cell>
          <cell r="J759" t="str">
            <v/>
          </cell>
          <cell r="K759" t="str">
            <v/>
          </cell>
          <cell r="L759" t="str">
            <v/>
          </cell>
          <cell r="M759" t="str">
            <v/>
          </cell>
        </row>
        <row r="760">
          <cell r="A760">
            <v>31102192</v>
          </cell>
          <cell r="C760">
            <v>31102192</v>
          </cell>
          <cell r="D760">
            <v>31102192</v>
          </cell>
          <cell r="E760">
            <v>31102192</v>
          </cell>
          <cell r="F760">
            <v>31102192</v>
          </cell>
          <cell r="G760">
            <v>31102192</v>
          </cell>
          <cell r="H760">
            <v>31102192</v>
          </cell>
          <cell r="I760" t="str">
            <v/>
          </cell>
          <cell r="J760" t="str">
            <v/>
          </cell>
          <cell r="K760" t="str">
            <v/>
          </cell>
          <cell r="L760" t="str">
            <v/>
          </cell>
          <cell r="M760" t="str">
            <v/>
          </cell>
        </row>
        <row r="761">
          <cell r="A761">
            <v>31102192</v>
          </cell>
          <cell r="C761">
            <v>31102192</v>
          </cell>
          <cell r="D761">
            <v>31102192</v>
          </cell>
          <cell r="E761">
            <v>31102192</v>
          </cell>
          <cell r="F761">
            <v>31102192</v>
          </cell>
          <cell r="G761">
            <v>31102192</v>
          </cell>
          <cell r="H761">
            <v>31102192</v>
          </cell>
          <cell r="I761" t="str">
            <v/>
          </cell>
          <cell r="J761" t="str">
            <v/>
          </cell>
          <cell r="K761" t="str">
            <v/>
          </cell>
          <cell r="L761" t="str">
            <v/>
          </cell>
          <cell r="M761" t="str">
            <v/>
          </cell>
        </row>
        <row r="762">
          <cell r="A762">
            <v>31102192</v>
          </cell>
          <cell r="C762">
            <v>31102192</v>
          </cell>
          <cell r="D762">
            <v>31102192</v>
          </cell>
          <cell r="E762">
            <v>31102192</v>
          </cell>
          <cell r="F762">
            <v>31102192</v>
          </cell>
          <cell r="G762">
            <v>31102192</v>
          </cell>
          <cell r="H762">
            <v>31102192</v>
          </cell>
          <cell r="I762" t="str">
            <v/>
          </cell>
          <cell r="J762" t="str">
            <v/>
          </cell>
          <cell r="K762" t="str">
            <v/>
          </cell>
          <cell r="L762" t="str">
            <v/>
          </cell>
          <cell r="M762" t="str">
            <v/>
          </cell>
        </row>
        <row r="763">
          <cell r="A763">
            <v>31102192</v>
          </cell>
          <cell r="C763">
            <v>31102192</v>
          </cell>
          <cell r="D763">
            <v>31102192</v>
          </cell>
          <cell r="E763">
            <v>31102192</v>
          </cell>
          <cell r="F763">
            <v>31102192</v>
          </cell>
          <cell r="G763">
            <v>31102192</v>
          </cell>
          <cell r="H763">
            <v>31102192</v>
          </cell>
          <cell r="I763" t="str">
            <v/>
          </cell>
          <cell r="J763" t="str">
            <v/>
          </cell>
          <cell r="K763" t="str">
            <v/>
          </cell>
          <cell r="L763" t="str">
            <v/>
          </cell>
          <cell r="M763" t="str">
            <v/>
          </cell>
        </row>
        <row r="764">
          <cell r="A764">
            <v>31102192</v>
          </cell>
          <cell r="C764">
            <v>31102192</v>
          </cell>
          <cell r="D764">
            <v>31102192</v>
          </cell>
          <cell r="E764">
            <v>31102192</v>
          </cell>
          <cell r="F764">
            <v>31102192</v>
          </cell>
          <cell r="G764">
            <v>31102192</v>
          </cell>
          <cell r="H764">
            <v>31102192</v>
          </cell>
          <cell r="I764" t="str">
            <v/>
          </cell>
          <cell r="J764" t="str">
            <v/>
          </cell>
          <cell r="K764" t="str">
            <v/>
          </cell>
          <cell r="L764" t="str">
            <v/>
          </cell>
          <cell r="M764" t="str">
            <v/>
          </cell>
        </row>
        <row r="765">
          <cell r="A765">
            <v>31102192</v>
          </cell>
          <cell r="C765">
            <v>31102192</v>
          </cell>
          <cell r="D765">
            <v>31102192</v>
          </cell>
          <cell r="E765">
            <v>31102192</v>
          </cell>
          <cell r="F765">
            <v>31102192</v>
          </cell>
          <cell r="G765">
            <v>31102192</v>
          </cell>
          <cell r="H765">
            <v>31102192</v>
          </cell>
          <cell r="I765" t="str">
            <v/>
          </cell>
          <cell r="J765" t="str">
            <v/>
          </cell>
          <cell r="K765" t="str">
            <v/>
          </cell>
          <cell r="L765" t="str">
            <v/>
          </cell>
          <cell r="M765" t="str">
            <v/>
          </cell>
        </row>
        <row r="766">
          <cell r="A766">
            <v>31102192</v>
          </cell>
          <cell r="C766">
            <v>31102192</v>
          </cell>
          <cell r="D766">
            <v>31102192</v>
          </cell>
          <cell r="E766">
            <v>31102192</v>
          </cell>
          <cell r="F766">
            <v>31102192</v>
          </cell>
          <cell r="G766">
            <v>31102192</v>
          </cell>
          <cell r="H766">
            <v>31102192</v>
          </cell>
          <cell r="I766" t="str">
            <v/>
          </cell>
          <cell r="J766" t="str">
            <v/>
          </cell>
          <cell r="K766" t="str">
            <v/>
          </cell>
          <cell r="L766" t="str">
            <v/>
          </cell>
          <cell r="M766" t="str">
            <v/>
          </cell>
        </row>
        <row r="767">
          <cell r="A767">
            <v>31102192</v>
          </cell>
          <cell r="C767">
            <v>31102192</v>
          </cell>
          <cell r="D767">
            <v>31102192</v>
          </cell>
          <cell r="E767">
            <v>31102192</v>
          </cell>
          <cell r="F767">
            <v>31102192</v>
          </cell>
          <cell r="G767">
            <v>31102192</v>
          </cell>
          <cell r="H767">
            <v>31102192</v>
          </cell>
          <cell r="I767" t="str">
            <v/>
          </cell>
          <cell r="J767" t="str">
            <v/>
          </cell>
          <cell r="K767" t="str">
            <v/>
          </cell>
          <cell r="L767" t="str">
            <v/>
          </cell>
          <cell r="M767" t="str">
            <v/>
          </cell>
        </row>
        <row r="768">
          <cell r="A768">
            <v>31102192</v>
          </cell>
          <cell r="C768">
            <v>31102192</v>
          </cell>
          <cell r="D768">
            <v>31102192</v>
          </cell>
          <cell r="E768">
            <v>31102192</v>
          </cell>
          <cell r="F768">
            <v>31102192</v>
          </cell>
          <cell r="G768">
            <v>31102192</v>
          </cell>
          <cell r="H768">
            <v>31102192</v>
          </cell>
          <cell r="I768" t="str">
            <v/>
          </cell>
          <cell r="J768" t="str">
            <v/>
          </cell>
          <cell r="K768" t="str">
            <v/>
          </cell>
          <cell r="L768" t="str">
            <v/>
          </cell>
          <cell r="M768" t="str">
            <v/>
          </cell>
        </row>
        <row r="769">
          <cell r="A769">
            <v>31102192</v>
          </cell>
          <cell r="C769">
            <v>31102192</v>
          </cell>
          <cell r="D769">
            <v>31102192</v>
          </cell>
          <cell r="E769">
            <v>31102192</v>
          </cell>
          <cell r="F769">
            <v>31102192</v>
          </cell>
          <cell r="G769">
            <v>31102192</v>
          </cell>
          <cell r="H769">
            <v>31102192</v>
          </cell>
          <cell r="I769" t="str">
            <v/>
          </cell>
          <cell r="J769" t="str">
            <v/>
          </cell>
          <cell r="K769" t="str">
            <v/>
          </cell>
          <cell r="L769" t="str">
            <v/>
          </cell>
          <cell r="M769" t="str">
            <v/>
          </cell>
        </row>
        <row r="770">
          <cell r="A770">
            <v>31102192</v>
          </cell>
          <cell r="C770">
            <v>31102192</v>
          </cell>
          <cell r="D770">
            <v>31102192</v>
          </cell>
          <cell r="E770">
            <v>31102192</v>
          </cell>
          <cell r="F770">
            <v>31102192</v>
          </cell>
          <cell r="G770">
            <v>31102192</v>
          </cell>
          <cell r="H770">
            <v>31102192</v>
          </cell>
          <cell r="I770" t="str">
            <v/>
          </cell>
          <cell r="J770" t="str">
            <v/>
          </cell>
          <cell r="K770" t="str">
            <v/>
          </cell>
          <cell r="L770" t="str">
            <v/>
          </cell>
          <cell r="M770" t="str">
            <v/>
          </cell>
        </row>
        <row r="771">
          <cell r="A771">
            <v>31102192</v>
          </cell>
          <cell r="C771">
            <v>31102192</v>
          </cell>
          <cell r="D771">
            <v>31102192</v>
          </cell>
          <cell r="E771">
            <v>31102192</v>
          </cell>
          <cell r="F771">
            <v>31102192</v>
          </cell>
          <cell r="G771">
            <v>31102192</v>
          </cell>
          <cell r="H771">
            <v>31102192</v>
          </cell>
          <cell r="I771" t="str">
            <v/>
          </cell>
          <cell r="J771" t="str">
            <v/>
          </cell>
          <cell r="K771" t="str">
            <v/>
          </cell>
          <cell r="L771" t="str">
            <v/>
          </cell>
          <cell r="M771" t="str">
            <v/>
          </cell>
        </row>
        <row r="772">
          <cell r="A772">
            <v>31102192</v>
          </cell>
          <cell r="C772">
            <v>31102192</v>
          </cell>
          <cell r="D772">
            <v>31102192</v>
          </cell>
          <cell r="E772">
            <v>31102192</v>
          </cell>
          <cell r="F772">
            <v>31102192</v>
          </cell>
          <cell r="G772">
            <v>31102192</v>
          </cell>
          <cell r="H772">
            <v>31102192</v>
          </cell>
          <cell r="I772" t="str">
            <v/>
          </cell>
          <cell r="J772" t="str">
            <v/>
          </cell>
          <cell r="K772" t="str">
            <v/>
          </cell>
          <cell r="L772" t="str">
            <v/>
          </cell>
          <cell r="M772" t="str">
            <v/>
          </cell>
        </row>
        <row r="773">
          <cell r="A773">
            <v>31102192</v>
          </cell>
          <cell r="C773">
            <v>31102192</v>
          </cell>
          <cell r="D773">
            <v>31102192</v>
          </cell>
          <cell r="E773">
            <v>31102192</v>
          </cell>
          <cell r="F773">
            <v>31102192</v>
          </cell>
          <cell r="G773">
            <v>31102192</v>
          </cell>
          <cell r="H773">
            <v>31102192</v>
          </cell>
          <cell r="I773" t="str">
            <v/>
          </cell>
          <cell r="J773" t="str">
            <v/>
          </cell>
          <cell r="K773" t="str">
            <v/>
          </cell>
          <cell r="L773" t="str">
            <v/>
          </cell>
          <cell r="M773" t="str">
            <v/>
          </cell>
        </row>
        <row r="774">
          <cell r="A774">
            <v>31102192</v>
          </cell>
          <cell r="C774">
            <v>31102192</v>
          </cell>
          <cell r="D774">
            <v>31102192</v>
          </cell>
          <cell r="E774">
            <v>31102192</v>
          </cell>
          <cell r="F774">
            <v>31102192</v>
          </cell>
          <cell r="G774">
            <v>31102192</v>
          </cell>
          <cell r="H774">
            <v>31102192</v>
          </cell>
          <cell r="I774" t="str">
            <v/>
          </cell>
          <cell r="J774" t="str">
            <v/>
          </cell>
          <cell r="K774" t="str">
            <v/>
          </cell>
          <cell r="L774" t="str">
            <v/>
          </cell>
          <cell r="M774" t="str">
            <v/>
          </cell>
        </row>
        <row r="775">
          <cell r="A775">
            <v>31102192</v>
          </cell>
          <cell r="C775">
            <v>31102192</v>
          </cell>
          <cell r="D775">
            <v>31102192</v>
          </cell>
          <cell r="E775">
            <v>31102192</v>
          </cell>
          <cell r="F775">
            <v>31102192</v>
          </cell>
          <cell r="G775">
            <v>31102192</v>
          </cell>
          <cell r="H775">
            <v>31102192</v>
          </cell>
          <cell r="I775" t="str">
            <v/>
          </cell>
          <cell r="J775" t="str">
            <v/>
          </cell>
          <cell r="K775" t="str">
            <v/>
          </cell>
          <cell r="L775" t="str">
            <v/>
          </cell>
          <cell r="M775" t="str">
            <v/>
          </cell>
        </row>
        <row r="776">
          <cell r="A776">
            <v>31102192</v>
          </cell>
          <cell r="C776">
            <v>31102192</v>
          </cell>
          <cell r="D776">
            <v>31102192</v>
          </cell>
          <cell r="E776">
            <v>31102192</v>
          </cell>
          <cell r="F776">
            <v>31102192</v>
          </cell>
          <cell r="G776">
            <v>31102192</v>
          </cell>
          <cell r="H776">
            <v>31102192</v>
          </cell>
          <cell r="I776" t="str">
            <v/>
          </cell>
          <cell r="J776" t="str">
            <v/>
          </cell>
          <cell r="K776" t="str">
            <v/>
          </cell>
          <cell r="L776" t="str">
            <v/>
          </cell>
          <cell r="M776" t="str">
            <v/>
          </cell>
        </row>
        <row r="777">
          <cell r="A777">
            <v>31102192</v>
          </cell>
          <cell r="C777">
            <v>31102192</v>
          </cell>
          <cell r="D777">
            <v>31102192</v>
          </cell>
          <cell r="E777">
            <v>31102192</v>
          </cell>
          <cell r="F777">
            <v>31102192</v>
          </cell>
          <cell r="G777">
            <v>31102192</v>
          </cell>
          <cell r="H777">
            <v>31102192</v>
          </cell>
          <cell r="I777" t="str">
            <v/>
          </cell>
          <cell r="J777" t="str">
            <v/>
          </cell>
          <cell r="K777" t="str">
            <v/>
          </cell>
          <cell r="L777" t="str">
            <v/>
          </cell>
          <cell r="M777" t="str">
            <v/>
          </cell>
        </row>
        <row r="778">
          <cell r="A778">
            <v>31102192</v>
          </cell>
          <cell r="C778">
            <v>31102192</v>
          </cell>
          <cell r="D778">
            <v>31102192</v>
          </cell>
          <cell r="E778">
            <v>31102192</v>
          </cell>
          <cell r="F778">
            <v>31102192</v>
          </cell>
          <cell r="G778">
            <v>31102192</v>
          </cell>
          <cell r="H778">
            <v>31102192</v>
          </cell>
          <cell r="I778" t="str">
            <v/>
          </cell>
          <cell r="J778" t="str">
            <v/>
          </cell>
          <cell r="K778" t="str">
            <v/>
          </cell>
          <cell r="L778" t="str">
            <v/>
          </cell>
          <cell r="M778" t="str">
            <v/>
          </cell>
        </row>
        <row r="779">
          <cell r="A779">
            <v>31102192</v>
          </cell>
          <cell r="C779">
            <v>31102192</v>
          </cell>
          <cell r="D779">
            <v>31102192</v>
          </cell>
          <cell r="E779">
            <v>31102192</v>
          </cell>
          <cell r="F779">
            <v>31102192</v>
          </cell>
          <cell r="G779">
            <v>31102192</v>
          </cell>
          <cell r="H779">
            <v>31102192</v>
          </cell>
          <cell r="I779" t="str">
            <v/>
          </cell>
          <cell r="J779" t="str">
            <v/>
          </cell>
          <cell r="K779" t="str">
            <v/>
          </cell>
          <cell r="L779" t="str">
            <v/>
          </cell>
          <cell r="M779" t="str">
            <v/>
          </cell>
        </row>
        <row r="780">
          <cell r="A780">
            <v>31102192</v>
          </cell>
          <cell r="C780">
            <v>31102192</v>
          </cell>
          <cell r="D780">
            <v>31102192</v>
          </cell>
          <cell r="E780">
            <v>31102192</v>
          </cell>
          <cell r="F780">
            <v>31102192</v>
          </cell>
          <cell r="G780">
            <v>31102192</v>
          </cell>
          <cell r="H780">
            <v>31102192</v>
          </cell>
          <cell r="I780" t="str">
            <v/>
          </cell>
          <cell r="J780" t="str">
            <v/>
          </cell>
          <cell r="K780" t="str">
            <v/>
          </cell>
          <cell r="L780" t="str">
            <v/>
          </cell>
          <cell r="M780" t="str">
            <v/>
          </cell>
        </row>
        <row r="781">
          <cell r="A781">
            <v>31102192</v>
          </cell>
          <cell r="C781">
            <v>31102192</v>
          </cell>
          <cell r="D781">
            <v>31102192</v>
          </cell>
          <cell r="E781">
            <v>31102192</v>
          </cell>
          <cell r="F781">
            <v>31102192</v>
          </cell>
          <cell r="G781">
            <v>31102192</v>
          </cell>
          <cell r="H781">
            <v>31102192</v>
          </cell>
          <cell r="I781" t="str">
            <v/>
          </cell>
          <cell r="J781" t="str">
            <v/>
          </cell>
          <cell r="K781" t="str">
            <v/>
          </cell>
          <cell r="L781" t="str">
            <v/>
          </cell>
          <cell r="M781" t="str">
            <v/>
          </cell>
        </row>
        <row r="782">
          <cell r="A782">
            <v>31102192</v>
          </cell>
          <cell r="C782">
            <v>31102192</v>
          </cell>
          <cell r="D782">
            <v>31102192</v>
          </cell>
          <cell r="E782">
            <v>31102192</v>
          </cell>
          <cell r="F782">
            <v>31102192</v>
          </cell>
          <cell r="G782">
            <v>31102192</v>
          </cell>
          <cell r="H782">
            <v>31102192</v>
          </cell>
          <cell r="I782" t="str">
            <v/>
          </cell>
          <cell r="J782" t="str">
            <v/>
          </cell>
          <cell r="K782" t="str">
            <v/>
          </cell>
          <cell r="L782" t="str">
            <v/>
          </cell>
          <cell r="M782" t="str">
            <v/>
          </cell>
        </row>
        <row r="783">
          <cell r="A783">
            <v>31102192</v>
          </cell>
          <cell r="C783">
            <v>31102192</v>
          </cell>
          <cell r="D783">
            <v>31102192</v>
          </cell>
          <cell r="E783">
            <v>31102192</v>
          </cell>
          <cell r="F783">
            <v>31102192</v>
          </cell>
          <cell r="G783">
            <v>31102192</v>
          </cell>
          <cell r="H783">
            <v>31102192</v>
          </cell>
          <cell r="I783" t="str">
            <v/>
          </cell>
          <cell r="J783" t="str">
            <v/>
          </cell>
          <cell r="K783" t="str">
            <v/>
          </cell>
          <cell r="L783" t="str">
            <v/>
          </cell>
          <cell r="M783" t="str">
            <v/>
          </cell>
        </row>
        <row r="784">
          <cell r="A784">
            <v>31102192</v>
          </cell>
          <cell r="C784">
            <v>31102192</v>
          </cell>
          <cell r="D784">
            <v>31102192</v>
          </cell>
          <cell r="E784">
            <v>31102192</v>
          </cell>
          <cell r="F784">
            <v>31102192</v>
          </cell>
          <cell r="G784">
            <v>31102192</v>
          </cell>
          <cell r="H784">
            <v>31102192</v>
          </cell>
          <cell r="I784" t="str">
            <v/>
          </cell>
          <cell r="J784" t="str">
            <v/>
          </cell>
          <cell r="K784" t="str">
            <v/>
          </cell>
          <cell r="L784" t="str">
            <v/>
          </cell>
          <cell r="M784" t="str">
            <v/>
          </cell>
        </row>
        <row r="785">
          <cell r="A785">
            <v>31102192</v>
          </cell>
          <cell r="C785">
            <v>31102192</v>
          </cell>
          <cell r="D785">
            <v>31102192</v>
          </cell>
          <cell r="E785">
            <v>31102192</v>
          </cell>
          <cell r="F785">
            <v>31102192</v>
          </cell>
          <cell r="G785">
            <v>31102192</v>
          </cell>
          <cell r="H785">
            <v>31102192</v>
          </cell>
          <cell r="I785" t="str">
            <v/>
          </cell>
          <cell r="J785" t="str">
            <v/>
          </cell>
          <cell r="K785" t="str">
            <v/>
          </cell>
          <cell r="L785" t="str">
            <v/>
          </cell>
          <cell r="M785" t="str">
            <v/>
          </cell>
        </row>
        <row r="786">
          <cell r="A786">
            <v>31102192</v>
          </cell>
          <cell r="C786">
            <v>31102192</v>
          </cell>
          <cell r="D786">
            <v>31102192</v>
          </cell>
          <cell r="E786">
            <v>31102192</v>
          </cell>
          <cell r="F786">
            <v>31102192</v>
          </cell>
          <cell r="G786">
            <v>31102192</v>
          </cell>
          <cell r="H786">
            <v>31102192</v>
          </cell>
          <cell r="I786" t="str">
            <v/>
          </cell>
          <cell r="J786" t="str">
            <v/>
          </cell>
          <cell r="K786" t="str">
            <v/>
          </cell>
          <cell r="L786" t="str">
            <v/>
          </cell>
          <cell r="M786" t="str">
            <v/>
          </cell>
        </row>
        <row r="787">
          <cell r="A787">
            <v>31102192</v>
          </cell>
          <cell r="C787">
            <v>31102192</v>
          </cell>
          <cell r="D787">
            <v>31102192</v>
          </cell>
          <cell r="E787">
            <v>31102192</v>
          </cell>
          <cell r="F787">
            <v>31102192</v>
          </cell>
          <cell r="G787">
            <v>31102192</v>
          </cell>
          <cell r="H787">
            <v>31102192</v>
          </cell>
          <cell r="I787" t="str">
            <v/>
          </cell>
          <cell r="J787" t="str">
            <v/>
          </cell>
          <cell r="K787" t="str">
            <v/>
          </cell>
          <cell r="L787" t="str">
            <v/>
          </cell>
          <cell r="M787" t="str">
            <v/>
          </cell>
        </row>
        <row r="788">
          <cell r="A788">
            <v>31102192</v>
          </cell>
          <cell r="C788">
            <v>31102192</v>
          </cell>
          <cell r="D788">
            <v>31102192</v>
          </cell>
          <cell r="E788">
            <v>31102192</v>
          </cell>
          <cell r="F788">
            <v>31102192</v>
          </cell>
          <cell r="G788">
            <v>31102192</v>
          </cell>
          <cell r="H788">
            <v>31102192</v>
          </cell>
          <cell r="I788" t="str">
            <v/>
          </cell>
          <cell r="J788" t="str">
            <v/>
          </cell>
          <cell r="K788" t="str">
            <v/>
          </cell>
          <cell r="L788" t="str">
            <v/>
          </cell>
          <cell r="M788" t="str">
            <v/>
          </cell>
        </row>
        <row r="789">
          <cell r="A789">
            <v>31102192</v>
          </cell>
          <cell r="C789">
            <v>31102192</v>
          </cell>
          <cell r="D789">
            <v>31102192</v>
          </cell>
          <cell r="E789">
            <v>31102192</v>
          </cell>
          <cell r="F789">
            <v>31102192</v>
          </cell>
          <cell r="G789">
            <v>31102192</v>
          </cell>
          <cell r="H789">
            <v>31102192</v>
          </cell>
          <cell r="I789" t="str">
            <v/>
          </cell>
          <cell r="J789" t="str">
            <v/>
          </cell>
          <cell r="K789" t="str">
            <v/>
          </cell>
          <cell r="L789" t="str">
            <v/>
          </cell>
          <cell r="M789" t="str">
            <v/>
          </cell>
        </row>
        <row r="790">
          <cell r="A790">
            <v>31102192</v>
          </cell>
          <cell r="C790">
            <v>31102192</v>
          </cell>
          <cell r="D790">
            <v>31102192</v>
          </cell>
          <cell r="E790">
            <v>31102192</v>
          </cell>
          <cell r="F790">
            <v>31102192</v>
          </cell>
          <cell r="G790">
            <v>31102192</v>
          </cell>
          <cell r="H790">
            <v>31102192</v>
          </cell>
          <cell r="I790" t="str">
            <v/>
          </cell>
          <cell r="J790" t="str">
            <v/>
          </cell>
          <cell r="K790" t="str">
            <v/>
          </cell>
          <cell r="L790" t="str">
            <v/>
          </cell>
          <cell r="M790" t="str">
            <v/>
          </cell>
        </row>
        <row r="791">
          <cell r="A791">
            <v>31102192</v>
          </cell>
          <cell r="C791">
            <v>31102192</v>
          </cell>
          <cell r="D791">
            <v>31102192</v>
          </cell>
          <cell r="E791">
            <v>31102192</v>
          </cell>
          <cell r="F791">
            <v>31102192</v>
          </cell>
          <cell r="G791">
            <v>31102192</v>
          </cell>
          <cell r="H791">
            <v>31102192</v>
          </cell>
          <cell r="I791" t="str">
            <v/>
          </cell>
          <cell r="J791" t="str">
            <v/>
          </cell>
          <cell r="K791" t="str">
            <v/>
          </cell>
          <cell r="L791" t="str">
            <v/>
          </cell>
          <cell r="M791" t="str">
            <v/>
          </cell>
        </row>
        <row r="792">
          <cell r="A792">
            <v>31102192</v>
          </cell>
          <cell r="C792">
            <v>31102192</v>
          </cell>
          <cell r="D792">
            <v>31102192</v>
          </cell>
          <cell r="E792">
            <v>31102192</v>
          </cell>
          <cell r="F792">
            <v>31102192</v>
          </cell>
          <cell r="G792">
            <v>31102192</v>
          </cell>
          <cell r="H792">
            <v>31102192</v>
          </cell>
          <cell r="I792" t="str">
            <v/>
          </cell>
          <cell r="J792" t="str">
            <v/>
          </cell>
          <cell r="K792" t="str">
            <v/>
          </cell>
          <cell r="L792" t="str">
            <v/>
          </cell>
          <cell r="M792" t="str">
            <v/>
          </cell>
        </row>
        <row r="793">
          <cell r="A793">
            <v>31102192</v>
          </cell>
          <cell r="C793">
            <v>31102192</v>
          </cell>
          <cell r="D793">
            <v>31102192</v>
          </cell>
          <cell r="E793">
            <v>31102192</v>
          </cell>
          <cell r="F793">
            <v>31102192</v>
          </cell>
          <cell r="G793">
            <v>31102192</v>
          </cell>
          <cell r="H793">
            <v>31102192</v>
          </cell>
          <cell r="I793" t="str">
            <v/>
          </cell>
          <cell r="J793" t="str">
            <v/>
          </cell>
          <cell r="K793" t="str">
            <v/>
          </cell>
          <cell r="L793" t="str">
            <v/>
          </cell>
          <cell r="M793" t="str">
            <v/>
          </cell>
        </row>
        <row r="794">
          <cell r="A794">
            <v>31102192</v>
          </cell>
          <cell r="C794">
            <v>31102192</v>
          </cell>
          <cell r="D794">
            <v>31102192</v>
          </cell>
          <cell r="E794">
            <v>31102192</v>
          </cell>
          <cell r="F794">
            <v>31102192</v>
          </cell>
          <cell r="G794">
            <v>31102192</v>
          </cell>
          <cell r="H794">
            <v>31102192</v>
          </cell>
          <cell r="I794" t="str">
            <v/>
          </cell>
          <cell r="J794" t="str">
            <v/>
          </cell>
          <cell r="K794" t="str">
            <v/>
          </cell>
          <cell r="L794" t="str">
            <v/>
          </cell>
          <cell r="M794" t="str">
            <v/>
          </cell>
        </row>
        <row r="795">
          <cell r="A795">
            <v>31102192</v>
          </cell>
          <cell r="C795">
            <v>31102192</v>
          </cell>
          <cell r="D795">
            <v>31102192</v>
          </cell>
          <cell r="E795">
            <v>31102192</v>
          </cell>
          <cell r="F795">
            <v>31102192</v>
          </cell>
          <cell r="G795">
            <v>31102192</v>
          </cell>
          <cell r="H795">
            <v>31102192</v>
          </cell>
          <cell r="I795" t="str">
            <v/>
          </cell>
          <cell r="J795" t="str">
            <v/>
          </cell>
          <cell r="K795" t="str">
            <v/>
          </cell>
          <cell r="L795" t="str">
            <v/>
          </cell>
          <cell r="M795" t="str">
            <v/>
          </cell>
        </row>
        <row r="796">
          <cell r="A796">
            <v>31102192</v>
          </cell>
          <cell r="C796">
            <v>31102192</v>
          </cell>
          <cell r="D796">
            <v>31102192</v>
          </cell>
          <cell r="E796">
            <v>31102192</v>
          </cell>
          <cell r="F796">
            <v>31102192</v>
          </cell>
          <cell r="G796">
            <v>31102192</v>
          </cell>
          <cell r="H796">
            <v>31102192</v>
          </cell>
          <cell r="I796" t="str">
            <v/>
          </cell>
          <cell r="J796" t="str">
            <v/>
          </cell>
          <cell r="K796" t="str">
            <v/>
          </cell>
          <cell r="L796" t="str">
            <v/>
          </cell>
          <cell r="M796" t="str">
            <v/>
          </cell>
        </row>
        <row r="797">
          <cell r="A797">
            <v>31102192</v>
          </cell>
          <cell r="C797">
            <v>31102192</v>
          </cell>
          <cell r="D797">
            <v>31102192</v>
          </cell>
          <cell r="E797">
            <v>31102192</v>
          </cell>
          <cell r="F797">
            <v>31102192</v>
          </cell>
          <cell r="G797">
            <v>31102192</v>
          </cell>
          <cell r="H797">
            <v>31102192</v>
          </cell>
          <cell r="I797" t="str">
            <v/>
          </cell>
          <cell r="J797" t="str">
            <v/>
          </cell>
          <cell r="K797" t="str">
            <v/>
          </cell>
          <cell r="L797" t="str">
            <v/>
          </cell>
          <cell r="M797" t="str">
            <v/>
          </cell>
        </row>
        <row r="798">
          <cell r="A798">
            <v>31102192</v>
          </cell>
          <cell r="C798">
            <v>31102192</v>
          </cell>
          <cell r="D798">
            <v>31102192</v>
          </cell>
          <cell r="E798">
            <v>31102192</v>
          </cell>
          <cell r="F798">
            <v>31102192</v>
          </cell>
          <cell r="G798">
            <v>31102192</v>
          </cell>
          <cell r="H798">
            <v>31102192</v>
          </cell>
          <cell r="I798" t="str">
            <v/>
          </cell>
          <cell r="J798" t="str">
            <v/>
          </cell>
          <cell r="K798" t="str">
            <v/>
          </cell>
          <cell r="L798" t="str">
            <v/>
          </cell>
          <cell r="M798" t="str">
            <v/>
          </cell>
        </row>
        <row r="799">
          <cell r="A799">
            <v>31102192</v>
          </cell>
          <cell r="C799">
            <v>31102192</v>
          </cell>
          <cell r="D799">
            <v>31102192</v>
          </cell>
          <cell r="E799">
            <v>31102192</v>
          </cell>
          <cell r="F799">
            <v>31102192</v>
          </cell>
          <cell r="G799">
            <v>31102192</v>
          </cell>
          <cell r="H799">
            <v>31102192</v>
          </cell>
          <cell r="I799" t="str">
            <v/>
          </cell>
          <cell r="J799" t="str">
            <v/>
          </cell>
          <cell r="K799" t="str">
            <v/>
          </cell>
          <cell r="L799" t="str">
            <v/>
          </cell>
          <cell r="M799" t="str">
            <v/>
          </cell>
        </row>
        <row r="800">
          <cell r="A800">
            <v>31102192</v>
          </cell>
          <cell r="C800">
            <v>31102192</v>
          </cell>
          <cell r="D800">
            <v>31102192</v>
          </cell>
          <cell r="E800">
            <v>31102192</v>
          </cell>
          <cell r="F800">
            <v>31102192</v>
          </cell>
          <cell r="G800">
            <v>31102192</v>
          </cell>
          <cell r="H800">
            <v>31102192</v>
          </cell>
          <cell r="I800" t="str">
            <v/>
          </cell>
          <cell r="J800" t="str">
            <v/>
          </cell>
          <cell r="K800" t="str">
            <v/>
          </cell>
          <cell r="L800" t="str">
            <v/>
          </cell>
          <cell r="M800" t="str">
            <v/>
          </cell>
        </row>
        <row r="801">
          <cell r="A801">
            <v>31102192</v>
          </cell>
          <cell r="C801">
            <v>31102192</v>
          </cell>
          <cell r="D801">
            <v>31102192</v>
          </cell>
          <cell r="E801">
            <v>31102192</v>
          </cell>
          <cell r="F801">
            <v>31102192</v>
          </cell>
          <cell r="G801">
            <v>31102192</v>
          </cell>
          <cell r="H801">
            <v>31102192</v>
          </cell>
          <cell r="I801" t="str">
            <v/>
          </cell>
          <cell r="J801" t="str">
            <v/>
          </cell>
          <cell r="K801" t="str">
            <v/>
          </cell>
          <cell r="L801" t="str">
            <v/>
          </cell>
          <cell r="M801" t="str">
            <v/>
          </cell>
        </row>
        <row r="802">
          <cell r="A802">
            <v>31102192</v>
          </cell>
          <cell r="C802">
            <v>31102192</v>
          </cell>
          <cell r="D802">
            <v>31102192</v>
          </cell>
          <cell r="E802">
            <v>31102192</v>
          </cell>
          <cell r="F802">
            <v>31102192</v>
          </cell>
          <cell r="G802">
            <v>31102192</v>
          </cell>
          <cell r="H802">
            <v>31102192</v>
          </cell>
          <cell r="I802" t="str">
            <v/>
          </cell>
          <cell r="J802" t="str">
            <v/>
          </cell>
          <cell r="K802" t="str">
            <v/>
          </cell>
          <cell r="L802" t="str">
            <v/>
          </cell>
          <cell r="M802" t="str">
            <v/>
          </cell>
        </row>
        <row r="803">
          <cell r="A803">
            <v>31102192</v>
          </cell>
          <cell r="C803">
            <v>31102192</v>
          </cell>
          <cell r="D803">
            <v>31102192</v>
          </cell>
          <cell r="E803">
            <v>31102192</v>
          </cell>
          <cell r="F803">
            <v>31102192</v>
          </cell>
          <cell r="G803">
            <v>31102192</v>
          </cell>
          <cell r="H803">
            <v>31102192</v>
          </cell>
          <cell r="I803" t="str">
            <v/>
          </cell>
          <cell r="J803" t="str">
            <v/>
          </cell>
          <cell r="K803" t="str">
            <v/>
          </cell>
          <cell r="L803" t="str">
            <v/>
          </cell>
          <cell r="M803" t="str">
            <v/>
          </cell>
        </row>
        <row r="804">
          <cell r="A804">
            <v>31102192</v>
          </cell>
          <cell r="C804">
            <v>31102192</v>
          </cell>
          <cell r="D804">
            <v>31102192</v>
          </cell>
          <cell r="E804">
            <v>31102192</v>
          </cell>
          <cell r="F804">
            <v>31102192</v>
          </cell>
          <cell r="G804">
            <v>31102192</v>
          </cell>
          <cell r="H804">
            <v>31102192</v>
          </cell>
          <cell r="I804" t="str">
            <v/>
          </cell>
          <cell r="J804" t="str">
            <v/>
          </cell>
          <cell r="K804" t="str">
            <v/>
          </cell>
          <cell r="L804" t="str">
            <v/>
          </cell>
          <cell r="M804" t="str">
            <v/>
          </cell>
        </row>
        <row r="805">
          <cell r="A805">
            <v>31102192</v>
          </cell>
          <cell r="C805">
            <v>31102192</v>
          </cell>
          <cell r="D805">
            <v>31102192</v>
          </cell>
          <cell r="E805">
            <v>31102192</v>
          </cell>
          <cell r="F805">
            <v>31102192</v>
          </cell>
          <cell r="G805">
            <v>31102192</v>
          </cell>
          <cell r="H805">
            <v>31102192</v>
          </cell>
          <cell r="I805" t="str">
            <v/>
          </cell>
          <cell r="J805" t="str">
            <v/>
          </cell>
          <cell r="K805" t="str">
            <v/>
          </cell>
          <cell r="L805" t="str">
            <v/>
          </cell>
          <cell r="M805" t="str">
            <v/>
          </cell>
        </row>
        <row r="806">
          <cell r="A806">
            <v>31102192</v>
          </cell>
          <cell r="C806">
            <v>31102192</v>
          </cell>
          <cell r="D806">
            <v>31102192</v>
          </cell>
          <cell r="E806">
            <v>31102192</v>
          </cell>
          <cell r="F806">
            <v>31102192</v>
          </cell>
          <cell r="G806">
            <v>31102192</v>
          </cell>
          <cell r="H806">
            <v>31102192</v>
          </cell>
          <cell r="I806" t="str">
            <v/>
          </cell>
          <cell r="J806" t="str">
            <v/>
          </cell>
          <cell r="K806" t="str">
            <v/>
          </cell>
          <cell r="L806" t="str">
            <v/>
          </cell>
          <cell r="M806" t="str">
            <v/>
          </cell>
        </row>
        <row r="807">
          <cell r="A807">
            <v>31102192</v>
          </cell>
          <cell r="C807">
            <v>31102192</v>
          </cell>
          <cell r="D807">
            <v>31102192</v>
          </cell>
          <cell r="E807">
            <v>31102192</v>
          </cell>
          <cell r="F807">
            <v>31102192</v>
          </cell>
          <cell r="G807">
            <v>31102192</v>
          </cell>
          <cell r="H807">
            <v>31102192</v>
          </cell>
          <cell r="I807" t="str">
            <v/>
          </cell>
          <cell r="J807" t="str">
            <v/>
          </cell>
          <cell r="K807" t="str">
            <v/>
          </cell>
          <cell r="L807" t="str">
            <v/>
          </cell>
          <cell r="M807" t="str">
            <v/>
          </cell>
        </row>
        <row r="808">
          <cell r="A808">
            <v>31102192</v>
          </cell>
          <cell r="C808">
            <v>31102192</v>
          </cell>
          <cell r="D808">
            <v>31102192</v>
          </cell>
          <cell r="E808">
            <v>31102192</v>
          </cell>
          <cell r="F808">
            <v>31102192</v>
          </cell>
          <cell r="G808">
            <v>31102192</v>
          </cell>
          <cell r="H808">
            <v>31102192</v>
          </cell>
          <cell r="I808" t="str">
            <v/>
          </cell>
          <cell r="J808" t="str">
            <v/>
          </cell>
          <cell r="K808" t="str">
            <v/>
          </cell>
          <cell r="L808" t="str">
            <v/>
          </cell>
          <cell r="M808" t="str">
            <v/>
          </cell>
        </row>
        <row r="809">
          <cell r="A809">
            <v>31102192</v>
          </cell>
          <cell r="C809">
            <v>31102192</v>
          </cell>
          <cell r="D809">
            <v>31102192</v>
          </cell>
          <cell r="E809">
            <v>31102192</v>
          </cell>
          <cell r="F809">
            <v>31102192</v>
          </cell>
          <cell r="G809">
            <v>31102192</v>
          </cell>
          <cell r="H809">
            <v>31102192</v>
          </cell>
          <cell r="I809" t="str">
            <v/>
          </cell>
          <cell r="J809" t="str">
            <v/>
          </cell>
          <cell r="K809" t="str">
            <v/>
          </cell>
          <cell r="L809" t="str">
            <v/>
          </cell>
          <cell r="M809" t="str">
            <v/>
          </cell>
        </row>
        <row r="810">
          <cell r="A810">
            <v>31102192</v>
          </cell>
          <cell r="C810">
            <v>31102192</v>
          </cell>
          <cell r="D810">
            <v>31102192</v>
          </cell>
          <cell r="E810">
            <v>31102192</v>
          </cell>
          <cell r="F810">
            <v>31102192</v>
          </cell>
          <cell r="G810">
            <v>31102192</v>
          </cell>
          <cell r="H810">
            <v>31102192</v>
          </cell>
          <cell r="I810" t="str">
            <v/>
          </cell>
          <cell r="J810" t="str">
            <v/>
          </cell>
          <cell r="K810" t="str">
            <v/>
          </cell>
          <cell r="L810" t="str">
            <v/>
          </cell>
          <cell r="M810" t="str">
            <v/>
          </cell>
        </row>
        <row r="811">
          <cell r="A811">
            <v>31102192</v>
          </cell>
          <cell r="C811">
            <v>31102192</v>
          </cell>
          <cell r="D811">
            <v>31102192</v>
          </cell>
          <cell r="E811">
            <v>31102192</v>
          </cell>
          <cell r="F811">
            <v>31102192</v>
          </cell>
          <cell r="G811">
            <v>31102192</v>
          </cell>
          <cell r="H811">
            <v>31102192</v>
          </cell>
          <cell r="I811" t="str">
            <v/>
          </cell>
          <cell r="J811" t="str">
            <v/>
          </cell>
          <cell r="K811" t="str">
            <v/>
          </cell>
          <cell r="L811" t="str">
            <v/>
          </cell>
          <cell r="M811" t="str">
            <v/>
          </cell>
        </row>
        <row r="812">
          <cell r="A812">
            <v>31102192</v>
          </cell>
          <cell r="C812">
            <v>31102192</v>
          </cell>
          <cell r="D812">
            <v>31102192</v>
          </cell>
          <cell r="E812">
            <v>31102192</v>
          </cell>
          <cell r="F812">
            <v>31102192</v>
          </cell>
          <cell r="G812">
            <v>31102192</v>
          </cell>
          <cell r="H812">
            <v>31102192</v>
          </cell>
          <cell r="I812" t="str">
            <v/>
          </cell>
          <cell r="J812" t="str">
            <v/>
          </cell>
          <cell r="K812" t="str">
            <v/>
          </cell>
          <cell r="L812" t="str">
            <v/>
          </cell>
          <cell r="M812" t="str">
            <v/>
          </cell>
        </row>
        <row r="813">
          <cell r="A813">
            <v>31102192</v>
          </cell>
          <cell r="C813">
            <v>31102192</v>
          </cell>
          <cell r="D813">
            <v>31102192</v>
          </cell>
          <cell r="E813">
            <v>31102192</v>
          </cell>
          <cell r="F813">
            <v>31102192</v>
          </cell>
          <cell r="G813">
            <v>31102192</v>
          </cell>
          <cell r="H813">
            <v>31102192</v>
          </cell>
          <cell r="I813" t="str">
            <v/>
          </cell>
          <cell r="J813" t="str">
            <v/>
          </cell>
          <cell r="K813" t="str">
            <v/>
          </cell>
          <cell r="L813" t="str">
            <v/>
          </cell>
          <cell r="M813" t="str">
            <v/>
          </cell>
        </row>
        <row r="814">
          <cell r="A814">
            <v>31102192</v>
          </cell>
          <cell r="C814">
            <v>31102192</v>
          </cell>
          <cell r="D814">
            <v>31102192</v>
          </cell>
          <cell r="E814">
            <v>31102192</v>
          </cell>
          <cell r="F814">
            <v>31102192</v>
          </cell>
          <cell r="G814">
            <v>31102192</v>
          </cell>
          <cell r="H814">
            <v>31102192</v>
          </cell>
          <cell r="I814" t="str">
            <v/>
          </cell>
          <cell r="J814" t="str">
            <v/>
          </cell>
          <cell r="K814" t="str">
            <v/>
          </cell>
          <cell r="L814" t="str">
            <v/>
          </cell>
          <cell r="M814" t="str">
            <v/>
          </cell>
        </row>
        <row r="815">
          <cell r="A815">
            <v>31102192</v>
          </cell>
          <cell r="C815">
            <v>31102192</v>
          </cell>
          <cell r="D815">
            <v>31102192</v>
          </cell>
          <cell r="E815">
            <v>31102192</v>
          </cell>
          <cell r="F815">
            <v>31102192</v>
          </cell>
          <cell r="G815">
            <v>31102192</v>
          </cell>
          <cell r="H815">
            <v>31102192</v>
          </cell>
          <cell r="I815" t="str">
            <v/>
          </cell>
          <cell r="J815" t="str">
            <v/>
          </cell>
          <cell r="K815" t="str">
            <v/>
          </cell>
          <cell r="L815" t="str">
            <v/>
          </cell>
          <cell r="M815" t="str">
            <v/>
          </cell>
        </row>
        <row r="816">
          <cell r="A816">
            <v>31102192</v>
          </cell>
          <cell r="C816">
            <v>31102192</v>
          </cell>
          <cell r="D816">
            <v>31102192</v>
          </cell>
          <cell r="E816">
            <v>31102192</v>
          </cell>
          <cell r="F816">
            <v>31102192</v>
          </cell>
          <cell r="G816">
            <v>31102192</v>
          </cell>
          <cell r="H816">
            <v>31102192</v>
          </cell>
          <cell r="I816" t="str">
            <v/>
          </cell>
          <cell r="J816" t="str">
            <v/>
          </cell>
          <cell r="K816" t="str">
            <v/>
          </cell>
          <cell r="L816" t="str">
            <v/>
          </cell>
          <cell r="M816" t="str">
            <v/>
          </cell>
        </row>
        <row r="817">
          <cell r="A817">
            <v>31102192</v>
          </cell>
          <cell r="C817">
            <v>31102192</v>
          </cell>
          <cell r="D817">
            <v>31102192</v>
          </cell>
          <cell r="E817">
            <v>31102192</v>
          </cell>
          <cell r="F817">
            <v>31102192</v>
          </cell>
          <cell r="G817">
            <v>31102192</v>
          </cell>
          <cell r="H817">
            <v>31102192</v>
          </cell>
          <cell r="I817" t="str">
            <v/>
          </cell>
          <cell r="J817" t="str">
            <v/>
          </cell>
          <cell r="K817" t="str">
            <v/>
          </cell>
          <cell r="L817" t="str">
            <v/>
          </cell>
          <cell r="M817" t="str">
            <v/>
          </cell>
        </row>
        <row r="818">
          <cell r="A818">
            <v>31102192</v>
          </cell>
          <cell r="C818">
            <v>31102192</v>
          </cell>
          <cell r="D818">
            <v>31102192</v>
          </cell>
          <cell r="E818">
            <v>31102192</v>
          </cell>
          <cell r="F818">
            <v>31102192</v>
          </cell>
          <cell r="G818">
            <v>31102192</v>
          </cell>
          <cell r="H818">
            <v>31102192</v>
          </cell>
          <cell r="I818" t="str">
            <v/>
          </cell>
          <cell r="J818" t="str">
            <v/>
          </cell>
          <cell r="K818" t="str">
            <v/>
          </cell>
          <cell r="L818" t="str">
            <v/>
          </cell>
          <cell r="M818" t="str">
            <v/>
          </cell>
        </row>
        <row r="819">
          <cell r="A819">
            <v>31102192</v>
          </cell>
          <cell r="C819">
            <v>31102192</v>
          </cell>
          <cell r="D819">
            <v>31102192</v>
          </cell>
          <cell r="E819">
            <v>31102192</v>
          </cell>
          <cell r="F819">
            <v>31102192</v>
          </cell>
          <cell r="G819">
            <v>31102192</v>
          </cell>
          <cell r="H819">
            <v>31102192</v>
          </cell>
          <cell r="I819" t="str">
            <v/>
          </cell>
          <cell r="J819" t="str">
            <v/>
          </cell>
          <cell r="K819" t="str">
            <v/>
          </cell>
          <cell r="L819" t="str">
            <v/>
          </cell>
          <cell r="M819" t="str">
            <v/>
          </cell>
        </row>
        <row r="820">
          <cell r="A820">
            <v>31102192</v>
          </cell>
          <cell r="C820">
            <v>31102192</v>
          </cell>
          <cell r="D820">
            <v>31102192</v>
          </cell>
          <cell r="E820">
            <v>31102192</v>
          </cell>
          <cell r="F820">
            <v>31102192</v>
          </cell>
          <cell r="G820">
            <v>31102192</v>
          </cell>
          <cell r="H820">
            <v>31102192</v>
          </cell>
          <cell r="I820" t="str">
            <v/>
          </cell>
          <cell r="J820" t="str">
            <v/>
          </cell>
          <cell r="K820" t="str">
            <v/>
          </cell>
          <cell r="L820" t="str">
            <v/>
          </cell>
          <cell r="M820" t="str">
            <v/>
          </cell>
        </row>
        <row r="821">
          <cell r="A821">
            <v>31102192</v>
          </cell>
          <cell r="C821">
            <v>31102192</v>
          </cell>
          <cell r="D821">
            <v>31102192</v>
          </cell>
          <cell r="E821">
            <v>31102192</v>
          </cell>
          <cell r="F821">
            <v>31102192</v>
          </cell>
          <cell r="G821">
            <v>31102192</v>
          </cell>
          <cell r="H821">
            <v>31102192</v>
          </cell>
          <cell r="I821" t="str">
            <v/>
          </cell>
          <cell r="J821" t="str">
            <v/>
          </cell>
          <cell r="K821" t="str">
            <v/>
          </cell>
          <cell r="L821" t="str">
            <v/>
          </cell>
          <cell r="M821" t="str">
            <v/>
          </cell>
        </row>
        <row r="822">
          <cell r="A822">
            <v>31102192</v>
          </cell>
          <cell r="C822">
            <v>31102192</v>
          </cell>
          <cell r="D822">
            <v>31102192</v>
          </cell>
          <cell r="E822">
            <v>31102192</v>
          </cell>
          <cell r="F822">
            <v>31102192</v>
          </cell>
          <cell r="G822">
            <v>31102192</v>
          </cell>
          <cell r="H822">
            <v>31102192</v>
          </cell>
          <cell r="I822" t="str">
            <v/>
          </cell>
          <cell r="J822" t="str">
            <v/>
          </cell>
          <cell r="K822" t="str">
            <v/>
          </cell>
          <cell r="L822" t="str">
            <v/>
          </cell>
          <cell r="M822" t="str">
            <v/>
          </cell>
        </row>
        <row r="823">
          <cell r="A823">
            <v>31102192</v>
          </cell>
          <cell r="C823">
            <v>31102192</v>
          </cell>
          <cell r="D823">
            <v>31102192</v>
          </cell>
          <cell r="E823">
            <v>31102192</v>
          </cell>
          <cell r="F823">
            <v>31102192</v>
          </cell>
          <cell r="G823">
            <v>31102192</v>
          </cell>
          <cell r="H823">
            <v>31102192</v>
          </cell>
          <cell r="I823" t="str">
            <v/>
          </cell>
          <cell r="J823" t="str">
            <v/>
          </cell>
          <cell r="K823" t="str">
            <v/>
          </cell>
          <cell r="L823" t="str">
            <v/>
          </cell>
          <cell r="M823" t="str">
            <v/>
          </cell>
        </row>
        <row r="824">
          <cell r="A824">
            <v>31102192</v>
          </cell>
          <cell r="C824">
            <v>31102192</v>
          </cell>
          <cell r="D824">
            <v>31102192</v>
          </cell>
          <cell r="E824">
            <v>31102192</v>
          </cell>
          <cell r="F824">
            <v>31102192</v>
          </cell>
          <cell r="G824">
            <v>31102192</v>
          </cell>
          <cell r="H824">
            <v>31102192</v>
          </cell>
          <cell r="I824" t="str">
            <v/>
          </cell>
          <cell r="J824" t="str">
            <v/>
          </cell>
          <cell r="K824" t="str">
            <v/>
          </cell>
          <cell r="L824" t="str">
            <v/>
          </cell>
          <cell r="M824" t="str">
            <v/>
          </cell>
        </row>
        <row r="825">
          <cell r="A825">
            <v>31102192</v>
          </cell>
          <cell r="C825">
            <v>31102192</v>
          </cell>
          <cell r="D825">
            <v>31102192</v>
          </cell>
          <cell r="E825">
            <v>31102192</v>
          </cell>
          <cell r="F825">
            <v>31102192</v>
          </cell>
          <cell r="G825">
            <v>31102192</v>
          </cell>
          <cell r="H825">
            <v>31102192</v>
          </cell>
          <cell r="I825" t="str">
            <v/>
          </cell>
          <cell r="J825" t="str">
            <v/>
          </cell>
          <cell r="K825" t="str">
            <v/>
          </cell>
          <cell r="L825" t="str">
            <v/>
          </cell>
          <cell r="M825" t="str">
            <v/>
          </cell>
        </row>
        <row r="826">
          <cell r="A826">
            <v>31102192</v>
          </cell>
          <cell r="C826">
            <v>31102192</v>
          </cell>
          <cell r="D826">
            <v>31102192</v>
          </cell>
          <cell r="E826">
            <v>31102192</v>
          </cell>
          <cell r="F826">
            <v>31102192</v>
          </cell>
          <cell r="G826">
            <v>31102192</v>
          </cell>
          <cell r="H826">
            <v>31102192</v>
          </cell>
          <cell r="I826" t="str">
            <v/>
          </cell>
          <cell r="J826" t="str">
            <v/>
          </cell>
          <cell r="K826" t="str">
            <v/>
          </cell>
          <cell r="L826" t="str">
            <v/>
          </cell>
          <cell r="M826" t="str">
            <v/>
          </cell>
        </row>
        <row r="827">
          <cell r="A827">
            <v>31102192</v>
          </cell>
          <cell r="C827">
            <v>31102192</v>
          </cell>
          <cell r="D827">
            <v>31102192</v>
          </cell>
          <cell r="E827">
            <v>31102192</v>
          </cell>
          <cell r="F827">
            <v>31102192</v>
          </cell>
          <cell r="G827">
            <v>31102192</v>
          </cell>
          <cell r="H827">
            <v>31102192</v>
          </cell>
          <cell r="I827" t="str">
            <v/>
          </cell>
          <cell r="J827" t="str">
            <v/>
          </cell>
          <cell r="K827" t="str">
            <v/>
          </cell>
          <cell r="L827" t="str">
            <v/>
          </cell>
          <cell r="M827" t="str">
            <v/>
          </cell>
        </row>
        <row r="828">
          <cell r="A828">
            <v>31102192</v>
          </cell>
          <cell r="C828">
            <v>31102192</v>
          </cell>
          <cell r="D828">
            <v>31102192</v>
          </cell>
          <cell r="E828">
            <v>31102192</v>
          </cell>
          <cell r="F828">
            <v>31102192</v>
          </cell>
          <cell r="G828">
            <v>31102192</v>
          </cell>
          <cell r="H828">
            <v>31102192</v>
          </cell>
          <cell r="I828" t="str">
            <v/>
          </cell>
          <cell r="J828" t="str">
            <v/>
          </cell>
          <cell r="K828" t="str">
            <v/>
          </cell>
          <cell r="L828" t="str">
            <v/>
          </cell>
          <cell r="M828" t="str">
            <v/>
          </cell>
        </row>
        <row r="829">
          <cell r="A829">
            <v>31102192</v>
          </cell>
          <cell r="C829">
            <v>31102192</v>
          </cell>
          <cell r="D829">
            <v>31102192</v>
          </cell>
          <cell r="E829">
            <v>31102192</v>
          </cell>
          <cell r="F829">
            <v>31102192</v>
          </cell>
          <cell r="G829">
            <v>31102192</v>
          </cell>
          <cell r="H829">
            <v>31102192</v>
          </cell>
          <cell r="I829" t="str">
            <v/>
          </cell>
          <cell r="J829" t="str">
            <v/>
          </cell>
          <cell r="K829" t="str">
            <v/>
          </cell>
          <cell r="L829" t="str">
            <v/>
          </cell>
          <cell r="M829" t="str">
            <v/>
          </cell>
        </row>
        <row r="830">
          <cell r="A830">
            <v>31102192</v>
          </cell>
          <cell r="C830">
            <v>31102192</v>
          </cell>
          <cell r="D830">
            <v>31102192</v>
          </cell>
          <cell r="E830">
            <v>31102192</v>
          </cell>
          <cell r="F830">
            <v>31102192</v>
          </cell>
          <cell r="G830">
            <v>31102192</v>
          </cell>
          <cell r="H830">
            <v>31102192</v>
          </cell>
          <cell r="I830" t="str">
            <v/>
          </cell>
          <cell r="J830" t="str">
            <v/>
          </cell>
          <cell r="K830" t="str">
            <v/>
          </cell>
          <cell r="L830" t="str">
            <v/>
          </cell>
          <cell r="M830" t="str">
            <v/>
          </cell>
        </row>
        <row r="831">
          <cell r="A831">
            <v>31102192</v>
          </cell>
          <cell r="C831">
            <v>31102192</v>
          </cell>
          <cell r="D831">
            <v>31102192</v>
          </cell>
          <cell r="E831">
            <v>31102192</v>
          </cell>
          <cell r="F831">
            <v>31102192</v>
          </cell>
          <cell r="G831">
            <v>31102192</v>
          </cell>
          <cell r="H831">
            <v>31102192</v>
          </cell>
          <cell r="I831" t="str">
            <v/>
          </cell>
          <cell r="J831" t="str">
            <v/>
          </cell>
          <cell r="K831" t="str">
            <v/>
          </cell>
          <cell r="L831" t="str">
            <v/>
          </cell>
          <cell r="M831" t="str">
            <v/>
          </cell>
        </row>
        <row r="832">
          <cell r="A832">
            <v>31102192</v>
          </cell>
          <cell r="C832">
            <v>31102192</v>
          </cell>
          <cell r="D832">
            <v>31102192</v>
          </cell>
          <cell r="E832">
            <v>31102192</v>
          </cell>
          <cell r="F832">
            <v>31102192</v>
          </cell>
          <cell r="G832">
            <v>31102192</v>
          </cell>
          <cell r="H832">
            <v>31102192</v>
          </cell>
          <cell r="I832" t="str">
            <v/>
          </cell>
          <cell r="J832" t="str">
            <v/>
          </cell>
          <cell r="K832" t="str">
            <v/>
          </cell>
          <cell r="L832" t="str">
            <v/>
          </cell>
          <cell r="M832" t="str">
            <v/>
          </cell>
        </row>
        <row r="833">
          <cell r="A833">
            <v>31102192</v>
          </cell>
          <cell r="C833">
            <v>31102192</v>
          </cell>
          <cell r="D833">
            <v>31102192</v>
          </cell>
          <cell r="E833">
            <v>31102192</v>
          </cell>
          <cell r="F833">
            <v>31102192</v>
          </cell>
          <cell r="G833">
            <v>31102192</v>
          </cell>
          <cell r="H833">
            <v>31102192</v>
          </cell>
          <cell r="I833" t="str">
            <v/>
          </cell>
          <cell r="J833" t="str">
            <v/>
          </cell>
          <cell r="K833" t="str">
            <v/>
          </cell>
          <cell r="L833" t="str">
            <v/>
          </cell>
          <cell r="M833" t="str">
            <v/>
          </cell>
        </row>
        <row r="834">
          <cell r="A834">
            <v>31102192</v>
          </cell>
          <cell r="C834">
            <v>31102192</v>
          </cell>
          <cell r="D834">
            <v>31102192</v>
          </cell>
          <cell r="E834">
            <v>31102192</v>
          </cell>
          <cell r="F834">
            <v>31102192</v>
          </cell>
          <cell r="G834">
            <v>31102192</v>
          </cell>
          <cell r="H834">
            <v>31102192</v>
          </cell>
          <cell r="I834" t="str">
            <v/>
          </cell>
          <cell r="J834" t="str">
            <v/>
          </cell>
          <cell r="K834" t="str">
            <v/>
          </cell>
          <cell r="L834" t="str">
            <v/>
          </cell>
          <cell r="M834" t="str">
            <v/>
          </cell>
        </row>
        <row r="835">
          <cell r="A835">
            <v>31102192</v>
          </cell>
          <cell r="C835">
            <v>31102192</v>
          </cell>
          <cell r="D835">
            <v>31102192</v>
          </cell>
          <cell r="E835">
            <v>31102192</v>
          </cell>
          <cell r="F835">
            <v>31102192</v>
          </cell>
          <cell r="G835">
            <v>31102192</v>
          </cell>
          <cell r="H835">
            <v>31102192</v>
          </cell>
          <cell r="I835" t="str">
            <v/>
          </cell>
          <cell r="J835" t="str">
            <v/>
          </cell>
          <cell r="K835" t="str">
            <v/>
          </cell>
          <cell r="L835" t="str">
            <v/>
          </cell>
          <cell r="M835" t="str">
            <v/>
          </cell>
        </row>
        <row r="836">
          <cell r="A836">
            <v>31102192</v>
          </cell>
          <cell r="C836">
            <v>31102192</v>
          </cell>
          <cell r="D836">
            <v>31102192</v>
          </cell>
          <cell r="E836">
            <v>31102192</v>
          </cell>
          <cell r="F836">
            <v>31102192</v>
          </cell>
          <cell r="G836">
            <v>31102192</v>
          </cell>
          <cell r="H836">
            <v>31102192</v>
          </cell>
          <cell r="I836" t="str">
            <v/>
          </cell>
          <cell r="J836" t="str">
            <v/>
          </cell>
          <cell r="K836" t="str">
            <v/>
          </cell>
          <cell r="L836" t="str">
            <v/>
          </cell>
          <cell r="M836" t="str">
            <v/>
          </cell>
        </row>
        <row r="837">
          <cell r="A837">
            <v>31102192</v>
          </cell>
          <cell r="C837">
            <v>31102192</v>
          </cell>
          <cell r="D837">
            <v>31102192</v>
          </cell>
          <cell r="E837">
            <v>31102192</v>
          </cell>
          <cell r="F837">
            <v>31102192</v>
          </cell>
          <cell r="G837">
            <v>31102192</v>
          </cell>
          <cell r="H837">
            <v>31102192</v>
          </cell>
          <cell r="I837" t="str">
            <v/>
          </cell>
          <cell r="J837" t="str">
            <v/>
          </cell>
          <cell r="K837" t="str">
            <v/>
          </cell>
          <cell r="L837" t="str">
            <v/>
          </cell>
          <cell r="M837" t="str">
            <v/>
          </cell>
        </row>
        <row r="838">
          <cell r="A838">
            <v>31102192</v>
          </cell>
          <cell r="C838">
            <v>31102192</v>
          </cell>
          <cell r="D838">
            <v>31102192</v>
          </cell>
          <cell r="E838">
            <v>31102192</v>
          </cell>
          <cell r="F838">
            <v>31102192</v>
          </cell>
          <cell r="G838">
            <v>31102192</v>
          </cell>
          <cell r="H838">
            <v>31102192</v>
          </cell>
          <cell r="I838" t="str">
            <v/>
          </cell>
          <cell r="J838" t="str">
            <v/>
          </cell>
          <cell r="K838" t="str">
            <v/>
          </cell>
          <cell r="L838" t="str">
            <v/>
          </cell>
          <cell r="M838" t="str">
            <v/>
          </cell>
        </row>
        <row r="839">
          <cell r="A839">
            <v>31102192</v>
          </cell>
          <cell r="C839">
            <v>31102192</v>
          </cell>
          <cell r="D839">
            <v>31102192</v>
          </cell>
          <cell r="E839">
            <v>31102192</v>
          </cell>
          <cell r="F839">
            <v>31102192</v>
          </cell>
          <cell r="G839">
            <v>31102192</v>
          </cell>
          <cell r="H839">
            <v>31102192</v>
          </cell>
          <cell r="I839" t="str">
            <v/>
          </cell>
          <cell r="J839" t="str">
            <v/>
          </cell>
          <cell r="K839" t="str">
            <v/>
          </cell>
          <cell r="L839" t="str">
            <v/>
          </cell>
          <cell r="M839" t="str">
            <v/>
          </cell>
        </row>
        <row r="840">
          <cell r="A840">
            <v>31102192</v>
          </cell>
          <cell r="C840">
            <v>31102192</v>
          </cell>
          <cell r="D840">
            <v>31102192</v>
          </cell>
          <cell r="E840">
            <v>31102192</v>
          </cell>
          <cell r="F840">
            <v>31102192</v>
          </cell>
          <cell r="G840">
            <v>31102192</v>
          </cell>
          <cell r="H840">
            <v>31102192</v>
          </cell>
          <cell r="I840" t="str">
            <v/>
          </cell>
          <cell r="J840" t="str">
            <v/>
          </cell>
          <cell r="K840" t="str">
            <v/>
          </cell>
          <cell r="L840" t="str">
            <v/>
          </cell>
          <cell r="M840" t="str">
            <v/>
          </cell>
        </row>
        <row r="841">
          <cell r="A841">
            <v>31102192</v>
          </cell>
          <cell r="C841">
            <v>31102192</v>
          </cell>
          <cell r="D841">
            <v>31102192</v>
          </cell>
          <cell r="E841">
            <v>31102192</v>
          </cell>
          <cell r="F841">
            <v>31102192</v>
          </cell>
          <cell r="G841">
            <v>31102192</v>
          </cell>
          <cell r="H841">
            <v>31102192</v>
          </cell>
          <cell r="I841" t="str">
            <v/>
          </cell>
          <cell r="J841" t="str">
            <v/>
          </cell>
          <cell r="K841" t="str">
            <v/>
          </cell>
          <cell r="L841" t="str">
            <v/>
          </cell>
          <cell r="M841" t="str">
            <v/>
          </cell>
        </row>
        <row r="842">
          <cell r="A842">
            <v>31102192</v>
          </cell>
          <cell r="C842">
            <v>31102192</v>
          </cell>
          <cell r="D842">
            <v>31102192</v>
          </cell>
          <cell r="E842">
            <v>31102192</v>
          </cell>
          <cell r="F842">
            <v>31102192</v>
          </cell>
          <cell r="G842">
            <v>31102192</v>
          </cell>
          <cell r="H842">
            <v>31102192</v>
          </cell>
          <cell r="I842" t="str">
            <v/>
          </cell>
          <cell r="J842" t="str">
            <v/>
          </cell>
          <cell r="K842" t="str">
            <v/>
          </cell>
          <cell r="L842" t="str">
            <v/>
          </cell>
          <cell r="M842" t="str">
            <v/>
          </cell>
        </row>
        <row r="843">
          <cell r="A843">
            <v>31102192</v>
          </cell>
          <cell r="C843">
            <v>31102192</v>
          </cell>
          <cell r="D843">
            <v>31102192</v>
          </cell>
          <cell r="E843">
            <v>31102192</v>
          </cell>
          <cell r="F843">
            <v>31102192</v>
          </cell>
          <cell r="G843">
            <v>31102192</v>
          </cell>
          <cell r="H843">
            <v>31102192</v>
          </cell>
          <cell r="I843" t="str">
            <v/>
          </cell>
          <cell r="J843" t="str">
            <v/>
          </cell>
          <cell r="K843" t="str">
            <v/>
          </cell>
          <cell r="L843" t="str">
            <v/>
          </cell>
          <cell r="M843" t="str">
            <v/>
          </cell>
        </row>
        <row r="844">
          <cell r="A844">
            <v>31102192</v>
          </cell>
          <cell r="C844">
            <v>31102192</v>
          </cell>
          <cell r="D844">
            <v>31102192</v>
          </cell>
          <cell r="E844">
            <v>31102192</v>
          </cell>
          <cell r="F844">
            <v>31102192</v>
          </cell>
          <cell r="G844">
            <v>31102192</v>
          </cell>
          <cell r="H844">
            <v>31102192</v>
          </cell>
          <cell r="I844" t="str">
            <v/>
          </cell>
          <cell r="J844" t="str">
            <v/>
          </cell>
          <cell r="K844" t="str">
            <v/>
          </cell>
          <cell r="L844" t="str">
            <v/>
          </cell>
          <cell r="M844" t="str">
            <v/>
          </cell>
        </row>
        <row r="845">
          <cell r="A845">
            <v>31102192</v>
          </cell>
          <cell r="C845">
            <v>31102192</v>
          </cell>
          <cell r="D845">
            <v>31102192</v>
          </cell>
          <cell r="E845">
            <v>31102192</v>
          </cell>
          <cell r="F845">
            <v>31102192</v>
          </cell>
          <cell r="G845">
            <v>31102192</v>
          </cell>
          <cell r="H845">
            <v>31102192</v>
          </cell>
          <cell r="I845" t="str">
            <v/>
          </cell>
          <cell r="J845" t="str">
            <v/>
          </cell>
          <cell r="K845" t="str">
            <v/>
          </cell>
          <cell r="L845" t="str">
            <v/>
          </cell>
          <cell r="M845" t="str">
            <v/>
          </cell>
        </row>
        <row r="846">
          <cell r="A846">
            <v>31102192</v>
          </cell>
          <cell r="C846">
            <v>31102192</v>
          </cell>
          <cell r="D846">
            <v>31102192</v>
          </cell>
          <cell r="E846">
            <v>31102192</v>
          </cell>
          <cell r="F846">
            <v>31102192</v>
          </cell>
          <cell r="G846">
            <v>31102192</v>
          </cell>
          <cell r="H846">
            <v>31102192</v>
          </cell>
          <cell r="I846" t="str">
            <v/>
          </cell>
          <cell r="J846" t="str">
            <v/>
          </cell>
          <cell r="K846" t="str">
            <v/>
          </cell>
          <cell r="L846" t="str">
            <v/>
          </cell>
          <cell r="M846" t="str">
            <v/>
          </cell>
        </row>
        <row r="847">
          <cell r="A847">
            <v>31102192</v>
          </cell>
          <cell r="C847">
            <v>31102192</v>
          </cell>
          <cell r="D847">
            <v>31102192</v>
          </cell>
          <cell r="E847">
            <v>31102192</v>
          </cell>
          <cell r="F847">
            <v>31102192</v>
          </cell>
          <cell r="G847">
            <v>31102192</v>
          </cell>
          <cell r="H847">
            <v>31102192</v>
          </cell>
          <cell r="I847" t="str">
            <v/>
          </cell>
          <cell r="J847" t="str">
            <v/>
          </cell>
          <cell r="K847" t="str">
            <v/>
          </cell>
          <cell r="L847" t="str">
            <v/>
          </cell>
          <cell r="M847" t="str">
            <v/>
          </cell>
        </row>
        <row r="848">
          <cell r="A848">
            <v>31102192</v>
          </cell>
          <cell r="C848">
            <v>31102192</v>
          </cell>
          <cell r="D848">
            <v>31102192</v>
          </cell>
          <cell r="E848">
            <v>31102192</v>
          </cell>
          <cell r="F848">
            <v>31102192</v>
          </cell>
          <cell r="G848">
            <v>31102192</v>
          </cell>
          <cell r="H848">
            <v>31102192</v>
          </cell>
          <cell r="I848" t="str">
            <v/>
          </cell>
          <cell r="J848" t="str">
            <v/>
          </cell>
          <cell r="K848" t="str">
            <v/>
          </cell>
          <cell r="L848" t="str">
            <v/>
          </cell>
          <cell r="M848" t="str">
            <v/>
          </cell>
        </row>
        <row r="849">
          <cell r="A849">
            <v>31102192</v>
          </cell>
          <cell r="C849">
            <v>31102192</v>
          </cell>
          <cell r="D849">
            <v>31102192</v>
          </cell>
          <cell r="E849">
            <v>31102192</v>
          </cell>
          <cell r="F849">
            <v>31102192</v>
          </cell>
          <cell r="G849">
            <v>31102192</v>
          </cell>
          <cell r="H849">
            <v>31102192</v>
          </cell>
          <cell r="I849" t="str">
            <v/>
          </cell>
          <cell r="J849" t="str">
            <v/>
          </cell>
          <cell r="K849" t="str">
            <v/>
          </cell>
          <cell r="L849" t="str">
            <v/>
          </cell>
          <cell r="M849" t="str">
            <v/>
          </cell>
        </row>
        <row r="850">
          <cell r="A850">
            <v>31102192</v>
          </cell>
          <cell r="C850">
            <v>31102192</v>
          </cell>
          <cell r="D850">
            <v>31102192</v>
          </cell>
          <cell r="E850">
            <v>31102192</v>
          </cell>
          <cell r="F850">
            <v>31102192</v>
          </cell>
          <cell r="G850">
            <v>31102192</v>
          </cell>
          <cell r="H850">
            <v>31102192</v>
          </cell>
          <cell r="I850" t="str">
            <v/>
          </cell>
          <cell r="J850" t="str">
            <v/>
          </cell>
          <cell r="K850" t="str">
            <v/>
          </cell>
          <cell r="L850" t="str">
            <v/>
          </cell>
          <cell r="M850" t="str">
            <v/>
          </cell>
        </row>
        <row r="851">
          <cell r="A851">
            <v>31102192</v>
          </cell>
          <cell r="C851">
            <v>31102192</v>
          </cell>
          <cell r="D851">
            <v>31102192</v>
          </cell>
          <cell r="E851">
            <v>31102192</v>
          </cell>
          <cell r="F851">
            <v>31102192</v>
          </cell>
          <cell r="G851">
            <v>31102192</v>
          </cell>
          <cell r="H851">
            <v>31102192</v>
          </cell>
          <cell r="I851" t="str">
            <v/>
          </cell>
          <cell r="J851" t="str">
            <v/>
          </cell>
          <cell r="K851" t="str">
            <v/>
          </cell>
          <cell r="L851" t="str">
            <v/>
          </cell>
          <cell r="M851" t="str">
            <v/>
          </cell>
        </row>
        <row r="852">
          <cell r="A852">
            <v>31102192</v>
          </cell>
          <cell r="C852">
            <v>31102192</v>
          </cell>
          <cell r="D852">
            <v>31102192</v>
          </cell>
          <cell r="E852">
            <v>31102192</v>
          </cell>
          <cell r="F852">
            <v>31102192</v>
          </cell>
          <cell r="G852">
            <v>31102192</v>
          </cell>
          <cell r="H852">
            <v>31102192</v>
          </cell>
          <cell r="I852" t="str">
            <v/>
          </cell>
          <cell r="J852" t="str">
            <v/>
          </cell>
          <cell r="K852" t="str">
            <v/>
          </cell>
          <cell r="L852" t="str">
            <v/>
          </cell>
          <cell r="M852" t="str">
            <v/>
          </cell>
        </row>
        <row r="853">
          <cell r="A853">
            <v>31102192</v>
          </cell>
          <cell r="C853">
            <v>31102192</v>
          </cell>
          <cell r="D853">
            <v>31102192</v>
          </cell>
          <cell r="E853">
            <v>31102192</v>
          </cell>
          <cell r="F853">
            <v>31102192</v>
          </cell>
          <cell r="G853">
            <v>31102192</v>
          </cell>
          <cell r="H853">
            <v>31102192</v>
          </cell>
          <cell r="I853" t="str">
            <v/>
          </cell>
          <cell r="J853" t="str">
            <v/>
          </cell>
          <cell r="K853" t="str">
            <v/>
          </cell>
          <cell r="L853" t="str">
            <v/>
          </cell>
          <cell r="M853" t="str">
            <v/>
          </cell>
        </row>
        <row r="854">
          <cell r="A854">
            <v>31102192</v>
          </cell>
          <cell r="C854">
            <v>31102192</v>
          </cell>
          <cell r="D854">
            <v>31102192</v>
          </cell>
          <cell r="E854">
            <v>31102192</v>
          </cell>
          <cell r="F854">
            <v>31102192</v>
          </cell>
          <cell r="G854">
            <v>31102192</v>
          </cell>
          <cell r="H854">
            <v>31102192</v>
          </cell>
          <cell r="I854" t="str">
            <v/>
          </cell>
          <cell r="J854" t="str">
            <v/>
          </cell>
          <cell r="K854" t="str">
            <v/>
          </cell>
          <cell r="L854" t="str">
            <v/>
          </cell>
          <cell r="M854" t="str">
            <v/>
          </cell>
        </row>
        <row r="855">
          <cell r="A855">
            <v>31102192</v>
          </cell>
          <cell r="C855">
            <v>31102192</v>
          </cell>
          <cell r="D855">
            <v>31102192</v>
          </cell>
          <cell r="E855">
            <v>31102192</v>
          </cell>
          <cell r="F855">
            <v>31102192</v>
          </cell>
          <cell r="G855">
            <v>31102192</v>
          </cell>
          <cell r="H855">
            <v>31102192</v>
          </cell>
          <cell r="I855" t="str">
            <v/>
          </cell>
          <cell r="J855" t="str">
            <v/>
          </cell>
          <cell r="K855" t="str">
            <v/>
          </cell>
          <cell r="L855" t="str">
            <v/>
          </cell>
          <cell r="M855" t="str">
            <v/>
          </cell>
        </row>
        <row r="856">
          <cell r="A856">
            <v>31102192</v>
          </cell>
          <cell r="C856">
            <v>31102192</v>
          </cell>
          <cell r="D856">
            <v>31102192</v>
          </cell>
          <cell r="E856">
            <v>31102192</v>
          </cell>
          <cell r="F856">
            <v>31102192</v>
          </cell>
          <cell r="G856">
            <v>31102192</v>
          </cell>
          <cell r="H856">
            <v>31102192</v>
          </cell>
          <cell r="I856" t="str">
            <v/>
          </cell>
          <cell r="J856" t="str">
            <v/>
          </cell>
          <cell r="K856" t="str">
            <v/>
          </cell>
          <cell r="L856" t="str">
            <v/>
          </cell>
          <cell r="M856" t="str">
            <v/>
          </cell>
        </row>
        <row r="857">
          <cell r="A857">
            <v>31102192</v>
          </cell>
          <cell r="C857">
            <v>31102192</v>
          </cell>
          <cell r="D857">
            <v>31102192</v>
          </cell>
          <cell r="E857">
            <v>31102192</v>
          </cell>
          <cell r="F857">
            <v>31102192</v>
          </cell>
          <cell r="G857">
            <v>31102192</v>
          </cell>
          <cell r="H857">
            <v>31102192</v>
          </cell>
          <cell r="I857" t="str">
            <v/>
          </cell>
          <cell r="J857" t="str">
            <v/>
          </cell>
          <cell r="K857" t="str">
            <v/>
          </cell>
          <cell r="L857" t="str">
            <v/>
          </cell>
          <cell r="M857" t="str">
            <v/>
          </cell>
        </row>
        <row r="858">
          <cell r="A858">
            <v>31102192</v>
          </cell>
          <cell r="C858">
            <v>31102192</v>
          </cell>
          <cell r="D858">
            <v>31102192</v>
          </cell>
          <cell r="E858">
            <v>31102192</v>
          </cell>
          <cell r="F858">
            <v>31102192</v>
          </cell>
          <cell r="G858">
            <v>31102192</v>
          </cell>
          <cell r="H858">
            <v>31102192</v>
          </cell>
          <cell r="I858" t="str">
            <v/>
          </cell>
          <cell r="J858" t="str">
            <v/>
          </cell>
          <cell r="K858" t="str">
            <v/>
          </cell>
          <cell r="L858" t="str">
            <v/>
          </cell>
          <cell r="M858" t="str">
            <v/>
          </cell>
        </row>
        <row r="859">
          <cell r="A859">
            <v>31102192</v>
          </cell>
          <cell r="C859">
            <v>31102192</v>
          </cell>
          <cell r="D859">
            <v>31102192</v>
          </cell>
          <cell r="E859">
            <v>31102192</v>
          </cell>
          <cell r="F859">
            <v>31102192</v>
          </cell>
          <cell r="G859">
            <v>31102192</v>
          </cell>
          <cell r="H859">
            <v>31102192</v>
          </cell>
          <cell r="I859" t="str">
            <v/>
          </cell>
          <cell r="J859" t="str">
            <v/>
          </cell>
          <cell r="K859" t="str">
            <v/>
          </cell>
          <cell r="L859" t="str">
            <v/>
          </cell>
          <cell r="M859" t="str">
            <v/>
          </cell>
        </row>
        <row r="860">
          <cell r="A860">
            <v>31102192</v>
          </cell>
          <cell r="C860">
            <v>31102192</v>
          </cell>
          <cell r="D860">
            <v>31102192</v>
          </cell>
          <cell r="E860">
            <v>31102192</v>
          </cell>
          <cell r="F860">
            <v>31102192</v>
          </cell>
          <cell r="G860">
            <v>31102192</v>
          </cell>
          <cell r="H860">
            <v>31102192</v>
          </cell>
          <cell r="I860" t="str">
            <v/>
          </cell>
          <cell r="J860" t="str">
            <v/>
          </cell>
          <cell r="K860" t="str">
            <v/>
          </cell>
          <cell r="L860" t="str">
            <v/>
          </cell>
          <cell r="M860" t="str">
            <v/>
          </cell>
        </row>
        <row r="861">
          <cell r="A861">
            <v>31102192</v>
          </cell>
          <cell r="C861">
            <v>31102192</v>
          </cell>
          <cell r="D861">
            <v>31102192</v>
          </cell>
          <cell r="E861">
            <v>31102192</v>
          </cell>
          <cell r="F861">
            <v>31102192</v>
          </cell>
          <cell r="G861">
            <v>31102192</v>
          </cell>
          <cell r="H861">
            <v>31102192</v>
          </cell>
          <cell r="I861" t="str">
            <v/>
          </cell>
          <cell r="J861" t="str">
            <v/>
          </cell>
          <cell r="K861" t="str">
            <v/>
          </cell>
          <cell r="L861" t="str">
            <v/>
          </cell>
          <cell r="M861" t="str">
            <v/>
          </cell>
        </row>
        <row r="862">
          <cell r="A862">
            <v>31102192</v>
          </cell>
          <cell r="C862">
            <v>31102192</v>
          </cell>
          <cell r="D862">
            <v>31102192</v>
          </cell>
          <cell r="E862">
            <v>31102192</v>
          </cell>
          <cell r="F862">
            <v>31102192</v>
          </cell>
          <cell r="G862">
            <v>31102192</v>
          </cell>
          <cell r="H862">
            <v>31102192</v>
          </cell>
          <cell r="I862" t="str">
            <v/>
          </cell>
          <cell r="J862" t="str">
            <v/>
          </cell>
          <cell r="K862" t="str">
            <v/>
          </cell>
          <cell r="L862" t="str">
            <v/>
          </cell>
          <cell r="M862" t="str">
            <v/>
          </cell>
        </row>
        <row r="863">
          <cell r="A863">
            <v>31102192</v>
          </cell>
          <cell r="C863">
            <v>31102192</v>
          </cell>
          <cell r="D863">
            <v>31102192</v>
          </cell>
          <cell r="E863">
            <v>31102192</v>
          </cell>
          <cell r="F863">
            <v>31102192</v>
          </cell>
          <cell r="G863">
            <v>31102192</v>
          </cell>
          <cell r="H863">
            <v>31102192</v>
          </cell>
          <cell r="I863" t="str">
            <v/>
          </cell>
          <cell r="J863" t="str">
            <v/>
          </cell>
          <cell r="K863" t="str">
            <v/>
          </cell>
          <cell r="L863" t="str">
            <v/>
          </cell>
          <cell r="M863" t="str">
            <v/>
          </cell>
        </row>
        <row r="864">
          <cell r="A864">
            <v>31102192</v>
          </cell>
          <cell r="C864">
            <v>31102192</v>
          </cell>
          <cell r="D864">
            <v>31102192</v>
          </cell>
          <cell r="E864">
            <v>31102192</v>
          </cell>
          <cell r="F864">
            <v>31102192</v>
          </cell>
          <cell r="G864">
            <v>31102192</v>
          </cell>
          <cell r="H864">
            <v>31102192</v>
          </cell>
          <cell r="I864" t="str">
            <v/>
          </cell>
          <cell r="J864" t="str">
            <v/>
          </cell>
          <cell r="K864" t="str">
            <v/>
          </cell>
          <cell r="L864" t="str">
            <v/>
          </cell>
          <cell r="M864" t="str">
            <v/>
          </cell>
        </row>
        <row r="865">
          <cell r="A865">
            <v>31102192</v>
          </cell>
          <cell r="C865">
            <v>31102192</v>
          </cell>
          <cell r="D865">
            <v>31102192</v>
          </cell>
          <cell r="E865">
            <v>31102192</v>
          </cell>
          <cell r="F865">
            <v>31102192</v>
          </cell>
          <cell r="G865">
            <v>31102192</v>
          </cell>
          <cell r="H865">
            <v>31102192</v>
          </cell>
          <cell r="I865" t="str">
            <v/>
          </cell>
          <cell r="J865" t="str">
            <v/>
          </cell>
          <cell r="K865" t="str">
            <v/>
          </cell>
          <cell r="L865" t="str">
            <v/>
          </cell>
          <cell r="M865" t="str">
            <v/>
          </cell>
        </row>
        <row r="866">
          <cell r="A866">
            <v>31102192</v>
          </cell>
          <cell r="C866">
            <v>31102192</v>
          </cell>
          <cell r="D866">
            <v>31102192</v>
          </cell>
          <cell r="E866">
            <v>31102192</v>
          </cell>
          <cell r="F866">
            <v>31102192</v>
          </cell>
          <cell r="G866">
            <v>31102192</v>
          </cell>
          <cell r="H866">
            <v>31102192</v>
          </cell>
          <cell r="I866" t="str">
            <v/>
          </cell>
          <cell r="J866" t="str">
            <v/>
          </cell>
          <cell r="K866" t="str">
            <v/>
          </cell>
          <cell r="L866" t="str">
            <v/>
          </cell>
          <cell r="M866" t="str">
            <v/>
          </cell>
        </row>
        <row r="867">
          <cell r="A867">
            <v>31102192</v>
          </cell>
          <cell r="C867">
            <v>31102192</v>
          </cell>
          <cell r="D867">
            <v>31102192</v>
          </cell>
          <cell r="E867">
            <v>31102192</v>
          </cell>
          <cell r="F867">
            <v>31102192</v>
          </cell>
          <cell r="G867">
            <v>31102192</v>
          </cell>
          <cell r="H867">
            <v>31102192</v>
          </cell>
          <cell r="I867" t="str">
            <v/>
          </cell>
          <cell r="J867" t="str">
            <v/>
          </cell>
          <cell r="K867" t="str">
            <v/>
          </cell>
          <cell r="L867" t="str">
            <v/>
          </cell>
          <cell r="M867" t="str">
            <v/>
          </cell>
        </row>
        <row r="868">
          <cell r="A868">
            <v>31102192</v>
          </cell>
          <cell r="C868">
            <v>31102192</v>
          </cell>
          <cell r="D868">
            <v>31102192</v>
          </cell>
          <cell r="E868">
            <v>31102192</v>
          </cell>
          <cell r="F868">
            <v>31102192</v>
          </cell>
          <cell r="G868">
            <v>31102192</v>
          </cell>
          <cell r="H868">
            <v>31102192</v>
          </cell>
          <cell r="I868" t="str">
            <v/>
          </cell>
          <cell r="J868" t="str">
            <v/>
          </cell>
          <cell r="K868" t="str">
            <v/>
          </cell>
          <cell r="L868" t="str">
            <v/>
          </cell>
          <cell r="M868" t="str">
            <v/>
          </cell>
        </row>
        <row r="869">
          <cell r="A869">
            <v>31102192</v>
          </cell>
          <cell r="C869">
            <v>31102192</v>
          </cell>
          <cell r="D869">
            <v>31102192</v>
          </cell>
          <cell r="E869">
            <v>31102192</v>
          </cell>
          <cell r="F869">
            <v>31102192</v>
          </cell>
          <cell r="G869">
            <v>31102192</v>
          </cell>
          <cell r="H869">
            <v>31102192</v>
          </cell>
          <cell r="I869" t="str">
            <v/>
          </cell>
          <cell r="J869" t="str">
            <v/>
          </cell>
          <cell r="K869" t="str">
            <v/>
          </cell>
          <cell r="L869" t="str">
            <v/>
          </cell>
          <cell r="M869" t="str">
            <v/>
          </cell>
        </row>
        <row r="870">
          <cell r="A870">
            <v>31102192</v>
          </cell>
          <cell r="C870">
            <v>31102192</v>
          </cell>
          <cell r="D870">
            <v>31102192</v>
          </cell>
          <cell r="E870">
            <v>31102192</v>
          </cell>
          <cell r="F870">
            <v>31102192</v>
          </cell>
          <cell r="G870">
            <v>31102192</v>
          </cell>
          <cell r="H870">
            <v>31102192</v>
          </cell>
          <cell r="I870" t="str">
            <v/>
          </cell>
          <cell r="J870" t="str">
            <v/>
          </cell>
          <cell r="K870" t="str">
            <v/>
          </cell>
          <cell r="L870" t="str">
            <v/>
          </cell>
          <cell r="M870" t="str">
            <v/>
          </cell>
        </row>
        <row r="871">
          <cell r="A871">
            <v>31102192</v>
          </cell>
          <cell r="C871">
            <v>31102192</v>
          </cell>
          <cell r="D871">
            <v>31102192</v>
          </cell>
          <cell r="E871">
            <v>31102192</v>
          </cell>
          <cell r="F871">
            <v>31102192</v>
          </cell>
          <cell r="G871">
            <v>31102192</v>
          </cell>
          <cell r="H871">
            <v>31102192</v>
          </cell>
          <cell r="I871" t="str">
            <v/>
          </cell>
          <cell r="J871" t="str">
            <v/>
          </cell>
          <cell r="K871" t="str">
            <v/>
          </cell>
          <cell r="L871" t="str">
            <v/>
          </cell>
          <cell r="M871" t="str">
            <v/>
          </cell>
        </row>
        <row r="872">
          <cell r="A872">
            <v>31102192</v>
          </cell>
          <cell r="C872">
            <v>31102192</v>
          </cell>
          <cell r="D872">
            <v>31102192</v>
          </cell>
          <cell r="E872">
            <v>31102192</v>
          </cell>
          <cell r="F872">
            <v>31102192</v>
          </cell>
          <cell r="G872">
            <v>31102192</v>
          </cell>
          <cell r="H872">
            <v>31102192</v>
          </cell>
          <cell r="I872" t="str">
            <v/>
          </cell>
          <cell r="J872" t="str">
            <v/>
          </cell>
          <cell r="K872" t="str">
            <v/>
          </cell>
          <cell r="L872" t="str">
            <v/>
          </cell>
          <cell r="M872" t="str">
            <v/>
          </cell>
        </row>
        <row r="873">
          <cell r="A873">
            <v>31102192</v>
          </cell>
          <cell r="C873">
            <v>31102192</v>
          </cell>
          <cell r="D873">
            <v>31102192</v>
          </cell>
          <cell r="E873">
            <v>31102192</v>
          </cell>
          <cell r="F873">
            <v>31102192</v>
          </cell>
          <cell r="G873">
            <v>31102192</v>
          </cell>
          <cell r="H873">
            <v>31102192</v>
          </cell>
          <cell r="I873" t="str">
            <v/>
          </cell>
          <cell r="J873" t="str">
            <v/>
          </cell>
          <cell r="K873" t="str">
            <v/>
          </cell>
          <cell r="L873" t="str">
            <v/>
          </cell>
          <cell r="M873" t="str">
            <v/>
          </cell>
        </row>
        <row r="874">
          <cell r="A874">
            <v>31102192</v>
          </cell>
          <cell r="C874">
            <v>31102192</v>
          </cell>
          <cell r="D874">
            <v>31102192</v>
          </cell>
          <cell r="E874">
            <v>31102192</v>
          </cell>
          <cell r="F874">
            <v>31102192</v>
          </cell>
          <cell r="G874">
            <v>31102192</v>
          </cell>
          <cell r="H874">
            <v>31102192</v>
          </cell>
          <cell r="I874" t="str">
            <v/>
          </cell>
          <cell r="J874" t="str">
            <v/>
          </cell>
          <cell r="K874" t="str">
            <v/>
          </cell>
          <cell r="L874" t="str">
            <v/>
          </cell>
          <cell r="M874" t="str">
            <v/>
          </cell>
        </row>
        <row r="875">
          <cell r="A875">
            <v>31102192</v>
          </cell>
          <cell r="C875">
            <v>31102192</v>
          </cell>
          <cell r="D875">
            <v>31102192</v>
          </cell>
          <cell r="E875">
            <v>31102192</v>
          </cell>
          <cell r="F875">
            <v>31102192</v>
          </cell>
          <cell r="G875">
            <v>31102192</v>
          </cell>
          <cell r="H875">
            <v>31102192</v>
          </cell>
          <cell r="I875" t="str">
            <v/>
          </cell>
          <cell r="J875" t="str">
            <v/>
          </cell>
          <cell r="K875" t="str">
            <v/>
          </cell>
          <cell r="L875" t="str">
            <v/>
          </cell>
          <cell r="M875" t="str">
            <v/>
          </cell>
        </row>
        <row r="876">
          <cell r="A876">
            <v>31102192</v>
          </cell>
          <cell r="C876">
            <v>31102192</v>
          </cell>
          <cell r="D876">
            <v>31102192</v>
          </cell>
          <cell r="E876">
            <v>31102192</v>
          </cell>
          <cell r="F876">
            <v>31102192</v>
          </cell>
          <cell r="G876">
            <v>31102192</v>
          </cell>
          <cell r="H876">
            <v>31102192</v>
          </cell>
          <cell r="I876" t="str">
            <v/>
          </cell>
          <cell r="J876" t="str">
            <v/>
          </cell>
          <cell r="K876" t="str">
            <v/>
          </cell>
          <cell r="L876" t="str">
            <v/>
          </cell>
          <cell r="M876" t="str">
            <v/>
          </cell>
        </row>
        <row r="877">
          <cell r="A877">
            <v>31102192</v>
          </cell>
          <cell r="C877">
            <v>31102192</v>
          </cell>
          <cell r="D877">
            <v>31102192</v>
          </cell>
          <cell r="E877">
            <v>31102192</v>
          </cell>
          <cell r="F877">
            <v>31102192</v>
          </cell>
          <cell r="G877">
            <v>31102192</v>
          </cell>
          <cell r="H877">
            <v>31102192</v>
          </cell>
          <cell r="I877" t="str">
            <v/>
          </cell>
          <cell r="J877" t="str">
            <v/>
          </cell>
          <cell r="K877" t="str">
            <v/>
          </cell>
          <cell r="L877" t="str">
            <v/>
          </cell>
          <cell r="M877" t="str">
            <v/>
          </cell>
        </row>
        <row r="878">
          <cell r="A878">
            <v>31102192</v>
          </cell>
          <cell r="C878">
            <v>31102192</v>
          </cell>
          <cell r="D878">
            <v>31102192</v>
          </cell>
          <cell r="E878">
            <v>31102192</v>
          </cell>
          <cell r="F878">
            <v>31102192</v>
          </cell>
          <cell r="G878">
            <v>31102192</v>
          </cell>
          <cell r="H878">
            <v>31102192</v>
          </cell>
          <cell r="I878" t="str">
            <v/>
          </cell>
          <cell r="J878" t="str">
            <v/>
          </cell>
          <cell r="K878" t="str">
            <v/>
          </cell>
          <cell r="L878" t="str">
            <v/>
          </cell>
          <cell r="M878" t="str">
            <v/>
          </cell>
        </row>
        <row r="879">
          <cell r="A879">
            <v>31102192</v>
          </cell>
          <cell r="C879">
            <v>31102192</v>
          </cell>
          <cell r="D879">
            <v>31102192</v>
          </cell>
          <cell r="E879">
            <v>31102192</v>
          </cell>
          <cell r="F879">
            <v>31102192</v>
          </cell>
          <cell r="G879">
            <v>31102192</v>
          </cell>
          <cell r="H879">
            <v>31102192</v>
          </cell>
          <cell r="I879" t="str">
            <v/>
          </cell>
          <cell r="J879" t="str">
            <v/>
          </cell>
          <cell r="K879" t="str">
            <v/>
          </cell>
          <cell r="L879" t="str">
            <v/>
          </cell>
          <cell r="M879" t="str">
            <v/>
          </cell>
        </row>
        <row r="880">
          <cell r="A880">
            <v>31102192</v>
          </cell>
          <cell r="C880">
            <v>31102192</v>
          </cell>
          <cell r="D880">
            <v>31102192</v>
          </cell>
          <cell r="E880">
            <v>31102192</v>
          </cell>
          <cell r="F880">
            <v>31102192</v>
          </cell>
          <cell r="G880">
            <v>31102192</v>
          </cell>
          <cell r="H880">
            <v>31102192</v>
          </cell>
          <cell r="I880" t="str">
            <v/>
          </cell>
          <cell r="J880" t="str">
            <v/>
          </cell>
          <cell r="K880" t="str">
            <v/>
          </cell>
          <cell r="L880" t="str">
            <v/>
          </cell>
          <cell r="M880" t="str">
            <v/>
          </cell>
        </row>
        <row r="881">
          <cell r="A881">
            <v>31102192</v>
          </cell>
          <cell r="C881">
            <v>31102192</v>
          </cell>
          <cell r="D881">
            <v>31102192</v>
          </cell>
          <cell r="E881">
            <v>31102192</v>
          </cell>
          <cell r="F881">
            <v>31102192</v>
          </cell>
          <cell r="G881">
            <v>31102192</v>
          </cell>
          <cell r="H881">
            <v>31102192</v>
          </cell>
          <cell r="I881" t="str">
            <v/>
          </cell>
          <cell r="J881" t="str">
            <v/>
          </cell>
          <cell r="K881" t="str">
            <v/>
          </cell>
          <cell r="L881" t="str">
            <v/>
          </cell>
          <cell r="M881" t="str">
            <v/>
          </cell>
        </row>
        <row r="882">
          <cell r="A882">
            <v>31102192</v>
          </cell>
          <cell r="C882">
            <v>31102192</v>
          </cell>
          <cell r="D882">
            <v>31102192</v>
          </cell>
          <cell r="E882">
            <v>31102192</v>
          </cell>
          <cell r="F882">
            <v>31102192</v>
          </cell>
          <cell r="G882">
            <v>31102192</v>
          </cell>
          <cell r="H882">
            <v>31102192</v>
          </cell>
          <cell r="I882" t="str">
            <v/>
          </cell>
          <cell r="J882" t="str">
            <v/>
          </cell>
          <cell r="K882" t="str">
            <v/>
          </cell>
          <cell r="L882" t="str">
            <v/>
          </cell>
          <cell r="M882" t="str">
            <v/>
          </cell>
        </row>
        <row r="883">
          <cell r="A883">
            <v>31102192</v>
          </cell>
          <cell r="C883">
            <v>31102192</v>
          </cell>
          <cell r="D883">
            <v>31102192</v>
          </cell>
          <cell r="E883">
            <v>31102192</v>
          </cell>
          <cell r="F883">
            <v>31102192</v>
          </cell>
          <cell r="G883">
            <v>31102192</v>
          </cell>
          <cell r="H883">
            <v>31102192</v>
          </cell>
          <cell r="I883" t="str">
            <v/>
          </cell>
          <cell r="J883" t="str">
            <v/>
          </cell>
          <cell r="K883" t="str">
            <v/>
          </cell>
          <cell r="L883" t="str">
            <v/>
          </cell>
          <cell r="M883" t="str">
            <v/>
          </cell>
        </row>
        <row r="884">
          <cell r="A884">
            <v>31102192</v>
          </cell>
          <cell r="C884">
            <v>31102192</v>
          </cell>
          <cell r="D884">
            <v>31102192</v>
          </cell>
          <cell r="E884">
            <v>31102192</v>
          </cell>
          <cell r="F884">
            <v>31102192</v>
          </cell>
          <cell r="G884">
            <v>31102192</v>
          </cell>
          <cell r="H884">
            <v>31102192</v>
          </cell>
          <cell r="I884" t="str">
            <v/>
          </cell>
          <cell r="J884" t="str">
            <v/>
          </cell>
          <cell r="K884" t="str">
            <v/>
          </cell>
          <cell r="L884" t="str">
            <v/>
          </cell>
          <cell r="M884" t="str">
            <v/>
          </cell>
        </row>
        <row r="885">
          <cell r="A885">
            <v>31102192</v>
          </cell>
          <cell r="C885">
            <v>31102192</v>
          </cell>
          <cell r="D885">
            <v>31102192</v>
          </cell>
          <cell r="E885">
            <v>31102192</v>
          </cell>
          <cell r="F885">
            <v>31102192</v>
          </cell>
          <cell r="G885">
            <v>31102192</v>
          </cell>
          <cell r="H885">
            <v>31102192</v>
          </cell>
          <cell r="I885" t="str">
            <v/>
          </cell>
          <cell r="J885" t="str">
            <v/>
          </cell>
          <cell r="K885" t="str">
            <v/>
          </cell>
          <cell r="L885" t="str">
            <v/>
          </cell>
          <cell r="M885" t="str">
            <v/>
          </cell>
        </row>
        <row r="886">
          <cell r="A886">
            <v>31102192</v>
          </cell>
          <cell r="C886">
            <v>31102192</v>
          </cell>
          <cell r="D886">
            <v>31102192</v>
          </cell>
          <cell r="E886">
            <v>31102192</v>
          </cell>
          <cell r="F886">
            <v>31102192</v>
          </cell>
          <cell r="G886">
            <v>31102192</v>
          </cell>
          <cell r="H886">
            <v>31102192</v>
          </cell>
          <cell r="I886" t="str">
            <v/>
          </cell>
          <cell r="J886" t="str">
            <v/>
          </cell>
          <cell r="K886" t="str">
            <v/>
          </cell>
          <cell r="L886" t="str">
            <v/>
          </cell>
          <cell r="M886" t="str">
            <v/>
          </cell>
        </row>
        <row r="887">
          <cell r="A887">
            <v>31102192</v>
          </cell>
          <cell r="C887">
            <v>31102192</v>
          </cell>
          <cell r="D887">
            <v>31102192</v>
          </cell>
          <cell r="E887">
            <v>31102192</v>
          </cell>
          <cell r="F887">
            <v>31102192</v>
          </cell>
          <cell r="G887">
            <v>31102192</v>
          </cell>
          <cell r="H887">
            <v>31102192</v>
          </cell>
          <cell r="I887" t="str">
            <v/>
          </cell>
          <cell r="J887" t="str">
            <v/>
          </cell>
          <cell r="K887" t="str">
            <v/>
          </cell>
          <cell r="L887" t="str">
            <v/>
          </cell>
          <cell r="M887" t="str">
            <v/>
          </cell>
        </row>
        <row r="888">
          <cell r="A888">
            <v>31102192</v>
          </cell>
          <cell r="C888">
            <v>31102192</v>
          </cell>
          <cell r="D888">
            <v>31102192</v>
          </cell>
          <cell r="E888">
            <v>31102192</v>
          </cell>
          <cell r="F888">
            <v>31102192</v>
          </cell>
          <cell r="G888">
            <v>31102192</v>
          </cell>
          <cell r="H888">
            <v>31102192</v>
          </cell>
          <cell r="I888" t="str">
            <v/>
          </cell>
          <cell r="J888" t="str">
            <v/>
          </cell>
          <cell r="K888" t="str">
            <v/>
          </cell>
          <cell r="L888" t="str">
            <v/>
          </cell>
          <cell r="M888" t="str">
            <v/>
          </cell>
        </row>
        <row r="889">
          <cell r="A889">
            <v>31102192</v>
          </cell>
          <cell r="C889">
            <v>31102192</v>
          </cell>
          <cell r="D889">
            <v>31102192</v>
          </cell>
          <cell r="E889">
            <v>31102192</v>
          </cell>
          <cell r="F889">
            <v>31102192</v>
          </cell>
          <cell r="G889">
            <v>31102192</v>
          </cell>
          <cell r="H889">
            <v>31102192</v>
          </cell>
          <cell r="I889" t="str">
            <v/>
          </cell>
          <cell r="J889" t="str">
            <v/>
          </cell>
          <cell r="K889" t="str">
            <v/>
          </cell>
          <cell r="L889" t="str">
            <v/>
          </cell>
          <cell r="M889" t="str">
            <v/>
          </cell>
        </row>
        <row r="890">
          <cell r="A890">
            <v>31102192</v>
          </cell>
          <cell r="C890">
            <v>31102192</v>
          </cell>
          <cell r="D890">
            <v>31102192</v>
          </cell>
          <cell r="E890">
            <v>31102192</v>
          </cell>
          <cell r="F890">
            <v>31102192</v>
          </cell>
          <cell r="G890">
            <v>31102192</v>
          </cell>
          <cell r="H890">
            <v>31102192</v>
          </cell>
          <cell r="I890" t="str">
            <v/>
          </cell>
          <cell r="J890" t="str">
            <v/>
          </cell>
          <cell r="K890" t="str">
            <v/>
          </cell>
          <cell r="L890" t="str">
            <v/>
          </cell>
          <cell r="M890" t="str">
            <v/>
          </cell>
        </row>
        <row r="891">
          <cell r="A891">
            <v>31102192</v>
          </cell>
          <cell r="C891">
            <v>31102192</v>
          </cell>
          <cell r="D891">
            <v>31102192</v>
          </cell>
          <cell r="E891">
            <v>31102192</v>
          </cell>
          <cell r="F891">
            <v>31102192</v>
          </cell>
          <cell r="G891">
            <v>31102192</v>
          </cell>
          <cell r="H891">
            <v>31102192</v>
          </cell>
          <cell r="I891" t="str">
            <v/>
          </cell>
          <cell r="J891" t="str">
            <v/>
          </cell>
          <cell r="K891" t="str">
            <v/>
          </cell>
          <cell r="L891" t="str">
            <v/>
          </cell>
          <cell r="M891" t="str">
            <v/>
          </cell>
        </row>
        <row r="892">
          <cell r="A892">
            <v>31102192</v>
          </cell>
          <cell r="C892">
            <v>31102192</v>
          </cell>
          <cell r="D892">
            <v>31102192</v>
          </cell>
          <cell r="E892">
            <v>31102192</v>
          </cell>
          <cell r="F892">
            <v>31102192</v>
          </cell>
          <cell r="G892">
            <v>31102192</v>
          </cell>
          <cell r="H892">
            <v>31102192</v>
          </cell>
          <cell r="I892" t="str">
            <v/>
          </cell>
          <cell r="J892" t="str">
            <v/>
          </cell>
          <cell r="K892" t="str">
            <v/>
          </cell>
          <cell r="L892" t="str">
            <v/>
          </cell>
          <cell r="M892" t="str">
            <v/>
          </cell>
        </row>
        <row r="893">
          <cell r="A893">
            <v>31102192</v>
          </cell>
          <cell r="C893">
            <v>31102192</v>
          </cell>
          <cell r="D893">
            <v>31102192</v>
          </cell>
          <cell r="E893">
            <v>31102192</v>
          </cell>
          <cell r="F893">
            <v>31102192</v>
          </cell>
          <cell r="G893">
            <v>31102192</v>
          </cell>
          <cell r="H893">
            <v>31102192</v>
          </cell>
          <cell r="I893" t="str">
            <v/>
          </cell>
          <cell r="J893" t="str">
            <v/>
          </cell>
          <cell r="K893" t="str">
            <v/>
          </cell>
          <cell r="L893" t="str">
            <v/>
          </cell>
          <cell r="M893" t="str">
            <v/>
          </cell>
        </row>
        <row r="894">
          <cell r="A894">
            <v>31102192</v>
          </cell>
          <cell r="C894">
            <v>31102192</v>
          </cell>
          <cell r="D894">
            <v>31102192</v>
          </cell>
          <cell r="E894">
            <v>31102192</v>
          </cell>
          <cell r="F894">
            <v>31102192</v>
          </cell>
          <cell r="G894">
            <v>31102192</v>
          </cell>
          <cell r="H894">
            <v>31102192</v>
          </cell>
          <cell r="I894" t="str">
            <v/>
          </cell>
          <cell r="J894" t="str">
            <v/>
          </cell>
          <cell r="K894" t="str">
            <v/>
          </cell>
          <cell r="L894" t="str">
            <v/>
          </cell>
          <cell r="M894" t="str">
            <v/>
          </cell>
        </row>
        <row r="895">
          <cell r="A895">
            <v>31102192</v>
          </cell>
          <cell r="C895">
            <v>31102192</v>
          </cell>
          <cell r="D895">
            <v>31102192</v>
          </cell>
          <cell r="E895">
            <v>31102192</v>
          </cell>
          <cell r="F895">
            <v>31102192</v>
          </cell>
          <cell r="G895">
            <v>31102192</v>
          </cell>
          <cell r="H895">
            <v>31102192</v>
          </cell>
          <cell r="I895" t="str">
            <v/>
          </cell>
          <cell r="J895" t="str">
            <v/>
          </cell>
          <cell r="K895" t="str">
            <v/>
          </cell>
          <cell r="L895" t="str">
            <v/>
          </cell>
          <cell r="M895" t="str">
            <v/>
          </cell>
        </row>
        <row r="896">
          <cell r="A896">
            <v>31102192</v>
          </cell>
          <cell r="C896">
            <v>31102192</v>
          </cell>
          <cell r="D896">
            <v>31102192</v>
          </cell>
          <cell r="E896">
            <v>31102192</v>
          </cell>
          <cell r="F896">
            <v>31102192</v>
          </cell>
          <cell r="G896">
            <v>31102192</v>
          </cell>
          <cell r="H896">
            <v>31102192</v>
          </cell>
          <cell r="I896" t="str">
            <v/>
          </cell>
          <cell r="J896" t="str">
            <v/>
          </cell>
          <cell r="K896" t="str">
            <v/>
          </cell>
          <cell r="L896" t="str">
            <v/>
          </cell>
          <cell r="M896" t="str">
            <v/>
          </cell>
        </row>
        <row r="897">
          <cell r="A897">
            <v>31102192</v>
          </cell>
          <cell r="C897">
            <v>31102192</v>
          </cell>
          <cell r="D897">
            <v>31102192</v>
          </cell>
          <cell r="E897">
            <v>31102192</v>
          </cell>
          <cell r="F897">
            <v>31102192</v>
          </cell>
          <cell r="G897">
            <v>31102192</v>
          </cell>
          <cell r="H897">
            <v>31102192</v>
          </cell>
          <cell r="I897" t="str">
            <v/>
          </cell>
          <cell r="J897" t="str">
            <v/>
          </cell>
          <cell r="K897" t="str">
            <v/>
          </cell>
          <cell r="L897" t="str">
            <v/>
          </cell>
          <cell r="M897" t="str">
            <v/>
          </cell>
        </row>
        <row r="898">
          <cell r="A898">
            <v>31102192</v>
          </cell>
          <cell r="C898">
            <v>31102192</v>
          </cell>
          <cell r="D898">
            <v>31102192</v>
          </cell>
          <cell r="E898">
            <v>31102192</v>
          </cell>
          <cell r="F898">
            <v>31102192</v>
          </cell>
          <cell r="G898">
            <v>31102192</v>
          </cell>
          <cell r="H898">
            <v>31102192</v>
          </cell>
          <cell r="I898" t="str">
            <v/>
          </cell>
          <cell r="J898" t="str">
            <v/>
          </cell>
          <cell r="K898" t="str">
            <v/>
          </cell>
          <cell r="L898" t="str">
            <v/>
          </cell>
          <cell r="M898" t="str">
            <v/>
          </cell>
        </row>
        <row r="899">
          <cell r="A899">
            <v>31102192</v>
          </cell>
          <cell r="C899">
            <v>31102192</v>
          </cell>
          <cell r="D899">
            <v>31102192</v>
          </cell>
          <cell r="E899">
            <v>31102192</v>
          </cell>
          <cell r="F899">
            <v>31102192</v>
          </cell>
          <cell r="G899">
            <v>31102192</v>
          </cell>
          <cell r="H899">
            <v>31102192</v>
          </cell>
          <cell r="I899" t="str">
            <v/>
          </cell>
          <cell r="J899" t="str">
            <v/>
          </cell>
          <cell r="K899" t="str">
            <v/>
          </cell>
          <cell r="L899" t="str">
            <v/>
          </cell>
          <cell r="M899" t="str">
            <v/>
          </cell>
        </row>
        <row r="900">
          <cell r="A900">
            <v>31102192</v>
          </cell>
          <cell r="C900">
            <v>31102192</v>
          </cell>
          <cell r="D900">
            <v>31102192</v>
          </cell>
          <cell r="E900">
            <v>31102192</v>
          </cell>
          <cell r="F900">
            <v>31102192</v>
          </cell>
          <cell r="G900">
            <v>31102192</v>
          </cell>
          <cell r="H900">
            <v>31102192</v>
          </cell>
          <cell r="I900" t="str">
            <v/>
          </cell>
          <cell r="J900" t="str">
            <v/>
          </cell>
          <cell r="K900" t="str">
            <v/>
          </cell>
          <cell r="L900" t="str">
            <v/>
          </cell>
          <cell r="M900" t="str">
            <v/>
          </cell>
        </row>
        <row r="901">
          <cell r="A901">
            <v>31102192</v>
          </cell>
          <cell r="C901">
            <v>31102192</v>
          </cell>
          <cell r="D901">
            <v>31102192</v>
          </cell>
          <cell r="E901">
            <v>31102192</v>
          </cell>
          <cell r="F901">
            <v>31102192</v>
          </cell>
          <cell r="G901">
            <v>31102192</v>
          </cell>
          <cell r="H901">
            <v>31102192</v>
          </cell>
          <cell r="I901" t="str">
            <v/>
          </cell>
          <cell r="J901" t="str">
            <v/>
          </cell>
          <cell r="K901" t="str">
            <v/>
          </cell>
          <cell r="L901" t="str">
            <v/>
          </cell>
          <cell r="M901" t="str">
            <v/>
          </cell>
        </row>
        <row r="902">
          <cell r="A902">
            <v>31102192</v>
          </cell>
          <cell r="C902">
            <v>31102192</v>
          </cell>
          <cell r="D902">
            <v>31102192</v>
          </cell>
          <cell r="E902">
            <v>31102192</v>
          </cell>
          <cell r="F902">
            <v>31102192</v>
          </cell>
          <cell r="G902">
            <v>31102192</v>
          </cell>
          <cell r="H902">
            <v>31102192</v>
          </cell>
          <cell r="I902" t="str">
            <v/>
          </cell>
          <cell r="J902" t="str">
            <v/>
          </cell>
          <cell r="K902" t="str">
            <v/>
          </cell>
          <cell r="L902" t="str">
            <v/>
          </cell>
          <cell r="M902" t="str">
            <v/>
          </cell>
        </row>
        <row r="903">
          <cell r="A903">
            <v>31102192</v>
          </cell>
          <cell r="C903">
            <v>31102192</v>
          </cell>
          <cell r="D903">
            <v>31102192</v>
          </cell>
          <cell r="E903">
            <v>31102192</v>
          </cell>
          <cell r="F903">
            <v>31102192</v>
          </cell>
          <cell r="G903">
            <v>31102192</v>
          </cell>
          <cell r="H903">
            <v>31102192</v>
          </cell>
          <cell r="I903" t="str">
            <v/>
          </cell>
          <cell r="J903" t="str">
            <v/>
          </cell>
          <cell r="K903" t="str">
            <v/>
          </cell>
          <cell r="L903" t="str">
            <v/>
          </cell>
          <cell r="M903" t="str">
            <v/>
          </cell>
        </row>
        <row r="904">
          <cell r="A904">
            <v>31102192</v>
          </cell>
          <cell r="C904">
            <v>31102192</v>
          </cell>
          <cell r="D904">
            <v>31102192</v>
          </cell>
          <cell r="E904">
            <v>31102192</v>
          </cell>
          <cell r="F904">
            <v>31102192</v>
          </cell>
          <cell r="G904">
            <v>31102192</v>
          </cell>
          <cell r="H904">
            <v>31102192</v>
          </cell>
          <cell r="I904" t="str">
            <v/>
          </cell>
          <cell r="J904" t="str">
            <v/>
          </cell>
          <cell r="K904" t="str">
            <v/>
          </cell>
          <cell r="L904" t="str">
            <v/>
          </cell>
          <cell r="M904" t="str">
            <v/>
          </cell>
        </row>
        <row r="905">
          <cell r="A905">
            <v>31102192</v>
          </cell>
          <cell r="C905">
            <v>31102192</v>
          </cell>
          <cell r="D905">
            <v>31102192</v>
          </cell>
          <cell r="E905">
            <v>31102192</v>
          </cell>
          <cell r="F905">
            <v>31102192</v>
          </cell>
          <cell r="G905">
            <v>31102192</v>
          </cell>
          <cell r="H905">
            <v>31102192</v>
          </cell>
          <cell r="I905" t="str">
            <v/>
          </cell>
          <cell r="J905" t="str">
            <v/>
          </cell>
          <cell r="K905" t="str">
            <v/>
          </cell>
          <cell r="L905" t="str">
            <v/>
          </cell>
          <cell r="M905" t="str">
            <v/>
          </cell>
        </row>
        <row r="906">
          <cell r="A906">
            <v>31102192</v>
          </cell>
          <cell r="C906">
            <v>31102192</v>
          </cell>
          <cell r="D906">
            <v>31102192</v>
          </cell>
          <cell r="E906">
            <v>31102192</v>
          </cell>
          <cell r="F906">
            <v>31102192</v>
          </cell>
          <cell r="G906">
            <v>31102192</v>
          </cell>
          <cell r="H906">
            <v>31102192</v>
          </cell>
          <cell r="I906" t="str">
            <v/>
          </cell>
          <cell r="J906" t="str">
            <v/>
          </cell>
          <cell r="K906" t="str">
            <v/>
          </cell>
          <cell r="L906" t="str">
            <v/>
          </cell>
          <cell r="M906" t="str">
            <v/>
          </cell>
        </row>
        <row r="907">
          <cell r="A907">
            <v>31102192</v>
          </cell>
          <cell r="C907">
            <v>31102192</v>
          </cell>
          <cell r="D907">
            <v>31102192</v>
          </cell>
          <cell r="E907">
            <v>31102192</v>
          </cell>
          <cell r="F907">
            <v>31102192</v>
          </cell>
          <cell r="G907">
            <v>31102192</v>
          </cell>
          <cell r="H907">
            <v>31102192</v>
          </cell>
          <cell r="I907" t="str">
            <v/>
          </cell>
          <cell r="J907" t="str">
            <v/>
          </cell>
          <cell r="K907" t="str">
            <v/>
          </cell>
          <cell r="L907" t="str">
            <v/>
          </cell>
          <cell r="M907" t="str">
            <v/>
          </cell>
        </row>
        <row r="908">
          <cell r="A908">
            <v>31102192</v>
          </cell>
          <cell r="C908">
            <v>31102192</v>
          </cell>
          <cell r="D908">
            <v>31102192</v>
          </cell>
          <cell r="E908">
            <v>31102192</v>
          </cell>
          <cell r="F908">
            <v>31102192</v>
          </cell>
          <cell r="G908">
            <v>31102192</v>
          </cell>
          <cell r="H908">
            <v>31102192</v>
          </cell>
          <cell r="I908" t="str">
            <v/>
          </cell>
          <cell r="J908" t="str">
            <v/>
          </cell>
          <cell r="K908" t="str">
            <v/>
          </cell>
          <cell r="L908" t="str">
            <v/>
          </cell>
          <cell r="M908" t="str">
            <v/>
          </cell>
        </row>
        <row r="909">
          <cell r="A909">
            <v>31102192</v>
          </cell>
          <cell r="C909">
            <v>31102192</v>
          </cell>
          <cell r="D909">
            <v>31102192</v>
          </cell>
          <cell r="E909">
            <v>31102192</v>
          </cell>
          <cell r="F909">
            <v>31102192</v>
          </cell>
          <cell r="G909">
            <v>31102192</v>
          </cell>
          <cell r="H909">
            <v>31102192</v>
          </cell>
          <cell r="I909" t="str">
            <v/>
          </cell>
          <cell r="J909" t="str">
            <v/>
          </cell>
          <cell r="K909" t="str">
            <v/>
          </cell>
          <cell r="L909" t="str">
            <v/>
          </cell>
          <cell r="M909" t="str">
            <v/>
          </cell>
        </row>
        <row r="910">
          <cell r="A910">
            <v>31102192</v>
          </cell>
          <cell r="C910">
            <v>31102192</v>
          </cell>
          <cell r="D910">
            <v>31102192</v>
          </cell>
          <cell r="E910">
            <v>31102192</v>
          </cell>
          <cell r="F910">
            <v>31102192</v>
          </cell>
          <cell r="G910">
            <v>31102192</v>
          </cell>
          <cell r="H910">
            <v>31102192</v>
          </cell>
          <cell r="I910" t="str">
            <v/>
          </cell>
          <cell r="J910" t="str">
            <v/>
          </cell>
          <cell r="K910" t="str">
            <v/>
          </cell>
          <cell r="L910" t="str">
            <v/>
          </cell>
          <cell r="M910" t="str">
            <v/>
          </cell>
        </row>
        <row r="911">
          <cell r="A911">
            <v>31102192</v>
          </cell>
          <cell r="C911">
            <v>31102192</v>
          </cell>
          <cell r="D911">
            <v>31102192</v>
          </cell>
          <cell r="E911">
            <v>31102192</v>
          </cell>
          <cell r="F911">
            <v>31102192</v>
          </cell>
          <cell r="G911">
            <v>31102192</v>
          </cell>
          <cell r="H911">
            <v>31102192</v>
          </cell>
          <cell r="I911" t="str">
            <v/>
          </cell>
          <cell r="J911" t="str">
            <v/>
          </cell>
          <cell r="K911" t="str">
            <v/>
          </cell>
          <cell r="L911" t="str">
            <v/>
          </cell>
          <cell r="M911" t="str">
            <v/>
          </cell>
        </row>
        <row r="912">
          <cell r="A912">
            <v>31102192</v>
          </cell>
          <cell r="C912">
            <v>31102192</v>
          </cell>
          <cell r="D912">
            <v>31102192</v>
          </cell>
          <cell r="E912">
            <v>31102192</v>
          </cell>
          <cell r="F912">
            <v>31102192</v>
          </cell>
          <cell r="G912">
            <v>31102192</v>
          </cell>
          <cell r="H912">
            <v>31102192</v>
          </cell>
          <cell r="I912" t="str">
            <v/>
          </cell>
          <cell r="J912" t="str">
            <v/>
          </cell>
          <cell r="K912" t="str">
            <v/>
          </cell>
          <cell r="L912" t="str">
            <v/>
          </cell>
          <cell r="M912" t="str">
            <v/>
          </cell>
        </row>
        <row r="913">
          <cell r="A913">
            <v>31102192</v>
          </cell>
          <cell r="C913">
            <v>31102192</v>
          </cell>
          <cell r="D913">
            <v>31102192</v>
          </cell>
          <cell r="E913">
            <v>31102192</v>
          </cell>
          <cell r="F913">
            <v>31102192</v>
          </cell>
          <cell r="G913">
            <v>31102192</v>
          </cell>
          <cell r="H913">
            <v>31102192</v>
          </cell>
          <cell r="I913" t="str">
            <v/>
          </cell>
          <cell r="J913" t="str">
            <v/>
          </cell>
          <cell r="K913" t="str">
            <v/>
          </cell>
          <cell r="L913" t="str">
            <v/>
          </cell>
          <cell r="M913" t="str">
            <v/>
          </cell>
        </row>
        <row r="914">
          <cell r="A914">
            <v>31102192</v>
          </cell>
          <cell r="C914">
            <v>31102192</v>
          </cell>
          <cell r="D914">
            <v>31102192</v>
          </cell>
          <cell r="E914">
            <v>31102192</v>
          </cell>
          <cell r="F914">
            <v>31102192</v>
          </cell>
          <cell r="G914">
            <v>31102192</v>
          </cell>
          <cell r="H914">
            <v>31102192</v>
          </cell>
          <cell r="I914" t="str">
            <v/>
          </cell>
          <cell r="J914" t="str">
            <v/>
          </cell>
          <cell r="K914" t="str">
            <v/>
          </cell>
          <cell r="L914" t="str">
            <v/>
          </cell>
          <cell r="M914" t="str">
            <v/>
          </cell>
        </row>
        <row r="915">
          <cell r="A915">
            <v>31102192</v>
          </cell>
          <cell r="C915">
            <v>31102192</v>
          </cell>
          <cell r="D915">
            <v>31102192</v>
          </cell>
          <cell r="E915">
            <v>31102192</v>
          </cell>
          <cell r="F915">
            <v>31102192</v>
          </cell>
          <cell r="G915">
            <v>31102192</v>
          </cell>
          <cell r="H915">
            <v>31102192</v>
          </cell>
          <cell r="I915" t="str">
            <v/>
          </cell>
          <cell r="J915" t="str">
            <v/>
          </cell>
          <cell r="K915" t="str">
            <v/>
          </cell>
          <cell r="L915" t="str">
            <v/>
          </cell>
          <cell r="M915" t="str">
            <v/>
          </cell>
        </row>
        <row r="916">
          <cell r="A916">
            <v>31102192</v>
          </cell>
          <cell r="C916">
            <v>31102192</v>
          </cell>
          <cell r="D916">
            <v>31102192</v>
          </cell>
          <cell r="E916">
            <v>31102192</v>
          </cell>
          <cell r="F916">
            <v>31102192</v>
          </cell>
          <cell r="G916">
            <v>31102192</v>
          </cell>
          <cell r="H916">
            <v>31102192</v>
          </cell>
          <cell r="I916" t="str">
            <v/>
          </cell>
          <cell r="J916" t="str">
            <v/>
          </cell>
          <cell r="K916" t="str">
            <v/>
          </cell>
          <cell r="L916" t="str">
            <v/>
          </cell>
          <cell r="M916" t="str">
            <v/>
          </cell>
        </row>
        <row r="917">
          <cell r="A917">
            <v>31102192</v>
          </cell>
          <cell r="C917">
            <v>31102192</v>
          </cell>
          <cell r="D917">
            <v>31102192</v>
          </cell>
          <cell r="E917">
            <v>31102192</v>
          </cell>
          <cell r="F917">
            <v>31102192</v>
          </cell>
          <cell r="G917">
            <v>31102192</v>
          </cell>
          <cell r="H917">
            <v>31102192</v>
          </cell>
          <cell r="I917" t="str">
            <v/>
          </cell>
          <cell r="J917" t="str">
            <v/>
          </cell>
          <cell r="K917" t="str">
            <v/>
          </cell>
          <cell r="L917" t="str">
            <v/>
          </cell>
          <cell r="M917" t="str">
            <v/>
          </cell>
        </row>
        <row r="918">
          <cell r="A918">
            <v>31102192</v>
          </cell>
          <cell r="C918">
            <v>31102192</v>
          </cell>
          <cell r="D918">
            <v>31102192</v>
          </cell>
          <cell r="E918">
            <v>31102192</v>
          </cell>
          <cell r="F918">
            <v>31102192</v>
          </cell>
          <cell r="G918">
            <v>31102192</v>
          </cell>
          <cell r="H918">
            <v>31102192</v>
          </cell>
          <cell r="I918" t="str">
            <v/>
          </cell>
          <cell r="J918" t="str">
            <v/>
          </cell>
          <cell r="K918" t="str">
            <v/>
          </cell>
          <cell r="L918" t="str">
            <v/>
          </cell>
          <cell r="M918" t="str">
            <v/>
          </cell>
        </row>
        <row r="919">
          <cell r="A919">
            <v>31102192</v>
          </cell>
          <cell r="C919">
            <v>31102192</v>
          </cell>
          <cell r="D919">
            <v>31102192</v>
          </cell>
          <cell r="E919">
            <v>31102192</v>
          </cell>
          <cell r="F919">
            <v>31102192</v>
          </cell>
          <cell r="G919">
            <v>31102192</v>
          </cell>
          <cell r="H919">
            <v>31102192</v>
          </cell>
          <cell r="I919" t="str">
            <v/>
          </cell>
          <cell r="J919" t="str">
            <v/>
          </cell>
          <cell r="K919" t="str">
            <v/>
          </cell>
          <cell r="L919" t="str">
            <v/>
          </cell>
          <cell r="M919" t="str">
            <v/>
          </cell>
        </row>
        <row r="920">
          <cell r="A920">
            <v>31102192</v>
          </cell>
          <cell r="C920">
            <v>31102192</v>
          </cell>
          <cell r="D920">
            <v>31102192</v>
          </cell>
          <cell r="E920">
            <v>31102192</v>
          </cell>
          <cell r="F920">
            <v>31102192</v>
          </cell>
          <cell r="G920">
            <v>31102192</v>
          </cell>
          <cell r="H920">
            <v>31102192</v>
          </cell>
          <cell r="I920" t="str">
            <v/>
          </cell>
          <cell r="J920" t="str">
            <v/>
          </cell>
          <cell r="K920" t="str">
            <v/>
          </cell>
          <cell r="L920" t="str">
            <v/>
          </cell>
          <cell r="M920" t="str">
            <v/>
          </cell>
        </row>
        <row r="921">
          <cell r="A921">
            <v>31102192</v>
          </cell>
          <cell r="C921">
            <v>31102192</v>
          </cell>
          <cell r="D921">
            <v>31102192</v>
          </cell>
          <cell r="E921">
            <v>31102192</v>
          </cell>
          <cell r="F921">
            <v>31102192</v>
          </cell>
          <cell r="G921">
            <v>31102192</v>
          </cell>
          <cell r="H921">
            <v>31102192</v>
          </cell>
          <cell r="I921" t="str">
            <v/>
          </cell>
          <cell r="J921" t="str">
            <v/>
          </cell>
          <cell r="K921" t="str">
            <v/>
          </cell>
          <cell r="L921" t="str">
            <v/>
          </cell>
          <cell r="M921" t="str">
            <v/>
          </cell>
        </row>
        <row r="922">
          <cell r="A922">
            <v>31102192</v>
          </cell>
          <cell r="C922">
            <v>31102192</v>
          </cell>
          <cell r="D922">
            <v>31102192</v>
          </cell>
          <cell r="E922">
            <v>31102192</v>
          </cell>
          <cell r="F922">
            <v>31102192</v>
          </cell>
          <cell r="G922">
            <v>31102192</v>
          </cell>
          <cell r="H922">
            <v>31102192</v>
          </cell>
          <cell r="I922" t="str">
            <v/>
          </cell>
          <cell r="J922" t="str">
            <v/>
          </cell>
          <cell r="K922" t="str">
            <v/>
          </cell>
          <cell r="L922" t="str">
            <v/>
          </cell>
          <cell r="M922" t="str">
            <v/>
          </cell>
        </row>
        <row r="923">
          <cell r="A923">
            <v>31102192</v>
          </cell>
          <cell r="C923">
            <v>31102192</v>
          </cell>
          <cell r="D923">
            <v>31102192</v>
          </cell>
          <cell r="E923">
            <v>31102192</v>
          </cell>
          <cell r="F923">
            <v>31102192</v>
          </cell>
          <cell r="G923">
            <v>31102192</v>
          </cell>
          <cell r="H923">
            <v>31102192</v>
          </cell>
          <cell r="I923" t="str">
            <v/>
          </cell>
          <cell r="J923" t="str">
            <v/>
          </cell>
          <cell r="K923" t="str">
            <v/>
          </cell>
          <cell r="L923" t="str">
            <v/>
          </cell>
          <cell r="M923" t="str">
            <v/>
          </cell>
        </row>
        <row r="924">
          <cell r="A924">
            <v>31102192</v>
          </cell>
          <cell r="C924">
            <v>31102192</v>
          </cell>
          <cell r="D924">
            <v>31102192</v>
          </cell>
          <cell r="E924">
            <v>31102192</v>
          </cell>
          <cell r="F924">
            <v>31102192</v>
          </cell>
          <cell r="G924">
            <v>31102192</v>
          </cell>
          <cell r="H924">
            <v>31102192</v>
          </cell>
          <cell r="I924" t="str">
            <v/>
          </cell>
          <cell r="J924" t="str">
            <v/>
          </cell>
          <cell r="K924" t="str">
            <v/>
          </cell>
          <cell r="L924" t="str">
            <v/>
          </cell>
          <cell r="M924" t="str">
            <v/>
          </cell>
        </row>
        <row r="925">
          <cell r="A925">
            <v>31102192</v>
          </cell>
          <cell r="C925">
            <v>31102192</v>
          </cell>
          <cell r="D925">
            <v>31102192</v>
          </cell>
          <cell r="E925">
            <v>31102192</v>
          </cell>
          <cell r="F925">
            <v>31102192</v>
          </cell>
          <cell r="G925">
            <v>31102192</v>
          </cell>
          <cell r="H925">
            <v>31102192</v>
          </cell>
          <cell r="I925" t="str">
            <v/>
          </cell>
          <cell r="J925" t="str">
            <v/>
          </cell>
          <cell r="K925" t="str">
            <v/>
          </cell>
          <cell r="L925" t="str">
            <v/>
          </cell>
          <cell r="M925" t="str">
            <v/>
          </cell>
        </row>
        <row r="926">
          <cell r="A926">
            <v>31102192</v>
          </cell>
          <cell r="C926">
            <v>31102192</v>
          </cell>
          <cell r="D926">
            <v>31102192</v>
          </cell>
          <cell r="E926">
            <v>31102192</v>
          </cell>
          <cell r="F926">
            <v>31102192</v>
          </cell>
          <cell r="G926">
            <v>31102192</v>
          </cell>
          <cell r="H926">
            <v>31102192</v>
          </cell>
          <cell r="I926" t="str">
            <v/>
          </cell>
          <cell r="J926" t="str">
            <v/>
          </cell>
          <cell r="K926" t="str">
            <v/>
          </cell>
          <cell r="L926" t="str">
            <v/>
          </cell>
          <cell r="M926" t="str">
            <v/>
          </cell>
        </row>
        <row r="927">
          <cell r="A927">
            <v>31102192</v>
          </cell>
          <cell r="C927">
            <v>31102192</v>
          </cell>
          <cell r="D927">
            <v>31102192</v>
          </cell>
          <cell r="E927">
            <v>31102192</v>
          </cell>
          <cell r="F927">
            <v>31102192</v>
          </cell>
          <cell r="G927">
            <v>31102192</v>
          </cell>
          <cell r="H927">
            <v>31102192</v>
          </cell>
          <cell r="I927" t="str">
            <v/>
          </cell>
          <cell r="J927" t="str">
            <v/>
          </cell>
          <cell r="K927" t="str">
            <v/>
          </cell>
          <cell r="L927" t="str">
            <v/>
          </cell>
          <cell r="M927" t="str">
            <v/>
          </cell>
        </row>
        <row r="928">
          <cell r="A928">
            <v>31102192</v>
          </cell>
          <cell r="C928">
            <v>31102192</v>
          </cell>
          <cell r="D928">
            <v>31102192</v>
          </cell>
          <cell r="E928">
            <v>31102192</v>
          </cell>
          <cell r="F928">
            <v>31102192</v>
          </cell>
          <cell r="G928">
            <v>31102192</v>
          </cell>
          <cell r="H928">
            <v>31102192</v>
          </cell>
          <cell r="I928" t="str">
            <v/>
          </cell>
          <cell r="J928" t="str">
            <v/>
          </cell>
          <cell r="K928" t="str">
            <v/>
          </cell>
          <cell r="L928" t="str">
            <v/>
          </cell>
          <cell r="M928" t="str">
            <v/>
          </cell>
        </row>
        <row r="929">
          <cell r="A929">
            <v>31102192</v>
          </cell>
          <cell r="C929">
            <v>31102192</v>
          </cell>
          <cell r="D929">
            <v>31102192</v>
          </cell>
          <cell r="E929">
            <v>31102192</v>
          </cell>
          <cell r="F929">
            <v>31102192</v>
          </cell>
          <cell r="G929">
            <v>31102192</v>
          </cell>
          <cell r="H929">
            <v>31102192</v>
          </cell>
          <cell r="I929" t="str">
            <v/>
          </cell>
          <cell r="J929" t="str">
            <v/>
          </cell>
          <cell r="K929" t="str">
            <v/>
          </cell>
          <cell r="L929" t="str">
            <v/>
          </cell>
          <cell r="M929" t="str">
            <v/>
          </cell>
        </row>
        <row r="930">
          <cell r="A930">
            <v>31102192</v>
          </cell>
          <cell r="C930">
            <v>31102192</v>
          </cell>
          <cell r="D930">
            <v>31102192</v>
          </cell>
          <cell r="E930">
            <v>31102192</v>
          </cell>
          <cell r="F930">
            <v>31102192</v>
          </cell>
          <cell r="G930">
            <v>31102192</v>
          </cell>
          <cell r="H930">
            <v>31102192</v>
          </cell>
          <cell r="I930" t="str">
            <v/>
          </cell>
          <cell r="J930" t="str">
            <v/>
          </cell>
          <cell r="K930" t="str">
            <v/>
          </cell>
          <cell r="L930" t="str">
            <v/>
          </cell>
          <cell r="M930" t="str">
            <v/>
          </cell>
        </row>
        <row r="931">
          <cell r="A931">
            <v>31102192</v>
          </cell>
          <cell r="C931">
            <v>31102192</v>
          </cell>
          <cell r="D931">
            <v>31102192</v>
          </cell>
          <cell r="E931">
            <v>31102192</v>
          </cell>
          <cell r="F931">
            <v>31102192</v>
          </cell>
          <cell r="G931">
            <v>31102192</v>
          </cell>
          <cell r="H931">
            <v>31102192</v>
          </cell>
          <cell r="I931" t="str">
            <v/>
          </cell>
          <cell r="J931" t="str">
            <v/>
          </cell>
          <cell r="K931" t="str">
            <v/>
          </cell>
          <cell r="L931" t="str">
            <v/>
          </cell>
          <cell r="M931" t="str">
            <v/>
          </cell>
        </row>
        <row r="932">
          <cell r="A932">
            <v>31102192</v>
          </cell>
          <cell r="C932">
            <v>31102192</v>
          </cell>
          <cell r="D932">
            <v>31102192</v>
          </cell>
          <cell r="E932">
            <v>31102192</v>
          </cell>
          <cell r="F932">
            <v>31102192</v>
          </cell>
          <cell r="G932">
            <v>31102192</v>
          </cell>
          <cell r="H932">
            <v>31102192</v>
          </cell>
          <cell r="I932" t="str">
            <v/>
          </cell>
          <cell r="J932" t="str">
            <v/>
          </cell>
          <cell r="K932" t="str">
            <v/>
          </cell>
          <cell r="L932" t="str">
            <v/>
          </cell>
          <cell r="M932" t="str">
            <v/>
          </cell>
        </row>
        <row r="933">
          <cell r="A933">
            <v>31102192</v>
          </cell>
          <cell r="C933">
            <v>31102192</v>
          </cell>
          <cell r="D933">
            <v>31102192</v>
          </cell>
          <cell r="E933">
            <v>31102192</v>
          </cell>
          <cell r="F933">
            <v>31102192</v>
          </cell>
          <cell r="G933">
            <v>31102192</v>
          </cell>
          <cell r="H933">
            <v>31102192</v>
          </cell>
          <cell r="I933" t="str">
            <v/>
          </cell>
          <cell r="J933" t="str">
            <v/>
          </cell>
          <cell r="K933" t="str">
            <v/>
          </cell>
          <cell r="L933" t="str">
            <v/>
          </cell>
          <cell r="M933" t="str">
            <v/>
          </cell>
        </row>
        <row r="934">
          <cell r="A934">
            <v>31102192</v>
          </cell>
          <cell r="C934">
            <v>31102192</v>
          </cell>
          <cell r="D934">
            <v>31102192</v>
          </cell>
          <cell r="E934">
            <v>31102192</v>
          </cell>
          <cell r="F934">
            <v>31102192</v>
          </cell>
          <cell r="G934">
            <v>31102192</v>
          </cell>
          <cell r="H934">
            <v>31102192</v>
          </cell>
          <cell r="I934" t="str">
            <v/>
          </cell>
          <cell r="J934" t="str">
            <v/>
          </cell>
          <cell r="K934" t="str">
            <v/>
          </cell>
          <cell r="L934" t="str">
            <v/>
          </cell>
          <cell r="M934" t="str">
            <v/>
          </cell>
        </row>
        <row r="935">
          <cell r="A935">
            <v>31102192</v>
          </cell>
          <cell r="C935">
            <v>31102192</v>
          </cell>
          <cell r="D935">
            <v>31102192</v>
          </cell>
          <cell r="E935">
            <v>31102192</v>
          </cell>
          <cell r="F935">
            <v>31102192</v>
          </cell>
          <cell r="G935">
            <v>31102192</v>
          </cell>
          <cell r="H935">
            <v>31102192</v>
          </cell>
          <cell r="I935" t="str">
            <v/>
          </cell>
          <cell r="J935" t="str">
            <v/>
          </cell>
          <cell r="K935" t="str">
            <v/>
          </cell>
          <cell r="L935" t="str">
            <v/>
          </cell>
          <cell r="M935" t="str">
            <v/>
          </cell>
        </row>
        <row r="936">
          <cell r="A936">
            <v>31102192</v>
          </cell>
          <cell r="C936">
            <v>31102192</v>
          </cell>
          <cell r="D936">
            <v>31102192</v>
          </cell>
          <cell r="E936">
            <v>31102192</v>
          </cell>
          <cell r="F936">
            <v>31102192</v>
          </cell>
          <cell r="G936">
            <v>31102192</v>
          </cell>
          <cell r="H936">
            <v>31102192</v>
          </cell>
          <cell r="I936" t="str">
            <v/>
          </cell>
          <cell r="J936" t="str">
            <v/>
          </cell>
          <cell r="K936" t="str">
            <v/>
          </cell>
          <cell r="L936" t="str">
            <v/>
          </cell>
          <cell r="M936" t="str">
            <v/>
          </cell>
        </row>
        <row r="937">
          <cell r="A937">
            <v>31102192</v>
          </cell>
          <cell r="C937">
            <v>31102192</v>
          </cell>
          <cell r="D937">
            <v>31102192</v>
          </cell>
          <cell r="E937">
            <v>31102192</v>
          </cell>
          <cell r="F937">
            <v>31102192</v>
          </cell>
          <cell r="G937">
            <v>31102192</v>
          </cell>
          <cell r="H937">
            <v>31102192</v>
          </cell>
          <cell r="I937" t="str">
            <v/>
          </cell>
          <cell r="J937" t="str">
            <v/>
          </cell>
          <cell r="K937" t="str">
            <v/>
          </cell>
          <cell r="L937" t="str">
            <v/>
          </cell>
          <cell r="M937" t="str">
            <v/>
          </cell>
        </row>
        <row r="938">
          <cell r="A938">
            <v>31102192</v>
          </cell>
          <cell r="C938">
            <v>31102192</v>
          </cell>
          <cell r="D938">
            <v>31102192</v>
          </cell>
          <cell r="E938">
            <v>31102192</v>
          </cell>
          <cell r="F938">
            <v>31102192</v>
          </cell>
          <cell r="G938">
            <v>31102192</v>
          </cell>
          <cell r="H938">
            <v>31102192</v>
          </cell>
          <cell r="I938" t="str">
            <v/>
          </cell>
          <cell r="J938" t="str">
            <v/>
          </cell>
          <cell r="K938" t="str">
            <v/>
          </cell>
          <cell r="L938" t="str">
            <v/>
          </cell>
          <cell r="M938" t="str">
            <v/>
          </cell>
        </row>
        <row r="939">
          <cell r="A939">
            <v>31102192</v>
          </cell>
          <cell r="C939">
            <v>31102192</v>
          </cell>
          <cell r="D939">
            <v>31102192</v>
          </cell>
          <cell r="E939">
            <v>31102192</v>
          </cell>
          <cell r="F939">
            <v>31102192</v>
          </cell>
          <cell r="G939">
            <v>31102192</v>
          </cell>
          <cell r="H939">
            <v>31102192</v>
          </cell>
          <cell r="I939" t="str">
            <v/>
          </cell>
          <cell r="J939" t="str">
            <v/>
          </cell>
          <cell r="K939" t="str">
            <v/>
          </cell>
          <cell r="L939" t="str">
            <v/>
          </cell>
          <cell r="M939" t="str">
            <v/>
          </cell>
        </row>
        <row r="940">
          <cell r="A940">
            <v>31102192</v>
          </cell>
          <cell r="C940">
            <v>31102192</v>
          </cell>
          <cell r="D940">
            <v>31102192</v>
          </cell>
          <cell r="E940">
            <v>31102192</v>
          </cell>
          <cell r="F940">
            <v>31102192</v>
          </cell>
          <cell r="G940">
            <v>31102192</v>
          </cell>
          <cell r="H940">
            <v>31102192</v>
          </cell>
          <cell r="I940" t="str">
            <v/>
          </cell>
          <cell r="J940" t="str">
            <v/>
          </cell>
          <cell r="K940" t="str">
            <v/>
          </cell>
          <cell r="L940" t="str">
            <v/>
          </cell>
          <cell r="M940" t="str">
            <v/>
          </cell>
        </row>
        <row r="941">
          <cell r="A941">
            <v>31102192</v>
          </cell>
          <cell r="C941">
            <v>31102192</v>
          </cell>
          <cell r="D941">
            <v>31102192</v>
          </cell>
          <cell r="E941">
            <v>31102192</v>
          </cell>
          <cell r="F941">
            <v>31102192</v>
          </cell>
          <cell r="G941">
            <v>31102192</v>
          </cell>
          <cell r="H941">
            <v>31102192</v>
          </cell>
          <cell r="I941" t="str">
            <v/>
          </cell>
          <cell r="J941" t="str">
            <v/>
          </cell>
          <cell r="K941" t="str">
            <v/>
          </cell>
          <cell r="L941" t="str">
            <v/>
          </cell>
          <cell r="M941" t="str">
            <v/>
          </cell>
        </row>
        <row r="942">
          <cell r="A942">
            <v>31102192</v>
          </cell>
          <cell r="C942">
            <v>31102192</v>
          </cell>
          <cell r="D942">
            <v>31102192</v>
          </cell>
          <cell r="E942">
            <v>31102192</v>
          </cell>
          <cell r="F942">
            <v>31102192</v>
          </cell>
          <cell r="G942">
            <v>31102192</v>
          </cell>
          <cell r="H942">
            <v>31102192</v>
          </cell>
          <cell r="I942" t="str">
            <v/>
          </cell>
          <cell r="J942" t="str">
            <v/>
          </cell>
          <cell r="K942" t="str">
            <v/>
          </cell>
          <cell r="L942" t="str">
            <v/>
          </cell>
          <cell r="M942" t="str">
            <v/>
          </cell>
        </row>
        <row r="943">
          <cell r="A943">
            <v>31102192</v>
          </cell>
          <cell r="C943">
            <v>31102192</v>
          </cell>
          <cell r="D943">
            <v>31102192</v>
          </cell>
          <cell r="E943">
            <v>31102192</v>
          </cell>
          <cell r="F943">
            <v>31102192</v>
          </cell>
          <cell r="G943">
            <v>31102192</v>
          </cell>
          <cell r="H943">
            <v>31102192</v>
          </cell>
          <cell r="I943" t="str">
            <v/>
          </cell>
          <cell r="J943" t="str">
            <v/>
          </cell>
          <cell r="K943" t="str">
            <v/>
          </cell>
          <cell r="L943" t="str">
            <v/>
          </cell>
          <cell r="M943" t="str">
            <v/>
          </cell>
        </row>
        <row r="944">
          <cell r="A944">
            <v>31102192</v>
          </cell>
          <cell r="C944">
            <v>31102192</v>
          </cell>
          <cell r="D944">
            <v>31102192</v>
          </cell>
          <cell r="E944">
            <v>31102192</v>
          </cell>
          <cell r="F944">
            <v>31102192</v>
          </cell>
          <cell r="G944">
            <v>31102192</v>
          </cell>
          <cell r="H944">
            <v>31102192</v>
          </cell>
          <cell r="I944" t="str">
            <v/>
          </cell>
          <cell r="J944" t="str">
            <v/>
          </cell>
          <cell r="K944" t="str">
            <v/>
          </cell>
          <cell r="L944" t="str">
            <v/>
          </cell>
          <cell r="M944" t="str">
            <v/>
          </cell>
        </row>
        <row r="945">
          <cell r="A945">
            <v>31102192</v>
          </cell>
          <cell r="C945">
            <v>31102192</v>
          </cell>
          <cell r="D945">
            <v>31102192</v>
          </cell>
          <cell r="E945">
            <v>31102192</v>
          </cell>
          <cell r="F945">
            <v>31102192</v>
          </cell>
          <cell r="G945">
            <v>31102192</v>
          </cell>
          <cell r="H945">
            <v>31102192</v>
          </cell>
          <cell r="I945" t="str">
            <v/>
          </cell>
          <cell r="J945" t="str">
            <v/>
          </cell>
          <cell r="K945" t="str">
            <v/>
          </cell>
          <cell r="L945" t="str">
            <v/>
          </cell>
          <cell r="M945" t="str">
            <v/>
          </cell>
        </row>
        <row r="946">
          <cell r="A946">
            <v>31102192</v>
          </cell>
          <cell r="C946">
            <v>31102192</v>
          </cell>
          <cell r="D946">
            <v>31102192</v>
          </cell>
          <cell r="E946">
            <v>31102192</v>
          </cell>
          <cell r="F946">
            <v>31102192</v>
          </cell>
          <cell r="G946">
            <v>31102192</v>
          </cell>
          <cell r="H946">
            <v>31102192</v>
          </cell>
          <cell r="I946" t="str">
            <v/>
          </cell>
          <cell r="J946" t="str">
            <v/>
          </cell>
          <cell r="K946" t="str">
            <v/>
          </cell>
          <cell r="L946" t="str">
            <v/>
          </cell>
          <cell r="M946" t="str">
            <v/>
          </cell>
        </row>
        <row r="947">
          <cell r="A947">
            <v>31102192</v>
          </cell>
          <cell r="C947">
            <v>31102192</v>
          </cell>
          <cell r="D947">
            <v>31102192</v>
          </cell>
          <cell r="E947">
            <v>31102192</v>
          </cell>
          <cell r="F947">
            <v>31102192</v>
          </cell>
          <cell r="G947">
            <v>31102192</v>
          </cell>
          <cell r="H947">
            <v>31102192</v>
          </cell>
          <cell r="I947" t="str">
            <v/>
          </cell>
          <cell r="J947" t="str">
            <v/>
          </cell>
          <cell r="K947" t="str">
            <v/>
          </cell>
          <cell r="L947" t="str">
            <v/>
          </cell>
          <cell r="M947" t="str">
            <v/>
          </cell>
        </row>
        <row r="948">
          <cell r="A948">
            <v>31102192</v>
          </cell>
          <cell r="C948">
            <v>31102192</v>
          </cell>
          <cell r="D948">
            <v>31102192</v>
          </cell>
          <cell r="E948">
            <v>31102192</v>
          </cell>
          <cell r="F948">
            <v>31102192</v>
          </cell>
          <cell r="G948">
            <v>31102192</v>
          </cell>
          <cell r="H948">
            <v>31102192</v>
          </cell>
          <cell r="I948" t="str">
            <v/>
          </cell>
          <cell r="J948" t="str">
            <v/>
          </cell>
          <cell r="K948" t="str">
            <v/>
          </cell>
          <cell r="L948" t="str">
            <v/>
          </cell>
          <cell r="M948" t="str">
            <v/>
          </cell>
        </row>
        <row r="949">
          <cell r="A949">
            <v>31102192</v>
          </cell>
          <cell r="C949">
            <v>31102192</v>
          </cell>
          <cell r="D949">
            <v>31102192</v>
          </cell>
          <cell r="E949">
            <v>31102192</v>
          </cell>
          <cell r="F949">
            <v>31102192</v>
          </cell>
          <cell r="G949">
            <v>31102192</v>
          </cell>
          <cell r="H949">
            <v>31102192</v>
          </cell>
          <cell r="I949" t="str">
            <v/>
          </cell>
          <cell r="J949" t="str">
            <v/>
          </cell>
          <cell r="K949" t="str">
            <v/>
          </cell>
          <cell r="L949" t="str">
            <v/>
          </cell>
          <cell r="M949" t="str">
            <v/>
          </cell>
        </row>
        <row r="950">
          <cell r="A950">
            <v>31102192</v>
          </cell>
          <cell r="C950">
            <v>31102192</v>
          </cell>
          <cell r="D950">
            <v>31102192</v>
          </cell>
          <cell r="E950">
            <v>31102192</v>
          </cell>
          <cell r="F950">
            <v>31102192</v>
          </cell>
          <cell r="G950">
            <v>31102192</v>
          </cell>
          <cell r="H950">
            <v>31102192</v>
          </cell>
          <cell r="I950" t="str">
            <v/>
          </cell>
          <cell r="J950" t="str">
            <v/>
          </cell>
          <cell r="K950" t="str">
            <v/>
          </cell>
          <cell r="L950" t="str">
            <v/>
          </cell>
          <cell r="M950" t="str">
            <v/>
          </cell>
        </row>
        <row r="951">
          <cell r="A951">
            <v>31102192</v>
          </cell>
          <cell r="C951">
            <v>31102192</v>
          </cell>
          <cell r="D951">
            <v>31102192</v>
          </cell>
          <cell r="E951">
            <v>31102192</v>
          </cell>
          <cell r="F951">
            <v>31102192</v>
          </cell>
          <cell r="G951">
            <v>31102192</v>
          </cell>
          <cell r="H951">
            <v>31102192</v>
          </cell>
          <cell r="I951" t="str">
            <v/>
          </cell>
          <cell r="J951" t="str">
            <v/>
          </cell>
          <cell r="K951" t="str">
            <v/>
          </cell>
          <cell r="L951" t="str">
            <v/>
          </cell>
          <cell r="M951" t="str">
            <v/>
          </cell>
        </row>
        <row r="952">
          <cell r="A952">
            <v>31102192</v>
          </cell>
          <cell r="C952">
            <v>31102192</v>
          </cell>
          <cell r="D952">
            <v>31102192</v>
          </cell>
          <cell r="E952">
            <v>31102192</v>
          </cell>
          <cell r="F952">
            <v>31102192</v>
          </cell>
          <cell r="G952">
            <v>31102192</v>
          </cell>
          <cell r="H952">
            <v>31102192</v>
          </cell>
          <cell r="I952" t="str">
            <v/>
          </cell>
          <cell r="J952" t="str">
            <v/>
          </cell>
          <cell r="K952" t="str">
            <v/>
          </cell>
          <cell r="L952" t="str">
            <v/>
          </cell>
          <cell r="M952" t="str">
            <v/>
          </cell>
        </row>
        <row r="953">
          <cell r="A953">
            <v>31102192</v>
          </cell>
          <cell r="C953">
            <v>31102192</v>
          </cell>
          <cell r="D953">
            <v>31102192</v>
          </cell>
          <cell r="E953">
            <v>31102192</v>
          </cell>
          <cell r="F953">
            <v>31102192</v>
          </cell>
          <cell r="G953">
            <v>31102192</v>
          </cell>
          <cell r="H953">
            <v>31102192</v>
          </cell>
          <cell r="I953" t="str">
            <v/>
          </cell>
          <cell r="J953" t="str">
            <v/>
          </cell>
          <cell r="K953" t="str">
            <v/>
          </cell>
          <cell r="L953" t="str">
            <v/>
          </cell>
          <cell r="M953" t="str">
            <v/>
          </cell>
        </row>
        <row r="954">
          <cell r="A954">
            <v>31102192</v>
          </cell>
          <cell r="C954">
            <v>31102192</v>
          </cell>
          <cell r="D954">
            <v>31102192</v>
          </cell>
          <cell r="E954">
            <v>31102192</v>
          </cell>
          <cell r="F954">
            <v>31102192</v>
          </cell>
          <cell r="G954">
            <v>31102192</v>
          </cell>
          <cell r="H954">
            <v>31102192</v>
          </cell>
          <cell r="I954" t="str">
            <v/>
          </cell>
          <cell r="J954" t="str">
            <v/>
          </cell>
          <cell r="K954" t="str">
            <v/>
          </cell>
          <cell r="L954" t="str">
            <v/>
          </cell>
          <cell r="M954" t="str">
            <v/>
          </cell>
        </row>
        <row r="955">
          <cell r="A955">
            <v>31102192</v>
          </cell>
          <cell r="C955">
            <v>31102192</v>
          </cell>
          <cell r="D955">
            <v>31102192</v>
          </cell>
          <cell r="E955">
            <v>31102192</v>
          </cell>
          <cell r="F955">
            <v>31102192</v>
          </cell>
          <cell r="G955">
            <v>31102192</v>
          </cell>
          <cell r="H955">
            <v>31102192</v>
          </cell>
          <cell r="I955" t="str">
            <v/>
          </cell>
          <cell r="J955" t="str">
            <v/>
          </cell>
          <cell r="K955" t="str">
            <v/>
          </cell>
          <cell r="L955" t="str">
            <v/>
          </cell>
          <cell r="M955" t="str">
            <v/>
          </cell>
        </row>
        <row r="956">
          <cell r="A956">
            <v>31102192</v>
          </cell>
          <cell r="C956">
            <v>31102192</v>
          </cell>
          <cell r="D956">
            <v>31102192</v>
          </cell>
          <cell r="E956">
            <v>31102192</v>
          </cell>
          <cell r="F956">
            <v>31102192</v>
          </cell>
          <cell r="G956">
            <v>31102192</v>
          </cell>
          <cell r="H956">
            <v>31102192</v>
          </cell>
          <cell r="I956" t="str">
            <v/>
          </cell>
          <cell r="J956" t="str">
            <v/>
          </cell>
          <cell r="K956" t="str">
            <v/>
          </cell>
          <cell r="L956" t="str">
            <v/>
          </cell>
          <cell r="M956" t="str">
            <v/>
          </cell>
        </row>
        <row r="957">
          <cell r="A957">
            <v>31102192</v>
          </cell>
          <cell r="C957">
            <v>31102192</v>
          </cell>
          <cell r="D957">
            <v>31102192</v>
          </cell>
          <cell r="E957">
            <v>31102192</v>
          </cell>
          <cell r="F957">
            <v>31102192</v>
          </cell>
          <cell r="G957">
            <v>31102192</v>
          </cell>
          <cell r="H957">
            <v>31102192</v>
          </cell>
          <cell r="I957" t="str">
            <v/>
          </cell>
          <cell r="J957" t="str">
            <v/>
          </cell>
          <cell r="K957" t="str">
            <v/>
          </cell>
          <cell r="L957" t="str">
            <v/>
          </cell>
          <cell r="M957" t="str">
            <v/>
          </cell>
        </row>
        <row r="958">
          <cell r="A958">
            <v>31102192</v>
          </cell>
          <cell r="C958">
            <v>31102192</v>
          </cell>
          <cell r="D958">
            <v>31102192</v>
          </cell>
          <cell r="E958">
            <v>31102192</v>
          </cell>
          <cell r="F958">
            <v>31102192</v>
          </cell>
          <cell r="G958">
            <v>31102192</v>
          </cell>
          <cell r="H958">
            <v>31102192</v>
          </cell>
          <cell r="I958" t="str">
            <v/>
          </cell>
          <cell r="J958" t="str">
            <v/>
          </cell>
          <cell r="K958" t="str">
            <v/>
          </cell>
          <cell r="L958" t="str">
            <v/>
          </cell>
          <cell r="M958" t="str">
            <v/>
          </cell>
        </row>
        <row r="959">
          <cell r="A959">
            <v>31102192</v>
          </cell>
          <cell r="C959">
            <v>31102192</v>
          </cell>
          <cell r="D959">
            <v>31102192</v>
          </cell>
          <cell r="E959">
            <v>31102192</v>
          </cell>
          <cell r="F959">
            <v>31102192</v>
          </cell>
          <cell r="G959">
            <v>31102192</v>
          </cell>
          <cell r="H959">
            <v>31102192</v>
          </cell>
          <cell r="I959" t="str">
            <v/>
          </cell>
          <cell r="J959" t="str">
            <v/>
          </cell>
          <cell r="K959" t="str">
            <v/>
          </cell>
          <cell r="L959" t="str">
            <v/>
          </cell>
          <cell r="M959" t="str">
            <v/>
          </cell>
        </row>
        <row r="960">
          <cell r="A960">
            <v>31102192</v>
          </cell>
          <cell r="C960">
            <v>31102192</v>
          </cell>
          <cell r="D960">
            <v>31102192</v>
          </cell>
          <cell r="E960">
            <v>31102192</v>
          </cell>
          <cell r="F960">
            <v>31102192</v>
          </cell>
          <cell r="G960">
            <v>31102192</v>
          </cell>
          <cell r="H960">
            <v>31102192</v>
          </cell>
          <cell r="I960" t="str">
            <v/>
          </cell>
          <cell r="J960" t="str">
            <v/>
          </cell>
          <cell r="K960" t="str">
            <v/>
          </cell>
          <cell r="L960" t="str">
            <v/>
          </cell>
          <cell r="M960" t="str">
            <v/>
          </cell>
        </row>
        <row r="961">
          <cell r="A961">
            <v>31102192</v>
          </cell>
          <cell r="C961">
            <v>31102192</v>
          </cell>
          <cell r="D961">
            <v>31102192</v>
          </cell>
          <cell r="E961">
            <v>31102192</v>
          </cell>
          <cell r="F961">
            <v>31102192</v>
          </cell>
          <cell r="G961">
            <v>31102192</v>
          </cell>
          <cell r="H961">
            <v>31102192</v>
          </cell>
          <cell r="I961" t="str">
            <v/>
          </cell>
          <cell r="J961" t="str">
            <v/>
          </cell>
          <cell r="K961" t="str">
            <v/>
          </cell>
          <cell r="L961" t="str">
            <v/>
          </cell>
          <cell r="M961" t="str">
            <v/>
          </cell>
        </row>
        <row r="962">
          <cell r="A962">
            <v>31102192</v>
          </cell>
          <cell r="C962">
            <v>31102192</v>
          </cell>
          <cell r="D962">
            <v>31102192</v>
          </cell>
          <cell r="E962">
            <v>31102192</v>
          </cell>
          <cell r="F962">
            <v>31102192</v>
          </cell>
          <cell r="G962">
            <v>31102192</v>
          </cell>
          <cell r="H962">
            <v>31102192</v>
          </cell>
          <cell r="I962" t="str">
            <v/>
          </cell>
          <cell r="J962" t="str">
            <v/>
          </cell>
          <cell r="K962" t="str">
            <v/>
          </cell>
          <cell r="L962" t="str">
            <v/>
          </cell>
          <cell r="M962" t="str">
            <v/>
          </cell>
        </row>
        <row r="963">
          <cell r="A963">
            <v>31102192</v>
          </cell>
          <cell r="C963">
            <v>31102192</v>
          </cell>
          <cell r="D963">
            <v>31102192</v>
          </cell>
          <cell r="E963">
            <v>31102192</v>
          </cell>
          <cell r="F963">
            <v>31102192</v>
          </cell>
          <cell r="G963">
            <v>31102192</v>
          </cell>
          <cell r="H963">
            <v>31102192</v>
          </cell>
          <cell r="I963" t="str">
            <v/>
          </cell>
          <cell r="J963" t="str">
            <v/>
          </cell>
          <cell r="K963" t="str">
            <v/>
          </cell>
          <cell r="L963" t="str">
            <v/>
          </cell>
          <cell r="M963" t="str">
            <v/>
          </cell>
        </row>
        <row r="964">
          <cell r="A964">
            <v>31102192</v>
          </cell>
          <cell r="C964">
            <v>31102192</v>
          </cell>
          <cell r="D964">
            <v>31102192</v>
          </cell>
          <cell r="E964">
            <v>31102192</v>
          </cell>
          <cell r="F964">
            <v>31102192</v>
          </cell>
          <cell r="G964">
            <v>31102192</v>
          </cell>
          <cell r="H964">
            <v>31102192</v>
          </cell>
          <cell r="I964" t="str">
            <v/>
          </cell>
          <cell r="J964" t="str">
            <v/>
          </cell>
          <cell r="K964" t="str">
            <v/>
          </cell>
          <cell r="L964" t="str">
            <v/>
          </cell>
          <cell r="M964" t="str">
            <v/>
          </cell>
        </row>
        <row r="965">
          <cell r="A965">
            <v>31102192</v>
          </cell>
          <cell r="C965">
            <v>31102192</v>
          </cell>
          <cell r="D965">
            <v>31102192</v>
          </cell>
          <cell r="E965">
            <v>31102192</v>
          </cell>
          <cell r="F965">
            <v>31102192</v>
          </cell>
          <cell r="G965">
            <v>31102192</v>
          </cell>
          <cell r="H965">
            <v>31102192</v>
          </cell>
          <cell r="I965" t="str">
            <v/>
          </cell>
          <cell r="J965" t="str">
            <v/>
          </cell>
          <cell r="K965" t="str">
            <v/>
          </cell>
          <cell r="L965" t="str">
            <v/>
          </cell>
          <cell r="M965" t="str">
            <v/>
          </cell>
        </row>
        <row r="966">
          <cell r="A966">
            <v>31102192</v>
          </cell>
          <cell r="C966">
            <v>31102192</v>
          </cell>
          <cell r="D966">
            <v>31102192</v>
          </cell>
          <cell r="E966">
            <v>31102192</v>
          </cell>
          <cell r="F966">
            <v>31102192</v>
          </cell>
          <cell r="G966">
            <v>31102192</v>
          </cell>
          <cell r="H966">
            <v>31102192</v>
          </cell>
          <cell r="I966" t="str">
            <v/>
          </cell>
          <cell r="J966" t="str">
            <v/>
          </cell>
          <cell r="K966" t="str">
            <v/>
          </cell>
          <cell r="L966" t="str">
            <v/>
          </cell>
          <cell r="M966" t="str">
            <v/>
          </cell>
        </row>
        <row r="967">
          <cell r="A967">
            <v>31102192</v>
          </cell>
          <cell r="C967">
            <v>31102192</v>
          </cell>
          <cell r="D967">
            <v>31102192</v>
          </cell>
          <cell r="E967">
            <v>31102192</v>
          </cell>
          <cell r="F967">
            <v>31102192</v>
          </cell>
          <cell r="G967">
            <v>31102192</v>
          </cell>
          <cell r="H967">
            <v>31102192</v>
          </cell>
          <cell r="I967" t="str">
            <v/>
          </cell>
          <cell r="J967" t="str">
            <v/>
          </cell>
          <cell r="K967" t="str">
            <v/>
          </cell>
          <cell r="L967" t="str">
            <v/>
          </cell>
          <cell r="M967" t="str">
            <v/>
          </cell>
        </row>
        <row r="968">
          <cell r="A968">
            <v>31102192</v>
          </cell>
          <cell r="C968">
            <v>31102192</v>
          </cell>
          <cell r="D968">
            <v>31102192</v>
          </cell>
          <cell r="E968">
            <v>31102192</v>
          </cell>
          <cell r="F968">
            <v>31102192</v>
          </cell>
          <cell r="G968">
            <v>31102192</v>
          </cell>
          <cell r="H968">
            <v>31102192</v>
          </cell>
          <cell r="I968" t="str">
            <v/>
          </cell>
          <cell r="J968" t="str">
            <v/>
          </cell>
          <cell r="K968" t="str">
            <v/>
          </cell>
          <cell r="L968" t="str">
            <v/>
          </cell>
          <cell r="M968" t="str">
            <v/>
          </cell>
        </row>
        <row r="969">
          <cell r="A969">
            <v>31102192</v>
          </cell>
          <cell r="C969">
            <v>31102192</v>
          </cell>
          <cell r="D969">
            <v>31102192</v>
          </cell>
          <cell r="E969">
            <v>31102192</v>
          </cell>
          <cell r="F969">
            <v>31102192</v>
          </cell>
          <cell r="G969">
            <v>31102192</v>
          </cell>
          <cell r="H969">
            <v>31102192</v>
          </cell>
          <cell r="I969" t="str">
            <v/>
          </cell>
          <cell r="J969" t="str">
            <v/>
          </cell>
          <cell r="K969" t="str">
            <v/>
          </cell>
          <cell r="L969" t="str">
            <v/>
          </cell>
          <cell r="M969" t="str">
            <v/>
          </cell>
        </row>
        <row r="970">
          <cell r="A970">
            <v>31102192</v>
          </cell>
          <cell r="C970">
            <v>31102192</v>
          </cell>
          <cell r="D970">
            <v>31102192</v>
          </cell>
          <cell r="E970">
            <v>31102192</v>
          </cell>
          <cell r="F970">
            <v>31102192</v>
          </cell>
          <cell r="G970">
            <v>31102192</v>
          </cell>
          <cell r="H970">
            <v>31102192</v>
          </cell>
          <cell r="I970" t="str">
            <v/>
          </cell>
          <cell r="J970" t="str">
            <v/>
          </cell>
          <cell r="K970" t="str">
            <v/>
          </cell>
          <cell r="L970" t="str">
            <v/>
          </cell>
          <cell r="M970" t="str">
            <v/>
          </cell>
        </row>
        <row r="971">
          <cell r="A971">
            <v>31102192</v>
          </cell>
          <cell r="C971">
            <v>31102192</v>
          </cell>
          <cell r="D971">
            <v>31102192</v>
          </cell>
          <cell r="E971">
            <v>31102192</v>
          </cell>
          <cell r="F971">
            <v>31102192</v>
          </cell>
          <cell r="G971">
            <v>31102192</v>
          </cell>
          <cell r="H971">
            <v>31102192</v>
          </cell>
          <cell r="I971" t="str">
            <v/>
          </cell>
          <cell r="J971" t="str">
            <v/>
          </cell>
          <cell r="K971" t="str">
            <v/>
          </cell>
          <cell r="L971" t="str">
            <v/>
          </cell>
          <cell r="M971" t="str">
            <v/>
          </cell>
        </row>
        <row r="972">
          <cell r="A972">
            <v>31102192</v>
          </cell>
          <cell r="C972">
            <v>31102192</v>
          </cell>
          <cell r="D972">
            <v>31102192</v>
          </cell>
          <cell r="E972">
            <v>31102192</v>
          </cell>
          <cell r="F972">
            <v>31102192</v>
          </cell>
          <cell r="G972">
            <v>31102192</v>
          </cell>
          <cell r="H972">
            <v>31102192</v>
          </cell>
          <cell r="I972" t="str">
            <v/>
          </cell>
          <cell r="J972" t="str">
            <v/>
          </cell>
          <cell r="K972" t="str">
            <v/>
          </cell>
          <cell r="L972" t="str">
            <v/>
          </cell>
          <cell r="M972" t="str">
            <v/>
          </cell>
        </row>
        <row r="973">
          <cell r="A973">
            <v>31102192</v>
          </cell>
          <cell r="C973">
            <v>31102192</v>
          </cell>
          <cell r="D973">
            <v>31102192</v>
          </cell>
          <cell r="E973">
            <v>31102192</v>
          </cell>
          <cell r="F973">
            <v>31102192</v>
          </cell>
          <cell r="G973">
            <v>31102192</v>
          </cell>
          <cell r="H973">
            <v>31102192</v>
          </cell>
          <cell r="I973" t="str">
            <v/>
          </cell>
          <cell r="J973" t="str">
            <v/>
          </cell>
          <cell r="K973" t="str">
            <v/>
          </cell>
          <cell r="L973" t="str">
            <v/>
          </cell>
          <cell r="M973" t="str">
            <v/>
          </cell>
        </row>
        <row r="974">
          <cell r="A974">
            <v>31102192</v>
          </cell>
          <cell r="C974">
            <v>31102192</v>
          </cell>
          <cell r="D974">
            <v>31102192</v>
          </cell>
          <cell r="E974">
            <v>31102192</v>
          </cell>
          <cell r="F974">
            <v>31102192</v>
          </cell>
          <cell r="G974">
            <v>31102192</v>
          </cell>
          <cell r="H974">
            <v>31102192</v>
          </cell>
          <cell r="I974" t="str">
            <v/>
          </cell>
          <cell r="J974" t="str">
            <v/>
          </cell>
          <cell r="K974" t="str">
            <v/>
          </cell>
          <cell r="L974" t="str">
            <v/>
          </cell>
          <cell r="M974" t="str">
            <v/>
          </cell>
        </row>
        <row r="975">
          <cell r="A975">
            <v>31102192</v>
          </cell>
          <cell r="C975">
            <v>31102192</v>
          </cell>
          <cell r="D975">
            <v>31102192</v>
          </cell>
          <cell r="E975">
            <v>31102192</v>
          </cell>
          <cell r="F975">
            <v>31102192</v>
          </cell>
          <cell r="G975">
            <v>31102192</v>
          </cell>
          <cell r="H975">
            <v>31102192</v>
          </cell>
          <cell r="I975" t="str">
            <v/>
          </cell>
          <cell r="J975" t="str">
            <v/>
          </cell>
          <cell r="K975" t="str">
            <v/>
          </cell>
          <cell r="L975" t="str">
            <v/>
          </cell>
          <cell r="M975" t="str">
            <v/>
          </cell>
        </row>
        <row r="976">
          <cell r="A976">
            <v>31102192</v>
          </cell>
          <cell r="C976">
            <v>31102192</v>
          </cell>
          <cell r="D976">
            <v>31102192</v>
          </cell>
          <cell r="E976">
            <v>31102192</v>
          </cell>
          <cell r="F976">
            <v>31102192</v>
          </cell>
          <cell r="G976">
            <v>31102192</v>
          </cell>
          <cell r="H976">
            <v>31102192</v>
          </cell>
          <cell r="I976" t="str">
            <v/>
          </cell>
          <cell r="J976" t="str">
            <v/>
          </cell>
          <cell r="K976" t="str">
            <v/>
          </cell>
          <cell r="L976" t="str">
            <v/>
          </cell>
          <cell r="M976" t="str">
            <v/>
          </cell>
        </row>
        <row r="977">
          <cell r="A977">
            <v>31102192</v>
          </cell>
          <cell r="C977">
            <v>31102192</v>
          </cell>
          <cell r="D977">
            <v>31102192</v>
          </cell>
          <cell r="E977">
            <v>31102192</v>
          </cell>
          <cell r="F977">
            <v>31102192</v>
          </cell>
          <cell r="G977">
            <v>31102192</v>
          </cell>
          <cell r="H977">
            <v>31102192</v>
          </cell>
          <cell r="I977" t="str">
            <v/>
          </cell>
          <cell r="J977" t="str">
            <v/>
          </cell>
          <cell r="K977" t="str">
            <v/>
          </cell>
          <cell r="L977" t="str">
            <v/>
          </cell>
          <cell r="M977" t="str">
            <v/>
          </cell>
        </row>
        <row r="978">
          <cell r="A978">
            <v>31102192</v>
          </cell>
          <cell r="C978">
            <v>31102192</v>
          </cell>
          <cell r="D978">
            <v>31102192</v>
          </cell>
          <cell r="E978">
            <v>31102192</v>
          </cell>
          <cell r="F978">
            <v>31102192</v>
          </cell>
          <cell r="G978">
            <v>31102192</v>
          </cell>
          <cell r="H978">
            <v>31102192</v>
          </cell>
          <cell r="I978" t="str">
            <v/>
          </cell>
          <cell r="J978" t="str">
            <v/>
          </cell>
          <cell r="K978" t="str">
            <v/>
          </cell>
          <cell r="L978" t="str">
            <v/>
          </cell>
          <cell r="M978" t="str">
            <v/>
          </cell>
        </row>
        <row r="979">
          <cell r="A979">
            <v>31102192</v>
          </cell>
          <cell r="C979">
            <v>31102192</v>
          </cell>
          <cell r="D979">
            <v>31102192</v>
          </cell>
          <cell r="E979">
            <v>31102192</v>
          </cell>
          <cell r="F979">
            <v>31102192</v>
          </cell>
          <cell r="G979">
            <v>31102192</v>
          </cell>
          <cell r="H979">
            <v>31102192</v>
          </cell>
          <cell r="I979" t="str">
            <v/>
          </cell>
          <cell r="J979" t="str">
            <v/>
          </cell>
          <cell r="K979" t="str">
            <v/>
          </cell>
          <cell r="L979" t="str">
            <v/>
          </cell>
          <cell r="M979" t="str">
            <v/>
          </cell>
        </row>
        <row r="980">
          <cell r="A980">
            <v>31102192</v>
          </cell>
          <cell r="C980">
            <v>31102192</v>
          </cell>
          <cell r="D980">
            <v>31102192</v>
          </cell>
          <cell r="E980">
            <v>31102192</v>
          </cell>
          <cell r="F980">
            <v>31102192</v>
          </cell>
          <cell r="G980">
            <v>31102192</v>
          </cell>
          <cell r="H980">
            <v>31102192</v>
          </cell>
          <cell r="I980" t="str">
            <v/>
          </cell>
          <cell r="J980" t="str">
            <v/>
          </cell>
          <cell r="K980" t="str">
            <v/>
          </cell>
          <cell r="L980" t="str">
            <v/>
          </cell>
          <cell r="M980" t="str">
            <v/>
          </cell>
        </row>
        <row r="981">
          <cell r="A981">
            <v>31102192</v>
          </cell>
          <cell r="C981">
            <v>31102192</v>
          </cell>
          <cell r="D981">
            <v>31102192</v>
          </cell>
          <cell r="E981">
            <v>31102192</v>
          </cell>
          <cell r="F981">
            <v>31102192</v>
          </cell>
          <cell r="G981">
            <v>31102192</v>
          </cell>
          <cell r="H981">
            <v>31102192</v>
          </cell>
          <cell r="I981" t="str">
            <v/>
          </cell>
          <cell r="J981" t="str">
            <v/>
          </cell>
          <cell r="K981" t="str">
            <v/>
          </cell>
          <cell r="L981" t="str">
            <v/>
          </cell>
          <cell r="M981" t="str">
            <v/>
          </cell>
        </row>
        <row r="982">
          <cell r="A982">
            <v>31102192</v>
          </cell>
          <cell r="C982">
            <v>31102192</v>
          </cell>
          <cell r="D982">
            <v>31102192</v>
          </cell>
          <cell r="E982">
            <v>31102192</v>
          </cell>
          <cell r="F982">
            <v>31102192</v>
          </cell>
          <cell r="G982">
            <v>31102192</v>
          </cell>
          <cell r="H982">
            <v>31102192</v>
          </cell>
          <cell r="I982" t="str">
            <v/>
          </cell>
          <cell r="J982" t="str">
            <v/>
          </cell>
          <cell r="K982" t="str">
            <v/>
          </cell>
          <cell r="L982" t="str">
            <v/>
          </cell>
          <cell r="M982" t="str">
            <v/>
          </cell>
        </row>
        <row r="983">
          <cell r="A983">
            <v>31102192</v>
          </cell>
          <cell r="C983">
            <v>31102192</v>
          </cell>
          <cell r="D983">
            <v>31102192</v>
          </cell>
          <cell r="E983">
            <v>31102192</v>
          </cell>
          <cell r="F983">
            <v>31102192</v>
          </cell>
          <cell r="G983">
            <v>31102192</v>
          </cell>
          <cell r="H983">
            <v>31102192</v>
          </cell>
          <cell r="I983" t="str">
            <v/>
          </cell>
          <cell r="J983" t="str">
            <v/>
          </cell>
          <cell r="K983" t="str">
            <v/>
          </cell>
          <cell r="L983" t="str">
            <v/>
          </cell>
          <cell r="M983" t="str">
            <v/>
          </cell>
        </row>
        <row r="984">
          <cell r="A984">
            <v>31102192</v>
          </cell>
          <cell r="C984">
            <v>31102192</v>
          </cell>
          <cell r="D984">
            <v>31102192</v>
          </cell>
          <cell r="E984">
            <v>31102192</v>
          </cell>
          <cell r="F984">
            <v>31102192</v>
          </cell>
          <cell r="G984">
            <v>31102192</v>
          </cell>
          <cell r="H984">
            <v>31102192</v>
          </cell>
          <cell r="I984" t="str">
            <v/>
          </cell>
          <cell r="J984" t="str">
            <v/>
          </cell>
          <cell r="K984" t="str">
            <v/>
          </cell>
          <cell r="L984" t="str">
            <v/>
          </cell>
          <cell r="M984" t="str">
            <v/>
          </cell>
        </row>
        <row r="985">
          <cell r="A985">
            <v>31102192</v>
          </cell>
          <cell r="C985">
            <v>31102192</v>
          </cell>
          <cell r="D985">
            <v>31102192</v>
          </cell>
          <cell r="E985">
            <v>31102192</v>
          </cell>
          <cell r="F985">
            <v>31102192</v>
          </cell>
          <cell r="G985">
            <v>31102192</v>
          </cell>
          <cell r="H985">
            <v>31102192</v>
          </cell>
          <cell r="I985" t="str">
            <v/>
          </cell>
          <cell r="J985" t="str">
            <v/>
          </cell>
          <cell r="K985" t="str">
            <v/>
          </cell>
          <cell r="L985" t="str">
            <v/>
          </cell>
          <cell r="M985" t="str">
            <v/>
          </cell>
        </row>
        <row r="986">
          <cell r="A986">
            <v>31102192</v>
          </cell>
          <cell r="C986">
            <v>31102192</v>
          </cell>
          <cell r="D986">
            <v>31102192</v>
          </cell>
          <cell r="E986">
            <v>31102192</v>
          </cell>
          <cell r="F986">
            <v>31102192</v>
          </cell>
          <cell r="G986">
            <v>31102192</v>
          </cell>
          <cell r="H986">
            <v>31102192</v>
          </cell>
          <cell r="I986" t="str">
            <v/>
          </cell>
          <cell r="J986" t="str">
            <v/>
          </cell>
          <cell r="K986" t="str">
            <v/>
          </cell>
          <cell r="L986" t="str">
            <v/>
          </cell>
          <cell r="M986" t="str">
            <v/>
          </cell>
        </row>
        <row r="987">
          <cell r="A987">
            <v>31102192</v>
          </cell>
          <cell r="C987">
            <v>31102192</v>
          </cell>
          <cell r="D987">
            <v>31102192</v>
          </cell>
          <cell r="E987">
            <v>31102192</v>
          </cell>
          <cell r="F987">
            <v>31102192</v>
          </cell>
          <cell r="G987">
            <v>31102192</v>
          </cell>
          <cell r="H987">
            <v>31102192</v>
          </cell>
          <cell r="I987" t="str">
            <v/>
          </cell>
          <cell r="J987" t="str">
            <v/>
          </cell>
          <cell r="K987" t="str">
            <v/>
          </cell>
          <cell r="L987" t="str">
            <v/>
          </cell>
          <cell r="M987" t="str">
            <v/>
          </cell>
        </row>
        <row r="988">
          <cell r="A988">
            <v>31102192</v>
          </cell>
          <cell r="C988">
            <v>31102192</v>
          </cell>
          <cell r="D988">
            <v>31102192</v>
          </cell>
          <cell r="E988">
            <v>31102192</v>
          </cell>
          <cell r="F988">
            <v>31102192</v>
          </cell>
          <cell r="G988">
            <v>31102192</v>
          </cell>
          <cell r="H988">
            <v>31102192</v>
          </cell>
          <cell r="I988" t="str">
            <v/>
          </cell>
          <cell r="J988" t="str">
            <v/>
          </cell>
          <cell r="K988" t="str">
            <v/>
          </cell>
          <cell r="L988" t="str">
            <v/>
          </cell>
          <cell r="M988" t="str">
            <v/>
          </cell>
        </row>
        <row r="989">
          <cell r="A989">
            <v>31102192</v>
          </cell>
          <cell r="C989">
            <v>31102192</v>
          </cell>
          <cell r="D989">
            <v>31102192</v>
          </cell>
          <cell r="E989">
            <v>31102192</v>
          </cell>
          <cell r="F989">
            <v>31102192</v>
          </cell>
          <cell r="G989">
            <v>31102192</v>
          </cell>
          <cell r="H989">
            <v>31102192</v>
          </cell>
          <cell r="I989" t="str">
            <v/>
          </cell>
          <cell r="J989" t="str">
            <v/>
          </cell>
          <cell r="K989" t="str">
            <v/>
          </cell>
          <cell r="L989" t="str">
            <v/>
          </cell>
          <cell r="M989" t="str">
            <v/>
          </cell>
        </row>
        <row r="990">
          <cell r="A990">
            <v>31102192</v>
          </cell>
          <cell r="C990">
            <v>31102192</v>
          </cell>
          <cell r="D990">
            <v>31102192</v>
          </cell>
          <cell r="E990">
            <v>31102192</v>
          </cell>
          <cell r="F990">
            <v>31102192</v>
          </cell>
          <cell r="G990">
            <v>31102192</v>
          </cell>
          <cell r="H990">
            <v>31102192</v>
          </cell>
          <cell r="I990" t="str">
            <v/>
          </cell>
          <cell r="J990" t="str">
            <v/>
          </cell>
          <cell r="K990" t="str">
            <v/>
          </cell>
          <cell r="L990" t="str">
            <v/>
          </cell>
          <cell r="M990" t="str">
            <v/>
          </cell>
        </row>
        <row r="991">
          <cell r="A991">
            <v>31102192</v>
          </cell>
          <cell r="C991">
            <v>31102192</v>
          </cell>
          <cell r="D991">
            <v>31102192</v>
          </cell>
          <cell r="E991">
            <v>31102192</v>
          </cell>
          <cell r="F991">
            <v>31102192</v>
          </cell>
          <cell r="G991">
            <v>31102192</v>
          </cell>
          <cell r="H991">
            <v>31102192</v>
          </cell>
          <cell r="I991" t="str">
            <v/>
          </cell>
          <cell r="J991" t="str">
            <v/>
          </cell>
          <cell r="K991" t="str">
            <v/>
          </cell>
          <cell r="L991" t="str">
            <v/>
          </cell>
          <cell r="M991" t="str">
            <v/>
          </cell>
        </row>
        <row r="992">
          <cell r="A992">
            <v>31102192</v>
          </cell>
          <cell r="C992">
            <v>31102192</v>
          </cell>
          <cell r="D992">
            <v>31102192</v>
          </cell>
          <cell r="E992">
            <v>31102192</v>
          </cell>
          <cell r="F992">
            <v>31102192</v>
          </cell>
          <cell r="G992">
            <v>31102192</v>
          </cell>
          <cell r="H992">
            <v>31102192</v>
          </cell>
          <cell r="I992" t="str">
            <v/>
          </cell>
          <cell r="J992" t="str">
            <v/>
          </cell>
          <cell r="K992" t="str">
            <v/>
          </cell>
          <cell r="L992" t="str">
            <v/>
          </cell>
          <cell r="M992" t="str">
            <v/>
          </cell>
        </row>
        <row r="993">
          <cell r="A993">
            <v>31102192</v>
          </cell>
          <cell r="C993">
            <v>31102192</v>
          </cell>
          <cell r="D993">
            <v>31102192</v>
          </cell>
          <cell r="E993">
            <v>31102192</v>
          </cell>
          <cell r="F993">
            <v>31102192</v>
          </cell>
          <cell r="G993">
            <v>31102192</v>
          </cell>
          <cell r="H993">
            <v>31102192</v>
          </cell>
          <cell r="I993" t="str">
            <v/>
          </cell>
          <cell r="J993" t="str">
            <v/>
          </cell>
          <cell r="K993" t="str">
            <v/>
          </cell>
          <cell r="L993" t="str">
            <v/>
          </cell>
          <cell r="M993" t="str">
            <v/>
          </cell>
        </row>
        <row r="994">
          <cell r="A994">
            <v>31102192</v>
          </cell>
          <cell r="C994">
            <v>31102192</v>
          </cell>
          <cell r="D994">
            <v>31102192</v>
          </cell>
          <cell r="E994">
            <v>31102192</v>
          </cell>
          <cell r="F994">
            <v>31102192</v>
          </cell>
          <cell r="G994">
            <v>31102192</v>
          </cell>
          <cell r="H994">
            <v>31102192</v>
          </cell>
          <cell r="I994" t="str">
            <v/>
          </cell>
          <cell r="J994" t="str">
            <v/>
          </cell>
          <cell r="K994" t="str">
            <v/>
          </cell>
          <cell r="L994" t="str">
            <v/>
          </cell>
          <cell r="M994" t="str">
            <v/>
          </cell>
        </row>
        <row r="995">
          <cell r="A995">
            <v>31102192</v>
          </cell>
          <cell r="C995">
            <v>31102192</v>
          </cell>
          <cell r="D995">
            <v>31102192</v>
          </cell>
          <cell r="E995">
            <v>31102192</v>
          </cell>
          <cell r="F995">
            <v>31102192</v>
          </cell>
          <cell r="G995">
            <v>31102192</v>
          </cell>
          <cell r="H995">
            <v>31102192</v>
          </cell>
          <cell r="I995" t="str">
            <v/>
          </cell>
          <cell r="J995" t="str">
            <v/>
          </cell>
          <cell r="K995" t="str">
            <v/>
          </cell>
          <cell r="L995" t="str">
            <v/>
          </cell>
          <cell r="M995" t="str">
            <v/>
          </cell>
        </row>
        <row r="996">
          <cell r="A996">
            <v>31102192</v>
          </cell>
          <cell r="C996">
            <v>31102192</v>
          </cell>
          <cell r="D996">
            <v>31102192</v>
          </cell>
          <cell r="E996">
            <v>31102192</v>
          </cell>
          <cell r="F996">
            <v>31102192</v>
          </cell>
          <cell r="G996">
            <v>31102192</v>
          </cell>
          <cell r="H996">
            <v>31102192</v>
          </cell>
          <cell r="I996" t="str">
            <v/>
          </cell>
          <cell r="J996" t="str">
            <v/>
          </cell>
          <cell r="K996" t="str">
            <v/>
          </cell>
          <cell r="L996" t="str">
            <v/>
          </cell>
          <cell r="M996" t="str">
            <v/>
          </cell>
        </row>
        <row r="997">
          <cell r="A997">
            <v>31102192</v>
          </cell>
          <cell r="C997">
            <v>31102192</v>
          </cell>
          <cell r="D997">
            <v>31102192</v>
          </cell>
          <cell r="E997">
            <v>31102192</v>
          </cell>
          <cell r="F997">
            <v>31102192</v>
          </cell>
          <cell r="G997">
            <v>31102192</v>
          </cell>
          <cell r="H997">
            <v>31102192</v>
          </cell>
          <cell r="I997" t="str">
            <v/>
          </cell>
          <cell r="J997" t="str">
            <v/>
          </cell>
          <cell r="K997" t="str">
            <v/>
          </cell>
          <cell r="L997" t="str">
            <v/>
          </cell>
          <cell r="M997" t="str">
            <v/>
          </cell>
        </row>
        <row r="998">
          <cell r="A998">
            <v>31102192</v>
          </cell>
          <cell r="C998">
            <v>31102192</v>
          </cell>
          <cell r="D998">
            <v>31102192</v>
          </cell>
          <cell r="E998">
            <v>31102192</v>
          </cell>
          <cell r="F998">
            <v>31102192</v>
          </cell>
          <cell r="G998">
            <v>31102192</v>
          </cell>
          <cell r="H998">
            <v>31102192</v>
          </cell>
          <cell r="I998" t="str">
            <v/>
          </cell>
          <cell r="J998" t="str">
            <v/>
          </cell>
          <cell r="K998" t="str">
            <v/>
          </cell>
          <cell r="L998" t="str">
            <v/>
          </cell>
          <cell r="M998" t="str">
            <v/>
          </cell>
        </row>
        <row r="999">
          <cell r="A999">
            <v>31102192</v>
          </cell>
          <cell r="C999">
            <v>31102192</v>
          </cell>
          <cell r="D999">
            <v>31102192</v>
          </cell>
          <cell r="E999">
            <v>31102192</v>
          </cell>
          <cell r="F999">
            <v>31102192</v>
          </cell>
          <cell r="G999">
            <v>31102192</v>
          </cell>
          <cell r="H999">
            <v>31102192</v>
          </cell>
          <cell r="I999" t="str">
            <v/>
          </cell>
          <cell r="J999" t="str">
            <v/>
          </cell>
          <cell r="K999" t="str">
            <v/>
          </cell>
          <cell r="L999" t="str">
            <v/>
          </cell>
          <cell r="M999" t="str">
            <v/>
          </cell>
        </row>
        <row r="1000">
          <cell r="A1000">
            <v>31102192</v>
          </cell>
          <cell r="C1000">
            <v>31102192</v>
          </cell>
          <cell r="D1000">
            <v>31102192</v>
          </cell>
          <cell r="E1000">
            <v>31102192</v>
          </cell>
          <cell r="F1000">
            <v>31102192</v>
          </cell>
          <cell r="G1000">
            <v>31102192</v>
          </cell>
          <cell r="H1000">
            <v>31102192</v>
          </cell>
          <cell r="I1000" t="str">
            <v/>
          </cell>
          <cell r="J1000" t="str">
            <v/>
          </cell>
          <cell r="K1000" t="str">
            <v/>
          </cell>
          <cell r="L1000" t="str">
            <v/>
          </cell>
          <cell r="M1000" t="str">
            <v/>
          </cell>
        </row>
        <row r="1001">
          <cell r="A1001">
            <v>31102192</v>
          </cell>
          <cell r="C1001">
            <v>31102192</v>
          </cell>
          <cell r="D1001">
            <v>31102192</v>
          </cell>
          <cell r="E1001">
            <v>31102192</v>
          </cell>
          <cell r="F1001">
            <v>31102192</v>
          </cell>
          <cell r="G1001">
            <v>31102192</v>
          </cell>
          <cell r="H1001">
            <v>31102192</v>
          </cell>
          <cell r="I1001" t="str">
            <v/>
          </cell>
          <cell r="J1001" t="str">
            <v/>
          </cell>
          <cell r="K1001" t="str">
            <v/>
          </cell>
          <cell r="L1001" t="str">
            <v/>
          </cell>
          <cell r="M1001" t="str">
            <v/>
          </cell>
        </row>
        <row r="1002">
          <cell r="A1002">
            <v>31102192</v>
          </cell>
          <cell r="C1002">
            <v>31102192</v>
          </cell>
          <cell r="D1002">
            <v>31102192</v>
          </cell>
          <cell r="E1002">
            <v>31102192</v>
          </cell>
          <cell r="F1002">
            <v>31102192</v>
          </cell>
          <cell r="G1002">
            <v>31102192</v>
          </cell>
          <cell r="H1002">
            <v>31102192</v>
          </cell>
          <cell r="I1002" t="str">
            <v/>
          </cell>
          <cell r="J1002" t="str">
            <v/>
          </cell>
          <cell r="K1002" t="str">
            <v/>
          </cell>
          <cell r="L1002" t="str">
            <v/>
          </cell>
          <cell r="M1002" t="str">
            <v/>
          </cell>
        </row>
        <row r="1003">
          <cell r="A1003">
            <v>31102192</v>
          </cell>
          <cell r="C1003">
            <v>31102192</v>
          </cell>
          <cell r="D1003">
            <v>31102192</v>
          </cell>
          <cell r="E1003">
            <v>31102192</v>
          </cell>
          <cell r="F1003">
            <v>31102192</v>
          </cell>
          <cell r="G1003">
            <v>31102192</v>
          </cell>
          <cell r="H1003">
            <v>31102192</v>
          </cell>
          <cell r="I1003" t="str">
            <v/>
          </cell>
          <cell r="J1003" t="str">
            <v/>
          </cell>
          <cell r="K1003" t="str">
            <v/>
          </cell>
          <cell r="L1003" t="str">
            <v/>
          </cell>
          <cell r="M1003" t="str">
            <v/>
          </cell>
        </row>
        <row r="1004">
          <cell r="A1004">
            <v>31102192</v>
          </cell>
          <cell r="C1004">
            <v>31102192</v>
          </cell>
          <cell r="D1004">
            <v>31102192</v>
          </cell>
          <cell r="E1004">
            <v>31102192</v>
          </cell>
          <cell r="F1004">
            <v>31102192</v>
          </cell>
          <cell r="G1004">
            <v>31102192</v>
          </cell>
          <cell r="H1004">
            <v>31102192</v>
          </cell>
          <cell r="I1004" t="str">
            <v/>
          </cell>
          <cell r="J1004" t="str">
            <v/>
          </cell>
          <cell r="K1004" t="str">
            <v/>
          </cell>
          <cell r="L1004" t="str">
            <v/>
          </cell>
          <cell r="M1004" t="str">
            <v/>
          </cell>
        </row>
        <row r="1005">
          <cell r="A1005">
            <v>31102192</v>
          </cell>
          <cell r="C1005">
            <v>31102192</v>
          </cell>
          <cell r="D1005">
            <v>31102192</v>
          </cell>
          <cell r="E1005">
            <v>31102192</v>
          </cell>
          <cell r="F1005">
            <v>31102192</v>
          </cell>
          <cell r="G1005">
            <v>31102192</v>
          </cell>
          <cell r="H1005">
            <v>31102192</v>
          </cell>
          <cell r="I1005" t="str">
            <v/>
          </cell>
          <cell r="J1005" t="str">
            <v/>
          </cell>
          <cell r="K1005" t="str">
            <v/>
          </cell>
          <cell r="L1005" t="str">
            <v/>
          </cell>
          <cell r="M1005" t="str">
            <v/>
          </cell>
        </row>
        <row r="1006">
          <cell r="A1006">
            <v>31102192</v>
          </cell>
          <cell r="C1006">
            <v>31102192</v>
          </cell>
          <cell r="D1006">
            <v>31102192</v>
          </cell>
          <cell r="E1006">
            <v>31102192</v>
          </cell>
          <cell r="F1006">
            <v>31102192</v>
          </cell>
          <cell r="G1006">
            <v>31102192</v>
          </cell>
          <cell r="H1006">
            <v>31102192</v>
          </cell>
          <cell r="I1006" t="str">
            <v/>
          </cell>
          <cell r="J1006" t="str">
            <v/>
          </cell>
          <cell r="K1006" t="str">
            <v/>
          </cell>
          <cell r="L1006" t="str">
            <v/>
          </cell>
          <cell r="M1006" t="str">
            <v/>
          </cell>
        </row>
        <row r="1007">
          <cell r="A1007">
            <v>31102192</v>
          </cell>
          <cell r="C1007">
            <v>31102192</v>
          </cell>
          <cell r="D1007">
            <v>31102192</v>
          </cell>
          <cell r="E1007">
            <v>31102192</v>
          </cell>
          <cell r="F1007">
            <v>31102192</v>
          </cell>
          <cell r="G1007">
            <v>31102192</v>
          </cell>
          <cell r="H1007">
            <v>31102192</v>
          </cell>
          <cell r="I1007" t="str">
            <v/>
          </cell>
          <cell r="J1007" t="str">
            <v/>
          </cell>
          <cell r="K1007" t="str">
            <v/>
          </cell>
          <cell r="L1007" t="str">
            <v/>
          </cell>
          <cell r="M1007" t="str">
            <v/>
          </cell>
        </row>
        <row r="1008">
          <cell r="A1008">
            <v>31102192</v>
          </cell>
          <cell r="C1008">
            <v>31102192</v>
          </cell>
          <cell r="D1008">
            <v>31102192</v>
          </cell>
          <cell r="E1008">
            <v>31102192</v>
          </cell>
          <cell r="F1008">
            <v>31102192</v>
          </cell>
          <cell r="G1008">
            <v>31102192</v>
          </cell>
          <cell r="H1008">
            <v>31102192</v>
          </cell>
          <cell r="I1008" t="str">
            <v/>
          </cell>
          <cell r="J1008" t="str">
            <v/>
          </cell>
          <cell r="K1008" t="str">
            <v/>
          </cell>
          <cell r="L1008" t="str">
            <v/>
          </cell>
          <cell r="M1008" t="str">
            <v/>
          </cell>
        </row>
        <row r="1009">
          <cell r="A1009">
            <v>31102192</v>
          </cell>
          <cell r="C1009">
            <v>31102192</v>
          </cell>
          <cell r="D1009">
            <v>31102192</v>
          </cell>
          <cell r="E1009">
            <v>31102192</v>
          </cell>
          <cell r="F1009">
            <v>31102192</v>
          </cell>
          <cell r="G1009">
            <v>31102192</v>
          </cell>
          <cell r="H1009">
            <v>31102192</v>
          </cell>
          <cell r="I1009" t="str">
            <v/>
          </cell>
          <cell r="J1009" t="str">
            <v/>
          </cell>
          <cell r="K1009" t="str">
            <v/>
          </cell>
          <cell r="L1009" t="str">
            <v/>
          </cell>
          <cell r="M1009" t="str">
            <v/>
          </cell>
        </row>
        <row r="1010">
          <cell r="A1010">
            <v>31102192</v>
          </cell>
          <cell r="C1010">
            <v>31102192</v>
          </cell>
          <cell r="D1010">
            <v>31102192</v>
          </cell>
          <cell r="E1010">
            <v>31102192</v>
          </cell>
          <cell r="F1010">
            <v>31102192</v>
          </cell>
          <cell r="G1010">
            <v>31102192</v>
          </cell>
          <cell r="H1010">
            <v>31102192</v>
          </cell>
          <cell r="I1010" t="str">
            <v/>
          </cell>
          <cell r="J1010" t="str">
            <v/>
          </cell>
          <cell r="K1010" t="str">
            <v/>
          </cell>
          <cell r="L1010" t="str">
            <v/>
          </cell>
          <cell r="M1010" t="str">
            <v/>
          </cell>
        </row>
        <row r="1011">
          <cell r="A1011">
            <v>31102192</v>
          </cell>
          <cell r="C1011">
            <v>31102192</v>
          </cell>
          <cell r="D1011">
            <v>31102192</v>
          </cell>
          <cell r="E1011">
            <v>31102192</v>
          </cell>
          <cell r="F1011">
            <v>31102192</v>
          </cell>
          <cell r="G1011">
            <v>31102192</v>
          </cell>
          <cell r="H1011">
            <v>31102192</v>
          </cell>
          <cell r="I1011" t="str">
            <v/>
          </cell>
          <cell r="J1011" t="str">
            <v/>
          </cell>
          <cell r="K1011" t="str">
            <v/>
          </cell>
          <cell r="L1011" t="str">
            <v/>
          </cell>
          <cell r="M1011" t="str">
            <v/>
          </cell>
        </row>
        <row r="1012">
          <cell r="A1012">
            <v>31102192</v>
          </cell>
          <cell r="C1012">
            <v>31102192</v>
          </cell>
          <cell r="D1012">
            <v>31102192</v>
          </cell>
          <cell r="E1012">
            <v>31102192</v>
          </cell>
          <cell r="F1012">
            <v>31102192</v>
          </cell>
          <cell r="G1012">
            <v>31102192</v>
          </cell>
          <cell r="H1012">
            <v>31102192</v>
          </cell>
          <cell r="I1012" t="str">
            <v/>
          </cell>
          <cell r="J1012" t="str">
            <v/>
          </cell>
          <cell r="K1012" t="str">
            <v/>
          </cell>
          <cell r="L1012" t="str">
            <v/>
          </cell>
          <cell r="M1012" t="str">
            <v/>
          </cell>
        </row>
        <row r="1013">
          <cell r="A1013">
            <v>31102192</v>
          </cell>
          <cell r="C1013">
            <v>31102192</v>
          </cell>
          <cell r="D1013">
            <v>31102192</v>
          </cell>
          <cell r="E1013">
            <v>31102192</v>
          </cell>
          <cell r="F1013">
            <v>31102192</v>
          </cell>
          <cell r="G1013">
            <v>31102192</v>
          </cell>
          <cell r="H1013">
            <v>31102192</v>
          </cell>
          <cell r="I1013" t="str">
            <v/>
          </cell>
          <cell r="J1013" t="str">
            <v/>
          </cell>
          <cell r="K1013" t="str">
            <v/>
          </cell>
          <cell r="L1013" t="str">
            <v/>
          </cell>
          <cell r="M1013" t="str">
            <v/>
          </cell>
        </row>
        <row r="1014">
          <cell r="A1014">
            <v>31102192</v>
          </cell>
          <cell r="C1014">
            <v>31102192</v>
          </cell>
          <cell r="D1014">
            <v>31102192</v>
          </cell>
          <cell r="E1014">
            <v>31102192</v>
          </cell>
          <cell r="F1014">
            <v>31102192</v>
          </cell>
          <cell r="G1014">
            <v>31102192</v>
          </cell>
          <cell r="H1014">
            <v>31102192</v>
          </cell>
          <cell r="I1014" t="str">
            <v/>
          </cell>
          <cell r="J1014" t="str">
            <v/>
          </cell>
          <cell r="K1014" t="str">
            <v/>
          </cell>
          <cell r="L1014" t="str">
            <v/>
          </cell>
          <cell r="M1014" t="str">
            <v/>
          </cell>
        </row>
        <row r="1015">
          <cell r="A1015">
            <v>31102192</v>
          </cell>
          <cell r="C1015">
            <v>31102192</v>
          </cell>
          <cell r="D1015">
            <v>31102192</v>
          </cell>
          <cell r="E1015">
            <v>31102192</v>
          </cell>
          <cell r="F1015">
            <v>31102192</v>
          </cell>
          <cell r="G1015">
            <v>31102192</v>
          </cell>
          <cell r="H1015">
            <v>31102192</v>
          </cell>
          <cell r="I1015" t="str">
            <v/>
          </cell>
          <cell r="J1015" t="str">
            <v/>
          </cell>
          <cell r="K1015" t="str">
            <v/>
          </cell>
          <cell r="L1015" t="str">
            <v/>
          </cell>
          <cell r="M1015" t="str">
            <v/>
          </cell>
        </row>
        <row r="1016">
          <cell r="A1016">
            <v>31102192</v>
          </cell>
          <cell r="C1016">
            <v>31102192</v>
          </cell>
          <cell r="D1016">
            <v>31102192</v>
          </cell>
          <cell r="E1016">
            <v>31102192</v>
          </cell>
          <cell r="F1016">
            <v>31102192</v>
          </cell>
          <cell r="G1016">
            <v>31102192</v>
          </cell>
          <cell r="H1016">
            <v>31102192</v>
          </cell>
          <cell r="I1016" t="str">
            <v/>
          </cell>
          <cell r="J1016" t="str">
            <v/>
          </cell>
          <cell r="K1016" t="str">
            <v/>
          </cell>
          <cell r="L1016" t="str">
            <v/>
          </cell>
          <cell r="M1016" t="str">
            <v/>
          </cell>
        </row>
        <row r="1017">
          <cell r="A1017">
            <v>31102192</v>
          </cell>
          <cell r="C1017">
            <v>31102192</v>
          </cell>
          <cell r="D1017">
            <v>31102192</v>
          </cell>
          <cell r="E1017">
            <v>31102192</v>
          </cell>
          <cell r="F1017">
            <v>31102192</v>
          </cell>
          <cell r="G1017">
            <v>31102192</v>
          </cell>
          <cell r="H1017">
            <v>31102192</v>
          </cell>
          <cell r="I1017" t="str">
            <v/>
          </cell>
          <cell r="J1017" t="str">
            <v/>
          </cell>
          <cell r="K1017" t="str">
            <v/>
          </cell>
          <cell r="L1017" t="str">
            <v/>
          </cell>
          <cell r="M1017" t="str">
            <v/>
          </cell>
        </row>
        <row r="1018">
          <cell r="A1018">
            <v>31102192</v>
          </cell>
          <cell r="C1018">
            <v>31102192</v>
          </cell>
          <cell r="D1018">
            <v>31102192</v>
          </cell>
          <cell r="E1018">
            <v>31102192</v>
          </cell>
          <cell r="F1018">
            <v>31102192</v>
          </cell>
          <cell r="G1018">
            <v>31102192</v>
          </cell>
          <cell r="H1018">
            <v>31102192</v>
          </cell>
          <cell r="I1018" t="str">
            <v/>
          </cell>
          <cell r="J1018" t="str">
            <v/>
          </cell>
          <cell r="K1018" t="str">
            <v/>
          </cell>
          <cell r="L1018" t="str">
            <v/>
          </cell>
          <cell r="M1018" t="str">
            <v/>
          </cell>
        </row>
        <row r="1019">
          <cell r="A1019">
            <v>31102192</v>
          </cell>
          <cell r="C1019">
            <v>31102192</v>
          </cell>
          <cell r="D1019">
            <v>31102192</v>
          </cell>
          <cell r="E1019">
            <v>31102192</v>
          </cell>
          <cell r="F1019">
            <v>31102192</v>
          </cell>
          <cell r="G1019">
            <v>31102192</v>
          </cell>
          <cell r="H1019">
            <v>31102192</v>
          </cell>
          <cell r="I1019" t="str">
            <v/>
          </cell>
          <cell r="J1019" t="str">
            <v/>
          </cell>
          <cell r="K1019" t="str">
            <v/>
          </cell>
          <cell r="L1019" t="str">
            <v/>
          </cell>
          <cell r="M1019" t="str">
            <v/>
          </cell>
        </row>
        <row r="1020">
          <cell r="A1020">
            <v>31102192</v>
          </cell>
          <cell r="C1020">
            <v>31102192</v>
          </cell>
          <cell r="D1020">
            <v>31102192</v>
          </cell>
          <cell r="E1020">
            <v>31102192</v>
          </cell>
          <cell r="F1020">
            <v>31102192</v>
          </cell>
          <cell r="G1020">
            <v>31102192</v>
          </cell>
          <cell r="H1020">
            <v>31102192</v>
          </cell>
          <cell r="I1020" t="str">
            <v/>
          </cell>
          <cell r="J1020" t="str">
            <v/>
          </cell>
          <cell r="K1020" t="str">
            <v/>
          </cell>
          <cell r="L1020" t="str">
            <v/>
          </cell>
          <cell r="M1020" t="str">
            <v/>
          </cell>
        </row>
        <row r="1021">
          <cell r="A1021">
            <v>31102192</v>
          </cell>
          <cell r="C1021">
            <v>31102192</v>
          </cell>
          <cell r="D1021">
            <v>31102192</v>
          </cell>
          <cell r="E1021">
            <v>31102192</v>
          </cell>
          <cell r="F1021">
            <v>31102192</v>
          </cell>
          <cell r="G1021">
            <v>31102192</v>
          </cell>
          <cell r="H1021">
            <v>31102192</v>
          </cell>
          <cell r="I1021" t="str">
            <v/>
          </cell>
          <cell r="J1021" t="str">
            <v/>
          </cell>
          <cell r="K1021" t="str">
            <v/>
          </cell>
          <cell r="L1021" t="str">
            <v/>
          </cell>
          <cell r="M1021" t="str">
            <v/>
          </cell>
        </row>
        <row r="1022">
          <cell r="A1022">
            <v>31102192</v>
          </cell>
          <cell r="C1022">
            <v>31102192</v>
          </cell>
          <cell r="D1022">
            <v>31102192</v>
          </cell>
          <cell r="E1022">
            <v>31102192</v>
          </cell>
          <cell r="F1022">
            <v>31102192</v>
          </cell>
          <cell r="G1022">
            <v>31102192</v>
          </cell>
          <cell r="H1022">
            <v>31102192</v>
          </cell>
          <cell r="I1022" t="str">
            <v/>
          </cell>
          <cell r="J1022" t="str">
            <v/>
          </cell>
          <cell r="K1022" t="str">
            <v/>
          </cell>
          <cell r="L1022" t="str">
            <v/>
          </cell>
          <cell r="M1022" t="str">
            <v/>
          </cell>
        </row>
        <row r="1023">
          <cell r="A1023">
            <v>31102192</v>
          </cell>
          <cell r="C1023">
            <v>31102192</v>
          </cell>
          <cell r="D1023">
            <v>31102192</v>
          </cell>
          <cell r="E1023">
            <v>31102192</v>
          </cell>
          <cell r="F1023">
            <v>31102192</v>
          </cell>
          <cell r="G1023">
            <v>31102192</v>
          </cell>
          <cell r="H1023">
            <v>31102192</v>
          </cell>
          <cell r="I1023" t="str">
            <v/>
          </cell>
          <cell r="J1023" t="str">
            <v/>
          </cell>
          <cell r="K1023" t="str">
            <v/>
          </cell>
          <cell r="L1023" t="str">
            <v/>
          </cell>
          <cell r="M1023" t="str">
            <v/>
          </cell>
        </row>
        <row r="1024">
          <cell r="A1024">
            <v>31102192</v>
          </cell>
          <cell r="C1024">
            <v>31102192</v>
          </cell>
          <cell r="D1024">
            <v>31102192</v>
          </cell>
          <cell r="E1024">
            <v>31102192</v>
          </cell>
          <cell r="F1024">
            <v>31102192</v>
          </cell>
          <cell r="G1024">
            <v>31102192</v>
          </cell>
          <cell r="H1024">
            <v>31102192</v>
          </cell>
          <cell r="I1024" t="str">
            <v/>
          </cell>
          <cell r="J1024" t="str">
            <v/>
          </cell>
          <cell r="K1024" t="str">
            <v/>
          </cell>
          <cell r="L1024" t="str">
            <v/>
          </cell>
          <cell r="M1024" t="str">
            <v/>
          </cell>
        </row>
        <row r="1025">
          <cell r="A1025">
            <v>31102192</v>
          </cell>
          <cell r="C1025">
            <v>31102192</v>
          </cell>
          <cell r="D1025">
            <v>31102192</v>
          </cell>
          <cell r="E1025">
            <v>31102192</v>
          </cell>
          <cell r="F1025">
            <v>31102192</v>
          </cell>
          <cell r="G1025">
            <v>31102192</v>
          </cell>
          <cell r="H1025">
            <v>31102192</v>
          </cell>
          <cell r="I1025" t="str">
            <v/>
          </cell>
          <cell r="J1025" t="str">
            <v/>
          </cell>
          <cell r="K1025" t="str">
            <v/>
          </cell>
          <cell r="L1025" t="str">
            <v/>
          </cell>
          <cell r="M1025" t="str">
            <v/>
          </cell>
        </row>
        <row r="1026">
          <cell r="A1026">
            <v>31102192</v>
          </cell>
          <cell r="C1026">
            <v>31102192</v>
          </cell>
          <cell r="D1026">
            <v>31102192</v>
          </cell>
          <cell r="E1026">
            <v>31102192</v>
          </cell>
          <cell r="F1026">
            <v>31102192</v>
          </cell>
          <cell r="G1026">
            <v>31102192</v>
          </cell>
          <cell r="H1026">
            <v>31102192</v>
          </cell>
          <cell r="I1026" t="str">
            <v/>
          </cell>
          <cell r="J1026" t="str">
            <v/>
          </cell>
          <cell r="K1026" t="str">
            <v/>
          </cell>
          <cell r="L1026" t="str">
            <v/>
          </cell>
          <cell r="M1026" t="str">
            <v/>
          </cell>
        </row>
        <row r="1027">
          <cell r="A1027">
            <v>31102192</v>
          </cell>
          <cell r="C1027">
            <v>31102192</v>
          </cell>
          <cell r="D1027">
            <v>31102192</v>
          </cell>
          <cell r="E1027">
            <v>31102192</v>
          </cell>
          <cell r="F1027">
            <v>31102192</v>
          </cell>
          <cell r="G1027">
            <v>31102192</v>
          </cell>
          <cell r="H1027">
            <v>31102192</v>
          </cell>
          <cell r="I1027" t="str">
            <v/>
          </cell>
          <cell r="J1027" t="str">
            <v/>
          </cell>
          <cell r="K1027" t="str">
            <v/>
          </cell>
          <cell r="L1027" t="str">
            <v/>
          </cell>
          <cell r="M1027" t="str">
            <v/>
          </cell>
        </row>
        <row r="1028">
          <cell r="A1028">
            <v>31102192</v>
          </cell>
          <cell r="C1028">
            <v>31102192</v>
          </cell>
          <cell r="D1028">
            <v>31102192</v>
          </cell>
          <cell r="E1028">
            <v>31102192</v>
          </cell>
          <cell r="F1028">
            <v>31102192</v>
          </cell>
          <cell r="G1028">
            <v>31102192</v>
          </cell>
          <cell r="H1028">
            <v>31102192</v>
          </cell>
          <cell r="I1028" t="str">
            <v/>
          </cell>
          <cell r="J1028" t="str">
            <v/>
          </cell>
          <cell r="K1028" t="str">
            <v/>
          </cell>
          <cell r="L1028" t="str">
            <v/>
          </cell>
          <cell r="M1028" t="str">
            <v/>
          </cell>
        </row>
        <row r="1029">
          <cell r="A1029">
            <v>31102192</v>
          </cell>
          <cell r="C1029">
            <v>31102192</v>
          </cell>
          <cell r="D1029">
            <v>31102192</v>
          </cell>
          <cell r="E1029">
            <v>31102192</v>
          </cell>
          <cell r="F1029">
            <v>31102192</v>
          </cell>
          <cell r="G1029">
            <v>31102192</v>
          </cell>
          <cell r="H1029">
            <v>31102192</v>
          </cell>
          <cell r="I1029" t="str">
            <v/>
          </cell>
          <cell r="J1029" t="str">
            <v/>
          </cell>
          <cell r="K1029" t="str">
            <v/>
          </cell>
          <cell r="L1029" t="str">
            <v/>
          </cell>
          <cell r="M1029" t="str">
            <v/>
          </cell>
        </row>
        <row r="1030">
          <cell r="A1030">
            <v>31102192</v>
          </cell>
          <cell r="C1030">
            <v>31102192</v>
          </cell>
          <cell r="D1030">
            <v>31102192</v>
          </cell>
          <cell r="E1030">
            <v>31102192</v>
          </cell>
          <cell r="F1030">
            <v>31102192</v>
          </cell>
          <cell r="G1030">
            <v>31102192</v>
          </cell>
          <cell r="H1030">
            <v>31102192</v>
          </cell>
          <cell r="I1030" t="str">
            <v/>
          </cell>
          <cell r="J1030" t="str">
            <v/>
          </cell>
          <cell r="K1030" t="str">
            <v/>
          </cell>
          <cell r="L1030" t="str">
            <v/>
          </cell>
          <cell r="M1030" t="str">
            <v/>
          </cell>
        </row>
        <row r="1031">
          <cell r="A1031">
            <v>31102192</v>
          </cell>
          <cell r="C1031">
            <v>31102192</v>
          </cell>
          <cell r="D1031">
            <v>31102192</v>
          </cell>
          <cell r="E1031">
            <v>31102192</v>
          </cell>
          <cell r="F1031">
            <v>31102192</v>
          </cell>
          <cell r="G1031">
            <v>31102192</v>
          </cell>
          <cell r="H1031">
            <v>31102192</v>
          </cell>
          <cell r="I1031" t="str">
            <v/>
          </cell>
          <cell r="J1031" t="str">
            <v/>
          </cell>
          <cell r="K1031" t="str">
            <v/>
          </cell>
          <cell r="L1031" t="str">
            <v/>
          </cell>
          <cell r="M1031" t="str">
            <v/>
          </cell>
        </row>
        <row r="1032">
          <cell r="A1032">
            <v>31102192</v>
          </cell>
          <cell r="C1032">
            <v>31102192</v>
          </cell>
          <cell r="D1032">
            <v>31102192</v>
          </cell>
          <cell r="E1032">
            <v>31102192</v>
          </cell>
          <cell r="F1032">
            <v>31102192</v>
          </cell>
          <cell r="G1032">
            <v>31102192</v>
          </cell>
          <cell r="H1032">
            <v>31102192</v>
          </cell>
          <cell r="I1032" t="str">
            <v/>
          </cell>
          <cell r="J1032" t="str">
            <v/>
          </cell>
          <cell r="K1032" t="str">
            <v/>
          </cell>
          <cell r="L1032" t="str">
            <v/>
          </cell>
          <cell r="M1032" t="str">
            <v/>
          </cell>
        </row>
        <row r="1033">
          <cell r="A1033">
            <v>31102192</v>
          </cell>
          <cell r="C1033">
            <v>31102192</v>
          </cell>
          <cell r="D1033">
            <v>31102192</v>
          </cell>
          <cell r="E1033">
            <v>31102192</v>
          </cell>
          <cell r="F1033">
            <v>31102192</v>
          </cell>
          <cell r="G1033">
            <v>31102192</v>
          </cell>
          <cell r="H1033">
            <v>31102192</v>
          </cell>
          <cell r="I1033" t="str">
            <v/>
          </cell>
          <cell r="J1033" t="str">
            <v/>
          </cell>
          <cell r="K1033" t="str">
            <v/>
          </cell>
          <cell r="L1033" t="str">
            <v/>
          </cell>
          <cell r="M1033" t="str">
            <v/>
          </cell>
        </row>
        <row r="1034">
          <cell r="A1034">
            <v>31102192</v>
          </cell>
          <cell r="C1034">
            <v>31102192</v>
          </cell>
          <cell r="D1034">
            <v>31102192</v>
          </cell>
          <cell r="E1034">
            <v>31102192</v>
          </cell>
          <cell r="F1034">
            <v>31102192</v>
          </cell>
          <cell r="G1034">
            <v>31102192</v>
          </cell>
          <cell r="H1034">
            <v>31102192</v>
          </cell>
          <cell r="I1034" t="str">
            <v/>
          </cell>
          <cell r="J1034" t="str">
            <v/>
          </cell>
          <cell r="K1034" t="str">
            <v/>
          </cell>
          <cell r="L1034" t="str">
            <v/>
          </cell>
          <cell r="M1034" t="str">
            <v/>
          </cell>
        </row>
        <row r="1035">
          <cell r="A1035">
            <v>31102192</v>
          </cell>
          <cell r="C1035">
            <v>31102192</v>
          </cell>
          <cell r="D1035">
            <v>31102192</v>
          </cell>
          <cell r="E1035">
            <v>31102192</v>
          </cell>
          <cell r="F1035">
            <v>31102192</v>
          </cell>
          <cell r="G1035">
            <v>31102192</v>
          </cell>
          <cell r="H1035">
            <v>31102192</v>
          </cell>
          <cell r="I1035" t="str">
            <v/>
          </cell>
          <cell r="J1035" t="str">
            <v/>
          </cell>
          <cell r="K1035" t="str">
            <v/>
          </cell>
          <cell r="L1035" t="str">
            <v/>
          </cell>
          <cell r="M1035" t="str">
            <v/>
          </cell>
        </row>
        <row r="1036">
          <cell r="A1036">
            <v>31102192</v>
          </cell>
          <cell r="C1036">
            <v>31102192</v>
          </cell>
          <cell r="D1036">
            <v>31102192</v>
          </cell>
          <cell r="E1036">
            <v>31102192</v>
          </cell>
          <cell r="F1036">
            <v>31102192</v>
          </cell>
          <cell r="G1036">
            <v>31102192</v>
          </cell>
          <cell r="H1036">
            <v>31102192</v>
          </cell>
          <cell r="I1036" t="str">
            <v/>
          </cell>
          <cell r="J1036" t="str">
            <v/>
          </cell>
          <cell r="K1036" t="str">
            <v/>
          </cell>
          <cell r="L1036" t="str">
            <v/>
          </cell>
          <cell r="M1036" t="str">
            <v/>
          </cell>
        </row>
        <row r="1037">
          <cell r="A1037">
            <v>31102192</v>
          </cell>
          <cell r="C1037">
            <v>31102192</v>
          </cell>
          <cell r="D1037">
            <v>31102192</v>
          </cell>
          <cell r="E1037">
            <v>31102192</v>
          </cell>
          <cell r="F1037">
            <v>31102192</v>
          </cell>
          <cell r="G1037">
            <v>31102192</v>
          </cell>
          <cell r="H1037">
            <v>31102192</v>
          </cell>
          <cell r="I1037" t="str">
            <v/>
          </cell>
          <cell r="J1037" t="str">
            <v/>
          </cell>
          <cell r="K1037" t="str">
            <v/>
          </cell>
          <cell r="L1037" t="str">
            <v/>
          </cell>
          <cell r="M1037" t="str">
            <v/>
          </cell>
        </row>
        <row r="1038">
          <cell r="A1038">
            <v>31102192</v>
          </cell>
          <cell r="C1038">
            <v>31102192</v>
          </cell>
          <cell r="D1038">
            <v>31102192</v>
          </cell>
          <cell r="E1038">
            <v>31102192</v>
          </cell>
          <cell r="F1038">
            <v>31102192</v>
          </cell>
          <cell r="G1038">
            <v>31102192</v>
          </cell>
          <cell r="H1038">
            <v>31102192</v>
          </cell>
          <cell r="I1038" t="str">
            <v/>
          </cell>
          <cell r="J1038" t="str">
            <v/>
          </cell>
          <cell r="K1038" t="str">
            <v/>
          </cell>
          <cell r="L1038" t="str">
            <v/>
          </cell>
          <cell r="M1038" t="str">
            <v/>
          </cell>
        </row>
        <row r="1039">
          <cell r="A1039">
            <v>31102192</v>
          </cell>
          <cell r="C1039">
            <v>31102192</v>
          </cell>
          <cell r="D1039">
            <v>31102192</v>
          </cell>
          <cell r="E1039">
            <v>31102192</v>
          </cell>
          <cell r="F1039">
            <v>31102192</v>
          </cell>
          <cell r="G1039">
            <v>31102192</v>
          </cell>
          <cell r="H1039">
            <v>31102192</v>
          </cell>
          <cell r="I1039" t="str">
            <v/>
          </cell>
          <cell r="J1039" t="str">
            <v/>
          </cell>
          <cell r="K1039" t="str">
            <v/>
          </cell>
          <cell r="L1039" t="str">
            <v/>
          </cell>
          <cell r="M1039" t="str">
            <v/>
          </cell>
        </row>
        <row r="1040">
          <cell r="A1040">
            <v>31102192</v>
          </cell>
          <cell r="C1040">
            <v>31102192</v>
          </cell>
          <cell r="D1040">
            <v>31102192</v>
          </cell>
          <cell r="E1040">
            <v>31102192</v>
          </cell>
          <cell r="F1040">
            <v>31102192</v>
          </cell>
          <cell r="G1040">
            <v>31102192</v>
          </cell>
          <cell r="H1040">
            <v>31102192</v>
          </cell>
          <cell r="I1040" t="str">
            <v/>
          </cell>
          <cell r="J1040" t="str">
            <v/>
          </cell>
          <cell r="K1040" t="str">
            <v/>
          </cell>
          <cell r="L1040" t="str">
            <v/>
          </cell>
          <cell r="M1040" t="str">
            <v/>
          </cell>
        </row>
        <row r="1041">
          <cell r="A1041">
            <v>31102192</v>
          </cell>
          <cell r="C1041">
            <v>31102192</v>
          </cell>
          <cell r="D1041">
            <v>31102192</v>
          </cell>
          <cell r="E1041">
            <v>31102192</v>
          </cell>
          <cell r="F1041">
            <v>31102192</v>
          </cell>
          <cell r="G1041">
            <v>31102192</v>
          </cell>
          <cell r="H1041">
            <v>31102192</v>
          </cell>
          <cell r="I1041" t="str">
            <v/>
          </cell>
          <cell r="J1041" t="str">
            <v/>
          </cell>
          <cell r="K1041" t="str">
            <v/>
          </cell>
          <cell r="L1041" t="str">
            <v/>
          </cell>
          <cell r="M1041" t="str">
            <v/>
          </cell>
        </row>
        <row r="1042">
          <cell r="A1042">
            <v>31102192</v>
          </cell>
          <cell r="C1042">
            <v>31102192</v>
          </cell>
          <cell r="D1042">
            <v>31102192</v>
          </cell>
          <cell r="E1042">
            <v>31102192</v>
          </cell>
          <cell r="F1042">
            <v>31102192</v>
          </cell>
          <cell r="G1042">
            <v>31102192</v>
          </cell>
          <cell r="H1042">
            <v>31102192</v>
          </cell>
          <cell r="I1042" t="str">
            <v/>
          </cell>
          <cell r="J1042" t="str">
            <v/>
          </cell>
          <cell r="K1042" t="str">
            <v/>
          </cell>
          <cell r="L1042" t="str">
            <v/>
          </cell>
          <cell r="M1042" t="str">
            <v/>
          </cell>
        </row>
        <row r="1043">
          <cell r="A1043">
            <v>31102192</v>
          </cell>
          <cell r="C1043">
            <v>31102192</v>
          </cell>
          <cell r="D1043">
            <v>31102192</v>
          </cell>
          <cell r="E1043">
            <v>31102192</v>
          </cell>
          <cell r="F1043">
            <v>31102192</v>
          </cell>
          <cell r="G1043">
            <v>31102192</v>
          </cell>
          <cell r="H1043">
            <v>31102192</v>
          </cell>
          <cell r="I1043" t="str">
            <v/>
          </cell>
          <cell r="J1043" t="str">
            <v/>
          </cell>
          <cell r="K1043" t="str">
            <v/>
          </cell>
          <cell r="L1043" t="str">
            <v/>
          </cell>
          <cell r="M1043" t="str">
            <v/>
          </cell>
        </row>
        <row r="1044">
          <cell r="A1044">
            <v>31102192</v>
          </cell>
          <cell r="C1044">
            <v>31102192</v>
          </cell>
          <cell r="D1044">
            <v>31102192</v>
          </cell>
          <cell r="E1044">
            <v>31102192</v>
          </cell>
          <cell r="F1044">
            <v>31102192</v>
          </cell>
          <cell r="G1044">
            <v>31102192</v>
          </cell>
          <cell r="H1044">
            <v>31102192</v>
          </cell>
          <cell r="I1044" t="str">
            <v/>
          </cell>
          <cell r="J1044" t="str">
            <v/>
          </cell>
          <cell r="K1044" t="str">
            <v/>
          </cell>
          <cell r="L1044" t="str">
            <v/>
          </cell>
          <cell r="M1044" t="str">
            <v/>
          </cell>
        </row>
        <row r="1045">
          <cell r="A1045">
            <v>31102192</v>
          </cell>
          <cell r="C1045">
            <v>31102192</v>
          </cell>
          <cell r="D1045">
            <v>31102192</v>
          </cell>
          <cell r="E1045">
            <v>31102192</v>
          </cell>
          <cell r="F1045">
            <v>31102192</v>
          </cell>
          <cell r="G1045">
            <v>31102192</v>
          </cell>
          <cell r="H1045">
            <v>31102192</v>
          </cell>
          <cell r="I1045" t="str">
            <v/>
          </cell>
          <cell r="J1045" t="str">
            <v/>
          </cell>
          <cell r="K1045" t="str">
            <v/>
          </cell>
          <cell r="L1045" t="str">
            <v/>
          </cell>
          <cell r="M1045" t="str">
            <v/>
          </cell>
        </row>
        <row r="1046">
          <cell r="A1046">
            <v>31102192</v>
          </cell>
          <cell r="C1046">
            <v>31102192</v>
          </cell>
          <cell r="D1046">
            <v>31102192</v>
          </cell>
          <cell r="E1046">
            <v>31102192</v>
          </cell>
          <cell r="F1046">
            <v>31102192</v>
          </cell>
          <cell r="G1046">
            <v>31102192</v>
          </cell>
          <cell r="H1046">
            <v>31102192</v>
          </cell>
          <cell r="I1046" t="str">
            <v/>
          </cell>
          <cell r="J1046" t="str">
            <v/>
          </cell>
          <cell r="K1046" t="str">
            <v/>
          </cell>
          <cell r="L1046" t="str">
            <v/>
          </cell>
          <cell r="M1046" t="str">
            <v/>
          </cell>
        </row>
        <row r="1047">
          <cell r="A1047">
            <v>31102192</v>
          </cell>
          <cell r="C1047">
            <v>31102192</v>
          </cell>
          <cell r="D1047">
            <v>31102192</v>
          </cell>
          <cell r="E1047">
            <v>31102192</v>
          </cell>
          <cell r="F1047">
            <v>31102192</v>
          </cell>
          <cell r="G1047">
            <v>31102192</v>
          </cell>
          <cell r="H1047">
            <v>31102192</v>
          </cell>
          <cell r="I1047" t="str">
            <v/>
          </cell>
          <cell r="J1047" t="str">
            <v/>
          </cell>
          <cell r="K1047" t="str">
            <v/>
          </cell>
          <cell r="L1047" t="str">
            <v/>
          </cell>
          <cell r="M1047" t="str">
            <v/>
          </cell>
        </row>
        <row r="1048">
          <cell r="A1048">
            <v>31102192</v>
          </cell>
          <cell r="C1048">
            <v>31102192</v>
          </cell>
          <cell r="D1048">
            <v>31102192</v>
          </cell>
          <cell r="E1048">
            <v>31102192</v>
          </cell>
          <cell r="F1048">
            <v>31102192</v>
          </cell>
          <cell r="G1048">
            <v>31102192</v>
          </cell>
          <cell r="H1048">
            <v>31102192</v>
          </cell>
          <cell r="I1048" t="str">
            <v/>
          </cell>
          <cell r="J1048" t="str">
            <v/>
          </cell>
          <cell r="K1048" t="str">
            <v/>
          </cell>
          <cell r="L1048" t="str">
            <v/>
          </cell>
          <cell r="M1048" t="str">
            <v/>
          </cell>
        </row>
        <row r="1049">
          <cell r="A1049">
            <v>31102192</v>
          </cell>
          <cell r="C1049">
            <v>31102192</v>
          </cell>
          <cell r="D1049">
            <v>31102192</v>
          </cell>
          <cell r="E1049">
            <v>31102192</v>
          </cell>
          <cell r="F1049">
            <v>31102192</v>
          </cell>
          <cell r="G1049">
            <v>31102192</v>
          </cell>
          <cell r="H1049">
            <v>31102192</v>
          </cell>
          <cell r="I1049" t="str">
            <v/>
          </cell>
          <cell r="J1049" t="str">
            <v/>
          </cell>
          <cell r="K1049" t="str">
            <v/>
          </cell>
          <cell r="L1049" t="str">
            <v/>
          </cell>
          <cell r="M1049" t="str">
            <v/>
          </cell>
        </row>
        <row r="1050">
          <cell r="A1050">
            <v>31102192</v>
          </cell>
          <cell r="C1050">
            <v>31102192</v>
          </cell>
          <cell r="D1050">
            <v>31102192</v>
          </cell>
          <cell r="E1050">
            <v>31102192</v>
          </cell>
          <cell r="F1050">
            <v>31102192</v>
          </cell>
          <cell r="G1050">
            <v>31102192</v>
          </cell>
          <cell r="H1050">
            <v>31102192</v>
          </cell>
          <cell r="I1050" t="str">
            <v/>
          </cell>
          <cell r="J1050" t="str">
            <v/>
          </cell>
          <cell r="K1050" t="str">
            <v/>
          </cell>
          <cell r="L1050" t="str">
            <v/>
          </cell>
          <cell r="M1050" t="str">
            <v/>
          </cell>
        </row>
        <row r="1051">
          <cell r="A1051">
            <v>31102192</v>
          </cell>
          <cell r="C1051">
            <v>31102192</v>
          </cell>
          <cell r="D1051">
            <v>31102192</v>
          </cell>
          <cell r="E1051">
            <v>31102192</v>
          </cell>
          <cell r="F1051">
            <v>31102192</v>
          </cell>
          <cell r="G1051">
            <v>31102192</v>
          </cell>
          <cell r="H1051">
            <v>31102192</v>
          </cell>
          <cell r="I1051" t="str">
            <v/>
          </cell>
          <cell r="J1051" t="str">
            <v/>
          </cell>
          <cell r="K1051" t="str">
            <v/>
          </cell>
          <cell r="L1051" t="str">
            <v/>
          </cell>
          <cell r="M1051" t="str">
            <v/>
          </cell>
        </row>
        <row r="1052">
          <cell r="A1052">
            <v>31102192</v>
          </cell>
          <cell r="C1052">
            <v>31102192</v>
          </cell>
          <cell r="D1052">
            <v>31102192</v>
          </cell>
          <cell r="E1052">
            <v>31102192</v>
          </cell>
          <cell r="F1052">
            <v>31102192</v>
          </cell>
          <cell r="G1052">
            <v>31102192</v>
          </cell>
          <cell r="H1052">
            <v>31102192</v>
          </cell>
          <cell r="I1052" t="str">
            <v/>
          </cell>
          <cell r="J1052" t="str">
            <v/>
          </cell>
          <cell r="K1052" t="str">
            <v/>
          </cell>
          <cell r="L1052" t="str">
            <v/>
          </cell>
          <cell r="M1052" t="str">
            <v/>
          </cell>
        </row>
        <row r="1053">
          <cell r="A1053">
            <v>31102192</v>
          </cell>
          <cell r="C1053">
            <v>31102192</v>
          </cell>
          <cell r="D1053">
            <v>31102192</v>
          </cell>
          <cell r="E1053">
            <v>31102192</v>
          </cell>
          <cell r="F1053">
            <v>31102192</v>
          </cell>
          <cell r="G1053">
            <v>31102192</v>
          </cell>
          <cell r="H1053">
            <v>31102192</v>
          </cell>
          <cell r="I1053" t="str">
            <v/>
          </cell>
          <cell r="J1053" t="str">
            <v/>
          </cell>
          <cell r="K1053" t="str">
            <v/>
          </cell>
          <cell r="L1053" t="str">
            <v/>
          </cell>
          <cell r="M1053" t="str">
            <v/>
          </cell>
        </row>
        <row r="1054">
          <cell r="A1054">
            <v>31102192</v>
          </cell>
          <cell r="C1054">
            <v>31102192</v>
          </cell>
          <cell r="D1054">
            <v>31102192</v>
          </cell>
          <cell r="E1054">
            <v>31102192</v>
          </cell>
          <cell r="F1054">
            <v>31102192</v>
          </cell>
          <cell r="G1054">
            <v>31102192</v>
          </cell>
          <cell r="H1054">
            <v>31102192</v>
          </cell>
          <cell r="I1054" t="str">
            <v/>
          </cell>
          <cell r="J1054" t="str">
            <v/>
          </cell>
          <cell r="K1054" t="str">
            <v/>
          </cell>
          <cell r="L1054" t="str">
            <v/>
          </cell>
          <cell r="M1054" t="str">
            <v/>
          </cell>
        </row>
        <row r="1055">
          <cell r="A1055">
            <v>31102192</v>
          </cell>
          <cell r="C1055">
            <v>31102192</v>
          </cell>
          <cell r="D1055">
            <v>31102192</v>
          </cell>
          <cell r="E1055">
            <v>31102192</v>
          </cell>
          <cell r="F1055">
            <v>31102192</v>
          </cell>
          <cell r="G1055">
            <v>31102192</v>
          </cell>
          <cell r="H1055">
            <v>31102192</v>
          </cell>
          <cell r="I1055" t="str">
            <v/>
          </cell>
          <cell r="J1055" t="str">
            <v/>
          </cell>
          <cell r="K1055" t="str">
            <v/>
          </cell>
          <cell r="L1055" t="str">
            <v/>
          </cell>
          <cell r="M1055" t="str">
            <v/>
          </cell>
        </row>
        <row r="1056">
          <cell r="A1056">
            <v>31102192</v>
          </cell>
          <cell r="C1056">
            <v>31102192</v>
          </cell>
          <cell r="D1056">
            <v>31102192</v>
          </cell>
          <cell r="E1056">
            <v>31102192</v>
          </cell>
          <cell r="F1056">
            <v>31102192</v>
          </cell>
          <cell r="G1056">
            <v>31102192</v>
          </cell>
          <cell r="H1056">
            <v>31102192</v>
          </cell>
          <cell r="I1056" t="str">
            <v/>
          </cell>
          <cell r="J1056" t="str">
            <v/>
          </cell>
          <cell r="K1056" t="str">
            <v/>
          </cell>
          <cell r="L1056" t="str">
            <v/>
          </cell>
          <cell r="M1056" t="str">
            <v/>
          </cell>
        </row>
        <row r="1057">
          <cell r="A1057">
            <v>31102192</v>
          </cell>
          <cell r="C1057">
            <v>31102192</v>
          </cell>
          <cell r="D1057">
            <v>31102192</v>
          </cell>
          <cell r="E1057">
            <v>31102192</v>
          </cell>
          <cell r="F1057">
            <v>31102192</v>
          </cell>
          <cell r="G1057">
            <v>31102192</v>
          </cell>
          <cell r="H1057">
            <v>31102192</v>
          </cell>
          <cell r="I1057" t="str">
            <v/>
          </cell>
          <cell r="J1057" t="str">
            <v/>
          </cell>
          <cell r="K1057" t="str">
            <v/>
          </cell>
          <cell r="L1057" t="str">
            <v/>
          </cell>
          <cell r="M1057" t="str">
            <v/>
          </cell>
        </row>
        <row r="1058">
          <cell r="A1058">
            <v>31102192</v>
          </cell>
          <cell r="C1058">
            <v>31102192</v>
          </cell>
          <cell r="D1058">
            <v>31102192</v>
          </cell>
          <cell r="E1058">
            <v>31102192</v>
          </cell>
          <cell r="F1058">
            <v>31102192</v>
          </cell>
          <cell r="G1058">
            <v>31102192</v>
          </cell>
          <cell r="H1058">
            <v>31102192</v>
          </cell>
          <cell r="I1058" t="str">
            <v/>
          </cell>
          <cell r="J1058" t="str">
            <v/>
          </cell>
          <cell r="K1058" t="str">
            <v/>
          </cell>
          <cell r="L1058" t="str">
            <v/>
          </cell>
          <cell r="M1058" t="str">
            <v/>
          </cell>
        </row>
        <row r="1059">
          <cell r="A1059">
            <v>31102192</v>
          </cell>
          <cell r="C1059">
            <v>31102192</v>
          </cell>
          <cell r="D1059">
            <v>31102192</v>
          </cell>
          <cell r="E1059">
            <v>31102192</v>
          </cell>
          <cell r="F1059">
            <v>31102192</v>
          </cell>
          <cell r="G1059">
            <v>31102192</v>
          </cell>
          <cell r="H1059">
            <v>31102192</v>
          </cell>
          <cell r="I1059" t="str">
            <v/>
          </cell>
          <cell r="J1059" t="str">
            <v/>
          </cell>
          <cell r="K1059" t="str">
            <v/>
          </cell>
          <cell r="L1059" t="str">
            <v/>
          </cell>
          <cell r="M1059" t="str">
            <v/>
          </cell>
        </row>
        <row r="1060">
          <cell r="A1060">
            <v>31102192</v>
          </cell>
          <cell r="C1060">
            <v>31102192</v>
          </cell>
          <cell r="D1060">
            <v>31102192</v>
          </cell>
          <cell r="E1060">
            <v>31102192</v>
          </cell>
          <cell r="F1060">
            <v>31102192</v>
          </cell>
          <cell r="G1060">
            <v>31102192</v>
          </cell>
          <cell r="H1060">
            <v>31102192</v>
          </cell>
          <cell r="I1060" t="str">
            <v/>
          </cell>
          <cell r="J1060" t="str">
            <v/>
          </cell>
          <cell r="K1060" t="str">
            <v/>
          </cell>
          <cell r="L1060" t="str">
            <v/>
          </cell>
          <cell r="M1060" t="str">
            <v/>
          </cell>
        </row>
        <row r="1061">
          <cell r="A1061">
            <v>31102192</v>
          </cell>
          <cell r="C1061">
            <v>31102192</v>
          </cell>
          <cell r="D1061">
            <v>31102192</v>
          </cell>
          <cell r="E1061">
            <v>31102192</v>
          </cell>
          <cell r="F1061">
            <v>31102192</v>
          </cell>
          <cell r="G1061">
            <v>31102192</v>
          </cell>
          <cell r="H1061">
            <v>31102192</v>
          </cell>
          <cell r="I1061" t="str">
            <v/>
          </cell>
          <cell r="J1061" t="str">
            <v/>
          </cell>
          <cell r="K1061" t="str">
            <v/>
          </cell>
          <cell r="L1061" t="str">
            <v/>
          </cell>
          <cell r="M1061" t="str">
            <v/>
          </cell>
        </row>
        <row r="1062">
          <cell r="A1062">
            <v>31102192</v>
          </cell>
          <cell r="C1062">
            <v>31102192</v>
          </cell>
          <cell r="D1062">
            <v>31102192</v>
          </cell>
          <cell r="E1062">
            <v>31102192</v>
          </cell>
          <cell r="F1062">
            <v>31102192</v>
          </cell>
          <cell r="G1062">
            <v>31102192</v>
          </cell>
          <cell r="H1062">
            <v>31102192</v>
          </cell>
          <cell r="I1062" t="str">
            <v/>
          </cell>
          <cell r="J1062" t="str">
            <v/>
          </cell>
          <cell r="K1062" t="str">
            <v/>
          </cell>
          <cell r="L1062" t="str">
            <v/>
          </cell>
          <cell r="M1062" t="str">
            <v/>
          </cell>
        </row>
        <row r="1063">
          <cell r="A1063">
            <v>31102192</v>
          </cell>
          <cell r="C1063">
            <v>31102192</v>
          </cell>
          <cell r="D1063">
            <v>31102192</v>
          </cell>
          <cell r="E1063">
            <v>31102192</v>
          </cell>
          <cell r="F1063">
            <v>31102192</v>
          </cell>
          <cell r="G1063">
            <v>31102192</v>
          </cell>
          <cell r="H1063">
            <v>31102192</v>
          </cell>
          <cell r="I1063" t="str">
            <v/>
          </cell>
          <cell r="J1063" t="str">
            <v/>
          </cell>
          <cell r="K1063" t="str">
            <v/>
          </cell>
          <cell r="L1063" t="str">
            <v/>
          </cell>
          <cell r="M1063" t="str">
            <v/>
          </cell>
        </row>
        <row r="1064">
          <cell r="A1064">
            <v>31102192</v>
          </cell>
          <cell r="C1064">
            <v>31102192</v>
          </cell>
          <cell r="D1064">
            <v>31102192</v>
          </cell>
          <cell r="E1064">
            <v>31102192</v>
          </cell>
          <cell r="F1064">
            <v>31102192</v>
          </cell>
          <cell r="G1064">
            <v>31102192</v>
          </cell>
          <cell r="H1064">
            <v>31102192</v>
          </cell>
          <cell r="I1064" t="str">
            <v/>
          </cell>
          <cell r="J1064" t="str">
            <v/>
          </cell>
          <cell r="K1064" t="str">
            <v/>
          </cell>
          <cell r="L1064" t="str">
            <v/>
          </cell>
          <cell r="M1064" t="str">
            <v/>
          </cell>
        </row>
        <row r="1065">
          <cell r="A1065">
            <v>31102192</v>
          </cell>
          <cell r="C1065">
            <v>31102192</v>
          </cell>
          <cell r="D1065">
            <v>31102192</v>
          </cell>
          <cell r="E1065">
            <v>31102192</v>
          </cell>
          <cell r="F1065">
            <v>31102192</v>
          </cell>
          <cell r="G1065">
            <v>31102192</v>
          </cell>
          <cell r="H1065">
            <v>31102192</v>
          </cell>
          <cell r="I1065" t="str">
            <v/>
          </cell>
          <cell r="J1065" t="str">
            <v/>
          </cell>
          <cell r="K1065" t="str">
            <v/>
          </cell>
          <cell r="L1065" t="str">
            <v/>
          </cell>
          <cell r="M1065" t="str">
            <v/>
          </cell>
        </row>
        <row r="1066">
          <cell r="A1066">
            <v>31102192</v>
          </cell>
          <cell r="C1066">
            <v>31102192</v>
          </cell>
          <cell r="D1066">
            <v>31102192</v>
          </cell>
          <cell r="E1066">
            <v>31102192</v>
          </cell>
          <cell r="F1066">
            <v>31102192</v>
          </cell>
          <cell r="G1066">
            <v>31102192</v>
          </cell>
          <cell r="H1066">
            <v>31102192</v>
          </cell>
          <cell r="I1066" t="str">
            <v/>
          </cell>
          <cell r="J1066" t="str">
            <v/>
          </cell>
          <cell r="K1066" t="str">
            <v/>
          </cell>
          <cell r="L1066" t="str">
            <v/>
          </cell>
          <cell r="M1066" t="str">
            <v/>
          </cell>
        </row>
        <row r="1067">
          <cell r="A1067">
            <v>31102192</v>
          </cell>
          <cell r="C1067">
            <v>31102192</v>
          </cell>
          <cell r="D1067">
            <v>31102192</v>
          </cell>
          <cell r="E1067">
            <v>31102192</v>
          </cell>
          <cell r="F1067">
            <v>31102192</v>
          </cell>
          <cell r="G1067">
            <v>31102192</v>
          </cell>
          <cell r="H1067">
            <v>31102192</v>
          </cell>
          <cell r="I1067" t="str">
            <v/>
          </cell>
          <cell r="J1067" t="str">
            <v/>
          </cell>
          <cell r="K1067" t="str">
            <v/>
          </cell>
          <cell r="L1067" t="str">
            <v/>
          </cell>
          <cell r="M1067" t="str">
            <v/>
          </cell>
        </row>
        <row r="1068">
          <cell r="A1068">
            <v>31102192</v>
          </cell>
          <cell r="C1068">
            <v>31102192</v>
          </cell>
          <cell r="D1068">
            <v>31102192</v>
          </cell>
          <cell r="E1068">
            <v>31102192</v>
          </cell>
          <cell r="F1068">
            <v>31102192</v>
          </cell>
          <cell r="G1068">
            <v>31102192</v>
          </cell>
          <cell r="H1068">
            <v>31102192</v>
          </cell>
          <cell r="I1068" t="str">
            <v/>
          </cell>
          <cell r="J1068" t="str">
            <v/>
          </cell>
          <cell r="K1068" t="str">
            <v/>
          </cell>
          <cell r="L1068" t="str">
            <v/>
          </cell>
          <cell r="M1068" t="str">
            <v/>
          </cell>
        </row>
        <row r="1069">
          <cell r="A1069">
            <v>31102192</v>
          </cell>
          <cell r="C1069">
            <v>31102192</v>
          </cell>
          <cell r="D1069">
            <v>31102192</v>
          </cell>
          <cell r="E1069">
            <v>31102192</v>
          </cell>
          <cell r="F1069">
            <v>31102192</v>
          </cell>
          <cell r="G1069">
            <v>31102192</v>
          </cell>
          <cell r="H1069">
            <v>31102192</v>
          </cell>
          <cell r="I1069" t="str">
            <v/>
          </cell>
          <cell r="J1069" t="str">
            <v/>
          </cell>
          <cell r="K1069" t="str">
            <v/>
          </cell>
          <cell r="L1069" t="str">
            <v/>
          </cell>
          <cell r="M1069" t="str">
            <v/>
          </cell>
        </row>
        <row r="1070">
          <cell r="A1070">
            <v>31102192</v>
          </cell>
          <cell r="C1070">
            <v>31102192</v>
          </cell>
          <cell r="D1070">
            <v>31102192</v>
          </cell>
          <cell r="E1070">
            <v>31102192</v>
          </cell>
          <cell r="F1070">
            <v>31102192</v>
          </cell>
          <cell r="G1070">
            <v>31102192</v>
          </cell>
          <cell r="H1070">
            <v>31102192</v>
          </cell>
          <cell r="I1070" t="str">
            <v/>
          </cell>
          <cell r="J1070" t="str">
            <v/>
          </cell>
          <cell r="K1070" t="str">
            <v/>
          </cell>
          <cell r="L1070" t="str">
            <v/>
          </cell>
          <cell r="M1070" t="str">
            <v/>
          </cell>
        </row>
        <row r="1071">
          <cell r="A1071">
            <v>31102192</v>
          </cell>
          <cell r="C1071">
            <v>31102192</v>
          </cell>
          <cell r="D1071">
            <v>31102192</v>
          </cell>
          <cell r="E1071">
            <v>31102192</v>
          </cell>
          <cell r="F1071">
            <v>31102192</v>
          </cell>
          <cell r="G1071">
            <v>31102192</v>
          </cell>
          <cell r="H1071">
            <v>31102192</v>
          </cell>
          <cell r="I1071" t="str">
            <v/>
          </cell>
          <cell r="J1071" t="str">
            <v/>
          </cell>
          <cell r="K1071" t="str">
            <v/>
          </cell>
          <cell r="L1071" t="str">
            <v/>
          </cell>
          <cell r="M1071" t="str">
            <v/>
          </cell>
        </row>
        <row r="1072">
          <cell r="A1072">
            <v>31102192</v>
          </cell>
          <cell r="C1072">
            <v>31102192</v>
          </cell>
          <cell r="D1072">
            <v>31102192</v>
          </cell>
          <cell r="E1072">
            <v>31102192</v>
          </cell>
          <cell r="F1072">
            <v>31102192</v>
          </cell>
          <cell r="G1072">
            <v>31102192</v>
          </cell>
          <cell r="H1072">
            <v>31102192</v>
          </cell>
          <cell r="I1072" t="str">
            <v/>
          </cell>
          <cell r="J1072" t="str">
            <v/>
          </cell>
          <cell r="K1072" t="str">
            <v/>
          </cell>
          <cell r="L1072" t="str">
            <v/>
          </cell>
          <cell r="M1072" t="str">
            <v/>
          </cell>
        </row>
        <row r="1073">
          <cell r="A1073">
            <v>31102192</v>
          </cell>
          <cell r="C1073">
            <v>31102192</v>
          </cell>
          <cell r="D1073">
            <v>31102192</v>
          </cell>
          <cell r="E1073">
            <v>31102192</v>
          </cell>
          <cell r="F1073">
            <v>31102192</v>
          </cell>
          <cell r="G1073">
            <v>31102192</v>
          </cell>
          <cell r="H1073">
            <v>31102192</v>
          </cell>
          <cell r="I1073" t="str">
            <v/>
          </cell>
          <cell r="J1073" t="str">
            <v/>
          </cell>
          <cell r="K1073" t="str">
            <v/>
          </cell>
          <cell r="L1073" t="str">
            <v/>
          </cell>
          <cell r="M1073" t="str">
            <v/>
          </cell>
        </row>
        <row r="1074">
          <cell r="A1074">
            <v>31102192</v>
          </cell>
          <cell r="C1074">
            <v>31102192</v>
          </cell>
          <cell r="D1074">
            <v>31102192</v>
          </cell>
          <cell r="E1074">
            <v>31102192</v>
          </cell>
          <cell r="F1074">
            <v>31102192</v>
          </cell>
          <cell r="G1074">
            <v>31102192</v>
          </cell>
          <cell r="H1074">
            <v>31102192</v>
          </cell>
          <cell r="I1074" t="str">
            <v/>
          </cell>
          <cell r="J1074" t="str">
            <v/>
          </cell>
          <cell r="K1074" t="str">
            <v/>
          </cell>
          <cell r="L1074" t="str">
            <v/>
          </cell>
          <cell r="M1074" t="str">
            <v/>
          </cell>
        </row>
        <row r="1075">
          <cell r="A1075">
            <v>31102192</v>
          </cell>
          <cell r="C1075">
            <v>31102192</v>
          </cell>
          <cell r="D1075">
            <v>31102192</v>
          </cell>
          <cell r="E1075">
            <v>31102192</v>
          </cell>
          <cell r="F1075">
            <v>31102192</v>
          </cell>
          <cell r="G1075">
            <v>31102192</v>
          </cell>
          <cell r="H1075">
            <v>31102192</v>
          </cell>
          <cell r="I1075" t="str">
            <v/>
          </cell>
          <cell r="J1075" t="str">
            <v/>
          </cell>
          <cell r="K1075" t="str">
            <v/>
          </cell>
          <cell r="L1075" t="str">
            <v/>
          </cell>
          <cell r="M1075" t="str">
            <v/>
          </cell>
        </row>
        <row r="1076">
          <cell r="A1076">
            <v>31102192</v>
          </cell>
          <cell r="C1076">
            <v>31102192</v>
          </cell>
          <cell r="D1076">
            <v>31102192</v>
          </cell>
          <cell r="E1076">
            <v>31102192</v>
          </cell>
          <cell r="F1076">
            <v>31102192</v>
          </cell>
          <cell r="G1076">
            <v>31102192</v>
          </cell>
          <cell r="H1076">
            <v>31102192</v>
          </cell>
          <cell r="I1076" t="str">
            <v/>
          </cell>
          <cell r="J1076" t="str">
            <v/>
          </cell>
          <cell r="K1076" t="str">
            <v/>
          </cell>
          <cell r="L1076" t="str">
            <v/>
          </cell>
          <cell r="M1076" t="str">
            <v/>
          </cell>
        </row>
        <row r="1077">
          <cell r="A1077">
            <v>31102192</v>
          </cell>
          <cell r="C1077">
            <v>31102192</v>
          </cell>
          <cell r="D1077">
            <v>31102192</v>
          </cell>
          <cell r="E1077">
            <v>31102192</v>
          </cell>
          <cell r="F1077">
            <v>31102192</v>
          </cell>
          <cell r="G1077">
            <v>31102192</v>
          </cell>
          <cell r="H1077">
            <v>31102192</v>
          </cell>
          <cell r="I1077" t="str">
            <v/>
          </cell>
          <cell r="J1077" t="str">
            <v/>
          </cell>
          <cell r="K1077" t="str">
            <v/>
          </cell>
          <cell r="L1077" t="str">
            <v/>
          </cell>
          <cell r="M1077" t="str">
            <v/>
          </cell>
        </row>
        <row r="1078">
          <cell r="A1078">
            <v>31102192</v>
          </cell>
          <cell r="C1078">
            <v>31102192</v>
          </cell>
          <cell r="D1078">
            <v>31102192</v>
          </cell>
          <cell r="E1078">
            <v>31102192</v>
          </cell>
          <cell r="F1078">
            <v>31102192</v>
          </cell>
          <cell r="G1078">
            <v>31102192</v>
          </cell>
          <cell r="H1078">
            <v>31102192</v>
          </cell>
          <cell r="I1078" t="str">
            <v/>
          </cell>
          <cell r="J1078" t="str">
            <v/>
          </cell>
          <cell r="K1078" t="str">
            <v/>
          </cell>
          <cell r="L1078" t="str">
            <v/>
          </cell>
          <cell r="M1078" t="str">
            <v/>
          </cell>
        </row>
        <row r="1079">
          <cell r="A1079">
            <v>31102192</v>
          </cell>
          <cell r="C1079">
            <v>31102192</v>
          </cell>
          <cell r="D1079">
            <v>31102192</v>
          </cell>
          <cell r="E1079">
            <v>31102192</v>
          </cell>
          <cell r="F1079">
            <v>31102192</v>
          </cell>
          <cell r="G1079">
            <v>31102192</v>
          </cell>
          <cell r="H1079">
            <v>31102192</v>
          </cell>
          <cell r="I1079" t="str">
            <v/>
          </cell>
          <cell r="J1079" t="str">
            <v/>
          </cell>
          <cell r="K1079" t="str">
            <v/>
          </cell>
          <cell r="L1079" t="str">
            <v/>
          </cell>
          <cell r="M1079" t="str">
            <v/>
          </cell>
        </row>
        <row r="1080">
          <cell r="A1080">
            <v>31102192</v>
          </cell>
          <cell r="C1080">
            <v>31102192</v>
          </cell>
          <cell r="D1080">
            <v>31102192</v>
          </cell>
          <cell r="E1080">
            <v>31102192</v>
          </cell>
          <cell r="F1080">
            <v>31102192</v>
          </cell>
          <cell r="G1080">
            <v>31102192</v>
          </cell>
          <cell r="H1080">
            <v>31102192</v>
          </cell>
          <cell r="I1080" t="str">
            <v/>
          </cell>
          <cell r="J1080" t="str">
            <v/>
          </cell>
          <cell r="K1080" t="str">
            <v/>
          </cell>
          <cell r="L1080" t="str">
            <v/>
          </cell>
          <cell r="M1080" t="str">
            <v/>
          </cell>
        </row>
        <row r="1081">
          <cell r="A1081">
            <v>31102192</v>
          </cell>
          <cell r="C1081">
            <v>31102192</v>
          </cell>
          <cell r="D1081">
            <v>31102192</v>
          </cell>
          <cell r="E1081">
            <v>31102192</v>
          </cell>
          <cell r="F1081">
            <v>31102192</v>
          </cell>
          <cell r="G1081">
            <v>31102192</v>
          </cell>
          <cell r="H1081">
            <v>31102192</v>
          </cell>
          <cell r="I1081" t="str">
            <v/>
          </cell>
          <cell r="J1081" t="str">
            <v/>
          </cell>
          <cell r="K1081" t="str">
            <v/>
          </cell>
          <cell r="L1081" t="str">
            <v/>
          </cell>
          <cell r="M1081" t="str">
            <v/>
          </cell>
        </row>
        <row r="1082">
          <cell r="A1082">
            <v>31102192</v>
          </cell>
          <cell r="C1082">
            <v>31102192</v>
          </cell>
          <cell r="D1082">
            <v>31102192</v>
          </cell>
          <cell r="E1082">
            <v>31102192</v>
          </cell>
          <cell r="F1082">
            <v>31102192</v>
          </cell>
          <cell r="G1082">
            <v>31102192</v>
          </cell>
          <cell r="H1082">
            <v>31102192</v>
          </cell>
          <cell r="I1082" t="str">
            <v/>
          </cell>
          <cell r="J1082" t="str">
            <v/>
          </cell>
          <cell r="K1082" t="str">
            <v/>
          </cell>
          <cell r="L1082" t="str">
            <v/>
          </cell>
          <cell r="M1082" t="str">
            <v/>
          </cell>
        </row>
        <row r="1083">
          <cell r="A1083">
            <v>31102192</v>
          </cell>
          <cell r="C1083">
            <v>31102192</v>
          </cell>
          <cell r="D1083">
            <v>31102192</v>
          </cell>
          <cell r="E1083">
            <v>31102192</v>
          </cell>
          <cell r="F1083">
            <v>31102192</v>
          </cell>
          <cell r="G1083">
            <v>31102192</v>
          </cell>
          <cell r="H1083">
            <v>31102192</v>
          </cell>
          <cell r="I1083" t="str">
            <v/>
          </cell>
          <cell r="J1083" t="str">
            <v/>
          </cell>
          <cell r="K1083" t="str">
            <v/>
          </cell>
          <cell r="L1083" t="str">
            <v/>
          </cell>
          <cell r="M1083" t="str">
            <v/>
          </cell>
        </row>
        <row r="1084">
          <cell r="A1084">
            <v>31102192</v>
          </cell>
          <cell r="C1084">
            <v>31102192</v>
          </cell>
          <cell r="D1084">
            <v>31102192</v>
          </cell>
          <cell r="E1084">
            <v>31102192</v>
          </cell>
          <cell r="F1084">
            <v>31102192</v>
          </cell>
          <cell r="G1084">
            <v>31102192</v>
          </cell>
          <cell r="H1084">
            <v>31102192</v>
          </cell>
          <cell r="I1084" t="str">
            <v/>
          </cell>
          <cell r="J1084" t="str">
            <v/>
          </cell>
          <cell r="K1084" t="str">
            <v/>
          </cell>
          <cell r="L1084" t="str">
            <v/>
          </cell>
          <cell r="M1084" t="str">
            <v/>
          </cell>
        </row>
        <row r="1085">
          <cell r="A1085">
            <v>31102192</v>
          </cell>
          <cell r="C1085">
            <v>31102192</v>
          </cell>
          <cell r="D1085">
            <v>31102192</v>
          </cell>
          <cell r="E1085">
            <v>31102192</v>
          </cell>
          <cell r="F1085">
            <v>31102192</v>
          </cell>
          <cell r="G1085">
            <v>31102192</v>
          </cell>
          <cell r="H1085">
            <v>31102192</v>
          </cell>
          <cell r="I1085" t="str">
            <v/>
          </cell>
          <cell r="J1085" t="str">
            <v/>
          </cell>
          <cell r="K1085" t="str">
            <v/>
          </cell>
          <cell r="L1085" t="str">
            <v/>
          </cell>
          <cell r="M1085" t="str">
            <v/>
          </cell>
        </row>
        <row r="1086">
          <cell r="A1086">
            <v>31102192</v>
          </cell>
          <cell r="C1086">
            <v>31102192</v>
          </cell>
          <cell r="D1086">
            <v>31102192</v>
          </cell>
          <cell r="E1086">
            <v>31102192</v>
          </cell>
          <cell r="F1086">
            <v>31102192</v>
          </cell>
          <cell r="G1086">
            <v>31102192</v>
          </cell>
          <cell r="H1086">
            <v>31102192</v>
          </cell>
          <cell r="I1086" t="str">
            <v/>
          </cell>
          <cell r="J1086" t="str">
            <v/>
          </cell>
          <cell r="K1086" t="str">
            <v/>
          </cell>
          <cell r="L1086" t="str">
            <v/>
          </cell>
          <cell r="M1086" t="str">
            <v/>
          </cell>
        </row>
        <row r="1087">
          <cell r="A1087">
            <v>31102192</v>
          </cell>
          <cell r="C1087">
            <v>31102192</v>
          </cell>
          <cell r="D1087">
            <v>31102192</v>
          </cell>
          <cell r="E1087">
            <v>31102192</v>
          </cell>
          <cell r="F1087">
            <v>31102192</v>
          </cell>
          <cell r="G1087">
            <v>31102192</v>
          </cell>
          <cell r="H1087">
            <v>31102192</v>
          </cell>
          <cell r="I1087" t="str">
            <v/>
          </cell>
          <cell r="J1087" t="str">
            <v/>
          </cell>
          <cell r="K1087" t="str">
            <v/>
          </cell>
          <cell r="L1087" t="str">
            <v/>
          </cell>
          <cell r="M1087" t="str">
            <v/>
          </cell>
        </row>
        <row r="1088">
          <cell r="A1088">
            <v>31102192</v>
          </cell>
          <cell r="C1088">
            <v>31102192</v>
          </cell>
          <cell r="D1088">
            <v>31102192</v>
          </cell>
          <cell r="E1088">
            <v>31102192</v>
          </cell>
          <cell r="F1088">
            <v>31102192</v>
          </cell>
          <cell r="G1088">
            <v>31102192</v>
          </cell>
          <cell r="H1088">
            <v>31102192</v>
          </cell>
          <cell r="I1088" t="str">
            <v/>
          </cell>
          <cell r="J1088" t="str">
            <v/>
          </cell>
          <cell r="K1088" t="str">
            <v/>
          </cell>
          <cell r="L1088" t="str">
            <v/>
          </cell>
          <cell r="M1088" t="str">
            <v/>
          </cell>
        </row>
        <row r="1089">
          <cell r="A1089">
            <v>31102192</v>
          </cell>
          <cell r="C1089">
            <v>31102192</v>
          </cell>
          <cell r="D1089">
            <v>31102192</v>
          </cell>
          <cell r="E1089">
            <v>31102192</v>
          </cell>
          <cell r="F1089">
            <v>31102192</v>
          </cell>
          <cell r="G1089">
            <v>31102192</v>
          </cell>
          <cell r="H1089">
            <v>31102192</v>
          </cell>
          <cell r="I1089" t="str">
            <v/>
          </cell>
          <cell r="J1089" t="str">
            <v/>
          </cell>
          <cell r="K1089" t="str">
            <v/>
          </cell>
          <cell r="L1089" t="str">
            <v/>
          </cell>
          <cell r="M1089" t="str">
            <v/>
          </cell>
        </row>
        <row r="1090">
          <cell r="A1090">
            <v>31102192</v>
          </cell>
          <cell r="C1090">
            <v>31102192</v>
          </cell>
          <cell r="D1090">
            <v>31102192</v>
          </cell>
          <cell r="E1090">
            <v>31102192</v>
          </cell>
          <cell r="F1090">
            <v>31102192</v>
          </cell>
          <cell r="G1090">
            <v>31102192</v>
          </cell>
          <cell r="H1090">
            <v>31102192</v>
          </cell>
          <cell r="I1090" t="str">
            <v/>
          </cell>
          <cell r="J1090" t="str">
            <v/>
          </cell>
          <cell r="K1090" t="str">
            <v/>
          </cell>
          <cell r="L1090" t="str">
            <v/>
          </cell>
          <cell r="M1090" t="str">
            <v/>
          </cell>
        </row>
        <row r="1091">
          <cell r="A1091">
            <v>31102192</v>
          </cell>
          <cell r="C1091">
            <v>31102192</v>
          </cell>
          <cell r="D1091">
            <v>31102192</v>
          </cell>
          <cell r="E1091">
            <v>31102192</v>
          </cell>
          <cell r="F1091">
            <v>31102192</v>
          </cell>
          <cell r="G1091">
            <v>31102192</v>
          </cell>
          <cell r="H1091">
            <v>31102192</v>
          </cell>
          <cell r="I1091" t="str">
            <v/>
          </cell>
          <cell r="J1091" t="str">
            <v/>
          </cell>
          <cell r="K1091" t="str">
            <v/>
          </cell>
          <cell r="L1091" t="str">
            <v/>
          </cell>
          <cell r="M1091" t="str">
            <v/>
          </cell>
        </row>
        <row r="1092">
          <cell r="A1092">
            <v>31102192</v>
          </cell>
          <cell r="C1092">
            <v>31102192</v>
          </cell>
          <cell r="D1092">
            <v>31102192</v>
          </cell>
          <cell r="E1092">
            <v>31102192</v>
          </cell>
          <cell r="F1092">
            <v>31102192</v>
          </cell>
          <cell r="G1092">
            <v>31102192</v>
          </cell>
          <cell r="H1092">
            <v>31102192</v>
          </cell>
          <cell r="I1092" t="str">
            <v/>
          </cell>
          <cell r="J1092" t="str">
            <v/>
          </cell>
          <cell r="K1092" t="str">
            <v/>
          </cell>
          <cell r="L1092" t="str">
            <v/>
          </cell>
          <cell r="M1092" t="str">
            <v/>
          </cell>
        </row>
        <row r="1093">
          <cell r="A1093">
            <v>31102192</v>
          </cell>
          <cell r="C1093">
            <v>31102192</v>
          </cell>
          <cell r="D1093">
            <v>31102192</v>
          </cell>
          <cell r="E1093">
            <v>31102192</v>
          </cell>
          <cell r="F1093">
            <v>31102192</v>
          </cell>
          <cell r="G1093">
            <v>31102192</v>
          </cell>
          <cell r="H1093">
            <v>31102192</v>
          </cell>
          <cell r="I1093" t="str">
            <v/>
          </cell>
          <cell r="J1093" t="str">
            <v/>
          </cell>
          <cell r="K1093" t="str">
            <v/>
          </cell>
          <cell r="L1093" t="str">
            <v/>
          </cell>
          <cell r="M1093" t="str">
            <v/>
          </cell>
        </row>
        <row r="1094">
          <cell r="A1094">
            <v>31102192</v>
          </cell>
          <cell r="C1094">
            <v>31102192</v>
          </cell>
          <cell r="D1094">
            <v>31102192</v>
          </cell>
          <cell r="E1094">
            <v>31102192</v>
          </cell>
          <cell r="F1094">
            <v>31102192</v>
          </cell>
          <cell r="G1094">
            <v>31102192</v>
          </cell>
          <cell r="H1094">
            <v>31102192</v>
          </cell>
          <cell r="I1094" t="str">
            <v/>
          </cell>
          <cell r="J1094" t="str">
            <v/>
          </cell>
          <cell r="K1094" t="str">
            <v/>
          </cell>
          <cell r="L1094" t="str">
            <v/>
          </cell>
          <cell r="M1094" t="str">
            <v/>
          </cell>
        </row>
        <row r="1095">
          <cell r="A1095">
            <v>31102192</v>
          </cell>
          <cell r="C1095">
            <v>31102192</v>
          </cell>
          <cell r="D1095">
            <v>31102192</v>
          </cell>
          <cell r="E1095">
            <v>31102192</v>
          </cell>
          <cell r="F1095">
            <v>31102192</v>
          </cell>
          <cell r="G1095">
            <v>31102192</v>
          </cell>
          <cell r="H1095">
            <v>31102192</v>
          </cell>
          <cell r="I1095" t="str">
            <v/>
          </cell>
          <cell r="J1095" t="str">
            <v/>
          </cell>
          <cell r="K1095" t="str">
            <v/>
          </cell>
          <cell r="L1095" t="str">
            <v/>
          </cell>
          <cell r="M1095" t="str">
            <v/>
          </cell>
        </row>
        <row r="1096">
          <cell r="A1096">
            <v>31102192</v>
          </cell>
          <cell r="C1096">
            <v>31102192</v>
          </cell>
          <cell r="D1096">
            <v>31102192</v>
          </cell>
          <cell r="E1096">
            <v>31102192</v>
          </cell>
          <cell r="F1096">
            <v>31102192</v>
          </cell>
          <cell r="G1096">
            <v>31102192</v>
          </cell>
          <cell r="H1096">
            <v>31102192</v>
          </cell>
          <cell r="I1096" t="str">
            <v/>
          </cell>
          <cell r="J1096" t="str">
            <v/>
          </cell>
          <cell r="K1096" t="str">
            <v/>
          </cell>
          <cell r="L1096" t="str">
            <v/>
          </cell>
          <cell r="M1096" t="str">
            <v/>
          </cell>
        </row>
        <row r="1097">
          <cell r="A1097">
            <v>31102192</v>
          </cell>
          <cell r="C1097">
            <v>31102192</v>
          </cell>
          <cell r="D1097">
            <v>31102192</v>
          </cell>
          <cell r="E1097">
            <v>31102192</v>
          </cell>
          <cell r="F1097">
            <v>31102192</v>
          </cell>
          <cell r="G1097">
            <v>31102192</v>
          </cell>
          <cell r="H1097">
            <v>31102192</v>
          </cell>
          <cell r="I1097" t="str">
            <v/>
          </cell>
          <cell r="J1097" t="str">
            <v/>
          </cell>
          <cell r="K1097" t="str">
            <v/>
          </cell>
          <cell r="L1097" t="str">
            <v/>
          </cell>
          <cell r="M1097" t="str">
            <v/>
          </cell>
        </row>
        <row r="1098">
          <cell r="A1098">
            <v>31102192</v>
          </cell>
          <cell r="C1098">
            <v>31102192</v>
          </cell>
          <cell r="D1098">
            <v>31102192</v>
          </cell>
          <cell r="E1098">
            <v>31102192</v>
          </cell>
          <cell r="F1098">
            <v>31102192</v>
          </cell>
          <cell r="G1098">
            <v>31102192</v>
          </cell>
          <cell r="H1098">
            <v>31102192</v>
          </cell>
          <cell r="I1098" t="str">
            <v/>
          </cell>
          <cell r="J1098" t="str">
            <v/>
          </cell>
          <cell r="K1098" t="str">
            <v/>
          </cell>
          <cell r="L1098" t="str">
            <v/>
          </cell>
          <cell r="M1098" t="str">
            <v/>
          </cell>
        </row>
        <row r="1099">
          <cell r="A1099">
            <v>31102192</v>
          </cell>
          <cell r="C1099">
            <v>31102192</v>
          </cell>
          <cell r="D1099">
            <v>31102192</v>
          </cell>
          <cell r="E1099">
            <v>31102192</v>
          </cell>
          <cell r="F1099">
            <v>31102192</v>
          </cell>
          <cell r="G1099">
            <v>31102192</v>
          </cell>
          <cell r="H1099">
            <v>31102192</v>
          </cell>
          <cell r="I1099" t="str">
            <v/>
          </cell>
          <cell r="J1099" t="str">
            <v/>
          </cell>
          <cell r="K1099" t="str">
            <v/>
          </cell>
          <cell r="L1099" t="str">
            <v/>
          </cell>
          <cell r="M1099" t="str">
            <v/>
          </cell>
        </row>
        <row r="1100">
          <cell r="A1100">
            <v>31102192</v>
          </cell>
          <cell r="C1100">
            <v>31102192</v>
          </cell>
          <cell r="D1100">
            <v>31102192</v>
          </cell>
          <cell r="E1100">
            <v>31102192</v>
          </cell>
          <cell r="F1100">
            <v>31102192</v>
          </cell>
          <cell r="G1100">
            <v>31102192</v>
          </cell>
          <cell r="H1100">
            <v>31102192</v>
          </cell>
          <cell r="I1100" t="str">
            <v/>
          </cell>
          <cell r="J1100" t="str">
            <v/>
          </cell>
          <cell r="K1100" t="str">
            <v/>
          </cell>
          <cell r="L1100" t="str">
            <v/>
          </cell>
          <cell r="M1100" t="str">
            <v/>
          </cell>
        </row>
        <row r="1101">
          <cell r="A1101">
            <v>31102192</v>
          </cell>
          <cell r="C1101">
            <v>31102192</v>
          </cell>
          <cell r="D1101">
            <v>31102192</v>
          </cell>
          <cell r="E1101">
            <v>31102192</v>
          </cell>
          <cell r="F1101">
            <v>31102192</v>
          </cell>
          <cell r="G1101">
            <v>31102192</v>
          </cell>
          <cell r="H1101">
            <v>31102192</v>
          </cell>
          <cell r="I1101" t="str">
            <v/>
          </cell>
          <cell r="J1101" t="str">
            <v/>
          </cell>
          <cell r="K1101" t="str">
            <v/>
          </cell>
          <cell r="L1101" t="str">
            <v/>
          </cell>
          <cell r="M1101" t="str">
            <v/>
          </cell>
        </row>
        <row r="1102">
          <cell r="A1102">
            <v>31102192</v>
          </cell>
          <cell r="C1102">
            <v>31102192</v>
          </cell>
          <cell r="D1102">
            <v>31102192</v>
          </cell>
          <cell r="E1102">
            <v>31102192</v>
          </cell>
          <cell r="F1102">
            <v>31102192</v>
          </cell>
          <cell r="G1102">
            <v>31102192</v>
          </cell>
          <cell r="H1102">
            <v>31102192</v>
          </cell>
          <cell r="I1102" t="str">
            <v/>
          </cell>
          <cell r="J1102" t="str">
            <v/>
          </cell>
          <cell r="K1102" t="str">
            <v/>
          </cell>
          <cell r="L1102" t="str">
            <v/>
          </cell>
          <cell r="M1102" t="str">
            <v/>
          </cell>
        </row>
        <row r="1103">
          <cell r="A1103">
            <v>31102192</v>
          </cell>
          <cell r="C1103">
            <v>31102192</v>
          </cell>
          <cell r="D1103">
            <v>31102192</v>
          </cell>
          <cell r="E1103">
            <v>31102192</v>
          </cell>
          <cell r="F1103">
            <v>31102192</v>
          </cell>
          <cell r="G1103">
            <v>31102192</v>
          </cell>
          <cell r="H1103">
            <v>31102192</v>
          </cell>
          <cell r="I1103" t="str">
            <v/>
          </cell>
          <cell r="J1103" t="str">
            <v/>
          </cell>
          <cell r="K1103" t="str">
            <v/>
          </cell>
          <cell r="L1103" t="str">
            <v/>
          </cell>
          <cell r="M1103" t="str">
            <v/>
          </cell>
        </row>
        <row r="1104">
          <cell r="A1104">
            <v>31102192</v>
          </cell>
          <cell r="C1104">
            <v>31102192</v>
          </cell>
          <cell r="D1104">
            <v>31102192</v>
          </cell>
          <cell r="E1104">
            <v>31102192</v>
          </cell>
          <cell r="F1104">
            <v>31102192</v>
          </cell>
          <cell r="G1104">
            <v>31102192</v>
          </cell>
          <cell r="H1104">
            <v>31102192</v>
          </cell>
          <cell r="I1104" t="str">
            <v/>
          </cell>
          <cell r="J1104" t="str">
            <v/>
          </cell>
          <cell r="K1104" t="str">
            <v/>
          </cell>
          <cell r="L1104" t="str">
            <v/>
          </cell>
          <cell r="M1104" t="str">
            <v/>
          </cell>
        </row>
        <row r="1105">
          <cell r="A1105">
            <v>31102192</v>
          </cell>
          <cell r="C1105">
            <v>31102192</v>
          </cell>
          <cell r="D1105">
            <v>31102192</v>
          </cell>
          <cell r="E1105">
            <v>31102192</v>
          </cell>
          <cell r="F1105">
            <v>31102192</v>
          </cell>
          <cell r="G1105">
            <v>31102192</v>
          </cell>
          <cell r="H1105">
            <v>31102192</v>
          </cell>
          <cell r="I1105" t="str">
            <v/>
          </cell>
          <cell r="J1105" t="str">
            <v/>
          </cell>
          <cell r="K1105" t="str">
            <v/>
          </cell>
          <cell r="L1105" t="str">
            <v/>
          </cell>
          <cell r="M1105" t="str">
            <v/>
          </cell>
        </row>
        <row r="1106">
          <cell r="A1106">
            <v>31102192</v>
          </cell>
          <cell r="C1106">
            <v>31102192</v>
          </cell>
          <cell r="D1106">
            <v>31102192</v>
          </cell>
          <cell r="E1106">
            <v>31102192</v>
          </cell>
          <cell r="F1106">
            <v>31102192</v>
          </cell>
          <cell r="G1106">
            <v>31102192</v>
          </cell>
          <cell r="H1106">
            <v>31102192</v>
          </cell>
          <cell r="I1106" t="str">
            <v/>
          </cell>
          <cell r="J1106" t="str">
            <v/>
          </cell>
          <cell r="K1106" t="str">
            <v/>
          </cell>
          <cell r="L1106" t="str">
            <v/>
          </cell>
          <cell r="M1106" t="str">
            <v/>
          </cell>
        </row>
        <row r="1107">
          <cell r="A1107">
            <v>31102192</v>
          </cell>
          <cell r="C1107">
            <v>31102192</v>
          </cell>
          <cell r="D1107">
            <v>31102192</v>
          </cell>
          <cell r="E1107">
            <v>31102192</v>
          </cell>
          <cell r="F1107">
            <v>31102192</v>
          </cell>
          <cell r="G1107">
            <v>31102192</v>
          </cell>
          <cell r="H1107">
            <v>31102192</v>
          </cell>
          <cell r="I1107" t="str">
            <v/>
          </cell>
          <cell r="J1107" t="str">
            <v/>
          </cell>
          <cell r="K1107" t="str">
            <v/>
          </cell>
          <cell r="L1107" t="str">
            <v/>
          </cell>
          <cell r="M1107" t="str">
            <v/>
          </cell>
        </row>
        <row r="1108">
          <cell r="A1108">
            <v>31102192</v>
          </cell>
          <cell r="C1108">
            <v>31102192</v>
          </cell>
          <cell r="D1108">
            <v>31102192</v>
          </cell>
          <cell r="E1108">
            <v>31102192</v>
          </cell>
          <cell r="F1108">
            <v>31102192</v>
          </cell>
          <cell r="G1108">
            <v>31102192</v>
          </cell>
          <cell r="H1108">
            <v>31102192</v>
          </cell>
          <cell r="I1108" t="str">
            <v/>
          </cell>
          <cell r="J1108" t="str">
            <v/>
          </cell>
          <cell r="K1108" t="str">
            <v/>
          </cell>
          <cell r="L1108" t="str">
            <v/>
          </cell>
          <cell r="M1108" t="str">
            <v/>
          </cell>
        </row>
        <row r="1109">
          <cell r="A1109">
            <v>31102192</v>
          </cell>
          <cell r="C1109">
            <v>31102192</v>
          </cell>
          <cell r="D1109">
            <v>31102192</v>
          </cell>
          <cell r="E1109">
            <v>31102192</v>
          </cell>
          <cell r="F1109">
            <v>31102192</v>
          </cell>
          <cell r="G1109">
            <v>31102192</v>
          </cell>
          <cell r="H1109">
            <v>31102192</v>
          </cell>
          <cell r="I1109" t="str">
            <v/>
          </cell>
          <cell r="J1109" t="str">
            <v/>
          </cell>
          <cell r="K1109" t="str">
            <v/>
          </cell>
          <cell r="L1109" t="str">
            <v/>
          </cell>
          <cell r="M1109" t="str">
            <v/>
          </cell>
        </row>
        <row r="1110">
          <cell r="A1110">
            <v>31102192</v>
          </cell>
          <cell r="C1110">
            <v>31102192</v>
          </cell>
          <cell r="D1110">
            <v>31102192</v>
          </cell>
          <cell r="E1110">
            <v>31102192</v>
          </cell>
          <cell r="F1110">
            <v>31102192</v>
          </cell>
          <cell r="G1110">
            <v>31102192</v>
          </cell>
          <cell r="H1110">
            <v>31102192</v>
          </cell>
          <cell r="I1110" t="str">
            <v/>
          </cell>
          <cell r="J1110" t="str">
            <v/>
          </cell>
          <cell r="K1110" t="str">
            <v/>
          </cell>
          <cell r="L1110" t="str">
            <v/>
          </cell>
          <cell r="M1110" t="str">
            <v/>
          </cell>
        </row>
        <row r="1111">
          <cell r="A1111">
            <v>31102192</v>
          </cell>
          <cell r="C1111">
            <v>31102192</v>
          </cell>
          <cell r="D1111">
            <v>31102192</v>
          </cell>
          <cell r="E1111">
            <v>31102192</v>
          </cell>
          <cell r="F1111">
            <v>31102192</v>
          </cell>
          <cell r="G1111">
            <v>31102192</v>
          </cell>
          <cell r="H1111">
            <v>31102192</v>
          </cell>
          <cell r="I1111" t="str">
            <v/>
          </cell>
          <cell r="J1111" t="str">
            <v/>
          </cell>
          <cell r="K1111" t="str">
            <v/>
          </cell>
          <cell r="L1111" t="str">
            <v/>
          </cell>
          <cell r="M1111" t="str">
            <v/>
          </cell>
        </row>
        <row r="1112">
          <cell r="A1112">
            <v>31102192</v>
          </cell>
          <cell r="C1112">
            <v>31102192</v>
          </cell>
          <cell r="D1112">
            <v>31102192</v>
          </cell>
          <cell r="E1112">
            <v>31102192</v>
          </cell>
          <cell r="F1112">
            <v>31102192</v>
          </cell>
          <cell r="G1112">
            <v>31102192</v>
          </cell>
          <cell r="H1112">
            <v>31102192</v>
          </cell>
          <cell r="I1112" t="str">
            <v/>
          </cell>
          <cell r="J1112" t="str">
            <v/>
          </cell>
          <cell r="K1112" t="str">
            <v/>
          </cell>
          <cell r="L1112" t="str">
            <v/>
          </cell>
          <cell r="M1112" t="str">
            <v/>
          </cell>
        </row>
        <row r="1113">
          <cell r="A1113">
            <v>31102192</v>
          </cell>
          <cell r="C1113">
            <v>31102192</v>
          </cell>
          <cell r="D1113">
            <v>31102192</v>
          </cell>
          <cell r="E1113">
            <v>31102192</v>
          </cell>
          <cell r="F1113">
            <v>31102192</v>
          </cell>
          <cell r="G1113">
            <v>31102192</v>
          </cell>
          <cell r="H1113">
            <v>31102192</v>
          </cell>
          <cell r="I1113" t="str">
            <v/>
          </cell>
          <cell r="J1113" t="str">
            <v/>
          </cell>
          <cell r="K1113" t="str">
            <v/>
          </cell>
          <cell r="L1113" t="str">
            <v/>
          </cell>
          <cell r="M1113" t="str">
            <v/>
          </cell>
        </row>
        <row r="1114">
          <cell r="A1114">
            <v>31102192</v>
          </cell>
          <cell r="C1114">
            <v>31102192</v>
          </cell>
          <cell r="D1114">
            <v>31102192</v>
          </cell>
          <cell r="E1114">
            <v>31102192</v>
          </cell>
          <cell r="F1114">
            <v>31102192</v>
          </cell>
          <cell r="G1114">
            <v>31102192</v>
          </cell>
          <cell r="H1114">
            <v>31102192</v>
          </cell>
          <cell r="I1114" t="str">
            <v/>
          </cell>
          <cell r="J1114" t="str">
            <v/>
          </cell>
          <cell r="K1114" t="str">
            <v/>
          </cell>
          <cell r="L1114" t="str">
            <v/>
          </cell>
          <cell r="M1114" t="str">
            <v/>
          </cell>
        </row>
        <row r="1115">
          <cell r="A1115">
            <v>31102192</v>
          </cell>
          <cell r="C1115">
            <v>31102192</v>
          </cell>
          <cell r="D1115">
            <v>31102192</v>
          </cell>
          <cell r="E1115">
            <v>31102192</v>
          </cell>
          <cell r="F1115">
            <v>31102192</v>
          </cell>
          <cell r="G1115">
            <v>31102192</v>
          </cell>
          <cell r="H1115">
            <v>31102192</v>
          </cell>
          <cell r="I1115" t="str">
            <v/>
          </cell>
          <cell r="J1115" t="str">
            <v/>
          </cell>
          <cell r="K1115" t="str">
            <v/>
          </cell>
          <cell r="L1115" t="str">
            <v/>
          </cell>
          <cell r="M1115" t="str">
            <v/>
          </cell>
        </row>
        <row r="1116">
          <cell r="A1116">
            <v>31102192</v>
          </cell>
          <cell r="C1116">
            <v>31102192</v>
          </cell>
          <cell r="D1116">
            <v>31102192</v>
          </cell>
          <cell r="E1116">
            <v>31102192</v>
          </cell>
          <cell r="F1116">
            <v>31102192</v>
          </cell>
          <cell r="G1116">
            <v>31102192</v>
          </cell>
          <cell r="H1116">
            <v>31102192</v>
          </cell>
          <cell r="I1116" t="str">
            <v/>
          </cell>
          <cell r="J1116" t="str">
            <v/>
          </cell>
          <cell r="K1116" t="str">
            <v/>
          </cell>
          <cell r="L1116" t="str">
            <v/>
          </cell>
          <cell r="M1116" t="str">
            <v/>
          </cell>
        </row>
        <row r="1117">
          <cell r="A1117">
            <v>31102192</v>
          </cell>
          <cell r="C1117">
            <v>31102192</v>
          </cell>
          <cell r="D1117">
            <v>31102192</v>
          </cell>
          <cell r="E1117">
            <v>31102192</v>
          </cell>
          <cell r="F1117">
            <v>31102192</v>
          </cell>
          <cell r="G1117">
            <v>31102192</v>
          </cell>
          <cell r="H1117">
            <v>31102192</v>
          </cell>
          <cell r="I1117" t="str">
            <v/>
          </cell>
          <cell r="J1117" t="str">
            <v/>
          </cell>
          <cell r="K1117" t="str">
            <v/>
          </cell>
          <cell r="L1117" t="str">
            <v/>
          </cell>
          <cell r="M1117" t="str">
            <v/>
          </cell>
        </row>
        <row r="1118">
          <cell r="A1118">
            <v>31102192</v>
          </cell>
          <cell r="C1118">
            <v>31102192</v>
          </cell>
          <cell r="D1118">
            <v>31102192</v>
          </cell>
          <cell r="E1118">
            <v>31102192</v>
          </cell>
          <cell r="F1118">
            <v>31102192</v>
          </cell>
          <cell r="G1118">
            <v>31102192</v>
          </cell>
          <cell r="H1118">
            <v>31102192</v>
          </cell>
          <cell r="I1118" t="str">
            <v/>
          </cell>
          <cell r="J1118" t="str">
            <v/>
          </cell>
          <cell r="K1118" t="str">
            <v/>
          </cell>
          <cell r="L1118" t="str">
            <v/>
          </cell>
          <cell r="M1118" t="str">
            <v/>
          </cell>
        </row>
        <row r="1119">
          <cell r="A1119">
            <v>31102192</v>
          </cell>
          <cell r="C1119">
            <v>31102192</v>
          </cell>
          <cell r="D1119">
            <v>31102192</v>
          </cell>
          <cell r="E1119">
            <v>31102192</v>
          </cell>
          <cell r="F1119">
            <v>31102192</v>
          </cell>
          <cell r="G1119">
            <v>31102192</v>
          </cell>
          <cell r="H1119">
            <v>31102192</v>
          </cell>
          <cell r="I1119" t="str">
            <v/>
          </cell>
          <cell r="J1119" t="str">
            <v/>
          </cell>
          <cell r="K1119" t="str">
            <v/>
          </cell>
          <cell r="L1119" t="str">
            <v/>
          </cell>
          <cell r="M1119" t="str">
            <v/>
          </cell>
        </row>
        <row r="1120">
          <cell r="A1120">
            <v>31102192</v>
          </cell>
          <cell r="C1120">
            <v>31102192</v>
          </cell>
          <cell r="D1120">
            <v>31102192</v>
          </cell>
          <cell r="E1120">
            <v>31102192</v>
          </cell>
          <cell r="F1120">
            <v>31102192</v>
          </cell>
          <cell r="G1120">
            <v>31102192</v>
          </cell>
          <cell r="H1120">
            <v>31102192</v>
          </cell>
          <cell r="I1120" t="str">
            <v/>
          </cell>
          <cell r="J1120" t="str">
            <v/>
          </cell>
          <cell r="K1120" t="str">
            <v/>
          </cell>
          <cell r="L1120" t="str">
            <v/>
          </cell>
          <cell r="M1120" t="str">
            <v/>
          </cell>
        </row>
        <row r="1121">
          <cell r="A1121">
            <v>31102192</v>
          </cell>
          <cell r="C1121">
            <v>31102192</v>
          </cell>
          <cell r="D1121">
            <v>31102192</v>
          </cell>
          <cell r="E1121">
            <v>31102192</v>
          </cell>
          <cell r="F1121">
            <v>31102192</v>
          </cell>
          <cell r="G1121">
            <v>31102192</v>
          </cell>
          <cell r="H1121">
            <v>31102192</v>
          </cell>
          <cell r="I1121" t="str">
            <v/>
          </cell>
          <cell r="J1121" t="str">
            <v/>
          </cell>
          <cell r="K1121" t="str">
            <v/>
          </cell>
          <cell r="L1121" t="str">
            <v/>
          </cell>
          <cell r="M1121" t="str">
            <v/>
          </cell>
        </row>
        <row r="1122">
          <cell r="A1122">
            <v>31102192</v>
          </cell>
          <cell r="C1122">
            <v>31102192</v>
          </cell>
          <cell r="D1122">
            <v>31102192</v>
          </cell>
          <cell r="E1122">
            <v>31102192</v>
          </cell>
          <cell r="F1122">
            <v>31102192</v>
          </cell>
          <cell r="G1122">
            <v>31102192</v>
          </cell>
          <cell r="H1122">
            <v>31102192</v>
          </cell>
          <cell r="I1122" t="str">
            <v/>
          </cell>
          <cell r="J1122" t="str">
            <v/>
          </cell>
          <cell r="K1122" t="str">
            <v/>
          </cell>
          <cell r="L1122" t="str">
            <v/>
          </cell>
          <cell r="M1122" t="str">
            <v/>
          </cell>
        </row>
        <row r="1123">
          <cell r="A1123">
            <v>31102192</v>
          </cell>
          <cell r="C1123">
            <v>31102192</v>
          </cell>
          <cell r="D1123">
            <v>31102192</v>
          </cell>
          <cell r="E1123">
            <v>31102192</v>
          </cell>
          <cell r="F1123">
            <v>31102192</v>
          </cell>
          <cell r="G1123">
            <v>31102192</v>
          </cell>
          <cell r="H1123">
            <v>31102192</v>
          </cell>
          <cell r="I1123" t="str">
            <v/>
          </cell>
          <cell r="J1123" t="str">
            <v/>
          </cell>
          <cell r="K1123" t="str">
            <v/>
          </cell>
          <cell r="L1123" t="str">
            <v/>
          </cell>
          <cell r="M1123" t="str">
            <v/>
          </cell>
        </row>
        <row r="1124">
          <cell r="A1124">
            <v>31102192</v>
          </cell>
          <cell r="C1124">
            <v>31102192</v>
          </cell>
          <cell r="D1124">
            <v>31102192</v>
          </cell>
          <cell r="E1124">
            <v>31102192</v>
          </cell>
          <cell r="F1124">
            <v>31102192</v>
          </cell>
          <cell r="G1124">
            <v>31102192</v>
          </cell>
          <cell r="H1124">
            <v>31102192</v>
          </cell>
          <cell r="I1124" t="str">
            <v/>
          </cell>
          <cell r="J1124" t="str">
            <v/>
          </cell>
          <cell r="K1124" t="str">
            <v/>
          </cell>
          <cell r="L1124" t="str">
            <v/>
          </cell>
          <cell r="M1124" t="str">
            <v/>
          </cell>
        </row>
        <row r="1125">
          <cell r="A1125">
            <v>31102192</v>
          </cell>
          <cell r="C1125">
            <v>31102192</v>
          </cell>
          <cell r="D1125">
            <v>31102192</v>
          </cell>
          <cell r="E1125">
            <v>31102192</v>
          </cell>
          <cell r="F1125">
            <v>31102192</v>
          </cell>
          <cell r="G1125">
            <v>31102192</v>
          </cell>
          <cell r="H1125">
            <v>31102192</v>
          </cell>
          <cell r="I1125" t="str">
            <v/>
          </cell>
          <cell r="J1125" t="str">
            <v/>
          </cell>
          <cell r="K1125" t="str">
            <v/>
          </cell>
          <cell r="L1125" t="str">
            <v/>
          </cell>
          <cell r="M1125" t="str">
            <v/>
          </cell>
        </row>
        <row r="1126">
          <cell r="A1126">
            <v>31102192</v>
          </cell>
          <cell r="C1126">
            <v>31102192</v>
          </cell>
          <cell r="D1126">
            <v>31102192</v>
          </cell>
          <cell r="E1126">
            <v>31102192</v>
          </cell>
          <cell r="F1126">
            <v>31102192</v>
          </cell>
          <cell r="G1126">
            <v>31102192</v>
          </cell>
          <cell r="H1126">
            <v>31102192</v>
          </cell>
          <cell r="I1126" t="str">
            <v/>
          </cell>
          <cell r="J1126" t="str">
            <v/>
          </cell>
          <cell r="K1126" t="str">
            <v/>
          </cell>
          <cell r="L1126" t="str">
            <v/>
          </cell>
          <cell r="M1126" t="str">
            <v/>
          </cell>
        </row>
        <row r="1127">
          <cell r="A1127">
            <v>31102192</v>
          </cell>
          <cell r="C1127">
            <v>31102192</v>
          </cell>
          <cell r="D1127">
            <v>31102192</v>
          </cell>
          <cell r="E1127">
            <v>31102192</v>
          </cell>
          <cell r="F1127">
            <v>31102192</v>
          </cell>
          <cell r="G1127">
            <v>31102192</v>
          </cell>
          <cell r="H1127">
            <v>31102192</v>
          </cell>
          <cell r="I1127" t="str">
            <v/>
          </cell>
          <cell r="J1127" t="str">
            <v/>
          </cell>
          <cell r="K1127" t="str">
            <v/>
          </cell>
          <cell r="L1127" t="str">
            <v/>
          </cell>
          <cell r="M1127" t="str">
            <v/>
          </cell>
        </row>
        <row r="1128">
          <cell r="A1128">
            <v>31102192</v>
          </cell>
          <cell r="C1128">
            <v>31102192</v>
          </cell>
          <cell r="D1128">
            <v>31102192</v>
          </cell>
          <cell r="E1128">
            <v>31102192</v>
          </cell>
          <cell r="F1128">
            <v>31102192</v>
          </cell>
          <cell r="G1128">
            <v>31102192</v>
          </cell>
          <cell r="H1128">
            <v>31102192</v>
          </cell>
          <cell r="I1128" t="str">
            <v/>
          </cell>
          <cell r="J1128" t="str">
            <v/>
          </cell>
          <cell r="K1128" t="str">
            <v/>
          </cell>
          <cell r="L1128" t="str">
            <v/>
          </cell>
          <cell r="M1128" t="str">
            <v/>
          </cell>
        </row>
        <row r="1129">
          <cell r="A1129">
            <v>31102192</v>
          </cell>
          <cell r="C1129">
            <v>31102192</v>
          </cell>
          <cell r="D1129">
            <v>31102192</v>
          </cell>
          <cell r="E1129">
            <v>31102192</v>
          </cell>
          <cell r="F1129">
            <v>31102192</v>
          </cell>
          <cell r="G1129">
            <v>31102192</v>
          </cell>
          <cell r="H1129">
            <v>31102192</v>
          </cell>
          <cell r="I1129" t="str">
            <v/>
          </cell>
          <cell r="J1129" t="str">
            <v/>
          </cell>
          <cell r="K1129" t="str">
            <v/>
          </cell>
          <cell r="L1129" t="str">
            <v/>
          </cell>
          <cell r="M1129" t="str">
            <v/>
          </cell>
        </row>
        <row r="1130">
          <cell r="A1130">
            <v>31102192</v>
          </cell>
          <cell r="C1130">
            <v>31102192</v>
          </cell>
          <cell r="D1130">
            <v>31102192</v>
          </cell>
          <cell r="E1130">
            <v>31102192</v>
          </cell>
          <cell r="F1130">
            <v>31102192</v>
          </cell>
          <cell r="G1130">
            <v>31102192</v>
          </cell>
          <cell r="H1130">
            <v>31102192</v>
          </cell>
          <cell r="I1130" t="str">
            <v/>
          </cell>
          <cell r="J1130" t="str">
            <v/>
          </cell>
          <cell r="K1130" t="str">
            <v/>
          </cell>
          <cell r="L1130" t="str">
            <v/>
          </cell>
          <cell r="M1130" t="str">
            <v/>
          </cell>
        </row>
        <row r="1131">
          <cell r="A1131">
            <v>31102192</v>
          </cell>
          <cell r="C1131">
            <v>31102192</v>
          </cell>
          <cell r="D1131">
            <v>31102192</v>
          </cell>
          <cell r="E1131">
            <v>31102192</v>
          </cell>
          <cell r="F1131">
            <v>31102192</v>
          </cell>
          <cell r="G1131">
            <v>31102192</v>
          </cell>
          <cell r="H1131">
            <v>31102192</v>
          </cell>
          <cell r="I1131" t="str">
            <v/>
          </cell>
          <cell r="J1131" t="str">
            <v/>
          </cell>
          <cell r="K1131" t="str">
            <v/>
          </cell>
          <cell r="L1131" t="str">
            <v/>
          </cell>
          <cell r="M1131" t="str">
            <v/>
          </cell>
        </row>
        <row r="1132">
          <cell r="A1132">
            <v>31102192</v>
          </cell>
          <cell r="C1132">
            <v>31102192</v>
          </cell>
          <cell r="D1132">
            <v>31102192</v>
          </cell>
          <cell r="E1132">
            <v>31102192</v>
          </cell>
          <cell r="F1132">
            <v>31102192</v>
          </cell>
          <cell r="G1132">
            <v>31102192</v>
          </cell>
          <cell r="H1132">
            <v>31102192</v>
          </cell>
          <cell r="I1132" t="str">
            <v/>
          </cell>
          <cell r="J1132" t="str">
            <v/>
          </cell>
          <cell r="K1132" t="str">
            <v/>
          </cell>
          <cell r="L1132" t="str">
            <v/>
          </cell>
          <cell r="M1132" t="str">
            <v/>
          </cell>
        </row>
        <row r="1133">
          <cell r="A1133">
            <v>31102192</v>
          </cell>
          <cell r="C1133">
            <v>31102192</v>
          </cell>
          <cell r="D1133">
            <v>31102192</v>
          </cell>
          <cell r="E1133">
            <v>31102192</v>
          </cell>
          <cell r="F1133">
            <v>31102192</v>
          </cell>
          <cell r="G1133">
            <v>31102192</v>
          </cell>
          <cell r="H1133">
            <v>31102192</v>
          </cell>
          <cell r="I1133" t="str">
            <v/>
          </cell>
          <cell r="J1133" t="str">
            <v/>
          </cell>
          <cell r="K1133" t="str">
            <v/>
          </cell>
          <cell r="L1133" t="str">
            <v/>
          </cell>
          <cell r="M1133" t="str">
            <v/>
          </cell>
        </row>
        <row r="1134">
          <cell r="A1134">
            <v>31102192</v>
          </cell>
          <cell r="C1134">
            <v>31102192</v>
          </cell>
          <cell r="D1134">
            <v>31102192</v>
          </cell>
          <cell r="E1134">
            <v>31102192</v>
          </cell>
          <cell r="F1134">
            <v>31102192</v>
          </cell>
          <cell r="G1134">
            <v>31102192</v>
          </cell>
          <cell r="H1134">
            <v>31102192</v>
          </cell>
          <cell r="I1134" t="str">
            <v/>
          </cell>
          <cell r="J1134" t="str">
            <v/>
          </cell>
          <cell r="K1134" t="str">
            <v/>
          </cell>
          <cell r="L1134" t="str">
            <v/>
          </cell>
          <cell r="M1134" t="str">
            <v/>
          </cell>
        </row>
        <row r="1135">
          <cell r="A1135">
            <v>31102192</v>
          </cell>
          <cell r="C1135">
            <v>31102192</v>
          </cell>
          <cell r="D1135">
            <v>31102192</v>
          </cell>
          <cell r="E1135">
            <v>31102192</v>
          </cell>
          <cell r="F1135">
            <v>31102192</v>
          </cell>
          <cell r="G1135">
            <v>31102192</v>
          </cell>
          <cell r="H1135">
            <v>31102192</v>
          </cell>
          <cell r="I1135" t="str">
            <v/>
          </cell>
          <cell r="J1135" t="str">
            <v/>
          </cell>
          <cell r="K1135" t="str">
            <v/>
          </cell>
          <cell r="L1135" t="str">
            <v/>
          </cell>
          <cell r="M1135" t="str">
            <v/>
          </cell>
        </row>
        <row r="1136">
          <cell r="A1136">
            <v>31102192</v>
          </cell>
          <cell r="C1136">
            <v>31102192</v>
          </cell>
          <cell r="D1136">
            <v>31102192</v>
          </cell>
          <cell r="E1136">
            <v>31102192</v>
          </cell>
          <cell r="F1136">
            <v>31102192</v>
          </cell>
          <cell r="G1136">
            <v>31102192</v>
          </cell>
          <cell r="H1136">
            <v>31102192</v>
          </cell>
          <cell r="I1136" t="str">
            <v/>
          </cell>
          <cell r="J1136" t="str">
            <v/>
          </cell>
          <cell r="K1136" t="str">
            <v/>
          </cell>
          <cell r="L1136" t="str">
            <v/>
          </cell>
          <cell r="M1136" t="str">
            <v/>
          </cell>
        </row>
        <row r="1137">
          <cell r="A1137">
            <v>31102192</v>
          </cell>
          <cell r="C1137">
            <v>31102192</v>
          </cell>
          <cell r="D1137">
            <v>31102192</v>
          </cell>
          <cell r="E1137">
            <v>31102192</v>
          </cell>
          <cell r="F1137">
            <v>31102192</v>
          </cell>
          <cell r="G1137">
            <v>31102192</v>
          </cell>
          <cell r="H1137">
            <v>31102192</v>
          </cell>
          <cell r="I1137" t="str">
            <v/>
          </cell>
          <cell r="J1137" t="str">
            <v/>
          </cell>
          <cell r="K1137" t="str">
            <v/>
          </cell>
          <cell r="L1137" t="str">
            <v/>
          </cell>
          <cell r="M1137" t="str">
            <v/>
          </cell>
        </row>
        <row r="1138">
          <cell r="A1138">
            <v>31102192</v>
          </cell>
          <cell r="C1138">
            <v>31102192</v>
          </cell>
          <cell r="D1138">
            <v>31102192</v>
          </cell>
          <cell r="E1138">
            <v>31102192</v>
          </cell>
          <cell r="F1138">
            <v>31102192</v>
          </cell>
          <cell r="G1138">
            <v>31102192</v>
          </cell>
          <cell r="H1138">
            <v>31102192</v>
          </cell>
          <cell r="I1138" t="str">
            <v/>
          </cell>
          <cell r="J1138" t="str">
            <v/>
          </cell>
          <cell r="K1138" t="str">
            <v/>
          </cell>
          <cell r="L1138" t="str">
            <v/>
          </cell>
          <cell r="M1138" t="str">
            <v/>
          </cell>
        </row>
        <row r="1139">
          <cell r="A1139">
            <v>31102192</v>
          </cell>
          <cell r="C1139">
            <v>31102192</v>
          </cell>
          <cell r="D1139">
            <v>31102192</v>
          </cell>
          <cell r="E1139">
            <v>31102192</v>
          </cell>
          <cell r="F1139">
            <v>31102192</v>
          </cell>
          <cell r="G1139">
            <v>31102192</v>
          </cell>
          <cell r="H1139">
            <v>31102192</v>
          </cell>
          <cell r="I1139" t="str">
            <v/>
          </cell>
          <cell r="J1139" t="str">
            <v/>
          </cell>
          <cell r="K1139" t="str">
            <v/>
          </cell>
          <cell r="L1139" t="str">
            <v/>
          </cell>
          <cell r="M1139" t="str">
            <v/>
          </cell>
        </row>
        <row r="1140">
          <cell r="A1140">
            <v>31102192</v>
          </cell>
          <cell r="C1140">
            <v>31102192</v>
          </cell>
          <cell r="D1140">
            <v>31102192</v>
          </cell>
          <cell r="E1140">
            <v>31102192</v>
          </cell>
          <cell r="F1140">
            <v>31102192</v>
          </cell>
          <cell r="G1140">
            <v>31102192</v>
          </cell>
          <cell r="H1140">
            <v>31102192</v>
          </cell>
          <cell r="I1140" t="str">
            <v/>
          </cell>
          <cell r="J1140" t="str">
            <v/>
          </cell>
          <cell r="K1140" t="str">
            <v/>
          </cell>
          <cell r="L1140" t="str">
            <v/>
          </cell>
          <cell r="M1140" t="str">
            <v/>
          </cell>
        </row>
        <row r="1141">
          <cell r="A1141">
            <v>31102192</v>
          </cell>
          <cell r="C1141">
            <v>31102192</v>
          </cell>
          <cell r="D1141">
            <v>31102192</v>
          </cell>
          <cell r="E1141">
            <v>31102192</v>
          </cell>
          <cell r="F1141">
            <v>31102192</v>
          </cell>
          <cell r="G1141">
            <v>31102192</v>
          </cell>
          <cell r="H1141">
            <v>31102192</v>
          </cell>
          <cell r="I1141" t="str">
            <v/>
          </cell>
          <cell r="J1141" t="str">
            <v/>
          </cell>
          <cell r="K1141" t="str">
            <v/>
          </cell>
          <cell r="L1141" t="str">
            <v/>
          </cell>
          <cell r="M1141" t="str">
            <v/>
          </cell>
        </row>
        <row r="1142">
          <cell r="A1142">
            <v>31102192</v>
          </cell>
          <cell r="C1142">
            <v>31102192</v>
          </cell>
          <cell r="D1142">
            <v>31102192</v>
          </cell>
          <cell r="E1142">
            <v>31102192</v>
          </cell>
          <cell r="F1142">
            <v>31102192</v>
          </cell>
          <cell r="G1142">
            <v>31102192</v>
          </cell>
          <cell r="H1142">
            <v>31102192</v>
          </cell>
          <cell r="I1142" t="str">
            <v/>
          </cell>
          <cell r="J1142" t="str">
            <v/>
          </cell>
          <cell r="K1142" t="str">
            <v/>
          </cell>
          <cell r="L1142" t="str">
            <v/>
          </cell>
          <cell r="M1142" t="str">
            <v/>
          </cell>
        </row>
        <row r="1143">
          <cell r="A1143">
            <v>31102192</v>
          </cell>
          <cell r="C1143">
            <v>31102192</v>
          </cell>
          <cell r="D1143">
            <v>31102192</v>
          </cell>
          <cell r="E1143">
            <v>31102192</v>
          </cell>
          <cell r="F1143">
            <v>31102192</v>
          </cell>
          <cell r="G1143">
            <v>31102192</v>
          </cell>
          <cell r="H1143">
            <v>31102192</v>
          </cell>
          <cell r="I1143" t="str">
            <v/>
          </cell>
          <cell r="J1143" t="str">
            <v/>
          </cell>
          <cell r="K1143" t="str">
            <v/>
          </cell>
          <cell r="L1143" t="str">
            <v/>
          </cell>
          <cell r="M1143" t="str">
            <v/>
          </cell>
        </row>
        <row r="1144">
          <cell r="A1144">
            <v>31102192</v>
          </cell>
          <cell r="C1144">
            <v>31102192</v>
          </cell>
          <cell r="D1144">
            <v>31102192</v>
          </cell>
          <cell r="E1144">
            <v>31102192</v>
          </cell>
          <cell r="F1144">
            <v>31102192</v>
          </cell>
          <cell r="G1144">
            <v>31102192</v>
          </cell>
          <cell r="H1144">
            <v>31102192</v>
          </cell>
          <cell r="I1144" t="str">
            <v/>
          </cell>
          <cell r="J1144" t="str">
            <v/>
          </cell>
          <cell r="K1144" t="str">
            <v/>
          </cell>
          <cell r="L1144" t="str">
            <v/>
          </cell>
          <cell r="M1144" t="str">
            <v/>
          </cell>
        </row>
        <row r="1145">
          <cell r="A1145">
            <v>31102192</v>
          </cell>
          <cell r="C1145">
            <v>31102192</v>
          </cell>
          <cell r="D1145">
            <v>31102192</v>
          </cell>
          <cell r="E1145">
            <v>31102192</v>
          </cell>
          <cell r="F1145">
            <v>31102192</v>
          </cell>
          <cell r="G1145">
            <v>31102192</v>
          </cell>
          <cell r="H1145">
            <v>31102192</v>
          </cell>
          <cell r="I1145" t="str">
            <v/>
          </cell>
          <cell r="J1145" t="str">
            <v/>
          </cell>
          <cell r="K1145" t="str">
            <v/>
          </cell>
          <cell r="L1145" t="str">
            <v/>
          </cell>
          <cell r="M1145" t="str">
            <v/>
          </cell>
        </row>
        <row r="1146">
          <cell r="A1146">
            <v>31102192</v>
          </cell>
          <cell r="C1146">
            <v>31102192</v>
          </cell>
          <cell r="D1146">
            <v>31102192</v>
          </cell>
          <cell r="E1146">
            <v>31102192</v>
          </cell>
          <cell r="F1146">
            <v>31102192</v>
          </cell>
          <cell r="G1146">
            <v>31102192</v>
          </cell>
          <cell r="H1146">
            <v>31102192</v>
          </cell>
          <cell r="I1146" t="str">
            <v/>
          </cell>
          <cell r="J1146" t="str">
            <v/>
          </cell>
          <cell r="K1146" t="str">
            <v/>
          </cell>
          <cell r="L1146" t="str">
            <v/>
          </cell>
          <cell r="M1146" t="str">
            <v/>
          </cell>
        </row>
        <row r="1147">
          <cell r="A1147">
            <v>31102192</v>
          </cell>
          <cell r="C1147">
            <v>31102192</v>
          </cell>
          <cell r="D1147">
            <v>31102192</v>
          </cell>
          <cell r="E1147">
            <v>31102192</v>
          </cell>
          <cell r="F1147">
            <v>31102192</v>
          </cell>
          <cell r="G1147">
            <v>31102192</v>
          </cell>
          <cell r="H1147">
            <v>31102192</v>
          </cell>
          <cell r="I1147" t="str">
            <v/>
          </cell>
          <cell r="J1147" t="str">
            <v/>
          </cell>
          <cell r="K1147" t="str">
            <v/>
          </cell>
          <cell r="L1147" t="str">
            <v/>
          </cell>
          <cell r="M1147" t="str">
            <v/>
          </cell>
        </row>
        <row r="1148">
          <cell r="A1148">
            <v>31102192</v>
          </cell>
          <cell r="C1148">
            <v>31102192</v>
          </cell>
          <cell r="D1148">
            <v>31102192</v>
          </cell>
          <cell r="E1148">
            <v>31102192</v>
          </cell>
          <cell r="F1148">
            <v>31102192</v>
          </cell>
          <cell r="G1148">
            <v>31102192</v>
          </cell>
          <cell r="H1148">
            <v>31102192</v>
          </cell>
          <cell r="I1148" t="str">
            <v/>
          </cell>
          <cell r="J1148" t="str">
            <v/>
          </cell>
          <cell r="K1148" t="str">
            <v/>
          </cell>
          <cell r="L1148" t="str">
            <v/>
          </cell>
          <cell r="M1148" t="str">
            <v/>
          </cell>
        </row>
        <row r="1149">
          <cell r="A1149">
            <v>31102192</v>
          </cell>
          <cell r="C1149">
            <v>31102192</v>
          </cell>
          <cell r="D1149">
            <v>31102192</v>
          </cell>
          <cell r="E1149">
            <v>31102192</v>
          </cell>
          <cell r="F1149">
            <v>31102192</v>
          </cell>
          <cell r="G1149">
            <v>31102192</v>
          </cell>
          <cell r="H1149">
            <v>31102192</v>
          </cell>
          <cell r="I1149" t="str">
            <v/>
          </cell>
          <cell r="J1149" t="str">
            <v/>
          </cell>
          <cell r="K1149" t="str">
            <v/>
          </cell>
          <cell r="L1149" t="str">
            <v/>
          </cell>
          <cell r="M1149" t="str">
            <v/>
          </cell>
        </row>
        <row r="1150">
          <cell r="A1150">
            <v>31102192</v>
          </cell>
          <cell r="C1150">
            <v>31102192</v>
          </cell>
          <cell r="D1150">
            <v>31102192</v>
          </cell>
          <cell r="E1150">
            <v>31102192</v>
          </cell>
          <cell r="F1150">
            <v>31102192</v>
          </cell>
          <cell r="G1150">
            <v>31102192</v>
          </cell>
          <cell r="H1150">
            <v>31102192</v>
          </cell>
          <cell r="I1150" t="str">
            <v/>
          </cell>
          <cell r="J1150" t="str">
            <v/>
          </cell>
          <cell r="K1150" t="str">
            <v/>
          </cell>
          <cell r="L1150" t="str">
            <v/>
          </cell>
          <cell r="M1150" t="str">
            <v/>
          </cell>
        </row>
        <row r="1151">
          <cell r="A1151">
            <v>31102192</v>
          </cell>
          <cell r="C1151">
            <v>31102192</v>
          </cell>
          <cell r="D1151">
            <v>31102192</v>
          </cell>
          <cell r="E1151">
            <v>31102192</v>
          </cell>
          <cell r="F1151">
            <v>31102192</v>
          </cell>
          <cell r="G1151">
            <v>31102192</v>
          </cell>
          <cell r="H1151">
            <v>31102192</v>
          </cell>
          <cell r="I1151" t="str">
            <v/>
          </cell>
          <cell r="J1151" t="str">
            <v/>
          </cell>
          <cell r="K1151" t="str">
            <v/>
          </cell>
          <cell r="L1151" t="str">
            <v/>
          </cell>
          <cell r="M1151" t="str">
            <v/>
          </cell>
        </row>
        <row r="1152">
          <cell r="A1152">
            <v>31102192</v>
          </cell>
          <cell r="C1152">
            <v>31102192</v>
          </cell>
          <cell r="D1152">
            <v>31102192</v>
          </cell>
          <cell r="E1152">
            <v>31102192</v>
          </cell>
          <cell r="F1152">
            <v>31102192</v>
          </cell>
          <cell r="G1152">
            <v>31102192</v>
          </cell>
          <cell r="H1152">
            <v>31102192</v>
          </cell>
          <cell r="I1152" t="str">
            <v/>
          </cell>
          <cell r="J1152" t="str">
            <v/>
          </cell>
          <cell r="K1152" t="str">
            <v/>
          </cell>
          <cell r="L1152" t="str">
            <v/>
          </cell>
          <cell r="M1152" t="str">
            <v/>
          </cell>
        </row>
        <row r="1153">
          <cell r="A1153">
            <v>31102192</v>
          </cell>
          <cell r="C1153">
            <v>31102192</v>
          </cell>
          <cell r="D1153">
            <v>31102192</v>
          </cell>
          <cell r="E1153">
            <v>31102192</v>
          </cell>
          <cell r="F1153">
            <v>31102192</v>
          </cell>
          <cell r="G1153">
            <v>31102192</v>
          </cell>
          <cell r="H1153">
            <v>31102192</v>
          </cell>
          <cell r="I1153" t="str">
            <v/>
          </cell>
          <cell r="J1153" t="str">
            <v/>
          </cell>
          <cell r="K1153" t="str">
            <v/>
          </cell>
          <cell r="L1153" t="str">
            <v/>
          </cell>
          <cell r="M1153" t="str">
            <v/>
          </cell>
        </row>
        <row r="1154">
          <cell r="A1154">
            <v>31102192</v>
          </cell>
          <cell r="C1154">
            <v>31102192</v>
          </cell>
          <cell r="D1154">
            <v>31102192</v>
          </cell>
          <cell r="E1154">
            <v>31102192</v>
          </cell>
          <cell r="F1154">
            <v>31102192</v>
          </cell>
          <cell r="G1154">
            <v>31102192</v>
          </cell>
          <cell r="H1154">
            <v>31102192</v>
          </cell>
          <cell r="I1154" t="str">
            <v/>
          </cell>
          <cell r="J1154" t="str">
            <v/>
          </cell>
          <cell r="K1154" t="str">
            <v/>
          </cell>
          <cell r="L1154" t="str">
            <v/>
          </cell>
          <cell r="M1154" t="str">
            <v/>
          </cell>
        </row>
        <row r="1155">
          <cell r="A1155">
            <v>31102192</v>
          </cell>
          <cell r="C1155">
            <v>31102192</v>
          </cell>
          <cell r="D1155">
            <v>31102192</v>
          </cell>
          <cell r="E1155">
            <v>31102192</v>
          </cell>
          <cell r="F1155">
            <v>31102192</v>
          </cell>
          <cell r="G1155">
            <v>31102192</v>
          </cell>
          <cell r="H1155">
            <v>31102192</v>
          </cell>
          <cell r="I1155" t="str">
            <v/>
          </cell>
          <cell r="J1155" t="str">
            <v/>
          </cell>
          <cell r="K1155" t="str">
            <v/>
          </cell>
          <cell r="L1155" t="str">
            <v/>
          </cell>
          <cell r="M1155" t="str">
            <v/>
          </cell>
        </row>
        <row r="1156">
          <cell r="A1156">
            <v>31102192</v>
          </cell>
          <cell r="C1156">
            <v>31102192</v>
          </cell>
          <cell r="D1156">
            <v>31102192</v>
          </cell>
          <cell r="E1156">
            <v>31102192</v>
          </cell>
          <cell r="F1156">
            <v>31102192</v>
          </cell>
          <cell r="G1156">
            <v>31102192</v>
          </cell>
          <cell r="H1156">
            <v>31102192</v>
          </cell>
          <cell r="I1156" t="str">
            <v/>
          </cell>
          <cell r="J1156" t="str">
            <v/>
          </cell>
          <cell r="K1156" t="str">
            <v/>
          </cell>
          <cell r="L1156" t="str">
            <v/>
          </cell>
          <cell r="M1156" t="str">
            <v/>
          </cell>
        </row>
        <row r="1157">
          <cell r="A1157">
            <v>31102192</v>
          </cell>
          <cell r="C1157">
            <v>31102192</v>
          </cell>
          <cell r="D1157">
            <v>31102192</v>
          </cell>
          <cell r="E1157">
            <v>31102192</v>
          </cell>
          <cell r="F1157">
            <v>31102192</v>
          </cell>
          <cell r="G1157">
            <v>31102192</v>
          </cell>
          <cell r="H1157">
            <v>31102192</v>
          </cell>
          <cell r="I1157" t="str">
            <v/>
          </cell>
          <cell r="J1157" t="str">
            <v/>
          </cell>
          <cell r="K1157" t="str">
            <v/>
          </cell>
          <cell r="L1157" t="str">
            <v/>
          </cell>
          <cell r="M1157" t="str">
            <v/>
          </cell>
        </row>
        <row r="1158">
          <cell r="A1158">
            <v>31102192</v>
          </cell>
          <cell r="C1158">
            <v>31102192</v>
          </cell>
          <cell r="D1158">
            <v>31102192</v>
          </cell>
          <cell r="E1158">
            <v>31102192</v>
          </cell>
          <cell r="F1158">
            <v>31102192</v>
          </cell>
          <cell r="G1158">
            <v>31102192</v>
          </cell>
          <cell r="H1158">
            <v>31102192</v>
          </cell>
          <cell r="I1158" t="str">
            <v/>
          </cell>
          <cell r="J1158" t="str">
            <v/>
          </cell>
          <cell r="K1158" t="str">
            <v/>
          </cell>
          <cell r="L1158" t="str">
            <v/>
          </cell>
          <cell r="M1158" t="str">
            <v/>
          </cell>
        </row>
        <row r="1159">
          <cell r="A1159">
            <v>31102192</v>
          </cell>
          <cell r="C1159">
            <v>31102192</v>
          </cell>
          <cell r="D1159">
            <v>31102192</v>
          </cell>
          <cell r="E1159">
            <v>31102192</v>
          </cell>
          <cell r="F1159">
            <v>31102192</v>
          </cell>
          <cell r="G1159">
            <v>31102192</v>
          </cell>
          <cell r="H1159">
            <v>31102192</v>
          </cell>
          <cell r="I1159" t="str">
            <v/>
          </cell>
          <cell r="J1159" t="str">
            <v/>
          </cell>
          <cell r="K1159" t="str">
            <v/>
          </cell>
          <cell r="L1159" t="str">
            <v/>
          </cell>
          <cell r="M1159" t="str">
            <v/>
          </cell>
        </row>
        <row r="1160">
          <cell r="A1160">
            <v>31102192</v>
          </cell>
          <cell r="C1160">
            <v>31102192</v>
          </cell>
          <cell r="D1160">
            <v>31102192</v>
          </cell>
          <cell r="E1160">
            <v>31102192</v>
          </cell>
          <cell r="F1160">
            <v>31102192</v>
          </cell>
          <cell r="G1160">
            <v>31102192</v>
          </cell>
          <cell r="H1160">
            <v>31102192</v>
          </cell>
          <cell r="I1160" t="str">
            <v/>
          </cell>
          <cell r="J1160" t="str">
            <v/>
          </cell>
          <cell r="K1160" t="str">
            <v/>
          </cell>
          <cell r="L1160" t="str">
            <v/>
          </cell>
          <cell r="M1160" t="str">
            <v/>
          </cell>
        </row>
        <row r="1161">
          <cell r="A1161">
            <v>31102192</v>
          </cell>
          <cell r="C1161">
            <v>31102192</v>
          </cell>
          <cell r="D1161">
            <v>31102192</v>
          </cell>
          <cell r="E1161">
            <v>31102192</v>
          </cell>
          <cell r="F1161">
            <v>31102192</v>
          </cell>
          <cell r="G1161">
            <v>31102192</v>
          </cell>
          <cell r="H1161">
            <v>31102192</v>
          </cell>
          <cell r="I1161" t="str">
            <v/>
          </cell>
          <cell r="J1161" t="str">
            <v/>
          </cell>
          <cell r="K1161" t="str">
            <v/>
          </cell>
          <cell r="L1161" t="str">
            <v/>
          </cell>
          <cell r="M1161" t="str">
            <v/>
          </cell>
        </row>
        <row r="1162">
          <cell r="A1162">
            <v>31102192</v>
          </cell>
          <cell r="C1162">
            <v>31102192</v>
          </cell>
          <cell r="D1162">
            <v>31102192</v>
          </cell>
          <cell r="E1162">
            <v>31102192</v>
          </cell>
          <cell r="F1162">
            <v>31102192</v>
          </cell>
          <cell r="G1162">
            <v>31102192</v>
          </cell>
          <cell r="H1162">
            <v>31102192</v>
          </cell>
          <cell r="I1162" t="str">
            <v/>
          </cell>
          <cell r="J1162" t="str">
            <v/>
          </cell>
          <cell r="K1162" t="str">
            <v/>
          </cell>
          <cell r="L1162" t="str">
            <v/>
          </cell>
          <cell r="M1162" t="str">
            <v/>
          </cell>
        </row>
        <row r="1163">
          <cell r="A1163">
            <v>31102192</v>
          </cell>
          <cell r="C1163">
            <v>31102192</v>
          </cell>
          <cell r="D1163">
            <v>31102192</v>
          </cell>
          <cell r="E1163">
            <v>31102192</v>
          </cell>
          <cell r="F1163">
            <v>31102192</v>
          </cell>
          <cell r="G1163">
            <v>31102192</v>
          </cell>
          <cell r="H1163">
            <v>31102192</v>
          </cell>
          <cell r="I1163" t="str">
            <v/>
          </cell>
          <cell r="J1163" t="str">
            <v/>
          </cell>
          <cell r="K1163" t="str">
            <v/>
          </cell>
          <cell r="L1163" t="str">
            <v/>
          </cell>
          <cell r="M1163" t="str">
            <v/>
          </cell>
        </row>
        <row r="1164">
          <cell r="A1164">
            <v>31102192</v>
          </cell>
          <cell r="C1164">
            <v>31102192</v>
          </cell>
          <cell r="D1164">
            <v>31102192</v>
          </cell>
          <cell r="E1164">
            <v>31102192</v>
          </cell>
          <cell r="F1164">
            <v>31102192</v>
          </cell>
          <cell r="G1164">
            <v>31102192</v>
          </cell>
          <cell r="H1164">
            <v>31102192</v>
          </cell>
          <cell r="I1164" t="str">
            <v/>
          </cell>
          <cell r="J1164" t="str">
            <v/>
          </cell>
          <cell r="K1164" t="str">
            <v/>
          </cell>
          <cell r="L1164" t="str">
            <v/>
          </cell>
          <cell r="M1164" t="str">
            <v/>
          </cell>
        </row>
        <row r="1165">
          <cell r="A1165">
            <v>31102192</v>
          </cell>
          <cell r="C1165">
            <v>31102192</v>
          </cell>
          <cell r="D1165">
            <v>31102192</v>
          </cell>
          <cell r="E1165">
            <v>31102192</v>
          </cell>
          <cell r="F1165">
            <v>31102192</v>
          </cell>
          <cell r="G1165">
            <v>31102192</v>
          </cell>
          <cell r="H1165">
            <v>31102192</v>
          </cell>
          <cell r="I1165" t="str">
            <v/>
          </cell>
          <cell r="J1165" t="str">
            <v/>
          </cell>
          <cell r="K1165" t="str">
            <v/>
          </cell>
          <cell r="L1165" t="str">
            <v/>
          </cell>
          <cell r="M1165" t="str">
            <v/>
          </cell>
        </row>
        <row r="1166">
          <cell r="A1166">
            <v>31102192</v>
          </cell>
          <cell r="C1166">
            <v>31102192</v>
          </cell>
          <cell r="D1166">
            <v>31102192</v>
          </cell>
          <cell r="E1166">
            <v>31102192</v>
          </cell>
          <cell r="F1166">
            <v>31102192</v>
          </cell>
          <cell r="G1166">
            <v>31102192</v>
          </cell>
          <cell r="H1166">
            <v>31102192</v>
          </cell>
          <cell r="I1166" t="str">
            <v/>
          </cell>
          <cell r="J1166" t="str">
            <v/>
          </cell>
          <cell r="K1166" t="str">
            <v/>
          </cell>
          <cell r="L1166" t="str">
            <v/>
          </cell>
          <cell r="M1166" t="str">
            <v/>
          </cell>
        </row>
        <row r="1167">
          <cell r="A1167">
            <v>31102192</v>
          </cell>
          <cell r="C1167">
            <v>31102192</v>
          </cell>
          <cell r="D1167">
            <v>31102192</v>
          </cell>
          <cell r="E1167">
            <v>31102192</v>
          </cell>
          <cell r="F1167">
            <v>31102192</v>
          </cell>
          <cell r="G1167">
            <v>31102192</v>
          </cell>
          <cell r="H1167">
            <v>31102192</v>
          </cell>
          <cell r="I1167" t="str">
            <v/>
          </cell>
          <cell r="J1167" t="str">
            <v/>
          </cell>
          <cell r="K1167" t="str">
            <v/>
          </cell>
          <cell r="L1167" t="str">
            <v/>
          </cell>
          <cell r="M1167" t="str">
            <v/>
          </cell>
        </row>
        <row r="1168">
          <cell r="A1168">
            <v>31102192</v>
          </cell>
          <cell r="C1168">
            <v>31102192</v>
          </cell>
          <cell r="D1168">
            <v>31102192</v>
          </cell>
          <cell r="E1168">
            <v>31102192</v>
          </cell>
          <cell r="F1168">
            <v>31102192</v>
          </cell>
          <cell r="G1168">
            <v>31102192</v>
          </cell>
          <cell r="H1168">
            <v>31102192</v>
          </cell>
          <cell r="I1168" t="str">
            <v/>
          </cell>
          <cell r="J1168" t="str">
            <v/>
          </cell>
          <cell r="K1168" t="str">
            <v/>
          </cell>
          <cell r="L1168" t="str">
            <v/>
          </cell>
          <cell r="M1168" t="str">
            <v/>
          </cell>
        </row>
        <row r="1169">
          <cell r="A1169">
            <v>31102192</v>
          </cell>
          <cell r="C1169">
            <v>31102192</v>
          </cell>
          <cell r="D1169">
            <v>31102192</v>
          </cell>
          <cell r="E1169">
            <v>31102192</v>
          </cell>
          <cell r="F1169">
            <v>31102192</v>
          </cell>
          <cell r="G1169">
            <v>31102192</v>
          </cell>
          <cell r="H1169">
            <v>31102192</v>
          </cell>
          <cell r="I1169" t="str">
            <v/>
          </cell>
          <cell r="J1169" t="str">
            <v/>
          </cell>
          <cell r="K1169" t="str">
            <v/>
          </cell>
          <cell r="L1169" t="str">
            <v/>
          </cell>
          <cell r="M1169" t="str">
            <v/>
          </cell>
        </row>
        <row r="1170">
          <cell r="A1170">
            <v>31102192</v>
          </cell>
          <cell r="C1170">
            <v>31102192</v>
          </cell>
          <cell r="D1170">
            <v>31102192</v>
          </cell>
          <cell r="E1170">
            <v>31102192</v>
          </cell>
          <cell r="F1170">
            <v>31102192</v>
          </cell>
          <cell r="G1170">
            <v>31102192</v>
          </cell>
          <cell r="H1170">
            <v>31102192</v>
          </cell>
          <cell r="I1170" t="str">
            <v/>
          </cell>
          <cell r="J1170" t="str">
            <v/>
          </cell>
          <cell r="K1170" t="str">
            <v/>
          </cell>
          <cell r="L1170" t="str">
            <v/>
          </cell>
          <cell r="M1170" t="str">
            <v/>
          </cell>
        </row>
        <row r="1171">
          <cell r="A1171">
            <v>31102192</v>
          </cell>
          <cell r="C1171">
            <v>31102192</v>
          </cell>
          <cell r="D1171">
            <v>31102192</v>
          </cell>
          <cell r="E1171">
            <v>31102192</v>
          </cell>
          <cell r="F1171">
            <v>31102192</v>
          </cell>
          <cell r="G1171">
            <v>31102192</v>
          </cell>
          <cell r="H1171">
            <v>31102192</v>
          </cell>
          <cell r="I1171" t="str">
            <v/>
          </cell>
          <cell r="J1171" t="str">
            <v/>
          </cell>
          <cell r="K1171" t="str">
            <v/>
          </cell>
          <cell r="L1171" t="str">
            <v/>
          </cell>
          <cell r="M1171" t="str">
            <v/>
          </cell>
        </row>
        <row r="1172">
          <cell r="A1172">
            <v>31102192</v>
          </cell>
          <cell r="C1172">
            <v>31102192</v>
          </cell>
          <cell r="D1172">
            <v>31102192</v>
          </cell>
          <cell r="E1172">
            <v>31102192</v>
          </cell>
          <cell r="F1172">
            <v>31102192</v>
          </cell>
          <cell r="G1172">
            <v>31102192</v>
          </cell>
          <cell r="H1172">
            <v>31102192</v>
          </cell>
          <cell r="I1172" t="str">
            <v/>
          </cell>
          <cell r="J1172" t="str">
            <v/>
          </cell>
          <cell r="K1172" t="str">
            <v/>
          </cell>
          <cell r="L1172" t="str">
            <v/>
          </cell>
          <cell r="M1172" t="str">
            <v/>
          </cell>
        </row>
        <row r="1173">
          <cell r="A1173">
            <v>31102192</v>
          </cell>
          <cell r="C1173">
            <v>31102192</v>
          </cell>
          <cell r="D1173">
            <v>31102192</v>
          </cell>
          <cell r="E1173">
            <v>31102192</v>
          </cell>
          <cell r="F1173">
            <v>31102192</v>
          </cell>
          <cell r="G1173">
            <v>31102192</v>
          </cell>
          <cell r="H1173">
            <v>31102192</v>
          </cell>
          <cell r="I1173" t="str">
            <v/>
          </cell>
          <cell r="J1173" t="str">
            <v/>
          </cell>
          <cell r="K1173" t="str">
            <v/>
          </cell>
          <cell r="L1173" t="str">
            <v/>
          </cell>
          <cell r="M1173" t="str">
            <v/>
          </cell>
        </row>
        <row r="1174">
          <cell r="A1174">
            <v>31102192</v>
          </cell>
          <cell r="C1174">
            <v>31102192</v>
          </cell>
          <cell r="D1174">
            <v>31102192</v>
          </cell>
          <cell r="E1174">
            <v>31102192</v>
          </cell>
          <cell r="F1174">
            <v>31102192</v>
          </cell>
          <cell r="G1174">
            <v>31102192</v>
          </cell>
          <cell r="H1174">
            <v>31102192</v>
          </cell>
          <cell r="I1174" t="str">
            <v/>
          </cell>
          <cell r="J1174" t="str">
            <v/>
          </cell>
          <cell r="K1174" t="str">
            <v/>
          </cell>
          <cell r="L1174" t="str">
            <v/>
          </cell>
          <cell r="M1174" t="str">
            <v/>
          </cell>
        </row>
        <row r="1175">
          <cell r="A1175">
            <v>31102192</v>
          </cell>
          <cell r="C1175">
            <v>31102192</v>
          </cell>
          <cell r="D1175">
            <v>31102192</v>
          </cell>
          <cell r="E1175">
            <v>31102192</v>
          </cell>
          <cell r="F1175">
            <v>31102192</v>
          </cell>
          <cell r="G1175">
            <v>31102192</v>
          </cell>
          <cell r="H1175">
            <v>31102192</v>
          </cell>
          <cell r="I1175" t="str">
            <v/>
          </cell>
          <cell r="J1175" t="str">
            <v/>
          </cell>
          <cell r="K1175" t="str">
            <v/>
          </cell>
          <cell r="L1175" t="str">
            <v/>
          </cell>
          <cell r="M1175" t="str">
            <v/>
          </cell>
        </row>
        <row r="1176">
          <cell r="A1176">
            <v>31102192</v>
          </cell>
          <cell r="C1176">
            <v>31102192</v>
          </cell>
          <cell r="D1176">
            <v>31102192</v>
          </cell>
          <cell r="E1176">
            <v>31102192</v>
          </cell>
          <cell r="F1176">
            <v>31102192</v>
          </cell>
          <cell r="G1176">
            <v>31102192</v>
          </cell>
          <cell r="H1176">
            <v>31102192</v>
          </cell>
          <cell r="I1176" t="str">
            <v/>
          </cell>
          <cell r="J1176" t="str">
            <v/>
          </cell>
          <cell r="K1176" t="str">
            <v/>
          </cell>
          <cell r="L1176" t="str">
            <v/>
          </cell>
          <cell r="M1176" t="str">
            <v/>
          </cell>
        </row>
        <row r="1177">
          <cell r="A1177">
            <v>31102192</v>
          </cell>
          <cell r="C1177">
            <v>31102192</v>
          </cell>
          <cell r="D1177">
            <v>31102192</v>
          </cell>
          <cell r="E1177">
            <v>31102192</v>
          </cell>
          <cell r="F1177">
            <v>31102192</v>
          </cell>
          <cell r="G1177">
            <v>31102192</v>
          </cell>
          <cell r="H1177">
            <v>31102192</v>
          </cell>
          <cell r="I1177" t="str">
            <v/>
          </cell>
          <cell r="J1177" t="str">
            <v/>
          </cell>
          <cell r="K1177" t="str">
            <v/>
          </cell>
          <cell r="L1177" t="str">
            <v/>
          </cell>
          <cell r="M1177" t="str">
            <v/>
          </cell>
        </row>
        <row r="1178">
          <cell r="A1178">
            <v>31102192</v>
          </cell>
          <cell r="C1178">
            <v>31102192</v>
          </cell>
          <cell r="D1178">
            <v>31102192</v>
          </cell>
          <cell r="E1178">
            <v>31102192</v>
          </cell>
          <cell r="F1178">
            <v>31102192</v>
          </cell>
          <cell r="G1178">
            <v>31102192</v>
          </cell>
          <cell r="H1178">
            <v>31102192</v>
          </cell>
          <cell r="I1178" t="str">
            <v/>
          </cell>
          <cell r="J1178" t="str">
            <v/>
          </cell>
          <cell r="K1178" t="str">
            <v/>
          </cell>
          <cell r="L1178" t="str">
            <v/>
          </cell>
          <cell r="M1178" t="str">
            <v/>
          </cell>
        </row>
        <row r="1179">
          <cell r="A1179">
            <v>31102192</v>
          </cell>
          <cell r="C1179">
            <v>31102192</v>
          </cell>
          <cell r="D1179">
            <v>31102192</v>
          </cell>
          <cell r="E1179">
            <v>31102192</v>
          </cell>
          <cell r="F1179">
            <v>31102192</v>
          </cell>
          <cell r="G1179">
            <v>31102192</v>
          </cell>
          <cell r="H1179">
            <v>31102192</v>
          </cell>
          <cell r="I1179" t="str">
            <v/>
          </cell>
          <cell r="J1179" t="str">
            <v/>
          </cell>
          <cell r="K1179" t="str">
            <v/>
          </cell>
          <cell r="L1179" t="str">
            <v/>
          </cell>
          <cell r="M1179" t="str">
            <v/>
          </cell>
        </row>
        <row r="1180">
          <cell r="A1180">
            <v>31102192</v>
          </cell>
          <cell r="C1180">
            <v>31102192</v>
          </cell>
          <cell r="D1180">
            <v>31102192</v>
          </cell>
          <cell r="E1180">
            <v>31102192</v>
          </cell>
          <cell r="F1180">
            <v>31102192</v>
          </cell>
          <cell r="G1180">
            <v>31102192</v>
          </cell>
          <cell r="H1180">
            <v>31102192</v>
          </cell>
          <cell r="I1180" t="str">
            <v/>
          </cell>
          <cell r="J1180" t="str">
            <v/>
          </cell>
          <cell r="K1180" t="str">
            <v/>
          </cell>
          <cell r="L1180" t="str">
            <v/>
          </cell>
          <cell r="M1180" t="str">
            <v/>
          </cell>
        </row>
        <row r="1181">
          <cell r="A1181">
            <v>31102192</v>
          </cell>
          <cell r="C1181">
            <v>31102192</v>
          </cell>
          <cell r="D1181">
            <v>31102192</v>
          </cell>
          <cell r="E1181">
            <v>31102192</v>
          </cell>
          <cell r="F1181">
            <v>31102192</v>
          </cell>
          <cell r="G1181">
            <v>31102192</v>
          </cell>
          <cell r="H1181">
            <v>31102192</v>
          </cell>
          <cell r="I1181" t="str">
            <v/>
          </cell>
          <cell r="J1181" t="str">
            <v/>
          </cell>
          <cell r="K1181" t="str">
            <v/>
          </cell>
          <cell r="L1181" t="str">
            <v/>
          </cell>
          <cell r="M1181" t="str">
            <v/>
          </cell>
        </row>
        <row r="1182">
          <cell r="A1182">
            <v>31102192</v>
          </cell>
          <cell r="C1182">
            <v>31102192</v>
          </cell>
          <cell r="D1182">
            <v>31102192</v>
          </cell>
          <cell r="E1182">
            <v>31102192</v>
          </cell>
          <cell r="F1182">
            <v>31102192</v>
          </cell>
          <cell r="G1182">
            <v>31102192</v>
          </cell>
          <cell r="H1182">
            <v>31102192</v>
          </cell>
          <cell r="I1182" t="str">
            <v/>
          </cell>
          <cell r="J1182" t="str">
            <v/>
          </cell>
          <cell r="K1182" t="str">
            <v/>
          </cell>
          <cell r="L1182" t="str">
            <v/>
          </cell>
          <cell r="M1182" t="str">
            <v/>
          </cell>
        </row>
        <row r="1183">
          <cell r="A1183">
            <v>31102192</v>
          </cell>
          <cell r="C1183">
            <v>31102192</v>
          </cell>
          <cell r="D1183">
            <v>31102192</v>
          </cell>
          <cell r="E1183">
            <v>31102192</v>
          </cell>
          <cell r="F1183">
            <v>31102192</v>
          </cell>
          <cell r="G1183">
            <v>31102192</v>
          </cell>
          <cell r="H1183">
            <v>31102192</v>
          </cell>
          <cell r="I1183" t="str">
            <v/>
          </cell>
          <cell r="J1183" t="str">
            <v/>
          </cell>
          <cell r="K1183" t="str">
            <v/>
          </cell>
          <cell r="L1183" t="str">
            <v/>
          </cell>
          <cell r="M1183" t="str">
            <v/>
          </cell>
        </row>
        <row r="1184">
          <cell r="A1184">
            <v>31102192</v>
          </cell>
          <cell r="C1184">
            <v>31102192</v>
          </cell>
          <cell r="D1184">
            <v>31102192</v>
          </cell>
          <cell r="E1184">
            <v>31102192</v>
          </cell>
          <cell r="F1184">
            <v>31102192</v>
          </cell>
          <cell r="G1184">
            <v>31102192</v>
          </cell>
          <cell r="H1184">
            <v>31102192</v>
          </cell>
          <cell r="I1184" t="str">
            <v/>
          </cell>
          <cell r="J1184" t="str">
            <v/>
          </cell>
          <cell r="K1184" t="str">
            <v/>
          </cell>
          <cell r="L1184" t="str">
            <v/>
          </cell>
          <cell r="M1184" t="str">
            <v/>
          </cell>
        </row>
        <row r="1185">
          <cell r="A1185">
            <v>31102192</v>
          </cell>
          <cell r="C1185">
            <v>31102192</v>
          </cell>
          <cell r="D1185">
            <v>31102192</v>
          </cell>
          <cell r="E1185">
            <v>31102192</v>
          </cell>
          <cell r="F1185">
            <v>31102192</v>
          </cell>
          <cell r="G1185">
            <v>31102192</v>
          </cell>
          <cell r="H1185">
            <v>31102192</v>
          </cell>
          <cell r="I1185" t="str">
            <v/>
          </cell>
          <cell r="J1185" t="str">
            <v/>
          </cell>
          <cell r="K1185" t="str">
            <v/>
          </cell>
          <cell r="L1185" t="str">
            <v/>
          </cell>
          <cell r="M1185" t="str">
            <v/>
          </cell>
        </row>
        <row r="1186">
          <cell r="A1186">
            <v>31102192</v>
          </cell>
          <cell r="C1186">
            <v>31102192</v>
          </cell>
          <cell r="D1186">
            <v>31102192</v>
          </cell>
          <cell r="E1186">
            <v>31102192</v>
          </cell>
          <cell r="F1186">
            <v>31102192</v>
          </cell>
          <cell r="G1186">
            <v>31102192</v>
          </cell>
          <cell r="H1186">
            <v>31102192</v>
          </cell>
          <cell r="I1186" t="str">
            <v/>
          </cell>
          <cell r="J1186" t="str">
            <v/>
          </cell>
          <cell r="K1186" t="str">
            <v/>
          </cell>
          <cell r="L1186" t="str">
            <v/>
          </cell>
          <cell r="M1186" t="str">
            <v/>
          </cell>
        </row>
        <row r="1187">
          <cell r="A1187">
            <v>31102192</v>
          </cell>
          <cell r="C1187">
            <v>31102192</v>
          </cell>
          <cell r="D1187">
            <v>31102192</v>
          </cell>
          <cell r="E1187">
            <v>31102192</v>
          </cell>
          <cell r="F1187">
            <v>31102192</v>
          </cell>
          <cell r="G1187">
            <v>31102192</v>
          </cell>
          <cell r="H1187">
            <v>31102192</v>
          </cell>
          <cell r="I1187" t="str">
            <v/>
          </cell>
          <cell r="J1187" t="str">
            <v/>
          </cell>
          <cell r="K1187" t="str">
            <v/>
          </cell>
          <cell r="L1187" t="str">
            <v/>
          </cell>
          <cell r="M1187" t="str">
            <v/>
          </cell>
        </row>
        <row r="1188">
          <cell r="A1188">
            <v>31102192</v>
          </cell>
          <cell r="C1188">
            <v>31102192</v>
          </cell>
          <cell r="D1188">
            <v>31102192</v>
          </cell>
          <cell r="E1188">
            <v>31102192</v>
          </cell>
          <cell r="F1188">
            <v>31102192</v>
          </cell>
          <cell r="G1188">
            <v>31102192</v>
          </cell>
          <cell r="H1188">
            <v>31102192</v>
          </cell>
          <cell r="I1188" t="str">
            <v/>
          </cell>
          <cell r="J1188" t="str">
            <v/>
          </cell>
          <cell r="K1188" t="str">
            <v/>
          </cell>
          <cell r="L1188" t="str">
            <v/>
          </cell>
          <cell r="M1188" t="str">
            <v/>
          </cell>
        </row>
        <row r="1189">
          <cell r="A1189">
            <v>31102192</v>
          </cell>
          <cell r="C1189">
            <v>31102192</v>
          </cell>
          <cell r="D1189">
            <v>31102192</v>
          </cell>
          <cell r="E1189">
            <v>31102192</v>
          </cell>
          <cell r="F1189">
            <v>31102192</v>
          </cell>
          <cell r="G1189">
            <v>31102192</v>
          </cell>
          <cell r="H1189">
            <v>31102192</v>
          </cell>
          <cell r="I1189" t="str">
            <v/>
          </cell>
          <cell r="J1189" t="str">
            <v/>
          </cell>
          <cell r="K1189" t="str">
            <v/>
          </cell>
          <cell r="L1189" t="str">
            <v/>
          </cell>
          <cell r="M1189" t="str">
            <v/>
          </cell>
        </row>
        <row r="1190">
          <cell r="A1190">
            <v>31102192</v>
          </cell>
          <cell r="C1190">
            <v>31102192</v>
          </cell>
          <cell r="D1190">
            <v>31102192</v>
          </cell>
          <cell r="E1190">
            <v>31102192</v>
          </cell>
          <cell r="F1190">
            <v>31102192</v>
          </cell>
          <cell r="G1190">
            <v>31102192</v>
          </cell>
          <cell r="H1190">
            <v>31102192</v>
          </cell>
          <cell r="I1190" t="str">
            <v/>
          </cell>
          <cell r="J1190" t="str">
            <v/>
          </cell>
          <cell r="K1190" t="str">
            <v/>
          </cell>
          <cell r="L1190" t="str">
            <v/>
          </cell>
          <cell r="M1190" t="str">
            <v/>
          </cell>
        </row>
        <row r="1191">
          <cell r="A1191">
            <v>31102192</v>
          </cell>
          <cell r="C1191">
            <v>31102192</v>
          </cell>
          <cell r="D1191">
            <v>31102192</v>
          </cell>
          <cell r="E1191">
            <v>31102192</v>
          </cell>
          <cell r="F1191">
            <v>31102192</v>
          </cell>
          <cell r="G1191">
            <v>31102192</v>
          </cell>
          <cell r="H1191">
            <v>31102192</v>
          </cell>
          <cell r="I1191" t="str">
            <v/>
          </cell>
          <cell r="J1191" t="str">
            <v/>
          </cell>
          <cell r="K1191" t="str">
            <v/>
          </cell>
          <cell r="L1191" t="str">
            <v/>
          </cell>
          <cell r="M1191" t="str">
            <v/>
          </cell>
        </row>
        <row r="1192">
          <cell r="A1192">
            <v>31102192</v>
          </cell>
          <cell r="C1192">
            <v>31102192</v>
          </cell>
          <cell r="D1192">
            <v>31102192</v>
          </cell>
          <cell r="E1192">
            <v>31102192</v>
          </cell>
          <cell r="F1192">
            <v>31102192</v>
          </cell>
          <cell r="G1192">
            <v>31102192</v>
          </cell>
          <cell r="H1192">
            <v>31102192</v>
          </cell>
          <cell r="I1192" t="str">
            <v/>
          </cell>
          <cell r="J1192" t="str">
            <v/>
          </cell>
          <cell r="K1192" t="str">
            <v/>
          </cell>
          <cell r="L1192" t="str">
            <v/>
          </cell>
          <cell r="M1192" t="str">
            <v/>
          </cell>
        </row>
        <row r="1193">
          <cell r="A1193">
            <v>31102192</v>
          </cell>
          <cell r="C1193">
            <v>31102192</v>
          </cell>
          <cell r="D1193">
            <v>31102192</v>
          </cell>
          <cell r="E1193">
            <v>31102192</v>
          </cell>
          <cell r="F1193">
            <v>31102192</v>
          </cell>
          <cell r="G1193">
            <v>31102192</v>
          </cell>
          <cell r="H1193">
            <v>31102192</v>
          </cell>
          <cell r="I1193" t="str">
            <v/>
          </cell>
          <cell r="J1193" t="str">
            <v/>
          </cell>
          <cell r="K1193" t="str">
            <v/>
          </cell>
          <cell r="L1193" t="str">
            <v/>
          </cell>
          <cell r="M1193" t="str">
            <v/>
          </cell>
        </row>
        <row r="1194">
          <cell r="A1194">
            <v>31102192</v>
          </cell>
          <cell r="C1194">
            <v>31102192</v>
          </cell>
          <cell r="D1194">
            <v>31102192</v>
          </cell>
          <cell r="E1194">
            <v>31102192</v>
          </cell>
          <cell r="F1194">
            <v>31102192</v>
          </cell>
          <cell r="G1194">
            <v>31102192</v>
          </cell>
          <cell r="H1194">
            <v>31102192</v>
          </cell>
          <cell r="I1194" t="str">
            <v/>
          </cell>
          <cell r="J1194" t="str">
            <v/>
          </cell>
          <cell r="K1194" t="str">
            <v/>
          </cell>
          <cell r="L1194" t="str">
            <v/>
          </cell>
          <cell r="M1194" t="str">
            <v/>
          </cell>
        </row>
        <row r="1195">
          <cell r="A1195">
            <v>31102192</v>
          </cell>
          <cell r="C1195">
            <v>31102192</v>
          </cell>
          <cell r="D1195">
            <v>31102192</v>
          </cell>
          <cell r="E1195">
            <v>31102192</v>
          </cell>
          <cell r="F1195">
            <v>31102192</v>
          </cell>
          <cell r="G1195">
            <v>31102192</v>
          </cell>
          <cell r="H1195">
            <v>31102192</v>
          </cell>
          <cell r="I1195" t="str">
            <v/>
          </cell>
          <cell r="J1195" t="str">
            <v/>
          </cell>
          <cell r="K1195" t="str">
            <v/>
          </cell>
          <cell r="L1195" t="str">
            <v/>
          </cell>
          <cell r="M1195" t="str">
            <v/>
          </cell>
        </row>
        <row r="1196">
          <cell r="A1196">
            <v>31102192</v>
          </cell>
          <cell r="C1196">
            <v>31102192</v>
          </cell>
          <cell r="D1196">
            <v>31102192</v>
          </cell>
          <cell r="E1196">
            <v>31102192</v>
          </cell>
          <cell r="F1196">
            <v>31102192</v>
          </cell>
          <cell r="G1196">
            <v>31102192</v>
          </cell>
          <cell r="H1196">
            <v>31102192</v>
          </cell>
          <cell r="I1196" t="str">
            <v/>
          </cell>
          <cell r="J1196" t="str">
            <v/>
          </cell>
          <cell r="K1196" t="str">
            <v/>
          </cell>
          <cell r="L1196" t="str">
            <v/>
          </cell>
          <cell r="M1196" t="str">
            <v/>
          </cell>
        </row>
        <row r="1197">
          <cell r="A1197">
            <v>31102192</v>
          </cell>
          <cell r="C1197">
            <v>31102192</v>
          </cell>
          <cell r="D1197">
            <v>31102192</v>
          </cell>
          <cell r="E1197">
            <v>31102192</v>
          </cell>
          <cell r="F1197">
            <v>31102192</v>
          </cell>
          <cell r="G1197">
            <v>31102192</v>
          </cell>
          <cell r="H1197">
            <v>31102192</v>
          </cell>
          <cell r="I1197" t="str">
            <v/>
          </cell>
          <cell r="J1197" t="str">
            <v/>
          </cell>
          <cell r="K1197" t="str">
            <v/>
          </cell>
          <cell r="L1197" t="str">
            <v/>
          </cell>
          <cell r="M1197" t="str">
            <v/>
          </cell>
        </row>
        <row r="1198">
          <cell r="A1198">
            <v>31102192</v>
          </cell>
          <cell r="C1198">
            <v>31102192</v>
          </cell>
          <cell r="D1198">
            <v>31102192</v>
          </cell>
          <cell r="E1198">
            <v>31102192</v>
          </cell>
          <cell r="F1198">
            <v>31102192</v>
          </cell>
          <cell r="G1198">
            <v>31102192</v>
          </cell>
          <cell r="H1198">
            <v>31102192</v>
          </cell>
          <cell r="I1198" t="str">
            <v/>
          </cell>
          <cell r="J1198" t="str">
            <v/>
          </cell>
          <cell r="K1198" t="str">
            <v/>
          </cell>
          <cell r="L1198" t="str">
            <v/>
          </cell>
          <cell r="M1198" t="str">
            <v/>
          </cell>
        </row>
        <row r="1199">
          <cell r="A1199">
            <v>31102192</v>
          </cell>
          <cell r="C1199">
            <v>31102192</v>
          </cell>
          <cell r="D1199">
            <v>31102192</v>
          </cell>
          <cell r="E1199">
            <v>31102192</v>
          </cell>
          <cell r="F1199">
            <v>31102192</v>
          </cell>
          <cell r="G1199">
            <v>31102192</v>
          </cell>
          <cell r="H1199">
            <v>31102192</v>
          </cell>
          <cell r="I1199" t="str">
            <v/>
          </cell>
          <cell r="J1199" t="str">
            <v/>
          </cell>
          <cell r="K1199" t="str">
            <v/>
          </cell>
          <cell r="L1199" t="str">
            <v/>
          </cell>
          <cell r="M1199" t="str">
            <v/>
          </cell>
        </row>
        <row r="1200">
          <cell r="A1200">
            <v>31102192</v>
          </cell>
          <cell r="C1200">
            <v>31102192</v>
          </cell>
          <cell r="D1200">
            <v>31102192</v>
          </cell>
          <cell r="E1200">
            <v>31102192</v>
          </cell>
          <cell r="F1200">
            <v>31102192</v>
          </cell>
          <cell r="G1200">
            <v>31102192</v>
          </cell>
          <cell r="H1200">
            <v>31102192</v>
          </cell>
          <cell r="I1200" t="str">
            <v/>
          </cell>
          <cell r="J1200" t="str">
            <v/>
          </cell>
          <cell r="K1200" t="str">
            <v/>
          </cell>
          <cell r="L1200" t="str">
            <v/>
          </cell>
          <cell r="M1200" t="str">
            <v/>
          </cell>
        </row>
        <row r="1201">
          <cell r="A1201">
            <v>31102192</v>
          </cell>
          <cell r="C1201">
            <v>31102192</v>
          </cell>
          <cell r="D1201">
            <v>31102192</v>
          </cell>
          <cell r="E1201">
            <v>31102192</v>
          </cell>
          <cell r="F1201">
            <v>31102192</v>
          </cell>
          <cell r="G1201">
            <v>31102192</v>
          </cell>
          <cell r="H1201">
            <v>31102192</v>
          </cell>
          <cell r="I1201" t="str">
            <v/>
          </cell>
          <cell r="J1201" t="str">
            <v/>
          </cell>
          <cell r="K1201" t="str">
            <v/>
          </cell>
          <cell r="L1201" t="str">
            <v/>
          </cell>
          <cell r="M1201" t="str">
            <v/>
          </cell>
        </row>
        <row r="1202">
          <cell r="A1202">
            <v>31102192</v>
          </cell>
          <cell r="C1202">
            <v>31102192</v>
          </cell>
          <cell r="D1202">
            <v>31102192</v>
          </cell>
          <cell r="E1202">
            <v>31102192</v>
          </cell>
          <cell r="F1202">
            <v>31102192</v>
          </cell>
          <cell r="G1202">
            <v>31102192</v>
          </cell>
          <cell r="H1202">
            <v>31102192</v>
          </cell>
          <cell r="I1202" t="str">
            <v/>
          </cell>
          <cell r="J1202" t="str">
            <v/>
          </cell>
          <cell r="K1202" t="str">
            <v/>
          </cell>
          <cell r="L1202" t="str">
            <v/>
          </cell>
          <cell r="M1202" t="str">
            <v/>
          </cell>
        </row>
        <row r="1203">
          <cell r="A1203">
            <v>31102192</v>
          </cell>
          <cell r="C1203">
            <v>31102192</v>
          </cell>
          <cell r="D1203">
            <v>31102192</v>
          </cell>
          <cell r="E1203">
            <v>31102192</v>
          </cell>
          <cell r="F1203">
            <v>31102192</v>
          </cell>
          <cell r="G1203">
            <v>31102192</v>
          </cell>
          <cell r="H1203">
            <v>31102192</v>
          </cell>
          <cell r="I1203" t="str">
            <v/>
          </cell>
          <cell r="J1203" t="str">
            <v/>
          </cell>
          <cell r="K1203" t="str">
            <v/>
          </cell>
          <cell r="L1203" t="str">
            <v/>
          </cell>
          <cell r="M1203" t="str">
            <v/>
          </cell>
        </row>
        <row r="1204">
          <cell r="A1204">
            <v>31102192</v>
          </cell>
          <cell r="C1204">
            <v>31102192</v>
          </cell>
          <cell r="D1204">
            <v>31102192</v>
          </cell>
          <cell r="E1204">
            <v>31102192</v>
          </cell>
          <cell r="F1204">
            <v>31102192</v>
          </cell>
          <cell r="G1204">
            <v>31102192</v>
          </cell>
          <cell r="H1204">
            <v>31102192</v>
          </cell>
          <cell r="I1204" t="str">
            <v/>
          </cell>
          <cell r="J1204" t="str">
            <v/>
          </cell>
          <cell r="K1204" t="str">
            <v/>
          </cell>
          <cell r="L1204" t="str">
            <v/>
          </cell>
          <cell r="M1204" t="str">
            <v/>
          </cell>
        </row>
        <row r="1205">
          <cell r="A1205">
            <v>31102192</v>
          </cell>
          <cell r="C1205">
            <v>31102192</v>
          </cell>
          <cell r="D1205">
            <v>31102192</v>
          </cell>
          <cell r="E1205">
            <v>31102192</v>
          </cell>
          <cell r="F1205">
            <v>31102192</v>
          </cell>
          <cell r="G1205">
            <v>31102192</v>
          </cell>
          <cell r="H1205">
            <v>31102192</v>
          </cell>
          <cell r="I1205" t="str">
            <v/>
          </cell>
          <cell r="J1205" t="str">
            <v/>
          </cell>
          <cell r="K1205" t="str">
            <v/>
          </cell>
          <cell r="L1205" t="str">
            <v/>
          </cell>
          <cell r="M1205" t="str">
            <v/>
          </cell>
        </row>
        <row r="1206">
          <cell r="A1206">
            <v>31102192</v>
          </cell>
          <cell r="C1206">
            <v>31102192</v>
          </cell>
          <cell r="D1206">
            <v>31102192</v>
          </cell>
          <cell r="E1206">
            <v>31102192</v>
          </cell>
          <cell r="F1206">
            <v>31102192</v>
          </cell>
          <cell r="G1206">
            <v>31102192</v>
          </cell>
          <cell r="H1206">
            <v>31102192</v>
          </cell>
          <cell r="I1206" t="str">
            <v/>
          </cell>
          <cell r="J1206" t="str">
            <v/>
          </cell>
          <cell r="K1206" t="str">
            <v/>
          </cell>
          <cell r="L1206" t="str">
            <v/>
          </cell>
          <cell r="M1206" t="str">
            <v/>
          </cell>
        </row>
        <row r="1207">
          <cell r="A1207">
            <v>31102192</v>
          </cell>
          <cell r="C1207">
            <v>31102192</v>
          </cell>
          <cell r="D1207">
            <v>31102192</v>
          </cell>
          <cell r="E1207">
            <v>31102192</v>
          </cell>
          <cell r="F1207">
            <v>31102192</v>
          </cell>
          <cell r="G1207">
            <v>31102192</v>
          </cell>
          <cell r="H1207">
            <v>31102192</v>
          </cell>
          <cell r="I1207" t="str">
            <v/>
          </cell>
          <cell r="J1207" t="str">
            <v/>
          </cell>
          <cell r="K1207" t="str">
            <v/>
          </cell>
          <cell r="L1207" t="str">
            <v/>
          </cell>
          <cell r="M1207" t="str">
            <v/>
          </cell>
        </row>
        <row r="1208">
          <cell r="A1208">
            <v>31102192</v>
          </cell>
          <cell r="C1208">
            <v>31102192</v>
          </cell>
          <cell r="D1208">
            <v>31102192</v>
          </cell>
          <cell r="E1208">
            <v>31102192</v>
          </cell>
          <cell r="F1208">
            <v>31102192</v>
          </cell>
          <cell r="G1208">
            <v>31102192</v>
          </cell>
          <cell r="H1208">
            <v>31102192</v>
          </cell>
          <cell r="I1208" t="str">
            <v/>
          </cell>
          <cell r="J1208" t="str">
            <v/>
          </cell>
          <cell r="K1208" t="str">
            <v/>
          </cell>
          <cell r="L1208" t="str">
            <v/>
          </cell>
          <cell r="M1208" t="str">
            <v/>
          </cell>
        </row>
        <row r="1209">
          <cell r="A1209">
            <v>31102192</v>
          </cell>
          <cell r="C1209">
            <v>31102192</v>
          </cell>
          <cell r="D1209">
            <v>31102192</v>
          </cell>
          <cell r="E1209">
            <v>31102192</v>
          </cell>
          <cell r="F1209">
            <v>31102192</v>
          </cell>
          <cell r="G1209">
            <v>31102192</v>
          </cell>
          <cell r="H1209">
            <v>31102192</v>
          </cell>
          <cell r="I1209" t="str">
            <v/>
          </cell>
          <cell r="J1209" t="str">
            <v/>
          </cell>
          <cell r="K1209" t="str">
            <v/>
          </cell>
          <cell r="L1209" t="str">
            <v/>
          </cell>
          <cell r="M1209" t="str">
            <v/>
          </cell>
        </row>
        <row r="1210">
          <cell r="A1210">
            <v>31102192</v>
          </cell>
          <cell r="C1210">
            <v>31102192</v>
          </cell>
          <cell r="D1210">
            <v>31102192</v>
          </cell>
          <cell r="E1210">
            <v>31102192</v>
          </cell>
          <cell r="F1210">
            <v>31102192</v>
          </cell>
          <cell r="G1210">
            <v>31102192</v>
          </cell>
          <cell r="H1210">
            <v>31102192</v>
          </cell>
          <cell r="I1210" t="str">
            <v/>
          </cell>
          <cell r="J1210" t="str">
            <v/>
          </cell>
          <cell r="K1210" t="str">
            <v/>
          </cell>
          <cell r="L1210" t="str">
            <v/>
          </cell>
          <cell r="M1210" t="str">
            <v/>
          </cell>
        </row>
        <row r="1211">
          <cell r="A1211">
            <v>31102192</v>
          </cell>
          <cell r="C1211">
            <v>31102192</v>
          </cell>
          <cell r="D1211">
            <v>31102192</v>
          </cell>
          <cell r="E1211">
            <v>31102192</v>
          </cell>
          <cell r="F1211">
            <v>31102192</v>
          </cell>
          <cell r="G1211">
            <v>31102192</v>
          </cell>
          <cell r="H1211">
            <v>31102192</v>
          </cell>
          <cell r="I1211" t="str">
            <v/>
          </cell>
          <cell r="J1211" t="str">
            <v/>
          </cell>
          <cell r="K1211" t="str">
            <v/>
          </cell>
          <cell r="L1211" t="str">
            <v/>
          </cell>
          <cell r="M1211" t="str">
            <v/>
          </cell>
        </row>
        <row r="1212">
          <cell r="A1212">
            <v>31102192</v>
          </cell>
          <cell r="C1212">
            <v>31102192</v>
          </cell>
          <cell r="D1212">
            <v>31102192</v>
          </cell>
          <cell r="E1212">
            <v>31102192</v>
          </cell>
          <cell r="F1212">
            <v>31102192</v>
          </cell>
          <cell r="G1212">
            <v>31102192</v>
          </cell>
          <cell r="H1212">
            <v>31102192</v>
          </cell>
          <cell r="I1212" t="str">
            <v/>
          </cell>
          <cell r="J1212" t="str">
            <v/>
          </cell>
          <cell r="K1212" t="str">
            <v/>
          </cell>
          <cell r="L1212" t="str">
            <v/>
          </cell>
          <cell r="M1212" t="str">
            <v/>
          </cell>
        </row>
        <row r="1213">
          <cell r="A1213">
            <v>31102192</v>
          </cell>
          <cell r="C1213">
            <v>31102192</v>
          </cell>
          <cell r="D1213">
            <v>31102192</v>
          </cell>
          <cell r="E1213">
            <v>31102192</v>
          </cell>
          <cell r="F1213">
            <v>31102192</v>
          </cell>
          <cell r="G1213">
            <v>31102192</v>
          </cell>
          <cell r="H1213">
            <v>31102192</v>
          </cell>
          <cell r="I1213" t="str">
            <v/>
          </cell>
          <cell r="J1213" t="str">
            <v/>
          </cell>
          <cell r="K1213" t="str">
            <v/>
          </cell>
          <cell r="L1213" t="str">
            <v/>
          </cell>
          <cell r="M1213" t="str">
            <v/>
          </cell>
        </row>
        <row r="1214">
          <cell r="A1214">
            <v>31102192</v>
          </cell>
          <cell r="C1214">
            <v>31102192</v>
          </cell>
          <cell r="D1214">
            <v>31102192</v>
          </cell>
          <cell r="E1214">
            <v>31102192</v>
          </cell>
          <cell r="F1214">
            <v>31102192</v>
          </cell>
          <cell r="G1214">
            <v>31102192</v>
          </cell>
          <cell r="H1214">
            <v>31102192</v>
          </cell>
          <cell r="I1214" t="str">
            <v/>
          </cell>
          <cell r="J1214" t="str">
            <v/>
          </cell>
          <cell r="K1214" t="str">
            <v/>
          </cell>
          <cell r="L1214" t="str">
            <v/>
          </cell>
          <cell r="M1214" t="str">
            <v/>
          </cell>
        </row>
        <row r="1215">
          <cell r="A1215">
            <v>31102192</v>
          </cell>
          <cell r="C1215">
            <v>31102192</v>
          </cell>
          <cell r="D1215">
            <v>31102192</v>
          </cell>
          <cell r="E1215">
            <v>31102192</v>
          </cell>
          <cell r="F1215">
            <v>31102192</v>
          </cell>
          <cell r="G1215">
            <v>31102192</v>
          </cell>
          <cell r="H1215">
            <v>31102192</v>
          </cell>
          <cell r="I1215" t="str">
            <v/>
          </cell>
          <cell r="J1215" t="str">
            <v/>
          </cell>
          <cell r="K1215" t="str">
            <v/>
          </cell>
          <cell r="L1215" t="str">
            <v/>
          </cell>
          <cell r="M1215" t="str">
            <v/>
          </cell>
        </row>
        <row r="1216">
          <cell r="A1216">
            <v>31102192</v>
          </cell>
          <cell r="C1216">
            <v>31102192</v>
          </cell>
          <cell r="D1216">
            <v>31102192</v>
          </cell>
          <cell r="E1216">
            <v>31102192</v>
          </cell>
          <cell r="F1216">
            <v>31102192</v>
          </cell>
          <cell r="G1216">
            <v>31102192</v>
          </cell>
          <cell r="H1216">
            <v>31102192</v>
          </cell>
          <cell r="I1216" t="str">
            <v/>
          </cell>
          <cell r="J1216" t="str">
            <v/>
          </cell>
          <cell r="K1216" t="str">
            <v/>
          </cell>
          <cell r="L1216" t="str">
            <v/>
          </cell>
          <cell r="M1216" t="str">
            <v/>
          </cell>
        </row>
        <row r="1217">
          <cell r="A1217">
            <v>31102192</v>
          </cell>
          <cell r="C1217">
            <v>31102192</v>
          </cell>
          <cell r="D1217">
            <v>31102192</v>
          </cell>
          <cell r="E1217">
            <v>31102192</v>
          </cell>
          <cell r="F1217">
            <v>31102192</v>
          </cell>
          <cell r="G1217">
            <v>31102192</v>
          </cell>
          <cell r="H1217">
            <v>31102192</v>
          </cell>
          <cell r="I1217" t="str">
            <v/>
          </cell>
          <cell r="J1217" t="str">
            <v/>
          </cell>
          <cell r="K1217" t="str">
            <v/>
          </cell>
          <cell r="L1217" t="str">
            <v/>
          </cell>
          <cell r="M1217" t="str">
            <v/>
          </cell>
        </row>
        <row r="1218">
          <cell r="A1218">
            <v>31102192</v>
          </cell>
          <cell r="C1218">
            <v>31102192</v>
          </cell>
          <cell r="D1218">
            <v>31102192</v>
          </cell>
          <cell r="E1218">
            <v>31102192</v>
          </cell>
          <cell r="F1218">
            <v>31102192</v>
          </cell>
          <cell r="G1218">
            <v>31102192</v>
          </cell>
          <cell r="H1218">
            <v>31102192</v>
          </cell>
          <cell r="I1218" t="str">
            <v/>
          </cell>
          <cell r="J1218" t="str">
            <v/>
          </cell>
          <cell r="K1218" t="str">
            <v/>
          </cell>
          <cell r="L1218" t="str">
            <v/>
          </cell>
          <cell r="M1218" t="str">
            <v/>
          </cell>
        </row>
        <row r="1219">
          <cell r="A1219">
            <v>31102192</v>
          </cell>
          <cell r="C1219">
            <v>31102192</v>
          </cell>
          <cell r="D1219">
            <v>31102192</v>
          </cell>
          <cell r="E1219">
            <v>31102192</v>
          </cell>
          <cell r="F1219">
            <v>31102192</v>
          </cell>
          <cell r="G1219">
            <v>31102192</v>
          </cell>
          <cell r="H1219">
            <v>31102192</v>
          </cell>
          <cell r="I1219" t="str">
            <v/>
          </cell>
          <cell r="J1219" t="str">
            <v/>
          </cell>
          <cell r="K1219" t="str">
            <v/>
          </cell>
          <cell r="L1219" t="str">
            <v/>
          </cell>
          <cell r="M1219" t="str">
            <v/>
          </cell>
        </row>
        <row r="1220">
          <cell r="A1220">
            <v>31102192</v>
          </cell>
          <cell r="C1220">
            <v>31102192</v>
          </cell>
          <cell r="D1220">
            <v>31102192</v>
          </cell>
          <cell r="E1220">
            <v>31102192</v>
          </cell>
          <cell r="F1220">
            <v>31102192</v>
          </cell>
          <cell r="G1220">
            <v>31102192</v>
          </cell>
          <cell r="H1220">
            <v>31102192</v>
          </cell>
          <cell r="I1220" t="str">
            <v/>
          </cell>
          <cell r="J1220" t="str">
            <v/>
          </cell>
          <cell r="K1220" t="str">
            <v/>
          </cell>
          <cell r="L1220" t="str">
            <v/>
          </cell>
          <cell r="M1220" t="str">
            <v/>
          </cell>
        </row>
        <row r="1221">
          <cell r="A1221">
            <v>31102192</v>
          </cell>
          <cell r="C1221">
            <v>31102192</v>
          </cell>
          <cell r="D1221">
            <v>31102192</v>
          </cell>
          <cell r="E1221">
            <v>31102192</v>
          </cell>
          <cell r="F1221">
            <v>31102192</v>
          </cell>
          <cell r="G1221">
            <v>31102192</v>
          </cell>
          <cell r="H1221">
            <v>31102192</v>
          </cell>
          <cell r="I1221" t="str">
            <v/>
          </cell>
          <cell r="J1221" t="str">
            <v/>
          </cell>
          <cell r="K1221" t="str">
            <v/>
          </cell>
          <cell r="L1221" t="str">
            <v/>
          </cell>
          <cell r="M1221" t="str">
            <v/>
          </cell>
        </row>
        <row r="1222">
          <cell r="A1222">
            <v>31102192</v>
          </cell>
          <cell r="C1222">
            <v>31102192</v>
          </cell>
          <cell r="D1222">
            <v>31102192</v>
          </cell>
          <cell r="E1222">
            <v>31102192</v>
          </cell>
          <cell r="F1222">
            <v>31102192</v>
          </cell>
          <cell r="G1222">
            <v>31102192</v>
          </cell>
          <cell r="H1222">
            <v>31102192</v>
          </cell>
          <cell r="I1222" t="str">
            <v/>
          </cell>
          <cell r="J1222" t="str">
            <v/>
          </cell>
          <cell r="K1222" t="str">
            <v/>
          </cell>
          <cell r="L1222" t="str">
            <v/>
          </cell>
          <cell r="M1222" t="str">
            <v/>
          </cell>
        </row>
        <row r="1223">
          <cell r="A1223">
            <v>31102192</v>
          </cell>
          <cell r="C1223">
            <v>31102192</v>
          </cell>
          <cell r="D1223">
            <v>31102192</v>
          </cell>
          <cell r="E1223">
            <v>31102192</v>
          </cell>
          <cell r="F1223">
            <v>31102192</v>
          </cell>
          <cell r="G1223">
            <v>31102192</v>
          </cell>
          <cell r="H1223">
            <v>31102192</v>
          </cell>
          <cell r="I1223" t="str">
            <v/>
          </cell>
          <cell r="J1223" t="str">
            <v/>
          </cell>
          <cell r="K1223" t="str">
            <v/>
          </cell>
          <cell r="L1223" t="str">
            <v/>
          </cell>
          <cell r="M1223" t="str">
            <v/>
          </cell>
        </row>
        <row r="1224">
          <cell r="A1224">
            <v>31102192</v>
          </cell>
          <cell r="C1224">
            <v>31102192</v>
          </cell>
          <cell r="D1224">
            <v>31102192</v>
          </cell>
          <cell r="E1224">
            <v>31102192</v>
          </cell>
          <cell r="F1224">
            <v>31102192</v>
          </cell>
          <cell r="G1224">
            <v>31102192</v>
          </cell>
          <cell r="H1224">
            <v>31102192</v>
          </cell>
          <cell r="I1224" t="str">
            <v/>
          </cell>
          <cell r="J1224" t="str">
            <v/>
          </cell>
          <cell r="K1224" t="str">
            <v/>
          </cell>
          <cell r="L1224" t="str">
            <v/>
          </cell>
          <cell r="M1224" t="str">
            <v/>
          </cell>
        </row>
        <row r="1225">
          <cell r="A1225">
            <v>31102192</v>
          </cell>
          <cell r="C1225">
            <v>31102192</v>
          </cell>
          <cell r="D1225">
            <v>31102192</v>
          </cell>
          <cell r="E1225">
            <v>31102192</v>
          </cell>
          <cell r="F1225">
            <v>31102192</v>
          </cell>
          <cell r="G1225">
            <v>31102192</v>
          </cell>
          <cell r="H1225">
            <v>31102192</v>
          </cell>
          <cell r="I1225" t="str">
            <v/>
          </cell>
          <cell r="J1225" t="str">
            <v/>
          </cell>
          <cell r="K1225" t="str">
            <v/>
          </cell>
          <cell r="L1225" t="str">
            <v/>
          </cell>
          <cell r="M1225" t="str">
            <v/>
          </cell>
        </row>
        <row r="1226">
          <cell r="A1226">
            <v>31102192</v>
          </cell>
          <cell r="C1226">
            <v>31102192</v>
          </cell>
          <cell r="D1226">
            <v>31102192</v>
          </cell>
          <cell r="E1226">
            <v>31102192</v>
          </cell>
          <cell r="F1226">
            <v>31102192</v>
          </cell>
          <cell r="G1226">
            <v>31102192</v>
          </cell>
          <cell r="H1226">
            <v>31102192</v>
          </cell>
          <cell r="I1226" t="str">
            <v/>
          </cell>
          <cell r="J1226" t="str">
            <v/>
          </cell>
          <cell r="K1226" t="str">
            <v/>
          </cell>
          <cell r="L1226" t="str">
            <v/>
          </cell>
          <cell r="M1226" t="str">
            <v/>
          </cell>
        </row>
        <row r="1227">
          <cell r="A1227">
            <v>31102192</v>
          </cell>
          <cell r="C1227">
            <v>31102192</v>
          </cell>
          <cell r="D1227">
            <v>31102192</v>
          </cell>
          <cell r="E1227">
            <v>31102192</v>
          </cell>
          <cell r="F1227">
            <v>31102192</v>
          </cell>
          <cell r="G1227">
            <v>31102192</v>
          </cell>
          <cell r="H1227">
            <v>31102192</v>
          </cell>
          <cell r="I1227" t="str">
            <v/>
          </cell>
          <cell r="J1227" t="str">
            <v/>
          </cell>
          <cell r="K1227" t="str">
            <v/>
          </cell>
          <cell r="L1227" t="str">
            <v/>
          </cell>
          <cell r="M1227" t="str">
            <v/>
          </cell>
        </row>
        <row r="1228">
          <cell r="A1228">
            <v>31102192</v>
          </cell>
          <cell r="C1228">
            <v>31102192</v>
          </cell>
          <cell r="D1228">
            <v>31102192</v>
          </cell>
          <cell r="E1228">
            <v>31102192</v>
          </cell>
          <cell r="F1228">
            <v>31102192</v>
          </cell>
          <cell r="G1228">
            <v>31102192</v>
          </cell>
          <cell r="H1228">
            <v>31102192</v>
          </cell>
          <cell r="I1228" t="str">
            <v/>
          </cell>
          <cell r="J1228" t="str">
            <v/>
          </cell>
          <cell r="K1228" t="str">
            <v/>
          </cell>
          <cell r="L1228" t="str">
            <v/>
          </cell>
          <cell r="M1228" t="str">
            <v/>
          </cell>
        </row>
        <row r="1229">
          <cell r="A1229">
            <v>31102192</v>
          </cell>
          <cell r="C1229">
            <v>31102192</v>
          </cell>
          <cell r="D1229">
            <v>31102192</v>
          </cell>
          <cell r="E1229">
            <v>31102192</v>
          </cell>
          <cell r="F1229">
            <v>31102192</v>
          </cell>
          <cell r="G1229">
            <v>31102192</v>
          </cell>
          <cell r="H1229">
            <v>31102192</v>
          </cell>
          <cell r="I1229" t="str">
            <v/>
          </cell>
          <cell r="J1229" t="str">
            <v/>
          </cell>
          <cell r="K1229" t="str">
            <v/>
          </cell>
          <cell r="L1229" t="str">
            <v/>
          </cell>
          <cell r="M1229" t="str">
            <v/>
          </cell>
        </row>
        <row r="1230">
          <cell r="A1230">
            <v>31102192</v>
          </cell>
          <cell r="C1230">
            <v>31102192</v>
          </cell>
          <cell r="D1230">
            <v>31102192</v>
          </cell>
          <cell r="E1230">
            <v>31102192</v>
          </cell>
          <cell r="F1230">
            <v>31102192</v>
          </cell>
          <cell r="G1230">
            <v>31102192</v>
          </cell>
          <cell r="H1230">
            <v>31102192</v>
          </cell>
          <cell r="I1230" t="str">
            <v/>
          </cell>
          <cell r="J1230" t="str">
            <v/>
          </cell>
          <cell r="K1230" t="str">
            <v/>
          </cell>
          <cell r="L1230" t="str">
            <v/>
          </cell>
          <cell r="M1230" t="str">
            <v/>
          </cell>
        </row>
        <row r="1231">
          <cell r="A1231">
            <v>31102192</v>
          </cell>
          <cell r="C1231">
            <v>31102192</v>
          </cell>
          <cell r="D1231">
            <v>31102192</v>
          </cell>
          <cell r="E1231">
            <v>31102192</v>
          </cell>
          <cell r="F1231">
            <v>31102192</v>
          </cell>
          <cell r="G1231">
            <v>31102192</v>
          </cell>
          <cell r="H1231">
            <v>31102192</v>
          </cell>
          <cell r="I1231" t="str">
            <v/>
          </cell>
          <cell r="J1231" t="str">
            <v/>
          </cell>
          <cell r="K1231" t="str">
            <v/>
          </cell>
          <cell r="L1231" t="str">
            <v/>
          </cell>
          <cell r="M1231" t="str">
            <v/>
          </cell>
        </row>
        <row r="1232">
          <cell r="A1232">
            <v>31102192</v>
          </cell>
          <cell r="C1232">
            <v>31102192</v>
          </cell>
          <cell r="D1232">
            <v>31102192</v>
          </cell>
          <cell r="E1232">
            <v>31102192</v>
          </cell>
          <cell r="F1232">
            <v>31102192</v>
          </cell>
          <cell r="G1232">
            <v>31102192</v>
          </cell>
          <cell r="H1232">
            <v>31102192</v>
          </cell>
          <cell r="I1232" t="str">
            <v/>
          </cell>
          <cell r="J1232" t="str">
            <v/>
          </cell>
          <cell r="K1232" t="str">
            <v/>
          </cell>
          <cell r="L1232" t="str">
            <v/>
          </cell>
          <cell r="M1232" t="str">
            <v/>
          </cell>
        </row>
        <row r="1233">
          <cell r="A1233">
            <v>31102192</v>
          </cell>
          <cell r="C1233">
            <v>31102192</v>
          </cell>
          <cell r="D1233">
            <v>31102192</v>
          </cell>
          <cell r="E1233">
            <v>31102192</v>
          </cell>
          <cell r="F1233">
            <v>31102192</v>
          </cell>
          <cell r="G1233">
            <v>31102192</v>
          </cell>
          <cell r="H1233">
            <v>31102192</v>
          </cell>
          <cell r="I1233" t="str">
            <v/>
          </cell>
          <cell r="J1233" t="str">
            <v/>
          </cell>
          <cell r="K1233" t="str">
            <v/>
          </cell>
          <cell r="L1233" t="str">
            <v/>
          </cell>
          <cell r="M1233" t="str">
            <v/>
          </cell>
        </row>
        <row r="1234">
          <cell r="A1234">
            <v>31102192</v>
          </cell>
          <cell r="C1234">
            <v>31102192</v>
          </cell>
          <cell r="D1234">
            <v>31102192</v>
          </cell>
          <cell r="E1234">
            <v>31102192</v>
          </cell>
          <cell r="F1234">
            <v>31102192</v>
          </cell>
          <cell r="G1234">
            <v>31102192</v>
          </cell>
          <cell r="H1234">
            <v>31102192</v>
          </cell>
          <cell r="I1234" t="str">
            <v/>
          </cell>
          <cell r="J1234" t="str">
            <v/>
          </cell>
          <cell r="K1234" t="str">
            <v/>
          </cell>
          <cell r="L1234" t="str">
            <v/>
          </cell>
          <cell r="M1234" t="str">
            <v/>
          </cell>
        </row>
        <row r="1235">
          <cell r="A1235">
            <v>31102192</v>
          </cell>
          <cell r="C1235">
            <v>31102192</v>
          </cell>
          <cell r="D1235">
            <v>31102192</v>
          </cell>
          <cell r="E1235">
            <v>31102192</v>
          </cell>
          <cell r="F1235">
            <v>31102192</v>
          </cell>
          <cell r="G1235">
            <v>31102192</v>
          </cell>
          <cell r="H1235">
            <v>31102192</v>
          </cell>
          <cell r="I1235" t="str">
            <v/>
          </cell>
          <cell r="J1235" t="str">
            <v/>
          </cell>
          <cell r="K1235" t="str">
            <v/>
          </cell>
          <cell r="L1235" t="str">
            <v/>
          </cell>
          <cell r="M1235" t="str">
            <v/>
          </cell>
        </row>
        <row r="1236">
          <cell r="A1236">
            <v>31102192</v>
          </cell>
          <cell r="C1236">
            <v>31102192</v>
          </cell>
          <cell r="D1236">
            <v>31102192</v>
          </cell>
          <cell r="E1236">
            <v>31102192</v>
          </cell>
          <cell r="F1236">
            <v>31102192</v>
          </cell>
          <cell r="G1236">
            <v>31102192</v>
          </cell>
          <cell r="H1236">
            <v>31102192</v>
          </cell>
          <cell r="I1236" t="str">
            <v/>
          </cell>
          <cell r="J1236" t="str">
            <v/>
          </cell>
          <cell r="K1236" t="str">
            <v/>
          </cell>
          <cell r="L1236" t="str">
            <v/>
          </cell>
          <cell r="M1236" t="str">
            <v/>
          </cell>
        </row>
        <row r="1237">
          <cell r="A1237">
            <v>31102192</v>
          </cell>
          <cell r="C1237">
            <v>31102192</v>
          </cell>
          <cell r="D1237">
            <v>31102192</v>
          </cell>
          <cell r="E1237">
            <v>31102192</v>
          </cell>
          <cell r="F1237">
            <v>31102192</v>
          </cell>
          <cell r="G1237">
            <v>31102192</v>
          </cell>
          <cell r="H1237">
            <v>31102192</v>
          </cell>
          <cell r="I1237" t="str">
            <v/>
          </cell>
          <cell r="J1237" t="str">
            <v/>
          </cell>
          <cell r="K1237" t="str">
            <v/>
          </cell>
          <cell r="L1237" t="str">
            <v/>
          </cell>
          <cell r="M1237" t="str">
            <v/>
          </cell>
        </row>
        <row r="1238">
          <cell r="A1238">
            <v>31102192</v>
          </cell>
          <cell r="C1238">
            <v>31102192</v>
          </cell>
          <cell r="D1238">
            <v>31102192</v>
          </cell>
          <cell r="E1238">
            <v>31102192</v>
          </cell>
          <cell r="F1238">
            <v>31102192</v>
          </cell>
          <cell r="G1238">
            <v>31102192</v>
          </cell>
          <cell r="H1238">
            <v>31102192</v>
          </cell>
          <cell r="I1238" t="str">
            <v/>
          </cell>
          <cell r="J1238" t="str">
            <v/>
          </cell>
          <cell r="K1238" t="str">
            <v/>
          </cell>
          <cell r="L1238" t="str">
            <v/>
          </cell>
          <cell r="M1238" t="str">
            <v/>
          </cell>
        </row>
        <row r="1239">
          <cell r="A1239">
            <v>31102192</v>
          </cell>
          <cell r="C1239">
            <v>31102192</v>
          </cell>
          <cell r="D1239">
            <v>31102192</v>
          </cell>
          <cell r="E1239">
            <v>31102192</v>
          </cell>
          <cell r="F1239">
            <v>31102192</v>
          </cell>
          <cell r="G1239">
            <v>31102192</v>
          </cell>
          <cell r="H1239">
            <v>31102192</v>
          </cell>
          <cell r="I1239" t="str">
            <v/>
          </cell>
          <cell r="J1239" t="str">
            <v/>
          </cell>
          <cell r="K1239" t="str">
            <v/>
          </cell>
          <cell r="L1239" t="str">
            <v/>
          </cell>
          <cell r="M1239" t="str">
            <v/>
          </cell>
        </row>
        <row r="1240">
          <cell r="A1240">
            <v>31102192</v>
          </cell>
          <cell r="C1240">
            <v>31102192</v>
          </cell>
          <cell r="D1240">
            <v>31102192</v>
          </cell>
          <cell r="E1240">
            <v>31102192</v>
          </cell>
          <cell r="F1240">
            <v>31102192</v>
          </cell>
          <cell r="G1240">
            <v>31102192</v>
          </cell>
          <cell r="H1240">
            <v>31102192</v>
          </cell>
          <cell r="I1240" t="str">
            <v/>
          </cell>
          <cell r="J1240" t="str">
            <v/>
          </cell>
          <cell r="K1240" t="str">
            <v/>
          </cell>
          <cell r="L1240" t="str">
            <v/>
          </cell>
          <cell r="M1240" t="str">
            <v/>
          </cell>
        </row>
        <row r="1241">
          <cell r="A1241">
            <v>31102192</v>
          </cell>
          <cell r="C1241">
            <v>31102192</v>
          </cell>
          <cell r="D1241">
            <v>31102192</v>
          </cell>
          <cell r="E1241">
            <v>31102192</v>
          </cell>
          <cell r="F1241">
            <v>31102192</v>
          </cell>
          <cell r="G1241">
            <v>31102192</v>
          </cell>
          <cell r="H1241">
            <v>31102192</v>
          </cell>
          <cell r="I1241" t="str">
            <v/>
          </cell>
          <cell r="J1241" t="str">
            <v/>
          </cell>
          <cell r="K1241" t="str">
            <v/>
          </cell>
          <cell r="L1241" t="str">
            <v/>
          </cell>
          <cell r="M1241" t="str">
            <v/>
          </cell>
        </row>
        <row r="1242">
          <cell r="A1242">
            <v>31102192</v>
          </cell>
          <cell r="C1242">
            <v>31102192</v>
          </cell>
          <cell r="D1242">
            <v>31102192</v>
          </cell>
          <cell r="E1242">
            <v>31102192</v>
          </cell>
          <cell r="F1242">
            <v>31102192</v>
          </cell>
          <cell r="G1242">
            <v>31102192</v>
          </cell>
          <cell r="H1242">
            <v>31102192</v>
          </cell>
          <cell r="I1242" t="str">
            <v/>
          </cell>
          <cell r="J1242" t="str">
            <v/>
          </cell>
          <cell r="K1242" t="str">
            <v/>
          </cell>
          <cell r="L1242" t="str">
            <v/>
          </cell>
          <cell r="M1242" t="str">
            <v/>
          </cell>
        </row>
        <row r="1243">
          <cell r="A1243">
            <v>31102192</v>
          </cell>
          <cell r="C1243">
            <v>31102192</v>
          </cell>
          <cell r="D1243">
            <v>31102192</v>
          </cell>
          <cell r="E1243">
            <v>31102192</v>
          </cell>
          <cell r="F1243">
            <v>31102192</v>
          </cell>
          <cell r="G1243">
            <v>31102192</v>
          </cell>
          <cell r="H1243">
            <v>31102192</v>
          </cell>
          <cell r="I1243" t="str">
            <v/>
          </cell>
          <cell r="J1243" t="str">
            <v/>
          </cell>
          <cell r="K1243" t="str">
            <v/>
          </cell>
          <cell r="L1243" t="str">
            <v/>
          </cell>
          <cell r="M1243" t="str">
            <v/>
          </cell>
        </row>
        <row r="1244">
          <cell r="A1244">
            <v>31102192</v>
          </cell>
          <cell r="C1244">
            <v>31102192</v>
          </cell>
          <cell r="D1244">
            <v>31102192</v>
          </cell>
          <cell r="E1244">
            <v>31102192</v>
          </cell>
          <cell r="F1244">
            <v>31102192</v>
          </cell>
          <cell r="G1244">
            <v>31102192</v>
          </cell>
          <cell r="H1244">
            <v>31102192</v>
          </cell>
          <cell r="I1244" t="str">
            <v/>
          </cell>
          <cell r="J1244" t="str">
            <v/>
          </cell>
          <cell r="K1244" t="str">
            <v/>
          </cell>
          <cell r="L1244" t="str">
            <v/>
          </cell>
          <cell r="M1244" t="str">
            <v/>
          </cell>
        </row>
        <row r="1245">
          <cell r="A1245">
            <v>31102192</v>
          </cell>
          <cell r="C1245">
            <v>31102192</v>
          </cell>
          <cell r="D1245">
            <v>31102192</v>
          </cell>
          <cell r="E1245">
            <v>31102192</v>
          </cell>
          <cell r="F1245">
            <v>31102192</v>
          </cell>
          <cell r="G1245">
            <v>31102192</v>
          </cell>
          <cell r="H1245">
            <v>31102192</v>
          </cell>
          <cell r="I1245" t="str">
            <v/>
          </cell>
          <cell r="J1245" t="str">
            <v/>
          </cell>
          <cell r="K1245" t="str">
            <v/>
          </cell>
          <cell r="L1245" t="str">
            <v/>
          </cell>
          <cell r="M1245" t="str">
            <v/>
          </cell>
        </row>
        <row r="1246">
          <cell r="A1246">
            <v>31102192</v>
          </cell>
          <cell r="C1246">
            <v>31102192</v>
          </cell>
          <cell r="D1246">
            <v>31102192</v>
          </cell>
          <cell r="E1246">
            <v>31102192</v>
          </cell>
          <cell r="F1246">
            <v>31102192</v>
          </cell>
          <cell r="G1246">
            <v>31102192</v>
          </cell>
          <cell r="H1246">
            <v>31102192</v>
          </cell>
          <cell r="I1246" t="str">
            <v/>
          </cell>
          <cell r="J1246" t="str">
            <v/>
          </cell>
          <cell r="K1246" t="str">
            <v/>
          </cell>
          <cell r="L1246" t="str">
            <v/>
          </cell>
          <cell r="M1246" t="str">
            <v/>
          </cell>
        </row>
        <row r="1247">
          <cell r="A1247">
            <v>31102192</v>
          </cell>
          <cell r="C1247">
            <v>31102192</v>
          </cell>
          <cell r="D1247">
            <v>31102192</v>
          </cell>
          <cell r="E1247">
            <v>31102192</v>
          </cell>
          <cell r="F1247">
            <v>31102192</v>
          </cell>
          <cell r="G1247">
            <v>31102192</v>
          </cell>
          <cell r="H1247">
            <v>31102192</v>
          </cell>
          <cell r="I1247" t="str">
            <v/>
          </cell>
          <cell r="J1247" t="str">
            <v/>
          </cell>
          <cell r="K1247" t="str">
            <v/>
          </cell>
          <cell r="L1247" t="str">
            <v/>
          </cell>
          <cell r="M1247" t="str">
            <v/>
          </cell>
        </row>
        <row r="1248">
          <cell r="A1248">
            <v>31102192</v>
          </cell>
          <cell r="C1248">
            <v>31102192</v>
          </cell>
          <cell r="D1248">
            <v>31102192</v>
          </cell>
          <cell r="E1248">
            <v>31102192</v>
          </cell>
          <cell r="F1248">
            <v>31102192</v>
          </cell>
          <cell r="G1248">
            <v>31102192</v>
          </cell>
          <cell r="H1248">
            <v>31102192</v>
          </cell>
          <cell r="I1248" t="str">
            <v/>
          </cell>
          <cell r="J1248" t="str">
            <v/>
          </cell>
          <cell r="K1248" t="str">
            <v/>
          </cell>
          <cell r="L1248" t="str">
            <v/>
          </cell>
          <cell r="M1248" t="str">
            <v/>
          </cell>
        </row>
        <row r="1249">
          <cell r="A1249">
            <v>31102192</v>
          </cell>
          <cell r="C1249">
            <v>31102192</v>
          </cell>
          <cell r="D1249">
            <v>31102192</v>
          </cell>
          <cell r="E1249">
            <v>31102192</v>
          </cell>
          <cell r="F1249">
            <v>31102192</v>
          </cell>
          <cell r="G1249">
            <v>31102192</v>
          </cell>
          <cell r="H1249">
            <v>31102192</v>
          </cell>
          <cell r="I1249" t="str">
            <v/>
          </cell>
          <cell r="J1249" t="str">
            <v/>
          </cell>
          <cell r="K1249" t="str">
            <v/>
          </cell>
          <cell r="L1249" t="str">
            <v/>
          </cell>
          <cell r="M1249" t="str">
            <v/>
          </cell>
        </row>
        <row r="1250">
          <cell r="A1250">
            <v>31102192</v>
          </cell>
          <cell r="C1250">
            <v>31102192</v>
          </cell>
          <cell r="D1250">
            <v>31102192</v>
          </cell>
          <cell r="E1250">
            <v>31102192</v>
          </cell>
          <cell r="F1250">
            <v>31102192</v>
          </cell>
          <cell r="G1250">
            <v>31102192</v>
          </cell>
          <cell r="H1250">
            <v>31102192</v>
          </cell>
          <cell r="I1250" t="str">
            <v/>
          </cell>
          <cell r="J1250" t="str">
            <v/>
          </cell>
          <cell r="K1250" t="str">
            <v/>
          </cell>
          <cell r="L1250" t="str">
            <v/>
          </cell>
          <cell r="M1250" t="str">
            <v/>
          </cell>
        </row>
        <row r="1251">
          <cell r="A1251">
            <v>31102192</v>
          </cell>
          <cell r="C1251">
            <v>31102192</v>
          </cell>
          <cell r="D1251">
            <v>31102192</v>
          </cell>
          <cell r="E1251">
            <v>31102192</v>
          </cell>
          <cell r="F1251">
            <v>31102192</v>
          </cell>
          <cell r="G1251">
            <v>31102192</v>
          </cell>
          <cell r="H1251">
            <v>31102192</v>
          </cell>
          <cell r="I1251" t="str">
            <v/>
          </cell>
          <cell r="J1251" t="str">
            <v/>
          </cell>
          <cell r="K1251" t="str">
            <v/>
          </cell>
          <cell r="L1251" t="str">
            <v/>
          </cell>
          <cell r="M1251" t="str">
            <v/>
          </cell>
        </row>
        <row r="1252">
          <cell r="A1252">
            <v>31102192</v>
          </cell>
          <cell r="C1252">
            <v>31102192</v>
          </cell>
          <cell r="D1252">
            <v>31102192</v>
          </cell>
          <cell r="E1252">
            <v>31102192</v>
          </cell>
          <cell r="F1252">
            <v>31102192</v>
          </cell>
          <cell r="G1252">
            <v>31102192</v>
          </cell>
          <cell r="H1252">
            <v>31102192</v>
          </cell>
          <cell r="I1252" t="str">
            <v/>
          </cell>
          <cell r="J1252" t="str">
            <v/>
          </cell>
          <cell r="K1252" t="str">
            <v/>
          </cell>
          <cell r="L1252" t="str">
            <v/>
          </cell>
          <cell r="M1252" t="str">
            <v/>
          </cell>
        </row>
        <row r="1253">
          <cell r="A1253">
            <v>31102192</v>
          </cell>
          <cell r="C1253">
            <v>31102192</v>
          </cell>
          <cell r="D1253">
            <v>31102192</v>
          </cell>
          <cell r="E1253">
            <v>31102192</v>
          </cell>
          <cell r="F1253">
            <v>31102192</v>
          </cell>
          <cell r="G1253">
            <v>31102192</v>
          </cell>
          <cell r="H1253">
            <v>31102192</v>
          </cell>
          <cell r="I1253" t="str">
            <v/>
          </cell>
          <cell r="J1253" t="str">
            <v/>
          </cell>
          <cell r="K1253" t="str">
            <v/>
          </cell>
          <cell r="L1253" t="str">
            <v/>
          </cell>
          <cell r="M1253" t="str">
            <v/>
          </cell>
        </row>
        <row r="1254">
          <cell r="A1254">
            <v>31102192</v>
          </cell>
          <cell r="C1254">
            <v>31102192</v>
          </cell>
          <cell r="D1254">
            <v>31102192</v>
          </cell>
          <cell r="E1254">
            <v>31102192</v>
          </cell>
          <cell r="F1254">
            <v>31102192</v>
          </cell>
          <cell r="G1254">
            <v>31102192</v>
          </cell>
          <cell r="H1254">
            <v>31102192</v>
          </cell>
          <cell r="I1254" t="str">
            <v/>
          </cell>
          <cell r="J1254" t="str">
            <v/>
          </cell>
          <cell r="K1254" t="str">
            <v/>
          </cell>
          <cell r="L1254" t="str">
            <v/>
          </cell>
          <cell r="M1254" t="str">
            <v/>
          </cell>
        </row>
        <row r="1255">
          <cell r="A1255">
            <v>31102192</v>
          </cell>
          <cell r="C1255">
            <v>31102192</v>
          </cell>
          <cell r="D1255">
            <v>31102192</v>
          </cell>
          <cell r="E1255">
            <v>31102192</v>
          </cell>
          <cell r="F1255">
            <v>31102192</v>
          </cell>
          <cell r="G1255">
            <v>31102192</v>
          </cell>
          <cell r="H1255">
            <v>31102192</v>
          </cell>
          <cell r="I1255" t="str">
            <v/>
          </cell>
          <cell r="J1255" t="str">
            <v/>
          </cell>
          <cell r="K1255" t="str">
            <v/>
          </cell>
          <cell r="L1255" t="str">
            <v/>
          </cell>
          <cell r="M1255" t="str">
            <v/>
          </cell>
        </row>
        <row r="1256">
          <cell r="A1256">
            <v>31102192</v>
          </cell>
          <cell r="C1256">
            <v>31102192</v>
          </cell>
          <cell r="D1256">
            <v>31102192</v>
          </cell>
          <cell r="E1256">
            <v>31102192</v>
          </cell>
          <cell r="F1256">
            <v>31102192</v>
          </cell>
          <cell r="G1256">
            <v>31102192</v>
          </cell>
          <cell r="H1256">
            <v>31102192</v>
          </cell>
          <cell r="I1256" t="str">
            <v/>
          </cell>
          <cell r="J1256" t="str">
            <v/>
          </cell>
          <cell r="K1256" t="str">
            <v/>
          </cell>
          <cell r="L1256" t="str">
            <v/>
          </cell>
          <cell r="M1256" t="str">
            <v/>
          </cell>
        </row>
        <row r="1257">
          <cell r="A1257">
            <v>31102192</v>
          </cell>
          <cell r="C1257">
            <v>31102192</v>
          </cell>
          <cell r="D1257">
            <v>31102192</v>
          </cell>
          <cell r="E1257">
            <v>31102192</v>
          </cell>
          <cell r="F1257">
            <v>31102192</v>
          </cell>
          <cell r="G1257">
            <v>31102192</v>
          </cell>
          <cell r="H1257">
            <v>31102192</v>
          </cell>
          <cell r="I1257" t="str">
            <v/>
          </cell>
          <cell r="J1257" t="str">
            <v/>
          </cell>
          <cell r="K1257" t="str">
            <v/>
          </cell>
          <cell r="L1257" t="str">
            <v/>
          </cell>
          <cell r="M1257" t="str">
            <v/>
          </cell>
        </row>
        <row r="1258">
          <cell r="A1258">
            <v>31102192</v>
          </cell>
          <cell r="C1258">
            <v>31102192</v>
          </cell>
          <cell r="D1258">
            <v>31102192</v>
          </cell>
          <cell r="E1258">
            <v>31102192</v>
          </cell>
          <cell r="F1258">
            <v>31102192</v>
          </cell>
          <cell r="G1258">
            <v>31102192</v>
          </cell>
          <cell r="H1258">
            <v>31102192</v>
          </cell>
          <cell r="I1258" t="str">
            <v/>
          </cell>
          <cell r="J1258" t="str">
            <v/>
          </cell>
          <cell r="K1258" t="str">
            <v/>
          </cell>
          <cell r="L1258" t="str">
            <v/>
          </cell>
          <cell r="M1258" t="str">
            <v/>
          </cell>
        </row>
        <row r="1259">
          <cell r="A1259">
            <v>31102192</v>
          </cell>
          <cell r="C1259">
            <v>31102192</v>
          </cell>
          <cell r="D1259">
            <v>31102192</v>
          </cell>
          <cell r="E1259">
            <v>31102192</v>
          </cell>
          <cell r="F1259">
            <v>31102192</v>
          </cell>
          <cell r="G1259">
            <v>31102192</v>
          </cell>
          <cell r="H1259">
            <v>31102192</v>
          </cell>
          <cell r="I1259" t="str">
            <v/>
          </cell>
          <cell r="J1259" t="str">
            <v/>
          </cell>
          <cell r="K1259" t="str">
            <v/>
          </cell>
          <cell r="L1259" t="str">
            <v/>
          </cell>
          <cell r="M1259" t="str">
            <v/>
          </cell>
        </row>
        <row r="1260">
          <cell r="A1260">
            <v>31102192</v>
          </cell>
          <cell r="C1260">
            <v>31102192</v>
          </cell>
          <cell r="D1260">
            <v>31102192</v>
          </cell>
          <cell r="E1260">
            <v>31102192</v>
          </cell>
          <cell r="F1260">
            <v>31102192</v>
          </cell>
          <cell r="G1260">
            <v>31102192</v>
          </cell>
          <cell r="H1260">
            <v>31102192</v>
          </cell>
          <cell r="I1260" t="str">
            <v/>
          </cell>
          <cell r="J1260" t="str">
            <v/>
          </cell>
          <cell r="K1260" t="str">
            <v/>
          </cell>
          <cell r="L1260" t="str">
            <v/>
          </cell>
          <cell r="M1260" t="str">
            <v/>
          </cell>
        </row>
        <row r="1261">
          <cell r="A1261">
            <v>31102192</v>
          </cell>
          <cell r="C1261">
            <v>31102192</v>
          </cell>
          <cell r="D1261">
            <v>31102192</v>
          </cell>
          <cell r="E1261">
            <v>31102192</v>
          </cell>
          <cell r="F1261">
            <v>31102192</v>
          </cell>
          <cell r="G1261">
            <v>31102192</v>
          </cell>
          <cell r="H1261">
            <v>31102192</v>
          </cell>
          <cell r="I1261" t="str">
            <v/>
          </cell>
          <cell r="J1261" t="str">
            <v/>
          </cell>
          <cell r="K1261" t="str">
            <v/>
          </cell>
          <cell r="L1261" t="str">
            <v/>
          </cell>
          <cell r="M1261" t="str">
            <v/>
          </cell>
        </row>
        <row r="1262">
          <cell r="A1262">
            <v>31102192</v>
          </cell>
          <cell r="C1262">
            <v>31102192</v>
          </cell>
          <cell r="D1262">
            <v>31102192</v>
          </cell>
          <cell r="E1262">
            <v>31102192</v>
          </cell>
          <cell r="F1262">
            <v>31102192</v>
          </cell>
          <cell r="G1262">
            <v>31102192</v>
          </cell>
          <cell r="H1262">
            <v>31102192</v>
          </cell>
          <cell r="I1262" t="str">
            <v/>
          </cell>
          <cell r="J1262" t="str">
            <v/>
          </cell>
          <cell r="K1262" t="str">
            <v/>
          </cell>
          <cell r="L1262" t="str">
            <v/>
          </cell>
          <cell r="M1262" t="str">
            <v/>
          </cell>
        </row>
        <row r="1263">
          <cell r="A1263">
            <v>31102192</v>
          </cell>
          <cell r="C1263">
            <v>31102192</v>
          </cell>
          <cell r="D1263">
            <v>31102192</v>
          </cell>
          <cell r="E1263">
            <v>31102192</v>
          </cell>
          <cell r="F1263">
            <v>31102192</v>
          </cell>
          <cell r="G1263">
            <v>31102192</v>
          </cell>
          <cell r="H1263">
            <v>31102192</v>
          </cell>
          <cell r="I1263" t="str">
            <v/>
          </cell>
          <cell r="J1263" t="str">
            <v/>
          </cell>
          <cell r="K1263" t="str">
            <v/>
          </cell>
          <cell r="L1263" t="str">
            <v/>
          </cell>
          <cell r="M1263" t="str">
            <v/>
          </cell>
        </row>
        <row r="1264">
          <cell r="A1264">
            <v>31102192</v>
          </cell>
          <cell r="C1264">
            <v>31102192</v>
          </cell>
          <cell r="D1264">
            <v>31102192</v>
          </cell>
          <cell r="E1264">
            <v>31102192</v>
          </cell>
          <cell r="F1264">
            <v>31102192</v>
          </cell>
          <cell r="G1264">
            <v>31102192</v>
          </cell>
          <cell r="H1264">
            <v>31102192</v>
          </cell>
          <cell r="I1264" t="str">
            <v/>
          </cell>
          <cell r="J1264" t="str">
            <v/>
          </cell>
          <cell r="K1264" t="str">
            <v/>
          </cell>
          <cell r="L1264" t="str">
            <v/>
          </cell>
          <cell r="M1264" t="str">
            <v/>
          </cell>
        </row>
        <row r="1265">
          <cell r="A1265">
            <v>31102192</v>
          </cell>
          <cell r="C1265">
            <v>31102192</v>
          </cell>
          <cell r="D1265">
            <v>31102192</v>
          </cell>
          <cell r="E1265">
            <v>31102192</v>
          </cell>
          <cell r="F1265">
            <v>31102192</v>
          </cell>
          <cell r="G1265">
            <v>31102192</v>
          </cell>
          <cell r="H1265">
            <v>31102192</v>
          </cell>
          <cell r="I1265" t="str">
            <v/>
          </cell>
          <cell r="J1265" t="str">
            <v/>
          </cell>
          <cell r="K1265" t="str">
            <v/>
          </cell>
          <cell r="L1265" t="str">
            <v/>
          </cell>
          <cell r="M1265" t="str">
            <v/>
          </cell>
        </row>
        <row r="1266">
          <cell r="A1266">
            <v>31102192</v>
          </cell>
          <cell r="C1266">
            <v>31102192</v>
          </cell>
          <cell r="D1266">
            <v>31102192</v>
          </cell>
          <cell r="E1266">
            <v>31102192</v>
          </cell>
          <cell r="F1266">
            <v>31102192</v>
          </cell>
          <cell r="G1266">
            <v>31102192</v>
          </cell>
          <cell r="H1266">
            <v>31102192</v>
          </cell>
          <cell r="I1266" t="str">
            <v/>
          </cell>
          <cell r="J1266" t="str">
            <v/>
          </cell>
          <cell r="K1266" t="str">
            <v/>
          </cell>
          <cell r="L1266" t="str">
            <v/>
          </cell>
          <cell r="M1266" t="str">
            <v/>
          </cell>
        </row>
        <row r="1267">
          <cell r="A1267">
            <v>31102192</v>
          </cell>
          <cell r="C1267">
            <v>31102192</v>
          </cell>
          <cell r="D1267">
            <v>31102192</v>
          </cell>
          <cell r="E1267">
            <v>31102192</v>
          </cell>
          <cell r="F1267">
            <v>31102192</v>
          </cell>
          <cell r="G1267">
            <v>31102192</v>
          </cell>
          <cell r="H1267">
            <v>31102192</v>
          </cell>
          <cell r="I1267" t="str">
            <v/>
          </cell>
          <cell r="J1267" t="str">
            <v/>
          </cell>
          <cell r="K1267" t="str">
            <v/>
          </cell>
          <cell r="L1267" t="str">
            <v/>
          </cell>
          <cell r="M1267" t="str">
            <v/>
          </cell>
        </row>
        <row r="1268">
          <cell r="A1268">
            <v>31102192</v>
          </cell>
          <cell r="C1268">
            <v>31102192</v>
          </cell>
          <cell r="D1268">
            <v>31102192</v>
          </cell>
          <cell r="E1268">
            <v>31102192</v>
          </cell>
          <cell r="F1268">
            <v>31102192</v>
          </cell>
          <cell r="G1268">
            <v>31102192</v>
          </cell>
          <cell r="H1268">
            <v>31102192</v>
          </cell>
          <cell r="I1268" t="str">
            <v/>
          </cell>
          <cell r="J1268" t="str">
            <v/>
          </cell>
          <cell r="K1268" t="str">
            <v/>
          </cell>
          <cell r="L1268" t="str">
            <v/>
          </cell>
          <cell r="M1268" t="str">
            <v/>
          </cell>
        </row>
        <row r="1269">
          <cell r="A1269">
            <v>31102192</v>
          </cell>
          <cell r="C1269">
            <v>31102192</v>
          </cell>
          <cell r="D1269">
            <v>31102192</v>
          </cell>
          <cell r="E1269">
            <v>31102192</v>
          </cell>
          <cell r="F1269">
            <v>31102192</v>
          </cell>
          <cell r="G1269">
            <v>31102192</v>
          </cell>
          <cell r="H1269">
            <v>31102192</v>
          </cell>
          <cell r="I1269" t="str">
            <v/>
          </cell>
          <cell r="J1269" t="str">
            <v/>
          </cell>
          <cell r="K1269" t="str">
            <v/>
          </cell>
          <cell r="L1269" t="str">
            <v/>
          </cell>
          <cell r="M1269" t="str">
            <v/>
          </cell>
        </row>
        <row r="1270">
          <cell r="A1270">
            <v>31102192</v>
          </cell>
          <cell r="C1270">
            <v>31102192</v>
          </cell>
          <cell r="D1270">
            <v>31102192</v>
          </cell>
          <cell r="E1270">
            <v>31102192</v>
          </cell>
          <cell r="F1270">
            <v>31102192</v>
          </cell>
          <cell r="G1270">
            <v>31102192</v>
          </cell>
          <cell r="H1270">
            <v>31102192</v>
          </cell>
          <cell r="I1270" t="str">
            <v/>
          </cell>
          <cell r="J1270" t="str">
            <v/>
          </cell>
          <cell r="K1270" t="str">
            <v/>
          </cell>
          <cell r="L1270" t="str">
            <v/>
          </cell>
          <cell r="M1270" t="str">
            <v/>
          </cell>
        </row>
        <row r="1271">
          <cell r="A1271">
            <v>31102192</v>
          </cell>
          <cell r="C1271">
            <v>31102192</v>
          </cell>
          <cell r="D1271">
            <v>31102192</v>
          </cell>
          <cell r="E1271">
            <v>31102192</v>
          </cell>
          <cell r="F1271">
            <v>31102192</v>
          </cell>
          <cell r="G1271">
            <v>31102192</v>
          </cell>
          <cell r="H1271">
            <v>31102192</v>
          </cell>
          <cell r="I1271" t="str">
            <v/>
          </cell>
          <cell r="J1271" t="str">
            <v/>
          </cell>
          <cell r="K1271" t="str">
            <v/>
          </cell>
          <cell r="L1271" t="str">
            <v/>
          </cell>
          <cell r="M1271" t="str">
            <v/>
          </cell>
        </row>
        <row r="1272">
          <cell r="A1272">
            <v>31102192</v>
          </cell>
          <cell r="C1272">
            <v>31102192</v>
          </cell>
          <cell r="D1272">
            <v>31102192</v>
          </cell>
          <cell r="E1272">
            <v>31102192</v>
          </cell>
          <cell r="F1272">
            <v>31102192</v>
          </cell>
          <cell r="G1272">
            <v>31102192</v>
          </cell>
          <cell r="H1272">
            <v>31102192</v>
          </cell>
          <cell r="I1272" t="str">
            <v/>
          </cell>
          <cell r="J1272" t="str">
            <v/>
          </cell>
          <cell r="K1272" t="str">
            <v/>
          </cell>
          <cell r="L1272" t="str">
            <v/>
          </cell>
          <cell r="M1272" t="str">
            <v/>
          </cell>
        </row>
        <row r="1273">
          <cell r="A1273">
            <v>31102192</v>
          </cell>
          <cell r="C1273">
            <v>31102192</v>
          </cell>
          <cell r="D1273">
            <v>31102192</v>
          </cell>
          <cell r="E1273">
            <v>31102192</v>
          </cell>
          <cell r="F1273">
            <v>31102192</v>
          </cell>
          <cell r="G1273">
            <v>31102192</v>
          </cell>
          <cell r="H1273">
            <v>31102192</v>
          </cell>
          <cell r="I1273" t="str">
            <v/>
          </cell>
          <cell r="J1273" t="str">
            <v/>
          </cell>
          <cell r="K1273" t="str">
            <v/>
          </cell>
          <cell r="L1273" t="str">
            <v/>
          </cell>
          <cell r="M1273" t="str">
            <v/>
          </cell>
        </row>
        <row r="1274">
          <cell r="A1274">
            <v>31102192</v>
          </cell>
          <cell r="C1274">
            <v>31102192</v>
          </cell>
          <cell r="D1274">
            <v>31102192</v>
          </cell>
          <cell r="E1274">
            <v>31102192</v>
          </cell>
          <cell r="F1274">
            <v>31102192</v>
          </cell>
          <cell r="G1274">
            <v>31102192</v>
          </cell>
          <cell r="H1274">
            <v>31102192</v>
          </cell>
          <cell r="I1274" t="str">
            <v/>
          </cell>
          <cell r="J1274" t="str">
            <v/>
          </cell>
          <cell r="K1274" t="str">
            <v/>
          </cell>
          <cell r="L1274" t="str">
            <v/>
          </cell>
          <cell r="M1274" t="str">
            <v/>
          </cell>
        </row>
        <row r="1275">
          <cell r="A1275">
            <v>31102192</v>
          </cell>
          <cell r="C1275">
            <v>31102192</v>
          </cell>
          <cell r="D1275">
            <v>31102192</v>
          </cell>
          <cell r="E1275">
            <v>31102192</v>
          </cell>
          <cell r="F1275">
            <v>31102192</v>
          </cell>
          <cell r="G1275">
            <v>31102192</v>
          </cell>
          <cell r="H1275">
            <v>31102192</v>
          </cell>
          <cell r="I1275" t="str">
            <v/>
          </cell>
          <cell r="J1275" t="str">
            <v/>
          </cell>
          <cell r="K1275" t="str">
            <v/>
          </cell>
          <cell r="L1275" t="str">
            <v/>
          </cell>
          <cell r="M1275" t="str">
            <v/>
          </cell>
        </row>
        <row r="1276">
          <cell r="A1276">
            <v>31102192</v>
          </cell>
          <cell r="C1276">
            <v>31102192</v>
          </cell>
          <cell r="D1276">
            <v>31102192</v>
          </cell>
          <cell r="E1276">
            <v>31102192</v>
          </cell>
          <cell r="F1276">
            <v>31102192</v>
          </cell>
          <cell r="G1276">
            <v>31102192</v>
          </cell>
          <cell r="H1276">
            <v>31102192</v>
          </cell>
          <cell r="I1276" t="str">
            <v/>
          </cell>
          <cell r="J1276" t="str">
            <v/>
          </cell>
          <cell r="K1276" t="str">
            <v/>
          </cell>
          <cell r="L1276" t="str">
            <v/>
          </cell>
          <cell r="M1276" t="str">
            <v/>
          </cell>
        </row>
        <row r="1277">
          <cell r="A1277">
            <v>31102192</v>
          </cell>
          <cell r="C1277">
            <v>31102192</v>
          </cell>
          <cell r="D1277">
            <v>31102192</v>
          </cell>
          <cell r="E1277">
            <v>31102192</v>
          </cell>
          <cell r="F1277">
            <v>31102192</v>
          </cell>
          <cell r="G1277">
            <v>31102192</v>
          </cell>
          <cell r="H1277">
            <v>31102192</v>
          </cell>
          <cell r="I1277" t="str">
            <v/>
          </cell>
          <cell r="J1277" t="str">
            <v/>
          </cell>
          <cell r="K1277" t="str">
            <v/>
          </cell>
          <cell r="L1277" t="str">
            <v/>
          </cell>
          <cell r="M1277" t="str">
            <v/>
          </cell>
        </row>
        <row r="1278">
          <cell r="A1278">
            <v>31102192</v>
          </cell>
          <cell r="C1278">
            <v>31102192</v>
          </cell>
          <cell r="D1278">
            <v>31102192</v>
          </cell>
          <cell r="E1278">
            <v>31102192</v>
          </cell>
          <cell r="F1278">
            <v>31102192</v>
          </cell>
          <cell r="G1278">
            <v>31102192</v>
          </cell>
          <cell r="H1278">
            <v>31102192</v>
          </cell>
          <cell r="I1278" t="str">
            <v/>
          </cell>
          <cell r="J1278" t="str">
            <v/>
          </cell>
          <cell r="K1278" t="str">
            <v/>
          </cell>
          <cell r="L1278" t="str">
            <v/>
          </cell>
          <cell r="M1278" t="str">
            <v/>
          </cell>
        </row>
        <row r="1279">
          <cell r="A1279">
            <v>31102192</v>
          </cell>
          <cell r="C1279">
            <v>31102192</v>
          </cell>
          <cell r="D1279">
            <v>31102192</v>
          </cell>
          <cell r="E1279">
            <v>31102192</v>
          </cell>
          <cell r="F1279">
            <v>31102192</v>
          </cell>
          <cell r="G1279">
            <v>31102192</v>
          </cell>
          <cell r="H1279">
            <v>31102192</v>
          </cell>
          <cell r="I1279" t="str">
            <v/>
          </cell>
          <cell r="J1279" t="str">
            <v/>
          </cell>
          <cell r="K1279" t="str">
            <v/>
          </cell>
          <cell r="L1279" t="str">
            <v/>
          </cell>
          <cell r="M1279" t="str">
            <v/>
          </cell>
        </row>
        <row r="1280">
          <cell r="A1280">
            <v>31102192</v>
          </cell>
          <cell r="C1280">
            <v>31102192</v>
          </cell>
          <cell r="D1280">
            <v>31102192</v>
          </cell>
          <cell r="E1280">
            <v>31102192</v>
          </cell>
          <cell r="F1280">
            <v>31102192</v>
          </cell>
          <cell r="G1280">
            <v>31102192</v>
          </cell>
          <cell r="H1280">
            <v>31102192</v>
          </cell>
          <cell r="I1280" t="str">
            <v/>
          </cell>
          <cell r="J1280" t="str">
            <v/>
          </cell>
          <cell r="K1280" t="str">
            <v/>
          </cell>
          <cell r="L1280" t="str">
            <v/>
          </cell>
          <cell r="M1280" t="str">
            <v/>
          </cell>
        </row>
        <row r="1281">
          <cell r="A1281">
            <v>31102192</v>
          </cell>
          <cell r="C1281">
            <v>31102192</v>
          </cell>
          <cell r="D1281">
            <v>31102192</v>
          </cell>
          <cell r="E1281">
            <v>31102192</v>
          </cell>
          <cell r="F1281">
            <v>31102192</v>
          </cell>
          <cell r="G1281">
            <v>31102192</v>
          </cell>
          <cell r="H1281">
            <v>31102192</v>
          </cell>
          <cell r="I1281" t="str">
            <v/>
          </cell>
          <cell r="J1281" t="str">
            <v/>
          </cell>
          <cell r="K1281" t="str">
            <v/>
          </cell>
          <cell r="L1281" t="str">
            <v/>
          </cell>
          <cell r="M1281" t="str">
            <v/>
          </cell>
        </row>
        <row r="1282">
          <cell r="A1282">
            <v>31102192</v>
          </cell>
          <cell r="C1282">
            <v>31102192</v>
          </cell>
          <cell r="D1282">
            <v>31102192</v>
          </cell>
          <cell r="E1282">
            <v>31102192</v>
          </cell>
          <cell r="F1282">
            <v>31102192</v>
          </cell>
          <cell r="G1282">
            <v>31102192</v>
          </cell>
          <cell r="H1282">
            <v>31102192</v>
          </cell>
          <cell r="I1282" t="str">
            <v/>
          </cell>
          <cell r="J1282" t="str">
            <v/>
          </cell>
          <cell r="K1282" t="str">
            <v/>
          </cell>
          <cell r="L1282" t="str">
            <v/>
          </cell>
          <cell r="M1282" t="str">
            <v/>
          </cell>
        </row>
        <row r="1283">
          <cell r="A1283">
            <v>31102192</v>
          </cell>
          <cell r="C1283">
            <v>31102192</v>
          </cell>
          <cell r="D1283">
            <v>31102192</v>
          </cell>
          <cell r="E1283">
            <v>31102192</v>
          </cell>
          <cell r="F1283">
            <v>31102192</v>
          </cell>
          <cell r="G1283">
            <v>31102192</v>
          </cell>
          <cell r="H1283">
            <v>31102192</v>
          </cell>
          <cell r="I1283" t="str">
            <v/>
          </cell>
          <cell r="J1283" t="str">
            <v/>
          </cell>
          <cell r="K1283" t="str">
            <v/>
          </cell>
          <cell r="L1283" t="str">
            <v/>
          </cell>
          <cell r="M1283" t="str">
            <v/>
          </cell>
        </row>
        <row r="1284">
          <cell r="A1284">
            <v>31102192</v>
          </cell>
          <cell r="C1284">
            <v>31102192</v>
          </cell>
          <cell r="D1284">
            <v>31102192</v>
          </cell>
          <cell r="E1284">
            <v>31102192</v>
          </cell>
          <cell r="F1284">
            <v>31102192</v>
          </cell>
          <cell r="G1284">
            <v>31102192</v>
          </cell>
          <cell r="H1284">
            <v>31102192</v>
          </cell>
          <cell r="I1284" t="str">
            <v/>
          </cell>
          <cell r="J1284" t="str">
            <v/>
          </cell>
          <cell r="K1284" t="str">
            <v/>
          </cell>
          <cell r="L1284" t="str">
            <v/>
          </cell>
          <cell r="M1284" t="str">
            <v/>
          </cell>
        </row>
        <row r="1285">
          <cell r="A1285">
            <v>31102192</v>
          </cell>
          <cell r="C1285">
            <v>31102192</v>
          </cell>
          <cell r="D1285">
            <v>31102192</v>
          </cell>
          <cell r="E1285">
            <v>31102192</v>
          </cell>
          <cell r="F1285">
            <v>31102192</v>
          </cell>
          <cell r="G1285">
            <v>31102192</v>
          </cell>
          <cell r="H1285">
            <v>31102192</v>
          </cell>
          <cell r="I1285" t="str">
            <v/>
          </cell>
          <cell r="J1285" t="str">
            <v/>
          </cell>
          <cell r="K1285" t="str">
            <v/>
          </cell>
          <cell r="L1285" t="str">
            <v/>
          </cell>
          <cell r="M1285" t="str">
            <v/>
          </cell>
        </row>
        <row r="1286">
          <cell r="A1286">
            <v>31102192</v>
          </cell>
          <cell r="C1286">
            <v>31102192</v>
          </cell>
          <cell r="D1286">
            <v>31102192</v>
          </cell>
          <cell r="E1286">
            <v>31102192</v>
          </cell>
          <cell r="F1286">
            <v>31102192</v>
          </cell>
          <cell r="G1286">
            <v>31102192</v>
          </cell>
          <cell r="H1286">
            <v>31102192</v>
          </cell>
          <cell r="I1286" t="str">
            <v/>
          </cell>
          <cell r="J1286" t="str">
            <v/>
          </cell>
          <cell r="K1286" t="str">
            <v/>
          </cell>
          <cell r="L1286" t="str">
            <v/>
          </cell>
          <cell r="M1286" t="str">
            <v/>
          </cell>
        </row>
        <row r="1287">
          <cell r="A1287">
            <v>31102192</v>
          </cell>
          <cell r="C1287">
            <v>31102192</v>
          </cell>
          <cell r="D1287">
            <v>31102192</v>
          </cell>
          <cell r="E1287">
            <v>31102192</v>
          </cell>
          <cell r="F1287">
            <v>31102192</v>
          </cell>
          <cell r="G1287">
            <v>31102192</v>
          </cell>
          <cell r="H1287">
            <v>31102192</v>
          </cell>
          <cell r="I1287" t="str">
            <v/>
          </cell>
          <cell r="J1287" t="str">
            <v/>
          </cell>
          <cell r="K1287" t="str">
            <v/>
          </cell>
          <cell r="L1287" t="str">
            <v/>
          </cell>
          <cell r="M1287" t="str">
            <v/>
          </cell>
        </row>
        <row r="1288">
          <cell r="A1288">
            <v>31102192</v>
          </cell>
          <cell r="C1288">
            <v>31102192</v>
          </cell>
          <cell r="D1288">
            <v>31102192</v>
          </cell>
          <cell r="E1288">
            <v>31102192</v>
          </cell>
          <cell r="F1288">
            <v>31102192</v>
          </cell>
          <cell r="G1288">
            <v>31102192</v>
          </cell>
          <cell r="H1288">
            <v>31102192</v>
          </cell>
          <cell r="I1288" t="str">
            <v/>
          </cell>
          <cell r="J1288" t="str">
            <v/>
          </cell>
          <cell r="K1288" t="str">
            <v/>
          </cell>
          <cell r="L1288" t="str">
            <v/>
          </cell>
          <cell r="M1288" t="str">
            <v/>
          </cell>
        </row>
        <row r="1289">
          <cell r="A1289">
            <v>31102192</v>
          </cell>
          <cell r="C1289">
            <v>31102192</v>
          </cell>
          <cell r="D1289">
            <v>31102192</v>
          </cell>
          <cell r="E1289">
            <v>31102192</v>
          </cell>
          <cell r="F1289">
            <v>31102192</v>
          </cell>
          <cell r="G1289">
            <v>31102192</v>
          </cell>
          <cell r="H1289">
            <v>31102192</v>
          </cell>
          <cell r="I1289" t="str">
            <v/>
          </cell>
          <cell r="J1289" t="str">
            <v/>
          </cell>
          <cell r="K1289" t="str">
            <v/>
          </cell>
          <cell r="L1289" t="str">
            <v/>
          </cell>
          <cell r="M1289" t="str">
            <v/>
          </cell>
        </row>
        <row r="1290">
          <cell r="A1290">
            <v>31102192</v>
          </cell>
          <cell r="C1290">
            <v>31102192</v>
          </cell>
          <cell r="D1290">
            <v>31102192</v>
          </cell>
          <cell r="E1290">
            <v>31102192</v>
          </cell>
          <cell r="F1290">
            <v>31102192</v>
          </cell>
          <cell r="G1290">
            <v>31102192</v>
          </cell>
          <cell r="H1290">
            <v>31102192</v>
          </cell>
          <cell r="I1290" t="str">
            <v/>
          </cell>
          <cell r="J1290" t="str">
            <v/>
          </cell>
          <cell r="K1290" t="str">
            <v/>
          </cell>
          <cell r="L1290" t="str">
            <v/>
          </cell>
          <cell r="M1290" t="str">
            <v/>
          </cell>
        </row>
        <row r="1291">
          <cell r="A1291">
            <v>31102192</v>
          </cell>
          <cell r="C1291">
            <v>31102192</v>
          </cell>
          <cell r="D1291">
            <v>31102192</v>
          </cell>
          <cell r="E1291">
            <v>31102192</v>
          </cell>
          <cell r="F1291">
            <v>31102192</v>
          </cell>
          <cell r="G1291">
            <v>31102192</v>
          </cell>
          <cell r="H1291">
            <v>31102192</v>
          </cell>
          <cell r="I1291" t="str">
            <v/>
          </cell>
          <cell r="J1291" t="str">
            <v/>
          </cell>
          <cell r="K1291" t="str">
            <v/>
          </cell>
          <cell r="L1291" t="str">
            <v/>
          </cell>
          <cell r="M1291" t="str">
            <v/>
          </cell>
        </row>
        <row r="1292">
          <cell r="A1292">
            <v>31102192</v>
          </cell>
          <cell r="C1292">
            <v>31102192</v>
          </cell>
          <cell r="D1292">
            <v>31102192</v>
          </cell>
          <cell r="E1292">
            <v>31102192</v>
          </cell>
          <cell r="F1292">
            <v>31102192</v>
          </cell>
          <cell r="G1292">
            <v>31102192</v>
          </cell>
          <cell r="H1292">
            <v>31102192</v>
          </cell>
          <cell r="I1292" t="str">
            <v/>
          </cell>
          <cell r="J1292" t="str">
            <v/>
          </cell>
          <cell r="K1292" t="str">
            <v/>
          </cell>
          <cell r="L1292" t="str">
            <v/>
          </cell>
          <cell r="M1292" t="str">
            <v/>
          </cell>
        </row>
        <row r="1293">
          <cell r="A1293">
            <v>31102192</v>
          </cell>
          <cell r="C1293">
            <v>31102192</v>
          </cell>
          <cell r="D1293">
            <v>31102192</v>
          </cell>
          <cell r="E1293">
            <v>31102192</v>
          </cell>
          <cell r="F1293">
            <v>31102192</v>
          </cell>
          <cell r="G1293">
            <v>31102192</v>
          </cell>
          <cell r="H1293">
            <v>31102192</v>
          </cell>
          <cell r="I1293" t="str">
            <v/>
          </cell>
          <cell r="J1293" t="str">
            <v/>
          </cell>
          <cell r="K1293" t="str">
            <v/>
          </cell>
          <cell r="L1293" t="str">
            <v/>
          </cell>
          <cell r="M1293" t="str">
            <v/>
          </cell>
        </row>
        <row r="1294">
          <cell r="A1294">
            <v>31102192</v>
          </cell>
          <cell r="C1294">
            <v>31102192</v>
          </cell>
          <cell r="D1294">
            <v>31102192</v>
          </cell>
          <cell r="E1294">
            <v>31102192</v>
          </cell>
          <cell r="F1294">
            <v>31102192</v>
          </cell>
          <cell r="G1294">
            <v>31102192</v>
          </cell>
          <cell r="H1294">
            <v>31102192</v>
          </cell>
          <cell r="I1294" t="str">
            <v/>
          </cell>
          <cell r="J1294" t="str">
            <v/>
          </cell>
          <cell r="K1294" t="str">
            <v/>
          </cell>
          <cell r="L1294" t="str">
            <v/>
          </cell>
          <cell r="M1294" t="str">
            <v/>
          </cell>
        </row>
        <row r="1295">
          <cell r="A1295">
            <v>31102192</v>
          </cell>
          <cell r="C1295">
            <v>31102192</v>
          </cell>
          <cell r="D1295">
            <v>31102192</v>
          </cell>
          <cell r="E1295">
            <v>31102192</v>
          </cell>
          <cell r="F1295">
            <v>31102192</v>
          </cell>
          <cell r="G1295">
            <v>31102192</v>
          </cell>
          <cell r="H1295">
            <v>31102192</v>
          </cell>
          <cell r="I1295" t="str">
            <v/>
          </cell>
          <cell r="J1295" t="str">
            <v/>
          </cell>
          <cell r="K1295" t="str">
            <v/>
          </cell>
          <cell r="L1295" t="str">
            <v/>
          </cell>
          <cell r="M1295" t="str">
            <v/>
          </cell>
        </row>
        <row r="1296">
          <cell r="A1296">
            <v>31102192</v>
          </cell>
          <cell r="C1296">
            <v>31102192</v>
          </cell>
          <cell r="D1296">
            <v>31102192</v>
          </cell>
          <cell r="E1296">
            <v>31102192</v>
          </cell>
          <cell r="F1296">
            <v>31102192</v>
          </cell>
          <cell r="G1296">
            <v>31102192</v>
          </cell>
          <cell r="H1296">
            <v>31102192</v>
          </cell>
          <cell r="I1296" t="str">
            <v/>
          </cell>
          <cell r="J1296" t="str">
            <v/>
          </cell>
          <cell r="K1296" t="str">
            <v/>
          </cell>
          <cell r="L1296" t="str">
            <v/>
          </cell>
          <cell r="M1296" t="str">
            <v/>
          </cell>
        </row>
        <row r="1297">
          <cell r="A1297">
            <v>31102192</v>
          </cell>
          <cell r="C1297">
            <v>31102192</v>
          </cell>
          <cell r="D1297">
            <v>31102192</v>
          </cell>
          <cell r="E1297">
            <v>31102192</v>
          </cell>
          <cell r="F1297">
            <v>31102192</v>
          </cell>
          <cell r="G1297">
            <v>31102192</v>
          </cell>
          <cell r="H1297">
            <v>31102192</v>
          </cell>
          <cell r="I1297" t="str">
            <v/>
          </cell>
          <cell r="J1297" t="str">
            <v/>
          </cell>
          <cell r="K1297" t="str">
            <v/>
          </cell>
          <cell r="L1297" t="str">
            <v/>
          </cell>
          <cell r="M1297" t="str">
            <v/>
          </cell>
        </row>
        <row r="1298">
          <cell r="A1298">
            <v>31102192</v>
          </cell>
          <cell r="C1298">
            <v>31102192</v>
          </cell>
          <cell r="D1298">
            <v>31102192</v>
          </cell>
          <cell r="E1298">
            <v>31102192</v>
          </cell>
          <cell r="F1298">
            <v>31102192</v>
          </cell>
          <cell r="G1298">
            <v>31102192</v>
          </cell>
          <cell r="H1298">
            <v>31102192</v>
          </cell>
          <cell r="I1298" t="str">
            <v/>
          </cell>
          <cell r="J1298" t="str">
            <v/>
          </cell>
          <cell r="K1298" t="str">
            <v/>
          </cell>
          <cell r="L1298" t="str">
            <v/>
          </cell>
          <cell r="M1298" t="str">
            <v/>
          </cell>
        </row>
        <row r="1299">
          <cell r="A1299">
            <v>31102192</v>
          </cell>
          <cell r="C1299">
            <v>31102192</v>
          </cell>
          <cell r="D1299">
            <v>31102192</v>
          </cell>
          <cell r="E1299">
            <v>31102192</v>
          </cell>
          <cell r="F1299">
            <v>31102192</v>
          </cell>
          <cell r="G1299">
            <v>31102192</v>
          </cell>
          <cell r="H1299">
            <v>31102192</v>
          </cell>
          <cell r="I1299" t="str">
            <v/>
          </cell>
          <cell r="J1299" t="str">
            <v/>
          </cell>
          <cell r="K1299" t="str">
            <v/>
          </cell>
          <cell r="L1299" t="str">
            <v/>
          </cell>
          <cell r="M1299" t="str">
            <v/>
          </cell>
        </row>
        <row r="1300">
          <cell r="A1300">
            <v>31102192</v>
          </cell>
          <cell r="C1300">
            <v>31102192</v>
          </cell>
          <cell r="D1300">
            <v>31102192</v>
          </cell>
          <cell r="E1300">
            <v>31102192</v>
          </cell>
          <cell r="F1300">
            <v>31102192</v>
          </cell>
          <cell r="G1300">
            <v>31102192</v>
          </cell>
          <cell r="H1300">
            <v>31102192</v>
          </cell>
          <cell r="I1300" t="str">
            <v/>
          </cell>
          <cell r="J1300" t="str">
            <v/>
          </cell>
          <cell r="K1300" t="str">
            <v/>
          </cell>
          <cell r="L1300" t="str">
            <v/>
          </cell>
          <cell r="M1300" t="str">
            <v/>
          </cell>
        </row>
        <row r="1301">
          <cell r="A1301">
            <v>31102192</v>
          </cell>
          <cell r="C1301">
            <v>31102192</v>
          </cell>
          <cell r="D1301">
            <v>31102192</v>
          </cell>
          <cell r="E1301">
            <v>31102192</v>
          </cell>
          <cell r="F1301">
            <v>31102192</v>
          </cell>
          <cell r="G1301">
            <v>31102192</v>
          </cell>
          <cell r="H1301">
            <v>31102192</v>
          </cell>
          <cell r="I1301" t="str">
            <v/>
          </cell>
          <cell r="J1301" t="str">
            <v/>
          </cell>
          <cell r="K1301" t="str">
            <v/>
          </cell>
          <cell r="L1301" t="str">
            <v/>
          </cell>
          <cell r="M1301" t="str">
            <v/>
          </cell>
        </row>
        <row r="1302">
          <cell r="A1302">
            <v>31102192</v>
          </cell>
          <cell r="C1302">
            <v>31102192</v>
          </cell>
          <cell r="D1302">
            <v>31102192</v>
          </cell>
          <cell r="E1302">
            <v>31102192</v>
          </cell>
          <cell r="F1302">
            <v>31102192</v>
          </cell>
          <cell r="G1302">
            <v>31102192</v>
          </cell>
          <cell r="H1302">
            <v>31102192</v>
          </cell>
          <cell r="I1302" t="str">
            <v/>
          </cell>
          <cell r="J1302" t="str">
            <v/>
          </cell>
          <cell r="K1302" t="str">
            <v/>
          </cell>
          <cell r="L1302" t="str">
            <v/>
          </cell>
          <cell r="M1302" t="str">
            <v/>
          </cell>
        </row>
        <row r="1303">
          <cell r="A1303">
            <v>31102192</v>
          </cell>
          <cell r="C1303">
            <v>31102192</v>
          </cell>
          <cell r="D1303">
            <v>31102192</v>
          </cell>
          <cell r="E1303">
            <v>31102192</v>
          </cell>
          <cell r="F1303">
            <v>31102192</v>
          </cell>
          <cell r="G1303">
            <v>31102192</v>
          </cell>
          <cell r="H1303">
            <v>31102192</v>
          </cell>
          <cell r="I1303" t="str">
            <v/>
          </cell>
          <cell r="J1303" t="str">
            <v/>
          </cell>
          <cell r="K1303" t="str">
            <v/>
          </cell>
          <cell r="L1303" t="str">
            <v/>
          </cell>
          <cell r="M1303" t="str">
            <v/>
          </cell>
        </row>
        <row r="1304">
          <cell r="A1304">
            <v>31102192</v>
          </cell>
          <cell r="C1304">
            <v>31102192</v>
          </cell>
          <cell r="D1304">
            <v>31102192</v>
          </cell>
          <cell r="E1304">
            <v>31102192</v>
          </cell>
          <cell r="F1304">
            <v>31102192</v>
          </cell>
          <cell r="G1304">
            <v>31102192</v>
          </cell>
          <cell r="H1304">
            <v>31102192</v>
          </cell>
          <cell r="I1304" t="str">
            <v/>
          </cell>
          <cell r="J1304" t="str">
            <v/>
          </cell>
          <cell r="K1304" t="str">
            <v/>
          </cell>
          <cell r="L1304" t="str">
            <v/>
          </cell>
          <cell r="M1304" t="str">
            <v/>
          </cell>
        </row>
        <row r="1305">
          <cell r="A1305">
            <v>31102192</v>
          </cell>
          <cell r="C1305">
            <v>31102192</v>
          </cell>
          <cell r="D1305">
            <v>31102192</v>
          </cell>
          <cell r="E1305">
            <v>31102192</v>
          </cell>
          <cell r="F1305">
            <v>31102192</v>
          </cell>
          <cell r="G1305">
            <v>31102192</v>
          </cell>
          <cell r="H1305">
            <v>31102192</v>
          </cell>
          <cell r="I1305" t="str">
            <v/>
          </cell>
          <cell r="J1305" t="str">
            <v/>
          </cell>
          <cell r="K1305" t="str">
            <v/>
          </cell>
          <cell r="L1305" t="str">
            <v/>
          </cell>
          <cell r="M1305" t="str">
            <v/>
          </cell>
        </row>
        <row r="1306">
          <cell r="A1306">
            <v>31102192</v>
          </cell>
          <cell r="C1306">
            <v>31102192</v>
          </cell>
          <cell r="D1306">
            <v>31102192</v>
          </cell>
          <cell r="E1306">
            <v>31102192</v>
          </cell>
          <cell r="F1306">
            <v>31102192</v>
          </cell>
          <cell r="G1306">
            <v>31102192</v>
          </cell>
          <cell r="H1306">
            <v>31102192</v>
          </cell>
          <cell r="I1306" t="str">
            <v/>
          </cell>
          <cell r="J1306" t="str">
            <v/>
          </cell>
          <cell r="K1306" t="str">
            <v/>
          </cell>
          <cell r="L1306" t="str">
            <v/>
          </cell>
          <cell r="M1306" t="str">
            <v/>
          </cell>
        </row>
        <row r="1307">
          <cell r="A1307">
            <v>31102192</v>
          </cell>
          <cell r="C1307">
            <v>31102192</v>
          </cell>
          <cell r="D1307">
            <v>31102192</v>
          </cell>
          <cell r="E1307">
            <v>31102192</v>
          </cell>
          <cell r="F1307">
            <v>31102192</v>
          </cell>
          <cell r="G1307">
            <v>31102192</v>
          </cell>
          <cell r="H1307">
            <v>31102192</v>
          </cell>
          <cell r="I1307" t="str">
            <v/>
          </cell>
          <cell r="J1307" t="str">
            <v/>
          </cell>
          <cell r="K1307" t="str">
            <v/>
          </cell>
          <cell r="L1307" t="str">
            <v/>
          </cell>
          <cell r="M1307" t="str">
            <v/>
          </cell>
        </row>
        <row r="1308">
          <cell r="A1308">
            <v>31102192</v>
          </cell>
          <cell r="C1308">
            <v>31102192</v>
          </cell>
          <cell r="D1308">
            <v>31102192</v>
          </cell>
          <cell r="E1308">
            <v>31102192</v>
          </cell>
          <cell r="F1308">
            <v>31102192</v>
          </cell>
          <cell r="G1308">
            <v>31102192</v>
          </cell>
          <cell r="H1308">
            <v>31102192</v>
          </cell>
          <cell r="I1308" t="str">
            <v/>
          </cell>
          <cell r="J1308" t="str">
            <v/>
          </cell>
          <cell r="K1308" t="str">
            <v/>
          </cell>
          <cell r="L1308" t="str">
            <v/>
          </cell>
          <cell r="M1308" t="str">
            <v/>
          </cell>
        </row>
        <row r="1309">
          <cell r="A1309">
            <v>31102192</v>
          </cell>
          <cell r="C1309">
            <v>31102192</v>
          </cell>
          <cell r="D1309">
            <v>31102192</v>
          </cell>
          <cell r="E1309">
            <v>31102192</v>
          </cell>
          <cell r="F1309">
            <v>31102192</v>
          </cell>
          <cell r="G1309">
            <v>31102192</v>
          </cell>
          <cell r="H1309">
            <v>31102192</v>
          </cell>
          <cell r="I1309" t="str">
            <v/>
          </cell>
          <cell r="J1309" t="str">
            <v/>
          </cell>
          <cell r="K1309" t="str">
            <v/>
          </cell>
          <cell r="L1309" t="str">
            <v/>
          </cell>
          <cell r="M1309" t="str">
            <v/>
          </cell>
        </row>
        <row r="1310">
          <cell r="A1310">
            <v>31102192</v>
          </cell>
          <cell r="C1310">
            <v>31102192</v>
          </cell>
          <cell r="D1310">
            <v>31102192</v>
          </cell>
          <cell r="E1310">
            <v>31102192</v>
          </cell>
          <cell r="F1310">
            <v>31102192</v>
          </cell>
          <cell r="G1310">
            <v>31102192</v>
          </cell>
          <cell r="H1310">
            <v>31102192</v>
          </cell>
          <cell r="I1310" t="str">
            <v/>
          </cell>
          <cell r="J1310" t="str">
            <v/>
          </cell>
          <cell r="K1310" t="str">
            <v/>
          </cell>
          <cell r="L1310" t="str">
            <v/>
          </cell>
          <cell r="M1310" t="str">
            <v/>
          </cell>
        </row>
        <row r="1311">
          <cell r="A1311">
            <v>31102192</v>
          </cell>
          <cell r="C1311">
            <v>31102192</v>
          </cell>
          <cell r="D1311">
            <v>31102192</v>
          </cell>
          <cell r="E1311">
            <v>31102192</v>
          </cell>
          <cell r="F1311">
            <v>31102192</v>
          </cell>
          <cell r="G1311">
            <v>31102192</v>
          </cell>
          <cell r="H1311">
            <v>31102192</v>
          </cell>
          <cell r="I1311" t="str">
            <v/>
          </cell>
          <cell r="J1311" t="str">
            <v/>
          </cell>
          <cell r="K1311" t="str">
            <v/>
          </cell>
          <cell r="L1311" t="str">
            <v/>
          </cell>
          <cell r="M1311" t="str">
            <v/>
          </cell>
        </row>
        <row r="1312">
          <cell r="A1312">
            <v>31102192</v>
          </cell>
          <cell r="C1312">
            <v>31102192</v>
          </cell>
          <cell r="D1312">
            <v>31102192</v>
          </cell>
          <cell r="E1312">
            <v>31102192</v>
          </cell>
          <cell r="F1312">
            <v>31102192</v>
          </cell>
          <cell r="G1312">
            <v>31102192</v>
          </cell>
          <cell r="H1312">
            <v>31102192</v>
          </cell>
          <cell r="I1312" t="str">
            <v/>
          </cell>
          <cell r="J1312" t="str">
            <v/>
          </cell>
          <cell r="K1312" t="str">
            <v/>
          </cell>
          <cell r="L1312" t="str">
            <v/>
          </cell>
          <cell r="M1312" t="str">
            <v/>
          </cell>
        </row>
        <row r="1313">
          <cell r="A1313">
            <v>31102192</v>
          </cell>
          <cell r="C1313">
            <v>31102192</v>
          </cell>
          <cell r="D1313">
            <v>31102192</v>
          </cell>
          <cell r="E1313">
            <v>31102192</v>
          </cell>
          <cell r="F1313">
            <v>31102192</v>
          </cell>
          <cell r="G1313">
            <v>31102192</v>
          </cell>
          <cell r="H1313">
            <v>31102192</v>
          </cell>
          <cell r="I1313" t="str">
            <v/>
          </cell>
          <cell r="J1313" t="str">
            <v/>
          </cell>
          <cell r="K1313" t="str">
            <v/>
          </cell>
          <cell r="L1313" t="str">
            <v/>
          </cell>
          <cell r="M1313" t="str">
            <v/>
          </cell>
        </row>
        <row r="1314">
          <cell r="A1314">
            <v>31102192</v>
          </cell>
          <cell r="C1314">
            <v>31102192</v>
          </cell>
          <cell r="D1314">
            <v>31102192</v>
          </cell>
          <cell r="E1314">
            <v>31102192</v>
          </cell>
          <cell r="F1314">
            <v>31102192</v>
          </cell>
          <cell r="G1314">
            <v>31102192</v>
          </cell>
          <cell r="H1314">
            <v>31102192</v>
          </cell>
          <cell r="I1314" t="str">
            <v/>
          </cell>
          <cell r="J1314" t="str">
            <v/>
          </cell>
          <cell r="K1314" t="str">
            <v/>
          </cell>
          <cell r="L1314" t="str">
            <v/>
          </cell>
          <cell r="M1314" t="str">
            <v/>
          </cell>
        </row>
        <row r="1315">
          <cell r="A1315">
            <v>31102192</v>
          </cell>
          <cell r="C1315">
            <v>31102192</v>
          </cell>
          <cell r="D1315">
            <v>31102192</v>
          </cell>
          <cell r="E1315">
            <v>31102192</v>
          </cell>
          <cell r="F1315">
            <v>31102192</v>
          </cell>
          <cell r="G1315">
            <v>31102192</v>
          </cell>
          <cell r="H1315">
            <v>31102192</v>
          </cell>
          <cell r="I1315" t="str">
            <v/>
          </cell>
          <cell r="J1315" t="str">
            <v/>
          </cell>
          <cell r="K1315" t="str">
            <v/>
          </cell>
          <cell r="L1315" t="str">
            <v/>
          </cell>
          <cell r="M1315" t="str">
            <v/>
          </cell>
        </row>
        <row r="1316">
          <cell r="A1316">
            <v>31102192</v>
          </cell>
          <cell r="C1316">
            <v>31102192</v>
          </cell>
          <cell r="D1316">
            <v>31102192</v>
          </cell>
          <cell r="E1316">
            <v>31102192</v>
          </cell>
          <cell r="F1316">
            <v>31102192</v>
          </cell>
          <cell r="G1316">
            <v>31102192</v>
          </cell>
          <cell r="H1316">
            <v>31102192</v>
          </cell>
          <cell r="I1316" t="str">
            <v/>
          </cell>
          <cell r="J1316" t="str">
            <v/>
          </cell>
          <cell r="K1316" t="str">
            <v/>
          </cell>
          <cell r="L1316" t="str">
            <v/>
          </cell>
          <cell r="M1316" t="str">
            <v/>
          </cell>
        </row>
        <row r="1317">
          <cell r="A1317">
            <v>31102192</v>
          </cell>
          <cell r="C1317">
            <v>31102192</v>
          </cell>
          <cell r="D1317">
            <v>31102192</v>
          </cell>
          <cell r="E1317">
            <v>31102192</v>
          </cell>
          <cell r="F1317">
            <v>31102192</v>
          </cell>
          <cell r="G1317">
            <v>31102192</v>
          </cell>
          <cell r="H1317">
            <v>31102192</v>
          </cell>
          <cell r="I1317" t="str">
            <v/>
          </cell>
          <cell r="J1317" t="str">
            <v/>
          </cell>
          <cell r="K1317" t="str">
            <v/>
          </cell>
          <cell r="L1317" t="str">
            <v/>
          </cell>
          <cell r="M1317" t="str">
            <v/>
          </cell>
        </row>
        <row r="1318">
          <cell r="A1318">
            <v>31102192</v>
          </cell>
          <cell r="C1318">
            <v>31102192</v>
          </cell>
          <cell r="D1318">
            <v>31102192</v>
          </cell>
          <cell r="E1318">
            <v>31102192</v>
          </cell>
          <cell r="F1318">
            <v>31102192</v>
          </cell>
          <cell r="G1318">
            <v>31102192</v>
          </cell>
          <cell r="H1318">
            <v>31102192</v>
          </cell>
          <cell r="I1318" t="str">
            <v/>
          </cell>
          <cell r="J1318" t="str">
            <v/>
          </cell>
          <cell r="K1318" t="str">
            <v/>
          </cell>
          <cell r="L1318" t="str">
            <v/>
          </cell>
          <cell r="M1318" t="str">
            <v/>
          </cell>
        </row>
        <row r="1319">
          <cell r="A1319">
            <v>31102192</v>
          </cell>
          <cell r="C1319">
            <v>31102192</v>
          </cell>
          <cell r="D1319">
            <v>31102192</v>
          </cell>
          <cell r="E1319">
            <v>31102192</v>
          </cell>
          <cell r="F1319">
            <v>31102192</v>
          </cell>
          <cell r="G1319">
            <v>31102192</v>
          </cell>
          <cell r="H1319">
            <v>31102192</v>
          </cell>
          <cell r="I1319" t="str">
            <v/>
          </cell>
          <cell r="J1319" t="str">
            <v/>
          </cell>
          <cell r="K1319" t="str">
            <v/>
          </cell>
          <cell r="L1319" t="str">
            <v/>
          </cell>
          <cell r="M1319" t="str">
            <v/>
          </cell>
        </row>
        <row r="1320">
          <cell r="A1320">
            <v>31102192</v>
          </cell>
          <cell r="C1320">
            <v>31102192</v>
          </cell>
          <cell r="D1320">
            <v>31102192</v>
          </cell>
          <cell r="E1320">
            <v>31102192</v>
          </cell>
          <cell r="F1320">
            <v>31102192</v>
          </cell>
          <cell r="G1320">
            <v>31102192</v>
          </cell>
          <cell r="H1320">
            <v>31102192</v>
          </cell>
          <cell r="I1320" t="str">
            <v/>
          </cell>
          <cell r="J1320" t="str">
            <v/>
          </cell>
          <cell r="K1320" t="str">
            <v/>
          </cell>
          <cell r="L1320" t="str">
            <v/>
          </cell>
          <cell r="M1320" t="str">
            <v/>
          </cell>
        </row>
        <row r="1321">
          <cell r="A1321">
            <v>31102192</v>
          </cell>
          <cell r="C1321">
            <v>31102192</v>
          </cell>
          <cell r="D1321">
            <v>31102192</v>
          </cell>
          <cell r="E1321">
            <v>31102192</v>
          </cell>
          <cell r="F1321">
            <v>31102192</v>
          </cell>
          <cell r="G1321">
            <v>31102192</v>
          </cell>
          <cell r="H1321">
            <v>31102192</v>
          </cell>
          <cell r="I1321" t="str">
            <v/>
          </cell>
          <cell r="J1321" t="str">
            <v/>
          </cell>
          <cell r="K1321" t="str">
            <v/>
          </cell>
          <cell r="L1321" t="str">
            <v/>
          </cell>
          <cell r="M1321" t="str">
            <v/>
          </cell>
        </row>
        <row r="1322">
          <cell r="A1322">
            <v>31102192</v>
          </cell>
          <cell r="C1322">
            <v>31102192</v>
          </cell>
          <cell r="D1322">
            <v>31102192</v>
          </cell>
          <cell r="E1322">
            <v>31102192</v>
          </cell>
          <cell r="F1322">
            <v>31102192</v>
          </cell>
          <cell r="G1322">
            <v>31102192</v>
          </cell>
          <cell r="H1322">
            <v>31102192</v>
          </cell>
          <cell r="I1322" t="str">
            <v/>
          </cell>
          <cell r="J1322" t="str">
            <v/>
          </cell>
          <cell r="K1322" t="str">
            <v/>
          </cell>
          <cell r="L1322" t="str">
            <v/>
          </cell>
          <cell r="M1322" t="str">
            <v/>
          </cell>
        </row>
        <row r="1323">
          <cell r="A1323">
            <v>31102192</v>
          </cell>
          <cell r="C1323">
            <v>31102192</v>
          </cell>
          <cell r="D1323">
            <v>31102192</v>
          </cell>
          <cell r="E1323">
            <v>31102192</v>
          </cell>
          <cell r="F1323">
            <v>31102192</v>
          </cell>
          <cell r="G1323">
            <v>31102192</v>
          </cell>
          <cell r="H1323">
            <v>31102192</v>
          </cell>
          <cell r="I1323" t="str">
            <v/>
          </cell>
          <cell r="J1323" t="str">
            <v/>
          </cell>
          <cell r="K1323" t="str">
            <v/>
          </cell>
          <cell r="L1323" t="str">
            <v/>
          </cell>
          <cell r="M1323" t="str">
            <v/>
          </cell>
        </row>
        <row r="1324">
          <cell r="A1324">
            <v>31102192</v>
          </cell>
          <cell r="C1324">
            <v>31102192</v>
          </cell>
          <cell r="D1324">
            <v>31102192</v>
          </cell>
          <cell r="E1324">
            <v>31102192</v>
          </cell>
          <cell r="F1324">
            <v>31102192</v>
          </cell>
          <cell r="G1324">
            <v>31102192</v>
          </cell>
          <cell r="H1324">
            <v>31102192</v>
          </cell>
          <cell r="I1324" t="str">
            <v/>
          </cell>
          <cell r="J1324" t="str">
            <v/>
          </cell>
          <cell r="K1324" t="str">
            <v/>
          </cell>
          <cell r="L1324" t="str">
            <v/>
          </cell>
          <cell r="M1324" t="str">
            <v/>
          </cell>
        </row>
        <row r="1325">
          <cell r="A1325">
            <v>31102192</v>
          </cell>
          <cell r="C1325">
            <v>31102192</v>
          </cell>
          <cell r="D1325">
            <v>31102192</v>
          </cell>
          <cell r="E1325">
            <v>31102192</v>
          </cell>
          <cell r="F1325">
            <v>31102192</v>
          </cell>
          <cell r="G1325">
            <v>31102192</v>
          </cell>
          <cell r="H1325">
            <v>31102192</v>
          </cell>
          <cell r="I1325" t="str">
            <v/>
          </cell>
          <cell r="J1325" t="str">
            <v/>
          </cell>
          <cell r="K1325" t="str">
            <v/>
          </cell>
          <cell r="L1325" t="str">
            <v/>
          </cell>
          <cell r="M1325" t="str">
            <v/>
          </cell>
        </row>
        <row r="1326">
          <cell r="A1326">
            <v>31102192</v>
          </cell>
          <cell r="C1326">
            <v>31102192</v>
          </cell>
          <cell r="D1326">
            <v>31102192</v>
          </cell>
          <cell r="E1326">
            <v>31102192</v>
          </cell>
          <cell r="F1326">
            <v>31102192</v>
          </cell>
          <cell r="G1326">
            <v>31102192</v>
          </cell>
          <cell r="H1326">
            <v>31102192</v>
          </cell>
          <cell r="I1326" t="str">
            <v/>
          </cell>
          <cell r="J1326" t="str">
            <v/>
          </cell>
          <cell r="K1326" t="str">
            <v/>
          </cell>
          <cell r="L1326" t="str">
            <v/>
          </cell>
          <cell r="M1326" t="str">
            <v/>
          </cell>
        </row>
        <row r="1327">
          <cell r="A1327">
            <v>31102192</v>
          </cell>
          <cell r="C1327">
            <v>31102192</v>
          </cell>
          <cell r="D1327">
            <v>31102192</v>
          </cell>
          <cell r="E1327">
            <v>31102192</v>
          </cell>
          <cell r="F1327">
            <v>31102192</v>
          </cell>
          <cell r="G1327">
            <v>31102192</v>
          </cell>
          <cell r="H1327">
            <v>31102192</v>
          </cell>
          <cell r="I1327" t="str">
            <v/>
          </cell>
          <cell r="J1327" t="str">
            <v/>
          </cell>
          <cell r="K1327" t="str">
            <v/>
          </cell>
          <cell r="L1327" t="str">
            <v/>
          </cell>
          <cell r="M1327" t="str">
            <v/>
          </cell>
        </row>
        <row r="1328">
          <cell r="A1328">
            <v>31102192</v>
          </cell>
          <cell r="C1328">
            <v>31102192</v>
          </cell>
          <cell r="D1328">
            <v>31102192</v>
          </cell>
          <cell r="E1328">
            <v>31102192</v>
          </cell>
          <cell r="F1328">
            <v>31102192</v>
          </cell>
          <cell r="G1328">
            <v>31102192</v>
          </cell>
          <cell r="H1328">
            <v>31102192</v>
          </cell>
          <cell r="I1328" t="str">
            <v/>
          </cell>
          <cell r="J1328" t="str">
            <v/>
          </cell>
          <cell r="K1328" t="str">
            <v/>
          </cell>
          <cell r="L1328" t="str">
            <v/>
          </cell>
          <cell r="M1328" t="str">
            <v/>
          </cell>
        </row>
        <row r="1329">
          <cell r="A1329">
            <v>31102192</v>
          </cell>
          <cell r="C1329">
            <v>31102192</v>
          </cell>
          <cell r="D1329">
            <v>31102192</v>
          </cell>
          <cell r="E1329">
            <v>31102192</v>
          </cell>
          <cell r="F1329">
            <v>31102192</v>
          </cell>
          <cell r="G1329">
            <v>31102192</v>
          </cell>
          <cell r="H1329">
            <v>31102192</v>
          </cell>
          <cell r="I1329" t="str">
            <v/>
          </cell>
          <cell r="J1329" t="str">
            <v/>
          </cell>
          <cell r="K1329" t="str">
            <v/>
          </cell>
          <cell r="L1329" t="str">
            <v/>
          </cell>
          <cell r="M1329" t="str">
            <v/>
          </cell>
        </row>
        <row r="1330">
          <cell r="A1330">
            <v>31102192</v>
          </cell>
          <cell r="C1330">
            <v>31102192</v>
          </cell>
          <cell r="D1330">
            <v>31102192</v>
          </cell>
          <cell r="E1330">
            <v>31102192</v>
          </cell>
          <cell r="F1330">
            <v>31102192</v>
          </cell>
          <cell r="G1330">
            <v>31102192</v>
          </cell>
          <cell r="H1330">
            <v>31102192</v>
          </cell>
          <cell r="I1330" t="str">
            <v/>
          </cell>
          <cell r="J1330" t="str">
            <v/>
          </cell>
          <cell r="K1330" t="str">
            <v/>
          </cell>
          <cell r="L1330" t="str">
            <v/>
          </cell>
          <cell r="M1330" t="str">
            <v/>
          </cell>
        </row>
        <row r="1331">
          <cell r="A1331">
            <v>31102192</v>
          </cell>
          <cell r="C1331">
            <v>31102192</v>
          </cell>
          <cell r="D1331">
            <v>31102192</v>
          </cell>
          <cell r="E1331">
            <v>31102192</v>
          </cell>
          <cell r="F1331">
            <v>31102192</v>
          </cell>
          <cell r="G1331">
            <v>31102192</v>
          </cell>
          <cell r="H1331">
            <v>31102192</v>
          </cell>
          <cell r="I1331" t="str">
            <v/>
          </cell>
          <cell r="J1331" t="str">
            <v/>
          </cell>
          <cell r="K1331" t="str">
            <v/>
          </cell>
          <cell r="L1331" t="str">
            <v/>
          </cell>
          <cell r="M1331" t="str">
            <v/>
          </cell>
        </row>
        <row r="1332">
          <cell r="A1332">
            <v>31102192</v>
          </cell>
          <cell r="C1332">
            <v>31102192</v>
          </cell>
          <cell r="D1332">
            <v>31102192</v>
          </cell>
          <cell r="E1332">
            <v>31102192</v>
          </cell>
          <cell r="F1332">
            <v>31102192</v>
          </cell>
          <cell r="G1332">
            <v>31102192</v>
          </cell>
          <cell r="H1332">
            <v>31102192</v>
          </cell>
          <cell r="I1332" t="str">
            <v/>
          </cell>
          <cell r="J1332" t="str">
            <v/>
          </cell>
          <cell r="K1332" t="str">
            <v/>
          </cell>
          <cell r="L1332" t="str">
            <v/>
          </cell>
          <cell r="M1332" t="str">
            <v/>
          </cell>
        </row>
        <row r="1333">
          <cell r="A1333">
            <v>31102192</v>
          </cell>
          <cell r="C1333">
            <v>31102192</v>
          </cell>
          <cell r="D1333">
            <v>31102192</v>
          </cell>
          <cell r="E1333">
            <v>31102192</v>
          </cell>
          <cell r="F1333">
            <v>31102192</v>
          </cell>
          <cell r="G1333">
            <v>31102192</v>
          </cell>
          <cell r="H1333">
            <v>31102192</v>
          </cell>
          <cell r="I1333" t="str">
            <v/>
          </cell>
          <cell r="J1333" t="str">
            <v/>
          </cell>
          <cell r="K1333" t="str">
            <v/>
          </cell>
          <cell r="L1333" t="str">
            <v/>
          </cell>
          <cell r="M1333" t="str">
            <v/>
          </cell>
        </row>
        <row r="1334">
          <cell r="A1334">
            <v>31102192</v>
          </cell>
          <cell r="C1334">
            <v>31102192</v>
          </cell>
          <cell r="D1334">
            <v>31102192</v>
          </cell>
          <cell r="E1334">
            <v>31102192</v>
          </cell>
          <cell r="F1334">
            <v>31102192</v>
          </cell>
          <cell r="G1334">
            <v>31102192</v>
          </cell>
          <cell r="H1334">
            <v>31102192</v>
          </cell>
          <cell r="I1334" t="str">
            <v/>
          </cell>
          <cell r="J1334" t="str">
            <v/>
          </cell>
          <cell r="K1334" t="str">
            <v/>
          </cell>
          <cell r="L1334" t="str">
            <v/>
          </cell>
          <cell r="M1334" t="str">
            <v/>
          </cell>
        </row>
        <row r="1335">
          <cell r="A1335">
            <v>31102192</v>
          </cell>
          <cell r="C1335">
            <v>31102192</v>
          </cell>
          <cell r="D1335">
            <v>31102192</v>
          </cell>
          <cell r="E1335">
            <v>31102192</v>
          </cell>
          <cell r="F1335">
            <v>31102192</v>
          </cell>
          <cell r="G1335">
            <v>31102192</v>
          </cell>
          <cell r="H1335">
            <v>31102192</v>
          </cell>
          <cell r="I1335" t="str">
            <v/>
          </cell>
          <cell r="J1335" t="str">
            <v/>
          </cell>
          <cell r="K1335" t="str">
            <v/>
          </cell>
          <cell r="L1335" t="str">
            <v/>
          </cell>
          <cell r="M1335" t="str">
            <v/>
          </cell>
        </row>
        <row r="1336">
          <cell r="A1336">
            <v>31102192</v>
          </cell>
          <cell r="C1336">
            <v>31102192</v>
          </cell>
          <cell r="D1336">
            <v>31102192</v>
          </cell>
          <cell r="E1336">
            <v>31102192</v>
          </cell>
          <cell r="F1336">
            <v>31102192</v>
          </cell>
          <cell r="G1336">
            <v>31102192</v>
          </cell>
          <cell r="H1336">
            <v>31102192</v>
          </cell>
          <cell r="I1336" t="str">
            <v/>
          </cell>
          <cell r="J1336" t="str">
            <v/>
          </cell>
          <cell r="K1336" t="str">
            <v/>
          </cell>
          <cell r="L1336" t="str">
            <v/>
          </cell>
          <cell r="M1336" t="str">
            <v/>
          </cell>
        </row>
        <row r="1337">
          <cell r="A1337">
            <v>31102192</v>
          </cell>
          <cell r="C1337">
            <v>31102192</v>
          </cell>
          <cell r="D1337">
            <v>31102192</v>
          </cell>
          <cell r="E1337">
            <v>31102192</v>
          </cell>
          <cell r="F1337">
            <v>31102192</v>
          </cell>
          <cell r="G1337">
            <v>31102192</v>
          </cell>
          <cell r="H1337">
            <v>31102192</v>
          </cell>
          <cell r="I1337" t="str">
            <v/>
          </cell>
          <cell r="J1337" t="str">
            <v/>
          </cell>
          <cell r="K1337" t="str">
            <v/>
          </cell>
          <cell r="L1337" t="str">
            <v/>
          </cell>
          <cell r="M1337" t="str">
            <v/>
          </cell>
        </row>
        <row r="1338">
          <cell r="A1338">
            <v>31102192</v>
          </cell>
          <cell r="C1338">
            <v>31102192</v>
          </cell>
          <cell r="D1338">
            <v>31102192</v>
          </cell>
          <cell r="E1338">
            <v>31102192</v>
          </cell>
          <cell r="F1338">
            <v>31102192</v>
          </cell>
          <cell r="G1338">
            <v>31102192</v>
          </cell>
          <cell r="H1338">
            <v>31102192</v>
          </cell>
          <cell r="I1338" t="str">
            <v/>
          </cell>
          <cell r="J1338" t="str">
            <v/>
          </cell>
          <cell r="K1338" t="str">
            <v/>
          </cell>
          <cell r="L1338" t="str">
            <v/>
          </cell>
          <cell r="M1338" t="str">
            <v/>
          </cell>
        </row>
        <row r="1339">
          <cell r="A1339">
            <v>31102192</v>
          </cell>
          <cell r="C1339">
            <v>31102192</v>
          </cell>
          <cell r="D1339">
            <v>31102192</v>
          </cell>
          <cell r="E1339">
            <v>31102192</v>
          </cell>
          <cell r="F1339">
            <v>31102192</v>
          </cell>
          <cell r="G1339">
            <v>31102192</v>
          </cell>
          <cell r="H1339">
            <v>31102192</v>
          </cell>
          <cell r="I1339" t="str">
            <v/>
          </cell>
          <cell r="J1339" t="str">
            <v/>
          </cell>
          <cell r="K1339" t="str">
            <v/>
          </cell>
          <cell r="L1339" t="str">
            <v/>
          </cell>
          <cell r="M1339" t="str">
            <v/>
          </cell>
        </row>
        <row r="1340">
          <cell r="A1340">
            <v>31102192</v>
          </cell>
          <cell r="C1340">
            <v>31102192</v>
          </cell>
          <cell r="D1340">
            <v>31102192</v>
          </cell>
          <cell r="E1340">
            <v>31102192</v>
          </cell>
          <cell r="F1340">
            <v>31102192</v>
          </cell>
          <cell r="G1340">
            <v>31102192</v>
          </cell>
          <cell r="H1340">
            <v>31102192</v>
          </cell>
          <cell r="I1340" t="str">
            <v/>
          </cell>
          <cell r="J1340" t="str">
            <v/>
          </cell>
          <cell r="K1340" t="str">
            <v/>
          </cell>
          <cell r="L1340" t="str">
            <v/>
          </cell>
          <cell r="M1340" t="str">
            <v/>
          </cell>
        </row>
        <row r="1341">
          <cell r="A1341">
            <v>31102192</v>
          </cell>
          <cell r="C1341">
            <v>31102192</v>
          </cell>
          <cell r="D1341">
            <v>31102192</v>
          </cell>
          <cell r="E1341">
            <v>31102192</v>
          </cell>
          <cell r="F1341">
            <v>31102192</v>
          </cell>
          <cell r="G1341">
            <v>31102192</v>
          </cell>
          <cell r="H1341">
            <v>31102192</v>
          </cell>
          <cell r="I1341" t="str">
            <v/>
          </cell>
          <cell r="J1341" t="str">
            <v/>
          </cell>
          <cell r="K1341" t="str">
            <v/>
          </cell>
          <cell r="L1341" t="str">
            <v/>
          </cell>
          <cell r="M1341" t="str">
            <v/>
          </cell>
        </row>
        <row r="1342">
          <cell r="A1342">
            <v>31102192</v>
          </cell>
          <cell r="C1342">
            <v>31102192</v>
          </cell>
          <cell r="D1342">
            <v>31102192</v>
          </cell>
          <cell r="E1342">
            <v>31102192</v>
          </cell>
          <cell r="F1342">
            <v>31102192</v>
          </cell>
          <cell r="G1342">
            <v>31102192</v>
          </cell>
          <cell r="H1342">
            <v>31102192</v>
          </cell>
          <cell r="I1342" t="str">
            <v/>
          </cell>
          <cell r="J1342" t="str">
            <v/>
          </cell>
          <cell r="K1342" t="str">
            <v/>
          </cell>
          <cell r="L1342" t="str">
            <v/>
          </cell>
          <cell r="M1342" t="str">
            <v/>
          </cell>
        </row>
        <row r="1343">
          <cell r="A1343">
            <v>31102192</v>
          </cell>
          <cell r="C1343">
            <v>31102192</v>
          </cell>
          <cell r="D1343">
            <v>31102192</v>
          </cell>
          <cell r="E1343">
            <v>31102192</v>
          </cell>
          <cell r="F1343">
            <v>31102192</v>
          </cell>
          <cell r="G1343">
            <v>31102192</v>
          </cell>
          <cell r="H1343">
            <v>31102192</v>
          </cell>
          <cell r="I1343" t="str">
            <v/>
          </cell>
          <cell r="J1343" t="str">
            <v/>
          </cell>
          <cell r="K1343" t="str">
            <v/>
          </cell>
          <cell r="L1343" t="str">
            <v/>
          </cell>
          <cell r="M1343" t="str">
            <v/>
          </cell>
        </row>
        <row r="1344">
          <cell r="A1344">
            <v>31102192</v>
          </cell>
          <cell r="C1344">
            <v>31102192</v>
          </cell>
          <cell r="D1344">
            <v>31102192</v>
          </cell>
          <cell r="E1344">
            <v>31102192</v>
          </cell>
          <cell r="F1344">
            <v>31102192</v>
          </cell>
          <cell r="G1344">
            <v>31102192</v>
          </cell>
          <cell r="H1344">
            <v>31102192</v>
          </cell>
          <cell r="I1344" t="str">
            <v/>
          </cell>
          <cell r="J1344" t="str">
            <v/>
          </cell>
          <cell r="K1344" t="str">
            <v/>
          </cell>
          <cell r="L1344" t="str">
            <v/>
          </cell>
          <cell r="M1344" t="str">
            <v/>
          </cell>
        </row>
        <row r="1345">
          <cell r="A1345">
            <v>31102192</v>
          </cell>
          <cell r="C1345">
            <v>31102192</v>
          </cell>
          <cell r="D1345">
            <v>31102192</v>
          </cell>
          <cell r="E1345">
            <v>31102192</v>
          </cell>
          <cell r="F1345">
            <v>31102192</v>
          </cell>
          <cell r="G1345">
            <v>31102192</v>
          </cell>
          <cell r="H1345">
            <v>31102192</v>
          </cell>
          <cell r="I1345" t="str">
            <v/>
          </cell>
          <cell r="J1345" t="str">
            <v/>
          </cell>
          <cell r="K1345" t="str">
            <v/>
          </cell>
          <cell r="L1345" t="str">
            <v/>
          </cell>
          <cell r="M1345" t="str">
            <v/>
          </cell>
        </row>
        <row r="1346">
          <cell r="A1346">
            <v>31102192</v>
          </cell>
          <cell r="C1346">
            <v>31102192</v>
          </cell>
          <cell r="D1346">
            <v>31102192</v>
          </cell>
          <cell r="E1346">
            <v>31102192</v>
          </cell>
          <cell r="F1346">
            <v>31102192</v>
          </cell>
          <cell r="G1346">
            <v>31102192</v>
          </cell>
          <cell r="H1346">
            <v>31102192</v>
          </cell>
          <cell r="I1346" t="str">
            <v/>
          </cell>
          <cell r="J1346" t="str">
            <v/>
          </cell>
          <cell r="K1346" t="str">
            <v/>
          </cell>
          <cell r="L1346" t="str">
            <v/>
          </cell>
          <cell r="M1346" t="str">
            <v/>
          </cell>
        </row>
        <row r="1347">
          <cell r="A1347">
            <v>31102192</v>
          </cell>
          <cell r="C1347">
            <v>31102192</v>
          </cell>
          <cell r="D1347">
            <v>31102192</v>
          </cell>
          <cell r="E1347">
            <v>31102192</v>
          </cell>
          <cell r="F1347">
            <v>31102192</v>
          </cell>
          <cell r="G1347">
            <v>31102192</v>
          </cell>
          <cell r="H1347">
            <v>31102192</v>
          </cell>
          <cell r="I1347" t="str">
            <v/>
          </cell>
          <cell r="J1347" t="str">
            <v/>
          </cell>
          <cell r="K1347" t="str">
            <v/>
          </cell>
          <cell r="L1347" t="str">
            <v/>
          </cell>
          <cell r="M1347" t="str">
            <v/>
          </cell>
        </row>
        <row r="1348">
          <cell r="A1348">
            <v>31102192</v>
          </cell>
          <cell r="C1348">
            <v>31102192</v>
          </cell>
          <cell r="D1348">
            <v>31102192</v>
          </cell>
          <cell r="E1348">
            <v>31102192</v>
          </cell>
          <cell r="F1348">
            <v>31102192</v>
          </cell>
          <cell r="G1348">
            <v>31102192</v>
          </cell>
          <cell r="H1348">
            <v>31102192</v>
          </cell>
          <cell r="I1348" t="str">
            <v/>
          </cell>
          <cell r="J1348" t="str">
            <v/>
          </cell>
          <cell r="K1348" t="str">
            <v/>
          </cell>
          <cell r="L1348" t="str">
            <v/>
          </cell>
          <cell r="M1348" t="str">
            <v/>
          </cell>
        </row>
        <row r="1349">
          <cell r="A1349">
            <v>31102192</v>
          </cell>
          <cell r="C1349">
            <v>31102192</v>
          </cell>
          <cell r="D1349">
            <v>31102192</v>
          </cell>
          <cell r="E1349">
            <v>31102192</v>
          </cell>
          <cell r="F1349">
            <v>31102192</v>
          </cell>
          <cell r="G1349">
            <v>31102192</v>
          </cell>
          <cell r="H1349">
            <v>31102192</v>
          </cell>
          <cell r="I1349" t="str">
            <v/>
          </cell>
          <cell r="J1349" t="str">
            <v/>
          </cell>
          <cell r="K1349" t="str">
            <v/>
          </cell>
          <cell r="L1349" t="str">
            <v/>
          </cell>
          <cell r="M1349" t="str">
            <v/>
          </cell>
        </row>
        <row r="1350">
          <cell r="A1350">
            <v>31102192</v>
          </cell>
          <cell r="C1350">
            <v>31102192</v>
          </cell>
          <cell r="D1350">
            <v>31102192</v>
          </cell>
          <cell r="E1350">
            <v>31102192</v>
          </cell>
          <cell r="F1350">
            <v>31102192</v>
          </cell>
          <cell r="G1350">
            <v>31102192</v>
          </cell>
          <cell r="H1350">
            <v>31102192</v>
          </cell>
          <cell r="I1350" t="str">
            <v/>
          </cell>
          <cell r="J1350" t="str">
            <v/>
          </cell>
          <cell r="K1350" t="str">
            <v/>
          </cell>
          <cell r="L1350" t="str">
            <v/>
          </cell>
          <cell r="M1350" t="str">
            <v/>
          </cell>
        </row>
        <row r="1351">
          <cell r="A1351">
            <v>31102192</v>
          </cell>
          <cell r="C1351">
            <v>31102192</v>
          </cell>
          <cell r="D1351">
            <v>31102192</v>
          </cell>
          <cell r="E1351">
            <v>31102192</v>
          </cell>
          <cell r="F1351">
            <v>31102192</v>
          </cell>
          <cell r="G1351">
            <v>31102192</v>
          </cell>
          <cell r="H1351">
            <v>31102192</v>
          </cell>
          <cell r="I1351" t="str">
            <v/>
          </cell>
          <cell r="J1351" t="str">
            <v/>
          </cell>
          <cell r="K1351" t="str">
            <v/>
          </cell>
          <cell r="L1351" t="str">
            <v/>
          </cell>
          <cell r="M1351" t="str">
            <v/>
          </cell>
        </row>
        <row r="1352">
          <cell r="A1352">
            <v>31102192</v>
          </cell>
          <cell r="C1352">
            <v>31102192</v>
          </cell>
          <cell r="D1352">
            <v>31102192</v>
          </cell>
          <cell r="E1352">
            <v>31102192</v>
          </cell>
          <cell r="F1352">
            <v>31102192</v>
          </cell>
          <cell r="G1352">
            <v>31102192</v>
          </cell>
          <cell r="H1352">
            <v>31102192</v>
          </cell>
          <cell r="I1352" t="str">
            <v/>
          </cell>
          <cell r="J1352" t="str">
            <v/>
          </cell>
          <cell r="K1352" t="str">
            <v/>
          </cell>
          <cell r="L1352" t="str">
            <v/>
          </cell>
          <cell r="M1352" t="str">
            <v/>
          </cell>
        </row>
        <row r="1353">
          <cell r="A1353">
            <v>31102192</v>
          </cell>
          <cell r="C1353">
            <v>31102192</v>
          </cell>
          <cell r="D1353">
            <v>31102192</v>
          </cell>
          <cell r="E1353">
            <v>31102192</v>
          </cell>
          <cell r="F1353">
            <v>31102192</v>
          </cell>
          <cell r="G1353">
            <v>31102192</v>
          </cell>
          <cell r="H1353">
            <v>31102192</v>
          </cell>
          <cell r="I1353" t="str">
            <v/>
          </cell>
          <cell r="J1353" t="str">
            <v/>
          </cell>
          <cell r="K1353" t="str">
            <v/>
          </cell>
          <cell r="L1353" t="str">
            <v/>
          </cell>
          <cell r="M1353" t="str">
            <v/>
          </cell>
        </row>
        <row r="1354">
          <cell r="A1354">
            <v>31102192</v>
          </cell>
          <cell r="C1354">
            <v>31102192</v>
          </cell>
          <cell r="D1354">
            <v>31102192</v>
          </cell>
          <cell r="E1354">
            <v>31102192</v>
          </cell>
          <cell r="F1354">
            <v>31102192</v>
          </cell>
          <cell r="G1354">
            <v>31102192</v>
          </cell>
          <cell r="H1354">
            <v>31102192</v>
          </cell>
          <cell r="I1354" t="str">
            <v/>
          </cell>
          <cell r="J1354" t="str">
            <v/>
          </cell>
          <cell r="K1354" t="str">
            <v/>
          </cell>
          <cell r="L1354" t="str">
            <v/>
          </cell>
          <cell r="M1354" t="str">
            <v/>
          </cell>
        </row>
        <row r="1355">
          <cell r="A1355">
            <v>31102192</v>
          </cell>
          <cell r="C1355">
            <v>31102192</v>
          </cell>
          <cell r="D1355">
            <v>31102192</v>
          </cell>
          <cell r="E1355">
            <v>31102192</v>
          </cell>
          <cell r="F1355">
            <v>31102192</v>
          </cell>
          <cell r="G1355">
            <v>31102192</v>
          </cell>
          <cell r="H1355">
            <v>31102192</v>
          </cell>
          <cell r="I1355" t="str">
            <v/>
          </cell>
          <cell r="J1355" t="str">
            <v/>
          </cell>
          <cell r="K1355" t="str">
            <v/>
          </cell>
          <cell r="L1355" t="str">
            <v/>
          </cell>
          <cell r="M1355" t="str">
            <v/>
          </cell>
        </row>
        <row r="1356">
          <cell r="A1356">
            <v>31102192</v>
          </cell>
          <cell r="C1356">
            <v>31102192</v>
          </cell>
          <cell r="D1356">
            <v>31102192</v>
          </cell>
          <cell r="E1356">
            <v>31102192</v>
          </cell>
          <cell r="F1356">
            <v>31102192</v>
          </cell>
          <cell r="G1356">
            <v>31102192</v>
          </cell>
          <cell r="H1356">
            <v>31102192</v>
          </cell>
          <cell r="I1356" t="str">
            <v/>
          </cell>
          <cell r="J1356" t="str">
            <v/>
          </cell>
          <cell r="K1356" t="str">
            <v/>
          </cell>
          <cell r="L1356" t="str">
            <v/>
          </cell>
          <cell r="M1356" t="str">
            <v/>
          </cell>
        </row>
        <row r="1357">
          <cell r="A1357">
            <v>31102192</v>
          </cell>
          <cell r="C1357">
            <v>31102192</v>
          </cell>
          <cell r="D1357">
            <v>31102192</v>
          </cell>
          <cell r="E1357">
            <v>31102192</v>
          </cell>
          <cell r="F1357">
            <v>31102192</v>
          </cell>
          <cell r="G1357">
            <v>31102192</v>
          </cell>
          <cell r="H1357">
            <v>31102192</v>
          </cell>
          <cell r="I1357" t="str">
            <v/>
          </cell>
          <cell r="J1357" t="str">
            <v/>
          </cell>
          <cell r="K1357" t="str">
            <v/>
          </cell>
          <cell r="L1357" t="str">
            <v/>
          </cell>
          <cell r="M1357" t="str">
            <v/>
          </cell>
        </row>
        <row r="1358">
          <cell r="A1358">
            <v>31102192</v>
          </cell>
          <cell r="C1358">
            <v>31102192</v>
          </cell>
          <cell r="D1358">
            <v>31102192</v>
          </cell>
          <cell r="E1358">
            <v>31102192</v>
          </cell>
          <cell r="F1358">
            <v>31102192</v>
          </cell>
          <cell r="G1358">
            <v>31102192</v>
          </cell>
          <cell r="H1358">
            <v>31102192</v>
          </cell>
          <cell r="I1358" t="str">
            <v/>
          </cell>
          <cell r="J1358" t="str">
            <v/>
          </cell>
          <cell r="K1358" t="str">
            <v/>
          </cell>
          <cell r="L1358" t="str">
            <v/>
          </cell>
          <cell r="M1358" t="str">
            <v/>
          </cell>
        </row>
        <row r="1359">
          <cell r="A1359">
            <v>31102192</v>
          </cell>
          <cell r="C1359">
            <v>31102192</v>
          </cell>
          <cell r="D1359">
            <v>31102192</v>
          </cell>
          <cell r="E1359">
            <v>31102192</v>
          </cell>
          <cell r="F1359">
            <v>31102192</v>
          </cell>
          <cell r="G1359">
            <v>31102192</v>
          </cell>
          <cell r="H1359">
            <v>31102192</v>
          </cell>
          <cell r="I1359" t="str">
            <v/>
          </cell>
          <cell r="J1359" t="str">
            <v/>
          </cell>
          <cell r="K1359" t="str">
            <v/>
          </cell>
          <cell r="L1359" t="str">
            <v/>
          </cell>
          <cell r="M1359" t="str">
            <v/>
          </cell>
        </row>
        <row r="1360">
          <cell r="A1360">
            <v>31102192</v>
          </cell>
          <cell r="C1360">
            <v>31102192</v>
          </cell>
          <cell r="D1360">
            <v>31102192</v>
          </cell>
          <cell r="E1360">
            <v>31102192</v>
          </cell>
          <cell r="F1360">
            <v>31102192</v>
          </cell>
          <cell r="G1360">
            <v>31102192</v>
          </cell>
          <cell r="H1360">
            <v>31102192</v>
          </cell>
          <cell r="I1360" t="str">
            <v/>
          </cell>
          <cell r="J1360" t="str">
            <v/>
          </cell>
          <cell r="K1360" t="str">
            <v/>
          </cell>
          <cell r="L1360" t="str">
            <v/>
          </cell>
          <cell r="M1360" t="str">
            <v/>
          </cell>
        </row>
        <row r="1361">
          <cell r="A1361">
            <v>31102192</v>
          </cell>
          <cell r="C1361">
            <v>31102192</v>
          </cell>
          <cell r="D1361">
            <v>31102192</v>
          </cell>
          <cell r="E1361">
            <v>31102192</v>
          </cell>
          <cell r="F1361">
            <v>31102192</v>
          </cell>
          <cell r="G1361">
            <v>31102192</v>
          </cell>
          <cell r="H1361">
            <v>31102192</v>
          </cell>
          <cell r="I1361" t="str">
            <v/>
          </cell>
          <cell r="J1361" t="str">
            <v/>
          </cell>
          <cell r="K1361" t="str">
            <v/>
          </cell>
          <cell r="L1361" t="str">
            <v/>
          </cell>
          <cell r="M1361" t="str">
            <v/>
          </cell>
        </row>
        <row r="1362">
          <cell r="A1362">
            <v>31102192</v>
          </cell>
          <cell r="C1362">
            <v>31102192</v>
          </cell>
          <cell r="D1362">
            <v>31102192</v>
          </cell>
          <cell r="E1362">
            <v>31102192</v>
          </cell>
          <cell r="F1362">
            <v>31102192</v>
          </cell>
          <cell r="G1362">
            <v>31102192</v>
          </cell>
          <cell r="H1362">
            <v>31102192</v>
          </cell>
          <cell r="I1362" t="str">
            <v/>
          </cell>
          <cell r="J1362" t="str">
            <v/>
          </cell>
          <cell r="K1362" t="str">
            <v/>
          </cell>
          <cell r="L1362" t="str">
            <v/>
          </cell>
          <cell r="M1362" t="str">
            <v/>
          </cell>
        </row>
        <row r="1363">
          <cell r="A1363">
            <v>31102192</v>
          </cell>
          <cell r="C1363">
            <v>31102192</v>
          </cell>
          <cell r="D1363">
            <v>31102192</v>
          </cell>
          <cell r="E1363">
            <v>31102192</v>
          </cell>
          <cell r="F1363">
            <v>31102192</v>
          </cell>
          <cell r="G1363">
            <v>31102192</v>
          </cell>
          <cell r="H1363">
            <v>31102192</v>
          </cell>
          <cell r="I1363" t="str">
            <v/>
          </cell>
          <cell r="J1363" t="str">
            <v/>
          </cell>
          <cell r="K1363" t="str">
            <v/>
          </cell>
          <cell r="L1363" t="str">
            <v/>
          </cell>
          <cell r="M1363" t="str">
            <v/>
          </cell>
        </row>
        <row r="1364">
          <cell r="A1364">
            <v>31102192</v>
          </cell>
          <cell r="C1364">
            <v>31102192</v>
          </cell>
          <cell r="D1364">
            <v>31102192</v>
          </cell>
          <cell r="E1364">
            <v>31102192</v>
          </cell>
          <cell r="F1364">
            <v>31102192</v>
          </cell>
          <cell r="G1364">
            <v>31102192</v>
          </cell>
          <cell r="H1364">
            <v>31102192</v>
          </cell>
          <cell r="I1364" t="str">
            <v/>
          </cell>
          <cell r="J1364" t="str">
            <v/>
          </cell>
          <cell r="K1364" t="str">
            <v/>
          </cell>
          <cell r="L1364" t="str">
            <v/>
          </cell>
          <cell r="M1364" t="str">
            <v/>
          </cell>
        </row>
        <row r="1365">
          <cell r="A1365">
            <v>31102192</v>
          </cell>
          <cell r="C1365">
            <v>31102192</v>
          </cell>
          <cell r="D1365">
            <v>31102192</v>
          </cell>
          <cell r="E1365">
            <v>31102192</v>
          </cell>
          <cell r="F1365">
            <v>31102192</v>
          </cell>
          <cell r="G1365">
            <v>31102192</v>
          </cell>
          <cell r="H1365">
            <v>31102192</v>
          </cell>
          <cell r="I1365" t="str">
            <v/>
          </cell>
          <cell r="J1365" t="str">
            <v/>
          </cell>
          <cell r="K1365" t="str">
            <v/>
          </cell>
          <cell r="L1365" t="str">
            <v/>
          </cell>
          <cell r="M1365" t="str">
            <v/>
          </cell>
        </row>
        <row r="1366">
          <cell r="A1366">
            <v>31102192</v>
          </cell>
          <cell r="C1366">
            <v>31102192</v>
          </cell>
          <cell r="D1366">
            <v>31102192</v>
          </cell>
          <cell r="E1366">
            <v>31102192</v>
          </cell>
          <cell r="F1366">
            <v>31102192</v>
          </cell>
          <cell r="G1366">
            <v>31102192</v>
          </cell>
          <cell r="H1366">
            <v>31102192</v>
          </cell>
          <cell r="I1366" t="str">
            <v/>
          </cell>
          <cell r="J1366" t="str">
            <v/>
          </cell>
          <cell r="K1366" t="str">
            <v/>
          </cell>
          <cell r="L1366" t="str">
            <v/>
          </cell>
          <cell r="M1366" t="str">
            <v/>
          </cell>
        </row>
        <row r="1367">
          <cell r="A1367">
            <v>31102192</v>
          </cell>
          <cell r="C1367">
            <v>31102192</v>
          </cell>
          <cell r="D1367">
            <v>31102192</v>
          </cell>
          <cell r="E1367">
            <v>31102192</v>
          </cell>
          <cell r="F1367">
            <v>31102192</v>
          </cell>
          <cell r="G1367">
            <v>31102192</v>
          </cell>
          <cell r="H1367">
            <v>31102192</v>
          </cell>
          <cell r="I1367" t="str">
            <v/>
          </cell>
          <cell r="J1367" t="str">
            <v/>
          </cell>
          <cell r="K1367" t="str">
            <v/>
          </cell>
          <cell r="L1367" t="str">
            <v/>
          </cell>
          <cell r="M1367" t="str">
            <v/>
          </cell>
        </row>
        <row r="1368">
          <cell r="A1368">
            <v>31102192</v>
          </cell>
          <cell r="C1368">
            <v>31102192</v>
          </cell>
          <cell r="D1368">
            <v>31102192</v>
          </cell>
          <cell r="E1368">
            <v>31102192</v>
          </cell>
          <cell r="F1368">
            <v>31102192</v>
          </cell>
          <cell r="G1368">
            <v>31102192</v>
          </cell>
          <cell r="H1368">
            <v>31102192</v>
          </cell>
          <cell r="I1368" t="str">
            <v/>
          </cell>
          <cell r="J1368" t="str">
            <v/>
          </cell>
          <cell r="K1368" t="str">
            <v/>
          </cell>
          <cell r="L1368" t="str">
            <v/>
          </cell>
          <cell r="M1368" t="str">
            <v/>
          </cell>
        </row>
        <row r="1369">
          <cell r="A1369">
            <v>31102192</v>
          </cell>
          <cell r="C1369">
            <v>31102192</v>
          </cell>
          <cell r="D1369">
            <v>31102192</v>
          </cell>
          <cell r="E1369">
            <v>31102192</v>
          </cell>
          <cell r="F1369">
            <v>31102192</v>
          </cell>
          <cell r="G1369">
            <v>31102192</v>
          </cell>
          <cell r="H1369">
            <v>31102192</v>
          </cell>
          <cell r="I1369" t="str">
            <v/>
          </cell>
          <cell r="J1369" t="str">
            <v/>
          </cell>
          <cell r="K1369" t="str">
            <v/>
          </cell>
          <cell r="L1369" t="str">
            <v/>
          </cell>
          <cell r="M1369" t="str">
            <v/>
          </cell>
        </row>
        <row r="1370">
          <cell r="A1370">
            <v>31102192</v>
          </cell>
          <cell r="C1370">
            <v>31102192</v>
          </cell>
          <cell r="D1370">
            <v>31102192</v>
          </cell>
          <cell r="E1370">
            <v>31102192</v>
          </cell>
          <cell r="F1370">
            <v>31102192</v>
          </cell>
          <cell r="G1370">
            <v>31102192</v>
          </cell>
          <cell r="H1370">
            <v>31102192</v>
          </cell>
          <cell r="I1370" t="str">
            <v/>
          </cell>
          <cell r="J1370" t="str">
            <v/>
          </cell>
          <cell r="K1370" t="str">
            <v/>
          </cell>
          <cell r="L1370" t="str">
            <v/>
          </cell>
          <cell r="M1370" t="str">
            <v/>
          </cell>
        </row>
        <row r="1371">
          <cell r="A1371">
            <v>31102192</v>
          </cell>
          <cell r="C1371">
            <v>31102192</v>
          </cell>
          <cell r="D1371">
            <v>31102192</v>
          </cell>
          <cell r="E1371">
            <v>31102192</v>
          </cell>
          <cell r="F1371">
            <v>31102192</v>
          </cell>
          <cell r="G1371">
            <v>31102192</v>
          </cell>
          <cell r="H1371">
            <v>31102192</v>
          </cell>
          <cell r="I1371" t="str">
            <v/>
          </cell>
          <cell r="J1371" t="str">
            <v/>
          </cell>
          <cell r="K1371" t="str">
            <v/>
          </cell>
          <cell r="L1371" t="str">
            <v/>
          </cell>
          <cell r="M1371" t="str">
            <v/>
          </cell>
        </row>
        <row r="1372">
          <cell r="A1372">
            <v>31102192</v>
          </cell>
          <cell r="C1372">
            <v>31102192</v>
          </cell>
          <cell r="D1372">
            <v>31102192</v>
          </cell>
          <cell r="E1372">
            <v>31102192</v>
          </cell>
          <cell r="F1372">
            <v>31102192</v>
          </cell>
          <cell r="G1372">
            <v>31102192</v>
          </cell>
          <cell r="H1372">
            <v>31102192</v>
          </cell>
          <cell r="I1372" t="str">
            <v/>
          </cell>
          <cell r="J1372" t="str">
            <v/>
          </cell>
          <cell r="K1372" t="str">
            <v/>
          </cell>
          <cell r="L1372" t="str">
            <v/>
          </cell>
          <cell r="M1372" t="str">
            <v/>
          </cell>
        </row>
        <row r="1373">
          <cell r="A1373">
            <v>31102192</v>
          </cell>
          <cell r="C1373">
            <v>31102192</v>
          </cell>
          <cell r="D1373">
            <v>31102192</v>
          </cell>
          <cell r="E1373">
            <v>31102192</v>
          </cell>
          <cell r="F1373">
            <v>31102192</v>
          </cell>
          <cell r="G1373">
            <v>31102192</v>
          </cell>
          <cell r="H1373">
            <v>31102192</v>
          </cell>
          <cell r="I1373" t="str">
            <v/>
          </cell>
          <cell r="J1373" t="str">
            <v/>
          </cell>
          <cell r="K1373" t="str">
            <v/>
          </cell>
          <cell r="L1373" t="str">
            <v/>
          </cell>
          <cell r="M1373" t="str">
            <v/>
          </cell>
        </row>
        <row r="1374">
          <cell r="A1374">
            <v>31102192</v>
          </cell>
          <cell r="C1374">
            <v>31102192</v>
          </cell>
          <cell r="D1374">
            <v>31102192</v>
          </cell>
          <cell r="E1374">
            <v>31102192</v>
          </cell>
          <cell r="F1374">
            <v>31102192</v>
          </cell>
          <cell r="G1374">
            <v>31102192</v>
          </cell>
          <cell r="H1374">
            <v>31102192</v>
          </cell>
          <cell r="I1374" t="str">
            <v/>
          </cell>
          <cell r="J1374" t="str">
            <v/>
          </cell>
          <cell r="K1374" t="str">
            <v/>
          </cell>
          <cell r="L1374" t="str">
            <v/>
          </cell>
          <cell r="M1374" t="str">
            <v/>
          </cell>
        </row>
        <row r="1375">
          <cell r="A1375">
            <v>31102192</v>
          </cell>
          <cell r="C1375">
            <v>31102192</v>
          </cell>
          <cell r="D1375">
            <v>31102192</v>
          </cell>
          <cell r="E1375">
            <v>31102192</v>
          </cell>
          <cell r="F1375">
            <v>31102192</v>
          </cell>
          <cell r="G1375">
            <v>31102192</v>
          </cell>
          <cell r="H1375">
            <v>31102192</v>
          </cell>
          <cell r="I1375" t="str">
            <v/>
          </cell>
          <cell r="J1375" t="str">
            <v/>
          </cell>
          <cell r="K1375" t="str">
            <v/>
          </cell>
          <cell r="L1375" t="str">
            <v/>
          </cell>
          <cell r="M1375" t="str">
            <v/>
          </cell>
        </row>
        <row r="1376">
          <cell r="A1376">
            <v>31102192</v>
          </cell>
          <cell r="C1376">
            <v>31102192</v>
          </cell>
          <cell r="D1376">
            <v>31102192</v>
          </cell>
          <cell r="E1376">
            <v>31102192</v>
          </cell>
          <cell r="F1376">
            <v>31102192</v>
          </cell>
          <cell r="G1376">
            <v>31102192</v>
          </cell>
          <cell r="H1376">
            <v>31102192</v>
          </cell>
          <cell r="I1376" t="str">
            <v/>
          </cell>
          <cell r="J1376" t="str">
            <v/>
          </cell>
          <cell r="K1376" t="str">
            <v/>
          </cell>
          <cell r="L1376" t="str">
            <v/>
          </cell>
          <cell r="M1376" t="str">
            <v/>
          </cell>
        </row>
        <row r="1377">
          <cell r="A1377">
            <v>31102192</v>
          </cell>
          <cell r="C1377">
            <v>31102192</v>
          </cell>
          <cell r="D1377">
            <v>31102192</v>
          </cell>
          <cell r="E1377">
            <v>31102192</v>
          </cell>
          <cell r="F1377">
            <v>31102192</v>
          </cell>
          <cell r="G1377">
            <v>31102192</v>
          </cell>
          <cell r="H1377">
            <v>31102192</v>
          </cell>
          <cell r="I1377" t="str">
            <v/>
          </cell>
          <cell r="J1377" t="str">
            <v/>
          </cell>
          <cell r="K1377" t="str">
            <v/>
          </cell>
          <cell r="L1377" t="str">
            <v/>
          </cell>
          <cell r="M1377" t="str">
            <v/>
          </cell>
        </row>
        <row r="1378">
          <cell r="A1378">
            <v>31102192</v>
          </cell>
          <cell r="C1378">
            <v>31102192</v>
          </cell>
          <cell r="D1378">
            <v>31102192</v>
          </cell>
          <cell r="E1378">
            <v>31102192</v>
          </cell>
          <cell r="F1378">
            <v>31102192</v>
          </cell>
          <cell r="G1378">
            <v>31102192</v>
          </cell>
          <cell r="H1378">
            <v>31102192</v>
          </cell>
          <cell r="I1378" t="str">
            <v/>
          </cell>
          <cell r="J1378" t="str">
            <v/>
          </cell>
          <cell r="K1378" t="str">
            <v/>
          </cell>
          <cell r="L1378" t="str">
            <v/>
          </cell>
          <cell r="M1378" t="str">
            <v/>
          </cell>
        </row>
        <row r="1379">
          <cell r="A1379">
            <v>31102192</v>
          </cell>
          <cell r="C1379">
            <v>31102192</v>
          </cell>
          <cell r="D1379">
            <v>31102192</v>
          </cell>
          <cell r="E1379">
            <v>31102192</v>
          </cell>
          <cell r="F1379">
            <v>31102192</v>
          </cell>
          <cell r="G1379">
            <v>31102192</v>
          </cell>
          <cell r="H1379">
            <v>31102192</v>
          </cell>
          <cell r="I1379" t="str">
            <v/>
          </cell>
          <cell r="J1379" t="str">
            <v/>
          </cell>
          <cell r="K1379" t="str">
            <v/>
          </cell>
          <cell r="L1379" t="str">
            <v/>
          </cell>
          <cell r="M1379" t="str">
            <v/>
          </cell>
        </row>
        <row r="1380">
          <cell r="A1380">
            <v>31102192</v>
          </cell>
          <cell r="C1380">
            <v>31102192</v>
          </cell>
          <cell r="D1380">
            <v>31102192</v>
          </cell>
          <cell r="E1380">
            <v>31102192</v>
          </cell>
          <cell r="F1380">
            <v>31102192</v>
          </cell>
          <cell r="G1380">
            <v>31102192</v>
          </cell>
          <cell r="H1380">
            <v>31102192</v>
          </cell>
          <cell r="I1380" t="str">
            <v/>
          </cell>
          <cell r="J1380" t="str">
            <v/>
          </cell>
          <cell r="K1380" t="str">
            <v/>
          </cell>
          <cell r="L1380" t="str">
            <v/>
          </cell>
          <cell r="M1380" t="str">
            <v/>
          </cell>
        </row>
        <row r="1381">
          <cell r="A1381">
            <v>31102192</v>
          </cell>
          <cell r="C1381">
            <v>31102192</v>
          </cell>
          <cell r="D1381">
            <v>31102192</v>
          </cell>
          <cell r="E1381">
            <v>31102192</v>
          </cell>
          <cell r="F1381">
            <v>31102192</v>
          </cell>
          <cell r="G1381">
            <v>31102192</v>
          </cell>
          <cell r="H1381">
            <v>31102192</v>
          </cell>
          <cell r="I1381" t="str">
            <v/>
          </cell>
          <cell r="J1381" t="str">
            <v/>
          </cell>
          <cell r="K1381" t="str">
            <v/>
          </cell>
          <cell r="L1381" t="str">
            <v/>
          </cell>
          <cell r="M1381" t="str">
            <v/>
          </cell>
        </row>
        <row r="1382">
          <cell r="A1382">
            <v>31102192</v>
          </cell>
          <cell r="C1382">
            <v>31102192</v>
          </cell>
          <cell r="D1382">
            <v>31102192</v>
          </cell>
          <cell r="E1382">
            <v>31102192</v>
          </cell>
          <cell r="F1382">
            <v>31102192</v>
          </cell>
          <cell r="G1382">
            <v>31102192</v>
          </cell>
          <cell r="H1382">
            <v>31102192</v>
          </cell>
          <cell r="I1382" t="str">
            <v/>
          </cell>
          <cell r="J1382" t="str">
            <v/>
          </cell>
          <cell r="K1382" t="str">
            <v/>
          </cell>
          <cell r="L1382" t="str">
            <v/>
          </cell>
          <cell r="M1382" t="str">
            <v/>
          </cell>
        </row>
        <row r="1383">
          <cell r="A1383">
            <v>31102192</v>
          </cell>
          <cell r="C1383">
            <v>31102192</v>
          </cell>
          <cell r="D1383">
            <v>31102192</v>
          </cell>
          <cell r="E1383">
            <v>31102192</v>
          </cell>
          <cell r="F1383">
            <v>31102192</v>
          </cell>
          <cell r="G1383">
            <v>31102192</v>
          </cell>
          <cell r="H1383">
            <v>31102192</v>
          </cell>
          <cell r="I1383" t="str">
            <v/>
          </cell>
          <cell r="J1383" t="str">
            <v/>
          </cell>
          <cell r="K1383" t="str">
            <v/>
          </cell>
          <cell r="L1383" t="str">
            <v/>
          </cell>
          <cell r="M1383" t="str">
            <v/>
          </cell>
        </row>
        <row r="1384">
          <cell r="A1384">
            <v>31102192</v>
          </cell>
          <cell r="C1384">
            <v>31102192</v>
          </cell>
          <cell r="D1384">
            <v>31102192</v>
          </cell>
          <cell r="E1384">
            <v>31102192</v>
          </cell>
          <cell r="F1384">
            <v>31102192</v>
          </cell>
          <cell r="G1384">
            <v>31102192</v>
          </cell>
          <cell r="H1384">
            <v>31102192</v>
          </cell>
          <cell r="I1384" t="str">
            <v/>
          </cell>
          <cell r="J1384" t="str">
            <v/>
          </cell>
          <cell r="K1384" t="str">
            <v/>
          </cell>
          <cell r="L1384" t="str">
            <v/>
          </cell>
          <cell r="M1384" t="str">
            <v/>
          </cell>
        </row>
        <row r="1385">
          <cell r="A1385">
            <v>31102192</v>
          </cell>
          <cell r="C1385">
            <v>31102192</v>
          </cell>
          <cell r="D1385">
            <v>31102192</v>
          </cell>
          <cell r="E1385">
            <v>31102192</v>
          </cell>
          <cell r="F1385">
            <v>31102192</v>
          </cell>
          <cell r="G1385">
            <v>31102192</v>
          </cell>
          <cell r="H1385">
            <v>31102192</v>
          </cell>
          <cell r="I1385" t="str">
            <v/>
          </cell>
          <cell r="J1385" t="str">
            <v/>
          </cell>
          <cell r="K1385" t="str">
            <v/>
          </cell>
          <cell r="L1385" t="str">
            <v/>
          </cell>
          <cell r="M1385" t="str">
            <v/>
          </cell>
        </row>
        <row r="1386">
          <cell r="A1386">
            <v>31102192</v>
          </cell>
          <cell r="C1386">
            <v>31102192</v>
          </cell>
          <cell r="D1386">
            <v>31102192</v>
          </cell>
          <cell r="E1386">
            <v>31102192</v>
          </cell>
          <cell r="F1386">
            <v>31102192</v>
          </cell>
          <cell r="G1386">
            <v>31102192</v>
          </cell>
          <cell r="H1386">
            <v>31102192</v>
          </cell>
          <cell r="I1386" t="str">
            <v/>
          </cell>
          <cell r="J1386" t="str">
            <v/>
          </cell>
          <cell r="K1386" t="str">
            <v/>
          </cell>
          <cell r="L1386" t="str">
            <v/>
          </cell>
          <cell r="M1386" t="str">
            <v/>
          </cell>
        </row>
        <row r="1387">
          <cell r="A1387">
            <v>31102192</v>
          </cell>
          <cell r="C1387">
            <v>31102192</v>
          </cell>
          <cell r="D1387">
            <v>31102192</v>
          </cell>
          <cell r="E1387">
            <v>31102192</v>
          </cell>
          <cell r="F1387">
            <v>31102192</v>
          </cell>
          <cell r="G1387">
            <v>31102192</v>
          </cell>
          <cell r="H1387">
            <v>31102192</v>
          </cell>
          <cell r="I1387" t="str">
            <v/>
          </cell>
          <cell r="J1387" t="str">
            <v/>
          </cell>
          <cell r="K1387" t="str">
            <v/>
          </cell>
          <cell r="L1387" t="str">
            <v/>
          </cell>
          <cell r="M1387" t="str">
            <v/>
          </cell>
        </row>
        <row r="1388">
          <cell r="A1388">
            <v>31102192</v>
          </cell>
          <cell r="C1388">
            <v>31102192</v>
          </cell>
          <cell r="D1388">
            <v>31102192</v>
          </cell>
          <cell r="E1388">
            <v>31102192</v>
          </cell>
          <cell r="F1388">
            <v>31102192</v>
          </cell>
          <cell r="G1388">
            <v>31102192</v>
          </cell>
          <cell r="H1388">
            <v>31102192</v>
          </cell>
          <cell r="I1388" t="str">
            <v/>
          </cell>
          <cell r="J1388" t="str">
            <v/>
          </cell>
          <cell r="K1388" t="str">
            <v/>
          </cell>
          <cell r="L1388" t="str">
            <v/>
          </cell>
          <cell r="M1388" t="str">
            <v/>
          </cell>
        </row>
        <row r="1389">
          <cell r="A1389">
            <v>31102192</v>
          </cell>
          <cell r="C1389">
            <v>31102192</v>
          </cell>
          <cell r="D1389">
            <v>31102192</v>
          </cell>
          <cell r="E1389">
            <v>31102192</v>
          </cell>
          <cell r="F1389">
            <v>31102192</v>
          </cell>
          <cell r="G1389">
            <v>31102192</v>
          </cell>
          <cell r="H1389">
            <v>31102192</v>
          </cell>
          <cell r="I1389" t="str">
            <v/>
          </cell>
          <cell r="J1389" t="str">
            <v/>
          </cell>
          <cell r="K1389" t="str">
            <v/>
          </cell>
          <cell r="L1389" t="str">
            <v/>
          </cell>
          <cell r="M1389" t="str">
            <v/>
          </cell>
        </row>
        <row r="1390">
          <cell r="A1390">
            <v>31102192</v>
          </cell>
          <cell r="C1390">
            <v>31102192</v>
          </cell>
          <cell r="D1390">
            <v>31102192</v>
          </cell>
          <cell r="E1390">
            <v>31102192</v>
          </cell>
          <cell r="F1390">
            <v>31102192</v>
          </cell>
          <cell r="G1390">
            <v>31102192</v>
          </cell>
          <cell r="H1390">
            <v>31102192</v>
          </cell>
          <cell r="I1390" t="str">
            <v/>
          </cell>
          <cell r="J1390" t="str">
            <v/>
          </cell>
          <cell r="K1390" t="str">
            <v/>
          </cell>
          <cell r="L1390" t="str">
            <v/>
          </cell>
          <cell r="M1390" t="str">
            <v/>
          </cell>
        </row>
        <row r="1391">
          <cell r="A1391">
            <v>31102192</v>
          </cell>
          <cell r="C1391">
            <v>31102192</v>
          </cell>
          <cell r="D1391">
            <v>31102192</v>
          </cell>
          <cell r="E1391">
            <v>31102192</v>
          </cell>
          <cell r="F1391">
            <v>31102192</v>
          </cell>
          <cell r="G1391">
            <v>31102192</v>
          </cell>
          <cell r="H1391">
            <v>31102192</v>
          </cell>
          <cell r="I1391" t="str">
            <v/>
          </cell>
          <cell r="J1391" t="str">
            <v/>
          </cell>
          <cell r="K1391" t="str">
            <v/>
          </cell>
          <cell r="L1391" t="str">
            <v/>
          </cell>
          <cell r="M1391" t="str">
            <v/>
          </cell>
        </row>
        <row r="1392">
          <cell r="A1392">
            <v>31102192</v>
          </cell>
          <cell r="C1392">
            <v>31102192</v>
          </cell>
          <cell r="D1392">
            <v>31102192</v>
          </cell>
          <cell r="E1392">
            <v>31102192</v>
          </cell>
          <cell r="F1392">
            <v>31102192</v>
          </cell>
          <cell r="G1392">
            <v>31102192</v>
          </cell>
          <cell r="H1392">
            <v>31102192</v>
          </cell>
          <cell r="I1392" t="str">
            <v/>
          </cell>
          <cell r="J1392" t="str">
            <v/>
          </cell>
          <cell r="K1392" t="str">
            <v/>
          </cell>
          <cell r="L1392" t="str">
            <v/>
          </cell>
          <cell r="M1392" t="str">
            <v/>
          </cell>
        </row>
        <row r="1393">
          <cell r="A1393">
            <v>31102192</v>
          </cell>
          <cell r="C1393">
            <v>31102192</v>
          </cell>
          <cell r="D1393">
            <v>31102192</v>
          </cell>
          <cell r="E1393">
            <v>31102192</v>
          </cell>
          <cell r="F1393">
            <v>31102192</v>
          </cell>
          <cell r="G1393">
            <v>31102192</v>
          </cell>
          <cell r="H1393">
            <v>31102192</v>
          </cell>
          <cell r="I1393" t="str">
            <v/>
          </cell>
          <cell r="J1393" t="str">
            <v/>
          </cell>
          <cell r="K1393" t="str">
            <v/>
          </cell>
          <cell r="L1393" t="str">
            <v/>
          </cell>
          <cell r="M1393" t="str">
            <v/>
          </cell>
        </row>
        <row r="1394">
          <cell r="A1394">
            <v>31102192</v>
          </cell>
          <cell r="C1394">
            <v>31102192</v>
          </cell>
          <cell r="D1394">
            <v>31102192</v>
          </cell>
          <cell r="E1394">
            <v>31102192</v>
          </cell>
          <cell r="F1394">
            <v>31102192</v>
          </cell>
          <cell r="G1394">
            <v>31102192</v>
          </cell>
          <cell r="H1394">
            <v>31102192</v>
          </cell>
          <cell r="I1394" t="str">
            <v/>
          </cell>
          <cell r="J1394" t="str">
            <v/>
          </cell>
          <cell r="K1394" t="str">
            <v/>
          </cell>
          <cell r="L1394" t="str">
            <v/>
          </cell>
          <cell r="M1394" t="str">
            <v/>
          </cell>
        </row>
        <row r="1395">
          <cell r="A1395">
            <v>31102192</v>
          </cell>
          <cell r="C1395">
            <v>31102192</v>
          </cell>
          <cell r="D1395">
            <v>31102192</v>
          </cell>
          <cell r="E1395">
            <v>31102192</v>
          </cell>
          <cell r="F1395">
            <v>31102192</v>
          </cell>
          <cell r="G1395">
            <v>31102192</v>
          </cell>
          <cell r="H1395">
            <v>31102192</v>
          </cell>
          <cell r="I1395" t="str">
            <v/>
          </cell>
          <cell r="J1395" t="str">
            <v/>
          </cell>
          <cell r="K1395" t="str">
            <v/>
          </cell>
          <cell r="L1395" t="str">
            <v/>
          </cell>
          <cell r="M1395" t="str">
            <v/>
          </cell>
        </row>
        <row r="1396">
          <cell r="A1396">
            <v>31102192</v>
          </cell>
          <cell r="C1396">
            <v>31102192</v>
          </cell>
          <cell r="D1396">
            <v>31102192</v>
          </cell>
          <cell r="E1396">
            <v>31102192</v>
          </cell>
          <cell r="F1396">
            <v>31102192</v>
          </cell>
          <cell r="G1396">
            <v>31102192</v>
          </cell>
          <cell r="H1396">
            <v>31102192</v>
          </cell>
          <cell r="I1396" t="str">
            <v/>
          </cell>
          <cell r="J1396" t="str">
            <v/>
          </cell>
          <cell r="K1396" t="str">
            <v/>
          </cell>
          <cell r="L1396" t="str">
            <v/>
          </cell>
          <cell r="M1396" t="str">
            <v/>
          </cell>
        </row>
        <row r="1397">
          <cell r="A1397">
            <v>31102192</v>
          </cell>
          <cell r="C1397">
            <v>31102192</v>
          </cell>
          <cell r="D1397">
            <v>31102192</v>
          </cell>
          <cell r="E1397">
            <v>31102192</v>
          </cell>
          <cell r="F1397">
            <v>31102192</v>
          </cell>
          <cell r="G1397">
            <v>31102192</v>
          </cell>
          <cell r="H1397">
            <v>31102192</v>
          </cell>
          <cell r="I1397" t="str">
            <v/>
          </cell>
          <cell r="J1397" t="str">
            <v/>
          </cell>
          <cell r="K1397" t="str">
            <v/>
          </cell>
          <cell r="L1397" t="str">
            <v/>
          </cell>
          <cell r="M1397" t="str">
            <v/>
          </cell>
        </row>
        <row r="1398">
          <cell r="A1398">
            <v>31102192</v>
          </cell>
          <cell r="C1398">
            <v>31102192</v>
          </cell>
          <cell r="D1398">
            <v>31102192</v>
          </cell>
          <cell r="E1398">
            <v>31102192</v>
          </cell>
          <cell r="F1398">
            <v>31102192</v>
          </cell>
          <cell r="G1398">
            <v>31102192</v>
          </cell>
          <cell r="H1398">
            <v>31102192</v>
          </cell>
          <cell r="I1398" t="str">
            <v/>
          </cell>
          <cell r="J1398" t="str">
            <v/>
          </cell>
          <cell r="K1398" t="str">
            <v/>
          </cell>
          <cell r="L1398" t="str">
            <v/>
          </cell>
          <cell r="M1398" t="str">
            <v/>
          </cell>
        </row>
        <row r="1399">
          <cell r="A1399">
            <v>31102192</v>
          </cell>
          <cell r="C1399">
            <v>31102192</v>
          </cell>
          <cell r="D1399">
            <v>31102192</v>
          </cell>
          <cell r="E1399">
            <v>31102192</v>
          </cell>
          <cell r="F1399">
            <v>31102192</v>
          </cell>
          <cell r="G1399">
            <v>31102192</v>
          </cell>
          <cell r="H1399">
            <v>31102192</v>
          </cell>
          <cell r="I1399" t="str">
            <v/>
          </cell>
          <cell r="J1399" t="str">
            <v/>
          </cell>
          <cell r="K1399" t="str">
            <v/>
          </cell>
          <cell r="L1399" t="str">
            <v/>
          </cell>
          <cell r="M1399" t="str">
            <v/>
          </cell>
        </row>
        <row r="1400">
          <cell r="A1400">
            <v>31102192</v>
          </cell>
          <cell r="C1400">
            <v>31102192</v>
          </cell>
          <cell r="D1400">
            <v>31102192</v>
          </cell>
          <cell r="E1400">
            <v>31102192</v>
          </cell>
          <cell r="F1400">
            <v>31102192</v>
          </cell>
          <cell r="G1400">
            <v>31102192</v>
          </cell>
          <cell r="H1400">
            <v>31102192</v>
          </cell>
          <cell r="I1400" t="str">
            <v/>
          </cell>
          <cell r="J1400" t="str">
            <v/>
          </cell>
          <cell r="K1400" t="str">
            <v/>
          </cell>
          <cell r="L1400" t="str">
            <v/>
          </cell>
          <cell r="M1400" t="str">
            <v/>
          </cell>
        </row>
        <row r="1401">
          <cell r="A1401">
            <v>31102192</v>
          </cell>
          <cell r="C1401">
            <v>31102192</v>
          </cell>
          <cell r="D1401">
            <v>31102192</v>
          </cell>
          <cell r="E1401">
            <v>31102192</v>
          </cell>
          <cell r="F1401">
            <v>31102192</v>
          </cell>
          <cell r="G1401">
            <v>31102192</v>
          </cell>
          <cell r="H1401">
            <v>31102192</v>
          </cell>
          <cell r="I1401" t="str">
            <v/>
          </cell>
          <cell r="J1401" t="str">
            <v/>
          </cell>
          <cell r="K1401" t="str">
            <v/>
          </cell>
          <cell r="L1401" t="str">
            <v/>
          </cell>
          <cell r="M1401" t="str">
            <v/>
          </cell>
        </row>
        <row r="1402">
          <cell r="A1402">
            <v>31102192</v>
          </cell>
          <cell r="C1402">
            <v>31102192</v>
          </cell>
          <cell r="D1402">
            <v>31102192</v>
          </cell>
          <cell r="E1402">
            <v>31102192</v>
          </cell>
          <cell r="F1402">
            <v>31102192</v>
          </cell>
          <cell r="G1402">
            <v>31102192</v>
          </cell>
          <cell r="H1402">
            <v>31102192</v>
          </cell>
          <cell r="I1402" t="str">
            <v/>
          </cell>
          <cell r="J1402" t="str">
            <v/>
          </cell>
          <cell r="K1402" t="str">
            <v/>
          </cell>
          <cell r="L1402" t="str">
            <v/>
          </cell>
          <cell r="M1402" t="str">
            <v/>
          </cell>
        </row>
        <row r="1403">
          <cell r="A1403">
            <v>31102192</v>
          </cell>
          <cell r="C1403">
            <v>31102192</v>
          </cell>
          <cell r="D1403">
            <v>31102192</v>
          </cell>
          <cell r="E1403">
            <v>31102192</v>
          </cell>
          <cell r="F1403">
            <v>31102192</v>
          </cell>
          <cell r="G1403">
            <v>31102192</v>
          </cell>
          <cell r="H1403">
            <v>31102192</v>
          </cell>
          <cell r="I1403" t="str">
            <v/>
          </cell>
          <cell r="J1403" t="str">
            <v/>
          </cell>
          <cell r="K1403" t="str">
            <v/>
          </cell>
          <cell r="L1403" t="str">
            <v/>
          </cell>
          <cell r="M1403" t="str">
            <v/>
          </cell>
        </row>
        <row r="1404">
          <cell r="A1404">
            <v>31102192</v>
          </cell>
          <cell r="C1404">
            <v>31102192</v>
          </cell>
          <cell r="D1404">
            <v>31102192</v>
          </cell>
          <cell r="E1404">
            <v>31102192</v>
          </cell>
          <cell r="F1404">
            <v>31102192</v>
          </cell>
          <cell r="G1404">
            <v>31102192</v>
          </cell>
          <cell r="H1404">
            <v>31102192</v>
          </cell>
          <cell r="I1404" t="str">
            <v/>
          </cell>
          <cell r="J1404" t="str">
            <v/>
          </cell>
          <cell r="K1404" t="str">
            <v/>
          </cell>
          <cell r="L1404" t="str">
            <v/>
          </cell>
          <cell r="M1404" t="str">
            <v/>
          </cell>
        </row>
        <row r="1405">
          <cell r="A1405">
            <v>31102192</v>
          </cell>
          <cell r="C1405">
            <v>31102192</v>
          </cell>
          <cell r="D1405">
            <v>31102192</v>
          </cell>
          <cell r="E1405">
            <v>31102192</v>
          </cell>
          <cell r="F1405">
            <v>31102192</v>
          </cell>
          <cell r="G1405">
            <v>31102192</v>
          </cell>
          <cell r="H1405">
            <v>31102192</v>
          </cell>
          <cell r="I1405" t="str">
            <v/>
          </cell>
          <cell r="J1405" t="str">
            <v/>
          </cell>
          <cell r="K1405" t="str">
            <v/>
          </cell>
          <cell r="L1405" t="str">
            <v/>
          </cell>
          <cell r="M1405" t="str">
            <v/>
          </cell>
        </row>
        <row r="1406">
          <cell r="A1406">
            <v>31102192</v>
          </cell>
          <cell r="C1406">
            <v>31102192</v>
          </cell>
          <cell r="D1406">
            <v>31102192</v>
          </cell>
          <cell r="E1406">
            <v>31102192</v>
          </cell>
          <cell r="F1406">
            <v>31102192</v>
          </cell>
          <cell r="G1406">
            <v>31102192</v>
          </cell>
          <cell r="H1406">
            <v>31102192</v>
          </cell>
          <cell r="I1406" t="str">
            <v/>
          </cell>
          <cell r="J1406" t="str">
            <v/>
          </cell>
          <cell r="K1406" t="str">
            <v/>
          </cell>
          <cell r="L1406" t="str">
            <v/>
          </cell>
          <cell r="M1406" t="str">
            <v/>
          </cell>
        </row>
        <row r="1407">
          <cell r="A1407">
            <v>31102192</v>
          </cell>
          <cell r="C1407">
            <v>31102192</v>
          </cell>
          <cell r="D1407">
            <v>31102192</v>
          </cell>
          <cell r="E1407">
            <v>31102192</v>
          </cell>
          <cell r="F1407">
            <v>31102192</v>
          </cell>
          <cell r="G1407">
            <v>31102192</v>
          </cell>
          <cell r="H1407">
            <v>31102192</v>
          </cell>
          <cell r="I1407" t="str">
            <v/>
          </cell>
          <cell r="J1407" t="str">
            <v/>
          </cell>
          <cell r="K1407" t="str">
            <v/>
          </cell>
          <cell r="L1407" t="str">
            <v/>
          </cell>
          <cell r="M1407" t="str">
            <v/>
          </cell>
        </row>
        <row r="1408">
          <cell r="A1408">
            <v>31102192</v>
          </cell>
          <cell r="C1408">
            <v>31102192</v>
          </cell>
          <cell r="D1408">
            <v>31102192</v>
          </cell>
          <cell r="E1408">
            <v>31102192</v>
          </cell>
          <cell r="F1408">
            <v>31102192</v>
          </cell>
          <cell r="G1408">
            <v>31102192</v>
          </cell>
          <cell r="H1408">
            <v>31102192</v>
          </cell>
          <cell r="I1408" t="str">
            <v/>
          </cell>
          <cell r="J1408" t="str">
            <v/>
          </cell>
          <cell r="K1408" t="str">
            <v/>
          </cell>
          <cell r="L1408" t="str">
            <v/>
          </cell>
          <cell r="M1408" t="str">
            <v/>
          </cell>
        </row>
        <row r="1409">
          <cell r="A1409">
            <v>31102192</v>
          </cell>
          <cell r="C1409">
            <v>31102192</v>
          </cell>
          <cell r="D1409">
            <v>31102192</v>
          </cell>
          <cell r="E1409">
            <v>31102192</v>
          </cell>
          <cell r="F1409">
            <v>31102192</v>
          </cell>
          <cell r="G1409">
            <v>31102192</v>
          </cell>
          <cell r="H1409">
            <v>31102192</v>
          </cell>
          <cell r="I1409" t="str">
            <v/>
          </cell>
          <cell r="J1409" t="str">
            <v/>
          </cell>
          <cell r="K1409" t="str">
            <v/>
          </cell>
          <cell r="L1409" t="str">
            <v/>
          </cell>
          <cell r="M1409" t="str">
            <v/>
          </cell>
        </row>
        <row r="1410">
          <cell r="A1410">
            <v>31102192</v>
          </cell>
          <cell r="C1410">
            <v>31102192</v>
          </cell>
          <cell r="D1410">
            <v>31102192</v>
          </cell>
          <cell r="E1410">
            <v>31102192</v>
          </cell>
          <cell r="F1410">
            <v>31102192</v>
          </cell>
          <cell r="G1410">
            <v>31102192</v>
          </cell>
          <cell r="H1410">
            <v>31102192</v>
          </cell>
          <cell r="I1410" t="str">
            <v/>
          </cell>
          <cell r="J1410" t="str">
            <v/>
          </cell>
          <cell r="K1410" t="str">
            <v/>
          </cell>
          <cell r="L1410" t="str">
            <v/>
          </cell>
          <cell r="M1410" t="str">
            <v/>
          </cell>
        </row>
        <row r="1411">
          <cell r="A1411">
            <v>31102192</v>
          </cell>
          <cell r="C1411">
            <v>31102192</v>
          </cell>
          <cell r="D1411">
            <v>31102192</v>
          </cell>
          <cell r="E1411">
            <v>31102192</v>
          </cell>
          <cell r="F1411">
            <v>31102192</v>
          </cell>
          <cell r="G1411">
            <v>31102192</v>
          </cell>
          <cell r="H1411">
            <v>31102192</v>
          </cell>
          <cell r="I1411" t="str">
            <v/>
          </cell>
          <cell r="J1411" t="str">
            <v/>
          </cell>
          <cell r="K1411" t="str">
            <v/>
          </cell>
          <cell r="L1411" t="str">
            <v/>
          </cell>
          <cell r="M1411" t="str">
            <v/>
          </cell>
        </row>
        <row r="1412">
          <cell r="A1412">
            <v>31102192</v>
          </cell>
          <cell r="C1412">
            <v>31102192</v>
          </cell>
          <cell r="D1412">
            <v>31102192</v>
          </cell>
          <cell r="E1412">
            <v>31102192</v>
          </cell>
          <cell r="F1412">
            <v>31102192</v>
          </cell>
          <cell r="G1412">
            <v>31102192</v>
          </cell>
          <cell r="H1412">
            <v>31102192</v>
          </cell>
          <cell r="I1412" t="str">
            <v/>
          </cell>
          <cell r="J1412" t="str">
            <v/>
          </cell>
          <cell r="K1412" t="str">
            <v/>
          </cell>
          <cell r="L1412" t="str">
            <v/>
          </cell>
          <cell r="M1412" t="str">
            <v/>
          </cell>
        </row>
        <row r="1413">
          <cell r="A1413">
            <v>31102192</v>
          </cell>
          <cell r="C1413">
            <v>31102192</v>
          </cell>
          <cell r="D1413">
            <v>31102192</v>
          </cell>
          <cell r="E1413">
            <v>31102192</v>
          </cell>
          <cell r="F1413">
            <v>31102192</v>
          </cell>
          <cell r="G1413">
            <v>31102192</v>
          </cell>
          <cell r="H1413">
            <v>31102192</v>
          </cell>
          <cell r="I1413" t="str">
            <v/>
          </cell>
          <cell r="J1413" t="str">
            <v/>
          </cell>
          <cell r="K1413" t="str">
            <v/>
          </cell>
          <cell r="L1413" t="str">
            <v/>
          </cell>
          <cell r="M1413" t="str">
            <v/>
          </cell>
        </row>
        <row r="1414">
          <cell r="A1414">
            <v>31102192</v>
          </cell>
          <cell r="C1414">
            <v>31102192</v>
          </cell>
          <cell r="D1414">
            <v>31102192</v>
          </cell>
          <cell r="E1414">
            <v>31102192</v>
          </cell>
          <cell r="F1414">
            <v>31102192</v>
          </cell>
          <cell r="G1414">
            <v>31102192</v>
          </cell>
          <cell r="H1414">
            <v>31102192</v>
          </cell>
          <cell r="I1414" t="str">
            <v/>
          </cell>
          <cell r="J1414" t="str">
            <v/>
          </cell>
          <cell r="K1414" t="str">
            <v/>
          </cell>
          <cell r="L1414" t="str">
            <v/>
          </cell>
          <cell r="M1414" t="str">
            <v/>
          </cell>
        </row>
        <row r="1415">
          <cell r="A1415">
            <v>31102192</v>
          </cell>
          <cell r="C1415">
            <v>31102192</v>
          </cell>
          <cell r="D1415">
            <v>31102192</v>
          </cell>
          <cell r="E1415">
            <v>31102192</v>
          </cell>
          <cell r="F1415">
            <v>31102192</v>
          </cell>
          <cell r="G1415">
            <v>31102192</v>
          </cell>
          <cell r="H1415">
            <v>31102192</v>
          </cell>
          <cell r="I1415" t="str">
            <v/>
          </cell>
          <cell r="J1415" t="str">
            <v/>
          </cell>
          <cell r="K1415" t="str">
            <v/>
          </cell>
          <cell r="L1415" t="str">
            <v/>
          </cell>
          <cell r="M1415" t="str">
            <v/>
          </cell>
        </row>
        <row r="1416">
          <cell r="A1416">
            <v>31102192</v>
          </cell>
          <cell r="C1416">
            <v>31102192</v>
          </cell>
          <cell r="D1416">
            <v>31102192</v>
          </cell>
          <cell r="E1416">
            <v>31102192</v>
          </cell>
          <cell r="F1416">
            <v>31102192</v>
          </cell>
          <cell r="G1416">
            <v>31102192</v>
          </cell>
          <cell r="H1416">
            <v>31102192</v>
          </cell>
          <cell r="I1416" t="str">
            <v/>
          </cell>
          <cell r="J1416" t="str">
            <v/>
          </cell>
          <cell r="K1416" t="str">
            <v/>
          </cell>
          <cell r="L1416" t="str">
            <v/>
          </cell>
          <cell r="M1416" t="str">
            <v/>
          </cell>
        </row>
        <row r="1417">
          <cell r="A1417">
            <v>31102192</v>
          </cell>
          <cell r="C1417">
            <v>31102192</v>
          </cell>
          <cell r="D1417">
            <v>31102192</v>
          </cell>
          <cell r="E1417">
            <v>31102192</v>
          </cell>
          <cell r="F1417">
            <v>31102192</v>
          </cell>
          <cell r="G1417">
            <v>31102192</v>
          </cell>
          <cell r="H1417">
            <v>31102192</v>
          </cell>
          <cell r="I1417" t="str">
            <v/>
          </cell>
          <cell r="J1417" t="str">
            <v/>
          </cell>
          <cell r="K1417" t="str">
            <v/>
          </cell>
          <cell r="L1417" t="str">
            <v/>
          </cell>
          <cell r="M1417" t="str">
            <v/>
          </cell>
        </row>
        <row r="1418">
          <cell r="A1418">
            <v>31102192</v>
          </cell>
          <cell r="C1418">
            <v>31102192</v>
          </cell>
          <cell r="D1418">
            <v>31102192</v>
          </cell>
          <cell r="E1418">
            <v>31102192</v>
          </cell>
          <cell r="F1418">
            <v>31102192</v>
          </cell>
          <cell r="G1418">
            <v>31102192</v>
          </cell>
          <cell r="H1418">
            <v>31102192</v>
          </cell>
          <cell r="I1418" t="str">
            <v/>
          </cell>
          <cell r="J1418" t="str">
            <v/>
          </cell>
          <cell r="K1418" t="str">
            <v/>
          </cell>
          <cell r="L1418" t="str">
            <v/>
          </cell>
          <cell r="M1418" t="str">
            <v/>
          </cell>
        </row>
        <row r="1419">
          <cell r="A1419">
            <v>31102192</v>
          </cell>
          <cell r="C1419">
            <v>31102192</v>
          </cell>
          <cell r="D1419">
            <v>31102192</v>
          </cell>
          <cell r="E1419">
            <v>31102192</v>
          </cell>
          <cell r="F1419">
            <v>31102192</v>
          </cell>
          <cell r="G1419">
            <v>31102192</v>
          </cell>
          <cell r="H1419">
            <v>31102192</v>
          </cell>
          <cell r="I1419" t="str">
            <v/>
          </cell>
          <cell r="J1419" t="str">
            <v/>
          </cell>
          <cell r="K1419" t="str">
            <v/>
          </cell>
          <cell r="L1419" t="str">
            <v/>
          </cell>
          <cell r="M1419" t="str">
            <v/>
          </cell>
        </row>
        <row r="1420">
          <cell r="A1420">
            <v>31102192</v>
          </cell>
          <cell r="C1420">
            <v>31102192</v>
          </cell>
          <cell r="D1420">
            <v>31102192</v>
          </cell>
          <cell r="E1420">
            <v>31102192</v>
          </cell>
          <cell r="F1420">
            <v>31102192</v>
          </cell>
          <cell r="G1420">
            <v>31102192</v>
          </cell>
          <cell r="H1420">
            <v>31102192</v>
          </cell>
          <cell r="I1420" t="str">
            <v/>
          </cell>
          <cell r="J1420" t="str">
            <v/>
          </cell>
          <cell r="K1420" t="str">
            <v/>
          </cell>
          <cell r="L1420" t="str">
            <v/>
          </cell>
          <cell r="M1420" t="str">
            <v/>
          </cell>
        </row>
        <row r="1421">
          <cell r="A1421">
            <v>31102192</v>
          </cell>
          <cell r="C1421">
            <v>31102192</v>
          </cell>
          <cell r="D1421">
            <v>31102192</v>
          </cell>
          <cell r="E1421">
            <v>31102192</v>
          </cell>
          <cell r="F1421">
            <v>31102192</v>
          </cell>
          <cell r="G1421">
            <v>31102192</v>
          </cell>
          <cell r="H1421">
            <v>31102192</v>
          </cell>
          <cell r="I1421" t="str">
            <v/>
          </cell>
          <cell r="J1421" t="str">
            <v/>
          </cell>
          <cell r="K1421" t="str">
            <v/>
          </cell>
          <cell r="L1421" t="str">
            <v/>
          </cell>
          <cell r="M1421" t="str">
            <v/>
          </cell>
        </row>
        <row r="1422">
          <cell r="A1422">
            <v>31102192</v>
          </cell>
          <cell r="C1422">
            <v>31102192</v>
          </cell>
          <cell r="D1422">
            <v>31102192</v>
          </cell>
          <cell r="E1422">
            <v>31102192</v>
          </cell>
          <cell r="F1422">
            <v>31102192</v>
          </cell>
          <cell r="G1422">
            <v>31102192</v>
          </cell>
          <cell r="H1422">
            <v>31102192</v>
          </cell>
          <cell r="I1422" t="str">
            <v/>
          </cell>
          <cell r="J1422" t="str">
            <v/>
          </cell>
          <cell r="K1422" t="str">
            <v/>
          </cell>
          <cell r="L1422" t="str">
            <v/>
          </cell>
          <cell r="M1422" t="str">
            <v/>
          </cell>
        </row>
        <row r="1423">
          <cell r="A1423">
            <v>31102192</v>
          </cell>
          <cell r="C1423">
            <v>31102192</v>
          </cell>
          <cell r="D1423">
            <v>31102192</v>
          </cell>
          <cell r="E1423">
            <v>31102192</v>
          </cell>
          <cell r="F1423">
            <v>31102192</v>
          </cell>
          <cell r="G1423">
            <v>31102192</v>
          </cell>
          <cell r="H1423">
            <v>31102192</v>
          </cell>
          <cell r="I1423" t="str">
            <v/>
          </cell>
          <cell r="J1423" t="str">
            <v/>
          </cell>
          <cell r="K1423" t="str">
            <v/>
          </cell>
          <cell r="L1423" t="str">
            <v/>
          </cell>
          <cell r="M1423" t="str">
            <v/>
          </cell>
        </row>
        <row r="1424">
          <cell r="A1424">
            <v>31102192</v>
          </cell>
          <cell r="C1424">
            <v>31102192</v>
          </cell>
          <cell r="D1424">
            <v>31102192</v>
          </cell>
          <cell r="E1424">
            <v>31102192</v>
          </cell>
          <cell r="F1424">
            <v>31102192</v>
          </cell>
          <cell r="G1424">
            <v>31102192</v>
          </cell>
          <cell r="H1424">
            <v>31102192</v>
          </cell>
          <cell r="I1424" t="str">
            <v/>
          </cell>
          <cell r="J1424" t="str">
            <v/>
          </cell>
          <cell r="K1424" t="str">
            <v/>
          </cell>
          <cell r="L1424" t="str">
            <v/>
          </cell>
          <cell r="M1424" t="str">
            <v/>
          </cell>
        </row>
        <row r="1425">
          <cell r="A1425">
            <v>31102192</v>
          </cell>
          <cell r="C1425">
            <v>31102192</v>
          </cell>
          <cell r="D1425">
            <v>31102192</v>
          </cell>
          <cell r="E1425">
            <v>31102192</v>
          </cell>
          <cell r="F1425">
            <v>31102192</v>
          </cell>
          <cell r="G1425">
            <v>31102192</v>
          </cell>
          <cell r="H1425">
            <v>31102192</v>
          </cell>
          <cell r="I1425" t="str">
            <v/>
          </cell>
          <cell r="J1425" t="str">
            <v/>
          </cell>
          <cell r="K1425" t="str">
            <v/>
          </cell>
          <cell r="L1425" t="str">
            <v/>
          </cell>
          <cell r="M1425" t="str">
            <v/>
          </cell>
        </row>
        <row r="1426">
          <cell r="A1426">
            <v>31102192</v>
          </cell>
          <cell r="C1426">
            <v>31102192</v>
          </cell>
          <cell r="D1426">
            <v>31102192</v>
          </cell>
          <cell r="E1426">
            <v>31102192</v>
          </cell>
          <cell r="F1426">
            <v>31102192</v>
          </cell>
          <cell r="G1426">
            <v>31102192</v>
          </cell>
          <cell r="H1426">
            <v>31102192</v>
          </cell>
          <cell r="I1426" t="str">
            <v/>
          </cell>
          <cell r="J1426" t="str">
            <v/>
          </cell>
          <cell r="K1426" t="str">
            <v/>
          </cell>
          <cell r="L1426" t="str">
            <v/>
          </cell>
          <cell r="M1426" t="str">
            <v/>
          </cell>
        </row>
        <row r="1427">
          <cell r="A1427">
            <v>31102192</v>
          </cell>
          <cell r="C1427">
            <v>31102192</v>
          </cell>
          <cell r="D1427">
            <v>31102192</v>
          </cell>
          <cell r="E1427">
            <v>31102192</v>
          </cell>
          <cell r="F1427">
            <v>31102192</v>
          </cell>
          <cell r="G1427">
            <v>31102192</v>
          </cell>
          <cell r="H1427">
            <v>31102192</v>
          </cell>
          <cell r="I1427" t="str">
            <v/>
          </cell>
          <cell r="J1427" t="str">
            <v/>
          </cell>
          <cell r="K1427" t="str">
            <v/>
          </cell>
          <cell r="L1427" t="str">
            <v/>
          </cell>
          <cell r="M1427" t="str">
            <v/>
          </cell>
        </row>
        <row r="1428">
          <cell r="A1428">
            <v>31102192</v>
          </cell>
          <cell r="C1428">
            <v>31102192</v>
          </cell>
          <cell r="D1428">
            <v>31102192</v>
          </cell>
          <cell r="E1428">
            <v>31102192</v>
          </cell>
          <cell r="F1428">
            <v>31102192</v>
          </cell>
          <cell r="G1428">
            <v>31102192</v>
          </cell>
          <cell r="H1428">
            <v>31102192</v>
          </cell>
          <cell r="I1428" t="str">
            <v/>
          </cell>
          <cell r="J1428" t="str">
            <v/>
          </cell>
          <cell r="K1428" t="str">
            <v/>
          </cell>
          <cell r="L1428" t="str">
            <v/>
          </cell>
          <cell r="M1428" t="str">
            <v/>
          </cell>
        </row>
        <row r="1429">
          <cell r="A1429">
            <v>31102192</v>
          </cell>
          <cell r="C1429">
            <v>31102192</v>
          </cell>
          <cell r="D1429">
            <v>31102192</v>
          </cell>
          <cell r="E1429">
            <v>31102192</v>
          </cell>
          <cell r="F1429">
            <v>31102192</v>
          </cell>
          <cell r="G1429">
            <v>31102192</v>
          </cell>
          <cell r="H1429">
            <v>31102192</v>
          </cell>
          <cell r="I1429" t="str">
            <v/>
          </cell>
          <cell r="J1429" t="str">
            <v/>
          </cell>
          <cell r="K1429" t="str">
            <v/>
          </cell>
          <cell r="L1429" t="str">
            <v/>
          </cell>
          <cell r="M1429" t="str">
            <v/>
          </cell>
        </row>
        <row r="1430">
          <cell r="A1430">
            <v>31102192</v>
          </cell>
          <cell r="C1430">
            <v>31102192</v>
          </cell>
          <cell r="D1430">
            <v>31102192</v>
          </cell>
          <cell r="E1430">
            <v>31102192</v>
          </cell>
          <cell r="F1430">
            <v>31102192</v>
          </cell>
          <cell r="G1430">
            <v>31102192</v>
          </cell>
          <cell r="H1430">
            <v>31102192</v>
          </cell>
          <cell r="I1430" t="str">
            <v/>
          </cell>
          <cell r="J1430" t="str">
            <v/>
          </cell>
          <cell r="K1430" t="str">
            <v/>
          </cell>
          <cell r="L1430" t="str">
            <v/>
          </cell>
          <cell r="M1430" t="str">
            <v/>
          </cell>
        </row>
        <row r="1431">
          <cell r="A1431">
            <v>31102192</v>
          </cell>
          <cell r="C1431">
            <v>31102192</v>
          </cell>
          <cell r="D1431">
            <v>31102192</v>
          </cell>
          <cell r="E1431">
            <v>31102192</v>
          </cell>
          <cell r="F1431">
            <v>31102192</v>
          </cell>
          <cell r="G1431">
            <v>31102192</v>
          </cell>
          <cell r="H1431">
            <v>31102192</v>
          </cell>
          <cell r="I1431" t="str">
            <v/>
          </cell>
          <cell r="J1431" t="str">
            <v/>
          </cell>
          <cell r="K1431" t="str">
            <v/>
          </cell>
          <cell r="L1431" t="str">
            <v/>
          </cell>
          <cell r="M1431" t="str">
            <v/>
          </cell>
        </row>
        <row r="1432">
          <cell r="A1432">
            <v>31102192</v>
          </cell>
          <cell r="C1432">
            <v>31102192</v>
          </cell>
          <cell r="D1432">
            <v>31102192</v>
          </cell>
          <cell r="E1432">
            <v>31102192</v>
          </cell>
          <cell r="F1432">
            <v>31102192</v>
          </cell>
          <cell r="G1432">
            <v>31102192</v>
          </cell>
          <cell r="H1432">
            <v>31102192</v>
          </cell>
          <cell r="I1432" t="str">
            <v/>
          </cell>
          <cell r="J1432" t="str">
            <v/>
          </cell>
          <cell r="K1432" t="str">
            <v/>
          </cell>
          <cell r="L1432" t="str">
            <v/>
          </cell>
          <cell r="M1432" t="str">
            <v/>
          </cell>
        </row>
        <row r="1433">
          <cell r="A1433">
            <v>31102192</v>
          </cell>
          <cell r="C1433">
            <v>31102192</v>
          </cell>
          <cell r="D1433">
            <v>31102192</v>
          </cell>
          <cell r="E1433">
            <v>31102192</v>
          </cell>
          <cell r="F1433">
            <v>31102192</v>
          </cell>
          <cell r="G1433">
            <v>31102192</v>
          </cell>
          <cell r="H1433">
            <v>31102192</v>
          </cell>
          <cell r="I1433" t="str">
            <v/>
          </cell>
          <cell r="J1433" t="str">
            <v/>
          </cell>
          <cell r="K1433" t="str">
            <v/>
          </cell>
          <cell r="L1433" t="str">
            <v/>
          </cell>
          <cell r="M1433" t="str">
            <v/>
          </cell>
        </row>
        <row r="1434">
          <cell r="A1434">
            <v>31102192</v>
          </cell>
          <cell r="C1434">
            <v>31102192</v>
          </cell>
          <cell r="D1434">
            <v>31102192</v>
          </cell>
          <cell r="E1434">
            <v>31102192</v>
          </cell>
          <cell r="F1434">
            <v>31102192</v>
          </cell>
          <cell r="G1434">
            <v>31102192</v>
          </cell>
          <cell r="H1434">
            <v>31102192</v>
          </cell>
          <cell r="I1434" t="str">
            <v/>
          </cell>
          <cell r="J1434" t="str">
            <v/>
          </cell>
          <cell r="K1434" t="str">
            <v/>
          </cell>
          <cell r="L1434" t="str">
            <v/>
          </cell>
          <cell r="M1434" t="str">
            <v/>
          </cell>
        </row>
        <row r="1435">
          <cell r="A1435">
            <v>31102192</v>
          </cell>
          <cell r="C1435">
            <v>31102192</v>
          </cell>
          <cell r="D1435">
            <v>31102192</v>
          </cell>
          <cell r="E1435">
            <v>31102192</v>
          </cell>
          <cell r="F1435">
            <v>31102192</v>
          </cell>
          <cell r="G1435">
            <v>31102192</v>
          </cell>
          <cell r="H1435">
            <v>31102192</v>
          </cell>
          <cell r="I1435" t="str">
            <v/>
          </cell>
          <cell r="J1435" t="str">
            <v/>
          </cell>
          <cell r="K1435" t="str">
            <v/>
          </cell>
          <cell r="L1435" t="str">
            <v/>
          </cell>
          <cell r="M1435" t="str">
            <v/>
          </cell>
        </row>
        <row r="1436">
          <cell r="A1436">
            <v>31102192</v>
          </cell>
          <cell r="C1436">
            <v>31102192</v>
          </cell>
          <cell r="D1436">
            <v>31102192</v>
          </cell>
          <cell r="E1436">
            <v>31102192</v>
          </cell>
          <cell r="F1436">
            <v>31102192</v>
          </cell>
          <cell r="G1436">
            <v>31102192</v>
          </cell>
          <cell r="H1436">
            <v>31102192</v>
          </cell>
          <cell r="I1436" t="str">
            <v/>
          </cell>
          <cell r="J1436" t="str">
            <v/>
          </cell>
          <cell r="K1436" t="str">
            <v/>
          </cell>
          <cell r="L1436" t="str">
            <v/>
          </cell>
          <cell r="M1436" t="str">
            <v/>
          </cell>
        </row>
        <row r="1437">
          <cell r="A1437">
            <v>31102192</v>
          </cell>
          <cell r="C1437">
            <v>31102192</v>
          </cell>
          <cell r="D1437">
            <v>31102192</v>
          </cell>
          <cell r="E1437">
            <v>31102192</v>
          </cell>
          <cell r="F1437">
            <v>31102192</v>
          </cell>
          <cell r="G1437">
            <v>31102192</v>
          </cell>
          <cell r="H1437">
            <v>31102192</v>
          </cell>
          <cell r="I1437" t="str">
            <v/>
          </cell>
          <cell r="J1437" t="str">
            <v/>
          </cell>
          <cell r="K1437" t="str">
            <v/>
          </cell>
          <cell r="L1437" t="str">
            <v/>
          </cell>
          <cell r="M1437" t="str">
            <v/>
          </cell>
        </row>
        <row r="1438">
          <cell r="A1438">
            <v>31102192</v>
          </cell>
          <cell r="C1438">
            <v>31102192</v>
          </cell>
          <cell r="D1438">
            <v>31102192</v>
          </cell>
          <cell r="E1438">
            <v>31102192</v>
          </cell>
          <cell r="F1438">
            <v>31102192</v>
          </cell>
          <cell r="G1438">
            <v>31102192</v>
          </cell>
          <cell r="H1438">
            <v>31102192</v>
          </cell>
          <cell r="I1438" t="str">
            <v/>
          </cell>
          <cell r="J1438" t="str">
            <v/>
          </cell>
          <cell r="K1438" t="str">
            <v/>
          </cell>
          <cell r="L1438" t="str">
            <v/>
          </cell>
          <cell r="M1438" t="str">
            <v/>
          </cell>
        </row>
        <row r="1439">
          <cell r="A1439">
            <v>31102192</v>
          </cell>
          <cell r="C1439">
            <v>31102192</v>
          </cell>
          <cell r="D1439">
            <v>31102192</v>
          </cell>
          <cell r="E1439">
            <v>31102192</v>
          </cell>
          <cell r="F1439">
            <v>31102192</v>
          </cell>
          <cell r="G1439">
            <v>31102192</v>
          </cell>
          <cell r="H1439">
            <v>31102192</v>
          </cell>
          <cell r="I1439" t="str">
            <v/>
          </cell>
          <cell r="J1439" t="str">
            <v/>
          </cell>
          <cell r="K1439" t="str">
            <v/>
          </cell>
          <cell r="L1439" t="str">
            <v/>
          </cell>
          <cell r="M1439" t="str">
            <v/>
          </cell>
        </row>
        <row r="1440">
          <cell r="A1440">
            <v>31102192</v>
          </cell>
          <cell r="C1440">
            <v>31102192</v>
          </cell>
          <cell r="D1440">
            <v>31102192</v>
          </cell>
          <cell r="E1440">
            <v>31102192</v>
          </cell>
          <cell r="F1440">
            <v>31102192</v>
          </cell>
          <cell r="G1440">
            <v>31102192</v>
          </cell>
          <cell r="H1440">
            <v>31102192</v>
          </cell>
          <cell r="I1440" t="str">
            <v/>
          </cell>
          <cell r="J1440" t="str">
            <v/>
          </cell>
          <cell r="K1440" t="str">
            <v/>
          </cell>
          <cell r="L1440" t="str">
            <v/>
          </cell>
          <cell r="M1440" t="str">
            <v/>
          </cell>
        </row>
        <row r="1441">
          <cell r="A1441">
            <v>31102192</v>
          </cell>
          <cell r="C1441">
            <v>31102192</v>
          </cell>
          <cell r="D1441">
            <v>31102192</v>
          </cell>
          <cell r="E1441">
            <v>31102192</v>
          </cell>
          <cell r="F1441">
            <v>31102192</v>
          </cell>
          <cell r="G1441">
            <v>31102192</v>
          </cell>
          <cell r="H1441">
            <v>31102192</v>
          </cell>
          <cell r="I1441" t="str">
            <v/>
          </cell>
          <cell r="J1441" t="str">
            <v/>
          </cell>
          <cell r="K1441" t="str">
            <v/>
          </cell>
          <cell r="L1441" t="str">
            <v/>
          </cell>
          <cell r="M1441" t="str">
            <v/>
          </cell>
        </row>
        <row r="1442">
          <cell r="A1442">
            <v>31102192</v>
          </cell>
          <cell r="C1442">
            <v>31102192</v>
          </cell>
          <cell r="D1442">
            <v>31102192</v>
          </cell>
          <cell r="E1442">
            <v>31102192</v>
          </cell>
          <cell r="F1442">
            <v>31102192</v>
          </cell>
          <cell r="G1442">
            <v>31102192</v>
          </cell>
          <cell r="H1442">
            <v>31102192</v>
          </cell>
          <cell r="I1442" t="str">
            <v/>
          </cell>
          <cell r="J1442" t="str">
            <v/>
          </cell>
          <cell r="K1442" t="str">
            <v/>
          </cell>
          <cell r="L1442" t="str">
            <v/>
          </cell>
          <cell r="M1442" t="str">
            <v/>
          </cell>
        </row>
        <row r="1443">
          <cell r="A1443">
            <v>31102192</v>
          </cell>
          <cell r="C1443">
            <v>31102192</v>
          </cell>
          <cell r="D1443">
            <v>31102192</v>
          </cell>
          <cell r="E1443">
            <v>31102192</v>
          </cell>
          <cell r="F1443">
            <v>31102192</v>
          </cell>
          <cell r="G1443">
            <v>31102192</v>
          </cell>
          <cell r="H1443">
            <v>31102192</v>
          </cell>
          <cell r="I1443" t="str">
            <v/>
          </cell>
          <cell r="J1443" t="str">
            <v/>
          </cell>
          <cell r="K1443" t="str">
            <v/>
          </cell>
          <cell r="L1443" t="str">
            <v/>
          </cell>
          <cell r="M1443" t="str">
            <v/>
          </cell>
        </row>
        <row r="1444">
          <cell r="A1444">
            <v>31102192</v>
          </cell>
          <cell r="C1444">
            <v>31102192</v>
          </cell>
          <cell r="D1444">
            <v>31102192</v>
          </cell>
          <cell r="E1444">
            <v>31102192</v>
          </cell>
          <cell r="F1444">
            <v>31102192</v>
          </cell>
          <cell r="G1444">
            <v>31102192</v>
          </cell>
          <cell r="H1444">
            <v>31102192</v>
          </cell>
          <cell r="I1444" t="str">
            <v/>
          </cell>
          <cell r="J1444" t="str">
            <v/>
          </cell>
          <cell r="K1444" t="str">
            <v/>
          </cell>
          <cell r="L1444" t="str">
            <v/>
          </cell>
          <cell r="M1444" t="str">
            <v/>
          </cell>
        </row>
        <row r="1445">
          <cell r="A1445">
            <v>31102192</v>
          </cell>
          <cell r="C1445">
            <v>31102192</v>
          </cell>
          <cell r="D1445">
            <v>31102192</v>
          </cell>
          <cell r="E1445">
            <v>31102192</v>
          </cell>
          <cell r="F1445">
            <v>31102192</v>
          </cell>
          <cell r="G1445">
            <v>31102192</v>
          </cell>
          <cell r="H1445">
            <v>31102192</v>
          </cell>
          <cell r="I1445" t="str">
            <v/>
          </cell>
          <cell r="J1445" t="str">
            <v/>
          </cell>
          <cell r="K1445" t="str">
            <v/>
          </cell>
          <cell r="L1445" t="str">
            <v/>
          </cell>
          <cell r="M1445" t="str">
            <v/>
          </cell>
        </row>
        <row r="1446">
          <cell r="A1446">
            <v>31102192</v>
          </cell>
          <cell r="C1446">
            <v>31102192</v>
          </cell>
          <cell r="D1446">
            <v>31102192</v>
          </cell>
          <cell r="E1446">
            <v>31102192</v>
          </cell>
          <cell r="F1446">
            <v>31102192</v>
          </cell>
          <cell r="G1446">
            <v>31102192</v>
          </cell>
          <cell r="H1446">
            <v>31102192</v>
          </cell>
          <cell r="I1446" t="str">
            <v/>
          </cell>
          <cell r="J1446" t="str">
            <v/>
          </cell>
          <cell r="K1446" t="str">
            <v/>
          </cell>
          <cell r="L1446" t="str">
            <v/>
          </cell>
          <cell r="M1446" t="str">
            <v/>
          </cell>
        </row>
        <row r="1447">
          <cell r="A1447">
            <v>31102192</v>
          </cell>
          <cell r="C1447">
            <v>31102192</v>
          </cell>
          <cell r="D1447">
            <v>31102192</v>
          </cell>
          <cell r="E1447">
            <v>31102192</v>
          </cell>
          <cell r="F1447">
            <v>31102192</v>
          </cell>
          <cell r="G1447">
            <v>31102192</v>
          </cell>
          <cell r="H1447">
            <v>31102192</v>
          </cell>
          <cell r="I1447" t="str">
            <v/>
          </cell>
          <cell r="J1447" t="str">
            <v/>
          </cell>
          <cell r="K1447" t="str">
            <v/>
          </cell>
          <cell r="L1447" t="str">
            <v/>
          </cell>
          <cell r="M1447" t="str">
            <v/>
          </cell>
        </row>
        <row r="1448">
          <cell r="A1448">
            <v>31102192</v>
          </cell>
          <cell r="C1448">
            <v>31102192</v>
          </cell>
          <cell r="D1448">
            <v>31102192</v>
          </cell>
          <cell r="E1448">
            <v>31102192</v>
          </cell>
          <cell r="F1448">
            <v>31102192</v>
          </cell>
          <cell r="G1448">
            <v>31102192</v>
          </cell>
          <cell r="H1448">
            <v>31102192</v>
          </cell>
          <cell r="I1448" t="str">
            <v/>
          </cell>
          <cell r="J1448" t="str">
            <v/>
          </cell>
          <cell r="K1448" t="str">
            <v/>
          </cell>
          <cell r="L1448" t="str">
            <v/>
          </cell>
          <cell r="M1448" t="str">
            <v/>
          </cell>
        </row>
        <row r="1449">
          <cell r="A1449">
            <v>31102192</v>
          </cell>
          <cell r="C1449">
            <v>31102192</v>
          </cell>
          <cell r="D1449">
            <v>31102192</v>
          </cell>
          <cell r="E1449">
            <v>31102192</v>
          </cell>
          <cell r="F1449">
            <v>31102192</v>
          </cell>
          <cell r="G1449">
            <v>31102192</v>
          </cell>
          <cell r="H1449">
            <v>31102192</v>
          </cell>
          <cell r="I1449" t="str">
            <v/>
          </cell>
          <cell r="J1449" t="str">
            <v/>
          </cell>
          <cell r="K1449" t="str">
            <v/>
          </cell>
          <cell r="L1449" t="str">
            <v/>
          </cell>
          <cell r="M1449" t="str">
            <v/>
          </cell>
        </row>
        <row r="1450">
          <cell r="A1450">
            <v>31102192</v>
          </cell>
          <cell r="C1450">
            <v>31102192</v>
          </cell>
          <cell r="D1450">
            <v>31102192</v>
          </cell>
          <cell r="E1450">
            <v>31102192</v>
          </cell>
          <cell r="F1450">
            <v>31102192</v>
          </cell>
          <cell r="G1450">
            <v>31102192</v>
          </cell>
          <cell r="H1450">
            <v>31102192</v>
          </cell>
          <cell r="I1450" t="str">
            <v/>
          </cell>
          <cell r="J1450" t="str">
            <v/>
          </cell>
          <cell r="K1450" t="str">
            <v/>
          </cell>
          <cell r="L1450" t="str">
            <v/>
          </cell>
          <cell r="M1450" t="str">
            <v/>
          </cell>
        </row>
        <row r="1451">
          <cell r="A1451">
            <v>31102192</v>
          </cell>
          <cell r="C1451">
            <v>31102192</v>
          </cell>
          <cell r="D1451">
            <v>31102192</v>
          </cell>
          <cell r="E1451">
            <v>31102192</v>
          </cell>
          <cell r="F1451">
            <v>31102192</v>
          </cell>
          <cell r="G1451">
            <v>31102192</v>
          </cell>
          <cell r="H1451">
            <v>31102192</v>
          </cell>
          <cell r="I1451" t="str">
            <v/>
          </cell>
          <cell r="J1451" t="str">
            <v/>
          </cell>
          <cell r="K1451" t="str">
            <v/>
          </cell>
          <cell r="L1451" t="str">
            <v/>
          </cell>
          <cell r="M1451" t="str">
            <v/>
          </cell>
        </row>
        <row r="1452">
          <cell r="A1452">
            <v>31102192</v>
          </cell>
          <cell r="C1452">
            <v>31102192</v>
          </cell>
          <cell r="D1452">
            <v>31102192</v>
          </cell>
          <cell r="E1452">
            <v>31102192</v>
          </cell>
          <cell r="F1452">
            <v>31102192</v>
          </cell>
          <cell r="G1452">
            <v>31102192</v>
          </cell>
          <cell r="H1452">
            <v>31102192</v>
          </cell>
          <cell r="I1452" t="str">
            <v/>
          </cell>
          <cell r="J1452" t="str">
            <v/>
          </cell>
          <cell r="K1452" t="str">
            <v/>
          </cell>
          <cell r="L1452" t="str">
            <v/>
          </cell>
          <cell r="M1452" t="str">
            <v/>
          </cell>
        </row>
        <row r="1453">
          <cell r="A1453">
            <v>31102192</v>
          </cell>
          <cell r="C1453">
            <v>31102192</v>
          </cell>
          <cell r="D1453">
            <v>31102192</v>
          </cell>
          <cell r="E1453">
            <v>31102192</v>
          </cell>
          <cell r="F1453">
            <v>31102192</v>
          </cell>
          <cell r="G1453">
            <v>31102192</v>
          </cell>
          <cell r="H1453">
            <v>31102192</v>
          </cell>
          <cell r="I1453" t="str">
            <v/>
          </cell>
          <cell r="J1453" t="str">
            <v/>
          </cell>
          <cell r="K1453" t="str">
            <v/>
          </cell>
          <cell r="L1453" t="str">
            <v/>
          </cell>
          <cell r="M1453" t="str">
            <v/>
          </cell>
        </row>
        <row r="1454">
          <cell r="A1454">
            <v>31102192</v>
          </cell>
          <cell r="C1454">
            <v>31102192</v>
          </cell>
          <cell r="D1454">
            <v>31102192</v>
          </cell>
          <cell r="E1454">
            <v>31102192</v>
          </cell>
          <cell r="F1454">
            <v>31102192</v>
          </cell>
          <cell r="G1454">
            <v>31102192</v>
          </cell>
          <cell r="H1454">
            <v>31102192</v>
          </cell>
          <cell r="I1454" t="str">
            <v/>
          </cell>
          <cell r="J1454" t="str">
            <v/>
          </cell>
          <cell r="K1454" t="str">
            <v/>
          </cell>
          <cell r="L1454" t="str">
            <v/>
          </cell>
          <cell r="M1454" t="str">
            <v/>
          </cell>
        </row>
        <row r="1455">
          <cell r="A1455">
            <v>31102192</v>
          </cell>
          <cell r="C1455">
            <v>31102192</v>
          </cell>
          <cell r="D1455">
            <v>31102192</v>
          </cell>
          <cell r="E1455">
            <v>31102192</v>
          </cell>
          <cell r="F1455">
            <v>31102192</v>
          </cell>
          <cell r="G1455">
            <v>31102192</v>
          </cell>
          <cell r="H1455">
            <v>31102192</v>
          </cell>
          <cell r="I1455" t="str">
            <v/>
          </cell>
          <cell r="J1455" t="str">
            <v/>
          </cell>
          <cell r="K1455" t="str">
            <v/>
          </cell>
          <cell r="L1455" t="str">
            <v/>
          </cell>
          <cell r="M1455" t="str">
            <v/>
          </cell>
        </row>
        <row r="1456">
          <cell r="A1456">
            <v>31102192</v>
          </cell>
          <cell r="C1456">
            <v>31102192</v>
          </cell>
          <cell r="D1456">
            <v>31102192</v>
          </cell>
          <cell r="E1456">
            <v>31102192</v>
          </cell>
          <cell r="F1456">
            <v>31102192</v>
          </cell>
          <cell r="G1456">
            <v>31102192</v>
          </cell>
          <cell r="H1456">
            <v>31102192</v>
          </cell>
          <cell r="I1456" t="str">
            <v/>
          </cell>
          <cell r="J1456" t="str">
            <v/>
          </cell>
          <cell r="K1456" t="str">
            <v/>
          </cell>
          <cell r="L1456" t="str">
            <v/>
          </cell>
          <cell r="M1456" t="str">
            <v/>
          </cell>
        </row>
        <row r="1457">
          <cell r="A1457">
            <v>31102192</v>
          </cell>
          <cell r="C1457">
            <v>31102192</v>
          </cell>
          <cell r="D1457">
            <v>31102192</v>
          </cell>
          <cell r="E1457">
            <v>31102192</v>
          </cell>
          <cell r="F1457">
            <v>31102192</v>
          </cell>
          <cell r="G1457">
            <v>31102192</v>
          </cell>
          <cell r="H1457">
            <v>31102192</v>
          </cell>
          <cell r="I1457" t="str">
            <v/>
          </cell>
          <cell r="J1457" t="str">
            <v/>
          </cell>
          <cell r="K1457" t="str">
            <v/>
          </cell>
          <cell r="L1457" t="str">
            <v/>
          </cell>
          <cell r="M1457" t="str">
            <v/>
          </cell>
        </row>
        <row r="1458">
          <cell r="A1458">
            <v>31102192</v>
          </cell>
          <cell r="C1458">
            <v>31102192</v>
          </cell>
          <cell r="D1458">
            <v>31102192</v>
          </cell>
          <cell r="E1458">
            <v>31102192</v>
          </cell>
          <cell r="F1458">
            <v>31102192</v>
          </cell>
          <cell r="G1458">
            <v>31102192</v>
          </cell>
          <cell r="H1458">
            <v>31102192</v>
          </cell>
          <cell r="I1458" t="str">
            <v/>
          </cell>
          <cell r="J1458" t="str">
            <v/>
          </cell>
          <cell r="K1458" t="str">
            <v/>
          </cell>
          <cell r="L1458" t="str">
            <v/>
          </cell>
          <cell r="M1458" t="str">
            <v/>
          </cell>
        </row>
        <row r="1459">
          <cell r="A1459">
            <v>31102192</v>
          </cell>
          <cell r="C1459">
            <v>31102192</v>
          </cell>
          <cell r="D1459">
            <v>31102192</v>
          </cell>
          <cell r="E1459">
            <v>31102192</v>
          </cell>
          <cell r="F1459">
            <v>31102192</v>
          </cell>
          <cell r="G1459">
            <v>31102192</v>
          </cell>
          <cell r="H1459">
            <v>31102192</v>
          </cell>
          <cell r="I1459" t="str">
            <v/>
          </cell>
          <cell r="J1459" t="str">
            <v/>
          </cell>
          <cell r="K1459" t="str">
            <v/>
          </cell>
          <cell r="L1459" t="str">
            <v/>
          </cell>
          <cell r="M1459" t="str">
            <v/>
          </cell>
        </row>
        <row r="1460">
          <cell r="A1460">
            <v>31102192</v>
          </cell>
          <cell r="C1460">
            <v>31102192</v>
          </cell>
          <cell r="D1460">
            <v>31102192</v>
          </cell>
          <cell r="E1460">
            <v>31102192</v>
          </cell>
          <cell r="F1460">
            <v>31102192</v>
          </cell>
          <cell r="G1460">
            <v>31102192</v>
          </cell>
          <cell r="H1460">
            <v>31102192</v>
          </cell>
          <cell r="I1460" t="str">
            <v/>
          </cell>
          <cell r="J1460" t="str">
            <v/>
          </cell>
          <cell r="K1460" t="str">
            <v/>
          </cell>
          <cell r="L1460" t="str">
            <v/>
          </cell>
          <cell r="M1460" t="str">
            <v/>
          </cell>
        </row>
        <row r="1461">
          <cell r="A1461">
            <v>31102192</v>
          </cell>
          <cell r="C1461">
            <v>31102192</v>
          </cell>
          <cell r="D1461">
            <v>31102192</v>
          </cell>
          <cell r="E1461">
            <v>31102192</v>
          </cell>
          <cell r="F1461">
            <v>31102192</v>
          </cell>
          <cell r="G1461">
            <v>31102192</v>
          </cell>
          <cell r="H1461">
            <v>31102192</v>
          </cell>
          <cell r="I1461" t="str">
            <v/>
          </cell>
          <cell r="J1461" t="str">
            <v/>
          </cell>
          <cell r="K1461" t="str">
            <v/>
          </cell>
          <cell r="L1461" t="str">
            <v/>
          </cell>
          <cell r="M1461" t="str">
            <v/>
          </cell>
        </row>
        <row r="1462">
          <cell r="A1462">
            <v>31102192</v>
          </cell>
          <cell r="C1462">
            <v>31102192</v>
          </cell>
          <cell r="D1462">
            <v>31102192</v>
          </cell>
          <cell r="E1462">
            <v>31102192</v>
          </cell>
          <cell r="F1462">
            <v>31102192</v>
          </cell>
          <cell r="G1462">
            <v>31102192</v>
          </cell>
          <cell r="H1462">
            <v>31102192</v>
          </cell>
          <cell r="I1462" t="str">
            <v/>
          </cell>
          <cell r="J1462" t="str">
            <v/>
          </cell>
          <cell r="K1462" t="str">
            <v/>
          </cell>
          <cell r="L1462" t="str">
            <v/>
          </cell>
          <cell r="M1462" t="str">
            <v/>
          </cell>
        </row>
        <row r="1463">
          <cell r="A1463">
            <v>31102192</v>
          </cell>
          <cell r="C1463">
            <v>31102192</v>
          </cell>
          <cell r="D1463">
            <v>31102192</v>
          </cell>
          <cell r="E1463">
            <v>31102192</v>
          </cell>
          <cell r="F1463">
            <v>31102192</v>
          </cell>
          <cell r="G1463">
            <v>31102192</v>
          </cell>
          <cell r="H1463">
            <v>31102192</v>
          </cell>
          <cell r="I1463" t="str">
            <v/>
          </cell>
          <cell r="J1463" t="str">
            <v/>
          </cell>
          <cell r="K1463" t="str">
            <v/>
          </cell>
          <cell r="L1463" t="str">
            <v/>
          </cell>
          <cell r="M1463" t="str">
            <v/>
          </cell>
        </row>
        <row r="1464">
          <cell r="A1464">
            <v>31102192</v>
          </cell>
          <cell r="C1464">
            <v>31102192</v>
          </cell>
          <cell r="D1464">
            <v>31102192</v>
          </cell>
          <cell r="E1464">
            <v>31102192</v>
          </cell>
          <cell r="F1464">
            <v>31102192</v>
          </cell>
          <cell r="G1464">
            <v>31102192</v>
          </cell>
          <cell r="H1464">
            <v>31102192</v>
          </cell>
          <cell r="I1464" t="str">
            <v/>
          </cell>
          <cell r="J1464" t="str">
            <v/>
          </cell>
          <cell r="K1464" t="str">
            <v/>
          </cell>
          <cell r="L1464" t="str">
            <v/>
          </cell>
          <cell r="M1464" t="str">
            <v/>
          </cell>
        </row>
        <row r="1465">
          <cell r="A1465">
            <v>31102192</v>
          </cell>
          <cell r="C1465">
            <v>31102192</v>
          </cell>
          <cell r="D1465">
            <v>31102192</v>
          </cell>
          <cell r="E1465">
            <v>31102192</v>
          </cell>
          <cell r="F1465">
            <v>31102192</v>
          </cell>
          <cell r="G1465">
            <v>31102192</v>
          </cell>
          <cell r="H1465">
            <v>31102192</v>
          </cell>
          <cell r="I1465" t="str">
            <v/>
          </cell>
          <cell r="J1465" t="str">
            <v/>
          </cell>
          <cell r="K1465" t="str">
            <v/>
          </cell>
          <cell r="L1465" t="str">
            <v/>
          </cell>
          <cell r="M1465" t="str">
            <v/>
          </cell>
        </row>
        <row r="1466">
          <cell r="A1466">
            <v>31102192</v>
          </cell>
          <cell r="C1466">
            <v>31102192</v>
          </cell>
          <cell r="D1466">
            <v>31102192</v>
          </cell>
          <cell r="E1466">
            <v>31102192</v>
          </cell>
          <cell r="F1466">
            <v>31102192</v>
          </cell>
          <cell r="G1466">
            <v>31102192</v>
          </cell>
          <cell r="H1466">
            <v>31102192</v>
          </cell>
          <cell r="I1466" t="str">
            <v/>
          </cell>
          <cell r="J1466" t="str">
            <v/>
          </cell>
          <cell r="K1466" t="str">
            <v/>
          </cell>
          <cell r="L1466" t="str">
            <v/>
          </cell>
          <cell r="M1466" t="str">
            <v/>
          </cell>
        </row>
        <row r="1467">
          <cell r="A1467">
            <v>31102192</v>
          </cell>
          <cell r="C1467">
            <v>31102192</v>
          </cell>
          <cell r="D1467">
            <v>31102192</v>
          </cell>
          <cell r="E1467">
            <v>31102192</v>
          </cell>
          <cell r="F1467">
            <v>31102192</v>
          </cell>
          <cell r="G1467">
            <v>31102192</v>
          </cell>
          <cell r="H1467">
            <v>31102192</v>
          </cell>
          <cell r="I1467" t="str">
            <v/>
          </cell>
          <cell r="J1467" t="str">
            <v/>
          </cell>
          <cell r="K1467" t="str">
            <v/>
          </cell>
          <cell r="L1467" t="str">
            <v/>
          </cell>
          <cell r="M1467" t="str">
            <v/>
          </cell>
        </row>
        <row r="1468">
          <cell r="A1468">
            <v>31102192</v>
          </cell>
          <cell r="C1468">
            <v>31102192</v>
          </cell>
          <cell r="D1468">
            <v>31102192</v>
          </cell>
          <cell r="E1468">
            <v>31102192</v>
          </cell>
          <cell r="F1468">
            <v>31102192</v>
          </cell>
          <cell r="G1468">
            <v>31102192</v>
          </cell>
          <cell r="H1468">
            <v>31102192</v>
          </cell>
          <cell r="I1468" t="str">
            <v/>
          </cell>
          <cell r="J1468" t="str">
            <v/>
          </cell>
          <cell r="K1468" t="str">
            <v/>
          </cell>
          <cell r="L1468" t="str">
            <v/>
          </cell>
          <cell r="M1468" t="str">
            <v/>
          </cell>
        </row>
        <row r="1469">
          <cell r="A1469">
            <v>31102192</v>
          </cell>
          <cell r="C1469">
            <v>31102192</v>
          </cell>
          <cell r="D1469">
            <v>31102192</v>
          </cell>
          <cell r="E1469">
            <v>31102192</v>
          </cell>
          <cell r="F1469">
            <v>31102192</v>
          </cell>
          <cell r="G1469">
            <v>31102192</v>
          </cell>
          <cell r="H1469">
            <v>31102192</v>
          </cell>
          <cell r="I1469" t="str">
            <v/>
          </cell>
          <cell r="J1469" t="str">
            <v/>
          </cell>
          <cell r="K1469" t="str">
            <v/>
          </cell>
          <cell r="L1469" t="str">
            <v/>
          </cell>
          <cell r="M1469" t="str">
            <v/>
          </cell>
        </row>
        <row r="1470">
          <cell r="A1470">
            <v>31102192</v>
          </cell>
          <cell r="C1470">
            <v>31102192</v>
          </cell>
          <cell r="D1470">
            <v>31102192</v>
          </cell>
          <cell r="E1470">
            <v>31102192</v>
          </cell>
          <cell r="F1470">
            <v>31102192</v>
          </cell>
          <cell r="G1470">
            <v>31102192</v>
          </cell>
          <cell r="H1470">
            <v>31102192</v>
          </cell>
          <cell r="I1470" t="str">
            <v/>
          </cell>
          <cell r="J1470" t="str">
            <v/>
          </cell>
          <cell r="K1470" t="str">
            <v/>
          </cell>
          <cell r="L1470" t="str">
            <v/>
          </cell>
          <cell r="M1470" t="str">
            <v/>
          </cell>
        </row>
        <row r="1471">
          <cell r="A1471">
            <v>31102192</v>
          </cell>
          <cell r="C1471">
            <v>31102192</v>
          </cell>
          <cell r="D1471">
            <v>31102192</v>
          </cell>
          <cell r="E1471">
            <v>31102192</v>
          </cell>
          <cell r="F1471">
            <v>31102192</v>
          </cell>
          <cell r="G1471">
            <v>31102192</v>
          </cell>
          <cell r="H1471">
            <v>31102192</v>
          </cell>
          <cell r="I1471" t="str">
            <v/>
          </cell>
          <cell r="J1471" t="str">
            <v/>
          </cell>
          <cell r="K1471" t="str">
            <v/>
          </cell>
          <cell r="L1471" t="str">
            <v/>
          </cell>
          <cell r="M1471" t="str">
            <v/>
          </cell>
        </row>
        <row r="1472">
          <cell r="A1472">
            <v>31102192</v>
          </cell>
          <cell r="C1472">
            <v>31102192</v>
          </cell>
          <cell r="D1472">
            <v>31102192</v>
          </cell>
          <cell r="E1472">
            <v>31102192</v>
          </cell>
          <cell r="F1472">
            <v>31102192</v>
          </cell>
          <cell r="G1472">
            <v>31102192</v>
          </cell>
          <cell r="H1472">
            <v>31102192</v>
          </cell>
          <cell r="I1472" t="str">
            <v/>
          </cell>
          <cell r="J1472" t="str">
            <v/>
          </cell>
          <cell r="K1472" t="str">
            <v/>
          </cell>
          <cell r="L1472" t="str">
            <v/>
          </cell>
          <cell r="M1472" t="str">
            <v/>
          </cell>
        </row>
        <row r="1473">
          <cell r="A1473">
            <v>31102192</v>
          </cell>
          <cell r="C1473">
            <v>31102192</v>
          </cell>
          <cell r="D1473">
            <v>31102192</v>
          </cell>
          <cell r="E1473">
            <v>31102192</v>
          </cell>
          <cell r="F1473">
            <v>31102192</v>
          </cell>
          <cell r="G1473">
            <v>31102192</v>
          </cell>
          <cell r="H1473">
            <v>31102192</v>
          </cell>
          <cell r="I1473" t="str">
            <v/>
          </cell>
          <cell r="J1473" t="str">
            <v/>
          </cell>
          <cell r="K1473" t="str">
            <v/>
          </cell>
          <cell r="L1473" t="str">
            <v/>
          </cell>
          <cell r="M1473" t="str">
            <v/>
          </cell>
        </row>
        <row r="1474">
          <cell r="A1474">
            <v>31102192</v>
          </cell>
          <cell r="C1474">
            <v>31102192</v>
          </cell>
          <cell r="D1474">
            <v>31102192</v>
          </cell>
          <cell r="E1474">
            <v>31102192</v>
          </cell>
          <cell r="F1474">
            <v>31102192</v>
          </cell>
          <cell r="G1474">
            <v>31102192</v>
          </cell>
          <cell r="H1474">
            <v>31102192</v>
          </cell>
          <cell r="I1474" t="str">
            <v/>
          </cell>
          <cell r="J1474" t="str">
            <v/>
          </cell>
          <cell r="K1474" t="str">
            <v/>
          </cell>
          <cell r="L1474" t="str">
            <v/>
          </cell>
          <cell r="M1474" t="str">
            <v/>
          </cell>
        </row>
        <row r="1475">
          <cell r="A1475">
            <v>31102192</v>
          </cell>
          <cell r="C1475">
            <v>31102192</v>
          </cell>
          <cell r="D1475">
            <v>31102192</v>
          </cell>
          <cell r="E1475">
            <v>31102192</v>
          </cell>
          <cell r="F1475">
            <v>31102192</v>
          </cell>
          <cell r="G1475">
            <v>31102192</v>
          </cell>
          <cell r="H1475">
            <v>31102192</v>
          </cell>
          <cell r="I1475" t="str">
            <v/>
          </cell>
          <cell r="J1475" t="str">
            <v/>
          </cell>
          <cell r="K1475" t="str">
            <v/>
          </cell>
          <cell r="L1475" t="str">
            <v/>
          </cell>
          <cell r="M1475" t="str">
            <v/>
          </cell>
        </row>
        <row r="1476">
          <cell r="A1476">
            <v>31102192</v>
          </cell>
          <cell r="C1476">
            <v>31102192</v>
          </cell>
          <cell r="D1476">
            <v>31102192</v>
          </cell>
          <cell r="E1476">
            <v>31102192</v>
          </cell>
          <cell r="F1476">
            <v>31102192</v>
          </cell>
          <cell r="G1476">
            <v>31102192</v>
          </cell>
          <cell r="H1476">
            <v>31102192</v>
          </cell>
          <cell r="I1476" t="str">
            <v/>
          </cell>
          <cell r="J1476" t="str">
            <v/>
          </cell>
          <cell r="K1476" t="str">
            <v/>
          </cell>
          <cell r="L1476" t="str">
            <v/>
          </cell>
          <cell r="M1476" t="str">
            <v/>
          </cell>
        </row>
        <row r="1477">
          <cell r="A1477">
            <v>31102192</v>
          </cell>
          <cell r="C1477">
            <v>31102192</v>
          </cell>
          <cell r="D1477">
            <v>31102192</v>
          </cell>
          <cell r="E1477">
            <v>31102192</v>
          </cell>
          <cell r="F1477">
            <v>31102192</v>
          </cell>
          <cell r="G1477">
            <v>31102192</v>
          </cell>
          <cell r="H1477">
            <v>31102192</v>
          </cell>
          <cell r="I1477" t="str">
            <v/>
          </cell>
          <cell r="J1477" t="str">
            <v/>
          </cell>
          <cell r="K1477" t="str">
            <v/>
          </cell>
          <cell r="L1477" t="str">
            <v/>
          </cell>
          <cell r="M1477" t="str">
            <v/>
          </cell>
        </row>
        <row r="1478">
          <cell r="A1478">
            <v>31102192</v>
          </cell>
          <cell r="C1478">
            <v>31102192</v>
          </cell>
          <cell r="D1478">
            <v>31102192</v>
          </cell>
          <cell r="E1478">
            <v>31102192</v>
          </cell>
          <cell r="F1478">
            <v>31102192</v>
          </cell>
          <cell r="G1478">
            <v>31102192</v>
          </cell>
          <cell r="H1478">
            <v>31102192</v>
          </cell>
          <cell r="I1478" t="str">
            <v/>
          </cell>
          <cell r="J1478" t="str">
            <v/>
          </cell>
          <cell r="K1478" t="str">
            <v/>
          </cell>
          <cell r="L1478" t="str">
            <v/>
          </cell>
          <cell r="M1478" t="str">
            <v/>
          </cell>
        </row>
        <row r="1479">
          <cell r="A1479">
            <v>31102192</v>
          </cell>
          <cell r="C1479">
            <v>31102192</v>
          </cell>
          <cell r="D1479">
            <v>31102192</v>
          </cell>
          <cell r="E1479">
            <v>31102192</v>
          </cell>
          <cell r="F1479">
            <v>31102192</v>
          </cell>
          <cell r="G1479">
            <v>31102192</v>
          </cell>
          <cell r="H1479">
            <v>31102192</v>
          </cell>
          <cell r="I1479" t="str">
            <v/>
          </cell>
          <cell r="J1479" t="str">
            <v/>
          </cell>
          <cell r="K1479" t="str">
            <v/>
          </cell>
          <cell r="L1479" t="str">
            <v/>
          </cell>
          <cell r="M1479" t="str">
            <v/>
          </cell>
        </row>
        <row r="1480">
          <cell r="A1480">
            <v>31102192</v>
          </cell>
          <cell r="C1480">
            <v>31102192</v>
          </cell>
          <cell r="D1480">
            <v>31102192</v>
          </cell>
          <cell r="E1480">
            <v>31102192</v>
          </cell>
          <cell r="F1480">
            <v>31102192</v>
          </cell>
          <cell r="G1480">
            <v>31102192</v>
          </cell>
          <cell r="H1480">
            <v>31102192</v>
          </cell>
          <cell r="I1480" t="str">
            <v/>
          </cell>
          <cell r="J1480" t="str">
            <v/>
          </cell>
          <cell r="K1480" t="str">
            <v/>
          </cell>
          <cell r="L1480" t="str">
            <v/>
          </cell>
          <cell r="M1480" t="str">
            <v/>
          </cell>
        </row>
        <row r="1481">
          <cell r="A1481">
            <v>31102192</v>
          </cell>
          <cell r="C1481">
            <v>31102192</v>
          </cell>
          <cell r="D1481">
            <v>31102192</v>
          </cell>
          <cell r="E1481">
            <v>31102192</v>
          </cell>
          <cell r="F1481">
            <v>31102192</v>
          </cell>
          <cell r="G1481">
            <v>31102192</v>
          </cell>
          <cell r="H1481">
            <v>31102192</v>
          </cell>
          <cell r="I1481" t="str">
            <v/>
          </cell>
          <cell r="J1481" t="str">
            <v/>
          </cell>
          <cell r="K1481" t="str">
            <v/>
          </cell>
          <cell r="L1481" t="str">
            <v/>
          </cell>
          <cell r="M1481" t="str">
            <v/>
          </cell>
        </row>
        <row r="1482">
          <cell r="A1482">
            <v>31102192</v>
          </cell>
          <cell r="C1482">
            <v>31102192</v>
          </cell>
          <cell r="D1482">
            <v>31102192</v>
          </cell>
          <cell r="E1482">
            <v>31102192</v>
          </cell>
          <cell r="F1482">
            <v>31102192</v>
          </cell>
          <cell r="G1482">
            <v>31102192</v>
          </cell>
          <cell r="H1482">
            <v>31102192</v>
          </cell>
          <cell r="I1482" t="str">
            <v/>
          </cell>
          <cell r="J1482" t="str">
            <v/>
          </cell>
          <cell r="K1482" t="str">
            <v/>
          </cell>
          <cell r="L1482" t="str">
            <v/>
          </cell>
          <cell r="M1482" t="str">
            <v/>
          </cell>
        </row>
        <row r="1483">
          <cell r="A1483">
            <v>31102192</v>
          </cell>
          <cell r="C1483">
            <v>31102192</v>
          </cell>
          <cell r="D1483">
            <v>31102192</v>
          </cell>
          <cell r="E1483">
            <v>31102192</v>
          </cell>
          <cell r="F1483">
            <v>31102192</v>
          </cell>
          <cell r="G1483">
            <v>31102192</v>
          </cell>
          <cell r="H1483">
            <v>31102192</v>
          </cell>
          <cell r="I1483" t="str">
            <v/>
          </cell>
          <cell r="J1483" t="str">
            <v/>
          </cell>
          <cell r="K1483" t="str">
            <v/>
          </cell>
          <cell r="L1483" t="str">
            <v/>
          </cell>
          <cell r="M1483" t="str">
            <v/>
          </cell>
        </row>
        <row r="1484">
          <cell r="A1484">
            <v>31102192</v>
          </cell>
          <cell r="C1484">
            <v>31102192</v>
          </cell>
          <cell r="D1484">
            <v>31102192</v>
          </cell>
          <cell r="E1484">
            <v>31102192</v>
          </cell>
          <cell r="F1484">
            <v>31102192</v>
          </cell>
          <cell r="G1484">
            <v>31102192</v>
          </cell>
          <cell r="H1484">
            <v>31102192</v>
          </cell>
          <cell r="I1484" t="str">
            <v/>
          </cell>
          <cell r="J1484" t="str">
            <v/>
          </cell>
          <cell r="K1484" t="str">
            <v/>
          </cell>
          <cell r="L1484" t="str">
            <v/>
          </cell>
          <cell r="M1484" t="str">
            <v/>
          </cell>
        </row>
        <row r="1485">
          <cell r="A1485">
            <v>31102192</v>
          </cell>
          <cell r="C1485">
            <v>31102192</v>
          </cell>
          <cell r="D1485">
            <v>31102192</v>
          </cell>
          <cell r="E1485">
            <v>31102192</v>
          </cell>
          <cell r="F1485">
            <v>31102192</v>
          </cell>
          <cell r="G1485">
            <v>31102192</v>
          </cell>
          <cell r="H1485">
            <v>31102192</v>
          </cell>
          <cell r="I1485" t="str">
            <v/>
          </cell>
          <cell r="J1485" t="str">
            <v/>
          </cell>
          <cell r="K1485" t="str">
            <v/>
          </cell>
          <cell r="L1485" t="str">
            <v/>
          </cell>
          <cell r="M1485" t="str">
            <v/>
          </cell>
        </row>
        <row r="1486">
          <cell r="A1486">
            <v>31102192</v>
          </cell>
          <cell r="C1486">
            <v>31102192</v>
          </cell>
          <cell r="D1486">
            <v>31102192</v>
          </cell>
          <cell r="E1486">
            <v>31102192</v>
          </cell>
          <cell r="F1486">
            <v>31102192</v>
          </cell>
          <cell r="G1486">
            <v>31102192</v>
          </cell>
          <cell r="H1486">
            <v>31102192</v>
          </cell>
          <cell r="I1486" t="str">
            <v/>
          </cell>
          <cell r="J1486" t="str">
            <v/>
          </cell>
          <cell r="K1486" t="str">
            <v/>
          </cell>
          <cell r="L1486" t="str">
            <v/>
          </cell>
          <cell r="M1486" t="str">
            <v/>
          </cell>
        </row>
        <row r="1487">
          <cell r="A1487">
            <v>31102192</v>
          </cell>
          <cell r="C1487">
            <v>31102192</v>
          </cell>
          <cell r="D1487">
            <v>31102192</v>
          </cell>
          <cell r="E1487">
            <v>31102192</v>
          </cell>
          <cell r="F1487">
            <v>31102192</v>
          </cell>
          <cell r="G1487">
            <v>31102192</v>
          </cell>
          <cell r="H1487">
            <v>31102192</v>
          </cell>
          <cell r="I1487" t="str">
            <v/>
          </cell>
          <cell r="J1487" t="str">
            <v/>
          </cell>
          <cell r="K1487" t="str">
            <v/>
          </cell>
          <cell r="L1487" t="str">
            <v/>
          </cell>
          <cell r="M1487" t="str">
            <v/>
          </cell>
        </row>
        <row r="1488">
          <cell r="A1488">
            <v>31102192</v>
          </cell>
          <cell r="C1488">
            <v>31102192</v>
          </cell>
          <cell r="D1488">
            <v>31102192</v>
          </cell>
          <cell r="E1488">
            <v>31102192</v>
          </cell>
          <cell r="F1488">
            <v>31102192</v>
          </cell>
          <cell r="G1488">
            <v>31102192</v>
          </cell>
          <cell r="H1488">
            <v>31102192</v>
          </cell>
          <cell r="I1488" t="str">
            <v/>
          </cell>
          <cell r="J1488" t="str">
            <v/>
          </cell>
          <cell r="K1488" t="str">
            <v/>
          </cell>
          <cell r="L1488" t="str">
            <v/>
          </cell>
          <cell r="M1488" t="str">
            <v/>
          </cell>
        </row>
        <row r="1489">
          <cell r="A1489">
            <v>31102192</v>
          </cell>
          <cell r="C1489">
            <v>31102192</v>
          </cell>
          <cell r="D1489">
            <v>31102192</v>
          </cell>
          <cell r="E1489">
            <v>31102192</v>
          </cell>
          <cell r="F1489">
            <v>31102192</v>
          </cell>
          <cell r="G1489">
            <v>31102192</v>
          </cell>
          <cell r="H1489">
            <v>31102192</v>
          </cell>
          <cell r="I1489" t="str">
            <v/>
          </cell>
          <cell r="J1489" t="str">
            <v/>
          </cell>
          <cell r="K1489" t="str">
            <v/>
          </cell>
          <cell r="L1489" t="str">
            <v/>
          </cell>
          <cell r="M1489" t="str">
            <v/>
          </cell>
        </row>
        <row r="1490">
          <cell r="A1490">
            <v>31102192</v>
          </cell>
          <cell r="C1490">
            <v>31102192</v>
          </cell>
          <cell r="D1490">
            <v>31102192</v>
          </cell>
          <cell r="E1490">
            <v>31102192</v>
          </cell>
          <cell r="F1490">
            <v>31102192</v>
          </cell>
          <cell r="G1490">
            <v>31102192</v>
          </cell>
          <cell r="H1490">
            <v>31102192</v>
          </cell>
          <cell r="I1490" t="str">
            <v/>
          </cell>
          <cell r="J1490" t="str">
            <v/>
          </cell>
          <cell r="K1490" t="str">
            <v/>
          </cell>
          <cell r="L1490" t="str">
            <v/>
          </cell>
          <cell r="M1490" t="str">
            <v/>
          </cell>
        </row>
        <row r="1491">
          <cell r="A1491">
            <v>31102192</v>
          </cell>
          <cell r="C1491">
            <v>31102192</v>
          </cell>
          <cell r="D1491">
            <v>31102192</v>
          </cell>
          <cell r="E1491">
            <v>31102192</v>
          </cell>
          <cell r="F1491">
            <v>31102192</v>
          </cell>
          <cell r="G1491">
            <v>31102192</v>
          </cell>
          <cell r="H1491">
            <v>31102192</v>
          </cell>
          <cell r="I1491" t="str">
            <v/>
          </cell>
          <cell r="J1491" t="str">
            <v/>
          </cell>
          <cell r="K1491" t="str">
            <v/>
          </cell>
          <cell r="L1491" t="str">
            <v/>
          </cell>
          <cell r="M1491" t="str">
            <v/>
          </cell>
        </row>
        <row r="1492">
          <cell r="A1492">
            <v>31102192</v>
          </cell>
          <cell r="C1492">
            <v>31102192</v>
          </cell>
          <cell r="D1492">
            <v>31102192</v>
          </cell>
          <cell r="E1492">
            <v>31102192</v>
          </cell>
          <cell r="F1492">
            <v>31102192</v>
          </cell>
          <cell r="G1492">
            <v>31102192</v>
          </cell>
          <cell r="H1492">
            <v>31102192</v>
          </cell>
          <cell r="I1492" t="str">
            <v/>
          </cell>
          <cell r="J1492" t="str">
            <v/>
          </cell>
          <cell r="K1492" t="str">
            <v/>
          </cell>
          <cell r="L1492" t="str">
            <v/>
          </cell>
          <cell r="M1492" t="str">
            <v/>
          </cell>
        </row>
        <row r="1493">
          <cell r="A1493">
            <v>31102192</v>
          </cell>
          <cell r="C1493">
            <v>31102192</v>
          </cell>
          <cell r="D1493">
            <v>31102192</v>
          </cell>
          <cell r="E1493">
            <v>31102192</v>
          </cell>
          <cell r="F1493">
            <v>31102192</v>
          </cell>
          <cell r="G1493">
            <v>31102192</v>
          </cell>
          <cell r="H1493">
            <v>31102192</v>
          </cell>
          <cell r="I1493" t="str">
            <v/>
          </cell>
          <cell r="J1493" t="str">
            <v/>
          </cell>
          <cell r="K1493" t="str">
            <v/>
          </cell>
          <cell r="L1493" t="str">
            <v/>
          </cell>
          <cell r="M1493" t="str">
            <v/>
          </cell>
        </row>
        <row r="1494">
          <cell r="A1494">
            <v>31102192</v>
          </cell>
          <cell r="C1494">
            <v>31102192</v>
          </cell>
          <cell r="D1494">
            <v>31102192</v>
          </cell>
          <cell r="E1494">
            <v>31102192</v>
          </cell>
          <cell r="F1494">
            <v>31102192</v>
          </cell>
          <cell r="G1494">
            <v>31102192</v>
          </cell>
          <cell r="H1494">
            <v>31102192</v>
          </cell>
          <cell r="I1494" t="str">
            <v/>
          </cell>
          <cell r="J1494" t="str">
            <v/>
          </cell>
          <cell r="K1494" t="str">
            <v/>
          </cell>
          <cell r="L1494" t="str">
            <v/>
          </cell>
          <cell r="M1494" t="str">
            <v/>
          </cell>
        </row>
        <row r="1495">
          <cell r="A1495">
            <v>31102192</v>
          </cell>
          <cell r="C1495">
            <v>31102192</v>
          </cell>
          <cell r="D1495">
            <v>31102192</v>
          </cell>
          <cell r="E1495">
            <v>31102192</v>
          </cell>
          <cell r="F1495">
            <v>31102192</v>
          </cell>
          <cell r="G1495">
            <v>31102192</v>
          </cell>
          <cell r="H1495">
            <v>31102192</v>
          </cell>
          <cell r="I1495" t="str">
            <v/>
          </cell>
          <cell r="J1495" t="str">
            <v/>
          </cell>
          <cell r="K1495" t="str">
            <v/>
          </cell>
          <cell r="L1495" t="str">
            <v/>
          </cell>
          <cell r="M1495" t="str">
            <v/>
          </cell>
        </row>
        <row r="1496">
          <cell r="A1496">
            <v>31102192</v>
          </cell>
          <cell r="C1496">
            <v>31102192</v>
          </cell>
          <cell r="D1496">
            <v>31102192</v>
          </cell>
          <cell r="E1496">
            <v>31102192</v>
          </cell>
          <cell r="F1496">
            <v>31102192</v>
          </cell>
          <cell r="G1496">
            <v>31102192</v>
          </cell>
          <cell r="H1496">
            <v>31102192</v>
          </cell>
          <cell r="I1496" t="str">
            <v/>
          </cell>
          <cell r="J1496" t="str">
            <v/>
          </cell>
          <cell r="K1496" t="str">
            <v/>
          </cell>
          <cell r="L1496" t="str">
            <v/>
          </cell>
          <cell r="M1496" t="str">
            <v/>
          </cell>
        </row>
        <row r="1497">
          <cell r="A1497">
            <v>31102192</v>
          </cell>
          <cell r="C1497">
            <v>31102192</v>
          </cell>
          <cell r="D1497">
            <v>31102192</v>
          </cell>
          <cell r="E1497">
            <v>31102192</v>
          </cell>
          <cell r="F1497">
            <v>31102192</v>
          </cell>
          <cell r="G1497">
            <v>31102192</v>
          </cell>
          <cell r="H1497">
            <v>31102192</v>
          </cell>
          <cell r="I1497" t="str">
            <v/>
          </cell>
          <cell r="J1497" t="str">
            <v/>
          </cell>
          <cell r="K1497" t="str">
            <v/>
          </cell>
          <cell r="L1497" t="str">
            <v/>
          </cell>
          <cell r="M1497" t="str">
            <v/>
          </cell>
        </row>
        <row r="1498">
          <cell r="A1498">
            <v>31102192</v>
          </cell>
          <cell r="C1498">
            <v>31102192</v>
          </cell>
          <cell r="D1498">
            <v>31102192</v>
          </cell>
          <cell r="E1498">
            <v>31102192</v>
          </cell>
          <cell r="F1498">
            <v>31102192</v>
          </cell>
          <cell r="G1498">
            <v>31102192</v>
          </cell>
          <cell r="H1498">
            <v>31102192</v>
          </cell>
          <cell r="I1498" t="str">
            <v/>
          </cell>
          <cell r="J1498" t="str">
            <v/>
          </cell>
          <cell r="K1498" t="str">
            <v/>
          </cell>
          <cell r="L1498" t="str">
            <v/>
          </cell>
          <cell r="M1498" t="str">
            <v/>
          </cell>
        </row>
        <row r="1499">
          <cell r="A1499">
            <v>31102192</v>
          </cell>
          <cell r="C1499">
            <v>31102192</v>
          </cell>
          <cell r="D1499">
            <v>31102192</v>
          </cell>
          <cell r="E1499">
            <v>31102192</v>
          </cell>
          <cell r="F1499">
            <v>31102192</v>
          </cell>
          <cell r="G1499">
            <v>31102192</v>
          </cell>
          <cell r="H1499">
            <v>31102192</v>
          </cell>
          <cell r="I1499" t="str">
            <v/>
          </cell>
          <cell r="J1499" t="str">
            <v/>
          </cell>
          <cell r="K1499" t="str">
            <v/>
          </cell>
          <cell r="L1499" t="str">
            <v/>
          </cell>
          <cell r="M1499" t="str">
            <v/>
          </cell>
        </row>
        <row r="1500">
          <cell r="A1500">
            <v>31102192</v>
          </cell>
          <cell r="C1500">
            <v>31102192</v>
          </cell>
          <cell r="D1500">
            <v>31102192</v>
          </cell>
          <cell r="E1500">
            <v>31102192</v>
          </cell>
          <cell r="F1500">
            <v>31102192</v>
          </cell>
          <cell r="G1500">
            <v>31102192</v>
          </cell>
          <cell r="H1500">
            <v>31102192</v>
          </cell>
          <cell r="I1500" t="str">
            <v/>
          </cell>
          <cell r="J1500" t="str">
            <v/>
          </cell>
          <cell r="K1500" t="str">
            <v/>
          </cell>
          <cell r="L1500" t="str">
            <v/>
          </cell>
          <cell r="M1500" t="str">
            <v/>
          </cell>
        </row>
        <row r="1501">
          <cell r="A1501">
            <v>31102192</v>
          </cell>
          <cell r="C1501">
            <v>31102192</v>
          </cell>
          <cell r="D1501">
            <v>31102192</v>
          </cell>
          <cell r="E1501">
            <v>31102192</v>
          </cell>
          <cell r="F1501">
            <v>31102192</v>
          </cell>
          <cell r="G1501">
            <v>31102192</v>
          </cell>
          <cell r="H1501">
            <v>31102192</v>
          </cell>
          <cell r="I1501" t="str">
            <v/>
          </cell>
          <cell r="J1501" t="str">
            <v/>
          </cell>
          <cell r="K1501" t="str">
            <v/>
          </cell>
          <cell r="L1501" t="str">
            <v/>
          </cell>
          <cell r="M1501" t="str">
            <v/>
          </cell>
        </row>
        <row r="1502">
          <cell r="A1502">
            <v>31102192</v>
          </cell>
          <cell r="C1502">
            <v>31102192</v>
          </cell>
          <cell r="D1502">
            <v>31102192</v>
          </cell>
          <cell r="E1502">
            <v>31102192</v>
          </cell>
          <cell r="F1502">
            <v>31102192</v>
          </cell>
          <cell r="G1502">
            <v>31102192</v>
          </cell>
          <cell r="H1502">
            <v>31102192</v>
          </cell>
          <cell r="I1502" t="str">
            <v/>
          </cell>
          <cell r="J1502" t="str">
            <v/>
          </cell>
          <cell r="K1502" t="str">
            <v/>
          </cell>
          <cell r="L1502" t="str">
            <v/>
          </cell>
          <cell r="M1502" t="str">
            <v/>
          </cell>
        </row>
        <row r="1503">
          <cell r="A1503">
            <v>31102192</v>
          </cell>
          <cell r="C1503">
            <v>31102192</v>
          </cell>
          <cell r="D1503">
            <v>31102192</v>
          </cell>
          <cell r="E1503">
            <v>31102192</v>
          </cell>
          <cell r="F1503">
            <v>31102192</v>
          </cell>
          <cell r="G1503">
            <v>31102192</v>
          </cell>
          <cell r="H1503">
            <v>31102192</v>
          </cell>
          <cell r="I1503" t="str">
            <v/>
          </cell>
          <cell r="J1503" t="str">
            <v/>
          </cell>
          <cell r="K1503" t="str">
            <v/>
          </cell>
          <cell r="L1503" t="str">
            <v/>
          </cell>
          <cell r="M1503" t="str">
            <v/>
          </cell>
        </row>
        <row r="1504">
          <cell r="A1504">
            <v>31102192</v>
          </cell>
          <cell r="C1504">
            <v>31102192</v>
          </cell>
          <cell r="D1504">
            <v>31102192</v>
          </cell>
          <cell r="E1504">
            <v>31102192</v>
          </cell>
          <cell r="F1504">
            <v>31102192</v>
          </cell>
          <cell r="G1504">
            <v>31102192</v>
          </cell>
          <cell r="H1504">
            <v>31102192</v>
          </cell>
          <cell r="I1504" t="str">
            <v/>
          </cell>
          <cell r="J1504" t="str">
            <v/>
          </cell>
          <cell r="K1504" t="str">
            <v/>
          </cell>
          <cell r="L1504" t="str">
            <v/>
          </cell>
          <cell r="M1504" t="str">
            <v/>
          </cell>
        </row>
        <row r="1505">
          <cell r="A1505">
            <v>31102192</v>
          </cell>
          <cell r="C1505">
            <v>31102192</v>
          </cell>
          <cell r="D1505">
            <v>31102192</v>
          </cell>
          <cell r="E1505">
            <v>31102192</v>
          </cell>
          <cell r="F1505">
            <v>31102192</v>
          </cell>
          <cell r="G1505">
            <v>31102192</v>
          </cell>
          <cell r="H1505">
            <v>31102192</v>
          </cell>
          <cell r="I1505" t="str">
            <v/>
          </cell>
          <cell r="J1505" t="str">
            <v/>
          </cell>
          <cell r="K1505" t="str">
            <v/>
          </cell>
          <cell r="L1505" t="str">
            <v/>
          </cell>
          <cell r="M1505" t="str">
            <v/>
          </cell>
        </row>
        <row r="1506">
          <cell r="A1506">
            <v>31102192</v>
          </cell>
          <cell r="C1506">
            <v>31102192</v>
          </cell>
          <cell r="D1506">
            <v>31102192</v>
          </cell>
          <cell r="E1506">
            <v>31102192</v>
          </cell>
          <cell r="F1506">
            <v>31102192</v>
          </cell>
          <cell r="G1506">
            <v>31102192</v>
          </cell>
          <cell r="H1506">
            <v>31102192</v>
          </cell>
          <cell r="I1506" t="str">
            <v/>
          </cell>
          <cell r="J1506" t="str">
            <v/>
          </cell>
          <cell r="K1506" t="str">
            <v/>
          </cell>
          <cell r="L1506" t="str">
            <v/>
          </cell>
          <cell r="M1506" t="str">
            <v/>
          </cell>
        </row>
        <row r="1507">
          <cell r="A1507">
            <v>31102192</v>
          </cell>
          <cell r="C1507">
            <v>31102192</v>
          </cell>
          <cell r="D1507">
            <v>31102192</v>
          </cell>
          <cell r="E1507">
            <v>31102192</v>
          </cell>
          <cell r="F1507">
            <v>31102192</v>
          </cell>
          <cell r="G1507">
            <v>31102192</v>
          </cell>
          <cell r="H1507">
            <v>31102192</v>
          </cell>
          <cell r="I1507" t="str">
            <v/>
          </cell>
          <cell r="J1507" t="str">
            <v/>
          </cell>
          <cell r="K1507" t="str">
            <v/>
          </cell>
          <cell r="L1507" t="str">
            <v/>
          </cell>
          <cell r="M1507" t="str">
            <v/>
          </cell>
        </row>
        <row r="1508">
          <cell r="A1508">
            <v>31102192</v>
          </cell>
          <cell r="C1508">
            <v>31102192</v>
          </cell>
          <cell r="D1508">
            <v>31102192</v>
          </cell>
          <cell r="E1508">
            <v>31102192</v>
          </cell>
          <cell r="F1508">
            <v>31102192</v>
          </cell>
          <cell r="G1508">
            <v>31102192</v>
          </cell>
          <cell r="H1508">
            <v>31102192</v>
          </cell>
          <cell r="I1508" t="str">
            <v/>
          </cell>
          <cell r="J1508" t="str">
            <v/>
          </cell>
          <cell r="K1508" t="str">
            <v/>
          </cell>
          <cell r="L1508" t="str">
            <v/>
          </cell>
          <cell r="M1508" t="str">
            <v/>
          </cell>
        </row>
        <row r="1509">
          <cell r="A1509">
            <v>31102192</v>
          </cell>
          <cell r="C1509">
            <v>31102192</v>
          </cell>
          <cell r="D1509">
            <v>31102192</v>
          </cell>
          <cell r="E1509">
            <v>31102192</v>
          </cell>
          <cell r="F1509">
            <v>31102192</v>
          </cell>
          <cell r="G1509">
            <v>31102192</v>
          </cell>
          <cell r="H1509">
            <v>31102192</v>
          </cell>
          <cell r="I1509" t="str">
            <v/>
          </cell>
          <cell r="J1509" t="str">
            <v/>
          </cell>
          <cell r="K1509" t="str">
            <v/>
          </cell>
          <cell r="L1509" t="str">
            <v/>
          </cell>
          <cell r="M1509" t="str">
            <v/>
          </cell>
        </row>
        <row r="1510">
          <cell r="A1510">
            <v>31102192</v>
          </cell>
          <cell r="C1510">
            <v>31102192</v>
          </cell>
          <cell r="D1510">
            <v>31102192</v>
          </cell>
          <cell r="E1510">
            <v>31102192</v>
          </cell>
          <cell r="F1510">
            <v>31102192</v>
          </cell>
          <cell r="G1510">
            <v>31102192</v>
          </cell>
          <cell r="H1510">
            <v>31102192</v>
          </cell>
          <cell r="I1510" t="str">
            <v/>
          </cell>
          <cell r="J1510" t="str">
            <v/>
          </cell>
          <cell r="K1510" t="str">
            <v/>
          </cell>
          <cell r="L1510" t="str">
            <v/>
          </cell>
          <cell r="M1510" t="str">
            <v/>
          </cell>
        </row>
        <row r="1511">
          <cell r="A1511">
            <v>31102192</v>
          </cell>
          <cell r="C1511">
            <v>31102192</v>
          </cell>
          <cell r="D1511">
            <v>31102192</v>
          </cell>
          <cell r="E1511">
            <v>31102192</v>
          </cell>
          <cell r="F1511">
            <v>31102192</v>
          </cell>
          <cell r="G1511">
            <v>31102192</v>
          </cell>
          <cell r="H1511">
            <v>31102192</v>
          </cell>
          <cell r="I1511" t="str">
            <v/>
          </cell>
          <cell r="J1511" t="str">
            <v/>
          </cell>
          <cell r="K1511" t="str">
            <v/>
          </cell>
          <cell r="L1511" t="str">
            <v/>
          </cell>
          <cell r="M1511" t="str">
            <v/>
          </cell>
        </row>
        <row r="1512">
          <cell r="A1512">
            <v>31102192</v>
          </cell>
          <cell r="C1512">
            <v>31102192</v>
          </cell>
          <cell r="D1512">
            <v>31102192</v>
          </cell>
          <cell r="E1512">
            <v>31102192</v>
          </cell>
          <cell r="F1512">
            <v>31102192</v>
          </cell>
          <cell r="G1512">
            <v>31102192</v>
          </cell>
          <cell r="H1512">
            <v>31102192</v>
          </cell>
          <cell r="I1512" t="str">
            <v/>
          </cell>
          <cell r="J1512" t="str">
            <v/>
          </cell>
          <cell r="K1512" t="str">
            <v/>
          </cell>
          <cell r="L1512" t="str">
            <v/>
          </cell>
          <cell r="M1512" t="str">
            <v/>
          </cell>
        </row>
        <row r="1513">
          <cell r="A1513">
            <v>31102192</v>
          </cell>
          <cell r="C1513">
            <v>31102192</v>
          </cell>
          <cell r="D1513">
            <v>31102192</v>
          </cell>
          <cell r="E1513">
            <v>31102192</v>
          </cell>
          <cell r="F1513">
            <v>31102192</v>
          </cell>
          <cell r="G1513">
            <v>31102192</v>
          </cell>
          <cell r="H1513">
            <v>31102192</v>
          </cell>
          <cell r="I1513" t="str">
            <v/>
          </cell>
          <cell r="J1513" t="str">
            <v/>
          </cell>
          <cell r="K1513" t="str">
            <v/>
          </cell>
          <cell r="L1513" t="str">
            <v/>
          </cell>
          <cell r="M1513" t="str">
            <v/>
          </cell>
        </row>
        <row r="1514">
          <cell r="A1514">
            <v>31102192</v>
          </cell>
          <cell r="C1514">
            <v>31102192</v>
          </cell>
          <cell r="D1514">
            <v>31102192</v>
          </cell>
          <cell r="E1514">
            <v>31102192</v>
          </cell>
          <cell r="F1514">
            <v>31102192</v>
          </cell>
          <cell r="G1514">
            <v>31102192</v>
          </cell>
          <cell r="H1514">
            <v>31102192</v>
          </cell>
          <cell r="I1514" t="str">
            <v/>
          </cell>
          <cell r="J1514" t="str">
            <v/>
          </cell>
          <cell r="K1514" t="str">
            <v/>
          </cell>
          <cell r="L1514" t="str">
            <v/>
          </cell>
          <cell r="M1514" t="str">
            <v/>
          </cell>
        </row>
        <row r="1515">
          <cell r="A1515">
            <v>31102192</v>
          </cell>
          <cell r="C1515">
            <v>31102192</v>
          </cell>
          <cell r="D1515">
            <v>31102192</v>
          </cell>
          <cell r="E1515">
            <v>31102192</v>
          </cell>
          <cell r="F1515">
            <v>31102192</v>
          </cell>
          <cell r="G1515">
            <v>31102192</v>
          </cell>
          <cell r="H1515">
            <v>31102192</v>
          </cell>
          <cell r="I1515" t="str">
            <v/>
          </cell>
          <cell r="J1515" t="str">
            <v/>
          </cell>
          <cell r="K1515" t="str">
            <v/>
          </cell>
          <cell r="L1515" t="str">
            <v/>
          </cell>
          <cell r="M1515" t="str">
            <v/>
          </cell>
        </row>
        <row r="1516">
          <cell r="A1516">
            <v>31102192</v>
          </cell>
          <cell r="C1516">
            <v>31102192</v>
          </cell>
          <cell r="D1516">
            <v>31102192</v>
          </cell>
          <cell r="E1516">
            <v>31102192</v>
          </cell>
          <cell r="F1516">
            <v>31102192</v>
          </cell>
          <cell r="G1516">
            <v>31102192</v>
          </cell>
          <cell r="H1516">
            <v>31102192</v>
          </cell>
          <cell r="I1516" t="str">
            <v/>
          </cell>
          <cell r="J1516" t="str">
            <v/>
          </cell>
          <cell r="K1516" t="str">
            <v/>
          </cell>
          <cell r="L1516" t="str">
            <v/>
          </cell>
          <cell r="M1516" t="str">
            <v/>
          </cell>
        </row>
        <row r="1517">
          <cell r="A1517">
            <v>31102192</v>
          </cell>
          <cell r="C1517">
            <v>31102192</v>
          </cell>
          <cell r="D1517">
            <v>31102192</v>
          </cell>
          <cell r="E1517">
            <v>31102192</v>
          </cell>
          <cell r="F1517">
            <v>31102192</v>
          </cell>
          <cell r="G1517">
            <v>31102192</v>
          </cell>
          <cell r="H1517">
            <v>31102192</v>
          </cell>
          <cell r="I1517" t="str">
            <v/>
          </cell>
          <cell r="J1517" t="str">
            <v/>
          </cell>
          <cell r="K1517" t="str">
            <v/>
          </cell>
          <cell r="L1517" t="str">
            <v/>
          </cell>
          <cell r="M1517" t="str">
            <v/>
          </cell>
        </row>
        <row r="1518">
          <cell r="A1518">
            <v>31102192</v>
          </cell>
          <cell r="C1518">
            <v>31102192</v>
          </cell>
          <cell r="D1518">
            <v>31102192</v>
          </cell>
          <cell r="E1518">
            <v>31102192</v>
          </cell>
          <cell r="F1518">
            <v>31102192</v>
          </cell>
          <cell r="G1518">
            <v>31102192</v>
          </cell>
          <cell r="H1518">
            <v>31102192</v>
          </cell>
          <cell r="I1518" t="str">
            <v/>
          </cell>
          <cell r="J1518" t="str">
            <v/>
          </cell>
          <cell r="K1518" t="str">
            <v/>
          </cell>
          <cell r="L1518" t="str">
            <v/>
          </cell>
          <cell r="M1518" t="str">
            <v/>
          </cell>
        </row>
        <row r="1519">
          <cell r="A1519">
            <v>31102192</v>
          </cell>
          <cell r="C1519">
            <v>31102192</v>
          </cell>
          <cell r="D1519">
            <v>31102192</v>
          </cell>
          <cell r="E1519">
            <v>31102192</v>
          </cell>
          <cell r="F1519">
            <v>31102192</v>
          </cell>
          <cell r="G1519">
            <v>31102192</v>
          </cell>
          <cell r="H1519">
            <v>31102192</v>
          </cell>
          <cell r="I1519" t="str">
            <v/>
          </cell>
          <cell r="J1519" t="str">
            <v/>
          </cell>
          <cell r="K1519" t="str">
            <v/>
          </cell>
          <cell r="L1519" t="str">
            <v/>
          </cell>
          <cell r="M1519" t="str">
            <v/>
          </cell>
        </row>
        <row r="1520">
          <cell r="A1520">
            <v>31102192</v>
          </cell>
          <cell r="C1520">
            <v>31102192</v>
          </cell>
          <cell r="D1520">
            <v>31102192</v>
          </cell>
          <cell r="E1520">
            <v>31102192</v>
          </cell>
          <cell r="F1520">
            <v>31102192</v>
          </cell>
          <cell r="G1520">
            <v>31102192</v>
          </cell>
          <cell r="H1520">
            <v>31102192</v>
          </cell>
          <cell r="I1520" t="str">
            <v/>
          </cell>
          <cell r="J1520" t="str">
            <v/>
          </cell>
          <cell r="K1520" t="str">
            <v/>
          </cell>
          <cell r="L1520" t="str">
            <v/>
          </cell>
          <cell r="M1520" t="str">
            <v/>
          </cell>
        </row>
        <row r="1521">
          <cell r="A1521">
            <v>31102192</v>
          </cell>
          <cell r="C1521">
            <v>31102192</v>
          </cell>
          <cell r="D1521">
            <v>31102192</v>
          </cell>
          <cell r="E1521">
            <v>31102192</v>
          </cell>
          <cell r="F1521">
            <v>31102192</v>
          </cell>
          <cell r="G1521">
            <v>31102192</v>
          </cell>
          <cell r="H1521">
            <v>31102192</v>
          </cell>
          <cell r="I1521" t="str">
            <v/>
          </cell>
          <cell r="J1521" t="str">
            <v/>
          </cell>
          <cell r="K1521" t="str">
            <v/>
          </cell>
          <cell r="L1521" t="str">
            <v/>
          </cell>
          <cell r="M1521" t="str">
            <v/>
          </cell>
        </row>
        <row r="1522">
          <cell r="A1522">
            <v>31102192</v>
          </cell>
          <cell r="C1522">
            <v>31102192</v>
          </cell>
          <cell r="D1522">
            <v>31102192</v>
          </cell>
          <cell r="E1522">
            <v>31102192</v>
          </cell>
          <cell r="F1522">
            <v>31102192</v>
          </cell>
          <cell r="G1522">
            <v>31102192</v>
          </cell>
          <cell r="H1522">
            <v>31102192</v>
          </cell>
          <cell r="I1522" t="str">
            <v/>
          </cell>
          <cell r="J1522" t="str">
            <v/>
          </cell>
          <cell r="K1522" t="str">
            <v/>
          </cell>
          <cell r="L1522" t="str">
            <v/>
          </cell>
          <cell r="M1522" t="str">
            <v/>
          </cell>
        </row>
        <row r="1523">
          <cell r="A1523">
            <v>31102192</v>
          </cell>
          <cell r="C1523">
            <v>31102192</v>
          </cell>
          <cell r="D1523">
            <v>31102192</v>
          </cell>
          <cell r="E1523">
            <v>31102192</v>
          </cell>
          <cell r="F1523">
            <v>31102192</v>
          </cell>
          <cell r="G1523">
            <v>31102192</v>
          </cell>
          <cell r="H1523">
            <v>31102192</v>
          </cell>
          <cell r="I1523" t="str">
            <v/>
          </cell>
          <cell r="J1523" t="str">
            <v/>
          </cell>
          <cell r="K1523" t="str">
            <v/>
          </cell>
          <cell r="L1523" t="str">
            <v/>
          </cell>
          <cell r="M1523" t="str">
            <v/>
          </cell>
        </row>
        <row r="1524">
          <cell r="A1524">
            <v>31102192</v>
          </cell>
          <cell r="C1524">
            <v>31102192</v>
          </cell>
          <cell r="D1524">
            <v>31102192</v>
          </cell>
          <cell r="E1524">
            <v>31102192</v>
          </cell>
          <cell r="F1524">
            <v>31102192</v>
          </cell>
          <cell r="G1524">
            <v>31102192</v>
          </cell>
          <cell r="H1524">
            <v>31102192</v>
          </cell>
          <cell r="I1524" t="str">
            <v/>
          </cell>
          <cell r="J1524" t="str">
            <v/>
          </cell>
          <cell r="K1524" t="str">
            <v/>
          </cell>
          <cell r="L1524" t="str">
            <v/>
          </cell>
          <cell r="M1524" t="str">
            <v/>
          </cell>
        </row>
        <row r="1525">
          <cell r="A1525">
            <v>31102192</v>
          </cell>
          <cell r="C1525">
            <v>31102192</v>
          </cell>
          <cell r="D1525">
            <v>31102192</v>
          </cell>
          <cell r="E1525">
            <v>31102192</v>
          </cell>
          <cell r="F1525">
            <v>31102192</v>
          </cell>
          <cell r="G1525">
            <v>31102192</v>
          </cell>
          <cell r="H1525">
            <v>31102192</v>
          </cell>
          <cell r="I1525" t="str">
            <v/>
          </cell>
          <cell r="J1525" t="str">
            <v/>
          </cell>
          <cell r="K1525" t="str">
            <v/>
          </cell>
          <cell r="L1525" t="str">
            <v/>
          </cell>
          <cell r="M1525" t="str">
            <v/>
          </cell>
        </row>
        <row r="1526">
          <cell r="A1526">
            <v>31102192</v>
          </cell>
          <cell r="C1526">
            <v>31102192</v>
          </cell>
          <cell r="D1526">
            <v>31102192</v>
          </cell>
          <cell r="E1526">
            <v>31102192</v>
          </cell>
          <cell r="F1526">
            <v>31102192</v>
          </cell>
          <cell r="G1526">
            <v>31102192</v>
          </cell>
          <cell r="H1526">
            <v>31102192</v>
          </cell>
          <cell r="I1526" t="str">
            <v/>
          </cell>
          <cell r="J1526" t="str">
            <v/>
          </cell>
          <cell r="K1526" t="str">
            <v/>
          </cell>
          <cell r="L1526" t="str">
            <v/>
          </cell>
          <cell r="M1526" t="str">
            <v/>
          </cell>
        </row>
        <row r="1527">
          <cell r="A1527">
            <v>31102192</v>
          </cell>
          <cell r="C1527">
            <v>31102192</v>
          </cell>
          <cell r="D1527">
            <v>31102192</v>
          </cell>
          <cell r="E1527">
            <v>31102192</v>
          </cell>
          <cell r="F1527">
            <v>31102192</v>
          </cell>
          <cell r="G1527">
            <v>31102192</v>
          </cell>
          <cell r="H1527">
            <v>31102192</v>
          </cell>
          <cell r="I1527" t="str">
            <v/>
          </cell>
          <cell r="J1527" t="str">
            <v/>
          </cell>
          <cell r="K1527" t="str">
            <v/>
          </cell>
          <cell r="L1527" t="str">
            <v/>
          </cell>
          <cell r="M1527" t="str">
            <v/>
          </cell>
        </row>
        <row r="1528">
          <cell r="A1528">
            <v>31102192</v>
          </cell>
          <cell r="C1528">
            <v>31102192</v>
          </cell>
          <cell r="D1528">
            <v>31102192</v>
          </cell>
          <cell r="E1528">
            <v>31102192</v>
          </cell>
          <cell r="F1528">
            <v>31102192</v>
          </cell>
          <cell r="G1528">
            <v>31102192</v>
          </cell>
          <cell r="H1528">
            <v>31102192</v>
          </cell>
          <cell r="I1528" t="str">
            <v/>
          </cell>
          <cell r="J1528" t="str">
            <v/>
          </cell>
          <cell r="K1528" t="str">
            <v/>
          </cell>
          <cell r="L1528" t="str">
            <v/>
          </cell>
          <cell r="M1528" t="str">
            <v/>
          </cell>
        </row>
        <row r="1529">
          <cell r="A1529">
            <v>31102192</v>
          </cell>
          <cell r="C1529">
            <v>31102192</v>
          </cell>
          <cell r="D1529">
            <v>31102192</v>
          </cell>
          <cell r="E1529">
            <v>31102192</v>
          </cell>
          <cell r="F1529">
            <v>31102192</v>
          </cell>
          <cell r="G1529">
            <v>31102192</v>
          </cell>
          <cell r="H1529">
            <v>31102192</v>
          </cell>
          <cell r="I1529" t="str">
            <v/>
          </cell>
          <cell r="J1529" t="str">
            <v/>
          </cell>
          <cell r="K1529" t="str">
            <v/>
          </cell>
          <cell r="L1529" t="str">
            <v/>
          </cell>
          <cell r="M1529" t="str">
            <v/>
          </cell>
        </row>
        <row r="1530">
          <cell r="A1530">
            <v>31102192</v>
          </cell>
          <cell r="C1530">
            <v>31102192</v>
          </cell>
          <cell r="D1530">
            <v>31102192</v>
          </cell>
          <cell r="E1530">
            <v>31102192</v>
          </cell>
          <cell r="F1530">
            <v>31102192</v>
          </cell>
          <cell r="G1530">
            <v>31102192</v>
          </cell>
          <cell r="H1530">
            <v>31102192</v>
          </cell>
          <cell r="I1530" t="str">
            <v/>
          </cell>
          <cell r="J1530" t="str">
            <v/>
          </cell>
          <cell r="K1530" t="str">
            <v/>
          </cell>
          <cell r="L1530" t="str">
            <v/>
          </cell>
          <cell r="M1530" t="str">
            <v/>
          </cell>
        </row>
        <row r="1531">
          <cell r="A1531">
            <v>31102192</v>
          </cell>
          <cell r="C1531">
            <v>31102192</v>
          </cell>
          <cell r="D1531">
            <v>31102192</v>
          </cell>
          <cell r="E1531">
            <v>31102192</v>
          </cell>
          <cell r="F1531">
            <v>31102192</v>
          </cell>
          <cell r="G1531">
            <v>31102192</v>
          </cell>
          <cell r="H1531">
            <v>31102192</v>
          </cell>
          <cell r="I1531" t="str">
            <v/>
          </cell>
          <cell r="J1531" t="str">
            <v/>
          </cell>
          <cell r="K1531" t="str">
            <v/>
          </cell>
          <cell r="L1531" t="str">
            <v/>
          </cell>
          <cell r="M1531" t="str">
            <v/>
          </cell>
        </row>
        <row r="1532">
          <cell r="A1532">
            <v>31102192</v>
          </cell>
          <cell r="C1532">
            <v>31102192</v>
          </cell>
          <cell r="D1532">
            <v>31102192</v>
          </cell>
          <cell r="E1532">
            <v>31102192</v>
          </cell>
          <cell r="F1532">
            <v>31102192</v>
          </cell>
          <cell r="G1532">
            <v>31102192</v>
          </cell>
          <cell r="H1532">
            <v>31102192</v>
          </cell>
          <cell r="I1532" t="str">
            <v/>
          </cell>
          <cell r="J1532" t="str">
            <v/>
          </cell>
          <cell r="K1532" t="str">
            <v/>
          </cell>
          <cell r="L1532" t="str">
            <v/>
          </cell>
          <cell r="M1532" t="str">
            <v/>
          </cell>
        </row>
        <row r="1533">
          <cell r="A1533">
            <v>31102192</v>
          </cell>
          <cell r="C1533">
            <v>31102192</v>
          </cell>
          <cell r="D1533">
            <v>31102192</v>
          </cell>
          <cell r="E1533">
            <v>31102192</v>
          </cell>
          <cell r="F1533">
            <v>31102192</v>
          </cell>
          <cell r="G1533">
            <v>31102192</v>
          </cell>
          <cell r="H1533">
            <v>31102192</v>
          </cell>
          <cell r="I1533" t="str">
            <v/>
          </cell>
          <cell r="J1533" t="str">
            <v/>
          </cell>
          <cell r="K1533" t="str">
            <v/>
          </cell>
          <cell r="L1533" t="str">
            <v/>
          </cell>
          <cell r="M1533" t="str">
            <v/>
          </cell>
        </row>
        <row r="1534">
          <cell r="A1534">
            <v>31102192</v>
          </cell>
          <cell r="C1534">
            <v>31102192</v>
          </cell>
          <cell r="D1534">
            <v>31102192</v>
          </cell>
          <cell r="E1534">
            <v>31102192</v>
          </cell>
          <cell r="F1534">
            <v>31102192</v>
          </cell>
          <cell r="G1534">
            <v>31102192</v>
          </cell>
          <cell r="H1534">
            <v>31102192</v>
          </cell>
          <cell r="I1534" t="str">
            <v/>
          </cell>
          <cell r="J1534" t="str">
            <v/>
          </cell>
          <cell r="K1534" t="str">
            <v/>
          </cell>
          <cell r="L1534" t="str">
            <v/>
          </cell>
          <cell r="M1534" t="str">
            <v/>
          </cell>
        </row>
        <row r="1535">
          <cell r="A1535">
            <v>31102192</v>
          </cell>
          <cell r="C1535">
            <v>31102192</v>
          </cell>
          <cell r="D1535">
            <v>31102192</v>
          </cell>
          <cell r="E1535">
            <v>31102192</v>
          </cell>
          <cell r="F1535">
            <v>31102192</v>
          </cell>
          <cell r="G1535">
            <v>31102192</v>
          </cell>
          <cell r="H1535">
            <v>31102192</v>
          </cell>
          <cell r="I1535" t="str">
            <v/>
          </cell>
          <cell r="J1535" t="str">
            <v/>
          </cell>
          <cell r="K1535" t="str">
            <v/>
          </cell>
          <cell r="L1535" t="str">
            <v/>
          </cell>
          <cell r="M1535" t="str">
            <v/>
          </cell>
        </row>
        <row r="1536">
          <cell r="A1536">
            <v>31102192</v>
          </cell>
          <cell r="C1536">
            <v>31102192</v>
          </cell>
          <cell r="D1536">
            <v>31102192</v>
          </cell>
          <cell r="E1536">
            <v>31102192</v>
          </cell>
          <cell r="F1536">
            <v>31102192</v>
          </cell>
          <cell r="G1536">
            <v>31102192</v>
          </cell>
          <cell r="H1536">
            <v>31102192</v>
          </cell>
          <cell r="I1536" t="str">
            <v/>
          </cell>
          <cell r="J1536" t="str">
            <v/>
          </cell>
          <cell r="K1536" t="str">
            <v/>
          </cell>
          <cell r="L1536" t="str">
            <v/>
          </cell>
          <cell r="M1536" t="str">
            <v/>
          </cell>
        </row>
        <row r="1537">
          <cell r="A1537">
            <v>31102192</v>
          </cell>
          <cell r="C1537">
            <v>31102192</v>
          </cell>
          <cell r="D1537">
            <v>31102192</v>
          </cell>
          <cell r="E1537">
            <v>31102192</v>
          </cell>
          <cell r="F1537">
            <v>31102192</v>
          </cell>
          <cell r="G1537">
            <v>31102192</v>
          </cell>
          <cell r="H1537">
            <v>31102192</v>
          </cell>
          <cell r="I1537" t="str">
            <v/>
          </cell>
          <cell r="J1537" t="str">
            <v/>
          </cell>
          <cell r="K1537" t="str">
            <v/>
          </cell>
          <cell r="L1537" t="str">
            <v/>
          </cell>
          <cell r="M1537" t="str">
            <v/>
          </cell>
        </row>
        <row r="1538">
          <cell r="A1538">
            <v>31102192</v>
          </cell>
          <cell r="C1538">
            <v>31102192</v>
          </cell>
          <cell r="D1538">
            <v>31102192</v>
          </cell>
          <cell r="E1538">
            <v>31102192</v>
          </cell>
          <cell r="F1538">
            <v>31102192</v>
          </cell>
          <cell r="G1538">
            <v>31102192</v>
          </cell>
          <cell r="H1538">
            <v>31102192</v>
          </cell>
          <cell r="I1538" t="str">
            <v/>
          </cell>
          <cell r="J1538" t="str">
            <v/>
          </cell>
          <cell r="K1538" t="str">
            <v/>
          </cell>
          <cell r="L1538" t="str">
            <v/>
          </cell>
          <cell r="M1538" t="str">
            <v/>
          </cell>
        </row>
        <row r="1539">
          <cell r="A1539">
            <v>31102192</v>
          </cell>
          <cell r="C1539">
            <v>31102192</v>
          </cell>
          <cell r="D1539">
            <v>31102192</v>
          </cell>
          <cell r="E1539">
            <v>31102192</v>
          </cell>
          <cell r="F1539">
            <v>31102192</v>
          </cell>
          <cell r="G1539">
            <v>31102192</v>
          </cell>
          <cell r="H1539">
            <v>31102192</v>
          </cell>
          <cell r="I1539" t="str">
            <v/>
          </cell>
          <cell r="J1539" t="str">
            <v/>
          </cell>
          <cell r="K1539" t="str">
            <v/>
          </cell>
          <cell r="L1539" t="str">
            <v/>
          </cell>
          <cell r="M1539" t="str">
            <v/>
          </cell>
        </row>
        <row r="1540">
          <cell r="A1540">
            <v>31102192</v>
          </cell>
          <cell r="C1540">
            <v>31102192</v>
          </cell>
          <cell r="D1540">
            <v>31102192</v>
          </cell>
          <cell r="E1540">
            <v>31102192</v>
          </cell>
          <cell r="F1540">
            <v>31102192</v>
          </cell>
          <cell r="G1540">
            <v>31102192</v>
          </cell>
          <cell r="H1540">
            <v>31102192</v>
          </cell>
          <cell r="I1540" t="str">
            <v/>
          </cell>
          <cell r="J1540" t="str">
            <v/>
          </cell>
          <cell r="K1540" t="str">
            <v/>
          </cell>
          <cell r="L1540" t="str">
            <v/>
          </cell>
          <cell r="M1540" t="str">
            <v/>
          </cell>
        </row>
        <row r="1541">
          <cell r="A1541">
            <v>31102192</v>
          </cell>
          <cell r="C1541">
            <v>31102192</v>
          </cell>
          <cell r="D1541">
            <v>31102192</v>
          </cell>
          <cell r="E1541">
            <v>31102192</v>
          </cell>
          <cell r="F1541">
            <v>31102192</v>
          </cell>
          <cell r="G1541">
            <v>31102192</v>
          </cell>
          <cell r="H1541">
            <v>31102192</v>
          </cell>
          <cell r="I1541" t="str">
            <v/>
          </cell>
          <cell r="J1541" t="str">
            <v/>
          </cell>
          <cell r="K1541" t="str">
            <v/>
          </cell>
          <cell r="L1541" t="str">
            <v/>
          </cell>
          <cell r="M1541" t="str">
            <v/>
          </cell>
        </row>
        <row r="1542">
          <cell r="A1542">
            <v>31102192</v>
          </cell>
          <cell r="C1542">
            <v>31102192</v>
          </cell>
          <cell r="D1542">
            <v>31102192</v>
          </cell>
          <cell r="E1542">
            <v>31102192</v>
          </cell>
          <cell r="F1542">
            <v>31102192</v>
          </cell>
          <cell r="G1542">
            <v>31102192</v>
          </cell>
          <cell r="H1542">
            <v>31102192</v>
          </cell>
          <cell r="I1542" t="str">
            <v/>
          </cell>
          <cell r="J1542" t="str">
            <v/>
          </cell>
          <cell r="K1542" t="str">
            <v/>
          </cell>
          <cell r="L1542" t="str">
            <v/>
          </cell>
          <cell r="M1542" t="str">
            <v/>
          </cell>
        </row>
        <row r="1543">
          <cell r="A1543">
            <v>31102192</v>
          </cell>
          <cell r="C1543">
            <v>31102192</v>
          </cell>
          <cell r="D1543">
            <v>31102192</v>
          </cell>
          <cell r="E1543">
            <v>31102192</v>
          </cell>
          <cell r="F1543">
            <v>31102192</v>
          </cell>
          <cell r="G1543">
            <v>31102192</v>
          </cell>
          <cell r="H1543">
            <v>31102192</v>
          </cell>
          <cell r="I1543" t="str">
            <v/>
          </cell>
          <cell r="J1543" t="str">
            <v/>
          </cell>
          <cell r="K1543" t="str">
            <v/>
          </cell>
          <cell r="L1543" t="str">
            <v/>
          </cell>
          <cell r="M1543" t="str">
            <v/>
          </cell>
        </row>
        <row r="1544">
          <cell r="A1544">
            <v>31102192</v>
          </cell>
          <cell r="C1544">
            <v>31102192</v>
          </cell>
          <cell r="D1544">
            <v>31102192</v>
          </cell>
          <cell r="E1544">
            <v>31102192</v>
          </cell>
          <cell r="F1544">
            <v>31102192</v>
          </cell>
          <cell r="G1544">
            <v>31102192</v>
          </cell>
          <cell r="H1544">
            <v>31102192</v>
          </cell>
          <cell r="I1544" t="str">
            <v/>
          </cell>
          <cell r="J1544" t="str">
            <v/>
          </cell>
          <cell r="K1544" t="str">
            <v/>
          </cell>
          <cell r="L1544" t="str">
            <v/>
          </cell>
          <cell r="M1544" t="str">
            <v/>
          </cell>
        </row>
        <row r="1545">
          <cell r="A1545">
            <v>31102192</v>
          </cell>
          <cell r="C1545">
            <v>31102192</v>
          </cell>
          <cell r="D1545">
            <v>31102192</v>
          </cell>
          <cell r="E1545">
            <v>31102192</v>
          </cell>
          <cell r="F1545">
            <v>31102192</v>
          </cell>
          <cell r="G1545">
            <v>31102192</v>
          </cell>
          <cell r="H1545">
            <v>31102192</v>
          </cell>
          <cell r="I1545" t="str">
            <v/>
          </cell>
          <cell r="J1545" t="str">
            <v/>
          </cell>
          <cell r="K1545" t="str">
            <v/>
          </cell>
          <cell r="L1545" t="str">
            <v/>
          </cell>
          <cell r="M1545" t="str">
            <v/>
          </cell>
        </row>
        <row r="1546">
          <cell r="A1546">
            <v>31102192</v>
          </cell>
          <cell r="C1546">
            <v>31102192</v>
          </cell>
          <cell r="D1546">
            <v>31102192</v>
          </cell>
          <cell r="E1546">
            <v>31102192</v>
          </cell>
          <cell r="F1546">
            <v>31102192</v>
          </cell>
          <cell r="G1546">
            <v>31102192</v>
          </cell>
          <cell r="H1546">
            <v>31102192</v>
          </cell>
          <cell r="I1546" t="str">
            <v/>
          </cell>
          <cell r="J1546" t="str">
            <v/>
          </cell>
          <cell r="K1546" t="str">
            <v/>
          </cell>
          <cell r="L1546" t="str">
            <v/>
          </cell>
          <cell r="M1546" t="str">
            <v/>
          </cell>
        </row>
        <row r="1547">
          <cell r="A1547">
            <v>31102192</v>
          </cell>
          <cell r="C1547">
            <v>31102192</v>
          </cell>
          <cell r="D1547">
            <v>31102192</v>
          </cell>
          <cell r="E1547">
            <v>31102192</v>
          </cell>
          <cell r="F1547">
            <v>31102192</v>
          </cell>
          <cell r="G1547">
            <v>31102192</v>
          </cell>
          <cell r="H1547">
            <v>31102192</v>
          </cell>
          <cell r="I1547" t="str">
            <v/>
          </cell>
          <cell r="J1547" t="str">
            <v/>
          </cell>
          <cell r="K1547" t="str">
            <v/>
          </cell>
          <cell r="L1547" t="str">
            <v/>
          </cell>
          <cell r="M1547" t="str">
            <v/>
          </cell>
        </row>
        <row r="1548">
          <cell r="A1548">
            <v>31102192</v>
          </cell>
          <cell r="C1548">
            <v>31102192</v>
          </cell>
          <cell r="D1548">
            <v>31102192</v>
          </cell>
          <cell r="E1548">
            <v>31102192</v>
          </cell>
          <cell r="F1548">
            <v>31102192</v>
          </cell>
          <cell r="G1548">
            <v>31102192</v>
          </cell>
          <cell r="H1548">
            <v>31102192</v>
          </cell>
          <cell r="I1548" t="str">
            <v/>
          </cell>
          <cell r="J1548" t="str">
            <v/>
          </cell>
          <cell r="K1548" t="str">
            <v/>
          </cell>
          <cell r="L1548" t="str">
            <v/>
          </cell>
          <cell r="M1548" t="str">
            <v/>
          </cell>
        </row>
        <row r="1549">
          <cell r="A1549">
            <v>31102192</v>
          </cell>
          <cell r="C1549">
            <v>31102192</v>
          </cell>
          <cell r="D1549">
            <v>31102192</v>
          </cell>
          <cell r="E1549">
            <v>31102192</v>
          </cell>
          <cell r="F1549">
            <v>31102192</v>
          </cell>
          <cell r="G1549">
            <v>31102192</v>
          </cell>
          <cell r="H1549">
            <v>31102192</v>
          </cell>
          <cell r="I1549" t="str">
            <v/>
          </cell>
          <cell r="J1549" t="str">
            <v/>
          </cell>
          <cell r="K1549" t="str">
            <v/>
          </cell>
          <cell r="L1549" t="str">
            <v/>
          </cell>
          <cell r="M1549" t="str">
            <v/>
          </cell>
        </row>
        <row r="1550">
          <cell r="A1550">
            <v>31102192</v>
          </cell>
          <cell r="C1550">
            <v>31102192</v>
          </cell>
          <cell r="D1550">
            <v>31102192</v>
          </cell>
          <cell r="E1550">
            <v>31102192</v>
          </cell>
          <cell r="F1550">
            <v>31102192</v>
          </cell>
          <cell r="G1550">
            <v>31102192</v>
          </cell>
          <cell r="H1550">
            <v>31102192</v>
          </cell>
          <cell r="I1550" t="str">
            <v/>
          </cell>
          <cell r="J1550" t="str">
            <v/>
          </cell>
          <cell r="K1550" t="str">
            <v/>
          </cell>
          <cell r="L1550" t="str">
            <v/>
          </cell>
          <cell r="M1550" t="str">
            <v/>
          </cell>
        </row>
        <row r="1551">
          <cell r="A1551">
            <v>31102192</v>
          </cell>
          <cell r="C1551">
            <v>31102192</v>
          </cell>
          <cell r="D1551">
            <v>31102192</v>
          </cell>
          <cell r="E1551">
            <v>31102192</v>
          </cell>
          <cell r="F1551">
            <v>31102192</v>
          </cell>
          <cell r="G1551">
            <v>31102192</v>
          </cell>
          <cell r="H1551">
            <v>31102192</v>
          </cell>
          <cell r="I1551" t="str">
            <v/>
          </cell>
          <cell r="J1551" t="str">
            <v/>
          </cell>
          <cell r="K1551" t="str">
            <v/>
          </cell>
          <cell r="L1551" t="str">
            <v/>
          </cell>
          <cell r="M1551" t="str">
            <v/>
          </cell>
        </row>
        <row r="1552">
          <cell r="A1552">
            <v>31102192</v>
          </cell>
          <cell r="C1552">
            <v>31102192</v>
          </cell>
          <cell r="D1552">
            <v>31102192</v>
          </cell>
          <cell r="E1552">
            <v>31102192</v>
          </cell>
          <cell r="F1552">
            <v>31102192</v>
          </cell>
          <cell r="G1552">
            <v>31102192</v>
          </cell>
          <cell r="H1552">
            <v>31102192</v>
          </cell>
          <cell r="I1552" t="str">
            <v/>
          </cell>
          <cell r="J1552" t="str">
            <v/>
          </cell>
          <cell r="K1552" t="str">
            <v/>
          </cell>
          <cell r="L1552" t="str">
            <v/>
          </cell>
          <cell r="M1552" t="str">
            <v/>
          </cell>
        </row>
        <row r="1553">
          <cell r="A1553">
            <v>31102192</v>
          </cell>
          <cell r="C1553">
            <v>31102192</v>
          </cell>
          <cell r="D1553">
            <v>31102192</v>
          </cell>
          <cell r="E1553">
            <v>31102192</v>
          </cell>
          <cell r="F1553">
            <v>31102192</v>
          </cell>
          <cell r="G1553">
            <v>31102192</v>
          </cell>
          <cell r="H1553">
            <v>31102192</v>
          </cell>
          <cell r="I1553" t="str">
            <v/>
          </cell>
          <cell r="J1553" t="str">
            <v/>
          </cell>
          <cell r="K1553" t="str">
            <v/>
          </cell>
          <cell r="L1553" t="str">
            <v/>
          </cell>
          <cell r="M1553" t="str">
            <v/>
          </cell>
        </row>
        <row r="1554">
          <cell r="A1554">
            <v>31102192</v>
          </cell>
          <cell r="C1554">
            <v>31102192</v>
          </cell>
          <cell r="D1554">
            <v>31102192</v>
          </cell>
          <cell r="E1554">
            <v>31102192</v>
          </cell>
          <cell r="F1554">
            <v>31102192</v>
          </cell>
          <cell r="G1554">
            <v>31102192</v>
          </cell>
          <cell r="H1554">
            <v>31102192</v>
          </cell>
          <cell r="I1554" t="str">
            <v/>
          </cell>
          <cell r="J1554" t="str">
            <v/>
          </cell>
          <cell r="K1554" t="str">
            <v/>
          </cell>
          <cell r="L1554" t="str">
            <v/>
          </cell>
          <cell r="M1554" t="str">
            <v/>
          </cell>
        </row>
        <row r="1555">
          <cell r="A1555">
            <v>31102192</v>
          </cell>
          <cell r="C1555">
            <v>31102192</v>
          </cell>
          <cell r="D1555">
            <v>31102192</v>
          </cell>
          <cell r="E1555">
            <v>31102192</v>
          </cell>
          <cell r="F1555">
            <v>31102192</v>
          </cell>
          <cell r="G1555">
            <v>31102192</v>
          </cell>
          <cell r="H1555">
            <v>31102192</v>
          </cell>
          <cell r="I1555" t="str">
            <v/>
          </cell>
          <cell r="J1555" t="str">
            <v/>
          </cell>
          <cell r="K1555" t="str">
            <v/>
          </cell>
          <cell r="L1555" t="str">
            <v/>
          </cell>
          <cell r="M1555" t="str">
            <v/>
          </cell>
        </row>
        <row r="1556">
          <cell r="A1556">
            <v>31102192</v>
          </cell>
          <cell r="C1556">
            <v>31102192</v>
          </cell>
          <cell r="D1556">
            <v>31102192</v>
          </cell>
          <cell r="E1556">
            <v>31102192</v>
          </cell>
          <cell r="F1556">
            <v>31102192</v>
          </cell>
          <cell r="G1556">
            <v>31102192</v>
          </cell>
          <cell r="H1556">
            <v>31102192</v>
          </cell>
          <cell r="I1556" t="str">
            <v/>
          </cell>
          <cell r="J1556" t="str">
            <v/>
          </cell>
          <cell r="K1556" t="str">
            <v/>
          </cell>
          <cell r="L1556" t="str">
            <v/>
          </cell>
          <cell r="M1556" t="str">
            <v/>
          </cell>
        </row>
        <row r="1557">
          <cell r="A1557">
            <v>31102192</v>
          </cell>
          <cell r="C1557">
            <v>31102192</v>
          </cell>
          <cell r="D1557">
            <v>31102192</v>
          </cell>
          <cell r="E1557">
            <v>31102192</v>
          </cell>
          <cell r="F1557">
            <v>31102192</v>
          </cell>
          <cell r="G1557">
            <v>31102192</v>
          </cell>
          <cell r="H1557">
            <v>31102192</v>
          </cell>
          <cell r="I1557" t="str">
            <v/>
          </cell>
          <cell r="J1557" t="str">
            <v/>
          </cell>
          <cell r="K1557" t="str">
            <v/>
          </cell>
          <cell r="L1557" t="str">
            <v/>
          </cell>
          <cell r="M1557" t="str">
            <v/>
          </cell>
        </row>
        <row r="1558">
          <cell r="A1558">
            <v>31102192</v>
          </cell>
          <cell r="C1558">
            <v>31102192</v>
          </cell>
          <cell r="D1558">
            <v>31102192</v>
          </cell>
          <cell r="E1558">
            <v>31102192</v>
          </cell>
          <cell r="F1558">
            <v>31102192</v>
          </cell>
          <cell r="G1558">
            <v>31102192</v>
          </cell>
          <cell r="H1558">
            <v>31102192</v>
          </cell>
          <cell r="I1558" t="str">
            <v/>
          </cell>
          <cell r="J1558" t="str">
            <v/>
          </cell>
          <cell r="K1558" t="str">
            <v/>
          </cell>
          <cell r="L1558" t="str">
            <v/>
          </cell>
          <cell r="M1558" t="str">
            <v/>
          </cell>
        </row>
        <row r="1559">
          <cell r="A1559">
            <v>31102192</v>
          </cell>
          <cell r="C1559">
            <v>31102192</v>
          </cell>
          <cell r="D1559">
            <v>31102192</v>
          </cell>
          <cell r="E1559">
            <v>31102192</v>
          </cell>
          <cell r="F1559">
            <v>31102192</v>
          </cell>
          <cell r="G1559">
            <v>31102192</v>
          </cell>
          <cell r="H1559">
            <v>31102192</v>
          </cell>
          <cell r="I1559" t="str">
            <v/>
          </cell>
          <cell r="J1559" t="str">
            <v/>
          </cell>
          <cell r="K1559" t="str">
            <v/>
          </cell>
          <cell r="L1559" t="str">
            <v/>
          </cell>
          <cell r="M1559" t="str">
            <v/>
          </cell>
        </row>
        <row r="1560">
          <cell r="A1560">
            <v>31102192</v>
          </cell>
          <cell r="C1560">
            <v>31102192</v>
          </cell>
          <cell r="D1560">
            <v>31102192</v>
          </cell>
          <cell r="E1560">
            <v>31102192</v>
          </cell>
          <cell r="F1560">
            <v>31102192</v>
          </cell>
          <cell r="G1560">
            <v>31102192</v>
          </cell>
          <cell r="H1560">
            <v>31102192</v>
          </cell>
          <cell r="I1560" t="str">
            <v/>
          </cell>
          <cell r="J1560" t="str">
            <v/>
          </cell>
          <cell r="K1560" t="str">
            <v/>
          </cell>
          <cell r="L1560" t="str">
            <v/>
          </cell>
          <cell r="M1560" t="str">
            <v/>
          </cell>
        </row>
        <row r="1561">
          <cell r="A1561">
            <v>31102192</v>
          </cell>
          <cell r="C1561">
            <v>31102192</v>
          </cell>
          <cell r="D1561">
            <v>31102192</v>
          </cell>
          <cell r="E1561">
            <v>31102192</v>
          </cell>
          <cell r="F1561">
            <v>31102192</v>
          </cell>
          <cell r="G1561">
            <v>31102192</v>
          </cell>
          <cell r="H1561">
            <v>31102192</v>
          </cell>
          <cell r="I1561" t="str">
            <v/>
          </cell>
          <cell r="J1561" t="str">
            <v/>
          </cell>
          <cell r="K1561" t="str">
            <v/>
          </cell>
          <cell r="L1561" t="str">
            <v/>
          </cell>
          <cell r="M1561" t="str">
            <v/>
          </cell>
        </row>
        <row r="1562">
          <cell r="A1562">
            <v>31102192</v>
          </cell>
          <cell r="C1562">
            <v>31102192</v>
          </cell>
          <cell r="D1562">
            <v>31102192</v>
          </cell>
          <cell r="E1562">
            <v>31102192</v>
          </cell>
          <cell r="F1562">
            <v>31102192</v>
          </cell>
          <cell r="G1562">
            <v>31102192</v>
          </cell>
          <cell r="H1562">
            <v>31102192</v>
          </cell>
          <cell r="I1562" t="str">
            <v/>
          </cell>
          <cell r="J1562" t="str">
            <v/>
          </cell>
          <cell r="K1562" t="str">
            <v/>
          </cell>
          <cell r="L1562" t="str">
            <v/>
          </cell>
          <cell r="M1562" t="str">
            <v/>
          </cell>
        </row>
        <row r="1563">
          <cell r="A1563">
            <v>31102192</v>
          </cell>
          <cell r="C1563">
            <v>31102192</v>
          </cell>
          <cell r="D1563">
            <v>31102192</v>
          </cell>
          <cell r="E1563">
            <v>31102192</v>
          </cell>
          <cell r="F1563">
            <v>31102192</v>
          </cell>
          <cell r="G1563">
            <v>31102192</v>
          </cell>
          <cell r="H1563">
            <v>31102192</v>
          </cell>
          <cell r="I1563" t="str">
            <v/>
          </cell>
          <cell r="J1563" t="str">
            <v/>
          </cell>
          <cell r="K1563" t="str">
            <v/>
          </cell>
          <cell r="L1563" t="str">
            <v/>
          </cell>
          <cell r="M1563" t="str">
            <v/>
          </cell>
        </row>
        <row r="1564">
          <cell r="A1564">
            <v>31102192</v>
          </cell>
          <cell r="C1564">
            <v>31102192</v>
          </cell>
          <cell r="D1564">
            <v>31102192</v>
          </cell>
          <cell r="E1564">
            <v>31102192</v>
          </cell>
          <cell r="F1564">
            <v>31102192</v>
          </cell>
          <cell r="G1564">
            <v>31102192</v>
          </cell>
          <cell r="H1564">
            <v>31102192</v>
          </cell>
          <cell r="I1564" t="str">
            <v/>
          </cell>
          <cell r="J1564" t="str">
            <v/>
          </cell>
          <cell r="K1564" t="str">
            <v/>
          </cell>
          <cell r="L1564" t="str">
            <v/>
          </cell>
          <cell r="M1564" t="str">
            <v/>
          </cell>
        </row>
        <row r="1565">
          <cell r="A1565">
            <v>31102192</v>
          </cell>
          <cell r="C1565">
            <v>31102192</v>
          </cell>
          <cell r="D1565">
            <v>31102192</v>
          </cell>
          <cell r="E1565">
            <v>31102192</v>
          </cell>
          <cell r="F1565">
            <v>31102192</v>
          </cell>
          <cell r="G1565">
            <v>31102192</v>
          </cell>
          <cell r="H1565">
            <v>31102192</v>
          </cell>
          <cell r="I1565" t="str">
            <v/>
          </cell>
          <cell r="J1565" t="str">
            <v/>
          </cell>
          <cell r="K1565" t="str">
            <v/>
          </cell>
          <cell r="L1565" t="str">
            <v/>
          </cell>
          <cell r="M1565" t="str">
            <v/>
          </cell>
        </row>
        <row r="1566">
          <cell r="A1566">
            <v>31102192</v>
          </cell>
          <cell r="C1566">
            <v>31102192</v>
          </cell>
          <cell r="D1566">
            <v>31102192</v>
          </cell>
          <cell r="E1566">
            <v>31102192</v>
          </cell>
          <cell r="F1566">
            <v>31102192</v>
          </cell>
          <cell r="G1566">
            <v>31102192</v>
          </cell>
          <cell r="H1566">
            <v>31102192</v>
          </cell>
          <cell r="I1566" t="str">
            <v/>
          </cell>
          <cell r="J1566" t="str">
            <v/>
          </cell>
          <cell r="K1566" t="str">
            <v/>
          </cell>
          <cell r="L1566" t="str">
            <v/>
          </cell>
          <cell r="M1566" t="str">
            <v/>
          </cell>
        </row>
        <row r="1567">
          <cell r="A1567">
            <v>31102192</v>
          </cell>
          <cell r="C1567">
            <v>31102192</v>
          </cell>
          <cell r="D1567">
            <v>31102192</v>
          </cell>
          <cell r="E1567">
            <v>31102192</v>
          </cell>
          <cell r="F1567">
            <v>31102192</v>
          </cell>
          <cell r="G1567">
            <v>31102192</v>
          </cell>
          <cell r="H1567">
            <v>31102192</v>
          </cell>
          <cell r="I1567" t="str">
            <v/>
          </cell>
          <cell r="J1567" t="str">
            <v/>
          </cell>
          <cell r="K1567" t="str">
            <v/>
          </cell>
          <cell r="L1567" t="str">
            <v/>
          </cell>
          <cell r="M1567" t="str">
            <v/>
          </cell>
        </row>
        <row r="1568">
          <cell r="A1568">
            <v>31102192</v>
          </cell>
          <cell r="C1568">
            <v>31102192</v>
          </cell>
          <cell r="D1568">
            <v>31102192</v>
          </cell>
          <cell r="E1568">
            <v>31102192</v>
          </cell>
          <cell r="F1568">
            <v>31102192</v>
          </cell>
          <cell r="G1568">
            <v>31102192</v>
          </cell>
          <cell r="H1568">
            <v>31102192</v>
          </cell>
          <cell r="I1568" t="str">
            <v/>
          </cell>
          <cell r="J1568" t="str">
            <v/>
          </cell>
          <cell r="K1568" t="str">
            <v/>
          </cell>
          <cell r="L1568" t="str">
            <v/>
          </cell>
          <cell r="M1568" t="str">
            <v/>
          </cell>
        </row>
        <row r="1569">
          <cell r="A1569">
            <v>31102192</v>
          </cell>
          <cell r="C1569">
            <v>31102192</v>
          </cell>
          <cell r="D1569">
            <v>31102192</v>
          </cell>
          <cell r="E1569">
            <v>31102192</v>
          </cell>
          <cell r="F1569">
            <v>31102192</v>
          </cell>
          <cell r="G1569">
            <v>31102192</v>
          </cell>
          <cell r="H1569">
            <v>31102192</v>
          </cell>
          <cell r="I1569" t="str">
            <v/>
          </cell>
          <cell r="J1569" t="str">
            <v/>
          </cell>
          <cell r="K1569" t="str">
            <v/>
          </cell>
          <cell r="L1569" t="str">
            <v/>
          </cell>
          <cell r="M1569" t="str">
            <v/>
          </cell>
        </row>
        <row r="1570">
          <cell r="A1570">
            <v>31102192</v>
          </cell>
          <cell r="C1570">
            <v>31102192</v>
          </cell>
          <cell r="D1570">
            <v>31102192</v>
          </cell>
          <cell r="E1570">
            <v>31102192</v>
          </cell>
          <cell r="F1570">
            <v>31102192</v>
          </cell>
          <cell r="G1570">
            <v>31102192</v>
          </cell>
          <cell r="H1570">
            <v>31102192</v>
          </cell>
          <cell r="I1570" t="str">
            <v/>
          </cell>
          <cell r="J1570" t="str">
            <v/>
          </cell>
          <cell r="K1570" t="str">
            <v/>
          </cell>
          <cell r="L1570" t="str">
            <v/>
          </cell>
          <cell r="M1570" t="str">
            <v/>
          </cell>
        </row>
        <row r="1571">
          <cell r="A1571">
            <v>31102192</v>
          </cell>
          <cell r="C1571">
            <v>31102192</v>
          </cell>
          <cell r="D1571">
            <v>31102192</v>
          </cell>
          <cell r="E1571">
            <v>31102192</v>
          </cell>
          <cell r="F1571">
            <v>31102192</v>
          </cell>
          <cell r="G1571">
            <v>31102192</v>
          </cell>
          <cell r="H1571">
            <v>31102192</v>
          </cell>
          <cell r="I1571" t="str">
            <v/>
          </cell>
          <cell r="J1571" t="str">
            <v/>
          </cell>
          <cell r="K1571" t="str">
            <v/>
          </cell>
          <cell r="L1571" t="str">
            <v/>
          </cell>
          <cell r="M1571" t="str">
            <v/>
          </cell>
        </row>
        <row r="1572">
          <cell r="A1572">
            <v>31102192</v>
          </cell>
          <cell r="C1572">
            <v>31102192</v>
          </cell>
          <cell r="D1572">
            <v>31102192</v>
          </cell>
          <cell r="E1572">
            <v>31102192</v>
          </cell>
          <cell r="F1572">
            <v>31102192</v>
          </cell>
          <cell r="G1572">
            <v>31102192</v>
          </cell>
          <cell r="H1572">
            <v>31102192</v>
          </cell>
          <cell r="I1572" t="str">
            <v/>
          </cell>
          <cell r="J1572" t="str">
            <v/>
          </cell>
          <cell r="K1572" t="str">
            <v/>
          </cell>
          <cell r="L1572" t="str">
            <v/>
          </cell>
          <cell r="M1572" t="str">
            <v/>
          </cell>
        </row>
        <row r="1573">
          <cell r="A1573">
            <v>31102192</v>
          </cell>
          <cell r="C1573">
            <v>31102192</v>
          </cell>
          <cell r="D1573">
            <v>31102192</v>
          </cell>
          <cell r="E1573">
            <v>31102192</v>
          </cell>
          <cell r="F1573">
            <v>31102192</v>
          </cell>
          <cell r="G1573">
            <v>31102192</v>
          </cell>
          <cell r="H1573">
            <v>31102192</v>
          </cell>
          <cell r="I1573" t="str">
            <v/>
          </cell>
          <cell r="J1573" t="str">
            <v/>
          </cell>
          <cell r="K1573" t="str">
            <v/>
          </cell>
          <cell r="L1573" t="str">
            <v/>
          </cell>
          <cell r="M1573" t="str">
            <v/>
          </cell>
        </row>
        <row r="1574">
          <cell r="A1574">
            <v>31102192</v>
          </cell>
          <cell r="C1574">
            <v>31102192</v>
          </cell>
          <cell r="D1574">
            <v>31102192</v>
          </cell>
          <cell r="E1574">
            <v>31102192</v>
          </cell>
          <cell r="F1574">
            <v>31102192</v>
          </cell>
          <cell r="G1574">
            <v>31102192</v>
          </cell>
          <cell r="H1574">
            <v>31102192</v>
          </cell>
          <cell r="I1574" t="str">
            <v/>
          </cell>
          <cell r="J1574" t="str">
            <v/>
          </cell>
          <cell r="K1574" t="str">
            <v/>
          </cell>
          <cell r="L1574" t="str">
            <v/>
          </cell>
          <cell r="M1574" t="str">
            <v/>
          </cell>
        </row>
        <row r="1575">
          <cell r="A1575">
            <v>31102192</v>
          </cell>
          <cell r="C1575">
            <v>31102192</v>
          </cell>
          <cell r="D1575">
            <v>31102192</v>
          </cell>
          <cell r="E1575">
            <v>31102192</v>
          </cell>
          <cell r="F1575">
            <v>31102192</v>
          </cell>
          <cell r="G1575">
            <v>31102192</v>
          </cell>
          <cell r="H1575">
            <v>31102192</v>
          </cell>
          <cell r="I1575" t="str">
            <v/>
          </cell>
          <cell r="J1575" t="str">
            <v/>
          </cell>
          <cell r="K1575" t="str">
            <v/>
          </cell>
          <cell r="L1575" t="str">
            <v/>
          </cell>
          <cell r="M1575" t="str">
            <v/>
          </cell>
        </row>
        <row r="1576">
          <cell r="A1576">
            <v>31102192</v>
          </cell>
          <cell r="C1576">
            <v>31102192</v>
          </cell>
          <cell r="D1576">
            <v>31102192</v>
          </cell>
          <cell r="E1576">
            <v>31102192</v>
          </cell>
          <cell r="F1576">
            <v>31102192</v>
          </cell>
          <cell r="G1576">
            <v>31102192</v>
          </cell>
          <cell r="H1576">
            <v>31102192</v>
          </cell>
          <cell r="I1576" t="str">
            <v/>
          </cell>
          <cell r="J1576" t="str">
            <v/>
          </cell>
          <cell r="K1576" t="str">
            <v/>
          </cell>
          <cell r="L1576" t="str">
            <v/>
          </cell>
          <cell r="M1576" t="str">
            <v/>
          </cell>
        </row>
        <row r="1577">
          <cell r="A1577">
            <v>31102192</v>
          </cell>
          <cell r="C1577">
            <v>31102192</v>
          </cell>
          <cell r="D1577">
            <v>31102192</v>
          </cell>
          <cell r="E1577">
            <v>31102192</v>
          </cell>
          <cell r="F1577">
            <v>31102192</v>
          </cell>
          <cell r="G1577">
            <v>31102192</v>
          </cell>
          <cell r="H1577">
            <v>31102192</v>
          </cell>
          <cell r="I1577" t="str">
            <v/>
          </cell>
          <cell r="J1577" t="str">
            <v/>
          </cell>
          <cell r="K1577" t="str">
            <v/>
          </cell>
          <cell r="L1577" t="str">
            <v/>
          </cell>
          <cell r="M1577" t="str">
            <v/>
          </cell>
        </row>
        <row r="1578">
          <cell r="A1578">
            <v>31102192</v>
          </cell>
          <cell r="C1578">
            <v>31102192</v>
          </cell>
          <cell r="D1578">
            <v>31102192</v>
          </cell>
          <cell r="E1578">
            <v>31102192</v>
          </cell>
          <cell r="F1578">
            <v>31102192</v>
          </cell>
          <cell r="G1578">
            <v>31102192</v>
          </cell>
          <cell r="H1578">
            <v>31102192</v>
          </cell>
          <cell r="I1578" t="str">
            <v/>
          </cell>
          <cell r="J1578" t="str">
            <v/>
          </cell>
          <cell r="K1578" t="str">
            <v/>
          </cell>
          <cell r="L1578" t="str">
            <v/>
          </cell>
          <cell r="M1578" t="str">
            <v/>
          </cell>
        </row>
        <row r="1579">
          <cell r="A1579">
            <v>31102192</v>
          </cell>
          <cell r="C1579">
            <v>31102192</v>
          </cell>
          <cell r="D1579">
            <v>31102192</v>
          </cell>
          <cell r="E1579">
            <v>31102192</v>
          </cell>
          <cell r="F1579">
            <v>31102192</v>
          </cell>
          <cell r="G1579">
            <v>31102192</v>
          </cell>
          <cell r="H1579">
            <v>31102192</v>
          </cell>
          <cell r="I1579" t="str">
            <v/>
          </cell>
          <cell r="J1579" t="str">
            <v/>
          </cell>
          <cell r="K1579" t="str">
            <v/>
          </cell>
          <cell r="L1579" t="str">
            <v/>
          </cell>
          <cell r="M1579" t="str">
            <v/>
          </cell>
        </row>
        <row r="1580">
          <cell r="A1580">
            <v>31102192</v>
          </cell>
          <cell r="C1580">
            <v>31102192</v>
          </cell>
          <cell r="D1580">
            <v>31102192</v>
          </cell>
          <cell r="E1580">
            <v>31102192</v>
          </cell>
          <cell r="F1580">
            <v>31102192</v>
          </cell>
          <cell r="G1580">
            <v>31102192</v>
          </cell>
          <cell r="H1580">
            <v>31102192</v>
          </cell>
          <cell r="I1580" t="str">
            <v/>
          </cell>
          <cell r="J1580" t="str">
            <v/>
          </cell>
          <cell r="K1580" t="str">
            <v/>
          </cell>
          <cell r="L1580" t="str">
            <v/>
          </cell>
          <cell r="M1580" t="str">
            <v/>
          </cell>
        </row>
        <row r="1581">
          <cell r="A1581">
            <v>31102192</v>
          </cell>
          <cell r="C1581">
            <v>31102192</v>
          </cell>
          <cell r="D1581">
            <v>31102192</v>
          </cell>
          <cell r="E1581">
            <v>31102192</v>
          </cell>
          <cell r="F1581">
            <v>31102192</v>
          </cell>
          <cell r="G1581">
            <v>31102192</v>
          </cell>
          <cell r="H1581">
            <v>31102192</v>
          </cell>
          <cell r="I1581" t="str">
            <v/>
          </cell>
          <cell r="J1581" t="str">
            <v/>
          </cell>
          <cell r="K1581" t="str">
            <v/>
          </cell>
          <cell r="L1581" t="str">
            <v/>
          </cell>
          <cell r="M1581" t="str">
            <v/>
          </cell>
        </row>
        <row r="1582">
          <cell r="A1582">
            <v>31102192</v>
          </cell>
          <cell r="C1582">
            <v>31102192</v>
          </cell>
          <cell r="D1582">
            <v>31102192</v>
          </cell>
          <cell r="E1582">
            <v>31102192</v>
          </cell>
          <cell r="F1582">
            <v>31102192</v>
          </cell>
          <cell r="G1582">
            <v>31102192</v>
          </cell>
          <cell r="H1582">
            <v>31102192</v>
          </cell>
          <cell r="I1582" t="str">
            <v/>
          </cell>
          <cell r="J1582" t="str">
            <v/>
          </cell>
          <cell r="K1582" t="str">
            <v/>
          </cell>
          <cell r="L1582" t="str">
            <v/>
          </cell>
          <cell r="M1582" t="str">
            <v/>
          </cell>
        </row>
        <row r="1583">
          <cell r="A1583">
            <v>31102192</v>
          </cell>
          <cell r="C1583">
            <v>31102192</v>
          </cell>
          <cell r="D1583">
            <v>31102192</v>
          </cell>
          <cell r="E1583">
            <v>31102192</v>
          </cell>
          <cell r="F1583">
            <v>31102192</v>
          </cell>
          <cell r="G1583">
            <v>31102192</v>
          </cell>
          <cell r="H1583">
            <v>31102192</v>
          </cell>
          <cell r="I1583" t="str">
            <v/>
          </cell>
          <cell r="J1583" t="str">
            <v/>
          </cell>
          <cell r="K1583" t="str">
            <v/>
          </cell>
          <cell r="L1583" t="str">
            <v/>
          </cell>
          <cell r="M1583" t="str">
            <v/>
          </cell>
        </row>
        <row r="1584">
          <cell r="A1584">
            <v>31102192</v>
          </cell>
          <cell r="C1584">
            <v>31102192</v>
          </cell>
          <cell r="D1584">
            <v>31102192</v>
          </cell>
          <cell r="E1584">
            <v>31102192</v>
          </cell>
          <cell r="F1584">
            <v>31102192</v>
          </cell>
          <cell r="G1584">
            <v>31102192</v>
          </cell>
          <cell r="H1584">
            <v>31102192</v>
          </cell>
          <cell r="I1584" t="str">
            <v/>
          </cell>
          <cell r="J1584" t="str">
            <v/>
          </cell>
          <cell r="K1584" t="str">
            <v/>
          </cell>
          <cell r="L1584" t="str">
            <v/>
          </cell>
          <cell r="M1584" t="str">
            <v/>
          </cell>
        </row>
        <row r="1585">
          <cell r="A1585">
            <v>31102192</v>
          </cell>
          <cell r="C1585">
            <v>31102192</v>
          </cell>
          <cell r="D1585">
            <v>31102192</v>
          </cell>
          <cell r="E1585">
            <v>31102192</v>
          </cell>
          <cell r="F1585">
            <v>31102192</v>
          </cell>
          <cell r="G1585">
            <v>31102192</v>
          </cell>
          <cell r="H1585">
            <v>31102192</v>
          </cell>
          <cell r="I1585" t="str">
            <v/>
          </cell>
          <cell r="J1585" t="str">
            <v/>
          </cell>
          <cell r="K1585" t="str">
            <v/>
          </cell>
          <cell r="L1585" t="str">
            <v/>
          </cell>
          <cell r="M1585" t="str">
            <v/>
          </cell>
        </row>
        <row r="1586">
          <cell r="A1586">
            <v>31102192</v>
          </cell>
          <cell r="C1586">
            <v>31102192</v>
          </cell>
          <cell r="D1586">
            <v>31102192</v>
          </cell>
          <cell r="E1586">
            <v>31102192</v>
          </cell>
          <cell r="F1586">
            <v>31102192</v>
          </cell>
          <cell r="G1586">
            <v>31102192</v>
          </cell>
          <cell r="H1586">
            <v>31102192</v>
          </cell>
          <cell r="I1586" t="str">
            <v/>
          </cell>
          <cell r="J1586" t="str">
            <v/>
          </cell>
          <cell r="K1586" t="str">
            <v/>
          </cell>
          <cell r="L1586" t="str">
            <v/>
          </cell>
          <cell r="M1586" t="str">
            <v/>
          </cell>
        </row>
        <row r="1587">
          <cell r="A1587">
            <v>31102192</v>
          </cell>
          <cell r="C1587">
            <v>31102192</v>
          </cell>
          <cell r="D1587">
            <v>31102192</v>
          </cell>
          <cell r="E1587">
            <v>31102192</v>
          </cell>
          <cell r="F1587">
            <v>31102192</v>
          </cell>
          <cell r="G1587">
            <v>31102192</v>
          </cell>
          <cell r="H1587">
            <v>31102192</v>
          </cell>
          <cell r="I1587" t="str">
            <v/>
          </cell>
          <cell r="J1587" t="str">
            <v/>
          </cell>
          <cell r="K1587" t="str">
            <v/>
          </cell>
          <cell r="L1587" t="str">
            <v/>
          </cell>
          <cell r="M1587" t="str">
            <v/>
          </cell>
        </row>
        <row r="1588">
          <cell r="A1588">
            <v>31102192</v>
          </cell>
          <cell r="C1588">
            <v>31102192</v>
          </cell>
          <cell r="D1588">
            <v>31102192</v>
          </cell>
          <cell r="E1588">
            <v>31102192</v>
          </cell>
          <cell r="F1588">
            <v>31102192</v>
          </cell>
          <cell r="G1588">
            <v>31102192</v>
          </cell>
          <cell r="H1588">
            <v>31102192</v>
          </cell>
          <cell r="I1588" t="str">
            <v/>
          </cell>
          <cell r="J1588" t="str">
            <v/>
          </cell>
          <cell r="K1588" t="str">
            <v/>
          </cell>
          <cell r="L1588" t="str">
            <v/>
          </cell>
          <cell r="M1588" t="str">
            <v/>
          </cell>
        </row>
        <row r="1589">
          <cell r="A1589">
            <v>31102192</v>
          </cell>
          <cell r="C1589">
            <v>31102192</v>
          </cell>
          <cell r="D1589">
            <v>31102192</v>
          </cell>
          <cell r="E1589">
            <v>31102192</v>
          </cell>
          <cell r="F1589">
            <v>31102192</v>
          </cell>
          <cell r="G1589">
            <v>31102192</v>
          </cell>
          <cell r="H1589">
            <v>31102192</v>
          </cell>
          <cell r="I1589" t="str">
            <v/>
          </cell>
          <cell r="J1589" t="str">
            <v/>
          </cell>
          <cell r="K1589" t="str">
            <v/>
          </cell>
          <cell r="L1589" t="str">
            <v/>
          </cell>
          <cell r="M1589" t="str">
            <v/>
          </cell>
        </row>
        <row r="1590">
          <cell r="A1590">
            <v>31102192</v>
          </cell>
          <cell r="C1590">
            <v>31102192</v>
          </cell>
          <cell r="D1590">
            <v>31102192</v>
          </cell>
          <cell r="E1590">
            <v>31102192</v>
          </cell>
          <cell r="F1590">
            <v>31102192</v>
          </cell>
          <cell r="G1590">
            <v>31102192</v>
          </cell>
          <cell r="H1590">
            <v>31102192</v>
          </cell>
          <cell r="I1590" t="str">
            <v/>
          </cell>
          <cell r="J1590" t="str">
            <v/>
          </cell>
          <cell r="K1590" t="str">
            <v/>
          </cell>
          <cell r="L1590" t="str">
            <v/>
          </cell>
          <cell r="M1590" t="str">
            <v/>
          </cell>
        </row>
        <row r="1591">
          <cell r="A1591">
            <v>31102192</v>
          </cell>
          <cell r="C1591">
            <v>31102192</v>
          </cell>
          <cell r="D1591">
            <v>31102192</v>
          </cell>
          <cell r="E1591">
            <v>31102192</v>
          </cell>
          <cell r="F1591">
            <v>31102192</v>
          </cell>
          <cell r="G1591">
            <v>31102192</v>
          </cell>
          <cell r="H1591">
            <v>31102192</v>
          </cell>
          <cell r="I1591" t="str">
            <v/>
          </cell>
          <cell r="J1591" t="str">
            <v/>
          </cell>
          <cell r="K1591" t="str">
            <v/>
          </cell>
          <cell r="L1591" t="str">
            <v/>
          </cell>
          <cell r="M1591" t="str">
            <v/>
          </cell>
        </row>
        <row r="1592">
          <cell r="A1592">
            <v>31102192</v>
          </cell>
          <cell r="C1592">
            <v>31102192</v>
          </cell>
          <cell r="D1592">
            <v>31102192</v>
          </cell>
          <cell r="E1592">
            <v>31102192</v>
          </cell>
          <cell r="F1592">
            <v>31102192</v>
          </cell>
          <cell r="G1592">
            <v>31102192</v>
          </cell>
          <cell r="H1592">
            <v>31102192</v>
          </cell>
          <cell r="I1592" t="str">
            <v/>
          </cell>
          <cell r="J1592" t="str">
            <v/>
          </cell>
          <cell r="K1592" t="str">
            <v/>
          </cell>
          <cell r="L1592" t="str">
            <v/>
          </cell>
          <cell r="M1592" t="str">
            <v/>
          </cell>
        </row>
        <row r="1593">
          <cell r="A1593">
            <v>31102192</v>
          </cell>
          <cell r="C1593">
            <v>31102192</v>
          </cell>
          <cell r="D1593">
            <v>31102192</v>
          </cell>
          <cell r="E1593">
            <v>31102192</v>
          </cell>
          <cell r="F1593">
            <v>31102192</v>
          </cell>
          <cell r="G1593">
            <v>31102192</v>
          </cell>
          <cell r="H1593">
            <v>31102192</v>
          </cell>
          <cell r="I1593" t="str">
            <v/>
          </cell>
          <cell r="J1593" t="str">
            <v/>
          </cell>
          <cell r="K1593" t="str">
            <v/>
          </cell>
          <cell r="L1593" t="str">
            <v/>
          </cell>
          <cell r="M1593" t="str">
            <v/>
          </cell>
        </row>
        <row r="1594">
          <cell r="A1594">
            <v>31102192</v>
          </cell>
          <cell r="C1594">
            <v>31102192</v>
          </cell>
          <cell r="D1594">
            <v>31102192</v>
          </cell>
          <cell r="E1594">
            <v>31102192</v>
          </cell>
          <cell r="F1594">
            <v>31102192</v>
          </cell>
          <cell r="G1594">
            <v>31102192</v>
          </cell>
          <cell r="H1594">
            <v>31102192</v>
          </cell>
          <cell r="I1594" t="str">
            <v/>
          </cell>
          <cell r="J1594" t="str">
            <v/>
          </cell>
          <cell r="K1594" t="str">
            <v/>
          </cell>
          <cell r="L1594" t="str">
            <v/>
          </cell>
          <cell r="M1594" t="str">
            <v/>
          </cell>
        </row>
        <row r="1595">
          <cell r="A1595">
            <v>31102192</v>
          </cell>
          <cell r="C1595">
            <v>31102192</v>
          </cell>
          <cell r="D1595">
            <v>31102192</v>
          </cell>
          <cell r="E1595">
            <v>31102192</v>
          </cell>
          <cell r="F1595">
            <v>31102192</v>
          </cell>
          <cell r="G1595">
            <v>31102192</v>
          </cell>
          <cell r="H1595">
            <v>31102192</v>
          </cell>
          <cell r="I1595" t="str">
            <v/>
          </cell>
          <cell r="J1595" t="str">
            <v/>
          </cell>
          <cell r="K1595" t="str">
            <v/>
          </cell>
          <cell r="L1595" t="str">
            <v/>
          </cell>
          <cell r="M1595" t="str">
            <v/>
          </cell>
        </row>
        <row r="1596">
          <cell r="A1596">
            <v>31102192</v>
          </cell>
          <cell r="C1596">
            <v>31102192</v>
          </cell>
          <cell r="D1596">
            <v>31102192</v>
          </cell>
          <cell r="E1596">
            <v>31102192</v>
          </cell>
          <cell r="F1596">
            <v>31102192</v>
          </cell>
          <cell r="G1596">
            <v>31102192</v>
          </cell>
          <cell r="H1596">
            <v>31102192</v>
          </cell>
          <cell r="I1596" t="str">
            <v/>
          </cell>
          <cell r="J1596" t="str">
            <v/>
          </cell>
          <cell r="K1596" t="str">
            <v/>
          </cell>
          <cell r="L1596" t="str">
            <v/>
          </cell>
          <cell r="M1596" t="str">
            <v/>
          </cell>
        </row>
        <row r="1597">
          <cell r="A1597">
            <v>31102192</v>
          </cell>
          <cell r="C1597">
            <v>31102192</v>
          </cell>
          <cell r="D1597">
            <v>31102192</v>
          </cell>
          <cell r="E1597">
            <v>31102192</v>
          </cell>
          <cell r="F1597">
            <v>31102192</v>
          </cell>
          <cell r="G1597">
            <v>31102192</v>
          </cell>
          <cell r="H1597">
            <v>31102192</v>
          </cell>
          <cell r="I1597" t="str">
            <v/>
          </cell>
          <cell r="J1597" t="str">
            <v/>
          </cell>
          <cell r="K1597" t="str">
            <v/>
          </cell>
          <cell r="L1597" t="str">
            <v/>
          </cell>
          <cell r="M1597" t="str">
            <v/>
          </cell>
        </row>
        <row r="1598">
          <cell r="A1598">
            <v>31102192</v>
          </cell>
          <cell r="C1598">
            <v>31102192</v>
          </cell>
          <cell r="D1598">
            <v>31102192</v>
          </cell>
          <cell r="E1598">
            <v>31102192</v>
          </cell>
          <cell r="F1598">
            <v>31102192</v>
          </cell>
          <cell r="G1598">
            <v>31102192</v>
          </cell>
          <cell r="H1598">
            <v>31102192</v>
          </cell>
          <cell r="I1598" t="str">
            <v/>
          </cell>
          <cell r="J1598" t="str">
            <v/>
          </cell>
          <cell r="K1598" t="str">
            <v/>
          </cell>
          <cell r="L1598" t="str">
            <v/>
          </cell>
          <cell r="M1598" t="str">
            <v/>
          </cell>
        </row>
        <row r="1599">
          <cell r="A1599">
            <v>31102192</v>
          </cell>
          <cell r="C1599">
            <v>31102192</v>
          </cell>
          <cell r="D1599">
            <v>31102192</v>
          </cell>
          <cell r="E1599">
            <v>31102192</v>
          </cell>
          <cell r="F1599">
            <v>31102192</v>
          </cell>
          <cell r="G1599">
            <v>31102192</v>
          </cell>
          <cell r="H1599">
            <v>31102192</v>
          </cell>
          <cell r="I1599" t="str">
            <v/>
          </cell>
          <cell r="J1599" t="str">
            <v/>
          </cell>
          <cell r="K1599" t="str">
            <v/>
          </cell>
          <cell r="L1599" t="str">
            <v/>
          </cell>
          <cell r="M1599" t="str">
            <v/>
          </cell>
        </row>
        <row r="1600">
          <cell r="A1600">
            <v>31102192</v>
          </cell>
          <cell r="C1600">
            <v>31102192</v>
          </cell>
          <cell r="D1600">
            <v>31102192</v>
          </cell>
          <cell r="E1600">
            <v>31102192</v>
          </cell>
          <cell r="F1600">
            <v>31102192</v>
          </cell>
          <cell r="G1600">
            <v>31102192</v>
          </cell>
          <cell r="H1600">
            <v>31102192</v>
          </cell>
          <cell r="I1600" t="str">
            <v/>
          </cell>
          <cell r="J1600" t="str">
            <v/>
          </cell>
          <cell r="K1600" t="str">
            <v/>
          </cell>
          <cell r="L1600" t="str">
            <v/>
          </cell>
          <cell r="M1600" t="str">
            <v/>
          </cell>
        </row>
        <row r="1601">
          <cell r="A1601">
            <v>31102192</v>
          </cell>
          <cell r="C1601">
            <v>31102192</v>
          </cell>
          <cell r="D1601">
            <v>31102192</v>
          </cell>
          <cell r="E1601">
            <v>31102192</v>
          </cell>
          <cell r="F1601">
            <v>31102192</v>
          </cell>
          <cell r="G1601">
            <v>31102192</v>
          </cell>
          <cell r="H1601">
            <v>31102192</v>
          </cell>
          <cell r="I1601" t="str">
            <v/>
          </cell>
          <cell r="J1601" t="str">
            <v/>
          </cell>
          <cell r="K1601" t="str">
            <v/>
          </cell>
          <cell r="L1601" t="str">
            <v/>
          </cell>
          <cell r="M1601" t="str">
            <v/>
          </cell>
        </row>
        <row r="1602">
          <cell r="A1602">
            <v>31102192</v>
          </cell>
          <cell r="C1602">
            <v>31102192</v>
          </cell>
          <cell r="D1602">
            <v>31102192</v>
          </cell>
          <cell r="E1602">
            <v>31102192</v>
          </cell>
          <cell r="F1602">
            <v>31102192</v>
          </cell>
          <cell r="G1602">
            <v>31102192</v>
          </cell>
          <cell r="H1602">
            <v>31102192</v>
          </cell>
          <cell r="I1602" t="str">
            <v/>
          </cell>
          <cell r="J1602" t="str">
            <v/>
          </cell>
          <cell r="K1602" t="str">
            <v/>
          </cell>
          <cell r="L1602" t="str">
            <v/>
          </cell>
          <cell r="M1602" t="str">
            <v/>
          </cell>
        </row>
        <row r="1603">
          <cell r="A1603">
            <v>31102192</v>
          </cell>
          <cell r="C1603">
            <v>31102192</v>
          </cell>
          <cell r="D1603">
            <v>31102192</v>
          </cell>
          <cell r="E1603">
            <v>31102192</v>
          </cell>
          <cell r="F1603">
            <v>31102192</v>
          </cell>
          <cell r="G1603">
            <v>31102192</v>
          </cell>
          <cell r="H1603">
            <v>31102192</v>
          </cell>
          <cell r="I1603" t="str">
            <v/>
          </cell>
          <cell r="J1603" t="str">
            <v/>
          </cell>
          <cell r="K1603" t="str">
            <v/>
          </cell>
          <cell r="L1603" t="str">
            <v/>
          </cell>
          <cell r="M1603" t="str">
            <v/>
          </cell>
        </row>
        <row r="1604">
          <cell r="A1604">
            <v>31102192</v>
          </cell>
          <cell r="C1604">
            <v>31102192</v>
          </cell>
          <cell r="D1604">
            <v>31102192</v>
          </cell>
          <cell r="E1604">
            <v>31102192</v>
          </cell>
          <cell r="F1604">
            <v>31102192</v>
          </cell>
          <cell r="G1604">
            <v>31102192</v>
          </cell>
          <cell r="H1604">
            <v>31102192</v>
          </cell>
          <cell r="I1604" t="str">
            <v/>
          </cell>
          <cell r="J1604" t="str">
            <v/>
          </cell>
          <cell r="K1604" t="str">
            <v/>
          </cell>
          <cell r="L1604" t="str">
            <v/>
          </cell>
          <cell r="M1604" t="str">
            <v/>
          </cell>
        </row>
        <row r="1605">
          <cell r="A1605">
            <v>31102192</v>
          </cell>
          <cell r="C1605">
            <v>31102192</v>
          </cell>
          <cell r="D1605">
            <v>31102192</v>
          </cell>
          <cell r="E1605">
            <v>31102192</v>
          </cell>
          <cell r="F1605">
            <v>31102192</v>
          </cell>
          <cell r="G1605">
            <v>31102192</v>
          </cell>
          <cell r="H1605">
            <v>31102192</v>
          </cell>
          <cell r="I1605" t="str">
            <v/>
          </cell>
          <cell r="J1605" t="str">
            <v/>
          </cell>
          <cell r="K1605" t="str">
            <v/>
          </cell>
          <cell r="L1605" t="str">
            <v/>
          </cell>
          <cell r="M1605" t="str">
            <v/>
          </cell>
        </row>
        <row r="1606">
          <cell r="A1606">
            <v>31102192</v>
          </cell>
          <cell r="C1606">
            <v>31102192</v>
          </cell>
          <cell r="D1606">
            <v>31102192</v>
          </cell>
          <cell r="E1606">
            <v>31102192</v>
          </cell>
          <cell r="F1606">
            <v>31102192</v>
          </cell>
          <cell r="G1606">
            <v>31102192</v>
          </cell>
          <cell r="H1606">
            <v>31102192</v>
          </cell>
          <cell r="I1606" t="str">
            <v/>
          </cell>
          <cell r="J1606" t="str">
            <v/>
          </cell>
          <cell r="K1606" t="str">
            <v/>
          </cell>
          <cell r="L1606" t="str">
            <v/>
          </cell>
          <cell r="M1606" t="str">
            <v/>
          </cell>
        </row>
        <row r="1607">
          <cell r="A1607">
            <v>31102192</v>
          </cell>
          <cell r="C1607">
            <v>31102192</v>
          </cell>
          <cell r="D1607">
            <v>31102192</v>
          </cell>
          <cell r="E1607">
            <v>31102192</v>
          </cell>
          <cell r="F1607">
            <v>31102192</v>
          </cell>
          <cell r="G1607">
            <v>31102192</v>
          </cell>
          <cell r="H1607">
            <v>31102192</v>
          </cell>
          <cell r="I1607" t="str">
            <v/>
          </cell>
          <cell r="J1607" t="str">
            <v/>
          </cell>
          <cell r="K1607" t="str">
            <v/>
          </cell>
          <cell r="L1607" t="str">
            <v/>
          </cell>
          <cell r="M1607" t="str">
            <v/>
          </cell>
        </row>
        <row r="1608">
          <cell r="A1608">
            <v>31102192</v>
          </cell>
          <cell r="C1608">
            <v>31102192</v>
          </cell>
          <cell r="D1608">
            <v>31102192</v>
          </cell>
          <cell r="E1608">
            <v>31102192</v>
          </cell>
          <cell r="F1608">
            <v>31102192</v>
          </cell>
          <cell r="G1608">
            <v>31102192</v>
          </cell>
          <cell r="H1608">
            <v>31102192</v>
          </cell>
          <cell r="I1608" t="str">
            <v/>
          </cell>
          <cell r="J1608" t="str">
            <v/>
          </cell>
          <cell r="K1608" t="str">
            <v/>
          </cell>
          <cell r="L1608" t="str">
            <v/>
          </cell>
          <cell r="M1608" t="str">
            <v/>
          </cell>
        </row>
        <row r="1609">
          <cell r="A1609">
            <v>31102192</v>
          </cell>
          <cell r="C1609">
            <v>31102192</v>
          </cell>
          <cell r="D1609">
            <v>31102192</v>
          </cell>
          <cell r="E1609">
            <v>31102192</v>
          </cell>
          <cell r="F1609">
            <v>31102192</v>
          </cell>
          <cell r="G1609">
            <v>31102192</v>
          </cell>
          <cell r="H1609">
            <v>31102192</v>
          </cell>
          <cell r="I1609" t="str">
            <v/>
          </cell>
          <cell r="J1609" t="str">
            <v/>
          </cell>
          <cell r="K1609" t="str">
            <v/>
          </cell>
          <cell r="L1609" t="str">
            <v/>
          </cell>
          <cell r="M1609" t="str">
            <v/>
          </cell>
        </row>
        <row r="1610">
          <cell r="A1610">
            <v>31102192</v>
          </cell>
          <cell r="C1610">
            <v>31102192</v>
          </cell>
          <cell r="D1610">
            <v>31102192</v>
          </cell>
          <cell r="E1610">
            <v>31102192</v>
          </cell>
          <cell r="F1610">
            <v>31102192</v>
          </cell>
          <cell r="G1610">
            <v>31102192</v>
          </cell>
          <cell r="H1610">
            <v>31102192</v>
          </cell>
          <cell r="I1610" t="str">
            <v/>
          </cell>
          <cell r="J1610" t="str">
            <v/>
          </cell>
          <cell r="K1610" t="str">
            <v/>
          </cell>
          <cell r="L1610" t="str">
            <v/>
          </cell>
          <cell r="M1610" t="str">
            <v/>
          </cell>
        </row>
        <row r="1611">
          <cell r="A1611">
            <v>31102192</v>
          </cell>
          <cell r="C1611">
            <v>31102192</v>
          </cell>
          <cell r="D1611">
            <v>31102192</v>
          </cell>
          <cell r="E1611">
            <v>31102192</v>
          </cell>
          <cell r="F1611">
            <v>31102192</v>
          </cell>
          <cell r="G1611">
            <v>31102192</v>
          </cell>
          <cell r="H1611">
            <v>31102192</v>
          </cell>
          <cell r="I1611" t="str">
            <v/>
          </cell>
          <cell r="J1611" t="str">
            <v/>
          </cell>
          <cell r="K1611" t="str">
            <v/>
          </cell>
          <cell r="L1611" t="str">
            <v/>
          </cell>
          <cell r="M1611" t="str">
            <v/>
          </cell>
        </row>
        <row r="1612">
          <cell r="A1612">
            <v>31102192</v>
          </cell>
          <cell r="C1612">
            <v>31102192</v>
          </cell>
          <cell r="D1612">
            <v>31102192</v>
          </cell>
          <cell r="E1612">
            <v>31102192</v>
          </cell>
          <cell r="F1612">
            <v>31102192</v>
          </cell>
          <cell r="G1612">
            <v>31102192</v>
          </cell>
          <cell r="H1612">
            <v>31102192</v>
          </cell>
          <cell r="I1612" t="str">
            <v/>
          </cell>
          <cell r="J1612" t="str">
            <v/>
          </cell>
          <cell r="K1612" t="str">
            <v/>
          </cell>
          <cell r="L1612" t="str">
            <v/>
          </cell>
          <cell r="M1612" t="str">
            <v/>
          </cell>
        </row>
        <row r="1613">
          <cell r="A1613">
            <v>31102192</v>
          </cell>
          <cell r="C1613">
            <v>31102192</v>
          </cell>
          <cell r="D1613">
            <v>31102192</v>
          </cell>
          <cell r="E1613">
            <v>31102192</v>
          </cell>
          <cell r="F1613">
            <v>31102192</v>
          </cell>
          <cell r="G1613">
            <v>31102192</v>
          </cell>
          <cell r="H1613">
            <v>31102192</v>
          </cell>
          <cell r="I1613" t="str">
            <v/>
          </cell>
          <cell r="J1613" t="str">
            <v/>
          </cell>
          <cell r="K1613" t="str">
            <v/>
          </cell>
          <cell r="L1613" t="str">
            <v/>
          </cell>
          <cell r="M1613" t="str">
            <v/>
          </cell>
        </row>
        <row r="1614">
          <cell r="A1614">
            <v>31102192</v>
          </cell>
          <cell r="C1614">
            <v>31102192</v>
          </cell>
          <cell r="D1614">
            <v>31102192</v>
          </cell>
          <cell r="E1614">
            <v>31102192</v>
          </cell>
          <cell r="F1614">
            <v>31102192</v>
          </cell>
          <cell r="G1614">
            <v>31102192</v>
          </cell>
          <cell r="H1614">
            <v>31102192</v>
          </cell>
          <cell r="I1614" t="str">
            <v/>
          </cell>
          <cell r="J1614" t="str">
            <v/>
          </cell>
          <cell r="K1614" t="str">
            <v/>
          </cell>
          <cell r="L1614" t="str">
            <v/>
          </cell>
          <cell r="M1614" t="str">
            <v/>
          </cell>
        </row>
        <row r="1615">
          <cell r="A1615">
            <v>31102192</v>
          </cell>
          <cell r="C1615">
            <v>31102192</v>
          </cell>
          <cell r="D1615">
            <v>31102192</v>
          </cell>
          <cell r="E1615">
            <v>31102192</v>
          </cell>
          <cell r="F1615">
            <v>31102192</v>
          </cell>
          <cell r="G1615">
            <v>31102192</v>
          </cell>
          <cell r="H1615">
            <v>31102192</v>
          </cell>
          <cell r="I1615" t="str">
            <v/>
          </cell>
          <cell r="J1615" t="str">
            <v/>
          </cell>
          <cell r="K1615" t="str">
            <v/>
          </cell>
          <cell r="L1615" t="str">
            <v/>
          </cell>
          <cell r="M1615" t="str">
            <v/>
          </cell>
        </row>
        <row r="1616">
          <cell r="A1616">
            <v>31102192</v>
          </cell>
          <cell r="C1616">
            <v>31102192</v>
          </cell>
          <cell r="D1616">
            <v>31102192</v>
          </cell>
          <cell r="E1616">
            <v>31102192</v>
          </cell>
          <cell r="F1616">
            <v>31102192</v>
          </cell>
          <cell r="G1616">
            <v>31102192</v>
          </cell>
          <cell r="H1616">
            <v>31102192</v>
          </cell>
          <cell r="I1616" t="str">
            <v/>
          </cell>
          <cell r="J1616" t="str">
            <v/>
          </cell>
          <cell r="K1616" t="str">
            <v/>
          </cell>
          <cell r="L1616" t="str">
            <v/>
          </cell>
          <cell r="M1616" t="str">
            <v/>
          </cell>
        </row>
        <row r="1617">
          <cell r="A1617">
            <v>31102192</v>
          </cell>
          <cell r="C1617">
            <v>31102192</v>
          </cell>
          <cell r="D1617">
            <v>31102192</v>
          </cell>
          <cell r="E1617">
            <v>31102192</v>
          </cell>
          <cell r="F1617">
            <v>31102192</v>
          </cell>
          <cell r="G1617">
            <v>31102192</v>
          </cell>
          <cell r="H1617">
            <v>31102192</v>
          </cell>
          <cell r="I1617" t="str">
            <v/>
          </cell>
          <cell r="J1617" t="str">
            <v/>
          </cell>
          <cell r="K1617" t="str">
            <v/>
          </cell>
          <cell r="L1617" t="str">
            <v/>
          </cell>
          <cell r="M1617" t="str">
            <v/>
          </cell>
        </row>
        <row r="1618">
          <cell r="A1618">
            <v>31102192</v>
          </cell>
          <cell r="C1618">
            <v>31102192</v>
          </cell>
          <cell r="D1618">
            <v>31102192</v>
          </cell>
          <cell r="E1618">
            <v>31102192</v>
          </cell>
          <cell r="F1618">
            <v>31102192</v>
          </cell>
          <cell r="G1618">
            <v>31102192</v>
          </cell>
          <cell r="H1618">
            <v>31102192</v>
          </cell>
          <cell r="I1618" t="str">
            <v/>
          </cell>
          <cell r="J1618" t="str">
            <v/>
          </cell>
          <cell r="K1618" t="str">
            <v/>
          </cell>
          <cell r="L1618" t="str">
            <v/>
          </cell>
          <cell r="M1618" t="str">
            <v/>
          </cell>
        </row>
        <row r="1619">
          <cell r="A1619">
            <v>31102192</v>
          </cell>
          <cell r="C1619">
            <v>31102192</v>
          </cell>
          <cell r="D1619">
            <v>31102192</v>
          </cell>
          <cell r="E1619">
            <v>31102192</v>
          </cell>
          <cell r="F1619">
            <v>31102192</v>
          </cell>
          <cell r="G1619">
            <v>31102192</v>
          </cell>
          <cell r="H1619">
            <v>31102192</v>
          </cell>
          <cell r="I1619" t="str">
            <v/>
          </cell>
          <cell r="J1619" t="str">
            <v/>
          </cell>
          <cell r="K1619" t="str">
            <v/>
          </cell>
          <cell r="L1619" t="str">
            <v/>
          </cell>
          <cell r="M1619" t="str">
            <v/>
          </cell>
        </row>
        <row r="1620">
          <cell r="A1620">
            <v>31102192</v>
          </cell>
          <cell r="C1620">
            <v>31102192</v>
          </cell>
          <cell r="D1620">
            <v>31102192</v>
          </cell>
          <cell r="E1620">
            <v>31102192</v>
          </cell>
          <cell r="F1620">
            <v>31102192</v>
          </cell>
          <cell r="G1620">
            <v>31102192</v>
          </cell>
          <cell r="H1620">
            <v>31102192</v>
          </cell>
          <cell r="I1620" t="str">
            <v/>
          </cell>
          <cell r="J1620" t="str">
            <v/>
          </cell>
          <cell r="K1620" t="str">
            <v/>
          </cell>
          <cell r="L1620" t="str">
            <v/>
          </cell>
          <cell r="M1620" t="str">
            <v/>
          </cell>
        </row>
        <row r="1621">
          <cell r="A1621">
            <v>31102192</v>
          </cell>
          <cell r="C1621">
            <v>31102192</v>
          </cell>
          <cell r="D1621">
            <v>31102192</v>
          </cell>
          <cell r="E1621">
            <v>31102192</v>
          </cell>
          <cell r="F1621">
            <v>31102192</v>
          </cell>
          <cell r="G1621">
            <v>31102192</v>
          </cell>
          <cell r="H1621">
            <v>31102192</v>
          </cell>
          <cell r="I1621" t="str">
            <v/>
          </cell>
          <cell r="J1621" t="str">
            <v/>
          </cell>
          <cell r="K1621" t="str">
            <v/>
          </cell>
          <cell r="L1621" t="str">
            <v/>
          </cell>
          <cell r="M1621" t="str">
            <v/>
          </cell>
        </row>
        <row r="1622">
          <cell r="A1622">
            <v>31102192</v>
          </cell>
          <cell r="C1622">
            <v>31102192</v>
          </cell>
          <cell r="D1622">
            <v>31102192</v>
          </cell>
          <cell r="E1622">
            <v>31102192</v>
          </cell>
          <cell r="F1622">
            <v>31102192</v>
          </cell>
          <cell r="G1622">
            <v>31102192</v>
          </cell>
          <cell r="H1622">
            <v>31102192</v>
          </cell>
          <cell r="I1622" t="str">
            <v/>
          </cell>
          <cell r="J1622" t="str">
            <v/>
          </cell>
          <cell r="K1622" t="str">
            <v/>
          </cell>
          <cell r="L1622" t="str">
            <v/>
          </cell>
          <cell r="M1622" t="str">
            <v/>
          </cell>
        </row>
        <row r="1623">
          <cell r="A1623">
            <v>31102192</v>
          </cell>
          <cell r="C1623">
            <v>31102192</v>
          </cell>
          <cell r="D1623">
            <v>31102192</v>
          </cell>
          <cell r="E1623">
            <v>31102192</v>
          </cell>
          <cell r="F1623">
            <v>31102192</v>
          </cell>
          <cell r="G1623">
            <v>31102192</v>
          </cell>
          <cell r="H1623">
            <v>31102192</v>
          </cell>
          <cell r="I1623" t="str">
            <v/>
          </cell>
          <cell r="J1623" t="str">
            <v/>
          </cell>
          <cell r="K1623" t="str">
            <v/>
          </cell>
          <cell r="L1623" t="str">
            <v/>
          </cell>
          <cell r="M1623" t="str">
            <v/>
          </cell>
        </row>
        <row r="1624">
          <cell r="A1624">
            <v>31102192</v>
          </cell>
          <cell r="C1624">
            <v>31102192</v>
          </cell>
          <cell r="D1624">
            <v>31102192</v>
          </cell>
          <cell r="E1624">
            <v>31102192</v>
          </cell>
          <cell r="F1624">
            <v>31102192</v>
          </cell>
          <cell r="G1624">
            <v>31102192</v>
          </cell>
          <cell r="H1624">
            <v>31102192</v>
          </cell>
          <cell r="I1624" t="str">
            <v/>
          </cell>
          <cell r="J1624" t="str">
            <v/>
          </cell>
          <cell r="K1624" t="str">
            <v/>
          </cell>
          <cell r="L1624" t="str">
            <v/>
          </cell>
          <cell r="M1624" t="str">
            <v/>
          </cell>
        </row>
        <row r="1625">
          <cell r="A1625">
            <v>31102192</v>
          </cell>
          <cell r="C1625">
            <v>31102192</v>
          </cell>
          <cell r="D1625">
            <v>31102192</v>
          </cell>
          <cell r="E1625">
            <v>31102192</v>
          </cell>
          <cell r="F1625">
            <v>31102192</v>
          </cell>
          <cell r="G1625">
            <v>31102192</v>
          </cell>
          <cell r="H1625">
            <v>31102192</v>
          </cell>
          <cell r="I1625" t="str">
            <v/>
          </cell>
          <cell r="J1625" t="str">
            <v/>
          </cell>
          <cell r="K1625" t="str">
            <v/>
          </cell>
          <cell r="L1625" t="str">
            <v/>
          </cell>
          <cell r="M1625" t="str">
            <v/>
          </cell>
        </row>
        <row r="1626">
          <cell r="A1626">
            <v>31102192</v>
          </cell>
          <cell r="C1626">
            <v>31102192</v>
          </cell>
          <cell r="D1626">
            <v>31102192</v>
          </cell>
          <cell r="E1626">
            <v>31102192</v>
          </cell>
          <cell r="F1626">
            <v>31102192</v>
          </cell>
          <cell r="G1626">
            <v>31102192</v>
          </cell>
          <cell r="H1626">
            <v>31102192</v>
          </cell>
          <cell r="I1626" t="str">
            <v/>
          </cell>
          <cell r="J1626" t="str">
            <v/>
          </cell>
          <cell r="K1626" t="str">
            <v/>
          </cell>
          <cell r="L1626" t="str">
            <v/>
          </cell>
          <cell r="M1626" t="str">
            <v/>
          </cell>
        </row>
        <row r="1627">
          <cell r="A1627">
            <v>31102192</v>
          </cell>
          <cell r="C1627">
            <v>31102192</v>
          </cell>
          <cell r="D1627">
            <v>31102192</v>
          </cell>
          <cell r="E1627">
            <v>31102192</v>
          </cell>
          <cell r="F1627">
            <v>31102192</v>
          </cell>
          <cell r="G1627">
            <v>31102192</v>
          </cell>
          <cell r="H1627">
            <v>31102192</v>
          </cell>
          <cell r="I1627" t="str">
            <v/>
          </cell>
          <cell r="J1627" t="str">
            <v/>
          </cell>
          <cell r="K1627" t="str">
            <v/>
          </cell>
          <cell r="L1627" t="str">
            <v/>
          </cell>
          <cell r="M1627" t="str">
            <v/>
          </cell>
        </row>
        <row r="1628">
          <cell r="A1628">
            <v>31102192</v>
          </cell>
          <cell r="C1628">
            <v>31102192</v>
          </cell>
          <cell r="D1628">
            <v>31102192</v>
          </cell>
          <cell r="E1628">
            <v>31102192</v>
          </cell>
          <cell r="F1628">
            <v>31102192</v>
          </cell>
          <cell r="G1628">
            <v>31102192</v>
          </cell>
          <cell r="H1628">
            <v>31102192</v>
          </cell>
          <cell r="I1628" t="str">
            <v/>
          </cell>
          <cell r="J1628" t="str">
            <v/>
          </cell>
          <cell r="K1628" t="str">
            <v/>
          </cell>
          <cell r="L1628" t="str">
            <v/>
          </cell>
          <cell r="M1628" t="str">
            <v/>
          </cell>
        </row>
        <row r="1629">
          <cell r="A1629">
            <v>31102192</v>
          </cell>
          <cell r="C1629">
            <v>31102192</v>
          </cell>
          <cell r="D1629">
            <v>31102192</v>
          </cell>
          <cell r="E1629">
            <v>31102192</v>
          </cell>
          <cell r="F1629">
            <v>31102192</v>
          </cell>
          <cell r="G1629">
            <v>31102192</v>
          </cell>
          <cell r="H1629">
            <v>31102192</v>
          </cell>
          <cell r="I1629" t="str">
            <v/>
          </cell>
          <cell r="J1629" t="str">
            <v/>
          </cell>
          <cell r="K1629" t="str">
            <v/>
          </cell>
          <cell r="L1629" t="str">
            <v/>
          </cell>
          <cell r="M1629" t="str">
            <v/>
          </cell>
        </row>
        <row r="1630">
          <cell r="A1630">
            <v>31102192</v>
          </cell>
          <cell r="C1630">
            <v>31102192</v>
          </cell>
          <cell r="D1630">
            <v>31102192</v>
          </cell>
          <cell r="E1630">
            <v>31102192</v>
          </cell>
          <cell r="F1630">
            <v>31102192</v>
          </cell>
          <cell r="G1630">
            <v>31102192</v>
          </cell>
          <cell r="H1630">
            <v>31102192</v>
          </cell>
          <cell r="I1630" t="str">
            <v/>
          </cell>
          <cell r="J1630" t="str">
            <v/>
          </cell>
          <cell r="K1630" t="str">
            <v/>
          </cell>
          <cell r="L1630" t="str">
            <v/>
          </cell>
          <cell r="M1630" t="str">
            <v/>
          </cell>
        </row>
        <row r="1631">
          <cell r="A1631">
            <v>31102192</v>
          </cell>
          <cell r="C1631">
            <v>31102192</v>
          </cell>
          <cell r="D1631">
            <v>31102192</v>
          </cell>
          <cell r="E1631">
            <v>31102192</v>
          </cell>
          <cell r="F1631">
            <v>31102192</v>
          </cell>
          <cell r="G1631">
            <v>31102192</v>
          </cell>
          <cell r="H1631">
            <v>31102192</v>
          </cell>
          <cell r="I1631" t="str">
            <v/>
          </cell>
          <cell r="J1631" t="str">
            <v/>
          </cell>
          <cell r="K1631" t="str">
            <v/>
          </cell>
          <cell r="L1631" t="str">
            <v/>
          </cell>
          <cell r="M1631" t="str">
            <v/>
          </cell>
        </row>
        <row r="1632">
          <cell r="A1632">
            <v>31102192</v>
          </cell>
          <cell r="C1632">
            <v>31102192</v>
          </cell>
          <cell r="D1632">
            <v>31102192</v>
          </cell>
          <cell r="E1632">
            <v>31102192</v>
          </cell>
          <cell r="F1632">
            <v>31102192</v>
          </cell>
          <cell r="G1632">
            <v>31102192</v>
          </cell>
          <cell r="H1632">
            <v>31102192</v>
          </cell>
          <cell r="I1632" t="str">
            <v/>
          </cell>
          <cell r="J1632" t="str">
            <v/>
          </cell>
          <cell r="K1632" t="str">
            <v/>
          </cell>
          <cell r="L1632" t="str">
            <v/>
          </cell>
          <cell r="M1632" t="str">
            <v/>
          </cell>
        </row>
        <row r="1633">
          <cell r="A1633">
            <v>31102192</v>
          </cell>
          <cell r="C1633">
            <v>31102192</v>
          </cell>
          <cell r="D1633">
            <v>31102192</v>
          </cell>
          <cell r="E1633">
            <v>31102192</v>
          </cell>
          <cell r="F1633">
            <v>31102192</v>
          </cell>
          <cell r="G1633">
            <v>31102192</v>
          </cell>
          <cell r="H1633">
            <v>31102192</v>
          </cell>
          <cell r="I1633" t="str">
            <v/>
          </cell>
          <cell r="J1633" t="str">
            <v/>
          </cell>
          <cell r="K1633" t="str">
            <v/>
          </cell>
          <cell r="L1633" t="str">
            <v/>
          </cell>
          <cell r="M1633" t="str">
            <v/>
          </cell>
        </row>
        <row r="1634">
          <cell r="A1634">
            <v>31102192</v>
          </cell>
          <cell r="C1634">
            <v>31102192</v>
          </cell>
          <cell r="D1634">
            <v>31102192</v>
          </cell>
          <cell r="E1634">
            <v>31102192</v>
          </cell>
          <cell r="F1634">
            <v>31102192</v>
          </cell>
          <cell r="G1634">
            <v>31102192</v>
          </cell>
          <cell r="H1634">
            <v>31102192</v>
          </cell>
          <cell r="I1634" t="str">
            <v/>
          </cell>
          <cell r="J1634" t="str">
            <v/>
          </cell>
          <cell r="K1634" t="str">
            <v/>
          </cell>
          <cell r="L1634" t="str">
            <v/>
          </cell>
          <cell r="M1634" t="str">
            <v/>
          </cell>
        </row>
        <row r="1635">
          <cell r="A1635">
            <v>31102192</v>
          </cell>
          <cell r="C1635">
            <v>31102192</v>
          </cell>
          <cell r="D1635">
            <v>31102192</v>
          </cell>
          <cell r="E1635">
            <v>31102192</v>
          </cell>
          <cell r="F1635">
            <v>31102192</v>
          </cell>
          <cell r="G1635">
            <v>31102192</v>
          </cell>
          <cell r="H1635">
            <v>31102192</v>
          </cell>
          <cell r="I1635" t="str">
            <v/>
          </cell>
          <cell r="J1635" t="str">
            <v/>
          </cell>
          <cell r="K1635" t="str">
            <v/>
          </cell>
          <cell r="L1635" t="str">
            <v/>
          </cell>
          <cell r="M1635" t="str">
            <v/>
          </cell>
        </row>
        <row r="1636">
          <cell r="A1636">
            <v>31102192</v>
          </cell>
          <cell r="C1636">
            <v>31102192</v>
          </cell>
          <cell r="D1636">
            <v>31102192</v>
          </cell>
          <cell r="E1636">
            <v>31102192</v>
          </cell>
          <cell r="F1636">
            <v>31102192</v>
          </cell>
          <cell r="G1636">
            <v>31102192</v>
          </cell>
          <cell r="H1636">
            <v>31102192</v>
          </cell>
          <cell r="I1636" t="str">
            <v/>
          </cell>
          <cell r="J1636" t="str">
            <v/>
          </cell>
          <cell r="K1636" t="str">
            <v/>
          </cell>
          <cell r="L1636" t="str">
            <v/>
          </cell>
          <cell r="M1636" t="str">
            <v/>
          </cell>
        </row>
        <row r="1637">
          <cell r="A1637">
            <v>31102192</v>
          </cell>
          <cell r="C1637">
            <v>31102192</v>
          </cell>
          <cell r="D1637">
            <v>31102192</v>
          </cell>
          <cell r="E1637">
            <v>31102192</v>
          </cell>
          <cell r="F1637">
            <v>31102192</v>
          </cell>
          <cell r="G1637">
            <v>31102192</v>
          </cell>
          <cell r="H1637">
            <v>31102192</v>
          </cell>
          <cell r="I1637" t="str">
            <v/>
          </cell>
          <cell r="J1637" t="str">
            <v/>
          </cell>
          <cell r="K1637" t="str">
            <v/>
          </cell>
          <cell r="L1637" t="str">
            <v/>
          </cell>
          <cell r="M1637" t="str">
            <v/>
          </cell>
        </row>
        <row r="1638">
          <cell r="A1638">
            <v>31102192</v>
          </cell>
          <cell r="C1638">
            <v>31102192</v>
          </cell>
          <cell r="D1638">
            <v>31102192</v>
          </cell>
          <cell r="E1638">
            <v>31102192</v>
          </cell>
          <cell r="F1638">
            <v>31102192</v>
          </cell>
          <cell r="G1638">
            <v>31102192</v>
          </cell>
          <cell r="H1638">
            <v>31102192</v>
          </cell>
          <cell r="I1638" t="str">
            <v/>
          </cell>
          <cell r="J1638" t="str">
            <v/>
          </cell>
          <cell r="K1638" t="str">
            <v/>
          </cell>
          <cell r="L1638" t="str">
            <v/>
          </cell>
          <cell r="M1638" t="str">
            <v/>
          </cell>
        </row>
        <row r="1639">
          <cell r="A1639">
            <v>31102192</v>
          </cell>
          <cell r="C1639">
            <v>31102192</v>
          </cell>
          <cell r="D1639">
            <v>31102192</v>
          </cell>
          <cell r="E1639">
            <v>31102192</v>
          </cell>
          <cell r="F1639">
            <v>31102192</v>
          </cell>
          <cell r="G1639">
            <v>31102192</v>
          </cell>
          <cell r="H1639">
            <v>31102192</v>
          </cell>
          <cell r="I1639" t="str">
            <v/>
          </cell>
          <cell r="J1639" t="str">
            <v/>
          </cell>
          <cell r="K1639" t="str">
            <v/>
          </cell>
          <cell r="L1639" t="str">
            <v/>
          </cell>
          <cell r="M1639" t="str">
            <v/>
          </cell>
        </row>
        <row r="1640">
          <cell r="A1640">
            <v>31102192</v>
          </cell>
          <cell r="C1640">
            <v>31102192</v>
          </cell>
          <cell r="D1640">
            <v>31102192</v>
          </cell>
          <cell r="E1640">
            <v>31102192</v>
          </cell>
          <cell r="F1640">
            <v>31102192</v>
          </cell>
          <cell r="G1640">
            <v>31102192</v>
          </cell>
          <cell r="H1640">
            <v>31102192</v>
          </cell>
          <cell r="I1640" t="str">
            <v/>
          </cell>
          <cell r="J1640" t="str">
            <v/>
          </cell>
          <cell r="K1640" t="str">
            <v/>
          </cell>
          <cell r="L1640" t="str">
            <v/>
          </cell>
          <cell r="M1640" t="str">
            <v/>
          </cell>
        </row>
        <row r="1641">
          <cell r="A1641">
            <v>31102192</v>
          </cell>
          <cell r="C1641">
            <v>31102192</v>
          </cell>
          <cell r="D1641">
            <v>31102192</v>
          </cell>
          <cell r="E1641">
            <v>31102192</v>
          </cell>
          <cell r="F1641">
            <v>31102192</v>
          </cell>
          <cell r="G1641">
            <v>31102192</v>
          </cell>
          <cell r="H1641">
            <v>31102192</v>
          </cell>
          <cell r="I1641" t="str">
            <v/>
          </cell>
          <cell r="J1641" t="str">
            <v/>
          </cell>
          <cell r="K1641" t="str">
            <v/>
          </cell>
          <cell r="L1641" t="str">
            <v/>
          </cell>
          <cell r="M1641" t="str">
            <v/>
          </cell>
        </row>
        <row r="1642">
          <cell r="A1642">
            <v>31102192</v>
          </cell>
          <cell r="C1642">
            <v>31102192</v>
          </cell>
          <cell r="D1642">
            <v>31102192</v>
          </cell>
          <cell r="E1642">
            <v>31102192</v>
          </cell>
          <cell r="F1642">
            <v>31102192</v>
          </cell>
          <cell r="G1642">
            <v>31102192</v>
          </cell>
          <cell r="H1642">
            <v>31102192</v>
          </cell>
          <cell r="I1642" t="str">
            <v/>
          </cell>
          <cell r="J1642" t="str">
            <v/>
          </cell>
          <cell r="K1642" t="str">
            <v/>
          </cell>
          <cell r="L1642" t="str">
            <v/>
          </cell>
          <cell r="M1642" t="str">
            <v/>
          </cell>
        </row>
        <row r="1643">
          <cell r="A1643">
            <v>31102192</v>
          </cell>
          <cell r="C1643">
            <v>31102192</v>
          </cell>
          <cell r="D1643">
            <v>31102192</v>
          </cell>
          <cell r="E1643">
            <v>31102192</v>
          </cell>
          <cell r="F1643">
            <v>31102192</v>
          </cell>
          <cell r="G1643">
            <v>31102192</v>
          </cell>
          <cell r="H1643">
            <v>31102192</v>
          </cell>
          <cell r="I1643" t="str">
            <v/>
          </cell>
          <cell r="J1643" t="str">
            <v/>
          </cell>
          <cell r="K1643" t="str">
            <v/>
          </cell>
          <cell r="L1643" t="str">
            <v/>
          </cell>
          <cell r="M1643" t="str">
            <v/>
          </cell>
        </row>
        <row r="1644">
          <cell r="A1644">
            <v>31102192</v>
          </cell>
          <cell r="C1644">
            <v>31102192</v>
          </cell>
          <cell r="D1644">
            <v>31102192</v>
          </cell>
          <cell r="E1644">
            <v>31102192</v>
          </cell>
          <cell r="F1644">
            <v>31102192</v>
          </cell>
          <cell r="G1644">
            <v>31102192</v>
          </cell>
          <cell r="H1644">
            <v>31102192</v>
          </cell>
          <cell r="I1644" t="str">
            <v/>
          </cell>
          <cell r="J1644" t="str">
            <v/>
          </cell>
          <cell r="K1644" t="str">
            <v/>
          </cell>
          <cell r="L1644" t="str">
            <v/>
          </cell>
          <cell r="M1644" t="str">
            <v/>
          </cell>
        </row>
        <row r="1645">
          <cell r="A1645">
            <v>31102192</v>
          </cell>
          <cell r="C1645">
            <v>31102192</v>
          </cell>
          <cell r="D1645">
            <v>31102192</v>
          </cell>
          <cell r="E1645">
            <v>31102192</v>
          </cell>
          <cell r="F1645">
            <v>31102192</v>
          </cell>
          <cell r="G1645">
            <v>31102192</v>
          </cell>
          <cell r="H1645">
            <v>31102192</v>
          </cell>
          <cell r="I1645" t="str">
            <v/>
          </cell>
          <cell r="J1645" t="str">
            <v/>
          </cell>
          <cell r="K1645" t="str">
            <v/>
          </cell>
          <cell r="L1645" t="str">
            <v/>
          </cell>
          <cell r="M1645" t="str">
            <v/>
          </cell>
        </row>
        <row r="1646">
          <cell r="A1646">
            <v>31102192</v>
          </cell>
          <cell r="C1646">
            <v>31102192</v>
          </cell>
          <cell r="D1646">
            <v>31102192</v>
          </cell>
          <cell r="E1646">
            <v>31102192</v>
          </cell>
          <cell r="F1646">
            <v>31102192</v>
          </cell>
          <cell r="G1646">
            <v>31102192</v>
          </cell>
          <cell r="H1646">
            <v>31102192</v>
          </cell>
          <cell r="I1646" t="str">
            <v/>
          </cell>
          <cell r="J1646" t="str">
            <v/>
          </cell>
          <cell r="K1646" t="str">
            <v/>
          </cell>
          <cell r="L1646" t="str">
            <v/>
          </cell>
          <cell r="M1646" t="str">
            <v/>
          </cell>
        </row>
        <row r="1647">
          <cell r="A1647">
            <v>31102192</v>
          </cell>
          <cell r="C1647">
            <v>31102192</v>
          </cell>
          <cell r="D1647">
            <v>31102192</v>
          </cell>
          <cell r="E1647">
            <v>31102192</v>
          </cell>
          <cell r="F1647">
            <v>31102192</v>
          </cell>
          <cell r="G1647">
            <v>31102192</v>
          </cell>
          <cell r="H1647">
            <v>31102192</v>
          </cell>
          <cell r="I1647" t="str">
            <v/>
          </cell>
          <cell r="J1647" t="str">
            <v/>
          </cell>
          <cell r="K1647" t="str">
            <v/>
          </cell>
          <cell r="L1647" t="str">
            <v/>
          </cell>
          <cell r="M1647" t="str">
            <v/>
          </cell>
        </row>
        <row r="1648">
          <cell r="A1648">
            <v>31102192</v>
          </cell>
          <cell r="C1648">
            <v>31102192</v>
          </cell>
          <cell r="D1648">
            <v>31102192</v>
          </cell>
          <cell r="E1648">
            <v>31102192</v>
          </cell>
          <cell r="F1648">
            <v>31102192</v>
          </cell>
          <cell r="G1648">
            <v>31102192</v>
          </cell>
          <cell r="H1648">
            <v>31102192</v>
          </cell>
          <cell r="I1648" t="str">
            <v/>
          </cell>
          <cell r="J1648" t="str">
            <v/>
          </cell>
          <cell r="K1648" t="str">
            <v/>
          </cell>
          <cell r="L1648" t="str">
            <v/>
          </cell>
          <cell r="M1648" t="str">
            <v/>
          </cell>
        </row>
        <row r="1649">
          <cell r="A1649">
            <v>31102192</v>
          </cell>
          <cell r="C1649">
            <v>31102192</v>
          </cell>
          <cell r="D1649">
            <v>31102192</v>
          </cell>
          <cell r="E1649">
            <v>31102192</v>
          </cell>
          <cell r="F1649">
            <v>31102192</v>
          </cell>
          <cell r="G1649">
            <v>31102192</v>
          </cell>
          <cell r="H1649">
            <v>31102192</v>
          </cell>
          <cell r="I1649" t="str">
            <v/>
          </cell>
          <cell r="J1649" t="str">
            <v/>
          </cell>
          <cell r="K1649" t="str">
            <v/>
          </cell>
          <cell r="L1649" t="str">
            <v/>
          </cell>
          <cell r="M1649" t="str">
            <v/>
          </cell>
        </row>
        <row r="1650">
          <cell r="A1650">
            <v>31102192</v>
          </cell>
          <cell r="C1650">
            <v>31102192</v>
          </cell>
          <cell r="D1650">
            <v>31102192</v>
          </cell>
          <cell r="E1650">
            <v>31102192</v>
          </cell>
          <cell r="F1650">
            <v>31102192</v>
          </cell>
          <cell r="G1650">
            <v>31102192</v>
          </cell>
          <cell r="H1650">
            <v>31102192</v>
          </cell>
          <cell r="I1650" t="str">
            <v/>
          </cell>
          <cell r="J1650" t="str">
            <v/>
          </cell>
          <cell r="K1650" t="str">
            <v/>
          </cell>
          <cell r="L1650" t="str">
            <v/>
          </cell>
          <cell r="M1650" t="str">
            <v/>
          </cell>
        </row>
        <row r="1651">
          <cell r="A1651">
            <v>31102192</v>
          </cell>
          <cell r="C1651">
            <v>31102192</v>
          </cell>
          <cell r="D1651">
            <v>31102192</v>
          </cell>
          <cell r="E1651">
            <v>31102192</v>
          </cell>
          <cell r="F1651">
            <v>31102192</v>
          </cell>
          <cell r="G1651">
            <v>31102192</v>
          </cell>
          <cell r="H1651">
            <v>31102192</v>
          </cell>
          <cell r="I1651" t="str">
            <v/>
          </cell>
          <cell r="J1651" t="str">
            <v/>
          </cell>
          <cell r="K1651" t="str">
            <v/>
          </cell>
          <cell r="L1651" t="str">
            <v/>
          </cell>
          <cell r="M1651" t="str">
            <v/>
          </cell>
        </row>
        <row r="1652">
          <cell r="A1652">
            <v>31102192</v>
          </cell>
          <cell r="C1652">
            <v>31102192</v>
          </cell>
          <cell r="D1652">
            <v>31102192</v>
          </cell>
          <cell r="E1652">
            <v>31102192</v>
          </cell>
          <cell r="F1652">
            <v>31102192</v>
          </cell>
          <cell r="G1652">
            <v>31102192</v>
          </cell>
          <cell r="H1652">
            <v>31102192</v>
          </cell>
          <cell r="I1652" t="str">
            <v/>
          </cell>
          <cell r="J1652" t="str">
            <v/>
          </cell>
          <cell r="K1652" t="str">
            <v/>
          </cell>
          <cell r="L1652" t="str">
            <v/>
          </cell>
          <cell r="M1652" t="str">
            <v/>
          </cell>
        </row>
        <row r="1653">
          <cell r="A1653">
            <v>31102192</v>
          </cell>
          <cell r="C1653">
            <v>31102192</v>
          </cell>
          <cell r="D1653">
            <v>31102192</v>
          </cell>
          <cell r="E1653">
            <v>31102192</v>
          </cell>
          <cell r="F1653">
            <v>31102192</v>
          </cell>
          <cell r="G1653">
            <v>31102192</v>
          </cell>
          <cell r="H1653">
            <v>31102192</v>
          </cell>
          <cell r="I1653" t="str">
            <v/>
          </cell>
          <cell r="J1653" t="str">
            <v/>
          </cell>
          <cell r="K1653" t="str">
            <v/>
          </cell>
          <cell r="L1653" t="str">
            <v/>
          </cell>
          <cell r="M1653" t="str">
            <v/>
          </cell>
        </row>
        <row r="1654">
          <cell r="A1654">
            <v>31102192</v>
          </cell>
          <cell r="C1654">
            <v>31102192</v>
          </cell>
          <cell r="D1654">
            <v>31102192</v>
          </cell>
          <cell r="E1654">
            <v>31102192</v>
          </cell>
          <cell r="F1654">
            <v>31102192</v>
          </cell>
          <cell r="G1654">
            <v>31102192</v>
          </cell>
          <cell r="H1654">
            <v>31102192</v>
          </cell>
          <cell r="I1654" t="str">
            <v/>
          </cell>
          <cell r="J1654" t="str">
            <v/>
          </cell>
          <cell r="K1654" t="str">
            <v/>
          </cell>
          <cell r="L1654" t="str">
            <v/>
          </cell>
          <cell r="M1654" t="str">
            <v/>
          </cell>
        </row>
        <row r="1655">
          <cell r="A1655">
            <v>31102192</v>
          </cell>
          <cell r="C1655">
            <v>31102192</v>
          </cell>
          <cell r="D1655">
            <v>31102192</v>
          </cell>
          <cell r="E1655">
            <v>31102192</v>
          </cell>
          <cell r="F1655">
            <v>31102192</v>
          </cell>
          <cell r="G1655">
            <v>31102192</v>
          </cell>
          <cell r="H1655">
            <v>31102192</v>
          </cell>
          <cell r="I1655" t="str">
            <v/>
          </cell>
          <cell r="J1655" t="str">
            <v/>
          </cell>
          <cell r="K1655" t="str">
            <v/>
          </cell>
          <cell r="L1655" t="str">
            <v/>
          </cell>
          <cell r="M1655" t="str">
            <v/>
          </cell>
        </row>
        <row r="1656">
          <cell r="A1656">
            <v>31102192</v>
          </cell>
          <cell r="C1656">
            <v>31102192</v>
          </cell>
          <cell r="D1656">
            <v>31102192</v>
          </cell>
          <cell r="E1656">
            <v>31102192</v>
          </cell>
          <cell r="F1656">
            <v>31102192</v>
          </cell>
          <cell r="G1656">
            <v>31102192</v>
          </cell>
          <cell r="H1656">
            <v>31102192</v>
          </cell>
          <cell r="I1656" t="str">
            <v/>
          </cell>
          <cell r="J1656" t="str">
            <v/>
          </cell>
          <cell r="K1656" t="str">
            <v/>
          </cell>
          <cell r="L1656" t="str">
            <v/>
          </cell>
          <cell r="M1656" t="str">
            <v/>
          </cell>
        </row>
        <row r="1657">
          <cell r="A1657">
            <v>31102192</v>
          </cell>
          <cell r="C1657">
            <v>31102192</v>
          </cell>
          <cell r="D1657">
            <v>31102192</v>
          </cell>
          <cell r="E1657">
            <v>31102192</v>
          </cell>
          <cell r="F1657">
            <v>31102192</v>
          </cell>
          <cell r="G1657">
            <v>31102192</v>
          </cell>
          <cell r="H1657">
            <v>31102192</v>
          </cell>
          <cell r="I1657" t="str">
            <v/>
          </cell>
          <cell r="J1657" t="str">
            <v/>
          </cell>
          <cell r="K1657" t="str">
            <v/>
          </cell>
          <cell r="L1657" t="str">
            <v/>
          </cell>
          <cell r="M1657" t="str">
            <v/>
          </cell>
        </row>
        <row r="1658">
          <cell r="A1658">
            <v>31102192</v>
          </cell>
          <cell r="C1658">
            <v>31102192</v>
          </cell>
          <cell r="D1658">
            <v>31102192</v>
          </cell>
          <cell r="E1658">
            <v>31102192</v>
          </cell>
          <cell r="F1658">
            <v>31102192</v>
          </cell>
          <cell r="G1658">
            <v>31102192</v>
          </cell>
          <cell r="H1658">
            <v>31102192</v>
          </cell>
          <cell r="I1658" t="str">
            <v/>
          </cell>
          <cell r="J1658" t="str">
            <v/>
          </cell>
          <cell r="K1658" t="str">
            <v/>
          </cell>
          <cell r="L1658" t="str">
            <v/>
          </cell>
          <cell r="M1658" t="str">
            <v/>
          </cell>
        </row>
        <row r="1659">
          <cell r="A1659">
            <v>31102192</v>
          </cell>
          <cell r="C1659">
            <v>31102192</v>
          </cell>
          <cell r="D1659">
            <v>31102192</v>
          </cell>
          <cell r="E1659">
            <v>31102192</v>
          </cell>
          <cell r="F1659">
            <v>31102192</v>
          </cell>
          <cell r="G1659">
            <v>31102192</v>
          </cell>
          <cell r="H1659">
            <v>31102192</v>
          </cell>
          <cell r="I1659" t="str">
            <v/>
          </cell>
          <cell r="J1659" t="str">
            <v/>
          </cell>
          <cell r="K1659" t="str">
            <v/>
          </cell>
          <cell r="L1659" t="str">
            <v/>
          </cell>
          <cell r="M1659" t="str">
            <v/>
          </cell>
        </row>
        <row r="1660">
          <cell r="A1660">
            <v>31102192</v>
          </cell>
          <cell r="C1660">
            <v>31102192</v>
          </cell>
          <cell r="D1660">
            <v>31102192</v>
          </cell>
          <cell r="E1660">
            <v>31102192</v>
          </cell>
          <cell r="F1660">
            <v>31102192</v>
          </cell>
          <cell r="G1660">
            <v>31102192</v>
          </cell>
          <cell r="H1660">
            <v>31102192</v>
          </cell>
          <cell r="I1660" t="str">
            <v/>
          </cell>
          <cell r="J1660" t="str">
            <v/>
          </cell>
          <cell r="K1660" t="str">
            <v/>
          </cell>
          <cell r="L1660" t="str">
            <v/>
          </cell>
          <cell r="M1660" t="str">
            <v/>
          </cell>
        </row>
        <row r="1661">
          <cell r="A1661">
            <v>31102192</v>
          </cell>
          <cell r="C1661">
            <v>31102192</v>
          </cell>
          <cell r="D1661">
            <v>31102192</v>
          </cell>
          <cell r="E1661">
            <v>31102192</v>
          </cell>
          <cell r="F1661">
            <v>31102192</v>
          </cell>
          <cell r="G1661">
            <v>31102192</v>
          </cell>
          <cell r="H1661">
            <v>31102192</v>
          </cell>
          <cell r="I1661" t="str">
            <v/>
          </cell>
          <cell r="J1661" t="str">
            <v/>
          </cell>
          <cell r="K1661" t="str">
            <v/>
          </cell>
          <cell r="L1661" t="str">
            <v/>
          </cell>
          <cell r="M1661" t="str">
            <v/>
          </cell>
        </row>
        <row r="1662">
          <cell r="A1662">
            <v>31102192</v>
          </cell>
          <cell r="C1662">
            <v>31102192</v>
          </cell>
          <cell r="D1662">
            <v>31102192</v>
          </cell>
          <cell r="E1662">
            <v>31102192</v>
          </cell>
          <cell r="F1662">
            <v>31102192</v>
          </cell>
          <cell r="G1662">
            <v>31102192</v>
          </cell>
          <cell r="H1662">
            <v>31102192</v>
          </cell>
          <cell r="I1662" t="str">
            <v/>
          </cell>
          <cell r="J1662" t="str">
            <v/>
          </cell>
          <cell r="K1662" t="str">
            <v/>
          </cell>
          <cell r="L1662" t="str">
            <v/>
          </cell>
          <cell r="M1662" t="str">
            <v/>
          </cell>
        </row>
        <row r="1663">
          <cell r="A1663">
            <v>31102192</v>
          </cell>
          <cell r="C1663">
            <v>31102192</v>
          </cell>
          <cell r="D1663">
            <v>31102192</v>
          </cell>
          <cell r="E1663">
            <v>31102192</v>
          </cell>
          <cell r="F1663">
            <v>31102192</v>
          </cell>
          <cell r="G1663">
            <v>31102192</v>
          </cell>
          <cell r="H1663">
            <v>31102192</v>
          </cell>
          <cell r="I1663" t="str">
            <v/>
          </cell>
          <cell r="J1663" t="str">
            <v/>
          </cell>
          <cell r="K1663" t="str">
            <v/>
          </cell>
          <cell r="L1663" t="str">
            <v/>
          </cell>
          <cell r="M1663" t="str">
            <v/>
          </cell>
        </row>
        <row r="1664">
          <cell r="A1664">
            <v>31102192</v>
          </cell>
          <cell r="C1664">
            <v>31102192</v>
          </cell>
          <cell r="D1664">
            <v>31102192</v>
          </cell>
          <cell r="E1664">
            <v>31102192</v>
          </cell>
          <cell r="F1664">
            <v>31102192</v>
          </cell>
          <cell r="G1664">
            <v>31102192</v>
          </cell>
          <cell r="H1664">
            <v>31102192</v>
          </cell>
          <cell r="I1664" t="str">
            <v/>
          </cell>
          <cell r="J1664" t="str">
            <v/>
          </cell>
          <cell r="K1664" t="str">
            <v/>
          </cell>
          <cell r="L1664" t="str">
            <v/>
          </cell>
          <cell r="M1664" t="str">
            <v/>
          </cell>
        </row>
        <row r="1665">
          <cell r="A1665">
            <v>31102192</v>
          </cell>
          <cell r="C1665">
            <v>31102192</v>
          </cell>
          <cell r="D1665">
            <v>31102192</v>
          </cell>
          <cell r="E1665">
            <v>31102192</v>
          </cell>
          <cell r="F1665">
            <v>31102192</v>
          </cell>
          <cell r="G1665">
            <v>31102192</v>
          </cell>
          <cell r="H1665">
            <v>31102192</v>
          </cell>
          <cell r="I1665" t="str">
            <v/>
          </cell>
          <cell r="J1665" t="str">
            <v/>
          </cell>
          <cell r="K1665" t="str">
            <v/>
          </cell>
          <cell r="L1665" t="str">
            <v/>
          </cell>
          <cell r="M1665" t="str">
            <v/>
          </cell>
        </row>
        <row r="1666">
          <cell r="A1666">
            <v>31102192</v>
          </cell>
          <cell r="C1666">
            <v>31102192</v>
          </cell>
          <cell r="D1666">
            <v>31102192</v>
          </cell>
          <cell r="E1666">
            <v>31102192</v>
          </cell>
          <cell r="F1666">
            <v>31102192</v>
          </cell>
          <cell r="G1666">
            <v>31102192</v>
          </cell>
          <cell r="H1666">
            <v>31102192</v>
          </cell>
          <cell r="I1666" t="str">
            <v/>
          </cell>
          <cell r="J1666" t="str">
            <v/>
          </cell>
          <cell r="K1666" t="str">
            <v/>
          </cell>
          <cell r="L1666" t="str">
            <v/>
          </cell>
          <cell r="M1666" t="str">
            <v/>
          </cell>
        </row>
        <row r="1667">
          <cell r="A1667">
            <v>31102192</v>
          </cell>
          <cell r="C1667">
            <v>31102192</v>
          </cell>
          <cell r="D1667">
            <v>31102192</v>
          </cell>
          <cell r="E1667">
            <v>31102192</v>
          </cell>
          <cell r="F1667">
            <v>31102192</v>
          </cell>
          <cell r="G1667">
            <v>31102192</v>
          </cell>
          <cell r="H1667">
            <v>31102192</v>
          </cell>
          <cell r="I1667" t="str">
            <v/>
          </cell>
          <cell r="J1667" t="str">
            <v/>
          </cell>
          <cell r="K1667" t="str">
            <v/>
          </cell>
          <cell r="L1667" t="str">
            <v/>
          </cell>
          <cell r="M1667" t="str">
            <v/>
          </cell>
        </row>
        <row r="1668">
          <cell r="A1668">
            <v>31102192</v>
          </cell>
          <cell r="C1668">
            <v>31102192</v>
          </cell>
          <cell r="D1668">
            <v>31102192</v>
          </cell>
          <cell r="E1668">
            <v>31102192</v>
          </cell>
          <cell r="F1668">
            <v>31102192</v>
          </cell>
          <cell r="G1668">
            <v>31102192</v>
          </cell>
          <cell r="H1668">
            <v>31102192</v>
          </cell>
          <cell r="I1668" t="str">
            <v/>
          </cell>
          <cell r="J1668" t="str">
            <v/>
          </cell>
          <cell r="K1668" t="str">
            <v/>
          </cell>
          <cell r="L1668" t="str">
            <v/>
          </cell>
          <cell r="M1668" t="str">
            <v/>
          </cell>
        </row>
        <row r="1669">
          <cell r="A1669">
            <v>31102192</v>
          </cell>
          <cell r="C1669">
            <v>31102192</v>
          </cell>
          <cell r="D1669">
            <v>31102192</v>
          </cell>
          <cell r="E1669">
            <v>31102192</v>
          </cell>
          <cell r="F1669">
            <v>31102192</v>
          </cell>
          <cell r="G1669">
            <v>31102192</v>
          </cell>
          <cell r="H1669">
            <v>31102192</v>
          </cell>
          <cell r="I1669" t="str">
            <v/>
          </cell>
          <cell r="J1669" t="str">
            <v/>
          </cell>
          <cell r="K1669" t="str">
            <v/>
          </cell>
          <cell r="L1669" t="str">
            <v/>
          </cell>
          <cell r="M1669" t="str">
            <v/>
          </cell>
        </row>
        <row r="1670">
          <cell r="A1670">
            <v>31102192</v>
          </cell>
          <cell r="C1670">
            <v>31102192</v>
          </cell>
          <cell r="D1670">
            <v>31102192</v>
          </cell>
          <cell r="E1670">
            <v>31102192</v>
          </cell>
          <cell r="F1670">
            <v>31102192</v>
          </cell>
          <cell r="G1670">
            <v>31102192</v>
          </cell>
          <cell r="H1670">
            <v>31102192</v>
          </cell>
          <cell r="I1670" t="str">
            <v/>
          </cell>
          <cell r="J1670" t="str">
            <v/>
          </cell>
          <cell r="K1670" t="str">
            <v/>
          </cell>
          <cell r="L1670" t="str">
            <v/>
          </cell>
          <cell r="M1670" t="str">
            <v/>
          </cell>
        </row>
        <row r="1671">
          <cell r="A1671">
            <v>31102192</v>
          </cell>
          <cell r="C1671">
            <v>31102192</v>
          </cell>
          <cell r="D1671">
            <v>31102192</v>
          </cell>
          <cell r="E1671">
            <v>31102192</v>
          </cell>
          <cell r="F1671">
            <v>31102192</v>
          </cell>
          <cell r="G1671">
            <v>31102192</v>
          </cell>
          <cell r="H1671">
            <v>31102192</v>
          </cell>
          <cell r="I1671" t="str">
            <v/>
          </cell>
          <cell r="J1671" t="str">
            <v/>
          </cell>
          <cell r="K1671" t="str">
            <v/>
          </cell>
          <cell r="L1671" t="str">
            <v/>
          </cell>
          <cell r="M1671" t="str">
            <v/>
          </cell>
        </row>
        <row r="1672">
          <cell r="A1672">
            <v>31102192</v>
          </cell>
          <cell r="C1672">
            <v>31102192</v>
          </cell>
          <cell r="D1672">
            <v>31102192</v>
          </cell>
          <cell r="E1672">
            <v>31102192</v>
          </cell>
          <cell r="F1672">
            <v>31102192</v>
          </cell>
          <cell r="G1672">
            <v>31102192</v>
          </cell>
          <cell r="H1672">
            <v>31102192</v>
          </cell>
          <cell r="I1672" t="str">
            <v/>
          </cell>
          <cell r="J1672" t="str">
            <v/>
          </cell>
          <cell r="K1672" t="str">
            <v/>
          </cell>
          <cell r="L1672" t="str">
            <v/>
          </cell>
          <cell r="M1672" t="str">
            <v/>
          </cell>
        </row>
        <row r="1673">
          <cell r="A1673">
            <v>31102192</v>
          </cell>
          <cell r="C1673">
            <v>31102192</v>
          </cell>
          <cell r="D1673">
            <v>31102192</v>
          </cell>
          <cell r="E1673">
            <v>31102192</v>
          </cell>
          <cell r="F1673">
            <v>31102192</v>
          </cell>
          <cell r="G1673">
            <v>31102192</v>
          </cell>
          <cell r="H1673">
            <v>31102192</v>
          </cell>
          <cell r="I1673" t="str">
            <v/>
          </cell>
          <cell r="J1673" t="str">
            <v/>
          </cell>
          <cell r="K1673" t="str">
            <v/>
          </cell>
          <cell r="L1673" t="str">
            <v/>
          </cell>
          <cell r="M1673" t="str">
            <v/>
          </cell>
        </row>
        <row r="1674">
          <cell r="A1674">
            <v>31102192</v>
          </cell>
          <cell r="C1674">
            <v>31102192</v>
          </cell>
          <cell r="D1674">
            <v>31102192</v>
          </cell>
          <cell r="E1674">
            <v>31102192</v>
          </cell>
          <cell r="F1674">
            <v>31102192</v>
          </cell>
          <cell r="G1674">
            <v>31102192</v>
          </cell>
          <cell r="H1674">
            <v>31102192</v>
          </cell>
          <cell r="I1674" t="str">
            <v/>
          </cell>
          <cell r="J1674" t="str">
            <v/>
          </cell>
          <cell r="K1674" t="str">
            <v/>
          </cell>
          <cell r="L1674" t="str">
            <v/>
          </cell>
          <cell r="M1674" t="str">
            <v/>
          </cell>
        </row>
        <row r="1675">
          <cell r="A1675">
            <v>31102192</v>
          </cell>
          <cell r="C1675">
            <v>31102192</v>
          </cell>
          <cell r="D1675">
            <v>31102192</v>
          </cell>
          <cell r="E1675">
            <v>31102192</v>
          </cell>
          <cell r="F1675">
            <v>31102192</v>
          </cell>
          <cell r="G1675">
            <v>31102192</v>
          </cell>
          <cell r="H1675">
            <v>31102192</v>
          </cell>
          <cell r="I1675" t="str">
            <v/>
          </cell>
          <cell r="J1675" t="str">
            <v/>
          </cell>
          <cell r="K1675" t="str">
            <v/>
          </cell>
          <cell r="L1675" t="str">
            <v/>
          </cell>
          <cell r="M1675" t="str">
            <v/>
          </cell>
        </row>
        <row r="1676">
          <cell r="A1676">
            <v>31102192</v>
          </cell>
          <cell r="C1676">
            <v>31102192</v>
          </cell>
          <cell r="D1676">
            <v>31102192</v>
          </cell>
          <cell r="E1676">
            <v>31102192</v>
          </cell>
          <cell r="F1676">
            <v>31102192</v>
          </cell>
          <cell r="G1676">
            <v>31102192</v>
          </cell>
          <cell r="H1676">
            <v>31102192</v>
          </cell>
          <cell r="I1676" t="str">
            <v/>
          </cell>
          <cell r="J1676" t="str">
            <v/>
          </cell>
          <cell r="K1676" t="str">
            <v/>
          </cell>
          <cell r="L1676" t="str">
            <v/>
          </cell>
          <cell r="M1676" t="str">
            <v/>
          </cell>
        </row>
        <row r="1677">
          <cell r="A1677">
            <v>31102192</v>
          </cell>
          <cell r="C1677">
            <v>31102192</v>
          </cell>
          <cell r="D1677">
            <v>31102192</v>
          </cell>
          <cell r="E1677">
            <v>31102192</v>
          </cell>
          <cell r="F1677">
            <v>31102192</v>
          </cell>
          <cell r="G1677">
            <v>31102192</v>
          </cell>
          <cell r="H1677">
            <v>31102192</v>
          </cell>
          <cell r="I1677" t="str">
            <v/>
          </cell>
          <cell r="J1677" t="str">
            <v/>
          </cell>
          <cell r="K1677" t="str">
            <v/>
          </cell>
          <cell r="L1677" t="str">
            <v/>
          </cell>
          <cell r="M1677" t="str">
            <v/>
          </cell>
        </row>
        <row r="1678">
          <cell r="A1678">
            <v>31102192</v>
          </cell>
          <cell r="C1678">
            <v>31102192</v>
          </cell>
          <cell r="D1678">
            <v>31102192</v>
          </cell>
          <cell r="E1678">
            <v>31102192</v>
          </cell>
          <cell r="F1678">
            <v>31102192</v>
          </cell>
          <cell r="G1678">
            <v>31102192</v>
          </cell>
          <cell r="H1678">
            <v>31102192</v>
          </cell>
          <cell r="I1678" t="str">
            <v/>
          </cell>
          <cell r="J1678" t="str">
            <v/>
          </cell>
          <cell r="K1678" t="str">
            <v/>
          </cell>
          <cell r="L1678" t="str">
            <v/>
          </cell>
          <cell r="M1678" t="str">
            <v/>
          </cell>
        </row>
        <row r="1679">
          <cell r="A1679">
            <v>31102192</v>
          </cell>
          <cell r="C1679">
            <v>31102192</v>
          </cell>
          <cell r="D1679">
            <v>31102192</v>
          </cell>
          <cell r="E1679">
            <v>31102192</v>
          </cell>
          <cell r="F1679">
            <v>31102192</v>
          </cell>
          <cell r="G1679">
            <v>31102192</v>
          </cell>
          <cell r="H1679">
            <v>31102192</v>
          </cell>
          <cell r="I1679" t="str">
            <v/>
          </cell>
          <cell r="J1679" t="str">
            <v/>
          </cell>
          <cell r="K1679" t="str">
            <v/>
          </cell>
          <cell r="L1679" t="str">
            <v/>
          </cell>
          <cell r="M1679" t="str">
            <v/>
          </cell>
        </row>
        <row r="1680">
          <cell r="A1680">
            <v>31102192</v>
          </cell>
          <cell r="C1680">
            <v>31102192</v>
          </cell>
          <cell r="D1680">
            <v>31102192</v>
          </cell>
          <cell r="E1680">
            <v>31102192</v>
          </cell>
          <cell r="F1680">
            <v>31102192</v>
          </cell>
          <cell r="G1680">
            <v>31102192</v>
          </cell>
          <cell r="H1680">
            <v>31102192</v>
          </cell>
          <cell r="I1680" t="str">
            <v/>
          </cell>
          <cell r="J1680" t="str">
            <v/>
          </cell>
          <cell r="K1680" t="str">
            <v/>
          </cell>
          <cell r="L1680" t="str">
            <v/>
          </cell>
          <cell r="M1680" t="str">
            <v/>
          </cell>
        </row>
        <row r="1681">
          <cell r="A1681">
            <v>31102192</v>
          </cell>
          <cell r="C1681">
            <v>31102192</v>
          </cell>
          <cell r="D1681">
            <v>31102192</v>
          </cell>
          <cell r="E1681">
            <v>31102192</v>
          </cell>
          <cell r="F1681">
            <v>31102192</v>
          </cell>
          <cell r="G1681">
            <v>31102192</v>
          </cell>
          <cell r="H1681">
            <v>31102192</v>
          </cell>
          <cell r="I1681" t="str">
            <v/>
          </cell>
          <cell r="J1681" t="str">
            <v/>
          </cell>
          <cell r="K1681" t="str">
            <v/>
          </cell>
          <cell r="L1681" t="str">
            <v/>
          </cell>
          <cell r="M1681" t="str">
            <v/>
          </cell>
        </row>
        <row r="1682">
          <cell r="A1682">
            <v>31102192</v>
          </cell>
          <cell r="C1682">
            <v>31102192</v>
          </cell>
          <cell r="D1682">
            <v>31102192</v>
          </cell>
          <cell r="E1682">
            <v>31102192</v>
          </cell>
          <cell r="F1682">
            <v>31102192</v>
          </cell>
          <cell r="G1682">
            <v>31102192</v>
          </cell>
          <cell r="H1682">
            <v>31102192</v>
          </cell>
          <cell r="I1682" t="str">
            <v/>
          </cell>
          <cell r="J1682" t="str">
            <v/>
          </cell>
          <cell r="K1682" t="str">
            <v/>
          </cell>
          <cell r="L1682" t="str">
            <v/>
          </cell>
          <cell r="M1682" t="str">
            <v/>
          </cell>
        </row>
        <row r="1683">
          <cell r="A1683">
            <v>31102192</v>
          </cell>
          <cell r="C1683">
            <v>31102192</v>
          </cell>
          <cell r="D1683">
            <v>31102192</v>
          </cell>
          <cell r="E1683">
            <v>31102192</v>
          </cell>
          <cell r="F1683">
            <v>31102192</v>
          </cell>
          <cell r="G1683">
            <v>31102192</v>
          </cell>
          <cell r="H1683">
            <v>31102192</v>
          </cell>
          <cell r="I1683" t="str">
            <v/>
          </cell>
          <cell r="J1683" t="str">
            <v/>
          </cell>
          <cell r="K1683" t="str">
            <v/>
          </cell>
          <cell r="L1683" t="str">
            <v/>
          </cell>
          <cell r="M1683" t="str">
            <v/>
          </cell>
        </row>
        <row r="1684">
          <cell r="A1684">
            <v>31102192</v>
          </cell>
          <cell r="C1684">
            <v>31102192</v>
          </cell>
          <cell r="D1684">
            <v>31102192</v>
          </cell>
          <cell r="E1684">
            <v>31102192</v>
          </cell>
          <cell r="F1684">
            <v>31102192</v>
          </cell>
          <cell r="G1684">
            <v>31102192</v>
          </cell>
          <cell r="H1684">
            <v>31102192</v>
          </cell>
          <cell r="I1684" t="str">
            <v/>
          </cell>
          <cell r="J1684" t="str">
            <v/>
          </cell>
          <cell r="K1684" t="str">
            <v/>
          </cell>
          <cell r="L1684" t="str">
            <v/>
          </cell>
          <cell r="M1684" t="str">
            <v/>
          </cell>
        </row>
        <row r="1685">
          <cell r="A1685">
            <v>31102192</v>
          </cell>
          <cell r="C1685">
            <v>31102192</v>
          </cell>
          <cell r="D1685">
            <v>31102192</v>
          </cell>
          <cell r="E1685">
            <v>31102192</v>
          </cell>
          <cell r="F1685">
            <v>31102192</v>
          </cell>
          <cell r="G1685">
            <v>31102192</v>
          </cell>
          <cell r="H1685">
            <v>31102192</v>
          </cell>
          <cell r="I1685" t="str">
            <v/>
          </cell>
          <cell r="J1685" t="str">
            <v/>
          </cell>
          <cell r="K1685" t="str">
            <v/>
          </cell>
          <cell r="L1685" t="str">
            <v/>
          </cell>
          <cell r="M1685" t="str">
            <v/>
          </cell>
        </row>
        <row r="1686">
          <cell r="A1686">
            <v>31102192</v>
          </cell>
          <cell r="C1686">
            <v>31102192</v>
          </cell>
          <cell r="D1686">
            <v>31102192</v>
          </cell>
          <cell r="E1686">
            <v>31102192</v>
          </cell>
          <cell r="F1686">
            <v>31102192</v>
          </cell>
          <cell r="G1686">
            <v>31102192</v>
          </cell>
          <cell r="H1686">
            <v>31102192</v>
          </cell>
          <cell r="I1686" t="str">
            <v/>
          </cell>
          <cell r="J1686" t="str">
            <v/>
          </cell>
          <cell r="K1686" t="str">
            <v/>
          </cell>
          <cell r="L1686" t="str">
            <v/>
          </cell>
          <cell r="M1686" t="str">
            <v/>
          </cell>
        </row>
        <row r="1687">
          <cell r="A1687">
            <v>31102192</v>
          </cell>
          <cell r="C1687">
            <v>31102192</v>
          </cell>
          <cell r="D1687">
            <v>31102192</v>
          </cell>
          <cell r="E1687">
            <v>31102192</v>
          </cell>
          <cell r="F1687">
            <v>31102192</v>
          </cell>
          <cell r="G1687">
            <v>31102192</v>
          </cell>
          <cell r="H1687">
            <v>31102192</v>
          </cell>
          <cell r="I1687" t="str">
            <v/>
          </cell>
          <cell r="J1687" t="str">
            <v/>
          </cell>
          <cell r="K1687" t="str">
            <v/>
          </cell>
          <cell r="L1687" t="str">
            <v/>
          </cell>
          <cell r="M1687" t="str">
            <v/>
          </cell>
        </row>
        <row r="1688">
          <cell r="A1688">
            <v>31102192</v>
          </cell>
          <cell r="C1688">
            <v>31102192</v>
          </cell>
          <cell r="D1688">
            <v>31102192</v>
          </cell>
          <cell r="E1688">
            <v>31102192</v>
          </cell>
          <cell r="F1688">
            <v>31102192</v>
          </cell>
          <cell r="G1688">
            <v>31102192</v>
          </cell>
          <cell r="H1688">
            <v>31102192</v>
          </cell>
          <cell r="I1688" t="str">
            <v/>
          </cell>
          <cell r="J1688" t="str">
            <v/>
          </cell>
          <cell r="K1688" t="str">
            <v/>
          </cell>
          <cell r="L1688" t="str">
            <v/>
          </cell>
          <cell r="M1688" t="str">
            <v/>
          </cell>
        </row>
        <row r="1689">
          <cell r="A1689">
            <v>31102192</v>
          </cell>
          <cell r="C1689">
            <v>31102192</v>
          </cell>
          <cell r="D1689">
            <v>31102192</v>
          </cell>
          <cell r="E1689">
            <v>31102192</v>
          </cell>
          <cell r="F1689">
            <v>31102192</v>
          </cell>
          <cell r="G1689">
            <v>31102192</v>
          </cell>
          <cell r="H1689">
            <v>31102192</v>
          </cell>
          <cell r="I1689" t="str">
            <v/>
          </cell>
          <cell r="J1689" t="str">
            <v/>
          </cell>
          <cell r="K1689" t="str">
            <v/>
          </cell>
          <cell r="L1689" t="str">
            <v/>
          </cell>
          <cell r="M1689" t="str">
            <v/>
          </cell>
        </row>
        <row r="1690">
          <cell r="A1690">
            <v>31102192</v>
          </cell>
          <cell r="C1690">
            <v>31102192</v>
          </cell>
          <cell r="D1690">
            <v>31102192</v>
          </cell>
          <cell r="E1690">
            <v>31102192</v>
          </cell>
          <cell r="F1690">
            <v>31102192</v>
          </cell>
          <cell r="G1690">
            <v>31102192</v>
          </cell>
          <cell r="H1690">
            <v>31102192</v>
          </cell>
          <cell r="I1690" t="str">
            <v/>
          </cell>
          <cell r="J1690" t="str">
            <v/>
          </cell>
          <cell r="K1690" t="str">
            <v/>
          </cell>
          <cell r="L1690" t="str">
            <v/>
          </cell>
          <cell r="M1690" t="str">
            <v/>
          </cell>
        </row>
        <row r="1691">
          <cell r="A1691">
            <v>31102192</v>
          </cell>
          <cell r="C1691">
            <v>31102192</v>
          </cell>
          <cell r="D1691">
            <v>31102192</v>
          </cell>
          <cell r="E1691">
            <v>31102192</v>
          </cell>
          <cell r="F1691">
            <v>31102192</v>
          </cell>
          <cell r="G1691">
            <v>31102192</v>
          </cell>
          <cell r="H1691">
            <v>31102192</v>
          </cell>
          <cell r="I1691" t="str">
            <v/>
          </cell>
          <cell r="J1691" t="str">
            <v/>
          </cell>
          <cell r="K1691" t="str">
            <v/>
          </cell>
          <cell r="L1691" t="str">
            <v/>
          </cell>
          <cell r="M1691" t="str">
            <v/>
          </cell>
        </row>
        <row r="1692">
          <cell r="A1692">
            <v>31102192</v>
          </cell>
          <cell r="C1692">
            <v>31102192</v>
          </cell>
          <cell r="D1692">
            <v>31102192</v>
          </cell>
          <cell r="E1692">
            <v>31102192</v>
          </cell>
          <cell r="F1692">
            <v>31102192</v>
          </cell>
          <cell r="G1692">
            <v>31102192</v>
          </cell>
          <cell r="H1692">
            <v>31102192</v>
          </cell>
          <cell r="I1692" t="str">
            <v/>
          </cell>
          <cell r="J1692" t="str">
            <v/>
          </cell>
          <cell r="K1692" t="str">
            <v/>
          </cell>
          <cell r="L1692" t="str">
            <v/>
          </cell>
          <cell r="M1692" t="str">
            <v/>
          </cell>
        </row>
        <row r="1693">
          <cell r="A1693">
            <v>31102192</v>
          </cell>
          <cell r="C1693">
            <v>31102192</v>
          </cell>
          <cell r="D1693">
            <v>31102192</v>
          </cell>
          <cell r="E1693">
            <v>31102192</v>
          </cell>
          <cell r="F1693">
            <v>31102192</v>
          </cell>
          <cell r="G1693">
            <v>31102192</v>
          </cell>
          <cell r="H1693">
            <v>31102192</v>
          </cell>
          <cell r="I1693" t="str">
            <v/>
          </cell>
          <cell r="J1693" t="str">
            <v/>
          </cell>
          <cell r="K1693" t="str">
            <v/>
          </cell>
          <cell r="L1693" t="str">
            <v/>
          </cell>
          <cell r="M1693" t="str">
            <v/>
          </cell>
        </row>
        <row r="1694">
          <cell r="A1694">
            <v>31102192</v>
          </cell>
          <cell r="C1694">
            <v>31102192</v>
          </cell>
          <cell r="D1694">
            <v>31102192</v>
          </cell>
          <cell r="E1694">
            <v>31102192</v>
          </cell>
          <cell r="F1694">
            <v>31102192</v>
          </cell>
          <cell r="G1694">
            <v>31102192</v>
          </cell>
          <cell r="H1694">
            <v>31102192</v>
          </cell>
          <cell r="I1694" t="str">
            <v/>
          </cell>
          <cell r="J1694" t="str">
            <v/>
          </cell>
          <cell r="K1694" t="str">
            <v/>
          </cell>
          <cell r="L1694" t="str">
            <v/>
          </cell>
          <cell r="M1694" t="str">
            <v/>
          </cell>
        </row>
        <row r="1695">
          <cell r="A1695">
            <v>31102192</v>
          </cell>
          <cell r="C1695">
            <v>31102192</v>
          </cell>
          <cell r="D1695">
            <v>31102192</v>
          </cell>
          <cell r="E1695">
            <v>31102192</v>
          </cell>
          <cell r="F1695">
            <v>31102192</v>
          </cell>
          <cell r="G1695">
            <v>31102192</v>
          </cell>
          <cell r="H1695">
            <v>31102192</v>
          </cell>
          <cell r="I1695" t="str">
            <v/>
          </cell>
          <cell r="J1695" t="str">
            <v/>
          </cell>
          <cell r="K1695" t="str">
            <v/>
          </cell>
          <cell r="L1695" t="str">
            <v/>
          </cell>
          <cell r="M1695" t="str">
            <v/>
          </cell>
        </row>
        <row r="1696">
          <cell r="A1696">
            <v>31102192</v>
          </cell>
          <cell r="C1696">
            <v>31102192</v>
          </cell>
          <cell r="D1696">
            <v>31102192</v>
          </cell>
          <cell r="E1696">
            <v>31102192</v>
          </cell>
          <cell r="F1696">
            <v>31102192</v>
          </cell>
          <cell r="G1696">
            <v>31102192</v>
          </cell>
          <cell r="H1696">
            <v>31102192</v>
          </cell>
          <cell r="I1696" t="str">
            <v/>
          </cell>
          <cell r="J1696" t="str">
            <v/>
          </cell>
          <cell r="K1696" t="str">
            <v/>
          </cell>
          <cell r="L1696" t="str">
            <v/>
          </cell>
          <cell r="M1696" t="str">
            <v/>
          </cell>
        </row>
        <row r="1697">
          <cell r="A1697">
            <v>31102192</v>
          </cell>
          <cell r="C1697">
            <v>31102192</v>
          </cell>
          <cell r="D1697">
            <v>31102192</v>
          </cell>
          <cell r="E1697">
            <v>31102192</v>
          </cell>
          <cell r="F1697">
            <v>31102192</v>
          </cell>
          <cell r="G1697">
            <v>31102192</v>
          </cell>
          <cell r="H1697">
            <v>31102192</v>
          </cell>
          <cell r="I1697" t="str">
            <v/>
          </cell>
          <cell r="J1697" t="str">
            <v/>
          </cell>
          <cell r="K1697" t="str">
            <v/>
          </cell>
          <cell r="L1697" t="str">
            <v/>
          </cell>
          <cell r="M1697" t="str">
            <v/>
          </cell>
        </row>
        <row r="1698">
          <cell r="A1698">
            <v>31102192</v>
          </cell>
          <cell r="C1698">
            <v>31102192</v>
          </cell>
          <cell r="D1698">
            <v>31102192</v>
          </cell>
          <cell r="E1698">
            <v>31102192</v>
          </cell>
          <cell r="F1698">
            <v>31102192</v>
          </cell>
          <cell r="G1698">
            <v>31102192</v>
          </cell>
          <cell r="H1698">
            <v>31102192</v>
          </cell>
          <cell r="I1698" t="str">
            <v/>
          </cell>
          <cell r="J1698" t="str">
            <v/>
          </cell>
          <cell r="K1698" t="str">
            <v/>
          </cell>
          <cell r="L1698" t="str">
            <v/>
          </cell>
          <cell r="M1698" t="str">
            <v/>
          </cell>
        </row>
        <row r="1699">
          <cell r="A1699">
            <v>31102192</v>
          </cell>
          <cell r="C1699">
            <v>31102192</v>
          </cell>
          <cell r="D1699">
            <v>31102192</v>
          </cell>
          <cell r="E1699">
            <v>31102192</v>
          </cell>
          <cell r="F1699">
            <v>31102192</v>
          </cell>
          <cell r="G1699">
            <v>31102192</v>
          </cell>
          <cell r="H1699">
            <v>31102192</v>
          </cell>
          <cell r="I1699" t="str">
            <v/>
          </cell>
          <cell r="J1699" t="str">
            <v/>
          </cell>
          <cell r="K1699" t="str">
            <v/>
          </cell>
          <cell r="L1699" t="str">
            <v/>
          </cell>
          <cell r="M1699" t="str">
            <v/>
          </cell>
        </row>
        <row r="1700">
          <cell r="A1700">
            <v>31102192</v>
          </cell>
          <cell r="C1700">
            <v>31102192</v>
          </cell>
          <cell r="D1700">
            <v>31102192</v>
          </cell>
          <cell r="E1700">
            <v>31102192</v>
          </cell>
          <cell r="F1700">
            <v>31102192</v>
          </cell>
          <cell r="G1700">
            <v>31102192</v>
          </cell>
          <cell r="H1700">
            <v>31102192</v>
          </cell>
          <cell r="I1700" t="str">
            <v/>
          </cell>
          <cell r="J1700" t="str">
            <v/>
          </cell>
          <cell r="K1700" t="str">
            <v/>
          </cell>
          <cell r="L1700" t="str">
            <v/>
          </cell>
          <cell r="M1700" t="str">
            <v/>
          </cell>
        </row>
        <row r="1701">
          <cell r="A1701">
            <v>31102192</v>
          </cell>
          <cell r="C1701">
            <v>31102192</v>
          </cell>
          <cell r="D1701">
            <v>31102192</v>
          </cell>
          <cell r="E1701">
            <v>31102192</v>
          </cell>
          <cell r="F1701">
            <v>31102192</v>
          </cell>
          <cell r="G1701">
            <v>31102192</v>
          </cell>
          <cell r="H1701">
            <v>31102192</v>
          </cell>
          <cell r="I1701" t="str">
            <v/>
          </cell>
          <cell r="J1701" t="str">
            <v/>
          </cell>
          <cell r="K1701" t="str">
            <v/>
          </cell>
          <cell r="L1701" t="str">
            <v/>
          </cell>
          <cell r="M1701" t="str">
            <v/>
          </cell>
        </row>
        <row r="1702">
          <cell r="A1702">
            <v>31102192</v>
          </cell>
          <cell r="C1702">
            <v>31102192</v>
          </cell>
          <cell r="D1702">
            <v>31102192</v>
          </cell>
          <cell r="E1702">
            <v>31102192</v>
          </cell>
          <cell r="F1702">
            <v>31102192</v>
          </cell>
          <cell r="G1702">
            <v>31102192</v>
          </cell>
          <cell r="H1702">
            <v>31102192</v>
          </cell>
          <cell r="I1702" t="str">
            <v/>
          </cell>
          <cell r="J1702" t="str">
            <v/>
          </cell>
          <cell r="K1702" t="str">
            <v/>
          </cell>
          <cell r="L1702" t="str">
            <v/>
          </cell>
          <cell r="M1702" t="str">
            <v/>
          </cell>
        </row>
        <row r="1703">
          <cell r="A1703">
            <v>31102192</v>
          </cell>
          <cell r="C1703">
            <v>31102192</v>
          </cell>
          <cell r="D1703">
            <v>31102192</v>
          </cell>
          <cell r="E1703">
            <v>31102192</v>
          </cell>
          <cell r="F1703">
            <v>31102192</v>
          </cell>
          <cell r="G1703">
            <v>31102192</v>
          </cell>
          <cell r="H1703">
            <v>31102192</v>
          </cell>
          <cell r="I1703" t="str">
            <v/>
          </cell>
          <cell r="J1703" t="str">
            <v/>
          </cell>
          <cell r="K1703" t="str">
            <v/>
          </cell>
          <cell r="L1703" t="str">
            <v/>
          </cell>
          <cell r="M1703" t="str">
            <v/>
          </cell>
        </row>
        <row r="1704">
          <cell r="A1704">
            <v>31102192</v>
          </cell>
          <cell r="C1704">
            <v>31102192</v>
          </cell>
          <cell r="D1704">
            <v>31102192</v>
          </cell>
          <cell r="E1704">
            <v>31102192</v>
          </cell>
          <cell r="F1704">
            <v>31102192</v>
          </cell>
          <cell r="G1704">
            <v>31102192</v>
          </cell>
          <cell r="H1704">
            <v>31102192</v>
          </cell>
          <cell r="I1704" t="str">
            <v/>
          </cell>
          <cell r="J1704" t="str">
            <v/>
          </cell>
          <cell r="K1704" t="str">
            <v/>
          </cell>
          <cell r="L1704" t="str">
            <v/>
          </cell>
          <cell r="M1704" t="str">
            <v/>
          </cell>
        </row>
        <row r="1705">
          <cell r="A1705">
            <v>31102192</v>
          </cell>
          <cell r="C1705">
            <v>31102192</v>
          </cell>
          <cell r="D1705">
            <v>31102192</v>
          </cell>
          <cell r="E1705">
            <v>31102192</v>
          </cell>
          <cell r="F1705">
            <v>31102192</v>
          </cell>
          <cell r="G1705">
            <v>31102192</v>
          </cell>
          <cell r="H1705">
            <v>31102192</v>
          </cell>
          <cell r="I1705" t="str">
            <v/>
          </cell>
          <cell r="J1705" t="str">
            <v/>
          </cell>
          <cell r="K1705" t="str">
            <v/>
          </cell>
          <cell r="L1705" t="str">
            <v/>
          </cell>
          <cell r="M1705" t="str">
            <v/>
          </cell>
        </row>
        <row r="1706">
          <cell r="A1706">
            <v>31102192</v>
          </cell>
          <cell r="C1706">
            <v>31102192</v>
          </cell>
          <cell r="D1706">
            <v>31102192</v>
          </cell>
          <cell r="E1706">
            <v>31102192</v>
          </cell>
          <cell r="F1706">
            <v>31102192</v>
          </cell>
          <cell r="G1706">
            <v>31102192</v>
          </cell>
          <cell r="H1706">
            <v>31102192</v>
          </cell>
          <cell r="I1706" t="str">
            <v/>
          </cell>
          <cell r="J1706" t="str">
            <v/>
          </cell>
          <cell r="K1706" t="str">
            <v/>
          </cell>
          <cell r="L1706" t="str">
            <v/>
          </cell>
          <cell r="M1706" t="str">
            <v/>
          </cell>
        </row>
        <row r="1707">
          <cell r="A1707">
            <v>31102192</v>
          </cell>
          <cell r="C1707">
            <v>31102192</v>
          </cell>
          <cell r="D1707">
            <v>31102192</v>
          </cell>
          <cell r="E1707">
            <v>31102192</v>
          </cell>
          <cell r="F1707">
            <v>31102192</v>
          </cell>
          <cell r="G1707">
            <v>31102192</v>
          </cell>
          <cell r="H1707">
            <v>31102192</v>
          </cell>
          <cell r="I1707" t="str">
            <v/>
          </cell>
          <cell r="J1707" t="str">
            <v/>
          </cell>
          <cell r="K1707" t="str">
            <v/>
          </cell>
          <cell r="L1707" t="str">
            <v/>
          </cell>
          <cell r="M1707" t="str">
            <v/>
          </cell>
        </row>
        <row r="1708">
          <cell r="A1708">
            <v>31102192</v>
          </cell>
          <cell r="C1708">
            <v>31102192</v>
          </cell>
          <cell r="D1708">
            <v>31102192</v>
          </cell>
          <cell r="E1708">
            <v>31102192</v>
          </cell>
          <cell r="F1708">
            <v>31102192</v>
          </cell>
          <cell r="G1708">
            <v>31102192</v>
          </cell>
          <cell r="H1708">
            <v>31102192</v>
          </cell>
          <cell r="I1708" t="str">
            <v/>
          </cell>
          <cell r="J1708" t="str">
            <v/>
          </cell>
          <cell r="K1708" t="str">
            <v/>
          </cell>
          <cell r="L1708" t="str">
            <v/>
          </cell>
          <cell r="M1708" t="str">
            <v/>
          </cell>
        </row>
        <row r="1709">
          <cell r="A1709">
            <v>31102192</v>
          </cell>
          <cell r="C1709">
            <v>31102192</v>
          </cell>
          <cell r="D1709">
            <v>31102192</v>
          </cell>
          <cell r="E1709">
            <v>31102192</v>
          </cell>
          <cell r="F1709">
            <v>31102192</v>
          </cell>
          <cell r="G1709">
            <v>31102192</v>
          </cell>
          <cell r="H1709">
            <v>31102192</v>
          </cell>
          <cell r="I1709" t="str">
            <v/>
          </cell>
          <cell r="J1709" t="str">
            <v/>
          </cell>
          <cell r="K1709" t="str">
            <v/>
          </cell>
          <cell r="L1709" t="str">
            <v/>
          </cell>
          <cell r="M1709" t="str">
            <v/>
          </cell>
        </row>
        <row r="1710">
          <cell r="A1710">
            <v>31102192</v>
          </cell>
          <cell r="C1710">
            <v>31102192</v>
          </cell>
          <cell r="D1710">
            <v>31102192</v>
          </cell>
          <cell r="E1710">
            <v>31102192</v>
          </cell>
          <cell r="F1710">
            <v>31102192</v>
          </cell>
          <cell r="G1710">
            <v>31102192</v>
          </cell>
          <cell r="H1710">
            <v>31102192</v>
          </cell>
          <cell r="I1710" t="str">
            <v/>
          </cell>
          <cell r="J1710" t="str">
            <v/>
          </cell>
          <cell r="K1710" t="str">
            <v/>
          </cell>
          <cell r="L1710" t="str">
            <v/>
          </cell>
          <cell r="M1710" t="str">
            <v/>
          </cell>
        </row>
        <row r="1711">
          <cell r="A1711">
            <v>31102192</v>
          </cell>
          <cell r="C1711">
            <v>31102192</v>
          </cell>
          <cell r="D1711">
            <v>31102192</v>
          </cell>
          <cell r="E1711">
            <v>31102192</v>
          </cell>
          <cell r="F1711">
            <v>31102192</v>
          </cell>
          <cell r="G1711">
            <v>31102192</v>
          </cell>
          <cell r="H1711">
            <v>31102192</v>
          </cell>
          <cell r="I1711" t="str">
            <v/>
          </cell>
          <cell r="J1711" t="str">
            <v/>
          </cell>
          <cell r="K1711" t="str">
            <v/>
          </cell>
          <cell r="L1711" t="str">
            <v/>
          </cell>
          <cell r="M1711" t="str">
            <v/>
          </cell>
        </row>
        <row r="1712">
          <cell r="A1712">
            <v>31102192</v>
          </cell>
          <cell r="C1712">
            <v>31102192</v>
          </cell>
          <cell r="D1712">
            <v>31102192</v>
          </cell>
          <cell r="E1712">
            <v>31102192</v>
          </cell>
          <cell r="F1712">
            <v>31102192</v>
          </cell>
          <cell r="G1712">
            <v>31102192</v>
          </cell>
          <cell r="H1712">
            <v>31102192</v>
          </cell>
          <cell r="I1712" t="str">
            <v/>
          </cell>
          <cell r="J1712" t="str">
            <v/>
          </cell>
          <cell r="K1712" t="str">
            <v/>
          </cell>
          <cell r="L1712" t="str">
            <v/>
          </cell>
          <cell r="M1712" t="str">
            <v/>
          </cell>
        </row>
        <row r="1713">
          <cell r="A1713">
            <v>31102192</v>
          </cell>
          <cell r="C1713">
            <v>31102192</v>
          </cell>
          <cell r="D1713">
            <v>31102192</v>
          </cell>
          <cell r="E1713">
            <v>31102192</v>
          </cell>
          <cell r="F1713">
            <v>31102192</v>
          </cell>
          <cell r="G1713">
            <v>31102192</v>
          </cell>
          <cell r="H1713">
            <v>31102192</v>
          </cell>
          <cell r="I1713" t="str">
            <v/>
          </cell>
          <cell r="J1713" t="str">
            <v/>
          </cell>
          <cell r="K1713" t="str">
            <v/>
          </cell>
          <cell r="L1713" t="str">
            <v/>
          </cell>
          <cell r="M1713" t="str">
            <v/>
          </cell>
        </row>
        <row r="1714">
          <cell r="A1714">
            <v>31102192</v>
          </cell>
          <cell r="C1714">
            <v>31102192</v>
          </cell>
          <cell r="D1714">
            <v>31102192</v>
          </cell>
          <cell r="E1714">
            <v>31102192</v>
          </cell>
          <cell r="F1714">
            <v>31102192</v>
          </cell>
          <cell r="G1714">
            <v>31102192</v>
          </cell>
          <cell r="H1714">
            <v>31102192</v>
          </cell>
          <cell r="I1714" t="str">
            <v/>
          </cell>
          <cell r="J1714" t="str">
            <v/>
          </cell>
          <cell r="K1714" t="str">
            <v/>
          </cell>
          <cell r="L1714" t="str">
            <v/>
          </cell>
          <cell r="M1714" t="str">
            <v/>
          </cell>
        </row>
        <row r="1715">
          <cell r="A1715">
            <v>31102192</v>
          </cell>
          <cell r="C1715">
            <v>31102192</v>
          </cell>
          <cell r="D1715">
            <v>31102192</v>
          </cell>
          <cell r="E1715">
            <v>31102192</v>
          </cell>
          <cell r="F1715">
            <v>31102192</v>
          </cell>
          <cell r="G1715">
            <v>31102192</v>
          </cell>
          <cell r="H1715">
            <v>31102192</v>
          </cell>
          <cell r="I1715" t="str">
            <v/>
          </cell>
          <cell r="J1715" t="str">
            <v/>
          </cell>
          <cell r="K1715" t="str">
            <v/>
          </cell>
          <cell r="L1715" t="str">
            <v/>
          </cell>
          <cell r="M1715" t="str">
            <v/>
          </cell>
        </row>
        <row r="1716">
          <cell r="A1716">
            <v>31102192</v>
          </cell>
          <cell r="C1716">
            <v>31102192</v>
          </cell>
          <cell r="D1716">
            <v>31102192</v>
          </cell>
          <cell r="E1716">
            <v>31102192</v>
          </cell>
          <cell r="F1716">
            <v>31102192</v>
          </cell>
          <cell r="G1716">
            <v>31102192</v>
          </cell>
          <cell r="H1716">
            <v>31102192</v>
          </cell>
          <cell r="I1716" t="str">
            <v/>
          </cell>
          <cell r="J1716" t="str">
            <v/>
          </cell>
          <cell r="K1716" t="str">
            <v/>
          </cell>
          <cell r="L1716" t="str">
            <v/>
          </cell>
          <cell r="M1716" t="str">
            <v/>
          </cell>
        </row>
        <row r="1717">
          <cell r="A1717">
            <v>31102192</v>
          </cell>
          <cell r="C1717">
            <v>31102192</v>
          </cell>
          <cell r="D1717">
            <v>31102192</v>
          </cell>
          <cell r="E1717">
            <v>31102192</v>
          </cell>
          <cell r="F1717">
            <v>31102192</v>
          </cell>
          <cell r="G1717">
            <v>31102192</v>
          </cell>
          <cell r="H1717">
            <v>31102192</v>
          </cell>
          <cell r="I1717" t="str">
            <v/>
          </cell>
          <cell r="J1717" t="str">
            <v/>
          </cell>
          <cell r="K1717" t="str">
            <v/>
          </cell>
          <cell r="L1717" t="str">
            <v/>
          </cell>
          <cell r="M1717" t="str">
            <v/>
          </cell>
        </row>
        <row r="1718">
          <cell r="A1718">
            <v>31102192</v>
          </cell>
          <cell r="C1718">
            <v>31102192</v>
          </cell>
          <cell r="D1718">
            <v>31102192</v>
          </cell>
          <cell r="E1718">
            <v>31102192</v>
          </cell>
          <cell r="F1718">
            <v>31102192</v>
          </cell>
          <cell r="G1718">
            <v>31102192</v>
          </cell>
          <cell r="H1718">
            <v>31102192</v>
          </cell>
          <cell r="I1718" t="str">
            <v/>
          </cell>
          <cell r="J1718" t="str">
            <v/>
          </cell>
          <cell r="K1718" t="str">
            <v/>
          </cell>
          <cell r="L1718" t="str">
            <v/>
          </cell>
          <cell r="M1718" t="str">
            <v/>
          </cell>
        </row>
        <row r="1719">
          <cell r="A1719">
            <v>31102192</v>
          </cell>
          <cell r="C1719">
            <v>31102192</v>
          </cell>
          <cell r="D1719">
            <v>31102192</v>
          </cell>
          <cell r="E1719">
            <v>31102192</v>
          </cell>
          <cell r="F1719">
            <v>31102192</v>
          </cell>
          <cell r="G1719">
            <v>31102192</v>
          </cell>
          <cell r="H1719">
            <v>31102192</v>
          </cell>
          <cell r="I1719" t="str">
            <v/>
          </cell>
          <cell r="J1719" t="str">
            <v/>
          </cell>
          <cell r="K1719" t="str">
            <v/>
          </cell>
          <cell r="L1719" t="str">
            <v/>
          </cell>
          <cell r="M1719" t="str">
            <v/>
          </cell>
        </row>
        <row r="1720">
          <cell r="A1720">
            <v>31102192</v>
          </cell>
          <cell r="C1720">
            <v>31102192</v>
          </cell>
          <cell r="D1720">
            <v>31102192</v>
          </cell>
          <cell r="E1720">
            <v>31102192</v>
          </cell>
          <cell r="F1720">
            <v>31102192</v>
          </cell>
          <cell r="G1720">
            <v>31102192</v>
          </cell>
          <cell r="H1720">
            <v>31102192</v>
          </cell>
          <cell r="I1720" t="str">
            <v/>
          </cell>
          <cell r="J1720" t="str">
            <v/>
          </cell>
          <cell r="K1720" t="str">
            <v/>
          </cell>
          <cell r="L1720" t="str">
            <v/>
          </cell>
          <cell r="M1720" t="str">
            <v/>
          </cell>
        </row>
        <row r="1721">
          <cell r="A1721">
            <v>31102192</v>
          </cell>
          <cell r="C1721">
            <v>31102192</v>
          </cell>
          <cell r="D1721">
            <v>31102192</v>
          </cell>
          <cell r="E1721">
            <v>31102192</v>
          </cell>
          <cell r="F1721">
            <v>31102192</v>
          </cell>
          <cell r="G1721">
            <v>31102192</v>
          </cell>
          <cell r="H1721">
            <v>31102192</v>
          </cell>
          <cell r="I1721" t="str">
            <v/>
          </cell>
          <cell r="J1721" t="str">
            <v/>
          </cell>
          <cell r="K1721" t="str">
            <v/>
          </cell>
          <cell r="L1721" t="str">
            <v/>
          </cell>
          <cell r="M1721" t="str">
            <v/>
          </cell>
        </row>
        <row r="1722">
          <cell r="A1722">
            <v>31102192</v>
          </cell>
          <cell r="C1722">
            <v>31102192</v>
          </cell>
          <cell r="D1722">
            <v>31102192</v>
          </cell>
          <cell r="E1722">
            <v>31102192</v>
          </cell>
          <cell r="F1722">
            <v>31102192</v>
          </cell>
          <cell r="G1722">
            <v>31102192</v>
          </cell>
          <cell r="H1722">
            <v>31102192</v>
          </cell>
          <cell r="I1722" t="str">
            <v/>
          </cell>
          <cell r="J1722" t="str">
            <v/>
          </cell>
          <cell r="K1722" t="str">
            <v/>
          </cell>
          <cell r="L1722" t="str">
            <v/>
          </cell>
          <cell r="M1722" t="str">
            <v/>
          </cell>
        </row>
        <row r="1723">
          <cell r="A1723">
            <v>31102192</v>
          </cell>
          <cell r="C1723">
            <v>31102192</v>
          </cell>
          <cell r="D1723">
            <v>31102192</v>
          </cell>
          <cell r="E1723">
            <v>31102192</v>
          </cell>
          <cell r="F1723">
            <v>31102192</v>
          </cell>
          <cell r="G1723">
            <v>31102192</v>
          </cell>
          <cell r="H1723">
            <v>31102192</v>
          </cell>
          <cell r="I1723" t="str">
            <v/>
          </cell>
          <cell r="J1723" t="str">
            <v/>
          </cell>
          <cell r="K1723" t="str">
            <v/>
          </cell>
          <cell r="L1723" t="str">
            <v/>
          </cell>
          <cell r="M1723" t="str">
            <v/>
          </cell>
        </row>
        <row r="1724">
          <cell r="A1724">
            <v>31102192</v>
          </cell>
          <cell r="C1724">
            <v>31102192</v>
          </cell>
          <cell r="D1724">
            <v>31102192</v>
          </cell>
          <cell r="E1724">
            <v>31102192</v>
          </cell>
          <cell r="F1724">
            <v>31102192</v>
          </cell>
          <cell r="G1724">
            <v>31102192</v>
          </cell>
          <cell r="H1724">
            <v>31102192</v>
          </cell>
          <cell r="I1724" t="str">
            <v/>
          </cell>
          <cell r="J1724" t="str">
            <v/>
          </cell>
          <cell r="K1724" t="str">
            <v/>
          </cell>
          <cell r="L1724" t="str">
            <v/>
          </cell>
          <cell r="M1724" t="str">
            <v/>
          </cell>
        </row>
        <row r="1725">
          <cell r="A1725">
            <v>31102192</v>
          </cell>
          <cell r="C1725">
            <v>31102192</v>
          </cell>
          <cell r="D1725">
            <v>31102192</v>
          </cell>
          <cell r="E1725">
            <v>31102192</v>
          </cell>
          <cell r="F1725">
            <v>31102192</v>
          </cell>
          <cell r="G1725">
            <v>31102192</v>
          </cell>
          <cell r="H1725">
            <v>31102192</v>
          </cell>
          <cell r="I1725" t="str">
            <v/>
          </cell>
          <cell r="J1725" t="str">
            <v/>
          </cell>
          <cell r="K1725" t="str">
            <v/>
          </cell>
          <cell r="L1725" t="str">
            <v/>
          </cell>
          <cell r="M1725" t="str">
            <v/>
          </cell>
        </row>
        <row r="1726">
          <cell r="A1726">
            <v>31102192</v>
          </cell>
          <cell r="C1726">
            <v>31102192</v>
          </cell>
          <cell r="D1726">
            <v>31102192</v>
          </cell>
          <cell r="E1726">
            <v>31102192</v>
          </cell>
          <cell r="F1726">
            <v>31102192</v>
          </cell>
          <cell r="G1726">
            <v>31102192</v>
          </cell>
          <cell r="H1726">
            <v>31102192</v>
          </cell>
          <cell r="I1726" t="str">
            <v/>
          </cell>
          <cell r="J1726" t="str">
            <v/>
          </cell>
          <cell r="K1726" t="str">
            <v/>
          </cell>
          <cell r="L1726" t="str">
            <v/>
          </cell>
          <cell r="M1726" t="str">
            <v/>
          </cell>
        </row>
        <row r="1727">
          <cell r="A1727">
            <v>31102192</v>
          </cell>
          <cell r="C1727">
            <v>31102192</v>
          </cell>
          <cell r="D1727">
            <v>31102192</v>
          </cell>
          <cell r="E1727">
            <v>31102192</v>
          </cell>
          <cell r="F1727">
            <v>31102192</v>
          </cell>
          <cell r="G1727">
            <v>31102192</v>
          </cell>
          <cell r="H1727">
            <v>31102192</v>
          </cell>
          <cell r="I1727" t="str">
            <v/>
          </cell>
          <cell r="J1727" t="str">
            <v/>
          </cell>
          <cell r="K1727" t="str">
            <v/>
          </cell>
          <cell r="L1727" t="str">
            <v/>
          </cell>
          <cell r="M1727" t="str">
            <v/>
          </cell>
        </row>
        <row r="1728">
          <cell r="A1728">
            <v>31102192</v>
          </cell>
          <cell r="C1728">
            <v>31102192</v>
          </cell>
          <cell r="D1728">
            <v>31102192</v>
          </cell>
          <cell r="E1728">
            <v>31102192</v>
          </cell>
          <cell r="F1728">
            <v>31102192</v>
          </cell>
          <cell r="G1728">
            <v>31102192</v>
          </cell>
          <cell r="H1728">
            <v>31102192</v>
          </cell>
          <cell r="I1728" t="str">
            <v/>
          </cell>
          <cell r="J1728" t="str">
            <v/>
          </cell>
          <cell r="K1728" t="str">
            <v/>
          </cell>
          <cell r="L1728" t="str">
            <v/>
          </cell>
          <cell r="M1728" t="str">
            <v/>
          </cell>
        </row>
        <row r="1729">
          <cell r="A1729">
            <v>31102192</v>
          </cell>
          <cell r="C1729">
            <v>31102192</v>
          </cell>
          <cell r="D1729">
            <v>31102192</v>
          </cell>
          <cell r="E1729">
            <v>31102192</v>
          </cell>
          <cell r="F1729">
            <v>31102192</v>
          </cell>
          <cell r="G1729">
            <v>31102192</v>
          </cell>
          <cell r="H1729">
            <v>31102192</v>
          </cell>
          <cell r="I1729" t="str">
            <v/>
          </cell>
          <cell r="J1729" t="str">
            <v/>
          </cell>
          <cell r="K1729" t="str">
            <v/>
          </cell>
          <cell r="L1729" t="str">
            <v/>
          </cell>
          <cell r="M1729" t="str">
            <v/>
          </cell>
        </row>
        <row r="1730">
          <cell r="A1730">
            <v>31102192</v>
          </cell>
          <cell r="C1730">
            <v>31102192</v>
          </cell>
          <cell r="D1730">
            <v>31102192</v>
          </cell>
          <cell r="E1730">
            <v>31102192</v>
          </cell>
          <cell r="F1730">
            <v>31102192</v>
          </cell>
          <cell r="G1730">
            <v>31102192</v>
          </cell>
          <cell r="H1730">
            <v>31102192</v>
          </cell>
          <cell r="I1730" t="str">
            <v/>
          </cell>
          <cell r="J1730" t="str">
            <v/>
          </cell>
          <cell r="K1730" t="str">
            <v/>
          </cell>
          <cell r="L1730" t="str">
            <v/>
          </cell>
          <cell r="M1730" t="str">
            <v/>
          </cell>
        </row>
        <row r="1731">
          <cell r="A1731">
            <v>31102192</v>
          </cell>
          <cell r="C1731">
            <v>31102192</v>
          </cell>
          <cell r="D1731">
            <v>31102192</v>
          </cell>
          <cell r="E1731">
            <v>31102192</v>
          </cell>
          <cell r="F1731">
            <v>31102192</v>
          </cell>
          <cell r="G1731">
            <v>31102192</v>
          </cell>
          <cell r="H1731">
            <v>31102192</v>
          </cell>
          <cell r="I1731" t="str">
            <v/>
          </cell>
          <cell r="J1731" t="str">
            <v/>
          </cell>
          <cell r="K1731" t="str">
            <v/>
          </cell>
          <cell r="L1731" t="str">
            <v/>
          </cell>
          <cell r="M1731" t="str">
            <v/>
          </cell>
        </row>
        <row r="1732">
          <cell r="A1732">
            <v>31102192</v>
          </cell>
          <cell r="C1732">
            <v>31102192</v>
          </cell>
          <cell r="D1732">
            <v>31102192</v>
          </cell>
          <cell r="E1732">
            <v>31102192</v>
          </cell>
          <cell r="F1732">
            <v>31102192</v>
          </cell>
          <cell r="G1732">
            <v>31102192</v>
          </cell>
          <cell r="H1732">
            <v>31102192</v>
          </cell>
          <cell r="I1732" t="str">
            <v/>
          </cell>
          <cell r="J1732" t="str">
            <v/>
          </cell>
          <cell r="K1732" t="str">
            <v/>
          </cell>
          <cell r="L1732" t="str">
            <v/>
          </cell>
          <cell r="M1732" t="str">
            <v/>
          </cell>
        </row>
        <row r="1733">
          <cell r="A1733">
            <v>31102192</v>
          </cell>
          <cell r="C1733">
            <v>31102192</v>
          </cell>
          <cell r="D1733">
            <v>31102192</v>
          </cell>
          <cell r="E1733">
            <v>31102192</v>
          </cell>
          <cell r="F1733">
            <v>31102192</v>
          </cell>
          <cell r="G1733">
            <v>31102192</v>
          </cell>
          <cell r="H1733">
            <v>31102192</v>
          </cell>
          <cell r="I1733" t="str">
            <v/>
          </cell>
          <cell r="J1733" t="str">
            <v/>
          </cell>
          <cell r="K1733" t="str">
            <v/>
          </cell>
          <cell r="L1733" t="str">
            <v/>
          </cell>
          <cell r="M1733" t="str">
            <v/>
          </cell>
        </row>
        <row r="1734">
          <cell r="A1734">
            <v>31102192</v>
          </cell>
          <cell r="C1734">
            <v>31102192</v>
          </cell>
          <cell r="D1734">
            <v>31102192</v>
          </cell>
          <cell r="E1734">
            <v>31102192</v>
          </cell>
          <cell r="F1734">
            <v>31102192</v>
          </cell>
          <cell r="G1734">
            <v>31102192</v>
          </cell>
          <cell r="H1734">
            <v>31102192</v>
          </cell>
          <cell r="I1734" t="str">
            <v/>
          </cell>
          <cell r="J1734" t="str">
            <v/>
          </cell>
          <cell r="K1734" t="str">
            <v/>
          </cell>
          <cell r="L1734" t="str">
            <v/>
          </cell>
          <cell r="M1734" t="str">
            <v/>
          </cell>
        </row>
        <row r="1735">
          <cell r="A1735">
            <v>31102192</v>
          </cell>
          <cell r="C1735">
            <v>31102192</v>
          </cell>
          <cell r="D1735">
            <v>31102192</v>
          </cell>
          <cell r="E1735">
            <v>31102192</v>
          </cell>
          <cell r="F1735">
            <v>31102192</v>
          </cell>
          <cell r="G1735">
            <v>31102192</v>
          </cell>
          <cell r="H1735">
            <v>31102192</v>
          </cell>
          <cell r="I1735" t="str">
            <v/>
          </cell>
          <cell r="J1735" t="str">
            <v/>
          </cell>
          <cell r="K1735" t="str">
            <v/>
          </cell>
          <cell r="L1735" t="str">
            <v/>
          </cell>
          <cell r="M1735" t="str">
            <v/>
          </cell>
        </row>
        <row r="1736">
          <cell r="A1736">
            <v>31102192</v>
          </cell>
          <cell r="C1736">
            <v>31102192</v>
          </cell>
          <cell r="D1736">
            <v>31102192</v>
          </cell>
          <cell r="E1736">
            <v>31102192</v>
          </cell>
          <cell r="F1736">
            <v>31102192</v>
          </cell>
          <cell r="G1736">
            <v>31102192</v>
          </cell>
          <cell r="H1736">
            <v>31102192</v>
          </cell>
          <cell r="I1736" t="str">
            <v/>
          </cell>
          <cell r="J1736" t="str">
            <v/>
          </cell>
          <cell r="K1736" t="str">
            <v/>
          </cell>
          <cell r="L1736" t="str">
            <v/>
          </cell>
          <cell r="M1736" t="str">
            <v/>
          </cell>
        </row>
        <row r="1737">
          <cell r="A1737">
            <v>31102192</v>
          </cell>
          <cell r="C1737">
            <v>31102192</v>
          </cell>
          <cell r="D1737">
            <v>31102192</v>
          </cell>
          <cell r="E1737">
            <v>31102192</v>
          </cell>
          <cell r="F1737">
            <v>31102192</v>
          </cell>
          <cell r="G1737">
            <v>31102192</v>
          </cell>
          <cell r="H1737">
            <v>31102192</v>
          </cell>
          <cell r="I1737" t="str">
            <v/>
          </cell>
          <cell r="J1737" t="str">
            <v/>
          </cell>
          <cell r="K1737" t="str">
            <v/>
          </cell>
          <cell r="L1737" t="str">
            <v/>
          </cell>
          <cell r="M1737" t="str">
            <v/>
          </cell>
        </row>
        <row r="1738">
          <cell r="A1738">
            <v>31102192</v>
          </cell>
          <cell r="C1738">
            <v>31102192</v>
          </cell>
          <cell r="D1738">
            <v>31102192</v>
          </cell>
          <cell r="E1738">
            <v>31102192</v>
          </cell>
          <cell r="F1738">
            <v>31102192</v>
          </cell>
          <cell r="G1738">
            <v>31102192</v>
          </cell>
          <cell r="H1738">
            <v>31102192</v>
          </cell>
          <cell r="I1738" t="str">
            <v/>
          </cell>
          <cell r="J1738" t="str">
            <v/>
          </cell>
          <cell r="K1738" t="str">
            <v/>
          </cell>
          <cell r="L1738" t="str">
            <v/>
          </cell>
          <cell r="M1738" t="str">
            <v/>
          </cell>
        </row>
        <row r="1739">
          <cell r="A1739">
            <v>31102192</v>
          </cell>
          <cell r="C1739">
            <v>31102192</v>
          </cell>
          <cell r="D1739">
            <v>31102192</v>
          </cell>
          <cell r="E1739">
            <v>31102192</v>
          </cell>
          <cell r="F1739">
            <v>31102192</v>
          </cell>
          <cell r="G1739">
            <v>31102192</v>
          </cell>
          <cell r="H1739">
            <v>31102192</v>
          </cell>
          <cell r="I1739" t="str">
            <v/>
          </cell>
          <cell r="J1739" t="str">
            <v/>
          </cell>
          <cell r="K1739" t="str">
            <v/>
          </cell>
          <cell r="L1739" t="str">
            <v/>
          </cell>
          <cell r="M1739" t="str">
            <v/>
          </cell>
        </row>
        <row r="1740">
          <cell r="A1740">
            <v>31102192</v>
          </cell>
          <cell r="C1740">
            <v>31102192</v>
          </cell>
          <cell r="D1740">
            <v>31102192</v>
          </cell>
          <cell r="E1740">
            <v>31102192</v>
          </cell>
          <cell r="F1740">
            <v>31102192</v>
          </cell>
          <cell r="G1740">
            <v>31102192</v>
          </cell>
          <cell r="H1740">
            <v>31102192</v>
          </cell>
          <cell r="I1740" t="str">
            <v/>
          </cell>
          <cell r="J1740" t="str">
            <v/>
          </cell>
          <cell r="K1740" t="str">
            <v/>
          </cell>
          <cell r="L1740" t="str">
            <v/>
          </cell>
          <cell r="M1740" t="str">
            <v/>
          </cell>
        </row>
        <row r="1741">
          <cell r="A1741">
            <v>31102192</v>
          </cell>
          <cell r="C1741">
            <v>31102192</v>
          </cell>
          <cell r="D1741">
            <v>31102192</v>
          </cell>
          <cell r="E1741">
            <v>31102192</v>
          </cell>
          <cell r="F1741">
            <v>31102192</v>
          </cell>
          <cell r="G1741">
            <v>31102192</v>
          </cell>
          <cell r="H1741">
            <v>31102192</v>
          </cell>
          <cell r="I1741" t="str">
            <v/>
          </cell>
          <cell r="J1741" t="str">
            <v/>
          </cell>
          <cell r="K1741" t="str">
            <v/>
          </cell>
          <cell r="L1741" t="str">
            <v/>
          </cell>
          <cell r="M1741" t="str">
            <v/>
          </cell>
        </row>
        <row r="1742">
          <cell r="A1742">
            <v>31102192</v>
          </cell>
          <cell r="C1742">
            <v>31102192</v>
          </cell>
          <cell r="D1742">
            <v>31102192</v>
          </cell>
          <cell r="E1742">
            <v>31102192</v>
          </cell>
          <cell r="F1742">
            <v>31102192</v>
          </cell>
          <cell r="G1742">
            <v>31102192</v>
          </cell>
          <cell r="H1742">
            <v>31102192</v>
          </cell>
          <cell r="I1742" t="str">
            <v/>
          </cell>
          <cell r="J1742" t="str">
            <v/>
          </cell>
          <cell r="K1742" t="str">
            <v/>
          </cell>
          <cell r="L1742" t="str">
            <v/>
          </cell>
          <cell r="M1742" t="str">
            <v/>
          </cell>
        </row>
        <row r="1743">
          <cell r="A1743">
            <v>31102192</v>
          </cell>
          <cell r="C1743">
            <v>31102192</v>
          </cell>
          <cell r="D1743">
            <v>31102192</v>
          </cell>
          <cell r="E1743">
            <v>31102192</v>
          </cell>
          <cell r="F1743">
            <v>31102192</v>
          </cell>
          <cell r="G1743">
            <v>31102192</v>
          </cell>
          <cell r="H1743">
            <v>31102192</v>
          </cell>
          <cell r="I1743" t="str">
            <v/>
          </cell>
          <cell r="J1743" t="str">
            <v/>
          </cell>
          <cell r="K1743" t="str">
            <v/>
          </cell>
          <cell r="L1743" t="str">
            <v/>
          </cell>
          <cell r="M1743" t="str">
            <v/>
          </cell>
        </row>
        <row r="1744">
          <cell r="A1744">
            <v>31102192</v>
          </cell>
          <cell r="C1744">
            <v>31102192</v>
          </cell>
          <cell r="D1744">
            <v>31102192</v>
          </cell>
          <cell r="E1744">
            <v>31102192</v>
          </cell>
          <cell r="F1744">
            <v>31102192</v>
          </cell>
          <cell r="G1744">
            <v>31102192</v>
          </cell>
          <cell r="H1744">
            <v>31102192</v>
          </cell>
          <cell r="I1744" t="str">
            <v/>
          </cell>
          <cell r="J1744" t="str">
            <v/>
          </cell>
          <cell r="K1744" t="str">
            <v/>
          </cell>
          <cell r="L1744" t="str">
            <v/>
          </cell>
          <cell r="M1744" t="str">
            <v/>
          </cell>
        </row>
        <row r="1745">
          <cell r="A1745">
            <v>31102192</v>
          </cell>
          <cell r="C1745">
            <v>31102192</v>
          </cell>
          <cell r="D1745">
            <v>31102192</v>
          </cell>
          <cell r="E1745">
            <v>31102192</v>
          </cell>
          <cell r="F1745">
            <v>31102192</v>
          </cell>
          <cell r="G1745">
            <v>31102192</v>
          </cell>
          <cell r="H1745">
            <v>31102192</v>
          </cell>
          <cell r="I1745" t="str">
            <v/>
          </cell>
          <cell r="J1745" t="str">
            <v/>
          </cell>
          <cell r="K1745" t="str">
            <v/>
          </cell>
          <cell r="L1745" t="str">
            <v/>
          </cell>
          <cell r="M1745" t="str">
            <v/>
          </cell>
        </row>
        <row r="1746">
          <cell r="A1746">
            <v>31102192</v>
          </cell>
          <cell r="C1746">
            <v>31102192</v>
          </cell>
          <cell r="D1746">
            <v>31102192</v>
          </cell>
          <cell r="E1746">
            <v>31102192</v>
          </cell>
          <cell r="F1746">
            <v>31102192</v>
          </cell>
          <cell r="G1746">
            <v>31102192</v>
          </cell>
          <cell r="H1746">
            <v>31102192</v>
          </cell>
          <cell r="I1746" t="str">
            <v/>
          </cell>
          <cell r="J1746" t="str">
            <v/>
          </cell>
          <cell r="K1746" t="str">
            <v/>
          </cell>
          <cell r="L1746" t="str">
            <v/>
          </cell>
          <cell r="M1746" t="str">
            <v/>
          </cell>
        </row>
        <row r="1747">
          <cell r="A1747">
            <v>31102192</v>
          </cell>
          <cell r="C1747">
            <v>31102192</v>
          </cell>
          <cell r="D1747">
            <v>31102192</v>
          </cell>
          <cell r="E1747">
            <v>31102192</v>
          </cell>
          <cell r="F1747">
            <v>31102192</v>
          </cell>
          <cell r="G1747">
            <v>31102192</v>
          </cell>
          <cell r="H1747">
            <v>31102192</v>
          </cell>
          <cell r="I1747" t="str">
            <v/>
          </cell>
          <cell r="J1747" t="str">
            <v/>
          </cell>
          <cell r="K1747" t="str">
            <v/>
          </cell>
          <cell r="L1747" t="str">
            <v/>
          </cell>
          <cell r="M1747" t="str">
            <v/>
          </cell>
        </row>
        <row r="1748">
          <cell r="A1748">
            <v>31102192</v>
          </cell>
          <cell r="C1748">
            <v>31102192</v>
          </cell>
          <cell r="D1748">
            <v>31102192</v>
          </cell>
          <cell r="E1748">
            <v>31102192</v>
          </cell>
          <cell r="F1748">
            <v>31102192</v>
          </cell>
          <cell r="G1748">
            <v>31102192</v>
          </cell>
          <cell r="H1748">
            <v>31102192</v>
          </cell>
          <cell r="I1748" t="str">
            <v/>
          </cell>
          <cell r="J1748" t="str">
            <v/>
          </cell>
          <cell r="K1748" t="str">
            <v/>
          </cell>
          <cell r="L1748" t="str">
            <v/>
          </cell>
          <cell r="M1748" t="str">
            <v/>
          </cell>
        </row>
        <row r="1749">
          <cell r="A1749">
            <v>31102192</v>
          </cell>
          <cell r="C1749">
            <v>31102192</v>
          </cell>
          <cell r="D1749">
            <v>31102192</v>
          </cell>
          <cell r="E1749">
            <v>31102192</v>
          </cell>
          <cell r="F1749">
            <v>31102192</v>
          </cell>
          <cell r="G1749">
            <v>31102192</v>
          </cell>
          <cell r="H1749">
            <v>31102192</v>
          </cell>
          <cell r="I1749" t="str">
            <v/>
          </cell>
          <cell r="J1749" t="str">
            <v/>
          </cell>
          <cell r="K1749" t="str">
            <v/>
          </cell>
          <cell r="L1749" t="str">
            <v/>
          </cell>
          <cell r="M1749" t="str">
            <v/>
          </cell>
        </row>
        <row r="1750">
          <cell r="A1750">
            <v>31102192</v>
          </cell>
          <cell r="C1750">
            <v>31102192</v>
          </cell>
          <cell r="D1750">
            <v>31102192</v>
          </cell>
          <cell r="E1750">
            <v>31102192</v>
          </cell>
          <cell r="F1750">
            <v>31102192</v>
          </cell>
          <cell r="G1750">
            <v>31102192</v>
          </cell>
          <cell r="H1750">
            <v>31102192</v>
          </cell>
          <cell r="I1750" t="str">
            <v/>
          </cell>
          <cell r="J1750" t="str">
            <v/>
          </cell>
          <cell r="K1750" t="str">
            <v/>
          </cell>
          <cell r="L1750" t="str">
            <v/>
          </cell>
          <cell r="M1750" t="str">
            <v/>
          </cell>
        </row>
        <row r="1751">
          <cell r="A1751">
            <v>31102192</v>
          </cell>
          <cell r="C1751">
            <v>31102192</v>
          </cell>
          <cell r="D1751">
            <v>31102192</v>
          </cell>
          <cell r="E1751">
            <v>31102192</v>
          </cell>
          <cell r="F1751">
            <v>31102192</v>
          </cell>
          <cell r="G1751">
            <v>31102192</v>
          </cell>
          <cell r="H1751">
            <v>31102192</v>
          </cell>
          <cell r="I1751" t="str">
            <v/>
          </cell>
          <cell r="J1751" t="str">
            <v/>
          </cell>
          <cell r="K1751" t="str">
            <v/>
          </cell>
          <cell r="L1751" t="str">
            <v/>
          </cell>
          <cell r="M1751" t="str">
            <v/>
          </cell>
        </row>
        <row r="1752">
          <cell r="A1752">
            <v>31102192</v>
          </cell>
          <cell r="C1752">
            <v>31102192</v>
          </cell>
          <cell r="D1752">
            <v>31102192</v>
          </cell>
          <cell r="E1752">
            <v>31102192</v>
          </cell>
          <cell r="F1752">
            <v>31102192</v>
          </cell>
          <cell r="G1752">
            <v>31102192</v>
          </cell>
          <cell r="H1752">
            <v>31102192</v>
          </cell>
          <cell r="I1752" t="str">
            <v/>
          </cell>
          <cell r="J1752" t="str">
            <v/>
          </cell>
          <cell r="K1752" t="str">
            <v/>
          </cell>
          <cell r="L1752" t="str">
            <v/>
          </cell>
          <cell r="M1752" t="str">
            <v/>
          </cell>
        </row>
        <row r="1753">
          <cell r="A1753">
            <v>31102192</v>
          </cell>
          <cell r="C1753">
            <v>31102192</v>
          </cell>
          <cell r="D1753">
            <v>31102192</v>
          </cell>
          <cell r="E1753">
            <v>31102192</v>
          </cell>
          <cell r="F1753">
            <v>31102192</v>
          </cell>
          <cell r="G1753">
            <v>31102192</v>
          </cell>
          <cell r="H1753">
            <v>31102192</v>
          </cell>
          <cell r="I1753" t="str">
            <v/>
          </cell>
          <cell r="J1753" t="str">
            <v/>
          </cell>
          <cell r="K1753" t="str">
            <v/>
          </cell>
          <cell r="L1753" t="str">
            <v/>
          </cell>
          <cell r="M1753" t="str">
            <v/>
          </cell>
        </row>
        <row r="1754">
          <cell r="A1754">
            <v>31102192</v>
          </cell>
          <cell r="C1754">
            <v>31102192</v>
          </cell>
          <cell r="D1754">
            <v>31102192</v>
          </cell>
          <cell r="E1754">
            <v>31102192</v>
          </cell>
          <cell r="F1754">
            <v>31102192</v>
          </cell>
          <cell r="G1754">
            <v>31102192</v>
          </cell>
          <cell r="H1754">
            <v>31102192</v>
          </cell>
          <cell r="I1754" t="str">
            <v/>
          </cell>
          <cell r="J1754" t="str">
            <v/>
          </cell>
          <cell r="K1754" t="str">
            <v/>
          </cell>
          <cell r="L1754" t="str">
            <v/>
          </cell>
          <cell r="M1754" t="str">
            <v/>
          </cell>
        </row>
        <row r="1755">
          <cell r="A1755">
            <v>31102192</v>
          </cell>
          <cell r="C1755">
            <v>31102192</v>
          </cell>
          <cell r="D1755">
            <v>31102192</v>
          </cell>
          <cell r="E1755">
            <v>31102192</v>
          </cell>
          <cell r="F1755">
            <v>31102192</v>
          </cell>
          <cell r="G1755">
            <v>31102192</v>
          </cell>
          <cell r="H1755">
            <v>31102192</v>
          </cell>
          <cell r="I1755" t="str">
            <v/>
          </cell>
          <cell r="J1755" t="str">
            <v/>
          </cell>
          <cell r="K1755" t="str">
            <v/>
          </cell>
          <cell r="L1755" t="str">
            <v/>
          </cell>
          <cell r="M1755" t="str">
            <v/>
          </cell>
        </row>
        <row r="1756">
          <cell r="A1756">
            <v>31102192</v>
          </cell>
          <cell r="C1756">
            <v>31102192</v>
          </cell>
          <cell r="D1756">
            <v>31102192</v>
          </cell>
          <cell r="E1756">
            <v>31102192</v>
          </cell>
          <cell r="F1756">
            <v>31102192</v>
          </cell>
          <cell r="G1756">
            <v>31102192</v>
          </cell>
          <cell r="H1756">
            <v>31102192</v>
          </cell>
          <cell r="I1756" t="str">
            <v/>
          </cell>
          <cell r="J1756" t="str">
            <v/>
          </cell>
          <cell r="K1756" t="str">
            <v/>
          </cell>
          <cell r="L1756" t="str">
            <v/>
          </cell>
          <cell r="M1756" t="str">
            <v/>
          </cell>
        </row>
        <row r="1757">
          <cell r="A1757">
            <v>31102192</v>
          </cell>
          <cell r="C1757">
            <v>31102192</v>
          </cell>
          <cell r="D1757">
            <v>31102192</v>
          </cell>
          <cell r="E1757">
            <v>31102192</v>
          </cell>
          <cell r="F1757">
            <v>31102192</v>
          </cell>
          <cell r="G1757">
            <v>31102192</v>
          </cell>
          <cell r="H1757">
            <v>31102192</v>
          </cell>
          <cell r="I1757" t="str">
            <v/>
          </cell>
          <cell r="J1757" t="str">
            <v/>
          </cell>
          <cell r="K1757" t="str">
            <v/>
          </cell>
          <cell r="L1757" t="str">
            <v/>
          </cell>
          <cell r="M1757" t="str">
            <v/>
          </cell>
        </row>
        <row r="1758">
          <cell r="A1758">
            <v>31102192</v>
          </cell>
          <cell r="C1758">
            <v>31102192</v>
          </cell>
          <cell r="D1758">
            <v>31102192</v>
          </cell>
          <cell r="E1758">
            <v>31102192</v>
          </cell>
          <cell r="F1758">
            <v>31102192</v>
          </cell>
          <cell r="G1758">
            <v>31102192</v>
          </cell>
          <cell r="H1758">
            <v>31102192</v>
          </cell>
          <cell r="I1758" t="str">
            <v/>
          </cell>
          <cell r="J1758" t="str">
            <v/>
          </cell>
          <cell r="K1758" t="str">
            <v/>
          </cell>
          <cell r="L1758" t="str">
            <v/>
          </cell>
          <cell r="M1758" t="str">
            <v/>
          </cell>
        </row>
        <row r="1759">
          <cell r="A1759">
            <v>31102192</v>
          </cell>
          <cell r="C1759">
            <v>31102192</v>
          </cell>
          <cell r="D1759">
            <v>31102192</v>
          </cell>
          <cell r="E1759">
            <v>31102192</v>
          </cell>
          <cell r="F1759">
            <v>31102192</v>
          </cell>
          <cell r="G1759">
            <v>31102192</v>
          </cell>
          <cell r="H1759">
            <v>31102192</v>
          </cell>
          <cell r="I1759" t="str">
            <v/>
          </cell>
          <cell r="J1759" t="str">
            <v/>
          </cell>
          <cell r="K1759" t="str">
            <v/>
          </cell>
          <cell r="L1759" t="str">
            <v/>
          </cell>
          <cell r="M1759" t="str">
            <v/>
          </cell>
        </row>
        <row r="1760">
          <cell r="A1760">
            <v>31102192</v>
          </cell>
          <cell r="C1760">
            <v>31102192</v>
          </cell>
          <cell r="D1760">
            <v>31102192</v>
          </cell>
          <cell r="E1760">
            <v>31102192</v>
          </cell>
          <cell r="F1760">
            <v>31102192</v>
          </cell>
          <cell r="G1760">
            <v>31102192</v>
          </cell>
          <cell r="H1760">
            <v>31102192</v>
          </cell>
          <cell r="I1760" t="str">
            <v/>
          </cell>
          <cell r="J1760" t="str">
            <v/>
          </cell>
          <cell r="K1760" t="str">
            <v/>
          </cell>
          <cell r="L1760" t="str">
            <v/>
          </cell>
          <cell r="M1760" t="str">
            <v/>
          </cell>
        </row>
        <row r="1761">
          <cell r="A1761">
            <v>31102192</v>
          </cell>
          <cell r="C1761">
            <v>31102192</v>
          </cell>
          <cell r="D1761">
            <v>31102192</v>
          </cell>
          <cell r="E1761">
            <v>31102192</v>
          </cell>
          <cell r="F1761">
            <v>31102192</v>
          </cell>
          <cell r="G1761">
            <v>31102192</v>
          </cell>
          <cell r="H1761">
            <v>31102192</v>
          </cell>
          <cell r="I1761" t="str">
            <v/>
          </cell>
          <cell r="J1761" t="str">
            <v/>
          </cell>
          <cell r="K1761" t="str">
            <v/>
          </cell>
          <cell r="L1761" t="str">
            <v/>
          </cell>
          <cell r="M1761" t="str">
            <v/>
          </cell>
        </row>
        <row r="1762">
          <cell r="A1762">
            <v>31102192</v>
          </cell>
          <cell r="C1762">
            <v>31102192</v>
          </cell>
          <cell r="D1762">
            <v>31102192</v>
          </cell>
          <cell r="E1762">
            <v>31102192</v>
          </cell>
          <cell r="F1762">
            <v>31102192</v>
          </cell>
          <cell r="G1762">
            <v>31102192</v>
          </cell>
          <cell r="H1762">
            <v>31102192</v>
          </cell>
          <cell r="I1762" t="str">
            <v/>
          </cell>
          <cell r="J1762" t="str">
            <v/>
          </cell>
          <cell r="K1762" t="str">
            <v/>
          </cell>
          <cell r="L1762" t="str">
            <v/>
          </cell>
          <cell r="M1762" t="str">
            <v/>
          </cell>
        </row>
        <row r="1763">
          <cell r="A1763">
            <v>31102192</v>
          </cell>
          <cell r="C1763">
            <v>31102192</v>
          </cell>
          <cell r="D1763">
            <v>31102192</v>
          </cell>
          <cell r="E1763">
            <v>31102192</v>
          </cell>
          <cell r="F1763">
            <v>31102192</v>
          </cell>
          <cell r="G1763">
            <v>31102192</v>
          </cell>
          <cell r="H1763">
            <v>31102192</v>
          </cell>
          <cell r="I1763" t="str">
            <v/>
          </cell>
          <cell r="J1763" t="str">
            <v/>
          </cell>
          <cell r="K1763" t="str">
            <v/>
          </cell>
          <cell r="L1763" t="str">
            <v/>
          </cell>
          <cell r="M1763" t="str">
            <v/>
          </cell>
        </row>
        <row r="1764">
          <cell r="A1764">
            <v>31102192</v>
          </cell>
          <cell r="C1764">
            <v>31102192</v>
          </cell>
          <cell r="D1764">
            <v>31102192</v>
          </cell>
          <cell r="E1764">
            <v>31102192</v>
          </cell>
          <cell r="F1764">
            <v>31102192</v>
          </cell>
          <cell r="G1764">
            <v>31102192</v>
          </cell>
          <cell r="H1764">
            <v>31102192</v>
          </cell>
          <cell r="I1764" t="str">
            <v/>
          </cell>
          <cell r="J1764" t="str">
            <v/>
          </cell>
          <cell r="K1764" t="str">
            <v/>
          </cell>
          <cell r="L1764" t="str">
            <v/>
          </cell>
          <cell r="M1764" t="str">
            <v/>
          </cell>
        </row>
        <row r="1765">
          <cell r="A1765">
            <v>31102192</v>
          </cell>
          <cell r="C1765">
            <v>31102192</v>
          </cell>
          <cell r="D1765">
            <v>31102192</v>
          </cell>
          <cell r="E1765">
            <v>31102192</v>
          </cell>
          <cell r="F1765">
            <v>31102192</v>
          </cell>
          <cell r="G1765">
            <v>31102192</v>
          </cell>
          <cell r="H1765">
            <v>31102192</v>
          </cell>
          <cell r="I1765" t="str">
            <v/>
          </cell>
          <cell r="J1765" t="str">
            <v/>
          </cell>
          <cell r="K1765" t="str">
            <v/>
          </cell>
          <cell r="L1765" t="str">
            <v/>
          </cell>
          <cell r="M1765" t="str">
            <v/>
          </cell>
        </row>
        <row r="1766">
          <cell r="A1766">
            <v>31102192</v>
          </cell>
          <cell r="C1766">
            <v>31102192</v>
          </cell>
          <cell r="D1766">
            <v>31102192</v>
          </cell>
          <cell r="E1766">
            <v>31102192</v>
          </cell>
          <cell r="F1766">
            <v>31102192</v>
          </cell>
          <cell r="G1766">
            <v>31102192</v>
          </cell>
          <cell r="H1766">
            <v>31102192</v>
          </cell>
          <cell r="I1766" t="str">
            <v/>
          </cell>
          <cell r="J1766" t="str">
            <v/>
          </cell>
          <cell r="K1766" t="str">
            <v/>
          </cell>
          <cell r="L1766" t="str">
            <v/>
          </cell>
          <cell r="M1766" t="str">
            <v/>
          </cell>
        </row>
        <row r="1767">
          <cell r="A1767">
            <v>31102192</v>
          </cell>
          <cell r="C1767">
            <v>31102192</v>
          </cell>
          <cell r="D1767">
            <v>31102192</v>
          </cell>
          <cell r="E1767">
            <v>31102192</v>
          </cell>
          <cell r="F1767">
            <v>31102192</v>
          </cell>
          <cell r="G1767">
            <v>31102192</v>
          </cell>
          <cell r="H1767">
            <v>31102192</v>
          </cell>
          <cell r="I1767" t="str">
            <v/>
          </cell>
          <cell r="J1767" t="str">
            <v/>
          </cell>
          <cell r="K1767" t="str">
            <v/>
          </cell>
          <cell r="L1767" t="str">
            <v/>
          </cell>
          <cell r="M1767" t="str">
            <v/>
          </cell>
        </row>
        <row r="1768">
          <cell r="A1768">
            <v>31102192</v>
          </cell>
          <cell r="C1768">
            <v>31102192</v>
          </cell>
          <cell r="D1768">
            <v>31102192</v>
          </cell>
          <cell r="E1768">
            <v>31102192</v>
          </cell>
          <cell r="F1768">
            <v>31102192</v>
          </cell>
          <cell r="G1768">
            <v>31102192</v>
          </cell>
          <cell r="H1768">
            <v>31102192</v>
          </cell>
          <cell r="I1768" t="str">
            <v/>
          </cell>
          <cell r="J1768" t="str">
            <v/>
          </cell>
          <cell r="K1768" t="str">
            <v/>
          </cell>
          <cell r="L1768" t="str">
            <v/>
          </cell>
          <cell r="M1768" t="str">
            <v/>
          </cell>
        </row>
        <row r="1769">
          <cell r="A1769">
            <v>31102192</v>
          </cell>
          <cell r="C1769">
            <v>31102192</v>
          </cell>
          <cell r="D1769">
            <v>31102192</v>
          </cell>
          <cell r="E1769">
            <v>31102192</v>
          </cell>
          <cell r="F1769">
            <v>31102192</v>
          </cell>
          <cell r="G1769">
            <v>31102192</v>
          </cell>
          <cell r="H1769">
            <v>31102192</v>
          </cell>
          <cell r="I1769" t="str">
            <v/>
          </cell>
          <cell r="J1769" t="str">
            <v/>
          </cell>
          <cell r="K1769" t="str">
            <v/>
          </cell>
          <cell r="L1769" t="str">
            <v/>
          </cell>
          <cell r="M1769" t="str">
            <v/>
          </cell>
        </row>
        <row r="1770">
          <cell r="A1770">
            <v>31102192</v>
          </cell>
          <cell r="C1770">
            <v>31102192</v>
          </cell>
          <cell r="D1770">
            <v>31102192</v>
          </cell>
          <cell r="E1770">
            <v>31102192</v>
          </cell>
          <cell r="F1770">
            <v>31102192</v>
          </cell>
          <cell r="G1770">
            <v>31102192</v>
          </cell>
          <cell r="H1770">
            <v>31102192</v>
          </cell>
          <cell r="I1770" t="str">
            <v/>
          </cell>
          <cell r="J1770" t="str">
            <v/>
          </cell>
          <cell r="K1770" t="str">
            <v/>
          </cell>
          <cell r="L1770" t="str">
            <v/>
          </cell>
          <cell r="M1770" t="str">
            <v/>
          </cell>
        </row>
        <row r="1771">
          <cell r="A1771">
            <v>31102192</v>
          </cell>
          <cell r="C1771">
            <v>31102192</v>
          </cell>
          <cell r="D1771">
            <v>31102192</v>
          </cell>
          <cell r="E1771">
            <v>31102192</v>
          </cell>
          <cell r="F1771">
            <v>31102192</v>
          </cell>
          <cell r="G1771">
            <v>31102192</v>
          </cell>
          <cell r="H1771">
            <v>31102192</v>
          </cell>
          <cell r="I1771" t="str">
            <v/>
          </cell>
          <cell r="J1771" t="str">
            <v/>
          </cell>
          <cell r="K1771" t="str">
            <v/>
          </cell>
          <cell r="L1771" t="str">
            <v/>
          </cell>
          <cell r="M1771" t="str">
            <v/>
          </cell>
        </row>
        <row r="1772">
          <cell r="A1772">
            <v>31102192</v>
          </cell>
          <cell r="C1772">
            <v>31102192</v>
          </cell>
          <cell r="D1772">
            <v>31102192</v>
          </cell>
          <cell r="E1772">
            <v>31102192</v>
          </cell>
          <cell r="F1772">
            <v>31102192</v>
          </cell>
          <cell r="G1772">
            <v>31102192</v>
          </cell>
          <cell r="H1772">
            <v>31102192</v>
          </cell>
          <cell r="I1772" t="str">
            <v/>
          </cell>
          <cell r="J1772" t="str">
            <v/>
          </cell>
          <cell r="K1772" t="str">
            <v/>
          </cell>
          <cell r="L1772" t="str">
            <v/>
          </cell>
          <cell r="M1772" t="str">
            <v/>
          </cell>
        </row>
        <row r="1773">
          <cell r="A1773">
            <v>31102192</v>
          </cell>
          <cell r="C1773">
            <v>31102192</v>
          </cell>
          <cell r="D1773">
            <v>31102192</v>
          </cell>
          <cell r="E1773">
            <v>31102192</v>
          </cell>
          <cell r="F1773">
            <v>31102192</v>
          </cell>
          <cell r="G1773">
            <v>31102192</v>
          </cell>
          <cell r="H1773">
            <v>31102192</v>
          </cell>
          <cell r="I1773" t="str">
            <v/>
          </cell>
          <cell r="J1773" t="str">
            <v/>
          </cell>
          <cell r="K1773" t="str">
            <v/>
          </cell>
          <cell r="L1773" t="str">
            <v/>
          </cell>
          <cell r="M1773" t="str">
            <v/>
          </cell>
        </row>
        <row r="1774">
          <cell r="A1774">
            <v>31102192</v>
          </cell>
          <cell r="C1774">
            <v>31102192</v>
          </cell>
          <cell r="D1774">
            <v>31102192</v>
          </cell>
          <cell r="E1774">
            <v>31102192</v>
          </cell>
          <cell r="F1774">
            <v>31102192</v>
          </cell>
          <cell r="G1774">
            <v>31102192</v>
          </cell>
          <cell r="H1774">
            <v>31102192</v>
          </cell>
          <cell r="I1774" t="str">
            <v/>
          </cell>
          <cell r="J1774" t="str">
            <v/>
          </cell>
          <cell r="K1774" t="str">
            <v/>
          </cell>
          <cell r="L1774" t="str">
            <v/>
          </cell>
          <cell r="M1774" t="str">
            <v/>
          </cell>
        </row>
        <row r="1775">
          <cell r="A1775">
            <v>31102192</v>
          </cell>
          <cell r="C1775">
            <v>31102192</v>
          </cell>
          <cell r="D1775">
            <v>31102192</v>
          </cell>
          <cell r="E1775">
            <v>31102192</v>
          </cell>
          <cell r="F1775">
            <v>31102192</v>
          </cell>
          <cell r="G1775">
            <v>31102192</v>
          </cell>
          <cell r="H1775">
            <v>31102192</v>
          </cell>
          <cell r="I1775" t="str">
            <v/>
          </cell>
          <cell r="J1775" t="str">
            <v/>
          </cell>
          <cell r="K1775" t="str">
            <v/>
          </cell>
          <cell r="L1775" t="str">
            <v/>
          </cell>
          <cell r="M1775" t="str">
            <v/>
          </cell>
        </row>
        <row r="1776">
          <cell r="A1776">
            <v>31102192</v>
          </cell>
          <cell r="C1776">
            <v>31102192</v>
          </cell>
          <cell r="D1776">
            <v>31102192</v>
          </cell>
          <cell r="E1776">
            <v>31102192</v>
          </cell>
          <cell r="F1776">
            <v>31102192</v>
          </cell>
          <cell r="G1776">
            <v>31102192</v>
          </cell>
          <cell r="H1776">
            <v>31102192</v>
          </cell>
          <cell r="I1776" t="str">
            <v/>
          </cell>
          <cell r="J1776" t="str">
            <v/>
          </cell>
          <cell r="K1776" t="str">
            <v/>
          </cell>
          <cell r="L1776" t="str">
            <v/>
          </cell>
          <cell r="M1776" t="str">
            <v/>
          </cell>
        </row>
        <row r="1777">
          <cell r="A1777">
            <v>31102192</v>
          </cell>
          <cell r="C1777">
            <v>31102192</v>
          </cell>
          <cell r="D1777">
            <v>31102192</v>
          </cell>
          <cell r="E1777">
            <v>31102192</v>
          </cell>
          <cell r="F1777">
            <v>31102192</v>
          </cell>
          <cell r="G1777">
            <v>31102192</v>
          </cell>
          <cell r="H1777">
            <v>31102192</v>
          </cell>
          <cell r="I1777" t="str">
            <v/>
          </cell>
          <cell r="J1777" t="str">
            <v/>
          </cell>
          <cell r="K1777" t="str">
            <v/>
          </cell>
          <cell r="L1777" t="str">
            <v/>
          </cell>
          <cell r="M1777" t="str">
            <v/>
          </cell>
        </row>
        <row r="1778">
          <cell r="A1778">
            <v>31102192</v>
          </cell>
          <cell r="C1778">
            <v>31102192</v>
          </cell>
          <cell r="D1778">
            <v>31102192</v>
          </cell>
          <cell r="E1778">
            <v>31102192</v>
          </cell>
          <cell r="F1778">
            <v>31102192</v>
          </cell>
          <cell r="G1778">
            <v>31102192</v>
          </cell>
          <cell r="H1778">
            <v>31102192</v>
          </cell>
          <cell r="I1778" t="str">
            <v/>
          </cell>
          <cell r="J1778" t="str">
            <v/>
          </cell>
          <cell r="K1778" t="str">
            <v/>
          </cell>
          <cell r="L1778" t="str">
            <v/>
          </cell>
          <cell r="M1778" t="str">
            <v/>
          </cell>
        </row>
        <row r="1779">
          <cell r="A1779">
            <v>31102192</v>
          </cell>
          <cell r="C1779">
            <v>31102192</v>
          </cell>
          <cell r="D1779">
            <v>31102192</v>
          </cell>
          <cell r="E1779">
            <v>31102192</v>
          </cell>
          <cell r="F1779">
            <v>31102192</v>
          </cell>
          <cell r="G1779">
            <v>31102192</v>
          </cell>
          <cell r="H1779">
            <v>31102192</v>
          </cell>
          <cell r="I1779" t="str">
            <v/>
          </cell>
          <cell r="J1779" t="str">
            <v/>
          </cell>
          <cell r="K1779" t="str">
            <v/>
          </cell>
          <cell r="L1779" t="str">
            <v/>
          </cell>
          <cell r="M1779" t="str">
            <v/>
          </cell>
        </row>
        <row r="1780">
          <cell r="A1780">
            <v>31102192</v>
          </cell>
          <cell r="C1780">
            <v>31102192</v>
          </cell>
          <cell r="D1780">
            <v>31102192</v>
          </cell>
          <cell r="E1780">
            <v>31102192</v>
          </cell>
          <cell r="F1780">
            <v>31102192</v>
          </cell>
          <cell r="G1780">
            <v>31102192</v>
          </cell>
          <cell r="H1780">
            <v>31102192</v>
          </cell>
          <cell r="I1780" t="str">
            <v/>
          </cell>
          <cell r="J1780" t="str">
            <v/>
          </cell>
          <cell r="K1780" t="str">
            <v/>
          </cell>
          <cell r="L1780" t="str">
            <v/>
          </cell>
          <cell r="M1780" t="str">
            <v/>
          </cell>
        </row>
        <row r="1781">
          <cell r="A1781">
            <v>31102192</v>
          </cell>
          <cell r="C1781">
            <v>31102192</v>
          </cell>
          <cell r="D1781">
            <v>31102192</v>
          </cell>
          <cell r="E1781">
            <v>31102192</v>
          </cell>
          <cell r="F1781">
            <v>31102192</v>
          </cell>
          <cell r="G1781">
            <v>31102192</v>
          </cell>
          <cell r="H1781">
            <v>31102192</v>
          </cell>
          <cell r="I1781" t="str">
            <v/>
          </cell>
          <cell r="J1781" t="str">
            <v/>
          </cell>
          <cell r="K1781" t="str">
            <v/>
          </cell>
          <cell r="L1781" t="str">
            <v/>
          </cell>
          <cell r="M1781" t="str">
            <v/>
          </cell>
        </row>
        <row r="1782">
          <cell r="A1782">
            <v>31102192</v>
          </cell>
          <cell r="C1782">
            <v>31102192</v>
          </cell>
          <cell r="D1782">
            <v>31102192</v>
          </cell>
          <cell r="E1782">
            <v>31102192</v>
          </cell>
          <cell r="F1782">
            <v>31102192</v>
          </cell>
          <cell r="G1782">
            <v>31102192</v>
          </cell>
          <cell r="H1782">
            <v>31102192</v>
          </cell>
          <cell r="I1782" t="str">
            <v/>
          </cell>
          <cell r="J1782" t="str">
            <v/>
          </cell>
          <cell r="K1782" t="str">
            <v/>
          </cell>
          <cell r="L1782" t="str">
            <v/>
          </cell>
          <cell r="M1782" t="str">
            <v/>
          </cell>
        </row>
        <row r="1783">
          <cell r="A1783">
            <v>31102192</v>
          </cell>
          <cell r="C1783">
            <v>31102192</v>
          </cell>
          <cell r="D1783">
            <v>31102192</v>
          </cell>
          <cell r="E1783">
            <v>31102192</v>
          </cell>
          <cell r="F1783">
            <v>31102192</v>
          </cell>
          <cell r="G1783">
            <v>31102192</v>
          </cell>
          <cell r="H1783">
            <v>31102192</v>
          </cell>
          <cell r="I1783" t="str">
            <v/>
          </cell>
          <cell r="J1783" t="str">
            <v/>
          </cell>
          <cell r="K1783" t="str">
            <v/>
          </cell>
          <cell r="L1783" t="str">
            <v/>
          </cell>
          <cell r="M1783" t="str">
            <v/>
          </cell>
        </row>
        <row r="1784">
          <cell r="A1784">
            <v>31102192</v>
          </cell>
          <cell r="C1784">
            <v>31102192</v>
          </cell>
          <cell r="D1784">
            <v>31102192</v>
          </cell>
          <cell r="E1784">
            <v>31102192</v>
          </cell>
          <cell r="F1784">
            <v>31102192</v>
          </cell>
          <cell r="G1784">
            <v>31102192</v>
          </cell>
          <cell r="H1784">
            <v>31102192</v>
          </cell>
          <cell r="I1784" t="str">
            <v/>
          </cell>
          <cell r="J1784" t="str">
            <v/>
          </cell>
          <cell r="K1784" t="str">
            <v/>
          </cell>
          <cell r="L1784" t="str">
            <v/>
          </cell>
          <cell r="M1784" t="str">
            <v/>
          </cell>
        </row>
        <row r="1785">
          <cell r="A1785">
            <v>31102192</v>
          </cell>
          <cell r="C1785">
            <v>31102192</v>
          </cell>
          <cell r="D1785">
            <v>31102192</v>
          </cell>
          <cell r="E1785">
            <v>31102192</v>
          </cell>
          <cell r="F1785">
            <v>31102192</v>
          </cell>
          <cell r="G1785">
            <v>31102192</v>
          </cell>
          <cell r="H1785">
            <v>31102192</v>
          </cell>
          <cell r="I1785" t="str">
            <v/>
          </cell>
          <cell r="J1785" t="str">
            <v/>
          </cell>
          <cell r="K1785" t="str">
            <v/>
          </cell>
          <cell r="L1785" t="str">
            <v/>
          </cell>
          <cell r="M1785" t="str">
            <v/>
          </cell>
        </row>
        <row r="1786">
          <cell r="A1786">
            <v>31102192</v>
          </cell>
          <cell r="C1786">
            <v>31102192</v>
          </cell>
          <cell r="D1786">
            <v>31102192</v>
          </cell>
          <cell r="E1786">
            <v>31102192</v>
          </cell>
          <cell r="F1786">
            <v>31102192</v>
          </cell>
          <cell r="G1786">
            <v>31102192</v>
          </cell>
          <cell r="H1786">
            <v>31102192</v>
          </cell>
          <cell r="I1786" t="str">
            <v/>
          </cell>
          <cell r="J1786" t="str">
            <v/>
          </cell>
          <cell r="K1786" t="str">
            <v/>
          </cell>
          <cell r="L1786" t="str">
            <v/>
          </cell>
          <cell r="M1786" t="str">
            <v/>
          </cell>
        </row>
        <row r="1787">
          <cell r="A1787">
            <v>31102192</v>
          </cell>
          <cell r="C1787">
            <v>31102192</v>
          </cell>
          <cell r="D1787">
            <v>31102192</v>
          </cell>
          <cell r="E1787">
            <v>31102192</v>
          </cell>
          <cell r="F1787">
            <v>31102192</v>
          </cell>
          <cell r="G1787">
            <v>31102192</v>
          </cell>
          <cell r="H1787">
            <v>31102192</v>
          </cell>
          <cell r="I1787" t="str">
            <v/>
          </cell>
          <cell r="J1787" t="str">
            <v/>
          </cell>
          <cell r="K1787" t="str">
            <v/>
          </cell>
          <cell r="L1787" t="str">
            <v/>
          </cell>
          <cell r="M1787" t="str">
            <v/>
          </cell>
        </row>
        <row r="1788">
          <cell r="A1788">
            <v>31102192</v>
          </cell>
          <cell r="C1788">
            <v>31102192</v>
          </cell>
          <cell r="D1788">
            <v>31102192</v>
          </cell>
          <cell r="E1788">
            <v>31102192</v>
          </cell>
          <cell r="F1788">
            <v>31102192</v>
          </cell>
          <cell r="G1788">
            <v>31102192</v>
          </cell>
          <cell r="H1788">
            <v>31102192</v>
          </cell>
          <cell r="I1788" t="str">
            <v/>
          </cell>
          <cell r="J1788" t="str">
            <v/>
          </cell>
          <cell r="K1788" t="str">
            <v/>
          </cell>
          <cell r="L1788" t="str">
            <v/>
          </cell>
          <cell r="M1788" t="str">
            <v/>
          </cell>
        </row>
        <row r="1789">
          <cell r="A1789">
            <v>31102192</v>
          </cell>
          <cell r="C1789">
            <v>31102192</v>
          </cell>
          <cell r="D1789">
            <v>31102192</v>
          </cell>
          <cell r="E1789">
            <v>31102192</v>
          </cell>
          <cell r="F1789">
            <v>31102192</v>
          </cell>
          <cell r="G1789">
            <v>31102192</v>
          </cell>
          <cell r="H1789">
            <v>31102192</v>
          </cell>
          <cell r="I1789" t="str">
            <v/>
          </cell>
          <cell r="J1789" t="str">
            <v/>
          </cell>
          <cell r="K1789" t="str">
            <v/>
          </cell>
          <cell r="L1789" t="str">
            <v/>
          </cell>
          <cell r="M1789" t="str">
            <v/>
          </cell>
        </row>
        <row r="1790">
          <cell r="A1790">
            <v>31102192</v>
          </cell>
          <cell r="C1790">
            <v>31102192</v>
          </cell>
          <cell r="D1790">
            <v>31102192</v>
          </cell>
          <cell r="E1790">
            <v>31102192</v>
          </cell>
          <cell r="F1790">
            <v>31102192</v>
          </cell>
          <cell r="G1790">
            <v>31102192</v>
          </cell>
          <cell r="H1790">
            <v>31102192</v>
          </cell>
          <cell r="I1790" t="str">
            <v/>
          </cell>
          <cell r="J1790" t="str">
            <v/>
          </cell>
          <cell r="K1790" t="str">
            <v/>
          </cell>
          <cell r="L1790" t="str">
            <v/>
          </cell>
          <cell r="M1790" t="str">
            <v/>
          </cell>
        </row>
        <row r="1791">
          <cell r="A1791">
            <v>31102192</v>
          </cell>
          <cell r="C1791">
            <v>31102192</v>
          </cell>
          <cell r="D1791">
            <v>31102192</v>
          </cell>
          <cell r="E1791">
            <v>31102192</v>
          </cell>
          <cell r="F1791">
            <v>31102192</v>
          </cell>
          <cell r="G1791">
            <v>31102192</v>
          </cell>
          <cell r="H1791">
            <v>31102192</v>
          </cell>
          <cell r="I1791" t="str">
            <v/>
          </cell>
          <cell r="J1791" t="str">
            <v/>
          </cell>
          <cell r="K1791" t="str">
            <v/>
          </cell>
          <cell r="L1791" t="str">
            <v/>
          </cell>
          <cell r="M1791" t="str">
            <v/>
          </cell>
        </row>
        <row r="1792">
          <cell r="A1792">
            <v>31102192</v>
          </cell>
          <cell r="C1792">
            <v>31102192</v>
          </cell>
          <cell r="D1792">
            <v>31102192</v>
          </cell>
          <cell r="E1792">
            <v>31102192</v>
          </cell>
          <cell r="F1792">
            <v>31102192</v>
          </cell>
          <cell r="G1792">
            <v>31102192</v>
          </cell>
          <cell r="H1792">
            <v>31102192</v>
          </cell>
          <cell r="I1792" t="str">
            <v/>
          </cell>
          <cell r="J1792" t="str">
            <v/>
          </cell>
          <cell r="K1792" t="str">
            <v/>
          </cell>
          <cell r="L1792" t="str">
            <v/>
          </cell>
          <cell r="M1792" t="str">
            <v/>
          </cell>
        </row>
        <row r="1793">
          <cell r="A1793">
            <v>31102192</v>
          </cell>
          <cell r="C1793">
            <v>31102192</v>
          </cell>
          <cell r="D1793">
            <v>31102192</v>
          </cell>
          <cell r="E1793">
            <v>31102192</v>
          </cell>
          <cell r="F1793">
            <v>31102192</v>
          </cell>
          <cell r="G1793">
            <v>31102192</v>
          </cell>
          <cell r="H1793">
            <v>31102192</v>
          </cell>
          <cell r="I1793" t="str">
            <v/>
          </cell>
          <cell r="J1793" t="str">
            <v/>
          </cell>
          <cell r="K1793" t="str">
            <v/>
          </cell>
          <cell r="L1793" t="str">
            <v/>
          </cell>
          <cell r="M1793" t="str">
            <v/>
          </cell>
        </row>
        <row r="1794">
          <cell r="A1794">
            <v>31102192</v>
          </cell>
          <cell r="C1794">
            <v>31102192</v>
          </cell>
          <cell r="D1794">
            <v>31102192</v>
          </cell>
          <cell r="E1794">
            <v>31102192</v>
          </cell>
          <cell r="F1794">
            <v>31102192</v>
          </cell>
          <cell r="G1794">
            <v>31102192</v>
          </cell>
          <cell r="H1794">
            <v>31102192</v>
          </cell>
          <cell r="I1794" t="str">
            <v/>
          </cell>
          <cell r="J1794" t="str">
            <v/>
          </cell>
          <cell r="K1794" t="str">
            <v/>
          </cell>
          <cell r="L1794" t="str">
            <v/>
          </cell>
          <cell r="M1794" t="str">
            <v/>
          </cell>
        </row>
        <row r="1795">
          <cell r="A1795">
            <v>31102192</v>
          </cell>
          <cell r="C1795">
            <v>31102192</v>
          </cell>
          <cell r="D1795">
            <v>31102192</v>
          </cell>
          <cell r="E1795">
            <v>31102192</v>
          </cell>
          <cell r="F1795">
            <v>31102192</v>
          </cell>
          <cell r="G1795">
            <v>31102192</v>
          </cell>
          <cell r="H1795">
            <v>31102192</v>
          </cell>
          <cell r="I1795" t="str">
            <v/>
          </cell>
          <cell r="J1795" t="str">
            <v/>
          </cell>
          <cell r="K1795" t="str">
            <v/>
          </cell>
          <cell r="L1795" t="str">
            <v/>
          </cell>
          <cell r="M1795" t="str">
            <v/>
          </cell>
        </row>
        <row r="1796">
          <cell r="A1796">
            <v>31102192</v>
          </cell>
          <cell r="C1796">
            <v>31102192</v>
          </cell>
          <cell r="D1796">
            <v>31102192</v>
          </cell>
          <cell r="E1796">
            <v>31102192</v>
          </cell>
          <cell r="F1796">
            <v>31102192</v>
          </cell>
          <cell r="G1796">
            <v>31102192</v>
          </cell>
          <cell r="H1796">
            <v>31102192</v>
          </cell>
          <cell r="I1796" t="str">
            <v/>
          </cell>
          <cell r="J1796" t="str">
            <v/>
          </cell>
          <cell r="K1796" t="str">
            <v/>
          </cell>
          <cell r="L1796" t="str">
            <v/>
          </cell>
          <cell r="M1796" t="str">
            <v/>
          </cell>
        </row>
        <row r="1797">
          <cell r="A1797">
            <v>31102192</v>
          </cell>
          <cell r="C1797">
            <v>31102192</v>
          </cell>
          <cell r="D1797">
            <v>31102192</v>
          </cell>
          <cell r="E1797">
            <v>31102192</v>
          </cell>
          <cell r="F1797">
            <v>31102192</v>
          </cell>
          <cell r="G1797">
            <v>31102192</v>
          </cell>
          <cell r="H1797">
            <v>31102192</v>
          </cell>
          <cell r="I1797" t="str">
            <v/>
          </cell>
          <cell r="J1797" t="str">
            <v/>
          </cell>
          <cell r="K1797" t="str">
            <v/>
          </cell>
          <cell r="L1797" t="str">
            <v/>
          </cell>
          <cell r="M1797" t="str">
            <v/>
          </cell>
        </row>
        <row r="1798">
          <cell r="A1798">
            <v>31102192</v>
          </cell>
          <cell r="C1798">
            <v>31102192</v>
          </cell>
          <cell r="D1798">
            <v>31102192</v>
          </cell>
          <cell r="E1798">
            <v>31102192</v>
          </cell>
          <cell r="F1798">
            <v>31102192</v>
          </cell>
          <cell r="G1798">
            <v>31102192</v>
          </cell>
          <cell r="H1798">
            <v>31102192</v>
          </cell>
          <cell r="I1798" t="str">
            <v/>
          </cell>
          <cell r="J1798" t="str">
            <v/>
          </cell>
          <cell r="K1798" t="str">
            <v/>
          </cell>
          <cell r="L1798" t="str">
            <v/>
          </cell>
          <cell r="M1798" t="str">
            <v/>
          </cell>
        </row>
        <row r="1799">
          <cell r="A1799">
            <v>31102192</v>
          </cell>
          <cell r="C1799">
            <v>31102192</v>
          </cell>
          <cell r="D1799">
            <v>31102192</v>
          </cell>
          <cell r="E1799">
            <v>31102192</v>
          </cell>
          <cell r="F1799">
            <v>31102192</v>
          </cell>
          <cell r="G1799">
            <v>31102192</v>
          </cell>
          <cell r="H1799">
            <v>31102192</v>
          </cell>
          <cell r="I1799" t="str">
            <v/>
          </cell>
          <cell r="J1799" t="str">
            <v/>
          </cell>
          <cell r="K1799" t="str">
            <v/>
          </cell>
          <cell r="L1799" t="str">
            <v/>
          </cell>
          <cell r="M1799" t="str">
            <v/>
          </cell>
        </row>
        <row r="1800">
          <cell r="A1800">
            <v>31102192</v>
          </cell>
          <cell r="C1800">
            <v>31102192</v>
          </cell>
          <cell r="D1800">
            <v>31102192</v>
          </cell>
          <cell r="E1800">
            <v>31102192</v>
          </cell>
          <cell r="F1800">
            <v>31102192</v>
          </cell>
          <cell r="G1800">
            <v>31102192</v>
          </cell>
          <cell r="H1800">
            <v>31102192</v>
          </cell>
          <cell r="I1800" t="str">
            <v/>
          </cell>
          <cell r="J1800" t="str">
            <v/>
          </cell>
          <cell r="K1800" t="str">
            <v/>
          </cell>
          <cell r="L1800" t="str">
            <v/>
          </cell>
          <cell r="M1800" t="str">
            <v/>
          </cell>
        </row>
        <row r="1801">
          <cell r="A1801">
            <v>31102192</v>
          </cell>
          <cell r="C1801">
            <v>31102192</v>
          </cell>
          <cell r="D1801">
            <v>31102192</v>
          </cell>
          <cell r="E1801">
            <v>31102192</v>
          </cell>
          <cell r="F1801">
            <v>31102192</v>
          </cell>
          <cell r="G1801">
            <v>31102192</v>
          </cell>
          <cell r="H1801">
            <v>31102192</v>
          </cell>
          <cell r="I1801" t="str">
            <v/>
          </cell>
          <cell r="J1801" t="str">
            <v/>
          </cell>
          <cell r="K1801" t="str">
            <v/>
          </cell>
          <cell r="L1801" t="str">
            <v/>
          </cell>
          <cell r="M1801" t="str">
            <v/>
          </cell>
        </row>
        <row r="1802">
          <cell r="A1802">
            <v>31102192</v>
          </cell>
          <cell r="C1802">
            <v>31102192</v>
          </cell>
          <cell r="D1802">
            <v>31102192</v>
          </cell>
          <cell r="E1802">
            <v>31102192</v>
          </cell>
          <cell r="F1802">
            <v>31102192</v>
          </cell>
          <cell r="G1802">
            <v>31102192</v>
          </cell>
          <cell r="H1802">
            <v>31102192</v>
          </cell>
          <cell r="I1802" t="str">
            <v/>
          </cell>
          <cell r="J1802" t="str">
            <v/>
          </cell>
          <cell r="K1802" t="str">
            <v/>
          </cell>
          <cell r="L1802" t="str">
            <v/>
          </cell>
          <cell r="M1802" t="str">
            <v/>
          </cell>
        </row>
        <row r="1803">
          <cell r="A1803">
            <v>31102192</v>
          </cell>
          <cell r="C1803">
            <v>31102192</v>
          </cell>
          <cell r="D1803">
            <v>31102192</v>
          </cell>
          <cell r="E1803">
            <v>31102192</v>
          </cell>
          <cell r="F1803">
            <v>31102192</v>
          </cell>
          <cell r="G1803">
            <v>31102192</v>
          </cell>
          <cell r="H1803">
            <v>31102192</v>
          </cell>
          <cell r="I1803" t="str">
            <v/>
          </cell>
          <cell r="J1803" t="str">
            <v/>
          </cell>
          <cell r="K1803" t="str">
            <v/>
          </cell>
          <cell r="L1803" t="str">
            <v/>
          </cell>
          <cell r="M1803" t="str">
            <v/>
          </cell>
        </row>
        <row r="1804">
          <cell r="A1804">
            <v>31102192</v>
          </cell>
          <cell r="C1804">
            <v>31102192</v>
          </cell>
          <cell r="D1804">
            <v>31102192</v>
          </cell>
          <cell r="E1804">
            <v>31102192</v>
          </cell>
          <cell r="F1804">
            <v>31102192</v>
          </cell>
          <cell r="G1804">
            <v>31102192</v>
          </cell>
          <cell r="H1804">
            <v>31102192</v>
          </cell>
          <cell r="I1804" t="str">
            <v/>
          </cell>
          <cell r="J1804" t="str">
            <v/>
          </cell>
          <cell r="K1804" t="str">
            <v/>
          </cell>
          <cell r="L1804" t="str">
            <v/>
          </cell>
          <cell r="M1804" t="str">
            <v/>
          </cell>
        </row>
        <row r="1805">
          <cell r="A1805">
            <v>31102192</v>
          </cell>
          <cell r="C1805">
            <v>31102192</v>
          </cell>
          <cell r="D1805">
            <v>31102192</v>
          </cell>
          <cell r="E1805">
            <v>31102192</v>
          </cell>
          <cell r="F1805">
            <v>31102192</v>
          </cell>
          <cell r="G1805">
            <v>31102192</v>
          </cell>
          <cell r="H1805">
            <v>31102192</v>
          </cell>
          <cell r="I1805" t="str">
            <v/>
          </cell>
          <cell r="J1805" t="str">
            <v/>
          </cell>
          <cell r="K1805" t="str">
            <v/>
          </cell>
          <cell r="L1805" t="str">
            <v/>
          </cell>
          <cell r="M1805" t="str">
            <v/>
          </cell>
        </row>
        <row r="1806">
          <cell r="A1806">
            <v>31102192</v>
          </cell>
          <cell r="C1806">
            <v>31102192</v>
          </cell>
          <cell r="D1806">
            <v>31102192</v>
          </cell>
          <cell r="E1806">
            <v>31102192</v>
          </cell>
          <cell r="F1806">
            <v>31102192</v>
          </cell>
          <cell r="G1806">
            <v>31102192</v>
          </cell>
          <cell r="H1806">
            <v>31102192</v>
          </cell>
          <cell r="I1806" t="str">
            <v/>
          </cell>
          <cell r="J1806" t="str">
            <v/>
          </cell>
          <cell r="K1806" t="str">
            <v/>
          </cell>
          <cell r="L1806" t="str">
            <v/>
          </cell>
          <cell r="M1806" t="str">
            <v/>
          </cell>
        </row>
        <row r="1807">
          <cell r="A1807">
            <v>31102192</v>
          </cell>
          <cell r="C1807">
            <v>31102192</v>
          </cell>
          <cell r="D1807">
            <v>31102192</v>
          </cell>
          <cell r="E1807">
            <v>31102192</v>
          </cell>
          <cell r="F1807">
            <v>31102192</v>
          </cell>
          <cell r="G1807">
            <v>31102192</v>
          </cell>
          <cell r="H1807">
            <v>31102192</v>
          </cell>
          <cell r="I1807" t="str">
            <v/>
          </cell>
          <cell r="J1807" t="str">
            <v/>
          </cell>
          <cell r="K1807" t="str">
            <v/>
          </cell>
          <cell r="L1807" t="str">
            <v/>
          </cell>
          <cell r="M1807" t="str">
            <v/>
          </cell>
        </row>
        <row r="1808">
          <cell r="A1808">
            <v>31102192</v>
          </cell>
          <cell r="C1808">
            <v>31102192</v>
          </cell>
          <cell r="D1808">
            <v>31102192</v>
          </cell>
          <cell r="E1808">
            <v>31102192</v>
          </cell>
          <cell r="F1808">
            <v>31102192</v>
          </cell>
          <cell r="G1808">
            <v>31102192</v>
          </cell>
          <cell r="H1808">
            <v>31102192</v>
          </cell>
          <cell r="I1808" t="str">
            <v/>
          </cell>
          <cell r="J1808" t="str">
            <v/>
          </cell>
          <cell r="K1808" t="str">
            <v/>
          </cell>
          <cell r="L1808" t="str">
            <v/>
          </cell>
          <cell r="M1808" t="str">
            <v/>
          </cell>
        </row>
        <row r="1809">
          <cell r="A1809">
            <v>31102192</v>
          </cell>
          <cell r="C1809">
            <v>31102192</v>
          </cell>
          <cell r="D1809">
            <v>31102192</v>
          </cell>
          <cell r="E1809">
            <v>31102192</v>
          </cell>
          <cell r="F1809">
            <v>31102192</v>
          </cell>
          <cell r="G1809">
            <v>31102192</v>
          </cell>
          <cell r="H1809">
            <v>31102192</v>
          </cell>
          <cell r="I1809" t="str">
            <v/>
          </cell>
          <cell r="J1809" t="str">
            <v/>
          </cell>
          <cell r="K1809" t="str">
            <v/>
          </cell>
          <cell r="L1809" t="str">
            <v/>
          </cell>
          <cell r="M1809" t="str">
            <v/>
          </cell>
        </row>
        <row r="1810">
          <cell r="A1810">
            <v>31102192</v>
          </cell>
          <cell r="C1810">
            <v>31102192</v>
          </cell>
          <cell r="D1810">
            <v>31102192</v>
          </cell>
          <cell r="E1810">
            <v>31102192</v>
          </cell>
          <cell r="F1810">
            <v>31102192</v>
          </cell>
          <cell r="G1810">
            <v>31102192</v>
          </cell>
          <cell r="H1810">
            <v>31102192</v>
          </cell>
          <cell r="I1810" t="str">
            <v/>
          </cell>
          <cell r="J1810" t="str">
            <v/>
          </cell>
          <cell r="K1810" t="str">
            <v/>
          </cell>
          <cell r="L1810" t="str">
            <v/>
          </cell>
          <cell r="M1810" t="str">
            <v/>
          </cell>
        </row>
        <row r="1811">
          <cell r="A1811">
            <v>31102192</v>
          </cell>
          <cell r="C1811">
            <v>31102192</v>
          </cell>
          <cell r="D1811">
            <v>31102192</v>
          </cell>
          <cell r="E1811">
            <v>31102192</v>
          </cell>
          <cell r="F1811">
            <v>31102192</v>
          </cell>
          <cell r="G1811">
            <v>31102192</v>
          </cell>
          <cell r="H1811">
            <v>31102192</v>
          </cell>
          <cell r="I1811" t="str">
            <v/>
          </cell>
          <cell r="J1811" t="str">
            <v/>
          </cell>
          <cell r="K1811" t="str">
            <v/>
          </cell>
          <cell r="L1811" t="str">
            <v/>
          </cell>
          <cell r="M1811" t="str">
            <v/>
          </cell>
        </row>
        <row r="1812">
          <cell r="A1812">
            <v>31102192</v>
          </cell>
          <cell r="C1812">
            <v>31102192</v>
          </cell>
          <cell r="D1812">
            <v>31102192</v>
          </cell>
          <cell r="E1812">
            <v>31102192</v>
          </cell>
          <cell r="F1812">
            <v>31102192</v>
          </cell>
          <cell r="G1812">
            <v>31102192</v>
          </cell>
          <cell r="H1812">
            <v>31102192</v>
          </cell>
          <cell r="I1812" t="str">
            <v/>
          </cell>
          <cell r="J1812" t="str">
            <v/>
          </cell>
          <cell r="K1812" t="str">
            <v/>
          </cell>
          <cell r="L1812" t="str">
            <v/>
          </cell>
          <cell r="M1812" t="str">
            <v/>
          </cell>
        </row>
        <row r="1813">
          <cell r="A1813">
            <v>31102192</v>
          </cell>
          <cell r="C1813">
            <v>31102192</v>
          </cell>
          <cell r="D1813">
            <v>31102192</v>
          </cell>
          <cell r="E1813">
            <v>31102192</v>
          </cell>
          <cell r="F1813">
            <v>31102192</v>
          </cell>
          <cell r="G1813">
            <v>31102192</v>
          </cell>
          <cell r="H1813">
            <v>31102192</v>
          </cell>
          <cell r="I1813" t="str">
            <v/>
          </cell>
          <cell r="J1813" t="str">
            <v/>
          </cell>
          <cell r="K1813" t="str">
            <v/>
          </cell>
          <cell r="L1813" t="str">
            <v/>
          </cell>
          <cell r="M1813" t="str">
            <v/>
          </cell>
        </row>
        <row r="1814">
          <cell r="A1814">
            <v>31102192</v>
          </cell>
          <cell r="C1814">
            <v>31102192</v>
          </cell>
          <cell r="D1814">
            <v>31102192</v>
          </cell>
          <cell r="E1814">
            <v>31102192</v>
          </cell>
          <cell r="F1814">
            <v>31102192</v>
          </cell>
          <cell r="G1814">
            <v>31102192</v>
          </cell>
          <cell r="H1814">
            <v>31102192</v>
          </cell>
          <cell r="I1814" t="str">
            <v/>
          </cell>
          <cell r="J1814" t="str">
            <v/>
          </cell>
          <cell r="K1814" t="str">
            <v/>
          </cell>
          <cell r="L1814" t="str">
            <v/>
          </cell>
          <cell r="M1814" t="str">
            <v/>
          </cell>
        </row>
        <row r="1815">
          <cell r="A1815">
            <v>31102192</v>
          </cell>
          <cell r="C1815">
            <v>31102192</v>
          </cell>
          <cell r="D1815">
            <v>31102192</v>
          </cell>
          <cell r="E1815">
            <v>31102192</v>
          </cell>
          <cell r="F1815">
            <v>31102192</v>
          </cell>
          <cell r="G1815">
            <v>31102192</v>
          </cell>
          <cell r="H1815">
            <v>31102192</v>
          </cell>
          <cell r="I1815" t="str">
            <v/>
          </cell>
          <cell r="J1815" t="str">
            <v/>
          </cell>
          <cell r="K1815" t="str">
            <v/>
          </cell>
          <cell r="L1815" t="str">
            <v/>
          </cell>
          <cell r="M1815" t="str">
            <v/>
          </cell>
        </row>
        <row r="1816">
          <cell r="A1816">
            <v>31102192</v>
          </cell>
          <cell r="C1816">
            <v>31102192</v>
          </cell>
          <cell r="D1816">
            <v>31102192</v>
          </cell>
          <cell r="E1816">
            <v>31102192</v>
          </cell>
          <cell r="F1816">
            <v>31102192</v>
          </cell>
          <cell r="G1816">
            <v>31102192</v>
          </cell>
          <cell r="H1816">
            <v>31102192</v>
          </cell>
          <cell r="I1816" t="str">
            <v/>
          </cell>
          <cell r="J1816" t="str">
            <v/>
          </cell>
          <cell r="K1816" t="str">
            <v/>
          </cell>
          <cell r="L1816" t="str">
            <v/>
          </cell>
          <cell r="M1816" t="str">
            <v/>
          </cell>
        </row>
        <row r="1817">
          <cell r="A1817">
            <v>31102192</v>
          </cell>
          <cell r="C1817">
            <v>31102192</v>
          </cell>
          <cell r="D1817">
            <v>31102192</v>
          </cell>
          <cell r="E1817">
            <v>31102192</v>
          </cell>
          <cell r="F1817">
            <v>31102192</v>
          </cell>
          <cell r="G1817">
            <v>31102192</v>
          </cell>
          <cell r="H1817">
            <v>31102192</v>
          </cell>
          <cell r="I1817" t="str">
            <v/>
          </cell>
          <cell r="J1817" t="str">
            <v/>
          </cell>
          <cell r="K1817" t="str">
            <v/>
          </cell>
          <cell r="L1817" t="str">
            <v/>
          </cell>
          <cell r="M1817" t="str">
            <v/>
          </cell>
        </row>
        <row r="1818">
          <cell r="A1818">
            <v>31102192</v>
          </cell>
          <cell r="C1818">
            <v>31102192</v>
          </cell>
          <cell r="D1818">
            <v>31102192</v>
          </cell>
          <cell r="E1818">
            <v>31102192</v>
          </cell>
          <cell r="F1818">
            <v>31102192</v>
          </cell>
          <cell r="G1818">
            <v>31102192</v>
          </cell>
          <cell r="H1818">
            <v>31102192</v>
          </cell>
          <cell r="I1818" t="str">
            <v/>
          </cell>
          <cell r="J1818" t="str">
            <v/>
          </cell>
          <cell r="K1818" t="str">
            <v/>
          </cell>
          <cell r="L1818" t="str">
            <v/>
          </cell>
          <cell r="M1818" t="str">
            <v/>
          </cell>
        </row>
        <row r="1819">
          <cell r="A1819">
            <v>31102192</v>
          </cell>
          <cell r="C1819">
            <v>31102192</v>
          </cell>
          <cell r="D1819">
            <v>31102192</v>
          </cell>
          <cell r="E1819">
            <v>31102192</v>
          </cell>
          <cell r="F1819">
            <v>31102192</v>
          </cell>
          <cell r="G1819">
            <v>31102192</v>
          </cell>
          <cell r="H1819">
            <v>31102192</v>
          </cell>
          <cell r="I1819" t="str">
            <v/>
          </cell>
          <cell r="J1819" t="str">
            <v/>
          </cell>
          <cell r="K1819" t="str">
            <v/>
          </cell>
          <cell r="L1819" t="str">
            <v/>
          </cell>
          <cell r="M1819" t="str">
            <v/>
          </cell>
        </row>
        <row r="1820">
          <cell r="A1820">
            <v>31102192</v>
          </cell>
          <cell r="C1820">
            <v>31102192</v>
          </cell>
          <cell r="D1820">
            <v>31102192</v>
          </cell>
          <cell r="E1820">
            <v>31102192</v>
          </cell>
          <cell r="F1820">
            <v>31102192</v>
          </cell>
          <cell r="G1820">
            <v>31102192</v>
          </cell>
          <cell r="H1820">
            <v>31102192</v>
          </cell>
          <cell r="I1820" t="str">
            <v/>
          </cell>
          <cell r="J1820" t="str">
            <v/>
          </cell>
          <cell r="K1820" t="str">
            <v/>
          </cell>
          <cell r="L1820" t="str">
            <v/>
          </cell>
          <cell r="M1820" t="str">
            <v/>
          </cell>
        </row>
        <row r="1821">
          <cell r="A1821">
            <v>31102192</v>
          </cell>
          <cell r="C1821">
            <v>31102192</v>
          </cell>
          <cell r="D1821">
            <v>31102192</v>
          </cell>
          <cell r="E1821">
            <v>31102192</v>
          </cell>
          <cell r="F1821">
            <v>31102192</v>
          </cell>
          <cell r="G1821">
            <v>31102192</v>
          </cell>
          <cell r="H1821">
            <v>31102192</v>
          </cell>
          <cell r="I1821" t="str">
            <v/>
          </cell>
          <cell r="J1821" t="str">
            <v/>
          </cell>
          <cell r="K1821" t="str">
            <v/>
          </cell>
          <cell r="L1821" t="str">
            <v/>
          </cell>
          <cell r="M1821" t="str">
            <v/>
          </cell>
        </row>
        <row r="1822">
          <cell r="A1822">
            <v>31102192</v>
          </cell>
          <cell r="C1822">
            <v>31102192</v>
          </cell>
          <cell r="D1822">
            <v>31102192</v>
          </cell>
          <cell r="E1822">
            <v>31102192</v>
          </cell>
          <cell r="F1822">
            <v>31102192</v>
          </cell>
          <cell r="G1822">
            <v>31102192</v>
          </cell>
          <cell r="H1822">
            <v>31102192</v>
          </cell>
          <cell r="I1822" t="str">
            <v/>
          </cell>
          <cell r="J1822" t="str">
            <v/>
          </cell>
          <cell r="K1822" t="str">
            <v/>
          </cell>
          <cell r="L1822" t="str">
            <v/>
          </cell>
          <cell r="M1822" t="str">
            <v/>
          </cell>
        </row>
        <row r="1823">
          <cell r="A1823">
            <v>31102192</v>
          </cell>
          <cell r="C1823">
            <v>31102192</v>
          </cell>
          <cell r="D1823">
            <v>31102192</v>
          </cell>
          <cell r="E1823">
            <v>31102192</v>
          </cell>
          <cell r="F1823">
            <v>31102192</v>
          </cell>
          <cell r="G1823">
            <v>31102192</v>
          </cell>
          <cell r="H1823">
            <v>31102192</v>
          </cell>
          <cell r="I1823" t="str">
            <v/>
          </cell>
          <cell r="J1823" t="str">
            <v/>
          </cell>
          <cell r="K1823" t="str">
            <v/>
          </cell>
          <cell r="L1823" t="str">
            <v/>
          </cell>
          <cell r="M1823" t="str">
            <v/>
          </cell>
        </row>
        <row r="1824">
          <cell r="A1824">
            <v>31102192</v>
          </cell>
          <cell r="C1824">
            <v>31102192</v>
          </cell>
          <cell r="D1824">
            <v>31102192</v>
          </cell>
          <cell r="E1824">
            <v>31102192</v>
          </cell>
          <cell r="F1824">
            <v>31102192</v>
          </cell>
          <cell r="G1824">
            <v>31102192</v>
          </cell>
          <cell r="H1824">
            <v>31102192</v>
          </cell>
          <cell r="I1824" t="str">
            <v/>
          </cell>
          <cell r="J1824" t="str">
            <v/>
          </cell>
          <cell r="K1824" t="str">
            <v/>
          </cell>
          <cell r="L1824" t="str">
            <v/>
          </cell>
          <cell r="M1824" t="str">
            <v/>
          </cell>
        </row>
        <row r="1825">
          <cell r="A1825">
            <v>31102192</v>
          </cell>
          <cell r="C1825">
            <v>31102192</v>
          </cell>
          <cell r="D1825">
            <v>31102192</v>
          </cell>
          <cell r="E1825">
            <v>31102192</v>
          </cell>
          <cell r="F1825">
            <v>31102192</v>
          </cell>
          <cell r="G1825">
            <v>31102192</v>
          </cell>
          <cell r="H1825">
            <v>31102192</v>
          </cell>
          <cell r="I1825" t="str">
            <v/>
          </cell>
          <cell r="J1825" t="str">
            <v/>
          </cell>
          <cell r="K1825" t="str">
            <v/>
          </cell>
          <cell r="L1825" t="str">
            <v/>
          </cell>
          <cell r="M1825" t="str">
            <v/>
          </cell>
        </row>
        <row r="1826">
          <cell r="A1826">
            <v>31102192</v>
          </cell>
          <cell r="C1826">
            <v>31102192</v>
          </cell>
          <cell r="D1826">
            <v>31102192</v>
          </cell>
          <cell r="E1826">
            <v>31102192</v>
          </cell>
          <cell r="F1826">
            <v>31102192</v>
          </cell>
          <cell r="G1826">
            <v>31102192</v>
          </cell>
          <cell r="H1826">
            <v>31102192</v>
          </cell>
          <cell r="I1826" t="str">
            <v/>
          </cell>
          <cell r="J1826" t="str">
            <v/>
          </cell>
          <cell r="K1826" t="str">
            <v/>
          </cell>
          <cell r="L1826" t="str">
            <v/>
          </cell>
          <cell r="M1826" t="str">
            <v/>
          </cell>
        </row>
        <row r="1827">
          <cell r="A1827">
            <v>31102192</v>
          </cell>
          <cell r="C1827">
            <v>31102192</v>
          </cell>
          <cell r="D1827">
            <v>31102192</v>
          </cell>
          <cell r="E1827">
            <v>31102192</v>
          </cell>
          <cell r="F1827">
            <v>31102192</v>
          </cell>
          <cell r="G1827">
            <v>31102192</v>
          </cell>
          <cell r="H1827">
            <v>31102192</v>
          </cell>
          <cell r="I1827" t="str">
            <v/>
          </cell>
          <cell r="J1827" t="str">
            <v/>
          </cell>
          <cell r="K1827" t="str">
            <v/>
          </cell>
          <cell r="L1827" t="str">
            <v/>
          </cell>
          <cell r="M1827" t="str">
            <v/>
          </cell>
        </row>
        <row r="1828">
          <cell r="A1828">
            <v>31102192</v>
          </cell>
          <cell r="C1828">
            <v>31102192</v>
          </cell>
          <cell r="D1828">
            <v>31102192</v>
          </cell>
          <cell r="E1828">
            <v>31102192</v>
          </cell>
          <cell r="F1828">
            <v>31102192</v>
          </cell>
          <cell r="G1828">
            <v>31102192</v>
          </cell>
          <cell r="H1828">
            <v>31102192</v>
          </cell>
          <cell r="I1828" t="str">
            <v/>
          </cell>
          <cell r="J1828" t="str">
            <v/>
          </cell>
          <cell r="K1828" t="str">
            <v/>
          </cell>
          <cell r="L1828" t="str">
            <v/>
          </cell>
          <cell r="M1828" t="str">
            <v/>
          </cell>
        </row>
        <row r="1829">
          <cell r="A1829">
            <v>31102192</v>
          </cell>
          <cell r="C1829">
            <v>31102192</v>
          </cell>
          <cell r="D1829">
            <v>31102192</v>
          </cell>
          <cell r="E1829">
            <v>31102192</v>
          </cell>
          <cell r="F1829">
            <v>31102192</v>
          </cell>
          <cell r="G1829">
            <v>31102192</v>
          </cell>
          <cell r="H1829">
            <v>31102192</v>
          </cell>
          <cell r="I1829" t="str">
            <v/>
          </cell>
          <cell r="J1829" t="str">
            <v/>
          </cell>
          <cell r="K1829" t="str">
            <v/>
          </cell>
          <cell r="L1829" t="str">
            <v/>
          </cell>
          <cell r="M1829" t="str">
            <v/>
          </cell>
        </row>
        <row r="1830">
          <cell r="A1830">
            <v>31102192</v>
          </cell>
          <cell r="C1830">
            <v>31102192</v>
          </cell>
          <cell r="D1830">
            <v>31102192</v>
          </cell>
          <cell r="E1830">
            <v>31102192</v>
          </cell>
          <cell r="F1830">
            <v>31102192</v>
          </cell>
          <cell r="G1830">
            <v>31102192</v>
          </cell>
          <cell r="H1830">
            <v>31102192</v>
          </cell>
          <cell r="I1830" t="str">
            <v/>
          </cell>
          <cell r="J1830" t="str">
            <v/>
          </cell>
          <cell r="K1830" t="str">
            <v/>
          </cell>
          <cell r="L1830" t="str">
            <v/>
          </cell>
          <cell r="M1830" t="str">
            <v/>
          </cell>
        </row>
        <row r="1831">
          <cell r="A1831">
            <v>31102192</v>
          </cell>
          <cell r="C1831">
            <v>31102192</v>
          </cell>
          <cell r="D1831">
            <v>31102192</v>
          </cell>
          <cell r="E1831">
            <v>31102192</v>
          </cell>
          <cell r="F1831">
            <v>31102192</v>
          </cell>
          <cell r="G1831">
            <v>31102192</v>
          </cell>
          <cell r="H1831">
            <v>31102192</v>
          </cell>
          <cell r="I1831" t="str">
            <v/>
          </cell>
          <cell r="J1831" t="str">
            <v/>
          </cell>
          <cell r="K1831" t="str">
            <v/>
          </cell>
          <cell r="L1831" t="str">
            <v/>
          </cell>
          <cell r="M1831" t="str">
            <v/>
          </cell>
        </row>
        <row r="1832">
          <cell r="A1832">
            <v>31102192</v>
          </cell>
          <cell r="C1832">
            <v>31102192</v>
          </cell>
          <cell r="D1832">
            <v>31102192</v>
          </cell>
          <cell r="E1832">
            <v>31102192</v>
          </cell>
          <cell r="F1832">
            <v>31102192</v>
          </cell>
          <cell r="G1832">
            <v>31102192</v>
          </cell>
          <cell r="H1832">
            <v>31102192</v>
          </cell>
          <cell r="I1832" t="str">
            <v/>
          </cell>
          <cell r="J1832" t="str">
            <v/>
          </cell>
          <cell r="K1832" t="str">
            <v/>
          </cell>
          <cell r="L1832" t="str">
            <v/>
          </cell>
          <cell r="M1832" t="str">
            <v/>
          </cell>
        </row>
        <row r="1833">
          <cell r="A1833">
            <v>31102192</v>
          </cell>
          <cell r="C1833">
            <v>31102192</v>
          </cell>
          <cell r="D1833">
            <v>31102192</v>
          </cell>
          <cell r="E1833">
            <v>31102192</v>
          </cell>
          <cell r="F1833">
            <v>31102192</v>
          </cell>
          <cell r="G1833">
            <v>31102192</v>
          </cell>
          <cell r="H1833">
            <v>31102192</v>
          </cell>
          <cell r="I1833" t="str">
            <v/>
          </cell>
          <cell r="J1833" t="str">
            <v/>
          </cell>
          <cell r="K1833" t="str">
            <v/>
          </cell>
          <cell r="L1833" t="str">
            <v/>
          </cell>
          <cell r="M1833" t="str">
            <v/>
          </cell>
        </row>
        <row r="1834">
          <cell r="A1834">
            <v>31102192</v>
          </cell>
          <cell r="C1834">
            <v>31102192</v>
          </cell>
          <cell r="D1834">
            <v>31102192</v>
          </cell>
          <cell r="E1834">
            <v>31102192</v>
          </cell>
          <cell r="F1834">
            <v>31102192</v>
          </cell>
          <cell r="G1834">
            <v>31102192</v>
          </cell>
          <cell r="H1834">
            <v>31102192</v>
          </cell>
          <cell r="I1834" t="str">
            <v/>
          </cell>
          <cell r="J1834" t="str">
            <v/>
          </cell>
          <cell r="K1834" t="str">
            <v/>
          </cell>
          <cell r="L1834" t="str">
            <v/>
          </cell>
          <cell r="M1834" t="str">
            <v/>
          </cell>
        </row>
        <row r="1835">
          <cell r="A1835">
            <v>31102192</v>
          </cell>
          <cell r="C1835">
            <v>31102192</v>
          </cell>
          <cell r="D1835">
            <v>31102192</v>
          </cell>
          <cell r="E1835">
            <v>31102192</v>
          </cell>
          <cell r="F1835">
            <v>31102192</v>
          </cell>
          <cell r="G1835">
            <v>31102192</v>
          </cell>
          <cell r="H1835">
            <v>31102192</v>
          </cell>
          <cell r="I1835" t="str">
            <v/>
          </cell>
          <cell r="J1835" t="str">
            <v/>
          </cell>
          <cell r="K1835" t="str">
            <v/>
          </cell>
          <cell r="L1835" t="str">
            <v/>
          </cell>
          <cell r="M1835" t="str">
            <v/>
          </cell>
        </row>
        <row r="1836">
          <cell r="A1836">
            <v>31102192</v>
          </cell>
          <cell r="C1836">
            <v>31102192</v>
          </cell>
          <cell r="D1836">
            <v>31102192</v>
          </cell>
          <cell r="E1836">
            <v>31102192</v>
          </cell>
          <cell r="F1836">
            <v>31102192</v>
          </cell>
          <cell r="G1836">
            <v>31102192</v>
          </cell>
          <cell r="H1836">
            <v>31102192</v>
          </cell>
          <cell r="I1836" t="str">
            <v/>
          </cell>
          <cell r="J1836" t="str">
            <v/>
          </cell>
          <cell r="K1836" t="str">
            <v/>
          </cell>
          <cell r="L1836" t="str">
            <v/>
          </cell>
          <cell r="M1836" t="str">
            <v/>
          </cell>
        </row>
        <row r="1837">
          <cell r="A1837">
            <v>31102192</v>
          </cell>
          <cell r="C1837">
            <v>31102192</v>
          </cell>
          <cell r="D1837">
            <v>31102192</v>
          </cell>
          <cell r="E1837">
            <v>31102192</v>
          </cell>
          <cell r="F1837">
            <v>31102192</v>
          </cell>
          <cell r="G1837">
            <v>31102192</v>
          </cell>
          <cell r="H1837">
            <v>31102192</v>
          </cell>
          <cell r="I1837" t="str">
            <v/>
          </cell>
          <cell r="J1837" t="str">
            <v/>
          </cell>
          <cell r="K1837" t="str">
            <v/>
          </cell>
          <cell r="L1837" t="str">
            <v/>
          </cell>
          <cell r="M1837" t="str">
            <v/>
          </cell>
        </row>
        <row r="1838">
          <cell r="A1838">
            <v>31102192</v>
          </cell>
          <cell r="C1838">
            <v>31102192</v>
          </cell>
          <cell r="D1838">
            <v>31102192</v>
          </cell>
          <cell r="E1838">
            <v>31102192</v>
          </cell>
          <cell r="F1838">
            <v>31102192</v>
          </cell>
          <cell r="G1838">
            <v>31102192</v>
          </cell>
          <cell r="H1838">
            <v>31102192</v>
          </cell>
          <cell r="I1838" t="str">
            <v/>
          </cell>
          <cell r="J1838" t="str">
            <v/>
          </cell>
          <cell r="K1838" t="str">
            <v/>
          </cell>
          <cell r="L1838" t="str">
            <v/>
          </cell>
          <cell r="M1838" t="str">
            <v/>
          </cell>
        </row>
        <row r="1839">
          <cell r="A1839">
            <v>31102192</v>
          </cell>
          <cell r="C1839">
            <v>31102192</v>
          </cell>
          <cell r="D1839">
            <v>31102192</v>
          </cell>
          <cell r="E1839">
            <v>31102192</v>
          </cell>
          <cell r="F1839">
            <v>31102192</v>
          </cell>
          <cell r="G1839">
            <v>31102192</v>
          </cell>
          <cell r="H1839">
            <v>31102192</v>
          </cell>
          <cell r="I1839" t="str">
            <v/>
          </cell>
          <cell r="J1839" t="str">
            <v/>
          </cell>
          <cell r="K1839" t="str">
            <v/>
          </cell>
          <cell r="L1839" t="str">
            <v/>
          </cell>
          <cell r="M1839" t="str">
            <v/>
          </cell>
        </row>
        <row r="1840">
          <cell r="A1840">
            <v>31102192</v>
          </cell>
          <cell r="C1840">
            <v>31102192</v>
          </cell>
          <cell r="D1840">
            <v>31102192</v>
          </cell>
          <cell r="E1840">
            <v>31102192</v>
          </cell>
          <cell r="F1840">
            <v>31102192</v>
          </cell>
          <cell r="G1840">
            <v>31102192</v>
          </cell>
          <cell r="H1840">
            <v>31102192</v>
          </cell>
          <cell r="I1840" t="str">
            <v/>
          </cell>
          <cell r="J1840" t="str">
            <v/>
          </cell>
          <cell r="K1840" t="str">
            <v/>
          </cell>
          <cell r="L1840" t="str">
            <v/>
          </cell>
          <cell r="M1840" t="str">
            <v/>
          </cell>
        </row>
        <row r="1841">
          <cell r="A1841">
            <v>31102192</v>
          </cell>
          <cell r="C1841">
            <v>31102192</v>
          </cell>
          <cell r="D1841">
            <v>31102192</v>
          </cell>
          <cell r="E1841">
            <v>31102192</v>
          </cell>
          <cell r="F1841">
            <v>31102192</v>
          </cell>
          <cell r="G1841">
            <v>31102192</v>
          </cell>
          <cell r="H1841">
            <v>31102192</v>
          </cell>
          <cell r="I1841" t="str">
            <v/>
          </cell>
          <cell r="J1841" t="str">
            <v/>
          </cell>
          <cell r="K1841" t="str">
            <v/>
          </cell>
          <cell r="L1841" t="str">
            <v/>
          </cell>
          <cell r="M1841" t="str">
            <v/>
          </cell>
        </row>
        <row r="1842">
          <cell r="A1842">
            <v>31102192</v>
          </cell>
          <cell r="C1842">
            <v>31102192</v>
          </cell>
          <cell r="D1842">
            <v>31102192</v>
          </cell>
          <cell r="E1842">
            <v>31102192</v>
          </cell>
          <cell r="F1842">
            <v>31102192</v>
          </cell>
          <cell r="G1842">
            <v>31102192</v>
          </cell>
          <cell r="H1842">
            <v>31102192</v>
          </cell>
          <cell r="I1842" t="str">
            <v/>
          </cell>
          <cell r="J1842" t="str">
            <v/>
          </cell>
          <cell r="K1842" t="str">
            <v/>
          </cell>
          <cell r="L1842" t="str">
            <v/>
          </cell>
          <cell r="M1842" t="str">
            <v/>
          </cell>
        </row>
        <row r="1843">
          <cell r="A1843">
            <v>31102192</v>
          </cell>
          <cell r="C1843">
            <v>31102192</v>
          </cell>
          <cell r="D1843">
            <v>31102192</v>
          </cell>
          <cell r="E1843">
            <v>31102192</v>
          </cell>
          <cell r="F1843">
            <v>31102192</v>
          </cell>
          <cell r="G1843">
            <v>31102192</v>
          </cell>
          <cell r="H1843">
            <v>31102192</v>
          </cell>
          <cell r="I1843" t="str">
            <v/>
          </cell>
          <cell r="J1843" t="str">
            <v/>
          </cell>
          <cell r="K1843" t="str">
            <v/>
          </cell>
          <cell r="L1843" t="str">
            <v/>
          </cell>
          <cell r="M1843" t="str">
            <v/>
          </cell>
        </row>
        <row r="1844">
          <cell r="A1844">
            <v>31102192</v>
          </cell>
          <cell r="C1844">
            <v>31102192</v>
          </cell>
          <cell r="D1844">
            <v>31102192</v>
          </cell>
          <cell r="E1844">
            <v>31102192</v>
          </cell>
          <cell r="F1844">
            <v>31102192</v>
          </cell>
          <cell r="G1844">
            <v>31102192</v>
          </cell>
          <cell r="H1844">
            <v>31102192</v>
          </cell>
          <cell r="I1844" t="str">
            <v/>
          </cell>
          <cell r="J1844" t="str">
            <v/>
          </cell>
          <cell r="K1844" t="str">
            <v/>
          </cell>
          <cell r="L1844" t="str">
            <v/>
          </cell>
          <cell r="M1844" t="str">
            <v/>
          </cell>
        </row>
        <row r="1845">
          <cell r="A1845">
            <v>31102192</v>
          </cell>
          <cell r="C1845">
            <v>31102192</v>
          </cell>
          <cell r="D1845">
            <v>31102192</v>
          </cell>
          <cell r="E1845">
            <v>31102192</v>
          </cell>
          <cell r="F1845">
            <v>31102192</v>
          </cell>
          <cell r="G1845">
            <v>31102192</v>
          </cell>
          <cell r="H1845">
            <v>31102192</v>
          </cell>
          <cell r="I1845" t="str">
            <v/>
          </cell>
          <cell r="J1845" t="str">
            <v/>
          </cell>
          <cell r="K1845" t="str">
            <v/>
          </cell>
          <cell r="L1845" t="str">
            <v/>
          </cell>
          <cell r="M1845" t="str">
            <v/>
          </cell>
        </row>
        <row r="1846">
          <cell r="A1846">
            <v>31102192</v>
          </cell>
          <cell r="C1846">
            <v>31102192</v>
          </cell>
          <cell r="D1846">
            <v>31102192</v>
          </cell>
          <cell r="E1846">
            <v>31102192</v>
          </cell>
          <cell r="F1846">
            <v>31102192</v>
          </cell>
          <cell r="G1846">
            <v>31102192</v>
          </cell>
          <cell r="H1846">
            <v>31102192</v>
          </cell>
          <cell r="I1846" t="str">
            <v/>
          </cell>
          <cell r="J1846" t="str">
            <v/>
          </cell>
          <cell r="K1846" t="str">
            <v/>
          </cell>
          <cell r="L1846" t="str">
            <v/>
          </cell>
          <cell r="M1846" t="str">
            <v/>
          </cell>
        </row>
        <row r="1847">
          <cell r="A1847">
            <v>31102192</v>
          </cell>
          <cell r="C1847">
            <v>31102192</v>
          </cell>
          <cell r="D1847">
            <v>31102192</v>
          </cell>
          <cell r="E1847">
            <v>31102192</v>
          </cell>
          <cell r="F1847">
            <v>31102192</v>
          </cell>
          <cell r="G1847">
            <v>31102192</v>
          </cell>
          <cell r="H1847">
            <v>31102192</v>
          </cell>
          <cell r="I1847" t="str">
            <v/>
          </cell>
          <cell r="J1847" t="str">
            <v/>
          </cell>
          <cell r="K1847" t="str">
            <v/>
          </cell>
          <cell r="L1847" t="str">
            <v/>
          </cell>
          <cell r="M1847" t="str">
            <v/>
          </cell>
        </row>
        <row r="1848">
          <cell r="A1848">
            <v>31102192</v>
          </cell>
          <cell r="C1848">
            <v>31102192</v>
          </cell>
          <cell r="D1848">
            <v>31102192</v>
          </cell>
          <cell r="E1848">
            <v>31102192</v>
          </cell>
          <cell r="F1848">
            <v>31102192</v>
          </cell>
          <cell r="G1848">
            <v>31102192</v>
          </cell>
          <cell r="H1848">
            <v>31102192</v>
          </cell>
          <cell r="I1848" t="str">
            <v/>
          </cell>
          <cell r="J1848" t="str">
            <v/>
          </cell>
          <cell r="K1848" t="str">
            <v/>
          </cell>
          <cell r="L1848" t="str">
            <v/>
          </cell>
          <cell r="M1848" t="str">
            <v/>
          </cell>
        </row>
        <row r="1849">
          <cell r="A1849">
            <v>31102192</v>
          </cell>
          <cell r="C1849">
            <v>31102192</v>
          </cell>
          <cell r="D1849">
            <v>31102192</v>
          </cell>
          <cell r="E1849">
            <v>31102192</v>
          </cell>
          <cell r="F1849">
            <v>31102192</v>
          </cell>
          <cell r="G1849">
            <v>31102192</v>
          </cell>
          <cell r="H1849">
            <v>31102192</v>
          </cell>
          <cell r="I1849" t="str">
            <v/>
          </cell>
          <cell r="J1849" t="str">
            <v/>
          </cell>
          <cell r="K1849" t="str">
            <v/>
          </cell>
          <cell r="L1849" t="str">
            <v/>
          </cell>
          <cell r="M1849" t="str">
            <v/>
          </cell>
        </row>
        <row r="1850">
          <cell r="A1850">
            <v>31102192</v>
          </cell>
          <cell r="C1850">
            <v>31102192</v>
          </cell>
          <cell r="D1850">
            <v>31102192</v>
          </cell>
          <cell r="E1850">
            <v>31102192</v>
          </cell>
          <cell r="F1850">
            <v>31102192</v>
          </cell>
          <cell r="G1850">
            <v>31102192</v>
          </cell>
          <cell r="H1850">
            <v>31102192</v>
          </cell>
          <cell r="I1850" t="str">
            <v/>
          </cell>
          <cell r="J1850" t="str">
            <v/>
          </cell>
          <cell r="K1850" t="str">
            <v/>
          </cell>
          <cell r="L1850" t="str">
            <v/>
          </cell>
          <cell r="M1850" t="str">
            <v/>
          </cell>
        </row>
        <row r="1851">
          <cell r="A1851">
            <v>31102192</v>
          </cell>
          <cell r="C1851">
            <v>31102192</v>
          </cell>
          <cell r="D1851">
            <v>31102192</v>
          </cell>
          <cell r="E1851">
            <v>31102192</v>
          </cell>
          <cell r="F1851">
            <v>31102192</v>
          </cell>
          <cell r="G1851">
            <v>31102192</v>
          </cell>
          <cell r="H1851">
            <v>31102192</v>
          </cell>
          <cell r="I1851" t="str">
            <v/>
          </cell>
          <cell r="J1851" t="str">
            <v/>
          </cell>
          <cell r="K1851" t="str">
            <v/>
          </cell>
          <cell r="L1851" t="str">
            <v/>
          </cell>
          <cell r="M1851" t="str">
            <v/>
          </cell>
        </row>
        <row r="1852">
          <cell r="A1852">
            <v>31102192</v>
          </cell>
          <cell r="C1852">
            <v>31102192</v>
          </cell>
          <cell r="D1852">
            <v>31102192</v>
          </cell>
          <cell r="E1852">
            <v>31102192</v>
          </cell>
          <cell r="F1852">
            <v>31102192</v>
          </cell>
          <cell r="G1852">
            <v>31102192</v>
          </cell>
          <cell r="H1852">
            <v>31102192</v>
          </cell>
          <cell r="I1852" t="str">
            <v/>
          </cell>
          <cell r="J1852" t="str">
            <v/>
          </cell>
          <cell r="K1852" t="str">
            <v/>
          </cell>
          <cell r="L1852" t="str">
            <v/>
          </cell>
          <cell r="M1852" t="str">
            <v/>
          </cell>
        </row>
        <row r="1853">
          <cell r="A1853">
            <v>31102192</v>
          </cell>
          <cell r="C1853">
            <v>31102192</v>
          </cell>
          <cell r="D1853">
            <v>31102192</v>
          </cell>
          <cell r="E1853">
            <v>31102192</v>
          </cell>
          <cell r="F1853">
            <v>31102192</v>
          </cell>
          <cell r="G1853">
            <v>31102192</v>
          </cell>
          <cell r="H1853">
            <v>31102192</v>
          </cell>
          <cell r="I1853" t="str">
            <v/>
          </cell>
          <cell r="J1853" t="str">
            <v/>
          </cell>
          <cell r="K1853" t="str">
            <v/>
          </cell>
          <cell r="L1853" t="str">
            <v/>
          </cell>
          <cell r="M1853" t="str">
            <v/>
          </cell>
        </row>
        <row r="1854">
          <cell r="A1854">
            <v>31102192</v>
          </cell>
          <cell r="C1854">
            <v>31102192</v>
          </cell>
          <cell r="D1854">
            <v>31102192</v>
          </cell>
          <cell r="E1854">
            <v>31102192</v>
          </cell>
          <cell r="F1854">
            <v>31102192</v>
          </cell>
          <cell r="G1854">
            <v>31102192</v>
          </cell>
          <cell r="H1854">
            <v>31102192</v>
          </cell>
          <cell r="I1854" t="str">
            <v/>
          </cell>
          <cell r="J1854" t="str">
            <v/>
          </cell>
          <cell r="K1854" t="str">
            <v/>
          </cell>
          <cell r="L1854" t="str">
            <v/>
          </cell>
          <cell r="M1854" t="str">
            <v/>
          </cell>
        </row>
        <row r="1855">
          <cell r="A1855">
            <v>31102192</v>
          </cell>
          <cell r="C1855">
            <v>31102192</v>
          </cell>
          <cell r="D1855">
            <v>31102192</v>
          </cell>
          <cell r="E1855">
            <v>31102192</v>
          </cell>
          <cell r="F1855">
            <v>31102192</v>
          </cell>
          <cell r="G1855">
            <v>31102192</v>
          </cell>
          <cell r="H1855">
            <v>31102192</v>
          </cell>
          <cell r="I1855" t="str">
            <v/>
          </cell>
          <cell r="J1855" t="str">
            <v/>
          </cell>
          <cell r="K1855" t="str">
            <v/>
          </cell>
          <cell r="L1855" t="str">
            <v/>
          </cell>
          <cell r="M1855" t="str">
            <v/>
          </cell>
        </row>
        <row r="1856">
          <cell r="A1856">
            <v>31102192</v>
          </cell>
          <cell r="C1856">
            <v>31102192</v>
          </cell>
          <cell r="D1856">
            <v>31102192</v>
          </cell>
          <cell r="E1856">
            <v>31102192</v>
          </cell>
          <cell r="F1856">
            <v>31102192</v>
          </cell>
          <cell r="G1856">
            <v>31102192</v>
          </cell>
          <cell r="H1856">
            <v>31102192</v>
          </cell>
          <cell r="I1856" t="str">
            <v/>
          </cell>
          <cell r="J1856" t="str">
            <v/>
          </cell>
          <cell r="K1856" t="str">
            <v/>
          </cell>
          <cell r="L1856" t="str">
            <v/>
          </cell>
          <cell r="M1856" t="str">
            <v/>
          </cell>
        </row>
        <row r="1857">
          <cell r="A1857">
            <v>31102192</v>
          </cell>
          <cell r="C1857">
            <v>31102192</v>
          </cell>
          <cell r="D1857">
            <v>31102192</v>
          </cell>
          <cell r="E1857">
            <v>31102192</v>
          </cell>
          <cell r="F1857">
            <v>31102192</v>
          </cell>
          <cell r="G1857">
            <v>31102192</v>
          </cell>
          <cell r="H1857">
            <v>31102192</v>
          </cell>
          <cell r="I1857" t="str">
            <v/>
          </cell>
          <cell r="J1857" t="str">
            <v/>
          </cell>
          <cell r="K1857" t="str">
            <v/>
          </cell>
          <cell r="L1857" t="str">
            <v/>
          </cell>
          <cell r="M1857" t="str">
            <v/>
          </cell>
        </row>
        <row r="1858">
          <cell r="A1858">
            <v>31102192</v>
          </cell>
          <cell r="C1858">
            <v>31102192</v>
          </cell>
          <cell r="D1858">
            <v>31102192</v>
          </cell>
          <cell r="E1858">
            <v>31102192</v>
          </cell>
          <cell r="F1858">
            <v>31102192</v>
          </cell>
          <cell r="G1858">
            <v>31102192</v>
          </cell>
          <cell r="H1858">
            <v>31102192</v>
          </cell>
          <cell r="I1858" t="str">
            <v/>
          </cell>
          <cell r="J1858" t="str">
            <v/>
          </cell>
          <cell r="K1858" t="str">
            <v/>
          </cell>
          <cell r="L1858" t="str">
            <v/>
          </cell>
          <cell r="M1858" t="str">
            <v/>
          </cell>
        </row>
        <row r="1859">
          <cell r="A1859">
            <v>31102192</v>
          </cell>
          <cell r="C1859">
            <v>31102192</v>
          </cell>
          <cell r="D1859">
            <v>31102192</v>
          </cell>
          <cell r="E1859">
            <v>31102192</v>
          </cell>
          <cell r="F1859">
            <v>31102192</v>
          </cell>
          <cell r="G1859">
            <v>31102192</v>
          </cell>
          <cell r="H1859">
            <v>31102192</v>
          </cell>
          <cell r="I1859" t="str">
            <v/>
          </cell>
          <cell r="J1859" t="str">
            <v/>
          </cell>
          <cell r="K1859" t="str">
            <v/>
          </cell>
          <cell r="L1859" t="str">
            <v/>
          </cell>
          <cell r="M1859" t="str">
            <v/>
          </cell>
        </row>
        <row r="1860">
          <cell r="A1860">
            <v>31102192</v>
          </cell>
          <cell r="C1860">
            <v>31102192</v>
          </cell>
          <cell r="D1860">
            <v>31102192</v>
          </cell>
          <cell r="E1860">
            <v>31102192</v>
          </cell>
          <cell r="F1860">
            <v>31102192</v>
          </cell>
          <cell r="G1860">
            <v>31102192</v>
          </cell>
          <cell r="H1860">
            <v>31102192</v>
          </cell>
          <cell r="I1860" t="str">
            <v/>
          </cell>
          <cell r="J1860" t="str">
            <v/>
          </cell>
          <cell r="K1860" t="str">
            <v/>
          </cell>
          <cell r="L1860" t="str">
            <v/>
          </cell>
          <cell r="M1860" t="str">
            <v/>
          </cell>
        </row>
        <row r="1861">
          <cell r="A1861">
            <v>31102192</v>
          </cell>
          <cell r="C1861">
            <v>31102192</v>
          </cell>
          <cell r="D1861">
            <v>31102192</v>
          </cell>
          <cell r="E1861">
            <v>31102192</v>
          </cell>
          <cell r="F1861">
            <v>31102192</v>
          </cell>
          <cell r="G1861">
            <v>31102192</v>
          </cell>
          <cell r="H1861">
            <v>31102192</v>
          </cell>
          <cell r="I1861" t="str">
            <v/>
          </cell>
          <cell r="J1861" t="str">
            <v/>
          </cell>
          <cell r="K1861" t="str">
            <v/>
          </cell>
          <cell r="L1861" t="str">
            <v/>
          </cell>
          <cell r="M1861" t="str">
            <v/>
          </cell>
        </row>
        <row r="1862">
          <cell r="A1862">
            <v>31102192</v>
          </cell>
          <cell r="C1862">
            <v>31102192</v>
          </cell>
          <cell r="D1862">
            <v>31102192</v>
          </cell>
          <cell r="E1862">
            <v>31102192</v>
          </cell>
          <cell r="F1862">
            <v>31102192</v>
          </cell>
          <cell r="G1862">
            <v>31102192</v>
          </cell>
          <cell r="H1862">
            <v>31102192</v>
          </cell>
          <cell r="I1862" t="str">
            <v/>
          </cell>
          <cell r="J1862" t="str">
            <v/>
          </cell>
          <cell r="K1862" t="str">
            <v/>
          </cell>
          <cell r="L1862" t="str">
            <v/>
          </cell>
          <cell r="M1862" t="str">
            <v/>
          </cell>
        </row>
        <row r="1863">
          <cell r="A1863">
            <v>31102192</v>
          </cell>
          <cell r="C1863">
            <v>31102192</v>
          </cell>
          <cell r="D1863">
            <v>31102192</v>
          </cell>
          <cell r="E1863">
            <v>31102192</v>
          </cell>
          <cell r="F1863">
            <v>31102192</v>
          </cell>
          <cell r="G1863">
            <v>31102192</v>
          </cell>
          <cell r="H1863">
            <v>31102192</v>
          </cell>
          <cell r="I1863" t="str">
            <v/>
          </cell>
          <cell r="J1863" t="str">
            <v/>
          </cell>
          <cell r="K1863" t="str">
            <v/>
          </cell>
          <cell r="L1863" t="str">
            <v/>
          </cell>
          <cell r="M1863" t="str">
            <v/>
          </cell>
        </row>
        <row r="1864">
          <cell r="A1864">
            <v>31102192</v>
          </cell>
          <cell r="C1864">
            <v>31102192</v>
          </cell>
          <cell r="D1864">
            <v>31102192</v>
          </cell>
          <cell r="E1864">
            <v>31102192</v>
          </cell>
          <cell r="F1864">
            <v>31102192</v>
          </cell>
          <cell r="G1864">
            <v>31102192</v>
          </cell>
          <cell r="H1864">
            <v>31102192</v>
          </cell>
          <cell r="I1864" t="str">
            <v/>
          </cell>
          <cell r="J1864" t="str">
            <v/>
          </cell>
          <cell r="K1864" t="str">
            <v/>
          </cell>
          <cell r="L1864" t="str">
            <v/>
          </cell>
          <cell r="M1864" t="str">
            <v/>
          </cell>
        </row>
        <row r="1865">
          <cell r="A1865">
            <v>31102192</v>
          </cell>
          <cell r="C1865">
            <v>31102192</v>
          </cell>
          <cell r="D1865">
            <v>31102192</v>
          </cell>
          <cell r="E1865">
            <v>31102192</v>
          </cell>
          <cell r="F1865">
            <v>31102192</v>
          </cell>
          <cell r="G1865">
            <v>31102192</v>
          </cell>
          <cell r="H1865">
            <v>31102192</v>
          </cell>
          <cell r="I1865" t="str">
            <v/>
          </cell>
          <cell r="J1865" t="str">
            <v/>
          </cell>
          <cell r="K1865" t="str">
            <v/>
          </cell>
          <cell r="L1865" t="str">
            <v/>
          </cell>
          <cell r="M1865" t="str">
            <v/>
          </cell>
        </row>
        <row r="1866">
          <cell r="A1866">
            <v>31102192</v>
          </cell>
          <cell r="C1866">
            <v>31102192</v>
          </cell>
          <cell r="D1866">
            <v>31102192</v>
          </cell>
          <cell r="E1866">
            <v>31102192</v>
          </cell>
          <cell r="F1866">
            <v>31102192</v>
          </cell>
          <cell r="G1866">
            <v>31102192</v>
          </cell>
          <cell r="H1866">
            <v>31102192</v>
          </cell>
          <cell r="I1866" t="str">
            <v/>
          </cell>
          <cell r="J1866" t="str">
            <v/>
          </cell>
          <cell r="K1866" t="str">
            <v/>
          </cell>
          <cell r="L1866" t="str">
            <v/>
          </cell>
          <cell r="M1866" t="str">
            <v/>
          </cell>
        </row>
        <row r="1867">
          <cell r="A1867">
            <v>31102192</v>
          </cell>
          <cell r="C1867">
            <v>31102192</v>
          </cell>
          <cell r="D1867">
            <v>31102192</v>
          </cell>
          <cell r="E1867">
            <v>31102192</v>
          </cell>
          <cell r="F1867">
            <v>31102192</v>
          </cell>
          <cell r="G1867">
            <v>31102192</v>
          </cell>
          <cell r="H1867">
            <v>31102192</v>
          </cell>
          <cell r="I1867" t="str">
            <v/>
          </cell>
          <cell r="J1867" t="str">
            <v/>
          </cell>
          <cell r="K1867" t="str">
            <v/>
          </cell>
          <cell r="L1867" t="str">
            <v/>
          </cell>
          <cell r="M1867" t="str">
            <v/>
          </cell>
        </row>
        <row r="1868">
          <cell r="A1868">
            <v>31102192</v>
          </cell>
          <cell r="C1868">
            <v>31102192</v>
          </cell>
          <cell r="D1868">
            <v>31102192</v>
          </cell>
          <cell r="E1868">
            <v>31102192</v>
          </cell>
          <cell r="F1868">
            <v>31102192</v>
          </cell>
          <cell r="G1868">
            <v>31102192</v>
          </cell>
          <cell r="H1868">
            <v>31102192</v>
          </cell>
          <cell r="I1868" t="str">
            <v/>
          </cell>
          <cell r="J1868" t="str">
            <v/>
          </cell>
          <cell r="K1868" t="str">
            <v/>
          </cell>
          <cell r="L1868" t="str">
            <v/>
          </cell>
          <cell r="M1868" t="str">
            <v/>
          </cell>
        </row>
        <row r="1869">
          <cell r="A1869">
            <v>31102192</v>
          </cell>
          <cell r="C1869">
            <v>31102192</v>
          </cell>
          <cell r="D1869">
            <v>31102192</v>
          </cell>
          <cell r="E1869">
            <v>31102192</v>
          </cell>
          <cell r="F1869">
            <v>31102192</v>
          </cell>
          <cell r="G1869">
            <v>31102192</v>
          </cell>
          <cell r="H1869">
            <v>31102192</v>
          </cell>
          <cell r="I1869" t="str">
            <v/>
          </cell>
          <cell r="J1869" t="str">
            <v/>
          </cell>
          <cell r="K1869" t="str">
            <v/>
          </cell>
          <cell r="L1869" t="str">
            <v/>
          </cell>
          <cell r="M1869" t="str">
            <v/>
          </cell>
        </row>
        <row r="1870">
          <cell r="A1870">
            <v>31102192</v>
          </cell>
          <cell r="C1870">
            <v>31102192</v>
          </cell>
          <cell r="D1870">
            <v>31102192</v>
          </cell>
          <cell r="E1870">
            <v>31102192</v>
          </cell>
          <cell r="F1870">
            <v>31102192</v>
          </cell>
          <cell r="G1870">
            <v>31102192</v>
          </cell>
          <cell r="H1870">
            <v>31102192</v>
          </cell>
          <cell r="I1870" t="str">
            <v/>
          </cell>
          <cell r="J1870" t="str">
            <v/>
          </cell>
          <cell r="K1870" t="str">
            <v/>
          </cell>
          <cell r="L1870" t="str">
            <v/>
          </cell>
          <cell r="M1870" t="str">
            <v/>
          </cell>
        </row>
        <row r="1871">
          <cell r="A1871">
            <v>31102192</v>
          </cell>
          <cell r="C1871">
            <v>31102192</v>
          </cell>
          <cell r="D1871">
            <v>31102192</v>
          </cell>
          <cell r="E1871">
            <v>31102192</v>
          </cell>
          <cell r="F1871">
            <v>31102192</v>
          </cell>
          <cell r="G1871">
            <v>31102192</v>
          </cell>
          <cell r="H1871">
            <v>31102192</v>
          </cell>
          <cell r="I1871" t="str">
            <v/>
          </cell>
          <cell r="J1871" t="str">
            <v/>
          </cell>
          <cell r="K1871" t="str">
            <v/>
          </cell>
          <cell r="L1871" t="str">
            <v/>
          </cell>
          <cell r="M1871" t="str">
            <v/>
          </cell>
        </row>
        <row r="1872">
          <cell r="A1872">
            <v>31102192</v>
          </cell>
          <cell r="C1872">
            <v>31102192</v>
          </cell>
          <cell r="D1872">
            <v>31102192</v>
          </cell>
          <cell r="E1872">
            <v>31102192</v>
          </cell>
          <cell r="F1872">
            <v>31102192</v>
          </cell>
          <cell r="G1872">
            <v>31102192</v>
          </cell>
          <cell r="H1872">
            <v>31102192</v>
          </cell>
          <cell r="I1872" t="str">
            <v/>
          </cell>
          <cell r="J1872" t="str">
            <v/>
          </cell>
          <cell r="K1872" t="str">
            <v/>
          </cell>
          <cell r="L1872" t="str">
            <v/>
          </cell>
          <cell r="M1872" t="str">
            <v/>
          </cell>
        </row>
        <row r="1873">
          <cell r="A1873">
            <v>31102192</v>
          </cell>
          <cell r="C1873">
            <v>31102192</v>
          </cell>
          <cell r="D1873">
            <v>31102192</v>
          </cell>
          <cell r="E1873">
            <v>31102192</v>
          </cell>
          <cell r="F1873">
            <v>31102192</v>
          </cell>
          <cell r="G1873">
            <v>31102192</v>
          </cell>
          <cell r="H1873">
            <v>31102192</v>
          </cell>
          <cell r="I1873" t="str">
            <v/>
          </cell>
          <cell r="J1873" t="str">
            <v/>
          </cell>
          <cell r="K1873" t="str">
            <v/>
          </cell>
          <cell r="L1873" t="str">
            <v/>
          </cell>
          <cell r="M1873" t="str">
            <v/>
          </cell>
        </row>
        <row r="1874">
          <cell r="A1874">
            <v>31102192</v>
          </cell>
          <cell r="C1874">
            <v>31102192</v>
          </cell>
          <cell r="D1874">
            <v>31102192</v>
          </cell>
          <cell r="E1874">
            <v>31102192</v>
          </cell>
          <cell r="F1874">
            <v>31102192</v>
          </cell>
          <cell r="G1874">
            <v>31102192</v>
          </cell>
          <cell r="H1874">
            <v>31102192</v>
          </cell>
          <cell r="I1874" t="str">
            <v/>
          </cell>
          <cell r="J1874" t="str">
            <v/>
          </cell>
          <cell r="K1874" t="str">
            <v/>
          </cell>
          <cell r="L1874" t="str">
            <v/>
          </cell>
          <cell r="M1874" t="str">
            <v/>
          </cell>
        </row>
        <row r="1875">
          <cell r="A1875">
            <v>31102192</v>
          </cell>
          <cell r="C1875">
            <v>31102192</v>
          </cell>
          <cell r="D1875">
            <v>31102192</v>
          </cell>
          <cell r="E1875">
            <v>31102192</v>
          </cell>
          <cell r="F1875">
            <v>31102192</v>
          </cell>
          <cell r="G1875">
            <v>31102192</v>
          </cell>
          <cell r="H1875">
            <v>31102192</v>
          </cell>
          <cell r="I1875" t="str">
            <v/>
          </cell>
          <cell r="J1875" t="str">
            <v/>
          </cell>
          <cell r="K1875" t="str">
            <v/>
          </cell>
          <cell r="L1875" t="str">
            <v/>
          </cell>
          <cell r="M1875" t="str">
            <v/>
          </cell>
        </row>
        <row r="1876">
          <cell r="A1876">
            <v>31102192</v>
          </cell>
          <cell r="C1876">
            <v>31102192</v>
          </cell>
          <cell r="D1876">
            <v>31102192</v>
          </cell>
          <cell r="E1876">
            <v>31102192</v>
          </cell>
          <cell r="F1876">
            <v>31102192</v>
          </cell>
          <cell r="G1876">
            <v>31102192</v>
          </cell>
          <cell r="H1876">
            <v>31102192</v>
          </cell>
          <cell r="I1876" t="str">
            <v/>
          </cell>
          <cell r="J1876" t="str">
            <v/>
          </cell>
          <cell r="K1876" t="str">
            <v/>
          </cell>
          <cell r="L1876" t="str">
            <v/>
          </cell>
          <cell r="M1876" t="str">
            <v/>
          </cell>
        </row>
        <row r="1877">
          <cell r="A1877">
            <v>31102192</v>
          </cell>
          <cell r="C1877">
            <v>31102192</v>
          </cell>
          <cell r="D1877">
            <v>31102192</v>
          </cell>
          <cell r="E1877">
            <v>31102192</v>
          </cell>
          <cell r="F1877">
            <v>31102192</v>
          </cell>
          <cell r="G1877">
            <v>31102192</v>
          </cell>
          <cell r="H1877">
            <v>31102192</v>
          </cell>
          <cell r="I1877" t="str">
            <v/>
          </cell>
          <cell r="J1877" t="str">
            <v/>
          </cell>
          <cell r="K1877" t="str">
            <v/>
          </cell>
          <cell r="L1877" t="str">
            <v/>
          </cell>
          <cell r="M1877" t="str">
            <v/>
          </cell>
        </row>
        <row r="1878">
          <cell r="A1878">
            <v>31102192</v>
          </cell>
          <cell r="C1878">
            <v>31102192</v>
          </cell>
          <cell r="D1878">
            <v>31102192</v>
          </cell>
          <cell r="E1878">
            <v>31102192</v>
          </cell>
          <cell r="F1878">
            <v>31102192</v>
          </cell>
          <cell r="G1878">
            <v>31102192</v>
          </cell>
          <cell r="H1878">
            <v>31102192</v>
          </cell>
          <cell r="I1878" t="str">
            <v/>
          </cell>
          <cell r="J1878" t="str">
            <v/>
          </cell>
          <cell r="K1878" t="str">
            <v/>
          </cell>
          <cell r="L1878" t="str">
            <v/>
          </cell>
          <cell r="M1878" t="str">
            <v/>
          </cell>
        </row>
        <row r="1879">
          <cell r="A1879">
            <v>31102192</v>
          </cell>
          <cell r="C1879">
            <v>31102192</v>
          </cell>
          <cell r="D1879">
            <v>31102192</v>
          </cell>
          <cell r="E1879">
            <v>31102192</v>
          </cell>
          <cell r="F1879">
            <v>31102192</v>
          </cell>
          <cell r="G1879">
            <v>31102192</v>
          </cell>
          <cell r="H1879">
            <v>31102192</v>
          </cell>
          <cell r="I1879" t="str">
            <v/>
          </cell>
          <cell r="J1879" t="str">
            <v/>
          </cell>
          <cell r="K1879" t="str">
            <v/>
          </cell>
          <cell r="L1879" t="str">
            <v/>
          </cell>
          <cell r="M1879" t="str">
            <v/>
          </cell>
        </row>
        <row r="1880">
          <cell r="A1880">
            <v>31102192</v>
          </cell>
          <cell r="C1880">
            <v>31102192</v>
          </cell>
          <cell r="D1880">
            <v>31102192</v>
          </cell>
          <cell r="E1880">
            <v>31102192</v>
          </cell>
          <cell r="F1880">
            <v>31102192</v>
          </cell>
          <cell r="G1880">
            <v>31102192</v>
          </cell>
          <cell r="H1880">
            <v>31102192</v>
          </cell>
          <cell r="I1880" t="str">
            <v/>
          </cell>
          <cell r="J1880" t="str">
            <v/>
          </cell>
          <cell r="K1880" t="str">
            <v/>
          </cell>
          <cell r="L1880" t="str">
            <v/>
          </cell>
          <cell r="M1880" t="str">
            <v/>
          </cell>
        </row>
        <row r="1881">
          <cell r="A1881">
            <v>31102192</v>
          </cell>
          <cell r="C1881">
            <v>31102192</v>
          </cell>
          <cell r="D1881">
            <v>31102192</v>
          </cell>
          <cell r="E1881">
            <v>31102192</v>
          </cell>
          <cell r="F1881">
            <v>31102192</v>
          </cell>
          <cell r="G1881">
            <v>31102192</v>
          </cell>
          <cell r="H1881">
            <v>31102192</v>
          </cell>
          <cell r="I1881" t="str">
            <v/>
          </cell>
          <cell r="J1881" t="str">
            <v/>
          </cell>
          <cell r="K1881" t="str">
            <v/>
          </cell>
          <cell r="L1881" t="str">
            <v/>
          </cell>
          <cell r="M1881" t="str">
            <v/>
          </cell>
        </row>
        <row r="1882">
          <cell r="A1882">
            <v>31102192</v>
          </cell>
          <cell r="C1882">
            <v>31102192</v>
          </cell>
          <cell r="D1882">
            <v>31102192</v>
          </cell>
          <cell r="E1882">
            <v>31102192</v>
          </cell>
          <cell r="F1882">
            <v>31102192</v>
          </cell>
          <cell r="G1882">
            <v>31102192</v>
          </cell>
          <cell r="H1882">
            <v>31102192</v>
          </cell>
          <cell r="I1882" t="str">
            <v/>
          </cell>
          <cell r="J1882" t="str">
            <v/>
          </cell>
          <cell r="K1882" t="str">
            <v/>
          </cell>
          <cell r="L1882" t="str">
            <v/>
          </cell>
          <cell r="M1882" t="str">
            <v/>
          </cell>
        </row>
        <row r="1883">
          <cell r="A1883">
            <v>31102192</v>
          </cell>
          <cell r="C1883">
            <v>31102192</v>
          </cell>
          <cell r="D1883">
            <v>31102192</v>
          </cell>
          <cell r="E1883">
            <v>31102192</v>
          </cell>
          <cell r="F1883">
            <v>31102192</v>
          </cell>
          <cell r="G1883">
            <v>31102192</v>
          </cell>
          <cell r="H1883">
            <v>31102192</v>
          </cell>
          <cell r="I1883" t="str">
            <v/>
          </cell>
          <cell r="J1883" t="str">
            <v/>
          </cell>
          <cell r="K1883" t="str">
            <v/>
          </cell>
          <cell r="L1883" t="str">
            <v/>
          </cell>
          <cell r="M1883" t="str">
            <v/>
          </cell>
        </row>
        <row r="1884">
          <cell r="A1884">
            <v>31102192</v>
          </cell>
          <cell r="C1884">
            <v>31102192</v>
          </cell>
          <cell r="D1884">
            <v>31102192</v>
          </cell>
          <cell r="E1884">
            <v>31102192</v>
          </cell>
          <cell r="F1884">
            <v>31102192</v>
          </cell>
          <cell r="G1884">
            <v>31102192</v>
          </cell>
          <cell r="H1884">
            <v>31102192</v>
          </cell>
          <cell r="I1884" t="str">
            <v/>
          </cell>
          <cell r="J1884" t="str">
            <v/>
          </cell>
          <cell r="K1884" t="str">
            <v/>
          </cell>
          <cell r="L1884" t="str">
            <v/>
          </cell>
          <cell r="M1884" t="str">
            <v/>
          </cell>
        </row>
        <row r="1885">
          <cell r="A1885">
            <v>31102192</v>
          </cell>
          <cell r="C1885">
            <v>31102192</v>
          </cell>
          <cell r="D1885">
            <v>31102192</v>
          </cell>
          <cell r="E1885">
            <v>31102192</v>
          </cell>
          <cell r="F1885">
            <v>31102192</v>
          </cell>
          <cell r="G1885">
            <v>31102192</v>
          </cell>
          <cell r="H1885">
            <v>31102192</v>
          </cell>
          <cell r="I1885" t="str">
            <v/>
          </cell>
          <cell r="J1885" t="str">
            <v/>
          </cell>
          <cell r="K1885" t="str">
            <v/>
          </cell>
          <cell r="L1885" t="str">
            <v/>
          </cell>
          <cell r="M1885" t="str">
            <v/>
          </cell>
        </row>
        <row r="1886">
          <cell r="A1886">
            <v>31102192</v>
          </cell>
          <cell r="C1886">
            <v>31102192</v>
          </cell>
          <cell r="D1886">
            <v>31102192</v>
          </cell>
          <cell r="E1886">
            <v>31102192</v>
          </cell>
          <cell r="F1886">
            <v>31102192</v>
          </cell>
          <cell r="G1886">
            <v>31102192</v>
          </cell>
          <cell r="H1886">
            <v>31102192</v>
          </cell>
          <cell r="I1886" t="str">
            <v/>
          </cell>
          <cell r="J1886" t="str">
            <v/>
          </cell>
          <cell r="K1886" t="str">
            <v/>
          </cell>
          <cell r="L1886" t="str">
            <v/>
          </cell>
          <cell r="M1886" t="str">
            <v/>
          </cell>
        </row>
        <row r="1887">
          <cell r="A1887">
            <v>31102192</v>
          </cell>
          <cell r="C1887">
            <v>31102192</v>
          </cell>
          <cell r="D1887">
            <v>31102192</v>
          </cell>
          <cell r="E1887">
            <v>31102192</v>
          </cell>
          <cell r="F1887">
            <v>31102192</v>
          </cell>
          <cell r="G1887">
            <v>31102192</v>
          </cell>
          <cell r="H1887">
            <v>31102192</v>
          </cell>
          <cell r="I1887" t="str">
            <v/>
          </cell>
          <cell r="J1887" t="str">
            <v/>
          </cell>
          <cell r="K1887" t="str">
            <v/>
          </cell>
          <cell r="L1887" t="str">
            <v/>
          </cell>
          <cell r="M1887" t="str">
            <v/>
          </cell>
        </row>
        <row r="1888">
          <cell r="A1888">
            <v>31102192</v>
          </cell>
          <cell r="C1888">
            <v>31102192</v>
          </cell>
          <cell r="D1888">
            <v>31102192</v>
          </cell>
          <cell r="E1888">
            <v>31102192</v>
          </cell>
          <cell r="F1888">
            <v>31102192</v>
          </cell>
          <cell r="G1888">
            <v>31102192</v>
          </cell>
          <cell r="H1888">
            <v>31102192</v>
          </cell>
          <cell r="I1888" t="str">
            <v/>
          </cell>
          <cell r="J1888" t="str">
            <v/>
          </cell>
          <cell r="K1888" t="str">
            <v/>
          </cell>
          <cell r="L1888" t="str">
            <v/>
          </cell>
          <cell r="M1888" t="str">
            <v/>
          </cell>
        </row>
        <row r="1889">
          <cell r="A1889">
            <v>31102192</v>
          </cell>
          <cell r="C1889">
            <v>31102192</v>
          </cell>
          <cell r="D1889">
            <v>31102192</v>
          </cell>
          <cell r="E1889">
            <v>31102192</v>
          </cell>
          <cell r="F1889">
            <v>31102192</v>
          </cell>
          <cell r="G1889">
            <v>31102192</v>
          </cell>
          <cell r="H1889">
            <v>31102192</v>
          </cell>
          <cell r="I1889" t="str">
            <v/>
          </cell>
          <cell r="J1889" t="str">
            <v/>
          </cell>
          <cell r="K1889" t="str">
            <v/>
          </cell>
          <cell r="L1889" t="str">
            <v/>
          </cell>
          <cell r="M1889" t="str">
            <v/>
          </cell>
        </row>
        <row r="1890">
          <cell r="A1890">
            <v>31102192</v>
          </cell>
          <cell r="C1890">
            <v>31102192</v>
          </cell>
          <cell r="D1890">
            <v>31102192</v>
          </cell>
          <cell r="E1890">
            <v>31102192</v>
          </cell>
          <cell r="F1890">
            <v>31102192</v>
          </cell>
          <cell r="G1890">
            <v>31102192</v>
          </cell>
          <cell r="H1890">
            <v>31102192</v>
          </cell>
          <cell r="I1890" t="str">
            <v/>
          </cell>
          <cell r="J1890" t="str">
            <v/>
          </cell>
          <cell r="K1890" t="str">
            <v/>
          </cell>
          <cell r="L1890" t="str">
            <v/>
          </cell>
          <cell r="M1890" t="str">
            <v/>
          </cell>
        </row>
        <row r="1891">
          <cell r="A1891">
            <v>31102192</v>
          </cell>
          <cell r="C1891">
            <v>31102192</v>
          </cell>
          <cell r="D1891">
            <v>31102192</v>
          </cell>
          <cell r="E1891">
            <v>31102192</v>
          </cell>
          <cell r="F1891">
            <v>31102192</v>
          </cell>
          <cell r="G1891">
            <v>31102192</v>
          </cell>
          <cell r="H1891">
            <v>31102192</v>
          </cell>
          <cell r="I1891" t="str">
            <v/>
          </cell>
          <cell r="J1891" t="str">
            <v/>
          </cell>
          <cell r="K1891" t="str">
            <v/>
          </cell>
          <cell r="L1891" t="str">
            <v/>
          </cell>
          <cell r="M1891" t="str">
            <v/>
          </cell>
        </row>
        <row r="1892">
          <cell r="A1892">
            <v>31102192</v>
          </cell>
          <cell r="C1892">
            <v>31102192</v>
          </cell>
          <cell r="D1892">
            <v>31102192</v>
          </cell>
          <cell r="E1892">
            <v>31102192</v>
          </cell>
          <cell r="F1892">
            <v>31102192</v>
          </cell>
          <cell r="G1892">
            <v>31102192</v>
          </cell>
          <cell r="H1892">
            <v>31102192</v>
          </cell>
          <cell r="I1892" t="str">
            <v/>
          </cell>
          <cell r="J1892" t="str">
            <v/>
          </cell>
          <cell r="K1892" t="str">
            <v/>
          </cell>
          <cell r="L1892" t="str">
            <v/>
          </cell>
          <cell r="M1892" t="str">
            <v/>
          </cell>
        </row>
        <row r="1893">
          <cell r="A1893">
            <v>31102192</v>
          </cell>
          <cell r="C1893">
            <v>31102192</v>
          </cell>
          <cell r="D1893">
            <v>31102192</v>
          </cell>
          <cell r="E1893">
            <v>31102192</v>
          </cell>
          <cell r="F1893">
            <v>31102192</v>
          </cell>
          <cell r="G1893">
            <v>31102192</v>
          </cell>
          <cell r="H1893">
            <v>31102192</v>
          </cell>
          <cell r="I1893" t="str">
            <v/>
          </cell>
          <cell r="J1893" t="str">
            <v/>
          </cell>
          <cell r="K1893" t="str">
            <v/>
          </cell>
          <cell r="L1893" t="str">
            <v/>
          </cell>
          <cell r="M1893" t="str">
            <v/>
          </cell>
        </row>
        <row r="1894">
          <cell r="A1894">
            <v>31102192</v>
          </cell>
          <cell r="C1894">
            <v>31102192</v>
          </cell>
          <cell r="D1894">
            <v>31102192</v>
          </cell>
          <cell r="E1894">
            <v>31102192</v>
          </cell>
          <cell r="F1894">
            <v>31102192</v>
          </cell>
          <cell r="G1894">
            <v>31102192</v>
          </cell>
          <cell r="H1894">
            <v>31102192</v>
          </cell>
          <cell r="I1894" t="str">
            <v/>
          </cell>
          <cell r="J1894" t="str">
            <v/>
          </cell>
          <cell r="K1894" t="str">
            <v/>
          </cell>
          <cell r="L1894" t="str">
            <v/>
          </cell>
          <cell r="M1894" t="str">
            <v/>
          </cell>
        </row>
        <row r="1895">
          <cell r="A1895">
            <v>31102192</v>
          </cell>
          <cell r="C1895">
            <v>31102192</v>
          </cell>
          <cell r="D1895">
            <v>31102192</v>
          </cell>
          <cell r="E1895">
            <v>31102192</v>
          </cell>
          <cell r="F1895">
            <v>31102192</v>
          </cell>
          <cell r="G1895">
            <v>31102192</v>
          </cell>
          <cell r="H1895">
            <v>31102192</v>
          </cell>
          <cell r="I1895" t="str">
            <v/>
          </cell>
          <cell r="J1895" t="str">
            <v/>
          </cell>
          <cell r="K1895" t="str">
            <v/>
          </cell>
          <cell r="L1895" t="str">
            <v/>
          </cell>
          <cell r="M1895" t="str">
            <v/>
          </cell>
        </row>
        <row r="1896">
          <cell r="A1896">
            <v>31102192</v>
          </cell>
          <cell r="C1896">
            <v>31102192</v>
          </cell>
          <cell r="D1896">
            <v>31102192</v>
          </cell>
          <cell r="E1896">
            <v>31102192</v>
          </cell>
          <cell r="F1896">
            <v>31102192</v>
          </cell>
          <cell r="G1896">
            <v>31102192</v>
          </cell>
          <cell r="H1896">
            <v>31102192</v>
          </cell>
          <cell r="I1896" t="str">
            <v/>
          </cell>
          <cell r="J1896" t="str">
            <v/>
          </cell>
          <cell r="K1896" t="str">
            <v/>
          </cell>
          <cell r="L1896" t="str">
            <v/>
          </cell>
          <cell r="M1896" t="str">
            <v/>
          </cell>
        </row>
        <row r="1897">
          <cell r="A1897">
            <v>31102192</v>
          </cell>
          <cell r="C1897">
            <v>31102192</v>
          </cell>
          <cell r="D1897">
            <v>31102192</v>
          </cell>
          <cell r="E1897">
            <v>31102192</v>
          </cell>
          <cell r="F1897">
            <v>31102192</v>
          </cell>
          <cell r="G1897">
            <v>31102192</v>
          </cell>
          <cell r="H1897">
            <v>31102192</v>
          </cell>
          <cell r="I1897" t="str">
            <v/>
          </cell>
          <cell r="J1897" t="str">
            <v/>
          </cell>
          <cell r="K1897" t="str">
            <v/>
          </cell>
          <cell r="L1897" t="str">
            <v/>
          </cell>
          <cell r="M1897" t="str">
            <v/>
          </cell>
        </row>
        <row r="1898">
          <cell r="A1898">
            <v>31102192</v>
          </cell>
          <cell r="C1898">
            <v>31102192</v>
          </cell>
          <cell r="D1898">
            <v>31102192</v>
          </cell>
          <cell r="E1898">
            <v>31102192</v>
          </cell>
          <cell r="F1898">
            <v>31102192</v>
          </cell>
          <cell r="G1898">
            <v>31102192</v>
          </cell>
          <cell r="H1898">
            <v>31102192</v>
          </cell>
          <cell r="I1898" t="str">
            <v/>
          </cell>
          <cell r="J1898" t="str">
            <v/>
          </cell>
          <cell r="K1898" t="str">
            <v/>
          </cell>
          <cell r="L1898" t="str">
            <v/>
          </cell>
          <cell r="M1898" t="str">
            <v/>
          </cell>
        </row>
        <row r="1899">
          <cell r="A1899">
            <v>31102192</v>
          </cell>
          <cell r="C1899">
            <v>31102192</v>
          </cell>
          <cell r="D1899">
            <v>31102192</v>
          </cell>
          <cell r="E1899">
            <v>31102192</v>
          </cell>
          <cell r="F1899">
            <v>31102192</v>
          </cell>
          <cell r="G1899">
            <v>31102192</v>
          </cell>
          <cell r="H1899">
            <v>31102192</v>
          </cell>
          <cell r="I1899" t="str">
            <v/>
          </cell>
          <cell r="J1899" t="str">
            <v/>
          </cell>
          <cell r="K1899" t="str">
            <v/>
          </cell>
          <cell r="L1899" t="str">
            <v/>
          </cell>
          <cell r="M1899" t="str">
            <v/>
          </cell>
        </row>
        <row r="1900">
          <cell r="A1900">
            <v>31102192</v>
          </cell>
          <cell r="C1900">
            <v>31102192</v>
          </cell>
          <cell r="D1900">
            <v>31102192</v>
          </cell>
          <cell r="E1900">
            <v>31102192</v>
          </cell>
          <cell r="F1900">
            <v>31102192</v>
          </cell>
          <cell r="G1900">
            <v>31102192</v>
          </cell>
          <cell r="H1900">
            <v>31102192</v>
          </cell>
          <cell r="I1900" t="str">
            <v/>
          </cell>
          <cell r="J1900" t="str">
            <v/>
          </cell>
          <cell r="K1900" t="str">
            <v/>
          </cell>
          <cell r="L1900" t="str">
            <v/>
          </cell>
          <cell r="M1900" t="str">
            <v/>
          </cell>
        </row>
        <row r="1901">
          <cell r="A1901">
            <v>31102192</v>
          </cell>
          <cell r="C1901">
            <v>31102192</v>
          </cell>
          <cell r="D1901">
            <v>31102192</v>
          </cell>
          <cell r="E1901">
            <v>31102192</v>
          </cell>
          <cell r="F1901">
            <v>31102192</v>
          </cell>
          <cell r="G1901">
            <v>31102192</v>
          </cell>
          <cell r="H1901">
            <v>31102192</v>
          </cell>
          <cell r="I1901" t="str">
            <v/>
          </cell>
          <cell r="J1901" t="str">
            <v/>
          </cell>
          <cell r="K1901" t="str">
            <v/>
          </cell>
          <cell r="L1901" t="str">
            <v/>
          </cell>
          <cell r="M1901" t="str">
            <v/>
          </cell>
        </row>
        <row r="1902">
          <cell r="A1902">
            <v>31102192</v>
          </cell>
          <cell r="C1902">
            <v>31102192</v>
          </cell>
          <cell r="D1902">
            <v>31102192</v>
          </cell>
          <cell r="E1902">
            <v>31102192</v>
          </cell>
          <cell r="F1902">
            <v>31102192</v>
          </cell>
          <cell r="G1902">
            <v>31102192</v>
          </cell>
          <cell r="H1902">
            <v>31102192</v>
          </cell>
          <cell r="I1902" t="str">
            <v/>
          </cell>
          <cell r="J1902" t="str">
            <v/>
          </cell>
          <cell r="K1902" t="str">
            <v/>
          </cell>
          <cell r="L1902" t="str">
            <v/>
          </cell>
          <cell r="M1902" t="str">
            <v/>
          </cell>
        </row>
        <row r="1903">
          <cell r="A1903">
            <v>31102192</v>
          </cell>
          <cell r="C1903">
            <v>31102192</v>
          </cell>
          <cell r="D1903">
            <v>31102192</v>
          </cell>
          <cell r="E1903">
            <v>31102192</v>
          </cell>
          <cell r="F1903">
            <v>31102192</v>
          </cell>
          <cell r="G1903">
            <v>31102192</v>
          </cell>
          <cell r="H1903">
            <v>31102192</v>
          </cell>
          <cell r="I1903" t="str">
            <v/>
          </cell>
          <cell r="J1903" t="str">
            <v/>
          </cell>
          <cell r="K1903" t="str">
            <v/>
          </cell>
          <cell r="L1903" t="str">
            <v/>
          </cell>
          <cell r="M1903" t="str">
            <v/>
          </cell>
        </row>
        <row r="1904">
          <cell r="A1904">
            <v>31102192</v>
          </cell>
          <cell r="C1904">
            <v>31102192</v>
          </cell>
          <cell r="D1904">
            <v>31102192</v>
          </cell>
          <cell r="E1904">
            <v>31102192</v>
          </cell>
          <cell r="F1904">
            <v>31102192</v>
          </cell>
          <cell r="G1904">
            <v>31102192</v>
          </cell>
          <cell r="H1904">
            <v>31102192</v>
          </cell>
          <cell r="I1904" t="str">
            <v/>
          </cell>
          <cell r="J1904" t="str">
            <v/>
          </cell>
          <cell r="K1904" t="str">
            <v/>
          </cell>
          <cell r="L1904" t="str">
            <v/>
          </cell>
          <cell r="M1904" t="str">
            <v/>
          </cell>
        </row>
        <row r="1905">
          <cell r="A1905">
            <v>31102192</v>
          </cell>
          <cell r="C1905">
            <v>31102192</v>
          </cell>
          <cell r="D1905">
            <v>31102192</v>
          </cell>
          <cell r="E1905">
            <v>31102192</v>
          </cell>
          <cell r="F1905">
            <v>31102192</v>
          </cell>
          <cell r="G1905">
            <v>31102192</v>
          </cell>
          <cell r="H1905">
            <v>31102192</v>
          </cell>
          <cell r="I1905" t="str">
            <v/>
          </cell>
          <cell r="J1905" t="str">
            <v/>
          </cell>
          <cell r="K1905" t="str">
            <v/>
          </cell>
          <cell r="L1905" t="str">
            <v/>
          </cell>
          <cell r="M1905" t="str">
            <v/>
          </cell>
        </row>
        <row r="1906">
          <cell r="A1906">
            <v>31102192</v>
          </cell>
          <cell r="C1906">
            <v>31102192</v>
          </cell>
          <cell r="D1906">
            <v>31102192</v>
          </cell>
          <cell r="E1906">
            <v>31102192</v>
          </cell>
          <cell r="F1906">
            <v>31102192</v>
          </cell>
          <cell r="G1906">
            <v>31102192</v>
          </cell>
          <cell r="H1906">
            <v>31102192</v>
          </cell>
          <cell r="I1906" t="str">
            <v/>
          </cell>
          <cell r="J1906" t="str">
            <v/>
          </cell>
          <cell r="K1906" t="str">
            <v/>
          </cell>
          <cell r="L1906" t="str">
            <v/>
          </cell>
          <cell r="M1906" t="str">
            <v/>
          </cell>
        </row>
        <row r="1907">
          <cell r="A1907">
            <v>31102192</v>
          </cell>
          <cell r="C1907">
            <v>31102192</v>
          </cell>
          <cell r="D1907">
            <v>31102192</v>
          </cell>
          <cell r="E1907">
            <v>31102192</v>
          </cell>
          <cell r="F1907">
            <v>31102192</v>
          </cell>
          <cell r="G1907">
            <v>31102192</v>
          </cell>
          <cell r="H1907">
            <v>31102192</v>
          </cell>
          <cell r="I1907" t="str">
            <v/>
          </cell>
          <cell r="J1907" t="str">
            <v/>
          </cell>
          <cell r="K1907" t="str">
            <v/>
          </cell>
          <cell r="L1907" t="str">
            <v/>
          </cell>
          <cell r="M1907" t="str">
            <v/>
          </cell>
        </row>
        <row r="1908">
          <cell r="A1908">
            <v>31102192</v>
          </cell>
          <cell r="C1908">
            <v>31102192</v>
          </cell>
          <cell r="D1908">
            <v>31102192</v>
          </cell>
          <cell r="E1908">
            <v>31102192</v>
          </cell>
          <cell r="F1908">
            <v>31102192</v>
          </cell>
          <cell r="G1908">
            <v>31102192</v>
          </cell>
          <cell r="H1908">
            <v>31102192</v>
          </cell>
          <cell r="I1908" t="str">
            <v/>
          </cell>
          <cell r="J1908" t="str">
            <v/>
          </cell>
          <cell r="K1908" t="str">
            <v/>
          </cell>
          <cell r="L1908" t="str">
            <v/>
          </cell>
          <cell r="M1908" t="str">
            <v/>
          </cell>
        </row>
        <row r="1909">
          <cell r="A1909">
            <v>31102192</v>
          </cell>
          <cell r="C1909">
            <v>31102192</v>
          </cell>
          <cell r="D1909">
            <v>31102192</v>
          </cell>
          <cell r="E1909">
            <v>31102192</v>
          </cell>
          <cell r="F1909">
            <v>31102192</v>
          </cell>
          <cell r="G1909">
            <v>31102192</v>
          </cell>
          <cell r="H1909">
            <v>31102192</v>
          </cell>
          <cell r="I1909" t="str">
            <v/>
          </cell>
          <cell r="J1909" t="str">
            <v/>
          </cell>
          <cell r="K1909" t="str">
            <v/>
          </cell>
          <cell r="L1909" t="str">
            <v/>
          </cell>
          <cell r="M1909" t="str">
            <v/>
          </cell>
        </row>
        <row r="1910">
          <cell r="A1910">
            <v>31102192</v>
          </cell>
          <cell r="C1910">
            <v>31102192</v>
          </cell>
          <cell r="D1910">
            <v>31102192</v>
          </cell>
          <cell r="E1910">
            <v>31102192</v>
          </cell>
          <cell r="F1910">
            <v>31102192</v>
          </cell>
          <cell r="G1910">
            <v>31102192</v>
          </cell>
          <cell r="H1910">
            <v>31102192</v>
          </cell>
          <cell r="I1910" t="str">
            <v/>
          </cell>
          <cell r="J1910" t="str">
            <v/>
          </cell>
          <cell r="K1910" t="str">
            <v/>
          </cell>
          <cell r="L1910" t="str">
            <v/>
          </cell>
          <cell r="M1910" t="str">
            <v/>
          </cell>
        </row>
        <row r="1911">
          <cell r="A1911">
            <v>31102192</v>
          </cell>
          <cell r="C1911">
            <v>31102192</v>
          </cell>
          <cell r="D1911">
            <v>31102192</v>
          </cell>
          <cell r="E1911">
            <v>31102192</v>
          </cell>
          <cell r="F1911">
            <v>31102192</v>
          </cell>
          <cell r="G1911">
            <v>31102192</v>
          </cell>
          <cell r="H1911">
            <v>31102192</v>
          </cell>
          <cell r="I1911" t="str">
            <v/>
          </cell>
          <cell r="J1911" t="str">
            <v/>
          </cell>
          <cell r="K1911" t="str">
            <v/>
          </cell>
          <cell r="L1911" t="str">
            <v/>
          </cell>
          <cell r="M1911" t="str">
            <v/>
          </cell>
        </row>
        <row r="1912">
          <cell r="A1912">
            <v>31102192</v>
          </cell>
          <cell r="C1912">
            <v>31102192</v>
          </cell>
          <cell r="D1912">
            <v>31102192</v>
          </cell>
          <cell r="E1912">
            <v>31102192</v>
          </cell>
          <cell r="F1912">
            <v>31102192</v>
          </cell>
          <cell r="G1912">
            <v>31102192</v>
          </cell>
          <cell r="H1912">
            <v>31102192</v>
          </cell>
          <cell r="I1912" t="str">
            <v/>
          </cell>
          <cell r="J1912" t="str">
            <v/>
          </cell>
          <cell r="K1912" t="str">
            <v/>
          </cell>
          <cell r="L1912" t="str">
            <v/>
          </cell>
          <cell r="M1912" t="str">
            <v/>
          </cell>
        </row>
        <row r="1913">
          <cell r="A1913">
            <v>31102192</v>
          </cell>
          <cell r="C1913">
            <v>31102192</v>
          </cell>
          <cell r="D1913">
            <v>31102192</v>
          </cell>
          <cell r="E1913">
            <v>31102192</v>
          </cell>
          <cell r="F1913">
            <v>31102192</v>
          </cell>
          <cell r="G1913">
            <v>31102192</v>
          </cell>
          <cell r="H1913">
            <v>31102192</v>
          </cell>
          <cell r="I1913" t="str">
            <v/>
          </cell>
          <cell r="J1913" t="str">
            <v/>
          </cell>
          <cell r="K1913" t="str">
            <v/>
          </cell>
          <cell r="L1913" t="str">
            <v/>
          </cell>
          <cell r="M1913" t="str">
            <v/>
          </cell>
        </row>
        <row r="1914">
          <cell r="A1914">
            <v>31102192</v>
          </cell>
          <cell r="C1914">
            <v>31102192</v>
          </cell>
          <cell r="D1914">
            <v>31102192</v>
          </cell>
          <cell r="E1914">
            <v>31102192</v>
          </cell>
          <cell r="F1914">
            <v>31102192</v>
          </cell>
          <cell r="G1914">
            <v>31102192</v>
          </cell>
          <cell r="H1914">
            <v>31102192</v>
          </cell>
          <cell r="I1914" t="str">
            <v/>
          </cell>
          <cell r="J1914" t="str">
            <v/>
          </cell>
          <cell r="K1914" t="str">
            <v/>
          </cell>
          <cell r="L1914" t="str">
            <v/>
          </cell>
          <cell r="M1914" t="str">
            <v/>
          </cell>
        </row>
        <row r="1915">
          <cell r="A1915">
            <v>31102192</v>
          </cell>
          <cell r="C1915">
            <v>31102192</v>
          </cell>
          <cell r="D1915">
            <v>31102192</v>
          </cell>
          <cell r="E1915">
            <v>31102192</v>
          </cell>
          <cell r="F1915">
            <v>31102192</v>
          </cell>
          <cell r="G1915">
            <v>31102192</v>
          </cell>
          <cell r="H1915">
            <v>31102192</v>
          </cell>
          <cell r="I1915" t="str">
            <v/>
          </cell>
          <cell r="J1915" t="str">
            <v/>
          </cell>
          <cell r="K1915" t="str">
            <v/>
          </cell>
          <cell r="L1915" t="str">
            <v/>
          </cell>
          <cell r="M1915" t="str">
            <v/>
          </cell>
        </row>
        <row r="1916">
          <cell r="A1916">
            <v>31102192</v>
          </cell>
          <cell r="C1916">
            <v>31102192</v>
          </cell>
          <cell r="D1916">
            <v>31102192</v>
          </cell>
          <cell r="E1916">
            <v>31102192</v>
          </cell>
          <cell r="F1916">
            <v>31102192</v>
          </cell>
          <cell r="G1916">
            <v>31102192</v>
          </cell>
          <cell r="H1916">
            <v>31102192</v>
          </cell>
          <cell r="I1916" t="str">
            <v/>
          </cell>
          <cell r="J1916" t="str">
            <v/>
          </cell>
          <cell r="K1916" t="str">
            <v/>
          </cell>
          <cell r="L1916" t="str">
            <v/>
          </cell>
          <cell r="M1916" t="str">
            <v/>
          </cell>
        </row>
        <row r="1917">
          <cell r="A1917">
            <v>31102192</v>
          </cell>
          <cell r="C1917">
            <v>31102192</v>
          </cell>
          <cell r="D1917">
            <v>31102192</v>
          </cell>
          <cell r="E1917">
            <v>31102192</v>
          </cell>
          <cell r="F1917">
            <v>31102192</v>
          </cell>
          <cell r="G1917">
            <v>31102192</v>
          </cell>
          <cell r="H1917">
            <v>31102192</v>
          </cell>
          <cell r="I1917" t="str">
            <v/>
          </cell>
          <cell r="J1917" t="str">
            <v/>
          </cell>
          <cell r="K1917" t="str">
            <v/>
          </cell>
          <cell r="L1917" t="str">
            <v/>
          </cell>
          <cell r="M1917" t="str">
            <v/>
          </cell>
        </row>
        <row r="1918">
          <cell r="A1918">
            <v>31102192</v>
          </cell>
          <cell r="C1918">
            <v>31102192</v>
          </cell>
          <cell r="D1918">
            <v>31102192</v>
          </cell>
          <cell r="E1918">
            <v>31102192</v>
          </cell>
          <cell r="F1918">
            <v>31102192</v>
          </cell>
          <cell r="G1918">
            <v>31102192</v>
          </cell>
          <cell r="H1918">
            <v>31102192</v>
          </cell>
          <cell r="I1918" t="str">
            <v/>
          </cell>
          <cell r="J1918" t="str">
            <v/>
          </cell>
          <cell r="K1918" t="str">
            <v/>
          </cell>
          <cell r="L1918" t="str">
            <v/>
          </cell>
          <cell r="M1918" t="str">
            <v/>
          </cell>
        </row>
        <row r="1919">
          <cell r="A1919">
            <v>31102192</v>
          </cell>
          <cell r="C1919">
            <v>31102192</v>
          </cell>
          <cell r="D1919">
            <v>31102192</v>
          </cell>
          <cell r="E1919">
            <v>31102192</v>
          </cell>
          <cell r="F1919">
            <v>31102192</v>
          </cell>
          <cell r="G1919">
            <v>31102192</v>
          </cell>
          <cell r="H1919">
            <v>31102192</v>
          </cell>
          <cell r="I1919" t="str">
            <v/>
          </cell>
          <cell r="J1919" t="str">
            <v/>
          </cell>
          <cell r="K1919" t="str">
            <v/>
          </cell>
          <cell r="L1919" t="str">
            <v/>
          </cell>
          <cell r="M1919" t="str">
            <v/>
          </cell>
        </row>
        <row r="1920">
          <cell r="A1920">
            <v>31102192</v>
          </cell>
          <cell r="C1920">
            <v>31102192</v>
          </cell>
          <cell r="D1920">
            <v>31102192</v>
          </cell>
          <cell r="E1920">
            <v>31102192</v>
          </cell>
          <cell r="F1920">
            <v>31102192</v>
          </cell>
          <cell r="G1920">
            <v>31102192</v>
          </cell>
          <cell r="H1920">
            <v>31102192</v>
          </cell>
          <cell r="I1920" t="str">
            <v/>
          </cell>
          <cell r="J1920" t="str">
            <v/>
          </cell>
          <cell r="K1920" t="str">
            <v/>
          </cell>
          <cell r="L1920" t="str">
            <v/>
          </cell>
          <cell r="M1920" t="str">
            <v/>
          </cell>
        </row>
        <row r="1921">
          <cell r="A1921">
            <v>31102192</v>
          </cell>
          <cell r="C1921">
            <v>31102192</v>
          </cell>
          <cell r="D1921">
            <v>31102192</v>
          </cell>
          <cell r="E1921">
            <v>31102192</v>
          </cell>
          <cell r="F1921">
            <v>31102192</v>
          </cell>
          <cell r="G1921">
            <v>31102192</v>
          </cell>
          <cell r="H1921">
            <v>31102192</v>
          </cell>
          <cell r="I1921" t="str">
            <v/>
          </cell>
          <cell r="J1921" t="str">
            <v/>
          </cell>
          <cell r="K1921" t="str">
            <v/>
          </cell>
          <cell r="L1921" t="str">
            <v/>
          </cell>
          <cell r="M1921" t="str">
            <v/>
          </cell>
        </row>
        <row r="1922">
          <cell r="A1922">
            <v>31102192</v>
          </cell>
          <cell r="C1922">
            <v>31102192</v>
          </cell>
          <cell r="D1922">
            <v>31102192</v>
          </cell>
          <cell r="E1922">
            <v>31102192</v>
          </cell>
          <cell r="F1922">
            <v>31102192</v>
          </cell>
          <cell r="G1922">
            <v>31102192</v>
          </cell>
          <cell r="H1922">
            <v>31102192</v>
          </cell>
          <cell r="I1922" t="str">
            <v/>
          </cell>
          <cell r="J1922" t="str">
            <v/>
          </cell>
          <cell r="K1922" t="str">
            <v/>
          </cell>
          <cell r="L1922" t="str">
            <v/>
          </cell>
          <cell r="M1922" t="str">
            <v/>
          </cell>
        </row>
        <row r="1923">
          <cell r="A1923">
            <v>31102192</v>
          </cell>
          <cell r="C1923">
            <v>31102192</v>
          </cell>
          <cell r="D1923">
            <v>31102192</v>
          </cell>
          <cell r="E1923">
            <v>31102192</v>
          </cell>
          <cell r="F1923">
            <v>31102192</v>
          </cell>
          <cell r="G1923">
            <v>31102192</v>
          </cell>
          <cell r="H1923">
            <v>31102192</v>
          </cell>
          <cell r="I1923" t="str">
            <v/>
          </cell>
          <cell r="J1923" t="str">
            <v/>
          </cell>
          <cell r="K1923" t="str">
            <v/>
          </cell>
          <cell r="L1923" t="str">
            <v/>
          </cell>
          <cell r="M1923" t="str">
            <v/>
          </cell>
        </row>
        <row r="1924">
          <cell r="A1924">
            <v>31102192</v>
          </cell>
          <cell r="C1924">
            <v>31102192</v>
          </cell>
          <cell r="D1924">
            <v>31102192</v>
          </cell>
          <cell r="E1924">
            <v>31102192</v>
          </cell>
          <cell r="F1924">
            <v>31102192</v>
          </cell>
          <cell r="G1924">
            <v>31102192</v>
          </cell>
          <cell r="H1924">
            <v>31102192</v>
          </cell>
          <cell r="I1924" t="str">
            <v/>
          </cell>
          <cell r="J1924" t="str">
            <v/>
          </cell>
          <cell r="K1924" t="str">
            <v/>
          </cell>
          <cell r="L1924" t="str">
            <v/>
          </cell>
          <cell r="M1924" t="str">
            <v/>
          </cell>
        </row>
        <row r="1925">
          <cell r="A1925">
            <v>31102192</v>
          </cell>
          <cell r="C1925">
            <v>31102192</v>
          </cell>
          <cell r="D1925">
            <v>31102192</v>
          </cell>
          <cell r="E1925">
            <v>31102192</v>
          </cell>
          <cell r="F1925">
            <v>31102192</v>
          </cell>
          <cell r="G1925">
            <v>31102192</v>
          </cell>
          <cell r="H1925">
            <v>31102192</v>
          </cell>
          <cell r="I1925" t="str">
            <v/>
          </cell>
          <cell r="J1925" t="str">
            <v/>
          </cell>
          <cell r="K1925" t="str">
            <v/>
          </cell>
          <cell r="L1925" t="str">
            <v/>
          </cell>
          <cell r="M1925" t="str">
            <v/>
          </cell>
        </row>
        <row r="1926">
          <cell r="A1926">
            <v>31102192</v>
          </cell>
          <cell r="C1926">
            <v>31102192</v>
          </cell>
          <cell r="D1926">
            <v>31102192</v>
          </cell>
          <cell r="E1926">
            <v>31102192</v>
          </cell>
          <cell r="F1926">
            <v>31102192</v>
          </cell>
          <cell r="G1926">
            <v>31102192</v>
          </cell>
          <cell r="H1926">
            <v>31102192</v>
          </cell>
          <cell r="I1926" t="str">
            <v/>
          </cell>
          <cell r="J1926" t="str">
            <v/>
          </cell>
          <cell r="K1926" t="str">
            <v/>
          </cell>
          <cell r="L1926" t="str">
            <v/>
          </cell>
          <cell r="M1926" t="str">
            <v/>
          </cell>
        </row>
        <row r="1927">
          <cell r="A1927">
            <v>31102192</v>
          </cell>
          <cell r="C1927">
            <v>31102192</v>
          </cell>
          <cell r="D1927">
            <v>31102192</v>
          </cell>
          <cell r="E1927">
            <v>31102192</v>
          </cell>
          <cell r="F1927">
            <v>31102192</v>
          </cell>
          <cell r="G1927">
            <v>31102192</v>
          </cell>
          <cell r="H1927">
            <v>31102192</v>
          </cell>
          <cell r="I1927" t="str">
            <v/>
          </cell>
          <cell r="J1927" t="str">
            <v/>
          </cell>
          <cell r="K1927" t="str">
            <v/>
          </cell>
          <cell r="L1927" t="str">
            <v/>
          </cell>
          <cell r="M1927" t="str">
            <v/>
          </cell>
        </row>
        <row r="1928">
          <cell r="A1928">
            <v>31102192</v>
          </cell>
          <cell r="C1928">
            <v>31102192</v>
          </cell>
          <cell r="D1928">
            <v>31102192</v>
          </cell>
          <cell r="E1928">
            <v>31102192</v>
          </cell>
          <cell r="F1928">
            <v>31102192</v>
          </cell>
          <cell r="G1928">
            <v>31102192</v>
          </cell>
          <cell r="H1928">
            <v>31102192</v>
          </cell>
          <cell r="I1928" t="str">
            <v/>
          </cell>
          <cell r="J1928" t="str">
            <v/>
          </cell>
          <cell r="K1928" t="str">
            <v/>
          </cell>
          <cell r="L1928" t="str">
            <v/>
          </cell>
          <cell r="M1928" t="str">
            <v/>
          </cell>
        </row>
        <row r="1929">
          <cell r="A1929">
            <v>31102192</v>
          </cell>
          <cell r="C1929">
            <v>31102192</v>
          </cell>
          <cell r="D1929">
            <v>31102192</v>
          </cell>
          <cell r="E1929">
            <v>31102192</v>
          </cell>
          <cell r="F1929">
            <v>31102192</v>
          </cell>
          <cell r="G1929">
            <v>31102192</v>
          </cell>
          <cell r="H1929">
            <v>31102192</v>
          </cell>
          <cell r="I1929" t="str">
            <v/>
          </cell>
          <cell r="J1929" t="str">
            <v/>
          </cell>
          <cell r="K1929" t="str">
            <v/>
          </cell>
          <cell r="L1929" t="str">
            <v/>
          </cell>
          <cell r="M1929" t="str">
            <v/>
          </cell>
        </row>
        <row r="1930">
          <cell r="A1930">
            <v>31102192</v>
          </cell>
          <cell r="C1930">
            <v>31102192</v>
          </cell>
          <cell r="D1930">
            <v>31102192</v>
          </cell>
          <cell r="E1930">
            <v>31102192</v>
          </cell>
          <cell r="F1930">
            <v>31102192</v>
          </cell>
          <cell r="G1930">
            <v>31102192</v>
          </cell>
          <cell r="H1930">
            <v>31102192</v>
          </cell>
          <cell r="I1930" t="str">
            <v/>
          </cell>
          <cell r="J1930" t="str">
            <v/>
          </cell>
          <cell r="K1930" t="str">
            <v/>
          </cell>
          <cell r="L1930" t="str">
            <v/>
          </cell>
          <cell r="M1930" t="str">
            <v/>
          </cell>
        </row>
        <row r="1931">
          <cell r="A1931">
            <v>31102192</v>
          </cell>
          <cell r="C1931">
            <v>31102192</v>
          </cell>
          <cell r="D1931">
            <v>31102192</v>
          </cell>
          <cell r="E1931">
            <v>31102192</v>
          </cell>
          <cell r="F1931">
            <v>31102192</v>
          </cell>
          <cell r="G1931">
            <v>31102192</v>
          </cell>
          <cell r="H1931">
            <v>31102192</v>
          </cell>
          <cell r="I1931" t="str">
            <v/>
          </cell>
          <cell r="J1931" t="str">
            <v/>
          </cell>
          <cell r="K1931" t="str">
            <v/>
          </cell>
          <cell r="L1931" t="str">
            <v/>
          </cell>
          <cell r="M1931" t="str">
            <v/>
          </cell>
        </row>
        <row r="1932">
          <cell r="A1932">
            <v>31102192</v>
          </cell>
          <cell r="C1932">
            <v>31102192</v>
          </cell>
          <cell r="D1932">
            <v>31102192</v>
          </cell>
          <cell r="E1932">
            <v>31102192</v>
          </cell>
          <cell r="F1932">
            <v>31102192</v>
          </cell>
          <cell r="G1932">
            <v>31102192</v>
          </cell>
          <cell r="H1932">
            <v>31102192</v>
          </cell>
          <cell r="I1932" t="str">
            <v/>
          </cell>
          <cell r="J1932" t="str">
            <v/>
          </cell>
          <cell r="K1932" t="str">
            <v/>
          </cell>
          <cell r="L1932" t="str">
            <v/>
          </cell>
          <cell r="M1932" t="str">
            <v/>
          </cell>
        </row>
        <row r="1933">
          <cell r="A1933">
            <v>31102192</v>
          </cell>
          <cell r="C1933">
            <v>31102192</v>
          </cell>
          <cell r="D1933">
            <v>31102192</v>
          </cell>
          <cell r="E1933">
            <v>31102192</v>
          </cell>
          <cell r="F1933">
            <v>31102192</v>
          </cell>
          <cell r="G1933">
            <v>31102192</v>
          </cell>
          <cell r="H1933">
            <v>31102192</v>
          </cell>
          <cell r="I1933" t="str">
            <v/>
          </cell>
          <cell r="J1933" t="str">
            <v/>
          </cell>
          <cell r="K1933" t="str">
            <v/>
          </cell>
          <cell r="L1933" t="str">
            <v/>
          </cell>
          <cell r="M1933" t="str">
            <v/>
          </cell>
        </row>
        <row r="1934">
          <cell r="A1934">
            <v>31102192</v>
          </cell>
          <cell r="C1934">
            <v>31102192</v>
          </cell>
          <cell r="D1934">
            <v>31102192</v>
          </cell>
          <cell r="E1934">
            <v>31102192</v>
          </cell>
          <cell r="F1934">
            <v>31102192</v>
          </cell>
          <cell r="G1934">
            <v>31102192</v>
          </cell>
          <cell r="H1934">
            <v>31102192</v>
          </cell>
          <cell r="I1934" t="str">
            <v/>
          </cell>
          <cell r="J1934" t="str">
            <v/>
          </cell>
          <cell r="K1934" t="str">
            <v/>
          </cell>
          <cell r="L1934" t="str">
            <v/>
          </cell>
          <cell r="M1934" t="str">
            <v/>
          </cell>
        </row>
        <row r="1935">
          <cell r="A1935">
            <v>31102192</v>
          </cell>
          <cell r="C1935">
            <v>31102192</v>
          </cell>
          <cell r="D1935">
            <v>31102192</v>
          </cell>
          <cell r="E1935">
            <v>31102192</v>
          </cell>
          <cell r="F1935">
            <v>31102192</v>
          </cell>
          <cell r="G1935">
            <v>31102192</v>
          </cell>
          <cell r="H1935">
            <v>31102192</v>
          </cell>
          <cell r="I1935" t="str">
            <v/>
          </cell>
          <cell r="J1935" t="str">
            <v/>
          </cell>
          <cell r="K1935" t="str">
            <v/>
          </cell>
          <cell r="L1935" t="str">
            <v/>
          </cell>
          <cell r="M1935" t="str">
            <v/>
          </cell>
        </row>
        <row r="1936">
          <cell r="A1936">
            <v>31102192</v>
          </cell>
          <cell r="C1936">
            <v>31102192</v>
          </cell>
          <cell r="D1936">
            <v>31102192</v>
          </cell>
          <cell r="E1936">
            <v>31102192</v>
          </cell>
          <cell r="F1936">
            <v>31102192</v>
          </cell>
          <cell r="G1936">
            <v>31102192</v>
          </cell>
          <cell r="H1936">
            <v>31102192</v>
          </cell>
          <cell r="I1936" t="str">
            <v/>
          </cell>
          <cell r="J1936" t="str">
            <v/>
          </cell>
          <cell r="K1936" t="str">
            <v/>
          </cell>
          <cell r="L1936" t="str">
            <v/>
          </cell>
          <cell r="M1936" t="str">
            <v/>
          </cell>
        </row>
        <row r="1937">
          <cell r="A1937">
            <v>31102192</v>
          </cell>
          <cell r="C1937">
            <v>31102192</v>
          </cell>
          <cell r="D1937">
            <v>31102192</v>
          </cell>
          <cell r="E1937">
            <v>31102192</v>
          </cell>
          <cell r="F1937">
            <v>31102192</v>
          </cell>
          <cell r="G1937">
            <v>31102192</v>
          </cell>
          <cell r="H1937">
            <v>31102192</v>
          </cell>
          <cell r="I1937" t="str">
            <v/>
          </cell>
          <cell r="J1937" t="str">
            <v/>
          </cell>
          <cell r="K1937" t="str">
            <v/>
          </cell>
          <cell r="L1937" t="str">
            <v/>
          </cell>
          <cell r="M1937" t="str">
            <v/>
          </cell>
        </row>
        <row r="1938">
          <cell r="A1938">
            <v>31102192</v>
          </cell>
          <cell r="C1938">
            <v>31102192</v>
          </cell>
          <cell r="D1938">
            <v>31102192</v>
          </cell>
          <cell r="E1938">
            <v>31102192</v>
          </cell>
          <cell r="F1938">
            <v>31102192</v>
          </cell>
          <cell r="G1938">
            <v>31102192</v>
          </cell>
          <cell r="H1938">
            <v>31102192</v>
          </cell>
          <cell r="I1938" t="str">
            <v/>
          </cell>
          <cell r="J1938" t="str">
            <v/>
          </cell>
          <cell r="K1938" t="str">
            <v/>
          </cell>
          <cell r="L1938" t="str">
            <v/>
          </cell>
          <cell r="M1938" t="str">
            <v/>
          </cell>
        </row>
        <row r="1939">
          <cell r="A1939">
            <v>31102192</v>
          </cell>
          <cell r="C1939">
            <v>31102192</v>
          </cell>
          <cell r="D1939">
            <v>31102192</v>
          </cell>
          <cell r="E1939">
            <v>31102192</v>
          </cell>
          <cell r="F1939">
            <v>31102192</v>
          </cell>
          <cell r="G1939">
            <v>31102192</v>
          </cell>
          <cell r="H1939">
            <v>31102192</v>
          </cell>
          <cell r="I1939" t="str">
            <v/>
          </cell>
          <cell r="J1939" t="str">
            <v/>
          </cell>
          <cell r="K1939" t="str">
            <v/>
          </cell>
          <cell r="L1939" t="str">
            <v/>
          </cell>
          <cell r="M1939" t="str">
            <v/>
          </cell>
        </row>
        <row r="1940">
          <cell r="A1940">
            <v>31102192</v>
          </cell>
          <cell r="C1940">
            <v>31102192</v>
          </cell>
          <cell r="D1940">
            <v>31102192</v>
          </cell>
          <cell r="E1940">
            <v>31102192</v>
          </cell>
          <cell r="F1940">
            <v>31102192</v>
          </cell>
          <cell r="G1940">
            <v>31102192</v>
          </cell>
          <cell r="H1940">
            <v>31102192</v>
          </cell>
          <cell r="I1940" t="str">
            <v/>
          </cell>
          <cell r="J1940" t="str">
            <v/>
          </cell>
          <cell r="K1940" t="str">
            <v/>
          </cell>
          <cell r="L1940" t="str">
            <v/>
          </cell>
          <cell r="M1940" t="str">
            <v/>
          </cell>
        </row>
        <row r="1941">
          <cell r="A1941">
            <v>31102192</v>
          </cell>
          <cell r="C1941">
            <v>31102192</v>
          </cell>
          <cell r="D1941">
            <v>31102192</v>
          </cell>
          <cell r="E1941">
            <v>31102192</v>
          </cell>
          <cell r="F1941">
            <v>31102192</v>
          </cell>
          <cell r="G1941">
            <v>31102192</v>
          </cell>
          <cell r="H1941">
            <v>31102192</v>
          </cell>
          <cell r="I1941" t="str">
            <v/>
          </cell>
          <cell r="J1941" t="str">
            <v/>
          </cell>
          <cell r="K1941" t="str">
            <v/>
          </cell>
          <cell r="L1941" t="str">
            <v/>
          </cell>
          <cell r="M1941" t="str">
            <v/>
          </cell>
        </row>
        <row r="1942">
          <cell r="A1942">
            <v>31102192</v>
          </cell>
          <cell r="C1942">
            <v>31102192</v>
          </cell>
          <cell r="D1942">
            <v>31102192</v>
          </cell>
          <cell r="E1942">
            <v>31102192</v>
          </cell>
          <cell r="F1942">
            <v>31102192</v>
          </cell>
          <cell r="G1942">
            <v>31102192</v>
          </cell>
          <cell r="H1942">
            <v>31102192</v>
          </cell>
          <cell r="I1942" t="str">
            <v/>
          </cell>
          <cell r="J1942" t="str">
            <v/>
          </cell>
          <cell r="K1942" t="str">
            <v/>
          </cell>
          <cell r="L1942" t="str">
            <v/>
          </cell>
          <cell r="M1942" t="str">
            <v/>
          </cell>
        </row>
        <row r="1943">
          <cell r="A1943">
            <v>31102192</v>
          </cell>
          <cell r="C1943">
            <v>31102192</v>
          </cell>
          <cell r="D1943">
            <v>31102192</v>
          </cell>
          <cell r="E1943">
            <v>31102192</v>
          </cell>
          <cell r="F1943">
            <v>31102192</v>
          </cell>
          <cell r="G1943">
            <v>31102192</v>
          </cell>
          <cell r="H1943">
            <v>31102192</v>
          </cell>
          <cell r="I1943" t="str">
            <v/>
          </cell>
          <cell r="J1943" t="str">
            <v/>
          </cell>
          <cell r="K1943" t="str">
            <v/>
          </cell>
          <cell r="L1943" t="str">
            <v/>
          </cell>
          <cell r="M1943" t="str">
            <v/>
          </cell>
        </row>
        <row r="1944">
          <cell r="A1944">
            <v>31102192</v>
          </cell>
          <cell r="C1944">
            <v>31102192</v>
          </cell>
          <cell r="D1944">
            <v>31102192</v>
          </cell>
          <cell r="E1944">
            <v>31102192</v>
          </cell>
          <cell r="F1944">
            <v>31102192</v>
          </cell>
          <cell r="G1944">
            <v>31102192</v>
          </cell>
          <cell r="H1944">
            <v>31102192</v>
          </cell>
          <cell r="I1944" t="str">
            <v/>
          </cell>
          <cell r="J1944" t="str">
            <v/>
          </cell>
          <cell r="K1944" t="str">
            <v/>
          </cell>
          <cell r="L1944" t="str">
            <v/>
          </cell>
          <cell r="M1944" t="str">
            <v/>
          </cell>
        </row>
        <row r="1945">
          <cell r="A1945">
            <v>31102192</v>
          </cell>
          <cell r="C1945">
            <v>31102192</v>
          </cell>
          <cell r="D1945">
            <v>31102192</v>
          </cell>
          <cell r="E1945">
            <v>31102192</v>
          </cell>
          <cell r="F1945">
            <v>31102192</v>
          </cell>
          <cell r="G1945">
            <v>31102192</v>
          </cell>
          <cell r="H1945">
            <v>31102192</v>
          </cell>
          <cell r="I1945" t="str">
            <v/>
          </cell>
          <cell r="J1945" t="str">
            <v/>
          </cell>
          <cell r="K1945" t="str">
            <v/>
          </cell>
          <cell r="L1945" t="str">
            <v/>
          </cell>
          <cell r="M1945" t="str">
            <v/>
          </cell>
        </row>
        <row r="1946">
          <cell r="A1946">
            <v>31102192</v>
          </cell>
          <cell r="C1946">
            <v>31102192</v>
          </cell>
          <cell r="D1946">
            <v>31102192</v>
          </cell>
          <cell r="E1946">
            <v>31102192</v>
          </cell>
          <cell r="F1946">
            <v>31102192</v>
          </cell>
          <cell r="G1946">
            <v>31102192</v>
          </cell>
          <cell r="H1946">
            <v>31102192</v>
          </cell>
          <cell r="I1946" t="str">
            <v/>
          </cell>
          <cell r="J1946" t="str">
            <v/>
          </cell>
          <cell r="K1946" t="str">
            <v/>
          </cell>
          <cell r="L1946" t="str">
            <v/>
          </cell>
          <cell r="M1946" t="str">
            <v/>
          </cell>
        </row>
        <row r="1947">
          <cell r="A1947">
            <v>31102192</v>
          </cell>
          <cell r="C1947">
            <v>31102192</v>
          </cell>
          <cell r="D1947">
            <v>31102192</v>
          </cell>
          <cell r="E1947">
            <v>31102192</v>
          </cell>
          <cell r="F1947">
            <v>31102192</v>
          </cell>
          <cell r="G1947">
            <v>31102192</v>
          </cell>
          <cell r="H1947">
            <v>31102192</v>
          </cell>
          <cell r="I1947" t="str">
            <v/>
          </cell>
          <cell r="J1947" t="str">
            <v/>
          </cell>
          <cell r="K1947" t="str">
            <v/>
          </cell>
          <cell r="L1947" t="str">
            <v/>
          </cell>
          <cell r="M1947" t="str">
            <v/>
          </cell>
        </row>
        <row r="1948">
          <cell r="A1948">
            <v>31102192</v>
          </cell>
          <cell r="C1948">
            <v>31102192</v>
          </cell>
          <cell r="D1948">
            <v>31102192</v>
          </cell>
          <cell r="E1948">
            <v>31102192</v>
          </cell>
          <cell r="F1948">
            <v>31102192</v>
          </cell>
          <cell r="G1948">
            <v>31102192</v>
          </cell>
          <cell r="H1948">
            <v>31102192</v>
          </cell>
          <cell r="I1948" t="str">
            <v/>
          </cell>
          <cell r="J1948" t="str">
            <v/>
          </cell>
          <cell r="K1948" t="str">
            <v/>
          </cell>
          <cell r="L1948" t="str">
            <v/>
          </cell>
          <cell r="M1948" t="str">
            <v/>
          </cell>
        </row>
        <row r="1949">
          <cell r="A1949">
            <v>31102192</v>
          </cell>
          <cell r="C1949">
            <v>31102192</v>
          </cell>
          <cell r="D1949">
            <v>31102192</v>
          </cell>
          <cell r="E1949">
            <v>31102192</v>
          </cell>
          <cell r="F1949">
            <v>31102192</v>
          </cell>
          <cell r="G1949">
            <v>31102192</v>
          </cell>
          <cell r="H1949">
            <v>31102192</v>
          </cell>
          <cell r="I1949" t="str">
            <v/>
          </cell>
          <cell r="J1949" t="str">
            <v/>
          </cell>
          <cell r="K1949" t="str">
            <v/>
          </cell>
          <cell r="L1949" t="str">
            <v/>
          </cell>
          <cell r="M1949" t="str">
            <v/>
          </cell>
        </row>
        <row r="1950">
          <cell r="A1950">
            <v>31102192</v>
          </cell>
          <cell r="C1950">
            <v>31102192</v>
          </cell>
          <cell r="D1950">
            <v>31102192</v>
          </cell>
          <cell r="E1950">
            <v>31102192</v>
          </cell>
          <cell r="F1950">
            <v>31102192</v>
          </cell>
          <cell r="G1950">
            <v>31102192</v>
          </cell>
          <cell r="H1950">
            <v>31102192</v>
          </cell>
          <cell r="I1950" t="str">
            <v/>
          </cell>
          <cell r="J1950" t="str">
            <v/>
          </cell>
          <cell r="K1950" t="str">
            <v/>
          </cell>
          <cell r="L1950" t="str">
            <v/>
          </cell>
          <cell r="M1950" t="str">
            <v/>
          </cell>
        </row>
        <row r="1951">
          <cell r="A1951">
            <v>31102192</v>
          </cell>
          <cell r="C1951">
            <v>31102192</v>
          </cell>
          <cell r="D1951">
            <v>31102192</v>
          </cell>
          <cell r="E1951">
            <v>31102192</v>
          </cell>
          <cell r="F1951">
            <v>31102192</v>
          </cell>
          <cell r="G1951">
            <v>31102192</v>
          </cell>
          <cell r="H1951">
            <v>31102192</v>
          </cell>
          <cell r="I1951" t="str">
            <v/>
          </cell>
          <cell r="J1951" t="str">
            <v/>
          </cell>
          <cell r="K1951" t="str">
            <v/>
          </cell>
          <cell r="L1951" t="str">
            <v/>
          </cell>
          <cell r="M1951" t="str">
            <v/>
          </cell>
        </row>
        <row r="1952">
          <cell r="A1952">
            <v>31102192</v>
          </cell>
          <cell r="C1952">
            <v>31102192</v>
          </cell>
          <cell r="D1952">
            <v>31102192</v>
          </cell>
          <cell r="E1952">
            <v>31102192</v>
          </cell>
          <cell r="F1952">
            <v>31102192</v>
          </cell>
          <cell r="G1952">
            <v>31102192</v>
          </cell>
          <cell r="H1952">
            <v>31102192</v>
          </cell>
          <cell r="I1952" t="str">
            <v/>
          </cell>
          <cell r="J1952" t="str">
            <v/>
          </cell>
          <cell r="K1952" t="str">
            <v/>
          </cell>
          <cell r="L1952" t="str">
            <v/>
          </cell>
          <cell r="M1952" t="str">
            <v/>
          </cell>
        </row>
        <row r="1953">
          <cell r="A1953">
            <v>31102192</v>
          </cell>
          <cell r="C1953">
            <v>31102192</v>
          </cell>
          <cell r="D1953">
            <v>31102192</v>
          </cell>
          <cell r="E1953">
            <v>31102192</v>
          </cell>
          <cell r="F1953">
            <v>31102192</v>
          </cell>
          <cell r="G1953">
            <v>31102192</v>
          </cell>
          <cell r="H1953">
            <v>31102192</v>
          </cell>
          <cell r="I1953" t="str">
            <v/>
          </cell>
          <cell r="J1953" t="str">
            <v/>
          </cell>
          <cell r="K1953" t="str">
            <v/>
          </cell>
          <cell r="L1953" t="str">
            <v/>
          </cell>
          <cell r="M1953" t="str">
            <v/>
          </cell>
        </row>
        <row r="1954">
          <cell r="A1954">
            <v>31102192</v>
          </cell>
          <cell r="C1954">
            <v>31102192</v>
          </cell>
          <cell r="D1954">
            <v>31102192</v>
          </cell>
          <cell r="E1954">
            <v>31102192</v>
          </cell>
          <cell r="F1954">
            <v>31102192</v>
          </cell>
          <cell r="G1954">
            <v>31102192</v>
          </cell>
          <cell r="H1954">
            <v>31102192</v>
          </cell>
          <cell r="I1954" t="str">
            <v/>
          </cell>
          <cell r="J1954" t="str">
            <v/>
          </cell>
          <cell r="K1954" t="str">
            <v/>
          </cell>
          <cell r="L1954" t="str">
            <v/>
          </cell>
          <cell r="M1954" t="str">
            <v/>
          </cell>
        </row>
        <row r="1955">
          <cell r="A1955">
            <v>31102192</v>
          </cell>
          <cell r="C1955">
            <v>31102192</v>
          </cell>
          <cell r="D1955">
            <v>31102192</v>
          </cell>
          <cell r="E1955">
            <v>31102192</v>
          </cell>
          <cell r="F1955">
            <v>31102192</v>
          </cell>
          <cell r="G1955">
            <v>31102192</v>
          </cell>
          <cell r="H1955">
            <v>31102192</v>
          </cell>
          <cell r="I1955" t="str">
            <v/>
          </cell>
          <cell r="J1955" t="str">
            <v/>
          </cell>
          <cell r="K1955" t="str">
            <v/>
          </cell>
          <cell r="L1955" t="str">
            <v/>
          </cell>
          <cell r="M1955" t="str">
            <v/>
          </cell>
        </row>
        <row r="1956">
          <cell r="A1956">
            <v>31102192</v>
          </cell>
          <cell r="C1956">
            <v>31102192</v>
          </cell>
          <cell r="D1956">
            <v>31102192</v>
          </cell>
          <cell r="E1956">
            <v>31102192</v>
          </cell>
          <cell r="F1956">
            <v>31102192</v>
          </cell>
          <cell r="G1956">
            <v>31102192</v>
          </cell>
          <cell r="H1956">
            <v>31102192</v>
          </cell>
          <cell r="I1956" t="str">
            <v/>
          </cell>
          <cell r="J1956" t="str">
            <v/>
          </cell>
          <cell r="K1956" t="str">
            <v/>
          </cell>
          <cell r="L1956" t="str">
            <v/>
          </cell>
          <cell r="M1956" t="str">
            <v/>
          </cell>
        </row>
        <row r="1957">
          <cell r="A1957">
            <v>31102192</v>
          </cell>
          <cell r="C1957">
            <v>31102192</v>
          </cell>
          <cell r="D1957">
            <v>31102192</v>
          </cell>
          <cell r="E1957">
            <v>31102192</v>
          </cell>
          <cell r="F1957">
            <v>31102192</v>
          </cell>
          <cell r="G1957">
            <v>31102192</v>
          </cell>
          <cell r="H1957">
            <v>31102192</v>
          </cell>
          <cell r="I1957" t="str">
            <v/>
          </cell>
          <cell r="J1957" t="str">
            <v/>
          </cell>
          <cell r="K1957" t="str">
            <v/>
          </cell>
          <cell r="L1957" t="str">
            <v/>
          </cell>
          <cell r="M1957" t="str">
            <v/>
          </cell>
        </row>
        <row r="1958">
          <cell r="A1958">
            <v>31102192</v>
          </cell>
          <cell r="C1958">
            <v>31102192</v>
          </cell>
          <cell r="D1958">
            <v>31102192</v>
          </cell>
          <cell r="E1958">
            <v>31102192</v>
          </cell>
          <cell r="F1958">
            <v>31102192</v>
          </cell>
          <cell r="G1958">
            <v>31102192</v>
          </cell>
          <cell r="H1958">
            <v>31102192</v>
          </cell>
          <cell r="I1958" t="str">
            <v/>
          </cell>
          <cell r="J1958" t="str">
            <v/>
          </cell>
          <cell r="K1958" t="str">
            <v/>
          </cell>
          <cell r="L1958" t="str">
            <v/>
          </cell>
          <cell r="M1958" t="str">
            <v/>
          </cell>
        </row>
        <row r="1959">
          <cell r="A1959">
            <v>31102192</v>
          </cell>
          <cell r="C1959">
            <v>31102192</v>
          </cell>
          <cell r="D1959">
            <v>31102192</v>
          </cell>
          <cell r="E1959">
            <v>31102192</v>
          </cell>
          <cell r="F1959">
            <v>31102192</v>
          </cell>
          <cell r="G1959">
            <v>31102192</v>
          </cell>
          <cell r="H1959">
            <v>31102192</v>
          </cell>
          <cell r="I1959" t="str">
            <v/>
          </cell>
          <cell r="J1959" t="str">
            <v/>
          </cell>
          <cell r="K1959" t="str">
            <v/>
          </cell>
          <cell r="L1959" t="str">
            <v/>
          </cell>
          <cell r="M1959" t="str">
            <v/>
          </cell>
        </row>
        <row r="1960">
          <cell r="A1960">
            <v>31102192</v>
          </cell>
          <cell r="C1960">
            <v>31102192</v>
          </cell>
          <cell r="D1960">
            <v>31102192</v>
          </cell>
          <cell r="E1960">
            <v>31102192</v>
          </cell>
          <cell r="F1960">
            <v>31102192</v>
          </cell>
          <cell r="G1960">
            <v>31102192</v>
          </cell>
          <cell r="H1960">
            <v>31102192</v>
          </cell>
          <cell r="I1960" t="str">
            <v/>
          </cell>
          <cell r="J1960" t="str">
            <v/>
          </cell>
          <cell r="K1960" t="str">
            <v/>
          </cell>
          <cell r="L1960" t="str">
            <v/>
          </cell>
          <cell r="M1960" t="str">
            <v/>
          </cell>
        </row>
        <row r="1961">
          <cell r="A1961">
            <v>31102192</v>
          </cell>
          <cell r="C1961">
            <v>31102192</v>
          </cell>
          <cell r="D1961">
            <v>31102192</v>
          </cell>
          <cell r="E1961">
            <v>31102192</v>
          </cell>
          <cell r="F1961">
            <v>31102192</v>
          </cell>
          <cell r="G1961">
            <v>31102192</v>
          </cell>
          <cell r="H1961">
            <v>31102192</v>
          </cell>
          <cell r="I1961" t="str">
            <v/>
          </cell>
          <cell r="J1961" t="str">
            <v/>
          </cell>
          <cell r="K1961" t="str">
            <v/>
          </cell>
          <cell r="L1961" t="str">
            <v/>
          </cell>
          <cell r="M1961" t="str">
            <v/>
          </cell>
        </row>
        <row r="1962">
          <cell r="A1962">
            <v>31102192</v>
          </cell>
          <cell r="C1962">
            <v>31102192</v>
          </cell>
          <cell r="D1962">
            <v>31102192</v>
          </cell>
          <cell r="E1962">
            <v>31102192</v>
          </cell>
          <cell r="F1962">
            <v>31102192</v>
          </cell>
          <cell r="G1962">
            <v>31102192</v>
          </cell>
          <cell r="H1962">
            <v>31102192</v>
          </cell>
          <cell r="I1962" t="str">
            <v/>
          </cell>
          <cell r="J1962" t="str">
            <v/>
          </cell>
          <cell r="K1962" t="str">
            <v/>
          </cell>
          <cell r="L1962" t="str">
            <v/>
          </cell>
          <cell r="M1962" t="str">
            <v/>
          </cell>
        </row>
        <row r="1963">
          <cell r="A1963">
            <v>31102192</v>
          </cell>
          <cell r="C1963">
            <v>31102192</v>
          </cell>
          <cell r="D1963">
            <v>31102192</v>
          </cell>
          <cell r="E1963">
            <v>31102192</v>
          </cell>
          <cell r="F1963">
            <v>31102192</v>
          </cell>
          <cell r="G1963">
            <v>31102192</v>
          </cell>
          <cell r="H1963">
            <v>31102192</v>
          </cell>
          <cell r="I1963" t="str">
            <v/>
          </cell>
          <cell r="J1963" t="str">
            <v/>
          </cell>
          <cell r="K1963" t="str">
            <v/>
          </cell>
          <cell r="L1963" t="str">
            <v/>
          </cell>
          <cell r="M1963" t="str">
            <v/>
          </cell>
        </row>
        <row r="1964">
          <cell r="A1964">
            <v>31102192</v>
          </cell>
          <cell r="C1964">
            <v>31102192</v>
          </cell>
          <cell r="D1964">
            <v>31102192</v>
          </cell>
          <cell r="E1964">
            <v>31102192</v>
          </cell>
          <cell r="F1964">
            <v>31102192</v>
          </cell>
          <cell r="G1964">
            <v>31102192</v>
          </cell>
          <cell r="H1964">
            <v>31102192</v>
          </cell>
          <cell r="I1964" t="str">
            <v/>
          </cell>
          <cell r="J1964" t="str">
            <v/>
          </cell>
          <cell r="K1964" t="str">
            <v/>
          </cell>
          <cell r="L1964" t="str">
            <v/>
          </cell>
          <cell r="M1964" t="str">
            <v/>
          </cell>
        </row>
        <row r="1965">
          <cell r="A1965">
            <v>31102192</v>
          </cell>
          <cell r="C1965">
            <v>31102192</v>
          </cell>
          <cell r="D1965">
            <v>31102192</v>
          </cell>
          <cell r="E1965">
            <v>31102192</v>
          </cell>
          <cell r="F1965">
            <v>31102192</v>
          </cell>
          <cell r="G1965">
            <v>31102192</v>
          </cell>
          <cell r="H1965">
            <v>31102192</v>
          </cell>
          <cell r="I1965" t="str">
            <v/>
          </cell>
          <cell r="J1965" t="str">
            <v/>
          </cell>
          <cell r="K1965" t="str">
            <v/>
          </cell>
          <cell r="L1965" t="str">
            <v/>
          </cell>
          <cell r="M1965" t="str">
            <v/>
          </cell>
        </row>
        <row r="1966">
          <cell r="A1966">
            <v>31102192</v>
          </cell>
          <cell r="C1966">
            <v>31102192</v>
          </cell>
          <cell r="D1966">
            <v>31102192</v>
          </cell>
          <cell r="E1966">
            <v>31102192</v>
          </cell>
          <cell r="F1966">
            <v>31102192</v>
          </cell>
          <cell r="G1966">
            <v>31102192</v>
          </cell>
          <cell r="H1966">
            <v>31102192</v>
          </cell>
          <cell r="I1966" t="str">
            <v/>
          </cell>
          <cell r="J1966" t="str">
            <v/>
          </cell>
          <cell r="K1966" t="str">
            <v/>
          </cell>
          <cell r="L1966" t="str">
            <v/>
          </cell>
          <cell r="M1966" t="str">
            <v/>
          </cell>
        </row>
        <row r="1967">
          <cell r="A1967">
            <v>31102192</v>
          </cell>
          <cell r="C1967">
            <v>31102192</v>
          </cell>
          <cell r="D1967">
            <v>31102192</v>
          </cell>
          <cell r="E1967">
            <v>31102192</v>
          </cell>
          <cell r="F1967">
            <v>31102192</v>
          </cell>
          <cell r="G1967">
            <v>31102192</v>
          </cell>
          <cell r="H1967">
            <v>31102192</v>
          </cell>
          <cell r="I1967" t="str">
            <v/>
          </cell>
          <cell r="J1967" t="str">
            <v/>
          </cell>
          <cell r="K1967" t="str">
            <v/>
          </cell>
          <cell r="L1967" t="str">
            <v/>
          </cell>
          <cell r="M1967" t="str">
            <v/>
          </cell>
        </row>
        <row r="1968">
          <cell r="A1968">
            <v>31102192</v>
          </cell>
          <cell r="C1968">
            <v>31102192</v>
          </cell>
          <cell r="D1968">
            <v>31102192</v>
          </cell>
          <cell r="E1968">
            <v>31102192</v>
          </cell>
          <cell r="F1968">
            <v>31102192</v>
          </cell>
          <cell r="G1968">
            <v>31102192</v>
          </cell>
          <cell r="H1968">
            <v>31102192</v>
          </cell>
          <cell r="I1968" t="str">
            <v/>
          </cell>
          <cell r="J1968" t="str">
            <v/>
          </cell>
          <cell r="K1968" t="str">
            <v/>
          </cell>
          <cell r="L1968" t="str">
            <v/>
          </cell>
          <cell r="M1968" t="str">
            <v/>
          </cell>
        </row>
        <row r="1969">
          <cell r="A1969">
            <v>31102192</v>
          </cell>
          <cell r="C1969">
            <v>31102192</v>
          </cell>
          <cell r="D1969">
            <v>31102192</v>
          </cell>
          <cell r="E1969">
            <v>31102192</v>
          </cell>
          <cell r="F1969">
            <v>31102192</v>
          </cell>
          <cell r="G1969">
            <v>31102192</v>
          </cell>
          <cell r="H1969">
            <v>31102192</v>
          </cell>
          <cell r="I1969" t="str">
            <v/>
          </cell>
          <cell r="J1969" t="str">
            <v/>
          </cell>
          <cell r="K1969" t="str">
            <v/>
          </cell>
          <cell r="L1969" t="str">
            <v/>
          </cell>
          <cell r="M1969" t="str">
            <v/>
          </cell>
        </row>
        <row r="1970">
          <cell r="A1970">
            <v>31102192</v>
          </cell>
          <cell r="C1970">
            <v>31102192</v>
          </cell>
          <cell r="D1970">
            <v>31102192</v>
          </cell>
          <cell r="E1970">
            <v>31102192</v>
          </cell>
          <cell r="F1970">
            <v>31102192</v>
          </cell>
          <cell r="G1970">
            <v>31102192</v>
          </cell>
          <cell r="H1970">
            <v>31102192</v>
          </cell>
          <cell r="I1970" t="str">
            <v/>
          </cell>
          <cell r="J1970" t="str">
            <v/>
          </cell>
          <cell r="K1970" t="str">
            <v/>
          </cell>
          <cell r="L1970" t="str">
            <v/>
          </cell>
          <cell r="M1970" t="str">
            <v/>
          </cell>
        </row>
        <row r="1971">
          <cell r="A1971">
            <v>31102192</v>
          </cell>
          <cell r="C1971">
            <v>31102192</v>
          </cell>
          <cell r="D1971">
            <v>31102192</v>
          </cell>
          <cell r="E1971">
            <v>31102192</v>
          </cell>
          <cell r="F1971">
            <v>31102192</v>
          </cell>
          <cell r="G1971">
            <v>31102192</v>
          </cell>
          <cell r="H1971">
            <v>31102192</v>
          </cell>
          <cell r="I1971" t="str">
            <v/>
          </cell>
          <cell r="J1971" t="str">
            <v/>
          </cell>
          <cell r="K1971" t="str">
            <v/>
          </cell>
          <cell r="L1971" t="str">
            <v/>
          </cell>
          <cell r="M1971" t="str">
            <v/>
          </cell>
        </row>
        <row r="1972">
          <cell r="A1972">
            <v>31102192</v>
          </cell>
          <cell r="C1972">
            <v>31102192</v>
          </cell>
          <cell r="D1972">
            <v>31102192</v>
          </cell>
          <cell r="E1972">
            <v>31102192</v>
          </cell>
          <cell r="F1972">
            <v>31102192</v>
          </cell>
          <cell r="G1972">
            <v>31102192</v>
          </cell>
          <cell r="H1972">
            <v>31102192</v>
          </cell>
          <cell r="I1972" t="str">
            <v/>
          </cell>
          <cell r="J1972" t="str">
            <v/>
          </cell>
          <cell r="K1972" t="str">
            <v/>
          </cell>
          <cell r="L1972" t="str">
            <v/>
          </cell>
          <cell r="M1972" t="str">
            <v/>
          </cell>
        </row>
        <row r="1973">
          <cell r="A1973">
            <v>31102192</v>
          </cell>
          <cell r="C1973">
            <v>31102192</v>
          </cell>
          <cell r="D1973">
            <v>31102192</v>
          </cell>
          <cell r="E1973">
            <v>31102192</v>
          </cell>
          <cell r="F1973">
            <v>31102192</v>
          </cell>
          <cell r="G1973">
            <v>31102192</v>
          </cell>
          <cell r="H1973">
            <v>31102192</v>
          </cell>
          <cell r="I1973" t="str">
            <v/>
          </cell>
          <cell r="J1973" t="str">
            <v/>
          </cell>
          <cell r="K1973" t="str">
            <v/>
          </cell>
          <cell r="L1973" t="str">
            <v/>
          </cell>
          <cell r="M1973" t="str">
            <v/>
          </cell>
        </row>
        <row r="1974">
          <cell r="A1974">
            <v>31102192</v>
          </cell>
          <cell r="C1974">
            <v>31102192</v>
          </cell>
          <cell r="D1974">
            <v>31102192</v>
          </cell>
          <cell r="E1974">
            <v>31102192</v>
          </cell>
          <cell r="F1974">
            <v>31102192</v>
          </cell>
          <cell r="G1974">
            <v>31102192</v>
          </cell>
          <cell r="H1974">
            <v>31102192</v>
          </cell>
          <cell r="I1974" t="str">
            <v/>
          </cell>
          <cell r="J1974" t="str">
            <v/>
          </cell>
          <cell r="K1974" t="str">
            <v/>
          </cell>
          <cell r="L1974" t="str">
            <v/>
          </cell>
          <cell r="M1974" t="str">
            <v/>
          </cell>
        </row>
        <row r="1975">
          <cell r="A1975">
            <v>31102192</v>
          </cell>
          <cell r="C1975">
            <v>31102192</v>
          </cell>
          <cell r="D1975">
            <v>31102192</v>
          </cell>
          <cell r="E1975">
            <v>31102192</v>
          </cell>
          <cell r="F1975">
            <v>31102192</v>
          </cell>
          <cell r="G1975">
            <v>31102192</v>
          </cell>
          <cell r="H1975">
            <v>31102192</v>
          </cell>
          <cell r="I1975" t="str">
            <v/>
          </cell>
          <cell r="J1975" t="str">
            <v/>
          </cell>
          <cell r="K1975" t="str">
            <v/>
          </cell>
          <cell r="L1975" t="str">
            <v/>
          </cell>
          <cell r="M1975" t="str">
            <v/>
          </cell>
        </row>
        <row r="1976">
          <cell r="A1976">
            <v>31102192</v>
          </cell>
          <cell r="C1976">
            <v>31102192</v>
          </cell>
          <cell r="D1976">
            <v>31102192</v>
          </cell>
          <cell r="E1976">
            <v>31102192</v>
          </cell>
          <cell r="F1976">
            <v>31102192</v>
          </cell>
          <cell r="G1976">
            <v>31102192</v>
          </cell>
          <cell r="H1976">
            <v>31102192</v>
          </cell>
          <cell r="I1976" t="str">
            <v/>
          </cell>
          <cell r="J1976" t="str">
            <v/>
          </cell>
          <cell r="K1976" t="str">
            <v/>
          </cell>
          <cell r="L1976" t="str">
            <v/>
          </cell>
          <cell r="M1976" t="str">
            <v/>
          </cell>
        </row>
        <row r="1977">
          <cell r="A1977">
            <v>31102192</v>
          </cell>
          <cell r="C1977">
            <v>31102192</v>
          </cell>
          <cell r="D1977">
            <v>31102192</v>
          </cell>
          <cell r="E1977">
            <v>31102192</v>
          </cell>
          <cell r="F1977">
            <v>31102192</v>
          </cell>
          <cell r="G1977">
            <v>31102192</v>
          </cell>
          <cell r="H1977">
            <v>31102192</v>
          </cell>
          <cell r="I1977" t="str">
            <v/>
          </cell>
          <cell r="J1977" t="str">
            <v/>
          </cell>
          <cell r="K1977" t="str">
            <v/>
          </cell>
          <cell r="L1977" t="str">
            <v/>
          </cell>
          <cell r="M1977" t="str">
            <v/>
          </cell>
        </row>
        <row r="1978">
          <cell r="A1978">
            <v>31102192</v>
          </cell>
          <cell r="C1978">
            <v>31102192</v>
          </cell>
          <cell r="D1978">
            <v>31102192</v>
          </cell>
          <cell r="E1978">
            <v>31102192</v>
          </cell>
          <cell r="F1978">
            <v>31102192</v>
          </cell>
          <cell r="G1978">
            <v>31102192</v>
          </cell>
          <cell r="H1978">
            <v>31102192</v>
          </cell>
          <cell r="I1978" t="str">
            <v/>
          </cell>
          <cell r="J1978" t="str">
            <v/>
          </cell>
          <cell r="K1978" t="str">
            <v/>
          </cell>
          <cell r="L1978" t="str">
            <v/>
          </cell>
          <cell r="M1978" t="str">
            <v/>
          </cell>
        </row>
        <row r="1979">
          <cell r="A1979">
            <v>31102192</v>
          </cell>
          <cell r="C1979">
            <v>31102192</v>
          </cell>
          <cell r="D1979">
            <v>31102192</v>
          </cell>
          <cell r="E1979">
            <v>31102192</v>
          </cell>
          <cell r="F1979">
            <v>31102192</v>
          </cell>
          <cell r="G1979">
            <v>31102192</v>
          </cell>
          <cell r="H1979">
            <v>31102192</v>
          </cell>
          <cell r="I1979" t="str">
            <v/>
          </cell>
          <cell r="J1979" t="str">
            <v/>
          </cell>
          <cell r="K1979" t="str">
            <v/>
          </cell>
          <cell r="L1979" t="str">
            <v/>
          </cell>
          <cell r="M1979" t="str">
            <v/>
          </cell>
        </row>
        <row r="1980">
          <cell r="A1980">
            <v>31102192</v>
          </cell>
          <cell r="C1980">
            <v>31102192</v>
          </cell>
          <cell r="D1980">
            <v>31102192</v>
          </cell>
          <cell r="E1980">
            <v>31102192</v>
          </cell>
          <cell r="F1980">
            <v>31102192</v>
          </cell>
          <cell r="G1980">
            <v>31102192</v>
          </cell>
          <cell r="H1980">
            <v>31102192</v>
          </cell>
          <cell r="I1980" t="str">
            <v/>
          </cell>
          <cell r="J1980" t="str">
            <v/>
          </cell>
          <cell r="K1980" t="str">
            <v/>
          </cell>
          <cell r="L1980" t="str">
            <v/>
          </cell>
          <cell r="M1980" t="str">
            <v/>
          </cell>
        </row>
        <row r="1981">
          <cell r="A1981">
            <v>31102192</v>
          </cell>
          <cell r="C1981">
            <v>31102192</v>
          </cell>
          <cell r="D1981">
            <v>31102192</v>
          </cell>
          <cell r="E1981">
            <v>31102192</v>
          </cell>
          <cell r="F1981">
            <v>31102192</v>
          </cell>
          <cell r="G1981">
            <v>31102192</v>
          </cell>
          <cell r="H1981">
            <v>31102192</v>
          </cell>
          <cell r="I1981" t="str">
            <v/>
          </cell>
          <cell r="J1981" t="str">
            <v/>
          </cell>
          <cell r="K1981" t="str">
            <v/>
          </cell>
          <cell r="L1981" t="str">
            <v/>
          </cell>
          <cell r="M1981" t="str">
            <v/>
          </cell>
        </row>
        <row r="1982">
          <cell r="A1982">
            <v>31102192</v>
          </cell>
          <cell r="C1982">
            <v>31102192</v>
          </cell>
          <cell r="D1982">
            <v>31102192</v>
          </cell>
          <cell r="E1982">
            <v>31102192</v>
          </cell>
          <cell r="F1982">
            <v>31102192</v>
          </cell>
          <cell r="G1982">
            <v>31102192</v>
          </cell>
          <cell r="H1982">
            <v>31102192</v>
          </cell>
          <cell r="I1982" t="str">
            <v/>
          </cell>
          <cell r="J1982" t="str">
            <v/>
          </cell>
          <cell r="K1982" t="str">
            <v/>
          </cell>
          <cell r="L1982" t="str">
            <v/>
          </cell>
          <cell r="M1982" t="str">
            <v/>
          </cell>
        </row>
        <row r="1983">
          <cell r="A1983">
            <v>31102192</v>
          </cell>
          <cell r="C1983">
            <v>31102192</v>
          </cell>
          <cell r="D1983">
            <v>31102192</v>
          </cell>
          <cell r="E1983">
            <v>31102192</v>
          </cell>
          <cell r="F1983">
            <v>31102192</v>
          </cell>
          <cell r="G1983">
            <v>31102192</v>
          </cell>
          <cell r="H1983">
            <v>31102192</v>
          </cell>
          <cell r="I1983" t="str">
            <v/>
          </cell>
          <cell r="J1983" t="str">
            <v/>
          </cell>
          <cell r="K1983" t="str">
            <v/>
          </cell>
          <cell r="L1983" t="str">
            <v/>
          </cell>
          <cell r="M1983" t="str">
            <v/>
          </cell>
        </row>
        <row r="1984">
          <cell r="A1984">
            <v>31102192</v>
          </cell>
          <cell r="C1984">
            <v>31102192</v>
          </cell>
          <cell r="D1984">
            <v>31102192</v>
          </cell>
          <cell r="E1984">
            <v>31102192</v>
          </cell>
          <cell r="F1984">
            <v>31102192</v>
          </cell>
          <cell r="G1984">
            <v>31102192</v>
          </cell>
          <cell r="H1984">
            <v>31102192</v>
          </cell>
          <cell r="I1984" t="str">
            <v/>
          </cell>
          <cell r="J1984" t="str">
            <v/>
          </cell>
          <cell r="K1984" t="str">
            <v/>
          </cell>
          <cell r="L1984" t="str">
            <v/>
          </cell>
          <cell r="M1984" t="str">
            <v/>
          </cell>
        </row>
        <row r="1985">
          <cell r="A1985">
            <v>31102192</v>
          </cell>
          <cell r="C1985">
            <v>31102192</v>
          </cell>
          <cell r="D1985">
            <v>31102192</v>
          </cell>
          <cell r="E1985">
            <v>31102192</v>
          </cell>
          <cell r="F1985">
            <v>31102192</v>
          </cell>
          <cell r="G1985">
            <v>31102192</v>
          </cell>
          <cell r="H1985">
            <v>31102192</v>
          </cell>
          <cell r="I1985" t="str">
            <v/>
          </cell>
          <cell r="J1985" t="str">
            <v/>
          </cell>
          <cell r="K1985" t="str">
            <v/>
          </cell>
          <cell r="L1985" t="str">
            <v/>
          </cell>
          <cell r="M1985" t="str">
            <v/>
          </cell>
        </row>
        <row r="1986">
          <cell r="A1986">
            <v>31102192</v>
          </cell>
          <cell r="C1986">
            <v>31102192</v>
          </cell>
          <cell r="D1986">
            <v>31102192</v>
          </cell>
          <cell r="E1986">
            <v>31102192</v>
          </cell>
          <cell r="F1986">
            <v>31102192</v>
          </cell>
          <cell r="G1986">
            <v>31102192</v>
          </cell>
          <cell r="H1986">
            <v>31102192</v>
          </cell>
          <cell r="I1986" t="str">
            <v/>
          </cell>
          <cell r="J1986" t="str">
            <v/>
          </cell>
          <cell r="K1986" t="str">
            <v/>
          </cell>
          <cell r="L1986" t="str">
            <v/>
          </cell>
          <cell r="M1986" t="str">
            <v/>
          </cell>
        </row>
        <row r="1987">
          <cell r="A1987">
            <v>31102192</v>
          </cell>
          <cell r="C1987">
            <v>31102192</v>
          </cell>
          <cell r="D1987">
            <v>31102192</v>
          </cell>
          <cell r="E1987">
            <v>31102192</v>
          </cell>
          <cell r="F1987">
            <v>31102192</v>
          </cell>
          <cell r="G1987">
            <v>31102192</v>
          </cell>
          <cell r="H1987">
            <v>31102192</v>
          </cell>
          <cell r="I1987" t="str">
            <v/>
          </cell>
          <cell r="J1987" t="str">
            <v/>
          </cell>
          <cell r="K1987" t="str">
            <v/>
          </cell>
          <cell r="L1987" t="str">
            <v/>
          </cell>
          <cell r="M1987" t="str">
            <v/>
          </cell>
        </row>
        <row r="1988">
          <cell r="A1988">
            <v>31102192</v>
          </cell>
          <cell r="C1988">
            <v>31102192</v>
          </cell>
          <cell r="D1988">
            <v>31102192</v>
          </cell>
          <cell r="E1988">
            <v>31102192</v>
          </cell>
          <cell r="F1988">
            <v>31102192</v>
          </cell>
          <cell r="G1988">
            <v>31102192</v>
          </cell>
          <cell r="H1988">
            <v>31102192</v>
          </cell>
          <cell r="I1988" t="str">
            <v/>
          </cell>
          <cell r="J1988" t="str">
            <v/>
          </cell>
          <cell r="K1988" t="str">
            <v/>
          </cell>
          <cell r="L1988" t="str">
            <v/>
          </cell>
          <cell r="M1988" t="str">
            <v/>
          </cell>
        </row>
        <row r="1989">
          <cell r="A1989">
            <v>31102192</v>
          </cell>
          <cell r="C1989">
            <v>31102192</v>
          </cell>
          <cell r="D1989">
            <v>31102192</v>
          </cell>
          <cell r="E1989">
            <v>31102192</v>
          </cell>
          <cell r="F1989">
            <v>31102192</v>
          </cell>
          <cell r="G1989">
            <v>31102192</v>
          </cell>
          <cell r="H1989">
            <v>31102192</v>
          </cell>
          <cell r="I1989" t="str">
            <v/>
          </cell>
          <cell r="J1989" t="str">
            <v/>
          </cell>
          <cell r="K1989" t="str">
            <v/>
          </cell>
          <cell r="L1989" t="str">
            <v/>
          </cell>
          <cell r="M1989" t="str">
            <v/>
          </cell>
        </row>
        <row r="1990">
          <cell r="A1990">
            <v>31102192</v>
          </cell>
          <cell r="C1990">
            <v>31102192</v>
          </cell>
          <cell r="D1990">
            <v>31102192</v>
          </cell>
          <cell r="E1990">
            <v>31102192</v>
          </cell>
          <cell r="F1990">
            <v>31102192</v>
          </cell>
          <cell r="G1990">
            <v>31102192</v>
          </cell>
          <cell r="H1990">
            <v>31102192</v>
          </cell>
          <cell r="I1990" t="str">
            <v/>
          </cell>
          <cell r="J1990" t="str">
            <v/>
          </cell>
          <cell r="K1990" t="str">
            <v/>
          </cell>
          <cell r="L1990" t="str">
            <v/>
          </cell>
          <cell r="M1990" t="str">
            <v/>
          </cell>
        </row>
        <row r="1991">
          <cell r="A1991">
            <v>31102192</v>
          </cell>
          <cell r="C1991">
            <v>31102192</v>
          </cell>
          <cell r="D1991">
            <v>31102192</v>
          </cell>
          <cell r="E1991">
            <v>31102192</v>
          </cell>
          <cell r="F1991">
            <v>31102192</v>
          </cell>
          <cell r="G1991">
            <v>31102192</v>
          </cell>
          <cell r="H1991">
            <v>31102192</v>
          </cell>
          <cell r="I1991" t="str">
            <v/>
          </cell>
          <cell r="J1991" t="str">
            <v/>
          </cell>
          <cell r="K1991" t="str">
            <v/>
          </cell>
          <cell r="L1991" t="str">
            <v/>
          </cell>
          <cell r="M1991" t="str">
            <v/>
          </cell>
        </row>
        <row r="1992">
          <cell r="A1992">
            <v>31102192</v>
          </cell>
          <cell r="C1992">
            <v>31102192</v>
          </cell>
          <cell r="D1992">
            <v>31102192</v>
          </cell>
          <cell r="E1992">
            <v>31102192</v>
          </cell>
          <cell r="F1992">
            <v>31102192</v>
          </cell>
          <cell r="G1992">
            <v>31102192</v>
          </cell>
          <cell r="H1992">
            <v>31102192</v>
          </cell>
          <cell r="I1992" t="str">
            <v/>
          </cell>
          <cell r="J1992" t="str">
            <v/>
          </cell>
          <cell r="K1992" t="str">
            <v/>
          </cell>
          <cell r="L1992" t="str">
            <v/>
          </cell>
          <cell r="M1992" t="str">
            <v/>
          </cell>
        </row>
        <row r="1993">
          <cell r="A1993">
            <v>31102192</v>
          </cell>
          <cell r="C1993">
            <v>31102192</v>
          </cell>
          <cell r="D1993">
            <v>31102192</v>
          </cell>
          <cell r="E1993">
            <v>31102192</v>
          </cell>
          <cell r="F1993">
            <v>31102192</v>
          </cell>
          <cell r="G1993">
            <v>31102192</v>
          </cell>
          <cell r="H1993">
            <v>31102192</v>
          </cell>
          <cell r="I1993" t="str">
            <v/>
          </cell>
          <cell r="J1993" t="str">
            <v/>
          </cell>
          <cell r="K1993" t="str">
            <v/>
          </cell>
          <cell r="L1993" t="str">
            <v/>
          </cell>
          <cell r="M1993" t="str">
            <v/>
          </cell>
        </row>
        <row r="1994">
          <cell r="A1994">
            <v>31102192</v>
          </cell>
          <cell r="C1994">
            <v>31102192</v>
          </cell>
          <cell r="D1994">
            <v>31102192</v>
          </cell>
          <cell r="E1994">
            <v>31102192</v>
          </cell>
          <cell r="F1994">
            <v>31102192</v>
          </cell>
          <cell r="G1994">
            <v>31102192</v>
          </cell>
          <cell r="H1994">
            <v>31102192</v>
          </cell>
          <cell r="I1994" t="str">
            <v/>
          </cell>
          <cell r="J1994" t="str">
            <v/>
          </cell>
          <cell r="K1994" t="str">
            <v/>
          </cell>
          <cell r="L1994" t="str">
            <v/>
          </cell>
          <cell r="M1994" t="str">
            <v/>
          </cell>
        </row>
        <row r="1995">
          <cell r="A1995">
            <v>31102192</v>
          </cell>
          <cell r="C1995">
            <v>31102192</v>
          </cell>
          <cell r="D1995">
            <v>31102192</v>
          </cell>
          <cell r="E1995">
            <v>31102192</v>
          </cell>
          <cell r="F1995">
            <v>31102192</v>
          </cell>
          <cell r="G1995">
            <v>31102192</v>
          </cell>
          <cell r="H1995">
            <v>31102192</v>
          </cell>
          <cell r="I1995" t="str">
            <v/>
          </cell>
          <cell r="J1995" t="str">
            <v/>
          </cell>
          <cell r="K1995" t="str">
            <v/>
          </cell>
          <cell r="L1995" t="str">
            <v/>
          </cell>
          <cell r="M1995" t="str">
            <v/>
          </cell>
        </row>
        <row r="1996">
          <cell r="A1996">
            <v>31102192</v>
          </cell>
          <cell r="C1996">
            <v>31102192</v>
          </cell>
          <cell r="D1996">
            <v>31102192</v>
          </cell>
          <cell r="E1996">
            <v>31102192</v>
          </cell>
          <cell r="F1996">
            <v>31102192</v>
          </cell>
          <cell r="G1996">
            <v>31102192</v>
          </cell>
          <cell r="H1996">
            <v>31102192</v>
          </cell>
          <cell r="I1996" t="str">
            <v/>
          </cell>
          <cell r="J1996" t="str">
            <v/>
          </cell>
          <cell r="K1996" t="str">
            <v/>
          </cell>
          <cell r="L1996" t="str">
            <v/>
          </cell>
          <cell r="M1996" t="str">
            <v/>
          </cell>
        </row>
        <row r="1997">
          <cell r="A1997">
            <v>31102192</v>
          </cell>
          <cell r="C1997">
            <v>31102192</v>
          </cell>
          <cell r="D1997">
            <v>31102192</v>
          </cell>
          <cell r="E1997">
            <v>31102192</v>
          </cell>
          <cell r="F1997">
            <v>31102192</v>
          </cell>
          <cell r="G1997">
            <v>31102192</v>
          </cell>
          <cell r="H1997">
            <v>31102192</v>
          </cell>
          <cell r="I1997" t="str">
            <v/>
          </cell>
          <cell r="J1997" t="str">
            <v/>
          </cell>
          <cell r="K1997" t="str">
            <v/>
          </cell>
          <cell r="L1997" t="str">
            <v/>
          </cell>
          <cell r="M1997" t="str">
            <v/>
          </cell>
        </row>
        <row r="1998">
          <cell r="A1998">
            <v>31102192</v>
          </cell>
          <cell r="C1998">
            <v>31102192</v>
          </cell>
          <cell r="D1998">
            <v>31102192</v>
          </cell>
          <cell r="E1998">
            <v>31102192</v>
          </cell>
          <cell r="F1998">
            <v>31102192</v>
          </cell>
          <cell r="G1998">
            <v>31102192</v>
          </cell>
          <cell r="H1998">
            <v>31102192</v>
          </cell>
          <cell r="I1998" t="str">
            <v/>
          </cell>
          <cell r="J1998" t="str">
            <v/>
          </cell>
          <cell r="K1998" t="str">
            <v/>
          </cell>
          <cell r="L1998" t="str">
            <v/>
          </cell>
          <cell r="M1998" t="str">
            <v/>
          </cell>
        </row>
        <row r="1999">
          <cell r="A1999">
            <v>31102192</v>
          </cell>
          <cell r="C1999">
            <v>31102192</v>
          </cell>
          <cell r="D1999">
            <v>31102192</v>
          </cell>
          <cell r="E1999">
            <v>31102192</v>
          </cell>
          <cell r="F1999">
            <v>31102192</v>
          </cell>
          <cell r="G1999">
            <v>31102192</v>
          </cell>
          <cell r="H1999">
            <v>31102192</v>
          </cell>
          <cell r="I1999" t="str">
            <v/>
          </cell>
          <cell r="J1999" t="str">
            <v/>
          </cell>
          <cell r="K1999" t="str">
            <v/>
          </cell>
          <cell r="L1999" t="str">
            <v/>
          </cell>
          <cell r="M1999" t="str">
            <v/>
          </cell>
        </row>
        <row r="2000">
          <cell r="A2000">
            <v>31102192</v>
          </cell>
          <cell r="C2000">
            <v>31102192</v>
          </cell>
          <cell r="D2000">
            <v>31102192</v>
          </cell>
          <cell r="E2000">
            <v>31102192</v>
          </cell>
          <cell r="F2000">
            <v>31102192</v>
          </cell>
          <cell r="G2000">
            <v>31102192</v>
          </cell>
          <cell r="H2000">
            <v>31102192</v>
          </cell>
          <cell r="I2000" t="str">
            <v/>
          </cell>
          <cell r="J2000" t="str">
            <v/>
          </cell>
          <cell r="K2000" t="str">
            <v/>
          </cell>
          <cell r="L2000" t="str">
            <v/>
          </cell>
          <cell r="M2000" t="str">
            <v/>
          </cell>
        </row>
        <row r="2001">
          <cell r="A2001">
            <v>31102192</v>
          </cell>
          <cell r="C2001">
            <v>31102192</v>
          </cell>
          <cell r="D2001">
            <v>31102192</v>
          </cell>
          <cell r="E2001">
            <v>31102192</v>
          </cell>
          <cell r="F2001">
            <v>31102192</v>
          </cell>
          <cell r="G2001">
            <v>31102192</v>
          </cell>
          <cell r="H2001">
            <v>31102192</v>
          </cell>
          <cell r="I2001" t="str">
            <v/>
          </cell>
          <cell r="J2001" t="str">
            <v/>
          </cell>
          <cell r="K2001" t="str">
            <v/>
          </cell>
          <cell r="L2001" t="str">
            <v/>
          </cell>
          <cell r="M2001" t="str">
            <v/>
          </cell>
        </row>
        <row r="2002">
          <cell r="A2002">
            <v>31102192</v>
          </cell>
          <cell r="C2002">
            <v>31102192</v>
          </cell>
          <cell r="D2002">
            <v>31102192</v>
          </cell>
          <cell r="E2002">
            <v>31102192</v>
          </cell>
          <cell r="F2002">
            <v>31102192</v>
          </cell>
          <cell r="G2002">
            <v>31102192</v>
          </cell>
          <cell r="H2002">
            <v>31102192</v>
          </cell>
          <cell r="I2002" t="str">
            <v/>
          </cell>
          <cell r="J2002" t="str">
            <v/>
          </cell>
          <cell r="K2002" t="str">
            <v/>
          </cell>
          <cell r="L2002" t="str">
            <v/>
          </cell>
          <cell r="M2002" t="str">
            <v/>
          </cell>
        </row>
        <row r="2003">
          <cell r="A2003">
            <v>31102192</v>
          </cell>
          <cell r="C2003">
            <v>31102192</v>
          </cell>
          <cell r="D2003">
            <v>31102192</v>
          </cell>
          <cell r="E2003">
            <v>31102192</v>
          </cell>
          <cell r="F2003">
            <v>31102192</v>
          </cell>
          <cell r="G2003">
            <v>31102192</v>
          </cell>
          <cell r="H2003">
            <v>31102192</v>
          </cell>
          <cell r="I2003" t="str">
            <v/>
          </cell>
          <cell r="J2003" t="str">
            <v/>
          </cell>
          <cell r="K2003" t="str">
            <v/>
          </cell>
          <cell r="L2003" t="str">
            <v/>
          </cell>
          <cell r="M2003" t="str">
            <v/>
          </cell>
        </row>
        <row r="2004">
          <cell r="A2004">
            <v>31102192</v>
          </cell>
          <cell r="C2004">
            <v>31102192</v>
          </cell>
          <cell r="D2004">
            <v>31102192</v>
          </cell>
          <cell r="E2004">
            <v>31102192</v>
          </cell>
          <cell r="F2004">
            <v>31102192</v>
          </cell>
          <cell r="G2004">
            <v>31102192</v>
          </cell>
          <cell r="H2004">
            <v>31102192</v>
          </cell>
          <cell r="I2004" t="str">
            <v/>
          </cell>
          <cell r="J2004" t="str">
            <v/>
          </cell>
          <cell r="K2004" t="str">
            <v/>
          </cell>
          <cell r="L2004" t="str">
            <v/>
          </cell>
          <cell r="M2004" t="str">
            <v/>
          </cell>
        </row>
        <row r="2005">
          <cell r="A2005">
            <v>31102192</v>
          </cell>
          <cell r="C2005">
            <v>31102192</v>
          </cell>
          <cell r="D2005">
            <v>31102192</v>
          </cell>
          <cell r="E2005">
            <v>31102192</v>
          </cell>
          <cell r="F2005">
            <v>31102192</v>
          </cell>
          <cell r="G2005">
            <v>31102192</v>
          </cell>
          <cell r="H2005">
            <v>31102192</v>
          </cell>
          <cell r="I2005" t="str">
            <v/>
          </cell>
          <cell r="J2005" t="str">
            <v/>
          </cell>
          <cell r="K2005" t="str">
            <v/>
          </cell>
          <cell r="L2005" t="str">
            <v/>
          </cell>
          <cell r="M2005" t="str">
            <v/>
          </cell>
        </row>
        <row r="2006">
          <cell r="A2006">
            <v>31102192</v>
          </cell>
          <cell r="C2006">
            <v>31102192</v>
          </cell>
          <cell r="D2006">
            <v>31102192</v>
          </cell>
          <cell r="E2006">
            <v>31102192</v>
          </cell>
          <cell r="F2006">
            <v>31102192</v>
          </cell>
          <cell r="G2006">
            <v>31102192</v>
          </cell>
          <cell r="H2006">
            <v>31102192</v>
          </cell>
          <cell r="I2006" t="str">
            <v/>
          </cell>
          <cell r="J2006" t="str">
            <v/>
          </cell>
          <cell r="K2006" t="str">
            <v/>
          </cell>
          <cell r="L2006" t="str">
            <v/>
          </cell>
          <cell r="M2006" t="str">
            <v/>
          </cell>
        </row>
        <row r="2007">
          <cell r="A2007">
            <v>31102192</v>
          </cell>
          <cell r="C2007">
            <v>31102192</v>
          </cell>
          <cell r="D2007">
            <v>31102192</v>
          </cell>
          <cell r="E2007">
            <v>31102192</v>
          </cell>
          <cell r="F2007">
            <v>31102192</v>
          </cell>
          <cell r="G2007">
            <v>31102192</v>
          </cell>
          <cell r="H2007">
            <v>31102192</v>
          </cell>
          <cell r="I2007" t="str">
            <v/>
          </cell>
          <cell r="J2007" t="str">
            <v/>
          </cell>
          <cell r="K2007" t="str">
            <v/>
          </cell>
          <cell r="L2007" t="str">
            <v/>
          </cell>
          <cell r="M2007" t="str">
            <v/>
          </cell>
        </row>
        <row r="2008">
          <cell r="A2008">
            <v>31102192</v>
          </cell>
          <cell r="C2008">
            <v>31102192</v>
          </cell>
          <cell r="D2008">
            <v>31102192</v>
          </cell>
          <cell r="E2008">
            <v>31102192</v>
          </cell>
          <cell r="F2008">
            <v>31102192</v>
          </cell>
          <cell r="G2008">
            <v>31102192</v>
          </cell>
          <cell r="H2008">
            <v>31102192</v>
          </cell>
          <cell r="I2008" t="str">
            <v/>
          </cell>
          <cell r="J2008" t="str">
            <v/>
          </cell>
          <cell r="K2008" t="str">
            <v/>
          </cell>
          <cell r="L2008" t="str">
            <v/>
          </cell>
          <cell r="M2008" t="str">
            <v/>
          </cell>
        </row>
        <row r="2009">
          <cell r="A2009">
            <v>31102192</v>
          </cell>
          <cell r="C2009">
            <v>31102192</v>
          </cell>
          <cell r="D2009">
            <v>31102192</v>
          </cell>
          <cell r="E2009">
            <v>31102192</v>
          </cell>
          <cell r="F2009">
            <v>31102192</v>
          </cell>
          <cell r="G2009">
            <v>31102192</v>
          </cell>
          <cell r="H2009">
            <v>31102192</v>
          </cell>
          <cell r="I2009" t="str">
            <v/>
          </cell>
          <cell r="J2009" t="str">
            <v/>
          </cell>
          <cell r="K2009" t="str">
            <v/>
          </cell>
          <cell r="L2009" t="str">
            <v/>
          </cell>
          <cell r="M2009" t="str">
            <v/>
          </cell>
        </row>
        <row r="2010">
          <cell r="A2010">
            <v>31102192</v>
          </cell>
          <cell r="C2010">
            <v>31102192</v>
          </cell>
          <cell r="D2010">
            <v>31102192</v>
          </cell>
          <cell r="E2010">
            <v>31102192</v>
          </cell>
          <cell r="F2010">
            <v>31102192</v>
          </cell>
          <cell r="G2010">
            <v>31102192</v>
          </cell>
          <cell r="H2010">
            <v>31102192</v>
          </cell>
          <cell r="I2010" t="str">
            <v/>
          </cell>
          <cell r="J2010" t="str">
            <v/>
          </cell>
          <cell r="K2010" t="str">
            <v/>
          </cell>
          <cell r="L2010" t="str">
            <v/>
          </cell>
          <cell r="M2010" t="str">
            <v/>
          </cell>
        </row>
        <row r="2011">
          <cell r="A2011">
            <v>31102192</v>
          </cell>
          <cell r="C2011">
            <v>31102192</v>
          </cell>
          <cell r="D2011">
            <v>31102192</v>
          </cell>
          <cell r="E2011">
            <v>31102192</v>
          </cell>
          <cell r="F2011">
            <v>31102192</v>
          </cell>
          <cell r="G2011">
            <v>31102192</v>
          </cell>
          <cell r="H2011">
            <v>31102192</v>
          </cell>
          <cell r="I2011" t="str">
            <v/>
          </cell>
          <cell r="J2011" t="str">
            <v/>
          </cell>
          <cell r="K2011" t="str">
            <v/>
          </cell>
          <cell r="L2011" t="str">
            <v/>
          </cell>
          <cell r="M2011" t="str">
            <v/>
          </cell>
        </row>
        <row r="2012">
          <cell r="A2012">
            <v>31102192</v>
          </cell>
          <cell r="C2012">
            <v>31102192</v>
          </cell>
          <cell r="D2012">
            <v>31102192</v>
          </cell>
          <cell r="E2012">
            <v>31102192</v>
          </cell>
          <cell r="F2012">
            <v>31102192</v>
          </cell>
          <cell r="G2012">
            <v>31102192</v>
          </cell>
          <cell r="H2012">
            <v>31102192</v>
          </cell>
          <cell r="I2012" t="str">
            <v/>
          </cell>
          <cell r="J2012" t="str">
            <v/>
          </cell>
          <cell r="K2012" t="str">
            <v/>
          </cell>
          <cell r="L2012" t="str">
            <v/>
          </cell>
          <cell r="M2012" t="str">
            <v/>
          </cell>
        </row>
        <row r="2013">
          <cell r="A2013">
            <v>31102192</v>
          </cell>
          <cell r="C2013">
            <v>31102192</v>
          </cell>
          <cell r="D2013">
            <v>31102192</v>
          </cell>
          <cell r="E2013">
            <v>31102192</v>
          </cell>
          <cell r="F2013">
            <v>31102192</v>
          </cell>
          <cell r="G2013">
            <v>31102192</v>
          </cell>
          <cell r="H2013">
            <v>31102192</v>
          </cell>
          <cell r="I2013" t="str">
            <v/>
          </cell>
          <cell r="J2013" t="str">
            <v/>
          </cell>
          <cell r="K2013" t="str">
            <v/>
          </cell>
          <cell r="L2013" t="str">
            <v/>
          </cell>
          <cell r="M2013" t="str">
            <v/>
          </cell>
        </row>
        <row r="2014">
          <cell r="A2014">
            <v>31102192</v>
          </cell>
          <cell r="C2014">
            <v>31102192</v>
          </cell>
          <cell r="D2014">
            <v>31102192</v>
          </cell>
          <cell r="E2014">
            <v>31102192</v>
          </cell>
          <cell r="F2014">
            <v>31102192</v>
          </cell>
          <cell r="G2014">
            <v>31102192</v>
          </cell>
          <cell r="H2014">
            <v>31102192</v>
          </cell>
          <cell r="I2014" t="str">
            <v/>
          </cell>
          <cell r="J2014" t="str">
            <v/>
          </cell>
          <cell r="K2014" t="str">
            <v/>
          </cell>
          <cell r="L2014" t="str">
            <v/>
          </cell>
          <cell r="M2014" t="str">
            <v/>
          </cell>
        </row>
        <row r="2015">
          <cell r="A2015">
            <v>31102192</v>
          </cell>
          <cell r="C2015">
            <v>31102192</v>
          </cell>
          <cell r="D2015">
            <v>31102192</v>
          </cell>
          <cell r="E2015">
            <v>31102192</v>
          </cell>
          <cell r="F2015">
            <v>31102192</v>
          </cell>
          <cell r="G2015">
            <v>31102192</v>
          </cell>
          <cell r="H2015">
            <v>31102192</v>
          </cell>
          <cell r="I2015" t="str">
            <v/>
          </cell>
          <cell r="J2015" t="str">
            <v/>
          </cell>
          <cell r="K2015" t="str">
            <v/>
          </cell>
          <cell r="L2015" t="str">
            <v/>
          </cell>
          <cell r="M2015" t="str">
            <v/>
          </cell>
        </row>
        <row r="2016">
          <cell r="A2016">
            <v>31102192</v>
          </cell>
          <cell r="C2016">
            <v>31102192</v>
          </cell>
          <cell r="D2016">
            <v>31102192</v>
          </cell>
          <cell r="E2016">
            <v>31102192</v>
          </cell>
          <cell r="F2016">
            <v>31102192</v>
          </cell>
          <cell r="G2016">
            <v>31102192</v>
          </cell>
          <cell r="H2016">
            <v>31102192</v>
          </cell>
          <cell r="I2016" t="str">
            <v/>
          </cell>
          <cell r="J2016" t="str">
            <v/>
          </cell>
          <cell r="K2016" t="str">
            <v/>
          </cell>
          <cell r="L2016" t="str">
            <v/>
          </cell>
          <cell r="M2016" t="str">
            <v/>
          </cell>
        </row>
        <row r="2017">
          <cell r="A2017">
            <v>31102192</v>
          </cell>
          <cell r="C2017">
            <v>31102192</v>
          </cell>
          <cell r="D2017">
            <v>31102192</v>
          </cell>
          <cell r="E2017">
            <v>31102192</v>
          </cell>
          <cell r="F2017">
            <v>31102192</v>
          </cell>
          <cell r="G2017">
            <v>31102192</v>
          </cell>
          <cell r="H2017">
            <v>31102192</v>
          </cell>
          <cell r="I2017" t="str">
            <v/>
          </cell>
          <cell r="J2017" t="str">
            <v/>
          </cell>
          <cell r="K2017" t="str">
            <v/>
          </cell>
          <cell r="L2017" t="str">
            <v/>
          </cell>
          <cell r="M2017" t="str">
            <v/>
          </cell>
        </row>
        <row r="2018">
          <cell r="A2018">
            <v>31102192</v>
          </cell>
          <cell r="C2018">
            <v>31102192</v>
          </cell>
          <cell r="D2018">
            <v>31102192</v>
          </cell>
          <cell r="E2018">
            <v>31102192</v>
          </cell>
          <cell r="F2018">
            <v>31102192</v>
          </cell>
          <cell r="G2018">
            <v>31102192</v>
          </cell>
          <cell r="H2018">
            <v>31102192</v>
          </cell>
          <cell r="I2018" t="str">
            <v/>
          </cell>
          <cell r="J2018" t="str">
            <v/>
          </cell>
          <cell r="K2018" t="str">
            <v/>
          </cell>
          <cell r="L2018" t="str">
            <v/>
          </cell>
          <cell r="M2018" t="str">
            <v/>
          </cell>
        </row>
        <row r="2019">
          <cell r="A2019">
            <v>31102192</v>
          </cell>
          <cell r="C2019">
            <v>31102192</v>
          </cell>
          <cell r="D2019">
            <v>31102192</v>
          </cell>
          <cell r="E2019">
            <v>31102192</v>
          </cell>
          <cell r="F2019">
            <v>31102192</v>
          </cell>
          <cell r="G2019">
            <v>31102192</v>
          </cell>
          <cell r="H2019">
            <v>31102192</v>
          </cell>
          <cell r="I2019" t="str">
            <v/>
          </cell>
          <cell r="J2019" t="str">
            <v/>
          </cell>
          <cell r="K2019" t="str">
            <v/>
          </cell>
          <cell r="L2019" t="str">
            <v/>
          </cell>
          <cell r="M2019" t="str">
            <v/>
          </cell>
        </row>
        <row r="2020">
          <cell r="A2020">
            <v>31102192</v>
          </cell>
          <cell r="C2020">
            <v>31102192</v>
          </cell>
          <cell r="D2020">
            <v>31102192</v>
          </cell>
          <cell r="E2020">
            <v>31102192</v>
          </cell>
          <cell r="F2020">
            <v>31102192</v>
          </cell>
          <cell r="G2020">
            <v>31102192</v>
          </cell>
          <cell r="H2020">
            <v>31102192</v>
          </cell>
          <cell r="I2020" t="str">
            <v/>
          </cell>
          <cell r="J2020" t="str">
            <v/>
          </cell>
          <cell r="K2020" t="str">
            <v/>
          </cell>
          <cell r="L2020" t="str">
            <v/>
          </cell>
          <cell r="M2020" t="str">
            <v/>
          </cell>
        </row>
        <row r="2021">
          <cell r="A2021">
            <v>31102192</v>
          </cell>
          <cell r="C2021">
            <v>31102192</v>
          </cell>
          <cell r="D2021">
            <v>31102192</v>
          </cell>
          <cell r="E2021">
            <v>31102192</v>
          </cell>
          <cell r="F2021">
            <v>31102192</v>
          </cell>
          <cell r="G2021">
            <v>31102192</v>
          </cell>
          <cell r="H2021">
            <v>31102192</v>
          </cell>
          <cell r="I2021" t="str">
            <v/>
          </cell>
          <cell r="J2021" t="str">
            <v/>
          </cell>
          <cell r="K2021" t="str">
            <v/>
          </cell>
          <cell r="L2021" t="str">
            <v/>
          </cell>
          <cell r="M2021" t="str">
            <v/>
          </cell>
        </row>
        <row r="2022">
          <cell r="A2022">
            <v>31102192</v>
          </cell>
          <cell r="C2022">
            <v>31102192</v>
          </cell>
          <cell r="D2022">
            <v>31102192</v>
          </cell>
          <cell r="E2022">
            <v>31102192</v>
          </cell>
          <cell r="F2022">
            <v>31102192</v>
          </cell>
          <cell r="G2022">
            <v>31102192</v>
          </cell>
          <cell r="H2022">
            <v>31102192</v>
          </cell>
          <cell r="I2022" t="str">
            <v/>
          </cell>
          <cell r="J2022" t="str">
            <v/>
          </cell>
          <cell r="K2022" t="str">
            <v/>
          </cell>
          <cell r="L2022" t="str">
            <v/>
          </cell>
          <cell r="M2022" t="str">
            <v/>
          </cell>
        </row>
        <row r="2023">
          <cell r="A2023">
            <v>31102192</v>
          </cell>
          <cell r="C2023">
            <v>31102192</v>
          </cell>
          <cell r="D2023">
            <v>31102192</v>
          </cell>
          <cell r="E2023">
            <v>31102192</v>
          </cell>
          <cell r="F2023">
            <v>31102192</v>
          </cell>
          <cell r="G2023">
            <v>31102192</v>
          </cell>
          <cell r="H2023">
            <v>31102192</v>
          </cell>
          <cell r="I2023" t="str">
            <v/>
          </cell>
          <cell r="J2023" t="str">
            <v/>
          </cell>
          <cell r="K2023" t="str">
            <v/>
          </cell>
          <cell r="L2023" t="str">
            <v/>
          </cell>
          <cell r="M2023" t="str">
            <v/>
          </cell>
        </row>
        <row r="2024">
          <cell r="A2024">
            <v>31102192</v>
          </cell>
          <cell r="C2024">
            <v>31102192</v>
          </cell>
          <cell r="D2024">
            <v>31102192</v>
          </cell>
          <cell r="E2024">
            <v>31102192</v>
          </cell>
          <cell r="F2024">
            <v>31102192</v>
          </cell>
          <cell r="G2024">
            <v>31102192</v>
          </cell>
          <cell r="H2024">
            <v>31102192</v>
          </cell>
          <cell r="I2024" t="str">
            <v/>
          </cell>
          <cell r="J2024" t="str">
            <v/>
          </cell>
          <cell r="K2024" t="str">
            <v/>
          </cell>
          <cell r="L2024" t="str">
            <v/>
          </cell>
          <cell r="M2024" t="str">
            <v/>
          </cell>
        </row>
        <row r="2025">
          <cell r="A2025">
            <v>31102192</v>
          </cell>
          <cell r="C2025">
            <v>31102192</v>
          </cell>
          <cell r="D2025">
            <v>31102192</v>
          </cell>
          <cell r="E2025">
            <v>31102192</v>
          </cell>
          <cell r="F2025">
            <v>31102192</v>
          </cell>
          <cell r="G2025">
            <v>31102192</v>
          </cell>
          <cell r="H2025">
            <v>31102192</v>
          </cell>
          <cell r="I2025" t="str">
            <v/>
          </cell>
          <cell r="J2025" t="str">
            <v/>
          </cell>
          <cell r="K2025" t="str">
            <v/>
          </cell>
          <cell r="L2025" t="str">
            <v/>
          </cell>
          <cell r="M2025" t="str">
            <v/>
          </cell>
        </row>
        <row r="2026">
          <cell r="A2026">
            <v>31102192</v>
          </cell>
          <cell r="C2026">
            <v>31102192</v>
          </cell>
          <cell r="D2026">
            <v>31102192</v>
          </cell>
          <cell r="E2026">
            <v>31102192</v>
          </cell>
          <cell r="F2026">
            <v>31102192</v>
          </cell>
          <cell r="G2026">
            <v>31102192</v>
          </cell>
          <cell r="H2026">
            <v>31102192</v>
          </cell>
          <cell r="I2026" t="str">
            <v/>
          </cell>
          <cell r="J2026" t="str">
            <v/>
          </cell>
          <cell r="K2026" t="str">
            <v/>
          </cell>
          <cell r="L2026" t="str">
            <v/>
          </cell>
          <cell r="M2026" t="str">
            <v/>
          </cell>
        </row>
        <row r="2027">
          <cell r="A2027">
            <v>31102192</v>
          </cell>
          <cell r="C2027">
            <v>31102192</v>
          </cell>
          <cell r="D2027">
            <v>31102192</v>
          </cell>
          <cell r="E2027">
            <v>31102192</v>
          </cell>
          <cell r="F2027">
            <v>31102192</v>
          </cell>
          <cell r="G2027">
            <v>31102192</v>
          </cell>
          <cell r="H2027">
            <v>31102192</v>
          </cell>
          <cell r="I2027" t="str">
            <v/>
          </cell>
          <cell r="J2027" t="str">
            <v/>
          </cell>
          <cell r="K2027" t="str">
            <v/>
          </cell>
          <cell r="L2027" t="str">
            <v/>
          </cell>
          <cell r="M2027" t="str">
            <v/>
          </cell>
        </row>
        <row r="2028">
          <cell r="A2028">
            <v>31102192</v>
          </cell>
          <cell r="C2028">
            <v>31102192</v>
          </cell>
          <cell r="D2028">
            <v>31102192</v>
          </cell>
          <cell r="E2028">
            <v>31102192</v>
          </cell>
          <cell r="F2028">
            <v>31102192</v>
          </cell>
          <cell r="G2028">
            <v>31102192</v>
          </cell>
          <cell r="H2028">
            <v>31102192</v>
          </cell>
          <cell r="I2028" t="str">
            <v/>
          </cell>
          <cell r="J2028" t="str">
            <v/>
          </cell>
          <cell r="K2028" t="str">
            <v/>
          </cell>
          <cell r="L2028" t="str">
            <v/>
          </cell>
          <cell r="M2028" t="str">
            <v/>
          </cell>
        </row>
        <row r="2029">
          <cell r="A2029">
            <v>31102192</v>
          </cell>
          <cell r="C2029">
            <v>31102192</v>
          </cell>
          <cell r="D2029">
            <v>31102192</v>
          </cell>
          <cell r="E2029">
            <v>31102192</v>
          </cell>
          <cell r="F2029">
            <v>31102192</v>
          </cell>
          <cell r="G2029">
            <v>31102192</v>
          </cell>
          <cell r="H2029">
            <v>31102192</v>
          </cell>
          <cell r="I2029" t="str">
            <v/>
          </cell>
          <cell r="J2029" t="str">
            <v/>
          </cell>
          <cell r="K2029" t="str">
            <v/>
          </cell>
          <cell r="L2029" t="str">
            <v/>
          </cell>
          <cell r="M2029" t="str">
            <v/>
          </cell>
        </row>
        <row r="2030">
          <cell r="A2030">
            <v>31102192</v>
          </cell>
          <cell r="C2030">
            <v>31102192</v>
          </cell>
          <cell r="D2030">
            <v>31102192</v>
          </cell>
          <cell r="E2030">
            <v>31102192</v>
          </cell>
          <cell r="F2030">
            <v>31102192</v>
          </cell>
          <cell r="G2030">
            <v>31102192</v>
          </cell>
          <cell r="H2030">
            <v>31102192</v>
          </cell>
          <cell r="I2030" t="str">
            <v/>
          </cell>
          <cell r="J2030" t="str">
            <v/>
          </cell>
          <cell r="K2030" t="str">
            <v/>
          </cell>
          <cell r="L2030" t="str">
            <v/>
          </cell>
          <cell r="M2030" t="str">
            <v/>
          </cell>
        </row>
        <row r="2031">
          <cell r="A2031">
            <v>31102192</v>
          </cell>
          <cell r="C2031">
            <v>31102192</v>
          </cell>
          <cell r="D2031">
            <v>31102192</v>
          </cell>
          <cell r="E2031">
            <v>31102192</v>
          </cell>
          <cell r="F2031">
            <v>31102192</v>
          </cell>
          <cell r="G2031">
            <v>31102192</v>
          </cell>
          <cell r="H2031">
            <v>31102192</v>
          </cell>
          <cell r="I2031" t="str">
            <v/>
          </cell>
          <cell r="J2031" t="str">
            <v/>
          </cell>
          <cell r="K2031" t="str">
            <v/>
          </cell>
          <cell r="L2031" t="str">
            <v/>
          </cell>
          <cell r="M2031" t="str">
            <v/>
          </cell>
        </row>
        <row r="2032">
          <cell r="A2032">
            <v>31102192</v>
          </cell>
          <cell r="C2032">
            <v>31102192</v>
          </cell>
          <cell r="D2032">
            <v>31102192</v>
          </cell>
          <cell r="E2032">
            <v>31102192</v>
          </cell>
          <cell r="F2032">
            <v>31102192</v>
          </cell>
          <cell r="G2032">
            <v>31102192</v>
          </cell>
          <cell r="H2032">
            <v>31102192</v>
          </cell>
          <cell r="I2032" t="str">
            <v/>
          </cell>
          <cell r="J2032" t="str">
            <v/>
          </cell>
          <cell r="K2032" t="str">
            <v/>
          </cell>
          <cell r="L2032" t="str">
            <v/>
          </cell>
          <cell r="M2032" t="str">
            <v/>
          </cell>
        </row>
        <row r="2033">
          <cell r="A2033">
            <v>31102192</v>
          </cell>
          <cell r="C2033">
            <v>31102192</v>
          </cell>
          <cell r="D2033">
            <v>31102192</v>
          </cell>
          <cell r="E2033">
            <v>31102192</v>
          </cell>
          <cell r="F2033">
            <v>31102192</v>
          </cell>
          <cell r="G2033">
            <v>31102192</v>
          </cell>
          <cell r="H2033">
            <v>31102192</v>
          </cell>
          <cell r="I2033" t="str">
            <v/>
          </cell>
          <cell r="J2033" t="str">
            <v/>
          </cell>
          <cell r="K2033" t="str">
            <v/>
          </cell>
          <cell r="L2033" t="str">
            <v/>
          </cell>
          <cell r="M2033" t="str">
            <v/>
          </cell>
        </row>
        <row r="2034">
          <cell r="A2034">
            <v>31102192</v>
          </cell>
          <cell r="C2034">
            <v>31102192</v>
          </cell>
          <cell r="D2034">
            <v>31102192</v>
          </cell>
          <cell r="E2034">
            <v>31102192</v>
          </cell>
          <cell r="F2034">
            <v>31102192</v>
          </cell>
          <cell r="G2034">
            <v>31102192</v>
          </cell>
          <cell r="H2034">
            <v>31102192</v>
          </cell>
          <cell r="I2034" t="str">
            <v/>
          </cell>
          <cell r="J2034" t="str">
            <v/>
          </cell>
          <cell r="K2034" t="str">
            <v/>
          </cell>
          <cell r="L2034" t="str">
            <v/>
          </cell>
          <cell r="M2034" t="str">
            <v/>
          </cell>
        </row>
        <row r="2035">
          <cell r="A2035">
            <v>31102192</v>
          </cell>
          <cell r="C2035">
            <v>31102192</v>
          </cell>
          <cell r="D2035">
            <v>31102192</v>
          </cell>
          <cell r="E2035">
            <v>31102192</v>
          </cell>
          <cell r="F2035">
            <v>31102192</v>
          </cell>
          <cell r="G2035">
            <v>31102192</v>
          </cell>
          <cell r="H2035">
            <v>31102192</v>
          </cell>
          <cell r="I2035" t="str">
            <v/>
          </cell>
          <cell r="J2035" t="str">
            <v/>
          </cell>
          <cell r="K2035" t="str">
            <v/>
          </cell>
          <cell r="L2035" t="str">
            <v/>
          </cell>
          <cell r="M2035" t="str">
            <v/>
          </cell>
        </row>
        <row r="2036">
          <cell r="A2036">
            <v>31102192</v>
          </cell>
          <cell r="C2036">
            <v>31102192</v>
          </cell>
          <cell r="D2036">
            <v>31102192</v>
          </cell>
          <cell r="E2036">
            <v>31102192</v>
          </cell>
          <cell r="F2036">
            <v>31102192</v>
          </cell>
          <cell r="G2036">
            <v>31102192</v>
          </cell>
          <cell r="H2036">
            <v>31102192</v>
          </cell>
          <cell r="I2036" t="str">
            <v/>
          </cell>
          <cell r="J2036" t="str">
            <v/>
          </cell>
          <cell r="K2036" t="str">
            <v/>
          </cell>
          <cell r="L2036" t="str">
            <v/>
          </cell>
          <cell r="M2036" t="str">
            <v/>
          </cell>
        </row>
        <row r="2037">
          <cell r="A2037">
            <v>31102192</v>
          </cell>
          <cell r="C2037">
            <v>31102192</v>
          </cell>
          <cell r="D2037">
            <v>31102192</v>
          </cell>
          <cell r="E2037">
            <v>31102192</v>
          </cell>
          <cell r="F2037">
            <v>31102192</v>
          </cell>
          <cell r="G2037">
            <v>31102192</v>
          </cell>
          <cell r="H2037">
            <v>31102192</v>
          </cell>
          <cell r="I2037" t="str">
            <v/>
          </cell>
          <cell r="J2037" t="str">
            <v/>
          </cell>
          <cell r="K2037" t="str">
            <v/>
          </cell>
          <cell r="L2037" t="str">
            <v/>
          </cell>
          <cell r="M2037" t="str">
            <v/>
          </cell>
        </row>
        <row r="2038">
          <cell r="A2038">
            <v>31102192</v>
          </cell>
          <cell r="C2038">
            <v>31102192</v>
          </cell>
          <cell r="D2038">
            <v>31102192</v>
          </cell>
          <cell r="E2038">
            <v>31102192</v>
          </cell>
          <cell r="F2038">
            <v>31102192</v>
          </cell>
          <cell r="G2038">
            <v>31102192</v>
          </cell>
          <cell r="H2038">
            <v>31102192</v>
          </cell>
          <cell r="I2038" t="str">
            <v/>
          </cell>
          <cell r="J2038" t="str">
            <v/>
          </cell>
          <cell r="K2038" t="str">
            <v/>
          </cell>
          <cell r="L2038" t="str">
            <v/>
          </cell>
          <cell r="M2038" t="str">
            <v/>
          </cell>
        </row>
        <row r="2039">
          <cell r="A2039">
            <v>31102192</v>
          </cell>
          <cell r="C2039">
            <v>31102192</v>
          </cell>
          <cell r="D2039">
            <v>31102192</v>
          </cell>
          <cell r="E2039">
            <v>31102192</v>
          </cell>
          <cell r="F2039">
            <v>31102192</v>
          </cell>
          <cell r="G2039">
            <v>31102192</v>
          </cell>
          <cell r="H2039">
            <v>31102192</v>
          </cell>
          <cell r="I2039" t="str">
            <v/>
          </cell>
          <cell r="J2039" t="str">
            <v/>
          </cell>
          <cell r="K2039" t="str">
            <v/>
          </cell>
          <cell r="L2039" t="str">
            <v/>
          </cell>
          <cell r="M2039" t="str">
            <v/>
          </cell>
        </row>
        <row r="2040">
          <cell r="A2040">
            <v>31102192</v>
          </cell>
          <cell r="C2040">
            <v>31102192</v>
          </cell>
          <cell r="D2040">
            <v>31102192</v>
          </cell>
          <cell r="E2040">
            <v>31102192</v>
          </cell>
          <cell r="F2040">
            <v>31102192</v>
          </cell>
          <cell r="G2040">
            <v>31102192</v>
          </cell>
          <cell r="H2040">
            <v>31102192</v>
          </cell>
          <cell r="I2040" t="str">
            <v/>
          </cell>
          <cell r="J2040" t="str">
            <v/>
          </cell>
          <cell r="K2040" t="str">
            <v/>
          </cell>
          <cell r="L2040" t="str">
            <v/>
          </cell>
          <cell r="M2040" t="str">
            <v/>
          </cell>
        </row>
        <row r="2041">
          <cell r="A2041">
            <v>31102192</v>
          </cell>
          <cell r="C2041">
            <v>31102192</v>
          </cell>
          <cell r="D2041">
            <v>31102192</v>
          </cell>
          <cell r="E2041">
            <v>31102192</v>
          </cell>
          <cell r="F2041">
            <v>31102192</v>
          </cell>
          <cell r="G2041">
            <v>31102192</v>
          </cell>
          <cell r="H2041">
            <v>31102192</v>
          </cell>
          <cell r="I2041" t="str">
            <v/>
          </cell>
          <cell r="J2041" t="str">
            <v/>
          </cell>
          <cell r="K2041" t="str">
            <v/>
          </cell>
          <cell r="L2041" t="str">
            <v/>
          </cell>
          <cell r="M2041" t="str">
            <v/>
          </cell>
        </row>
        <row r="2042">
          <cell r="A2042">
            <v>31102192</v>
          </cell>
          <cell r="C2042">
            <v>31102192</v>
          </cell>
          <cell r="D2042">
            <v>31102192</v>
          </cell>
          <cell r="E2042">
            <v>31102192</v>
          </cell>
          <cell r="F2042">
            <v>31102192</v>
          </cell>
          <cell r="G2042">
            <v>31102192</v>
          </cell>
          <cell r="H2042">
            <v>31102192</v>
          </cell>
          <cell r="I2042" t="str">
            <v/>
          </cell>
          <cell r="J2042" t="str">
            <v/>
          </cell>
          <cell r="K2042" t="str">
            <v/>
          </cell>
          <cell r="L2042" t="str">
            <v/>
          </cell>
          <cell r="M2042" t="str">
            <v/>
          </cell>
        </row>
        <row r="2043">
          <cell r="A2043">
            <v>31102192</v>
          </cell>
          <cell r="C2043">
            <v>31102192</v>
          </cell>
          <cell r="D2043">
            <v>31102192</v>
          </cell>
          <cell r="E2043">
            <v>31102192</v>
          </cell>
          <cell r="F2043">
            <v>31102192</v>
          </cell>
          <cell r="G2043">
            <v>31102192</v>
          </cell>
          <cell r="H2043">
            <v>31102192</v>
          </cell>
          <cell r="I2043" t="str">
            <v/>
          </cell>
          <cell r="J2043" t="str">
            <v/>
          </cell>
          <cell r="K2043" t="str">
            <v/>
          </cell>
          <cell r="L2043" t="str">
            <v/>
          </cell>
          <cell r="M2043" t="str">
            <v/>
          </cell>
        </row>
        <row r="2044">
          <cell r="A2044">
            <v>31102192</v>
          </cell>
          <cell r="C2044">
            <v>31102192</v>
          </cell>
          <cell r="D2044">
            <v>31102192</v>
          </cell>
          <cell r="E2044">
            <v>31102192</v>
          </cell>
          <cell r="F2044">
            <v>31102192</v>
          </cell>
          <cell r="G2044">
            <v>31102192</v>
          </cell>
          <cell r="H2044">
            <v>31102192</v>
          </cell>
          <cell r="I2044" t="str">
            <v/>
          </cell>
          <cell r="J2044" t="str">
            <v/>
          </cell>
          <cell r="K2044" t="str">
            <v/>
          </cell>
          <cell r="L2044" t="str">
            <v/>
          </cell>
          <cell r="M2044" t="str">
            <v/>
          </cell>
        </row>
        <row r="2045">
          <cell r="A2045">
            <v>31102192</v>
          </cell>
          <cell r="C2045">
            <v>31102192</v>
          </cell>
          <cell r="D2045">
            <v>31102192</v>
          </cell>
          <cell r="E2045">
            <v>31102192</v>
          </cell>
          <cell r="F2045">
            <v>31102192</v>
          </cell>
          <cell r="G2045">
            <v>31102192</v>
          </cell>
          <cell r="H2045">
            <v>31102192</v>
          </cell>
          <cell r="I2045" t="str">
            <v/>
          </cell>
          <cell r="J2045" t="str">
            <v/>
          </cell>
          <cell r="K2045" t="str">
            <v/>
          </cell>
          <cell r="L2045" t="str">
            <v/>
          </cell>
          <cell r="M2045" t="str">
            <v/>
          </cell>
        </row>
        <row r="2046">
          <cell r="A2046">
            <v>31102192</v>
          </cell>
          <cell r="C2046">
            <v>31102192</v>
          </cell>
          <cell r="D2046">
            <v>31102192</v>
          </cell>
          <cell r="E2046">
            <v>31102192</v>
          </cell>
          <cell r="F2046">
            <v>31102192</v>
          </cell>
          <cell r="G2046">
            <v>31102192</v>
          </cell>
          <cell r="H2046">
            <v>31102192</v>
          </cell>
          <cell r="I2046" t="str">
            <v/>
          </cell>
          <cell r="J2046" t="str">
            <v/>
          </cell>
          <cell r="K2046" t="str">
            <v/>
          </cell>
          <cell r="L2046" t="str">
            <v/>
          </cell>
          <cell r="M2046" t="str">
            <v/>
          </cell>
        </row>
        <row r="2047">
          <cell r="A2047">
            <v>31102192</v>
          </cell>
          <cell r="C2047">
            <v>31102192</v>
          </cell>
          <cell r="D2047">
            <v>31102192</v>
          </cell>
          <cell r="E2047">
            <v>31102192</v>
          </cell>
          <cell r="F2047">
            <v>31102192</v>
          </cell>
          <cell r="G2047">
            <v>31102192</v>
          </cell>
          <cell r="H2047">
            <v>31102192</v>
          </cell>
          <cell r="I2047" t="str">
            <v/>
          </cell>
          <cell r="J2047" t="str">
            <v/>
          </cell>
          <cell r="K2047" t="str">
            <v/>
          </cell>
          <cell r="L2047" t="str">
            <v/>
          </cell>
          <cell r="M2047" t="str">
            <v/>
          </cell>
        </row>
        <row r="2048">
          <cell r="A2048">
            <v>31102192</v>
          </cell>
          <cell r="C2048">
            <v>31102192</v>
          </cell>
          <cell r="D2048">
            <v>31102192</v>
          </cell>
          <cell r="E2048">
            <v>31102192</v>
          </cell>
          <cell r="F2048">
            <v>31102192</v>
          </cell>
          <cell r="G2048">
            <v>31102192</v>
          </cell>
          <cell r="H2048">
            <v>31102192</v>
          </cell>
          <cell r="I2048" t="str">
            <v/>
          </cell>
          <cell r="J2048" t="str">
            <v/>
          </cell>
          <cell r="K2048" t="str">
            <v/>
          </cell>
          <cell r="L2048" t="str">
            <v/>
          </cell>
          <cell r="M2048" t="str">
            <v/>
          </cell>
        </row>
        <row r="2049">
          <cell r="A2049">
            <v>31102192</v>
          </cell>
          <cell r="C2049">
            <v>31102192</v>
          </cell>
          <cell r="D2049">
            <v>31102192</v>
          </cell>
          <cell r="E2049">
            <v>31102192</v>
          </cell>
          <cell r="F2049">
            <v>31102192</v>
          </cell>
          <cell r="G2049">
            <v>31102192</v>
          </cell>
          <cell r="H2049">
            <v>31102192</v>
          </cell>
          <cell r="I2049" t="str">
            <v/>
          </cell>
          <cell r="J2049" t="str">
            <v/>
          </cell>
          <cell r="K2049" t="str">
            <v/>
          </cell>
          <cell r="L2049" t="str">
            <v/>
          </cell>
          <cell r="M2049" t="str">
            <v/>
          </cell>
        </row>
        <row r="2050">
          <cell r="A2050">
            <v>31102192</v>
          </cell>
          <cell r="C2050">
            <v>31102192</v>
          </cell>
          <cell r="D2050">
            <v>31102192</v>
          </cell>
          <cell r="E2050">
            <v>31102192</v>
          </cell>
          <cell r="F2050">
            <v>31102192</v>
          </cell>
          <cell r="G2050">
            <v>31102192</v>
          </cell>
          <cell r="H2050">
            <v>31102192</v>
          </cell>
          <cell r="I2050" t="str">
            <v/>
          </cell>
          <cell r="J2050" t="str">
            <v/>
          </cell>
          <cell r="K2050" t="str">
            <v/>
          </cell>
          <cell r="L2050" t="str">
            <v/>
          </cell>
          <cell r="M2050" t="str">
            <v/>
          </cell>
        </row>
        <row r="2051">
          <cell r="A2051">
            <v>31102192</v>
          </cell>
          <cell r="C2051">
            <v>31102192</v>
          </cell>
          <cell r="D2051">
            <v>31102192</v>
          </cell>
          <cell r="E2051">
            <v>31102192</v>
          </cell>
          <cell r="F2051">
            <v>31102192</v>
          </cell>
          <cell r="G2051">
            <v>31102192</v>
          </cell>
          <cell r="H2051">
            <v>31102192</v>
          </cell>
          <cell r="I2051" t="str">
            <v/>
          </cell>
          <cell r="J2051" t="str">
            <v/>
          </cell>
          <cell r="K2051" t="str">
            <v/>
          </cell>
          <cell r="L2051" t="str">
            <v/>
          </cell>
          <cell r="M2051" t="str">
            <v/>
          </cell>
        </row>
        <row r="2052">
          <cell r="A2052">
            <v>31102192</v>
          </cell>
          <cell r="C2052">
            <v>31102192</v>
          </cell>
          <cell r="D2052">
            <v>31102192</v>
          </cell>
          <cell r="E2052">
            <v>31102192</v>
          </cell>
          <cell r="F2052">
            <v>31102192</v>
          </cell>
          <cell r="G2052">
            <v>31102192</v>
          </cell>
          <cell r="H2052">
            <v>31102192</v>
          </cell>
          <cell r="I2052" t="str">
            <v/>
          </cell>
          <cell r="J2052" t="str">
            <v/>
          </cell>
          <cell r="K2052" t="str">
            <v/>
          </cell>
          <cell r="L2052" t="str">
            <v/>
          </cell>
          <cell r="M2052" t="str">
            <v/>
          </cell>
        </row>
        <row r="2053">
          <cell r="A2053">
            <v>31102192</v>
          </cell>
          <cell r="C2053">
            <v>31102192</v>
          </cell>
          <cell r="D2053">
            <v>31102192</v>
          </cell>
          <cell r="E2053">
            <v>31102192</v>
          </cell>
          <cell r="F2053">
            <v>31102192</v>
          </cell>
          <cell r="G2053">
            <v>31102192</v>
          </cell>
          <cell r="H2053">
            <v>31102192</v>
          </cell>
          <cell r="I2053" t="str">
            <v/>
          </cell>
          <cell r="J2053" t="str">
            <v/>
          </cell>
          <cell r="K2053" t="str">
            <v/>
          </cell>
          <cell r="L2053" t="str">
            <v/>
          </cell>
          <cell r="M2053" t="str">
            <v/>
          </cell>
        </row>
        <row r="2054">
          <cell r="A2054">
            <v>31102192</v>
          </cell>
          <cell r="C2054">
            <v>31102192</v>
          </cell>
          <cell r="D2054">
            <v>31102192</v>
          </cell>
          <cell r="E2054">
            <v>31102192</v>
          </cell>
          <cell r="F2054">
            <v>31102192</v>
          </cell>
          <cell r="G2054">
            <v>31102192</v>
          </cell>
          <cell r="H2054">
            <v>31102192</v>
          </cell>
          <cell r="I2054" t="str">
            <v/>
          </cell>
          <cell r="J2054" t="str">
            <v/>
          </cell>
          <cell r="K2054" t="str">
            <v/>
          </cell>
          <cell r="L2054" t="str">
            <v/>
          </cell>
          <cell r="M2054" t="str">
            <v/>
          </cell>
        </row>
        <row r="2055">
          <cell r="A2055">
            <v>31102192</v>
          </cell>
          <cell r="C2055">
            <v>31102192</v>
          </cell>
          <cell r="D2055">
            <v>31102192</v>
          </cell>
          <cell r="E2055">
            <v>31102192</v>
          </cell>
          <cell r="F2055">
            <v>31102192</v>
          </cell>
          <cell r="G2055">
            <v>31102192</v>
          </cell>
          <cell r="H2055">
            <v>31102192</v>
          </cell>
          <cell r="I2055" t="str">
            <v/>
          </cell>
          <cell r="J2055" t="str">
            <v/>
          </cell>
          <cell r="K2055" t="str">
            <v/>
          </cell>
          <cell r="L2055" t="str">
            <v/>
          </cell>
          <cell r="M2055" t="str">
            <v/>
          </cell>
        </row>
        <row r="2056">
          <cell r="A2056">
            <v>31102192</v>
          </cell>
          <cell r="C2056">
            <v>31102192</v>
          </cell>
          <cell r="D2056">
            <v>31102192</v>
          </cell>
          <cell r="E2056">
            <v>31102192</v>
          </cell>
          <cell r="F2056">
            <v>31102192</v>
          </cell>
          <cell r="G2056">
            <v>31102192</v>
          </cell>
          <cell r="H2056">
            <v>31102192</v>
          </cell>
          <cell r="I2056" t="str">
            <v/>
          </cell>
          <cell r="J2056" t="str">
            <v/>
          </cell>
          <cell r="K2056" t="str">
            <v/>
          </cell>
          <cell r="L2056" t="str">
            <v/>
          </cell>
          <cell r="M2056" t="str">
            <v/>
          </cell>
        </row>
        <row r="2057">
          <cell r="A2057">
            <v>31102192</v>
          </cell>
          <cell r="C2057">
            <v>31102192</v>
          </cell>
          <cell r="D2057">
            <v>31102192</v>
          </cell>
          <cell r="E2057">
            <v>31102192</v>
          </cell>
          <cell r="F2057">
            <v>31102192</v>
          </cell>
          <cell r="G2057">
            <v>31102192</v>
          </cell>
          <cell r="H2057">
            <v>31102192</v>
          </cell>
          <cell r="I2057" t="str">
            <v/>
          </cell>
          <cell r="J2057" t="str">
            <v/>
          </cell>
          <cell r="K2057" t="str">
            <v/>
          </cell>
          <cell r="L2057" t="str">
            <v/>
          </cell>
          <cell r="M2057" t="str">
            <v/>
          </cell>
        </row>
        <row r="2058">
          <cell r="A2058">
            <v>31102192</v>
          </cell>
          <cell r="C2058">
            <v>31102192</v>
          </cell>
          <cell r="D2058">
            <v>31102192</v>
          </cell>
          <cell r="E2058">
            <v>31102192</v>
          </cell>
          <cell r="F2058">
            <v>31102192</v>
          </cell>
          <cell r="G2058">
            <v>31102192</v>
          </cell>
          <cell r="H2058">
            <v>31102192</v>
          </cell>
          <cell r="I2058" t="str">
            <v/>
          </cell>
          <cell r="J2058" t="str">
            <v/>
          </cell>
          <cell r="K2058" t="str">
            <v/>
          </cell>
          <cell r="L2058" t="str">
            <v/>
          </cell>
          <cell r="M2058" t="str">
            <v/>
          </cell>
        </row>
        <row r="2059">
          <cell r="A2059">
            <v>31102192</v>
          </cell>
          <cell r="C2059">
            <v>31102192</v>
          </cell>
          <cell r="D2059">
            <v>31102192</v>
          </cell>
          <cell r="E2059">
            <v>31102192</v>
          </cell>
          <cell r="F2059">
            <v>31102192</v>
          </cell>
          <cell r="G2059">
            <v>31102192</v>
          </cell>
          <cell r="H2059">
            <v>31102192</v>
          </cell>
          <cell r="I2059" t="str">
            <v/>
          </cell>
          <cell r="J2059" t="str">
            <v/>
          </cell>
          <cell r="K2059" t="str">
            <v/>
          </cell>
          <cell r="L2059" t="str">
            <v/>
          </cell>
          <cell r="M2059" t="str">
            <v/>
          </cell>
        </row>
        <row r="2060">
          <cell r="A2060">
            <v>31102192</v>
          </cell>
          <cell r="C2060">
            <v>31102192</v>
          </cell>
          <cell r="D2060">
            <v>31102192</v>
          </cell>
          <cell r="E2060">
            <v>31102192</v>
          </cell>
          <cell r="F2060">
            <v>31102192</v>
          </cell>
          <cell r="G2060">
            <v>31102192</v>
          </cell>
          <cell r="H2060">
            <v>31102192</v>
          </cell>
          <cell r="I2060" t="str">
            <v/>
          </cell>
          <cell r="J2060" t="str">
            <v/>
          </cell>
          <cell r="K2060" t="str">
            <v/>
          </cell>
          <cell r="L2060" t="str">
            <v/>
          </cell>
          <cell r="M2060" t="str">
            <v/>
          </cell>
        </row>
        <row r="2061">
          <cell r="A2061">
            <v>31102192</v>
          </cell>
          <cell r="C2061">
            <v>31102192</v>
          </cell>
          <cell r="D2061">
            <v>31102192</v>
          </cell>
          <cell r="E2061">
            <v>31102192</v>
          </cell>
          <cell r="F2061">
            <v>31102192</v>
          </cell>
          <cell r="G2061">
            <v>31102192</v>
          </cell>
          <cell r="H2061">
            <v>31102192</v>
          </cell>
          <cell r="I2061" t="str">
            <v/>
          </cell>
          <cell r="J2061" t="str">
            <v/>
          </cell>
          <cell r="K2061" t="str">
            <v/>
          </cell>
          <cell r="L2061" t="str">
            <v/>
          </cell>
          <cell r="M2061" t="str">
            <v/>
          </cell>
        </row>
        <row r="2062">
          <cell r="A2062">
            <v>31102192</v>
          </cell>
          <cell r="C2062">
            <v>31102192</v>
          </cell>
          <cell r="D2062">
            <v>31102192</v>
          </cell>
          <cell r="E2062">
            <v>31102192</v>
          </cell>
          <cell r="F2062">
            <v>31102192</v>
          </cell>
          <cell r="G2062">
            <v>31102192</v>
          </cell>
          <cell r="H2062">
            <v>31102192</v>
          </cell>
          <cell r="I2062" t="str">
            <v/>
          </cell>
          <cell r="J2062" t="str">
            <v/>
          </cell>
          <cell r="K2062" t="str">
            <v/>
          </cell>
          <cell r="L2062" t="str">
            <v/>
          </cell>
          <cell r="M2062" t="str">
            <v/>
          </cell>
        </row>
        <row r="2063">
          <cell r="A2063">
            <v>31102192</v>
          </cell>
          <cell r="C2063">
            <v>31102192</v>
          </cell>
          <cell r="D2063">
            <v>31102192</v>
          </cell>
          <cell r="E2063">
            <v>31102192</v>
          </cell>
          <cell r="F2063">
            <v>31102192</v>
          </cell>
          <cell r="G2063">
            <v>31102192</v>
          </cell>
          <cell r="H2063">
            <v>31102192</v>
          </cell>
          <cell r="I2063" t="str">
            <v/>
          </cell>
          <cell r="J2063" t="str">
            <v/>
          </cell>
          <cell r="K2063" t="str">
            <v/>
          </cell>
          <cell r="L2063" t="str">
            <v/>
          </cell>
          <cell r="M2063" t="str">
            <v/>
          </cell>
        </row>
        <row r="2064">
          <cell r="A2064">
            <v>31102192</v>
          </cell>
          <cell r="C2064">
            <v>31102192</v>
          </cell>
          <cell r="D2064">
            <v>31102192</v>
          </cell>
          <cell r="E2064">
            <v>31102192</v>
          </cell>
          <cell r="F2064">
            <v>31102192</v>
          </cell>
          <cell r="G2064">
            <v>31102192</v>
          </cell>
          <cell r="H2064">
            <v>31102192</v>
          </cell>
          <cell r="I2064" t="str">
            <v/>
          </cell>
          <cell r="J2064" t="str">
            <v/>
          </cell>
          <cell r="K2064" t="str">
            <v/>
          </cell>
          <cell r="L2064" t="str">
            <v/>
          </cell>
          <cell r="M2064" t="str">
            <v/>
          </cell>
        </row>
        <row r="2065">
          <cell r="A2065">
            <v>31102192</v>
          </cell>
          <cell r="C2065">
            <v>31102192</v>
          </cell>
          <cell r="D2065">
            <v>31102192</v>
          </cell>
          <cell r="E2065">
            <v>31102192</v>
          </cell>
          <cell r="F2065">
            <v>31102192</v>
          </cell>
          <cell r="G2065">
            <v>31102192</v>
          </cell>
          <cell r="H2065">
            <v>31102192</v>
          </cell>
          <cell r="I2065" t="str">
            <v/>
          </cell>
          <cell r="J2065" t="str">
            <v/>
          </cell>
          <cell r="K2065" t="str">
            <v/>
          </cell>
          <cell r="L2065" t="str">
            <v/>
          </cell>
          <cell r="M2065" t="str">
            <v/>
          </cell>
        </row>
        <row r="2066">
          <cell r="A2066">
            <v>31102192</v>
          </cell>
          <cell r="C2066">
            <v>31102192</v>
          </cell>
          <cell r="D2066">
            <v>31102192</v>
          </cell>
          <cell r="E2066">
            <v>31102192</v>
          </cell>
          <cell r="F2066">
            <v>31102192</v>
          </cell>
          <cell r="G2066">
            <v>31102192</v>
          </cell>
          <cell r="H2066">
            <v>31102192</v>
          </cell>
          <cell r="I2066" t="str">
            <v/>
          </cell>
          <cell r="J2066" t="str">
            <v/>
          </cell>
          <cell r="K2066" t="str">
            <v/>
          </cell>
          <cell r="L2066" t="str">
            <v/>
          </cell>
          <cell r="M2066" t="str">
            <v/>
          </cell>
        </row>
        <row r="2067">
          <cell r="A2067">
            <v>31102192</v>
          </cell>
          <cell r="C2067">
            <v>31102192</v>
          </cell>
          <cell r="D2067">
            <v>31102192</v>
          </cell>
          <cell r="E2067">
            <v>31102192</v>
          </cell>
          <cell r="F2067">
            <v>31102192</v>
          </cell>
          <cell r="G2067">
            <v>31102192</v>
          </cell>
          <cell r="H2067">
            <v>31102192</v>
          </cell>
          <cell r="I2067" t="str">
            <v/>
          </cell>
          <cell r="J2067" t="str">
            <v/>
          </cell>
          <cell r="K2067" t="str">
            <v/>
          </cell>
          <cell r="L2067" t="str">
            <v/>
          </cell>
          <cell r="M2067" t="str">
            <v/>
          </cell>
        </row>
        <row r="2068">
          <cell r="A2068">
            <v>31102192</v>
          </cell>
          <cell r="C2068">
            <v>31102192</v>
          </cell>
          <cell r="D2068">
            <v>31102192</v>
          </cell>
          <cell r="E2068">
            <v>31102192</v>
          </cell>
          <cell r="F2068">
            <v>31102192</v>
          </cell>
          <cell r="G2068">
            <v>31102192</v>
          </cell>
          <cell r="H2068">
            <v>31102192</v>
          </cell>
          <cell r="I2068" t="str">
            <v/>
          </cell>
          <cell r="J2068" t="str">
            <v/>
          </cell>
          <cell r="K2068" t="str">
            <v/>
          </cell>
          <cell r="L2068" t="str">
            <v/>
          </cell>
          <cell r="M2068" t="str">
            <v/>
          </cell>
        </row>
        <row r="2069">
          <cell r="A2069">
            <v>31102192</v>
          </cell>
          <cell r="C2069">
            <v>31102192</v>
          </cell>
          <cell r="D2069">
            <v>31102192</v>
          </cell>
          <cell r="E2069">
            <v>31102192</v>
          </cell>
          <cell r="F2069">
            <v>31102192</v>
          </cell>
          <cell r="G2069">
            <v>31102192</v>
          </cell>
          <cell r="H2069">
            <v>31102192</v>
          </cell>
          <cell r="I2069" t="str">
            <v/>
          </cell>
          <cell r="J2069" t="str">
            <v/>
          </cell>
          <cell r="K2069" t="str">
            <v/>
          </cell>
          <cell r="L2069" t="str">
            <v/>
          </cell>
          <cell r="M2069" t="str">
            <v/>
          </cell>
        </row>
        <row r="2070">
          <cell r="A2070">
            <v>31102192</v>
          </cell>
          <cell r="C2070">
            <v>31102192</v>
          </cell>
          <cell r="D2070">
            <v>31102192</v>
          </cell>
          <cell r="E2070">
            <v>31102192</v>
          </cell>
          <cell r="F2070">
            <v>31102192</v>
          </cell>
          <cell r="G2070">
            <v>31102192</v>
          </cell>
          <cell r="H2070">
            <v>31102192</v>
          </cell>
          <cell r="I2070" t="str">
            <v/>
          </cell>
          <cell r="J2070" t="str">
            <v/>
          </cell>
          <cell r="K2070" t="str">
            <v/>
          </cell>
          <cell r="L2070" t="str">
            <v/>
          </cell>
          <cell r="M2070" t="str">
            <v/>
          </cell>
        </row>
        <row r="2071">
          <cell r="A2071">
            <v>31102192</v>
          </cell>
          <cell r="C2071">
            <v>31102192</v>
          </cell>
          <cell r="D2071">
            <v>31102192</v>
          </cell>
          <cell r="E2071">
            <v>31102192</v>
          </cell>
          <cell r="F2071">
            <v>31102192</v>
          </cell>
          <cell r="G2071">
            <v>31102192</v>
          </cell>
          <cell r="H2071">
            <v>31102192</v>
          </cell>
          <cell r="I2071" t="str">
            <v/>
          </cell>
          <cell r="J2071" t="str">
            <v/>
          </cell>
          <cell r="K2071" t="str">
            <v/>
          </cell>
          <cell r="L2071" t="str">
            <v/>
          </cell>
          <cell r="M2071" t="str">
            <v/>
          </cell>
        </row>
        <row r="2072">
          <cell r="A2072">
            <v>31102192</v>
          </cell>
          <cell r="C2072">
            <v>31102192</v>
          </cell>
          <cell r="D2072">
            <v>31102192</v>
          </cell>
          <cell r="E2072">
            <v>31102192</v>
          </cell>
          <cell r="F2072">
            <v>31102192</v>
          </cell>
          <cell r="G2072">
            <v>31102192</v>
          </cell>
          <cell r="H2072">
            <v>31102192</v>
          </cell>
          <cell r="I2072" t="str">
            <v/>
          </cell>
          <cell r="J2072" t="str">
            <v/>
          </cell>
          <cell r="K2072" t="str">
            <v/>
          </cell>
          <cell r="L2072" t="str">
            <v/>
          </cell>
          <cell r="M2072" t="str">
            <v/>
          </cell>
        </row>
        <row r="2073">
          <cell r="A2073">
            <v>31102192</v>
          </cell>
          <cell r="C2073">
            <v>31102192</v>
          </cell>
          <cell r="D2073">
            <v>31102192</v>
          </cell>
          <cell r="E2073">
            <v>31102192</v>
          </cell>
          <cell r="F2073">
            <v>31102192</v>
          </cell>
          <cell r="G2073">
            <v>31102192</v>
          </cell>
          <cell r="H2073">
            <v>31102192</v>
          </cell>
          <cell r="I2073" t="str">
            <v/>
          </cell>
          <cell r="J2073" t="str">
            <v/>
          </cell>
          <cell r="K2073" t="str">
            <v/>
          </cell>
          <cell r="L2073" t="str">
            <v/>
          </cell>
          <cell r="M2073" t="str">
            <v/>
          </cell>
        </row>
        <row r="2074">
          <cell r="A2074">
            <v>31102192</v>
          </cell>
          <cell r="C2074">
            <v>31102192</v>
          </cell>
          <cell r="D2074">
            <v>31102192</v>
          </cell>
          <cell r="E2074">
            <v>31102192</v>
          </cell>
          <cell r="F2074">
            <v>31102192</v>
          </cell>
          <cell r="G2074">
            <v>31102192</v>
          </cell>
          <cell r="H2074">
            <v>31102192</v>
          </cell>
          <cell r="I2074" t="str">
            <v/>
          </cell>
          <cell r="J2074" t="str">
            <v/>
          </cell>
          <cell r="K2074" t="str">
            <v/>
          </cell>
          <cell r="L2074" t="str">
            <v/>
          </cell>
          <cell r="M2074" t="str">
            <v/>
          </cell>
        </row>
        <row r="2075">
          <cell r="A2075">
            <v>31102192</v>
          </cell>
          <cell r="C2075">
            <v>31102192</v>
          </cell>
          <cell r="D2075">
            <v>31102192</v>
          </cell>
          <cell r="E2075">
            <v>31102192</v>
          </cell>
          <cell r="F2075">
            <v>31102192</v>
          </cell>
          <cell r="G2075">
            <v>31102192</v>
          </cell>
          <cell r="H2075">
            <v>31102192</v>
          </cell>
          <cell r="I2075" t="str">
            <v/>
          </cell>
          <cell r="J2075" t="str">
            <v/>
          </cell>
          <cell r="K2075" t="str">
            <v/>
          </cell>
          <cell r="L2075" t="str">
            <v/>
          </cell>
          <cell r="M2075" t="str">
            <v/>
          </cell>
        </row>
        <row r="2076">
          <cell r="A2076">
            <v>31102192</v>
          </cell>
          <cell r="C2076">
            <v>31102192</v>
          </cell>
          <cell r="D2076">
            <v>31102192</v>
          </cell>
          <cell r="E2076">
            <v>31102192</v>
          </cell>
          <cell r="F2076">
            <v>31102192</v>
          </cell>
          <cell r="G2076">
            <v>31102192</v>
          </cell>
          <cell r="H2076">
            <v>31102192</v>
          </cell>
          <cell r="I2076" t="str">
            <v/>
          </cell>
          <cell r="J2076" t="str">
            <v/>
          </cell>
          <cell r="K2076" t="str">
            <v/>
          </cell>
          <cell r="L2076" t="str">
            <v/>
          </cell>
          <cell r="M2076" t="str">
            <v/>
          </cell>
        </row>
        <row r="2077">
          <cell r="A2077">
            <v>31102192</v>
          </cell>
          <cell r="C2077">
            <v>31102192</v>
          </cell>
          <cell r="D2077">
            <v>31102192</v>
          </cell>
          <cell r="E2077">
            <v>31102192</v>
          </cell>
          <cell r="F2077">
            <v>31102192</v>
          </cell>
          <cell r="G2077">
            <v>31102192</v>
          </cell>
          <cell r="H2077">
            <v>31102192</v>
          </cell>
          <cell r="I2077" t="str">
            <v/>
          </cell>
          <cell r="J2077" t="str">
            <v/>
          </cell>
          <cell r="K2077" t="str">
            <v/>
          </cell>
          <cell r="L2077" t="str">
            <v/>
          </cell>
          <cell r="M2077" t="str">
            <v/>
          </cell>
        </row>
        <row r="2078">
          <cell r="A2078">
            <v>31102192</v>
          </cell>
          <cell r="C2078">
            <v>31102192</v>
          </cell>
          <cell r="D2078">
            <v>31102192</v>
          </cell>
          <cell r="E2078">
            <v>31102192</v>
          </cell>
          <cell r="F2078">
            <v>31102192</v>
          </cell>
          <cell r="G2078">
            <v>31102192</v>
          </cell>
          <cell r="H2078">
            <v>31102192</v>
          </cell>
          <cell r="I2078" t="str">
            <v/>
          </cell>
          <cell r="J2078" t="str">
            <v/>
          </cell>
          <cell r="K2078" t="str">
            <v/>
          </cell>
          <cell r="L2078" t="str">
            <v/>
          </cell>
          <cell r="M2078" t="str">
            <v/>
          </cell>
        </row>
        <row r="2079">
          <cell r="A2079">
            <v>31102192</v>
          </cell>
          <cell r="C2079">
            <v>31102192</v>
          </cell>
          <cell r="D2079">
            <v>31102192</v>
          </cell>
          <cell r="E2079">
            <v>31102192</v>
          </cell>
          <cell r="F2079">
            <v>31102192</v>
          </cell>
          <cell r="G2079">
            <v>31102192</v>
          </cell>
          <cell r="H2079">
            <v>31102192</v>
          </cell>
          <cell r="I2079" t="str">
            <v/>
          </cell>
          <cell r="J2079" t="str">
            <v/>
          </cell>
          <cell r="K2079" t="str">
            <v/>
          </cell>
          <cell r="L2079" t="str">
            <v/>
          </cell>
          <cell r="M2079" t="str">
            <v/>
          </cell>
        </row>
        <row r="2080">
          <cell r="A2080">
            <v>31102192</v>
          </cell>
          <cell r="C2080">
            <v>31102192</v>
          </cell>
          <cell r="D2080">
            <v>31102192</v>
          </cell>
          <cell r="E2080">
            <v>31102192</v>
          </cell>
          <cell r="F2080">
            <v>31102192</v>
          </cell>
          <cell r="G2080">
            <v>31102192</v>
          </cell>
          <cell r="H2080">
            <v>31102192</v>
          </cell>
          <cell r="I2080" t="str">
            <v/>
          </cell>
          <cell r="J2080" t="str">
            <v/>
          </cell>
          <cell r="K2080" t="str">
            <v/>
          </cell>
          <cell r="L2080" t="str">
            <v/>
          </cell>
          <cell r="M2080" t="str">
            <v/>
          </cell>
        </row>
        <row r="2081">
          <cell r="A2081">
            <v>31102192</v>
          </cell>
          <cell r="C2081">
            <v>31102192</v>
          </cell>
          <cell r="D2081">
            <v>31102192</v>
          </cell>
          <cell r="E2081">
            <v>31102192</v>
          </cell>
          <cell r="F2081">
            <v>31102192</v>
          </cell>
          <cell r="G2081">
            <v>31102192</v>
          </cell>
          <cell r="H2081">
            <v>31102192</v>
          </cell>
          <cell r="I2081" t="str">
            <v/>
          </cell>
          <cell r="J2081" t="str">
            <v/>
          </cell>
          <cell r="K2081" t="str">
            <v/>
          </cell>
          <cell r="L2081" t="str">
            <v/>
          </cell>
          <cell r="M2081" t="str">
            <v/>
          </cell>
        </row>
        <row r="2082">
          <cell r="A2082">
            <v>31102192</v>
          </cell>
          <cell r="C2082">
            <v>31102192</v>
          </cell>
          <cell r="D2082">
            <v>31102192</v>
          </cell>
          <cell r="E2082">
            <v>31102192</v>
          </cell>
          <cell r="F2082">
            <v>31102192</v>
          </cell>
          <cell r="G2082">
            <v>31102192</v>
          </cell>
          <cell r="H2082">
            <v>31102192</v>
          </cell>
          <cell r="I2082" t="str">
            <v/>
          </cell>
          <cell r="J2082" t="str">
            <v/>
          </cell>
          <cell r="K2082" t="str">
            <v/>
          </cell>
          <cell r="L2082" t="str">
            <v/>
          </cell>
          <cell r="M2082" t="str">
            <v/>
          </cell>
        </row>
        <row r="2083">
          <cell r="A2083">
            <v>31102192</v>
          </cell>
          <cell r="C2083">
            <v>31102192</v>
          </cell>
          <cell r="D2083">
            <v>31102192</v>
          </cell>
          <cell r="E2083">
            <v>31102192</v>
          </cell>
          <cell r="F2083">
            <v>31102192</v>
          </cell>
          <cell r="G2083">
            <v>31102192</v>
          </cell>
          <cell r="H2083">
            <v>31102192</v>
          </cell>
          <cell r="I2083" t="str">
            <v/>
          </cell>
          <cell r="J2083" t="str">
            <v/>
          </cell>
          <cell r="K2083" t="str">
            <v/>
          </cell>
          <cell r="L2083" t="str">
            <v/>
          </cell>
          <cell r="M2083" t="str">
            <v/>
          </cell>
        </row>
        <row r="2084">
          <cell r="A2084">
            <v>31102192</v>
          </cell>
          <cell r="C2084">
            <v>31102192</v>
          </cell>
          <cell r="D2084">
            <v>31102192</v>
          </cell>
          <cell r="E2084">
            <v>31102192</v>
          </cell>
          <cell r="F2084">
            <v>31102192</v>
          </cell>
          <cell r="G2084">
            <v>31102192</v>
          </cell>
          <cell r="H2084">
            <v>31102192</v>
          </cell>
          <cell r="I2084" t="str">
            <v/>
          </cell>
          <cell r="J2084" t="str">
            <v/>
          </cell>
          <cell r="K2084" t="str">
            <v/>
          </cell>
          <cell r="L2084" t="str">
            <v/>
          </cell>
          <cell r="M2084" t="str">
            <v/>
          </cell>
        </row>
        <row r="2085">
          <cell r="A2085">
            <v>31102192</v>
          </cell>
          <cell r="C2085">
            <v>31102192</v>
          </cell>
          <cell r="D2085">
            <v>31102192</v>
          </cell>
          <cell r="E2085">
            <v>31102192</v>
          </cell>
          <cell r="F2085">
            <v>31102192</v>
          </cell>
          <cell r="G2085">
            <v>31102192</v>
          </cell>
          <cell r="H2085">
            <v>31102192</v>
          </cell>
          <cell r="I2085" t="str">
            <v/>
          </cell>
          <cell r="J2085" t="str">
            <v/>
          </cell>
          <cell r="K2085" t="str">
            <v/>
          </cell>
          <cell r="L2085" t="str">
            <v/>
          </cell>
          <cell r="M2085" t="str">
            <v/>
          </cell>
        </row>
        <row r="2086">
          <cell r="A2086">
            <v>31102192</v>
          </cell>
          <cell r="C2086">
            <v>31102192</v>
          </cell>
          <cell r="D2086">
            <v>31102192</v>
          </cell>
          <cell r="E2086">
            <v>31102192</v>
          </cell>
          <cell r="F2086">
            <v>31102192</v>
          </cell>
          <cell r="G2086">
            <v>31102192</v>
          </cell>
          <cell r="H2086">
            <v>31102192</v>
          </cell>
          <cell r="I2086" t="str">
            <v/>
          </cell>
          <cell r="J2086" t="str">
            <v/>
          </cell>
          <cell r="K2086" t="str">
            <v/>
          </cell>
          <cell r="L2086" t="str">
            <v/>
          </cell>
          <cell r="M2086" t="str">
            <v/>
          </cell>
        </row>
        <row r="2087">
          <cell r="A2087">
            <v>31102192</v>
          </cell>
          <cell r="C2087">
            <v>31102192</v>
          </cell>
          <cell r="D2087">
            <v>31102192</v>
          </cell>
          <cell r="E2087">
            <v>31102192</v>
          </cell>
          <cell r="F2087">
            <v>31102192</v>
          </cell>
          <cell r="G2087">
            <v>31102192</v>
          </cell>
          <cell r="H2087">
            <v>31102192</v>
          </cell>
          <cell r="I2087" t="str">
            <v/>
          </cell>
          <cell r="J2087" t="str">
            <v/>
          </cell>
          <cell r="K2087" t="str">
            <v/>
          </cell>
          <cell r="L2087" t="str">
            <v/>
          </cell>
          <cell r="M2087" t="str">
            <v/>
          </cell>
        </row>
        <row r="2088">
          <cell r="A2088">
            <v>31102192</v>
          </cell>
          <cell r="C2088">
            <v>31102192</v>
          </cell>
          <cell r="D2088">
            <v>31102192</v>
          </cell>
          <cell r="E2088">
            <v>31102192</v>
          </cell>
          <cell r="F2088">
            <v>31102192</v>
          </cell>
          <cell r="G2088">
            <v>31102192</v>
          </cell>
          <cell r="H2088">
            <v>31102192</v>
          </cell>
          <cell r="I2088" t="str">
            <v/>
          </cell>
          <cell r="J2088" t="str">
            <v/>
          </cell>
          <cell r="K2088" t="str">
            <v/>
          </cell>
          <cell r="L2088" t="str">
            <v/>
          </cell>
          <cell r="M2088" t="str">
            <v/>
          </cell>
        </row>
        <row r="2089">
          <cell r="A2089">
            <v>31102192</v>
          </cell>
          <cell r="C2089">
            <v>31102192</v>
          </cell>
          <cell r="D2089">
            <v>31102192</v>
          </cell>
          <cell r="E2089">
            <v>31102192</v>
          </cell>
          <cell r="F2089">
            <v>31102192</v>
          </cell>
          <cell r="G2089">
            <v>31102192</v>
          </cell>
          <cell r="H2089">
            <v>31102192</v>
          </cell>
          <cell r="I2089" t="str">
            <v/>
          </cell>
          <cell r="J2089" t="str">
            <v/>
          </cell>
          <cell r="K2089" t="str">
            <v/>
          </cell>
          <cell r="L2089" t="str">
            <v/>
          </cell>
          <cell r="M2089" t="str">
            <v/>
          </cell>
        </row>
        <row r="2090">
          <cell r="A2090">
            <v>31102192</v>
          </cell>
          <cell r="C2090">
            <v>31102192</v>
          </cell>
          <cell r="D2090">
            <v>31102192</v>
          </cell>
          <cell r="E2090">
            <v>31102192</v>
          </cell>
          <cell r="F2090">
            <v>31102192</v>
          </cell>
          <cell r="G2090">
            <v>31102192</v>
          </cell>
          <cell r="H2090">
            <v>31102192</v>
          </cell>
          <cell r="I2090" t="str">
            <v/>
          </cell>
          <cell r="J2090" t="str">
            <v/>
          </cell>
          <cell r="K2090" t="str">
            <v/>
          </cell>
          <cell r="L2090" t="str">
            <v/>
          </cell>
          <cell r="M2090" t="str">
            <v/>
          </cell>
        </row>
        <row r="2091">
          <cell r="A2091">
            <v>31102192</v>
          </cell>
          <cell r="C2091">
            <v>31102192</v>
          </cell>
          <cell r="D2091">
            <v>31102192</v>
          </cell>
          <cell r="E2091">
            <v>31102192</v>
          </cell>
          <cell r="F2091">
            <v>31102192</v>
          </cell>
          <cell r="G2091">
            <v>31102192</v>
          </cell>
          <cell r="H2091">
            <v>31102192</v>
          </cell>
          <cell r="I2091" t="str">
            <v/>
          </cell>
          <cell r="J2091" t="str">
            <v/>
          </cell>
          <cell r="K2091" t="str">
            <v/>
          </cell>
          <cell r="L2091" t="str">
            <v/>
          </cell>
          <cell r="M2091" t="str">
            <v/>
          </cell>
        </row>
        <row r="2092">
          <cell r="A2092">
            <v>31102192</v>
          </cell>
          <cell r="C2092">
            <v>31102192</v>
          </cell>
          <cell r="D2092">
            <v>31102192</v>
          </cell>
          <cell r="E2092">
            <v>31102192</v>
          </cell>
          <cell r="F2092">
            <v>31102192</v>
          </cell>
          <cell r="G2092">
            <v>31102192</v>
          </cell>
          <cell r="H2092">
            <v>31102192</v>
          </cell>
          <cell r="I2092" t="str">
            <v/>
          </cell>
          <cell r="J2092" t="str">
            <v/>
          </cell>
          <cell r="K2092" t="str">
            <v/>
          </cell>
          <cell r="L2092" t="str">
            <v/>
          </cell>
          <cell r="M2092" t="str">
            <v/>
          </cell>
        </row>
        <row r="2093">
          <cell r="A2093">
            <v>31102192</v>
          </cell>
          <cell r="C2093">
            <v>31102192</v>
          </cell>
          <cell r="D2093">
            <v>31102192</v>
          </cell>
          <cell r="E2093">
            <v>31102192</v>
          </cell>
          <cell r="F2093">
            <v>31102192</v>
          </cell>
          <cell r="G2093">
            <v>31102192</v>
          </cell>
          <cell r="H2093">
            <v>31102192</v>
          </cell>
          <cell r="I2093" t="str">
            <v/>
          </cell>
          <cell r="J2093" t="str">
            <v/>
          </cell>
          <cell r="K2093" t="str">
            <v/>
          </cell>
          <cell r="L2093" t="str">
            <v/>
          </cell>
          <cell r="M2093" t="str">
            <v/>
          </cell>
        </row>
        <row r="2094">
          <cell r="A2094">
            <v>31102192</v>
          </cell>
          <cell r="C2094">
            <v>31102192</v>
          </cell>
          <cell r="D2094">
            <v>31102192</v>
          </cell>
          <cell r="E2094">
            <v>31102192</v>
          </cell>
          <cell r="F2094">
            <v>31102192</v>
          </cell>
          <cell r="G2094">
            <v>31102192</v>
          </cell>
          <cell r="H2094">
            <v>31102192</v>
          </cell>
          <cell r="I2094" t="str">
            <v/>
          </cell>
          <cell r="J2094" t="str">
            <v/>
          </cell>
          <cell r="K2094" t="str">
            <v/>
          </cell>
          <cell r="L2094" t="str">
            <v/>
          </cell>
          <cell r="M2094" t="str">
            <v/>
          </cell>
        </row>
        <row r="2095">
          <cell r="A2095">
            <v>31102192</v>
          </cell>
          <cell r="C2095">
            <v>31102192</v>
          </cell>
          <cell r="D2095">
            <v>31102192</v>
          </cell>
          <cell r="E2095">
            <v>31102192</v>
          </cell>
          <cell r="F2095">
            <v>31102192</v>
          </cell>
          <cell r="G2095">
            <v>31102192</v>
          </cell>
          <cell r="H2095">
            <v>31102192</v>
          </cell>
          <cell r="I2095" t="str">
            <v/>
          </cell>
          <cell r="J2095" t="str">
            <v/>
          </cell>
          <cell r="K2095" t="str">
            <v/>
          </cell>
          <cell r="L2095" t="str">
            <v/>
          </cell>
          <cell r="M2095" t="str">
            <v/>
          </cell>
        </row>
        <row r="2096">
          <cell r="A2096">
            <v>31102192</v>
          </cell>
          <cell r="C2096">
            <v>31102192</v>
          </cell>
          <cell r="D2096">
            <v>31102192</v>
          </cell>
          <cell r="E2096">
            <v>31102192</v>
          </cell>
          <cell r="F2096">
            <v>31102192</v>
          </cell>
          <cell r="G2096">
            <v>31102192</v>
          </cell>
          <cell r="H2096">
            <v>31102192</v>
          </cell>
          <cell r="I2096" t="str">
            <v/>
          </cell>
          <cell r="J2096" t="str">
            <v/>
          </cell>
          <cell r="K2096" t="str">
            <v/>
          </cell>
          <cell r="L2096" t="str">
            <v/>
          </cell>
          <cell r="M2096" t="str">
            <v/>
          </cell>
        </row>
        <row r="2097">
          <cell r="A2097">
            <v>31102192</v>
          </cell>
          <cell r="C2097">
            <v>31102192</v>
          </cell>
          <cell r="D2097">
            <v>31102192</v>
          </cell>
          <cell r="E2097">
            <v>31102192</v>
          </cell>
          <cell r="F2097">
            <v>31102192</v>
          </cell>
          <cell r="G2097">
            <v>31102192</v>
          </cell>
          <cell r="H2097">
            <v>31102192</v>
          </cell>
          <cell r="I2097" t="str">
            <v/>
          </cell>
          <cell r="J2097" t="str">
            <v/>
          </cell>
          <cell r="K2097" t="str">
            <v/>
          </cell>
          <cell r="L2097" t="str">
            <v/>
          </cell>
          <cell r="M2097" t="str">
            <v/>
          </cell>
        </row>
        <row r="2098">
          <cell r="A2098">
            <v>31102192</v>
          </cell>
          <cell r="C2098">
            <v>31102192</v>
          </cell>
          <cell r="D2098">
            <v>31102192</v>
          </cell>
          <cell r="E2098">
            <v>31102192</v>
          </cell>
          <cell r="F2098">
            <v>31102192</v>
          </cell>
          <cell r="G2098">
            <v>31102192</v>
          </cell>
          <cell r="H2098">
            <v>31102192</v>
          </cell>
          <cell r="I2098" t="str">
            <v/>
          </cell>
          <cell r="J2098" t="str">
            <v/>
          </cell>
          <cell r="K2098" t="str">
            <v/>
          </cell>
          <cell r="L2098" t="str">
            <v/>
          </cell>
          <cell r="M2098" t="str">
            <v/>
          </cell>
        </row>
        <row r="2099">
          <cell r="A2099">
            <v>31102192</v>
          </cell>
          <cell r="C2099">
            <v>31102192</v>
          </cell>
          <cell r="D2099">
            <v>31102192</v>
          </cell>
          <cell r="E2099">
            <v>31102192</v>
          </cell>
          <cell r="F2099">
            <v>31102192</v>
          </cell>
          <cell r="G2099">
            <v>31102192</v>
          </cell>
          <cell r="H2099">
            <v>31102192</v>
          </cell>
          <cell r="I2099" t="str">
            <v/>
          </cell>
          <cell r="J2099" t="str">
            <v/>
          </cell>
          <cell r="K2099" t="str">
            <v/>
          </cell>
          <cell r="L2099" t="str">
            <v/>
          </cell>
          <cell r="M2099" t="str">
            <v/>
          </cell>
        </row>
        <row r="2100">
          <cell r="A2100">
            <v>31102192</v>
          </cell>
          <cell r="C2100">
            <v>31102192</v>
          </cell>
          <cell r="D2100">
            <v>31102192</v>
          </cell>
          <cell r="E2100">
            <v>31102192</v>
          </cell>
          <cell r="F2100">
            <v>31102192</v>
          </cell>
          <cell r="G2100">
            <v>31102192</v>
          </cell>
          <cell r="H2100">
            <v>31102192</v>
          </cell>
          <cell r="I2100" t="str">
            <v/>
          </cell>
          <cell r="J2100" t="str">
            <v/>
          </cell>
          <cell r="K2100" t="str">
            <v/>
          </cell>
          <cell r="L2100" t="str">
            <v/>
          </cell>
          <cell r="M2100" t="str">
            <v/>
          </cell>
        </row>
        <row r="2101">
          <cell r="A2101">
            <v>31102192</v>
          </cell>
          <cell r="C2101">
            <v>31102192</v>
          </cell>
          <cell r="D2101">
            <v>31102192</v>
          </cell>
          <cell r="E2101">
            <v>31102192</v>
          </cell>
          <cell r="F2101">
            <v>31102192</v>
          </cell>
          <cell r="G2101">
            <v>31102192</v>
          </cell>
          <cell r="H2101">
            <v>31102192</v>
          </cell>
          <cell r="I2101" t="str">
            <v/>
          </cell>
          <cell r="J2101" t="str">
            <v/>
          </cell>
          <cell r="K2101" t="str">
            <v/>
          </cell>
          <cell r="L2101" t="str">
            <v/>
          </cell>
          <cell r="M2101" t="str">
            <v/>
          </cell>
        </row>
        <row r="2102">
          <cell r="A2102">
            <v>31102192</v>
          </cell>
          <cell r="C2102">
            <v>31102192</v>
          </cell>
          <cell r="D2102">
            <v>31102192</v>
          </cell>
          <cell r="E2102">
            <v>31102192</v>
          </cell>
          <cell r="F2102">
            <v>31102192</v>
          </cell>
          <cell r="G2102">
            <v>31102192</v>
          </cell>
          <cell r="H2102">
            <v>31102192</v>
          </cell>
          <cell r="I2102" t="str">
            <v/>
          </cell>
          <cell r="J2102" t="str">
            <v/>
          </cell>
          <cell r="K2102" t="str">
            <v/>
          </cell>
          <cell r="L2102" t="str">
            <v/>
          </cell>
          <cell r="M2102" t="str">
            <v/>
          </cell>
        </row>
        <row r="2103">
          <cell r="A2103">
            <v>31102192</v>
          </cell>
          <cell r="C2103">
            <v>31102192</v>
          </cell>
          <cell r="D2103">
            <v>31102192</v>
          </cell>
          <cell r="E2103">
            <v>31102192</v>
          </cell>
          <cell r="F2103">
            <v>31102192</v>
          </cell>
          <cell r="G2103">
            <v>31102192</v>
          </cell>
          <cell r="H2103">
            <v>31102192</v>
          </cell>
          <cell r="I2103" t="str">
            <v/>
          </cell>
          <cell r="J2103" t="str">
            <v/>
          </cell>
          <cell r="K2103" t="str">
            <v/>
          </cell>
          <cell r="L2103" t="str">
            <v/>
          </cell>
          <cell r="M2103" t="str">
            <v/>
          </cell>
        </row>
        <row r="2104">
          <cell r="A2104">
            <v>31102192</v>
          </cell>
          <cell r="C2104">
            <v>31102192</v>
          </cell>
          <cell r="D2104">
            <v>31102192</v>
          </cell>
          <cell r="E2104">
            <v>31102192</v>
          </cell>
          <cell r="F2104">
            <v>31102192</v>
          </cell>
          <cell r="G2104">
            <v>31102192</v>
          </cell>
          <cell r="H2104">
            <v>31102192</v>
          </cell>
          <cell r="I2104" t="str">
            <v/>
          </cell>
          <cell r="J2104" t="str">
            <v/>
          </cell>
          <cell r="K2104" t="str">
            <v/>
          </cell>
          <cell r="L2104" t="str">
            <v/>
          </cell>
          <cell r="M2104" t="str">
            <v/>
          </cell>
        </row>
        <row r="2105">
          <cell r="A2105">
            <v>31102192</v>
          </cell>
          <cell r="C2105">
            <v>31102192</v>
          </cell>
          <cell r="D2105">
            <v>31102192</v>
          </cell>
          <cell r="E2105">
            <v>31102192</v>
          </cell>
          <cell r="F2105">
            <v>31102192</v>
          </cell>
          <cell r="G2105">
            <v>31102192</v>
          </cell>
          <cell r="H2105">
            <v>31102192</v>
          </cell>
          <cell r="I2105" t="str">
            <v/>
          </cell>
          <cell r="J2105" t="str">
            <v/>
          </cell>
          <cell r="K2105" t="str">
            <v/>
          </cell>
          <cell r="L2105" t="str">
            <v/>
          </cell>
          <cell r="M2105" t="str">
            <v/>
          </cell>
        </row>
        <row r="2106">
          <cell r="A2106">
            <v>31102192</v>
          </cell>
          <cell r="C2106">
            <v>31102192</v>
          </cell>
          <cell r="D2106">
            <v>31102192</v>
          </cell>
          <cell r="E2106">
            <v>31102192</v>
          </cell>
          <cell r="F2106">
            <v>31102192</v>
          </cell>
          <cell r="G2106">
            <v>31102192</v>
          </cell>
          <cell r="H2106">
            <v>31102192</v>
          </cell>
          <cell r="I2106" t="str">
            <v/>
          </cell>
          <cell r="J2106" t="str">
            <v/>
          </cell>
          <cell r="K2106" t="str">
            <v/>
          </cell>
          <cell r="L2106" t="str">
            <v/>
          </cell>
          <cell r="M2106" t="str">
            <v/>
          </cell>
        </row>
        <row r="2107">
          <cell r="A2107">
            <v>31102192</v>
          </cell>
          <cell r="C2107">
            <v>31102192</v>
          </cell>
          <cell r="D2107">
            <v>31102192</v>
          </cell>
          <cell r="E2107">
            <v>31102192</v>
          </cell>
          <cell r="F2107">
            <v>31102192</v>
          </cell>
          <cell r="G2107">
            <v>31102192</v>
          </cell>
          <cell r="H2107">
            <v>31102192</v>
          </cell>
          <cell r="I2107" t="str">
            <v/>
          </cell>
          <cell r="J2107" t="str">
            <v/>
          </cell>
          <cell r="K2107" t="str">
            <v/>
          </cell>
          <cell r="L2107" t="str">
            <v/>
          </cell>
          <cell r="M2107" t="str">
            <v/>
          </cell>
        </row>
        <row r="2108">
          <cell r="A2108">
            <v>31102192</v>
          </cell>
          <cell r="C2108">
            <v>31102192</v>
          </cell>
          <cell r="D2108">
            <v>31102192</v>
          </cell>
          <cell r="E2108">
            <v>31102192</v>
          </cell>
          <cell r="F2108">
            <v>31102192</v>
          </cell>
          <cell r="G2108">
            <v>31102192</v>
          </cell>
          <cell r="H2108">
            <v>31102192</v>
          </cell>
          <cell r="I2108" t="str">
            <v/>
          </cell>
          <cell r="J2108" t="str">
            <v/>
          </cell>
          <cell r="K2108" t="str">
            <v/>
          </cell>
          <cell r="L2108" t="str">
            <v/>
          </cell>
          <cell r="M2108" t="str">
            <v/>
          </cell>
        </row>
        <row r="2109">
          <cell r="A2109">
            <v>31102192</v>
          </cell>
          <cell r="C2109">
            <v>31102192</v>
          </cell>
          <cell r="D2109">
            <v>31102192</v>
          </cell>
          <cell r="E2109">
            <v>31102192</v>
          </cell>
          <cell r="F2109">
            <v>31102192</v>
          </cell>
          <cell r="G2109">
            <v>31102192</v>
          </cell>
          <cell r="H2109">
            <v>31102192</v>
          </cell>
          <cell r="I2109" t="str">
            <v/>
          </cell>
          <cell r="J2109" t="str">
            <v/>
          </cell>
          <cell r="K2109" t="str">
            <v/>
          </cell>
          <cell r="L2109" t="str">
            <v/>
          </cell>
          <cell r="M2109" t="str">
            <v/>
          </cell>
        </row>
        <row r="2110">
          <cell r="A2110">
            <v>31102192</v>
          </cell>
          <cell r="C2110">
            <v>31102192</v>
          </cell>
          <cell r="D2110">
            <v>31102192</v>
          </cell>
          <cell r="E2110">
            <v>31102192</v>
          </cell>
          <cell r="F2110">
            <v>31102192</v>
          </cell>
          <cell r="G2110">
            <v>31102192</v>
          </cell>
          <cell r="H2110">
            <v>31102192</v>
          </cell>
          <cell r="I2110" t="str">
            <v/>
          </cell>
          <cell r="J2110" t="str">
            <v/>
          </cell>
          <cell r="K2110" t="str">
            <v/>
          </cell>
          <cell r="L2110" t="str">
            <v/>
          </cell>
          <cell r="M2110" t="str">
            <v/>
          </cell>
        </row>
        <row r="2111">
          <cell r="A2111">
            <v>31102192</v>
          </cell>
          <cell r="C2111">
            <v>31102192</v>
          </cell>
          <cell r="D2111">
            <v>31102192</v>
          </cell>
          <cell r="E2111">
            <v>31102192</v>
          </cell>
          <cell r="F2111">
            <v>31102192</v>
          </cell>
          <cell r="G2111">
            <v>31102192</v>
          </cell>
          <cell r="H2111">
            <v>31102192</v>
          </cell>
          <cell r="I2111" t="str">
            <v/>
          </cell>
          <cell r="J2111" t="str">
            <v/>
          </cell>
          <cell r="K2111" t="str">
            <v/>
          </cell>
          <cell r="L2111" t="str">
            <v/>
          </cell>
          <cell r="M2111" t="str">
            <v/>
          </cell>
        </row>
        <row r="2112">
          <cell r="A2112">
            <v>31102192</v>
          </cell>
          <cell r="C2112">
            <v>31102192</v>
          </cell>
          <cell r="D2112">
            <v>31102192</v>
          </cell>
          <cell r="E2112">
            <v>31102192</v>
          </cell>
          <cell r="F2112">
            <v>31102192</v>
          </cell>
          <cell r="G2112">
            <v>31102192</v>
          </cell>
          <cell r="H2112">
            <v>31102192</v>
          </cell>
          <cell r="I2112" t="str">
            <v/>
          </cell>
          <cell r="J2112" t="str">
            <v/>
          </cell>
          <cell r="K2112" t="str">
            <v/>
          </cell>
          <cell r="L2112" t="str">
            <v/>
          </cell>
          <cell r="M2112" t="str">
            <v/>
          </cell>
        </row>
        <row r="2113">
          <cell r="A2113">
            <v>31102192</v>
          </cell>
          <cell r="C2113">
            <v>31102192</v>
          </cell>
          <cell r="D2113">
            <v>31102192</v>
          </cell>
          <cell r="E2113">
            <v>31102192</v>
          </cell>
          <cell r="F2113">
            <v>31102192</v>
          </cell>
          <cell r="G2113">
            <v>31102192</v>
          </cell>
          <cell r="H2113">
            <v>31102192</v>
          </cell>
          <cell r="I2113" t="str">
            <v/>
          </cell>
          <cell r="J2113" t="str">
            <v/>
          </cell>
          <cell r="K2113" t="str">
            <v/>
          </cell>
          <cell r="L2113" t="str">
            <v/>
          </cell>
          <cell r="M2113" t="str">
            <v/>
          </cell>
        </row>
        <row r="2114">
          <cell r="A2114">
            <v>31102192</v>
          </cell>
          <cell r="C2114">
            <v>31102192</v>
          </cell>
          <cell r="D2114">
            <v>31102192</v>
          </cell>
          <cell r="E2114">
            <v>31102192</v>
          </cell>
          <cell r="F2114">
            <v>31102192</v>
          </cell>
          <cell r="G2114">
            <v>31102192</v>
          </cell>
          <cell r="H2114">
            <v>31102192</v>
          </cell>
          <cell r="I2114" t="str">
            <v/>
          </cell>
          <cell r="J2114" t="str">
            <v/>
          </cell>
          <cell r="K2114" t="str">
            <v/>
          </cell>
          <cell r="L2114" t="str">
            <v/>
          </cell>
          <cell r="M2114" t="str">
            <v/>
          </cell>
        </row>
        <row r="2115">
          <cell r="A2115">
            <v>31102192</v>
          </cell>
          <cell r="C2115">
            <v>31102192</v>
          </cell>
          <cell r="D2115">
            <v>31102192</v>
          </cell>
          <cell r="E2115">
            <v>31102192</v>
          </cell>
          <cell r="F2115">
            <v>31102192</v>
          </cell>
          <cell r="G2115">
            <v>31102192</v>
          </cell>
          <cell r="H2115">
            <v>31102192</v>
          </cell>
          <cell r="I2115" t="str">
            <v/>
          </cell>
          <cell r="J2115" t="str">
            <v/>
          </cell>
          <cell r="K2115" t="str">
            <v/>
          </cell>
          <cell r="L2115" t="str">
            <v/>
          </cell>
          <cell r="M2115" t="str">
            <v/>
          </cell>
        </row>
        <row r="2116">
          <cell r="A2116">
            <v>31102192</v>
          </cell>
          <cell r="C2116">
            <v>31102192</v>
          </cell>
          <cell r="D2116">
            <v>31102192</v>
          </cell>
          <cell r="E2116">
            <v>31102192</v>
          </cell>
          <cell r="F2116">
            <v>31102192</v>
          </cell>
          <cell r="G2116">
            <v>31102192</v>
          </cell>
          <cell r="H2116">
            <v>31102192</v>
          </cell>
          <cell r="I2116" t="str">
            <v/>
          </cell>
          <cell r="J2116" t="str">
            <v/>
          </cell>
          <cell r="K2116" t="str">
            <v/>
          </cell>
          <cell r="L2116" t="str">
            <v/>
          </cell>
          <cell r="M2116" t="str">
            <v/>
          </cell>
        </row>
        <row r="2117">
          <cell r="A2117">
            <v>31102192</v>
          </cell>
          <cell r="C2117">
            <v>31102192</v>
          </cell>
          <cell r="D2117">
            <v>31102192</v>
          </cell>
          <cell r="E2117">
            <v>31102192</v>
          </cell>
          <cell r="F2117">
            <v>31102192</v>
          </cell>
          <cell r="G2117">
            <v>31102192</v>
          </cell>
          <cell r="H2117">
            <v>31102192</v>
          </cell>
          <cell r="I2117" t="str">
            <v/>
          </cell>
          <cell r="J2117" t="str">
            <v/>
          </cell>
          <cell r="K2117" t="str">
            <v/>
          </cell>
          <cell r="L2117" t="str">
            <v/>
          </cell>
          <cell r="M2117" t="str">
            <v/>
          </cell>
        </row>
        <row r="2118">
          <cell r="A2118">
            <v>31102192</v>
          </cell>
          <cell r="C2118">
            <v>31102192</v>
          </cell>
          <cell r="D2118">
            <v>31102192</v>
          </cell>
          <cell r="E2118">
            <v>31102192</v>
          </cell>
          <cell r="F2118">
            <v>31102192</v>
          </cell>
          <cell r="G2118">
            <v>31102192</v>
          </cell>
          <cell r="H2118">
            <v>31102192</v>
          </cell>
          <cell r="I2118" t="str">
            <v/>
          </cell>
          <cell r="J2118" t="str">
            <v/>
          </cell>
          <cell r="K2118" t="str">
            <v/>
          </cell>
          <cell r="L2118" t="str">
            <v/>
          </cell>
          <cell r="M2118" t="str">
            <v/>
          </cell>
        </row>
        <row r="2119">
          <cell r="A2119">
            <v>31102192</v>
          </cell>
          <cell r="C2119">
            <v>31102192</v>
          </cell>
          <cell r="D2119">
            <v>31102192</v>
          </cell>
          <cell r="E2119">
            <v>31102192</v>
          </cell>
          <cell r="F2119">
            <v>31102192</v>
          </cell>
          <cell r="G2119">
            <v>31102192</v>
          </cell>
          <cell r="H2119">
            <v>31102192</v>
          </cell>
          <cell r="I2119" t="str">
            <v/>
          </cell>
          <cell r="J2119" t="str">
            <v/>
          </cell>
          <cell r="K2119" t="str">
            <v/>
          </cell>
          <cell r="L2119" t="str">
            <v/>
          </cell>
          <cell r="M2119" t="str">
            <v/>
          </cell>
        </row>
        <row r="2120">
          <cell r="A2120">
            <v>31102192</v>
          </cell>
          <cell r="C2120">
            <v>31102192</v>
          </cell>
          <cell r="D2120">
            <v>31102192</v>
          </cell>
          <cell r="E2120">
            <v>31102192</v>
          </cell>
          <cell r="F2120">
            <v>31102192</v>
          </cell>
          <cell r="G2120">
            <v>31102192</v>
          </cell>
          <cell r="H2120">
            <v>31102192</v>
          </cell>
          <cell r="I2120" t="str">
            <v/>
          </cell>
          <cell r="J2120" t="str">
            <v/>
          </cell>
          <cell r="K2120" t="str">
            <v/>
          </cell>
          <cell r="L2120" t="str">
            <v/>
          </cell>
          <cell r="M2120" t="str">
            <v/>
          </cell>
        </row>
        <row r="2121">
          <cell r="A2121">
            <v>31102192</v>
          </cell>
          <cell r="C2121">
            <v>31102192</v>
          </cell>
          <cell r="D2121">
            <v>31102192</v>
          </cell>
          <cell r="E2121">
            <v>31102192</v>
          </cell>
          <cell r="F2121">
            <v>31102192</v>
          </cell>
          <cell r="G2121">
            <v>31102192</v>
          </cell>
          <cell r="H2121">
            <v>31102192</v>
          </cell>
          <cell r="I2121" t="str">
            <v/>
          </cell>
          <cell r="J2121" t="str">
            <v/>
          </cell>
          <cell r="K2121" t="str">
            <v/>
          </cell>
          <cell r="L2121" t="str">
            <v/>
          </cell>
          <cell r="M2121" t="str">
            <v/>
          </cell>
        </row>
        <row r="2122">
          <cell r="A2122">
            <v>31102192</v>
          </cell>
          <cell r="C2122">
            <v>31102192</v>
          </cell>
          <cell r="D2122">
            <v>31102192</v>
          </cell>
          <cell r="E2122">
            <v>31102192</v>
          </cell>
          <cell r="F2122">
            <v>31102192</v>
          </cell>
          <cell r="G2122">
            <v>31102192</v>
          </cell>
          <cell r="H2122">
            <v>31102192</v>
          </cell>
          <cell r="I2122" t="str">
            <v/>
          </cell>
          <cell r="J2122" t="str">
            <v/>
          </cell>
          <cell r="K2122" t="str">
            <v/>
          </cell>
          <cell r="L2122" t="str">
            <v/>
          </cell>
          <cell r="M2122" t="str">
            <v/>
          </cell>
        </row>
        <row r="2123">
          <cell r="A2123">
            <v>31102192</v>
          </cell>
          <cell r="C2123">
            <v>31102192</v>
          </cell>
          <cell r="D2123">
            <v>31102192</v>
          </cell>
          <cell r="E2123">
            <v>31102192</v>
          </cell>
          <cell r="F2123">
            <v>31102192</v>
          </cell>
          <cell r="G2123">
            <v>31102192</v>
          </cell>
          <cell r="H2123">
            <v>31102192</v>
          </cell>
          <cell r="I2123" t="str">
            <v/>
          </cell>
          <cell r="J2123" t="str">
            <v/>
          </cell>
          <cell r="K2123" t="str">
            <v/>
          </cell>
          <cell r="L2123" t="str">
            <v/>
          </cell>
          <cell r="M2123" t="str">
            <v/>
          </cell>
        </row>
        <row r="2124">
          <cell r="A2124">
            <v>31102192</v>
          </cell>
          <cell r="C2124">
            <v>31102192</v>
          </cell>
          <cell r="D2124">
            <v>31102192</v>
          </cell>
          <cell r="E2124">
            <v>31102192</v>
          </cell>
          <cell r="F2124">
            <v>31102192</v>
          </cell>
          <cell r="G2124">
            <v>31102192</v>
          </cell>
          <cell r="H2124">
            <v>31102192</v>
          </cell>
          <cell r="I2124" t="str">
            <v/>
          </cell>
          <cell r="J2124" t="str">
            <v/>
          </cell>
          <cell r="K2124" t="str">
            <v/>
          </cell>
          <cell r="L2124" t="str">
            <v/>
          </cell>
          <cell r="M2124" t="str">
            <v/>
          </cell>
        </row>
        <row r="2125">
          <cell r="A2125">
            <v>31102192</v>
          </cell>
          <cell r="C2125">
            <v>31102192</v>
          </cell>
          <cell r="D2125">
            <v>31102192</v>
          </cell>
          <cell r="E2125">
            <v>31102192</v>
          </cell>
          <cell r="F2125">
            <v>31102192</v>
          </cell>
          <cell r="G2125">
            <v>31102192</v>
          </cell>
          <cell r="H2125">
            <v>31102192</v>
          </cell>
          <cell r="I2125" t="str">
            <v/>
          </cell>
          <cell r="J2125" t="str">
            <v/>
          </cell>
          <cell r="K2125" t="str">
            <v/>
          </cell>
          <cell r="L2125" t="str">
            <v/>
          </cell>
          <cell r="M2125" t="str">
            <v/>
          </cell>
        </row>
        <row r="2126">
          <cell r="A2126">
            <v>31102192</v>
          </cell>
          <cell r="C2126">
            <v>31102192</v>
          </cell>
          <cell r="D2126">
            <v>31102192</v>
          </cell>
          <cell r="E2126">
            <v>31102192</v>
          </cell>
          <cell r="F2126">
            <v>31102192</v>
          </cell>
          <cell r="G2126">
            <v>31102192</v>
          </cell>
          <cell r="H2126">
            <v>31102192</v>
          </cell>
          <cell r="I2126" t="str">
            <v/>
          </cell>
          <cell r="J2126" t="str">
            <v/>
          </cell>
          <cell r="K2126" t="str">
            <v/>
          </cell>
          <cell r="L2126" t="str">
            <v/>
          </cell>
          <cell r="M2126" t="str">
            <v/>
          </cell>
        </row>
        <row r="2127">
          <cell r="A2127">
            <v>31102192</v>
          </cell>
          <cell r="C2127">
            <v>31102192</v>
          </cell>
          <cell r="D2127">
            <v>31102192</v>
          </cell>
          <cell r="E2127">
            <v>31102192</v>
          </cell>
          <cell r="F2127">
            <v>31102192</v>
          </cell>
          <cell r="G2127">
            <v>31102192</v>
          </cell>
          <cell r="H2127">
            <v>31102192</v>
          </cell>
          <cell r="I2127" t="str">
            <v/>
          </cell>
          <cell r="J2127" t="str">
            <v/>
          </cell>
          <cell r="K2127" t="str">
            <v/>
          </cell>
          <cell r="L2127" t="str">
            <v/>
          </cell>
          <cell r="M2127" t="str">
            <v/>
          </cell>
        </row>
        <row r="2128">
          <cell r="A2128">
            <v>31102192</v>
          </cell>
          <cell r="C2128">
            <v>31102192</v>
          </cell>
          <cell r="D2128">
            <v>31102192</v>
          </cell>
          <cell r="E2128">
            <v>31102192</v>
          </cell>
          <cell r="F2128">
            <v>31102192</v>
          </cell>
          <cell r="G2128">
            <v>31102192</v>
          </cell>
          <cell r="H2128">
            <v>31102192</v>
          </cell>
          <cell r="I2128" t="str">
            <v/>
          </cell>
          <cell r="J2128" t="str">
            <v/>
          </cell>
          <cell r="K2128" t="str">
            <v/>
          </cell>
          <cell r="L2128" t="str">
            <v/>
          </cell>
          <cell r="M2128" t="str">
            <v/>
          </cell>
        </row>
        <row r="2129">
          <cell r="A2129">
            <v>31102192</v>
          </cell>
          <cell r="C2129">
            <v>31102192</v>
          </cell>
          <cell r="D2129">
            <v>31102192</v>
          </cell>
          <cell r="E2129">
            <v>31102192</v>
          </cell>
          <cell r="F2129">
            <v>31102192</v>
          </cell>
          <cell r="G2129">
            <v>31102192</v>
          </cell>
          <cell r="H2129">
            <v>31102192</v>
          </cell>
          <cell r="I2129" t="str">
            <v/>
          </cell>
          <cell r="J2129" t="str">
            <v/>
          </cell>
          <cell r="K2129" t="str">
            <v/>
          </cell>
          <cell r="L2129" t="str">
            <v/>
          </cell>
          <cell r="M2129" t="str">
            <v/>
          </cell>
        </row>
        <row r="2130">
          <cell r="A2130">
            <v>31102192</v>
          </cell>
          <cell r="C2130">
            <v>31102192</v>
          </cell>
          <cell r="D2130">
            <v>31102192</v>
          </cell>
          <cell r="E2130">
            <v>31102192</v>
          </cell>
          <cell r="F2130">
            <v>31102192</v>
          </cell>
          <cell r="G2130">
            <v>31102192</v>
          </cell>
          <cell r="H2130">
            <v>31102192</v>
          </cell>
          <cell r="I2130" t="str">
            <v/>
          </cell>
          <cell r="J2130" t="str">
            <v/>
          </cell>
          <cell r="K2130" t="str">
            <v/>
          </cell>
          <cell r="L2130" t="str">
            <v/>
          </cell>
          <cell r="M2130" t="str">
            <v/>
          </cell>
        </row>
        <row r="2131">
          <cell r="A2131">
            <v>31102192</v>
          </cell>
          <cell r="C2131">
            <v>31102192</v>
          </cell>
          <cell r="D2131">
            <v>31102192</v>
          </cell>
          <cell r="E2131">
            <v>31102192</v>
          </cell>
          <cell r="F2131">
            <v>31102192</v>
          </cell>
          <cell r="G2131">
            <v>31102192</v>
          </cell>
          <cell r="H2131">
            <v>31102192</v>
          </cell>
          <cell r="I2131" t="str">
            <v/>
          </cell>
          <cell r="J2131" t="str">
            <v/>
          </cell>
          <cell r="K2131" t="str">
            <v/>
          </cell>
          <cell r="L2131" t="str">
            <v/>
          </cell>
          <cell r="M2131" t="str">
            <v/>
          </cell>
        </row>
        <row r="2132">
          <cell r="A2132">
            <v>31102192</v>
          </cell>
          <cell r="C2132">
            <v>31102192</v>
          </cell>
          <cell r="D2132">
            <v>31102192</v>
          </cell>
          <cell r="E2132">
            <v>31102192</v>
          </cell>
          <cell r="F2132">
            <v>31102192</v>
          </cell>
          <cell r="G2132">
            <v>31102192</v>
          </cell>
          <cell r="H2132">
            <v>31102192</v>
          </cell>
          <cell r="I2132" t="str">
            <v/>
          </cell>
          <cell r="J2132" t="str">
            <v/>
          </cell>
          <cell r="K2132" t="str">
            <v/>
          </cell>
          <cell r="L2132" t="str">
            <v/>
          </cell>
          <cell r="M2132" t="str">
            <v/>
          </cell>
        </row>
        <row r="2133">
          <cell r="A2133">
            <v>31102192</v>
          </cell>
          <cell r="C2133">
            <v>31102192</v>
          </cell>
          <cell r="D2133">
            <v>31102192</v>
          </cell>
          <cell r="E2133">
            <v>31102192</v>
          </cell>
          <cell r="F2133">
            <v>31102192</v>
          </cell>
          <cell r="G2133">
            <v>31102192</v>
          </cell>
          <cell r="H2133">
            <v>31102192</v>
          </cell>
          <cell r="I2133" t="str">
            <v/>
          </cell>
          <cell r="J2133" t="str">
            <v/>
          </cell>
          <cell r="K2133" t="str">
            <v/>
          </cell>
          <cell r="L2133" t="str">
            <v/>
          </cell>
          <cell r="M2133" t="str">
            <v/>
          </cell>
        </row>
        <row r="2134">
          <cell r="A2134">
            <v>31102192</v>
          </cell>
          <cell r="C2134">
            <v>31102192</v>
          </cell>
          <cell r="D2134">
            <v>31102192</v>
          </cell>
          <cell r="E2134">
            <v>31102192</v>
          </cell>
          <cell r="F2134">
            <v>31102192</v>
          </cell>
          <cell r="G2134">
            <v>31102192</v>
          </cell>
          <cell r="H2134">
            <v>31102192</v>
          </cell>
          <cell r="I2134" t="str">
            <v/>
          </cell>
          <cell r="J2134" t="str">
            <v/>
          </cell>
          <cell r="K2134" t="str">
            <v/>
          </cell>
          <cell r="L2134" t="str">
            <v/>
          </cell>
          <cell r="M2134" t="str">
            <v/>
          </cell>
        </row>
        <row r="2135">
          <cell r="A2135">
            <v>31102192</v>
          </cell>
          <cell r="C2135">
            <v>31102192</v>
          </cell>
          <cell r="D2135">
            <v>31102192</v>
          </cell>
          <cell r="E2135">
            <v>31102192</v>
          </cell>
          <cell r="F2135">
            <v>31102192</v>
          </cell>
          <cell r="G2135">
            <v>31102192</v>
          </cell>
          <cell r="H2135">
            <v>31102192</v>
          </cell>
          <cell r="I2135" t="str">
            <v/>
          </cell>
          <cell r="J2135" t="str">
            <v/>
          </cell>
          <cell r="K2135" t="str">
            <v/>
          </cell>
          <cell r="L2135" t="str">
            <v/>
          </cell>
          <cell r="M2135" t="str">
            <v/>
          </cell>
        </row>
        <row r="2136">
          <cell r="A2136">
            <v>31102192</v>
          </cell>
          <cell r="C2136">
            <v>31102192</v>
          </cell>
          <cell r="D2136">
            <v>31102192</v>
          </cell>
          <cell r="E2136">
            <v>31102192</v>
          </cell>
          <cell r="F2136">
            <v>31102192</v>
          </cell>
          <cell r="G2136">
            <v>31102192</v>
          </cell>
          <cell r="H2136">
            <v>31102192</v>
          </cell>
          <cell r="I2136" t="str">
            <v/>
          </cell>
          <cell r="J2136" t="str">
            <v/>
          </cell>
          <cell r="K2136" t="str">
            <v/>
          </cell>
          <cell r="L2136" t="str">
            <v/>
          </cell>
          <cell r="M2136" t="str">
            <v/>
          </cell>
        </row>
        <row r="2137">
          <cell r="A2137">
            <v>31102192</v>
          </cell>
          <cell r="C2137">
            <v>31102192</v>
          </cell>
          <cell r="D2137">
            <v>31102192</v>
          </cell>
          <cell r="E2137">
            <v>31102192</v>
          </cell>
          <cell r="F2137">
            <v>31102192</v>
          </cell>
          <cell r="G2137">
            <v>31102192</v>
          </cell>
          <cell r="H2137">
            <v>31102192</v>
          </cell>
          <cell r="I2137" t="str">
            <v/>
          </cell>
          <cell r="J2137" t="str">
            <v/>
          </cell>
          <cell r="K2137" t="str">
            <v/>
          </cell>
          <cell r="L2137" t="str">
            <v/>
          </cell>
          <cell r="M2137" t="str">
            <v/>
          </cell>
        </row>
        <row r="2138">
          <cell r="A2138">
            <v>31102192</v>
          </cell>
          <cell r="C2138">
            <v>31102192</v>
          </cell>
          <cell r="D2138">
            <v>31102192</v>
          </cell>
          <cell r="E2138">
            <v>31102192</v>
          </cell>
          <cell r="F2138">
            <v>31102192</v>
          </cell>
          <cell r="G2138">
            <v>31102192</v>
          </cell>
          <cell r="H2138">
            <v>31102192</v>
          </cell>
          <cell r="I2138" t="str">
            <v/>
          </cell>
          <cell r="J2138" t="str">
            <v/>
          </cell>
          <cell r="K2138" t="str">
            <v/>
          </cell>
          <cell r="L2138" t="str">
            <v/>
          </cell>
          <cell r="M2138" t="str">
            <v/>
          </cell>
        </row>
        <row r="2139">
          <cell r="A2139">
            <v>31102192</v>
          </cell>
          <cell r="C2139">
            <v>31102192</v>
          </cell>
          <cell r="D2139">
            <v>31102192</v>
          </cell>
          <cell r="E2139">
            <v>31102192</v>
          </cell>
          <cell r="F2139">
            <v>31102192</v>
          </cell>
          <cell r="G2139">
            <v>31102192</v>
          </cell>
          <cell r="H2139">
            <v>31102192</v>
          </cell>
          <cell r="I2139" t="str">
            <v/>
          </cell>
          <cell r="J2139" t="str">
            <v/>
          </cell>
          <cell r="K2139" t="str">
            <v/>
          </cell>
          <cell r="L2139" t="str">
            <v/>
          </cell>
          <cell r="M2139" t="str">
            <v/>
          </cell>
        </row>
        <row r="2140">
          <cell r="A2140">
            <v>31102192</v>
          </cell>
          <cell r="C2140">
            <v>31102192</v>
          </cell>
          <cell r="D2140">
            <v>31102192</v>
          </cell>
          <cell r="E2140">
            <v>31102192</v>
          </cell>
          <cell r="F2140">
            <v>31102192</v>
          </cell>
          <cell r="G2140">
            <v>31102192</v>
          </cell>
          <cell r="H2140">
            <v>31102192</v>
          </cell>
          <cell r="I2140" t="str">
            <v/>
          </cell>
          <cell r="J2140" t="str">
            <v/>
          </cell>
          <cell r="K2140" t="str">
            <v/>
          </cell>
          <cell r="L2140" t="str">
            <v/>
          </cell>
          <cell r="M2140" t="str">
            <v/>
          </cell>
        </row>
        <row r="2141">
          <cell r="A2141">
            <v>31102192</v>
          </cell>
          <cell r="C2141">
            <v>31102192</v>
          </cell>
          <cell r="D2141">
            <v>31102192</v>
          </cell>
          <cell r="E2141">
            <v>31102192</v>
          </cell>
          <cell r="F2141">
            <v>31102192</v>
          </cell>
          <cell r="G2141">
            <v>31102192</v>
          </cell>
          <cell r="H2141">
            <v>31102192</v>
          </cell>
          <cell r="I2141" t="str">
            <v/>
          </cell>
          <cell r="J2141" t="str">
            <v/>
          </cell>
          <cell r="K2141" t="str">
            <v/>
          </cell>
          <cell r="L2141" t="str">
            <v/>
          </cell>
          <cell r="M2141" t="str">
            <v/>
          </cell>
        </row>
        <row r="2142">
          <cell r="A2142">
            <v>31102192</v>
          </cell>
          <cell r="C2142">
            <v>31102192</v>
          </cell>
          <cell r="D2142">
            <v>31102192</v>
          </cell>
          <cell r="E2142">
            <v>31102192</v>
          </cell>
          <cell r="F2142">
            <v>31102192</v>
          </cell>
          <cell r="G2142">
            <v>31102192</v>
          </cell>
          <cell r="H2142">
            <v>31102192</v>
          </cell>
          <cell r="I2142" t="str">
            <v/>
          </cell>
          <cell r="J2142" t="str">
            <v/>
          </cell>
          <cell r="K2142" t="str">
            <v/>
          </cell>
          <cell r="L2142" t="str">
            <v/>
          </cell>
          <cell r="M2142" t="str">
            <v/>
          </cell>
        </row>
        <row r="2143">
          <cell r="A2143">
            <v>31102192</v>
          </cell>
          <cell r="C2143">
            <v>31102192</v>
          </cell>
          <cell r="D2143">
            <v>31102192</v>
          </cell>
          <cell r="E2143">
            <v>31102192</v>
          </cell>
          <cell r="F2143">
            <v>31102192</v>
          </cell>
          <cell r="G2143">
            <v>31102192</v>
          </cell>
          <cell r="H2143">
            <v>31102192</v>
          </cell>
          <cell r="I2143" t="str">
            <v/>
          </cell>
          <cell r="J2143" t="str">
            <v/>
          </cell>
          <cell r="K2143" t="str">
            <v/>
          </cell>
          <cell r="L2143" t="str">
            <v/>
          </cell>
          <cell r="M2143" t="str">
            <v/>
          </cell>
        </row>
        <row r="2144">
          <cell r="A2144">
            <v>31102192</v>
          </cell>
          <cell r="C2144">
            <v>31102192</v>
          </cell>
          <cell r="D2144">
            <v>31102192</v>
          </cell>
          <cell r="E2144">
            <v>31102192</v>
          </cell>
          <cell r="F2144">
            <v>31102192</v>
          </cell>
          <cell r="G2144">
            <v>31102192</v>
          </cell>
          <cell r="H2144">
            <v>31102192</v>
          </cell>
          <cell r="I2144" t="str">
            <v/>
          </cell>
          <cell r="J2144" t="str">
            <v/>
          </cell>
          <cell r="K2144" t="str">
            <v/>
          </cell>
          <cell r="L2144" t="str">
            <v/>
          </cell>
          <cell r="M2144" t="str">
            <v/>
          </cell>
        </row>
        <row r="2145">
          <cell r="A2145">
            <v>31102192</v>
          </cell>
          <cell r="C2145">
            <v>31102192</v>
          </cell>
          <cell r="D2145">
            <v>31102192</v>
          </cell>
          <cell r="E2145">
            <v>31102192</v>
          </cell>
          <cell r="F2145">
            <v>31102192</v>
          </cell>
          <cell r="G2145">
            <v>31102192</v>
          </cell>
          <cell r="H2145">
            <v>31102192</v>
          </cell>
          <cell r="I2145" t="str">
            <v/>
          </cell>
          <cell r="J2145" t="str">
            <v/>
          </cell>
          <cell r="K2145" t="str">
            <v/>
          </cell>
          <cell r="L2145" t="str">
            <v/>
          </cell>
          <cell r="M2145" t="str">
            <v/>
          </cell>
        </row>
        <row r="2146">
          <cell r="A2146">
            <v>31102192</v>
          </cell>
          <cell r="C2146">
            <v>31102192</v>
          </cell>
          <cell r="D2146">
            <v>31102192</v>
          </cell>
          <cell r="E2146">
            <v>31102192</v>
          </cell>
          <cell r="F2146">
            <v>31102192</v>
          </cell>
          <cell r="G2146">
            <v>31102192</v>
          </cell>
          <cell r="H2146">
            <v>31102192</v>
          </cell>
          <cell r="I2146" t="str">
            <v/>
          </cell>
          <cell r="J2146" t="str">
            <v/>
          </cell>
          <cell r="K2146" t="str">
            <v/>
          </cell>
          <cell r="L2146" t="str">
            <v/>
          </cell>
          <cell r="M2146" t="str">
            <v/>
          </cell>
        </row>
        <row r="2147">
          <cell r="A2147">
            <v>31102192</v>
          </cell>
          <cell r="C2147">
            <v>31102192</v>
          </cell>
          <cell r="D2147">
            <v>31102192</v>
          </cell>
          <cell r="E2147">
            <v>31102192</v>
          </cell>
          <cell r="F2147">
            <v>31102192</v>
          </cell>
          <cell r="G2147">
            <v>31102192</v>
          </cell>
          <cell r="H2147">
            <v>31102192</v>
          </cell>
          <cell r="I2147" t="str">
            <v/>
          </cell>
          <cell r="J2147" t="str">
            <v/>
          </cell>
          <cell r="K2147" t="str">
            <v/>
          </cell>
          <cell r="L2147" t="str">
            <v/>
          </cell>
          <cell r="M2147" t="str">
            <v/>
          </cell>
        </row>
        <row r="2148">
          <cell r="A2148">
            <v>31102192</v>
          </cell>
          <cell r="C2148">
            <v>31102192</v>
          </cell>
          <cell r="D2148">
            <v>31102192</v>
          </cell>
          <cell r="E2148">
            <v>31102192</v>
          </cell>
          <cell r="F2148">
            <v>31102192</v>
          </cell>
          <cell r="G2148">
            <v>31102192</v>
          </cell>
          <cell r="H2148">
            <v>31102192</v>
          </cell>
          <cell r="I2148" t="str">
            <v/>
          </cell>
          <cell r="J2148" t="str">
            <v/>
          </cell>
          <cell r="K2148" t="str">
            <v/>
          </cell>
          <cell r="L2148" t="str">
            <v/>
          </cell>
          <cell r="M2148" t="str">
            <v/>
          </cell>
        </row>
        <row r="2149">
          <cell r="A2149">
            <v>31102192</v>
          </cell>
          <cell r="C2149">
            <v>31102192</v>
          </cell>
          <cell r="D2149">
            <v>31102192</v>
          </cell>
          <cell r="E2149">
            <v>31102192</v>
          </cell>
          <cell r="F2149">
            <v>31102192</v>
          </cell>
          <cell r="G2149">
            <v>31102192</v>
          </cell>
          <cell r="H2149">
            <v>31102192</v>
          </cell>
          <cell r="I2149" t="str">
            <v/>
          </cell>
          <cell r="J2149" t="str">
            <v/>
          </cell>
          <cell r="K2149" t="str">
            <v/>
          </cell>
          <cell r="L2149" t="str">
            <v/>
          </cell>
          <cell r="M2149" t="str">
            <v/>
          </cell>
        </row>
        <row r="2150">
          <cell r="A2150">
            <v>31102192</v>
          </cell>
          <cell r="C2150">
            <v>31102192</v>
          </cell>
          <cell r="D2150">
            <v>31102192</v>
          </cell>
          <cell r="E2150">
            <v>31102192</v>
          </cell>
          <cell r="F2150">
            <v>31102192</v>
          </cell>
          <cell r="G2150">
            <v>31102192</v>
          </cell>
          <cell r="H2150">
            <v>31102192</v>
          </cell>
          <cell r="I2150" t="str">
            <v/>
          </cell>
          <cell r="J2150" t="str">
            <v/>
          </cell>
          <cell r="K2150" t="str">
            <v/>
          </cell>
          <cell r="L2150" t="str">
            <v/>
          </cell>
          <cell r="M2150" t="str">
            <v/>
          </cell>
        </row>
        <row r="2151">
          <cell r="A2151">
            <v>31102192</v>
          </cell>
          <cell r="C2151">
            <v>31102192</v>
          </cell>
          <cell r="D2151">
            <v>31102192</v>
          </cell>
          <cell r="E2151">
            <v>31102192</v>
          </cell>
          <cell r="F2151">
            <v>31102192</v>
          </cell>
          <cell r="G2151">
            <v>31102192</v>
          </cell>
          <cell r="H2151">
            <v>31102192</v>
          </cell>
          <cell r="I2151" t="str">
            <v/>
          </cell>
          <cell r="J2151" t="str">
            <v/>
          </cell>
          <cell r="K2151" t="str">
            <v/>
          </cell>
          <cell r="L2151" t="str">
            <v/>
          </cell>
          <cell r="M2151" t="str">
            <v/>
          </cell>
        </row>
        <row r="2152">
          <cell r="A2152">
            <v>31102192</v>
          </cell>
          <cell r="C2152">
            <v>31102192</v>
          </cell>
          <cell r="D2152">
            <v>31102192</v>
          </cell>
          <cell r="E2152">
            <v>31102192</v>
          </cell>
          <cell r="F2152">
            <v>31102192</v>
          </cell>
          <cell r="G2152">
            <v>31102192</v>
          </cell>
          <cell r="H2152">
            <v>31102192</v>
          </cell>
          <cell r="I2152" t="str">
            <v/>
          </cell>
          <cell r="J2152" t="str">
            <v/>
          </cell>
          <cell r="K2152" t="str">
            <v/>
          </cell>
          <cell r="L2152" t="str">
            <v/>
          </cell>
          <cell r="M2152" t="str">
            <v/>
          </cell>
        </row>
        <row r="2153">
          <cell r="A2153">
            <v>31102192</v>
          </cell>
          <cell r="C2153">
            <v>31102192</v>
          </cell>
          <cell r="D2153">
            <v>31102192</v>
          </cell>
          <cell r="E2153">
            <v>31102192</v>
          </cell>
          <cell r="F2153">
            <v>31102192</v>
          </cell>
          <cell r="G2153">
            <v>31102192</v>
          </cell>
          <cell r="H2153">
            <v>31102192</v>
          </cell>
          <cell r="I2153" t="str">
            <v/>
          </cell>
          <cell r="J2153" t="str">
            <v/>
          </cell>
          <cell r="K2153" t="str">
            <v/>
          </cell>
          <cell r="L2153" t="str">
            <v/>
          </cell>
          <cell r="M2153" t="str">
            <v/>
          </cell>
        </row>
        <row r="2154">
          <cell r="A2154">
            <v>31102192</v>
          </cell>
          <cell r="C2154">
            <v>31102192</v>
          </cell>
          <cell r="D2154">
            <v>31102192</v>
          </cell>
          <cell r="E2154">
            <v>31102192</v>
          </cell>
          <cell r="F2154">
            <v>31102192</v>
          </cell>
          <cell r="G2154">
            <v>31102192</v>
          </cell>
          <cell r="H2154">
            <v>31102192</v>
          </cell>
          <cell r="I2154" t="str">
            <v/>
          </cell>
          <cell r="J2154" t="str">
            <v/>
          </cell>
          <cell r="K2154" t="str">
            <v/>
          </cell>
          <cell r="L2154" t="str">
            <v/>
          </cell>
          <cell r="M2154" t="str">
            <v/>
          </cell>
        </row>
        <row r="2155">
          <cell r="A2155">
            <v>31102192</v>
          </cell>
          <cell r="C2155">
            <v>31102192</v>
          </cell>
          <cell r="D2155">
            <v>31102192</v>
          </cell>
          <cell r="E2155">
            <v>31102192</v>
          </cell>
          <cell r="F2155">
            <v>31102192</v>
          </cell>
          <cell r="G2155">
            <v>31102192</v>
          </cell>
          <cell r="H2155">
            <v>31102192</v>
          </cell>
          <cell r="I2155" t="str">
            <v/>
          </cell>
          <cell r="J2155" t="str">
            <v/>
          </cell>
          <cell r="K2155" t="str">
            <v/>
          </cell>
          <cell r="L2155" t="str">
            <v/>
          </cell>
          <cell r="M2155" t="str">
            <v/>
          </cell>
        </row>
        <row r="2156">
          <cell r="A2156">
            <v>31102192</v>
          </cell>
          <cell r="C2156">
            <v>31102192</v>
          </cell>
          <cell r="D2156">
            <v>31102192</v>
          </cell>
          <cell r="E2156">
            <v>31102192</v>
          </cell>
          <cell r="F2156">
            <v>31102192</v>
          </cell>
          <cell r="G2156">
            <v>31102192</v>
          </cell>
          <cell r="H2156">
            <v>31102192</v>
          </cell>
          <cell r="I2156" t="str">
            <v/>
          </cell>
          <cell r="J2156" t="str">
            <v/>
          </cell>
          <cell r="K2156" t="str">
            <v/>
          </cell>
          <cell r="L2156" t="str">
            <v/>
          </cell>
          <cell r="M2156" t="str">
            <v/>
          </cell>
        </row>
        <row r="2157">
          <cell r="A2157">
            <v>31102192</v>
          </cell>
          <cell r="C2157">
            <v>31102192</v>
          </cell>
          <cell r="D2157">
            <v>31102192</v>
          </cell>
          <cell r="E2157">
            <v>31102192</v>
          </cell>
          <cell r="F2157">
            <v>31102192</v>
          </cell>
          <cell r="G2157">
            <v>31102192</v>
          </cell>
          <cell r="H2157">
            <v>31102192</v>
          </cell>
          <cell r="I2157" t="str">
            <v/>
          </cell>
          <cell r="J2157" t="str">
            <v/>
          </cell>
          <cell r="K2157" t="str">
            <v/>
          </cell>
          <cell r="L2157" t="str">
            <v/>
          </cell>
          <cell r="M2157" t="str">
            <v/>
          </cell>
        </row>
        <row r="2158">
          <cell r="A2158">
            <v>31102192</v>
          </cell>
          <cell r="C2158">
            <v>31102192</v>
          </cell>
          <cell r="D2158">
            <v>31102192</v>
          </cell>
          <cell r="E2158">
            <v>31102192</v>
          </cell>
          <cell r="F2158">
            <v>31102192</v>
          </cell>
          <cell r="G2158">
            <v>31102192</v>
          </cell>
          <cell r="H2158">
            <v>31102192</v>
          </cell>
          <cell r="I2158" t="str">
            <v/>
          </cell>
          <cell r="J2158" t="str">
            <v/>
          </cell>
          <cell r="K2158" t="str">
            <v/>
          </cell>
          <cell r="L2158" t="str">
            <v/>
          </cell>
          <cell r="M2158" t="str">
            <v/>
          </cell>
        </row>
        <row r="2159">
          <cell r="A2159">
            <v>31102192</v>
          </cell>
          <cell r="C2159">
            <v>31102192</v>
          </cell>
          <cell r="D2159">
            <v>31102192</v>
          </cell>
          <cell r="E2159">
            <v>31102192</v>
          </cell>
          <cell r="F2159">
            <v>31102192</v>
          </cell>
          <cell r="G2159">
            <v>31102192</v>
          </cell>
          <cell r="H2159">
            <v>31102192</v>
          </cell>
          <cell r="I2159" t="str">
            <v/>
          </cell>
          <cell r="J2159" t="str">
            <v/>
          </cell>
          <cell r="K2159" t="str">
            <v/>
          </cell>
          <cell r="L2159" t="str">
            <v/>
          </cell>
          <cell r="M2159" t="str">
            <v/>
          </cell>
        </row>
        <row r="2160">
          <cell r="A2160">
            <v>31102192</v>
          </cell>
          <cell r="C2160">
            <v>31102192</v>
          </cell>
          <cell r="D2160">
            <v>31102192</v>
          </cell>
          <cell r="E2160">
            <v>31102192</v>
          </cell>
          <cell r="F2160">
            <v>31102192</v>
          </cell>
          <cell r="G2160">
            <v>31102192</v>
          </cell>
          <cell r="H2160">
            <v>31102192</v>
          </cell>
          <cell r="I2160" t="str">
            <v/>
          </cell>
          <cell r="J2160" t="str">
            <v/>
          </cell>
          <cell r="K2160" t="str">
            <v/>
          </cell>
          <cell r="L2160" t="str">
            <v/>
          </cell>
          <cell r="M2160" t="str">
            <v/>
          </cell>
        </row>
        <row r="2161">
          <cell r="A2161">
            <v>31102192</v>
          </cell>
          <cell r="C2161">
            <v>31102192</v>
          </cell>
          <cell r="D2161">
            <v>31102192</v>
          </cell>
          <cell r="E2161">
            <v>31102192</v>
          </cell>
          <cell r="F2161">
            <v>31102192</v>
          </cell>
          <cell r="G2161">
            <v>31102192</v>
          </cell>
          <cell r="H2161">
            <v>31102192</v>
          </cell>
          <cell r="I2161" t="str">
            <v/>
          </cell>
          <cell r="J2161" t="str">
            <v/>
          </cell>
          <cell r="K2161" t="str">
            <v/>
          </cell>
          <cell r="L2161" t="str">
            <v/>
          </cell>
          <cell r="M2161" t="str">
            <v/>
          </cell>
        </row>
        <row r="2162">
          <cell r="A2162">
            <v>31102192</v>
          </cell>
          <cell r="C2162">
            <v>31102192</v>
          </cell>
          <cell r="D2162">
            <v>31102192</v>
          </cell>
          <cell r="E2162">
            <v>31102192</v>
          </cell>
          <cell r="F2162">
            <v>31102192</v>
          </cell>
          <cell r="G2162">
            <v>31102192</v>
          </cell>
          <cell r="H2162">
            <v>31102192</v>
          </cell>
          <cell r="I2162" t="str">
            <v/>
          </cell>
          <cell r="J2162" t="str">
            <v/>
          </cell>
          <cell r="K2162" t="str">
            <v/>
          </cell>
          <cell r="L2162" t="str">
            <v/>
          </cell>
          <cell r="M2162" t="str">
            <v/>
          </cell>
        </row>
        <row r="2163">
          <cell r="A2163">
            <v>31102192</v>
          </cell>
          <cell r="C2163">
            <v>31102192</v>
          </cell>
          <cell r="D2163">
            <v>31102192</v>
          </cell>
          <cell r="E2163">
            <v>31102192</v>
          </cell>
          <cell r="F2163">
            <v>31102192</v>
          </cell>
          <cell r="G2163">
            <v>31102192</v>
          </cell>
          <cell r="H2163">
            <v>31102192</v>
          </cell>
          <cell r="I2163" t="str">
            <v/>
          </cell>
          <cell r="J2163" t="str">
            <v/>
          </cell>
          <cell r="K2163" t="str">
            <v/>
          </cell>
          <cell r="L2163" t="str">
            <v/>
          </cell>
          <cell r="M2163" t="str">
            <v/>
          </cell>
        </row>
        <row r="2164">
          <cell r="A2164">
            <v>31102192</v>
          </cell>
          <cell r="C2164">
            <v>31102192</v>
          </cell>
          <cell r="D2164">
            <v>31102192</v>
          </cell>
          <cell r="E2164">
            <v>31102192</v>
          </cell>
          <cell r="F2164">
            <v>31102192</v>
          </cell>
          <cell r="G2164">
            <v>31102192</v>
          </cell>
          <cell r="H2164">
            <v>31102192</v>
          </cell>
          <cell r="I2164" t="str">
            <v/>
          </cell>
          <cell r="J2164" t="str">
            <v/>
          </cell>
          <cell r="K2164" t="str">
            <v/>
          </cell>
          <cell r="L2164" t="str">
            <v/>
          </cell>
          <cell r="M2164" t="str">
            <v/>
          </cell>
        </row>
        <row r="2165">
          <cell r="A2165">
            <v>31102192</v>
          </cell>
          <cell r="C2165">
            <v>31102192</v>
          </cell>
          <cell r="D2165">
            <v>31102192</v>
          </cell>
          <cell r="E2165">
            <v>31102192</v>
          </cell>
          <cell r="F2165">
            <v>31102192</v>
          </cell>
          <cell r="G2165">
            <v>31102192</v>
          </cell>
          <cell r="H2165">
            <v>31102192</v>
          </cell>
          <cell r="I2165" t="str">
            <v/>
          </cell>
          <cell r="J2165" t="str">
            <v/>
          </cell>
          <cell r="K2165" t="str">
            <v/>
          </cell>
          <cell r="L2165" t="str">
            <v/>
          </cell>
          <cell r="M2165" t="str">
            <v/>
          </cell>
        </row>
        <row r="2166">
          <cell r="A2166">
            <v>31102192</v>
          </cell>
          <cell r="C2166">
            <v>31102192</v>
          </cell>
          <cell r="D2166">
            <v>31102192</v>
          </cell>
          <cell r="E2166">
            <v>31102192</v>
          </cell>
          <cell r="F2166">
            <v>31102192</v>
          </cell>
          <cell r="G2166">
            <v>31102192</v>
          </cell>
          <cell r="H2166">
            <v>31102192</v>
          </cell>
          <cell r="I2166" t="str">
            <v/>
          </cell>
          <cell r="J2166" t="str">
            <v/>
          </cell>
          <cell r="K2166" t="str">
            <v/>
          </cell>
          <cell r="L2166" t="str">
            <v/>
          </cell>
          <cell r="M2166" t="str">
            <v/>
          </cell>
        </row>
        <row r="2167">
          <cell r="A2167">
            <v>31102192</v>
          </cell>
          <cell r="C2167">
            <v>31102192</v>
          </cell>
          <cell r="D2167">
            <v>31102192</v>
          </cell>
          <cell r="E2167">
            <v>31102192</v>
          </cell>
          <cell r="F2167">
            <v>31102192</v>
          </cell>
          <cell r="G2167">
            <v>31102192</v>
          </cell>
          <cell r="H2167">
            <v>31102192</v>
          </cell>
          <cell r="I2167" t="str">
            <v/>
          </cell>
          <cell r="J2167" t="str">
            <v/>
          </cell>
          <cell r="K2167" t="str">
            <v/>
          </cell>
          <cell r="L2167" t="str">
            <v/>
          </cell>
          <cell r="M2167" t="str">
            <v/>
          </cell>
        </row>
        <row r="2168">
          <cell r="A2168">
            <v>31102192</v>
          </cell>
          <cell r="C2168">
            <v>31102192</v>
          </cell>
          <cell r="D2168">
            <v>31102192</v>
          </cell>
          <cell r="E2168">
            <v>31102192</v>
          </cell>
          <cell r="F2168">
            <v>31102192</v>
          </cell>
          <cell r="G2168">
            <v>31102192</v>
          </cell>
          <cell r="H2168">
            <v>31102192</v>
          </cell>
          <cell r="I2168" t="str">
            <v/>
          </cell>
          <cell r="J2168" t="str">
            <v/>
          </cell>
          <cell r="K2168" t="str">
            <v/>
          </cell>
          <cell r="L2168" t="str">
            <v/>
          </cell>
          <cell r="M2168" t="str">
            <v/>
          </cell>
        </row>
        <row r="2169">
          <cell r="A2169">
            <v>31102192</v>
          </cell>
          <cell r="C2169">
            <v>31102192</v>
          </cell>
          <cell r="D2169">
            <v>31102192</v>
          </cell>
          <cell r="E2169">
            <v>31102192</v>
          </cell>
          <cell r="F2169">
            <v>31102192</v>
          </cell>
          <cell r="G2169">
            <v>31102192</v>
          </cell>
          <cell r="H2169">
            <v>31102192</v>
          </cell>
          <cell r="I2169" t="str">
            <v/>
          </cell>
          <cell r="J2169" t="str">
            <v/>
          </cell>
          <cell r="K2169" t="str">
            <v/>
          </cell>
          <cell r="L2169" t="str">
            <v/>
          </cell>
          <cell r="M2169" t="str">
            <v/>
          </cell>
        </row>
        <row r="2170">
          <cell r="A2170">
            <v>31102192</v>
          </cell>
          <cell r="C2170">
            <v>31102192</v>
          </cell>
          <cell r="D2170">
            <v>31102192</v>
          </cell>
          <cell r="E2170">
            <v>31102192</v>
          </cell>
          <cell r="F2170">
            <v>31102192</v>
          </cell>
          <cell r="G2170">
            <v>31102192</v>
          </cell>
          <cell r="H2170">
            <v>31102192</v>
          </cell>
          <cell r="I2170" t="str">
            <v/>
          </cell>
          <cell r="J2170" t="str">
            <v/>
          </cell>
          <cell r="K2170" t="str">
            <v/>
          </cell>
          <cell r="L2170" t="str">
            <v/>
          </cell>
          <cell r="M2170" t="str">
            <v/>
          </cell>
        </row>
        <row r="2171">
          <cell r="A2171">
            <v>31102192</v>
          </cell>
          <cell r="C2171">
            <v>31102192</v>
          </cell>
          <cell r="D2171">
            <v>31102192</v>
          </cell>
          <cell r="E2171">
            <v>31102192</v>
          </cell>
          <cell r="F2171">
            <v>31102192</v>
          </cell>
          <cell r="G2171">
            <v>31102192</v>
          </cell>
          <cell r="H2171">
            <v>31102192</v>
          </cell>
          <cell r="I2171" t="str">
            <v/>
          </cell>
          <cell r="J2171" t="str">
            <v/>
          </cell>
          <cell r="K2171" t="str">
            <v/>
          </cell>
          <cell r="L2171" t="str">
            <v/>
          </cell>
          <cell r="M2171" t="str">
            <v/>
          </cell>
        </row>
        <row r="2172">
          <cell r="A2172">
            <v>31102192</v>
          </cell>
          <cell r="C2172">
            <v>31102192</v>
          </cell>
          <cell r="D2172">
            <v>31102192</v>
          </cell>
          <cell r="E2172">
            <v>31102192</v>
          </cell>
          <cell r="F2172">
            <v>31102192</v>
          </cell>
          <cell r="G2172">
            <v>31102192</v>
          </cell>
          <cell r="H2172">
            <v>31102192</v>
          </cell>
          <cell r="I2172" t="str">
            <v/>
          </cell>
          <cell r="J2172" t="str">
            <v/>
          </cell>
          <cell r="K2172" t="str">
            <v/>
          </cell>
          <cell r="L2172" t="str">
            <v/>
          </cell>
          <cell r="M2172" t="str">
            <v/>
          </cell>
        </row>
        <row r="2173">
          <cell r="A2173">
            <v>31102192</v>
          </cell>
          <cell r="C2173">
            <v>31102192</v>
          </cell>
          <cell r="D2173">
            <v>31102192</v>
          </cell>
          <cell r="E2173">
            <v>31102192</v>
          </cell>
          <cell r="F2173">
            <v>31102192</v>
          </cell>
          <cell r="G2173">
            <v>31102192</v>
          </cell>
          <cell r="H2173">
            <v>31102192</v>
          </cell>
          <cell r="I2173" t="str">
            <v/>
          </cell>
          <cell r="J2173" t="str">
            <v/>
          </cell>
          <cell r="K2173" t="str">
            <v/>
          </cell>
          <cell r="L2173" t="str">
            <v/>
          </cell>
          <cell r="M2173" t="str">
            <v/>
          </cell>
        </row>
        <row r="2174">
          <cell r="A2174">
            <v>31102192</v>
          </cell>
          <cell r="C2174">
            <v>31102192</v>
          </cell>
          <cell r="D2174">
            <v>31102192</v>
          </cell>
          <cell r="E2174">
            <v>31102192</v>
          </cell>
          <cell r="F2174">
            <v>31102192</v>
          </cell>
          <cell r="G2174">
            <v>31102192</v>
          </cell>
          <cell r="H2174">
            <v>31102192</v>
          </cell>
          <cell r="I2174" t="str">
            <v/>
          </cell>
          <cell r="J2174" t="str">
            <v/>
          </cell>
          <cell r="K2174" t="str">
            <v/>
          </cell>
          <cell r="L2174" t="str">
            <v/>
          </cell>
          <cell r="M2174" t="str">
            <v/>
          </cell>
        </row>
        <row r="2175">
          <cell r="A2175">
            <v>31102192</v>
          </cell>
          <cell r="C2175">
            <v>31102192</v>
          </cell>
          <cell r="D2175">
            <v>31102192</v>
          </cell>
          <cell r="E2175">
            <v>31102192</v>
          </cell>
          <cell r="F2175">
            <v>31102192</v>
          </cell>
          <cell r="G2175">
            <v>31102192</v>
          </cell>
          <cell r="H2175">
            <v>31102192</v>
          </cell>
          <cell r="I2175" t="str">
            <v/>
          </cell>
          <cell r="J2175" t="str">
            <v/>
          </cell>
          <cell r="K2175" t="str">
            <v/>
          </cell>
          <cell r="L2175" t="str">
            <v/>
          </cell>
          <cell r="M2175" t="str">
            <v/>
          </cell>
        </row>
        <row r="2176">
          <cell r="A2176">
            <v>31102192</v>
          </cell>
          <cell r="C2176">
            <v>31102192</v>
          </cell>
          <cell r="D2176">
            <v>31102192</v>
          </cell>
          <cell r="E2176">
            <v>31102192</v>
          </cell>
          <cell r="F2176">
            <v>31102192</v>
          </cell>
          <cell r="G2176">
            <v>31102192</v>
          </cell>
          <cell r="H2176">
            <v>31102192</v>
          </cell>
          <cell r="I2176" t="str">
            <v/>
          </cell>
          <cell r="J2176" t="str">
            <v/>
          </cell>
          <cell r="K2176" t="str">
            <v/>
          </cell>
          <cell r="L2176" t="str">
            <v/>
          </cell>
          <cell r="M2176" t="str">
            <v/>
          </cell>
        </row>
        <row r="2177">
          <cell r="A2177">
            <v>31102192</v>
          </cell>
          <cell r="C2177">
            <v>31102192</v>
          </cell>
          <cell r="D2177">
            <v>31102192</v>
          </cell>
          <cell r="E2177">
            <v>31102192</v>
          </cell>
          <cell r="F2177">
            <v>31102192</v>
          </cell>
          <cell r="G2177">
            <v>31102192</v>
          </cell>
          <cell r="H2177">
            <v>31102192</v>
          </cell>
          <cell r="I2177" t="str">
            <v/>
          </cell>
          <cell r="J2177" t="str">
            <v/>
          </cell>
          <cell r="K2177" t="str">
            <v/>
          </cell>
          <cell r="L2177" t="str">
            <v/>
          </cell>
          <cell r="M2177" t="str">
            <v/>
          </cell>
        </row>
        <row r="2178">
          <cell r="A2178">
            <v>31102192</v>
          </cell>
          <cell r="C2178">
            <v>31102192</v>
          </cell>
          <cell r="D2178">
            <v>31102192</v>
          </cell>
          <cell r="E2178">
            <v>31102192</v>
          </cell>
          <cell r="F2178">
            <v>31102192</v>
          </cell>
          <cell r="G2178">
            <v>31102192</v>
          </cell>
          <cell r="H2178">
            <v>31102192</v>
          </cell>
          <cell r="I2178" t="str">
            <v/>
          </cell>
          <cell r="J2178" t="str">
            <v/>
          </cell>
          <cell r="K2178" t="str">
            <v/>
          </cell>
          <cell r="L2178" t="str">
            <v/>
          </cell>
          <cell r="M2178" t="str">
            <v/>
          </cell>
        </row>
        <row r="2179">
          <cell r="A2179">
            <v>31102192</v>
          </cell>
          <cell r="C2179">
            <v>31102192</v>
          </cell>
          <cell r="D2179">
            <v>31102192</v>
          </cell>
          <cell r="E2179">
            <v>31102192</v>
          </cell>
          <cell r="F2179">
            <v>31102192</v>
          </cell>
          <cell r="G2179">
            <v>31102192</v>
          </cell>
          <cell r="H2179">
            <v>31102192</v>
          </cell>
          <cell r="I2179" t="str">
            <v/>
          </cell>
          <cell r="J2179" t="str">
            <v/>
          </cell>
          <cell r="K2179" t="str">
            <v/>
          </cell>
          <cell r="L2179" t="str">
            <v/>
          </cell>
          <cell r="M2179" t="str">
            <v/>
          </cell>
        </row>
        <row r="2180">
          <cell r="A2180">
            <v>31102192</v>
          </cell>
          <cell r="C2180">
            <v>31102192</v>
          </cell>
          <cell r="D2180">
            <v>31102192</v>
          </cell>
          <cell r="E2180">
            <v>31102192</v>
          </cell>
          <cell r="F2180">
            <v>31102192</v>
          </cell>
          <cell r="G2180">
            <v>31102192</v>
          </cell>
          <cell r="H2180">
            <v>31102192</v>
          </cell>
          <cell r="I2180" t="str">
            <v/>
          </cell>
          <cell r="J2180" t="str">
            <v/>
          </cell>
          <cell r="K2180" t="str">
            <v/>
          </cell>
          <cell r="L2180" t="str">
            <v/>
          </cell>
          <cell r="M2180" t="str">
            <v/>
          </cell>
        </row>
        <row r="2181">
          <cell r="A2181">
            <v>31102192</v>
          </cell>
          <cell r="C2181">
            <v>31102192</v>
          </cell>
          <cell r="D2181">
            <v>31102192</v>
          </cell>
          <cell r="E2181">
            <v>31102192</v>
          </cell>
          <cell r="F2181">
            <v>31102192</v>
          </cell>
          <cell r="G2181">
            <v>31102192</v>
          </cell>
          <cell r="H2181">
            <v>31102192</v>
          </cell>
          <cell r="I2181" t="str">
            <v/>
          </cell>
          <cell r="J2181" t="str">
            <v/>
          </cell>
          <cell r="K2181" t="str">
            <v/>
          </cell>
          <cell r="L2181" t="str">
            <v/>
          </cell>
          <cell r="M2181" t="str">
            <v/>
          </cell>
        </row>
        <row r="2182">
          <cell r="A2182">
            <v>31102192</v>
          </cell>
          <cell r="C2182">
            <v>31102192</v>
          </cell>
          <cell r="D2182">
            <v>31102192</v>
          </cell>
          <cell r="E2182">
            <v>31102192</v>
          </cell>
          <cell r="F2182">
            <v>31102192</v>
          </cell>
          <cell r="G2182">
            <v>31102192</v>
          </cell>
          <cell r="H2182">
            <v>31102192</v>
          </cell>
          <cell r="I2182" t="str">
            <v/>
          </cell>
          <cell r="J2182" t="str">
            <v/>
          </cell>
          <cell r="K2182" t="str">
            <v/>
          </cell>
          <cell r="L2182" t="str">
            <v/>
          </cell>
          <cell r="M2182" t="str">
            <v/>
          </cell>
        </row>
        <row r="2183">
          <cell r="A2183">
            <v>31102192</v>
          </cell>
          <cell r="C2183">
            <v>31102192</v>
          </cell>
          <cell r="D2183">
            <v>31102192</v>
          </cell>
          <cell r="E2183">
            <v>31102192</v>
          </cell>
          <cell r="F2183">
            <v>31102192</v>
          </cell>
          <cell r="G2183">
            <v>31102192</v>
          </cell>
          <cell r="H2183">
            <v>31102192</v>
          </cell>
          <cell r="I2183" t="str">
            <v/>
          </cell>
          <cell r="J2183" t="str">
            <v/>
          </cell>
          <cell r="K2183" t="str">
            <v/>
          </cell>
          <cell r="L2183" t="str">
            <v/>
          </cell>
          <cell r="M2183" t="str">
            <v/>
          </cell>
        </row>
        <row r="2184">
          <cell r="A2184">
            <v>31102192</v>
          </cell>
          <cell r="C2184">
            <v>31102192</v>
          </cell>
          <cell r="D2184">
            <v>31102192</v>
          </cell>
          <cell r="E2184">
            <v>31102192</v>
          </cell>
          <cell r="F2184">
            <v>31102192</v>
          </cell>
          <cell r="G2184">
            <v>31102192</v>
          </cell>
          <cell r="H2184">
            <v>31102192</v>
          </cell>
          <cell r="I2184" t="str">
            <v/>
          </cell>
          <cell r="J2184" t="str">
            <v/>
          </cell>
          <cell r="K2184" t="str">
            <v/>
          </cell>
          <cell r="L2184" t="str">
            <v/>
          </cell>
          <cell r="M2184" t="str">
            <v/>
          </cell>
        </row>
        <row r="2185">
          <cell r="A2185">
            <v>31102192</v>
          </cell>
          <cell r="C2185">
            <v>31102192</v>
          </cell>
          <cell r="D2185">
            <v>31102192</v>
          </cell>
          <cell r="E2185">
            <v>31102192</v>
          </cell>
          <cell r="F2185">
            <v>31102192</v>
          </cell>
          <cell r="G2185">
            <v>31102192</v>
          </cell>
          <cell r="H2185">
            <v>31102192</v>
          </cell>
          <cell r="I2185" t="str">
            <v/>
          </cell>
          <cell r="J2185" t="str">
            <v/>
          </cell>
          <cell r="K2185" t="str">
            <v/>
          </cell>
          <cell r="L2185" t="str">
            <v/>
          </cell>
          <cell r="M2185" t="str">
            <v/>
          </cell>
        </row>
        <row r="2186">
          <cell r="A2186">
            <v>31102192</v>
          </cell>
          <cell r="C2186">
            <v>31102192</v>
          </cell>
          <cell r="D2186">
            <v>31102192</v>
          </cell>
          <cell r="E2186">
            <v>31102192</v>
          </cell>
          <cell r="F2186">
            <v>31102192</v>
          </cell>
          <cell r="G2186">
            <v>31102192</v>
          </cell>
          <cell r="H2186">
            <v>31102192</v>
          </cell>
          <cell r="I2186" t="str">
            <v/>
          </cell>
          <cell r="J2186" t="str">
            <v/>
          </cell>
          <cell r="K2186" t="str">
            <v/>
          </cell>
          <cell r="L2186" t="str">
            <v/>
          </cell>
          <cell r="M2186" t="str">
            <v/>
          </cell>
        </row>
        <row r="2187">
          <cell r="A2187">
            <v>31102192</v>
          </cell>
          <cell r="C2187">
            <v>31102192</v>
          </cell>
          <cell r="D2187">
            <v>31102192</v>
          </cell>
          <cell r="E2187">
            <v>31102192</v>
          </cell>
          <cell r="F2187">
            <v>31102192</v>
          </cell>
          <cell r="G2187">
            <v>31102192</v>
          </cell>
          <cell r="H2187">
            <v>31102192</v>
          </cell>
          <cell r="I2187" t="str">
            <v/>
          </cell>
          <cell r="J2187" t="str">
            <v/>
          </cell>
          <cell r="K2187" t="str">
            <v/>
          </cell>
          <cell r="L2187" t="str">
            <v/>
          </cell>
          <cell r="M2187" t="str">
            <v/>
          </cell>
        </row>
        <row r="2188">
          <cell r="A2188">
            <v>31102192</v>
          </cell>
          <cell r="C2188">
            <v>31102192</v>
          </cell>
          <cell r="D2188">
            <v>31102192</v>
          </cell>
          <cell r="E2188">
            <v>31102192</v>
          </cell>
          <cell r="F2188">
            <v>31102192</v>
          </cell>
          <cell r="G2188">
            <v>31102192</v>
          </cell>
          <cell r="H2188">
            <v>31102192</v>
          </cell>
          <cell r="I2188" t="str">
            <v/>
          </cell>
          <cell r="J2188" t="str">
            <v/>
          </cell>
          <cell r="K2188" t="str">
            <v/>
          </cell>
          <cell r="L2188" t="str">
            <v/>
          </cell>
          <cell r="M2188" t="str">
            <v/>
          </cell>
        </row>
        <row r="2189">
          <cell r="A2189">
            <v>31102192</v>
          </cell>
          <cell r="C2189">
            <v>31102192</v>
          </cell>
          <cell r="D2189">
            <v>31102192</v>
          </cell>
          <cell r="E2189">
            <v>31102192</v>
          </cell>
          <cell r="F2189">
            <v>31102192</v>
          </cell>
          <cell r="G2189">
            <v>31102192</v>
          </cell>
          <cell r="H2189">
            <v>31102192</v>
          </cell>
          <cell r="I2189" t="str">
            <v/>
          </cell>
          <cell r="J2189" t="str">
            <v/>
          </cell>
          <cell r="K2189" t="str">
            <v/>
          </cell>
          <cell r="L2189" t="str">
            <v/>
          </cell>
          <cell r="M2189" t="str">
            <v/>
          </cell>
        </row>
        <row r="2190">
          <cell r="A2190">
            <v>31102192</v>
          </cell>
          <cell r="C2190">
            <v>31102192</v>
          </cell>
          <cell r="D2190">
            <v>31102192</v>
          </cell>
          <cell r="E2190">
            <v>31102192</v>
          </cell>
          <cell r="F2190">
            <v>31102192</v>
          </cell>
          <cell r="G2190">
            <v>31102192</v>
          </cell>
          <cell r="H2190">
            <v>31102192</v>
          </cell>
          <cell r="I2190" t="str">
            <v/>
          </cell>
          <cell r="J2190" t="str">
            <v/>
          </cell>
          <cell r="K2190" t="str">
            <v/>
          </cell>
          <cell r="L2190" t="str">
            <v/>
          </cell>
          <cell r="M2190" t="str">
            <v/>
          </cell>
        </row>
        <row r="2191">
          <cell r="A2191">
            <v>31102192</v>
          </cell>
          <cell r="C2191">
            <v>31102192</v>
          </cell>
          <cell r="D2191">
            <v>31102192</v>
          </cell>
          <cell r="E2191">
            <v>31102192</v>
          </cell>
          <cell r="F2191">
            <v>31102192</v>
          </cell>
          <cell r="G2191">
            <v>31102192</v>
          </cell>
          <cell r="H2191">
            <v>31102192</v>
          </cell>
          <cell r="I2191" t="str">
            <v/>
          </cell>
          <cell r="J2191" t="str">
            <v/>
          </cell>
          <cell r="K2191" t="str">
            <v/>
          </cell>
          <cell r="L2191" t="str">
            <v/>
          </cell>
          <cell r="M2191" t="str">
            <v/>
          </cell>
        </row>
        <row r="2192">
          <cell r="A2192">
            <v>31102192</v>
          </cell>
          <cell r="C2192">
            <v>31102192</v>
          </cell>
          <cell r="D2192">
            <v>31102192</v>
          </cell>
          <cell r="E2192">
            <v>31102192</v>
          </cell>
          <cell r="F2192">
            <v>31102192</v>
          </cell>
          <cell r="G2192">
            <v>31102192</v>
          </cell>
          <cell r="H2192">
            <v>31102192</v>
          </cell>
          <cell r="I2192" t="str">
            <v/>
          </cell>
          <cell r="J2192" t="str">
            <v/>
          </cell>
          <cell r="K2192" t="str">
            <v/>
          </cell>
          <cell r="L2192" t="str">
            <v/>
          </cell>
          <cell r="M2192" t="str">
            <v/>
          </cell>
        </row>
        <row r="2193">
          <cell r="A2193">
            <v>31102192</v>
          </cell>
          <cell r="C2193">
            <v>31102192</v>
          </cell>
          <cell r="D2193">
            <v>31102192</v>
          </cell>
          <cell r="E2193">
            <v>31102192</v>
          </cell>
          <cell r="F2193">
            <v>31102192</v>
          </cell>
          <cell r="G2193">
            <v>31102192</v>
          </cell>
          <cell r="H2193">
            <v>31102192</v>
          </cell>
          <cell r="I2193" t="str">
            <v/>
          </cell>
          <cell r="J2193" t="str">
            <v/>
          </cell>
          <cell r="K2193" t="str">
            <v/>
          </cell>
          <cell r="L2193" t="str">
            <v/>
          </cell>
          <cell r="M2193" t="str">
            <v/>
          </cell>
        </row>
        <row r="2194">
          <cell r="A2194">
            <v>31102192</v>
          </cell>
          <cell r="C2194">
            <v>31102192</v>
          </cell>
          <cell r="D2194">
            <v>31102192</v>
          </cell>
          <cell r="E2194">
            <v>31102192</v>
          </cell>
          <cell r="F2194">
            <v>31102192</v>
          </cell>
          <cell r="G2194">
            <v>31102192</v>
          </cell>
          <cell r="H2194">
            <v>31102192</v>
          </cell>
          <cell r="I2194" t="str">
            <v/>
          </cell>
          <cell r="J2194" t="str">
            <v/>
          </cell>
          <cell r="K2194" t="str">
            <v/>
          </cell>
          <cell r="L2194" t="str">
            <v/>
          </cell>
          <cell r="M2194" t="str">
            <v/>
          </cell>
        </row>
        <row r="2195">
          <cell r="A2195">
            <v>31102192</v>
          </cell>
          <cell r="C2195">
            <v>31102192</v>
          </cell>
          <cell r="D2195">
            <v>31102192</v>
          </cell>
          <cell r="E2195">
            <v>31102192</v>
          </cell>
          <cell r="F2195">
            <v>31102192</v>
          </cell>
          <cell r="G2195">
            <v>31102192</v>
          </cell>
          <cell r="H2195">
            <v>31102192</v>
          </cell>
          <cell r="I2195" t="str">
            <v/>
          </cell>
          <cell r="J2195" t="str">
            <v/>
          </cell>
          <cell r="K2195" t="str">
            <v/>
          </cell>
          <cell r="L2195" t="str">
            <v/>
          </cell>
          <cell r="M2195" t="str">
            <v/>
          </cell>
        </row>
        <row r="2196">
          <cell r="A2196">
            <v>31102192</v>
          </cell>
          <cell r="C2196">
            <v>31102192</v>
          </cell>
          <cell r="D2196">
            <v>31102192</v>
          </cell>
          <cell r="E2196">
            <v>31102192</v>
          </cell>
          <cell r="F2196">
            <v>31102192</v>
          </cell>
          <cell r="G2196">
            <v>31102192</v>
          </cell>
          <cell r="H2196">
            <v>31102192</v>
          </cell>
          <cell r="I2196" t="str">
            <v/>
          </cell>
          <cell r="J2196" t="str">
            <v/>
          </cell>
          <cell r="K2196" t="str">
            <v/>
          </cell>
          <cell r="L2196" t="str">
            <v/>
          </cell>
          <cell r="M2196" t="str">
            <v/>
          </cell>
        </row>
        <row r="2197">
          <cell r="A2197">
            <v>31102192</v>
          </cell>
          <cell r="C2197">
            <v>31102192</v>
          </cell>
          <cell r="D2197">
            <v>31102192</v>
          </cell>
          <cell r="E2197">
            <v>31102192</v>
          </cell>
          <cell r="F2197">
            <v>31102192</v>
          </cell>
          <cell r="G2197">
            <v>31102192</v>
          </cell>
          <cell r="H2197">
            <v>31102192</v>
          </cell>
          <cell r="I2197" t="str">
            <v/>
          </cell>
          <cell r="J2197" t="str">
            <v/>
          </cell>
          <cell r="K2197" t="str">
            <v/>
          </cell>
          <cell r="L2197" t="str">
            <v/>
          </cell>
          <cell r="M2197" t="str">
            <v/>
          </cell>
        </row>
        <row r="2198">
          <cell r="A2198">
            <v>31102192</v>
          </cell>
          <cell r="C2198">
            <v>31102192</v>
          </cell>
          <cell r="D2198">
            <v>31102192</v>
          </cell>
          <cell r="E2198">
            <v>31102192</v>
          </cell>
          <cell r="F2198">
            <v>31102192</v>
          </cell>
          <cell r="G2198">
            <v>31102192</v>
          </cell>
          <cell r="H2198">
            <v>31102192</v>
          </cell>
          <cell r="I2198" t="str">
            <v/>
          </cell>
          <cell r="J2198" t="str">
            <v/>
          </cell>
          <cell r="K2198" t="str">
            <v/>
          </cell>
          <cell r="L2198" t="str">
            <v/>
          </cell>
          <cell r="M2198" t="str">
            <v/>
          </cell>
        </row>
        <row r="2199">
          <cell r="A2199">
            <v>31102192</v>
          </cell>
          <cell r="C2199">
            <v>31102192</v>
          </cell>
          <cell r="D2199">
            <v>31102192</v>
          </cell>
          <cell r="E2199">
            <v>31102192</v>
          </cell>
          <cell r="F2199">
            <v>31102192</v>
          </cell>
          <cell r="G2199">
            <v>31102192</v>
          </cell>
          <cell r="H2199">
            <v>31102192</v>
          </cell>
          <cell r="I2199" t="str">
            <v/>
          </cell>
          <cell r="J2199" t="str">
            <v/>
          </cell>
          <cell r="K2199" t="str">
            <v/>
          </cell>
          <cell r="L2199" t="str">
            <v/>
          </cell>
          <cell r="M2199" t="str">
            <v/>
          </cell>
        </row>
        <row r="2200">
          <cell r="A2200">
            <v>31102192</v>
          </cell>
          <cell r="C2200">
            <v>31102192</v>
          </cell>
          <cell r="D2200">
            <v>31102192</v>
          </cell>
          <cell r="E2200">
            <v>31102192</v>
          </cell>
          <cell r="F2200">
            <v>31102192</v>
          </cell>
          <cell r="G2200">
            <v>31102192</v>
          </cell>
          <cell r="H2200">
            <v>31102192</v>
          </cell>
          <cell r="I2200" t="str">
            <v/>
          </cell>
          <cell r="J2200" t="str">
            <v/>
          </cell>
          <cell r="K2200" t="str">
            <v/>
          </cell>
          <cell r="L2200" t="str">
            <v/>
          </cell>
          <cell r="M2200" t="str">
            <v/>
          </cell>
        </row>
        <row r="2201">
          <cell r="A2201">
            <v>31102192</v>
          </cell>
          <cell r="C2201">
            <v>31102192</v>
          </cell>
          <cell r="D2201">
            <v>31102192</v>
          </cell>
          <cell r="E2201">
            <v>31102192</v>
          </cell>
          <cell r="F2201">
            <v>31102192</v>
          </cell>
          <cell r="G2201">
            <v>31102192</v>
          </cell>
          <cell r="H2201">
            <v>31102192</v>
          </cell>
          <cell r="I2201" t="str">
            <v/>
          </cell>
          <cell r="J2201" t="str">
            <v/>
          </cell>
          <cell r="K2201" t="str">
            <v/>
          </cell>
          <cell r="L2201" t="str">
            <v/>
          </cell>
          <cell r="M2201" t="str">
            <v/>
          </cell>
        </row>
        <row r="2202">
          <cell r="A2202">
            <v>31102192</v>
          </cell>
          <cell r="C2202">
            <v>31102192</v>
          </cell>
          <cell r="D2202">
            <v>31102192</v>
          </cell>
          <cell r="E2202">
            <v>31102192</v>
          </cell>
          <cell r="F2202">
            <v>31102192</v>
          </cell>
          <cell r="G2202">
            <v>31102192</v>
          </cell>
          <cell r="H2202">
            <v>31102192</v>
          </cell>
          <cell r="I2202" t="str">
            <v/>
          </cell>
          <cell r="J2202" t="str">
            <v/>
          </cell>
          <cell r="K2202" t="str">
            <v/>
          </cell>
          <cell r="L2202" t="str">
            <v/>
          </cell>
          <cell r="M2202" t="str">
            <v/>
          </cell>
        </row>
        <row r="2203">
          <cell r="A2203">
            <v>31102192</v>
          </cell>
          <cell r="C2203">
            <v>31102192</v>
          </cell>
          <cell r="D2203">
            <v>31102192</v>
          </cell>
          <cell r="E2203">
            <v>31102192</v>
          </cell>
          <cell r="F2203">
            <v>31102192</v>
          </cell>
          <cell r="G2203">
            <v>31102192</v>
          </cell>
          <cell r="H2203">
            <v>31102192</v>
          </cell>
          <cell r="I2203" t="str">
            <v/>
          </cell>
          <cell r="J2203" t="str">
            <v/>
          </cell>
          <cell r="K2203" t="str">
            <v/>
          </cell>
          <cell r="L2203" t="str">
            <v/>
          </cell>
          <cell r="M2203" t="str">
            <v/>
          </cell>
        </row>
        <row r="2204">
          <cell r="A2204">
            <v>31102192</v>
          </cell>
          <cell r="C2204">
            <v>31102192</v>
          </cell>
          <cell r="D2204">
            <v>31102192</v>
          </cell>
          <cell r="E2204">
            <v>31102192</v>
          </cell>
          <cell r="F2204">
            <v>31102192</v>
          </cell>
          <cell r="G2204">
            <v>31102192</v>
          </cell>
          <cell r="H2204">
            <v>31102192</v>
          </cell>
          <cell r="I2204" t="str">
            <v/>
          </cell>
          <cell r="J2204" t="str">
            <v/>
          </cell>
          <cell r="K2204" t="str">
            <v/>
          </cell>
          <cell r="L2204" t="str">
            <v/>
          </cell>
          <cell r="M2204" t="str">
            <v/>
          </cell>
        </row>
        <row r="2205">
          <cell r="A2205">
            <v>31102192</v>
          </cell>
          <cell r="C2205">
            <v>31102192</v>
          </cell>
          <cell r="D2205">
            <v>31102192</v>
          </cell>
          <cell r="E2205">
            <v>31102192</v>
          </cell>
          <cell r="F2205">
            <v>31102192</v>
          </cell>
          <cell r="G2205">
            <v>31102192</v>
          </cell>
          <cell r="H2205">
            <v>31102192</v>
          </cell>
          <cell r="I2205" t="str">
            <v/>
          </cell>
          <cell r="J2205" t="str">
            <v/>
          </cell>
          <cell r="K2205" t="str">
            <v/>
          </cell>
          <cell r="L2205" t="str">
            <v/>
          </cell>
          <cell r="M2205" t="str">
            <v/>
          </cell>
        </row>
        <row r="2206">
          <cell r="A2206">
            <v>31102192</v>
          </cell>
          <cell r="C2206">
            <v>31102192</v>
          </cell>
          <cell r="D2206">
            <v>31102192</v>
          </cell>
          <cell r="E2206">
            <v>31102192</v>
          </cell>
          <cell r="F2206">
            <v>31102192</v>
          </cell>
          <cell r="G2206">
            <v>31102192</v>
          </cell>
          <cell r="H2206">
            <v>31102192</v>
          </cell>
          <cell r="I2206" t="str">
            <v/>
          </cell>
          <cell r="J2206" t="str">
            <v/>
          </cell>
          <cell r="K2206" t="str">
            <v/>
          </cell>
          <cell r="L2206" t="str">
            <v/>
          </cell>
          <cell r="M2206" t="str">
            <v/>
          </cell>
        </row>
        <row r="2207">
          <cell r="A2207">
            <v>31102192</v>
          </cell>
          <cell r="C2207">
            <v>31102192</v>
          </cell>
          <cell r="D2207">
            <v>31102192</v>
          </cell>
          <cell r="E2207">
            <v>31102192</v>
          </cell>
          <cell r="F2207">
            <v>31102192</v>
          </cell>
          <cell r="G2207">
            <v>31102192</v>
          </cell>
          <cell r="H2207">
            <v>31102192</v>
          </cell>
          <cell r="I2207" t="str">
            <v/>
          </cell>
          <cell r="J2207" t="str">
            <v/>
          </cell>
          <cell r="K2207" t="str">
            <v/>
          </cell>
          <cell r="L2207" t="str">
            <v/>
          </cell>
          <cell r="M2207" t="str">
            <v/>
          </cell>
        </row>
        <row r="2208">
          <cell r="A2208">
            <v>31102192</v>
          </cell>
          <cell r="C2208">
            <v>31102192</v>
          </cell>
          <cell r="D2208">
            <v>31102192</v>
          </cell>
          <cell r="E2208">
            <v>31102192</v>
          </cell>
          <cell r="F2208">
            <v>31102192</v>
          </cell>
          <cell r="G2208">
            <v>31102192</v>
          </cell>
          <cell r="H2208">
            <v>31102192</v>
          </cell>
          <cell r="I2208" t="str">
            <v/>
          </cell>
          <cell r="J2208" t="str">
            <v/>
          </cell>
          <cell r="K2208" t="str">
            <v/>
          </cell>
          <cell r="L2208" t="str">
            <v/>
          </cell>
          <cell r="M2208" t="str">
            <v/>
          </cell>
        </row>
        <row r="2209">
          <cell r="A2209">
            <v>31102192</v>
          </cell>
          <cell r="C2209">
            <v>31102192</v>
          </cell>
          <cell r="D2209">
            <v>31102192</v>
          </cell>
          <cell r="E2209">
            <v>31102192</v>
          </cell>
          <cell r="F2209">
            <v>31102192</v>
          </cell>
          <cell r="G2209">
            <v>31102192</v>
          </cell>
          <cell r="H2209">
            <v>31102192</v>
          </cell>
          <cell r="I2209" t="str">
            <v/>
          </cell>
          <cell r="J2209" t="str">
            <v/>
          </cell>
          <cell r="K2209" t="str">
            <v/>
          </cell>
          <cell r="L2209" t="str">
            <v/>
          </cell>
          <cell r="M2209" t="str">
            <v/>
          </cell>
        </row>
        <row r="2210">
          <cell r="A2210">
            <v>31102192</v>
          </cell>
          <cell r="C2210">
            <v>31102192</v>
          </cell>
          <cell r="D2210">
            <v>31102192</v>
          </cell>
          <cell r="E2210">
            <v>31102192</v>
          </cell>
          <cell r="F2210">
            <v>31102192</v>
          </cell>
          <cell r="G2210">
            <v>31102192</v>
          </cell>
          <cell r="H2210">
            <v>31102192</v>
          </cell>
          <cell r="I2210" t="str">
            <v/>
          </cell>
          <cell r="J2210" t="str">
            <v/>
          </cell>
          <cell r="K2210" t="str">
            <v/>
          </cell>
          <cell r="L2210" t="str">
            <v/>
          </cell>
          <cell r="M2210" t="str">
            <v/>
          </cell>
        </row>
        <row r="2211">
          <cell r="A2211">
            <v>31102192</v>
          </cell>
          <cell r="C2211">
            <v>31102192</v>
          </cell>
          <cell r="D2211">
            <v>31102192</v>
          </cell>
          <cell r="E2211">
            <v>31102192</v>
          </cell>
          <cell r="F2211">
            <v>31102192</v>
          </cell>
          <cell r="G2211">
            <v>31102192</v>
          </cell>
          <cell r="H2211">
            <v>31102192</v>
          </cell>
          <cell r="I2211" t="str">
            <v/>
          </cell>
          <cell r="J2211" t="str">
            <v/>
          </cell>
          <cell r="K2211" t="str">
            <v/>
          </cell>
          <cell r="L2211" t="str">
            <v/>
          </cell>
          <cell r="M2211" t="str">
            <v/>
          </cell>
        </row>
        <row r="2212">
          <cell r="A2212">
            <v>31102192</v>
          </cell>
          <cell r="C2212">
            <v>31102192</v>
          </cell>
          <cell r="D2212">
            <v>31102192</v>
          </cell>
          <cell r="E2212">
            <v>31102192</v>
          </cell>
          <cell r="F2212">
            <v>31102192</v>
          </cell>
          <cell r="G2212">
            <v>31102192</v>
          </cell>
          <cell r="H2212">
            <v>31102192</v>
          </cell>
          <cell r="I2212" t="str">
            <v/>
          </cell>
          <cell r="J2212" t="str">
            <v/>
          </cell>
          <cell r="K2212" t="str">
            <v/>
          </cell>
          <cell r="L2212" t="str">
            <v/>
          </cell>
          <cell r="M2212" t="str">
            <v/>
          </cell>
        </row>
        <row r="2213">
          <cell r="A2213">
            <v>31102192</v>
          </cell>
          <cell r="C2213">
            <v>31102192</v>
          </cell>
          <cell r="D2213">
            <v>31102192</v>
          </cell>
          <cell r="E2213">
            <v>31102192</v>
          </cell>
          <cell r="F2213">
            <v>31102192</v>
          </cell>
          <cell r="G2213">
            <v>31102192</v>
          </cell>
          <cell r="H2213">
            <v>31102192</v>
          </cell>
          <cell r="I2213" t="str">
            <v/>
          </cell>
          <cell r="J2213" t="str">
            <v/>
          </cell>
          <cell r="K2213" t="str">
            <v/>
          </cell>
          <cell r="L2213" t="str">
            <v/>
          </cell>
          <cell r="M2213" t="str">
            <v/>
          </cell>
        </row>
        <row r="2214">
          <cell r="A2214">
            <v>31102192</v>
          </cell>
          <cell r="C2214">
            <v>31102192</v>
          </cell>
          <cell r="D2214">
            <v>31102192</v>
          </cell>
          <cell r="E2214">
            <v>31102192</v>
          </cell>
          <cell r="F2214">
            <v>31102192</v>
          </cell>
          <cell r="G2214">
            <v>31102192</v>
          </cell>
          <cell r="H2214">
            <v>31102192</v>
          </cell>
          <cell r="I2214" t="str">
            <v/>
          </cell>
          <cell r="J2214" t="str">
            <v/>
          </cell>
          <cell r="K2214" t="str">
            <v/>
          </cell>
          <cell r="L2214" t="str">
            <v/>
          </cell>
          <cell r="M2214" t="str">
            <v/>
          </cell>
        </row>
        <row r="2215">
          <cell r="A2215">
            <v>31102192</v>
          </cell>
          <cell r="C2215">
            <v>31102192</v>
          </cell>
          <cell r="D2215">
            <v>31102192</v>
          </cell>
          <cell r="E2215">
            <v>31102192</v>
          </cell>
          <cell r="F2215">
            <v>31102192</v>
          </cell>
          <cell r="G2215">
            <v>31102192</v>
          </cell>
          <cell r="H2215">
            <v>31102192</v>
          </cell>
          <cell r="I2215" t="str">
            <v/>
          </cell>
          <cell r="J2215" t="str">
            <v/>
          </cell>
          <cell r="K2215" t="str">
            <v/>
          </cell>
          <cell r="L2215" t="str">
            <v/>
          </cell>
          <cell r="M2215" t="str">
            <v/>
          </cell>
        </row>
        <row r="2216">
          <cell r="A2216">
            <v>31102192</v>
          </cell>
          <cell r="C2216">
            <v>31102192</v>
          </cell>
          <cell r="D2216">
            <v>31102192</v>
          </cell>
          <cell r="E2216">
            <v>31102192</v>
          </cell>
          <cell r="F2216">
            <v>31102192</v>
          </cell>
          <cell r="G2216">
            <v>31102192</v>
          </cell>
          <cell r="H2216">
            <v>31102192</v>
          </cell>
          <cell r="I2216" t="str">
            <v/>
          </cell>
          <cell r="J2216" t="str">
            <v/>
          </cell>
          <cell r="K2216" t="str">
            <v/>
          </cell>
          <cell r="L2216" t="str">
            <v/>
          </cell>
          <cell r="M2216" t="str">
            <v/>
          </cell>
        </row>
        <row r="2217">
          <cell r="A2217">
            <v>31102192</v>
          </cell>
          <cell r="C2217">
            <v>31102192</v>
          </cell>
          <cell r="D2217">
            <v>31102192</v>
          </cell>
          <cell r="E2217">
            <v>31102192</v>
          </cell>
          <cell r="F2217">
            <v>31102192</v>
          </cell>
          <cell r="G2217">
            <v>31102192</v>
          </cell>
          <cell r="H2217">
            <v>31102192</v>
          </cell>
          <cell r="I2217" t="str">
            <v/>
          </cell>
          <cell r="J2217" t="str">
            <v/>
          </cell>
          <cell r="K2217" t="str">
            <v/>
          </cell>
          <cell r="L2217" t="str">
            <v/>
          </cell>
          <cell r="M2217" t="str">
            <v/>
          </cell>
        </row>
        <row r="2218">
          <cell r="A2218">
            <v>31102192</v>
          </cell>
          <cell r="C2218">
            <v>31102192</v>
          </cell>
          <cell r="D2218">
            <v>31102192</v>
          </cell>
          <cell r="E2218">
            <v>31102192</v>
          </cell>
          <cell r="F2218">
            <v>31102192</v>
          </cell>
          <cell r="G2218">
            <v>31102192</v>
          </cell>
          <cell r="H2218">
            <v>31102192</v>
          </cell>
          <cell r="I2218" t="str">
            <v/>
          </cell>
          <cell r="J2218" t="str">
            <v/>
          </cell>
          <cell r="K2218" t="str">
            <v/>
          </cell>
          <cell r="L2218" t="str">
            <v/>
          </cell>
          <cell r="M2218" t="str">
            <v/>
          </cell>
        </row>
        <row r="2219">
          <cell r="A2219">
            <v>31102192</v>
          </cell>
          <cell r="C2219">
            <v>31102192</v>
          </cell>
          <cell r="D2219">
            <v>31102192</v>
          </cell>
          <cell r="E2219">
            <v>31102192</v>
          </cell>
          <cell r="F2219">
            <v>31102192</v>
          </cell>
          <cell r="G2219">
            <v>31102192</v>
          </cell>
          <cell r="H2219">
            <v>31102192</v>
          </cell>
          <cell r="I2219" t="str">
            <v/>
          </cell>
          <cell r="J2219" t="str">
            <v/>
          </cell>
          <cell r="K2219" t="str">
            <v/>
          </cell>
          <cell r="L2219" t="str">
            <v/>
          </cell>
          <cell r="M2219" t="str">
            <v/>
          </cell>
        </row>
        <row r="2220">
          <cell r="A2220">
            <v>31102192</v>
          </cell>
          <cell r="C2220">
            <v>31102192</v>
          </cell>
          <cell r="D2220">
            <v>31102192</v>
          </cell>
          <cell r="E2220">
            <v>31102192</v>
          </cell>
          <cell r="F2220">
            <v>31102192</v>
          </cell>
          <cell r="G2220">
            <v>31102192</v>
          </cell>
          <cell r="H2220">
            <v>31102192</v>
          </cell>
          <cell r="I2220" t="str">
            <v/>
          </cell>
          <cell r="J2220" t="str">
            <v/>
          </cell>
          <cell r="K2220" t="str">
            <v/>
          </cell>
          <cell r="L2220" t="str">
            <v/>
          </cell>
          <cell r="M2220" t="str">
            <v/>
          </cell>
        </row>
        <row r="2221">
          <cell r="A2221">
            <v>31102192</v>
          </cell>
          <cell r="C2221">
            <v>31102192</v>
          </cell>
          <cell r="D2221">
            <v>31102192</v>
          </cell>
          <cell r="E2221">
            <v>31102192</v>
          </cell>
          <cell r="F2221">
            <v>31102192</v>
          </cell>
          <cell r="G2221">
            <v>31102192</v>
          </cell>
          <cell r="H2221">
            <v>31102192</v>
          </cell>
          <cell r="I2221" t="str">
            <v/>
          </cell>
          <cell r="J2221" t="str">
            <v/>
          </cell>
          <cell r="K2221" t="str">
            <v/>
          </cell>
          <cell r="L2221" t="str">
            <v/>
          </cell>
          <cell r="M2221" t="str">
            <v/>
          </cell>
        </row>
        <row r="2222">
          <cell r="A2222">
            <v>31102192</v>
          </cell>
          <cell r="C2222">
            <v>31102192</v>
          </cell>
          <cell r="D2222">
            <v>31102192</v>
          </cell>
          <cell r="E2222">
            <v>31102192</v>
          </cell>
          <cell r="F2222">
            <v>31102192</v>
          </cell>
          <cell r="G2222">
            <v>31102192</v>
          </cell>
          <cell r="H2222">
            <v>31102192</v>
          </cell>
          <cell r="I2222" t="str">
            <v/>
          </cell>
          <cell r="J2222" t="str">
            <v/>
          </cell>
          <cell r="K2222" t="str">
            <v/>
          </cell>
          <cell r="L2222" t="str">
            <v/>
          </cell>
          <cell r="M2222" t="str">
            <v/>
          </cell>
        </row>
        <row r="2223">
          <cell r="A2223">
            <v>31102192</v>
          </cell>
          <cell r="C2223">
            <v>31102192</v>
          </cell>
          <cell r="D2223">
            <v>31102192</v>
          </cell>
          <cell r="E2223">
            <v>31102192</v>
          </cell>
          <cell r="F2223">
            <v>31102192</v>
          </cell>
          <cell r="G2223">
            <v>31102192</v>
          </cell>
          <cell r="H2223">
            <v>31102192</v>
          </cell>
          <cell r="I2223" t="str">
            <v/>
          </cell>
          <cell r="J2223" t="str">
            <v/>
          </cell>
          <cell r="K2223" t="str">
            <v/>
          </cell>
          <cell r="L2223" t="str">
            <v/>
          </cell>
          <cell r="M2223" t="str">
            <v/>
          </cell>
        </row>
        <row r="2224">
          <cell r="A2224">
            <v>31102192</v>
          </cell>
          <cell r="C2224">
            <v>31102192</v>
          </cell>
          <cell r="D2224">
            <v>31102192</v>
          </cell>
          <cell r="E2224">
            <v>31102192</v>
          </cell>
          <cell r="F2224">
            <v>31102192</v>
          </cell>
          <cell r="G2224">
            <v>31102192</v>
          </cell>
          <cell r="H2224">
            <v>31102192</v>
          </cell>
          <cell r="I2224" t="str">
            <v/>
          </cell>
          <cell r="J2224" t="str">
            <v/>
          </cell>
          <cell r="K2224" t="str">
            <v/>
          </cell>
          <cell r="L2224" t="str">
            <v/>
          </cell>
          <cell r="M2224" t="str">
            <v/>
          </cell>
        </row>
        <row r="2225">
          <cell r="A2225">
            <v>31102192</v>
          </cell>
          <cell r="C2225">
            <v>31102192</v>
          </cell>
          <cell r="D2225">
            <v>31102192</v>
          </cell>
          <cell r="E2225">
            <v>31102192</v>
          </cell>
          <cell r="F2225">
            <v>31102192</v>
          </cell>
          <cell r="G2225">
            <v>31102192</v>
          </cell>
          <cell r="H2225">
            <v>31102192</v>
          </cell>
          <cell r="I2225" t="str">
            <v/>
          </cell>
          <cell r="J2225" t="str">
            <v/>
          </cell>
          <cell r="K2225" t="str">
            <v/>
          </cell>
          <cell r="L2225" t="str">
            <v/>
          </cell>
          <cell r="M2225" t="str">
            <v/>
          </cell>
        </row>
        <row r="2226">
          <cell r="A2226">
            <v>31102192</v>
          </cell>
          <cell r="C2226">
            <v>31102192</v>
          </cell>
          <cell r="D2226">
            <v>31102192</v>
          </cell>
          <cell r="E2226">
            <v>31102192</v>
          </cell>
          <cell r="F2226">
            <v>31102192</v>
          </cell>
          <cell r="G2226">
            <v>31102192</v>
          </cell>
          <cell r="H2226">
            <v>31102192</v>
          </cell>
          <cell r="I2226" t="str">
            <v/>
          </cell>
          <cell r="J2226" t="str">
            <v/>
          </cell>
          <cell r="K2226" t="str">
            <v/>
          </cell>
          <cell r="L2226" t="str">
            <v/>
          </cell>
          <cell r="M2226" t="str">
            <v/>
          </cell>
        </row>
        <row r="2227">
          <cell r="A2227">
            <v>31102192</v>
          </cell>
          <cell r="C2227">
            <v>31102192</v>
          </cell>
          <cell r="D2227">
            <v>31102192</v>
          </cell>
          <cell r="E2227">
            <v>31102192</v>
          </cell>
          <cell r="F2227">
            <v>31102192</v>
          </cell>
          <cell r="G2227">
            <v>31102192</v>
          </cell>
          <cell r="H2227">
            <v>31102192</v>
          </cell>
          <cell r="I2227" t="str">
            <v/>
          </cell>
          <cell r="J2227" t="str">
            <v/>
          </cell>
          <cell r="K2227" t="str">
            <v/>
          </cell>
          <cell r="L2227" t="str">
            <v/>
          </cell>
          <cell r="M2227" t="str">
            <v/>
          </cell>
        </row>
        <row r="2228">
          <cell r="A2228">
            <v>31102192</v>
          </cell>
          <cell r="C2228">
            <v>31102192</v>
          </cell>
          <cell r="D2228">
            <v>31102192</v>
          </cell>
          <cell r="E2228">
            <v>31102192</v>
          </cell>
          <cell r="F2228">
            <v>31102192</v>
          </cell>
          <cell r="G2228">
            <v>31102192</v>
          </cell>
          <cell r="H2228">
            <v>31102192</v>
          </cell>
          <cell r="I2228" t="str">
            <v/>
          </cell>
          <cell r="J2228" t="str">
            <v/>
          </cell>
          <cell r="K2228" t="str">
            <v/>
          </cell>
          <cell r="L2228" t="str">
            <v/>
          </cell>
          <cell r="M2228" t="str">
            <v/>
          </cell>
        </row>
        <row r="2229">
          <cell r="A2229">
            <v>31102192</v>
          </cell>
          <cell r="C2229">
            <v>31102192</v>
          </cell>
          <cell r="D2229">
            <v>31102192</v>
          </cell>
          <cell r="E2229">
            <v>31102192</v>
          </cell>
          <cell r="F2229">
            <v>31102192</v>
          </cell>
          <cell r="G2229">
            <v>31102192</v>
          </cell>
          <cell r="H2229">
            <v>31102192</v>
          </cell>
          <cell r="I2229" t="str">
            <v/>
          </cell>
          <cell r="J2229" t="str">
            <v/>
          </cell>
          <cell r="K2229" t="str">
            <v/>
          </cell>
          <cell r="L2229" t="str">
            <v/>
          </cell>
          <cell r="M2229" t="str">
            <v/>
          </cell>
        </row>
        <row r="2230">
          <cell r="A2230">
            <v>31102192</v>
          </cell>
          <cell r="C2230">
            <v>31102192</v>
          </cell>
          <cell r="D2230">
            <v>31102192</v>
          </cell>
          <cell r="E2230">
            <v>31102192</v>
          </cell>
          <cell r="F2230">
            <v>31102192</v>
          </cell>
          <cell r="G2230">
            <v>31102192</v>
          </cell>
          <cell r="H2230">
            <v>31102192</v>
          </cell>
          <cell r="I2230" t="str">
            <v/>
          </cell>
          <cell r="J2230" t="str">
            <v/>
          </cell>
          <cell r="K2230" t="str">
            <v/>
          </cell>
          <cell r="L2230" t="str">
            <v/>
          </cell>
          <cell r="M2230" t="str">
            <v/>
          </cell>
        </row>
        <row r="2231">
          <cell r="A2231">
            <v>31102192</v>
          </cell>
          <cell r="C2231">
            <v>31102192</v>
          </cell>
          <cell r="D2231">
            <v>31102192</v>
          </cell>
          <cell r="E2231">
            <v>31102192</v>
          </cell>
          <cell r="F2231">
            <v>31102192</v>
          </cell>
          <cell r="G2231">
            <v>31102192</v>
          </cell>
          <cell r="H2231">
            <v>31102192</v>
          </cell>
          <cell r="I2231" t="str">
            <v/>
          </cell>
          <cell r="J2231" t="str">
            <v/>
          </cell>
          <cell r="K2231" t="str">
            <v/>
          </cell>
          <cell r="L2231" t="str">
            <v/>
          </cell>
          <cell r="M2231" t="str">
            <v/>
          </cell>
        </row>
        <row r="2232">
          <cell r="A2232">
            <v>31102192</v>
          </cell>
          <cell r="C2232">
            <v>31102192</v>
          </cell>
          <cell r="D2232">
            <v>31102192</v>
          </cell>
          <cell r="E2232">
            <v>31102192</v>
          </cell>
          <cell r="F2232">
            <v>31102192</v>
          </cell>
          <cell r="G2232">
            <v>31102192</v>
          </cell>
          <cell r="H2232">
            <v>31102192</v>
          </cell>
          <cell r="I2232" t="str">
            <v/>
          </cell>
          <cell r="J2232" t="str">
            <v/>
          </cell>
          <cell r="K2232" t="str">
            <v/>
          </cell>
          <cell r="L2232" t="str">
            <v/>
          </cell>
          <cell r="M2232" t="str">
            <v/>
          </cell>
        </row>
        <row r="2233">
          <cell r="A2233">
            <v>31102192</v>
          </cell>
          <cell r="C2233">
            <v>31102192</v>
          </cell>
          <cell r="D2233">
            <v>31102192</v>
          </cell>
          <cell r="E2233">
            <v>31102192</v>
          </cell>
          <cell r="F2233">
            <v>31102192</v>
          </cell>
          <cell r="G2233">
            <v>31102192</v>
          </cell>
          <cell r="H2233">
            <v>31102192</v>
          </cell>
          <cell r="I2233" t="str">
            <v/>
          </cell>
          <cell r="J2233" t="str">
            <v/>
          </cell>
          <cell r="K2233" t="str">
            <v/>
          </cell>
          <cell r="L2233" t="str">
            <v/>
          </cell>
          <cell r="M2233" t="str">
            <v/>
          </cell>
        </row>
        <row r="2234">
          <cell r="A2234">
            <v>31102192</v>
          </cell>
          <cell r="C2234">
            <v>31102192</v>
          </cell>
          <cell r="D2234">
            <v>31102192</v>
          </cell>
          <cell r="E2234">
            <v>31102192</v>
          </cell>
          <cell r="F2234">
            <v>31102192</v>
          </cell>
          <cell r="G2234">
            <v>31102192</v>
          </cell>
          <cell r="H2234">
            <v>31102192</v>
          </cell>
          <cell r="I2234" t="str">
            <v/>
          </cell>
          <cell r="J2234" t="str">
            <v/>
          </cell>
          <cell r="K2234" t="str">
            <v/>
          </cell>
          <cell r="L2234" t="str">
            <v/>
          </cell>
          <cell r="M2234" t="str">
            <v/>
          </cell>
        </row>
        <row r="2235">
          <cell r="A2235">
            <v>31102192</v>
          </cell>
          <cell r="C2235">
            <v>31102192</v>
          </cell>
          <cell r="D2235">
            <v>31102192</v>
          </cell>
          <cell r="E2235">
            <v>31102192</v>
          </cell>
          <cell r="F2235">
            <v>31102192</v>
          </cell>
          <cell r="G2235">
            <v>31102192</v>
          </cell>
          <cell r="H2235">
            <v>31102192</v>
          </cell>
          <cell r="I2235" t="str">
            <v/>
          </cell>
          <cell r="J2235" t="str">
            <v/>
          </cell>
          <cell r="K2235" t="str">
            <v/>
          </cell>
          <cell r="L2235" t="str">
            <v/>
          </cell>
          <cell r="M2235" t="str">
            <v/>
          </cell>
        </row>
        <row r="2236">
          <cell r="A2236">
            <v>31102192</v>
          </cell>
          <cell r="C2236">
            <v>31102192</v>
          </cell>
          <cell r="D2236">
            <v>31102192</v>
          </cell>
          <cell r="E2236">
            <v>31102192</v>
          </cell>
          <cell r="F2236">
            <v>31102192</v>
          </cell>
          <cell r="G2236">
            <v>31102192</v>
          </cell>
          <cell r="H2236">
            <v>31102192</v>
          </cell>
          <cell r="I2236" t="str">
            <v/>
          </cell>
          <cell r="J2236" t="str">
            <v/>
          </cell>
          <cell r="K2236" t="str">
            <v/>
          </cell>
          <cell r="L2236" t="str">
            <v/>
          </cell>
          <cell r="M2236" t="str">
            <v/>
          </cell>
        </row>
        <row r="2237">
          <cell r="A2237">
            <v>31102192</v>
          </cell>
          <cell r="C2237">
            <v>31102192</v>
          </cell>
          <cell r="D2237">
            <v>31102192</v>
          </cell>
          <cell r="E2237">
            <v>31102192</v>
          </cell>
          <cell r="F2237">
            <v>31102192</v>
          </cell>
          <cell r="G2237">
            <v>31102192</v>
          </cell>
          <cell r="H2237">
            <v>31102192</v>
          </cell>
          <cell r="I2237" t="str">
            <v/>
          </cell>
          <cell r="J2237" t="str">
            <v/>
          </cell>
          <cell r="K2237" t="str">
            <v/>
          </cell>
          <cell r="L2237" t="str">
            <v/>
          </cell>
          <cell r="M2237" t="str">
            <v/>
          </cell>
        </row>
        <row r="2238">
          <cell r="A2238">
            <v>31102192</v>
          </cell>
          <cell r="C2238">
            <v>31102192</v>
          </cell>
          <cell r="D2238">
            <v>31102192</v>
          </cell>
          <cell r="E2238">
            <v>31102192</v>
          </cell>
          <cell r="F2238">
            <v>31102192</v>
          </cell>
          <cell r="G2238">
            <v>31102192</v>
          </cell>
          <cell r="H2238">
            <v>31102192</v>
          </cell>
          <cell r="I2238" t="str">
            <v/>
          </cell>
          <cell r="J2238" t="str">
            <v/>
          </cell>
          <cell r="K2238" t="str">
            <v/>
          </cell>
          <cell r="L2238" t="str">
            <v/>
          </cell>
          <cell r="M2238" t="str">
            <v/>
          </cell>
        </row>
        <row r="2239">
          <cell r="A2239">
            <v>31102192</v>
          </cell>
          <cell r="C2239">
            <v>31102192</v>
          </cell>
          <cell r="D2239">
            <v>31102192</v>
          </cell>
          <cell r="E2239">
            <v>31102192</v>
          </cell>
          <cell r="F2239">
            <v>31102192</v>
          </cell>
          <cell r="G2239">
            <v>31102192</v>
          </cell>
          <cell r="H2239">
            <v>31102192</v>
          </cell>
          <cell r="I2239" t="str">
            <v/>
          </cell>
          <cell r="J2239" t="str">
            <v/>
          </cell>
          <cell r="K2239" t="str">
            <v/>
          </cell>
          <cell r="L2239" t="str">
            <v/>
          </cell>
          <cell r="M2239" t="str">
            <v/>
          </cell>
        </row>
        <row r="2240">
          <cell r="A2240">
            <v>31102192</v>
          </cell>
          <cell r="C2240">
            <v>31102192</v>
          </cell>
          <cell r="D2240">
            <v>31102192</v>
          </cell>
          <cell r="E2240">
            <v>31102192</v>
          </cell>
          <cell r="F2240">
            <v>31102192</v>
          </cell>
          <cell r="G2240">
            <v>31102192</v>
          </cell>
          <cell r="H2240">
            <v>31102192</v>
          </cell>
          <cell r="I2240" t="str">
            <v/>
          </cell>
          <cell r="J2240" t="str">
            <v/>
          </cell>
          <cell r="K2240" t="str">
            <v/>
          </cell>
          <cell r="L2240" t="str">
            <v/>
          </cell>
          <cell r="M2240" t="str">
            <v/>
          </cell>
        </row>
        <row r="2241">
          <cell r="A2241">
            <v>31102192</v>
          </cell>
          <cell r="C2241">
            <v>31102192</v>
          </cell>
          <cell r="D2241">
            <v>31102192</v>
          </cell>
          <cell r="E2241">
            <v>31102192</v>
          </cell>
          <cell r="F2241">
            <v>31102192</v>
          </cell>
          <cell r="G2241">
            <v>31102192</v>
          </cell>
          <cell r="H2241">
            <v>31102192</v>
          </cell>
          <cell r="I2241" t="str">
            <v/>
          </cell>
          <cell r="J2241" t="str">
            <v/>
          </cell>
          <cell r="K2241" t="str">
            <v/>
          </cell>
          <cell r="L2241" t="str">
            <v/>
          </cell>
          <cell r="M2241" t="str">
            <v/>
          </cell>
        </row>
        <row r="2242">
          <cell r="A2242">
            <v>31102192</v>
          </cell>
          <cell r="C2242">
            <v>31102192</v>
          </cell>
          <cell r="D2242">
            <v>31102192</v>
          </cell>
          <cell r="E2242">
            <v>31102192</v>
          </cell>
          <cell r="F2242">
            <v>31102192</v>
          </cell>
          <cell r="G2242">
            <v>31102192</v>
          </cell>
          <cell r="H2242">
            <v>31102192</v>
          </cell>
          <cell r="I2242" t="str">
            <v/>
          </cell>
          <cell r="J2242" t="str">
            <v/>
          </cell>
          <cell r="K2242" t="str">
            <v/>
          </cell>
          <cell r="L2242" t="str">
            <v/>
          </cell>
          <cell r="M2242" t="str">
            <v/>
          </cell>
        </row>
        <row r="2243">
          <cell r="A2243">
            <v>31102192</v>
          </cell>
          <cell r="C2243">
            <v>31102192</v>
          </cell>
          <cell r="D2243">
            <v>31102192</v>
          </cell>
          <cell r="E2243">
            <v>31102192</v>
          </cell>
          <cell r="F2243">
            <v>31102192</v>
          </cell>
          <cell r="G2243">
            <v>31102192</v>
          </cell>
          <cell r="H2243">
            <v>31102192</v>
          </cell>
          <cell r="I2243" t="str">
            <v/>
          </cell>
          <cell r="J2243" t="str">
            <v/>
          </cell>
          <cell r="K2243" t="str">
            <v/>
          </cell>
          <cell r="L2243" t="str">
            <v/>
          </cell>
          <cell r="M2243" t="str">
            <v/>
          </cell>
        </row>
        <row r="2244">
          <cell r="A2244">
            <v>31102192</v>
          </cell>
          <cell r="C2244">
            <v>31102192</v>
          </cell>
          <cell r="D2244">
            <v>31102192</v>
          </cell>
          <cell r="E2244">
            <v>31102192</v>
          </cell>
          <cell r="F2244">
            <v>31102192</v>
          </cell>
          <cell r="G2244">
            <v>31102192</v>
          </cell>
          <cell r="H2244">
            <v>31102192</v>
          </cell>
          <cell r="I2244" t="str">
            <v/>
          </cell>
          <cell r="J2244" t="str">
            <v/>
          </cell>
          <cell r="K2244" t="str">
            <v/>
          </cell>
          <cell r="L2244" t="str">
            <v/>
          </cell>
          <cell r="M2244" t="str">
            <v/>
          </cell>
        </row>
        <row r="2245">
          <cell r="A2245">
            <v>31102192</v>
          </cell>
          <cell r="C2245">
            <v>31102192</v>
          </cell>
          <cell r="D2245">
            <v>31102192</v>
          </cell>
          <cell r="E2245">
            <v>31102192</v>
          </cell>
          <cell r="F2245">
            <v>31102192</v>
          </cell>
          <cell r="G2245">
            <v>31102192</v>
          </cell>
          <cell r="H2245">
            <v>31102192</v>
          </cell>
          <cell r="I2245" t="str">
            <v/>
          </cell>
          <cell r="J2245" t="str">
            <v/>
          </cell>
          <cell r="K2245" t="str">
            <v/>
          </cell>
          <cell r="L2245" t="str">
            <v/>
          </cell>
          <cell r="M2245" t="str">
            <v/>
          </cell>
        </row>
        <row r="2246">
          <cell r="A2246">
            <v>31102192</v>
          </cell>
          <cell r="C2246">
            <v>31102192</v>
          </cell>
          <cell r="D2246">
            <v>31102192</v>
          </cell>
          <cell r="E2246">
            <v>31102192</v>
          </cell>
          <cell r="F2246">
            <v>31102192</v>
          </cell>
          <cell r="G2246">
            <v>31102192</v>
          </cell>
          <cell r="H2246">
            <v>31102192</v>
          </cell>
          <cell r="I2246" t="str">
            <v/>
          </cell>
          <cell r="J2246" t="str">
            <v/>
          </cell>
          <cell r="K2246" t="str">
            <v/>
          </cell>
          <cell r="L2246" t="str">
            <v/>
          </cell>
          <cell r="M2246" t="str">
            <v/>
          </cell>
        </row>
        <row r="2247">
          <cell r="A2247">
            <v>31102192</v>
          </cell>
          <cell r="C2247">
            <v>31102192</v>
          </cell>
          <cell r="D2247">
            <v>31102192</v>
          </cell>
          <cell r="E2247">
            <v>31102192</v>
          </cell>
          <cell r="F2247">
            <v>31102192</v>
          </cell>
          <cell r="G2247">
            <v>31102192</v>
          </cell>
          <cell r="H2247">
            <v>31102192</v>
          </cell>
          <cell r="I2247" t="str">
            <v/>
          </cell>
          <cell r="J2247" t="str">
            <v/>
          </cell>
          <cell r="K2247" t="str">
            <v/>
          </cell>
          <cell r="L2247" t="str">
            <v/>
          </cell>
          <cell r="M2247" t="str">
            <v/>
          </cell>
        </row>
        <row r="2248">
          <cell r="A2248">
            <v>31102192</v>
          </cell>
          <cell r="C2248">
            <v>31102192</v>
          </cell>
          <cell r="D2248">
            <v>31102192</v>
          </cell>
          <cell r="E2248">
            <v>31102192</v>
          </cell>
          <cell r="F2248">
            <v>31102192</v>
          </cell>
          <cell r="G2248">
            <v>31102192</v>
          </cell>
          <cell r="H2248">
            <v>31102192</v>
          </cell>
          <cell r="I2248" t="str">
            <v/>
          </cell>
          <cell r="J2248" t="str">
            <v/>
          </cell>
          <cell r="K2248" t="str">
            <v/>
          </cell>
          <cell r="L2248" t="str">
            <v/>
          </cell>
          <cell r="M2248" t="str">
            <v/>
          </cell>
        </row>
        <row r="2249">
          <cell r="A2249">
            <v>31102192</v>
          </cell>
          <cell r="C2249">
            <v>31102192</v>
          </cell>
          <cell r="D2249">
            <v>31102192</v>
          </cell>
          <cell r="E2249">
            <v>31102192</v>
          </cell>
          <cell r="F2249">
            <v>31102192</v>
          </cell>
          <cell r="G2249">
            <v>31102192</v>
          </cell>
          <cell r="H2249">
            <v>31102192</v>
          </cell>
          <cell r="I2249" t="str">
            <v/>
          </cell>
          <cell r="J2249" t="str">
            <v/>
          </cell>
          <cell r="K2249" t="str">
            <v/>
          </cell>
          <cell r="L2249" t="str">
            <v/>
          </cell>
          <cell r="M2249" t="str">
            <v/>
          </cell>
        </row>
        <row r="2250">
          <cell r="A2250">
            <v>31102192</v>
          </cell>
          <cell r="C2250">
            <v>31102192</v>
          </cell>
          <cell r="D2250">
            <v>31102192</v>
          </cell>
          <cell r="E2250">
            <v>31102192</v>
          </cell>
          <cell r="F2250">
            <v>31102192</v>
          </cell>
          <cell r="G2250">
            <v>31102192</v>
          </cell>
          <cell r="H2250">
            <v>31102192</v>
          </cell>
          <cell r="I2250" t="str">
            <v/>
          </cell>
          <cell r="J2250" t="str">
            <v/>
          </cell>
          <cell r="K2250" t="str">
            <v/>
          </cell>
          <cell r="L2250" t="str">
            <v/>
          </cell>
          <cell r="M2250" t="str">
            <v/>
          </cell>
        </row>
        <row r="2251">
          <cell r="A2251">
            <v>31102192</v>
          </cell>
          <cell r="C2251">
            <v>31102192</v>
          </cell>
          <cell r="D2251">
            <v>31102192</v>
          </cell>
          <cell r="E2251">
            <v>31102192</v>
          </cell>
          <cell r="F2251">
            <v>31102192</v>
          </cell>
          <cell r="G2251">
            <v>31102192</v>
          </cell>
          <cell r="H2251">
            <v>31102192</v>
          </cell>
          <cell r="I2251" t="str">
            <v/>
          </cell>
          <cell r="J2251" t="str">
            <v/>
          </cell>
          <cell r="K2251" t="str">
            <v/>
          </cell>
          <cell r="L2251" t="str">
            <v/>
          </cell>
          <cell r="M2251" t="str">
            <v/>
          </cell>
        </row>
        <row r="2252">
          <cell r="A2252">
            <v>31102192</v>
          </cell>
          <cell r="C2252">
            <v>31102192</v>
          </cell>
          <cell r="D2252">
            <v>31102192</v>
          </cell>
          <cell r="E2252">
            <v>31102192</v>
          </cell>
          <cell r="F2252">
            <v>31102192</v>
          </cell>
          <cell r="G2252">
            <v>31102192</v>
          </cell>
          <cell r="H2252">
            <v>31102192</v>
          </cell>
          <cell r="I2252" t="str">
            <v/>
          </cell>
          <cell r="J2252" t="str">
            <v/>
          </cell>
          <cell r="K2252" t="str">
            <v/>
          </cell>
          <cell r="L2252" t="str">
            <v/>
          </cell>
          <cell r="M2252" t="str">
            <v/>
          </cell>
        </row>
        <row r="2253">
          <cell r="A2253">
            <v>31102192</v>
          </cell>
          <cell r="C2253">
            <v>31102192</v>
          </cell>
          <cell r="D2253">
            <v>31102192</v>
          </cell>
          <cell r="E2253">
            <v>31102192</v>
          </cell>
          <cell r="F2253">
            <v>31102192</v>
          </cell>
          <cell r="G2253">
            <v>31102192</v>
          </cell>
          <cell r="H2253">
            <v>31102192</v>
          </cell>
          <cell r="I2253" t="str">
            <v/>
          </cell>
          <cell r="J2253" t="str">
            <v/>
          </cell>
          <cell r="K2253" t="str">
            <v/>
          </cell>
          <cell r="L2253" t="str">
            <v/>
          </cell>
          <cell r="M2253" t="str">
            <v/>
          </cell>
        </row>
        <row r="2254">
          <cell r="A2254">
            <v>31102192</v>
          </cell>
          <cell r="C2254">
            <v>31102192</v>
          </cell>
          <cell r="D2254">
            <v>31102192</v>
          </cell>
          <cell r="E2254">
            <v>31102192</v>
          </cell>
          <cell r="F2254">
            <v>31102192</v>
          </cell>
          <cell r="G2254">
            <v>31102192</v>
          </cell>
          <cell r="H2254">
            <v>31102192</v>
          </cell>
          <cell r="I2254" t="str">
            <v/>
          </cell>
          <cell r="J2254" t="str">
            <v/>
          </cell>
          <cell r="K2254" t="str">
            <v/>
          </cell>
          <cell r="L2254" t="str">
            <v/>
          </cell>
          <cell r="M2254" t="str">
            <v/>
          </cell>
        </row>
        <row r="2255">
          <cell r="A2255">
            <v>31102192</v>
          </cell>
          <cell r="C2255">
            <v>31102192</v>
          </cell>
          <cell r="D2255">
            <v>31102192</v>
          </cell>
          <cell r="E2255">
            <v>31102192</v>
          </cell>
          <cell r="F2255">
            <v>31102192</v>
          </cell>
          <cell r="G2255">
            <v>31102192</v>
          </cell>
          <cell r="H2255">
            <v>31102192</v>
          </cell>
          <cell r="I2255" t="str">
            <v/>
          </cell>
          <cell r="J2255" t="str">
            <v/>
          </cell>
          <cell r="K2255" t="str">
            <v/>
          </cell>
          <cell r="L2255" t="str">
            <v/>
          </cell>
          <cell r="M2255" t="str">
            <v/>
          </cell>
        </row>
        <row r="2256">
          <cell r="A2256">
            <v>31102192</v>
          </cell>
          <cell r="C2256">
            <v>31102192</v>
          </cell>
          <cell r="D2256">
            <v>31102192</v>
          </cell>
          <cell r="E2256">
            <v>31102192</v>
          </cell>
          <cell r="F2256">
            <v>31102192</v>
          </cell>
          <cell r="G2256">
            <v>31102192</v>
          </cell>
          <cell r="H2256">
            <v>31102192</v>
          </cell>
          <cell r="I2256" t="str">
            <v/>
          </cell>
          <cell r="J2256" t="str">
            <v/>
          </cell>
          <cell r="K2256" t="str">
            <v/>
          </cell>
          <cell r="L2256" t="str">
            <v/>
          </cell>
          <cell r="M2256" t="str">
            <v/>
          </cell>
        </row>
        <row r="2257">
          <cell r="A2257">
            <v>31102192</v>
          </cell>
          <cell r="C2257">
            <v>31102192</v>
          </cell>
          <cell r="D2257">
            <v>31102192</v>
          </cell>
          <cell r="E2257">
            <v>31102192</v>
          </cell>
          <cell r="F2257">
            <v>31102192</v>
          </cell>
          <cell r="G2257">
            <v>31102192</v>
          </cell>
          <cell r="H2257">
            <v>31102192</v>
          </cell>
          <cell r="I2257" t="str">
            <v/>
          </cell>
          <cell r="J2257" t="str">
            <v/>
          </cell>
          <cell r="K2257" t="str">
            <v/>
          </cell>
          <cell r="L2257" t="str">
            <v/>
          </cell>
          <cell r="M2257" t="str">
            <v/>
          </cell>
        </row>
        <row r="2258">
          <cell r="A2258">
            <v>31102192</v>
          </cell>
          <cell r="C2258">
            <v>31102192</v>
          </cell>
          <cell r="D2258">
            <v>31102192</v>
          </cell>
          <cell r="E2258">
            <v>31102192</v>
          </cell>
          <cell r="F2258">
            <v>31102192</v>
          </cell>
          <cell r="G2258">
            <v>31102192</v>
          </cell>
          <cell r="H2258">
            <v>31102192</v>
          </cell>
          <cell r="I2258" t="str">
            <v/>
          </cell>
          <cell r="J2258" t="str">
            <v/>
          </cell>
          <cell r="K2258" t="str">
            <v/>
          </cell>
          <cell r="L2258" t="str">
            <v/>
          </cell>
          <cell r="M2258" t="str">
            <v/>
          </cell>
        </row>
        <row r="2259">
          <cell r="A2259">
            <v>31102192</v>
          </cell>
          <cell r="C2259">
            <v>31102192</v>
          </cell>
          <cell r="D2259">
            <v>31102192</v>
          </cell>
          <cell r="E2259">
            <v>31102192</v>
          </cell>
          <cell r="F2259">
            <v>31102192</v>
          </cell>
          <cell r="G2259">
            <v>31102192</v>
          </cell>
          <cell r="H2259">
            <v>31102192</v>
          </cell>
          <cell r="I2259" t="str">
            <v/>
          </cell>
          <cell r="J2259" t="str">
            <v/>
          </cell>
          <cell r="K2259" t="str">
            <v/>
          </cell>
          <cell r="L2259" t="str">
            <v/>
          </cell>
          <cell r="M2259" t="str">
            <v/>
          </cell>
        </row>
        <row r="2260">
          <cell r="A2260">
            <v>31102192</v>
          </cell>
          <cell r="C2260">
            <v>31102192</v>
          </cell>
          <cell r="D2260">
            <v>31102192</v>
          </cell>
          <cell r="E2260">
            <v>31102192</v>
          </cell>
          <cell r="F2260">
            <v>31102192</v>
          </cell>
          <cell r="G2260">
            <v>31102192</v>
          </cell>
          <cell r="H2260">
            <v>31102192</v>
          </cell>
          <cell r="I2260" t="str">
            <v/>
          </cell>
          <cell r="J2260" t="str">
            <v/>
          </cell>
          <cell r="K2260" t="str">
            <v/>
          </cell>
          <cell r="L2260" t="str">
            <v/>
          </cell>
          <cell r="M2260" t="str">
            <v/>
          </cell>
        </row>
        <row r="2261">
          <cell r="A2261">
            <v>31102192</v>
          </cell>
          <cell r="C2261">
            <v>31102192</v>
          </cell>
          <cell r="D2261">
            <v>31102192</v>
          </cell>
          <cell r="E2261">
            <v>31102192</v>
          </cell>
          <cell r="F2261">
            <v>31102192</v>
          </cell>
          <cell r="G2261">
            <v>31102192</v>
          </cell>
          <cell r="H2261">
            <v>31102192</v>
          </cell>
          <cell r="I2261" t="str">
            <v/>
          </cell>
          <cell r="J2261" t="str">
            <v/>
          </cell>
          <cell r="K2261" t="str">
            <v/>
          </cell>
          <cell r="L2261" t="str">
            <v/>
          </cell>
          <cell r="M2261" t="str">
            <v/>
          </cell>
        </row>
        <row r="2262">
          <cell r="A2262">
            <v>31102192</v>
          </cell>
          <cell r="C2262">
            <v>31102192</v>
          </cell>
          <cell r="D2262">
            <v>31102192</v>
          </cell>
          <cell r="E2262">
            <v>31102192</v>
          </cell>
          <cell r="F2262">
            <v>31102192</v>
          </cell>
          <cell r="G2262">
            <v>31102192</v>
          </cell>
          <cell r="H2262">
            <v>31102192</v>
          </cell>
          <cell r="I2262" t="str">
            <v/>
          </cell>
          <cell r="J2262" t="str">
            <v/>
          </cell>
          <cell r="K2262" t="str">
            <v/>
          </cell>
          <cell r="L2262" t="str">
            <v/>
          </cell>
          <cell r="M2262" t="str">
            <v/>
          </cell>
        </row>
        <row r="2263">
          <cell r="A2263">
            <v>31102192</v>
          </cell>
          <cell r="C2263">
            <v>31102192</v>
          </cell>
          <cell r="D2263">
            <v>31102192</v>
          </cell>
          <cell r="E2263">
            <v>31102192</v>
          </cell>
          <cell r="F2263">
            <v>31102192</v>
          </cell>
          <cell r="G2263">
            <v>31102192</v>
          </cell>
          <cell r="H2263">
            <v>31102192</v>
          </cell>
          <cell r="I2263" t="str">
            <v/>
          </cell>
          <cell r="J2263" t="str">
            <v/>
          </cell>
          <cell r="K2263" t="str">
            <v/>
          </cell>
          <cell r="L2263" t="str">
            <v/>
          </cell>
          <cell r="M2263" t="str">
            <v/>
          </cell>
        </row>
        <row r="2264">
          <cell r="A2264">
            <v>31102192</v>
          </cell>
          <cell r="C2264">
            <v>31102192</v>
          </cell>
          <cell r="D2264">
            <v>31102192</v>
          </cell>
          <cell r="E2264">
            <v>31102192</v>
          </cell>
          <cell r="F2264">
            <v>31102192</v>
          </cell>
          <cell r="G2264">
            <v>31102192</v>
          </cell>
          <cell r="H2264">
            <v>31102192</v>
          </cell>
          <cell r="I2264" t="str">
            <v/>
          </cell>
          <cell r="J2264" t="str">
            <v/>
          </cell>
          <cell r="K2264" t="str">
            <v/>
          </cell>
          <cell r="L2264" t="str">
            <v/>
          </cell>
          <cell r="M2264" t="str">
            <v/>
          </cell>
        </row>
        <row r="2265">
          <cell r="A2265">
            <v>31102192</v>
          </cell>
          <cell r="C2265">
            <v>31102192</v>
          </cell>
          <cell r="D2265">
            <v>31102192</v>
          </cell>
          <cell r="E2265">
            <v>31102192</v>
          </cell>
          <cell r="F2265">
            <v>31102192</v>
          </cell>
          <cell r="G2265">
            <v>31102192</v>
          </cell>
          <cell r="H2265">
            <v>31102192</v>
          </cell>
          <cell r="I2265" t="str">
            <v/>
          </cell>
          <cell r="J2265" t="str">
            <v/>
          </cell>
          <cell r="K2265" t="str">
            <v/>
          </cell>
          <cell r="L2265" t="str">
            <v/>
          </cell>
          <cell r="M2265" t="str">
            <v/>
          </cell>
        </row>
        <row r="2266">
          <cell r="A2266">
            <v>31102192</v>
          </cell>
          <cell r="C2266">
            <v>31102192</v>
          </cell>
          <cell r="D2266">
            <v>31102192</v>
          </cell>
          <cell r="E2266">
            <v>31102192</v>
          </cell>
          <cell r="F2266">
            <v>31102192</v>
          </cell>
          <cell r="G2266">
            <v>31102192</v>
          </cell>
          <cell r="H2266">
            <v>31102192</v>
          </cell>
          <cell r="I2266" t="str">
            <v/>
          </cell>
          <cell r="J2266" t="str">
            <v/>
          </cell>
          <cell r="K2266" t="str">
            <v/>
          </cell>
          <cell r="L2266" t="str">
            <v/>
          </cell>
          <cell r="M2266" t="str">
            <v/>
          </cell>
        </row>
        <row r="2267">
          <cell r="A2267">
            <v>31102192</v>
          </cell>
          <cell r="C2267">
            <v>31102192</v>
          </cell>
          <cell r="D2267">
            <v>31102192</v>
          </cell>
          <cell r="E2267">
            <v>31102192</v>
          </cell>
          <cell r="F2267">
            <v>31102192</v>
          </cell>
          <cell r="G2267">
            <v>31102192</v>
          </cell>
          <cell r="H2267">
            <v>31102192</v>
          </cell>
          <cell r="I2267" t="str">
            <v/>
          </cell>
          <cell r="J2267" t="str">
            <v/>
          </cell>
          <cell r="K2267" t="str">
            <v/>
          </cell>
          <cell r="L2267" t="str">
            <v/>
          </cell>
          <cell r="M2267" t="str">
            <v/>
          </cell>
        </row>
        <row r="2268">
          <cell r="A2268">
            <v>31102192</v>
          </cell>
          <cell r="C2268">
            <v>31102192</v>
          </cell>
          <cell r="D2268">
            <v>31102192</v>
          </cell>
          <cell r="E2268">
            <v>31102192</v>
          </cell>
          <cell r="F2268">
            <v>31102192</v>
          </cell>
          <cell r="G2268">
            <v>31102192</v>
          </cell>
          <cell r="H2268">
            <v>31102192</v>
          </cell>
          <cell r="I2268" t="str">
            <v/>
          </cell>
          <cell r="J2268" t="str">
            <v/>
          </cell>
          <cell r="K2268" t="str">
            <v/>
          </cell>
          <cell r="L2268" t="str">
            <v/>
          </cell>
          <cell r="M2268" t="str">
            <v/>
          </cell>
        </row>
        <row r="2269">
          <cell r="A2269">
            <v>31102192</v>
          </cell>
          <cell r="C2269">
            <v>31102192</v>
          </cell>
          <cell r="D2269">
            <v>31102192</v>
          </cell>
          <cell r="E2269">
            <v>31102192</v>
          </cell>
          <cell r="F2269">
            <v>31102192</v>
          </cell>
          <cell r="G2269">
            <v>31102192</v>
          </cell>
          <cell r="H2269">
            <v>31102192</v>
          </cell>
          <cell r="I2269" t="str">
            <v/>
          </cell>
          <cell r="J2269" t="str">
            <v/>
          </cell>
          <cell r="K2269" t="str">
            <v/>
          </cell>
          <cell r="L2269" t="str">
            <v/>
          </cell>
          <cell r="M2269" t="str">
            <v/>
          </cell>
        </row>
        <row r="2270">
          <cell r="A2270">
            <v>31102192</v>
          </cell>
          <cell r="C2270">
            <v>31102192</v>
          </cell>
          <cell r="D2270">
            <v>31102192</v>
          </cell>
          <cell r="E2270">
            <v>31102192</v>
          </cell>
          <cell r="F2270">
            <v>31102192</v>
          </cell>
          <cell r="G2270">
            <v>31102192</v>
          </cell>
          <cell r="H2270">
            <v>31102192</v>
          </cell>
          <cell r="I2270" t="str">
            <v/>
          </cell>
          <cell r="J2270" t="str">
            <v/>
          </cell>
          <cell r="K2270" t="str">
            <v/>
          </cell>
          <cell r="L2270" t="str">
            <v/>
          </cell>
          <cell r="M2270" t="str">
            <v/>
          </cell>
        </row>
        <row r="2271">
          <cell r="A2271">
            <v>31102192</v>
          </cell>
          <cell r="C2271">
            <v>31102192</v>
          </cell>
          <cell r="D2271">
            <v>31102192</v>
          </cell>
          <cell r="E2271">
            <v>31102192</v>
          </cell>
          <cell r="F2271">
            <v>31102192</v>
          </cell>
          <cell r="G2271">
            <v>31102192</v>
          </cell>
          <cell r="H2271">
            <v>31102192</v>
          </cell>
          <cell r="I2271" t="str">
            <v/>
          </cell>
          <cell r="J2271" t="str">
            <v/>
          </cell>
          <cell r="K2271" t="str">
            <v/>
          </cell>
          <cell r="L2271" t="str">
            <v/>
          </cell>
          <cell r="M2271" t="str">
            <v/>
          </cell>
        </row>
        <row r="2272">
          <cell r="A2272">
            <v>31102192</v>
          </cell>
          <cell r="C2272">
            <v>31102192</v>
          </cell>
          <cell r="D2272">
            <v>31102192</v>
          </cell>
          <cell r="E2272">
            <v>31102192</v>
          </cell>
          <cell r="F2272">
            <v>31102192</v>
          </cell>
          <cell r="G2272">
            <v>31102192</v>
          </cell>
          <cell r="H2272">
            <v>31102192</v>
          </cell>
          <cell r="I2272" t="str">
            <v/>
          </cell>
          <cell r="J2272" t="str">
            <v/>
          </cell>
          <cell r="K2272" t="str">
            <v/>
          </cell>
          <cell r="L2272" t="str">
            <v/>
          </cell>
          <cell r="M2272" t="str">
            <v/>
          </cell>
        </row>
        <row r="2273">
          <cell r="A2273">
            <v>31102192</v>
          </cell>
          <cell r="C2273">
            <v>31102192</v>
          </cell>
          <cell r="D2273">
            <v>31102192</v>
          </cell>
          <cell r="E2273">
            <v>31102192</v>
          </cell>
          <cell r="F2273">
            <v>31102192</v>
          </cell>
          <cell r="G2273">
            <v>31102192</v>
          </cell>
          <cell r="H2273">
            <v>31102192</v>
          </cell>
          <cell r="I2273" t="str">
            <v/>
          </cell>
          <cell r="J2273" t="str">
            <v/>
          </cell>
          <cell r="K2273" t="str">
            <v/>
          </cell>
          <cell r="L2273" t="str">
            <v/>
          </cell>
          <cell r="M2273" t="str">
            <v/>
          </cell>
        </row>
        <row r="2274">
          <cell r="A2274">
            <v>31102192</v>
          </cell>
          <cell r="C2274">
            <v>31102192</v>
          </cell>
          <cell r="D2274">
            <v>31102192</v>
          </cell>
          <cell r="E2274">
            <v>31102192</v>
          </cell>
          <cell r="F2274">
            <v>31102192</v>
          </cell>
          <cell r="G2274">
            <v>31102192</v>
          </cell>
          <cell r="H2274">
            <v>31102192</v>
          </cell>
          <cell r="I2274" t="str">
            <v/>
          </cell>
          <cell r="J2274" t="str">
            <v/>
          </cell>
          <cell r="K2274" t="str">
            <v/>
          </cell>
          <cell r="L2274" t="str">
            <v/>
          </cell>
          <cell r="M2274" t="str">
            <v/>
          </cell>
        </row>
        <row r="2275">
          <cell r="A2275">
            <v>31102192</v>
          </cell>
          <cell r="C2275">
            <v>31102192</v>
          </cell>
          <cell r="D2275">
            <v>31102192</v>
          </cell>
          <cell r="E2275">
            <v>31102192</v>
          </cell>
          <cell r="F2275">
            <v>31102192</v>
          </cell>
          <cell r="G2275">
            <v>31102192</v>
          </cell>
          <cell r="H2275">
            <v>31102192</v>
          </cell>
          <cell r="I2275" t="str">
            <v/>
          </cell>
          <cell r="J2275" t="str">
            <v/>
          </cell>
          <cell r="K2275" t="str">
            <v/>
          </cell>
          <cell r="L2275" t="str">
            <v/>
          </cell>
          <cell r="M2275" t="str">
            <v/>
          </cell>
        </row>
        <row r="2276">
          <cell r="A2276">
            <v>31102192</v>
          </cell>
          <cell r="C2276">
            <v>31102192</v>
          </cell>
          <cell r="D2276">
            <v>31102192</v>
          </cell>
          <cell r="E2276">
            <v>31102192</v>
          </cell>
          <cell r="F2276">
            <v>31102192</v>
          </cell>
          <cell r="G2276">
            <v>31102192</v>
          </cell>
          <cell r="H2276">
            <v>31102192</v>
          </cell>
          <cell r="I2276" t="str">
            <v/>
          </cell>
          <cell r="J2276" t="str">
            <v/>
          </cell>
          <cell r="K2276" t="str">
            <v/>
          </cell>
          <cell r="L2276" t="str">
            <v/>
          </cell>
          <cell r="M2276" t="str">
            <v/>
          </cell>
        </row>
        <row r="2277">
          <cell r="A2277">
            <v>31102192</v>
          </cell>
          <cell r="C2277">
            <v>31102192</v>
          </cell>
          <cell r="D2277">
            <v>31102192</v>
          </cell>
          <cell r="E2277">
            <v>31102192</v>
          </cell>
          <cell r="F2277">
            <v>31102192</v>
          </cell>
          <cell r="G2277">
            <v>31102192</v>
          </cell>
          <cell r="H2277">
            <v>31102192</v>
          </cell>
          <cell r="I2277" t="str">
            <v/>
          </cell>
          <cell r="J2277" t="str">
            <v/>
          </cell>
          <cell r="K2277" t="str">
            <v/>
          </cell>
          <cell r="L2277" t="str">
            <v/>
          </cell>
          <cell r="M2277" t="str">
            <v/>
          </cell>
        </row>
        <row r="2278">
          <cell r="A2278">
            <v>31102192</v>
          </cell>
          <cell r="C2278">
            <v>31102192</v>
          </cell>
          <cell r="D2278">
            <v>31102192</v>
          </cell>
          <cell r="E2278">
            <v>31102192</v>
          </cell>
          <cell r="F2278">
            <v>31102192</v>
          </cell>
          <cell r="G2278">
            <v>31102192</v>
          </cell>
          <cell r="H2278">
            <v>31102192</v>
          </cell>
          <cell r="I2278" t="str">
            <v/>
          </cell>
          <cell r="J2278" t="str">
            <v/>
          </cell>
          <cell r="K2278" t="str">
            <v/>
          </cell>
          <cell r="L2278" t="str">
            <v/>
          </cell>
          <cell r="M2278" t="str">
            <v/>
          </cell>
        </row>
        <row r="2279">
          <cell r="A2279">
            <v>31102192</v>
          </cell>
          <cell r="C2279">
            <v>31102192</v>
          </cell>
          <cell r="D2279">
            <v>31102192</v>
          </cell>
          <cell r="E2279">
            <v>31102192</v>
          </cell>
          <cell r="F2279">
            <v>31102192</v>
          </cell>
          <cell r="G2279">
            <v>31102192</v>
          </cell>
          <cell r="H2279">
            <v>31102192</v>
          </cell>
          <cell r="I2279" t="str">
            <v/>
          </cell>
          <cell r="J2279" t="str">
            <v/>
          </cell>
          <cell r="K2279" t="str">
            <v/>
          </cell>
          <cell r="L2279" t="str">
            <v/>
          </cell>
          <cell r="M2279" t="str">
            <v/>
          </cell>
        </row>
        <row r="2280">
          <cell r="A2280">
            <v>31102192</v>
          </cell>
          <cell r="C2280">
            <v>31102192</v>
          </cell>
          <cell r="D2280">
            <v>31102192</v>
          </cell>
          <cell r="E2280">
            <v>31102192</v>
          </cell>
          <cell r="F2280">
            <v>31102192</v>
          </cell>
          <cell r="G2280">
            <v>31102192</v>
          </cell>
          <cell r="H2280">
            <v>31102192</v>
          </cell>
          <cell r="I2280" t="str">
            <v/>
          </cell>
          <cell r="J2280" t="str">
            <v/>
          </cell>
          <cell r="K2280" t="str">
            <v/>
          </cell>
          <cell r="L2280" t="str">
            <v/>
          </cell>
          <cell r="M2280" t="str">
            <v/>
          </cell>
        </row>
        <row r="2281">
          <cell r="A2281">
            <v>31102192</v>
          </cell>
          <cell r="C2281">
            <v>31102192</v>
          </cell>
          <cell r="D2281">
            <v>31102192</v>
          </cell>
          <cell r="E2281">
            <v>31102192</v>
          </cell>
          <cell r="F2281">
            <v>31102192</v>
          </cell>
          <cell r="G2281">
            <v>31102192</v>
          </cell>
          <cell r="H2281">
            <v>31102192</v>
          </cell>
          <cell r="I2281" t="str">
            <v/>
          </cell>
          <cell r="J2281" t="str">
            <v/>
          </cell>
          <cell r="K2281" t="str">
            <v/>
          </cell>
          <cell r="L2281" t="str">
            <v/>
          </cell>
          <cell r="M2281" t="str">
            <v/>
          </cell>
        </row>
        <row r="2282">
          <cell r="A2282">
            <v>31102192</v>
          </cell>
          <cell r="C2282">
            <v>31102192</v>
          </cell>
          <cell r="D2282">
            <v>31102192</v>
          </cell>
          <cell r="E2282">
            <v>31102192</v>
          </cell>
          <cell r="F2282">
            <v>31102192</v>
          </cell>
          <cell r="G2282">
            <v>31102192</v>
          </cell>
          <cell r="H2282">
            <v>31102192</v>
          </cell>
          <cell r="I2282" t="str">
            <v/>
          </cell>
          <cell r="J2282" t="str">
            <v/>
          </cell>
          <cell r="K2282" t="str">
            <v/>
          </cell>
          <cell r="L2282" t="str">
            <v/>
          </cell>
          <cell r="M2282" t="str">
            <v/>
          </cell>
        </row>
        <row r="2283">
          <cell r="A2283">
            <v>31102192</v>
          </cell>
          <cell r="C2283">
            <v>31102192</v>
          </cell>
          <cell r="D2283">
            <v>31102192</v>
          </cell>
          <cell r="E2283">
            <v>31102192</v>
          </cell>
          <cell r="F2283">
            <v>31102192</v>
          </cell>
          <cell r="G2283">
            <v>31102192</v>
          </cell>
          <cell r="H2283">
            <v>31102192</v>
          </cell>
          <cell r="I2283" t="str">
            <v/>
          </cell>
          <cell r="J2283" t="str">
            <v/>
          </cell>
          <cell r="K2283" t="str">
            <v/>
          </cell>
          <cell r="L2283" t="str">
            <v/>
          </cell>
          <cell r="M2283" t="str">
            <v/>
          </cell>
        </row>
        <row r="2284">
          <cell r="A2284">
            <v>31102192</v>
          </cell>
          <cell r="C2284">
            <v>31102192</v>
          </cell>
          <cell r="D2284">
            <v>31102192</v>
          </cell>
          <cell r="E2284">
            <v>31102192</v>
          </cell>
          <cell r="F2284">
            <v>31102192</v>
          </cell>
          <cell r="G2284">
            <v>31102192</v>
          </cell>
          <cell r="H2284">
            <v>31102192</v>
          </cell>
          <cell r="I2284" t="str">
            <v/>
          </cell>
          <cell r="J2284" t="str">
            <v/>
          </cell>
          <cell r="K2284" t="str">
            <v/>
          </cell>
          <cell r="L2284" t="str">
            <v/>
          </cell>
          <cell r="M2284" t="str">
            <v/>
          </cell>
        </row>
        <row r="2285">
          <cell r="A2285">
            <v>31102192</v>
          </cell>
          <cell r="C2285">
            <v>31102192</v>
          </cell>
          <cell r="D2285">
            <v>31102192</v>
          </cell>
          <cell r="E2285">
            <v>31102192</v>
          </cell>
          <cell r="F2285">
            <v>31102192</v>
          </cell>
          <cell r="G2285">
            <v>31102192</v>
          </cell>
          <cell r="H2285">
            <v>31102192</v>
          </cell>
          <cell r="I2285" t="str">
            <v/>
          </cell>
          <cell r="J2285" t="str">
            <v/>
          </cell>
          <cell r="K2285" t="str">
            <v/>
          </cell>
          <cell r="L2285" t="str">
            <v/>
          </cell>
          <cell r="M2285" t="str">
            <v/>
          </cell>
        </row>
        <row r="2286">
          <cell r="A2286">
            <v>31102192</v>
          </cell>
          <cell r="C2286">
            <v>31102192</v>
          </cell>
          <cell r="D2286">
            <v>31102192</v>
          </cell>
          <cell r="E2286">
            <v>31102192</v>
          </cell>
          <cell r="F2286">
            <v>31102192</v>
          </cell>
          <cell r="G2286">
            <v>31102192</v>
          </cell>
          <cell r="H2286">
            <v>31102192</v>
          </cell>
          <cell r="I2286" t="str">
            <v/>
          </cell>
          <cell r="J2286" t="str">
            <v/>
          </cell>
          <cell r="K2286" t="str">
            <v/>
          </cell>
          <cell r="L2286" t="str">
            <v/>
          </cell>
          <cell r="M2286" t="str">
            <v/>
          </cell>
        </row>
        <row r="2287">
          <cell r="A2287">
            <v>31102192</v>
          </cell>
          <cell r="C2287">
            <v>31102192</v>
          </cell>
          <cell r="D2287">
            <v>31102192</v>
          </cell>
          <cell r="E2287">
            <v>31102192</v>
          </cell>
          <cell r="F2287">
            <v>31102192</v>
          </cell>
          <cell r="G2287">
            <v>31102192</v>
          </cell>
          <cell r="H2287">
            <v>31102192</v>
          </cell>
          <cell r="I2287" t="str">
            <v/>
          </cell>
          <cell r="J2287" t="str">
            <v/>
          </cell>
          <cell r="K2287" t="str">
            <v/>
          </cell>
          <cell r="L2287" t="str">
            <v/>
          </cell>
          <cell r="M2287" t="str">
            <v/>
          </cell>
        </row>
        <row r="2288">
          <cell r="A2288">
            <v>31102192</v>
          </cell>
          <cell r="C2288">
            <v>31102192</v>
          </cell>
          <cell r="D2288">
            <v>31102192</v>
          </cell>
          <cell r="E2288">
            <v>31102192</v>
          </cell>
          <cell r="F2288">
            <v>31102192</v>
          </cell>
          <cell r="G2288">
            <v>31102192</v>
          </cell>
          <cell r="H2288">
            <v>31102192</v>
          </cell>
          <cell r="I2288" t="str">
            <v/>
          </cell>
          <cell r="J2288" t="str">
            <v/>
          </cell>
          <cell r="K2288" t="str">
            <v/>
          </cell>
          <cell r="L2288" t="str">
            <v/>
          </cell>
          <cell r="M2288" t="str">
            <v/>
          </cell>
        </row>
        <row r="2289">
          <cell r="A2289">
            <v>31102192</v>
          </cell>
          <cell r="C2289">
            <v>31102192</v>
          </cell>
          <cell r="D2289">
            <v>31102192</v>
          </cell>
          <cell r="E2289">
            <v>31102192</v>
          </cell>
          <cell r="F2289">
            <v>31102192</v>
          </cell>
          <cell r="G2289">
            <v>31102192</v>
          </cell>
          <cell r="H2289">
            <v>31102192</v>
          </cell>
          <cell r="I2289" t="str">
            <v/>
          </cell>
          <cell r="J2289" t="str">
            <v/>
          </cell>
          <cell r="K2289" t="str">
            <v/>
          </cell>
          <cell r="L2289" t="str">
            <v/>
          </cell>
          <cell r="M2289" t="str">
            <v/>
          </cell>
        </row>
        <row r="2290">
          <cell r="A2290">
            <v>31102192</v>
          </cell>
          <cell r="C2290">
            <v>31102192</v>
          </cell>
          <cell r="D2290">
            <v>31102192</v>
          </cell>
          <cell r="E2290">
            <v>31102192</v>
          </cell>
          <cell r="F2290">
            <v>31102192</v>
          </cell>
          <cell r="G2290">
            <v>31102192</v>
          </cell>
          <cell r="H2290">
            <v>31102192</v>
          </cell>
          <cell r="I2290" t="str">
            <v/>
          </cell>
          <cell r="J2290" t="str">
            <v/>
          </cell>
          <cell r="K2290" t="str">
            <v/>
          </cell>
          <cell r="L2290" t="str">
            <v/>
          </cell>
          <cell r="M2290" t="str">
            <v/>
          </cell>
        </row>
        <row r="2291">
          <cell r="A2291">
            <v>31102192</v>
          </cell>
          <cell r="C2291">
            <v>31102192</v>
          </cell>
          <cell r="D2291">
            <v>31102192</v>
          </cell>
          <cell r="E2291">
            <v>31102192</v>
          </cell>
          <cell r="F2291">
            <v>31102192</v>
          </cell>
          <cell r="G2291">
            <v>31102192</v>
          </cell>
          <cell r="H2291">
            <v>31102192</v>
          </cell>
          <cell r="I2291" t="str">
            <v/>
          </cell>
          <cell r="J2291" t="str">
            <v/>
          </cell>
          <cell r="K2291" t="str">
            <v/>
          </cell>
          <cell r="L2291" t="str">
            <v/>
          </cell>
          <cell r="M2291" t="str">
            <v/>
          </cell>
        </row>
        <row r="2292">
          <cell r="A2292">
            <v>31102192</v>
          </cell>
          <cell r="C2292">
            <v>31102192</v>
          </cell>
          <cell r="D2292">
            <v>31102192</v>
          </cell>
          <cell r="E2292">
            <v>31102192</v>
          </cell>
          <cell r="F2292">
            <v>31102192</v>
          </cell>
          <cell r="G2292">
            <v>31102192</v>
          </cell>
          <cell r="H2292">
            <v>31102192</v>
          </cell>
          <cell r="I2292" t="str">
            <v/>
          </cell>
          <cell r="J2292" t="str">
            <v/>
          </cell>
          <cell r="K2292" t="str">
            <v/>
          </cell>
          <cell r="L2292" t="str">
            <v/>
          </cell>
          <cell r="M2292" t="str">
            <v/>
          </cell>
        </row>
        <row r="2293">
          <cell r="A2293">
            <v>31102192</v>
          </cell>
          <cell r="C2293">
            <v>31102192</v>
          </cell>
          <cell r="D2293">
            <v>31102192</v>
          </cell>
          <cell r="E2293">
            <v>31102192</v>
          </cell>
          <cell r="F2293">
            <v>31102192</v>
          </cell>
          <cell r="G2293">
            <v>31102192</v>
          </cell>
          <cell r="H2293">
            <v>31102192</v>
          </cell>
          <cell r="I2293" t="str">
            <v/>
          </cell>
          <cell r="J2293" t="str">
            <v/>
          </cell>
          <cell r="K2293" t="str">
            <v/>
          </cell>
          <cell r="L2293" t="str">
            <v/>
          </cell>
          <cell r="M2293" t="str">
            <v/>
          </cell>
        </row>
        <row r="2294">
          <cell r="A2294">
            <v>31102192</v>
          </cell>
          <cell r="C2294">
            <v>31102192</v>
          </cell>
          <cell r="D2294">
            <v>31102192</v>
          </cell>
          <cell r="E2294">
            <v>31102192</v>
          </cell>
          <cell r="F2294">
            <v>31102192</v>
          </cell>
          <cell r="G2294">
            <v>31102192</v>
          </cell>
          <cell r="H2294">
            <v>31102192</v>
          </cell>
          <cell r="I2294" t="str">
            <v/>
          </cell>
          <cell r="J2294" t="str">
            <v/>
          </cell>
          <cell r="K2294" t="str">
            <v/>
          </cell>
          <cell r="L2294" t="str">
            <v/>
          </cell>
          <cell r="M2294" t="str">
            <v/>
          </cell>
        </row>
        <row r="2295">
          <cell r="A2295">
            <v>31102192</v>
          </cell>
          <cell r="C2295">
            <v>31102192</v>
          </cell>
          <cell r="D2295">
            <v>31102192</v>
          </cell>
          <cell r="E2295">
            <v>31102192</v>
          </cell>
          <cell r="F2295">
            <v>31102192</v>
          </cell>
          <cell r="G2295">
            <v>31102192</v>
          </cell>
          <cell r="H2295">
            <v>31102192</v>
          </cell>
          <cell r="I2295" t="str">
            <v/>
          </cell>
          <cell r="J2295" t="str">
            <v/>
          </cell>
          <cell r="K2295" t="str">
            <v/>
          </cell>
          <cell r="L2295" t="str">
            <v/>
          </cell>
          <cell r="M2295" t="str">
            <v/>
          </cell>
        </row>
        <row r="2296">
          <cell r="A2296">
            <v>31102192</v>
          </cell>
          <cell r="C2296">
            <v>31102192</v>
          </cell>
          <cell r="D2296">
            <v>31102192</v>
          </cell>
          <cell r="E2296">
            <v>31102192</v>
          </cell>
          <cell r="F2296">
            <v>31102192</v>
          </cell>
          <cell r="G2296">
            <v>31102192</v>
          </cell>
          <cell r="H2296">
            <v>31102192</v>
          </cell>
          <cell r="I2296" t="str">
            <v/>
          </cell>
          <cell r="J2296" t="str">
            <v/>
          </cell>
          <cell r="K2296" t="str">
            <v/>
          </cell>
          <cell r="L2296" t="str">
            <v/>
          </cell>
          <cell r="M2296" t="str">
            <v/>
          </cell>
        </row>
        <row r="2297">
          <cell r="A2297">
            <v>31102192</v>
          </cell>
          <cell r="C2297">
            <v>31102192</v>
          </cell>
          <cell r="D2297">
            <v>31102192</v>
          </cell>
          <cell r="E2297">
            <v>31102192</v>
          </cell>
          <cell r="F2297">
            <v>31102192</v>
          </cell>
          <cell r="G2297">
            <v>31102192</v>
          </cell>
          <cell r="H2297">
            <v>31102192</v>
          </cell>
          <cell r="I2297" t="str">
            <v/>
          </cell>
          <cell r="J2297" t="str">
            <v/>
          </cell>
          <cell r="K2297" t="str">
            <v/>
          </cell>
          <cell r="L2297" t="str">
            <v/>
          </cell>
          <cell r="M2297" t="str">
            <v/>
          </cell>
        </row>
        <row r="2298">
          <cell r="A2298">
            <v>31102192</v>
          </cell>
          <cell r="C2298">
            <v>31102192</v>
          </cell>
          <cell r="D2298">
            <v>31102192</v>
          </cell>
          <cell r="E2298">
            <v>31102192</v>
          </cell>
          <cell r="F2298">
            <v>31102192</v>
          </cell>
          <cell r="G2298">
            <v>31102192</v>
          </cell>
          <cell r="H2298">
            <v>31102192</v>
          </cell>
          <cell r="I2298" t="str">
            <v/>
          </cell>
          <cell r="J2298" t="str">
            <v/>
          </cell>
          <cell r="K2298" t="str">
            <v/>
          </cell>
          <cell r="L2298" t="str">
            <v/>
          </cell>
          <cell r="M2298" t="str">
            <v/>
          </cell>
        </row>
        <row r="2299">
          <cell r="A2299">
            <v>31102192</v>
          </cell>
          <cell r="C2299">
            <v>31102192</v>
          </cell>
          <cell r="D2299">
            <v>31102192</v>
          </cell>
          <cell r="E2299">
            <v>31102192</v>
          </cell>
          <cell r="F2299">
            <v>31102192</v>
          </cell>
          <cell r="G2299">
            <v>31102192</v>
          </cell>
          <cell r="H2299">
            <v>31102192</v>
          </cell>
          <cell r="I2299" t="str">
            <v/>
          </cell>
          <cell r="J2299" t="str">
            <v/>
          </cell>
          <cell r="K2299" t="str">
            <v/>
          </cell>
          <cell r="L2299" t="str">
            <v/>
          </cell>
          <cell r="M2299" t="str">
            <v/>
          </cell>
        </row>
        <row r="2300">
          <cell r="A2300">
            <v>31102192</v>
          </cell>
          <cell r="C2300">
            <v>31102192</v>
          </cell>
          <cell r="D2300">
            <v>31102192</v>
          </cell>
          <cell r="E2300">
            <v>31102192</v>
          </cell>
          <cell r="F2300">
            <v>31102192</v>
          </cell>
          <cell r="G2300">
            <v>31102192</v>
          </cell>
          <cell r="H2300">
            <v>31102192</v>
          </cell>
          <cell r="I2300" t="str">
            <v/>
          </cell>
          <cell r="J2300" t="str">
            <v/>
          </cell>
          <cell r="K2300" t="str">
            <v/>
          </cell>
          <cell r="L2300" t="str">
            <v/>
          </cell>
          <cell r="M2300" t="str">
            <v/>
          </cell>
        </row>
        <row r="2301">
          <cell r="A2301">
            <v>31102192</v>
          </cell>
          <cell r="C2301">
            <v>31102192</v>
          </cell>
          <cell r="D2301">
            <v>31102192</v>
          </cell>
          <cell r="E2301">
            <v>31102192</v>
          </cell>
          <cell r="F2301">
            <v>31102192</v>
          </cell>
          <cell r="G2301">
            <v>31102192</v>
          </cell>
          <cell r="H2301">
            <v>31102192</v>
          </cell>
          <cell r="I2301" t="str">
            <v/>
          </cell>
          <cell r="J2301" t="str">
            <v/>
          </cell>
          <cell r="K2301" t="str">
            <v/>
          </cell>
          <cell r="L2301" t="str">
            <v/>
          </cell>
          <cell r="M2301" t="str">
            <v/>
          </cell>
        </row>
        <row r="2302">
          <cell r="A2302">
            <v>31102192</v>
          </cell>
          <cell r="C2302">
            <v>31102192</v>
          </cell>
          <cell r="D2302">
            <v>31102192</v>
          </cell>
          <cell r="E2302">
            <v>31102192</v>
          </cell>
          <cell r="F2302">
            <v>31102192</v>
          </cell>
          <cell r="G2302">
            <v>31102192</v>
          </cell>
          <cell r="H2302">
            <v>31102192</v>
          </cell>
          <cell r="I2302" t="str">
            <v/>
          </cell>
          <cell r="J2302" t="str">
            <v/>
          </cell>
          <cell r="K2302" t="str">
            <v/>
          </cell>
          <cell r="L2302" t="str">
            <v/>
          </cell>
          <cell r="M2302" t="str">
            <v/>
          </cell>
        </row>
        <row r="2303">
          <cell r="A2303">
            <v>31102192</v>
          </cell>
          <cell r="C2303">
            <v>31102192</v>
          </cell>
          <cell r="D2303">
            <v>31102192</v>
          </cell>
          <cell r="E2303">
            <v>31102192</v>
          </cell>
          <cell r="F2303">
            <v>31102192</v>
          </cell>
          <cell r="G2303">
            <v>31102192</v>
          </cell>
          <cell r="H2303">
            <v>31102192</v>
          </cell>
          <cell r="I2303" t="str">
            <v/>
          </cell>
          <cell r="J2303" t="str">
            <v/>
          </cell>
          <cell r="K2303" t="str">
            <v/>
          </cell>
          <cell r="L2303" t="str">
            <v/>
          </cell>
          <cell r="M2303" t="str">
            <v/>
          </cell>
        </row>
        <row r="2304">
          <cell r="A2304">
            <v>31102192</v>
          </cell>
          <cell r="C2304">
            <v>31102192</v>
          </cell>
          <cell r="D2304">
            <v>31102192</v>
          </cell>
          <cell r="E2304">
            <v>31102192</v>
          </cell>
          <cell r="F2304">
            <v>31102192</v>
          </cell>
          <cell r="G2304">
            <v>31102192</v>
          </cell>
          <cell r="H2304">
            <v>31102192</v>
          </cell>
          <cell r="I2304" t="str">
            <v/>
          </cell>
          <cell r="J2304" t="str">
            <v/>
          </cell>
          <cell r="K2304" t="str">
            <v/>
          </cell>
          <cell r="L2304" t="str">
            <v/>
          </cell>
          <cell r="M2304" t="str">
            <v/>
          </cell>
        </row>
        <row r="2305">
          <cell r="A2305">
            <v>31102192</v>
          </cell>
          <cell r="C2305">
            <v>31102192</v>
          </cell>
          <cell r="D2305">
            <v>31102192</v>
          </cell>
          <cell r="E2305">
            <v>31102192</v>
          </cell>
          <cell r="F2305">
            <v>31102192</v>
          </cell>
          <cell r="G2305">
            <v>31102192</v>
          </cell>
          <cell r="H2305">
            <v>31102192</v>
          </cell>
          <cell r="I2305" t="str">
            <v/>
          </cell>
          <cell r="J2305" t="str">
            <v/>
          </cell>
          <cell r="K2305" t="str">
            <v/>
          </cell>
          <cell r="L2305" t="str">
            <v/>
          </cell>
          <cell r="M2305" t="str">
            <v/>
          </cell>
        </row>
        <row r="2306">
          <cell r="A2306">
            <v>31102192</v>
          </cell>
          <cell r="C2306">
            <v>31102192</v>
          </cell>
          <cell r="D2306">
            <v>31102192</v>
          </cell>
          <cell r="E2306">
            <v>31102192</v>
          </cell>
          <cell r="F2306">
            <v>31102192</v>
          </cell>
          <cell r="G2306">
            <v>31102192</v>
          </cell>
          <cell r="H2306">
            <v>31102192</v>
          </cell>
          <cell r="I2306" t="str">
            <v/>
          </cell>
          <cell r="J2306" t="str">
            <v/>
          </cell>
          <cell r="K2306" t="str">
            <v/>
          </cell>
          <cell r="L2306" t="str">
            <v/>
          </cell>
          <cell r="M2306" t="str">
            <v/>
          </cell>
        </row>
        <row r="2307">
          <cell r="A2307">
            <v>31102192</v>
          </cell>
          <cell r="C2307">
            <v>31102192</v>
          </cell>
          <cell r="D2307">
            <v>31102192</v>
          </cell>
          <cell r="E2307">
            <v>31102192</v>
          </cell>
          <cell r="F2307">
            <v>31102192</v>
          </cell>
          <cell r="G2307">
            <v>31102192</v>
          </cell>
          <cell r="H2307">
            <v>31102192</v>
          </cell>
          <cell r="I2307" t="str">
            <v/>
          </cell>
          <cell r="J2307" t="str">
            <v/>
          </cell>
          <cell r="K2307" t="str">
            <v/>
          </cell>
          <cell r="L2307" t="str">
            <v/>
          </cell>
          <cell r="M2307" t="str">
            <v/>
          </cell>
        </row>
        <row r="2308">
          <cell r="A2308">
            <v>31102192</v>
          </cell>
          <cell r="C2308">
            <v>31102192</v>
          </cell>
          <cell r="D2308">
            <v>31102192</v>
          </cell>
          <cell r="E2308">
            <v>31102192</v>
          </cell>
          <cell r="F2308">
            <v>31102192</v>
          </cell>
          <cell r="G2308">
            <v>31102192</v>
          </cell>
          <cell r="H2308">
            <v>31102192</v>
          </cell>
          <cell r="I2308" t="str">
            <v/>
          </cell>
          <cell r="J2308" t="str">
            <v/>
          </cell>
          <cell r="K2308" t="str">
            <v/>
          </cell>
          <cell r="L2308" t="str">
            <v/>
          </cell>
          <cell r="M2308" t="str">
            <v/>
          </cell>
        </row>
        <row r="2309">
          <cell r="A2309">
            <v>31102192</v>
          </cell>
          <cell r="C2309">
            <v>31102192</v>
          </cell>
          <cell r="D2309">
            <v>31102192</v>
          </cell>
          <cell r="E2309">
            <v>31102192</v>
          </cell>
          <cell r="F2309">
            <v>31102192</v>
          </cell>
          <cell r="G2309">
            <v>31102192</v>
          </cell>
          <cell r="H2309">
            <v>31102192</v>
          </cell>
          <cell r="I2309" t="str">
            <v/>
          </cell>
          <cell r="J2309" t="str">
            <v/>
          </cell>
          <cell r="K2309" t="str">
            <v/>
          </cell>
          <cell r="L2309" t="str">
            <v/>
          </cell>
          <cell r="M2309" t="str">
            <v/>
          </cell>
        </row>
        <row r="2310">
          <cell r="A2310">
            <v>31102192</v>
          </cell>
          <cell r="C2310">
            <v>31102192</v>
          </cell>
          <cell r="D2310">
            <v>31102192</v>
          </cell>
          <cell r="E2310">
            <v>31102192</v>
          </cell>
          <cell r="F2310">
            <v>31102192</v>
          </cell>
          <cell r="G2310">
            <v>31102192</v>
          </cell>
          <cell r="H2310">
            <v>31102192</v>
          </cell>
          <cell r="I2310" t="str">
            <v/>
          </cell>
          <cell r="J2310" t="str">
            <v/>
          </cell>
          <cell r="K2310" t="str">
            <v/>
          </cell>
          <cell r="L2310" t="str">
            <v/>
          </cell>
          <cell r="M2310" t="str">
            <v/>
          </cell>
        </row>
        <row r="2311">
          <cell r="A2311">
            <v>31102192</v>
          </cell>
          <cell r="C2311">
            <v>31102192</v>
          </cell>
          <cell r="D2311">
            <v>31102192</v>
          </cell>
          <cell r="E2311">
            <v>31102192</v>
          </cell>
          <cell r="F2311">
            <v>31102192</v>
          </cell>
          <cell r="G2311">
            <v>31102192</v>
          </cell>
          <cell r="H2311">
            <v>31102192</v>
          </cell>
          <cell r="I2311" t="str">
            <v/>
          </cell>
          <cell r="J2311" t="str">
            <v/>
          </cell>
          <cell r="K2311" t="str">
            <v/>
          </cell>
          <cell r="L2311" t="str">
            <v/>
          </cell>
          <cell r="M2311" t="str">
            <v/>
          </cell>
        </row>
        <row r="2312">
          <cell r="A2312">
            <v>31102192</v>
          </cell>
          <cell r="C2312">
            <v>31102192</v>
          </cell>
          <cell r="D2312">
            <v>31102192</v>
          </cell>
          <cell r="E2312">
            <v>31102192</v>
          </cell>
          <cell r="F2312">
            <v>31102192</v>
          </cell>
          <cell r="G2312">
            <v>31102192</v>
          </cell>
          <cell r="H2312">
            <v>31102192</v>
          </cell>
          <cell r="I2312" t="str">
            <v/>
          </cell>
          <cell r="J2312" t="str">
            <v/>
          </cell>
          <cell r="K2312" t="str">
            <v/>
          </cell>
          <cell r="L2312" t="str">
            <v/>
          </cell>
          <cell r="M2312" t="str">
            <v/>
          </cell>
        </row>
        <row r="2313">
          <cell r="A2313">
            <v>31102192</v>
          </cell>
          <cell r="C2313">
            <v>31102192</v>
          </cell>
          <cell r="D2313">
            <v>31102192</v>
          </cell>
          <cell r="E2313">
            <v>31102192</v>
          </cell>
          <cell r="F2313">
            <v>31102192</v>
          </cell>
          <cell r="G2313">
            <v>31102192</v>
          </cell>
          <cell r="H2313">
            <v>31102192</v>
          </cell>
          <cell r="I2313" t="str">
            <v/>
          </cell>
          <cell r="J2313" t="str">
            <v/>
          </cell>
          <cell r="K2313" t="str">
            <v/>
          </cell>
          <cell r="L2313" t="str">
            <v/>
          </cell>
          <cell r="M2313" t="str">
            <v/>
          </cell>
        </row>
        <row r="2314">
          <cell r="A2314">
            <v>31102192</v>
          </cell>
          <cell r="C2314">
            <v>31102192</v>
          </cell>
          <cell r="D2314">
            <v>31102192</v>
          </cell>
          <cell r="E2314">
            <v>31102192</v>
          </cell>
          <cell r="F2314">
            <v>31102192</v>
          </cell>
          <cell r="G2314">
            <v>31102192</v>
          </cell>
          <cell r="H2314">
            <v>31102192</v>
          </cell>
          <cell r="I2314" t="str">
            <v/>
          </cell>
          <cell r="J2314" t="str">
            <v/>
          </cell>
          <cell r="K2314" t="str">
            <v/>
          </cell>
          <cell r="L2314" t="str">
            <v/>
          </cell>
          <cell r="M2314" t="str">
            <v/>
          </cell>
        </row>
        <row r="2315">
          <cell r="A2315">
            <v>31102192</v>
          </cell>
          <cell r="C2315">
            <v>31102192</v>
          </cell>
          <cell r="D2315">
            <v>31102192</v>
          </cell>
          <cell r="E2315">
            <v>31102192</v>
          </cell>
          <cell r="F2315">
            <v>31102192</v>
          </cell>
          <cell r="G2315">
            <v>31102192</v>
          </cell>
          <cell r="H2315">
            <v>31102192</v>
          </cell>
          <cell r="I2315" t="str">
            <v/>
          </cell>
          <cell r="J2315" t="str">
            <v/>
          </cell>
          <cell r="K2315" t="str">
            <v/>
          </cell>
          <cell r="L2315" t="str">
            <v/>
          </cell>
          <cell r="M2315" t="str">
            <v/>
          </cell>
        </row>
        <row r="2316">
          <cell r="A2316">
            <v>31102192</v>
          </cell>
          <cell r="C2316">
            <v>31102192</v>
          </cell>
          <cell r="D2316">
            <v>31102192</v>
          </cell>
          <cell r="E2316">
            <v>31102192</v>
          </cell>
          <cell r="F2316">
            <v>31102192</v>
          </cell>
          <cell r="G2316">
            <v>31102192</v>
          </cell>
          <cell r="H2316">
            <v>31102192</v>
          </cell>
          <cell r="I2316" t="str">
            <v/>
          </cell>
          <cell r="J2316" t="str">
            <v/>
          </cell>
          <cell r="K2316" t="str">
            <v/>
          </cell>
          <cell r="L2316" t="str">
            <v/>
          </cell>
          <cell r="M2316" t="str">
            <v/>
          </cell>
        </row>
        <row r="2317">
          <cell r="A2317">
            <v>31102192</v>
          </cell>
          <cell r="C2317">
            <v>31102192</v>
          </cell>
          <cell r="D2317">
            <v>31102192</v>
          </cell>
          <cell r="E2317">
            <v>31102192</v>
          </cell>
          <cell r="F2317">
            <v>31102192</v>
          </cell>
          <cell r="G2317">
            <v>31102192</v>
          </cell>
          <cell r="H2317">
            <v>31102192</v>
          </cell>
          <cell r="I2317" t="str">
            <v/>
          </cell>
          <cell r="J2317" t="str">
            <v/>
          </cell>
          <cell r="K2317" t="str">
            <v/>
          </cell>
          <cell r="L2317" t="str">
            <v/>
          </cell>
          <cell r="M2317" t="str">
            <v/>
          </cell>
        </row>
        <row r="2318">
          <cell r="A2318">
            <v>31102192</v>
          </cell>
          <cell r="C2318">
            <v>31102192</v>
          </cell>
          <cell r="D2318">
            <v>31102192</v>
          </cell>
          <cell r="E2318">
            <v>31102192</v>
          </cell>
          <cell r="F2318">
            <v>31102192</v>
          </cell>
          <cell r="G2318">
            <v>31102192</v>
          </cell>
          <cell r="H2318">
            <v>31102192</v>
          </cell>
          <cell r="I2318" t="str">
            <v/>
          </cell>
          <cell r="J2318" t="str">
            <v/>
          </cell>
          <cell r="K2318" t="str">
            <v/>
          </cell>
          <cell r="L2318" t="str">
            <v/>
          </cell>
          <cell r="M2318" t="str">
            <v/>
          </cell>
        </row>
        <row r="2319">
          <cell r="A2319">
            <v>31102192</v>
          </cell>
          <cell r="C2319">
            <v>31102192</v>
          </cell>
          <cell r="D2319">
            <v>31102192</v>
          </cell>
          <cell r="E2319">
            <v>31102192</v>
          </cell>
          <cell r="F2319">
            <v>31102192</v>
          </cell>
          <cell r="G2319">
            <v>31102192</v>
          </cell>
          <cell r="H2319">
            <v>31102192</v>
          </cell>
          <cell r="I2319" t="str">
            <v/>
          </cell>
          <cell r="J2319" t="str">
            <v/>
          </cell>
          <cell r="K2319" t="str">
            <v/>
          </cell>
          <cell r="L2319" t="str">
            <v/>
          </cell>
          <cell r="M2319" t="str">
            <v/>
          </cell>
        </row>
        <row r="2320">
          <cell r="A2320">
            <v>31102192</v>
          </cell>
          <cell r="C2320">
            <v>31102192</v>
          </cell>
          <cell r="D2320">
            <v>31102192</v>
          </cell>
          <cell r="E2320">
            <v>31102192</v>
          </cell>
          <cell r="F2320">
            <v>31102192</v>
          </cell>
          <cell r="G2320">
            <v>31102192</v>
          </cell>
          <cell r="H2320">
            <v>31102192</v>
          </cell>
          <cell r="I2320" t="str">
            <v/>
          </cell>
          <cell r="J2320" t="str">
            <v/>
          </cell>
          <cell r="K2320" t="str">
            <v/>
          </cell>
          <cell r="L2320" t="str">
            <v/>
          </cell>
          <cell r="M2320" t="str">
            <v/>
          </cell>
        </row>
        <row r="2321">
          <cell r="A2321">
            <v>31102192</v>
          </cell>
          <cell r="C2321">
            <v>31102192</v>
          </cell>
          <cell r="D2321">
            <v>31102192</v>
          </cell>
          <cell r="E2321">
            <v>31102192</v>
          </cell>
          <cell r="F2321">
            <v>31102192</v>
          </cell>
          <cell r="G2321">
            <v>31102192</v>
          </cell>
          <cell r="H2321">
            <v>31102192</v>
          </cell>
          <cell r="I2321" t="str">
            <v/>
          </cell>
          <cell r="J2321" t="str">
            <v/>
          </cell>
          <cell r="K2321" t="str">
            <v/>
          </cell>
          <cell r="L2321" t="str">
            <v/>
          </cell>
          <cell r="M2321" t="str">
            <v/>
          </cell>
        </row>
        <row r="2322">
          <cell r="A2322">
            <v>31102192</v>
          </cell>
          <cell r="C2322">
            <v>31102192</v>
          </cell>
          <cell r="D2322">
            <v>31102192</v>
          </cell>
          <cell r="E2322">
            <v>31102192</v>
          </cell>
          <cell r="F2322">
            <v>31102192</v>
          </cell>
          <cell r="G2322">
            <v>31102192</v>
          </cell>
          <cell r="H2322">
            <v>31102192</v>
          </cell>
          <cell r="I2322" t="str">
            <v/>
          </cell>
          <cell r="J2322" t="str">
            <v/>
          </cell>
          <cell r="K2322" t="str">
            <v/>
          </cell>
          <cell r="L2322" t="str">
            <v/>
          </cell>
          <cell r="M2322" t="str">
            <v/>
          </cell>
        </row>
        <row r="2323">
          <cell r="A2323">
            <v>31102192</v>
          </cell>
          <cell r="C2323">
            <v>31102192</v>
          </cell>
          <cell r="D2323">
            <v>31102192</v>
          </cell>
          <cell r="E2323">
            <v>31102192</v>
          </cell>
          <cell r="F2323">
            <v>31102192</v>
          </cell>
          <cell r="G2323">
            <v>31102192</v>
          </cell>
          <cell r="H2323">
            <v>31102192</v>
          </cell>
          <cell r="I2323" t="str">
            <v/>
          </cell>
          <cell r="J2323" t="str">
            <v/>
          </cell>
          <cell r="K2323" t="str">
            <v/>
          </cell>
          <cell r="L2323" t="str">
            <v/>
          </cell>
          <cell r="M2323" t="str">
            <v/>
          </cell>
        </row>
        <row r="2324">
          <cell r="A2324">
            <v>31102192</v>
          </cell>
          <cell r="C2324">
            <v>31102192</v>
          </cell>
          <cell r="D2324">
            <v>31102192</v>
          </cell>
          <cell r="E2324">
            <v>31102192</v>
          </cell>
          <cell r="F2324">
            <v>31102192</v>
          </cell>
          <cell r="G2324">
            <v>31102192</v>
          </cell>
          <cell r="H2324">
            <v>31102192</v>
          </cell>
          <cell r="I2324" t="str">
            <v/>
          </cell>
          <cell r="J2324" t="str">
            <v/>
          </cell>
          <cell r="K2324" t="str">
            <v/>
          </cell>
          <cell r="L2324" t="str">
            <v/>
          </cell>
          <cell r="M2324" t="str">
            <v/>
          </cell>
        </row>
        <row r="2325">
          <cell r="A2325">
            <v>31102192</v>
          </cell>
          <cell r="C2325">
            <v>31102192</v>
          </cell>
          <cell r="D2325">
            <v>31102192</v>
          </cell>
          <cell r="E2325">
            <v>31102192</v>
          </cell>
          <cell r="F2325">
            <v>31102192</v>
          </cell>
          <cell r="G2325">
            <v>31102192</v>
          </cell>
          <cell r="H2325">
            <v>31102192</v>
          </cell>
          <cell r="I2325" t="str">
            <v/>
          </cell>
          <cell r="J2325" t="str">
            <v/>
          </cell>
          <cell r="K2325" t="str">
            <v/>
          </cell>
          <cell r="L2325" t="str">
            <v/>
          </cell>
          <cell r="M2325" t="str">
            <v/>
          </cell>
        </row>
        <row r="2326">
          <cell r="A2326">
            <v>31102192</v>
          </cell>
          <cell r="C2326">
            <v>31102192</v>
          </cell>
          <cell r="D2326">
            <v>31102192</v>
          </cell>
          <cell r="E2326">
            <v>31102192</v>
          </cell>
          <cell r="F2326">
            <v>31102192</v>
          </cell>
          <cell r="G2326">
            <v>31102192</v>
          </cell>
          <cell r="H2326">
            <v>31102192</v>
          </cell>
          <cell r="I2326" t="str">
            <v/>
          </cell>
          <cell r="J2326" t="str">
            <v/>
          </cell>
          <cell r="K2326" t="str">
            <v/>
          </cell>
          <cell r="L2326" t="str">
            <v/>
          </cell>
          <cell r="M2326" t="str">
            <v/>
          </cell>
        </row>
        <row r="2327">
          <cell r="A2327">
            <v>31102192</v>
          </cell>
          <cell r="C2327">
            <v>31102192</v>
          </cell>
          <cell r="D2327">
            <v>31102192</v>
          </cell>
          <cell r="E2327">
            <v>31102192</v>
          </cell>
          <cell r="F2327">
            <v>31102192</v>
          </cell>
          <cell r="G2327">
            <v>31102192</v>
          </cell>
          <cell r="H2327">
            <v>31102192</v>
          </cell>
          <cell r="I2327" t="str">
            <v/>
          </cell>
          <cell r="J2327" t="str">
            <v/>
          </cell>
          <cell r="K2327" t="str">
            <v/>
          </cell>
          <cell r="L2327" t="str">
            <v/>
          </cell>
          <cell r="M2327" t="str">
            <v/>
          </cell>
        </row>
        <row r="2328">
          <cell r="A2328">
            <v>31102192</v>
          </cell>
          <cell r="C2328">
            <v>31102192</v>
          </cell>
          <cell r="D2328">
            <v>31102192</v>
          </cell>
          <cell r="E2328">
            <v>31102192</v>
          </cell>
          <cell r="F2328">
            <v>31102192</v>
          </cell>
          <cell r="G2328">
            <v>31102192</v>
          </cell>
          <cell r="H2328">
            <v>31102192</v>
          </cell>
          <cell r="I2328" t="str">
            <v/>
          </cell>
          <cell r="J2328" t="str">
            <v/>
          </cell>
          <cell r="K2328" t="str">
            <v/>
          </cell>
          <cell r="L2328" t="str">
            <v/>
          </cell>
          <cell r="M2328" t="str">
            <v/>
          </cell>
        </row>
        <row r="2329">
          <cell r="A2329">
            <v>31102192</v>
          </cell>
          <cell r="C2329">
            <v>31102192</v>
          </cell>
          <cell r="D2329">
            <v>31102192</v>
          </cell>
          <cell r="E2329">
            <v>31102192</v>
          </cell>
          <cell r="F2329">
            <v>31102192</v>
          </cell>
          <cell r="G2329">
            <v>31102192</v>
          </cell>
          <cell r="H2329">
            <v>31102192</v>
          </cell>
          <cell r="I2329" t="str">
            <v/>
          </cell>
          <cell r="J2329" t="str">
            <v/>
          </cell>
          <cell r="K2329" t="str">
            <v/>
          </cell>
          <cell r="L2329" t="str">
            <v/>
          </cell>
          <cell r="M2329" t="str">
            <v/>
          </cell>
        </row>
        <row r="2330">
          <cell r="A2330">
            <v>31102192</v>
          </cell>
          <cell r="C2330">
            <v>31102192</v>
          </cell>
          <cell r="D2330">
            <v>31102192</v>
          </cell>
          <cell r="E2330">
            <v>31102192</v>
          </cell>
          <cell r="F2330">
            <v>31102192</v>
          </cell>
          <cell r="G2330">
            <v>31102192</v>
          </cell>
          <cell r="H2330">
            <v>31102192</v>
          </cell>
          <cell r="I2330" t="str">
            <v/>
          </cell>
          <cell r="J2330" t="str">
            <v/>
          </cell>
          <cell r="K2330" t="str">
            <v/>
          </cell>
          <cell r="L2330" t="str">
            <v/>
          </cell>
          <cell r="M2330" t="str">
            <v/>
          </cell>
        </row>
        <row r="2331">
          <cell r="A2331">
            <v>31102192</v>
          </cell>
          <cell r="C2331">
            <v>31102192</v>
          </cell>
          <cell r="D2331">
            <v>31102192</v>
          </cell>
          <cell r="E2331">
            <v>31102192</v>
          </cell>
          <cell r="F2331">
            <v>31102192</v>
          </cell>
          <cell r="G2331">
            <v>31102192</v>
          </cell>
          <cell r="H2331">
            <v>31102192</v>
          </cell>
          <cell r="I2331" t="str">
            <v/>
          </cell>
          <cell r="J2331" t="str">
            <v/>
          </cell>
          <cell r="K2331" t="str">
            <v/>
          </cell>
          <cell r="L2331" t="str">
            <v/>
          </cell>
          <cell r="M2331" t="str">
            <v/>
          </cell>
        </row>
        <row r="2332">
          <cell r="A2332">
            <v>31102192</v>
          </cell>
          <cell r="C2332">
            <v>31102192</v>
          </cell>
          <cell r="D2332">
            <v>31102192</v>
          </cell>
          <cell r="E2332">
            <v>31102192</v>
          </cell>
          <cell r="F2332">
            <v>31102192</v>
          </cell>
          <cell r="G2332">
            <v>31102192</v>
          </cell>
          <cell r="H2332">
            <v>31102192</v>
          </cell>
          <cell r="I2332" t="str">
            <v/>
          </cell>
          <cell r="J2332" t="str">
            <v/>
          </cell>
          <cell r="K2332" t="str">
            <v/>
          </cell>
          <cell r="L2332" t="str">
            <v/>
          </cell>
          <cell r="M2332" t="str">
            <v/>
          </cell>
        </row>
        <row r="2333">
          <cell r="A2333">
            <v>31102192</v>
          </cell>
          <cell r="C2333">
            <v>31102192</v>
          </cell>
          <cell r="D2333">
            <v>31102192</v>
          </cell>
          <cell r="E2333">
            <v>31102192</v>
          </cell>
          <cell r="F2333">
            <v>31102192</v>
          </cell>
          <cell r="G2333">
            <v>31102192</v>
          </cell>
          <cell r="H2333">
            <v>31102192</v>
          </cell>
          <cell r="I2333" t="str">
            <v/>
          </cell>
          <cell r="J2333" t="str">
            <v/>
          </cell>
          <cell r="K2333" t="str">
            <v/>
          </cell>
          <cell r="L2333" t="str">
            <v/>
          </cell>
          <cell r="M2333" t="str">
            <v/>
          </cell>
        </row>
        <row r="2334">
          <cell r="A2334">
            <v>31102192</v>
          </cell>
          <cell r="C2334">
            <v>31102192</v>
          </cell>
          <cell r="D2334">
            <v>31102192</v>
          </cell>
          <cell r="E2334">
            <v>31102192</v>
          </cell>
          <cell r="F2334">
            <v>31102192</v>
          </cell>
          <cell r="G2334">
            <v>31102192</v>
          </cell>
          <cell r="H2334">
            <v>31102192</v>
          </cell>
          <cell r="I2334" t="str">
            <v/>
          </cell>
          <cell r="J2334" t="str">
            <v/>
          </cell>
          <cell r="K2334" t="str">
            <v/>
          </cell>
          <cell r="L2334" t="str">
            <v/>
          </cell>
          <cell r="M2334" t="str">
            <v/>
          </cell>
        </row>
        <row r="2335">
          <cell r="A2335">
            <v>31102192</v>
          </cell>
          <cell r="C2335">
            <v>31102192</v>
          </cell>
          <cell r="D2335">
            <v>31102192</v>
          </cell>
          <cell r="E2335">
            <v>31102192</v>
          </cell>
          <cell r="F2335">
            <v>31102192</v>
          </cell>
          <cell r="G2335">
            <v>31102192</v>
          </cell>
          <cell r="H2335">
            <v>31102192</v>
          </cell>
          <cell r="I2335" t="str">
            <v/>
          </cell>
          <cell r="J2335" t="str">
            <v/>
          </cell>
          <cell r="K2335" t="str">
            <v/>
          </cell>
          <cell r="L2335" t="str">
            <v/>
          </cell>
          <cell r="M2335" t="str">
            <v/>
          </cell>
        </row>
        <row r="2336">
          <cell r="A2336">
            <v>31102192</v>
          </cell>
          <cell r="C2336">
            <v>31102192</v>
          </cell>
          <cell r="D2336">
            <v>31102192</v>
          </cell>
          <cell r="E2336">
            <v>31102192</v>
          </cell>
          <cell r="F2336">
            <v>31102192</v>
          </cell>
          <cell r="G2336">
            <v>31102192</v>
          </cell>
          <cell r="H2336">
            <v>31102192</v>
          </cell>
          <cell r="I2336" t="str">
            <v/>
          </cell>
          <cell r="J2336" t="str">
            <v/>
          </cell>
          <cell r="K2336" t="str">
            <v/>
          </cell>
          <cell r="L2336" t="str">
            <v/>
          </cell>
          <cell r="M2336" t="str">
            <v/>
          </cell>
        </row>
        <row r="2337">
          <cell r="A2337">
            <v>31102192</v>
          </cell>
          <cell r="C2337">
            <v>31102192</v>
          </cell>
          <cell r="D2337">
            <v>31102192</v>
          </cell>
          <cell r="E2337">
            <v>31102192</v>
          </cell>
          <cell r="F2337">
            <v>31102192</v>
          </cell>
          <cell r="G2337">
            <v>31102192</v>
          </cell>
          <cell r="H2337">
            <v>31102192</v>
          </cell>
          <cell r="I2337" t="str">
            <v/>
          </cell>
          <cell r="J2337" t="str">
            <v/>
          </cell>
          <cell r="K2337" t="str">
            <v/>
          </cell>
          <cell r="L2337" t="str">
            <v/>
          </cell>
          <cell r="M2337" t="str">
            <v/>
          </cell>
        </row>
        <row r="2338">
          <cell r="A2338">
            <v>31102192</v>
          </cell>
          <cell r="C2338">
            <v>31102192</v>
          </cell>
          <cell r="D2338">
            <v>31102192</v>
          </cell>
          <cell r="E2338">
            <v>31102192</v>
          </cell>
          <cell r="F2338">
            <v>31102192</v>
          </cell>
          <cell r="G2338">
            <v>31102192</v>
          </cell>
          <cell r="H2338">
            <v>31102192</v>
          </cell>
          <cell r="I2338" t="str">
            <v/>
          </cell>
          <cell r="J2338" t="str">
            <v/>
          </cell>
          <cell r="K2338" t="str">
            <v/>
          </cell>
          <cell r="L2338" t="str">
            <v/>
          </cell>
          <cell r="M2338" t="str">
            <v/>
          </cell>
        </row>
        <row r="2339">
          <cell r="A2339">
            <v>31102192</v>
          </cell>
          <cell r="C2339">
            <v>31102192</v>
          </cell>
          <cell r="D2339">
            <v>31102192</v>
          </cell>
          <cell r="E2339">
            <v>31102192</v>
          </cell>
          <cell r="F2339">
            <v>31102192</v>
          </cell>
          <cell r="G2339">
            <v>31102192</v>
          </cell>
          <cell r="H2339">
            <v>31102192</v>
          </cell>
          <cell r="I2339" t="str">
            <v/>
          </cell>
          <cell r="J2339" t="str">
            <v/>
          </cell>
          <cell r="K2339" t="str">
            <v/>
          </cell>
          <cell r="L2339" t="str">
            <v/>
          </cell>
          <cell r="M2339" t="str">
            <v/>
          </cell>
        </row>
        <row r="2340">
          <cell r="A2340">
            <v>31102192</v>
          </cell>
          <cell r="C2340">
            <v>31102192</v>
          </cell>
          <cell r="D2340">
            <v>31102192</v>
          </cell>
          <cell r="E2340">
            <v>31102192</v>
          </cell>
          <cell r="F2340">
            <v>31102192</v>
          </cell>
          <cell r="G2340">
            <v>31102192</v>
          </cell>
          <cell r="H2340">
            <v>31102192</v>
          </cell>
          <cell r="I2340" t="str">
            <v/>
          </cell>
          <cell r="J2340" t="str">
            <v/>
          </cell>
          <cell r="K2340" t="str">
            <v/>
          </cell>
          <cell r="L2340" t="str">
            <v/>
          </cell>
          <cell r="M2340" t="str">
            <v/>
          </cell>
        </row>
        <row r="2341">
          <cell r="A2341">
            <v>31102192</v>
          </cell>
          <cell r="C2341">
            <v>31102192</v>
          </cell>
          <cell r="D2341">
            <v>31102192</v>
          </cell>
          <cell r="E2341">
            <v>31102192</v>
          </cell>
          <cell r="F2341">
            <v>31102192</v>
          </cell>
          <cell r="G2341">
            <v>31102192</v>
          </cell>
          <cell r="H2341">
            <v>31102192</v>
          </cell>
          <cell r="I2341" t="str">
            <v/>
          </cell>
          <cell r="J2341" t="str">
            <v/>
          </cell>
          <cell r="K2341" t="str">
            <v/>
          </cell>
          <cell r="L2341" t="str">
            <v/>
          </cell>
          <cell r="M2341" t="str">
            <v/>
          </cell>
        </row>
        <row r="2342">
          <cell r="A2342">
            <v>31102192</v>
          </cell>
          <cell r="C2342">
            <v>31102192</v>
          </cell>
          <cell r="D2342">
            <v>31102192</v>
          </cell>
          <cell r="E2342">
            <v>31102192</v>
          </cell>
          <cell r="F2342">
            <v>31102192</v>
          </cell>
          <cell r="G2342">
            <v>31102192</v>
          </cell>
          <cell r="H2342">
            <v>31102192</v>
          </cell>
          <cell r="I2342" t="str">
            <v/>
          </cell>
          <cell r="J2342" t="str">
            <v/>
          </cell>
          <cell r="K2342" t="str">
            <v/>
          </cell>
          <cell r="L2342" t="str">
            <v/>
          </cell>
          <cell r="M2342" t="str">
            <v/>
          </cell>
        </row>
        <row r="2343">
          <cell r="A2343">
            <v>31102192</v>
          </cell>
          <cell r="C2343">
            <v>31102192</v>
          </cell>
          <cell r="D2343">
            <v>31102192</v>
          </cell>
          <cell r="E2343">
            <v>31102192</v>
          </cell>
          <cell r="F2343">
            <v>31102192</v>
          </cell>
          <cell r="G2343">
            <v>31102192</v>
          </cell>
          <cell r="H2343">
            <v>31102192</v>
          </cell>
          <cell r="I2343" t="str">
            <v/>
          </cell>
          <cell r="J2343" t="str">
            <v/>
          </cell>
          <cell r="K2343" t="str">
            <v/>
          </cell>
          <cell r="L2343" t="str">
            <v/>
          </cell>
          <cell r="M2343" t="str">
            <v/>
          </cell>
        </row>
        <row r="2344">
          <cell r="A2344">
            <v>31102192</v>
          </cell>
          <cell r="C2344">
            <v>31102192</v>
          </cell>
          <cell r="D2344">
            <v>31102192</v>
          </cell>
          <cell r="E2344">
            <v>31102192</v>
          </cell>
          <cell r="F2344">
            <v>31102192</v>
          </cell>
          <cell r="G2344">
            <v>31102192</v>
          </cell>
          <cell r="H2344">
            <v>31102192</v>
          </cell>
          <cell r="I2344" t="str">
            <v/>
          </cell>
          <cell r="J2344" t="str">
            <v/>
          </cell>
          <cell r="K2344" t="str">
            <v/>
          </cell>
          <cell r="L2344" t="str">
            <v/>
          </cell>
          <cell r="M2344" t="str">
            <v/>
          </cell>
        </row>
        <row r="2345">
          <cell r="A2345">
            <v>31102192</v>
          </cell>
          <cell r="C2345">
            <v>31102192</v>
          </cell>
          <cell r="D2345">
            <v>31102192</v>
          </cell>
          <cell r="E2345">
            <v>31102192</v>
          </cell>
          <cell r="F2345">
            <v>31102192</v>
          </cell>
          <cell r="G2345">
            <v>31102192</v>
          </cell>
          <cell r="H2345">
            <v>31102192</v>
          </cell>
          <cell r="I2345" t="str">
            <v/>
          </cell>
          <cell r="J2345" t="str">
            <v/>
          </cell>
          <cell r="K2345" t="str">
            <v/>
          </cell>
          <cell r="L2345" t="str">
            <v/>
          </cell>
          <cell r="M2345" t="str">
            <v/>
          </cell>
        </row>
        <row r="2346">
          <cell r="A2346">
            <v>31102192</v>
          </cell>
          <cell r="C2346">
            <v>31102192</v>
          </cell>
          <cell r="D2346">
            <v>31102192</v>
          </cell>
          <cell r="E2346">
            <v>31102192</v>
          </cell>
          <cell r="F2346">
            <v>31102192</v>
          </cell>
          <cell r="G2346">
            <v>31102192</v>
          </cell>
          <cell r="H2346">
            <v>31102192</v>
          </cell>
          <cell r="I2346" t="str">
            <v/>
          </cell>
          <cell r="J2346" t="str">
            <v/>
          </cell>
          <cell r="K2346" t="str">
            <v/>
          </cell>
          <cell r="L2346" t="str">
            <v/>
          </cell>
          <cell r="M2346" t="str">
            <v/>
          </cell>
        </row>
        <row r="2347">
          <cell r="A2347">
            <v>31102192</v>
          </cell>
          <cell r="C2347">
            <v>31102192</v>
          </cell>
          <cell r="D2347">
            <v>31102192</v>
          </cell>
          <cell r="E2347">
            <v>31102192</v>
          </cell>
          <cell r="F2347">
            <v>31102192</v>
          </cell>
          <cell r="G2347">
            <v>31102192</v>
          </cell>
          <cell r="H2347">
            <v>31102192</v>
          </cell>
          <cell r="I2347" t="str">
            <v/>
          </cell>
          <cell r="J2347" t="str">
            <v/>
          </cell>
          <cell r="K2347" t="str">
            <v/>
          </cell>
          <cell r="L2347" t="str">
            <v/>
          </cell>
          <cell r="M2347" t="str">
            <v/>
          </cell>
        </row>
        <row r="2348">
          <cell r="A2348">
            <v>31102192</v>
          </cell>
          <cell r="C2348">
            <v>31102192</v>
          </cell>
          <cell r="D2348">
            <v>31102192</v>
          </cell>
          <cell r="E2348">
            <v>31102192</v>
          </cell>
          <cell r="F2348">
            <v>31102192</v>
          </cell>
          <cell r="G2348">
            <v>31102192</v>
          </cell>
          <cell r="H2348">
            <v>31102192</v>
          </cell>
          <cell r="I2348" t="str">
            <v/>
          </cell>
          <cell r="J2348" t="str">
            <v/>
          </cell>
          <cell r="K2348" t="str">
            <v/>
          </cell>
          <cell r="L2348" t="str">
            <v/>
          </cell>
          <cell r="M2348" t="str">
            <v/>
          </cell>
        </row>
        <row r="2349">
          <cell r="A2349">
            <v>31102192</v>
          </cell>
          <cell r="C2349">
            <v>31102192</v>
          </cell>
          <cell r="D2349">
            <v>31102192</v>
          </cell>
          <cell r="E2349">
            <v>31102192</v>
          </cell>
          <cell r="F2349">
            <v>31102192</v>
          </cell>
          <cell r="G2349">
            <v>31102192</v>
          </cell>
          <cell r="H2349">
            <v>31102192</v>
          </cell>
          <cell r="I2349" t="str">
            <v/>
          </cell>
          <cell r="J2349" t="str">
            <v/>
          </cell>
          <cell r="K2349" t="str">
            <v/>
          </cell>
          <cell r="L2349" t="str">
            <v/>
          </cell>
          <cell r="M2349" t="str">
            <v/>
          </cell>
        </row>
        <row r="2350">
          <cell r="A2350">
            <v>31102192</v>
          </cell>
          <cell r="C2350">
            <v>31102192</v>
          </cell>
          <cell r="D2350">
            <v>31102192</v>
          </cell>
          <cell r="E2350">
            <v>31102192</v>
          </cell>
          <cell r="F2350">
            <v>31102192</v>
          </cell>
          <cell r="G2350">
            <v>31102192</v>
          </cell>
          <cell r="H2350">
            <v>31102192</v>
          </cell>
          <cell r="I2350" t="str">
            <v/>
          </cell>
          <cell r="J2350" t="str">
            <v/>
          </cell>
          <cell r="K2350" t="str">
            <v/>
          </cell>
          <cell r="L2350" t="str">
            <v/>
          </cell>
          <cell r="M2350" t="str">
            <v/>
          </cell>
        </row>
        <row r="2351">
          <cell r="A2351">
            <v>31102192</v>
          </cell>
          <cell r="C2351">
            <v>31102192</v>
          </cell>
          <cell r="D2351">
            <v>31102192</v>
          </cell>
          <cell r="E2351">
            <v>31102192</v>
          </cell>
          <cell r="F2351">
            <v>31102192</v>
          </cell>
          <cell r="G2351">
            <v>31102192</v>
          </cell>
          <cell r="H2351">
            <v>31102192</v>
          </cell>
          <cell r="I2351" t="str">
            <v/>
          </cell>
          <cell r="J2351" t="str">
            <v/>
          </cell>
          <cell r="K2351" t="str">
            <v/>
          </cell>
          <cell r="L2351" t="str">
            <v/>
          </cell>
          <cell r="M2351" t="str">
            <v/>
          </cell>
        </row>
        <row r="2352">
          <cell r="A2352">
            <v>31102192</v>
          </cell>
          <cell r="C2352">
            <v>31102192</v>
          </cell>
          <cell r="D2352">
            <v>31102192</v>
          </cell>
          <cell r="E2352">
            <v>31102192</v>
          </cell>
          <cell r="F2352">
            <v>31102192</v>
          </cell>
          <cell r="G2352">
            <v>31102192</v>
          </cell>
          <cell r="H2352">
            <v>31102192</v>
          </cell>
          <cell r="I2352" t="str">
            <v/>
          </cell>
          <cell r="J2352" t="str">
            <v/>
          </cell>
          <cell r="K2352" t="str">
            <v/>
          </cell>
          <cell r="L2352" t="str">
            <v/>
          </cell>
          <cell r="M2352" t="str">
            <v/>
          </cell>
        </row>
        <row r="2353">
          <cell r="A2353">
            <v>31102192</v>
          </cell>
          <cell r="C2353">
            <v>31102192</v>
          </cell>
          <cell r="D2353">
            <v>31102192</v>
          </cell>
          <cell r="E2353">
            <v>31102192</v>
          </cell>
          <cell r="F2353">
            <v>31102192</v>
          </cell>
          <cell r="G2353">
            <v>31102192</v>
          </cell>
          <cell r="H2353">
            <v>31102192</v>
          </cell>
          <cell r="I2353" t="str">
            <v/>
          </cell>
          <cell r="J2353" t="str">
            <v/>
          </cell>
          <cell r="K2353" t="str">
            <v/>
          </cell>
          <cell r="L2353" t="str">
            <v/>
          </cell>
          <cell r="M2353" t="str">
            <v/>
          </cell>
        </row>
        <row r="2354">
          <cell r="A2354">
            <v>31102192</v>
          </cell>
          <cell r="C2354">
            <v>31102192</v>
          </cell>
          <cell r="D2354">
            <v>31102192</v>
          </cell>
          <cell r="E2354">
            <v>31102192</v>
          </cell>
          <cell r="F2354">
            <v>31102192</v>
          </cell>
          <cell r="G2354">
            <v>31102192</v>
          </cell>
          <cell r="H2354">
            <v>31102192</v>
          </cell>
          <cell r="I2354" t="str">
            <v/>
          </cell>
          <cell r="J2354" t="str">
            <v/>
          </cell>
          <cell r="K2354" t="str">
            <v/>
          </cell>
          <cell r="L2354" t="str">
            <v/>
          </cell>
          <cell r="M2354" t="str">
            <v/>
          </cell>
        </row>
        <row r="2355">
          <cell r="A2355">
            <v>31102192</v>
          </cell>
          <cell r="C2355">
            <v>31102192</v>
          </cell>
          <cell r="D2355">
            <v>31102192</v>
          </cell>
          <cell r="E2355">
            <v>31102192</v>
          </cell>
          <cell r="F2355">
            <v>31102192</v>
          </cell>
          <cell r="G2355">
            <v>31102192</v>
          </cell>
          <cell r="H2355">
            <v>31102192</v>
          </cell>
          <cell r="I2355" t="str">
            <v/>
          </cell>
          <cell r="J2355" t="str">
            <v/>
          </cell>
          <cell r="K2355" t="str">
            <v/>
          </cell>
          <cell r="L2355" t="str">
            <v/>
          </cell>
          <cell r="M2355" t="str">
            <v/>
          </cell>
        </row>
        <row r="2356">
          <cell r="A2356">
            <v>31102192</v>
          </cell>
          <cell r="C2356">
            <v>31102192</v>
          </cell>
          <cell r="D2356">
            <v>31102192</v>
          </cell>
          <cell r="E2356">
            <v>31102192</v>
          </cell>
          <cell r="F2356">
            <v>31102192</v>
          </cell>
          <cell r="G2356">
            <v>31102192</v>
          </cell>
          <cell r="H2356">
            <v>31102192</v>
          </cell>
          <cell r="I2356" t="str">
            <v/>
          </cell>
          <cell r="J2356" t="str">
            <v/>
          </cell>
          <cell r="K2356" t="str">
            <v/>
          </cell>
          <cell r="L2356" t="str">
            <v/>
          </cell>
          <cell r="M2356" t="str">
            <v/>
          </cell>
        </row>
        <row r="2357">
          <cell r="A2357">
            <v>31102192</v>
          </cell>
          <cell r="C2357">
            <v>31102192</v>
          </cell>
          <cell r="D2357">
            <v>31102192</v>
          </cell>
          <cell r="E2357">
            <v>31102192</v>
          </cell>
          <cell r="F2357">
            <v>31102192</v>
          </cell>
          <cell r="G2357">
            <v>31102192</v>
          </cell>
          <cell r="H2357">
            <v>31102192</v>
          </cell>
          <cell r="I2357" t="str">
            <v/>
          </cell>
          <cell r="J2357" t="str">
            <v/>
          </cell>
          <cell r="K2357" t="str">
            <v/>
          </cell>
          <cell r="L2357" t="str">
            <v/>
          </cell>
          <cell r="M2357" t="str">
            <v/>
          </cell>
        </row>
        <row r="2358">
          <cell r="A2358">
            <v>31102192</v>
          </cell>
          <cell r="C2358">
            <v>31102192</v>
          </cell>
          <cell r="D2358">
            <v>31102192</v>
          </cell>
          <cell r="E2358">
            <v>31102192</v>
          </cell>
          <cell r="F2358">
            <v>31102192</v>
          </cell>
          <cell r="G2358">
            <v>31102192</v>
          </cell>
          <cell r="H2358">
            <v>31102192</v>
          </cell>
          <cell r="I2358" t="str">
            <v/>
          </cell>
          <cell r="J2358" t="str">
            <v/>
          </cell>
          <cell r="K2358" t="str">
            <v/>
          </cell>
          <cell r="L2358" t="str">
            <v/>
          </cell>
          <cell r="M2358" t="str">
            <v/>
          </cell>
        </row>
        <row r="2359">
          <cell r="A2359">
            <v>31102192</v>
          </cell>
          <cell r="C2359">
            <v>31102192</v>
          </cell>
          <cell r="D2359">
            <v>31102192</v>
          </cell>
          <cell r="E2359">
            <v>31102192</v>
          </cell>
          <cell r="F2359">
            <v>31102192</v>
          </cell>
          <cell r="G2359">
            <v>31102192</v>
          </cell>
          <cell r="H2359">
            <v>31102192</v>
          </cell>
          <cell r="I2359" t="str">
            <v/>
          </cell>
          <cell r="J2359" t="str">
            <v/>
          </cell>
          <cell r="K2359" t="str">
            <v/>
          </cell>
          <cell r="L2359" t="str">
            <v/>
          </cell>
          <cell r="M2359" t="str">
            <v/>
          </cell>
        </row>
        <row r="2360">
          <cell r="A2360">
            <v>31102192</v>
          </cell>
          <cell r="C2360">
            <v>31102192</v>
          </cell>
          <cell r="D2360">
            <v>31102192</v>
          </cell>
          <cell r="E2360">
            <v>31102192</v>
          </cell>
          <cell r="F2360">
            <v>31102192</v>
          </cell>
          <cell r="G2360">
            <v>31102192</v>
          </cell>
          <cell r="H2360">
            <v>31102192</v>
          </cell>
          <cell r="I2360" t="str">
            <v/>
          </cell>
          <cell r="J2360" t="str">
            <v/>
          </cell>
          <cell r="K2360" t="str">
            <v/>
          </cell>
          <cell r="L2360" t="str">
            <v/>
          </cell>
          <cell r="M2360" t="str">
            <v/>
          </cell>
        </row>
        <row r="2361">
          <cell r="A2361">
            <v>31102192</v>
          </cell>
          <cell r="C2361">
            <v>31102192</v>
          </cell>
          <cell r="D2361">
            <v>31102192</v>
          </cell>
          <cell r="E2361">
            <v>31102192</v>
          </cell>
          <cell r="F2361">
            <v>31102192</v>
          </cell>
          <cell r="G2361">
            <v>31102192</v>
          </cell>
          <cell r="H2361">
            <v>31102192</v>
          </cell>
          <cell r="I2361" t="str">
            <v/>
          </cell>
          <cell r="J2361" t="str">
            <v/>
          </cell>
          <cell r="K2361" t="str">
            <v/>
          </cell>
          <cell r="L2361" t="str">
            <v/>
          </cell>
          <cell r="M2361" t="str">
            <v/>
          </cell>
        </row>
        <row r="2362">
          <cell r="A2362">
            <v>31102192</v>
          </cell>
          <cell r="C2362">
            <v>31102192</v>
          </cell>
          <cell r="D2362">
            <v>31102192</v>
          </cell>
          <cell r="E2362">
            <v>31102192</v>
          </cell>
          <cell r="F2362">
            <v>31102192</v>
          </cell>
          <cell r="G2362">
            <v>31102192</v>
          </cell>
          <cell r="H2362">
            <v>31102192</v>
          </cell>
          <cell r="I2362" t="str">
            <v/>
          </cell>
          <cell r="J2362" t="str">
            <v/>
          </cell>
          <cell r="K2362" t="str">
            <v/>
          </cell>
          <cell r="L2362" t="str">
            <v/>
          </cell>
          <cell r="M2362" t="str">
            <v/>
          </cell>
        </row>
        <row r="2363">
          <cell r="A2363">
            <v>31102192</v>
          </cell>
          <cell r="C2363">
            <v>31102192</v>
          </cell>
          <cell r="D2363">
            <v>31102192</v>
          </cell>
          <cell r="E2363">
            <v>31102192</v>
          </cell>
          <cell r="F2363">
            <v>31102192</v>
          </cell>
          <cell r="G2363">
            <v>31102192</v>
          </cell>
          <cell r="H2363">
            <v>31102192</v>
          </cell>
          <cell r="I2363" t="str">
            <v/>
          </cell>
          <cell r="J2363" t="str">
            <v/>
          </cell>
          <cell r="K2363" t="str">
            <v/>
          </cell>
          <cell r="L2363" t="str">
            <v/>
          </cell>
          <cell r="M2363" t="str">
            <v/>
          </cell>
        </row>
        <row r="2364">
          <cell r="A2364">
            <v>31102192</v>
          </cell>
          <cell r="C2364">
            <v>31102192</v>
          </cell>
          <cell r="D2364">
            <v>31102192</v>
          </cell>
          <cell r="E2364">
            <v>31102192</v>
          </cell>
          <cell r="F2364">
            <v>31102192</v>
          </cell>
          <cell r="G2364">
            <v>31102192</v>
          </cell>
          <cell r="H2364">
            <v>31102192</v>
          </cell>
          <cell r="I2364" t="str">
            <v/>
          </cell>
          <cell r="J2364" t="str">
            <v/>
          </cell>
          <cell r="K2364" t="str">
            <v/>
          </cell>
          <cell r="L2364" t="str">
            <v/>
          </cell>
          <cell r="M2364" t="str">
            <v/>
          </cell>
        </row>
        <row r="2365">
          <cell r="A2365">
            <v>31102192</v>
          </cell>
          <cell r="C2365">
            <v>31102192</v>
          </cell>
          <cell r="D2365">
            <v>31102192</v>
          </cell>
          <cell r="E2365">
            <v>31102192</v>
          </cell>
          <cell r="F2365">
            <v>31102192</v>
          </cell>
          <cell r="G2365">
            <v>31102192</v>
          </cell>
          <cell r="H2365">
            <v>31102192</v>
          </cell>
          <cell r="I2365" t="str">
            <v/>
          </cell>
          <cell r="J2365" t="str">
            <v/>
          </cell>
          <cell r="K2365" t="str">
            <v/>
          </cell>
          <cell r="L2365" t="str">
            <v/>
          </cell>
          <cell r="M2365" t="str">
            <v/>
          </cell>
        </row>
        <row r="2366">
          <cell r="A2366">
            <v>31102192</v>
          </cell>
          <cell r="C2366">
            <v>31102192</v>
          </cell>
          <cell r="D2366">
            <v>31102192</v>
          </cell>
          <cell r="E2366">
            <v>31102192</v>
          </cell>
          <cell r="F2366">
            <v>31102192</v>
          </cell>
          <cell r="G2366">
            <v>31102192</v>
          </cell>
          <cell r="H2366">
            <v>31102192</v>
          </cell>
          <cell r="I2366" t="str">
            <v/>
          </cell>
          <cell r="J2366" t="str">
            <v/>
          </cell>
          <cell r="K2366" t="str">
            <v/>
          </cell>
          <cell r="L2366" t="str">
            <v/>
          </cell>
          <cell r="M2366" t="str">
            <v/>
          </cell>
        </row>
        <row r="2367">
          <cell r="A2367">
            <v>31102192</v>
          </cell>
          <cell r="C2367">
            <v>31102192</v>
          </cell>
          <cell r="D2367">
            <v>31102192</v>
          </cell>
          <cell r="E2367">
            <v>31102192</v>
          </cell>
          <cell r="F2367">
            <v>31102192</v>
          </cell>
          <cell r="G2367">
            <v>31102192</v>
          </cell>
          <cell r="H2367">
            <v>31102192</v>
          </cell>
          <cell r="I2367" t="str">
            <v/>
          </cell>
          <cell r="J2367" t="str">
            <v/>
          </cell>
          <cell r="K2367" t="str">
            <v/>
          </cell>
          <cell r="L2367" t="str">
            <v/>
          </cell>
          <cell r="M2367" t="str">
            <v/>
          </cell>
        </row>
        <row r="2368">
          <cell r="A2368">
            <v>31102192</v>
          </cell>
          <cell r="C2368">
            <v>31102192</v>
          </cell>
          <cell r="D2368">
            <v>31102192</v>
          </cell>
          <cell r="E2368">
            <v>31102192</v>
          </cell>
          <cell r="F2368">
            <v>31102192</v>
          </cell>
          <cell r="G2368">
            <v>31102192</v>
          </cell>
          <cell r="H2368">
            <v>31102192</v>
          </cell>
          <cell r="I2368" t="str">
            <v/>
          </cell>
          <cell r="J2368" t="str">
            <v/>
          </cell>
          <cell r="K2368" t="str">
            <v/>
          </cell>
          <cell r="L2368" t="str">
            <v/>
          </cell>
          <cell r="M2368" t="str">
            <v/>
          </cell>
        </row>
        <row r="2369">
          <cell r="A2369">
            <v>31102192</v>
          </cell>
          <cell r="C2369">
            <v>31102192</v>
          </cell>
          <cell r="D2369">
            <v>31102192</v>
          </cell>
          <cell r="E2369">
            <v>31102192</v>
          </cell>
          <cell r="F2369">
            <v>31102192</v>
          </cell>
          <cell r="G2369">
            <v>31102192</v>
          </cell>
          <cell r="H2369">
            <v>31102192</v>
          </cell>
          <cell r="I2369" t="str">
            <v/>
          </cell>
          <cell r="J2369" t="str">
            <v/>
          </cell>
          <cell r="K2369" t="str">
            <v/>
          </cell>
          <cell r="L2369" t="str">
            <v/>
          </cell>
          <cell r="M2369" t="str">
            <v/>
          </cell>
        </row>
        <row r="2370">
          <cell r="A2370">
            <v>31102192</v>
          </cell>
          <cell r="C2370">
            <v>31102192</v>
          </cell>
          <cell r="D2370">
            <v>31102192</v>
          </cell>
          <cell r="E2370">
            <v>31102192</v>
          </cell>
          <cell r="F2370">
            <v>31102192</v>
          </cell>
          <cell r="G2370">
            <v>31102192</v>
          </cell>
          <cell r="H2370">
            <v>31102192</v>
          </cell>
          <cell r="I2370" t="str">
            <v/>
          </cell>
          <cell r="J2370" t="str">
            <v/>
          </cell>
          <cell r="K2370" t="str">
            <v/>
          </cell>
          <cell r="L2370" t="str">
            <v/>
          </cell>
          <cell r="M2370" t="str">
            <v/>
          </cell>
        </row>
        <row r="2371">
          <cell r="A2371">
            <v>31102192</v>
          </cell>
          <cell r="C2371">
            <v>31102192</v>
          </cell>
          <cell r="D2371">
            <v>31102192</v>
          </cell>
          <cell r="E2371">
            <v>31102192</v>
          </cell>
          <cell r="F2371">
            <v>31102192</v>
          </cell>
          <cell r="G2371">
            <v>31102192</v>
          </cell>
          <cell r="H2371">
            <v>31102192</v>
          </cell>
          <cell r="I2371" t="str">
            <v/>
          </cell>
          <cell r="J2371" t="str">
            <v/>
          </cell>
          <cell r="K2371" t="str">
            <v/>
          </cell>
          <cell r="L2371" t="str">
            <v/>
          </cell>
          <cell r="M2371" t="str">
            <v/>
          </cell>
        </row>
        <row r="2372">
          <cell r="A2372">
            <v>31102192</v>
          </cell>
          <cell r="C2372">
            <v>31102192</v>
          </cell>
          <cell r="D2372">
            <v>31102192</v>
          </cell>
          <cell r="E2372">
            <v>31102192</v>
          </cell>
          <cell r="F2372">
            <v>31102192</v>
          </cell>
          <cell r="G2372">
            <v>31102192</v>
          </cell>
          <cell r="H2372">
            <v>31102192</v>
          </cell>
          <cell r="I2372" t="str">
            <v/>
          </cell>
          <cell r="J2372" t="str">
            <v/>
          </cell>
          <cell r="K2372" t="str">
            <v/>
          </cell>
          <cell r="L2372" t="str">
            <v/>
          </cell>
          <cell r="M2372" t="str">
            <v/>
          </cell>
        </row>
        <row r="2373">
          <cell r="A2373">
            <v>31102192</v>
          </cell>
          <cell r="C2373">
            <v>31102192</v>
          </cell>
          <cell r="D2373">
            <v>31102192</v>
          </cell>
          <cell r="E2373">
            <v>31102192</v>
          </cell>
          <cell r="F2373">
            <v>31102192</v>
          </cell>
          <cell r="G2373">
            <v>31102192</v>
          </cell>
          <cell r="H2373">
            <v>31102192</v>
          </cell>
          <cell r="I2373" t="str">
            <v/>
          </cell>
          <cell r="J2373" t="str">
            <v/>
          </cell>
          <cell r="K2373" t="str">
            <v/>
          </cell>
          <cell r="L2373" t="str">
            <v/>
          </cell>
          <cell r="M2373" t="str">
            <v/>
          </cell>
        </row>
        <row r="2374">
          <cell r="A2374">
            <v>31102192</v>
          </cell>
          <cell r="C2374">
            <v>31102192</v>
          </cell>
          <cell r="D2374">
            <v>31102192</v>
          </cell>
          <cell r="E2374">
            <v>31102192</v>
          </cell>
          <cell r="F2374">
            <v>31102192</v>
          </cell>
          <cell r="G2374">
            <v>31102192</v>
          </cell>
          <cell r="H2374">
            <v>31102192</v>
          </cell>
          <cell r="I2374" t="str">
            <v/>
          </cell>
          <cell r="J2374" t="str">
            <v/>
          </cell>
          <cell r="K2374" t="str">
            <v/>
          </cell>
          <cell r="L2374" t="str">
            <v/>
          </cell>
          <cell r="M2374" t="str">
            <v/>
          </cell>
        </row>
        <row r="2375">
          <cell r="A2375">
            <v>31102192</v>
          </cell>
          <cell r="C2375">
            <v>31102192</v>
          </cell>
          <cell r="D2375">
            <v>31102192</v>
          </cell>
          <cell r="E2375">
            <v>31102192</v>
          </cell>
          <cell r="F2375">
            <v>31102192</v>
          </cell>
          <cell r="G2375">
            <v>31102192</v>
          </cell>
          <cell r="H2375">
            <v>31102192</v>
          </cell>
          <cell r="I2375" t="str">
            <v/>
          </cell>
          <cell r="J2375" t="str">
            <v/>
          </cell>
          <cell r="K2375" t="str">
            <v/>
          </cell>
          <cell r="L2375" t="str">
            <v/>
          </cell>
          <cell r="M2375" t="str">
            <v/>
          </cell>
        </row>
        <row r="2376">
          <cell r="A2376">
            <v>31102192</v>
          </cell>
          <cell r="C2376">
            <v>31102192</v>
          </cell>
          <cell r="D2376">
            <v>31102192</v>
          </cell>
          <cell r="E2376">
            <v>31102192</v>
          </cell>
          <cell r="F2376">
            <v>31102192</v>
          </cell>
          <cell r="G2376">
            <v>31102192</v>
          </cell>
          <cell r="H2376">
            <v>31102192</v>
          </cell>
          <cell r="I2376" t="str">
            <v/>
          </cell>
          <cell r="J2376" t="str">
            <v/>
          </cell>
          <cell r="K2376" t="str">
            <v/>
          </cell>
          <cell r="L2376" t="str">
            <v/>
          </cell>
          <cell r="M2376" t="str">
            <v/>
          </cell>
        </row>
        <row r="2377">
          <cell r="A2377">
            <v>31102192</v>
          </cell>
          <cell r="C2377">
            <v>31102192</v>
          </cell>
          <cell r="D2377">
            <v>31102192</v>
          </cell>
          <cell r="E2377">
            <v>31102192</v>
          </cell>
          <cell r="F2377">
            <v>31102192</v>
          </cell>
          <cell r="G2377">
            <v>31102192</v>
          </cell>
          <cell r="H2377">
            <v>31102192</v>
          </cell>
          <cell r="I2377" t="str">
            <v/>
          </cell>
          <cell r="J2377" t="str">
            <v/>
          </cell>
          <cell r="K2377" t="str">
            <v/>
          </cell>
          <cell r="L2377" t="str">
            <v/>
          </cell>
          <cell r="M2377" t="str">
            <v/>
          </cell>
        </row>
        <row r="2378">
          <cell r="A2378">
            <v>31102192</v>
          </cell>
          <cell r="C2378">
            <v>31102192</v>
          </cell>
          <cell r="D2378">
            <v>31102192</v>
          </cell>
          <cell r="E2378">
            <v>31102192</v>
          </cell>
          <cell r="F2378">
            <v>31102192</v>
          </cell>
          <cell r="G2378">
            <v>31102192</v>
          </cell>
          <cell r="H2378">
            <v>31102192</v>
          </cell>
          <cell r="I2378" t="str">
            <v/>
          </cell>
          <cell r="J2378" t="str">
            <v/>
          </cell>
          <cell r="K2378" t="str">
            <v/>
          </cell>
          <cell r="L2378" t="str">
            <v/>
          </cell>
          <cell r="M2378" t="str">
            <v/>
          </cell>
        </row>
        <row r="2379">
          <cell r="A2379">
            <v>31102192</v>
          </cell>
          <cell r="C2379">
            <v>31102192</v>
          </cell>
          <cell r="D2379">
            <v>31102192</v>
          </cell>
          <cell r="E2379">
            <v>31102192</v>
          </cell>
          <cell r="F2379">
            <v>31102192</v>
          </cell>
          <cell r="G2379">
            <v>31102192</v>
          </cell>
          <cell r="H2379">
            <v>31102192</v>
          </cell>
          <cell r="I2379" t="str">
            <v/>
          </cell>
          <cell r="J2379" t="str">
            <v/>
          </cell>
          <cell r="K2379" t="str">
            <v/>
          </cell>
          <cell r="L2379" t="str">
            <v/>
          </cell>
          <cell r="M2379" t="str">
            <v/>
          </cell>
        </row>
        <row r="2380">
          <cell r="A2380">
            <v>31102192</v>
          </cell>
          <cell r="C2380">
            <v>31102192</v>
          </cell>
          <cell r="D2380">
            <v>31102192</v>
          </cell>
          <cell r="E2380">
            <v>31102192</v>
          </cell>
          <cell r="F2380">
            <v>31102192</v>
          </cell>
          <cell r="G2380">
            <v>31102192</v>
          </cell>
          <cell r="H2380">
            <v>31102192</v>
          </cell>
          <cell r="I2380" t="str">
            <v/>
          </cell>
          <cell r="J2380" t="str">
            <v/>
          </cell>
          <cell r="K2380" t="str">
            <v/>
          </cell>
          <cell r="L2380" t="str">
            <v/>
          </cell>
          <cell r="M2380" t="str">
            <v/>
          </cell>
        </row>
        <row r="2381">
          <cell r="A2381">
            <v>31102192</v>
          </cell>
          <cell r="C2381">
            <v>31102192</v>
          </cell>
          <cell r="D2381">
            <v>31102192</v>
          </cell>
          <cell r="E2381">
            <v>31102192</v>
          </cell>
          <cell r="F2381">
            <v>31102192</v>
          </cell>
          <cell r="G2381">
            <v>31102192</v>
          </cell>
          <cell r="H2381">
            <v>31102192</v>
          </cell>
          <cell r="I2381" t="str">
            <v/>
          </cell>
          <cell r="J2381" t="str">
            <v/>
          </cell>
          <cell r="K2381" t="str">
            <v/>
          </cell>
          <cell r="L2381" t="str">
            <v/>
          </cell>
          <cell r="M2381" t="str">
            <v/>
          </cell>
        </row>
        <row r="2382">
          <cell r="A2382">
            <v>31102192</v>
          </cell>
          <cell r="C2382">
            <v>31102192</v>
          </cell>
          <cell r="D2382">
            <v>31102192</v>
          </cell>
          <cell r="E2382">
            <v>31102192</v>
          </cell>
          <cell r="F2382">
            <v>31102192</v>
          </cell>
          <cell r="G2382">
            <v>31102192</v>
          </cell>
          <cell r="H2382">
            <v>31102192</v>
          </cell>
          <cell r="I2382" t="str">
            <v/>
          </cell>
          <cell r="J2382" t="str">
            <v/>
          </cell>
          <cell r="K2382" t="str">
            <v/>
          </cell>
          <cell r="L2382" t="str">
            <v/>
          </cell>
          <cell r="M2382" t="str">
            <v/>
          </cell>
        </row>
        <row r="2383">
          <cell r="A2383">
            <v>31102192</v>
          </cell>
          <cell r="C2383">
            <v>31102192</v>
          </cell>
          <cell r="D2383">
            <v>31102192</v>
          </cell>
          <cell r="E2383">
            <v>31102192</v>
          </cell>
          <cell r="F2383">
            <v>31102192</v>
          </cell>
          <cell r="G2383">
            <v>31102192</v>
          </cell>
          <cell r="H2383">
            <v>31102192</v>
          </cell>
          <cell r="I2383" t="str">
            <v/>
          </cell>
          <cell r="J2383" t="str">
            <v/>
          </cell>
          <cell r="K2383" t="str">
            <v/>
          </cell>
          <cell r="L2383" t="str">
            <v/>
          </cell>
          <cell r="M2383" t="str">
            <v/>
          </cell>
        </row>
        <row r="2384">
          <cell r="A2384">
            <v>31102192</v>
          </cell>
          <cell r="C2384">
            <v>31102192</v>
          </cell>
          <cell r="D2384">
            <v>31102192</v>
          </cell>
          <cell r="E2384">
            <v>31102192</v>
          </cell>
          <cell r="F2384">
            <v>31102192</v>
          </cell>
          <cell r="G2384">
            <v>31102192</v>
          </cell>
          <cell r="H2384">
            <v>31102192</v>
          </cell>
          <cell r="I2384" t="str">
            <v/>
          </cell>
          <cell r="J2384" t="str">
            <v/>
          </cell>
          <cell r="K2384" t="str">
            <v/>
          </cell>
          <cell r="L2384" t="str">
            <v/>
          </cell>
          <cell r="M2384" t="str">
            <v/>
          </cell>
        </row>
        <row r="2385">
          <cell r="A2385">
            <v>31102192</v>
          </cell>
          <cell r="C2385">
            <v>31102192</v>
          </cell>
          <cell r="D2385">
            <v>31102192</v>
          </cell>
          <cell r="E2385">
            <v>31102192</v>
          </cell>
          <cell r="F2385">
            <v>31102192</v>
          </cell>
          <cell r="G2385">
            <v>31102192</v>
          </cell>
          <cell r="H2385">
            <v>31102192</v>
          </cell>
          <cell r="I2385" t="str">
            <v/>
          </cell>
          <cell r="J2385" t="str">
            <v/>
          </cell>
          <cell r="K2385" t="str">
            <v/>
          </cell>
          <cell r="L2385" t="str">
            <v/>
          </cell>
          <cell r="M2385" t="str">
            <v/>
          </cell>
        </row>
        <row r="2386">
          <cell r="A2386">
            <v>31102192</v>
          </cell>
          <cell r="C2386">
            <v>31102192</v>
          </cell>
          <cell r="D2386">
            <v>31102192</v>
          </cell>
          <cell r="E2386">
            <v>31102192</v>
          </cell>
          <cell r="F2386">
            <v>31102192</v>
          </cell>
          <cell r="G2386">
            <v>31102192</v>
          </cell>
          <cell r="H2386">
            <v>31102192</v>
          </cell>
          <cell r="I2386" t="str">
            <v/>
          </cell>
          <cell r="J2386" t="str">
            <v/>
          </cell>
          <cell r="K2386" t="str">
            <v/>
          </cell>
          <cell r="L2386" t="str">
            <v/>
          </cell>
          <cell r="M2386" t="str">
            <v/>
          </cell>
        </row>
        <row r="2387">
          <cell r="A2387">
            <v>31102192</v>
          </cell>
          <cell r="C2387">
            <v>31102192</v>
          </cell>
          <cell r="D2387">
            <v>31102192</v>
          </cell>
          <cell r="E2387">
            <v>31102192</v>
          </cell>
          <cell r="F2387">
            <v>31102192</v>
          </cell>
          <cell r="G2387">
            <v>31102192</v>
          </cell>
          <cell r="H2387">
            <v>31102192</v>
          </cell>
          <cell r="I2387" t="str">
            <v/>
          </cell>
          <cell r="J2387" t="str">
            <v/>
          </cell>
          <cell r="K2387" t="str">
            <v/>
          </cell>
          <cell r="L2387" t="str">
            <v/>
          </cell>
          <cell r="M2387" t="str">
            <v/>
          </cell>
        </row>
        <row r="2388">
          <cell r="A2388">
            <v>31102192</v>
          </cell>
          <cell r="C2388">
            <v>31102192</v>
          </cell>
          <cell r="D2388">
            <v>31102192</v>
          </cell>
          <cell r="E2388">
            <v>31102192</v>
          </cell>
          <cell r="F2388">
            <v>31102192</v>
          </cell>
          <cell r="G2388">
            <v>31102192</v>
          </cell>
          <cell r="H2388">
            <v>31102192</v>
          </cell>
          <cell r="I2388" t="str">
            <v/>
          </cell>
          <cell r="J2388" t="str">
            <v/>
          </cell>
          <cell r="K2388" t="str">
            <v/>
          </cell>
          <cell r="L2388" t="str">
            <v/>
          </cell>
          <cell r="M2388" t="str">
            <v/>
          </cell>
        </row>
        <row r="2389">
          <cell r="A2389">
            <v>31102192</v>
          </cell>
          <cell r="C2389">
            <v>31102192</v>
          </cell>
          <cell r="D2389">
            <v>31102192</v>
          </cell>
          <cell r="E2389">
            <v>31102192</v>
          </cell>
          <cell r="F2389">
            <v>31102192</v>
          </cell>
          <cell r="G2389">
            <v>31102192</v>
          </cell>
          <cell r="H2389">
            <v>31102192</v>
          </cell>
          <cell r="I2389" t="str">
            <v/>
          </cell>
          <cell r="J2389" t="str">
            <v/>
          </cell>
          <cell r="K2389" t="str">
            <v/>
          </cell>
          <cell r="L2389" t="str">
            <v/>
          </cell>
          <cell r="M2389" t="str">
            <v/>
          </cell>
        </row>
        <row r="2390">
          <cell r="A2390">
            <v>31102192</v>
          </cell>
          <cell r="C2390">
            <v>31102192</v>
          </cell>
          <cell r="D2390">
            <v>31102192</v>
          </cell>
          <cell r="E2390">
            <v>31102192</v>
          </cell>
          <cell r="F2390">
            <v>31102192</v>
          </cell>
          <cell r="G2390">
            <v>31102192</v>
          </cell>
          <cell r="H2390">
            <v>31102192</v>
          </cell>
          <cell r="I2390" t="str">
            <v/>
          </cell>
          <cell r="J2390" t="str">
            <v/>
          </cell>
          <cell r="K2390" t="str">
            <v/>
          </cell>
          <cell r="L2390" t="str">
            <v/>
          </cell>
          <cell r="M2390" t="str">
            <v/>
          </cell>
        </row>
        <row r="2391">
          <cell r="A2391">
            <v>31102192</v>
          </cell>
          <cell r="C2391">
            <v>31102192</v>
          </cell>
          <cell r="D2391">
            <v>31102192</v>
          </cell>
          <cell r="E2391">
            <v>31102192</v>
          </cell>
          <cell r="F2391">
            <v>31102192</v>
          </cell>
          <cell r="G2391">
            <v>31102192</v>
          </cell>
          <cell r="H2391">
            <v>31102192</v>
          </cell>
          <cell r="I2391" t="str">
            <v/>
          </cell>
          <cell r="J2391" t="str">
            <v/>
          </cell>
          <cell r="K2391" t="str">
            <v/>
          </cell>
          <cell r="L2391" t="str">
            <v/>
          </cell>
          <cell r="M2391" t="str">
            <v/>
          </cell>
        </row>
        <row r="2392">
          <cell r="A2392">
            <v>31102192</v>
          </cell>
          <cell r="C2392">
            <v>31102192</v>
          </cell>
          <cell r="D2392">
            <v>31102192</v>
          </cell>
          <cell r="E2392">
            <v>31102192</v>
          </cell>
          <cell r="F2392">
            <v>31102192</v>
          </cell>
          <cell r="G2392">
            <v>31102192</v>
          </cell>
          <cell r="H2392">
            <v>31102192</v>
          </cell>
          <cell r="I2392" t="str">
            <v/>
          </cell>
          <cell r="J2392" t="str">
            <v/>
          </cell>
          <cell r="K2392" t="str">
            <v/>
          </cell>
          <cell r="L2392" t="str">
            <v/>
          </cell>
          <cell r="M2392" t="str">
            <v/>
          </cell>
        </row>
        <row r="2393">
          <cell r="A2393">
            <v>31102192</v>
          </cell>
          <cell r="C2393">
            <v>31102192</v>
          </cell>
          <cell r="D2393">
            <v>31102192</v>
          </cell>
          <cell r="E2393">
            <v>31102192</v>
          </cell>
          <cell r="F2393">
            <v>31102192</v>
          </cell>
          <cell r="G2393">
            <v>31102192</v>
          </cell>
          <cell r="H2393">
            <v>31102192</v>
          </cell>
          <cell r="I2393" t="str">
            <v/>
          </cell>
          <cell r="J2393" t="str">
            <v/>
          </cell>
          <cell r="K2393" t="str">
            <v/>
          </cell>
          <cell r="L2393" t="str">
            <v/>
          </cell>
          <cell r="M2393" t="str">
            <v/>
          </cell>
        </row>
        <row r="2394">
          <cell r="A2394">
            <v>31102192</v>
          </cell>
          <cell r="C2394">
            <v>31102192</v>
          </cell>
          <cell r="D2394">
            <v>31102192</v>
          </cell>
          <cell r="E2394">
            <v>31102192</v>
          </cell>
          <cell r="F2394">
            <v>31102192</v>
          </cell>
          <cell r="G2394">
            <v>31102192</v>
          </cell>
          <cell r="H2394">
            <v>31102192</v>
          </cell>
          <cell r="I2394" t="str">
            <v/>
          </cell>
          <cell r="J2394" t="str">
            <v/>
          </cell>
          <cell r="K2394" t="str">
            <v/>
          </cell>
          <cell r="L2394" t="str">
            <v/>
          </cell>
          <cell r="M2394" t="str">
            <v/>
          </cell>
        </row>
        <row r="2395">
          <cell r="A2395">
            <v>31102192</v>
          </cell>
          <cell r="C2395">
            <v>31102192</v>
          </cell>
          <cell r="D2395">
            <v>31102192</v>
          </cell>
          <cell r="E2395">
            <v>31102192</v>
          </cell>
          <cell r="F2395">
            <v>31102192</v>
          </cell>
          <cell r="G2395">
            <v>31102192</v>
          </cell>
          <cell r="H2395">
            <v>31102192</v>
          </cell>
          <cell r="I2395" t="str">
            <v/>
          </cell>
          <cell r="J2395" t="str">
            <v/>
          </cell>
          <cell r="K2395" t="str">
            <v/>
          </cell>
          <cell r="L2395" t="str">
            <v/>
          </cell>
          <cell r="M2395" t="str">
            <v/>
          </cell>
        </row>
        <row r="2396">
          <cell r="A2396">
            <v>31102192</v>
          </cell>
          <cell r="C2396">
            <v>31102192</v>
          </cell>
          <cell r="D2396">
            <v>31102192</v>
          </cell>
          <cell r="E2396">
            <v>31102192</v>
          </cell>
          <cell r="F2396">
            <v>31102192</v>
          </cell>
          <cell r="G2396">
            <v>31102192</v>
          </cell>
          <cell r="H2396">
            <v>31102192</v>
          </cell>
          <cell r="I2396" t="str">
            <v/>
          </cell>
          <cell r="J2396" t="str">
            <v/>
          </cell>
          <cell r="K2396" t="str">
            <v/>
          </cell>
          <cell r="L2396" t="str">
            <v/>
          </cell>
          <cell r="M2396" t="str">
            <v/>
          </cell>
        </row>
        <row r="2397">
          <cell r="A2397">
            <v>31102192</v>
          </cell>
          <cell r="C2397">
            <v>31102192</v>
          </cell>
          <cell r="D2397">
            <v>31102192</v>
          </cell>
          <cell r="E2397">
            <v>31102192</v>
          </cell>
          <cell r="F2397">
            <v>31102192</v>
          </cell>
          <cell r="G2397">
            <v>31102192</v>
          </cell>
          <cell r="H2397">
            <v>31102192</v>
          </cell>
          <cell r="I2397" t="str">
            <v/>
          </cell>
          <cell r="J2397" t="str">
            <v/>
          </cell>
          <cell r="K2397" t="str">
            <v/>
          </cell>
          <cell r="L2397" t="str">
            <v/>
          </cell>
          <cell r="M2397" t="str">
            <v/>
          </cell>
        </row>
        <row r="2398">
          <cell r="A2398">
            <v>31102192</v>
          </cell>
          <cell r="C2398">
            <v>31102192</v>
          </cell>
          <cell r="D2398">
            <v>31102192</v>
          </cell>
          <cell r="E2398">
            <v>31102192</v>
          </cell>
          <cell r="F2398">
            <v>31102192</v>
          </cell>
          <cell r="G2398">
            <v>31102192</v>
          </cell>
          <cell r="H2398">
            <v>31102192</v>
          </cell>
          <cell r="I2398" t="str">
            <v/>
          </cell>
          <cell r="J2398" t="str">
            <v/>
          </cell>
          <cell r="K2398" t="str">
            <v/>
          </cell>
          <cell r="L2398" t="str">
            <v/>
          </cell>
          <cell r="M2398" t="str">
            <v/>
          </cell>
        </row>
        <row r="2399">
          <cell r="A2399">
            <v>31102192</v>
          </cell>
          <cell r="C2399">
            <v>31102192</v>
          </cell>
          <cell r="D2399">
            <v>31102192</v>
          </cell>
          <cell r="E2399">
            <v>31102192</v>
          </cell>
          <cell r="F2399">
            <v>31102192</v>
          </cell>
          <cell r="G2399">
            <v>31102192</v>
          </cell>
          <cell r="H2399">
            <v>31102192</v>
          </cell>
          <cell r="I2399" t="str">
            <v/>
          </cell>
          <cell r="J2399" t="str">
            <v/>
          </cell>
          <cell r="K2399" t="str">
            <v/>
          </cell>
          <cell r="L2399" t="str">
            <v/>
          </cell>
          <cell r="M2399" t="str">
            <v/>
          </cell>
        </row>
        <row r="2400">
          <cell r="A2400">
            <v>31102192</v>
          </cell>
          <cell r="C2400">
            <v>31102192</v>
          </cell>
          <cell r="D2400">
            <v>31102192</v>
          </cell>
          <cell r="E2400">
            <v>31102192</v>
          </cell>
          <cell r="F2400">
            <v>31102192</v>
          </cell>
          <cell r="G2400">
            <v>31102192</v>
          </cell>
          <cell r="H2400">
            <v>31102192</v>
          </cell>
          <cell r="I2400" t="str">
            <v/>
          </cell>
          <cell r="J2400" t="str">
            <v/>
          </cell>
          <cell r="K2400" t="str">
            <v/>
          </cell>
          <cell r="L2400" t="str">
            <v/>
          </cell>
          <cell r="M2400" t="str">
            <v/>
          </cell>
        </row>
        <row r="2401">
          <cell r="A2401">
            <v>31102192</v>
          </cell>
          <cell r="C2401">
            <v>31102192</v>
          </cell>
          <cell r="D2401">
            <v>31102192</v>
          </cell>
          <cell r="E2401">
            <v>31102192</v>
          </cell>
          <cell r="F2401">
            <v>31102192</v>
          </cell>
          <cell r="G2401">
            <v>31102192</v>
          </cell>
          <cell r="H2401">
            <v>31102192</v>
          </cell>
          <cell r="I2401" t="str">
            <v/>
          </cell>
          <cell r="J2401" t="str">
            <v/>
          </cell>
          <cell r="K2401" t="str">
            <v/>
          </cell>
          <cell r="L2401" t="str">
            <v/>
          </cell>
          <cell r="M2401" t="str">
            <v/>
          </cell>
        </row>
        <row r="2402">
          <cell r="A2402">
            <v>31102192</v>
          </cell>
          <cell r="C2402">
            <v>31102192</v>
          </cell>
          <cell r="D2402">
            <v>31102192</v>
          </cell>
          <cell r="E2402">
            <v>31102192</v>
          </cell>
          <cell r="F2402">
            <v>31102192</v>
          </cell>
          <cell r="G2402">
            <v>31102192</v>
          </cell>
          <cell r="H2402">
            <v>31102192</v>
          </cell>
          <cell r="I2402" t="str">
            <v/>
          </cell>
          <cell r="J2402" t="str">
            <v/>
          </cell>
          <cell r="K2402" t="str">
            <v/>
          </cell>
          <cell r="L2402" t="str">
            <v/>
          </cell>
          <cell r="M2402" t="str">
            <v/>
          </cell>
        </row>
        <row r="2403">
          <cell r="A2403">
            <v>31102192</v>
          </cell>
          <cell r="C2403">
            <v>31102192</v>
          </cell>
          <cell r="D2403">
            <v>31102192</v>
          </cell>
          <cell r="E2403">
            <v>31102192</v>
          </cell>
          <cell r="F2403">
            <v>31102192</v>
          </cell>
          <cell r="G2403">
            <v>31102192</v>
          </cell>
          <cell r="H2403">
            <v>31102192</v>
          </cell>
          <cell r="I2403" t="str">
            <v/>
          </cell>
          <cell r="J2403" t="str">
            <v/>
          </cell>
          <cell r="K2403" t="str">
            <v/>
          </cell>
          <cell r="L2403" t="str">
            <v/>
          </cell>
          <cell r="M2403" t="str">
            <v/>
          </cell>
        </row>
        <row r="2404">
          <cell r="A2404">
            <v>31102192</v>
          </cell>
          <cell r="C2404">
            <v>31102192</v>
          </cell>
          <cell r="D2404">
            <v>31102192</v>
          </cell>
          <cell r="E2404">
            <v>31102192</v>
          </cell>
          <cell r="F2404">
            <v>31102192</v>
          </cell>
          <cell r="G2404">
            <v>31102192</v>
          </cell>
          <cell r="H2404">
            <v>31102192</v>
          </cell>
          <cell r="I2404" t="str">
            <v/>
          </cell>
          <cell r="J2404" t="str">
            <v/>
          </cell>
          <cell r="K2404" t="str">
            <v/>
          </cell>
          <cell r="L2404" t="str">
            <v/>
          </cell>
          <cell r="M2404" t="str">
            <v/>
          </cell>
        </row>
        <row r="2405">
          <cell r="A2405">
            <v>31102192</v>
          </cell>
          <cell r="C2405">
            <v>31102192</v>
          </cell>
          <cell r="D2405">
            <v>31102192</v>
          </cell>
          <cell r="E2405">
            <v>31102192</v>
          </cell>
          <cell r="F2405">
            <v>31102192</v>
          </cell>
          <cell r="G2405">
            <v>31102192</v>
          </cell>
          <cell r="H2405">
            <v>31102192</v>
          </cell>
          <cell r="I2405" t="str">
            <v/>
          </cell>
          <cell r="J2405" t="str">
            <v/>
          </cell>
          <cell r="K2405" t="str">
            <v/>
          </cell>
          <cell r="L2405" t="str">
            <v/>
          </cell>
          <cell r="M2405" t="str">
            <v/>
          </cell>
        </row>
        <row r="2406">
          <cell r="A2406">
            <v>31102192</v>
          </cell>
          <cell r="C2406">
            <v>31102192</v>
          </cell>
          <cell r="D2406">
            <v>31102192</v>
          </cell>
          <cell r="E2406">
            <v>31102192</v>
          </cell>
          <cell r="F2406">
            <v>31102192</v>
          </cell>
          <cell r="G2406">
            <v>31102192</v>
          </cell>
          <cell r="H2406">
            <v>31102192</v>
          </cell>
          <cell r="I2406" t="str">
            <v/>
          </cell>
          <cell r="J2406" t="str">
            <v/>
          </cell>
          <cell r="K2406" t="str">
            <v/>
          </cell>
          <cell r="L2406" t="str">
            <v/>
          </cell>
          <cell r="M2406" t="str">
            <v/>
          </cell>
        </row>
        <row r="2407">
          <cell r="A2407">
            <v>31102192</v>
          </cell>
          <cell r="C2407">
            <v>31102192</v>
          </cell>
          <cell r="D2407">
            <v>31102192</v>
          </cell>
          <cell r="E2407">
            <v>31102192</v>
          </cell>
          <cell r="F2407">
            <v>31102192</v>
          </cell>
          <cell r="G2407">
            <v>31102192</v>
          </cell>
          <cell r="H2407">
            <v>31102192</v>
          </cell>
          <cell r="I2407" t="str">
            <v/>
          </cell>
          <cell r="J2407" t="str">
            <v/>
          </cell>
          <cell r="K2407" t="str">
            <v/>
          </cell>
          <cell r="L2407" t="str">
            <v/>
          </cell>
          <cell r="M2407" t="str">
            <v/>
          </cell>
        </row>
        <row r="2408">
          <cell r="A2408">
            <v>31102192</v>
          </cell>
          <cell r="C2408">
            <v>31102192</v>
          </cell>
          <cell r="D2408">
            <v>31102192</v>
          </cell>
          <cell r="E2408">
            <v>31102192</v>
          </cell>
          <cell r="F2408">
            <v>31102192</v>
          </cell>
          <cell r="G2408">
            <v>31102192</v>
          </cell>
          <cell r="H2408">
            <v>31102192</v>
          </cell>
          <cell r="I2408" t="str">
            <v/>
          </cell>
          <cell r="J2408" t="str">
            <v/>
          </cell>
          <cell r="K2408" t="str">
            <v/>
          </cell>
          <cell r="L2408" t="str">
            <v/>
          </cell>
          <cell r="M2408" t="str">
            <v/>
          </cell>
        </row>
        <row r="2409">
          <cell r="A2409">
            <v>31102192</v>
          </cell>
          <cell r="C2409">
            <v>31102192</v>
          </cell>
          <cell r="D2409">
            <v>31102192</v>
          </cell>
          <cell r="E2409">
            <v>31102192</v>
          </cell>
          <cell r="F2409">
            <v>31102192</v>
          </cell>
          <cell r="G2409">
            <v>31102192</v>
          </cell>
          <cell r="H2409">
            <v>31102192</v>
          </cell>
          <cell r="I2409" t="str">
            <v/>
          </cell>
          <cell r="J2409" t="str">
            <v/>
          </cell>
          <cell r="K2409" t="str">
            <v/>
          </cell>
          <cell r="L2409" t="str">
            <v/>
          </cell>
          <cell r="M2409" t="str">
            <v/>
          </cell>
        </row>
        <row r="2410">
          <cell r="A2410">
            <v>31102192</v>
          </cell>
          <cell r="C2410">
            <v>31102192</v>
          </cell>
          <cell r="D2410">
            <v>31102192</v>
          </cell>
          <cell r="E2410">
            <v>31102192</v>
          </cell>
          <cell r="F2410">
            <v>31102192</v>
          </cell>
          <cell r="G2410">
            <v>31102192</v>
          </cell>
          <cell r="H2410">
            <v>31102192</v>
          </cell>
          <cell r="I2410" t="str">
            <v/>
          </cell>
          <cell r="J2410" t="str">
            <v/>
          </cell>
          <cell r="K2410" t="str">
            <v/>
          </cell>
          <cell r="L2410" t="str">
            <v/>
          </cell>
          <cell r="M2410" t="str">
            <v/>
          </cell>
        </row>
        <row r="2411">
          <cell r="A2411">
            <v>31102192</v>
          </cell>
          <cell r="C2411">
            <v>31102192</v>
          </cell>
          <cell r="D2411">
            <v>31102192</v>
          </cell>
          <cell r="E2411">
            <v>31102192</v>
          </cell>
          <cell r="F2411">
            <v>31102192</v>
          </cell>
          <cell r="G2411">
            <v>31102192</v>
          </cell>
          <cell r="H2411">
            <v>31102192</v>
          </cell>
          <cell r="I2411" t="str">
            <v/>
          </cell>
          <cell r="J2411" t="str">
            <v/>
          </cell>
          <cell r="K2411" t="str">
            <v/>
          </cell>
          <cell r="L2411" t="str">
            <v/>
          </cell>
          <cell r="M2411" t="str">
            <v/>
          </cell>
        </row>
        <row r="2412">
          <cell r="A2412">
            <v>31102192</v>
          </cell>
          <cell r="C2412">
            <v>31102192</v>
          </cell>
          <cell r="D2412">
            <v>31102192</v>
          </cell>
          <cell r="E2412">
            <v>31102192</v>
          </cell>
          <cell r="F2412">
            <v>31102192</v>
          </cell>
          <cell r="G2412">
            <v>31102192</v>
          </cell>
          <cell r="H2412">
            <v>31102192</v>
          </cell>
          <cell r="I2412" t="str">
            <v/>
          </cell>
          <cell r="J2412" t="str">
            <v/>
          </cell>
          <cell r="K2412" t="str">
            <v/>
          </cell>
          <cell r="L2412" t="str">
            <v/>
          </cell>
          <cell r="M2412" t="str">
            <v/>
          </cell>
        </row>
        <row r="2413">
          <cell r="A2413">
            <v>31102192</v>
          </cell>
          <cell r="C2413">
            <v>31102192</v>
          </cell>
          <cell r="D2413">
            <v>31102192</v>
          </cell>
          <cell r="E2413">
            <v>31102192</v>
          </cell>
          <cell r="F2413">
            <v>31102192</v>
          </cell>
          <cell r="G2413">
            <v>31102192</v>
          </cell>
          <cell r="H2413">
            <v>31102192</v>
          </cell>
          <cell r="I2413" t="str">
            <v/>
          </cell>
          <cell r="J2413" t="str">
            <v/>
          </cell>
          <cell r="K2413" t="str">
            <v/>
          </cell>
          <cell r="L2413" t="str">
            <v/>
          </cell>
          <cell r="M2413" t="str">
            <v/>
          </cell>
        </row>
        <row r="2414">
          <cell r="A2414">
            <v>31102192</v>
          </cell>
          <cell r="C2414">
            <v>31102192</v>
          </cell>
          <cell r="D2414">
            <v>31102192</v>
          </cell>
          <cell r="E2414">
            <v>31102192</v>
          </cell>
          <cell r="F2414">
            <v>31102192</v>
          </cell>
          <cell r="G2414">
            <v>31102192</v>
          </cell>
          <cell r="H2414">
            <v>31102192</v>
          </cell>
          <cell r="I2414" t="str">
            <v/>
          </cell>
          <cell r="J2414" t="str">
            <v/>
          </cell>
          <cell r="K2414" t="str">
            <v/>
          </cell>
          <cell r="L2414" t="str">
            <v/>
          </cell>
          <cell r="M2414" t="str">
            <v/>
          </cell>
        </row>
        <row r="2415">
          <cell r="A2415">
            <v>31102192</v>
          </cell>
          <cell r="C2415">
            <v>31102192</v>
          </cell>
          <cell r="D2415">
            <v>31102192</v>
          </cell>
          <cell r="E2415">
            <v>31102192</v>
          </cell>
          <cell r="F2415">
            <v>31102192</v>
          </cell>
          <cell r="G2415">
            <v>31102192</v>
          </cell>
          <cell r="H2415">
            <v>31102192</v>
          </cell>
          <cell r="I2415" t="str">
            <v/>
          </cell>
          <cell r="J2415" t="str">
            <v/>
          </cell>
          <cell r="K2415" t="str">
            <v/>
          </cell>
          <cell r="L2415" t="str">
            <v/>
          </cell>
          <cell r="M2415" t="str">
            <v/>
          </cell>
        </row>
        <row r="2416">
          <cell r="A2416">
            <v>31102192</v>
          </cell>
          <cell r="C2416">
            <v>31102192</v>
          </cell>
          <cell r="D2416">
            <v>31102192</v>
          </cell>
          <cell r="E2416">
            <v>31102192</v>
          </cell>
          <cell r="F2416">
            <v>31102192</v>
          </cell>
          <cell r="G2416">
            <v>31102192</v>
          </cell>
          <cell r="H2416">
            <v>31102192</v>
          </cell>
          <cell r="I2416" t="str">
            <v/>
          </cell>
          <cell r="J2416" t="str">
            <v/>
          </cell>
          <cell r="K2416" t="str">
            <v/>
          </cell>
          <cell r="L2416" t="str">
            <v/>
          </cell>
          <cell r="M2416" t="str">
            <v/>
          </cell>
        </row>
        <row r="2417">
          <cell r="A2417">
            <v>31102192</v>
          </cell>
          <cell r="C2417">
            <v>31102192</v>
          </cell>
          <cell r="D2417">
            <v>31102192</v>
          </cell>
          <cell r="E2417">
            <v>31102192</v>
          </cell>
          <cell r="F2417">
            <v>31102192</v>
          </cell>
          <cell r="G2417">
            <v>31102192</v>
          </cell>
          <cell r="H2417">
            <v>31102192</v>
          </cell>
          <cell r="I2417" t="str">
            <v/>
          </cell>
          <cell r="J2417" t="str">
            <v/>
          </cell>
          <cell r="K2417" t="str">
            <v/>
          </cell>
          <cell r="L2417" t="str">
            <v/>
          </cell>
          <cell r="M2417" t="str">
            <v/>
          </cell>
        </row>
        <row r="2418">
          <cell r="A2418">
            <v>31102192</v>
          </cell>
          <cell r="C2418">
            <v>31102192</v>
          </cell>
          <cell r="D2418">
            <v>31102192</v>
          </cell>
          <cell r="E2418">
            <v>31102192</v>
          </cell>
          <cell r="F2418">
            <v>31102192</v>
          </cell>
          <cell r="G2418">
            <v>31102192</v>
          </cell>
          <cell r="H2418">
            <v>31102192</v>
          </cell>
          <cell r="I2418" t="str">
            <v/>
          </cell>
          <cell r="J2418" t="str">
            <v/>
          </cell>
          <cell r="K2418" t="str">
            <v/>
          </cell>
          <cell r="L2418" t="str">
            <v/>
          </cell>
          <cell r="M2418" t="str">
            <v/>
          </cell>
        </row>
        <row r="2419">
          <cell r="A2419">
            <v>31102192</v>
          </cell>
          <cell r="C2419">
            <v>31102192</v>
          </cell>
          <cell r="D2419">
            <v>31102192</v>
          </cell>
          <cell r="E2419">
            <v>31102192</v>
          </cell>
          <cell r="F2419">
            <v>31102192</v>
          </cell>
          <cell r="G2419">
            <v>31102192</v>
          </cell>
          <cell r="H2419">
            <v>31102192</v>
          </cell>
          <cell r="I2419" t="str">
            <v/>
          </cell>
          <cell r="J2419" t="str">
            <v/>
          </cell>
          <cell r="K2419" t="str">
            <v/>
          </cell>
          <cell r="L2419" t="str">
            <v/>
          </cell>
          <cell r="M2419" t="str">
            <v/>
          </cell>
        </row>
        <row r="2420">
          <cell r="A2420">
            <v>31102192</v>
          </cell>
          <cell r="C2420">
            <v>31102192</v>
          </cell>
          <cell r="D2420">
            <v>31102192</v>
          </cell>
          <cell r="E2420">
            <v>31102192</v>
          </cell>
          <cell r="F2420">
            <v>31102192</v>
          </cell>
          <cell r="G2420">
            <v>31102192</v>
          </cell>
          <cell r="H2420">
            <v>31102192</v>
          </cell>
          <cell r="I2420" t="str">
            <v/>
          </cell>
          <cell r="J2420" t="str">
            <v/>
          </cell>
          <cell r="K2420" t="str">
            <v/>
          </cell>
          <cell r="L2420" t="str">
            <v/>
          </cell>
          <cell r="M2420" t="str">
            <v/>
          </cell>
        </row>
        <row r="2421">
          <cell r="A2421">
            <v>31102192</v>
          </cell>
          <cell r="C2421">
            <v>31102192</v>
          </cell>
          <cell r="D2421">
            <v>31102192</v>
          </cell>
          <cell r="E2421">
            <v>31102192</v>
          </cell>
          <cell r="F2421">
            <v>31102192</v>
          </cell>
          <cell r="G2421">
            <v>31102192</v>
          </cell>
          <cell r="H2421">
            <v>31102192</v>
          </cell>
          <cell r="I2421" t="str">
            <v/>
          </cell>
          <cell r="J2421" t="str">
            <v/>
          </cell>
          <cell r="K2421" t="str">
            <v/>
          </cell>
          <cell r="L2421" t="str">
            <v/>
          </cell>
          <cell r="M2421" t="str">
            <v/>
          </cell>
        </row>
        <row r="2422">
          <cell r="A2422">
            <v>31102192</v>
          </cell>
          <cell r="C2422">
            <v>31102192</v>
          </cell>
          <cell r="D2422">
            <v>31102192</v>
          </cell>
          <cell r="E2422">
            <v>31102192</v>
          </cell>
          <cell r="F2422">
            <v>31102192</v>
          </cell>
          <cell r="G2422">
            <v>31102192</v>
          </cell>
          <cell r="H2422">
            <v>31102192</v>
          </cell>
          <cell r="I2422" t="str">
            <v/>
          </cell>
          <cell r="J2422" t="str">
            <v/>
          </cell>
          <cell r="K2422" t="str">
            <v/>
          </cell>
          <cell r="L2422" t="str">
            <v/>
          </cell>
          <cell r="M2422" t="str">
            <v/>
          </cell>
        </row>
        <row r="2423">
          <cell r="A2423">
            <v>31102192</v>
          </cell>
          <cell r="C2423">
            <v>31102192</v>
          </cell>
          <cell r="D2423">
            <v>31102192</v>
          </cell>
          <cell r="E2423">
            <v>31102192</v>
          </cell>
          <cell r="F2423">
            <v>31102192</v>
          </cell>
          <cell r="G2423">
            <v>31102192</v>
          </cell>
          <cell r="H2423">
            <v>31102192</v>
          </cell>
          <cell r="I2423" t="str">
            <v/>
          </cell>
          <cell r="J2423" t="str">
            <v/>
          </cell>
          <cell r="K2423" t="str">
            <v/>
          </cell>
          <cell r="L2423" t="str">
            <v/>
          </cell>
          <cell r="M2423" t="str">
            <v/>
          </cell>
        </row>
        <row r="2424">
          <cell r="A2424">
            <v>31102192</v>
          </cell>
          <cell r="C2424">
            <v>31102192</v>
          </cell>
          <cell r="D2424">
            <v>31102192</v>
          </cell>
          <cell r="E2424">
            <v>31102192</v>
          </cell>
          <cell r="F2424">
            <v>31102192</v>
          </cell>
          <cell r="G2424">
            <v>31102192</v>
          </cell>
          <cell r="H2424">
            <v>31102192</v>
          </cell>
          <cell r="I2424" t="str">
            <v/>
          </cell>
          <cell r="J2424" t="str">
            <v/>
          </cell>
          <cell r="K2424" t="str">
            <v/>
          </cell>
          <cell r="L2424" t="str">
            <v/>
          </cell>
          <cell r="M2424" t="str">
            <v/>
          </cell>
        </row>
        <row r="2425">
          <cell r="A2425">
            <v>31102192</v>
          </cell>
          <cell r="C2425">
            <v>31102192</v>
          </cell>
          <cell r="D2425">
            <v>31102192</v>
          </cell>
          <cell r="E2425">
            <v>31102192</v>
          </cell>
          <cell r="F2425">
            <v>31102192</v>
          </cell>
          <cell r="G2425">
            <v>31102192</v>
          </cell>
          <cell r="H2425">
            <v>31102192</v>
          </cell>
          <cell r="I2425" t="str">
            <v/>
          </cell>
          <cell r="J2425" t="str">
            <v/>
          </cell>
          <cell r="K2425" t="str">
            <v/>
          </cell>
          <cell r="L2425" t="str">
            <v/>
          </cell>
          <cell r="M2425" t="str">
            <v/>
          </cell>
        </row>
        <row r="2426">
          <cell r="A2426">
            <v>31102192</v>
          </cell>
          <cell r="C2426">
            <v>31102192</v>
          </cell>
          <cell r="D2426">
            <v>31102192</v>
          </cell>
          <cell r="E2426">
            <v>31102192</v>
          </cell>
          <cell r="F2426">
            <v>31102192</v>
          </cell>
          <cell r="G2426">
            <v>31102192</v>
          </cell>
          <cell r="H2426">
            <v>31102192</v>
          </cell>
          <cell r="I2426" t="str">
            <v/>
          </cell>
          <cell r="J2426" t="str">
            <v/>
          </cell>
          <cell r="K2426" t="str">
            <v/>
          </cell>
          <cell r="L2426" t="str">
            <v/>
          </cell>
          <cell r="M2426" t="str">
            <v/>
          </cell>
        </row>
        <row r="2427">
          <cell r="A2427">
            <v>31102192</v>
          </cell>
          <cell r="C2427">
            <v>31102192</v>
          </cell>
          <cell r="D2427">
            <v>31102192</v>
          </cell>
          <cell r="E2427">
            <v>31102192</v>
          </cell>
          <cell r="F2427">
            <v>31102192</v>
          </cell>
          <cell r="G2427">
            <v>31102192</v>
          </cell>
          <cell r="H2427">
            <v>31102192</v>
          </cell>
          <cell r="I2427" t="str">
            <v/>
          </cell>
          <cell r="J2427" t="str">
            <v/>
          </cell>
          <cell r="K2427" t="str">
            <v/>
          </cell>
          <cell r="L2427" t="str">
            <v/>
          </cell>
          <cell r="M2427" t="str">
            <v/>
          </cell>
        </row>
        <row r="2428">
          <cell r="A2428">
            <v>31102192</v>
          </cell>
          <cell r="C2428">
            <v>31102192</v>
          </cell>
          <cell r="D2428">
            <v>31102192</v>
          </cell>
          <cell r="E2428">
            <v>31102192</v>
          </cell>
          <cell r="F2428">
            <v>31102192</v>
          </cell>
          <cell r="G2428">
            <v>31102192</v>
          </cell>
          <cell r="H2428">
            <v>31102192</v>
          </cell>
          <cell r="I2428" t="str">
            <v/>
          </cell>
          <cell r="J2428" t="str">
            <v/>
          </cell>
          <cell r="K2428" t="str">
            <v/>
          </cell>
          <cell r="L2428" t="str">
            <v/>
          </cell>
          <cell r="M2428" t="str">
            <v/>
          </cell>
        </row>
        <row r="2429">
          <cell r="A2429">
            <v>31102192</v>
          </cell>
          <cell r="C2429">
            <v>31102192</v>
          </cell>
          <cell r="D2429">
            <v>31102192</v>
          </cell>
          <cell r="E2429">
            <v>31102192</v>
          </cell>
          <cell r="F2429">
            <v>31102192</v>
          </cell>
          <cell r="G2429">
            <v>31102192</v>
          </cell>
          <cell r="H2429">
            <v>31102192</v>
          </cell>
          <cell r="I2429" t="str">
            <v/>
          </cell>
          <cell r="J2429" t="str">
            <v/>
          </cell>
          <cell r="K2429" t="str">
            <v/>
          </cell>
          <cell r="L2429" t="str">
            <v/>
          </cell>
          <cell r="M2429" t="str">
            <v/>
          </cell>
        </row>
        <row r="2430">
          <cell r="A2430">
            <v>31102192</v>
          </cell>
          <cell r="C2430">
            <v>31102192</v>
          </cell>
          <cell r="D2430">
            <v>31102192</v>
          </cell>
          <cell r="E2430">
            <v>31102192</v>
          </cell>
          <cell r="F2430">
            <v>31102192</v>
          </cell>
          <cell r="G2430">
            <v>31102192</v>
          </cell>
          <cell r="H2430">
            <v>31102192</v>
          </cell>
          <cell r="I2430" t="str">
            <v/>
          </cell>
          <cell r="J2430" t="str">
            <v/>
          </cell>
          <cell r="K2430" t="str">
            <v/>
          </cell>
          <cell r="L2430" t="str">
            <v/>
          </cell>
          <cell r="M2430" t="str">
            <v/>
          </cell>
        </row>
        <row r="2431">
          <cell r="A2431">
            <v>31102192</v>
          </cell>
          <cell r="C2431">
            <v>31102192</v>
          </cell>
          <cell r="D2431">
            <v>31102192</v>
          </cell>
          <cell r="E2431">
            <v>31102192</v>
          </cell>
          <cell r="F2431">
            <v>31102192</v>
          </cell>
          <cell r="G2431">
            <v>31102192</v>
          </cell>
          <cell r="H2431">
            <v>31102192</v>
          </cell>
          <cell r="I2431" t="str">
            <v/>
          </cell>
          <cell r="J2431" t="str">
            <v/>
          </cell>
          <cell r="K2431" t="str">
            <v/>
          </cell>
          <cell r="L2431" t="str">
            <v/>
          </cell>
          <cell r="M2431" t="str">
            <v/>
          </cell>
        </row>
        <row r="2432">
          <cell r="A2432">
            <v>31102192</v>
          </cell>
          <cell r="C2432">
            <v>31102192</v>
          </cell>
          <cell r="D2432">
            <v>31102192</v>
          </cell>
          <cell r="E2432">
            <v>31102192</v>
          </cell>
          <cell r="F2432">
            <v>31102192</v>
          </cell>
          <cell r="G2432">
            <v>31102192</v>
          </cell>
          <cell r="H2432">
            <v>31102192</v>
          </cell>
          <cell r="I2432" t="str">
            <v/>
          </cell>
          <cell r="J2432" t="str">
            <v/>
          </cell>
          <cell r="K2432" t="str">
            <v/>
          </cell>
          <cell r="L2432" t="str">
            <v/>
          </cell>
          <cell r="M2432" t="str">
            <v/>
          </cell>
        </row>
        <row r="2433">
          <cell r="A2433">
            <v>31102192</v>
          </cell>
          <cell r="C2433">
            <v>31102192</v>
          </cell>
          <cell r="D2433">
            <v>31102192</v>
          </cell>
          <cell r="E2433">
            <v>31102192</v>
          </cell>
          <cell r="F2433">
            <v>31102192</v>
          </cell>
          <cell r="G2433">
            <v>31102192</v>
          </cell>
          <cell r="H2433">
            <v>31102192</v>
          </cell>
          <cell r="I2433" t="str">
            <v/>
          </cell>
          <cell r="J2433" t="str">
            <v/>
          </cell>
          <cell r="K2433" t="str">
            <v/>
          </cell>
          <cell r="L2433" t="str">
            <v/>
          </cell>
          <cell r="M2433" t="str">
            <v/>
          </cell>
        </row>
        <row r="2434">
          <cell r="A2434">
            <v>31102192</v>
          </cell>
          <cell r="C2434">
            <v>31102192</v>
          </cell>
          <cell r="D2434">
            <v>31102192</v>
          </cell>
          <cell r="E2434">
            <v>31102192</v>
          </cell>
          <cell r="F2434">
            <v>31102192</v>
          </cell>
          <cell r="G2434">
            <v>31102192</v>
          </cell>
          <cell r="H2434">
            <v>31102192</v>
          </cell>
          <cell r="I2434" t="str">
            <v/>
          </cell>
          <cell r="J2434" t="str">
            <v/>
          </cell>
          <cell r="K2434" t="str">
            <v/>
          </cell>
          <cell r="L2434" t="str">
            <v/>
          </cell>
          <cell r="M2434" t="str">
            <v/>
          </cell>
        </row>
        <row r="2435">
          <cell r="A2435">
            <v>31102192</v>
          </cell>
          <cell r="C2435">
            <v>31102192</v>
          </cell>
          <cell r="D2435">
            <v>31102192</v>
          </cell>
          <cell r="E2435">
            <v>31102192</v>
          </cell>
          <cell r="F2435">
            <v>31102192</v>
          </cell>
          <cell r="G2435">
            <v>31102192</v>
          </cell>
          <cell r="H2435">
            <v>31102192</v>
          </cell>
          <cell r="I2435" t="str">
            <v/>
          </cell>
          <cell r="J2435" t="str">
            <v/>
          </cell>
          <cell r="K2435" t="str">
            <v/>
          </cell>
          <cell r="L2435" t="str">
            <v/>
          </cell>
          <cell r="M2435" t="str">
            <v/>
          </cell>
        </row>
        <row r="2436">
          <cell r="A2436">
            <v>31102192</v>
          </cell>
          <cell r="C2436">
            <v>31102192</v>
          </cell>
          <cell r="D2436">
            <v>31102192</v>
          </cell>
          <cell r="E2436">
            <v>31102192</v>
          </cell>
          <cell r="F2436">
            <v>31102192</v>
          </cell>
          <cell r="G2436">
            <v>31102192</v>
          </cell>
          <cell r="H2436">
            <v>31102192</v>
          </cell>
          <cell r="I2436" t="str">
            <v/>
          </cell>
          <cell r="J2436" t="str">
            <v/>
          </cell>
          <cell r="K2436" t="str">
            <v/>
          </cell>
          <cell r="L2436" t="str">
            <v/>
          </cell>
          <cell r="M2436" t="str">
            <v/>
          </cell>
        </row>
        <row r="2437">
          <cell r="A2437">
            <v>31102192</v>
          </cell>
          <cell r="C2437">
            <v>31102192</v>
          </cell>
          <cell r="D2437">
            <v>31102192</v>
          </cell>
          <cell r="E2437">
            <v>31102192</v>
          </cell>
          <cell r="F2437">
            <v>31102192</v>
          </cell>
          <cell r="G2437">
            <v>31102192</v>
          </cell>
          <cell r="H2437">
            <v>31102192</v>
          </cell>
          <cell r="I2437" t="str">
            <v/>
          </cell>
          <cell r="J2437" t="str">
            <v/>
          </cell>
          <cell r="K2437" t="str">
            <v/>
          </cell>
          <cell r="L2437" t="str">
            <v/>
          </cell>
          <cell r="M2437" t="str">
            <v/>
          </cell>
        </row>
        <row r="2438">
          <cell r="A2438">
            <v>31102192</v>
          </cell>
          <cell r="C2438">
            <v>31102192</v>
          </cell>
          <cell r="D2438">
            <v>31102192</v>
          </cell>
          <cell r="E2438">
            <v>31102192</v>
          </cell>
          <cell r="F2438">
            <v>31102192</v>
          </cell>
          <cell r="G2438">
            <v>31102192</v>
          </cell>
          <cell r="H2438">
            <v>31102192</v>
          </cell>
          <cell r="I2438" t="str">
            <v/>
          </cell>
          <cell r="J2438" t="str">
            <v/>
          </cell>
          <cell r="K2438" t="str">
            <v/>
          </cell>
          <cell r="L2438" t="str">
            <v/>
          </cell>
          <cell r="M2438" t="str">
            <v/>
          </cell>
        </row>
        <row r="2439">
          <cell r="A2439">
            <v>31102192</v>
          </cell>
          <cell r="C2439">
            <v>31102192</v>
          </cell>
          <cell r="D2439">
            <v>31102192</v>
          </cell>
          <cell r="E2439">
            <v>31102192</v>
          </cell>
          <cell r="F2439">
            <v>31102192</v>
          </cell>
          <cell r="G2439">
            <v>31102192</v>
          </cell>
          <cell r="H2439">
            <v>31102192</v>
          </cell>
          <cell r="I2439" t="str">
            <v/>
          </cell>
          <cell r="J2439" t="str">
            <v/>
          </cell>
          <cell r="K2439" t="str">
            <v/>
          </cell>
          <cell r="L2439" t="str">
            <v/>
          </cell>
          <cell r="M2439" t="str">
            <v/>
          </cell>
        </row>
        <row r="2440">
          <cell r="A2440">
            <v>31102192</v>
          </cell>
          <cell r="C2440">
            <v>31102192</v>
          </cell>
          <cell r="D2440">
            <v>31102192</v>
          </cell>
          <cell r="E2440">
            <v>31102192</v>
          </cell>
          <cell r="F2440">
            <v>31102192</v>
          </cell>
          <cell r="G2440">
            <v>31102192</v>
          </cell>
          <cell r="H2440">
            <v>31102192</v>
          </cell>
          <cell r="I2440" t="str">
            <v/>
          </cell>
          <cell r="J2440" t="str">
            <v/>
          </cell>
          <cell r="K2440" t="str">
            <v/>
          </cell>
          <cell r="L2440" t="str">
            <v/>
          </cell>
          <cell r="M2440" t="str">
            <v/>
          </cell>
        </row>
        <row r="2441">
          <cell r="A2441">
            <v>31102192</v>
          </cell>
          <cell r="C2441">
            <v>31102192</v>
          </cell>
          <cell r="D2441">
            <v>31102192</v>
          </cell>
          <cell r="E2441">
            <v>31102192</v>
          </cell>
          <cell r="F2441">
            <v>31102192</v>
          </cell>
          <cell r="G2441">
            <v>31102192</v>
          </cell>
          <cell r="H2441">
            <v>31102192</v>
          </cell>
          <cell r="I2441" t="str">
            <v/>
          </cell>
          <cell r="J2441" t="str">
            <v/>
          </cell>
          <cell r="K2441" t="str">
            <v/>
          </cell>
          <cell r="L2441" t="str">
            <v/>
          </cell>
          <cell r="M2441" t="str">
            <v/>
          </cell>
        </row>
        <row r="2442">
          <cell r="A2442">
            <v>31102192</v>
          </cell>
          <cell r="C2442">
            <v>31102192</v>
          </cell>
          <cell r="D2442">
            <v>31102192</v>
          </cell>
          <cell r="E2442">
            <v>31102192</v>
          </cell>
          <cell r="F2442">
            <v>31102192</v>
          </cell>
          <cell r="G2442">
            <v>31102192</v>
          </cell>
          <cell r="H2442">
            <v>31102192</v>
          </cell>
          <cell r="I2442" t="str">
            <v/>
          </cell>
          <cell r="J2442" t="str">
            <v/>
          </cell>
          <cell r="K2442" t="str">
            <v/>
          </cell>
          <cell r="L2442" t="str">
            <v/>
          </cell>
          <cell r="M2442" t="str">
            <v/>
          </cell>
        </row>
        <row r="2443">
          <cell r="A2443">
            <v>31102192</v>
          </cell>
          <cell r="C2443">
            <v>31102192</v>
          </cell>
          <cell r="D2443">
            <v>31102192</v>
          </cell>
          <cell r="E2443">
            <v>31102192</v>
          </cell>
          <cell r="F2443">
            <v>31102192</v>
          </cell>
          <cell r="G2443">
            <v>31102192</v>
          </cell>
          <cell r="H2443">
            <v>31102192</v>
          </cell>
          <cell r="I2443" t="str">
            <v/>
          </cell>
          <cell r="J2443" t="str">
            <v/>
          </cell>
          <cell r="K2443" t="str">
            <v/>
          </cell>
          <cell r="L2443" t="str">
            <v/>
          </cell>
          <cell r="M2443" t="str">
            <v/>
          </cell>
        </row>
        <row r="2444">
          <cell r="A2444">
            <v>31102192</v>
          </cell>
          <cell r="C2444">
            <v>31102192</v>
          </cell>
          <cell r="D2444">
            <v>31102192</v>
          </cell>
          <cell r="E2444">
            <v>31102192</v>
          </cell>
          <cell r="F2444">
            <v>31102192</v>
          </cell>
          <cell r="G2444">
            <v>31102192</v>
          </cell>
          <cell r="H2444">
            <v>31102192</v>
          </cell>
          <cell r="I2444" t="str">
            <v/>
          </cell>
          <cell r="J2444" t="str">
            <v/>
          </cell>
          <cell r="K2444" t="str">
            <v/>
          </cell>
          <cell r="L2444" t="str">
            <v/>
          </cell>
          <cell r="M2444" t="str">
            <v/>
          </cell>
        </row>
        <row r="2445">
          <cell r="A2445">
            <v>31102192</v>
          </cell>
          <cell r="C2445">
            <v>31102192</v>
          </cell>
          <cell r="D2445">
            <v>31102192</v>
          </cell>
          <cell r="E2445">
            <v>31102192</v>
          </cell>
          <cell r="F2445">
            <v>31102192</v>
          </cell>
          <cell r="G2445">
            <v>31102192</v>
          </cell>
          <cell r="H2445">
            <v>31102192</v>
          </cell>
          <cell r="I2445" t="str">
            <v/>
          </cell>
          <cell r="J2445" t="str">
            <v/>
          </cell>
          <cell r="K2445" t="str">
            <v/>
          </cell>
          <cell r="L2445" t="str">
            <v/>
          </cell>
          <cell r="M2445" t="str">
            <v/>
          </cell>
        </row>
        <row r="2446">
          <cell r="A2446">
            <v>31102192</v>
          </cell>
          <cell r="C2446">
            <v>31102192</v>
          </cell>
          <cell r="D2446">
            <v>31102192</v>
          </cell>
          <cell r="E2446">
            <v>31102192</v>
          </cell>
          <cell r="F2446">
            <v>31102192</v>
          </cell>
          <cell r="G2446">
            <v>31102192</v>
          </cell>
          <cell r="H2446">
            <v>31102192</v>
          </cell>
          <cell r="I2446" t="str">
            <v/>
          </cell>
          <cell r="J2446" t="str">
            <v/>
          </cell>
          <cell r="K2446" t="str">
            <v/>
          </cell>
          <cell r="L2446" t="str">
            <v/>
          </cell>
          <cell r="M2446" t="str">
            <v/>
          </cell>
        </row>
        <row r="2447">
          <cell r="A2447">
            <v>31102192</v>
          </cell>
          <cell r="C2447">
            <v>31102192</v>
          </cell>
          <cell r="D2447">
            <v>31102192</v>
          </cell>
          <cell r="E2447">
            <v>31102192</v>
          </cell>
          <cell r="F2447">
            <v>31102192</v>
          </cell>
          <cell r="G2447">
            <v>31102192</v>
          </cell>
          <cell r="H2447">
            <v>31102192</v>
          </cell>
          <cell r="I2447" t="str">
            <v/>
          </cell>
          <cell r="J2447" t="str">
            <v/>
          </cell>
          <cell r="K2447" t="str">
            <v/>
          </cell>
          <cell r="L2447" t="str">
            <v/>
          </cell>
          <cell r="M2447" t="str">
            <v/>
          </cell>
        </row>
        <row r="2448">
          <cell r="A2448">
            <v>31102192</v>
          </cell>
          <cell r="C2448">
            <v>31102192</v>
          </cell>
          <cell r="D2448">
            <v>31102192</v>
          </cell>
          <cell r="E2448">
            <v>31102192</v>
          </cell>
          <cell r="F2448">
            <v>31102192</v>
          </cell>
          <cell r="G2448">
            <v>31102192</v>
          </cell>
          <cell r="H2448">
            <v>31102192</v>
          </cell>
          <cell r="I2448" t="str">
            <v/>
          </cell>
          <cell r="J2448" t="str">
            <v/>
          </cell>
          <cell r="K2448" t="str">
            <v/>
          </cell>
          <cell r="L2448" t="str">
            <v/>
          </cell>
          <cell r="M2448" t="str">
            <v/>
          </cell>
        </row>
        <row r="2449">
          <cell r="A2449">
            <v>31102192</v>
          </cell>
          <cell r="C2449">
            <v>31102192</v>
          </cell>
          <cell r="D2449">
            <v>31102192</v>
          </cell>
          <cell r="E2449">
            <v>31102192</v>
          </cell>
          <cell r="F2449">
            <v>31102192</v>
          </cell>
          <cell r="G2449">
            <v>31102192</v>
          </cell>
          <cell r="H2449">
            <v>31102192</v>
          </cell>
          <cell r="I2449" t="str">
            <v/>
          </cell>
          <cell r="J2449" t="str">
            <v/>
          </cell>
          <cell r="K2449" t="str">
            <v/>
          </cell>
          <cell r="L2449" t="str">
            <v/>
          </cell>
          <cell r="M2449" t="str">
            <v/>
          </cell>
        </row>
        <row r="2450">
          <cell r="A2450">
            <v>31102192</v>
          </cell>
          <cell r="C2450">
            <v>31102192</v>
          </cell>
          <cell r="D2450">
            <v>31102192</v>
          </cell>
          <cell r="E2450">
            <v>31102192</v>
          </cell>
          <cell r="F2450">
            <v>31102192</v>
          </cell>
          <cell r="G2450">
            <v>31102192</v>
          </cell>
          <cell r="H2450">
            <v>31102192</v>
          </cell>
          <cell r="I2450" t="str">
            <v/>
          </cell>
          <cell r="J2450" t="str">
            <v/>
          </cell>
          <cell r="K2450" t="str">
            <v/>
          </cell>
          <cell r="L2450" t="str">
            <v/>
          </cell>
          <cell r="M2450" t="str">
            <v/>
          </cell>
        </row>
        <row r="2451">
          <cell r="A2451">
            <v>31102192</v>
          </cell>
          <cell r="C2451">
            <v>31102192</v>
          </cell>
          <cell r="D2451">
            <v>31102192</v>
          </cell>
          <cell r="E2451">
            <v>31102192</v>
          </cell>
          <cell r="F2451">
            <v>31102192</v>
          </cell>
          <cell r="G2451">
            <v>31102192</v>
          </cell>
          <cell r="H2451">
            <v>31102192</v>
          </cell>
          <cell r="I2451" t="str">
            <v/>
          </cell>
          <cell r="J2451" t="str">
            <v/>
          </cell>
          <cell r="K2451" t="str">
            <v/>
          </cell>
          <cell r="L2451" t="str">
            <v/>
          </cell>
          <cell r="M2451" t="str">
            <v/>
          </cell>
        </row>
        <row r="2452">
          <cell r="A2452">
            <v>31102192</v>
          </cell>
          <cell r="C2452">
            <v>31102192</v>
          </cell>
          <cell r="D2452">
            <v>31102192</v>
          </cell>
          <cell r="E2452">
            <v>31102192</v>
          </cell>
          <cell r="F2452">
            <v>31102192</v>
          </cell>
          <cell r="G2452">
            <v>31102192</v>
          </cell>
          <cell r="H2452">
            <v>31102192</v>
          </cell>
          <cell r="I2452" t="str">
            <v/>
          </cell>
          <cell r="J2452" t="str">
            <v/>
          </cell>
          <cell r="K2452" t="str">
            <v/>
          </cell>
          <cell r="L2452" t="str">
            <v/>
          </cell>
          <cell r="M2452" t="str">
            <v/>
          </cell>
        </row>
        <row r="2453">
          <cell r="A2453">
            <v>31102192</v>
          </cell>
          <cell r="C2453">
            <v>31102192</v>
          </cell>
          <cell r="D2453">
            <v>31102192</v>
          </cell>
          <cell r="E2453">
            <v>31102192</v>
          </cell>
          <cell r="F2453">
            <v>31102192</v>
          </cell>
          <cell r="G2453">
            <v>31102192</v>
          </cell>
          <cell r="H2453">
            <v>31102192</v>
          </cell>
          <cell r="I2453" t="str">
            <v/>
          </cell>
          <cell r="J2453" t="str">
            <v/>
          </cell>
          <cell r="K2453" t="str">
            <v/>
          </cell>
          <cell r="L2453" t="str">
            <v/>
          </cell>
          <cell r="M2453" t="str">
            <v/>
          </cell>
        </row>
        <row r="2454">
          <cell r="A2454">
            <v>31102192</v>
          </cell>
          <cell r="C2454">
            <v>31102192</v>
          </cell>
          <cell r="D2454">
            <v>31102192</v>
          </cell>
          <cell r="E2454">
            <v>31102192</v>
          </cell>
          <cell r="F2454">
            <v>31102192</v>
          </cell>
          <cell r="G2454">
            <v>31102192</v>
          </cell>
          <cell r="H2454">
            <v>31102192</v>
          </cell>
          <cell r="I2454" t="str">
            <v/>
          </cell>
          <cell r="J2454" t="str">
            <v/>
          </cell>
          <cell r="K2454" t="str">
            <v/>
          </cell>
          <cell r="L2454" t="str">
            <v/>
          </cell>
          <cell r="M2454" t="str">
            <v/>
          </cell>
        </row>
        <row r="2455">
          <cell r="A2455">
            <v>31102192</v>
          </cell>
          <cell r="C2455">
            <v>31102192</v>
          </cell>
          <cell r="D2455">
            <v>31102192</v>
          </cell>
          <cell r="E2455">
            <v>31102192</v>
          </cell>
          <cell r="F2455">
            <v>31102192</v>
          </cell>
          <cell r="G2455">
            <v>31102192</v>
          </cell>
          <cell r="H2455">
            <v>31102192</v>
          </cell>
          <cell r="I2455" t="str">
            <v/>
          </cell>
          <cell r="J2455" t="str">
            <v/>
          </cell>
          <cell r="K2455" t="str">
            <v/>
          </cell>
          <cell r="L2455" t="str">
            <v/>
          </cell>
          <cell r="M2455" t="str">
            <v/>
          </cell>
        </row>
        <row r="2456">
          <cell r="A2456">
            <v>31102192</v>
          </cell>
          <cell r="C2456">
            <v>31102192</v>
          </cell>
          <cell r="D2456">
            <v>31102192</v>
          </cell>
          <cell r="E2456">
            <v>31102192</v>
          </cell>
          <cell r="F2456">
            <v>31102192</v>
          </cell>
          <cell r="G2456">
            <v>31102192</v>
          </cell>
          <cell r="H2456">
            <v>31102192</v>
          </cell>
          <cell r="I2456" t="str">
            <v/>
          </cell>
          <cell r="J2456" t="str">
            <v/>
          </cell>
          <cell r="K2456" t="str">
            <v/>
          </cell>
          <cell r="L2456" t="str">
            <v/>
          </cell>
          <cell r="M2456" t="str">
            <v/>
          </cell>
        </row>
        <row r="2457">
          <cell r="A2457">
            <v>31102192</v>
          </cell>
          <cell r="C2457">
            <v>31102192</v>
          </cell>
          <cell r="D2457">
            <v>31102192</v>
          </cell>
          <cell r="E2457">
            <v>31102192</v>
          </cell>
          <cell r="F2457">
            <v>31102192</v>
          </cell>
          <cell r="G2457">
            <v>31102192</v>
          </cell>
          <cell r="H2457">
            <v>31102192</v>
          </cell>
          <cell r="I2457" t="str">
            <v/>
          </cell>
          <cell r="J2457" t="str">
            <v/>
          </cell>
          <cell r="K2457" t="str">
            <v/>
          </cell>
          <cell r="L2457" t="str">
            <v/>
          </cell>
          <cell r="M2457" t="str">
            <v/>
          </cell>
        </row>
        <row r="2458">
          <cell r="A2458">
            <v>31102192</v>
          </cell>
          <cell r="C2458">
            <v>31102192</v>
          </cell>
          <cell r="D2458">
            <v>31102192</v>
          </cell>
          <cell r="E2458">
            <v>31102192</v>
          </cell>
          <cell r="F2458">
            <v>31102192</v>
          </cell>
          <cell r="G2458">
            <v>31102192</v>
          </cell>
          <cell r="H2458">
            <v>31102192</v>
          </cell>
          <cell r="I2458" t="str">
            <v/>
          </cell>
          <cell r="J2458" t="str">
            <v/>
          </cell>
          <cell r="K2458" t="str">
            <v/>
          </cell>
          <cell r="L2458" t="str">
            <v/>
          </cell>
          <cell r="M2458" t="str">
            <v/>
          </cell>
        </row>
        <row r="2459">
          <cell r="A2459">
            <v>31102192</v>
          </cell>
          <cell r="C2459">
            <v>31102192</v>
          </cell>
          <cell r="D2459">
            <v>31102192</v>
          </cell>
          <cell r="E2459">
            <v>31102192</v>
          </cell>
          <cell r="F2459">
            <v>31102192</v>
          </cell>
          <cell r="G2459">
            <v>31102192</v>
          </cell>
          <cell r="H2459">
            <v>31102192</v>
          </cell>
          <cell r="I2459" t="str">
            <v/>
          </cell>
          <cell r="J2459" t="str">
            <v/>
          </cell>
          <cell r="K2459" t="str">
            <v/>
          </cell>
          <cell r="L2459" t="str">
            <v/>
          </cell>
          <cell r="M2459" t="str">
            <v/>
          </cell>
        </row>
        <row r="2460">
          <cell r="A2460">
            <v>31102192</v>
          </cell>
          <cell r="C2460">
            <v>31102192</v>
          </cell>
          <cell r="D2460">
            <v>31102192</v>
          </cell>
          <cell r="E2460">
            <v>31102192</v>
          </cell>
          <cell r="F2460">
            <v>31102192</v>
          </cell>
          <cell r="G2460">
            <v>31102192</v>
          </cell>
          <cell r="H2460">
            <v>31102192</v>
          </cell>
          <cell r="I2460" t="str">
            <v/>
          </cell>
          <cell r="J2460" t="str">
            <v/>
          </cell>
          <cell r="K2460" t="str">
            <v/>
          </cell>
          <cell r="L2460" t="str">
            <v/>
          </cell>
          <cell r="M2460" t="str">
            <v/>
          </cell>
        </row>
        <row r="2461">
          <cell r="A2461">
            <v>31102192</v>
          </cell>
          <cell r="C2461">
            <v>31102192</v>
          </cell>
          <cell r="D2461">
            <v>31102192</v>
          </cell>
          <cell r="E2461">
            <v>31102192</v>
          </cell>
          <cell r="F2461">
            <v>31102192</v>
          </cell>
          <cell r="G2461">
            <v>31102192</v>
          </cell>
          <cell r="H2461">
            <v>31102192</v>
          </cell>
          <cell r="I2461" t="str">
            <v/>
          </cell>
          <cell r="J2461" t="str">
            <v/>
          </cell>
          <cell r="K2461" t="str">
            <v/>
          </cell>
          <cell r="L2461" t="str">
            <v/>
          </cell>
          <cell r="M2461" t="str">
            <v/>
          </cell>
        </row>
        <row r="2462">
          <cell r="A2462">
            <v>31102192</v>
          </cell>
          <cell r="C2462">
            <v>31102192</v>
          </cell>
          <cell r="D2462">
            <v>31102192</v>
          </cell>
          <cell r="E2462">
            <v>31102192</v>
          </cell>
          <cell r="F2462">
            <v>31102192</v>
          </cell>
          <cell r="G2462">
            <v>31102192</v>
          </cell>
          <cell r="H2462">
            <v>31102192</v>
          </cell>
          <cell r="I2462" t="str">
            <v/>
          </cell>
          <cell r="J2462" t="str">
            <v/>
          </cell>
          <cell r="K2462" t="str">
            <v/>
          </cell>
          <cell r="L2462" t="str">
            <v/>
          </cell>
          <cell r="M2462" t="str">
            <v/>
          </cell>
        </row>
        <row r="2463">
          <cell r="A2463">
            <v>31102192</v>
          </cell>
          <cell r="C2463">
            <v>31102192</v>
          </cell>
          <cell r="D2463">
            <v>31102192</v>
          </cell>
          <cell r="E2463">
            <v>31102192</v>
          </cell>
          <cell r="F2463">
            <v>31102192</v>
          </cell>
          <cell r="G2463">
            <v>31102192</v>
          </cell>
          <cell r="H2463">
            <v>31102192</v>
          </cell>
          <cell r="I2463" t="str">
            <v/>
          </cell>
          <cell r="J2463" t="str">
            <v/>
          </cell>
          <cell r="K2463" t="str">
            <v/>
          </cell>
          <cell r="L2463" t="str">
            <v/>
          </cell>
          <cell r="M2463" t="str">
            <v/>
          </cell>
        </row>
        <row r="2464">
          <cell r="A2464">
            <v>31102192</v>
          </cell>
          <cell r="C2464">
            <v>31102192</v>
          </cell>
          <cell r="D2464">
            <v>31102192</v>
          </cell>
          <cell r="E2464">
            <v>31102192</v>
          </cell>
          <cell r="F2464">
            <v>31102192</v>
          </cell>
          <cell r="G2464">
            <v>31102192</v>
          </cell>
          <cell r="H2464">
            <v>31102192</v>
          </cell>
          <cell r="I2464" t="str">
            <v/>
          </cell>
          <cell r="J2464" t="str">
            <v/>
          </cell>
          <cell r="K2464" t="str">
            <v/>
          </cell>
          <cell r="L2464" t="str">
            <v/>
          </cell>
          <cell r="M2464" t="str">
            <v/>
          </cell>
        </row>
        <row r="2465">
          <cell r="A2465">
            <v>31102192</v>
          </cell>
          <cell r="C2465">
            <v>31102192</v>
          </cell>
          <cell r="D2465">
            <v>31102192</v>
          </cell>
          <cell r="E2465">
            <v>31102192</v>
          </cell>
          <cell r="F2465">
            <v>31102192</v>
          </cell>
          <cell r="G2465">
            <v>31102192</v>
          </cell>
          <cell r="H2465">
            <v>31102192</v>
          </cell>
          <cell r="I2465" t="str">
            <v/>
          </cell>
          <cell r="J2465" t="str">
            <v/>
          </cell>
          <cell r="K2465" t="str">
            <v/>
          </cell>
          <cell r="L2465" t="str">
            <v/>
          </cell>
          <cell r="M2465" t="str">
            <v/>
          </cell>
        </row>
        <row r="2466">
          <cell r="A2466">
            <v>31102192</v>
          </cell>
          <cell r="C2466">
            <v>31102192</v>
          </cell>
          <cell r="D2466">
            <v>31102192</v>
          </cell>
          <cell r="E2466">
            <v>31102192</v>
          </cell>
          <cell r="F2466">
            <v>31102192</v>
          </cell>
          <cell r="G2466">
            <v>31102192</v>
          </cell>
          <cell r="H2466">
            <v>31102192</v>
          </cell>
          <cell r="I2466" t="str">
            <v/>
          </cell>
          <cell r="J2466" t="str">
            <v/>
          </cell>
          <cell r="K2466" t="str">
            <v/>
          </cell>
          <cell r="L2466" t="str">
            <v/>
          </cell>
          <cell r="M2466" t="str">
            <v/>
          </cell>
        </row>
        <row r="2467">
          <cell r="A2467">
            <v>31102192</v>
          </cell>
          <cell r="C2467">
            <v>31102192</v>
          </cell>
          <cell r="D2467">
            <v>31102192</v>
          </cell>
          <cell r="E2467">
            <v>31102192</v>
          </cell>
          <cell r="F2467">
            <v>31102192</v>
          </cell>
          <cell r="G2467">
            <v>31102192</v>
          </cell>
          <cell r="H2467">
            <v>31102192</v>
          </cell>
          <cell r="I2467" t="str">
            <v/>
          </cell>
          <cell r="J2467" t="str">
            <v/>
          </cell>
          <cell r="K2467" t="str">
            <v/>
          </cell>
          <cell r="L2467" t="str">
            <v/>
          </cell>
          <cell r="M2467" t="str">
            <v/>
          </cell>
        </row>
        <row r="2468">
          <cell r="A2468">
            <v>31102192</v>
          </cell>
          <cell r="C2468">
            <v>31102192</v>
          </cell>
          <cell r="D2468">
            <v>31102192</v>
          </cell>
          <cell r="E2468">
            <v>31102192</v>
          </cell>
          <cell r="F2468">
            <v>31102192</v>
          </cell>
          <cell r="G2468">
            <v>31102192</v>
          </cell>
          <cell r="H2468">
            <v>31102192</v>
          </cell>
          <cell r="I2468" t="str">
            <v/>
          </cell>
          <cell r="J2468" t="str">
            <v/>
          </cell>
          <cell r="K2468" t="str">
            <v/>
          </cell>
          <cell r="L2468" t="str">
            <v/>
          </cell>
          <cell r="M2468" t="str">
            <v/>
          </cell>
        </row>
        <row r="2469">
          <cell r="A2469">
            <v>31102192</v>
          </cell>
          <cell r="C2469">
            <v>31102192</v>
          </cell>
          <cell r="D2469">
            <v>31102192</v>
          </cell>
          <cell r="E2469">
            <v>31102192</v>
          </cell>
          <cell r="F2469">
            <v>31102192</v>
          </cell>
          <cell r="G2469">
            <v>31102192</v>
          </cell>
          <cell r="H2469">
            <v>31102192</v>
          </cell>
          <cell r="I2469" t="str">
            <v/>
          </cell>
          <cell r="J2469" t="str">
            <v/>
          </cell>
          <cell r="K2469" t="str">
            <v/>
          </cell>
          <cell r="L2469" t="str">
            <v/>
          </cell>
          <cell r="M2469" t="str">
            <v/>
          </cell>
        </row>
        <row r="2470">
          <cell r="A2470">
            <v>31102192</v>
          </cell>
          <cell r="C2470">
            <v>31102192</v>
          </cell>
          <cell r="D2470">
            <v>31102192</v>
          </cell>
          <cell r="E2470">
            <v>31102192</v>
          </cell>
          <cell r="F2470">
            <v>31102192</v>
          </cell>
          <cell r="G2470">
            <v>31102192</v>
          </cell>
          <cell r="H2470">
            <v>31102192</v>
          </cell>
          <cell r="I2470" t="str">
            <v/>
          </cell>
          <cell r="J2470" t="str">
            <v/>
          </cell>
          <cell r="K2470" t="str">
            <v/>
          </cell>
          <cell r="L2470" t="str">
            <v/>
          </cell>
          <cell r="M2470" t="str">
            <v/>
          </cell>
        </row>
        <row r="2471">
          <cell r="A2471">
            <v>31102192</v>
          </cell>
          <cell r="C2471">
            <v>31102192</v>
          </cell>
          <cell r="D2471">
            <v>31102192</v>
          </cell>
          <cell r="E2471">
            <v>31102192</v>
          </cell>
          <cell r="F2471">
            <v>31102192</v>
          </cell>
          <cell r="G2471">
            <v>31102192</v>
          </cell>
          <cell r="H2471">
            <v>31102192</v>
          </cell>
          <cell r="I2471" t="str">
            <v/>
          </cell>
          <cell r="J2471" t="str">
            <v/>
          </cell>
          <cell r="K2471" t="str">
            <v/>
          </cell>
          <cell r="L2471" t="str">
            <v/>
          </cell>
          <cell r="M2471" t="str">
            <v/>
          </cell>
        </row>
        <row r="2472">
          <cell r="A2472">
            <v>31102192</v>
          </cell>
          <cell r="C2472">
            <v>31102192</v>
          </cell>
          <cell r="D2472">
            <v>31102192</v>
          </cell>
          <cell r="E2472">
            <v>31102192</v>
          </cell>
          <cell r="F2472">
            <v>31102192</v>
          </cell>
          <cell r="G2472">
            <v>31102192</v>
          </cell>
          <cell r="H2472">
            <v>31102192</v>
          </cell>
          <cell r="I2472" t="str">
            <v/>
          </cell>
          <cell r="J2472" t="str">
            <v/>
          </cell>
          <cell r="K2472" t="str">
            <v/>
          </cell>
          <cell r="L2472" t="str">
            <v/>
          </cell>
          <cell r="M2472" t="str">
            <v/>
          </cell>
        </row>
        <row r="2473">
          <cell r="A2473">
            <v>31102192</v>
          </cell>
          <cell r="C2473">
            <v>31102192</v>
          </cell>
          <cell r="D2473">
            <v>31102192</v>
          </cell>
          <cell r="E2473">
            <v>31102192</v>
          </cell>
          <cell r="F2473">
            <v>31102192</v>
          </cell>
          <cell r="G2473">
            <v>31102192</v>
          </cell>
          <cell r="H2473">
            <v>31102192</v>
          </cell>
          <cell r="I2473" t="str">
            <v/>
          </cell>
          <cell r="J2473" t="str">
            <v/>
          </cell>
          <cell r="K2473" t="str">
            <v/>
          </cell>
          <cell r="L2473" t="str">
            <v/>
          </cell>
          <cell r="M2473" t="str">
            <v/>
          </cell>
        </row>
        <row r="2474">
          <cell r="A2474">
            <v>31102192</v>
          </cell>
          <cell r="C2474">
            <v>31102192</v>
          </cell>
          <cell r="D2474">
            <v>31102192</v>
          </cell>
          <cell r="E2474">
            <v>31102192</v>
          </cell>
          <cell r="F2474">
            <v>31102192</v>
          </cell>
          <cell r="G2474">
            <v>31102192</v>
          </cell>
          <cell r="H2474">
            <v>31102192</v>
          </cell>
          <cell r="I2474" t="str">
            <v/>
          </cell>
          <cell r="J2474" t="str">
            <v/>
          </cell>
          <cell r="K2474" t="str">
            <v/>
          </cell>
          <cell r="L2474" t="str">
            <v/>
          </cell>
          <cell r="M2474" t="str">
            <v/>
          </cell>
        </row>
        <row r="2475">
          <cell r="A2475">
            <v>31102192</v>
          </cell>
          <cell r="C2475">
            <v>31102192</v>
          </cell>
          <cell r="D2475">
            <v>31102192</v>
          </cell>
          <cell r="E2475">
            <v>31102192</v>
          </cell>
          <cell r="F2475">
            <v>31102192</v>
          </cell>
          <cell r="G2475">
            <v>31102192</v>
          </cell>
          <cell r="H2475">
            <v>31102192</v>
          </cell>
          <cell r="I2475" t="str">
            <v/>
          </cell>
          <cell r="J2475" t="str">
            <v/>
          </cell>
          <cell r="K2475" t="str">
            <v/>
          </cell>
          <cell r="L2475" t="str">
            <v/>
          </cell>
          <cell r="M2475" t="str">
            <v/>
          </cell>
        </row>
        <row r="2476">
          <cell r="A2476">
            <v>31102192</v>
          </cell>
          <cell r="C2476">
            <v>31102192</v>
          </cell>
          <cell r="D2476">
            <v>31102192</v>
          </cell>
          <cell r="E2476">
            <v>31102192</v>
          </cell>
          <cell r="F2476">
            <v>31102192</v>
          </cell>
          <cell r="G2476">
            <v>31102192</v>
          </cell>
          <cell r="H2476">
            <v>31102192</v>
          </cell>
          <cell r="I2476" t="str">
            <v/>
          </cell>
          <cell r="J2476" t="str">
            <v/>
          </cell>
          <cell r="K2476" t="str">
            <v/>
          </cell>
          <cell r="L2476" t="str">
            <v/>
          </cell>
          <cell r="M2476" t="str">
            <v/>
          </cell>
        </row>
        <row r="2477">
          <cell r="A2477">
            <v>31102192</v>
          </cell>
          <cell r="C2477">
            <v>31102192</v>
          </cell>
          <cell r="D2477">
            <v>31102192</v>
          </cell>
          <cell r="E2477">
            <v>31102192</v>
          </cell>
          <cell r="F2477">
            <v>31102192</v>
          </cell>
          <cell r="G2477">
            <v>31102192</v>
          </cell>
          <cell r="H2477">
            <v>31102192</v>
          </cell>
          <cell r="I2477" t="str">
            <v/>
          </cell>
          <cell r="J2477" t="str">
            <v/>
          </cell>
          <cell r="K2477" t="str">
            <v/>
          </cell>
          <cell r="L2477" t="str">
            <v/>
          </cell>
          <cell r="M2477" t="str">
            <v/>
          </cell>
        </row>
        <row r="2478">
          <cell r="A2478">
            <v>31102192</v>
          </cell>
          <cell r="C2478">
            <v>31102192</v>
          </cell>
          <cell r="D2478">
            <v>31102192</v>
          </cell>
          <cell r="E2478">
            <v>31102192</v>
          </cell>
          <cell r="F2478">
            <v>31102192</v>
          </cell>
          <cell r="G2478">
            <v>31102192</v>
          </cell>
          <cell r="H2478">
            <v>31102192</v>
          </cell>
          <cell r="I2478" t="str">
            <v/>
          </cell>
          <cell r="J2478" t="str">
            <v/>
          </cell>
          <cell r="K2478" t="str">
            <v/>
          </cell>
          <cell r="L2478" t="str">
            <v/>
          </cell>
          <cell r="M2478" t="str">
            <v/>
          </cell>
        </row>
        <row r="2479">
          <cell r="A2479">
            <v>31102192</v>
          </cell>
          <cell r="C2479">
            <v>31102192</v>
          </cell>
          <cell r="D2479">
            <v>31102192</v>
          </cell>
          <cell r="E2479">
            <v>31102192</v>
          </cell>
          <cell r="F2479">
            <v>31102192</v>
          </cell>
          <cell r="G2479">
            <v>31102192</v>
          </cell>
          <cell r="H2479">
            <v>31102192</v>
          </cell>
          <cell r="I2479" t="str">
            <v/>
          </cell>
          <cell r="J2479" t="str">
            <v/>
          </cell>
          <cell r="K2479" t="str">
            <v/>
          </cell>
          <cell r="L2479" t="str">
            <v/>
          </cell>
          <cell r="M2479" t="str">
            <v/>
          </cell>
        </row>
        <row r="2480">
          <cell r="A2480">
            <v>31102192</v>
          </cell>
          <cell r="C2480">
            <v>31102192</v>
          </cell>
          <cell r="D2480">
            <v>31102192</v>
          </cell>
          <cell r="E2480">
            <v>31102192</v>
          </cell>
          <cell r="F2480">
            <v>31102192</v>
          </cell>
          <cell r="G2480">
            <v>31102192</v>
          </cell>
          <cell r="H2480">
            <v>31102192</v>
          </cell>
          <cell r="I2480" t="str">
            <v/>
          </cell>
          <cell r="J2480" t="str">
            <v/>
          </cell>
          <cell r="K2480" t="str">
            <v/>
          </cell>
          <cell r="L2480" t="str">
            <v/>
          </cell>
          <cell r="M2480" t="str">
            <v/>
          </cell>
        </row>
        <row r="2481">
          <cell r="A2481">
            <v>31102192</v>
          </cell>
          <cell r="C2481">
            <v>31102192</v>
          </cell>
          <cell r="D2481">
            <v>31102192</v>
          </cell>
          <cell r="E2481">
            <v>31102192</v>
          </cell>
          <cell r="F2481">
            <v>31102192</v>
          </cell>
          <cell r="G2481">
            <v>31102192</v>
          </cell>
          <cell r="H2481">
            <v>31102192</v>
          </cell>
          <cell r="I2481" t="str">
            <v/>
          </cell>
          <cell r="J2481" t="str">
            <v/>
          </cell>
          <cell r="K2481" t="str">
            <v/>
          </cell>
          <cell r="L2481" t="str">
            <v/>
          </cell>
          <cell r="M2481" t="str">
            <v/>
          </cell>
        </row>
        <row r="2482">
          <cell r="A2482">
            <v>31102192</v>
          </cell>
          <cell r="C2482">
            <v>31102192</v>
          </cell>
          <cell r="D2482">
            <v>31102192</v>
          </cell>
          <cell r="E2482">
            <v>31102192</v>
          </cell>
          <cell r="F2482">
            <v>31102192</v>
          </cell>
          <cell r="G2482">
            <v>31102192</v>
          </cell>
          <cell r="H2482">
            <v>31102192</v>
          </cell>
          <cell r="I2482" t="str">
            <v/>
          </cell>
          <cell r="J2482" t="str">
            <v/>
          </cell>
          <cell r="K2482" t="str">
            <v/>
          </cell>
          <cell r="L2482" t="str">
            <v/>
          </cell>
          <cell r="M2482" t="str">
            <v/>
          </cell>
        </row>
        <row r="2483">
          <cell r="A2483">
            <v>31102192</v>
          </cell>
          <cell r="C2483">
            <v>31102192</v>
          </cell>
          <cell r="D2483">
            <v>31102192</v>
          </cell>
          <cell r="E2483">
            <v>31102192</v>
          </cell>
          <cell r="F2483">
            <v>31102192</v>
          </cell>
          <cell r="G2483">
            <v>31102192</v>
          </cell>
          <cell r="H2483">
            <v>31102192</v>
          </cell>
          <cell r="I2483" t="str">
            <v/>
          </cell>
          <cell r="J2483" t="str">
            <v/>
          </cell>
          <cell r="K2483" t="str">
            <v/>
          </cell>
          <cell r="L2483" t="str">
            <v/>
          </cell>
          <cell r="M2483" t="str">
            <v/>
          </cell>
        </row>
        <row r="2484">
          <cell r="A2484">
            <v>31102192</v>
          </cell>
          <cell r="C2484">
            <v>31102192</v>
          </cell>
          <cell r="D2484">
            <v>31102192</v>
          </cell>
          <cell r="E2484">
            <v>31102192</v>
          </cell>
          <cell r="F2484">
            <v>31102192</v>
          </cell>
          <cell r="G2484">
            <v>31102192</v>
          </cell>
          <cell r="H2484">
            <v>31102192</v>
          </cell>
          <cell r="I2484" t="str">
            <v/>
          </cell>
          <cell r="J2484" t="str">
            <v/>
          </cell>
          <cell r="K2484" t="str">
            <v/>
          </cell>
          <cell r="L2484" t="str">
            <v/>
          </cell>
          <cell r="M2484" t="str">
            <v/>
          </cell>
        </row>
        <row r="2485">
          <cell r="A2485">
            <v>31102192</v>
          </cell>
          <cell r="C2485">
            <v>31102192</v>
          </cell>
          <cell r="D2485">
            <v>31102192</v>
          </cell>
          <cell r="E2485">
            <v>31102192</v>
          </cell>
          <cell r="F2485">
            <v>31102192</v>
          </cell>
          <cell r="G2485">
            <v>31102192</v>
          </cell>
          <cell r="H2485">
            <v>31102192</v>
          </cell>
          <cell r="I2485" t="str">
            <v/>
          </cell>
          <cell r="J2485" t="str">
            <v/>
          </cell>
          <cell r="K2485" t="str">
            <v/>
          </cell>
          <cell r="L2485" t="str">
            <v/>
          </cell>
          <cell r="M2485" t="str">
            <v/>
          </cell>
        </row>
        <row r="2486">
          <cell r="A2486">
            <v>31102192</v>
          </cell>
          <cell r="C2486">
            <v>31102192</v>
          </cell>
          <cell r="D2486">
            <v>31102192</v>
          </cell>
          <cell r="E2486">
            <v>31102192</v>
          </cell>
          <cell r="F2486">
            <v>31102192</v>
          </cell>
          <cell r="G2486">
            <v>31102192</v>
          </cell>
          <cell r="H2486">
            <v>31102192</v>
          </cell>
          <cell r="I2486" t="str">
            <v/>
          </cell>
          <cell r="J2486" t="str">
            <v/>
          </cell>
          <cell r="K2486" t="str">
            <v/>
          </cell>
          <cell r="L2486" t="str">
            <v/>
          </cell>
          <cell r="M2486" t="str">
            <v/>
          </cell>
        </row>
        <row r="2487">
          <cell r="A2487">
            <v>31102192</v>
          </cell>
          <cell r="C2487">
            <v>31102192</v>
          </cell>
          <cell r="D2487">
            <v>31102192</v>
          </cell>
          <cell r="E2487">
            <v>31102192</v>
          </cell>
          <cell r="F2487">
            <v>31102192</v>
          </cell>
          <cell r="G2487">
            <v>31102192</v>
          </cell>
          <cell r="H2487">
            <v>31102192</v>
          </cell>
          <cell r="I2487" t="str">
            <v/>
          </cell>
          <cell r="J2487" t="str">
            <v/>
          </cell>
          <cell r="K2487" t="str">
            <v/>
          </cell>
          <cell r="L2487" t="str">
            <v/>
          </cell>
          <cell r="M2487" t="str">
            <v/>
          </cell>
        </row>
        <row r="2488">
          <cell r="A2488">
            <v>31102192</v>
          </cell>
          <cell r="C2488">
            <v>31102192</v>
          </cell>
          <cell r="D2488">
            <v>31102192</v>
          </cell>
          <cell r="E2488">
            <v>31102192</v>
          </cell>
          <cell r="F2488">
            <v>31102192</v>
          </cell>
          <cell r="G2488">
            <v>31102192</v>
          </cell>
          <cell r="H2488">
            <v>31102192</v>
          </cell>
          <cell r="I2488" t="str">
            <v/>
          </cell>
          <cell r="J2488" t="str">
            <v/>
          </cell>
          <cell r="K2488" t="str">
            <v/>
          </cell>
          <cell r="L2488" t="str">
            <v/>
          </cell>
          <cell r="M2488" t="str">
            <v/>
          </cell>
        </row>
        <row r="2489">
          <cell r="A2489">
            <v>31102192</v>
          </cell>
          <cell r="C2489">
            <v>31102192</v>
          </cell>
          <cell r="D2489">
            <v>31102192</v>
          </cell>
          <cell r="E2489">
            <v>31102192</v>
          </cell>
          <cell r="F2489">
            <v>31102192</v>
          </cell>
          <cell r="G2489">
            <v>31102192</v>
          </cell>
          <cell r="H2489">
            <v>31102192</v>
          </cell>
          <cell r="I2489" t="str">
            <v/>
          </cell>
          <cell r="J2489" t="str">
            <v/>
          </cell>
          <cell r="K2489" t="str">
            <v/>
          </cell>
          <cell r="L2489" t="str">
            <v/>
          </cell>
          <cell r="M2489" t="str">
            <v/>
          </cell>
        </row>
        <row r="2490">
          <cell r="A2490">
            <v>31102192</v>
          </cell>
          <cell r="C2490">
            <v>31102192</v>
          </cell>
          <cell r="D2490">
            <v>31102192</v>
          </cell>
          <cell r="E2490">
            <v>31102192</v>
          </cell>
          <cell r="F2490">
            <v>31102192</v>
          </cell>
          <cell r="G2490">
            <v>31102192</v>
          </cell>
          <cell r="H2490">
            <v>31102192</v>
          </cell>
          <cell r="I2490" t="str">
            <v/>
          </cell>
          <cell r="J2490" t="str">
            <v/>
          </cell>
          <cell r="K2490" t="str">
            <v/>
          </cell>
          <cell r="L2490" t="str">
            <v/>
          </cell>
          <cell r="M2490" t="str">
            <v/>
          </cell>
        </row>
        <row r="2491">
          <cell r="A2491">
            <v>31102192</v>
          </cell>
          <cell r="C2491">
            <v>31102192</v>
          </cell>
          <cell r="D2491">
            <v>31102192</v>
          </cell>
          <cell r="E2491">
            <v>31102192</v>
          </cell>
          <cell r="F2491">
            <v>31102192</v>
          </cell>
          <cell r="G2491">
            <v>31102192</v>
          </cell>
          <cell r="H2491">
            <v>31102192</v>
          </cell>
          <cell r="I2491" t="str">
            <v/>
          </cell>
          <cell r="J2491" t="str">
            <v/>
          </cell>
          <cell r="K2491" t="str">
            <v/>
          </cell>
          <cell r="L2491" t="str">
            <v/>
          </cell>
          <cell r="M2491" t="str">
            <v/>
          </cell>
        </row>
        <row r="2492">
          <cell r="A2492">
            <v>31102192</v>
          </cell>
          <cell r="C2492">
            <v>31102192</v>
          </cell>
          <cell r="D2492">
            <v>31102192</v>
          </cell>
          <cell r="E2492">
            <v>31102192</v>
          </cell>
          <cell r="F2492">
            <v>31102192</v>
          </cell>
          <cell r="G2492">
            <v>31102192</v>
          </cell>
          <cell r="H2492">
            <v>31102192</v>
          </cell>
          <cell r="I2492" t="str">
            <v/>
          </cell>
          <cell r="J2492" t="str">
            <v/>
          </cell>
          <cell r="K2492" t="str">
            <v/>
          </cell>
          <cell r="L2492" t="str">
            <v/>
          </cell>
          <cell r="M2492" t="str">
            <v/>
          </cell>
        </row>
        <row r="2493">
          <cell r="A2493">
            <v>31102192</v>
          </cell>
          <cell r="C2493">
            <v>31102192</v>
          </cell>
          <cell r="D2493">
            <v>31102192</v>
          </cell>
          <cell r="E2493">
            <v>31102192</v>
          </cell>
          <cell r="F2493">
            <v>31102192</v>
          </cell>
          <cell r="G2493">
            <v>31102192</v>
          </cell>
          <cell r="H2493">
            <v>31102192</v>
          </cell>
          <cell r="I2493" t="str">
            <v/>
          </cell>
          <cell r="J2493" t="str">
            <v/>
          </cell>
          <cell r="K2493" t="str">
            <v/>
          </cell>
          <cell r="L2493" t="str">
            <v/>
          </cell>
          <cell r="M2493" t="str">
            <v/>
          </cell>
        </row>
        <row r="2494">
          <cell r="A2494">
            <v>31102192</v>
          </cell>
          <cell r="C2494">
            <v>31102192</v>
          </cell>
          <cell r="D2494">
            <v>31102192</v>
          </cell>
          <cell r="E2494">
            <v>31102192</v>
          </cell>
          <cell r="F2494">
            <v>31102192</v>
          </cell>
          <cell r="G2494">
            <v>31102192</v>
          </cell>
          <cell r="H2494">
            <v>31102192</v>
          </cell>
          <cell r="I2494" t="str">
            <v/>
          </cell>
          <cell r="J2494" t="str">
            <v/>
          </cell>
          <cell r="K2494" t="str">
            <v/>
          </cell>
          <cell r="L2494" t="str">
            <v/>
          </cell>
          <cell r="M2494" t="str">
            <v/>
          </cell>
        </row>
        <row r="2495">
          <cell r="A2495">
            <v>31102192</v>
          </cell>
          <cell r="C2495">
            <v>31102192</v>
          </cell>
          <cell r="D2495">
            <v>31102192</v>
          </cell>
          <cell r="E2495">
            <v>31102192</v>
          </cell>
          <cell r="F2495">
            <v>31102192</v>
          </cell>
          <cell r="G2495">
            <v>31102192</v>
          </cell>
          <cell r="H2495">
            <v>31102192</v>
          </cell>
          <cell r="I2495" t="str">
            <v/>
          </cell>
          <cell r="J2495" t="str">
            <v/>
          </cell>
          <cell r="K2495" t="str">
            <v/>
          </cell>
          <cell r="L2495" t="str">
            <v/>
          </cell>
          <cell r="M2495" t="str">
            <v/>
          </cell>
        </row>
        <row r="2496">
          <cell r="A2496">
            <v>31102192</v>
          </cell>
          <cell r="C2496">
            <v>31102192</v>
          </cell>
          <cell r="D2496">
            <v>31102192</v>
          </cell>
          <cell r="E2496">
            <v>31102192</v>
          </cell>
          <cell r="F2496">
            <v>31102192</v>
          </cell>
          <cell r="G2496">
            <v>31102192</v>
          </cell>
          <cell r="H2496">
            <v>31102192</v>
          </cell>
          <cell r="I2496" t="str">
            <v/>
          </cell>
          <cell r="J2496" t="str">
            <v/>
          </cell>
          <cell r="K2496" t="str">
            <v/>
          </cell>
          <cell r="L2496" t="str">
            <v/>
          </cell>
          <cell r="M2496" t="str">
            <v/>
          </cell>
        </row>
        <row r="2497">
          <cell r="A2497">
            <v>31102192</v>
          </cell>
          <cell r="C2497">
            <v>31102192</v>
          </cell>
          <cell r="D2497">
            <v>31102192</v>
          </cell>
          <cell r="E2497">
            <v>31102192</v>
          </cell>
          <cell r="F2497">
            <v>31102192</v>
          </cell>
          <cell r="G2497">
            <v>31102192</v>
          </cell>
          <cell r="H2497">
            <v>31102192</v>
          </cell>
          <cell r="I2497" t="str">
            <v/>
          </cell>
          <cell r="J2497" t="str">
            <v/>
          </cell>
          <cell r="K2497" t="str">
            <v/>
          </cell>
          <cell r="L2497" t="str">
            <v/>
          </cell>
          <cell r="M2497" t="str">
            <v/>
          </cell>
        </row>
        <row r="2498">
          <cell r="A2498">
            <v>31102192</v>
          </cell>
          <cell r="C2498">
            <v>31102192</v>
          </cell>
          <cell r="D2498">
            <v>31102192</v>
          </cell>
          <cell r="E2498">
            <v>31102192</v>
          </cell>
          <cell r="F2498">
            <v>31102192</v>
          </cell>
          <cell r="G2498">
            <v>31102192</v>
          </cell>
          <cell r="H2498">
            <v>31102192</v>
          </cell>
          <cell r="I2498" t="str">
            <v/>
          </cell>
          <cell r="J2498" t="str">
            <v/>
          </cell>
          <cell r="K2498" t="str">
            <v/>
          </cell>
          <cell r="L2498" t="str">
            <v/>
          </cell>
          <cell r="M2498" t="str">
            <v/>
          </cell>
        </row>
        <row r="2499">
          <cell r="A2499">
            <v>31102192</v>
          </cell>
          <cell r="C2499">
            <v>31102192</v>
          </cell>
          <cell r="D2499">
            <v>31102192</v>
          </cell>
          <cell r="E2499">
            <v>31102192</v>
          </cell>
          <cell r="F2499">
            <v>31102192</v>
          </cell>
          <cell r="G2499">
            <v>31102192</v>
          </cell>
          <cell r="H2499">
            <v>31102192</v>
          </cell>
          <cell r="I2499" t="str">
            <v/>
          </cell>
          <cell r="J2499" t="str">
            <v/>
          </cell>
          <cell r="K2499" t="str">
            <v/>
          </cell>
          <cell r="L2499" t="str">
            <v/>
          </cell>
          <cell r="M2499" t="str">
            <v/>
          </cell>
        </row>
        <row r="2500">
          <cell r="A2500">
            <v>31102192</v>
          </cell>
          <cell r="C2500">
            <v>31102192</v>
          </cell>
          <cell r="D2500">
            <v>31102192</v>
          </cell>
          <cell r="E2500">
            <v>31102192</v>
          </cell>
          <cell r="F2500">
            <v>31102192</v>
          </cell>
          <cell r="G2500">
            <v>31102192</v>
          </cell>
          <cell r="H2500">
            <v>31102192</v>
          </cell>
          <cell r="I2500" t="str">
            <v/>
          </cell>
          <cell r="J2500" t="str">
            <v/>
          </cell>
          <cell r="K2500" t="str">
            <v/>
          </cell>
          <cell r="L2500" t="str">
            <v/>
          </cell>
          <cell r="M2500" t="str">
            <v/>
          </cell>
        </row>
        <row r="2501">
          <cell r="A2501">
            <v>31102192</v>
          </cell>
          <cell r="C2501">
            <v>31102192</v>
          </cell>
          <cell r="D2501">
            <v>31102192</v>
          </cell>
          <cell r="E2501">
            <v>31102192</v>
          </cell>
          <cell r="F2501">
            <v>31102192</v>
          </cell>
          <cell r="G2501">
            <v>31102192</v>
          </cell>
          <cell r="H2501">
            <v>31102192</v>
          </cell>
          <cell r="I2501" t="str">
            <v/>
          </cell>
          <cell r="J2501" t="str">
            <v/>
          </cell>
          <cell r="K2501" t="str">
            <v/>
          </cell>
          <cell r="L2501" t="str">
            <v/>
          </cell>
          <cell r="M2501" t="str">
            <v/>
          </cell>
        </row>
        <row r="2502">
          <cell r="A2502">
            <v>31102192</v>
          </cell>
          <cell r="C2502">
            <v>31102192</v>
          </cell>
          <cell r="D2502">
            <v>31102192</v>
          </cell>
          <cell r="E2502">
            <v>31102192</v>
          </cell>
          <cell r="F2502">
            <v>31102192</v>
          </cell>
          <cell r="G2502">
            <v>31102192</v>
          </cell>
          <cell r="H2502">
            <v>31102192</v>
          </cell>
          <cell r="I2502" t="str">
            <v/>
          </cell>
          <cell r="J2502" t="str">
            <v/>
          </cell>
          <cell r="K2502" t="str">
            <v/>
          </cell>
          <cell r="L2502" t="str">
            <v/>
          </cell>
          <cell r="M2502" t="str">
            <v/>
          </cell>
        </row>
        <row r="2503">
          <cell r="A2503">
            <v>31102192</v>
          </cell>
          <cell r="C2503">
            <v>31102192</v>
          </cell>
          <cell r="D2503">
            <v>31102192</v>
          </cell>
          <cell r="E2503">
            <v>31102192</v>
          </cell>
          <cell r="F2503">
            <v>31102192</v>
          </cell>
          <cell r="G2503">
            <v>31102192</v>
          </cell>
          <cell r="H2503">
            <v>31102192</v>
          </cell>
          <cell r="I2503" t="str">
            <v/>
          </cell>
          <cell r="J2503" t="str">
            <v/>
          </cell>
          <cell r="K2503" t="str">
            <v/>
          </cell>
          <cell r="L2503" t="str">
            <v/>
          </cell>
          <cell r="M2503" t="str">
            <v/>
          </cell>
        </row>
        <row r="2504">
          <cell r="A2504">
            <v>31102192</v>
          </cell>
          <cell r="C2504">
            <v>31102192</v>
          </cell>
          <cell r="D2504">
            <v>31102192</v>
          </cell>
          <cell r="E2504">
            <v>31102192</v>
          </cell>
          <cell r="F2504">
            <v>31102192</v>
          </cell>
          <cell r="G2504">
            <v>31102192</v>
          </cell>
          <cell r="H2504">
            <v>31102192</v>
          </cell>
          <cell r="I2504" t="str">
            <v/>
          </cell>
          <cell r="J2504" t="str">
            <v/>
          </cell>
          <cell r="K2504" t="str">
            <v/>
          </cell>
          <cell r="L2504" t="str">
            <v/>
          </cell>
          <cell r="M2504" t="str">
            <v/>
          </cell>
        </row>
        <row r="2505">
          <cell r="A2505">
            <v>31102192</v>
          </cell>
          <cell r="C2505">
            <v>31102192</v>
          </cell>
          <cell r="D2505">
            <v>31102192</v>
          </cell>
          <cell r="E2505">
            <v>31102192</v>
          </cell>
          <cell r="F2505">
            <v>31102192</v>
          </cell>
          <cell r="G2505">
            <v>31102192</v>
          </cell>
          <cell r="H2505">
            <v>31102192</v>
          </cell>
          <cell r="I2505" t="str">
            <v/>
          </cell>
          <cell r="J2505" t="str">
            <v/>
          </cell>
          <cell r="K2505" t="str">
            <v/>
          </cell>
          <cell r="L2505" t="str">
            <v/>
          </cell>
          <cell r="M2505" t="str">
            <v/>
          </cell>
        </row>
        <row r="2506">
          <cell r="A2506">
            <v>31102192</v>
          </cell>
          <cell r="C2506">
            <v>31102192</v>
          </cell>
          <cell r="D2506">
            <v>31102192</v>
          </cell>
          <cell r="E2506">
            <v>31102192</v>
          </cell>
          <cell r="F2506">
            <v>31102192</v>
          </cell>
          <cell r="G2506">
            <v>31102192</v>
          </cell>
          <cell r="H2506">
            <v>31102192</v>
          </cell>
          <cell r="I2506" t="str">
            <v/>
          </cell>
          <cell r="J2506" t="str">
            <v/>
          </cell>
          <cell r="K2506" t="str">
            <v/>
          </cell>
          <cell r="L2506" t="str">
            <v/>
          </cell>
          <cell r="M2506" t="str">
            <v/>
          </cell>
        </row>
        <row r="2507">
          <cell r="A2507">
            <v>31102192</v>
          </cell>
          <cell r="C2507">
            <v>31102192</v>
          </cell>
          <cell r="D2507">
            <v>31102192</v>
          </cell>
          <cell r="E2507">
            <v>31102192</v>
          </cell>
          <cell r="F2507">
            <v>31102192</v>
          </cell>
          <cell r="G2507">
            <v>31102192</v>
          </cell>
          <cell r="H2507">
            <v>31102192</v>
          </cell>
          <cell r="I2507" t="str">
            <v/>
          </cell>
          <cell r="J2507" t="str">
            <v/>
          </cell>
          <cell r="K2507" t="str">
            <v/>
          </cell>
          <cell r="L2507" t="str">
            <v/>
          </cell>
          <cell r="M2507" t="str">
            <v/>
          </cell>
        </row>
        <row r="2508">
          <cell r="A2508">
            <v>31102192</v>
          </cell>
          <cell r="C2508">
            <v>31102192</v>
          </cell>
          <cell r="D2508">
            <v>31102192</v>
          </cell>
          <cell r="E2508">
            <v>31102192</v>
          </cell>
          <cell r="F2508">
            <v>31102192</v>
          </cell>
          <cell r="G2508">
            <v>31102192</v>
          </cell>
          <cell r="H2508">
            <v>31102192</v>
          </cell>
          <cell r="I2508" t="str">
            <v/>
          </cell>
          <cell r="J2508" t="str">
            <v/>
          </cell>
          <cell r="K2508" t="str">
            <v/>
          </cell>
          <cell r="L2508" t="str">
            <v/>
          </cell>
          <cell r="M2508" t="str">
            <v/>
          </cell>
        </row>
        <row r="2509">
          <cell r="A2509">
            <v>31102192</v>
          </cell>
          <cell r="C2509">
            <v>31102192</v>
          </cell>
          <cell r="D2509">
            <v>31102192</v>
          </cell>
          <cell r="E2509">
            <v>31102192</v>
          </cell>
          <cell r="F2509">
            <v>31102192</v>
          </cell>
          <cell r="G2509">
            <v>31102192</v>
          </cell>
          <cell r="H2509">
            <v>31102192</v>
          </cell>
          <cell r="I2509" t="str">
            <v/>
          </cell>
          <cell r="J2509" t="str">
            <v/>
          </cell>
          <cell r="K2509" t="str">
            <v/>
          </cell>
          <cell r="L2509" t="str">
            <v/>
          </cell>
          <cell r="M2509" t="str">
            <v/>
          </cell>
        </row>
        <row r="2510">
          <cell r="A2510">
            <v>31102192</v>
          </cell>
          <cell r="C2510">
            <v>31102192</v>
          </cell>
          <cell r="D2510">
            <v>31102192</v>
          </cell>
          <cell r="E2510">
            <v>31102192</v>
          </cell>
          <cell r="F2510">
            <v>31102192</v>
          </cell>
          <cell r="G2510">
            <v>31102192</v>
          </cell>
          <cell r="H2510">
            <v>31102192</v>
          </cell>
          <cell r="I2510" t="str">
            <v/>
          </cell>
          <cell r="J2510" t="str">
            <v/>
          </cell>
          <cell r="K2510" t="str">
            <v/>
          </cell>
          <cell r="L2510" t="str">
            <v/>
          </cell>
          <cell r="M2510" t="str">
            <v/>
          </cell>
        </row>
        <row r="2511">
          <cell r="A2511">
            <v>31102192</v>
          </cell>
          <cell r="C2511">
            <v>31102192</v>
          </cell>
          <cell r="D2511">
            <v>31102192</v>
          </cell>
          <cell r="E2511">
            <v>31102192</v>
          </cell>
          <cell r="F2511">
            <v>31102192</v>
          </cell>
          <cell r="G2511">
            <v>31102192</v>
          </cell>
          <cell r="H2511">
            <v>31102192</v>
          </cell>
          <cell r="I2511" t="str">
            <v/>
          </cell>
          <cell r="J2511" t="str">
            <v/>
          </cell>
          <cell r="K2511" t="str">
            <v/>
          </cell>
          <cell r="L2511" t="str">
            <v/>
          </cell>
          <cell r="M2511" t="str">
            <v/>
          </cell>
        </row>
        <row r="2512">
          <cell r="A2512">
            <v>31102192</v>
          </cell>
          <cell r="C2512">
            <v>31102192</v>
          </cell>
          <cell r="D2512">
            <v>31102192</v>
          </cell>
          <cell r="E2512">
            <v>31102192</v>
          </cell>
          <cell r="F2512">
            <v>31102192</v>
          </cell>
          <cell r="G2512">
            <v>31102192</v>
          </cell>
          <cell r="H2512">
            <v>31102192</v>
          </cell>
          <cell r="I2512" t="str">
            <v/>
          </cell>
          <cell r="J2512" t="str">
            <v/>
          </cell>
          <cell r="K2512" t="str">
            <v/>
          </cell>
          <cell r="L2512" t="str">
            <v/>
          </cell>
          <cell r="M2512" t="str">
            <v/>
          </cell>
        </row>
        <row r="2513">
          <cell r="A2513">
            <v>31102192</v>
          </cell>
          <cell r="C2513">
            <v>31102192</v>
          </cell>
          <cell r="D2513">
            <v>31102192</v>
          </cell>
          <cell r="E2513">
            <v>31102192</v>
          </cell>
          <cell r="F2513">
            <v>31102192</v>
          </cell>
          <cell r="G2513">
            <v>31102192</v>
          </cell>
          <cell r="H2513">
            <v>31102192</v>
          </cell>
          <cell r="I2513" t="str">
            <v/>
          </cell>
          <cell r="J2513" t="str">
            <v/>
          </cell>
          <cell r="K2513" t="str">
            <v/>
          </cell>
          <cell r="L2513" t="str">
            <v/>
          </cell>
          <cell r="M2513" t="str">
            <v/>
          </cell>
        </row>
        <row r="2514">
          <cell r="A2514">
            <v>31102192</v>
          </cell>
          <cell r="C2514">
            <v>31102192</v>
          </cell>
          <cell r="D2514">
            <v>31102192</v>
          </cell>
          <cell r="E2514">
            <v>31102192</v>
          </cell>
          <cell r="F2514">
            <v>31102192</v>
          </cell>
          <cell r="G2514">
            <v>31102192</v>
          </cell>
          <cell r="H2514">
            <v>31102192</v>
          </cell>
          <cell r="I2514" t="str">
            <v/>
          </cell>
          <cell r="J2514" t="str">
            <v/>
          </cell>
          <cell r="K2514" t="str">
            <v/>
          </cell>
          <cell r="L2514" t="str">
            <v/>
          </cell>
          <cell r="M2514" t="str">
            <v/>
          </cell>
        </row>
        <row r="2515">
          <cell r="A2515">
            <v>31102192</v>
          </cell>
          <cell r="C2515">
            <v>31102192</v>
          </cell>
          <cell r="D2515">
            <v>31102192</v>
          </cell>
          <cell r="E2515">
            <v>31102192</v>
          </cell>
          <cell r="F2515">
            <v>31102192</v>
          </cell>
          <cell r="G2515">
            <v>31102192</v>
          </cell>
          <cell r="H2515">
            <v>31102192</v>
          </cell>
          <cell r="I2515" t="str">
            <v/>
          </cell>
          <cell r="J2515" t="str">
            <v/>
          </cell>
          <cell r="K2515" t="str">
            <v/>
          </cell>
          <cell r="L2515" t="str">
            <v/>
          </cell>
          <cell r="M2515" t="str">
            <v/>
          </cell>
        </row>
        <row r="2516">
          <cell r="A2516">
            <v>31102192</v>
          </cell>
          <cell r="C2516">
            <v>31102192</v>
          </cell>
          <cell r="D2516">
            <v>31102192</v>
          </cell>
          <cell r="E2516">
            <v>31102192</v>
          </cell>
          <cell r="F2516">
            <v>31102192</v>
          </cell>
          <cell r="G2516">
            <v>31102192</v>
          </cell>
          <cell r="H2516">
            <v>31102192</v>
          </cell>
          <cell r="I2516" t="str">
            <v/>
          </cell>
          <cell r="J2516" t="str">
            <v/>
          </cell>
          <cell r="K2516" t="str">
            <v/>
          </cell>
          <cell r="L2516" t="str">
            <v/>
          </cell>
          <cell r="M2516" t="str">
            <v/>
          </cell>
        </row>
        <row r="2517">
          <cell r="A2517">
            <v>31102192</v>
          </cell>
          <cell r="C2517">
            <v>31102192</v>
          </cell>
          <cell r="D2517">
            <v>31102192</v>
          </cell>
          <cell r="E2517">
            <v>31102192</v>
          </cell>
          <cell r="F2517">
            <v>31102192</v>
          </cell>
          <cell r="G2517">
            <v>31102192</v>
          </cell>
          <cell r="H2517">
            <v>31102192</v>
          </cell>
          <cell r="I2517" t="str">
            <v/>
          </cell>
          <cell r="J2517" t="str">
            <v/>
          </cell>
          <cell r="K2517" t="str">
            <v/>
          </cell>
          <cell r="L2517" t="str">
            <v/>
          </cell>
          <cell r="M2517" t="str">
            <v/>
          </cell>
        </row>
        <row r="2518">
          <cell r="A2518">
            <v>31102192</v>
          </cell>
          <cell r="C2518">
            <v>31102192</v>
          </cell>
          <cell r="D2518">
            <v>31102192</v>
          </cell>
          <cell r="E2518">
            <v>31102192</v>
          </cell>
          <cell r="F2518">
            <v>31102192</v>
          </cell>
          <cell r="G2518">
            <v>31102192</v>
          </cell>
          <cell r="H2518">
            <v>31102192</v>
          </cell>
          <cell r="I2518" t="str">
            <v/>
          </cell>
          <cell r="J2518" t="str">
            <v/>
          </cell>
          <cell r="K2518" t="str">
            <v/>
          </cell>
          <cell r="L2518" t="str">
            <v/>
          </cell>
          <cell r="M2518" t="str">
            <v/>
          </cell>
        </row>
        <row r="2519">
          <cell r="A2519">
            <v>31102192</v>
          </cell>
          <cell r="C2519">
            <v>31102192</v>
          </cell>
          <cell r="D2519">
            <v>31102192</v>
          </cell>
          <cell r="E2519">
            <v>31102192</v>
          </cell>
          <cell r="F2519">
            <v>31102192</v>
          </cell>
          <cell r="G2519">
            <v>31102192</v>
          </cell>
          <cell r="H2519">
            <v>31102192</v>
          </cell>
          <cell r="I2519" t="str">
            <v/>
          </cell>
          <cell r="J2519" t="str">
            <v/>
          </cell>
          <cell r="K2519" t="str">
            <v/>
          </cell>
          <cell r="L2519" t="str">
            <v/>
          </cell>
          <cell r="M2519" t="str">
            <v/>
          </cell>
        </row>
        <row r="2520">
          <cell r="A2520">
            <v>31102192</v>
          </cell>
          <cell r="C2520">
            <v>31102192</v>
          </cell>
          <cell r="D2520">
            <v>31102192</v>
          </cell>
          <cell r="E2520">
            <v>31102192</v>
          </cell>
          <cell r="F2520">
            <v>31102192</v>
          </cell>
          <cell r="G2520">
            <v>31102192</v>
          </cell>
          <cell r="H2520">
            <v>31102192</v>
          </cell>
          <cell r="I2520" t="str">
            <v/>
          </cell>
          <cell r="J2520" t="str">
            <v/>
          </cell>
          <cell r="K2520" t="str">
            <v/>
          </cell>
          <cell r="L2520" t="str">
            <v/>
          </cell>
          <cell r="M2520" t="str">
            <v/>
          </cell>
        </row>
        <row r="2521">
          <cell r="A2521">
            <v>31102192</v>
          </cell>
          <cell r="C2521">
            <v>31102192</v>
          </cell>
          <cell r="D2521">
            <v>31102192</v>
          </cell>
          <cell r="E2521">
            <v>31102192</v>
          </cell>
          <cell r="F2521">
            <v>31102192</v>
          </cell>
          <cell r="G2521">
            <v>31102192</v>
          </cell>
          <cell r="H2521">
            <v>31102192</v>
          </cell>
          <cell r="I2521" t="str">
            <v/>
          </cell>
          <cell r="J2521" t="str">
            <v/>
          </cell>
          <cell r="K2521" t="str">
            <v/>
          </cell>
          <cell r="L2521" t="str">
            <v/>
          </cell>
          <cell r="M2521" t="str">
            <v/>
          </cell>
        </row>
        <row r="2522">
          <cell r="A2522">
            <v>31102192</v>
          </cell>
          <cell r="C2522">
            <v>31102192</v>
          </cell>
          <cell r="D2522">
            <v>31102192</v>
          </cell>
          <cell r="E2522">
            <v>31102192</v>
          </cell>
          <cell r="F2522">
            <v>31102192</v>
          </cell>
          <cell r="G2522">
            <v>31102192</v>
          </cell>
          <cell r="H2522">
            <v>31102192</v>
          </cell>
          <cell r="I2522" t="str">
            <v/>
          </cell>
          <cell r="J2522" t="str">
            <v/>
          </cell>
          <cell r="K2522" t="str">
            <v/>
          </cell>
          <cell r="L2522" t="str">
            <v/>
          </cell>
          <cell r="M2522" t="str">
            <v/>
          </cell>
        </row>
        <row r="2523">
          <cell r="A2523">
            <v>31102192</v>
          </cell>
          <cell r="C2523">
            <v>31102192</v>
          </cell>
          <cell r="D2523">
            <v>31102192</v>
          </cell>
          <cell r="E2523">
            <v>31102192</v>
          </cell>
          <cell r="F2523">
            <v>31102192</v>
          </cell>
          <cell r="G2523">
            <v>31102192</v>
          </cell>
          <cell r="H2523">
            <v>31102192</v>
          </cell>
          <cell r="I2523" t="str">
            <v/>
          </cell>
          <cell r="J2523" t="str">
            <v/>
          </cell>
          <cell r="K2523" t="str">
            <v/>
          </cell>
          <cell r="L2523" t="str">
            <v/>
          </cell>
          <cell r="M2523" t="str">
            <v/>
          </cell>
        </row>
        <row r="2524">
          <cell r="A2524">
            <v>31102192</v>
          </cell>
          <cell r="C2524">
            <v>31102192</v>
          </cell>
          <cell r="D2524">
            <v>31102192</v>
          </cell>
          <cell r="E2524">
            <v>31102192</v>
          </cell>
          <cell r="F2524">
            <v>31102192</v>
          </cell>
          <cell r="G2524">
            <v>31102192</v>
          </cell>
          <cell r="H2524">
            <v>31102192</v>
          </cell>
          <cell r="I2524" t="str">
            <v/>
          </cell>
          <cell r="J2524" t="str">
            <v/>
          </cell>
          <cell r="K2524" t="str">
            <v/>
          </cell>
          <cell r="L2524" t="str">
            <v/>
          </cell>
          <cell r="M2524" t="str">
            <v/>
          </cell>
        </row>
        <row r="2525">
          <cell r="A2525">
            <v>31102192</v>
          </cell>
          <cell r="C2525">
            <v>31102192</v>
          </cell>
          <cell r="D2525">
            <v>31102192</v>
          </cell>
          <cell r="E2525">
            <v>31102192</v>
          </cell>
          <cell r="F2525">
            <v>31102192</v>
          </cell>
          <cell r="G2525">
            <v>31102192</v>
          </cell>
          <cell r="H2525">
            <v>31102192</v>
          </cell>
          <cell r="I2525" t="str">
            <v/>
          </cell>
          <cell r="J2525" t="str">
            <v/>
          </cell>
          <cell r="K2525" t="str">
            <v/>
          </cell>
          <cell r="L2525" t="str">
            <v/>
          </cell>
          <cell r="M2525" t="str">
            <v/>
          </cell>
        </row>
        <row r="2526">
          <cell r="A2526">
            <v>31102192</v>
          </cell>
          <cell r="C2526">
            <v>31102192</v>
          </cell>
          <cell r="D2526">
            <v>31102192</v>
          </cell>
          <cell r="E2526">
            <v>31102192</v>
          </cell>
          <cell r="F2526">
            <v>31102192</v>
          </cell>
          <cell r="G2526">
            <v>31102192</v>
          </cell>
          <cell r="H2526">
            <v>31102192</v>
          </cell>
          <cell r="I2526" t="str">
            <v/>
          </cell>
          <cell r="J2526" t="str">
            <v/>
          </cell>
          <cell r="K2526" t="str">
            <v/>
          </cell>
          <cell r="L2526" t="str">
            <v/>
          </cell>
          <cell r="M2526" t="str">
            <v/>
          </cell>
        </row>
        <row r="2527">
          <cell r="A2527">
            <v>31102192</v>
          </cell>
          <cell r="C2527">
            <v>31102192</v>
          </cell>
          <cell r="D2527">
            <v>31102192</v>
          </cell>
          <cell r="E2527">
            <v>31102192</v>
          </cell>
          <cell r="F2527">
            <v>31102192</v>
          </cell>
          <cell r="G2527">
            <v>31102192</v>
          </cell>
          <cell r="H2527">
            <v>31102192</v>
          </cell>
          <cell r="I2527" t="str">
            <v/>
          </cell>
          <cell r="J2527" t="str">
            <v/>
          </cell>
          <cell r="K2527" t="str">
            <v/>
          </cell>
          <cell r="L2527" t="str">
            <v/>
          </cell>
          <cell r="M2527" t="str">
            <v/>
          </cell>
        </row>
        <row r="2528">
          <cell r="A2528">
            <v>31102192</v>
          </cell>
          <cell r="C2528">
            <v>31102192</v>
          </cell>
          <cell r="D2528">
            <v>31102192</v>
          </cell>
          <cell r="E2528">
            <v>31102192</v>
          </cell>
          <cell r="F2528">
            <v>31102192</v>
          </cell>
          <cell r="G2528">
            <v>31102192</v>
          </cell>
          <cell r="H2528">
            <v>31102192</v>
          </cell>
          <cell r="I2528" t="str">
            <v/>
          </cell>
          <cell r="J2528" t="str">
            <v/>
          </cell>
          <cell r="K2528" t="str">
            <v/>
          </cell>
          <cell r="L2528" t="str">
            <v/>
          </cell>
          <cell r="M2528" t="str">
            <v/>
          </cell>
        </row>
        <row r="2529">
          <cell r="A2529">
            <v>31102192</v>
          </cell>
          <cell r="C2529">
            <v>31102192</v>
          </cell>
          <cell r="D2529">
            <v>31102192</v>
          </cell>
          <cell r="E2529">
            <v>31102192</v>
          </cell>
          <cell r="F2529">
            <v>31102192</v>
          </cell>
          <cell r="G2529">
            <v>31102192</v>
          </cell>
          <cell r="H2529">
            <v>31102192</v>
          </cell>
          <cell r="I2529" t="str">
            <v/>
          </cell>
          <cell r="J2529" t="str">
            <v/>
          </cell>
          <cell r="K2529" t="str">
            <v/>
          </cell>
          <cell r="L2529" t="str">
            <v/>
          </cell>
          <cell r="M2529" t="str">
            <v/>
          </cell>
        </row>
        <row r="2530">
          <cell r="A2530">
            <v>31102192</v>
          </cell>
          <cell r="C2530">
            <v>31102192</v>
          </cell>
          <cell r="D2530">
            <v>31102192</v>
          </cell>
          <cell r="E2530">
            <v>31102192</v>
          </cell>
          <cell r="F2530">
            <v>31102192</v>
          </cell>
          <cell r="G2530">
            <v>31102192</v>
          </cell>
          <cell r="H2530">
            <v>31102192</v>
          </cell>
          <cell r="I2530" t="str">
            <v/>
          </cell>
          <cell r="J2530" t="str">
            <v/>
          </cell>
          <cell r="K2530" t="str">
            <v/>
          </cell>
          <cell r="L2530" t="str">
            <v/>
          </cell>
          <cell r="M2530" t="str">
            <v/>
          </cell>
        </row>
        <row r="2531">
          <cell r="A2531">
            <v>31102192</v>
          </cell>
          <cell r="C2531">
            <v>31102192</v>
          </cell>
          <cell r="D2531">
            <v>31102192</v>
          </cell>
          <cell r="E2531">
            <v>31102192</v>
          </cell>
          <cell r="F2531">
            <v>31102192</v>
          </cell>
          <cell r="G2531">
            <v>31102192</v>
          </cell>
          <cell r="H2531">
            <v>31102192</v>
          </cell>
          <cell r="I2531" t="str">
            <v/>
          </cell>
          <cell r="J2531" t="str">
            <v/>
          </cell>
          <cell r="K2531" t="str">
            <v/>
          </cell>
          <cell r="L2531" t="str">
            <v/>
          </cell>
          <cell r="M2531" t="str">
            <v/>
          </cell>
        </row>
        <row r="2532">
          <cell r="A2532">
            <v>31102192</v>
          </cell>
          <cell r="C2532">
            <v>31102192</v>
          </cell>
          <cell r="D2532">
            <v>31102192</v>
          </cell>
          <cell r="E2532">
            <v>31102192</v>
          </cell>
          <cell r="F2532">
            <v>31102192</v>
          </cell>
          <cell r="G2532">
            <v>31102192</v>
          </cell>
          <cell r="H2532">
            <v>31102192</v>
          </cell>
          <cell r="I2532" t="str">
            <v/>
          </cell>
          <cell r="J2532" t="str">
            <v/>
          </cell>
          <cell r="K2532" t="str">
            <v/>
          </cell>
          <cell r="L2532" t="str">
            <v/>
          </cell>
          <cell r="M2532" t="str">
            <v/>
          </cell>
        </row>
        <row r="2533">
          <cell r="A2533">
            <v>31102192</v>
          </cell>
          <cell r="C2533">
            <v>31102192</v>
          </cell>
          <cell r="D2533">
            <v>31102192</v>
          </cell>
          <cell r="E2533">
            <v>31102192</v>
          </cell>
          <cell r="F2533">
            <v>31102192</v>
          </cell>
          <cell r="G2533">
            <v>31102192</v>
          </cell>
          <cell r="H2533">
            <v>31102192</v>
          </cell>
          <cell r="I2533" t="str">
            <v/>
          </cell>
          <cell r="J2533" t="str">
            <v/>
          </cell>
          <cell r="K2533" t="str">
            <v/>
          </cell>
          <cell r="L2533" t="str">
            <v/>
          </cell>
          <cell r="M2533" t="str">
            <v/>
          </cell>
        </row>
        <row r="2534">
          <cell r="A2534">
            <v>31102192</v>
          </cell>
          <cell r="C2534">
            <v>31102192</v>
          </cell>
          <cell r="D2534">
            <v>31102192</v>
          </cell>
          <cell r="E2534">
            <v>31102192</v>
          </cell>
          <cell r="F2534">
            <v>31102192</v>
          </cell>
          <cell r="G2534">
            <v>31102192</v>
          </cell>
          <cell r="H2534">
            <v>31102192</v>
          </cell>
          <cell r="I2534" t="str">
            <v/>
          </cell>
          <cell r="J2534" t="str">
            <v/>
          </cell>
          <cell r="K2534" t="str">
            <v/>
          </cell>
          <cell r="L2534" t="str">
            <v/>
          </cell>
          <cell r="M2534" t="str">
            <v/>
          </cell>
        </row>
        <row r="2535">
          <cell r="A2535">
            <v>31102192</v>
          </cell>
          <cell r="C2535">
            <v>31102192</v>
          </cell>
          <cell r="D2535">
            <v>31102192</v>
          </cell>
          <cell r="E2535">
            <v>31102192</v>
          </cell>
          <cell r="F2535">
            <v>31102192</v>
          </cell>
          <cell r="G2535">
            <v>31102192</v>
          </cell>
          <cell r="H2535">
            <v>31102192</v>
          </cell>
          <cell r="I2535" t="str">
            <v/>
          </cell>
          <cell r="J2535" t="str">
            <v/>
          </cell>
          <cell r="K2535" t="str">
            <v/>
          </cell>
          <cell r="L2535" t="str">
            <v/>
          </cell>
          <cell r="M2535" t="str">
            <v/>
          </cell>
        </row>
        <row r="2536">
          <cell r="A2536">
            <v>31102192</v>
          </cell>
          <cell r="C2536">
            <v>31102192</v>
          </cell>
          <cell r="D2536">
            <v>31102192</v>
          </cell>
          <cell r="E2536">
            <v>31102192</v>
          </cell>
          <cell r="F2536">
            <v>31102192</v>
          </cell>
          <cell r="G2536">
            <v>31102192</v>
          </cell>
          <cell r="H2536">
            <v>31102192</v>
          </cell>
          <cell r="I2536" t="str">
            <v/>
          </cell>
          <cell r="J2536" t="str">
            <v/>
          </cell>
          <cell r="K2536" t="str">
            <v/>
          </cell>
          <cell r="L2536" t="str">
            <v/>
          </cell>
          <cell r="M2536" t="str">
            <v/>
          </cell>
        </row>
        <row r="2537">
          <cell r="A2537">
            <v>31102192</v>
          </cell>
          <cell r="C2537">
            <v>31102192</v>
          </cell>
          <cell r="D2537">
            <v>31102192</v>
          </cell>
          <cell r="E2537">
            <v>31102192</v>
          </cell>
          <cell r="F2537">
            <v>31102192</v>
          </cell>
          <cell r="G2537">
            <v>31102192</v>
          </cell>
          <cell r="H2537">
            <v>31102192</v>
          </cell>
          <cell r="I2537" t="str">
            <v/>
          </cell>
          <cell r="J2537" t="str">
            <v/>
          </cell>
          <cell r="K2537" t="str">
            <v/>
          </cell>
          <cell r="L2537" t="str">
            <v/>
          </cell>
          <cell r="M2537" t="str">
            <v/>
          </cell>
        </row>
        <row r="2538">
          <cell r="A2538">
            <v>31102192</v>
          </cell>
          <cell r="C2538">
            <v>31102192</v>
          </cell>
          <cell r="D2538">
            <v>31102192</v>
          </cell>
          <cell r="E2538">
            <v>31102192</v>
          </cell>
          <cell r="F2538">
            <v>31102192</v>
          </cell>
          <cell r="G2538">
            <v>31102192</v>
          </cell>
          <cell r="H2538">
            <v>31102192</v>
          </cell>
          <cell r="I2538" t="str">
            <v/>
          </cell>
          <cell r="J2538" t="str">
            <v/>
          </cell>
          <cell r="K2538" t="str">
            <v/>
          </cell>
          <cell r="L2538" t="str">
            <v/>
          </cell>
          <cell r="M2538" t="str">
            <v/>
          </cell>
        </row>
        <row r="2539">
          <cell r="A2539">
            <v>31102192</v>
          </cell>
          <cell r="C2539">
            <v>31102192</v>
          </cell>
          <cell r="D2539">
            <v>31102192</v>
          </cell>
          <cell r="E2539">
            <v>31102192</v>
          </cell>
          <cell r="F2539">
            <v>31102192</v>
          </cell>
          <cell r="G2539">
            <v>31102192</v>
          </cell>
          <cell r="H2539">
            <v>31102192</v>
          </cell>
          <cell r="I2539" t="str">
            <v/>
          </cell>
          <cell r="J2539" t="str">
            <v/>
          </cell>
          <cell r="K2539" t="str">
            <v/>
          </cell>
          <cell r="L2539" t="str">
            <v/>
          </cell>
          <cell r="M2539" t="str">
            <v/>
          </cell>
        </row>
        <row r="2540">
          <cell r="A2540">
            <v>31102192</v>
          </cell>
          <cell r="C2540">
            <v>31102192</v>
          </cell>
          <cell r="D2540">
            <v>31102192</v>
          </cell>
          <cell r="E2540">
            <v>31102192</v>
          </cell>
          <cell r="F2540">
            <v>31102192</v>
          </cell>
          <cell r="G2540">
            <v>31102192</v>
          </cell>
          <cell r="H2540">
            <v>31102192</v>
          </cell>
          <cell r="I2540" t="str">
            <v/>
          </cell>
          <cell r="J2540" t="str">
            <v/>
          </cell>
          <cell r="K2540" t="str">
            <v/>
          </cell>
          <cell r="L2540" t="str">
            <v/>
          </cell>
          <cell r="M2540" t="str">
            <v/>
          </cell>
        </row>
        <row r="2541">
          <cell r="A2541">
            <v>31102192</v>
          </cell>
          <cell r="C2541">
            <v>31102192</v>
          </cell>
          <cell r="D2541">
            <v>31102192</v>
          </cell>
          <cell r="E2541">
            <v>31102192</v>
          </cell>
          <cell r="F2541">
            <v>31102192</v>
          </cell>
          <cell r="G2541">
            <v>31102192</v>
          </cell>
          <cell r="H2541">
            <v>31102192</v>
          </cell>
          <cell r="I2541" t="str">
            <v/>
          </cell>
          <cell r="J2541" t="str">
            <v/>
          </cell>
          <cell r="K2541" t="str">
            <v/>
          </cell>
          <cell r="L2541" t="str">
            <v/>
          </cell>
          <cell r="M2541" t="str">
            <v/>
          </cell>
        </row>
        <row r="2542">
          <cell r="A2542">
            <v>31102192</v>
          </cell>
          <cell r="C2542">
            <v>31102192</v>
          </cell>
          <cell r="D2542">
            <v>31102192</v>
          </cell>
          <cell r="E2542">
            <v>31102192</v>
          </cell>
          <cell r="F2542">
            <v>31102192</v>
          </cell>
          <cell r="G2542">
            <v>31102192</v>
          </cell>
          <cell r="H2542">
            <v>31102192</v>
          </cell>
          <cell r="I2542" t="str">
            <v/>
          </cell>
          <cell r="J2542" t="str">
            <v/>
          </cell>
          <cell r="K2542" t="str">
            <v/>
          </cell>
          <cell r="L2542" t="str">
            <v/>
          </cell>
          <cell r="M2542" t="str">
            <v/>
          </cell>
        </row>
        <row r="2543">
          <cell r="A2543">
            <v>31102192</v>
          </cell>
          <cell r="C2543">
            <v>31102192</v>
          </cell>
          <cell r="D2543">
            <v>31102192</v>
          </cell>
          <cell r="E2543">
            <v>31102192</v>
          </cell>
          <cell r="F2543">
            <v>31102192</v>
          </cell>
          <cell r="G2543">
            <v>31102192</v>
          </cell>
          <cell r="H2543">
            <v>31102192</v>
          </cell>
          <cell r="I2543" t="str">
            <v/>
          </cell>
          <cell r="J2543" t="str">
            <v/>
          </cell>
          <cell r="K2543" t="str">
            <v/>
          </cell>
          <cell r="L2543" t="str">
            <v/>
          </cell>
          <cell r="M2543" t="str">
            <v/>
          </cell>
        </row>
        <row r="2544">
          <cell r="A2544">
            <v>31102192</v>
          </cell>
          <cell r="C2544">
            <v>31102192</v>
          </cell>
          <cell r="D2544">
            <v>31102192</v>
          </cell>
          <cell r="E2544">
            <v>31102192</v>
          </cell>
          <cell r="F2544">
            <v>31102192</v>
          </cell>
          <cell r="G2544">
            <v>31102192</v>
          </cell>
          <cell r="H2544">
            <v>31102192</v>
          </cell>
          <cell r="I2544" t="str">
            <v/>
          </cell>
          <cell r="J2544" t="str">
            <v/>
          </cell>
          <cell r="K2544" t="str">
            <v/>
          </cell>
          <cell r="L2544" t="str">
            <v/>
          </cell>
          <cell r="M2544" t="str">
            <v/>
          </cell>
        </row>
        <row r="2545">
          <cell r="A2545">
            <v>31102192</v>
          </cell>
          <cell r="C2545">
            <v>31102192</v>
          </cell>
          <cell r="D2545">
            <v>31102192</v>
          </cell>
          <cell r="E2545">
            <v>31102192</v>
          </cell>
          <cell r="F2545">
            <v>31102192</v>
          </cell>
          <cell r="G2545">
            <v>31102192</v>
          </cell>
          <cell r="H2545">
            <v>31102192</v>
          </cell>
          <cell r="I2545" t="str">
            <v/>
          </cell>
          <cell r="J2545" t="str">
            <v/>
          </cell>
          <cell r="K2545" t="str">
            <v/>
          </cell>
          <cell r="L2545" t="str">
            <v/>
          </cell>
          <cell r="M2545" t="str">
            <v/>
          </cell>
        </row>
        <row r="2546">
          <cell r="A2546">
            <v>31102192</v>
          </cell>
          <cell r="C2546">
            <v>31102192</v>
          </cell>
          <cell r="D2546">
            <v>31102192</v>
          </cell>
          <cell r="E2546">
            <v>31102192</v>
          </cell>
          <cell r="F2546">
            <v>31102192</v>
          </cell>
          <cell r="G2546">
            <v>31102192</v>
          </cell>
          <cell r="H2546">
            <v>31102192</v>
          </cell>
          <cell r="I2546" t="str">
            <v/>
          </cell>
          <cell r="J2546" t="str">
            <v/>
          </cell>
          <cell r="K2546" t="str">
            <v/>
          </cell>
          <cell r="L2546" t="str">
            <v/>
          </cell>
          <cell r="M2546" t="str">
            <v/>
          </cell>
        </row>
        <row r="2547">
          <cell r="A2547">
            <v>31102192</v>
          </cell>
          <cell r="C2547">
            <v>31102192</v>
          </cell>
          <cell r="D2547">
            <v>31102192</v>
          </cell>
          <cell r="E2547">
            <v>31102192</v>
          </cell>
          <cell r="F2547">
            <v>31102192</v>
          </cell>
          <cell r="G2547">
            <v>31102192</v>
          </cell>
          <cell r="H2547">
            <v>31102192</v>
          </cell>
          <cell r="I2547" t="str">
            <v/>
          </cell>
          <cell r="J2547" t="str">
            <v/>
          </cell>
          <cell r="K2547" t="str">
            <v/>
          </cell>
          <cell r="L2547" t="str">
            <v/>
          </cell>
          <cell r="M2547" t="str">
            <v/>
          </cell>
        </row>
        <row r="2548">
          <cell r="A2548">
            <v>31102192</v>
          </cell>
          <cell r="C2548">
            <v>31102192</v>
          </cell>
          <cell r="D2548">
            <v>31102192</v>
          </cell>
          <cell r="E2548">
            <v>31102192</v>
          </cell>
          <cell r="F2548">
            <v>31102192</v>
          </cell>
          <cell r="G2548">
            <v>31102192</v>
          </cell>
          <cell r="H2548">
            <v>31102192</v>
          </cell>
          <cell r="I2548" t="str">
            <v/>
          </cell>
          <cell r="J2548" t="str">
            <v/>
          </cell>
          <cell r="K2548" t="str">
            <v/>
          </cell>
          <cell r="L2548" t="str">
            <v/>
          </cell>
          <cell r="M2548" t="str">
            <v/>
          </cell>
        </row>
        <row r="2549">
          <cell r="A2549">
            <v>31102192</v>
          </cell>
          <cell r="C2549">
            <v>31102192</v>
          </cell>
          <cell r="D2549">
            <v>31102192</v>
          </cell>
          <cell r="E2549">
            <v>31102192</v>
          </cell>
          <cell r="F2549">
            <v>31102192</v>
          </cell>
          <cell r="G2549">
            <v>31102192</v>
          </cell>
          <cell r="H2549">
            <v>31102192</v>
          </cell>
          <cell r="I2549" t="str">
            <v/>
          </cell>
          <cell r="J2549" t="str">
            <v/>
          </cell>
          <cell r="K2549" t="str">
            <v/>
          </cell>
          <cell r="L2549" t="str">
            <v/>
          </cell>
          <cell r="M2549" t="str">
            <v/>
          </cell>
        </row>
        <row r="2550">
          <cell r="A2550">
            <v>31102192</v>
          </cell>
          <cell r="C2550">
            <v>31102192</v>
          </cell>
          <cell r="D2550">
            <v>31102192</v>
          </cell>
          <cell r="E2550">
            <v>31102192</v>
          </cell>
          <cell r="F2550">
            <v>31102192</v>
          </cell>
          <cell r="G2550">
            <v>31102192</v>
          </cell>
          <cell r="H2550">
            <v>31102192</v>
          </cell>
          <cell r="I2550" t="str">
            <v/>
          </cell>
          <cell r="J2550" t="str">
            <v/>
          </cell>
          <cell r="K2550" t="str">
            <v/>
          </cell>
          <cell r="L2550" t="str">
            <v/>
          </cell>
          <cell r="M2550" t="str">
            <v/>
          </cell>
        </row>
        <row r="2551">
          <cell r="A2551">
            <v>31102192</v>
          </cell>
          <cell r="C2551">
            <v>31102192</v>
          </cell>
          <cell r="D2551">
            <v>31102192</v>
          </cell>
          <cell r="E2551">
            <v>31102192</v>
          </cell>
          <cell r="F2551">
            <v>31102192</v>
          </cell>
          <cell r="G2551">
            <v>31102192</v>
          </cell>
          <cell r="H2551">
            <v>31102192</v>
          </cell>
          <cell r="I2551" t="str">
            <v/>
          </cell>
          <cell r="J2551" t="str">
            <v/>
          </cell>
          <cell r="K2551" t="str">
            <v/>
          </cell>
          <cell r="L2551" t="str">
            <v/>
          </cell>
          <cell r="M2551" t="str">
            <v/>
          </cell>
        </row>
        <row r="2552">
          <cell r="A2552">
            <v>31102192</v>
          </cell>
          <cell r="C2552">
            <v>31102192</v>
          </cell>
          <cell r="D2552">
            <v>31102192</v>
          </cell>
          <cell r="E2552">
            <v>31102192</v>
          </cell>
          <cell r="F2552">
            <v>31102192</v>
          </cell>
          <cell r="G2552">
            <v>31102192</v>
          </cell>
          <cell r="H2552">
            <v>31102192</v>
          </cell>
          <cell r="I2552" t="str">
            <v/>
          </cell>
          <cell r="J2552" t="str">
            <v/>
          </cell>
          <cell r="K2552" t="str">
            <v/>
          </cell>
          <cell r="L2552" t="str">
            <v/>
          </cell>
          <cell r="M2552" t="str">
            <v/>
          </cell>
        </row>
        <row r="2553">
          <cell r="A2553">
            <v>31102192</v>
          </cell>
          <cell r="C2553">
            <v>31102192</v>
          </cell>
          <cell r="D2553">
            <v>31102192</v>
          </cell>
          <cell r="E2553">
            <v>31102192</v>
          </cell>
          <cell r="F2553">
            <v>31102192</v>
          </cell>
          <cell r="G2553">
            <v>31102192</v>
          </cell>
          <cell r="H2553">
            <v>31102192</v>
          </cell>
          <cell r="I2553" t="str">
            <v/>
          </cell>
          <cell r="J2553" t="str">
            <v/>
          </cell>
          <cell r="K2553" t="str">
            <v/>
          </cell>
          <cell r="L2553" t="str">
            <v/>
          </cell>
          <cell r="M2553" t="str">
            <v/>
          </cell>
        </row>
        <row r="2554">
          <cell r="A2554">
            <v>31102192</v>
          </cell>
          <cell r="C2554">
            <v>31102192</v>
          </cell>
          <cell r="D2554">
            <v>31102192</v>
          </cell>
          <cell r="E2554">
            <v>31102192</v>
          </cell>
          <cell r="F2554">
            <v>31102192</v>
          </cell>
          <cell r="G2554">
            <v>31102192</v>
          </cell>
          <cell r="H2554">
            <v>31102192</v>
          </cell>
          <cell r="I2554" t="str">
            <v/>
          </cell>
          <cell r="J2554" t="str">
            <v/>
          </cell>
          <cell r="K2554" t="str">
            <v/>
          </cell>
          <cell r="L2554" t="str">
            <v/>
          </cell>
          <cell r="M2554" t="str">
            <v/>
          </cell>
        </row>
        <row r="2555">
          <cell r="A2555">
            <v>31102192</v>
          </cell>
          <cell r="C2555">
            <v>31102192</v>
          </cell>
          <cell r="D2555">
            <v>31102192</v>
          </cell>
          <cell r="E2555">
            <v>31102192</v>
          </cell>
          <cell r="F2555">
            <v>31102192</v>
          </cell>
          <cell r="G2555">
            <v>31102192</v>
          </cell>
          <cell r="H2555">
            <v>31102192</v>
          </cell>
          <cell r="I2555" t="str">
            <v/>
          </cell>
          <cell r="J2555" t="str">
            <v/>
          </cell>
          <cell r="K2555" t="str">
            <v/>
          </cell>
          <cell r="L2555" t="str">
            <v/>
          </cell>
          <cell r="M2555" t="str">
            <v/>
          </cell>
        </row>
        <row r="2556">
          <cell r="A2556">
            <v>31102192</v>
          </cell>
          <cell r="C2556">
            <v>31102192</v>
          </cell>
          <cell r="D2556">
            <v>31102192</v>
          </cell>
          <cell r="E2556">
            <v>31102192</v>
          </cell>
          <cell r="F2556">
            <v>31102192</v>
          </cell>
          <cell r="G2556">
            <v>31102192</v>
          </cell>
          <cell r="H2556">
            <v>31102192</v>
          </cell>
          <cell r="I2556" t="str">
            <v/>
          </cell>
          <cell r="J2556" t="str">
            <v/>
          </cell>
          <cell r="K2556" t="str">
            <v/>
          </cell>
          <cell r="L2556" t="str">
            <v/>
          </cell>
          <cell r="M2556" t="str">
            <v/>
          </cell>
        </row>
        <row r="2557">
          <cell r="A2557">
            <v>31102192</v>
          </cell>
          <cell r="C2557">
            <v>31102192</v>
          </cell>
          <cell r="D2557">
            <v>31102192</v>
          </cell>
          <cell r="E2557">
            <v>31102192</v>
          </cell>
          <cell r="F2557">
            <v>31102192</v>
          </cell>
          <cell r="G2557">
            <v>31102192</v>
          </cell>
          <cell r="H2557">
            <v>31102192</v>
          </cell>
          <cell r="I2557" t="str">
            <v/>
          </cell>
          <cell r="J2557" t="str">
            <v/>
          </cell>
          <cell r="K2557" t="str">
            <v/>
          </cell>
          <cell r="L2557" t="str">
            <v/>
          </cell>
          <cell r="M2557" t="str">
            <v/>
          </cell>
        </row>
        <row r="2558">
          <cell r="A2558">
            <v>31102192</v>
          </cell>
          <cell r="C2558">
            <v>31102192</v>
          </cell>
          <cell r="D2558">
            <v>31102192</v>
          </cell>
          <cell r="E2558">
            <v>31102192</v>
          </cell>
          <cell r="F2558">
            <v>31102192</v>
          </cell>
          <cell r="G2558">
            <v>31102192</v>
          </cell>
          <cell r="H2558">
            <v>31102192</v>
          </cell>
          <cell r="I2558" t="str">
            <v/>
          </cell>
          <cell r="J2558" t="str">
            <v/>
          </cell>
          <cell r="K2558" t="str">
            <v/>
          </cell>
          <cell r="L2558" t="str">
            <v/>
          </cell>
          <cell r="M2558" t="str">
            <v/>
          </cell>
        </row>
        <row r="2559">
          <cell r="A2559">
            <v>31102192</v>
          </cell>
          <cell r="C2559">
            <v>31102192</v>
          </cell>
          <cell r="D2559">
            <v>31102192</v>
          </cell>
          <cell r="E2559">
            <v>31102192</v>
          </cell>
          <cell r="F2559">
            <v>31102192</v>
          </cell>
          <cell r="G2559">
            <v>31102192</v>
          </cell>
          <cell r="H2559">
            <v>31102192</v>
          </cell>
          <cell r="I2559" t="str">
            <v/>
          </cell>
          <cell r="J2559" t="str">
            <v/>
          </cell>
          <cell r="K2559" t="str">
            <v/>
          </cell>
          <cell r="L2559" t="str">
            <v/>
          </cell>
          <cell r="M2559" t="str">
            <v/>
          </cell>
        </row>
        <row r="2560">
          <cell r="A2560">
            <v>31102192</v>
          </cell>
          <cell r="C2560">
            <v>31102192</v>
          </cell>
          <cell r="D2560">
            <v>31102192</v>
          </cell>
          <cell r="E2560">
            <v>31102192</v>
          </cell>
          <cell r="F2560">
            <v>31102192</v>
          </cell>
          <cell r="G2560">
            <v>31102192</v>
          </cell>
          <cell r="H2560">
            <v>31102192</v>
          </cell>
          <cell r="I2560" t="str">
            <v/>
          </cell>
          <cell r="J2560" t="str">
            <v/>
          </cell>
          <cell r="K2560" t="str">
            <v/>
          </cell>
          <cell r="L2560" t="str">
            <v/>
          </cell>
          <cell r="M2560" t="str">
            <v/>
          </cell>
        </row>
        <row r="2561">
          <cell r="A2561">
            <v>31102192</v>
          </cell>
          <cell r="C2561">
            <v>31102192</v>
          </cell>
          <cell r="D2561">
            <v>31102192</v>
          </cell>
          <cell r="E2561">
            <v>31102192</v>
          </cell>
          <cell r="F2561">
            <v>31102192</v>
          </cell>
          <cell r="G2561">
            <v>31102192</v>
          </cell>
          <cell r="H2561">
            <v>31102192</v>
          </cell>
          <cell r="I2561" t="str">
            <v/>
          </cell>
          <cell r="J2561" t="str">
            <v/>
          </cell>
          <cell r="K2561" t="str">
            <v/>
          </cell>
          <cell r="L2561" t="str">
            <v/>
          </cell>
          <cell r="M2561" t="str">
            <v/>
          </cell>
        </row>
        <row r="2562">
          <cell r="A2562">
            <v>31102192</v>
          </cell>
          <cell r="C2562">
            <v>31102192</v>
          </cell>
          <cell r="D2562">
            <v>31102192</v>
          </cell>
          <cell r="E2562">
            <v>31102192</v>
          </cell>
          <cell r="F2562">
            <v>31102192</v>
          </cell>
          <cell r="G2562">
            <v>31102192</v>
          </cell>
          <cell r="H2562">
            <v>31102192</v>
          </cell>
          <cell r="I2562" t="str">
            <v/>
          </cell>
          <cell r="J2562" t="str">
            <v/>
          </cell>
          <cell r="K2562" t="str">
            <v/>
          </cell>
          <cell r="L2562" t="str">
            <v/>
          </cell>
          <cell r="M2562" t="str">
            <v/>
          </cell>
        </row>
        <row r="2563">
          <cell r="A2563">
            <v>31102192</v>
          </cell>
          <cell r="C2563">
            <v>31102192</v>
          </cell>
          <cell r="D2563">
            <v>31102192</v>
          </cell>
          <cell r="E2563">
            <v>31102192</v>
          </cell>
          <cell r="F2563">
            <v>31102192</v>
          </cell>
          <cell r="G2563">
            <v>31102192</v>
          </cell>
          <cell r="H2563">
            <v>31102192</v>
          </cell>
          <cell r="I2563" t="str">
            <v/>
          </cell>
          <cell r="J2563" t="str">
            <v/>
          </cell>
          <cell r="K2563" t="str">
            <v/>
          </cell>
          <cell r="L2563" t="str">
            <v/>
          </cell>
          <cell r="M2563" t="str">
            <v/>
          </cell>
        </row>
        <row r="2564">
          <cell r="A2564">
            <v>31102192</v>
          </cell>
          <cell r="C2564">
            <v>31102192</v>
          </cell>
          <cell r="D2564">
            <v>31102192</v>
          </cell>
          <cell r="E2564">
            <v>31102192</v>
          </cell>
          <cell r="F2564">
            <v>31102192</v>
          </cell>
          <cell r="G2564">
            <v>31102192</v>
          </cell>
          <cell r="H2564">
            <v>31102192</v>
          </cell>
          <cell r="I2564" t="str">
            <v/>
          </cell>
          <cell r="J2564" t="str">
            <v/>
          </cell>
          <cell r="K2564" t="str">
            <v/>
          </cell>
          <cell r="L2564" t="str">
            <v/>
          </cell>
          <cell r="M2564" t="str">
            <v/>
          </cell>
        </row>
        <row r="2565">
          <cell r="A2565">
            <v>31102192</v>
          </cell>
          <cell r="C2565">
            <v>31102192</v>
          </cell>
          <cell r="D2565">
            <v>31102192</v>
          </cell>
          <cell r="E2565">
            <v>31102192</v>
          </cell>
          <cell r="F2565">
            <v>31102192</v>
          </cell>
          <cell r="G2565">
            <v>31102192</v>
          </cell>
          <cell r="H2565">
            <v>31102192</v>
          </cell>
          <cell r="I2565" t="str">
            <v/>
          </cell>
          <cell r="J2565" t="str">
            <v/>
          </cell>
          <cell r="K2565" t="str">
            <v/>
          </cell>
          <cell r="L2565" t="str">
            <v/>
          </cell>
          <cell r="M2565" t="str">
            <v/>
          </cell>
        </row>
        <row r="2566">
          <cell r="A2566">
            <v>31102192</v>
          </cell>
          <cell r="C2566">
            <v>31102192</v>
          </cell>
          <cell r="D2566">
            <v>31102192</v>
          </cell>
          <cell r="E2566">
            <v>31102192</v>
          </cell>
          <cell r="F2566">
            <v>31102192</v>
          </cell>
          <cell r="G2566">
            <v>31102192</v>
          </cell>
          <cell r="H2566">
            <v>31102192</v>
          </cell>
          <cell r="I2566" t="str">
            <v/>
          </cell>
          <cell r="J2566" t="str">
            <v/>
          </cell>
          <cell r="K2566" t="str">
            <v/>
          </cell>
          <cell r="L2566" t="str">
            <v/>
          </cell>
          <cell r="M2566" t="str">
            <v/>
          </cell>
        </row>
        <row r="2567">
          <cell r="A2567">
            <v>31102192</v>
          </cell>
          <cell r="C2567">
            <v>31102192</v>
          </cell>
          <cell r="D2567">
            <v>31102192</v>
          </cell>
          <cell r="E2567">
            <v>31102192</v>
          </cell>
          <cell r="F2567">
            <v>31102192</v>
          </cell>
          <cell r="G2567">
            <v>31102192</v>
          </cell>
          <cell r="H2567">
            <v>31102192</v>
          </cell>
          <cell r="I2567" t="str">
            <v/>
          </cell>
          <cell r="J2567" t="str">
            <v/>
          </cell>
          <cell r="K2567" t="str">
            <v/>
          </cell>
          <cell r="L2567" t="str">
            <v/>
          </cell>
          <cell r="M2567" t="str">
            <v/>
          </cell>
        </row>
        <row r="2568">
          <cell r="A2568">
            <v>31102192</v>
          </cell>
          <cell r="C2568">
            <v>31102192</v>
          </cell>
          <cell r="D2568">
            <v>31102192</v>
          </cell>
          <cell r="E2568">
            <v>31102192</v>
          </cell>
          <cell r="F2568">
            <v>31102192</v>
          </cell>
          <cell r="G2568">
            <v>31102192</v>
          </cell>
          <cell r="H2568">
            <v>31102192</v>
          </cell>
          <cell r="I2568" t="str">
            <v/>
          </cell>
          <cell r="J2568" t="str">
            <v/>
          </cell>
          <cell r="K2568" t="str">
            <v/>
          </cell>
          <cell r="L2568" t="str">
            <v/>
          </cell>
          <cell r="M2568" t="str">
            <v/>
          </cell>
        </row>
        <row r="2569">
          <cell r="A2569">
            <v>31102192</v>
          </cell>
          <cell r="C2569">
            <v>31102192</v>
          </cell>
          <cell r="D2569">
            <v>31102192</v>
          </cell>
          <cell r="E2569">
            <v>31102192</v>
          </cell>
          <cell r="F2569">
            <v>31102192</v>
          </cell>
          <cell r="G2569">
            <v>31102192</v>
          </cell>
          <cell r="H2569">
            <v>31102192</v>
          </cell>
          <cell r="I2569" t="str">
            <v/>
          </cell>
          <cell r="J2569" t="str">
            <v/>
          </cell>
          <cell r="K2569" t="str">
            <v/>
          </cell>
          <cell r="L2569" t="str">
            <v/>
          </cell>
          <cell r="M2569" t="str">
            <v/>
          </cell>
        </row>
        <row r="2570">
          <cell r="A2570">
            <v>31102192</v>
          </cell>
          <cell r="C2570">
            <v>31102192</v>
          </cell>
          <cell r="D2570">
            <v>31102192</v>
          </cell>
          <cell r="E2570">
            <v>31102192</v>
          </cell>
          <cell r="F2570">
            <v>31102192</v>
          </cell>
          <cell r="G2570">
            <v>31102192</v>
          </cell>
          <cell r="H2570">
            <v>31102192</v>
          </cell>
          <cell r="I2570" t="str">
            <v/>
          </cell>
          <cell r="J2570" t="str">
            <v/>
          </cell>
          <cell r="K2570" t="str">
            <v/>
          </cell>
          <cell r="L2570" t="str">
            <v/>
          </cell>
          <cell r="M2570" t="str">
            <v/>
          </cell>
        </row>
        <row r="2571">
          <cell r="A2571">
            <v>31102192</v>
          </cell>
          <cell r="C2571">
            <v>31102192</v>
          </cell>
          <cell r="D2571">
            <v>31102192</v>
          </cell>
          <cell r="E2571">
            <v>31102192</v>
          </cell>
          <cell r="F2571">
            <v>31102192</v>
          </cell>
          <cell r="G2571">
            <v>31102192</v>
          </cell>
          <cell r="H2571">
            <v>31102192</v>
          </cell>
          <cell r="I2571" t="str">
            <v/>
          </cell>
          <cell r="J2571" t="str">
            <v/>
          </cell>
          <cell r="K2571" t="str">
            <v/>
          </cell>
          <cell r="L2571" t="str">
            <v/>
          </cell>
          <cell r="M2571" t="str">
            <v/>
          </cell>
        </row>
        <row r="2572">
          <cell r="A2572">
            <v>31102192</v>
          </cell>
          <cell r="C2572">
            <v>31102192</v>
          </cell>
          <cell r="D2572">
            <v>31102192</v>
          </cell>
          <cell r="E2572">
            <v>31102192</v>
          </cell>
          <cell r="F2572">
            <v>31102192</v>
          </cell>
          <cell r="G2572">
            <v>31102192</v>
          </cell>
          <cell r="H2572">
            <v>31102192</v>
          </cell>
          <cell r="I2572" t="str">
            <v/>
          </cell>
          <cell r="J2572" t="str">
            <v/>
          </cell>
          <cell r="K2572" t="str">
            <v/>
          </cell>
          <cell r="L2572" t="str">
            <v/>
          </cell>
          <cell r="M2572" t="str">
            <v/>
          </cell>
        </row>
        <row r="2573">
          <cell r="A2573">
            <v>31102192</v>
          </cell>
          <cell r="C2573">
            <v>31102192</v>
          </cell>
          <cell r="D2573">
            <v>31102192</v>
          </cell>
          <cell r="E2573">
            <v>31102192</v>
          </cell>
          <cell r="F2573">
            <v>31102192</v>
          </cell>
          <cell r="G2573">
            <v>31102192</v>
          </cell>
          <cell r="H2573">
            <v>31102192</v>
          </cell>
          <cell r="I2573" t="str">
            <v/>
          </cell>
          <cell r="J2573" t="str">
            <v/>
          </cell>
          <cell r="K2573" t="str">
            <v/>
          </cell>
          <cell r="L2573" t="str">
            <v/>
          </cell>
          <cell r="M2573" t="str">
            <v/>
          </cell>
        </row>
        <row r="2574">
          <cell r="A2574">
            <v>31102192</v>
          </cell>
          <cell r="C2574">
            <v>31102192</v>
          </cell>
          <cell r="D2574">
            <v>31102192</v>
          </cell>
          <cell r="E2574">
            <v>31102192</v>
          </cell>
          <cell r="F2574">
            <v>31102192</v>
          </cell>
          <cell r="G2574">
            <v>31102192</v>
          </cell>
          <cell r="H2574">
            <v>31102192</v>
          </cell>
          <cell r="I2574" t="str">
            <v/>
          </cell>
          <cell r="J2574" t="str">
            <v/>
          </cell>
          <cell r="K2574" t="str">
            <v/>
          </cell>
          <cell r="L2574" t="str">
            <v/>
          </cell>
          <cell r="M2574" t="str">
            <v/>
          </cell>
        </row>
        <row r="2575">
          <cell r="A2575">
            <v>31102192</v>
          </cell>
          <cell r="C2575">
            <v>31102192</v>
          </cell>
          <cell r="D2575">
            <v>31102192</v>
          </cell>
          <cell r="E2575">
            <v>31102192</v>
          </cell>
          <cell r="F2575">
            <v>31102192</v>
          </cell>
          <cell r="G2575">
            <v>31102192</v>
          </cell>
          <cell r="H2575">
            <v>31102192</v>
          </cell>
          <cell r="I2575" t="str">
            <v/>
          </cell>
          <cell r="J2575" t="str">
            <v/>
          </cell>
          <cell r="K2575" t="str">
            <v/>
          </cell>
          <cell r="L2575" t="str">
            <v/>
          </cell>
          <cell r="M2575" t="str">
            <v/>
          </cell>
        </row>
        <row r="2576">
          <cell r="A2576">
            <v>31102192</v>
          </cell>
          <cell r="C2576">
            <v>31102192</v>
          </cell>
          <cell r="D2576">
            <v>31102192</v>
          </cell>
          <cell r="E2576">
            <v>31102192</v>
          </cell>
          <cell r="F2576">
            <v>31102192</v>
          </cell>
          <cell r="G2576">
            <v>31102192</v>
          </cell>
          <cell r="H2576">
            <v>31102192</v>
          </cell>
          <cell r="I2576" t="str">
            <v/>
          </cell>
          <cell r="J2576" t="str">
            <v/>
          </cell>
          <cell r="K2576" t="str">
            <v/>
          </cell>
          <cell r="L2576" t="str">
            <v/>
          </cell>
          <cell r="M2576" t="str">
            <v/>
          </cell>
        </row>
        <row r="2577">
          <cell r="A2577">
            <v>31102192</v>
          </cell>
          <cell r="C2577">
            <v>31102192</v>
          </cell>
          <cell r="D2577">
            <v>31102192</v>
          </cell>
          <cell r="E2577">
            <v>31102192</v>
          </cell>
          <cell r="F2577">
            <v>31102192</v>
          </cell>
          <cell r="G2577">
            <v>31102192</v>
          </cell>
          <cell r="H2577">
            <v>31102192</v>
          </cell>
          <cell r="I2577" t="str">
            <v/>
          </cell>
          <cell r="J2577" t="str">
            <v/>
          </cell>
          <cell r="K2577" t="str">
            <v/>
          </cell>
          <cell r="L2577" t="str">
            <v/>
          </cell>
          <cell r="M2577" t="str">
            <v/>
          </cell>
        </row>
        <row r="2578">
          <cell r="A2578">
            <v>31102192</v>
          </cell>
          <cell r="C2578">
            <v>31102192</v>
          </cell>
          <cell r="D2578">
            <v>31102192</v>
          </cell>
          <cell r="E2578">
            <v>31102192</v>
          </cell>
          <cell r="F2578">
            <v>31102192</v>
          </cell>
          <cell r="G2578">
            <v>31102192</v>
          </cell>
          <cell r="H2578">
            <v>31102192</v>
          </cell>
          <cell r="I2578" t="str">
            <v/>
          </cell>
          <cell r="J2578" t="str">
            <v/>
          </cell>
          <cell r="K2578" t="str">
            <v/>
          </cell>
          <cell r="L2578" t="str">
            <v/>
          </cell>
          <cell r="M2578" t="str">
            <v/>
          </cell>
        </row>
        <row r="2579">
          <cell r="A2579">
            <v>31102192</v>
          </cell>
          <cell r="C2579">
            <v>31102192</v>
          </cell>
          <cell r="D2579">
            <v>31102192</v>
          </cell>
          <cell r="E2579">
            <v>31102192</v>
          </cell>
          <cell r="F2579">
            <v>31102192</v>
          </cell>
          <cell r="G2579">
            <v>31102192</v>
          </cell>
          <cell r="H2579">
            <v>31102192</v>
          </cell>
          <cell r="I2579" t="str">
            <v/>
          </cell>
          <cell r="J2579" t="str">
            <v/>
          </cell>
          <cell r="K2579" t="str">
            <v/>
          </cell>
          <cell r="L2579" t="str">
            <v/>
          </cell>
          <cell r="M2579" t="str">
            <v/>
          </cell>
        </row>
        <row r="2580">
          <cell r="A2580">
            <v>31102192</v>
          </cell>
          <cell r="C2580">
            <v>31102192</v>
          </cell>
          <cell r="D2580">
            <v>31102192</v>
          </cell>
          <cell r="E2580">
            <v>31102192</v>
          </cell>
          <cell r="F2580">
            <v>31102192</v>
          </cell>
          <cell r="G2580">
            <v>31102192</v>
          </cell>
          <cell r="H2580">
            <v>31102192</v>
          </cell>
          <cell r="I2580" t="str">
            <v/>
          </cell>
          <cell r="J2580" t="str">
            <v/>
          </cell>
          <cell r="K2580" t="str">
            <v/>
          </cell>
          <cell r="L2580" t="str">
            <v/>
          </cell>
          <cell r="M2580" t="str">
            <v/>
          </cell>
        </row>
        <row r="2581">
          <cell r="A2581">
            <v>31102192</v>
          </cell>
          <cell r="C2581">
            <v>31102192</v>
          </cell>
          <cell r="D2581">
            <v>31102192</v>
          </cell>
          <cell r="E2581">
            <v>31102192</v>
          </cell>
          <cell r="F2581">
            <v>31102192</v>
          </cell>
          <cell r="G2581">
            <v>31102192</v>
          </cell>
          <cell r="H2581">
            <v>31102192</v>
          </cell>
          <cell r="I2581" t="str">
            <v/>
          </cell>
          <cell r="J2581" t="str">
            <v/>
          </cell>
          <cell r="K2581" t="str">
            <v/>
          </cell>
          <cell r="L2581" t="str">
            <v/>
          </cell>
          <cell r="M2581" t="str">
            <v/>
          </cell>
        </row>
        <row r="2582">
          <cell r="A2582">
            <v>31102192</v>
          </cell>
          <cell r="C2582">
            <v>31102192</v>
          </cell>
          <cell r="D2582">
            <v>31102192</v>
          </cell>
          <cell r="E2582">
            <v>31102192</v>
          </cell>
          <cell r="F2582">
            <v>31102192</v>
          </cell>
          <cell r="G2582">
            <v>31102192</v>
          </cell>
          <cell r="H2582">
            <v>31102192</v>
          </cell>
          <cell r="I2582" t="str">
            <v/>
          </cell>
          <cell r="J2582" t="str">
            <v/>
          </cell>
          <cell r="K2582" t="str">
            <v/>
          </cell>
          <cell r="L2582" t="str">
            <v/>
          </cell>
          <cell r="M2582" t="str">
            <v/>
          </cell>
        </row>
        <row r="2583">
          <cell r="A2583">
            <v>31102192</v>
          </cell>
          <cell r="C2583">
            <v>31102192</v>
          </cell>
          <cell r="D2583">
            <v>31102192</v>
          </cell>
          <cell r="E2583">
            <v>31102192</v>
          </cell>
          <cell r="F2583">
            <v>31102192</v>
          </cell>
          <cell r="G2583">
            <v>31102192</v>
          </cell>
          <cell r="H2583">
            <v>31102192</v>
          </cell>
          <cell r="I2583" t="str">
            <v/>
          </cell>
          <cell r="J2583" t="str">
            <v/>
          </cell>
          <cell r="K2583" t="str">
            <v/>
          </cell>
          <cell r="L2583" t="str">
            <v/>
          </cell>
          <cell r="M2583" t="str">
            <v/>
          </cell>
        </row>
        <row r="2584">
          <cell r="A2584">
            <v>31102192</v>
          </cell>
          <cell r="C2584">
            <v>31102192</v>
          </cell>
          <cell r="D2584">
            <v>31102192</v>
          </cell>
          <cell r="E2584">
            <v>31102192</v>
          </cell>
          <cell r="F2584">
            <v>31102192</v>
          </cell>
          <cell r="G2584">
            <v>31102192</v>
          </cell>
          <cell r="H2584">
            <v>31102192</v>
          </cell>
          <cell r="I2584" t="str">
            <v/>
          </cell>
          <cell r="J2584" t="str">
            <v/>
          </cell>
          <cell r="K2584" t="str">
            <v/>
          </cell>
          <cell r="L2584" t="str">
            <v/>
          </cell>
          <cell r="M2584" t="str">
            <v/>
          </cell>
        </row>
        <row r="2585">
          <cell r="A2585">
            <v>31102192</v>
          </cell>
          <cell r="C2585">
            <v>31102192</v>
          </cell>
          <cell r="D2585">
            <v>31102192</v>
          </cell>
          <cell r="E2585">
            <v>31102192</v>
          </cell>
          <cell r="F2585">
            <v>31102192</v>
          </cell>
          <cell r="G2585">
            <v>31102192</v>
          </cell>
          <cell r="H2585">
            <v>31102192</v>
          </cell>
          <cell r="I2585" t="str">
            <v/>
          </cell>
          <cell r="J2585" t="str">
            <v/>
          </cell>
          <cell r="K2585" t="str">
            <v/>
          </cell>
          <cell r="L2585" t="str">
            <v/>
          </cell>
          <cell r="M2585" t="str">
            <v/>
          </cell>
        </row>
        <row r="2586">
          <cell r="A2586">
            <v>31102192</v>
          </cell>
          <cell r="C2586">
            <v>31102192</v>
          </cell>
          <cell r="D2586">
            <v>31102192</v>
          </cell>
          <cell r="E2586">
            <v>31102192</v>
          </cell>
          <cell r="F2586">
            <v>31102192</v>
          </cell>
          <cell r="G2586">
            <v>31102192</v>
          </cell>
          <cell r="H2586">
            <v>31102192</v>
          </cell>
          <cell r="I2586" t="str">
            <v/>
          </cell>
          <cell r="J2586" t="str">
            <v/>
          </cell>
          <cell r="K2586" t="str">
            <v/>
          </cell>
          <cell r="L2586" t="str">
            <v/>
          </cell>
          <cell r="M2586" t="str">
            <v/>
          </cell>
        </row>
        <row r="2587">
          <cell r="A2587">
            <v>31102192</v>
          </cell>
          <cell r="C2587">
            <v>31102192</v>
          </cell>
          <cell r="D2587">
            <v>31102192</v>
          </cell>
          <cell r="E2587">
            <v>31102192</v>
          </cell>
          <cell r="F2587">
            <v>31102192</v>
          </cell>
          <cell r="G2587">
            <v>31102192</v>
          </cell>
          <cell r="H2587">
            <v>31102192</v>
          </cell>
          <cell r="I2587" t="str">
            <v/>
          </cell>
          <cell r="J2587" t="str">
            <v/>
          </cell>
          <cell r="K2587" t="str">
            <v/>
          </cell>
          <cell r="L2587" t="str">
            <v/>
          </cell>
          <cell r="M2587" t="str">
            <v/>
          </cell>
        </row>
        <row r="2588">
          <cell r="A2588">
            <v>31102192</v>
          </cell>
          <cell r="C2588">
            <v>31102192</v>
          </cell>
          <cell r="D2588">
            <v>31102192</v>
          </cell>
          <cell r="E2588">
            <v>31102192</v>
          </cell>
          <cell r="F2588">
            <v>31102192</v>
          </cell>
          <cell r="G2588">
            <v>31102192</v>
          </cell>
          <cell r="H2588">
            <v>31102192</v>
          </cell>
          <cell r="I2588" t="str">
            <v/>
          </cell>
          <cell r="J2588" t="str">
            <v/>
          </cell>
          <cell r="K2588" t="str">
            <v/>
          </cell>
          <cell r="L2588" t="str">
            <v/>
          </cell>
          <cell r="M2588" t="str">
            <v/>
          </cell>
        </row>
        <row r="2589">
          <cell r="A2589">
            <v>31102192</v>
          </cell>
          <cell r="C2589">
            <v>31102192</v>
          </cell>
          <cell r="D2589">
            <v>31102192</v>
          </cell>
          <cell r="E2589">
            <v>31102192</v>
          </cell>
          <cell r="F2589">
            <v>31102192</v>
          </cell>
          <cell r="G2589">
            <v>31102192</v>
          </cell>
          <cell r="H2589">
            <v>31102192</v>
          </cell>
          <cell r="I2589" t="str">
            <v/>
          </cell>
          <cell r="J2589" t="str">
            <v/>
          </cell>
          <cell r="K2589" t="str">
            <v/>
          </cell>
          <cell r="L2589" t="str">
            <v/>
          </cell>
          <cell r="M2589" t="str">
            <v/>
          </cell>
        </row>
        <row r="2590">
          <cell r="A2590">
            <v>31102192</v>
          </cell>
          <cell r="C2590">
            <v>31102192</v>
          </cell>
          <cell r="D2590">
            <v>31102192</v>
          </cell>
          <cell r="E2590">
            <v>31102192</v>
          </cell>
          <cell r="F2590">
            <v>31102192</v>
          </cell>
          <cell r="G2590">
            <v>31102192</v>
          </cell>
          <cell r="H2590">
            <v>31102192</v>
          </cell>
          <cell r="I2590" t="str">
            <v/>
          </cell>
          <cell r="J2590" t="str">
            <v/>
          </cell>
          <cell r="K2590" t="str">
            <v/>
          </cell>
          <cell r="L2590" t="str">
            <v/>
          </cell>
          <cell r="M2590" t="str">
            <v/>
          </cell>
        </row>
        <row r="2591">
          <cell r="A2591">
            <v>31102192</v>
          </cell>
          <cell r="C2591">
            <v>31102192</v>
          </cell>
          <cell r="D2591">
            <v>31102192</v>
          </cell>
          <cell r="E2591">
            <v>31102192</v>
          </cell>
          <cell r="F2591">
            <v>31102192</v>
          </cell>
          <cell r="G2591">
            <v>31102192</v>
          </cell>
          <cell r="H2591">
            <v>31102192</v>
          </cell>
          <cell r="I2591" t="str">
            <v/>
          </cell>
          <cell r="J2591" t="str">
            <v/>
          </cell>
          <cell r="K2591" t="str">
            <v/>
          </cell>
          <cell r="L2591" t="str">
            <v/>
          </cell>
          <cell r="M2591" t="str">
            <v/>
          </cell>
        </row>
        <row r="2592">
          <cell r="A2592">
            <v>31102192</v>
          </cell>
          <cell r="C2592">
            <v>31102192</v>
          </cell>
          <cell r="D2592">
            <v>31102192</v>
          </cell>
          <cell r="E2592">
            <v>31102192</v>
          </cell>
          <cell r="F2592">
            <v>31102192</v>
          </cell>
          <cell r="G2592">
            <v>31102192</v>
          </cell>
          <cell r="H2592">
            <v>31102192</v>
          </cell>
          <cell r="I2592" t="str">
            <v/>
          </cell>
          <cell r="J2592" t="str">
            <v/>
          </cell>
          <cell r="K2592" t="str">
            <v/>
          </cell>
          <cell r="L2592" t="str">
            <v/>
          </cell>
          <cell r="M2592" t="str">
            <v/>
          </cell>
        </row>
        <row r="2593">
          <cell r="A2593">
            <v>31102192</v>
          </cell>
          <cell r="C2593">
            <v>31102192</v>
          </cell>
          <cell r="D2593">
            <v>31102192</v>
          </cell>
          <cell r="E2593">
            <v>31102192</v>
          </cell>
          <cell r="F2593">
            <v>31102192</v>
          </cell>
          <cell r="G2593">
            <v>31102192</v>
          </cell>
          <cell r="H2593">
            <v>31102192</v>
          </cell>
          <cell r="I2593" t="str">
            <v/>
          </cell>
          <cell r="J2593" t="str">
            <v/>
          </cell>
          <cell r="K2593" t="str">
            <v/>
          </cell>
          <cell r="L2593" t="str">
            <v/>
          </cell>
          <cell r="M2593" t="str">
            <v/>
          </cell>
        </row>
        <row r="2594">
          <cell r="A2594">
            <v>31102192</v>
          </cell>
          <cell r="C2594">
            <v>31102192</v>
          </cell>
          <cell r="D2594">
            <v>31102192</v>
          </cell>
          <cell r="E2594">
            <v>31102192</v>
          </cell>
          <cell r="F2594">
            <v>31102192</v>
          </cell>
          <cell r="G2594">
            <v>31102192</v>
          </cell>
          <cell r="H2594">
            <v>31102192</v>
          </cell>
          <cell r="I2594" t="str">
            <v/>
          </cell>
          <cell r="J2594" t="str">
            <v/>
          </cell>
          <cell r="K2594" t="str">
            <v/>
          </cell>
          <cell r="L2594" t="str">
            <v/>
          </cell>
          <cell r="M2594" t="str">
            <v/>
          </cell>
        </row>
        <row r="2595">
          <cell r="A2595">
            <v>31102192</v>
          </cell>
          <cell r="C2595">
            <v>31102192</v>
          </cell>
          <cell r="D2595">
            <v>31102192</v>
          </cell>
          <cell r="E2595">
            <v>31102192</v>
          </cell>
          <cell r="F2595">
            <v>31102192</v>
          </cell>
          <cell r="G2595">
            <v>31102192</v>
          </cell>
          <cell r="H2595">
            <v>31102192</v>
          </cell>
          <cell r="I2595" t="str">
            <v/>
          </cell>
          <cell r="J2595" t="str">
            <v/>
          </cell>
          <cell r="K2595" t="str">
            <v/>
          </cell>
          <cell r="L2595" t="str">
            <v/>
          </cell>
          <cell r="M2595" t="str">
            <v/>
          </cell>
        </row>
        <row r="2596">
          <cell r="A2596">
            <v>31102192</v>
          </cell>
          <cell r="C2596">
            <v>31102192</v>
          </cell>
          <cell r="D2596">
            <v>31102192</v>
          </cell>
          <cell r="E2596">
            <v>31102192</v>
          </cell>
          <cell r="F2596">
            <v>31102192</v>
          </cell>
          <cell r="G2596">
            <v>31102192</v>
          </cell>
          <cell r="H2596">
            <v>31102192</v>
          </cell>
          <cell r="I2596" t="str">
            <v/>
          </cell>
          <cell r="J2596" t="str">
            <v/>
          </cell>
          <cell r="K2596" t="str">
            <v/>
          </cell>
          <cell r="L2596" t="str">
            <v/>
          </cell>
          <cell r="M2596" t="str">
            <v/>
          </cell>
        </row>
        <row r="2597">
          <cell r="A2597">
            <v>31102192</v>
          </cell>
          <cell r="C2597">
            <v>31102192</v>
          </cell>
          <cell r="D2597">
            <v>31102192</v>
          </cell>
          <cell r="E2597">
            <v>31102192</v>
          </cell>
          <cell r="F2597">
            <v>31102192</v>
          </cell>
          <cell r="G2597">
            <v>31102192</v>
          </cell>
          <cell r="H2597">
            <v>31102192</v>
          </cell>
          <cell r="I2597" t="str">
            <v/>
          </cell>
          <cell r="J2597" t="str">
            <v/>
          </cell>
          <cell r="K2597" t="str">
            <v/>
          </cell>
          <cell r="L2597" t="str">
            <v/>
          </cell>
          <cell r="M2597" t="str">
            <v/>
          </cell>
        </row>
        <row r="2598">
          <cell r="A2598">
            <v>31102192</v>
          </cell>
          <cell r="C2598">
            <v>31102192</v>
          </cell>
          <cell r="D2598">
            <v>31102192</v>
          </cell>
          <cell r="E2598">
            <v>31102192</v>
          </cell>
          <cell r="F2598">
            <v>31102192</v>
          </cell>
          <cell r="G2598">
            <v>31102192</v>
          </cell>
          <cell r="H2598">
            <v>31102192</v>
          </cell>
          <cell r="I2598" t="str">
            <v/>
          </cell>
          <cell r="J2598" t="str">
            <v/>
          </cell>
          <cell r="K2598" t="str">
            <v/>
          </cell>
          <cell r="L2598" t="str">
            <v/>
          </cell>
          <cell r="M2598" t="str">
            <v/>
          </cell>
        </row>
        <row r="2599">
          <cell r="A2599">
            <v>31102192</v>
          </cell>
          <cell r="C2599">
            <v>31102192</v>
          </cell>
          <cell r="D2599">
            <v>31102192</v>
          </cell>
          <cell r="E2599">
            <v>31102192</v>
          </cell>
          <cell r="F2599">
            <v>31102192</v>
          </cell>
          <cell r="G2599">
            <v>31102192</v>
          </cell>
          <cell r="H2599">
            <v>31102192</v>
          </cell>
          <cell r="I2599" t="str">
            <v/>
          </cell>
          <cell r="J2599" t="str">
            <v/>
          </cell>
          <cell r="K2599" t="str">
            <v/>
          </cell>
          <cell r="L2599" t="str">
            <v/>
          </cell>
          <cell r="M2599" t="str">
            <v/>
          </cell>
        </row>
        <row r="2600">
          <cell r="A2600">
            <v>31102192</v>
          </cell>
          <cell r="C2600">
            <v>31102192</v>
          </cell>
          <cell r="D2600">
            <v>31102192</v>
          </cell>
          <cell r="E2600">
            <v>31102192</v>
          </cell>
          <cell r="F2600">
            <v>31102192</v>
          </cell>
          <cell r="G2600">
            <v>31102192</v>
          </cell>
          <cell r="H2600">
            <v>31102192</v>
          </cell>
          <cell r="I2600" t="str">
            <v/>
          </cell>
          <cell r="J2600" t="str">
            <v/>
          </cell>
          <cell r="K2600" t="str">
            <v/>
          </cell>
          <cell r="L2600" t="str">
            <v/>
          </cell>
          <cell r="M2600" t="str">
            <v/>
          </cell>
        </row>
        <row r="2601">
          <cell r="A2601">
            <v>31102192</v>
          </cell>
          <cell r="C2601">
            <v>31102192</v>
          </cell>
          <cell r="D2601">
            <v>31102192</v>
          </cell>
          <cell r="E2601">
            <v>31102192</v>
          </cell>
          <cell r="F2601">
            <v>31102192</v>
          </cell>
          <cell r="G2601">
            <v>31102192</v>
          </cell>
          <cell r="H2601">
            <v>31102192</v>
          </cell>
          <cell r="I2601" t="str">
            <v/>
          </cell>
          <cell r="J2601" t="str">
            <v/>
          </cell>
          <cell r="K2601" t="str">
            <v/>
          </cell>
          <cell r="L2601" t="str">
            <v/>
          </cell>
          <cell r="M2601" t="str">
            <v/>
          </cell>
        </row>
        <row r="2602">
          <cell r="A2602">
            <v>31102192</v>
          </cell>
          <cell r="C2602">
            <v>31102192</v>
          </cell>
          <cell r="D2602">
            <v>31102192</v>
          </cell>
          <cell r="E2602">
            <v>31102192</v>
          </cell>
          <cell r="F2602">
            <v>31102192</v>
          </cell>
          <cell r="G2602">
            <v>31102192</v>
          </cell>
          <cell r="H2602">
            <v>31102192</v>
          </cell>
          <cell r="I2602" t="str">
            <v/>
          </cell>
          <cell r="J2602" t="str">
            <v/>
          </cell>
          <cell r="K2602" t="str">
            <v/>
          </cell>
          <cell r="L2602" t="str">
            <v/>
          </cell>
          <cell r="M2602" t="str">
            <v/>
          </cell>
        </row>
        <row r="2603">
          <cell r="A2603">
            <v>31102192</v>
          </cell>
          <cell r="C2603">
            <v>31102192</v>
          </cell>
          <cell r="D2603">
            <v>31102192</v>
          </cell>
          <cell r="E2603">
            <v>31102192</v>
          </cell>
          <cell r="F2603">
            <v>31102192</v>
          </cell>
          <cell r="G2603">
            <v>31102192</v>
          </cell>
          <cell r="H2603">
            <v>31102192</v>
          </cell>
          <cell r="I2603" t="str">
            <v/>
          </cell>
          <cell r="J2603" t="str">
            <v/>
          </cell>
          <cell r="K2603" t="str">
            <v/>
          </cell>
          <cell r="L2603" t="str">
            <v/>
          </cell>
          <cell r="M2603" t="str">
            <v/>
          </cell>
        </row>
        <row r="2604">
          <cell r="A2604">
            <v>31102192</v>
          </cell>
          <cell r="C2604">
            <v>31102192</v>
          </cell>
          <cell r="D2604">
            <v>31102192</v>
          </cell>
          <cell r="E2604">
            <v>31102192</v>
          </cell>
          <cell r="F2604">
            <v>31102192</v>
          </cell>
          <cell r="G2604">
            <v>31102192</v>
          </cell>
          <cell r="H2604">
            <v>31102192</v>
          </cell>
          <cell r="I2604" t="str">
            <v/>
          </cell>
          <cell r="J2604" t="str">
            <v/>
          </cell>
          <cell r="K2604" t="str">
            <v/>
          </cell>
          <cell r="L2604" t="str">
            <v/>
          </cell>
          <cell r="M2604" t="str">
            <v/>
          </cell>
        </row>
        <row r="2605">
          <cell r="A2605">
            <v>31102192</v>
          </cell>
          <cell r="C2605">
            <v>31102192</v>
          </cell>
          <cell r="D2605">
            <v>31102192</v>
          </cell>
          <cell r="E2605">
            <v>31102192</v>
          </cell>
          <cell r="F2605">
            <v>31102192</v>
          </cell>
          <cell r="G2605">
            <v>31102192</v>
          </cell>
          <cell r="H2605">
            <v>31102192</v>
          </cell>
          <cell r="I2605" t="str">
            <v/>
          </cell>
          <cell r="J2605" t="str">
            <v/>
          </cell>
          <cell r="K2605" t="str">
            <v/>
          </cell>
          <cell r="L2605" t="str">
            <v/>
          </cell>
          <cell r="M2605" t="str">
            <v/>
          </cell>
        </row>
        <row r="2606">
          <cell r="A2606">
            <v>31102192</v>
          </cell>
          <cell r="C2606">
            <v>31102192</v>
          </cell>
          <cell r="D2606">
            <v>31102192</v>
          </cell>
          <cell r="E2606">
            <v>31102192</v>
          </cell>
          <cell r="F2606">
            <v>31102192</v>
          </cell>
          <cell r="G2606">
            <v>31102192</v>
          </cell>
          <cell r="H2606">
            <v>31102192</v>
          </cell>
          <cell r="I2606" t="str">
            <v/>
          </cell>
          <cell r="J2606" t="str">
            <v/>
          </cell>
          <cell r="K2606" t="str">
            <v/>
          </cell>
          <cell r="L2606" t="str">
            <v/>
          </cell>
          <cell r="M2606" t="str">
            <v/>
          </cell>
        </row>
        <row r="2607">
          <cell r="A2607">
            <v>31102192</v>
          </cell>
          <cell r="C2607">
            <v>31102192</v>
          </cell>
          <cell r="D2607">
            <v>31102192</v>
          </cell>
          <cell r="E2607">
            <v>31102192</v>
          </cell>
          <cell r="F2607">
            <v>31102192</v>
          </cell>
          <cell r="G2607">
            <v>31102192</v>
          </cell>
          <cell r="H2607">
            <v>31102192</v>
          </cell>
          <cell r="I2607" t="str">
            <v/>
          </cell>
          <cell r="J2607" t="str">
            <v/>
          </cell>
          <cell r="K2607" t="str">
            <v/>
          </cell>
          <cell r="L2607" t="str">
            <v/>
          </cell>
          <cell r="M2607" t="str">
            <v/>
          </cell>
        </row>
        <row r="2608">
          <cell r="A2608">
            <v>31102192</v>
          </cell>
          <cell r="C2608">
            <v>31102192</v>
          </cell>
          <cell r="D2608">
            <v>31102192</v>
          </cell>
          <cell r="E2608">
            <v>31102192</v>
          </cell>
          <cell r="F2608">
            <v>31102192</v>
          </cell>
          <cell r="G2608">
            <v>31102192</v>
          </cell>
          <cell r="H2608">
            <v>31102192</v>
          </cell>
          <cell r="I2608" t="str">
            <v/>
          </cell>
          <cell r="J2608" t="str">
            <v/>
          </cell>
          <cell r="K2608" t="str">
            <v/>
          </cell>
          <cell r="L2608" t="str">
            <v/>
          </cell>
          <cell r="M2608" t="str">
            <v/>
          </cell>
        </row>
        <row r="2609">
          <cell r="A2609">
            <v>31102192</v>
          </cell>
          <cell r="C2609">
            <v>31102192</v>
          </cell>
          <cell r="D2609">
            <v>31102192</v>
          </cell>
          <cell r="E2609">
            <v>31102192</v>
          </cell>
          <cell r="F2609">
            <v>31102192</v>
          </cell>
          <cell r="G2609">
            <v>31102192</v>
          </cell>
          <cell r="H2609">
            <v>31102192</v>
          </cell>
          <cell r="I2609" t="str">
            <v/>
          </cell>
          <cell r="J2609" t="str">
            <v/>
          </cell>
          <cell r="K2609" t="str">
            <v/>
          </cell>
          <cell r="L2609" t="str">
            <v/>
          </cell>
          <cell r="M2609" t="str">
            <v/>
          </cell>
        </row>
        <row r="2610">
          <cell r="A2610">
            <v>31102192</v>
          </cell>
          <cell r="C2610">
            <v>31102192</v>
          </cell>
          <cell r="D2610">
            <v>31102192</v>
          </cell>
          <cell r="E2610">
            <v>31102192</v>
          </cell>
          <cell r="F2610">
            <v>31102192</v>
          </cell>
          <cell r="G2610">
            <v>31102192</v>
          </cell>
          <cell r="H2610">
            <v>31102192</v>
          </cell>
          <cell r="I2610" t="str">
            <v/>
          </cell>
          <cell r="J2610" t="str">
            <v/>
          </cell>
          <cell r="K2610" t="str">
            <v/>
          </cell>
          <cell r="L2610" t="str">
            <v/>
          </cell>
          <cell r="M2610" t="str">
            <v/>
          </cell>
        </row>
        <row r="2611">
          <cell r="A2611">
            <v>31102192</v>
          </cell>
          <cell r="C2611">
            <v>31102192</v>
          </cell>
          <cell r="D2611">
            <v>31102192</v>
          </cell>
          <cell r="E2611">
            <v>31102192</v>
          </cell>
          <cell r="F2611">
            <v>31102192</v>
          </cell>
          <cell r="G2611">
            <v>31102192</v>
          </cell>
          <cell r="H2611">
            <v>31102192</v>
          </cell>
          <cell r="I2611" t="str">
            <v/>
          </cell>
          <cell r="J2611" t="str">
            <v/>
          </cell>
          <cell r="K2611" t="str">
            <v/>
          </cell>
          <cell r="L2611" t="str">
            <v/>
          </cell>
          <cell r="M2611" t="str">
            <v/>
          </cell>
        </row>
        <row r="2612">
          <cell r="A2612">
            <v>31102192</v>
          </cell>
          <cell r="C2612">
            <v>31102192</v>
          </cell>
          <cell r="D2612">
            <v>31102192</v>
          </cell>
          <cell r="E2612">
            <v>31102192</v>
          </cell>
          <cell r="F2612">
            <v>31102192</v>
          </cell>
          <cell r="G2612">
            <v>31102192</v>
          </cell>
          <cell r="H2612">
            <v>31102192</v>
          </cell>
          <cell r="I2612" t="str">
            <v/>
          </cell>
          <cell r="J2612" t="str">
            <v/>
          </cell>
          <cell r="K2612" t="str">
            <v/>
          </cell>
          <cell r="L2612" t="str">
            <v/>
          </cell>
          <cell r="M2612" t="str">
            <v/>
          </cell>
        </row>
        <row r="2613">
          <cell r="A2613">
            <v>31102192</v>
          </cell>
          <cell r="C2613">
            <v>31102192</v>
          </cell>
          <cell r="D2613">
            <v>31102192</v>
          </cell>
          <cell r="E2613">
            <v>31102192</v>
          </cell>
          <cell r="F2613">
            <v>31102192</v>
          </cell>
          <cell r="G2613">
            <v>31102192</v>
          </cell>
          <cell r="H2613">
            <v>31102192</v>
          </cell>
          <cell r="I2613" t="str">
            <v/>
          </cell>
          <cell r="J2613" t="str">
            <v/>
          </cell>
          <cell r="K2613" t="str">
            <v/>
          </cell>
          <cell r="L2613" t="str">
            <v/>
          </cell>
          <cell r="M2613" t="str">
            <v/>
          </cell>
        </row>
        <row r="2614">
          <cell r="A2614">
            <v>31102192</v>
          </cell>
          <cell r="C2614">
            <v>31102192</v>
          </cell>
          <cell r="D2614">
            <v>31102192</v>
          </cell>
          <cell r="E2614">
            <v>31102192</v>
          </cell>
          <cell r="F2614">
            <v>31102192</v>
          </cell>
          <cell r="G2614">
            <v>31102192</v>
          </cell>
          <cell r="H2614">
            <v>31102192</v>
          </cell>
          <cell r="I2614" t="str">
            <v/>
          </cell>
          <cell r="J2614" t="str">
            <v/>
          </cell>
          <cell r="K2614" t="str">
            <v/>
          </cell>
          <cell r="L2614" t="str">
            <v/>
          </cell>
          <cell r="M2614" t="str">
            <v/>
          </cell>
        </row>
        <row r="2615">
          <cell r="A2615">
            <v>31102192</v>
          </cell>
          <cell r="C2615">
            <v>31102192</v>
          </cell>
          <cell r="D2615">
            <v>31102192</v>
          </cell>
          <cell r="E2615">
            <v>31102192</v>
          </cell>
          <cell r="F2615">
            <v>31102192</v>
          </cell>
          <cell r="G2615">
            <v>31102192</v>
          </cell>
          <cell r="H2615">
            <v>31102192</v>
          </cell>
          <cell r="I2615" t="str">
            <v/>
          </cell>
          <cell r="J2615" t="str">
            <v/>
          </cell>
          <cell r="K2615" t="str">
            <v/>
          </cell>
          <cell r="L2615" t="str">
            <v/>
          </cell>
          <cell r="M2615" t="str">
            <v/>
          </cell>
        </row>
        <row r="2616">
          <cell r="A2616">
            <v>31102192</v>
          </cell>
          <cell r="C2616">
            <v>31102192</v>
          </cell>
          <cell r="D2616">
            <v>31102192</v>
          </cell>
          <cell r="E2616">
            <v>31102192</v>
          </cell>
          <cell r="F2616">
            <v>31102192</v>
          </cell>
          <cell r="G2616">
            <v>31102192</v>
          </cell>
          <cell r="H2616">
            <v>31102192</v>
          </cell>
          <cell r="I2616" t="str">
            <v/>
          </cell>
          <cell r="J2616" t="str">
            <v/>
          </cell>
          <cell r="K2616" t="str">
            <v/>
          </cell>
          <cell r="L2616" t="str">
            <v/>
          </cell>
          <cell r="M2616" t="str">
            <v/>
          </cell>
        </row>
        <row r="2617">
          <cell r="A2617">
            <v>31102192</v>
          </cell>
          <cell r="C2617">
            <v>31102192</v>
          </cell>
          <cell r="D2617">
            <v>31102192</v>
          </cell>
          <cell r="E2617">
            <v>31102192</v>
          </cell>
          <cell r="F2617">
            <v>31102192</v>
          </cell>
          <cell r="G2617">
            <v>31102192</v>
          </cell>
          <cell r="H2617">
            <v>31102192</v>
          </cell>
          <cell r="I2617" t="str">
            <v/>
          </cell>
          <cell r="J2617" t="str">
            <v/>
          </cell>
          <cell r="K2617" t="str">
            <v/>
          </cell>
          <cell r="L2617" t="str">
            <v/>
          </cell>
          <cell r="M2617" t="str">
            <v/>
          </cell>
        </row>
        <row r="2618">
          <cell r="A2618">
            <v>31102192</v>
          </cell>
          <cell r="C2618">
            <v>31102192</v>
          </cell>
          <cell r="D2618">
            <v>31102192</v>
          </cell>
          <cell r="E2618">
            <v>31102192</v>
          </cell>
          <cell r="F2618">
            <v>31102192</v>
          </cell>
          <cell r="G2618">
            <v>31102192</v>
          </cell>
          <cell r="H2618">
            <v>31102192</v>
          </cell>
          <cell r="I2618" t="str">
            <v/>
          </cell>
          <cell r="J2618" t="str">
            <v/>
          </cell>
          <cell r="K2618" t="str">
            <v/>
          </cell>
          <cell r="L2618" t="str">
            <v/>
          </cell>
          <cell r="M2618" t="str">
            <v/>
          </cell>
        </row>
        <row r="2619">
          <cell r="A2619">
            <v>31102192</v>
          </cell>
          <cell r="C2619">
            <v>31102192</v>
          </cell>
          <cell r="D2619">
            <v>31102192</v>
          </cell>
          <cell r="E2619">
            <v>31102192</v>
          </cell>
          <cell r="F2619">
            <v>31102192</v>
          </cell>
          <cell r="G2619">
            <v>31102192</v>
          </cell>
          <cell r="H2619">
            <v>31102192</v>
          </cell>
          <cell r="I2619" t="str">
            <v/>
          </cell>
          <cell r="J2619" t="str">
            <v/>
          </cell>
          <cell r="K2619" t="str">
            <v/>
          </cell>
          <cell r="L2619" t="str">
            <v/>
          </cell>
          <cell r="M2619" t="str">
            <v/>
          </cell>
        </row>
        <row r="2620">
          <cell r="A2620">
            <v>31102192</v>
          </cell>
          <cell r="C2620">
            <v>31102192</v>
          </cell>
          <cell r="D2620">
            <v>31102192</v>
          </cell>
          <cell r="E2620">
            <v>31102192</v>
          </cell>
          <cell r="F2620">
            <v>31102192</v>
          </cell>
          <cell r="G2620">
            <v>31102192</v>
          </cell>
          <cell r="H2620">
            <v>31102192</v>
          </cell>
          <cell r="I2620" t="str">
            <v/>
          </cell>
          <cell r="J2620" t="str">
            <v/>
          </cell>
          <cell r="K2620" t="str">
            <v/>
          </cell>
          <cell r="L2620" t="str">
            <v/>
          </cell>
          <cell r="M2620" t="str">
            <v/>
          </cell>
        </row>
        <row r="2621">
          <cell r="A2621">
            <v>31102192</v>
          </cell>
          <cell r="C2621">
            <v>31102192</v>
          </cell>
          <cell r="D2621">
            <v>31102192</v>
          </cell>
          <cell r="E2621">
            <v>31102192</v>
          </cell>
          <cell r="F2621">
            <v>31102192</v>
          </cell>
          <cell r="G2621">
            <v>31102192</v>
          </cell>
          <cell r="H2621">
            <v>31102192</v>
          </cell>
          <cell r="I2621" t="str">
            <v/>
          </cell>
          <cell r="J2621" t="str">
            <v/>
          </cell>
          <cell r="K2621" t="str">
            <v/>
          </cell>
          <cell r="L2621" t="str">
            <v/>
          </cell>
          <cell r="M2621" t="str">
            <v/>
          </cell>
        </row>
        <row r="2622">
          <cell r="A2622">
            <v>31102192</v>
          </cell>
          <cell r="C2622">
            <v>31102192</v>
          </cell>
          <cell r="D2622">
            <v>31102192</v>
          </cell>
          <cell r="E2622">
            <v>31102192</v>
          </cell>
          <cell r="F2622">
            <v>31102192</v>
          </cell>
          <cell r="G2622">
            <v>31102192</v>
          </cell>
          <cell r="H2622">
            <v>31102192</v>
          </cell>
          <cell r="I2622" t="str">
            <v/>
          </cell>
          <cell r="J2622" t="str">
            <v/>
          </cell>
          <cell r="K2622" t="str">
            <v/>
          </cell>
          <cell r="L2622" t="str">
            <v/>
          </cell>
          <cell r="M2622" t="str">
            <v/>
          </cell>
        </row>
        <row r="2623">
          <cell r="A2623">
            <v>31102192</v>
          </cell>
          <cell r="C2623">
            <v>31102192</v>
          </cell>
          <cell r="D2623">
            <v>31102192</v>
          </cell>
          <cell r="E2623">
            <v>31102192</v>
          </cell>
          <cell r="F2623">
            <v>31102192</v>
          </cell>
          <cell r="G2623">
            <v>31102192</v>
          </cell>
          <cell r="H2623">
            <v>31102192</v>
          </cell>
          <cell r="I2623" t="str">
            <v/>
          </cell>
          <cell r="J2623" t="str">
            <v/>
          </cell>
          <cell r="K2623" t="str">
            <v/>
          </cell>
          <cell r="L2623" t="str">
            <v/>
          </cell>
          <cell r="M2623" t="str">
            <v/>
          </cell>
        </row>
        <row r="2624">
          <cell r="A2624">
            <v>31102192</v>
          </cell>
          <cell r="C2624">
            <v>31102192</v>
          </cell>
          <cell r="D2624">
            <v>31102192</v>
          </cell>
          <cell r="E2624">
            <v>31102192</v>
          </cell>
          <cell r="F2624">
            <v>31102192</v>
          </cell>
          <cell r="G2624">
            <v>31102192</v>
          </cell>
          <cell r="H2624">
            <v>31102192</v>
          </cell>
          <cell r="I2624" t="str">
            <v/>
          </cell>
          <cell r="J2624" t="str">
            <v/>
          </cell>
          <cell r="K2624" t="str">
            <v/>
          </cell>
          <cell r="L2624" t="str">
            <v/>
          </cell>
          <cell r="M2624" t="str">
            <v/>
          </cell>
        </row>
        <row r="2625">
          <cell r="A2625">
            <v>31102192</v>
          </cell>
          <cell r="C2625">
            <v>31102192</v>
          </cell>
          <cell r="D2625">
            <v>31102192</v>
          </cell>
          <cell r="E2625">
            <v>31102192</v>
          </cell>
          <cell r="F2625">
            <v>31102192</v>
          </cell>
          <cell r="G2625">
            <v>31102192</v>
          </cell>
          <cell r="H2625">
            <v>31102192</v>
          </cell>
          <cell r="I2625" t="str">
            <v/>
          </cell>
          <cell r="J2625" t="str">
            <v/>
          </cell>
          <cell r="K2625" t="str">
            <v/>
          </cell>
          <cell r="L2625" t="str">
            <v/>
          </cell>
          <cell r="M2625" t="str">
            <v/>
          </cell>
        </row>
        <row r="2626">
          <cell r="A2626">
            <v>31102192</v>
          </cell>
          <cell r="C2626">
            <v>31102192</v>
          </cell>
          <cell r="D2626">
            <v>31102192</v>
          </cell>
          <cell r="E2626">
            <v>31102192</v>
          </cell>
          <cell r="F2626">
            <v>31102192</v>
          </cell>
          <cell r="G2626">
            <v>31102192</v>
          </cell>
          <cell r="H2626">
            <v>31102192</v>
          </cell>
          <cell r="I2626" t="str">
            <v/>
          </cell>
          <cell r="J2626" t="str">
            <v/>
          </cell>
          <cell r="K2626" t="str">
            <v/>
          </cell>
          <cell r="L2626" t="str">
            <v/>
          </cell>
          <cell r="M2626" t="str">
            <v/>
          </cell>
        </row>
        <row r="2627">
          <cell r="A2627">
            <v>31102192</v>
          </cell>
          <cell r="C2627">
            <v>31102192</v>
          </cell>
          <cell r="D2627">
            <v>31102192</v>
          </cell>
          <cell r="E2627">
            <v>31102192</v>
          </cell>
          <cell r="F2627">
            <v>31102192</v>
          </cell>
          <cell r="G2627">
            <v>31102192</v>
          </cell>
          <cell r="H2627">
            <v>31102192</v>
          </cell>
          <cell r="I2627" t="str">
            <v/>
          </cell>
          <cell r="J2627" t="str">
            <v/>
          </cell>
          <cell r="K2627" t="str">
            <v/>
          </cell>
          <cell r="L2627" t="str">
            <v/>
          </cell>
          <cell r="M2627" t="str">
            <v/>
          </cell>
        </row>
        <row r="2628">
          <cell r="A2628">
            <v>31102192</v>
          </cell>
          <cell r="C2628">
            <v>31102192</v>
          </cell>
          <cell r="D2628">
            <v>31102192</v>
          </cell>
          <cell r="E2628">
            <v>31102192</v>
          </cell>
          <cell r="F2628">
            <v>31102192</v>
          </cell>
          <cell r="G2628">
            <v>31102192</v>
          </cell>
          <cell r="H2628">
            <v>31102192</v>
          </cell>
          <cell r="I2628" t="str">
            <v/>
          </cell>
          <cell r="J2628" t="str">
            <v/>
          </cell>
          <cell r="K2628" t="str">
            <v/>
          </cell>
          <cell r="L2628" t="str">
            <v/>
          </cell>
          <cell r="M2628" t="str">
            <v/>
          </cell>
        </row>
        <row r="2629">
          <cell r="A2629">
            <v>31102192</v>
          </cell>
          <cell r="C2629">
            <v>31102192</v>
          </cell>
          <cell r="D2629">
            <v>31102192</v>
          </cell>
          <cell r="E2629">
            <v>31102192</v>
          </cell>
          <cell r="F2629">
            <v>31102192</v>
          </cell>
          <cell r="G2629">
            <v>31102192</v>
          </cell>
          <cell r="H2629">
            <v>31102192</v>
          </cell>
          <cell r="I2629" t="str">
            <v/>
          </cell>
          <cell r="J2629" t="str">
            <v/>
          </cell>
          <cell r="K2629" t="str">
            <v/>
          </cell>
          <cell r="L2629" t="str">
            <v/>
          </cell>
          <cell r="M2629" t="str">
            <v/>
          </cell>
        </row>
        <row r="2630">
          <cell r="A2630">
            <v>31102192</v>
          </cell>
          <cell r="C2630">
            <v>31102192</v>
          </cell>
          <cell r="D2630">
            <v>31102192</v>
          </cell>
          <cell r="E2630">
            <v>31102192</v>
          </cell>
          <cell r="F2630">
            <v>31102192</v>
          </cell>
          <cell r="G2630">
            <v>31102192</v>
          </cell>
          <cell r="H2630">
            <v>31102192</v>
          </cell>
          <cell r="I2630" t="str">
            <v/>
          </cell>
          <cell r="J2630" t="str">
            <v/>
          </cell>
          <cell r="K2630" t="str">
            <v/>
          </cell>
          <cell r="L2630" t="str">
            <v/>
          </cell>
          <cell r="M2630" t="str">
            <v/>
          </cell>
        </row>
        <row r="2631">
          <cell r="A2631">
            <v>31102192</v>
          </cell>
          <cell r="C2631">
            <v>31102192</v>
          </cell>
          <cell r="D2631">
            <v>31102192</v>
          </cell>
          <cell r="E2631">
            <v>31102192</v>
          </cell>
          <cell r="F2631">
            <v>31102192</v>
          </cell>
          <cell r="G2631">
            <v>31102192</v>
          </cell>
          <cell r="H2631">
            <v>31102192</v>
          </cell>
          <cell r="I2631" t="str">
            <v/>
          </cell>
          <cell r="J2631" t="str">
            <v/>
          </cell>
          <cell r="K2631" t="str">
            <v/>
          </cell>
          <cell r="L2631" t="str">
            <v/>
          </cell>
          <cell r="M2631" t="str">
            <v/>
          </cell>
        </row>
        <row r="2632">
          <cell r="A2632">
            <v>31102192</v>
          </cell>
          <cell r="C2632">
            <v>31102192</v>
          </cell>
          <cell r="D2632">
            <v>31102192</v>
          </cell>
          <cell r="E2632">
            <v>31102192</v>
          </cell>
          <cell r="F2632">
            <v>31102192</v>
          </cell>
          <cell r="G2632">
            <v>31102192</v>
          </cell>
          <cell r="H2632">
            <v>31102192</v>
          </cell>
          <cell r="I2632" t="str">
            <v/>
          </cell>
          <cell r="J2632" t="str">
            <v/>
          </cell>
          <cell r="K2632" t="str">
            <v/>
          </cell>
          <cell r="L2632" t="str">
            <v/>
          </cell>
          <cell r="M2632" t="str">
            <v/>
          </cell>
        </row>
        <row r="2633">
          <cell r="A2633">
            <v>31102192</v>
          </cell>
          <cell r="C2633">
            <v>31102192</v>
          </cell>
          <cell r="D2633">
            <v>31102192</v>
          </cell>
          <cell r="E2633">
            <v>31102192</v>
          </cell>
          <cell r="F2633">
            <v>31102192</v>
          </cell>
          <cell r="G2633">
            <v>31102192</v>
          </cell>
          <cell r="H2633">
            <v>31102192</v>
          </cell>
          <cell r="I2633" t="str">
            <v/>
          </cell>
          <cell r="J2633" t="str">
            <v/>
          </cell>
          <cell r="K2633" t="str">
            <v/>
          </cell>
          <cell r="L2633" t="str">
            <v/>
          </cell>
          <cell r="M2633" t="str">
            <v/>
          </cell>
        </row>
        <row r="2634">
          <cell r="A2634">
            <v>31102192</v>
          </cell>
          <cell r="C2634">
            <v>31102192</v>
          </cell>
          <cell r="D2634">
            <v>31102192</v>
          </cell>
          <cell r="E2634">
            <v>31102192</v>
          </cell>
          <cell r="F2634">
            <v>31102192</v>
          </cell>
          <cell r="G2634">
            <v>31102192</v>
          </cell>
          <cell r="H2634">
            <v>31102192</v>
          </cell>
          <cell r="I2634" t="str">
            <v/>
          </cell>
          <cell r="J2634" t="str">
            <v/>
          </cell>
          <cell r="K2634" t="str">
            <v/>
          </cell>
          <cell r="L2634" t="str">
            <v/>
          </cell>
          <cell r="M2634" t="str">
            <v/>
          </cell>
        </row>
        <row r="2635">
          <cell r="A2635">
            <v>31102192</v>
          </cell>
          <cell r="C2635">
            <v>31102192</v>
          </cell>
          <cell r="D2635">
            <v>31102192</v>
          </cell>
          <cell r="E2635">
            <v>31102192</v>
          </cell>
          <cell r="F2635">
            <v>31102192</v>
          </cell>
          <cell r="G2635">
            <v>31102192</v>
          </cell>
          <cell r="H2635">
            <v>31102192</v>
          </cell>
          <cell r="I2635" t="str">
            <v/>
          </cell>
          <cell r="J2635" t="str">
            <v/>
          </cell>
          <cell r="K2635" t="str">
            <v/>
          </cell>
          <cell r="L2635" t="str">
            <v/>
          </cell>
          <cell r="M2635" t="str">
            <v/>
          </cell>
        </row>
        <row r="2636">
          <cell r="A2636">
            <v>31102192</v>
          </cell>
          <cell r="C2636">
            <v>31102192</v>
          </cell>
          <cell r="D2636">
            <v>31102192</v>
          </cell>
          <cell r="E2636">
            <v>31102192</v>
          </cell>
          <cell r="F2636">
            <v>31102192</v>
          </cell>
          <cell r="G2636">
            <v>31102192</v>
          </cell>
          <cell r="H2636">
            <v>31102192</v>
          </cell>
          <cell r="I2636" t="str">
            <v/>
          </cell>
          <cell r="J2636" t="str">
            <v/>
          </cell>
          <cell r="K2636" t="str">
            <v/>
          </cell>
          <cell r="L2636" t="str">
            <v/>
          </cell>
          <cell r="M2636" t="str">
            <v/>
          </cell>
        </row>
        <row r="2637">
          <cell r="A2637">
            <v>31102192</v>
          </cell>
          <cell r="C2637">
            <v>31102192</v>
          </cell>
          <cell r="D2637">
            <v>31102192</v>
          </cell>
          <cell r="E2637">
            <v>31102192</v>
          </cell>
          <cell r="F2637">
            <v>31102192</v>
          </cell>
          <cell r="G2637">
            <v>31102192</v>
          </cell>
          <cell r="H2637">
            <v>31102192</v>
          </cell>
          <cell r="I2637" t="str">
            <v/>
          </cell>
          <cell r="J2637" t="str">
            <v/>
          </cell>
          <cell r="K2637" t="str">
            <v/>
          </cell>
          <cell r="L2637" t="str">
            <v/>
          </cell>
          <cell r="M2637" t="str">
            <v/>
          </cell>
        </row>
        <row r="2638">
          <cell r="A2638">
            <v>31102192</v>
          </cell>
          <cell r="C2638">
            <v>31102192</v>
          </cell>
          <cell r="D2638">
            <v>31102192</v>
          </cell>
          <cell r="E2638">
            <v>31102192</v>
          </cell>
          <cell r="F2638">
            <v>31102192</v>
          </cell>
          <cell r="G2638">
            <v>31102192</v>
          </cell>
          <cell r="H2638">
            <v>31102192</v>
          </cell>
          <cell r="I2638" t="str">
            <v/>
          </cell>
          <cell r="J2638" t="str">
            <v/>
          </cell>
          <cell r="K2638" t="str">
            <v/>
          </cell>
          <cell r="L2638" t="str">
            <v/>
          </cell>
          <cell r="M2638" t="str">
            <v/>
          </cell>
        </row>
        <row r="2639">
          <cell r="A2639">
            <v>31102192</v>
          </cell>
          <cell r="C2639">
            <v>31102192</v>
          </cell>
          <cell r="D2639">
            <v>31102192</v>
          </cell>
          <cell r="E2639">
            <v>31102192</v>
          </cell>
          <cell r="F2639">
            <v>31102192</v>
          </cell>
          <cell r="G2639">
            <v>31102192</v>
          </cell>
          <cell r="H2639">
            <v>31102192</v>
          </cell>
          <cell r="I2639" t="str">
            <v/>
          </cell>
          <cell r="J2639" t="str">
            <v/>
          </cell>
          <cell r="K2639" t="str">
            <v/>
          </cell>
          <cell r="L2639" t="str">
            <v/>
          </cell>
          <cell r="M2639" t="str">
            <v/>
          </cell>
        </row>
        <row r="2640">
          <cell r="A2640">
            <v>31102192</v>
          </cell>
          <cell r="C2640">
            <v>31102192</v>
          </cell>
          <cell r="D2640">
            <v>31102192</v>
          </cell>
          <cell r="E2640">
            <v>31102192</v>
          </cell>
          <cell r="F2640">
            <v>31102192</v>
          </cell>
          <cell r="G2640">
            <v>31102192</v>
          </cell>
          <cell r="H2640">
            <v>31102192</v>
          </cell>
          <cell r="I2640" t="str">
            <v/>
          </cell>
          <cell r="J2640" t="str">
            <v/>
          </cell>
          <cell r="K2640" t="str">
            <v/>
          </cell>
          <cell r="L2640" t="str">
            <v/>
          </cell>
          <cell r="M2640" t="str">
            <v/>
          </cell>
        </row>
        <row r="2641">
          <cell r="A2641">
            <v>31102192</v>
          </cell>
          <cell r="C2641">
            <v>31102192</v>
          </cell>
          <cell r="D2641">
            <v>31102192</v>
          </cell>
          <cell r="E2641">
            <v>31102192</v>
          </cell>
          <cell r="F2641">
            <v>31102192</v>
          </cell>
          <cell r="G2641">
            <v>31102192</v>
          </cell>
          <cell r="H2641">
            <v>31102192</v>
          </cell>
          <cell r="I2641" t="str">
            <v/>
          </cell>
          <cell r="J2641" t="str">
            <v/>
          </cell>
          <cell r="K2641" t="str">
            <v/>
          </cell>
          <cell r="L2641" t="str">
            <v/>
          </cell>
          <cell r="M2641" t="str">
            <v/>
          </cell>
        </row>
        <row r="2642">
          <cell r="A2642">
            <v>31102192</v>
          </cell>
          <cell r="C2642">
            <v>31102192</v>
          </cell>
          <cell r="D2642">
            <v>31102192</v>
          </cell>
          <cell r="E2642">
            <v>31102192</v>
          </cell>
          <cell r="F2642">
            <v>31102192</v>
          </cell>
          <cell r="G2642">
            <v>31102192</v>
          </cell>
          <cell r="H2642">
            <v>31102192</v>
          </cell>
          <cell r="I2642" t="str">
            <v/>
          </cell>
          <cell r="J2642" t="str">
            <v/>
          </cell>
          <cell r="K2642" t="str">
            <v/>
          </cell>
          <cell r="L2642" t="str">
            <v/>
          </cell>
          <cell r="M2642" t="str">
            <v/>
          </cell>
        </row>
        <row r="2643">
          <cell r="A2643">
            <v>31102192</v>
          </cell>
          <cell r="C2643">
            <v>31102192</v>
          </cell>
          <cell r="D2643">
            <v>31102192</v>
          </cell>
          <cell r="E2643">
            <v>31102192</v>
          </cell>
          <cell r="F2643">
            <v>31102192</v>
          </cell>
          <cell r="G2643">
            <v>31102192</v>
          </cell>
          <cell r="H2643">
            <v>31102192</v>
          </cell>
          <cell r="I2643" t="str">
            <v/>
          </cell>
          <cell r="J2643" t="str">
            <v/>
          </cell>
          <cell r="K2643" t="str">
            <v/>
          </cell>
          <cell r="L2643" t="str">
            <v/>
          </cell>
          <cell r="M2643" t="str">
            <v/>
          </cell>
        </row>
        <row r="2644">
          <cell r="A2644">
            <v>31102192</v>
          </cell>
          <cell r="C2644">
            <v>31102192</v>
          </cell>
          <cell r="D2644">
            <v>31102192</v>
          </cell>
          <cell r="E2644">
            <v>31102192</v>
          </cell>
          <cell r="F2644">
            <v>31102192</v>
          </cell>
          <cell r="G2644">
            <v>31102192</v>
          </cell>
          <cell r="H2644">
            <v>31102192</v>
          </cell>
          <cell r="I2644" t="str">
            <v/>
          </cell>
          <cell r="J2644" t="str">
            <v/>
          </cell>
          <cell r="K2644" t="str">
            <v/>
          </cell>
          <cell r="L2644" t="str">
            <v/>
          </cell>
          <cell r="M2644" t="str">
            <v/>
          </cell>
        </row>
        <row r="2645">
          <cell r="A2645">
            <v>31102192</v>
          </cell>
          <cell r="C2645">
            <v>31102192</v>
          </cell>
          <cell r="D2645">
            <v>31102192</v>
          </cell>
          <cell r="E2645">
            <v>31102192</v>
          </cell>
          <cell r="F2645">
            <v>31102192</v>
          </cell>
          <cell r="G2645">
            <v>31102192</v>
          </cell>
          <cell r="H2645">
            <v>31102192</v>
          </cell>
          <cell r="I2645" t="str">
            <v/>
          </cell>
          <cell r="J2645" t="str">
            <v/>
          </cell>
          <cell r="K2645" t="str">
            <v/>
          </cell>
          <cell r="L2645" t="str">
            <v/>
          </cell>
          <cell r="M2645" t="str">
            <v/>
          </cell>
        </row>
        <row r="2646">
          <cell r="A2646">
            <v>31102192</v>
          </cell>
          <cell r="C2646">
            <v>31102192</v>
          </cell>
          <cell r="D2646">
            <v>31102192</v>
          </cell>
          <cell r="E2646">
            <v>31102192</v>
          </cell>
          <cell r="F2646">
            <v>31102192</v>
          </cell>
          <cell r="G2646">
            <v>31102192</v>
          </cell>
          <cell r="H2646">
            <v>31102192</v>
          </cell>
          <cell r="I2646" t="str">
            <v/>
          </cell>
          <cell r="J2646" t="str">
            <v/>
          </cell>
          <cell r="K2646" t="str">
            <v/>
          </cell>
          <cell r="L2646" t="str">
            <v/>
          </cell>
          <cell r="M2646" t="str">
            <v/>
          </cell>
        </row>
        <row r="2647">
          <cell r="A2647">
            <v>31102192</v>
          </cell>
          <cell r="C2647">
            <v>31102192</v>
          </cell>
          <cell r="D2647">
            <v>31102192</v>
          </cell>
          <cell r="E2647">
            <v>31102192</v>
          </cell>
          <cell r="F2647">
            <v>31102192</v>
          </cell>
          <cell r="G2647">
            <v>31102192</v>
          </cell>
          <cell r="H2647">
            <v>31102192</v>
          </cell>
          <cell r="I2647" t="str">
            <v/>
          </cell>
          <cell r="J2647" t="str">
            <v/>
          </cell>
          <cell r="K2647" t="str">
            <v/>
          </cell>
          <cell r="L2647" t="str">
            <v/>
          </cell>
          <cell r="M2647" t="str">
            <v/>
          </cell>
        </row>
        <row r="2648">
          <cell r="A2648">
            <v>31102192</v>
          </cell>
          <cell r="C2648">
            <v>31102192</v>
          </cell>
          <cell r="D2648">
            <v>31102192</v>
          </cell>
          <cell r="E2648">
            <v>31102192</v>
          </cell>
          <cell r="F2648">
            <v>31102192</v>
          </cell>
          <cell r="G2648">
            <v>31102192</v>
          </cell>
          <cell r="H2648">
            <v>31102192</v>
          </cell>
          <cell r="I2648" t="str">
            <v/>
          </cell>
          <cell r="J2648" t="str">
            <v/>
          </cell>
          <cell r="K2648" t="str">
            <v/>
          </cell>
          <cell r="L2648" t="str">
            <v/>
          </cell>
          <cell r="M2648" t="str">
            <v/>
          </cell>
        </row>
        <row r="2649">
          <cell r="A2649">
            <v>31102192</v>
          </cell>
          <cell r="C2649">
            <v>31102192</v>
          </cell>
          <cell r="D2649">
            <v>31102192</v>
          </cell>
          <cell r="E2649">
            <v>31102192</v>
          </cell>
          <cell r="F2649">
            <v>31102192</v>
          </cell>
          <cell r="G2649">
            <v>31102192</v>
          </cell>
          <cell r="H2649">
            <v>31102192</v>
          </cell>
          <cell r="I2649" t="str">
            <v/>
          </cell>
          <cell r="J2649" t="str">
            <v/>
          </cell>
          <cell r="K2649" t="str">
            <v/>
          </cell>
          <cell r="L2649" t="str">
            <v/>
          </cell>
          <cell r="M2649" t="str">
            <v/>
          </cell>
        </row>
        <row r="2650">
          <cell r="A2650">
            <v>31102192</v>
          </cell>
          <cell r="C2650">
            <v>31102192</v>
          </cell>
          <cell r="D2650">
            <v>31102192</v>
          </cell>
          <cell r="E2650">
            <v>31102192</v>
          </cell>
          <cell r="F2650">
            <v>31102192</v>
          </cell>
          <cell r="G2650">
            <v>31102192</v>
          </cell>
          <cell r="H2650">
            <v>31102192</v>
          </cell>
          <cell r="I2650" t="str">
            <v/>
          </cell>
          <cell r="J2650" t="str">
            <v/>
          </cell>
          <cell r="K2650" t="str">
            <v/>
          </cell>
          <cell r="L2650" t="str">
            <v/>
          </cell>
          <cell r="M2650" t="str">
            <v/>
          </cell>
        </row>
        <row r="2651">
          <cell r="A2651">
            <v>31102192</v>
          </cell>
          <cell r="C2651">
            <v>31102192</v>
          </cell>
          <cell r="D2651">
            <v>31102192</v>
          </cell>
          <cell r="E2651">
            <v>31102192</v>
          </cell>
          <cell r="F2651">
            <v>31102192</v>
          </cell>
          <cell r="G2651">
            <v>31102192</v>
          </cell>
          <cell r="H2651">
            <v>31102192</v>
          </cell>
          <cell r="I2651" t="str">
            <v/>
          </cell>
          <cell r="J2651" t="str">
            <v/>
          </cell>
          <cell r="K2651" t="str">
            <v/>
          </cell>
          <cell r="L2651" t="str">
            <v/>
          </cell>
          <cell r="M2651" t="str">
            <v/>
          </cell>
        </row>
        <row r="2652">
          <cell r="A2652">
            <v>31102192</v>
          </cell>
          <cell r="C2652">
            <v>31102192</v>
          </cell>
          <cell r="D2652">
            <v>31102192</v>
          </cell>
          <cell r="E2652">
            <v>31102192</v>
          </cell>
          <cell r="F2652">
            <v>31102192</v>
          </cell>
          <cell r="G2652">
            <v>31102192</v>
          </cell>
          <cell r="H2652">
            <v>31102192</v>
          </cell>
          <cell r="I2652" t="str">
            <v/>
          </cell>
          <cell r="J2652" t="str">
            <v/>
          </cell>
          <cell r="K2652" t="str">
            <v/>
          </cell>
          <cell r="L2652" t="str">
            <v/>
          </cell>
          <cell r="M2652" t="str">
            <v/>
          </cell>
        </row>
        <row r="2653">
          <cell r="A2653">
            <v>31102192</v>
          </cell>
          <cell r="C2653">
            <v>31102192</v>
          </cell>
          <cell r="D2653">
            <v>31102192</v>
          </cell>
          <cell r="E2653">
            <v>31102192</v>
          </cell>
          <cell r="F2653">
            <v>31102192</v>
          </cell>
          <cell r="G2653">
            <v>31102192</v>
          </cell>
          <cell r="H2653">
            <v>31102192</v>
          </cell>
          <cell r="I2653" t="str">
            <v/>
          </cell>
          <cell r="J2653" t="str">
            <v/>
          </cell>
          <cell r="K2653" t="str">
            <v/>
          </cell>
          <cell r="L2653" t="str">
            <v/>
          </cell>
          <cell r="M2653" t="str">
            <v/>
          </cell>
        </row>
        <row r="2654">
          <cell r="A2654">
            <v>31102192</v>
          </cell>
          <cell r="C2654">
            <v>31102192</v>
          </cell>
          <cell r="D2654">
            <v>31102192</v>
          </cell>
          <cell r="E2654">
            <v>31102192</v>
          </cell>
          <cell r="F2654">
            <v>31102192</v>
          </cell>
          <cell r="G2654">
            <v>31102192</v>
          </cell>
          <cell r="H2654">
            <v>31102192</v>
          </cell>
          <cell r="I2654" t="str">
            <v/>
          </cell>
          <cell r="J2654" t="str">
            <v/>
          </cell>
          <cell r="K2654" t="str">
            <v/>
          </cell>
          <cell r="L2654" t="str">
            <v/>
          </cell>
          <cell r="M2654" t="str">
            <v/>
          </cell>
        </row>
        <row r="2655">
          <cell r="A2655">
            <v>31102192</v>
          </cell>
          <cell r="C2655">
            <v>31102192</v>
          </cell>
          <cell r="D2655">
            <v>31102192</v>
          </cell>
          <cell r="E2655">
            <v>31102192</v>
          </cell>
          <cell r="F2655">
            <v>31102192</v>
          </cell>
          <cell r="G2655">
            <v>31102192</v>
          </cell>
          <cell r="H2655">
            <v>31102192</v>
          </cell>
          <cell r="I2655" t="str">
            <v/>
          </cell>
          <cell r="J2655" t="str">
            <v/>
          </cell>
          <cell r="K2655" t="str">
            <v/>
          </cell>
          <cell r="L2655" t="str">
            <v/>
          </cell>
          <cell r="M2655" t="str">
            <v/>
          </cell>
        </row>
        <row r="2656">
          <cell r="A2656">
            <v>31102192</v>
          </cell>
          <cell r="C2656">
            <v>31102192</v>
          </cell>
          <cell r="D2656">
            <v>31102192</v>
          </cell>
          <cell r="E2656">
            <v>31102192</v>
          </cell>
          <cell r="F2656">
            <v>31102192</v>
          </cell>
          <cell r="G2656">
            <v>31102192</v>
          </cell>
          <cell r="H2656">
            <v>31102192</v>
          </cell>
          <cell r="I2656" t="str">
            <v/>
          </cell>
          <cell r="J2656" t="str">
            <v/>
          </cell>
          <cell r="K2656" t="str">
            <v/>
          </cell>
          <cell r="L2656" t="str">
            <v/>
          </cell>
          <cell r="M2656" t="str">
            <v/>
          </cell>
        </row>
        <row r="2657">
          <cell r="A2657">
            <v>31102192</v>
          </cell>
          <cell r="C2657">
            <v>31102192</v>
          </cell>
          <cell r="D2657">
            <v>31102192</v>
          </cell>
          <cell r="E2657">
            <v>31102192</v>
          </cell>
          <cell r="F2657">
            <v>31102192</v>
          </cell>
          <cell r="G2657">
            <v>31102192</v>
          </cell>
          <cell r="H2657">
            <v>31102192</v>
          </cell>
          <cell r="I2657" t="str">
            <v/>
          </cell>
          <cell r="J2657" t="str">
            <v/>
          </cell>
          <cell r="K2657" t="str">
            <v/>
          </cell>
          <cell r="L2657" t="str">
            <v/>
          </cell>
          <cell r="M2657" t="str">
            <v/>
          </cell>
        </row>
        <row r="2658">
          <cell r="A2658">
            <v>31102192</v>
          </cell>
          <cell r="C2658">
            <v>31102192</v>
          </cell>
          <cell r="D2658">
            <v>31102192</v>
          </cell>
          <cell r="E2658">
            <v>31102192</v>
          </cell>
          <cell r="F2658">
            <v>31102192</v>
          </cell>
          <cell r="G2658">
            <v>31102192</v>
          </cell>
          <cell r="H2658">
            <v>31102192</v>
          </cell>
          <cell r="I2658" t="str">
            <v/>
          </cell>
          <cell r="J2658" t="str">
            <v/>
          </cell>
          <cell r="K2658" t="str">
            <v/>
          </cell>
          <cell r="L2658" t="str">
            <v/>
          </cell>
          <cell r="M2658" t="str">
            <v/>
          </cell>
        </row>
        <row r="2659">
          <cell r="A2659">
            <v>31102192</v>
          </cell>
          <cell r="C2659">
            <v>31102192</v>
          </cell>
          <cell r="D2659">
            <v>31102192</v>
          </cell>
          <cell r="E2659">
            <v>31102192</v>
          </cell>
          <cell r="F2659">
            <v>31102192</v>
          </cell>
          <cell r="G2659">
            <v>31102192</v>
          </cell>
          <cell r="H2659">
            <v>31102192</v>
          </cell>
          <cell r="I2659" t="str">
            <v/>
          </cell>
          <cell r="J2659" t="str">
            <v/>
          </cell>
          <cell r="K2659" t="str">
            <v/>
          </cell>
          <cell r="L2659" t="str">
            <v/>
          </cell>
          <cell r="M2659" t="str">
            <v/>
          </cell>
        </row>
        <row r="2660">
          <cell r="A2660">
            <v>31102192</v>
          </cell>
          <cell r="C2660">
            <v>31102192</v>
          </cell>
          <cell r="D2660">
            <v>31102192</v>
          </cell>
          <cell r="E2660">
            <v>31102192</v>
          </cell>
          <cell r="F2660">
            <v>31102192</v>
          </cell>
          <cell r="G2660">
            <v>31102192</v>
          </cell>
          <cell r="H2660">
            <v>31102192</v>
          </cell>
          <cell r="I2660" t="str">
            <v/>
          </cell>
          <cell r="J2660" t="str">
            <v/>
          </cell>
          <cell r="K2660" t="str">
            <v/>
          </cell>
          <cell r="L2660" t="str">
            <v/>
          </cell>
          <cell r="M2660" t="str">
            <v/>
          </cell>
        </row>
        <row r="2661">
          <cell r="A2661">
            <v>31102192</v>
          </cell>
          <cell r="C2661">
            <v>31102192</v>
          </cell>
          <cell r="D2661">
            <v>31102192</v>
          </cell>
          <cell r="E2661">
            <v>31102192</v>
          </cell>
          <cell r="F2661">
            <v>31102192</v>
          </cell>
          <cell r="G2661">
            <v>31102192</v>
          </cell>
          <cell r="H2661">
            <v>31102192</v>
          </cell>
          <cell r="I2661" t="str">
            <v/>
          </cell>
          <cell r="J2661" t="str">
            <v/>
          </cell>
          <cell r="K2661" t="str">
            <v/>
          </cell>
          <cell r="L2661" t="str">
            <v/>
          </cell>
          <cell r="M2661" t="str">
            <v/>
          </cell>
        </row>
        <row r="2662">
          <cell r="A2662">
            <v>31102192</v>
          </cell>
          <cell r="C2662">
            <v>31102192</v>
          </cell>
          <cell r="D2662">
            <v>31102192</v>
          </cell>
          <cell r="E2662">
            <v>31102192</v>
          </cell>
          <cell r="F2662">
            <v>31102192</v>
          </cell>
          <cell r="G2662">
            <v>31102192</v>
          </cell>
          <cell r="H2662">
            <v>31102192</v>
          </cell>
          <cell r="I2662" t="str">
            <v/>
          </cell>
          <cell r="J2662" t="str">
            <v/>
          </cell>
          <cell r="K2662" t="str">
            <v/>
          </cell>
          <cell r="L2662" t="str">
            <v/>
          </cell>
          <cell r="M2662" t="str">
            <v/>
          </cell>
        </row>
        <row r="2663">
          <cell r="A2663">
            <v>31102192</v>
          </cell>
          <cell r="C2663">
            <v>31102192</v>
          </cell>
          <cell r="D2663">
            <v>31102192</v>
          </cell>
          <cell r="E2663">
            <v>31102192</v>
          </cell>
          <cell r="F2663">
            <v>31102192</v>
          </cell>
          <cell r="G2663">
            <v>31102192</v>
          </cell>
          <cell r="H2663">
            <v>31102192</v>
          </cell>
          <cell r="I2663" t="str">
            <v/>
          </cell>
          <cell r="J2663" t="str">
            <v/>
          </cell>
          <cell r="K2663" t="str">
            <v/>
          </cell>
          <cell r="L2663" t="str">
            <v/>
          </cell>
          <cell r="M2663" t="str">
            <v/>
          </cell>
        </row>
        <row r="2664">
          <cell r="A2664">
            <v>31102192</v>
          </cell>
          <cell r="C2664">
            <v>31102192</v>
          </cell>
          <cell r="D2664">
            <v>31102192</v>
          </cell>
          <cell r="E2664">
            <v>31102192</v>
          </cell>
          <cell r="F2664">
            <v>31102192</v>
          </cell>
          <cell r="G2664">
            <v>31102192</v>
          </cell>
          <cell r="H2664">
            <v>31102192</v>
          </cell>
          <cell r="I2664" t="str">
            <v/>
          </cell>
          <cell r="J2664" t="str">
            <v/>
          </cell>
          <cell r="K2664" t="str">
            <v/>
          </cell>
          <cell r="L2664" t="str">
            <v/>
          </cell>
          <cell r="M2664" t="str">
            <v/>
          </cell>
        </row>
        <row r="2665">
          <cell r="A2665">
            <v>31102192</v>
          </cell>
          <cell r="C2665">
            <v>31102192</v>
          </cell>
          <cell r="D2665">
            <v>31102192</v>
          </cell>
          <cell r="E2665">
            <v>31102192</v>
          </cell>
          <cell r="F2665">
            <v>31102192</v>
          </cell>
          <cell r="G2665">
            <v>31102192</v>
          </cell>
          <cell r="H2665">
            <v>31102192</v>
          </cell>
          <cell r="I2665" t="str">
            <v/>
          </cell>
          <cell r="J2665" t="str">
            <v/>
          </cell>
          <cell r="K2665" t="str">
            <v/>
          </cell>
          <cell r="L2665" t="str">
            <v/>
          </cell>
          <cell r="M2665" t="str">
            <v/>
          </cell>
        </row>
        <row r="2666">
          <cell r="A2666">
            <v>31102192</v>
          </cell>
          <cell r="C2666">
            <v>31102192</v>
          </cell>
          <cell r="D2666">
            <v>31102192</v>
          </cell>
          <cell r="E2666">
            <v>31102192</v>
          </cell>
          <cell r="F2666">
            <v>31102192</v>
          </cell>
          <cell r="G2666">
            <v>31102192</v>
          </cell>
          <cell r="H2666">
            <v>31102192</v>
          </cell>
          <cell r="I2666" t="str">
            <v/>
          </cell>
          <cell r="J2666" t="str">
            <v/>
          </cell>
          <cell r="K2666" t="str">
            <v/>
          </cell>
          <cell r="L2666" t="str">
            <v/>
          </cell>
          <cell r="M2666" t="str">
            <v/>
          </cell>
        </row>
        <row r="2667">
          <cell r="A2667">
            <v>31102192</v>
          </cell>
          <cell r="C2667">
            <v>31102192</v>
          </cell>
          <cell r="D2667">
            <v>31102192</v>
          </cell>
          <cell r="E2667">
            <v>31102192</v>
          </cell>
          <cell r="F2667">
            <v>31102192</v>
          </cell>
          <cell r="G2667">
            <v>31102192</v>
          </cell>
          <cell r="H2667">
            <v>31102192</v>
          </cell>
          <cell r="I2667" t="str">
            <v/>
          </cell>
          <cell r="J2667" t="str">
            <v/>
          </cell>
          <cell r="K2667" t="str">
            <v/>
          </cell>
          <cell r="L2667" t="str">
            <v/>
          </cell>
          <cell r="M2667" t="str">
            <v/>
          </cell>
        </row>
        <row r="2668">
          <cell r="A2668">
            <v>31102192</v>
          </cell>
          <cell r="C2668">
            <v>31102192</v>
          </cell>
          <cell r="D2668">
            <v>31102192</v>
          </cell>
          <cell r="E2668">
            <v>31102192</v>
          </cell>
          <cell r="F2668">
            <v>31102192</v>
          </cell>
          <cell r="G2668">
            <v>31102192</v>
          </cell>
          <cell r="H2668">
            <v>31102192</v>
          </cell>
          <cell r="I2668" t="str">
            <v/>
          </cell>
          <cell r="J2668" t="str">
            <v/>
          </cell>
          <cell r="K2668" t="str">
            <v/>
          </cell>
          <cell r="L2668" t="str">
            <v/>
          </cell>
          <cell r="M2668" t="str">
            <v/>
          </cell>
        </row>
        <row r="2669">
          <cell r="A2669">
            <v>31102192</v>
          </cell>
          <cell r="C2669">
            <v>31102192</v>
          </cell>
          <cell r="D2669">
            <v>31102192</v>
          </cell>
          <cell r="E2669">
            <v>31102192</v>
          </cell>
          <cell r="F2669">
            <v>31102192</v>
          </cell>
          <cell r="G2669">
            <v>31102192</v>
          </cell>
          <cell r="H2669">
            <v>31102192</v>
          </cell>
          <cell r="I2669" t="str">
            <v/>
          </cell>
          <cell r="J2669" t="str">
            <v/>
          </cell>
          <cell r="K2669" t="str">
            <v/>
          </cell>
          <cell r="L2669" t="str">
            <v/>
          </cell>
          <cell r="M2669" t="str">
            <v/>
          </cell>
        </row>
        <row r="2670">
          <cell r="A2670">
            <v>31102192</v>
          </cell>
          <cell r="C2670">
            <v>31102192</v>
          </cell>
          <cell r="D2670">
            <v>31102192</v>
          </cell>
          <cell r="E2670">
            <v>31102192</v>
          </cell>
          <cell r="F2670">
            <v>31102192</v>
          </cell>
          <cell r="G2670">
            <v>31102192</v>
          </cell>
          <cell r="H2670">
            <v>31102192</v>
          </cell>
          <cell r="I2670" t="str">
            <v/>
          </cell>
          <cell r="J2670" t="str">
            <v/>
          </cell>
          <cell r="K2670" t="str">
            <v/>
          </cell>
          <cell r="L2670" t="str">
            <v/>
          </cell>
          <cell r="M2670" t="str">
            <v/>
          </cell>
        </row>
        <row r="2671">
          <cell r="A2671">
            <v>31102192</v>
          </cell>
          <cell r="C2671">
            <v>31102192</v>
          </cell>
          <cell r="D2671">
            <v>31102192</v>
          </cell>
          <cell r="E2671">
            <v>31102192</v>
          </cell>
          <cell r="F2671">
            <v>31102192</v>
          </cell>
          <cell r="G2671">
            <v>31102192</v>
          </cell>
          <cell r="H2671">
            <v>31102192</v>
          </cell>
          <cell r="I2671" t="str">
            <v/>
          </cell>
          <cell r="J2671" t="str">
            <v/>
          </cell>
          <cell r="K2671" t="str">
            <v/>
          </cell>
          <cell r="L2671" t="str">
            <v/>
          </cell>
          <cell r="M2671" t="str">
            <v/>
          </cell>
        </row>
        <row r="2672">
          <cell r="A2672">
            <v>31102192</v>
          </cell>
          <cell r="C2672">
            <v>31102192</v>
          </cell>
          <cell r="D2672">
            <v>31102192</v>
          </cell>
          <cell r="E2672">
            <v>31102192</v>
          </cell>
          <cell r="F2672">
            <v>31102192</v>
          </cell>
          <cell r="G2672">
            <v>31102192</v>
          </cell>
          <cell r="H2672">
            <v>31102192</v>
          </cell>
          <cell r="I2672" t="str">
            <v/>
          </cell>
          <cell r="J2672" t="str">
            <v/>
          </cell>
          <cell r="K2672" t="str">
            <v/>
          </cell>
          <cell r="L2672" t="str">
            <v/>
          </cell>
          <cell r="M2672" t="str">
            <v/>
          </cell>
        </row>
        <row r="2673">
          <cell r="A2673">
            <v>31102192</v>
          </cell>
          <cell r="C2673">
            <v>31102192</v>
          </cell>
          <cell r="D2673">
            <v>31102192</v>
          </cell>
          <cell r="E2673">
            <v>31102192</v>
          </cell>
          <cell r="F2673">
            <v>31102192</v>
          </cell>
          <cell r="G2673">
            <v>31102192</v>
          </cell>
          <cell r="H2673">
            <v>31102192</v>
          </cell>
          <cell r="I2673" t="str">
            <v/>
          </cell>
          <cell r="J2673" t="str">
            <v/>
          </cell>
          <cell r="K2673" t="str">
            <v/>
          </cell>
          <cell r="L2673" t="str">
            <v/>
          </cell>
          <cell r="M2673" t="str">
            <v/>
          </cell>
        </row>
        <row r="2674">
          <cell r="A2674">
            <v>31102192</v>
          </cell>
          <cell r="C2674">
            <v>31102192</v>
          </cell>
          <cell r="D2674">
            <v>31102192</v>
          </cell>
          <cell r="E2674">
            <v>31102192</v>
          </cell>
          <cell r="F2674">
            <v>31102192</v>
          </cell>
          <cell r="G2674">
            <v>31102192</v>
          </cell>
          <cell r="H2674">
            <v>31102192</v>
          </cell>
          <cell r="I2674" t="str">
            <v/>
          </cell>
          <cell r="J2674" t="str">
            <v/>
          </cell>
          <cell r="K2674" t="str">
            <v/>
          </cell>
          <cell r="L2674" t="str">
            <v/>
          </cell>
          <cell r="M2674" t="str">
            <v/>
          </cell>
        </row>
        <row r="2675">
          <cell r="A2675">
            <v>31102192</v>
          </cell>
          <cell r="C2675">
            <v>31102192</v>
          </cell>
          <cell r="D2675">
            <v>31102192</v>
          </cell>
          <cell r="E2675">
            <v>31102192</v>
          </cell>
          <cell r="F2675">
            <v>31102192</v>
          </cell>
          <cell r="G2675">
            <v>31102192</v>
          </cell>
          <cell r="H2675">
            <v>31102192</v>
          </cell>
          <cell r="I2675" t="str">
            <v/>
          </cell>
          <cell r="J2675" t="str">
            <v/>
          </cell>
          <cell r="K2675" t="str">
            <v/>
          </cell>
          <cell r="L2675" t="str">
            <v/>
          </cell>
          <cell r="M2675" t="str">
            <v/>
          </cell>
        </row>
        <row r="2676">
          <cell r="A2676">
            <v>31102192</v>
          </cell>
          <cell r="C2676">
            <v>31102192</v>
          </cell>
          <cell r="D2676">
            <v>31102192</v>
          </cell>
          <cell r="E2676">
            <v>31102192</v>
          </cell>
          <cell r="F2676">
            <v>31102192</v>
          </cell>
          <cell r="G2676">
            <v>31102192</v>
          </cell>
          <cell r="H2676">
            <v>31102192</v>
          </cell>
          <cell r="I2676" t="str">
            <v/>
          </cell>
          <cell r="J2676" t="str">
            <v/>
          </cell>
          <cell r="K2676" t="str">
            <v/>
          </cell>
          <cell r="L2676" t="str">
            <v/>
          </cell>
          <cell r="M2676" t="str">
            <v/>
          </cell>
        </row>
        <row r="2677">
          <cell r="A2677">
            <v>31102192</v>
          </cell>
          <cell r="C2677">
            <v>31102192</v>
          </cell>
          <cell r="D2677">
            <v>31102192</v>
          </cell>
          <cell r="E2677">
            <v>31102192</v>
          </cell>
          <cell r="F2677">
            <v>31102192</v>
          </cell>
          <cell r="G2677">
            <v>31102192</v>
          </cell>
          <cell r="H2677">
            <v>31102192</v>
          </cell>
          <cell r="I2677" t="str">
            <v/>
          </cell>
          <cell r="J2677" t="str">
            <v/>
          </cell>
          <cell r="K2677" t="str">
            <v/>
          </cell>
          <cell r="L2677" t="str">
            <v/>
          </cell>
          <cell r="M2677" t="str">
            <v/>
          </cell>
        </row>
        <row r="2678">
          <cell r="A2678">
            <v>31102192</v>
          </cell>
          <cell r="C2678">
            <v>31102192</v>
          </cell>
          <cell r="D2678">
            <v>31102192</v>
          </cell>
          <cell r="E2678">
            <v>31102192</v>
          </cell>
          <cell r="F2678">
            <v>31102192</v>
          </cell>
          <cell r="G2678">
            <v>31102192</v>
          </cell>
          <cell r="H2678">
            <v>31102192</v>
          </cell>
          <cell r="I2678" t="str">
            <v/>
          </cell>
          <cell r="J2678" t="str">
            <v/>
          </cell>
          <cell r="K2678" t="str">
            <v/>
          </cell>
          <cell r="L2678" t="str">
            <v/>
          </cell>
          <cell r="M2678" t="str">
            <v/>
          </cell>
        </row>
        <row r="2679">
          <cell r="A2679">
            <v>31102192</v>
          </cell>
          <cell r="C2679">
            <v>31102192</v>
          </cell>
          <cell r="D2679">
            <v>31102192</v>
          </cell>
          <cell r="E2679">
            <v>31102192</v>
          </cell>
          <cell r="F2679">
            <v>31102192</v>
          </cell>
          <cell r="G2679">
            <v>31102192</v>
          </cell>
          <cell r="H2679">
            <v>31102192</v>
          </cell>
          <cell r="I2679" t="str">
            <v/>
          </cell>
          <cell r="J2679" t="str">
            <v/>
          </cell>
          <cell r="K2679" t="str">
            <v/>
          </cell>
          <cell r="L2679" t="str">
            <v/>
          </cell>
          <cell r="M2679" t="str">
            <v/>
          </cell>
        </row>
        <row r="2680">
          <cell r="A2680">
            <v>31102192</v>
          </cell>
          <cell r="C2680">
            <v>31102192</v>
          </cell>
          <cell r="D2680">
            <v>31102192</v>
          </cell>
          <cell r="E2680">
            <v>31102192</v>
          </cell>
          <cell r="F2680">
            <v>31102192</v>
          </cell>
          <cell r="G2680">
            <v>31102192</v>
          </cell>
          <cell r="H2680">
            <v>31102192</v>
          </cell>
          <cell r="I2680" t="str">
            <v/>
          </cell>
          <cell r="J2680" t="str">
            <v/>
          </cell>
          <cell r="K2680" t="str">
            <v/>
          </cell>
          <cell r="L2680" t="str">
            <v/>
          </cell>
          <cell r="M2680" t="str">
            <v/>
          </cell>
        </row>
        <row r="2681">
          <cell r="A2681">
            <v>31102192</v>
          </cell>
          <cell r="C2681">
            <v>31102192</v>
          </cell>
          <cell r="D2681">
            <v>31102192</v>
          </cell>
          <cell r="E2681">
            <v>31102192</v>
          </cell>
          <cell r="F2681">
            <v>31102192</v>
          </cell>
          <cell r="G2681">
            <v>31102192</v>
          </cell>
          <cell r="H2681">
            <v>31102192</v>
          </cell>
          <cell r="I2681" t="str">
            <v/>
          </cell>
          <cell r="J2681" t="str">
            <v/>
          </cell>
          <cell r="K2681" t="str">
            <v/>
          </cell>
          <cell r="L2681" t="str">
            <v/>
          </cell>
          <cell r="M2681" t="str">
            <v/>
          </cell>
        </row>
        <row r="2682">
          <cell r="A2682">
            <v>31102192</v>
          </cell>
          <cell r="C2682">
            <v>31102192</v>
          </cell>
          <cell r="D2682">
            <v>31102192</v>
          </cell>
          <cell r="E2682">
            <v>31102192</v>
          </cell>
          <cell r="F2682">
            <v>31102192</v>
          </cell>
          <cell r="G2682">
            <v>31102192</v>
          </cell>
          <cell r="H2682">
            <v>31102192</v>
          </cell>
          <cell r="I2682" t="str">
            <v/>
          </cell>
          <cell r="J2682" t="str">
            <v/>
          </cell>
          <cell r="K2682" t="str">
            <v/>
          </cell>
          <cell r="L2682" t="str">
            <v/>
          </cell>
          <cell r="M2682" t="str">
            <v/>
          </cell>
        </row>
        <row r="2683">
          <cell r="A2683">
            <v>31102192</v>
          </cell>
          <cell r="C2683">
            <v>31102192</v>
          </cell>
          <cell r="D2683">
            <v>31102192</v>
          </cell>
          <cell r="E2683">
            <v>31102192</v>
          </cell>
          <cell r="F2683">
            <v>31102192</v>
          </cell>
          <cell r="G2683">
            <v>31102192</v>
          </cell>
          <cell r="H2683">
            <v>31102192</v>
          </cell>
          <cell r="I2683" t="str">
            <v/>
          </cell>
          <cell r="J2683" t="str">
            <v/>
          </cell>
          <cell r="K2683" t="str">
            <v/>
          </cell>
          <cell r="L2683" t="str">
            <v/>
          </cell>
          <cell r="M2683" t="str">
            <v/>
          </cell>
        </row>
        <row r="2684">
          <cell r="A2684">
            <v>31102192</v>
          </cell>
          <cell r="C2684">
            <v>31102192</v>
          </cell>
          <cell r="D2684">
            <v>31102192</v>
          </cell>
          <cell r="E2684">
            <v>31102192</v>
          </cell>
          <cell r="F2684">
            <v>31102192</v>
          </cell>
          <cell r="G2684">
            <v>31102192</v>
          </cell>
          <cell r="H2684">
            <v>31102192</v>
          </cell>
          <cell r="I2684" t="str">
            <v/>
          </cell>
          <cell r="J2684" t="str">
            <v/>
          </cell>
          <cell r="K2684" t="str">
            <v/>
          </cell>
          <cell r="L2684" t="str">
            <v/>
          </cell>
          <cell r="M2684" t="str">
            <v/>
          </cell>
        </row>
        <row r="2685">
          <cell r="A2685">
            <v>31102192</v>
          </cell>
          <cell r="C2685">
            <v>31102192</v>
          </cell>
          <cell r="D2685">
            <v>31102192</v>
          </cell>
          <cell r="E2685">
            <v>31102192</v>
          </cell>
          <cell r="F2685">
            <v>31102192</v>
          </cell>
          <cell r="G2685">
            <v>31102192</v>
          </cell>
          <cell r="H2685">
            <v>31102192</v>
          </cell>
          <cell r="I2685" t="str">
            <v/>
          </cell>
          <cell r="J2685" t="str">
            <v/>
          </cell>
          <cell r="K2685" t="str">
            <v/>
          </cell>
          <cell r="L2685" t="str">
            <v/>
          </cell>
          <cell r="M2685" t="str">
            <v/>
          </cell>
        </row>
        <row r="2686">
          <cell r="A2686">
            <v>31102192</v>
          </cell>
          <cell r="C2686">
            <v>31102192</v>
          </cell>
          <cell r="D2686">
            <v>31102192</v>
          </cell>
          <cell r="E2686">
            <v>31102192</v>
          </cell>
          <cell r="F2686">
            <v>31102192</v>
          </cell>
          <cell r="G2686">
            <v>31102192</v>
          </cell>
          <cell r="H2686">
            <v>31102192</v>
          </cell>
          <cell r="I2686" t="str">
            <v/>
          </cell>
          <cell r="J2686" t="str">
            <v/>
          </cell>
          <cell r="K2686" t="str">
            <v/>
          </cell>
          <cell r="L2686" t="str">
            <v/>
          </cell>
          <cell r="M2686" t="str">
            <v/>
          </cell>
        </row>
        <row r="2687">
          <cell r="A2687">
            <v>31102192</v>
          </cell>
          <cell r="C2687">
            <v>31102192</v>
          </cell>
          <cell r="D2687">
            <v>31102192</v>
          </cell>
          <cell r="E2687">
            <v>31102192</v>
          </cell>
          <cell r="F2687">
            <v>31102192</v>
          </cell>
          <cell r="G2687">
            <v>31102192</v>
          </cell>
          <cell r="H2687">
            <v>31102192</v>
          </cell>
          <cell r="I2687" t="str">
            <v/>
          </cell>
          <cell r="J2687" t="str">
            <v/>
          </cell>
          <cell r="K2687" t="str">
            <v/>
          </cell>
          <cell r="L2687" t="str">
            <v/>
          </cell>
          <cell r="M2687" t="str">
            <v/>
          </cell>
        </row>
        <row r="2688">
          <cell r="A2688">
            <v>31102192</v>
          </cell>
          <cell r="C2688">
            <v>31102192</v>
          </cell>
          <cell r="D2688">
            <v>31102192</v>
          </cell>
          <cell r="E2688">
            <v>31102192</v>
          </cell>
          <cell r="F2688">
            <v>31102192</v>
          </cell>
          <cell r="G2688">
            <v>31102192</v>
          </cell>
          <cell r="H2688">
            <v>31102192</v>
          </cell>
          <cell r="I2688" t="str">
            <v/>
          </cell>
          <cell r="J2688" t="str">
            <v/>
          </cell>
          <cell r="K2688" t="str">
            <v/>
          </cell>
          <cell r="L2688" t="str">
            <v/>
          </cell>
          <cell r="M2688" t="str">
            <v/>
          </cell>
        </row>
        <row r="2689">
          <cell r="A2689">
            <v>31102192</v>
          </cell>
          <cell r="C2689">
            <v>31102192</v>
          </cell>
          <cell r="D2689">
            <v>31102192</v>
          </cell>
          <cell r="E2689">
            <v>31102192</v>
          </cell>
          <cell r="F2689">
            <v>31102192</v>
          </cell>
          <cell r="G2689">
            <v>31102192</v>
          </cell>
          <cell r="H2689">
            <v>31102192</v>
          </cell>
          <cell r="I2689" t="str">
            <v/>
          </cell>
          <cell r="J2689" t="str">
            <v/>
          </cell>
          <cell r="K2689" t="str">
            <v/>
          </cell>
          <cell r="L2689" t="str">
            <v/>
          </cell>
          <cell r="M2689" t="str">
            <v/>
          </cell>
        </row>
        <row r="2690">
          <cell r="A2690">
            <v>31102192</v>
          </cell>
          <cell r="C2690">
            <v>31102192</v>
          </cell>
          <cell r="D2690">
            <v>31102192</v>
          </cell>
          <cell r="E2690">
            <v>31102192</v>
          </cell>
          <cell r="F2690">
            <v>31102192</v>
          </cell>
          <cell r="G2690">
            <v>31102192</v>
          </cell>
          <cell r="H2690">
            <v>31102192</v>
          </cell>
          <cell r="I2690" t="str">
            <v/>
          </cell>
          <cell r="J2690" t="str">
            <v/>
          </cell>
          <cell r="K2690" t="str">
            <v/>
          </cell>
          <cell r="L2690" t="str">
            <v/>
          </cell>
          <cell r="M2690" t="str">
            <v/>
          </cell>
        </row>
        <row r="2691">
          <cell r="A2691">
            <v>31102192</v>
          </cell>
          <cell r="C2691">
            <v>31102192</v>
          </cell>
          <cell r="D2691">
            <v>31102192</v>
          </cell>
          <cell r="E2691">
            <v>31102192</v>
          </cell>
          <cell r="F2691">
            <v>31102192</v>
          </cell>
          <cell r="G2691">
            <v>31102192</v>
          </cell>
          <cell r="H2691">
            <v>31102192</v>
          </cell>
          <cell r="I2691" t="str">
            <v/>
          </cell>
          <cell r="J2691" t="str">
            <v/>
          </cell>
          <cell r="K2691" t="str">
            <v/>
          </cell>
          <cell r="L2691" t="str">
            <v/>
          </cell>
          <cell r="M2691" t="str">
            <v/>
          </cell>
        </row>
        <row r="2692">
          <cell r="A2692">
            <v>31102192</v>
          </cell>
          <cell r="C2692">
            <v>31102192</v>
          </cell>
          <cell r="D2692">
            <v>31102192</v>
          </cell>
          <cell r="E2692">
            <v>31102192</v>
          </cell>
          <cell r="F2692">
            <v>31102192</v>
          </cell>
          <cell r="G2692">
            <v>31102192</v>
          </cell>
          <cell r="H2692">
            <v>31102192</v>
          </cell>
          <cell r="I2692" t="str">
            <v/>
          </cell>
          <cell r="J2692" t="str">
            <v/>
          </cell>
          <cell r="K2692" t="str">
            <v/>
          </cell>
          <cell r="L2692" t="str">
            <v/>
          </cell>
          <cell r="M2692" t="str">
            <v/>
          </cell>
        </row>
        <row r="2693">
          <cell r="A2693">
            <v>31102192</v>
          </cell>
          <cell r="C2693">
            <v>31102192</v>
          </cell>
          <cell r="D2693">
            <v>31102192</v>
          </cell>
          <cell r="E2693">
            <v>31102192</v>
          </cell>
          <cell r="F2693">
            <v>31102192</v>
          </cell>
          <cell r="G2693">
            <v>31102192</v>
          </cell>
          <cell r="H2693">
            <v>31102192</v>
          </cell>
          <cell r="I2693" t="str">
            <v/>
          </cell>
          <cell r="J2693" t="str">
            <v/>
          </cell>
          <cell r="K2693" t="str">
            <v/>
          </cell>
          <cell r="L2693" t="str">
            <v/>
          </cell>
          <cell r="M2693" t="str">
            <v/>
          </cell>
        </row>
        <row r="2694">
          <cell r="A2694">
            <v>31102192</v>
          </cell>
          <cell r="C2694">
            <v>31102192</v>
          </cell>
          <cell r="D2694">
            <v>31102192</v>
          </cell>
          <cell r="E2694">
            <v>31102192</v>
          </cell>
          <cell r="F2694">
            <v>31102192</v>
          </cell>
          <cell r="G2694">
            <v>31102192</v>
          </cell>
          <cell r="H2694">
            <v>31102192</v>
          </cell>
          <cell r="I2694" t="str">
            <v/>
          </cell>
          <cell r="J2694" t="str">
            <v/>
          </cell>
          <cell r="K2694" t="str">
            <v/>
          </cell>
          <cell r="L2694" t="str">
            <v/>
          </cell>
          <cell r="M2694" t="str">
            <v/>
          </cell>
        </row>
        <row r="2695">
          <cell r="A2695">
            <v>31102192</v>
          </cell>
          <cell r="C2695">
            <v>31102192</v>
          </cell>
          <cell r="D2695">
            <v>31102192</v>
          </cell>
          <cell r="E2695">
            <v>31102192</v>
          </cell>
          <cell r="F2695">
            <v>31102192</v>
          </cell>
          <cell r="G2695">
            <v>31102192</v>
          </cell>
          <cell r="H2695">
            <v>31102192</v>
          </cell>
          <cell r="I2695" t="str">
            <v/>
          </cell>
          <cell r="J2695" t="str">
            <v/>
          </cell>
          <cell r="K2695" t="str">
            <v/>
          </cell>
          <cell r="L2695" t="str">
            <v/>
          </cell>
          <cell r="M2695" t="str">
            <v/>
          </cell>
        </row>
        <row r="2696">
          <cell r="A2696">
            <v>31102192</v>
          </cell>
          <cell r="C2696">
            <v>31102192</v>
          </cell>
          <cell r="D2696">
            <v>31102192</v>
          </cell>
          <cell r="E2696">
            <v>31102192</v>
          </cell>
          <cell r="F2696">
            <v>31102192</v>
          </cell>
          <cell r="G2696">
            <v>31102192</v>
          </cell>
          <cell r="H2696">
            <v>31102192</v>
          </cell>
          <cell r="I2696" t="str">
            <v/>
          </cell>
          <cell r="J2696" t="str">
            <v/>
          </cell>
          <cell r="K2696" t="str">
            <v/>
          </cell>
          <cell r="L2696" t="str">
            <v/>
          </cell>
          <cell r="M2696" t="str">
            <v/>
          </cell>
        </row>
        <row r="2697">
          <cell r="A2697">
            <v>31102192</v>
          </cell>
          <cell r="C2697">
            <v>31102192</v>
          </cell>
          <cell r="D2697">
            <v>31102192</v>
          </cell>
          <cell r="E2697">
            <v>31102192</v>
          </cell>
          <cell r="F2697">
            <v>31102192</v>
          </cell>
          <cell r="G2697">
            <v>31102192</v>
          </cell>
          <cell r="H2697">
            <v>31102192</v>
          </cell>
          <cell r="I2697" t="str">
            <v/>
          </cell>
          <cell r="J2697" t="str">
            <v/>
          </cell>
          <cell r="K2697" t="str">
            <v/>
          </cell>
          <cell r="L2697" t="str">
            <v/>
          </cell>
          <cell r="M2697" t="str">
            <v/>
          </cell>
        </row>
        <row r="2698">
          <cell r="A2698">
            <v>31102192</v>
          </cell>
          <cell r="C2698">
            <v>31102192</v>
          </cell>
          <cell r="D2698">
            <v>31102192</v>
          </cell>
          <cell r="E2698">
            <v>31102192</v>
          </cell>
          <cell r="F2698">
            <v>31102192</v>
          </cell>
          <cell r="G2698">
            <v>31102192</v>
          </cell>
          <cell r="H2698">
            <v>31102192</v>
          </cell>
          <cell r="I2698" t="str">
            <v/>
          </cell>
          <cell r="J2698" t="str">
            <v/>
          </cell>
          <cell r="K2698" t="str">
            <v/>
          </cell>
          <cell r="L2698" t="str">
            <v/>
          </cell>
          <cell r="M2698" t="str">
            <v/>
          </cell>
        </row>
        <row r="2699">
          <cell r="A2699">
            <v>31102192</v>
          </cell>
          <cell r="C2699">
            <v>31102192</v>
          </cell>
          <cell r="D2699">
            <v>31102192</v>
          </cell>
          <cell r="E2699">
            <v>31102192</v>
          </cell>
          <cell r="F2699">
            <v>31102192</v>
          </cell>
          <cell r="G2699">
            <v>31102192</v>
          </cell>
          <cell r="H2699">
            <v>31102192</v>
          </cell>
          <cell r="I2699" t="str">
            <v/>
          </cell>
          <cell r="J2699" t="str">
            <v/>
          </cell>
          <cell r="K2699" t="str">
            <v/>
          </cell>
          <cell r="L2699" t="str">
            <v/>
          </cell>
          <cell r="M2699" t="str">
            <v/>
          </cell>
        </row>
        <row r="2700">
          <cell r="A2700">
            <v>31102192</v>
          </cell>
          <cell r="C2700">
            <v>31102192</v>
          </cell>
          <cell r="D2700">
            <v>31102192</v>
          </cell>
          <cell r="E2700">
            <v>31102192</v>
          </cell>
          <cell r="F2700">
            <v>31102192</v>
          </cell>
          <cell r="G2700">
            <v>31102192</v>
          </cell>
          <cell r="H2700">
            <v>31102192</v>
          </cell>
          <cell r="I2700" t="str">
            <v/>
          </cell>
          <cell r="J2700" t="str">
            <v/>
          </cell>
          <cell r="K2700" t="str">
            <v/>
          </cell>
          <cell r="L2700" t="str">
            <v/>
          </cell>
          <cell r="M2700" t="str">
            <v/>
          </cell>
        </row>
        <row r="2701">
          <cell r="A2701">
            <v>31102192</v>
          </cell>
          <cell r="C2701">
            <v>31102192</v>
          </cell>
          <cell r="D2701">
            <v>31102192</v>
          </cell>
          <cell r="E2701">
            <v>31102192</v>
          </cell>
          <cell r="F2701">
            <v>31102192</v>
          </cell>
          <cell r="G2701">
            <v>31102192</v>
          </cell>
          <cell r="H2701">
            <v>31102192</v>
          </cell>
          <cell r="I2701" t="str">
            <v/>
          </cell>
          <cell r="J2701" t="str">
            <v/>
          </cell>
          <cell r="K2701" t="str">
            <v/>
          </cell>
          <cell r="L2701" t="str">
            <v/>
          </cell>
          <cell r="M2701" t="str">
            <v/>
          </cell>
        </row>
        <row r="2702">
          <cell r="A2702">
            <v>31102192</v>
          </cell>
          <cell r="C2702">
            <v>31102192</v>
          </cell>
          <cell r="D2702">
            <v>31102192</v>
          </cell>
          <cell r="E2702">
            <v>31102192</v>
          </cell>
          <cell r="F2702">
            <v>31102192</v>
          </cell>
          <cell r="G2702">
            <v>31102192</v>
          </cell>
          <cell r="H2702">
            <v>31102192</v>
          </cell>
          <cell r="I2702" t="str">
            <v/>
          </cell>
          <cell r="J2702" t="str">
            <v/>
          </cell>
          <cell r="K2702" t="str">
            <v/>
          </cell>
          <cell r="L2702" t="str">
            <v/>
          </cell>
          <cell r="M2702" t="str">
            <v/>
          </cell>
        </row>
        <row r="2703">
          <cell r="A2703">
            <v>31102192</v>
          </cell>
          <cell r="C2703">
            <v>31102192</v>
          </cell>
          <cell r="D2703">
            <v>31102192</v>
          </cell>
          <cell r="E2703">
            <v>31102192</v>
          </cell>
          <cell r="F2703">
            <v>31102192</v>
          </cell>
          <cell r="G2703">
            <v>31102192</v>
          </cell>
          <cell r="H2703">
            <v>31102192</v>
          </cell>
          <cell r="I2703" t="str">
            <v/>
          </cell>
          <cell r="J2703" t="str">
            <v/>
          </cell>
          <cell r="K2703" t="str">
            <v/>
          </cell>
          <cell r="L2703" t="str">
            <v/>
          </cell>
          <cell r="M2703" t="str">
            <v/>
          </cell>
        </row>
        <row r="2704">
          <cell r="A2704">
            <v>31102192</v>
          </cell>
          <cell r="C2704">
            <v>31102192</v>
          </cell>
          <cell r="D2704">
            <v>31102192</v>
          </cell>
          <cell r="E2704">
            <v>31102192</v>
          </cell>
          <cell r="F2704">
            <v>31102192</v>
          </cell>
          <cell r="G2704">
            <v>31102192</v>
          </cell>
          <cell r="H2704">
            <v>31102192</v>
          </cell>
          <cell r="I2704" t="str">
            <v/>
          </cell>
          <cell r="J2704" t="str">
            <v/>
          </cell>
          <cell r="K2704" t="str">
            <v/>
          </cell>
          <cell r="L2704" t="str">
            <v/>
          </cell>
          <cell r="M2704" t="str">
            <v/>
          </cell>
        </row>
        <row r="2705">
          <cell r="A2705">
            <v>31102192</v>
          </cell>
          <cell r="C2705">
            <v>31102192</v>
          </cell>
          <cell r="D2705">
            <v>31102192</v>
          </cell>
          <cell r="E2705">
            <v>31102192</v>
          </cell>
          <cell r="F2705">
            <v>31102192</v>
          </cell>
          <cell r="G2705">
            <v>31102192</v>
          </cell>
          <cell r="H2705">
            <v>31102192</v>
          </cell>
          <cell r="I2705" t="str">
            <v/>
          </cell>
          <cell r="J2705" t="str">
            <v/>
          </cell>
          <cell r="K2705" t="str">
            <v/>
          </cell>
          <cell r="L2705" t="str">
            <v/>
          </cell>
          <cell r="M2705" t="str">
            <v/>
          </cell>
        </row>
        <row r="2706">
          <cell r="A2706">
            <v>31102192</v>
          </cell>
          <cell r="C2706">
            <v>31102192</v>
          </cell>
          <cell r="D2706">
            <v>31102192</v>
          </cell>
          <cell r="E2706">
            <v>31102192</v>
          </cell>
          <cell r="F2706">
            <v>31102192</v>
          </cell>
          <cell r="G2706">
            <v>31102192</v>
          </cell>
          <cell r="H2706">
            <v>31102192</v>
          </cell>
          <cell r="I2706" t="str">
            <v/>
          </cell>
          <cell r="J2706" t="str">
            <v/>
          </cell>
          <cell r="K2706" t="str">
            <v/>
          </cell>
          <cell r="L2706" t="str">
            <v/>
          </cell>
          <cell r="M2706" t="str">
            <v/>
          </cell>
        </row>
        <row r="2707">
          <cell r="A2707">
            <v>31102192</v>
          </cell>
          <cell r="C2707">
            <v>31102192</v>
          </cell>
          <cell r="D2707">
            <v>31102192</v>
          </cell>
          <cell r="E2707">
            <v>31102192</v>
          </cell>
          <cell r="F2707">
            <v>31102192</v>
          </cell>
          <cell r="G2707">
            <v>31102192</v>
          </cell>
          <cell r="H2707">
            <v>31102192</v>
          </cell>
          <cell r="I2707" t="str">
            <v/>
          </cell>
          <cell r="J2707" t="str">
            <v/>
          </cell>
          <cell r="K2707" t="str">
            <v/>
          </cell>
          <cell r="L2707" t="str">
            <v/>
          </cell>
          <cell r="M2707" t="str">
            <v/>
          </cell>
        </row>
        <row r="2708">
          <cell r="A2708">
            <v>31102192</v>
          </cell>
          <cell r="C2708">
            <v>31102192</v>
          </cell>
          <cell r="D2708">
            <v>31102192</v>
          </cell>
          <cell r="E2708">
            <v>31102192</v>
          </cell>
          <cell r="F2708">
            <v>31102192</v>
          </cell>
          <cell r="G2708">
            <v>31102192</v>
          </cell>
          <cell r="H2708">
            <v>31102192</v>
          </cell>
          <cell r="I2708" t="str">
            <v/>
          </cell>
          <cell r="J2708" t="str">
            <v/>
          </cell>
          <cell r="K2708" t="str">
            <v/>
          </cell>
          <cell r="L2708" t="str">
            <v/>
          </cell>
          <cell r="M2708" t="str">
            <v/>
          </cell>
        </row>
        <row r="2709">
          <cell r="A2709">
            <v>31102192</v>
          </cell>
          <cell r="C2709">
            <v>31102192</v>
          </cell>
          <cell r="D2709">
            <v>31102192</v>
          </cell>
          <cell r="E2709">
            <v>31102192</v>
          </cell>
          <cell r="F2709">
            <v>31102192</v>
          </cell>
          <cell r="G2709">
            <v>31102192</v>
          </cell>
          <cell r="H2709">
            <v>31102192</v>
          </cell>
          <cell r="I2709" t="str">
            <v/>
          </cell>
          <cell r="J2709" t="str">
            <v/>
          </cell>
          <cell r="K2709" t="str">
            <v/>
          </cell>
          <cell r="L2709" t="str">
            <v/>
          </cell>
          <cell r="M2709" t="str">
            <v/>
          </cell>
        </row>
        <row r="2710">
          <cell r="A2710">
            <v>31102192</v>
          </cell>
          <cell r="C2710">
            <v>31102192</v>
          </cell>
          <cell r="D2710">
            <v>31102192</v>
          </cell>
          <cell r="E2710">
            <v>31102192</v>
          </cell>
          <cell r="F2710">
            <v>31102192</v>
          </cell>
          <cell r="G2710">
            <v>31102192</v>
          </cell>
          <cell r="H2710">
            <v>31102192</v>
          </cell>
          <cell r="I2710" t="str">
            <v/>
          </cell>
          <cell r="J2710" t="str">
            <v/>
          </cell>
          <cell r="K2710" t="str">
            <v/>
          </cell>
          <cell r="L2710" t="str">
            <v/>
          </cell>
          <cell r="M2710" t="str">
            <v/>
          </cell>
        </row>
        <row r="2711">
          <cell r="A2711">
            <v>31102192</v>
          </cell>
          <cell r="C2711">
            <v>31102192</v>
          </cell>
          <cell r="D2711">
            <v>31102192</v>
          </cell>
          <cell r="E2711">
            <v>31102192</v>
          </cell>
          <cell r="F2711">
            <v>31102192</v>
          </cell>
          <cell r="G2711">
            <v>31102192</v>
          </cell>
          <cell r="H2711">
            <v>31102192</v>
          </cell>
          <cell r="I2711" t="str">
            <v/>
          </cell>
          <cell r="J2711" t="str">
            <v/>
          </cell>
          <cell r="K2711" t="str">
            <v/>
          </cell>
          <cell r="L2711" t="str">
            <v/>
          </cell>
          <cell r="M2711" t="str">
            <v/>
          </cell>
        </row>
        <row r="2712">
          <cell r="A2712">
            <v>31102192</v>
          </cell>
          <cell r="C2712">
            <v>31102192</v>
          </cell>
          <cell r="D2712">
            <v>31102192</v>
          </cell>
          <cell r="E2712">
            <v>31102192</v>
          </cell>
          <cell r="F2712">
            <v>31102192</v>
          </cell>
          <cell r="G2712">
            <v>31102192</v>
          </cell>
          <cell r="H2712">
            <v>31102192</v>
          </cell>
          <cell r="I2712" t="str">
            <v/>
          </cell>
          <cell r="J2712" t="str">
            <v/>
          </cell>
          <cell r="K2712" t="str">
            <v/>
          </cell>
          <cell r="L2712" t="str">
            <v/>
          </cell>
          <cell r="M2712" t="str">
            <v/>
          </cell>
        </row>
        <row r="2713">
          <cell r="A2713">
            <v>31102192</v>
          </cell>
          <cell r="C2713">
            <v>31102192</v>
          </cell>
          <cell r="D2713">
            <v>31102192</v>
          </cell>
          <cell r="E2713">
            <v>31102192</v>
          </cell>
          <cell r="F2713">
            <v>31102192</v>
          </cell>
          <cell r="G2713">
            <v>31102192</v>
          </cell>
          <cell r="H2713">
            <v>31102192</v>
          </cell>
          <cell r="I2713" t="str">
            <v/>
          </cell>
          <cell r="J2713" t="str">
            <v/>
          </cell>
          <cell r="K2713" t="str">
            <v/>
          </cell>
          <cell r="L2713" t="str">
            <v/>
          </cell>
          <cell r="M2713" t="str">
            <v/>
          </cell>
        </row>
        <row r="2714">
          <cell r="A2714">
            <v>31102192</v>
          </cell>
          <cell r="C2714">
            <v>31102192</v>
          </cell>
          <cell r="D2714">
            <v>31102192</v>
          </cell>
          <cell r="E2714">
            <v>31102192</v>
          </cell>
          <cell r="F2714">
            <v>31102192</v>
          </cell>
          <cell r="G2714">
            <v>31102192</v>
          </cell>
          <cell r="H2714">
            <v>31102192</v>
          </cell>
          <cell r="I2714" t="str">
            <v/>
          </cell>
          <cell r="J2714" t="str">
            <v/>
          </cell>
          <cell r="K2714" t="str">
            <v/>
          </cell>
          <cell r="L2714" t="str">
            <v/>
          </cell>
          <cell r="M2714" t="str">
            <v/>
          </cell>
        </row>
        <row r="2715">
          <cell r="A2715">
            <v>31102192</v>
          </cell>
          <cell r="C2715">
            <v>31102192</v>
          </cell>
          <cell r="D2715">
            <v>31102192</v>
          </cell>
          <cell r="E2715">
            <v>31102192</v>
          </cell>
          <cell r="F2715">
            <v>31102192</v>
          </cell>
          <cell r="G2715">
            <v>31102192</v>
          </cell>
          <cell r="H2715">
            <v>31102192</v>
          </cell>
          <cell r="I2715" t="str">
            <v/>
          </cell>
          <cell r="J2715" t="str">
            <v/>
          </cell>
          <cell r="K2715" t="str">
            <v/>
          </cell>
          <cell r="L2715" t="str">
            <v/>
          </cell>
          <cell r="M2715" t="str">
            <v/>
          </cell>
        </row>
        <row r="2716">
          <cell r="A2716">
            <v>31102192</v>
          </cell>
          <cell r="C2716">
            <v>31102192</v>
          </cell>
          <cell r="D2716">
            <v>31102192</v>
          </cell>
          <cell r="E2716">
            <v>31102192</v>
          </cell>
          <cell r="F2716">
            <v>31102192</v>
          </cell>
          <cell r="G2716">
            <v>31102192</v>
          </cell>
          <cell r="H2716">
            <v>31102192</v>
          </cell>
          <cell r="I2716" t="str">
            <v/>
          </cell>
          <cell r="J2716" t="str">
            <v/>
          </cell>
          <cell r="K2716" t="str">
            <v/>
          </cell>
          <cell r="L2716" t="str">
            <v/>
          </cell>
          <cell r="M2716" t="str">
            <v/>
          </cell>
        </row>
        <row r="2717">
          <cell r="A2717">
            <v>31102192</v>
          </cell>
          <cell r="C2717">
            <v>31102192</v>
          </cell>
          <cell r="D2717">
            <v>31102192</v>
          </cell>
          <cell r="E2717">
            <v>31102192</v>
          </cell>
          <cell r="F2717">
            <v>31102192</v>
          </cell>
          <cell r="G2717">
            <v>31102192</v>
          </cell>
          <cell r="H2717">
            <v>31102192</v>
          </cell>
          <cell r="I2717" t="str">
            <v/>
          </cell>
          <cell r="J2717" t="str">
            <v/>
          </cell>
          <cell r="K2717" t="str">
            <v/>
          </cell>
          <cell r="L2717" t="str">
            <v/>
          </cell>
          <cell r="M2717" t="str">
            <v/>
          </cell>
        </row>
        <row r="2718">
          <cell r="A2718">
            <v>31102192</v>
          </cell>
          <cell r="C2718">
            <v>31102192</v>
          </cell>
          <cell r="D2718">
            <v>31102192</v>
          </cell>
          <cell r="E2718">
            <v>31102192</v>
          </cell>
          <cell r="F2718">
            <v>31102192</v>
          </cell>
          <cell r="G2718">
            <v>31102192</v>
          </cell>
          <cell r="H2718">
            <v>31102192</v>
          </cell>
          <cell r="I2718" t="str">
            <v/>
          </cell>
          <cell r="J2718" t="str">
            <v/>
          </cell>
          <cell r="K2718" t="str">
            <v/>
          </cell>
          <cell r="L2718" t="str">
            <v/>
          </cell>
          <cell r="M2718" t="str">
            <v/>
          </cell>
        </row>
        <row r="2719">
          <cell r="A2719">
            <v>31102192</v>
          </cell>
          <cell r="C2719">
            <v>31102192</v>
          </cell>
          <cell r="D2719">
            <v>31102192</v>
          </cell>
          <cell r="E2719">
            <v>31102192</v>
          </cell>
          <cell r="F2719">
            <v>31102192</v>
          </cell>
          <cell r="G2719">
            <v>31102192</v>
          </cell>
          <cell r="H2719">
            <v>31102192</v>
          </cell>
          <cell r="I2719" t="str">
            <v/>
          </cell>
          <cell r="J2719" t="str">
            <v/>
          </cell>
          <cell r="K2719" t="str">
            <v/>
          </cell>
          <cell r="L2719" t="str">
            <v/>
          </cell>
          <cell r="M2719" t="str">
            <v/>
          </cell>
        </row>
        <row r="2720">
          <cell r="A2720">
            <v>31102192</v>
          </cell>
          <cell r="C2720">
            <v>31102192</v>
          </cell>
          <cell r="D2720">
            <v>31102192</v>
          </cell>
          <cell r="E2720">
            <v>31102192</v>
          </cell>
          <cell r="F2720">
            <v>31102192</v>
          </cell>
          <cell r="G2720">
            <v>31102192</v>
          </cell>
          <cell r="H2720">
            <v>31102192</v>
          </cell>
          <cell r="I2720" t="str">
            <v/>
          </cell>
          <cell r="J2720" t="str">
            <v/>
          </cell>
          <cell r="K2720" t="str">
            <v/>
          </cell>
          <cell r="L2720" t="str">
            <v/>
          </cell>
          <cell r="M2720" t="str">
            <v/>
          </cell>
        </row>
        <row r="2721">
          <cell r="A2721">
            <v>31102192</v>
          </cell>
          <cell r="C2721">
            <v>31102192</v>
          </cell>
          <cell r="D2721">
            <v>31102192</v>
          </cell>
          <cell r="E2721">
            <v>31102192</v>
          </cell>
          <cell r="F2721">
            <v>31102192</v>
          </cell>
          <cell r="G2721">
            <v>31102192</v>
          </cell>
          <cell r="H2721">
            <v>31102192</v>
          </cell>
          <cell r="I2721" t="str">
            <v/>
          </cell>
          <cell r="J2721" t="str">
            <v/>
          </cell>
          <cell r="K2721" t="str">
            <v/>
          </cell>
          <cell r="L2721" t="str">
            <v/>
          </cell>
          <cell r="M2721" t="str">
            <v/>
          </cell>
        </row>
        <row r="2722">
          <cell r="A2722">
            <v>31102192</v>
          </cell>
          <cell r="C2722">
            <v>31102192</v>
          </cell>
          <cell r="D2722">
            <v>31102192</v>
          </cell>
          <cell r="E2722">
            <v>31102192</v>
          </cell>
          <cell r="F2722">
            <v>31102192</v>
          </cell>
          <cell r="G2722">
            <v>31102192</v>
          </cell>
          <cell r="H2722">
            <v>31102192</v>
          </cell>
          <cell r="I2722" t="str">
            <v/>
          </cell>
          <cell r="J2722" t="str">
            <v/>
          </cell>
          <cell r="K2722" t="str">
            <v/>
          </cell>
          <cell r="L2722" t="str">
            <v/>
          </cell>
          <cell r="M2722" t="str">
            <v/>
          </cell>
        </row>
        <row r="2723">
          <cell r="A2723">
            <v>31102192</v>
          </cell>
          <cell r="C2723">
            <v>31102192</v>
          </cell>
          <cell r="D2723">
            <v>31102192</v>
          </cell>
          <cell r="E2723">
            <v>31102192</v>
          </cell>
          <cell r="F2723">
            <v>31102192</v>
          </cell>
          <cell r="G2723">
            <v>31102192</v>
          </cell>
          <cell r="H2723">
            <v>31102192</v>
          </cell>
          <cell r="I2723" t="str">
            <v/>
          </cell>
          <cell r="J2723" t="str">
            <v/>
          </cell>
          <cell r="K2723" t="str">
            <v/>
          </cell>
          <cell r="L2723" t="str">
            <v/>
          </cell>
          <cell r="M2723" t="str">
            <v/>
          </cell>
        </row>
        <row r="2724">
          <cell r="A2724">
            <v>31102192</v>
          </cell>
          <cell r="C2724">
            <v>31102192</v>
          </cell>
          <cell r="D2724">
            <v>31102192</v>
          </cell>
          <cell r="E2724">
            <v>31102192</v>
          </cell>
          <cell r="F2724">
            <v>31102192</v>
          </cell>
          <cell r="G2724">
            <v>31102192</v>
          </cell>
          <cell r="H2724">
            <v>31102192</v>
          </cell>
          <cell r="I2724" t="str">
            <v/>
          </cell>
          <cell r="J2724" t="str">
            <v/>
          </cell>
          <cell r="K2724" t="str">
            <v/>
          </cell>
          <cell r="L2724" t="str">
            <v/>
          </cell>
          <cell r="M2724" t="str">
            <v/>
          </cell>
        </row>
        <row r="2725">
          <cell r="A2725">
            <v>31102192</v>
          </cell>
          <cell r="C2725">
            <v>31102192</v>
          </cell>
          <cell r="D2725">
            <v>31102192</v>
          </cell>
          <cell r="E2725">
            <v>31102192</v>
          </cell>
          <cell r="F2725">
            <v>31102192</v>
          </cell>
          <cell r="G2725">
            <v>31102192</v>
          </cell>
          <cell r="H2725">
            <v>31102192</v>
          </cell>
          <cell r="I2725" t="str">
            <v/>
          </cell>
          <cell r="J2725" t="str">
            <v/>
          </cell>
          <cell r="K2725" t="str">
            <v/>
          </cell>
          <cell r="L2725" t="str">
            <v/>
          </cell>
          <cell r="M2725" t="str">
            <v/>
          </cell>
        </row>
        <row r="2726">
          <cell r="A2726">
            <v>31102192</v>
          </cell>
          <cell r="C2726">
            <v>31102192</v>
          </cell>
          <cell r="D2726">
            <v>31102192</v>
          </cell>
          <cell r="E2726">
            <v>31102192</v>
          </cell>
          <cell r="F2726">
            <v>31102192</v>
          </cell>
          <cell r="G2726">
            <v>31102192</v>
          </cell>
          <cell r="H2726">
            <v>31102192</v>
          </cell>
          <cell r="I2726" t="str">
            <v/>
          </cell>
          <cell r="J2726" t="str">
            <v/>
          </cell>
          <cell r="K2726" t="str">
            <v/>
          </cell>
          <cell r="L2726" t="str">
            <v/>
          </cell>
          <cell r="M2726" t="str">
            <v/>
          </cell>
        </row>
        <row r="2727">
          <cell r="A2727">
            <v>31102192</v>
          </cell>
          <cell r="C2727">
            <v>31102192</v>
          </cell>
          <cell r="D2727">
            <v>31102192</v>
          </cell>
          <cell r="E2727">
            <v>31102192</v>
          </cell>
          <cell r="F2727">
            <v>31102192</v>
          </cell>
          <cell r="G2727">
            <v>31102192</v>
          </cell>
          <cell r="H2727">
            <v>31102192</v>
          </cell>
          <cell r="I2727" t="str">
            <v/>
          </cell>
          <cell r="J2727" t="str">
            <v/>
          </cell>
          <cell r="K2727" t="str">
            <v/>
          </cell>
          <cell r="L2727" t="str">
            <v/>
          </cell>
          <cell r="M2727" t="str">
            <v/>
          </cell>
        </row>
        <row r="2728">
          <cell r="A2728">
            <v>31102192</v>
          </cell>
          <cell r="C2728">
            <v>31102192</v>
          </cell>
          <cell r="D2728">
            <v>31102192</v>
          </cell>
          <cell r="E2728">
            <v>31102192</v>
          </cell>
          <cell r="F2728">
            <v>31102192</v>
          </cell>
          <cell r="G2728">
            <v>31102192</v>
          </cell>
          <cell r="H2728">
            <v>31102192</v>
          </cell>
          <cell r="I2728" t="str">
            <v/>
          </cell>
          <cell r="J2728" t="str">
            <v/>
          </cell>
          <cell r="K2728" t="str">
            <v/>
          </cell>
          <cell r="L2728" t="str">
            <v/>
          </cell>
          <cell r="M2728" t="str">
            <v/>
          </cell>
        </row>
        <row r="2729">
          <cell r="A2729">
            <v>31102192</v>
          </cell>
          <cell r="C2729">
            <v>31102192</v>
          </cell>
          <cell r="D2729">
            <v>31102192</v>
          </cell>
          <cell r="E2729">
            <v>31102192</v>
          </cell>
          <cell r="F2729">
            <v>31102192</v>
          </cell>
          <cell r="G2729">
            <v>31102192</v>
          </cell>
          <cell r="H2729">
            <v>31102192</v>
          </cell>
          <cell r="I2729" t="str">
            <v/>
          </cell>
          <cell r="J2729" t="str">
            <v/>
          </cell>
          <cell r="K2729" t="str">
            <v/>
          </cell>
          <cell r="L2729" t="str">
            <v/>
          </cell>
          <cell r="M2729" t="str">
            <v/>
          </cell>
        </row>
        <row r="2730">
          <cell r="A2730">
            <v>31102192</v>
          </cell>
          <cell r="C2730">
            <v>31102192</v>
          </cell>
          <cell r="D2730">
            <v>31102192</v>
          </cell>
          <cell r="E2730">
            <v>31102192</v>
          </cell>
          <cell r="F2730">
            <v>31102192</v>
          </cell>
          <cell r="G2730">
            <v>31102192</v>
          </cell>
          <cell r="H2730">
            <v>31102192</v>
          </cell>
          <cell r="I2730" t="str">
            <v/>
          </cell>
          <cell r="J2730" t="str">
            <v/>
          </cell>
          <cell r="K2730" t="str">
            <v/>
          </cell>
          <cell r="L2730" t="str">
            <v/>
          </cell>
          <cell r="M2730" t="str">
            <v/>
          </cell>
        </row>
        <row r="2731">
          <cell r="A2731">
            <v>31102192</v>
          </cell>
          <cell r="C2731">
            <v>31102192</v>
          </cell>
          <cell r="D2731">
            <v>31102192</v>
          </cell>
          <cell r="E2731">
            <v>31102192</v>
          </cell>
          <cell r="F2731">
            <v>31102192</v>
          </cell>
          <cell r="G2731">
            <v>31102192</v>
          </cell>
          <cell r="H2731">
            <v>31102192</v>
          </cell>
          <cell r="I2731" t="str">
            <v/>
          </cell>
          <cell r="J2731" t="str">
            <v/>
          </cell>
          <cell r="K2731" t="str">
            <v/>
          </cell>
          <cell r="L2731" t="str">
            <v/>
          </cell>
          <cell r="M2731" t="str">
            <v/>
          </cell>
        </row>
        <row r="2732">
          <cell r="A2732">
            <v>31102192</v>
          </cell>
          <cell r="C2732">
            <v>31102192</v>
          </cell>
          <cell r="D2732">
            <v>31102192</v>
          </cell>
          <cell r="E2732">
            <v>31102192</v>
          </cell>
          <cell r="F2732">
            <v>31102192</v>
          </cell>
          <cell r="G2732">
            <v>31102192</v>
          </cell>
          <cell r="H2732">
            <v>31102192</v>
          </cell>
          <cell r="I2732" t="str">
            <v/>
          </cell>
          <cell r="J2732" t="str">
            <v/>
          </cell>
          <cell r="K2732" t="str">
            <v/>
          </cell>
          <cell r="L2732" t="str">
            <v/>
          </cell>
          <cell r="M2732" t="str">
            <v/>
          </cell>
        </row>
        <row r="2733">
          <cell r="A2733">
            <v>31102192</v>
          </cell>
          <cell r="C2733">
            <v>31102192</v>
          </cell>
          <cell r="D2733">
            <v>31102192</v>
          </cell>
          <cell r="E2733">
            <v>31102192</v>
          </cell>
          <cell r="F2733">
            <v>31102192</v>
          </cell>
          <cell r="G2733">
            <v>31102192</v>
          </cell>
          <cell r="H2733">
            <v>31102192</v>
          </cell>
          <cell r="I2733" t="str">
            <v/>
          </cell>
          <cell r="J2733" t="str">
            <v/>
          </cell>
          <cell r="K2733" t="str">
            <v/>
          </cell>
          <cell r="L2733" t="str">
            <v/>
          </cell>
          <cell r="M2733" t="str">
            <v/>
          </cell>
        </row>
        <row r="2734">
          <cell r="A2734">
            <v>31102192</v>
          </cell>
          <cell r="C2734">
            <v>31102192</v>
          </cell>
          <cell r="D2734">
            <v>31102192</v>
          </cell>
          <cell r="E2734">
            <v>31102192</v>
          </cell>
          <cell r="F2734">
            <v>31102192</v>
          </cell>
          <cell r="G2734">
            <v>31102192</v>
          </cell>
          <cell r="H2734">
            <v>31102192</v>
          </cell>
          <cell r="I2734" t="str">
            <v/>
          </cell>
          <cell r="J2734" t="str">
            <v/>
          </cell>
          <cell r="K2734" t="str">
            <v/>
          </cell>
          <cell r="L2734" t="str">
            <v/>
          </cell>
          <cell r="M2734" t="str">
            <v/>
          </cell>
        </row>
        <row r="2735">
          <cell r="A2735">
            <v>31102192</v>
          </cell>
          <cell r="C2735">
            <v>31102192</v>
          </cell>
          <cell r="D2735">
            <v>31102192</v>
          </cell>
          <cell r="E2735">
            <v>31102192</v>
          </cell>
          <cell r="F2735">
            <v>31102192</v>
          </cell>
          <cell r="G2735">
            <v>31102192</v>
          </cell>
          <cell r="H2735">
            <v>31102192</v>
          </cell>
          <cell r="I2735" t="str">
            <v/>
          </cell>
          <cell r="J2735" t="str">
            <v/>
          </cell>
          <cell r="K2735" t="str">
            <v/>
          </cell>
          <cell r="L2735" t="str">
            <v/>
          </cell>
          <cell r="M2735" t="str">
            <v/>
          </cell>
        </row>
        <row r="2736">
          <cell r="A2736">
            <v>31102192</v>
          </cell>
          <cell r="C2736">
            <v>31102192</v>
          </cell>
          <cell r="D2736">
            <v>31102192</v>
          </cell>
          <cell r="E2736">
            <v>31102192</v>
          </cell>
          <cell r="F2736">
            <v>31102192</v>
          </cell>
          <cell r="G2736">
            <v>31102192</v>
          </cell>
          <cell r="H2736">
            <v>31102192</v>
          </cell>
          <cell r="I2736" t="str">
            <v/>
          </cell>
          <cell r="J2736" t="str">
            <v/>
          </cell>
          <cell r="K2736" t="str">
            <v/>
          </cell>
          <cell r="L2736" t="str">
            <v/>
          </cell>
          <cell r="M2736" t="str">
            <v/>
          </cell>
        </row>
        <row r="2737">
          <cell r="A2737">
            <v>31102192</v>
          </cell>
          <cell r="C2737">
            <v>31102192</v>
          </cell>
          <cell r="D2737">
            <v>31102192</v>
          </cell>
          <cell r="E2737">
            <v>31102192</v>
          </cell>
          <cell r="F2737">
            <v>31102192</v>
          </cell>
          <cell r="G2737">
            <v>31102192</v>
          </cell>
          <cell r="H2737">
            <v>31102192</v>
          </cell>
          <cell r="I2737" t="str">
            <v/>
          </cell>
          <cell r="J2737" t="str">
            <v/>
          </cell>
          <cell r="K2737" t="str">
            <v/>
          </cell>
          <cell r="L2737" t="str">
            <v/>
          </cell>
          <cell r="M2737" t="str">
            <v/>
          </cell>
        </row>
        <row r="2738">
          <cell r="A2738">
            <v>31102192</v>
          </cell>
          <cell r="C2738">
            <v>31102192</v>
          </cell>
          <cell r="D2738">
            <v>31102192</v>
          </cell>
          <cell r="E2738">
            <v>31102192</v>
          </cell>
          <cell r="F2738">
            <v>31102192</v>
          </cell>
          <cell r="G2738">
            <v>31102192</v>
          </cell>
          <cell r="H2738">
            <v>31102192</v>
          </cell>
          <cell r="I2738" t="str">
            <v/>
          </cell>
          <cell r="J2738" t="str">
            <v/>
          </cell>
          <cell r="K2738" t="str">
            <v/>
          </cell>
          <cell r="L2738" t="str">
            <v/>
          </cell>
          <cell r="M2738" t="str">
            <v/>
          </cell>
        </row>
        <row r="2739">
          <cell r="A2739">
            <v>31102192</v>
          </cell>
          <cell r="C2739">
            <v>31102192</v>
          </cell>
          <cell r="D2739">
            <v>31102192</v>
          </cell>
          <cell r="E2739">
            <v>31102192</v>
          </cell>
          <cell r="F2739">
            <v>31102192</v>
          </cell>
          <cell r="G2739">
            <v>31102192</v>
          </cell>
          <cell r="H2739">
            <v>31102192</v>
          </cell>
          <cell r="I2739" t="str">
            <v/>
          </cell>
          <cell r="J2739" t="str">
            <v/>
          </cell>
          <cell r="K2739" t="str">
            <v/>
          </cell>
          <cell r="L2739" t="str">
            <v/>
          </cell>
          <cell r="M2739" t="str">
            <v/>
          </cell>
        </row>
        <row r="2740">
          <cell r="A2740">
            <v>31102192</v>
          </cell>
          <cell r="C2740">
            <v>31102192</v>
          </cell>
          <cell r="D2740">
            <v>31102192</v>
          </cell>
          <cell r="E2740">
            <v>31102192</v>
          </cell>
          <cell r="F2740">
            <v>31102192</v>
          </cell>
          <cell r="G2740">
            <v>31102192</v>
          </cell>
          <cell r="H2740">
            <v>31102192</v>
          </cell>
          <cell r="I2740" t="str">
            <v/>
          </cell>
          <cell r="J2740" t="str">
            <v/>
          </cell>
          <cell r="K2740" t="str">
            <v/>
          </cell>
          <cell r="L2740" t="str">
            <v/>
          </cell>
          <cell r="M2740" t="str">
            <v/>
          </cell>
        </row>
        <row r="2741">
          <cell r="A2741">
            <v>31102192</v>
          </cell>
          <cell r="C2741">
            <v>31102192</v>
          </cell>
          <cell r="D2741">
            <v>31102192</v>
          </cell>
          <cell r="E2741">
            <v>31102192</v>
          </cell>
          <cell r="F2741">
            <v>31102192</v>
          </cell>
          <cell r="G2741">
            <v>31102192</v>
          </cell>
          <cell r="H2741">
            <v>31102192</v>
          </cell>
          <cell r="I2741" t="str">
            <v/>
          </cell>
          <cell r="J2741" t="str">
            <v/>
          </cell>
          <cell r="K2741" t="str">
            <v/>
          </cell>
          <cell r="L2741" t="str">
            <v/>
          </cell>
          <cell r="M2741" t="str">
            <v/>
          </cell>
        </row>
        <row r="2742">
          <cell r="A2742">
            <v>31102192</v>
          </cell>
          <cell r="C2742">
            <v>31102192</v>
          </cell>
          <cell r="D2742">
            <v>31102192</v>
          </cell>
          <cell r="E2742">
            <v>31102192</v>
          </cell>
          <cell r="F2742">
            <v>31102192</v>
          </cell>
          <cell r="G2742">
            <v>31102192</v>
          </cell>
          <cell r="H2742">
            <v>31102192</v>
          </cell>
          <cell r="I2742" t="str">
            <v/>
          </cell>
          <cell r="J2742" t="str">
            <v/>
          </cell>
          <cell r="K2742" t="str">
            <v/>
          </cell>
          <cell r="L2742" t="str">
            <v/>
          </cell>
          <cell r="M2742" t="str">
            <v/>
          </cell>
        </row>
        <row r="2743">
          <cell r="A2743">
            <v>31102192</v>
          </cell>
          <cell r="C2743">
            <v>31102192</v>
          </cell>
          <cell r="D2743">
            <v>31102192</v>
          </cell>
          <cell r="E2743">
            <v>31102192</v>
          </cell>
          <cell r="F2743">
            <v>31102192</v>
          </cell>
          <cell r="G2743">
            <v>31102192</v>
          </cell>
          <cell r="H2743">
            <v>31102192</v>
          </cell>
          <cell r="I2743" t="str">
            <v/>
          </cell>
          <cell r="J2743" t="str">
            <v/>
          </cell>
          <cell r="K2743" t="str">
            <v/>
          </cell>
          <cell r="L2743" t="str">
            <v/>
          </cell>
          <cell r="M2743" t="str">
            <v/>
          </cell>
        </row>
        <row r="2744">
          <cell r="A2744">
            <v>31102192</v>
          </cell>
          <cell r="C2744">
            <v>31102192</v>
          </cell>
          <cell r="D2744">
            <v>31102192</v>
          </cell>
          <cell r="E2744">
            <v>31102192</v>
          </cell>
          <cell r="F2744">
            <v>31102192</v>
          </cell>
          <cell r="G2744">
            <v>31102192</v>
          </cell>
          <cell r="H2744">
            <v>31102192</v>
          </cell>
          <cell r="I2744" t="str">
            <v/>
          </cell>
          <cell r="J2744" t="str">
            <v/>
          </cell>
          <cell r="K2744" t="str">
            <v/>
          </cell>
          <cell r="L2744" t="str">
            <v/>
          </cell>
          <cell r="M2744" t="str">
            <v/>
          </cell>
        </row>
        <row r="2745">
          <cell r="A2745">
            <v>31102192</v>
          </cell>
          <cell r="C2745">
            <v>31102192</v>
          </cell>
          <cell r="D2745">
            <v>31102192</v>
          </cell>
          <cell r="E2745">
            <v>31102192</v>
          </cell>
          <cell r="F2745">
            <v>31102192</v>
          </cell>
          <cell r="G2745">
            <v>31102192</v>
          </cell>
          <cell r="H2745">
            <v>31102192</v>
          </cell>
          <cell r="I2745" t="str">
            <v/>
          </cell>
          <cell r="J2745" t="str">
            <v/>
          </cell>
          <cell r="K2745" t="str">
            <v/>
          </cell>
          <cell r="L2745" t="str">
            <v/>
          </cell>
          <cell r="M2745" t="str">
            <v/>
          </cell>
        </row>
        <row r="2746">
          <cell r="A2746">
            <v>31102192</v>
          </cell>
          <cell r="C2746">
            <v>31102192</v>
          </cell>
          <cell r="D2746">
            <v>31102192</v>
          </cell>
          <cell r="E2746">
            <v>31102192</v>
          </cell>
          <cell r="F2746">
            <v>31102192</v>
          </cell>
          <cell r="G2746">
            <v>31102192</v>
          </cell>
          <cell r="H2746">
            <v>31102192</v>
          </cell>
          <cell r="I2746" t="str">
            <v/>
          </cell>
          <cell r="J2746" t="str">
            <v/>
          </cell>
          <cell r="K2746" t="str">
            <v/>
          </cell>
          <cell r="L2746" t="str">
            <v/>
          </cell>
          <cell r="M2746" t="str">
            <v/>
          </cell>
        </row>
        <row r="2747">
          <cell r="A2747">
            <v>31102192</v>
          </cell>
          <cell r="C2747">
            <v>31102192</v>
          </cell>
          <cell r="D2747">
            <v>31102192</v>
          </cell>
          <cell r="E2747">
            <v>31102192</v>
          </cell>
          <cell r="F2747">
            <v>31102192</v>
          </cell>
          <cell r="G2747">
            <v>31102192</v>
          </cell>
          <cell r="H2747">
            <v>31102192</v>
          </cell>
          <cell r="I2747" t="str">
            <v/>
          </cell>
          <cell r="J2747" t="str">
            <v/>
          </cell>
          <cell r="K2747" t="str">
            <v/>
          </cell>
          <cell r="L2747" t="str">
            <v/>
          </cell>
          <cell r="M2747" t="str">
            <v/>
          </cell>
        </row>
        <row r="2748">
          <cell r="A2748">
            <v>31102192</v>
          </cell>
          <cell r="C2748">
            <v>31102192</v>
          </cell>
          <cell r="D2748">
            <v>31102192</v>
          </cell>
          <cell r="E2748">
            <v>31102192</v>
          </cell>
          <cell r="F2748">
            <v>31102192</v>
          </cell>
          <cell r="G2748">
            <v>31102192</v>
          </cell>
          <cell r="H2748">
            <v>31102192</v>
          </cell>
          <cell r="I2748" t="str">
            <v/>
          </cell>
          <cell r="J2748" t="str">
            <v/>
          </cell>
          <cell r="K2748" t="str">
            <v/>
          </cell>
          <cell r="L2748" t="str">
            <v/>
          </cell>
          <cell r="M2748" t="str">
            <v/>
          </cell>
        </row>
        <row r="2749">
          <cell r="A2749">
            <v>31102192</v>
          </cell>
          <cell r="C2749">
            <v>31102192</v>
          </cell>
          <cell r="D2749">
            <v>31102192</v>
          </cell>
          <cell r="E2749">
            <v>31102192</v>
          </cell>
          <cell r="F2749">
            <v>31102192</v>
          </cell>
          <cell r="G2749">
            <v>31102192</v>
          </cell>
          <cell r="H2749">
            <v>31102192</v>
          </cell>
          <cell r="I2749" t="str">
            <v/>
          </cell>
          <cell r="J2749" t="str">
            <v/>
          </cell>
          <cell r="K2749" t="str">
            <v/>
          </cell>
          <cell r="L2749" t="str">
            <v/>
          </cell>
          <cell r="M2749" t="str">
            <v/>
          </cell>
        </row>
        <row r="2750">
          <cell r="A2750">
            <v>31102192</v>
          </cell>
          <cell r="C2750">
            <v>31102192</v>
          </cell>
          <cell r="D2750">
            <v>31102192</v>
          </cell>
          <cell r="E2750">
            <v>31102192</v>
          </cell>
          <cell r="F2750">
            <v>31102192</v>
          </cell>
          <cell r="G2750">
            <v>31102192</v>
          </cell>
          <cell r="H2750">
            <v>31102192</v>
          </cell>
          <cell r="I2750" t="str">
            <v/>
          </cell>
          <cell r="J2750" t="str">
            <v/>
          </cell>
          <cell r="K2750" t="str">
            <v/>
          </cell>
          <cell r="L2750" t="str">
            <v/>
          </cell>
          <cell r="M2750" t="str">
            <v/>
          </cell>
        </row>
        <row r="2751">
          <cell r="A2751">
            <v>31102192</v>
          </cell>
          <cell r="C2751">
            <v>31102192</v>
          </cell>
          <cell r="D2751">
            <v>31102192</v>
          </cell>
          <cell r="E2751">
            <v>31102192</v>
          </cell>
          <cell r="F2751">
            <v>31102192</v>
          </cell>
          <cell r="G2751">
            <v>31102192</v>
          </cell>
          <cell r="H2751">
            <v>31102192</v>
          </cell>
          <cell r="I2751" t="str">
            <v/>
          </cell>
          <cell r="J2751" t="str">
            <v/>
          </cell>
          <cell r="K2751" t="str">
            <v/>
          </cell>
          <cell r="L2751" t="str">
            <v/>
          </cell>
          <cell r="M2751" t="str">
            <v/>
          </cell>
        </row>
        <row r="2752">
          <cell r="A2752">
            <v>31102192</v>
          </cell>
          <cell r="C2752">
            <v>31102192</v>
          </cell>
          <cell r="D2752">
            <v>31102192</v>
          </cell>
          <cell r="E2752">
            <v>31102192</v>
          </cell>
          <cell r="F2752">
            <v>31102192</v>
          </cell>
          <cell r="G2752">
            <v>31102192</v>
          </cell>
          <cell r="H2752">
            <v>31102192</v>
          </cell>
          <cell r="I2752" t="str">
            <v/>
          </cell>
          <cell r="J2752" t="str">
            <v/>
          </cell>
          <cell r="K2752" t="str">
            <v/>
          </cell>
          <cell r="L2752" t="str">
            <v/>
          </cell>
          <cell r="M2752" t="str">
            <v/>
          </cell>
        </row>
        <row r="2753">
          <cell r="A2753">
            <v>31102192</v>
          </cell>
          <cell r="C2753">
            <v>31102192</v>
          </cell>
          <cell r="D2753">
            <v>31102192</v>
          </cell>
          <cell r="E2753">
            <v>31102192</v>
          </cell>
          <cell r="F2753">
            <v>31102192</v>
          </cell>
          <cell r="G2753">
            <v>31102192</v>
          </cell>
          <cell r="H2753">
            <v>31102192</v>
          </cell>
          <cell r="I2753" t="str">
            <v/>
          </cell>
          <cell r="J2753" t="str">
            <v/>
          </cell>
          <cell r="K2753" t="str">
            <v/>
          </cell>
          <cell r="L2753" t="str">
            <v/>
          </cell>
          <cell r="M2753" t="str">
            <v/>
          </cell>
        </row>
        <row r="2754">
          <cell r="A2754">
            <v>31102192</v>
          </cell>
          <cell r="C2754">
            <v>31102192</v>
          </cell>
          <cell r="D2754">
            <v>31102192</v>
          </cell>
          <cell r="E2754">
            <v>31102192</v>
          </cell>
          <cell r="F2754">
            <v>31102192</v>
          </cell>
          <cell r="G2754">
            <v>31102192</v>
          </cell>
          <cell r="H2754">
            <v>31102192</v>
          </cell>
          <cell r="I2754" t="str">
            <v/>
          </cell>
          <cell r="J2754" t="str">
            <v/>
          </cell>
          <cell r="K2754" t="str">
            <v/>
          </cell>
          <cell r="L2754" t="str">
            <v/>
          </cell>
          <cell r="M2754" t="str">
            <v/>
          </cell>
        </row>
        <row r="2755">
          <cell r="A2755">
            <v>31102192</v>
          </cell>
          <cell r="C2755">
            <v>31102192</v>
          </cell>
          <cell r="D2755">
            <v>31102192</v>
          </cell>
          <cell r="E2755">
            <v>31102192</v>
          </cell>
          <cell r="F2755">
            <v>31102192</v>
          </cell>
          <cell r="G2755">
            <v>31102192</v>
          </cell>
          <cell r="H2755">
            <v>31102192</v>
          </cell>
          <cell r="I2755" t="str">
            <v/>
          </cell>
          <cell r="J2755" t="str">
            <v/>
          </cell>
          <cell r="K2755" t="str">
            <v/>
          </cell>
          <cell r="L2755" t="str">
            <v/>
          </cell>
          <cell r="M2755" t="str">
            <v/>
          </cell>
        </row>
        <row r="2756">
          <cell r="A2756">
            <v>31102192</v>
          </cell>
          <cell r="C2756">
            <v>31102192</v>
          </cell>
          <cell r="D2756">
            <v>31102192</v>
          </cell>
          <cell r="E2756">
            <v>31102192</v>
          </cell>
          <cell r="F2756">
            <v>31102192</v>
          </cell>
          <cell r="G2756">
            <v>31102192</v>
          </cell>
          <cell r="H2756">
            <v>31102192</v>
          </cell>
          <cell r="I2756" t="str">
            <v/>
          </cell>
          <cell r="J2756" t="str">
            <v/>
          </cell>
          <cell r="K2756" t="str">
            <v/>
          </cell>
          <cell r="L2756" t="str">
            <v/>
          </cell>
          <cell r="M2756" t="str">
            <v/>
          </cell>
        </row>
        <row r="2757">
          <cell r="A2757">
            <v>31102192</v>
          </cell>
          <cell r="C2757">
            <v>31102192</v>
          </cell>
          <cell r="D2757">
            <v>31102192</v>
          </cell>
          <cell r="E2757">
            <v>31102192</v>
          </cell>
          <cell r="F2757">
            <v>31102192</v>
          </cell>
          <cell r="G2757">
            <v>31102192</v>
          </cell>
          <cell r="H2757">
            <v>31102192</v>
          </cell>
          <cell r="I2757" t="str">
            <v/>
          </cell>
          <cell r="J2757" t="str">
            <v/>
          </cell>
          <cell r="K2757" t="str">
            <v/>
          </cell>
          <cell r="L2757" t="str">
            <v/>
          </cell>
          <cell r="M2757" t="str">
            <v/>
          </cell>
        </row>
        <row r="2758">
          <cell r="A2758">
            <v>31102192</v>
          </cell>
          <cell r="C2758">
            <v>31102192</v>
          </cell>
          <cell r="D2758">
            <v>31102192</v>
          </cell>
          <cell r="E2758">
            <v>31102192</v>
          </cell>
          <cell r="F2758">
            <v>31102192</v>
          </cell>
          <cell r="G2758">
            <v>31102192</v>
          </cell>
          <cell r="H2758">
            <v>31102192</v>
          </cell>
          <cell r="I2758" t="str">
            <v/>
          </cell>
          <cell r="J2758" t="str">
            <v/>
          </cell>
          <cell r="K2758" t="str">
            <v/>
          </cell>
          <cell r="L2758" t="str">
            <v/>
          </cell>
          <cell r="M2758" t="str">
            <v/>
          </cell>
        </row>
        <row r="2759">
          <cell r="A2759">
            <v>31102192</v>
          </cell>
          <cell r="C2759">
            <v>31102192</v>
          </cell>
          <cell r="D2759">
            <v>31102192</v>
          </cell>
          <cell r="E2759">
            <v>31102192</v>
          </cell>
          <cell r="F2759">
            <v>31102192</v>
          </cell>
          <cell r="G2759">
            <v>31102192</v>
          </cell>
          <cell r="H2759">
            <v>31102192</v>
          </cell>
          <cell r="I2759" t="str">
            <v/>
          </cell>
          <cell r="J2759" t="str">
            <v/>
          </cell>
          <cell r="K2759" t="str">
            <v/>
          </cell>
          <cell r="L2759" t="str">
            <v/>
          </cell>
          <cell r="M2759" t="str">
            <v/>
          </cell>
        </row>
        <row r="2760">
          <cell r="A2760">
            <v>31102192</v>
          </cell>
          <cell r="C2760">
            <v>31102192</v>
          </cell>
          <cell r="D2760">
            <v>31102192</v>
          </cell>
          <cell r="E2760">
            <v>31102192</v>
          </cell>
          <cell r="F2760">
            <v>31102192</v>
          </cell>
          <cell r="G2760">
            <v>31102192</v>
          </cell>
          <cell r="H2760">
            <v>31102192</v>
          </cell>
          <cell r="I2760" t="str">
            <v/>
          </cell>
          <cell r="J2760" t="str">
            <v/>
          </cell>
          <cell r="K2760" t="str">
            <v/>
          </cell>
          <cell r="L2760" t="str">
            <v/>
          </cell>
          <cell r="M2760" t="str">
            <v/>
          </cell>
        </row>
        <row r="2761">
          <cell r="A2761">
            <v>31102192</v>
          </cell>
          <cell r="C2761">
            <v>31102192</v>
          </cell>
          <cell r="D2761">
            <v>31102192</v>
          </cell>
          <cell r="E2761">
            <v>31102192</v>
          </cell>
          <cell r="F2761">
            <v>31102192</v>
          </cell>
          <cell r="G2761">
            <v>31102192</v>
          </cell>
          <cell r="H2761">
            <v>31102192</v>
          </cell>
          <cell r="I2761" t="str">
            <v/>
          </cell>
          <cell r="J2761" t="str">
            <v/>
          </cell>
          <cell r="K2761" t="str">
            <v/>
          </cell>
          <cell r="L2761" t="str">
            <v/>
          </cell>
          <cell r="M2761" t="str">
            <v/>
          </cell>
        </row>
        <row r="2762">
          <cell r="A2762">
            <v>31102192</v>
          </cell>
          <cell r="C2762">
            <v>31102192</v>
          </cell>
          <cell r="D2762">
            <v>31102192</v>
          </cell>
          <cell r="E2762">
            <v>31102192</v>
          </cell>
          <cell r="F2762">
            <v>31102192</v>
          </cell>
          <cell r="G2762">
            <v>31102192</v>
          </cell>
          <cell r="H2762">
            <v>31102192</v>
          </cell>
          <cell r="I2762" t="str">
            <v/>
          </cell>
          <cell r="J2762" t="str">
            <v/>
          </cell>
          <cell r="K2762" t="str">
            <v/>
          </cell>
          <cell r="L2762" t="str">
            <v/>
          </cell>
          <cell r="M2762" t="str">
            <v/>
          </cell>
        </row>
        <row r="2763">
          <cell r="A2763">
            <v>31102192</v>
          </cell>
          <cell r="C2763">
            <v>31102192</v>
          </cell>
          <cell r="D2763">
            <v>31102192</v>
          </cell>
          <cell r="E2763">
            <v>31102192</v>
          </cell>
          <cell r="F2763">
            <v>31102192</v>
          </cell>
          <cell r="G2763">
            <v>31102192</v>
          </cell>
          <cell r="H2763">
            <v>31102192</v>
          </cell>
          <cell r="I2763" t="str">
            <v/>
          </cell>
          <cell r="J2763" t="str">
            <v/>
          </cell>
          <cell r="K2763" t="str">
            <v/>
          </cell>
          <cell r="L2763" t="str">
            <v/>
          </cell>
          <cell r="M2763" t="str">
            <v/>
          </cell>
        </row>
        <row r="2764">
          <cell r="A2764">
            <v>31102192</v>
          </cell>
          <cell r="C2764">
            <v>31102192</v>
          </cell>
          <cell r="D2764">
            <v>31102192</v>
          </cell>
          <cell r="E2764">
            <v>31102192</v>
          </cell>
          <cell r="F2764">
            <v>31102192</v>
          </cell>
          <cell r="G2764">
            <v>31102192</v>
          </cell>
          <cell r="H2764">
            <v>31102192</v>
          </cell>
          <cell r="I2764" t="str">
            <v/>
          </cell>
          <cell r="J2764" t="str">
            <v/>
          </cell>
          <cell r="K2764" t="str">
            <v/>
          </cell>
          <cell r="L2764" t="str">
            <v/>
          </cell>
          <cell r="M2764" t="str">
            <v/>
          </cell>
        </row>
        <row r="2765">
          <cell r="A2765">
            <v>31102192</v>
          </cell>
          <cell r="C2765">
            <v>31102192</v>
          </cell>
          <cell r="D2765">
            <v>31102192</v>
          </cell>
          <cell r="E2765">
            <v>31102192</v>
          </cell>
          <cell r="F2765">
            <v>31102192</v>
          </cell>
          <cell r="G2765">
            <v>31102192</v>
          </cell>
          <cell r="H2765">
            <v>31102192</v>
          </cell>
          <cell r="I2765" t="str">
            <v/>
          </cell>
          <cell r="J2765" t="str">
            <v/>
          </cell>
          <cell r="K2765" t="str">
            <v/>
          </cell>
          <cell r="L2765" t="str">
            <v/>
          </cell>
          <cell r="M2765" t="str">
            <v/>
          </cell>
        </row>
        <row r="2766">
          <cell r="A2766">
            <v>31102192</v>
          </cell>
          <cell r="C2766">
            <v>31102192</v>
          </cell>
          <cell r="D2766">
            <v>31102192</v>
          </cell>
          <cell r="E2766">
            <v>31102192</v>
          </cell>
          <cell r="F2766">
            <v>31102192</v>
          </cell>
          <cell r="G2766">
            <v>31102192</v>
          </cell>
          <cell r="H2766">
            <v>31102192</v>
          </cell>
          <cell r="I2766" t="str">
            <v/>
          </cell>
          <cell r="J2766" t="str">
            <v/>
          </cell>
          <cell r="K2766" t="str">
            <v/>
          </cell>
          <cell r="L2766" t="str">
            <v/>
          </cell>
          <cell r="M2766" t="str">
            <v/>
          </cell>
        </row>
        <row r="2767">
          <cell r="A2767">
            <v>31102192</v>
          </cell>
          <cell r="C2767">
            <v>31102192</v>
          </cell>
          <cell r="D2767">
            <v>31102192</v>
          </cell>
          <cell r="E2767">
            <v>31102192</v>
          </cell>
          <cell r="F2767">
            <v>31102192</v>
          </cell>
          <cell r="G2767">
            <v>31102192</v>
          </cell>
          <cell r="H2767">
            <v>31102192</v>
          </cell>
          <cell r="I2767" t="str">
            <v/>
          </cell>
          <cell r="J2767" t="str">
            <v/>
          </cell>
          <cell r="K2767" t="str">
            <v/>
          </cell>
          <cell r="L2767" t="str">
            <v/>
          </cell>
          <cell r="M2767" t="str">
            <v/>
          </cell>
        </row>
        <row r="2768">
          <cell r="A2768">
            <v>31102192</v>
          </cell>
          <cell r="C2768">
            <v>31102192</v>
          </cell>
          <cell r="D2768">
            <v>31102192</v>
          </cell>
          <cell r="E2768">
            <v>31102192</v>
          </cell>
          <cell r="F2768">
            <v>31102192</v>
          </cell>
          <cell r="G2768">
            <v>31102192</v>
          </cell>
          <cell r="H2768">
            <v>31102192</v>
          </cell>
          <cell r="I2768" t="str">
            <v/>
          </cell>
          <cell r="J2768" t="str">
            <v/>
          </cell>
          <cell r="K2768" t="str">
            <v/>
          </cell>
          <cell r="L2768" t="str">
            <v/>
          </cell>
          <cell r="M2768" t="str">
            <v/>
          </cell>
        </row>
        <row r="2769">
          <cell r="A2769">
            <v>31102192</v>
          </cell>
          <cell r="C2769">
            <v>31102192</v>
          </cell>
          <cell r="D2769">
            <v>31102192</v>
          </cell>
          <cell r="E2769">
            <v>31102192</v>
          </cell>
          <cell r="F2769">
            <v>31102192</v>
          </cell>
          <cell r="G2769">
            <v>31102192</v>
          </cell>
          <cell r="H2769">
            <v>31102192</v>
          </cell>
          <cell r="I2769" t="str">
            <v/>
          </cell>
          <cell r="J2769" t="str">
            <v/>
          </cell>
          <cell r="K2769" t="str">
            <v/>
          </cell>
          <cell r="L2769" t="str">
            <v/>
          </cell>
          <cell r="M2769" t="str">
            <v/>
          </cell>
        </row>
        <row r="2770">
          <cell r="A2770">
            <v>31102192</v>
          </cell>
          <cell r="C2770">
            <v>31102192</v>
          </cell>
          <cell r="D2770">
            <v>31102192</v>
          </cell>
          <cell r="E2770">
            <v>31102192</v>
          </cell>
          <cell r="F2770">
            <v>31102192</v>
          </cell>
          <cell r="G2770">
            <v>31102192</v>
          </cell>
          <cell r="H2770">
            <v>31102192</v>
          </cell>
          <cell r="I2770" t="str">
            <v/>
          </cell>
          <cell r="J2770" t="str">
            <v/>
          </cell>
          <cell r="K2770" t="str">
            <v/>
          </cell>
          <cell r="L2770" t="str">
            <v/>
          </cell>
          <cell r="M2770" t="str">
            <v/>
          </cell>
        </row>
        <row r="2771">
          <cell r="A2771">
            <v>31102192</v>
          </cell>
          <cell r="C2771">
            <v>31102192</v>
          </cell>
          <cell r="D2771">
            <v>31102192</v>
          </cell>
          <cell r="E2771">
            <v>31102192</v>
          </cell>
          <cell r="F2771">
            <v>31102192</v>
          </cell>
          <cell r="G2771">
            <v>31102192</v>
          </cell>
          <cell r="H2771">
            <v>31102192</v>
          </cell>
          <cell r="I2771" t="str">
            <v/>
          </cell>
          <cell r="J2771" t="str">
            <v/>
          </cell>
          <cell r="K2771" t="str">
            <v/>
          </cell>
          <cell r="L2771" t="str">
            <v/>
          </cell>
          <cell r="M2771" t="str">
            <v/>
          </cell>
        </row>
        <row r="2772">
          <cell r="A2772">
            <v>31102192</v>
          </cell>
          <cell r="C2772">
            <v>31102192</v>
          </cell>
          <cell r="D2772">
            <v>31102192</v>
          </cell>
          <cell r="E2772">
            <v>31102192</v>
          </cell>
          <cell r="F2772">
            <v>31102192</v>
          </cell>
          <cell r="G2772">
            <v>31102192</v>
          </cell>
          <cell r="H2772">
            <v>31102192</v>
          </cell>
          <cell r="I2772" t="str">
            <v/>
          </cell>
          <cell r="J2772" t="str">
            <v/>
          </cell>
          <cell r="K2772" t="str">
            <v/>
          </cell>
          <cell r="L2772" t="str">
            <v/>
          </cell>
          <cell r="M2772" t="str">
            <v/>
          </cell>
        </row>
        <row r="2773">
          <cell r="A2773">
            <v>31102192</v>
          </cell>
          <cell r="C2773">
            <v>31102192</v>
          </cell>
          <cell r="D2773">
            <v>31102192</v>
          </cell>
          <cell r="E2773">
            <v>31102192</v>
          </cell>
          <cell r="F2773">
            <v>31102192</v>
          </cell>
          <cell r="G2773">
            <v>31102192</v>
          </cell>
          <cell r="H2773">
            <v>31102192</v>
          </cell>
          <cell r="I2773" t="str">
            <v/>
          </cell>
          <cell r="J2773" t="str">
            <v/>
          </cell>
          <cell r="K2773" t="str">
            <v/>
          </cell>
          <cell r="L2773" t="str">
            <v/>
          </cell>
          <cell r="M2773" t="str">
            <v/>
          </cell>
        </row>
        <row r="2774">
          <cell r="A2774">
            <v>31102192</v>
          </cell>
          <cell r="C2774">
            <v>31102192</v>
          </cell>
          <cell r="D2774">
            <v>31102192</v>
          </cell>
          <cell r="E2774">
            <v>31102192</v>
          </cell>
          <cell r="F2774">
            <v>31102192</v>
          </cell>
          <cell r="G2774">
            <v>31102192</v>
          </cell>
          <cell r="H2774">
            <v>31102192</v>
          </cell>
          <cell r="I2774" t="str">
            <v/>
          </cell>
          <cell r="J2774" t="str">
            <v/>
          </cell>
          <cell r="K2774" t="str">
            <v/>
          </cell>
          <cell r="L2774" t="str">
            <v/>
          </cell>
          <cell r="M2774" t="str">
            <v/>
          </cell>
        </row>
        <row r="2775">
          <cell r="A2775">
            <v>31102192</v>
          </cell>
          <cell r="C2775">
            <v>31102192</v>
          </cell>
          <cell r="D2775">
            <v>31102192</v>
          </cell>
          <cell r="E2775">
            <v>31102192</v>
          </cell>
          <cell r="F2775">
            <v>31102192</v>
          </cell>
          <cell r="G2775">
            <v>31102192</v>
          </cell>
          <cell r="H2775">
            <v>31102192</v>
          </cell>
          <cell r="I2775" t="str">
            <v/>
          </cell>
          <cell r="J2775" t="str">
            <v/>
          </cell>
          <cell r="K2775" t="str">
            <v/>
          </cell>
          <cell r="L2775" t="str">
            <v/>
          </cell>
          <cell r="M2775" t="str">
            <v/>
          </cell>
        </row>
        <row r="2776">
          <cell r="A2776">
            <v>31102192</v>
          </cell>
          <cell r="C2776">
            <v>31102192</v>
          </cell>
          <cell r="D2776">
            <v>31102192</v>
          </cell>
          <cell r="E2776">
            <v>31102192</v>
          </cell>
          <cell r="F2776">
            <v>31102192</v>
          </cell>
          <cell r="G2776">
            <v>31102192</v>
          </cell>
          <cell r="H2776">
            <v>31102192</v>
          </cell>
          <cell r="I2776" t="str">
            <v/>
          </cell>
          <cell r="J2776" t="str">
            <v/>
          </cell>
          <cell r="K2776" t="str">
            <v/>
          </cell>
          <cell r="L2776" t="str">
            <v/>
          </cell>
          <cell r="M2776" t="str">
            <v/>
          </cell>
        </row>
        <row r="2777">
          <cell r="A2777">
            <v>31102192</v>
          </cell>
          <cell r="C2777">
            <v>31102192</v>
          </cell>
          <cell r="D2777">
            <v>31102192</v>
          </cell>
          <cell r="E2777">
            <v>31102192</v>
          </cell>
          <cell r="F2777">
            <v>31102192</v>
          </cell>
          <cell r="G2777">
            <v>31102192</v>
          </cell>
          <cell r="H2777">
            <v>31102192</v>
          </cell>
          <cell r="I2777" t="str">
            <v/>
          </cell>
          <cell r="J2777" t="str">
            <v/>
          </cell>
          <cell r="K2777" t="str">
            <v/>
          </cell>
          <cell r="L2777" t="str">
            <v/>
          </cell>
          <cell r="M2777" t="str">
            <v/>
          </cell>
        </row>
        <row r="2778">
          <cell r="A2778">
            <v>31102192</v>
          </cell>
          <cell r="C2778">
            <v>31102192</v>
          </cell>
          <cell r="D2778">
            <v>31102192</v>
          </cell>
          <cell r="E2778">
            <v>31102192</v>
          </cell>
          <cell r="F2778">
            <v>31102192</v>
          </cell>
          <cell r="G2778">
            <v>31102192</v>
          </cell>
          <cell r="H2778">
            <v>31102192</v>
          </cell>
          <cell r="I2778" t="str">
            <v/>
          </cell>
          <cell r="J2778" t="str">
            <v/>
          </cell>
          <cell r="K2778" t="str">
            <v/>
          </cell>
          <cell r="L2778" t="str">
            <v/>
          </cell>
          <cell r="M2778" t="str">
            <v/>
          </cell>
        </row>
        <row r="2779">
          <cell r="A2779">
            <v>31102192</v>
          </cell>
          <cell r="C2779">
            <v>31102192</v>
          </cell>
          <cell r="D2779">
            <v>31102192</v>
          </cell>
          <cell r="E2779">
            <v>31102192</v>
          </cell>
          <cell r="F2779">
            <v>31102192</v>
          </cell>
          <cell r="G2779">
            <v>31102192</v>
          </cell>
          <cell r="H2779">
            <v>31102192</v>
          </cell>
          <cell r="I2779" t="str">
            <v/>
          </cell>
          <cell r="J2779" t="str">
            <v/>
          </cell>
          <cell r="K2779" t="str">
            <v/>
          </cell>
          <cell r="L2779" t="str">
            <v/>
          </cell>
          <cell r="M2779" t="str">
            <v/>
          </cell>
        </row>
        <row r="2780">
          <cell r="A2780">
            <v>31102192</v>
          </cell>
          <cell r="C2780">
            <v>31102192</v>
          </cell>
          <cell r="D2780">
            <v>31102192</v>
          </cell>
          <cell r="E2780">
            <v>31102192</v>
          </cell>
          <cell r="F2780">
            <v>31102192</v>
          </cell>
          <cell r="G2780">
            <v>31102192</v>
          </cell>
          <cell r="H2780">
            <v>31102192</v>
          </cell>
          <cell r="I2780" t="str">
            <v/>
          </cell>
          <cell r="J2780" t="str">
            <v/>
          </cell>
          <cell r="K2780" t="str">
            <v/>
          </cell>
          <cell r="L2780" t="str">
            <v/>
          </cell>
          <cell r="M2780" t="str">
            <v/>
          </cell>
        </row>
        <row r="2781">
          <cell r="A2781">
            <v>31102192</v>
          </cell>
          <cell r="C2781">
            <v>31102192</v>
          </cell>
          <cell r="D2781">
            <v>31102192</v>
          </cell>
          <cell r="E2781">
            <v>31102192</v>
          </cell>
          <cell r="F2781">
            <v>31102192</v>
          </cell>
          <cell r="G2781">
            <v>31102192</v>
          </cell>
          <cell r="H2781">
            <v>31102192</v>
          </cell>
          <cell r="I2781" t="str">
            <v/>
          </cell>
          <cell r="J2781" t="str">
            <v/>
          </cell>
          <cell r="K2781" t="str">
            <v/>
          </cell>
          <cell r="L2781" t="str">
            <v/>
          </cell>
          <cell r="M2781" t="str">
            <v/>
          </cell>
        </row>
        <row r="2782">
          <cell r="A2782">
            <v>31102192</v>
          </cell>
          <cell r="C2782">
            <v>31102192</v>
          </cell>
          <cell r="D2782">
            <v>31102192</v>
          </cell>
          <cell r="E2782">
            <v>31102192</v>
          </cell>
          <cell r="F2782">
            <v>31102192</v>
          </cell>
          <cell r="G2782">
            <v>31102192</v>
          </cell>
          <cell r="H2782">
            <v>31102192</v>
          </cell>
          <cell r="I2782" t="str">
            <v/>
          </cell>
          <cell r="J2782" t="str">
            <v/>
          </cell>
          <cell r="K2782" t="str">
            <v/>
          </cell>
          <cell r="L2782" t="str">
            <v/>
          </cell>
          <cell r="M2782" t="str">
            <v/>
          </cell>
        </row>
        <row r="2783">
          <cell r="A2783">
            <v>31102192</v>
          </cell>
          <cell r="C2783">
            <v>31102192</v>
          </cell>
          <cell r="D2783">
            <v>31102192</v>
          </cell>
          <cell r="E2783">
            <v>31102192</v>
          </cell>
          <cell r="F2783">
            <v>31102192</v>
          </cell>
          <cell r="G2783">
            <v>31102192</v>
          </cell>
          <cell r="H2783">
            <v>31102192</v>
          </cell>
          <cell r="I2783" t="str">
            <v/>
          </cell>
          <cell r="J2783" t="str">
            <v/>
          </cell>
          <cell r="K2783" t="str">
            <v/>
          </cell>
          <cell r="L2783" t="str">
            <v/>
          </cell>
          <cell r="M2783" t="str">
            <v/>
          </cell>
        </row>
        <row r="2784">
          <cell r="A2784">
            <v>31102192</v>
          </cell>
          <cell r="C2784">
            <v>31102192</v>
          </cell>
          <cell r="D2784">
            <v>31102192</v>
          </cell>
          <cell r="E2784">
            <v>31102192</v>
          </cell>
          <cell r="F2784">
            <v>31102192</v>
          </cell>
          <cell r="G2784">
            <v>31102192</v>
          </cell>
          <cell r="H2784">
            <v>31102192</v>
          </cell>
          <cell r="I2784" t="str">
            <v/>
          </cell>
          <cell r="J2784" t="str">
            <v/>
          </cell>
          <cell r="K2784" t="str">
            <v/>
          </cell>
          <cell r="L2784" t="str">
            <v/>
          </cell>
          <cell r="M2784" t="str">
            <v/>
          </cell>
        </row>
        <row r="2785">
          <cell r="A2785">
            <v>31102192</v>
          </cell>
          <cell r="C2785">
            <v>31102192</v>
          </cell>
          <cell r="D2785">
            <v>31102192</v>
          </cell>
          <cell r="E2785">
            <v>31102192</v>
          </cell>
          <cell r="F2785">
            <v>31102192</v>
          </cell>
          <cell r="G2785">
            <v>31102192</v>
          </cell>
          <cell r="H2785">
            <v>31102192</v>
          </cell>
          <cell r="I2785" t="str">
            <v/>
          </cell>
          <cell r="J2785" t="str">
            <v/>
          </cell>
          <cell r="K2785" t="str">
            <v/>
          </cell>
          <cell r="L2785" t="str">
            <v/>
          </cell>
          <cell r="M2785" t="str">
            <v/>
          </cell>
        </row>
        <row r="2786">
          <cell r="A2786">
            <v>31102192</v>
          </cell>
          <cell r="C2786">
            <v>31102192</v>
          </cell>
          <cell r="D2786">
            <v>31102192</v>
          </cell>
          <cell r="E2786">
            <v>31102192</v>
          </cell>
          <cell r="F2786">
            <v>31102192</v>
          </cell>
          <cell r="G2786">
            <v>31102192</v>
          </cell>
          <cell r="H2786">
            <v>31102192</v>
          </cell>
          <cell r="I2786" t="str">
            <v/>
          </cell>
          <cell r="J2786" t="str">
            <v/>
          </cell>
          <cell r="K2786" t="str">
            <v/>
          </cell>
          <cell r="L2786" t="str">
            <v/>
          </cell>
          <cell r="M2786" t="str">
            <v/>
          </cell>
        </row>
        <row r="2787">
          <cell r="A2787">
            <v>31102192</v>
          </cell>
          <cell r="C2787">
            <v>31102192</v>
          </cell>
          <cell r="D2787">
            <v>31102192</v>
          </cell>
          <cell r="E2787">
            <v>31102192</v>
          </cell>
          <cell r="F2787">
            <v>31102192</v>
          </cell>
          <cell r="G2787">
            <v>31102192</v>
          </cell>
          <cell r="H2787">
            <v>31102192</v>
          </cell>
          <cell r="I2787" t="str">
            <v/>
          </cell>
          <cell r="J2787" t="str">
            <v/>
          </cell>
          <cell r="K2787" t="str">
            <v/>
          </cell>
          <cell r="L2787" t="str">
            <v/>
          </cell>
          <cell r="M2787" t="str">
            <v/>
          </cell>
        </row>
        <row r="2788">
          <cell r="A2788">
            <v>31102192</v>
          </cell>
          <cell r="C2788">
            <v>31102192</v>
          </cell>
          <cell r="D2788">
            <v>31102192</v>
          </cell>
          <cell r="E2788">
            <v>31102192</v>
          </cell>
          <cell r="F2788">
            <v>31102192</v>
          </cell>
          <cell r="G2788">
            <v>31102192</v>
          </cell>
          <cell r="H2788">
            <v>31102192</v>
          </cell>
          <cell r="I2788" t="str">
            <v/>
          </cell>
          <cell r="J2788" t="str">
            <v/>
          </cell>
          <cell r="K2788" t="str">
            <v/>
          </cell>
          <cell r="L2788" t="str">
            <v/>
          </cell>
          <cell r="M2788" t="str">
            <v/>
          </cell>
        </row>
        <row r="2789">
          <cell r="A2789">
            <v>31102192</v>
          </cell>
          <cell r="C2789">
            <v>31102192</v>
          </cell>
          <cell r="D2789">
            <v>31102192</v>
          </cell>
          <cell r="E2789">
            <v>31102192</v>
          </cell>
          <cell r="F2789">
            <v>31102192</v>
          </cell>
          <cell r="G2789">
            <v>31102192</v>
          </cell>
          <cell r="H2789">
            <v>31102192</v>
          </cell>
          <cell r="I2789" t="str">
            <v/>
          </cell>
          <cell r="J2789" t="str">
            <v/>
          </cell>
          <cell r="K2789" t="str">
            <v/>
          </cell>
          <cell r="L2789" t="str">
            <v/>
          </cell>
          <cell r="M2789" t="str">
            <v/>
          </cell>
        </row>
        <row r="2790">
          <cell r="A2790">
            <v>31102192</v>
          </cell>
          <cell r="C2790">
            <v>31102192</v>
          </cell>
          <cell r="D2790">
            <v>31102192</v>
          </cell>
          <cell r="E2790">
            <v>31102192</v>
          </cell>
          <cell r="F2790">
            <v>31102192</v>
          </cell>
          <cell r="G2790">
            <v>31102192</v>
          </cell>
          <cell r="H2790">
            <v>31102192</v>
          </cell>
          <cell r="I2790" t="str">
            <v/>
          </cell>
          <cell r="J2790" t="str">
            <v/>
          </cell>
          <cell r="K2790" t="str">
            <v/>
          </cell>
          <cell r="L2790" t="str">
            <v/>
          </cell>
          <cell r="M2790" t="str">
            <v/>
          </cell>
        </row>
        <row r="2791">
          <cell r="A2791">
            <v>31102192</v>
          </cell>
          <cell r="C2791">
            <v>31102192</v>
          </cell>
          <cell r="D2791">
            <v>31102192</v>
          </cell>
          <cell r="E2791">
            <v>31102192</v>
          </cell>
          <cell r="F2791">
            <v>31102192</v>
          </cell>
          <cell r="G2791">
            <v>31102192</v>
          </cell>
          <cell r="H2791">
            <v>31102192</v>
          </cell>
          <cell r="I2791" t="str">
            <v/>
          </cell>
          <cell r="J2791" t="str">
            <v/>
          </cell>
          <cell r="K2791" t="str">
            <v/>
          </cell>
          <cell r="L2791" t="str">
            <v/>
          </cell>
          <cell r="M2791" t="str">
            <v/>
          </cell>
        </row>
        <row r="2792">
          <cell r="A2792">
            <v>31102192</v>
          </cell>
          <cell r="C2792">
            <v>31102192</v>
          </cell>
          <cell r="D2792">
            <v>31102192</v>
          </cell>
          <cell r="E2792">
            <v>31102192</v>
          </cell>
          <cell r="F2792">
            <v>31102192</v>
          </cell>
          <cell r="G2792">
            <v>31102192</v>
          </cell>
          <cell r="H2792">
            <v>31102192</v>
          </cell>
          <cell r="I2792" t="str">
            <v/>
          </cell>
          <cell r="J2792" t="str">
            <v/>
          </cell>
          <cell r="K2792" t="str">
            <v/>
          </cell>
          <cell r="L2792" t="str">
            <v/>
          </cell>
          <cell r="M2792" t="str">
            <v/>
          </cell>
        </row>
        <row r="2793">
          <cell r="A2793">
            <v>31102192</v>
          </cell>
          <cell r="C2793">
            <v>31102192</v>
          </cell>
          <cell r="D2793">
            <v>31102192</v>
          </cell>
          <cell r="E2793">
            <v>31102192</v>
          </cell>
          <cell r="F2793">
            <v>31102192</v>
          </cell>
          <cell r="G2793">
            <v>31102192</v>
          </cell>
          <cell r="H2793">
            <v>31102192</v>
          </cell>
          <cell r="I2793" t="str">
            <v/>
          </cell>
          <cell r="J2793" t="str">
            <v/>
          </cell>
          <cell r="K2793" t="str">
            <v/>
          </cell>
          <cell r="L2793" t="str">
            <v/>
          </cell>
          <cell r="M2793" t="str">
            <v/>
          </cell>
        </row>
        <row r="2794">
          <cell r="A2794">
            <v>31102192</v>
          </cell>
          <cell r="C2794">
            <v>31102192</v>
          </cell>
          <cell r="D2794">
            <v>31102192</v>
          </cell>
          <cell r="E2794">
            <v>31102192</v>
          </cell>
          <cell r="F2794">
            <v>31102192</v>
          </cell>
          <cell r="G2794">
            <v>31102192</v>
          </cell>
          <cell r="H2794">
            <v>31102192</v>
          </cell>
          <cell r="I2794" t="str">
            <v/>
          </cell>
          <cell r="J2794" t="str">
            <v/>
          </cell>
          <cell r="K2794" t="str">
            <v/>
          </cell>
          <cell r="L2794" t="str">
            <v/>
          </cell>
          <cell r="M2794" t="str">
            <v/>
          </cell>
        </row>
        <row r="2795">
          <cell r="A2795">
            <v>31102192</v>
          </cell>
          <cell r="C2795">
            <v>31102192</v>
          </cell>
          <cell r="D2795">
            <v>31102192</v>
          </cell>
          <cell r="E2795">
            <v>31102192</v>
          </cell>
          <cell r="F2795">
            <v>31102192</v>
          </cell>
          <cell r="G2795">
            <v>31102192</v>
          </cell>
          <cell r="H2795">
            <v>31102192</v>
          </cell>
          <cell r="I2795" t="str">
            <v/>
          </cell>
          <cell r="J2795" t="str">
            <v/>
          </cell>
          <cell r="K2795" t="str">
            <v/>
          </cell>
          <cell r="L2795" t="str">
            <v/>
          </cell>
          <cell r="M2795" t="str">
            <v/>
          </cell>
        </row>
        <row r="2796">
          <cell r="A2796">
            <v>31102192</v>
          </cell>
          <cell r="C2796">
            <v>31102192</v>
          </cell>
          <cell r="D2796">
            <v>31102192</v>
          </cell>
          <cell r="E2796">
            <v>31102192</v>
          </cell>
          <cell r="F2796">
            <v>31102192</v>
          </cell>
          <cell r="G2796">
            <v>31102192</v>
          </cell>
          <cell r="H2796">
            <v>31102192</v>
          </cell>
          <cell r="I2796" t="str">
            <v/>
          </cell>
          <cell r="J2796" t="str">
            <v/>
          </cell>
          <cell r="K2796" t="str">
            <v/>
          </cell>
          <cell r="L2796" t="str">
            <v/>
          </cell>
          <cell r="M2796" t="str">
            <v/>
          </cell>
        </row>
        <row r="2797">
          <cell r="A2797">
            <v>31102192</v>
          </cell>
          <cell r="C2797">
            <v>31102192</v>
          </cell>
          <cell r="D2797">
            <v>31102192</v>
          </cell>
          <cell r="E2797">
            <v>31102192</v>
          </cell>
          <cell r="F2797">
            <v>31102192</v>
          </cell>
          <cell r="G2797">
            <v>31102192</v>
          </cell>
          <cell r="H2797">
            <v>31102192</v>
          </cell>
          <cell r="I2797" t="str">
            <v/>
          </cell>
          <cell r="J2797" t="str">
            <v/>
          </cell>
          <cell r="K2797" t="str">
            <v/>
          </cell>
          <cell r="L2797" t="str">
            <v/>
          </cell>
          <cell r="M2797" t="str">
            <v/>
          </cell>
        </row>
        <row r="2798">
          <cell r="A2798">
            <v>31102192</v>
          </cell>
          <cell r="C2798">
            <v>31102192</v>
          </cell>
          <cell r="D2798">
            <v>31102192</v>
          </cell>
          <cell r="E2798">
            <v>31102192</v>
          </cell>
          <cell r="F2798">
            <v>31102192</v>
          </cell>
          <cell r="G2798">
            <v>31102192</v>
          </cell>
          <cell r="H2798">
            <v>31102192</v>
          </cell>
          <cell r="I2798" t="str">
            <v/>
          </cell>
          <cell r="J2798" t="str">
            <v/>
          </cell>
          <cell r="K2798" t="str">
            <v/>
          </cell>
          <cell r="L2798" t="str">
            <v/>
          </cell>
          <cell r="M2798" t="str">
            <v/>
          </cell>
        </row>
        <row r="2799">
          <cell r="A2799">
            <v>31102192</v>
          </cell>
          <cell r="C2799">
            <v>31102192</v>
          </cell>
          <cell r="D2799">
            <v>31102192</v>
          </cell>
          <cell r="E2799">
            <v>31102192</v>
          </cell>
          <cell r="F2799">
            <v>31102192</v>
          </cell>
          <cell r="G2799">
            <v>31102192</v>
          </cell>
          <cell r="H2799">
            <v>31102192</v>
          </cell>
          <cell r="I2799" t="str">
            <v/>
          </cell>
          <cell r="J2799" t="str">
            <v/>
          </cell>
          <cell r="K2799" t="str">
            <v/>
          </cell>
          <cell r="L2799" t="str">
            <v/>
          </cell>
          <cell r="M2799" t="str">
            <v/>
          </cell>
        </row>
        <row r="2800">
          <cell r="A2800">
            <v>31102192</v>
          </cell>
          <cell r="C2800">
            <v>31102192</v>
          </cell>
          <cell r="D2800">
            <v>31102192</v>
          </cell>
          <cell r="E2800">
            <v>31102192</v>
          </cell>
          <cell r="F2800">
            <v>31102192</v>
          </cell>
          <cell r="G2800">
            <v>31102192</v>
          </cell>
          <cell r="H2800">
            <v>31102192</v>
          </cell>
          <cell r="I2800" t="str">
            <v/>
          </cell>
          <cell r="J2800" t="str">
            <v/>
          </cell>
          <cell r="K2800" t="str">
            <v/>
          </cell>
          <cell r="L2800" t="str">
            <v/>
          </cell>
          <cell r="M2800" t="str">
            <v/>
          </cell>
        </row>
        <row r="2801">
          <cell r="A2801">
            <v>31102192</v>
          </cell>
          <cell r="C2801">
            <v>31102192</v>
          </cell>
          <cell r="D2801">
            <v>31102192</v>
          </cell>
          <cell r="E2801">
            <v>31102192</v>
          </cell>
          <cell r="F2801">
            <v>31102192</v>
          </cell>
          <cell r="G2801">
            <v>31102192</v>
          </cell>
          <cell r="H2801">
            <v>31102192</v>
          </cell>
          <cell r="I2801" t="str">
            <v/>
          </cell>
          <cell r="J2801" t="str">
            <v/>
          </cell>
          <cell r="K2801" t="str">
            <v/>
          </cell>
          <cell r="L2801" t="str">
            <v/>
          </cell>
          <cell r="M2801" t="str">
            <v/>
          </cell>
        </row>
        <row r="2802">
          <cell r="A2802">
            <v>31102192</v>
          </cell>
          <cell r="C2802">
            <v>31102192</v>
          </cell>
          <cell r="D2802">
            <v>31102192</v>
          </cell>
          <cell r="E2802">
            <v>31102192</v>
          </cell>
          <cell r="F2802">
            <v>31102192</v>
          </cell>
          <cell r="G2802">
            <v>31102192</v>
          </cell>
          <cell r="H2802">
            <v>31102192</v>
          </cell>
          <cell r="I2802" t="str">
            <v/>
          </cell>
          <cell r="J2802" t="str">
            <v/>
          </cell>
          <cell r="K2802" t="str">
            <v/>
          </cell>
          <cell r="L2802" t="str">
            <v/>
          </cell>
          <cell r="M2802" t="str">
            <v/>
          </cell>
        </row>
        <row r="2803">
          <cell r="A2803">
            <v>31102192</v>
          </cell>
          <cell r="C2803">
            <v>31102192</v>
          </cell>
          <cell r="D2803">
            <v>31102192</v>
          </cell>
          <cell r="E2803">
            <v>31102192</v>
          </cell>
          <cell r="F2803">
            <v>31102192</v>
          </cell>
          <cell r="G2803">
            <v>31102192</v>
          </cell>
          <cell r="H2803">
            <v>31102192</v>
          </cell>
          <cell r="I2803" t="str">
            <v/>
          </cell>
          <cell r="J2803" t="str">
            <v/>
          </cell>
          <cell r="K2803" t="str">
            <v/>
          </cell>
          <cell r="L2803" t="str">
            <v/>
          </cell>
          <cell r="M2803" t="str">
            <v/>
          </cell>
        </row>
        <row r="2804">
          <cell r="A2804">
            <v>31102192</v>
          </cell>
          <cell r="C2804">
            <v>31102192</v>
          </cell>
          <cell r="D2804">
            <v>31102192</v>
          </cell>
          <cell r="E2804">
            <v>31102192</v>
          </cell>
          <cell r="F2804">
            <v>31102192</v>
          </cell>
          <cell r="G2804">
            <v>31102192</v>
          </cell>
          <cell r="H2804">
            <v>31102192</v>
          </cell>
          <cell r="I2804" t="str">
            <v/>
          </cell>
          <cell r="J2804" t="str">
            <v/>
          </cell>
          <cell r="K2804" t="str">
            <v/>
          </cell>
          <cell r="L2804" t="str">
            <v/>
          </cell>
          <cell r="M2804" t="str">
            <v/>
          </cell>
        </row>
        <row r="2805">
          <cell r="A2805">
            <v>31102192</v>
          </cell>
          <cell r="C2805">
            <v>31102192</v>
          </cell>
          <cell r="D2805">
            <v>31102192</v>
          </cell>
          <cell r="E2805">
            <v>31102192</v>
          </cell>
          <cell r="F2805">
            <v>31102192</v>
          </cell>
          <cell r="G2805">
            <v>31102192</v>
          </cell>
          <cell r="H2805">
            <v>31102192</v>
          </cell>
          <cell r="I2805" t="str">
            <v/>
          </cell>
          <cell r="J2805" t="str">
            <v/>
          </cell>
          <cell r="K2805" t="str">
            <v/>
          </cell>
          <cell r="L2805" t="str">
            <v/>
          </cell>
          <cell r="M2805" t="str">
            <v/>
          </cell>
        </row>
        <row r="2806">
          <cell r="A2806">
            <v>31102192</v>
          </cell>
          <cell r="C2806">
            <v>31102192</v>
          </cell>
          <cell r="D2806">
            <v>31102192</v>
          </cell>
          <cell r="E2806">
            <v>31102192</v>
          </cell>
          <cell r="F2806">
            <v>31102192</v>
          </cell>
          <cell r="G2806">
            <v>31102192</v>
          </cell>
          <cell r="H2806">
            <v>31102192</v>
          </cell>
          <cell r="I2806" t="str">
            <v/>
          </cell>
          <cell r="J2806" t="str">
            <v/>
          </cell>
          <cell r="K2806" t="str">
            <v/>
          </cell>
          <cell r="L2806" t="str">
            <v/>
          </cell>
          <cell r="M2806" t="str">
            <v/>
          </cell>
        </row>
        <row r="2807">
          <cell r="A2807">
            <v>31102192</v>
          </cell>
          <cell r="C2807">
            <v>31102192</v>
          </cell>
          <cell r="D2807">
            <v>31102192</v>
          </cell>
          <cell r="E2807">
            <v>31102192</v>
          </cell>
          <cell r="F2807">
            <v>31102192</v>
          </cell>
          <cell r="G2807">
            <v>31102192</v>
          </cell>
          <cell r="H2807">
            <v>31102192</v>
          </cell>
          <cell r="I2807" t="str">
            <v/>
          </cell>
          <cell r="J2807" t="str">
            <v/>
          </cell>
          <cell r="K2807" t="str">
            <v/>
          </cell>
          <cell r="L2807" t="str">
            <v/>
          </cell>
          <cell r="M2807" t="str">
            <v/>
          </cell>
        </row>
        <row r="2808">
          <cell r="A2808">
            <v>31102192</v>
          </cell>
          <cell r="C2808">
            <v>31102192</v>
          </cell>
          <cell r="D2808">
            <v>31102192</v>
          </cell>
          <cell r="E2808">
            <v>31102192</v>
          </cell>
          <cell r="F2808">
            <v>31102192</v>
          </cell>
          <cell r="G2808">
            <v>31102192</v>
          </cell>
          <cell r="H2808">
            <v>31102192</v>
          </cell>
          <cell r="I2808" t="str">
            <v/>
          </cell>
          <cell r="J2808" t="str">
            <v/>
          </cell>
          <cell r="K2808" t="str">
            <v/>
          </cell>
          <cell r="L2808" t="str">
            <v/>
          </cell>
          <cell r="M2808" t="str">
            <v/>
          </cell>
        </row>
        <row r="2809">
          <cell r="A2809">
            <v>31102192</v>
          </cell>
          <cell r="C2809">
            <v>31102192</v>
          </cell>
          <cell r="D2809">
            <v>31102192</v>
          </cell>
          <cell r="E2809">
            <v>31102192</v>
          </cell>
          <cell r="F2809">
            <v>31102192</v>
          </cell>
          <cell r="G2809">
            <v>31102192</v>
          </cell>
          <cell r="H2809">
            <v>31102192</v>
          </cell>
          <cell r="I2809" t="str">
            <v/>
          </cell>
          <cell r="J2809" t="str">
            <v/>
          </cell>
          <cell r="K2809" t="str">
            <v/>
          </cell>
          <cell r="L2809" t="str">
            <v/>
          </cell>
          <cell r="M2809" t="str">
            <v/>
          </cell>
        </row>
        <row r="2810">
          <cell r="A2810">
            <v>31102192</v>
          </cell>
          <cell r="C2810">
            <v>31102192</v>
          </cell>
          <cell r="D2810">
            <v>31102192</v>
          </cell>
          <cell r="E2810">
            <v>31102192</v>
          </cell>
          <cell r="F2810">
            <v>31102192</v>
          </cell>
          <cell r="G2810">
            <v>31102192</v>
          </cell>
          <cell r="H2810">
            <v>31102192</v>
          </cell>
          <cell r="I2810" t="str">
            <v/>
          </cell>
          <cell r="J2810" t="str">
            <v/>
          </cell>
          <cell r="K2810" t="str">
            <v/>
          </cell>
          <cell r="L2810" t="str">
            <v/>
          </cell>
          <cell r="M2810" t="str">
            <v/>
          </cell>
        </row>
        <row r="2811">
          <cell r="A2811">
            <v>31102192</v>
          </cell>
          <cell r="C2811">
            <v>31102192</v>
          </cell>
          <cell r="D2811">
            <v>31102192</v>
          </cell>
          <cell r="E2811">
            <v>31102192</v>
          </cell>
          <cell r="F2811">
            <v>31102192</v>
          </cell>
          <cell r="G2811">
            <v>31102192</v>
          </cell>
          <cell r="H2811">
            <v>31102192</v>
          </cell>
          <cell r="I2811" t="str">
            <v/>
          </cell>
          <cell r="J2811" t="str">
            <v/>
          </cell>
          <cell r="K2811" t="str">
            <v/>
          </cell>
          <cell r="L2811" t="str">
            <v/>
          </cell>
          <cell r="M2811" t="str">
            <v/>
          </cell>
        </row>
        <row r="2812">
          <cell r="A2812">
            <v>31102192</v>
          </cell>
          <cell r="C2812">
            <v>31102192</v>
          </cell>
          <cell r="D2812">
            <v>31102192</v>
          </cell>
          <cell r="E2812">
            <v>31102192</v>
          </cell>
          <cell r="F2812">
            <v>31102192</v>
          </cell>
          <cell r="G2812">
            <v>31102192</v>
          </cell>
          <cell r="H2812">
            <v>31102192</v>
          </cell>
          <cell r="I2812" t="str">
            <v/>
          </cell>
          <cell r="J2812" t="str">
            <v/>
          </cell>
          <cell r="K2812" t="str">
            <v/>
          </cell>
          <cell r="L2812" t="str">
            <v/>
          </cell>
          <cell r="M2812" t="str">
            <v/>
          </cell>
        </row>
        <row r="2813">
          <cell r="A2813">
            <v>31102192</v>
          </cell>
          <cell r="C2813">
            <v>31102192</v>
          </cell>
          <cell r="D2813">
            <v>31102192</v>
          </cell>
          <cell r="E2813">
            <v>31102192</v>
          </cell>
          <cell r="F2813">
            <v>31102192</v>
          </cell>
          <cell r="G2813">
            <v>31102192</v>
          </cell>
          <cell r="H2813">
            <v>31102192</v>
          </cell>
          <cell r="I2813" t="str">
            <v/>
          </cell>
          <cell r="J2813" t="str">
            <v/>
          </cell>
          <cell r="K2813" t="str">
            <v/>
          </cell>
          <cell r="L2813" t="str">
            <v/>
          </cell>
          <cell r="M2813" t="str">
            <v/>
          </cell>
        </row>
        <row r="2814">
          <cell r="A2814">
            <v>31102192</v>
          </cell>
          <cell r="C2814">
            <v>31102192</v>
          </cell>
          <cell r="D2814">
            <v>31102192</v>
          </cell>
          <cell r="E2814">
            <v>31102192</v>
          </cell>
          <cell r="F2814">
            <v>31102192</v>
          </cell>
          <cell r="G2814">
            <v>31102192</v>
          </cell>
          <cell r="H2814">
            <v>31102192</v>
          </cell>
          <cell r="I2814" t="str">
            <v/>
          </cell>
          <cell r="J2814" t="str">
            <v/>
          </cell>
          <cell r="K2814" t="str">
            <v/>
          </cell>
          <cell r="L2814" t="str">
            <v/>
          </cell>
          <cell r="M2814" t="str">
            <v/>
          </cell>
        </row>
        <row r="2815">
          <cell r="A2815">
            <v>31102192</v>
          </cell>
          <cell r="C2815">
            <v>31102192</v>
          </cell>
          <cell r="D2815">
            <v>31102192</v>
          </cell>
          <cell r="E2815">
            <v>31102192</v>
          </cell>
          <cell r="F2815">
            <v>31102192</v>
          </cell>
          <cell r="G2815">
            <v>31102192</v>
          </cell>
          <cell r="H2815">
            <v>31102192</v>
          </cell>
          <cell r="I2815" t="str">
            <v/>
          </cell>
          <cell r="J2815" t="str">
            <v/>
          </cell>
          <cell r="K2815" t="str">
            <v/>
          </cell>
          <cell r="L2815" t="str">
            <v/>
          </cell>
          <cell r="M2815" t="str">
            <v/>
          </cell>
        </row>
        <row r="2816">
          <cell r="A2816">
            <v>31102192</v>
          </cell>
          <cell r="C2816">
            <v>31102192</v>
          </cell>
          <cell r="D2816">
            <v>31102192</v>
          </cell>
          <cell r="E2816">
            <v>31102192</v>
          </cell>
          <cell r="F2816">
            <v>31102192</v>
          </cell>
          <cell r="G2816">
            <v>31102192</v>
          </cell>
          <cell r="H2816">
            <v>31102192</v>
          </cell>
          <cell r="I2816" t="str">
            <v/>
          </cell>
          <cell r="J2816" t="str">
            <v/>
          </cell>
          <cell r="K2816" t="str">
            <v/>
          </cell>
          <cell r="L2816" t="str">
            <v/>
          </cell>
          <cell r="M2816" t="str">
            <v/>
          </cell>
        </row>
        <row r="2817">
          <cell r="A2817">
            <v>31102192</v>
          </cell>
          <cell r="C2817">
            <v>31102192</v>
          </cell>
          <cell r="D2817">
            <v>31102192</v>
          </cell>
          <cell r="E2817">
            <v>31102192</v>
          </cell>
          <cell r="F2817">
            <v>31102192</v>
          </cell>
          <cell r="G2817">
            <v>31102192</v>
          </cell>
          <cell r="H2817">
            <v>31102192</v>
          </cell>
          <cell r="I2817" t="str">
            <v/>
          </cell>
          <cell r="J2817" t="str">
            <v/>
          </cell>
          <cell r="K2817" t="str">
            <v/>
          </cell>
          <cell r="L2817" t="str">
            <v/>
          </cell>
          <cell r="M2817" t="str">
            <v/>
          </cell>
        </row>
        <row r="2818">
          <cell r="A2818">
            <v>31102192</v>
          </cell>
          <cell r="C2818">
            <v>31102192</v>
          </cell>
          <cell r="D2818">
            <v>31102192</v>
          </cell>
          <cell r="E2818">
            <v>31102192</v>
          </cell>
          <cell r="F2818">
            <v>31102192</v>
          </cell>
          <cell r="G2818">
            <v>31102192</v>
          </cell>
          <cell r="H2818">
            <v>31102192</v>
          </cell>
          <cell r="I2818" t="str">
            <v/>
          </cell>
          <cell r="J2818" t="str">
            <v/>
          </cell>
          <cell r="K2818" t="str">
            <v/>
          </cell>
          <cell r="L2818" t="str">
            <v/>
          </cell>
          <cell r="M2818" t="str">
            <v/>
          </cell>
        </row>
        <row r="2819">
          <cell r="A2819">
            <v>31102192</v>
          </cell>
          <cell r="C2819">
            <v>31102192</v>
          </cell>
          <cell r="D2819">
            <v>31102192</v>
          </cell>
          <cell r="E2819">
            <v>31102192</v>
          </cell>
          <cell r="F2819">
            <v>31102192</v>
          </cell>
          <cell r="G2819">
            <v>31102192</v>
          </cell>
          <cell r="H2819">
            <v>31102192</v>
          </cell>
          <cell r="I2819" t="str">
            <v/>
          </cell>
          <cell r="J2819" t="str">
            <v/>
          </cell>
          <cell r="K2819" t="str">
            <v/>
          </cell>
          <cell r="L2819" t="str">
            <v/>
          </cell>
          <cell r="M2819" t="str">
            <v/>
          </cell>
        </row>
        <row r="2820">
          <cell r="A2820">
            <v>31102192</v>
          </cell>
          <cell r="C2820">
            <v>31102192</v>
          </cell>
          <cell r="D2820">
            <v>31102192</v>
          </cell>
          <cell r="E2820">
            <v>31102192</v>
          </cell>
          <cell r="F2820">
            <v>31102192</v>
          </cell>
          <cell r="G2820">
            <v>31102192</v>
          </cell>
          <cell r="H2820">
            <v>31102192</v>
          </cell>
          <cell r="I2820" t="str">
            <v/>
          </cell>
          <cell r="J2820" t="str">
            <v/>
          </cell>
          <cell r="K2820" t="str">
            <v/>
          </cell>
          <cell r="L2820" t="str">
            <v/>
          </cell>
          <cell r="M2820" t="str">
            <v/>
          </cell>
        </row>
        <row r="2821">
          <cell r="A2821">
            <v>31102192</v>
          </cell>
          <cell r="C2821">
            <v>31102192</v>
          </cell>
          <cell r="D2821">
            <v>31102192</v>
          </cell>
          <cell r="E2821">
            <v>31102192</v>
          </cell>
          <cell r="F2821">
            <v>31102192</v>
          </cell>
          <cell r="G2821">
            <v>31102192</v>
          </cell>
          <cell r="H2821">
            <v>31102192</v>
          </cell>
          <cell r="I2821" t="str">
            <v/>
          </cell>
          <cell r="J2821" t="str">
            <v/>
          </cell>
          <cell r="K2821" t="str">
            <v/>
          </cell>
          <cell r="L2821" t="str">
            <v/>
          </cell>
          <cell r="M2821" t="str">
            <v/>
          </cell>
        </row>
        <row r="2822">
          <cell r="A2822">
            <v>31102192</v>
          </cell>
          <cell r="C2822">
            <v>31102192</v>
          </cell>
          <cell r="D2822">
            <v>31102192</v>
          </cell>
          <cell r="E2822">
            <v>31102192</v>
          </cell>
          <cell r="F2822">
            <v>31102192</v>
          </cell>
          <cell r="G2822">
            <v>31102192</v>
          </cell>
          <cell r="H2822">
            <v>31102192</v>
          </cell>
          <cell r="I2822" t="str">
            <v/>
          </cell>
          <cell r="J2822" t="str">
            <v/>
          </cell>
          <cell r="K2822" t="str">
            <v/>
          </cell>
          <cell r="L2822" t="str">
            <v/>
          </cell>
          <cell r="M2822" t="str">
            <v/>
          </cell>
        </row>
        <row r="2823">
          <cell r="A2823">
            <v>31102192</v>
          </cell>
          <cell r="C2823">
            <v>31102192</v>
          </cell>
          <cell r="D2823">
            <v>31102192</v>
          </cell>
          <cell r="E2823">
            <v>31102192</v>
          </cell>
          <cell r="F2823">
            <v>31102192</v>
          </cell>
          <cell r="G2823">
            <v>31102192</v>
          </cell>
          <cell r="H2823">
            <v>31102192</v>
          </cell>
          <cell r="I2823" t="str">
            <v/>
          </cell>
          <cell r="J2823" t="str">
            <v/>
          </cell>
          <cell r="K2823" t="str">
            <v/>
          </cell>
          <cell r="L2823" t="str">
            <v/>
          </cell>
          <cell r="M2823" t="str">
            <v/>
          </cell>
        </row>
        <row r="2824">
          <cell r="A2824">
            <v>31102192</v>
          </cell>
          <cell r="C2824">
            <v>31102192</v>
          </cell>
          <cell r="D2824">
            <v>31102192</v>
          </cell>
          <cell r="E2824">
            <v>31102192</v>
          </cell>
          <cell r="F2824">
            <v>31102192</v>
          </cell>
          <cell r="G2824">
            <v>31102192</v>
          </cell>
          <cell r="H2824">
            <v>31102192</v>
          </cell>
          <cell r="I2824" t="str">
            <v/>
          </cell>
          <cell r="J2824" t="str">
            <v/>
          </cell>
          <cell r="K2824" t="str">
            <v/>
          </cell>
          <cell r="L2824" t="str">
            <v/>
          </cell>
          <cell r="M2824" t="str">
            <v/>
          </cell>
        </row>
        <row r="2825">
          <cell r="A2825">
            <v>31102192</v>
          </cell>
          <cell r="C2825">
            <v>31102192</v>
          </cell>
          <cell r="D2825">
            <v>31102192</v>
          </cell>
          <cell r="E2825">
            <v>31102192</v>
          </cell>
          <cell r="F2825">
            <v>31102192</v>
          </cell>
          <cell r="G2825">
            <v>31102192</v>
          </cell>
          <cell r="H2825">
            <v>31102192</v>
          </cell>
          <cell r="I2825" t="str">
            <v/>
          </cell>
          <cell r="J2825" t="str">
            <v/>
          </cell>
          <cell r="K2825" t="str">
            <v/>
          </cell>
          <cell r="L2825" t="str">
            <v/>
          </cell>
          <cell r="M2825" t="str">
            <v/>
          </cell>
        </row>
        <row r="2826">
          <cell r="A2826">
            <v>31102192</v>
          </cell>
          <cell r="C2826">
            <v>31102192</v>
          </cell>
          <cell r="D2826">
            <v>31102192</v>
          </cell>
          <cell r="E2826">
            <v>31102192</v>
          </cell>
          <cell r="F2826">
            <v>31102192</v>
          </cell>
          <cell r="G2826">
            <v>31102192</v>
          </cell>
          <cell r="H2826">
            <v>31102192</v>
          </cell>
          <cell r="I2826" t="str">
            <v/>
          </cell>
          <cell r="J2826" t="str">
            <v/>
          </cell>
          <cell r="K2826" t="str">
            <v/>
          </cell>
          <cell r="L2826" t="str">
            <v/>
          </cell>
          <cell r="M2826" t="str">
            <v/>
          </cell>
        </row>
        <row r="2827">
          <cell r="A2827">
            <v>31102192</v>
          </cell>
          <cell r="C2827">
            <v>31102192</v>
          </cell>
          <cell r="D2827">
            <v>31102192</v>
          </cell>
          <cell r="E2827">
            <v>31102192</v>
          </cell>
          <cell r="F2827">
            <v>31102192</v>
          </cell>
          <cell r="G2827">
            <v>31102192</v>
          </cell>
          <cell r="H2827">
            <v>31102192</v>
          </cell>
          <cell r="I2827" t="str">
            <v/>
          </cell>
          <cell r="J2827" t="str">
            <v/>
          </cell>
          <cell r="K2827" t="str">
            <v/>
          </cell>
          <cell r="L2827" t="str">
            <v/>
          </cell>
          <cell r="M2827" t="str">
            <v/>
          </cell>
        </row>
        <row r="2828">
          <cell r="A2828">
            <v>31102192</v>
          </cell>
          <cell r="C2828">
            <v>31102192</v>
          </cell>
          <cell r="D2828">
            <v>31102192</v>
          </cell>
          <cell r="E2828">
            <v>31102192</v>
          </cell>
          <cell r="F2828">
            <v>31102192</v>
          </cell>
          <cell r="G2828">
            <v>31102192</v>
          </cell>
          <cell r="H2828">
            <v>31102192</v>
          </cell>
          <cell r="I2828" t="str">
            <v/>
          </cell>
          <cell r="J2828" t="str">
            <v/>
          </cell>
          <cell r="K2828" t="str">
            <v/>
          </cell>
          <cell r="L2828" t="str">
            <v/>
          </cell>
          <cell r="M2828" t="str">
            <v/>
          </cell>
        </row>
        <row r="2829">
          <cell r="A2829">
            <v>31102192</v>
          </cell>
          <cell r="C2829">
            <v>31102192</v>
          </cell>
          <cell r="D2829">
            <v>31102192</v>
          </cell>
          <cell r="E2829">
            <v>31102192</v>
          </cell>
          <cell r="F2829">
            <v>31102192</v>
          </cell>
          <cell r="G2829">
            <v>31102192</v>
          </cell>
          <cell r="H2829">
            <v>31102192</v>
          </cell>
          <cell r="I2829" t="str">
            <v/>
          </cell>
          <cell r="J2829" t="str">
            <v/>
          </cell>
          <cell r="K2829" t="str">
            <v/>
          </cell>
          <cell r="L2829" t="str">
            <v/>
          </cell>
          <cell r="M2829" t="str">
            <v/>
          </cell>
        </row>
        <row r="2830">
          <cell r="A2830">
            <v>31102192</v>
          </cell>
          <cell r="C2830">
            <v>31102192</v>
          </cell>
          <cell r="D2830">
            <v>31102192</v>
          </cell>
          <cell r="E2830">
            <v>31102192</v>
          </cell>
          <cell r="F2830">
            <v>31102192</v>
          </cell>
          <cell r="G2830">
            <v>31102192</v>
          </cell>
          <cell r="H2830">
            <v>31102192</v>
          </cell>
          <cell r="I2830" t="str">
            <v/>
          </cell>
          <cell r="J2830" t="str">
            <v/>
          </cell>
          <cell r="K2830" t="str">
            <v/>
          </cell>
          <cell r="L2830" t="str">
            <v/>
          </cell>
          <cell r="M2830" t="str">
            <v/>
          </cell>
        </row>
        <row r="2831">
          <cell r="A2831">
            <v>31102192</v>
          </cell>
          <cell r="C2831">
            <v>31102192</v>
          </cell>
          <cell r="D2831">
            <v>31102192</v>
          </cell>
          <cell r="E2831">
            <v>31102192</v>
          </cell>
          <cell r="F2831">
            <v>31102192</v>
          </cell>
          <cell r="G2831">
            <v>31102192</v>
          </cell>
          <cell r="H2831">
            <v>31102192</v>
          </cell>
          <cell r="I2831" t="str">
            <v/>
          </cell>
          <cell r="J2831" t="str">
            <v/>
          </cell>
          <cell r="K2831" t="str">
            <v/>
          </cell>
          <cell r="L2831" t="str">
            <v/>
          </cell>
          <cell r="M2831" t="str">
            <v/>
          </cell>
        </row>
        <row r="2832">
          <cell r="A2832">
            <v>31102192</v>
          </cell>
          <cell r="C2832">
            <v>31102192</v>
          </cell>
          <cell r="D2832">
            <v>31102192</v>
          </cell>
          <cell r="E2832">
            <v>31102192</v>
          </cell>
          <cell r="F2832">
            <v>31102192</v>
          </cell>
          <cell r="G2832">
            <v>31102192</v>
          </cell>
          <cell r="H2832">
            <v>31102192</v>
          </cell>
          <cell r="I2832" t="str">
            <v/>
          </cell>
          <cell r="J2832" t="str">
            <v/>
          </cell>
          <cell r="K2832" t="str">
            <v/>
          </cell>
          <cell r="L2832" t="str">
            <v/>
          </cell>
          <cell r="M2832" t="str">
            <v/>
          </cell>
        </row>
        <row r="2833">
          <cell r="A2833">
            <v>31102192</v>
          </cell>
          <cell r="C2833">
            <v>31102192</v>
          </cell>
          <cell r="D2833">
            <v>31102192</v>
          </cell>
          <cell r="E2833">
            <v>31102192</v>
          </cell>
          <cell r="F2833">
            <v>31102192</v>
          </cell>
          <cell r="G2833">
            <v>31102192</v>
          </cell>
          <cell r="H2833">
            <v>31102192</v>
          </cell>
          <cell r="I2833" t="str">
            <v/>
          </cell>
          <cell r="J2833" t="str">
            <v/>
          </cell>
          <cell r="K2833" t="str">
            <v/>
          </cell>
          <cell r="L2833" t="str">
            <v/>
          </cell>
          <cell r="M2833" t="str">
            <v/>
          </cell>
        </row>
        <row r="2834">
          <cell r="A2834">
            <v>31102192</v>
          </cell>
          <cell r="C2834">
            <v>31102192</v>
          </cell>
          <cell r="D2834">
            <v>31102192</v>
          </cell>
          <cell r="E2834">
            <v>31102192</v>
          </cell>
          <cell r="F2834">
            <v>31102192</v>
          </cell>
          <cell r="G2834">
            <v>31102192</v>
          </cell>
          <cell r="H2834">
            <v>31102192</v>
          </cell>
          <cell r="I2834" t="str">
            <v/>
          </cell>
          <cell r="J2834" t="str">
            <v/>
          </cell>
          <cell r="K2834" t="str">
            <v/>
          </cell>
          <cell r="L2834" t="str">
            <v/>
          </cell>
          <cell r="M2834" t="str">
            <v/>
          </cell>
        </row>
        <row r="2835">
          <cell r="A2835">
            <v>31102192</v>
          </cell>
          <cell r="C2835">
            <v>31102192</v>
          </cell>
          <cell r="D2835">
            <v>31102192</v>
          </cell>
          <cell r="E2835">
            <v>31102192</v>
          </cell>
          <cell r="F2835">
            <v>31102192</v>
          </cell>
          <cell r="G2835">
            <v>31102192</v>
          </cell>
          <cell r="H2835">
            <v>31102192</v>
          </cell>
          <cell r="I2835" t="str">
            <v/>
          </cell>
          <cell r="J2835" t="str">
            <v/>
          </cell>
          <cell r="K2835" t="str">
            <v/>
          </cell>
          <cell r="L2835" t="str">
            <v/>
          </cell>
          <cell r="M2835" t="str">
            <v/>
          </cell>
        </row>
        <row r="2836">
          <cell r="A2836">
            <v>31102192</v>
          </cell>
          <cell r="C2836">
            <v>31102192</v>
          </cell>
          <cell r="D2836">
            <v>31102192</v>
          </cell>
          <cell r="E2836">
            <v>31102192</v>
          </cell>
          <cell r="F2836">
            <v>31102192</v>
          </cell>
          <cell r="G2836">
            <v>31102192</v>
          </cell>
          <cell r="H2836">
            <v>31102192</v>
          </cell>
          <cell r="I2836" t="str">
            <v/>
          </cell>
          <cell r="J2836" t="str">
            <v/>
          </cell>
          <cell r="K2836" t="str">
            <v/>
          </cell>
          <cell r="L2836" t="str">
            <v/>
          </cell>
          <cell r="M2836" t="str">
            <v/>
          </cell>
        </row>
        <row r="2837">
          <cell r="A2837">
            <v>31102192</v>
          </cell>
          <cell r="C2837">
            <v>31102192</v>
          </cell>
          <cell r="D2837">
            <v>31102192</v>
          </cell>
          <cell r="E2837">
            <v>31102192</v>
          </cell>
          <cell r="F2837">
            <v>31102192</v>
          </cell>
          <cell r="G2837">
            <v>31102192</v>
          </cell>
          <cell r="H2837">
            <v>31102192</v>
          </cell>
          <cell r="I2837" t="str">
            <v/>
          </cell>
          <cell r="J2837" t="str">
            <v/>
          </cell>
          <cell r="K2837" t="str">
            <v/>
          </cell>
          <cell r="L2837" t="str">
            <v/>
          </cell>
          <cell r="M2837" t="str">
            <v/>
          </cell>
        </row>
        <row r="2838">
          <cell r="A2838">
            <v>31102192</v>
          </cell>
          <cell r="C2838">
            <v>31102192</v>
          </cell>
          <cell r="D2838">
            <v>31102192</v>
          </cell>
          <cell r="E2838">
            <v>31102192</v>
          </cell>
          <cell r="F2838">
            <v>31102192</v>
          </cell>
          <cell r="G2838">
            <v>31102192</v>
          </cell>
          <cell r="H2838">
            <v>31102192</v>
          </cell>
          <cell r="I2838" t="str">
            <v/>
          </cell>
          <cell r="J2838" t="str">
            <v/>
          </cell>
          <cell r="K2838" t="str">
            <v/>
          </cell>
          <cell r="L2838" t="str">
            <v/>
          </cell>
          <cell r="M2838" t="str">
            <v/>
          </cell>
        </row>
        <row r="2839">
          <cell r="A2839">
            <v>31102192</v>
          </cell>
          <cell r="C2839">
            <v>31102192</v>
          </cell>
          <cell r="D2839">
            <v>31102192</v>
          </cell>
          <cell r="E2839">
            <v>31102192</v>
          </cell>
          <cell r="F2839">
            <v>31102192</v>
          </cell>
          <cell r="G2839">
            <v>31102192</v>
          </cell>
          <cell r="H2839">
            <v>31102192</v>
          </cell>
          <cell r="I2839" t="str">
            <v/>
          </cell>
          <cell r="J2839" t="str">
            <v/>
          </cell>
          <cell r="K2839" t="str">
            <v/>
          </cell>
          <cell r="L2839" t="str">
            <v/>
          </cell>
          <cell r="M2839" t="str">
            <v/>
          </cell>
        </row>
        <row r="2840">
          <cell r="A2840">
            <v>31102192</v>
          </cell>
          <cell r="C2840">
            <v>31102192</v>
          </cell>
          <cell r="D2840">
            <v>31102192</v>
          </cell>
          <cell r="E2840">
            <v>31102192</v>
          </cell>
          <cell r="F2840">
            <v>31102192</v>
          </cell>
          <cell r="G2840">
            <v>31102192</v>
          </cell>
          <cell r="H2840">
            <v>31102192</v>
          </cell>
          <cell r="I2840" t="str">
            <v/>
          </cell>
          <cell r="J2840" t="str">
            <v/>
          </cell>
          <cell r="K2840" t="str">
            <v/>
          </cell>
          <cell r="L2840" t="str">
            <v/>
          </cell>
          <cell r="M2840" t="str">
            <v/>
          </cell>
        </row>
        <row r="2841">
          <cell r="A2841">
            <v>31102192</v>
          </cell>
          <cell r="C2841">
            <v>31102192</v>
          </cell>
          <cell r="D2841">
            <v>31102192</v>
          </cell>
          <cell r="E2841">
            <v>31102192</v>
          </cell>
          <cell r="F2841">
            <v>31102192</v>
          </cell>
          <cell r="G2841">
            <v>31102192</v>
          </cell>
          <cell r="H2841">
            <v>31102192</v>
          </cell>
          <cell r="I2841" t="str">
            <v/>
          </cell>
          <cell r="J2841" t="str">
            <v/>
          </cell>
          <cell r="K2841" t="str">
            <v/>
          </cell>
          <cell r="L2841" t="str">
            <v/>
          </cell>
          <cell r="M2841" t="str">
            <v/>
          </cell>
        </row>
        <row r="2842">
          <cell r="A2842">
            <v>31102192</v>
          </cell>
          <cell r="C2842">
            <v>31102192</v>
          </cell>
          <cell r="D2842">
            <v>31102192</v>
          </cell>
          <cell r="E2842">
            <v>31102192</v>
          </cell>
          <cell r="F2842">
            <v>31102192</v>
          </cell>
          <cell r="G2842">
            <v>31102192</v>
          </cell>
          <cell r="H2842">
            <v>31102192</v>
          </cell>
          <cell r="I2842" t="str">
            <v/>
          </cell>
          <cell r="J2842" t="str">
            <v/>
          </cell>
          <cell r="K2842" t="str">
            <v/>
          </cell>
          <cell r="L2842" t="str">
            <v/>
          </cell>
          <cell r="M2842" t="str">
            <v/>
          </cell>
        </row>
        <row r="2843">
          <cell r="A2843">
            <v>31102192</v>
          </cell>
          <cell r="C2843">
            <v>31102192</v>
          </cell>
          <cell r="D2843">
            <v>31102192</v>
          </cell>
          <cell r="E2843">
            <v>31102192</v>
          </cell>
          <cell r="F2843">
            <v>31102192</v>
          </cell>
          <cell r="G2843">
            <v>31102192</v>
          </cell>
          <cell r="H2843">
            <v>31102192</v>
          </cell>
          <cell r="I2843" t="str">
            <v/>
          </cell>
          <cell r="J2843" t="str">
            <v/>
          </cell>
          <cell r="K2843" t="str">
            <v/>
          </cell>
          <cell r="L2843" t="str">
            <v/>
          </cell>
          <cell r="M2843" t="str">
            <v/>
          </cell>
        </row>
        <row r="2844">
          <cell r="A2844">
            <v>31102192</v>
          </cell>
          <cell r="C2844">
            <v>31102192</v>
          </cell>
          <cell r="D2844">
            <v>31102192</v>
          </cell>
          <cell r="E2844">
            <v>31102192</v>
          </cell>
          <cell r="F2844">
            <v>31102192</v>
          </cell>
          <cell r="G2844">
            <v>31102192</v>
          </cell>
          <cell r="H2844">
            <v>31102192</v>
          </cell>
          <cell r="I2844" t="str">
            <v/>
          </cell>
          <cell r="J2844" t="str">
            <v/>
          </cell>
          <cell r="K2844" t="str">
            <v/>
          </cell>
          <cell r="L2844" t="str">
            <v/>
          </cell>
          <cell r="M2844" t="str">
            <v/>
          </cell>
        </row>
        <row r="2845">
          <cell r="A2845">
            <v>31102192</v>
          </cell>
          <cell r="C2845">
            <v>31102192</v>
          </cell>
          <cell r="D2845">
            <v>31102192</v>
          </cell>
          <cell r="E2845">
            <v>31102192</v>
          </cell>
          <cell r="F2845">
            <v>31102192</v>
          </cell>
          <cell r="G2845">
            <v>31102192</v>
          </cell>
          <cell r="H2845">
            <v>31102192</v>
          </cell>
          <cell r="I2845" t="str">
            <v/>
          </cell>
          <cell r="J2845" t="str">
            <v/>
          </cell>
          <cell r="K2845" t="str">
            <v/>
          </cell>
          <cell r="L2845" t="str">
            <v/>
          </cell>
          <cell r="M2845" t="str">
            <v/>
          </cell>
        </row>
        <row r="2846">
          <cell r="A2846">
            <v>31102192</v>
          </cell>
          <cell r="C2846">
            <v>31102192</v>
          </cell>
          <cell r="D2846">
            <v>31102192</v>
          </cell>
          <cell r="E2846">
            <v>31102192</v>
          </cell>
          <cell r="F2846">
            <v>31102192</v>
          </cell>
          <cell r="G2846">
            <v>31102192</v>
          </cell>
          <cell r="H2846">
            <v>31102192</v>
          </cell>
          <cell r="I2846" t="str">
            <v/>
          </cell>
          <cell r="J2846" t="str">
            <v/>
          </cell>
          <cell r="K2846" t="str">
            <v/>
          </cell>
          <cell r="L2846" t="str">
            <v/>
          </cell>
          <cell r="M2846" t="str">
            <v/>
          </cell>
        </row>
        <row r="2847">
          <cell r="A2847">
            <v>31102192</v>
          </cell>
          <cell r="C2847">
            <v>31102192</v>
          </cell>
          <cell r="D2847">
            <v>31102192</v>
          </cell>
          <cell r="E2847">
            <v>31102192</v>
          </cell>
          <cell r="F2847">
            <v>31102192</v>
          </cell>
          <cell r="G2847">
            <v>31102192</v>
          </cell>
          <cell r="H2847">
            <v>31102192</v>
          </cell>
          <cell r="I2847" t="str">
            <v/>
          </cell>
          <cell r="J2847" t="str">
            <v/>
          </cell>
          <cell r="K2847" t="str">
            <v/>
          </cell>
          <cell r="L2847" t="str">
            <v/>
          </cell>
          <cell r="M2847" t="str">
            <v/>
          </cell>
        </row>
        <row r="2848">
          <cell r="A2848">
            <v>31102192</v>
          </cell>
          <cell r="C2848">
            <v>31102192</v>
          </cell>
          <cell r="D2848">
            <v>31102192</v>
          </cell>
          <cell r="E2848">
            <v>31102192</v>
          </cell>
          <cell r="F2848">
            <v>31102192</v>
          </cell>
          <cell r="G2848">
            <v>31102192</v>
          </cell>
          <cell r="H2848">
            <v>31102192</v>
          </cell>
          <cell r="I2848" t="str">
            <v/>
          </cell>
          <cell r="J2848" t="str">
            <v/>
          </cell>
          <cell r="K2848" t="str">
            <v/>
          </cell>
          <cell r="L2848" t="str">
            <v/>
          </cell>
          <cell r="M2848" t="str">
            <v/>
          </cell>
        </row>
        <row r="2849">
          <cell r="A2849">
            <v>31102192</v>
          </cell>
          <cell r="C2849">
            <v>31102192</v>
          </cell>
          <cell r="D2849">
            <v>31102192</v>
          </cell>
          <cell r="E2849">
            <v>31102192</v>
          </cell>
          <cell r="F2849">
            <v>31102192</v>
          </cell>
          <cell r="G2849">
            <v>31102192</v>
          </cell>
          <cell r="H2849">
            <v>31102192</v>
          </cell>
          <cell r="I2849" t="str">
            <v/>
          </cell>
          <cell r="J2849" t="str">
            <v/>
          </cell>
          <cell r="K2849" t="str">
            <v/>
          </cell>
          <cell r="L2849" t="str">
            <v/>
          </cell>
          <cell r="M2849" t="str">
            <v/>
          </cell>
        </row>
        <row r="2850">
          <cell r="A2850">
            <v>31102192</v>
          </cell>
          <cell r="C2850">
            <v>31102192</v>
          </cell>
          <cell r="D2850">
            <v>31102192</v>
          </cell>
          <cell r="E2850">
            <v>31102192</v>
          </cell>
          <cell r="F2850">
            <v>31102192</v>
          </cell>
          <cell r="G2850">
            <v>31102192</v>
          </cell>
          <cell r="H2850">
            <v>31102192</v>
          </cell>
          <cell r="I2850" t="str">
            <v/>
          </cell>
          <cell r="J2850" t="str">
            <v/>
          </cell>
          <cell r="K2850" t="str">
            <v/>
          </cell>
          <cell r="L2850" t="str">
            <v/>
          </cell>
          <cell r="M2850" t="str">
            <v/>
          </cell>
        </row>
        <row r="2851">
          <cell r="A2851">
            <v>31102192</v>
          </cell>
          <cell r="C2851">
            <v>31102192</v>
          </cell>
          <cell r="D2851">
            <v>31102192</v>
          </cell>
          <cell r="E2851">
            <v>31102192</v>
          </cell>
          <cell r="F2851">
            <v>31102192</v>
          </cell>
          <cell r="G2851">
            <v>31102192</v>
          </cell>
          <cell r="H2851">
            <v>31102192</v>
          </cell>
          <cell r="I2851" t="str">
            <v/>
          </cell>
          <cell r="J2851" t="str">
            <v/>
          </cell>
          <cell r="K2851" t="str">
            <v/>
          </cell>
          <cell r="L2851" t="str">
            <v/>
          </cell>
          <cell r="M2851" t="str">
            <v/>
          </cell>
        </row>
        <row r="2852">
          <cell r="A2852">
            <v>31102192</v>
          </cell>
          <cell r="C2852">
            <v>31102192</v>
          </cell>
          <cell r="D2852">
            <v>31102192</v>
          </cell>
          <cell r="E2852">
            <v>31102192</v>
          </cell>
          <cell r="F2852">
            <v>31102192</v>
          </cell>
          <cell r="G2852">
            <v>31102192</v>
          </cell>
          <cell r="H2852">
            <v>31102192</v>
          </cell>
          <cell r="I2852" t="str">
            <v/>
          </cell>
          <cell r="J2852" t="str">
            <v/>
          </cell>
          <cell r="K2852" t="str">
            <v/>
          </cell>
          <cell r="L2852" t="str">
            <v/>
          </cell>
          <cell r="M2852" t="str">
            <v/>
          </cell>
        </row>
        <row r="2853">
          <cell r="A2853">
            <v>31102192</v>
          </cell>
          <cell r="C2853">
            <v>31102192</v>
          </cell>
          <cell r="D2853">
            <v>31102192</v>
          </cell>
          <cell r="E2853">
            <v>31102192</v>
          </cell>
          <cell r="F2853">
            <v>31102192</v>
          </cell>
          <cell r="G2853">
            <v>31102192</v>
          </cell>
          <cell r="H2853">
            <v>31102192</v>
          </cell>
          <cell r="I2853" t="str">
            <v/>
          </cell>
          <cell r="J2853" t="str">
            <v/>
          </cell>
          <cell r="K2853" t="str">
            <v/>
          </cell>
          <cell r="L2853" t="str">
            <v/>
          </cell>
          <cell r="M2853" t="str">
            <v/>
          </cell>
        </row>
        <row r="2854">
          <cell r="A2854">
            <v>31102192</v>
          </cell>
          <cell r="C2854">
            <v>31102192</v>
          </cell>
          <cell r="D2854">
            <v>31102192</v>
          </cell>
          <cell r="E2854">
            <v>31102192</v>
          </cell>
          <cell r="F2854">
            <v>31102192</v>
          </cell>
          <cell r="G2854">
            <v>31102192</v>
          </cell>
          <cell r="H2854">
            <v>31102192</v>
          </cell>
          <cell r="I2854" t="str">
            <v/>
          </cell>
          <cell r="J2854" t="str">
            <v/>
          </cell>
          <cell r="K2854" t="str">
            <v/>
          </cell>
          <cell r="L2854" t="str">
            <v/>
          </cell>
          <cell r="M2854" t="str">
            <v/>
          </cell>
        </row>
        <row r="2855">
          <cell r="A2855">
            <v>31102192</v>
          </cell>
          <cell r="C2855">
            <v>31102192</v>
          </cell>
          <cell r="D2855">
            <v>31102192</v>
          </cell>
          <cell r="E2855">
            <v>31102192</v>
          </cell>
          <cell r="F2855">
            <v>31102192</v>
          </cell>
          <cell r="G2855">
            <v>31102192</v>
          </cell>
          <cell r="H2855">
            <v>31102192</v>
          </cell>
          <cell r="I2855" t="str">
            <v/>
          </cell>
          <cell r="J2855" t="str">
            <v/>
          </cell>
          <cell r="K2855" t="str">
            <v/>
          </cell>
          <cell r="L2855" t="str">
            <v/>
          </cell>
          <cell r="M2855" t="str">
            <v/>
          </cell>
        </row>
        <row r="2856">
          <cell r="A2856">
            <v>31102192</v>
          </cell>
          <cell r="C2856">
            <v>31102192</v>
          </cell>
          <cell r="D2856">
            <v>31102192</v>
          </cell>
          <cell r="E2856">
            <v>31102192</v>
          </cell>
          <cell r="F2856">
            <v>31102192</v>
          </cell>
          <cell r="G2856">
            <v>31102192</v>
          </cell>
          <cell r="H2856">
            <v>31102192</v>
          </cell>
          <cell r="I2856" t="str">
            <v/>
          </cell>
          <cell r="J2856" t="str">
            <v/>
          </cell>
          <cell r="K2856" t="str">
            <v/>
          </cell>
          <cell r="L2856" t="str">
            <v/>
          </cell>
          <cell r="M2856" t="str">
            <v/>
          </cell>
        </row>
        <row r="2857">
          <cell r="A2857">
            <v>31102192</v>
          </cell>
          <cell r="C2857">
            <v>31102192</v>
          </cell>
          <cell r="D2857">
            <v>31102192</v>
          </cell>
          <cell r="E2857">
            <v>31102192</v>
          </cell>
          <cell r="F2857">
            <v>31102192</v>
          </cell>
          <cell r="G2857">
            <v>31102192</v>
          </cell>
          <cell r="H2857">
            <v>31102192</v>
          </cell>
          <cell r="I2857" t="str">
            <v/>
          </cell>
          <cell r="J2857" t="str">
            <v/>
          </cell>
          <cell r="K2857" t="str">
            <v/>
          </cell>
          <cell r="L2857" t="str">
            <v/>
          </cell>
          <cell r="M2857" t="str">
            <v/>
          </cell>
        </row>
        <row r="2858">
          <cell r="A2858">
            <v>31102192</v>
          </cell>
          <cell r="C2858">
            <v>31102192</v>
          </cell>
          <cell r="D2858">
            <v>31102192</v>
          </cell>
          <cell r="E2858">
            <v>31102192</v>
          </cell>
          <cell r="F2858">
            <v>31102192</v>
          </cell>
          <cell r="G2858">
            <v>31102192</v>
          </cell>
          <cell r="H2858">
            <v>31102192</v>
          </cell>
          <cell r="I2858" t="str">
            <v/>
          </cell>
          <cell r="J2858" t="str">
            <v/>
          </cell>
          <cell r="K2858" t="str">
            <v/>
          </cell>
          <cell r="L2858" t="str">
            <v/>
          </cell>
          <cell r="M2858" t="str">
            <v/>
          </cell>
        </row>
        <row r="2859">
          <cell r="A2859">
            <v>31102192</v>
          </cell>
          <cell r="C2859">
            <v>31102192</v>
          </cell>
          <cell r="D2859">
            <v>31102192</v>
          </cell>
          <cell r="E2859">
            <v>31102192</v>
          </cell>
          <cell r="F2859">
            <v>31102192</v>
          </cell>
          <cell r="G2859">
            <v>31102192</v>
          </cell>
          <cell r="H2859">
            <v>31102192</v>
          </cell>
          <cell r="I2859" t="str">
            <v/>
          </cell>
          <cell r="J2859" t="str">
            <v/>
          </cell>
          <cell r="K2859" t="str">
            <v/>
          </cell>
          <cell r="L2859" t="str">
            <v/>
          </cell>
          <cell r="M2859" t="str">
            <v/>
          </cell>
        </row>
        <row r="2860">
          <cell r="A2860">
            <v>31102192</v>
          </cell>
          <cell r="C2860">
            <v>31102192</v>
          </cell>
          <cell r="D2860">
            <v>31102192</v>
          </cell>
          <cell r="E2860">
            <v>31102192</v>
          </cell>
          <cell r="F2860">
            <v>31102192</v>
          </cell>
          <cell r="G2860">
            <v>31102192</v>
          </cell>
          <cell r="H2860">
            <v>31102192</v>
          </cell>
          <cell r="I2860" t="str">
            <v/>
          </cell>
          <cell r="J2860" t="str">
            <v/>
          </cell>
          <cell r="K2860" t="str">
            <v/>
          </cell>
          <cell r="L2860" t="str">
            <v/>
          </cell>
          <cell r="M2860" t="str">
            <v/>
          </cell>
        </row>
        <row r="2861">
          <cell r="A2861">
            <v>31102192</v>
          </cell>
          <cell r="C2861">
            <v>31102192</v>
          </cell>
          <cell r="D2861">
            <v>31102192</v>
          </cell>
          <cell r="E2861">
            <v>31102192</v>
          </cell>
          <cell r="F2861">
            <v>31102192</v>
          </cell>
          <cell r="G2861">
            <v>31102192</v>
          </cell>
          <cell r="H2861">
            <v>31102192</v>
          </cell>
          <cell r="I2861" t="str">
            <v/>
          </cell>
          <cell r="J2861" t="str">
            <v/>
          </cell>
          <cell r="K2861" t="str">
            <v/>
          </cell>
          <cell r="L2861" t="str">
            <v/>
          </cell>
          <cell r="M2861" t="str">
            <v/>
          </cell>
        </row>
        <row r="2862">
          <cell r="A2862">
            <v>31102192</v>
          </cell>
          <cell r="C2862">
            <v>31102192</v>
          </cell>
          <cell r="D2862">
            <v>31102192</v>
          </cell>
          <cell r="E2862">
            <v>31102192</v>
          </cell>
          <cell r="F2862">
            <v>31102192</v>
          </cell>
          <cell r="G2862">
            <v>31102192</v>
          </cell>
          <cell r="H2862">
            <v>31102192</v>
          </cell>
          <cell r="I2862" t="str">
            <v/>
          </cell>
          <cell r="J2862" t="str">
            <v/>
          </cell>
          <cell r="K2862" t="str">
            <v/>
          </cell>
          <cell r="L2862" t="str">
            <v/>
          </cell>
          <cell r="M2862" t="str">
            <v/>
          </cell>
        </row>
        <row r="2863">
          <cell r="A2863">
            <v>31102192</v>
          </cell>
          <cell r="C2863">
            <v>31102192</v>
          </cell>
          <cell r="D2863">
            <v>31102192</v>
          </cell>
          <cell r="E2863">
            <v>31102192</v>
          </cell>
          <cell r="F2863">
            <v>31102192</v>
          </cell>
          <cell r="G2863">
            <v>31102192</v>
          </cell>
          <cell r="H2863">
            <v>31102192</v>
          </cell>
          <cell r="I2863" t="str">
            <v/>
          </cell>
          <cell r="J2863" t="str">
            <v/>
          </cell>
          <cell r="K2863" t="str">
            <v/>
          </cell>
          <cell r="L2863" t="str">
            <v/>
          </cell>
          <cell r="M2863" t="str">
            <v/>
          </cell>
        </row>
        <row r="2864">
          <cell r="A2864">
            <v>31102192</v>
          </cell>
          <cell r="C2864">
            <v>31102192</v>
          </cell>
          <cell r="D2864">
            <v>31102192</v>
          </cell>
          <cell r="E2864">
            <v>31102192</v>
          </cell>
          <cell r="F2864">
            <v>31102192</v>
          </cell>
          <cell r="G2864">
            <v>31102192</v>
          </cell>
          <cell r="H2864">
            <v>31102192</v>
          </cell>
          <cell r="I2864" t="str">
            <v/>
          </cell>
          <cell r="J2864" t="str">
            <v/>
          </cell>
          <cell r="K2864" t="str">
            <v/>
          </cell>
          <cell r="L2864" t="str">
            <v/>
          </cell>
          <cell r="M2864" t="str">
            <v/>
          </cell>
        </row>
        <row r="2865">
          <cell r="A2865">
            <v>31102192</v>
          </cell>
          <cell r="C2865">
            <v>31102192</v>
          </cell>
          <cell r="D2865">
            <v>31102192</v>
          </cell>
          <cell r="E2865">
            <v>31102192</v>
          </cell>
          <cell r="F2865">
            <v>31102192</v>
          </cell>
          <cell r="G2865">
            <v>31102192</v>
          </cell>
          <cell r="H2865">
            <v>31102192</v>
          </cell>
          <cell r="I2865" t="str">
            <v/>
          </cell>
          <cell r="J2865" t="str">
            <v/>
          </cell>
          <cell r="K2865" t="str">
            <v/>
          </cell>
          <cell r="L2865" t="str">
            <v/>
          </cell>
          <cell r="M2865" t="str">
            <v/>
          </cell>
        </row>
        <row r="2866">
          <cell r="A2866">
            <v>31102192</v>
          </cell>
          <cell r="C2866">
            <v>31102192</v>
          </cell>
          <cell r="D2866">
            <v>31102192</v>
          </cell>
          <cell r="E2866">
            <v>31102192</v>
          </cell>
          <cell r="F2866">
            <v>31102192</v>
          </cell>
          <cell r="G2866">
            <v>31102192</v>
          </cell>
          <cell r="H2866">
            <v>31102192</v>
          </cell>
          <cell r="I2866" t="str">
            <v/>
          </cell>
          <cell r="J2866" t="str">
            <v/>
          </cell>
          <cell r="K2866" t="str">
            <v/>
          </cell>
          <cell r="L2866" t="str">
            <v/>
          </cell>
          <cell r="M2866" t="str">
            <v/>
          </cell>
        </row>
        <row r="2867">
          <cell r="A2867">
            <v>31102192</v>
          </cell>
          <cell r="C2867">
            <v>31102192</v>
          </cell>
          <cell r="D2867">
            <v>31102192</v>
          </cell>
          <cell r="E2867">
            <v>31102192</v>
          </cell>
          <cell r="F2867">
            <v>31102192</v>
          </cell>
          <cell r="G2867">
            <v>31102192</v>
          </cell>
          <cell r="H2867">
            <v>31102192</v>
          </cell>
          <cell r="I2867" t="str">
            <v/>
          </cell>
          <cell r="J2867" t="str">
            <v/>
          </cell>
          <cell r="K2867" t="str">
            <v/>
          </cell>
          <cell r="L2867" t="str">
            <v/>
          </cell>
          <cell r="M2867" t="str">
            <v/>
          </cell>
        </row>
        <row r="2868">
          <cell r="A2868">
            <v>31102192</v>
          </cell>
          <cell r="C2868">
            <v>31102192</v>
          </cell>
          <cell r="D2868">
            <v>31102192</v>
          </cell>
          <cell r="E2868">
            <v>31102192</v>
          </cell>
          <cell r="F2868">
            <v>31102192</v>
          </cell>
          <cell r="G2868">
            <v>31102192</v>
          </cell>
          <cell r="H2868">
            <v>31102192</v>
          </cell>
          <cell r="I2868" t="str">
            <v/>
          </cell>
          <cell r="J2868" t="str">
            <v/>
          </cell>
          <cell r="K2868" t="str">
            <v/>
          </cell>
          <cell r="L2868" t="str">
            <v/>
          </cell>
          <cell r="M2868" t="str">
            <v/>
          </cell>
        </row>
        <row r="2869">
          <cell r="A2869">
            <v>31102192</v>
          </cell>
          <cell r="C2869">
            <v>31102192</v>
          </cell>
          <cell r="D2869">
            <v>31102192</v>
          </cell>
          <cell r="E2869">
            <v>31102192</v>
          </cell>
          <cell r="F2869">
            <v>31102192</v>
          </cell>
          <cell r="G2869">
            <v>31102192</v>
          </cell>
          <cell r="H2869">
            <v>31102192</v>
          </cell>
          <cell r="I2869" t="str">
            <v/>
          </cell>
          <cell r="J2869" t="str">
            <v/>
          </cell>
          <cell r="K2869" t="str">
            <v/>
          </cell>
          <cell r="L2869" t="str">
            <v/>
          </cell>
          <cell r="M2869" t="str">
            <v/>
          </cell>
        </row>
        <row r="2870">
          <cell r="A2870">
            <v>31102192</v>
          </cell>
          <cell r="C2870">
            <v>31102192</v>
          </cell>
          <cell r="D2870">
            <v>31102192</v>
          </cell>
          <cell r="E2870">
            <v>31102192</v>
          </cell>
          <cell r="F2870">
            <v>31102192</v>
          </cell>
          <cell r="G2870">
            <v>31102192</v>
          </cell>
          <cell r="H2870">
            <v>31102192</v>
          </cell>
          <cell r="I2870" t="str">
            <v/>
          </cell>
          <cell r="J2870" t="str">
            <v/>
          </cell>
          <cell r="K2870" t="str">
            <v/>
          </cell>
          <cell r="L2870" t="str">
            <v/>
          </cell>
          <cell r="M2870" t="str">
            <v/>
          </cell>
        </row>
        <row r="2871">
          <cell r="A2871">
            <v>31102192</v>
          </cell>
          <cell r="C2871">
            <v>31102192</v>
          </cell>
          <cell r="D2871">
            <v>31102192</v>
          </cell>
          <cell r="E2871">
            <v>31102192</v>
          </cell>
          <cell r="F2871">
            <v>31102192</v>
          </cell>
          <cell r="G2871">
            <v>31102192</v>
          </cell>
          <cell r="H2871">
            <v>31102192</v>
          </cell>
          <cell r="I2871" t="str">
            <v/>
          </cell>
          <cell r="J2871" t="str">
            <v/>
          </cell>
          <cell r="K2871" t="str">
            <v/>
          </cell>
          <cell r="L2871" t="str">
            <v/>
          </cell>
          <cell r="M2871" t="str">
            <v/>
          </cell>
        </row>
        <row r="2872">
          <cell r="A2872">
            <v>31102192</v>
          </cell>
          <cell r="C2872">
            <v>31102192</v>
          </cell>
          <cell r="D2872">
            <v>31102192</v>
          </cell>
          <cell r="E2872">
            <v>31102192</v>
          </cell>
          <cell r="F2872">
            <v>31102192</v>
          </cell>
          <cell r="G2872">
            <v>31102192</v>
          </cell>
          <cell r="H2872">
            <v>31102192</v>
          </cell>
          <cell r="I2872" t="str">
            <v/>
          </cell>
          <cell r="J2872" t="str">
            <v/>
          </cell>
          <cell r="K2872" t="str">
            <v/>
          </cell>
          <cell r="L2872" t="str">
            <v/>
          </cell>
          <cell r="M2872" t="str">
            <v/>
          </cell>
        </row>
        <row r="2873">
          <cell r="A2873">
            <v>31102192</v>
          </cell>
          <cell r="C2873">
            <v>31102192</v>
          </cell>
          <cell r="D2873">
            <v>31102192</v>
          </cell>
          <cell r="E2873">
            <v>31102192</v>
          </cell>
          <cell r="F2873">
            <v>31102192</v>
          </cell>
          <cell r="G2873">
            <v>31102192</v>
          </cell>
          <cell r="H2873">
            <v>31102192</v>
          </cell>
          <cell r="I2873" t="str">
            <v/>
          </cell>
          <cell r="J2873" t="str">
            <v/>
          </cell>
          <cell r="K2873" t="str">
            <v/>
          </cell>
          <cell r="L2873" t="str">
            <v/>
          </cell>
          <cell r="M2873" t="str">
            <v/>
          </cell>
        </row>
        <row r="2874">
          <cell r="A2874">
            <v>31102192</v>
          </cell>
          <cell r="C2874">
            <v>31102192</v>
          </cell>
          <cell r="D2874">
            <v>31102192</v>
          </cell>
          <cell r="E2874">
            <v>31102192</v>
          </cell>
          <cell r="F2874">
            <v>31102192</v>
          </cell>
          <cell r="G2874">
            <v>31102192</v>
          </cell>
          <cell r="H2874">
            <v>31102192</v>
          </cell>
          <cell r="I2874" t="str">
            <v/>
          </cell>
          <cell r="J2874" t="str">
            <v/>
          </cell>
          <cell r="K2874" t="str">
            <v/>
          </cell>
          <cell r="L2874" t="str">
            <v/>
          </cell>
          <cell r="M2874" t="str">
            <v/>
          </cell>
        </row>
        <row r="2875">
          <cell r="A2875">
            <v>31102192</v>
          </cell>
          <cell r="C2875">
            <v>31102192</v>
          </cell>
          <cell r="D2875">
            <v>31102192</v>
          </cell>
          <cell r="E2875">
            <v>31102192</v>
          </cell>
          <cell r="F2875">
            <v>31102192</v>
          </cell>
          <cell r="G2875">
            <v>31102192</v>
          </cell>
          <cell r="H2875">
            <v>31102192</v>
          </cell>
          <cell r="I2875" t="str">
            <v/>
          </cell>
          <cell r="J2875" t="str">
            <v/>
          </cell>
          <cell r="K2875" t="str">
            <v/>
          </cell>
          <cell r="L2875" t="str">
            <v/>
          </cell>
          <cell r="M2875" t="str">
            <v/>
          </cell>
        </row>
        <row r="2876">
          <cell r="A2876">
            <v>31102192</v>
          </cell>
          <cell r="C2876">
            <v>31102192</v>
          </cell>
          <cell r="D2876">
            <v>31102192</v>
          </cell>
          <cell r="E2876">
            <v>31102192</v>
          </cell>
          <cell r="F2876">
            <v>31102192</v>
          </cell>
          <cell r="G2876">
            <v>31102192</v>
          </cell>
          <cell r="H2876">
            <v>31102192</v>
          </cell>
          <cell r="I2876" t="str">
            <v/>
          </cell>
          <cell r="J2876" t="str">
            <v/>
          </cell>
          <cell r="K2876" t="str">
            <v/>
          </cell>
          <cell r="L2876" t="str">
            <v/>
          </cell>
          <cell r="M2876" t="str">
            <v/>
          </cell>
        </row>
        <row r="2877">
          <cell r="A2877">
            <v>31102192</v>
          </cell>
          <cell r="C2877">
            <v>31102192</v>
          </cell>
          <cell r="D2877">
            <v>31102192</v>
          </cell>
          <cell r="E2877">
            <v>31102192</v>
          </cell>
          <cell r="F2877">
            <v>31102192</v>
          </cell>
          <cell r="G2877">
            <v>31102192</v>
          </cell>
          <cell r="H2877">
            <v>31102192</v>
          </cell>
          <cell r="I2877" t="str">
            <v/>
          </cell>
          <cell r="J2877" t="str">
            <v/>
          </cell>
          <cell r="K2877" t="str">
            <v/>
          </cell>
          <cell r="L2877" t="str">
            <v/>
          </cell>
          <cell r="M2877" t="str">
            <v/>
          </cell>
        </row>
        <row r="2878">
          <cell r="A2878">
            <v>31102192</v>
          </cell>
          <cell r="C2878">
            <v>31102192</v>
          </cell>
          <cell r="D2878">
            <v>31102192</v>
          </cell>
          <cell r="E2878">
            <v>31102192</v>
          </cell>
          <cell r="F2878">
            <v>31102192</v>
          </cell>
          <cell r="G2878">
            <v>31102192</v>
          </cell>
          <cell r="H2878">
            <v>31102192</v>
          </cell>
          <cell r="I2878" t="str">
            <v/>
          </cell>
          <cell r="J2878" t="str">
            <v/>
          </cell>
          <cell r="K2878" t="str">
            <v/>
          </cell>
          <cell r="L2878" t="str">
            <v/>
          </cell>
          <cell r="M2878" t="str">
            <v/>
          </cell>
        </row>
        <row r="2879">
          <cell r="A2879">
            <v>31102192</v>
          </cell>
          <cell r="C2879">
            <v>31102192</v>
          </cell>
          <cell r="D2879">
            <v>31102192</v>
          </cell>
          <cell r="E2879">
            <v>31102192</v>
          </cell>
          <cell r="F2879">
            <v>31102192</v>
          </cell>
          <cell r="G2879">
            <v>31102192</v>
          </cell>
          <cell r="H2879">
            <v>31102192</v>
          </cell>
          <cell r="I2879" t="str">
            <v/>
          </cell>
          <cell r="J2879" t="str">
            <v/>
          </cell>
          <cell r="K2879" t="str">
            <v/>
          </cell>
          <cell r="L2879" t="str">
            <v/>
          </cell>
          <cell r="M2879" t="str">
            <v/>
          </cell>
        </row>
        <row r="2880">
          <cell r="A2880">
            <v>31102192</v>
          </cell>
          <cell r="C2880">
            <v>31102192</v>
          </cell>
          <cell r="D2880">
            <v>31102192</v>
          </cell>
          <cell r="E2880">
            <v>31102192</v>
          </cell>
          <cell r="F2880">
            <v>31102192</v>
          </cell>
          <cell r="G2880">
            <v>31102192</v>
          </cell>
          <cell r="H2880">
            <v>31102192</v>
          </cell>
          <cell r="I2880" t="str">
            <v/>
          </cell>
          <cell r="J2880" t="str">
            <v/>
          </cell>
          <cell r="K2880" t="str">
            <v/>
          </cell>
          <cell r="L2880" t="str">
            <v/>
          </cell>
          <cell r="M2880" t="str">
            <v/>
          </cell>
        </row>
        <row r="2881">
          <cell r="A2881">
            <v>31102192</v>
          </cell>
          <cell r="C2881">
            <v>31102192</v>
          </cell>
          <cell r="D2881">
            <v>31102192</v>
          </cell>
          <cell r="E2881">
            <v>31102192</v>
          </cell>
          <cell r="F2881">
            <v>31102192</v>
          </cell>
          <cell r="G2881">
            <v>31102192</v>
          </cell>
          <cell r="H2881">
            <v>31102192</v>
          </cell>
          <cell r="I2881" t="str">
            <v/>
          </cell>
          <cell r="J2881" t="str">
            <v/>
          </cell>
          <cell r="K2881" t="str">
            <v/>
          </cell>
          <cell r="L2881" t="str">
            <v/>
          </cell>
          <cell r="M2881" t="str">
            <v/>
          </cell>
        </row>
        <row r="2882">
          <cell r="A2882">
            <v>31102192</v>
          </cell>
          <cell r="C2882">
            <v>31102192</v>
          </cell>
          <cell r="D2882">
            <v>31102192</v>
          </cell>
          <cell r="E2882">
            <v>31102192</v>
          </cell>
          <cell r="F2882">
            <v>31102192</v>
          </cell>
          <cell r="G2882">
            <v>31102192</v>
          </cell>
          <cell r="H2882">
            <v>31102192</v>
          </cell>
          <cell r="I2882" t="str">
            <v/>
          </cell>
          <cell r="J2882" t="str">
            <v/>
          </cell>
          <cell r="K2882" t="str">
            <v/>
          </cell>
          <cell r="L2882" t="str">
            <v/>
          </cell>
          <cell r="M2882" t="str">
            <v/>
          </cell>
        </row>
        <row r="2883">
          <cell r="A2883">
            <v>31102192</v>
          </cell>
          <cell r="C2883">
            <v>31102192</v>
          </cell>
          <cell r="D2883">
            <v>31102192</v>
          </cell>
          <cell r="E2883">
            <v>31102192</v>
          </cell>
          <cell r="F2883">
            <v>31102192</v>
          </cell>
          <cell r="G2883">
            <v>31102192</v>
          </cell>
          <cell r="H2883">
            <v>31102192</v>
          </cell>
          <cell r="I2883" t="str">
            <v/>
          </cell>
          <cell r="J2883" t="str">
            <v/>
          </cell>
          <cell r="K2883" t="str">
            <v/>
          </cell>
          <cell r="L2883" t="str">
            <v/>
          </cell>
          <cell r="M2883" t="str">
            <v/>
          </cell>
        </row>
        <row r="2884">
          <cell r="A2884">
            <v>31102192</v>
          </cell>
          <cell r="C2884">
            <v>31102192</v>
          </cell>
          <cell r="D2884">
            <v>31102192</v>
          </cell>
          <cell r="E2884">
            <v>31102192</v>
          </cell>
          <cell r="F2884">
            <v>31102192</v>
          </cell>
          <cell r="G2884">
            <v>31102192</v>
          </cell>
          <cell r="H2884">
            <v>31102192</v>
          </cell>
          <cell r="I2884" t="str">
            <v/>
          </cell>
          <cell r="J2884" t="str">
            <v/>
          </cell>
          <cell r="K2884" t="str">
            <v/>
          </cell>
          <cell r="L2884" t="str">
            <v/>
          </cell>
          <cell r="M2884" t="str">
            <v/>
          </cell>
        </row>
        <row r="2885">
          <cell r="A2885">
            <v>31102192</v>
          </cell>
          <cell r="C2885">
            <v>31102192</v>
          </cell>
          <cell r="D2885">
            <v>31102192</v>
          </cell>
          <cell r="E2885">
            <v>31102192</v>
          </cell>
          <cell r="F2885">
            <v>31102192</v>
          </cell>
          <cell r="G2885">
            <v>31102192</v>
          </cell>
          <cell r="H2885">
            <v>31102192</v>
          </cell>
          <cell r="I2885" t="str">
            <v/>
          </cell>
          <cell r="J2885" t="str">
            <v/>
          </cell>
          <cell r="K2885" t="str">
            <v/>
          </cell>
          <cell r="L2885" t="str">
            <v/>
          </cell>
          <cell r="M2885" t="str">
            <v/>
          </cell>
        </row>
        <row r="2886">
          <cell r="A2886">
            <v>31102192</v>
          </cell>
          <cell r="C2886">
            <v>31102192</v>
          </cell>
          <cell r="D2886">
            <v>31102192</v>
          </cell>
          <cell r="E2886">
            <v>31102192</v>
          </cell>
          <cell r="F2886">
            <v>31102192</v>
          </cell>
          <cell r="G2886">
            <v>31102192</v>
          </cell>
          <cell r="H2886">
            <v>31102192</v>
          </cell>
          <cell r="I2886" t="str">
            <v/>
          </cell>
          <cell r="J2886" t="str">
            <v/>
          </cell>
          <cell r="K2886" t="str">
            <v/>
          </cell>
          <cell r="L2886" t="str">
            <v/>
          </cell>
          <cell r="M2886" t="str">
            <v/>
          </cell>
        </row>
        <row r="2887">
          <cell r="A2887">
            <v>31102192</v>
          </cell>
          <cell r="C2887">
            <v>31102192</v>
          </cell>
          <cell r="D2887">
            <v>31102192</v>
          </cell>
          <cell r="E2887">
            <v>31102192</v>
          </cell>
          <cell r="F2887">
            <v>31102192</v>
          </cell>
          <cell r="G2887">
            <v>31102192</v>
          </cell>
          <cell r="H2887">
            <v>31102192</v>
          </cell>
          <cell r="I2887" t="str">
            <v/>
          </cell>
          <cell r="J2887" t="str">
            <v/>
          </cell>
          <cell r="K2887" t="str">
            <v/>
          </cell>
          <cell r="L2887" t="str">
            <v/>
          </cell>
          <cell r="M2887" t="str">
            <v/>
          </cell>
        </row>
        <row r="2888">
          <cell r="A2888">
            <v>31102192</v>
          </cell>
          <cell r="C2888">
            <v>31102192</v>
          </cell>
          <cell r="D2888">
            <v>31102192</v>
          </cell>
          <cell r="E2888">
            <v>31102192</v>
          </cell>
          <cell r="F2888">
            <v>31102192</v>
          </cell>
          <cell r="G2888">
            <v>31102192</v>
          </cell>
          <cell r="H2888">
            <v>31102192</v>
          </cell>
          <cell r="I2888" t="str">
            <v/>
          </cell>
          <cell r="J2888" t="str">
            <v/>
          </cell>
          <cell r="K2888" t="str">
            <v/>
          </cell>
          <cell r="L2888" t="str">
            <v/>
          </cell>
          <cell r="M2888" t="str">
            <v/>
          </cell>
        </row>
        <row r="2889">
          <cell r="A2889">
            <v>31102192</v>
          </cell>
          <cell r="C2889">
            <v>31102192</v>
          </cell>
          <cell r="D2889">
            <v>31102192</v>
          </cell>
          <cell r="E2889">
            <v>31102192</v>
          </cell>
          <cell r="F2889">
            <v>31102192</v>
          </cell>
          <cell r="G2889">
            <v>31102192</v>
          </cell>
          <cell r="H2889">
            <v>31102192</v>
          </cell>
          <cell r="I2889" t="str">
            <v/>
          </cell>
          <cell r="J2889" t="str">
            <v/>
          </cell>
          <cell r="K2889" t="str">
            <v/>
          </cell>
          <cell r="L2889" t="str">
            <v/>
          </cell>
          <cell r="M2889" t="str">
            <v/>
          </cell>
        </row>
        <row r="2890">
          <cell r="A2890">
            <v>31102192</v>
          </cell>
          <cell r="C2890">
            <v>31102192</v>
          </cell>
          <cell r="D2890">
            <v>31102192</v>
          </cell>
          <cell r="E2890">
            <v>31102192</v>
          </cell>
          <cell r="F2890">
            <v>31102192</v>
          </cell>
          <cell r="G2890">
            <v>31102192</v>
          </cell>
          <cell r="H2890">
            <v>31102192</v>
          </cell>
          <cell r="I2890" t="str">
            <v/>
          </cell>
          <cell r="J2890" t="str">
            <v/>
          </cell>
          <cell r="K2890" t="str">
            <v/>
          </cell>
          <cell r="L2890" t="str">
            <v/>
          </cell>
          <cell r="M2890" t="str">
            <v/>
          </cell>
        </row>
        <row r="2891">
          <cell r="A2891">
            <v>31102192</v>
          </cell>
          <cell r="C2891">
            <v>31102192</v>
          </cell>
          <cell r="D2891">
            <v>31102192</v>
          </cell>
          <cell r="E2891">
            <v>31102192</v>
          </cell>
          <cell r="F2891">
            <v>31102192</v>
          </cell>
          <cell r="G2891">
            <v>31102192</v>
          </cell>
          <cell r="H2891">
            <v>31102192</v>
          </cell>
          <cell r="I2891" t="str">
            <v/>
          </cell>
          <cell r="J2891" t="str">
            <v/>
          </cell>
          <cell r="K2891" t="str">
            <v/>
          </cell>
          <cell r="L2891" t="str">
            <v/>
          </cell>
          <cell r="M2891" t="str">
            <v/>
          </cell>
        </row>
        <row r="2892">
          <cell r="A2892">
            <v>31102192</v>
          </cell>
          <cell r="C2892">
            <v>31102192</v>
          </cell>
          <cell r="D2892">
            <v>31102192</v>
          </cell>
          <cell r="E2892">
            <v>31102192</v>
          </cell>
          <cell r="F2892">
            <v>31102192</v>
          </cell>
          <cell r="G2892">
            <v>31102192</v>
          </cell>
          <cell r="H2892">
            <v>31102192</v>
          </cell>
          <cell r="I2892" t="str">
            <v/>
          </cell>
          <cell r="J2892" t="str">
            <v/>
          </cell>
          <cell r="K2892" t="str">
            <v/>
          </cell>
          <cell r="L2892" t="str">
            <v/>
          </cell>
          <cell r="M2892" t="str">
            <v/>
          </cell>
        </row>
        <row r="2893">
          <cell r="A2893">
            <v>31102192</v>
          </cell>
          <cell r="C2893">
            <v>31102192</v>
          </cell>
          <cell r="D2893">
            <v>31102192</v>
          </cell>
          <cell r="E2893">
            <v>31102192</v>
          </cell>
          <cell r="F2893">
            <v>31102192</v>
          </cell>
          <cell r="G2893">
            <v>31102192</v>
          </cell>
          <cell r="H2893">
            <v>31102192</v>
          </cell>
          <cell r="I2893" t="str">
            <v/>
          </cell>
          <cell r="J2893" t="str">
            <v/>
          </cell>
          <cell r="K2893" t="str">
            <v/>
          </cell>
          <cell r="L2893" t="str">
            <v/>
          </cell>
          <cell r="M2893" t="str">
            <v/>
          </cell>
        </row>
        <row r="2894">
          <cell r="A2894">
            <v>31102192</v>
          </cell>
          <cell r="C2894">
            <v>31102192</v>
          </cell>
          <cell r="D2894">
            <v>31102192</v>
          </cell>
          <cell r="E2894">
            <v>31102192</v>
          </cell>
          <cell r="F2894">
            <v>31102192</v>
          </cell>
          <cell r="G2894">
            <v>31102192</v>
          </cell>
          <cell r="H2894">
            <v>31102192</v>
          </cell>
          <cell r="I2894" t="str">
            <v/>
          </cell>
          <cell r="J2894" t="str">
            <v/>
          </cell>
          <cell r="K2894" t="str">
            <v/>
          </cell>
          <cell r="L2894" t="str">
            <v/>
          </cell>
          <cell r="M2894" t="str">
            <v/>
          </cell>
        </row>
        <row r="2895">
          <cell r="A2895">
            <v>31102192</v>
          </cell>
          <cell r="C2895">
            <v>31102192</v>
          </cell>
          <cell r="D2895">
            <v>31102192</v>
          </cell>
          <cell r="E2895">
            <v>31102192</v>
          </cell>
          <cell r="F2895">
            <v>31102192</v>
          </cell>
          <cell r="G2895">
            <v>31102192</v>
          </cell>
          <cell r="H2895">
            <v>31102192</v>
          </cell>
          <cell r="I2895" t="str">
            <v/>
          </cell>
          <cell r="J2895" t="str">
            <v/>
          </cell>
          <cell r="K2895" t="str">
            <v/>
          </cell>
          <cell r="L2895" t="str">
            <v/>
          </cell>
          <cell r="M2895" t="str">
            <v/>
          </cell>
        </row>
        <row r="2896">
          <cell r="A2896">
            <v>31102192</v>
          </cell>
          <cell r="C2896">
            <v>31102192</v>
          </cell>
          <cell r="D2896">
            <v>31102192</v>
          </cell>
          <cell r="E2896">
            <v>31102192</v>
          </cell>
          <cell r="F2896">
            <v>31102192</v>
          </cell>
          <cell r="G2896">
            <v>31102192</v>
          </cell>
          <cell r="H2896">
            <v>31102192</v>
          </cell>
          <cell r="I2896" t="str">
            <v/>
          </cell>
          <cell r="J2896" t="str">
            <v/>
          </cell>
          <cell r="K2896" t="str">
            <v/>
          </cell>
          <cell r="L2896" t="str">
            <v/>
          </cell>
          <cell r="M2896" t="str">
            <v/>
          </cell>
        </row>
        <row r="2897">
          <cell r="A2897">
            <v>31102192</v>
          </cell>
          <cell r="C2897">
            <v>31102192</v>
          </cell>
          <cell r="D2897">
            <v>31102192</v>
          </cell>
          <cell r="E2897">
            <v>31102192</v>
          </cell>
          <cell r="F2897">
            <v>31102192</v>
          </cell>
          <cell r="G2897">
            <v>31102192</v>
          </cell>
          <cell r="H2897">
            <v>31102192</v>
          </cell>
          <cell r="I2897" t="str">
            <v/>
          </cell>
          <cell r="J2897" t="str">
            <v/>
          </cell>
          <cell r="K2897" t="str">
            <v/>
          </cell>
          <cell r="L2897" t="str">
            <v/>
          </cell>
          <cell r="M2897" t="str">
            <v/>
          </cell>
        </row>
        <row r="2898">
          <cell r="A2898">
            <v>31102192</v>
          </cell>
          <cell r="C2898">
            <v>31102192</v>
          </cell>
          <cell r="D2898">
            <v>31102192</v>
          </cell>
          <cell r="E2898">
            <v>31102192</v>
          </cell>
          <cell r="F2898">
            <v>31102192</v>
          </cell>
          <cell r="G2898">
            <v>31102192</v>
          </cell>
          <cell r="H2898">
            <v>31102192</v>
          </cell>
          <cell r="I2898" t="str">
            <v/>
          </cell>
          <cell r="J2898" t="str">
            <v/>
          </cell>
          <cell r="K2898" t="str">
            <v/>
          </cell>
          <cell r="L2898" t="str">
            <v/>
          </cell>
          <cell r="M2898" t="str">
            <v/>
          </cell>
        </row>
        <row r="2899">
          <cell r="A2899">
            <v>31102192</v>
          </cell>
          <cell r="C2899">
            <v>31102192</v>
          </cell>
          <cell r="D2899">
            <v>31102192</v>
          </cell>
          <cell r="E2899">
            <v>31102192</v>
          </cell>
          <cell r="F2899">
            <v>31102192</v>
          </cell>
          <cell r="G2899">
            <v>31102192</v>
          </cell>
          <cell r="H2899">
            <v>31102192</v>
          </cell>
          <cell r="I2899" t="str">
            <v/>
          </cell>
          <cell r="J2899" t="str">
            <v/>
          </cell>
          <cell r="K2899" t="str">
            <v/>
          </cell>
          <cell r="L2899" t="str">
            <v/>
          </cell>
          <cell r="M2899" t="str">
            <v/>
          </cell>
        </row>
        <row r="2900">
          <cell r="A2900">
            <v>31102192</v>
          </cell>
          <cell r="C2900">
            <v>31102192</v>
          </cell>
          <cell r="D2900">
            <v>31102192</v>
          </cell>
          <cell r="E2900">
            <v>31102192</v>
          </cell>
          <cell r="F2900">
            <v>31102192</v>
          </cell>
          <cell r="G2900">
            <v>31102192</v>
          </cell>
          <cell r="H2900">
            <v>31102192</v>
          </cell>
          <cell r="I2900" t="str">
            <v/>
          </cell>
          <cell r="J2900" t="str">
            <v/>
          </cell>
          <cell r="K2900" t="str">
            <v/>
          </cell>
          <cell r="L2900" t="str">
            <v/>
          </cell>
          <cell r="M2900" t="str">
            <v/>
          </cell>
        </row>
        <row r="2901">
          <cell r="A2901">
            <v>31102192</v>
          </cell>
          <cell r="C2901">
            <v>31102192</v>
          </cell>
          <cell r="D2901">
            <v>31102192</v>
          </cell>
          <cell r="E2901">
            <v>31102192</v>
          </cell>
          <cell r="F2901">
            <v>31102192</v>
          </cell>
          <cell r="G2901">
            <v>31102192</v>
          </cell>
          <cell r="H2901">
            <v>31102192</v>
          </cell>
          <cell r="I2901" t="str">
            <v/>
          </cell>
          <cell r="J2901" t="str">
            <v/>
          </cell>
          <cell r="K2901" t="str">
            <v/>
          </cell>
          <cell r="L2901" t="str">
            <v/>
          </cell>
          <cell r="M2901" t="str">
            <v/>
          </cell>
        </row>
        <row r="2902">
          <cell r="A2902">
            <v>31102192</v>
          </cell>
          <cell r="C2902">
            <v>31102192</v>
          </cell>
          <cell r="D2902">
            <v>31102192</v>
          </cell>
          <cell r="E2902">
            <v>31102192</v>
          </cell>
          <cell r="F2902">
            <v>31102192</v>
          </cell>
          <cell r="G2902">
            <v>31102192</v>
          </cell>
          <cell r="H2902">
            <v>31102192</v>
          </cell>
          <cell r="I2902" t="str">
            <v/>
          </cell>
          <cell r="J2902" t="str">
            <v/>
          </cell>
          <cell r="K2902" t="str">
            <v/>
          </cell>
          <cell r="L2902" t="str">
            <v/>
          </cell>
          <cell r="M2902" t="str">
            <v/>
          </cell>
        </row>
        <row r="2903">
          <cell r="A2903">
            <v>31102192</v>
          </cell>
          <cell r="C2903">
            <v>31102192</v>
          </cell>
          <cell r="D2903">
            <v>31102192</v>
          </cell>
          <cell r="E2903">
            <v>31102192</v>
          </cell>
          <cell r="F2903">
            <v>31102192</v>
          </cell>
          <cell r="G2903">
            <v>31102192</v>
          </cell>
          <cell r="H2903">
            <v>31102192</v>
          </cell>
          <cell r="I2903" t="str">
            <v/>
          </cell>
          <cell r="J2903" t="str">
            <v/>
          </cell>
          <cell r="K2903" t="str">
            <v/>
          </cell>
          <cell r="L2903" t="str">
            <v/>
          </cell>
          <cell r="M2903" t="str">
            <v/>
          </cell>
        </row>
        <row r="2904">
          <cell r="A2904">
            <v>31102192</v>
          </cell>
          <cell r="C2904">
            <v>31102192</v>
          </cell>
          <cell r="D2904">
            <v>31102192</v>
          </cell>
          <cell r="E2904">
            <v>31102192</v>
          </cell>
          <cell r="F2904">
            <v>31102192</v>
          </cell>
          <cell r="G2904">
            <v>31102192</v>
          </cell>
          <cell r="H2904">
            <v>31102192</v>
          </cell>
          <cell r="I2904" t="str">
            <v/>
          </cell>
          <cell r="J2904" t="str">
            <v/>
          </cell>
          <cell r="K2904" t="str">
            <v/>
          </cell>
          <cell r="L2904" t="str">
            <v/>
          </cell>
          <cell r="M2904" t="str">
            <v/>
          </cell>
        </row>
        <row r="2905">
          <cell r="A2905">
            <v>31102192</v>
          </cell>
          <cell r="C2905">
            <v>31102192</v>
          </cell>
          <cell r="D2905">
            <v>31102192</v>
          </cell>
          <cell r="E2905">
            <v>31102192</v>
          </cell>
          <cell r="F2905">
            <v>31102192</v>
          </cell>
          <cell r="G2905">
            <v>31102192</v>
          </cell>
          <cell r="H2905">
            <v>31102192</v>
          </cell>
          <cell r="I2905" t="str">
            <v/>
          </cell>
          <cell r="J2905" t="str">
            <v/>
          </cell>
          <cell r="K2905" t="str">
            <v/>
          </cell>
          <cell r="L2905" t="str">
            <v/>
          </cell>
          <cell r="M2905" t="str">
            <v/>
          </cell>
        </row>
        <row r="2906">
          <cell r="A2906">
            <v>31102192</v>
          </cell>
          <cell r="C2906">
            <v>31102192</v>
          </cell>
          <cell r="D2906">
            <v>31102192</v>
          </cell>
          <cell r="E2906">
            <v>31102192</v>
          </cell>
          <cell r="F2906">
            <v>31102192</v>
          </cell>
          <cell r="G2906">
            <v>31102192</v>
          </cell>
          <cell r="H2906">
            <v>31102192</v>
          </cell>
          <cell r="I2906" t="str">
            <v/>
          </cell>
          <cell r="J2906" t="str">
            <v/>
          </cell>
          <cell r="K2906" t="str">
            <v/>
          </cell>
          <cell r="L2906" t="str">
            <v/>
          </cell>
          <cell r="M2906" t="str">
            <v/>
          </cell>
        </row>
        <row r="2907">
          <cell r="A2907">
            <v>31102192</v>
          </cell>
          <cell r="C2907">
            <v>31102192</v>
          </cell>
          <cell r="D2907">
            <v>31102192</v>
          </cell>
          <cell r="E2907">
            <v>31102192</v>
          </cell>
          <cell r="F2907">
            <v>31102192</v>
          </cell>
          <cell r="G2907">
            <v>31102192</v>
          </cell>
          <cell r="H2907">
            <v>31102192</v>
          </cell>
          <cell r="I2907" t="str">
            <v/>
          </cell>
          <cell r="J2907" t="str">
            <v/>
          </cell>
          <cell r="K2907" t="str">
            <v/>
          </cell>
          <cell r="L2907" t="str">
            <v/>
          </cell>
          <cell r="M2907" t="str">
            <v/>
          </cell>
        </row>
        <row r="2908">
          <cell r="A2908">
            <v>31102192</v>
          </cell>
          <cell r="C2908">
            <v>31102192</v>
          </cell>
          <cell r="D2908">
            <v>31102192</v>
          </cell>
          <cell r="E2908">
            <v>31102192</v>
          </cell>
          <cell r="F2908">
            <v>31102192</v>
          </cell>
          <cell r="G2908">
            <v>31102192</v>
          </cell>
          <cell r="H2908">
            <v>31102192</v>
          </cell>
          <cell r="I2908" t="str">
            <v/>
          </cell>
          <cell r="J2908" t="str">
            <v/>
          </cell>
          <cell r="K2908" t="str">
            <v/>
          </cell>
          <cell r="L2908" t="str">
            <v/>
          </cell>
          <cell r="M2908" t="str">
            <v/>
          </cell>
        </row>
        <row r="2909">
          <cell r="A2909">
            <v>31102192</v>
          </cell>
          <cell r="C2909">
            <v>31102192</v>
          </cell>
          <cell r="D2909">
            <v>31102192</v>
          </cell>
          <cell r="E2909">
            <v>31102192</v>
          </cell>
          <cell r="F2909">
            <v>31102192</v>
          </cell>
          <cell r="G2909">
            <v>31102192</v>
          </cell>
          <cell r="H2909">
            <v>31102192</v>
          </cell>
          <cell r="I2909" t="str">
            <v/>
          </cell>
          <cell r="J2909" t="str">
            <v/>
          </cell>
          <cell r="K2909" t="str">
            <v/>
          </cell>
          <cell r="L2909" t="str">
            <v/>
          </cell>
          <cell r="M2909" t="str">
            <v/>
          </cell>
        </row>
        <row r="2910">
          <cell r="A2910">
            <v>31102192</v>
          </cell>
          <cell r="C2910">
            <v>31102192</v>
          </cell>
          <cell r="D2910">
            <v>31102192</v>
          </cell>
          <cell r="E2910">
            <v>31102192</v>
          </cell>
          <cell r="F2910">
            <v>31102192</v>
          </cell>
          <cell r="G2910">
            <v>31102192</v>
          </cell>
          <cell r="H2910">
            <v>31102192</v>
          </cell>
          <cell r="I2910" t="str">
            <v/>
          </cell>
          <cell r="J2910" t="str">
            <v/>
          </cell>
          <cell r="K2910" t="str">
            <v/>
          </cell>
          <cell r="L2910" t="str">
            <v/>
          </cell>
          <cell r="M2910" t="str">
            <v/>
          </cell>
        </row>
        <row r="2911">
          <cell r="A2911">
            <v>31102192</v>
          </cell>
          <cell r="C2911">
            <v>31102192</v>
          </cell>
          <cell r="D2911">
            <v>31102192</v>
          </cell>
          <cell r="E2911">
            <v>31102192</v>
          </cell>
          <cell r="F2911">
            <v>31102192</v>
          </cell>
          <cell r="G2911">
            <v>31102192</v>
          </cell>
          <cell r="H2911">
            <v>31102192</v>
          </cell>
          <cell r="I2911" t="str">
            <v/>
          </cell>
          <cell r="J2911" t="str">
            <v/>
          </cell>
          <cell r="K2911" t="str">
            <v/>
          </cell>
          <cell r="L2911" t="str">
            <v/>
          </cell>
          <cell r="M2911" t="str">
            <v/>
          </cell>
        </row>
        <row r="2912">
          <cell r="A2912">
            <v>31102192</v>
          </cell>
          <cell r="C2912">
            <v>31102192</v>
          </cell>
          <cell r="D2912">
            <v>31102192</v>
          </cell>
          <cell r="E2912">
            <v>31102192</v>
          </cell>
          <cell r="F2912">
            <v>31102192</v>
          </cell>
          <cell r="G2912">
            <v>31102192</v>
          </cell>
          <cell r="H2912">
            <v>31102192</v>
          </cell>
          <cell r="I2912" t="str">
            <v/>
          </cell>
          <cell r="J2912" t="str">
            <v/>
          </cell>
          <cell r="K2912" t="str">
            <v/>
          </cell>
          <cell r="L2912" t="str">
            <v/>
          </cell>
          <cell r="M2912" t="str">
            <v/>
          </cell>
        </row>
        <row r="2913">
          <cell r="A2913">
            <v>31102192</v>
          </cell>
          <cell r="C2913">
            <v>31102192</v>
          </cell>
          <cell r="D2913">
            <v>31102192</v>
          </cell>
          <cell r="E2913">
            <v>31102192</v>
          </cell>
          <cell r="F2913">
            <v>31102192</v>
          </cell>
          <cell r="G2913">
            <v>31102192</v>
          </cell>
          <cell r="H2913">
            <v>31102192</v>
          </cell>
          <cell r="I2913" t="str">
            <v/>
          </cell>
          <cell r="J2913" t="str">
            <v/>
          </cell>
          <cell r="K2913" t="str">
            <v/>
          </cell>
          <cell r="L2913" t="str">
            <v/>
          </cell>
          <cell r="M2913" t="str">
            <v/>
          </cell>
        </row>
        <row r="2914">
          <cell r="A2914">
            <v>31102192</v>
          </cell>
          <cell r="C2914">
            <v>31102192</v>
          </cell>
          <cell r="D2914">
            <v>31102192</v>
          </cell>
          <cell r="E2914">
            <v>31102192</v>
          </cell>
          <cell r="F2914">
            <v>31102192</v>
          </cell>
          <cell r="G2914">
            <v>31102192</v>
          </cell>
          <cell r="H2914">
            <v>31102192</v>
          </cell>
          <cell r="I2914" t="str">
            <v/>
          </cell>
          <cell r="J2914" t="str">
            <v/>
          </cell>
          <cell r="K2914" t="str">
            <v/>
          </cell>
          <cell r="L2914" t="str">
            <v/>
          </cell>
          <cell r="M2914" t="str">
            <v/>
          </cell>
        </row>
        <row r="2915">
          <cell r="A2915">
            <v>31102192</v>
          </cell>
          <cell r="C2915">
            <v>31102192</v>
          </cell>
          <cell r="D2915">
            <v>31102192</v>
          </cell>
          <cell r="E2915">
            <v>31102192</v>
          </cell>
          <cell r="F2915">
            <v>31102192</v>
          </cell>
          <cell r="G2915">
            <v>31102192</v>
          </cell>
          <cell r="H2915">
            <v>31102192</v>
          </cell>
          <cell r="I2915" t="str">
            <v/>
          </cell>
          <cell r="J2915" t="str">
            <v/>
          </cell>
          <cell r="K2915" t="str">
            <v/>
          </cell>
          <cell r="L2915" t="str">
            <v/>
          </cell>
          <cell r="M2915" t="str">
            <v/>
          </cell>
        </row>
        <row r="2916">
          <cell r="A2916">
            <v>31102192</v>
          </cell>
          <cell r="C2916">
            <v>31102192</v>
          </cell>
          <cell r="D2916">
            <v>31102192</v>
          </cell>
          <cell r="E2916">
            <v>31102192</v>
          </cell>
          <cell r="F2916">
            <v>31102192</v>
          </cell>
          <cell r="G2916">
            <v>31102192</v>
          </cell>
          <cell r="H2916">
            <v>31102192</v>
          </cell>
          <cell r="I2916" t="str">
            <v/>
          </cell>
          <cell r="J2916" t="str">
            <v/>
          </cell>
          <cell r="K2916" t="str">
            <v/>
          </cell>
          <cell r="L2916" t="str">
            <v/>
          </cell>
          <cell r="M2916" t="str">
            <v/>
          </cell>
        </row>
        <row r="2917">
          <cell r="A2917">
            <v>31102192</v>
          </cell>
          <cell r="C2917">
            <v>31102192</v>
          </cell>
          <cell r="D2917">
            <v>31102192</v>
          </cell>
          <cell r="E2917">
            <v>31102192</v>
          </cell>
          <cell r="F2917">
            <v>31102192</v>
          </cell>
          <cell r="G2917">
            <v>31102192</v>
          </cell>
          <cell r="H2917">
            <v>31102192</v>
          </cell>
          <cell r="I2917" t="str">
            <v/>
          </cell>
          <cell r="J2917" t="str">
            <v/>
          </cell>
          <cell r="K2917" t="str">
            <v/>
          </cell>
          <cell r="L2917" t="str">
            <v/>
          </cell>
          <cell r="M2917" t="str">
            <v/>
          </cell>
        </row>
        <row r="2918">
          <cell r="A2918">
            <v>31102192</v>
          </cell>
          <cell r="C2918">
            <v>31102192</v>
          </cell>
          <cell r="D2918">
            <v>31102192</v>
          </cell>
          <cell r="E2918">
            <v>31102192</v>
          </cell>
          <cell r="F2918">
            <v>31102192</v>
          </cell>
          <cell r="G2918">
            <v>31102192</v>
          </cell>
          <cell r="H2918">
            <v>31102192</v>
          </cell>
          <cell r="I2918" t="str">
            <v/>
          </cell>
          <cell r="J2918" t="str">
            <v/>
          </cell>
          <cell r="K2918" t="str">
            <v/>
          </cell>
          <cell r="L2918" t="str">
            <v/>
          </cell>
          <cell r="M2918" t="str">
            <v/>
          </cell>
        </row>
        <row r="2919">
          <cell r="A2919">
            <v>31102192</v>
          </cell>
          <cell r="C2919">
            <v>31102192</v>
          </cell>
          <cell r="D2919">
            <v>31102192</v>
          </cell>
          <cell r="E2919">
            <v>31102192</v>
          </cell>
          <cell r="F2919">
            <v>31102192</v>
          </cell>
          <cell r="G2919">
            <v>31102192</v>
          </cell>
          <cell r="H2919">
            <v>31102192</v>
          </cell>
          <cell r="I2919" t="str">
            <v/>
          </cell>
          <cell r="J2919" t="str">
            <v/>
          </cell>
          <cell r="K2919" t="str">
            <v/>
          </cell>
          <cell r="L2919" t="str">
            <v/>
          </cell>
          <cell r="M2919" t="str">
            <v/>
          </cell>
        </row>
        <row r="2920">
          <cell r="A2920">
            <v>31102192</v>
          </cell>
          <cell r="C2920">
            <v>31102192</v>
          </cell>
          <cell r="D2920">
            <v>31102192</v>
          </cell>
          <cell r="E2920">
            <v>31102192</v>
          </cell>
          <cell r="F2920">
            <v>31102192</v>
          </cell>
          <cell r="G2920">
            <v>31102192</v>
          </cell>
          <cell r="H2920">
            <v>31102192</v>
          </cell>
          <cell r="I2920" t="str">
            <v/>
          </cell>
          <cell r="J2920" t="str">
            <v/>
          </cell>
          <cell r="K2920" t="str">
            <v/>
          </cell>
          <cell r="L2920" t="str">
            <v/>
          </cell>
          <cell r="M2920" t="str">
            <v/>
          </cell>
        </row>
        <row r="2921">
          <cell r="A2921">
            <v>31102192</v>
          </cell>
          <cell r="C2921">
            <v>31102192</v>
          </cell>
          <cell r="D2921">
            <v>31102192</v>
          </cell>
          <cell r="E2921">
            <v>31102192</v>
          </cell>
          <cell r="F2921">
            <v>31102192</v>
          </cell>
          <cell r="G2921">
            <v>31102192</v>
          </cell>
          <cell r="H2921">
            <v>31102192</v>
          </cell>
          <cell r="I2921" t="str">
            <v/>
          </cell>
          <cell r="J2921" t="str">
            <v/>
          </cell>
          <cell r="K2921" t="str">
            <v/>
          </cell>
          <cell r="L2921" t="str">
            <v/>
          </cell>
          <cell r="M2921" t="str">
            <v/>
          </cell>
        </row>
        <row r="2922">
          <cell r="A2922">
            <v>31102192</v>
          </cell>
          <cell r="C2922">
            <v>31102192</v>
          </cell>
          <cell r="D2922">
            <v>31102192</v>
          </cell>
          <cell r="E2922">
            <v>31102192</v>
          </cell>
          <cell r="F2922">
            <v>31102192</v>
          </cell>
          <cell r="G2922">
            <v>31102192</v>
          </cell>
          <cell r="H2922">
            <v>31102192</v>
          </cell>
          <cell r="I2922" t="str">
            <v/>
          </cell>
          <cell r="J2922" t="str">
            <v/>
          </cell>
          <cell r="K2922" t="str">
            <v/>
          </cell>
          <cell r="L2922" t="str">
            <v/>
          </cell>
          <cell r="M2922" t="str">
            <v/>
          </cell>
        </row>
        <row r="2923">
          <cell r="A2923">
            <v>31102192</v>
          </cell>
          <cell r="C2923">
            <v>31102192</v>
          </cell>
          <cell r="D2923">
            <v>31102192</v>
          </cell>
          <cell r="E2923">
            <v>31102192</v>
          </cell>
          <cell r="F2923">
            <v>31102192</v>
          </cell>
          <cell r="G2923">
            <v>31102192</v>
          </cell>
          <cell r="H2923">
            <v>31102192</v>
          </cell>
          <cell r="I2923" t="str">
            <v/>
          </cell>
          <cell r="J2923" t="str">
            <v/>
          </cell>
          <cell r="K2923" t="str">
            <v/>
          </cell>
          <cell r="L2923" t="str">
            <v/>
          </cell>
          <cell r="M2923" t="str">
            <v/>
          </cell>
        </row>
        <row r="2924">
          <cell r="A2924">
            <v>31102192</v>
          </cell>
          <cell r="C2924">
            <v>31102192</v>
          </cell>
          <cell r="D2924">
            <v>31102192</v>
          </cell>
          <cell r="E2924">
            <v>31102192</v>
          </cell>
          <cell r="F2924">
            <v>31102192</v>
          </cell>
          <cell r="G2924">
            <v>31102192</v>
          </cell>
          <cell r="H2924">
            <v>31102192</v>
          </cell>
          <cell r="I2924" t="str">
            <v/>
          </cell>
          <cell r="J2924" t="str">
            <v/>
          </cell>
          <cell r="K2924" t="str">
            <v/>
          </cell>
          <cell r="L2924" t="str">
            <v/>
          </cell>
          <cell r="M2924" t="str">
            <v/>
          </cell>
        </row>
        <row r="2925">
          <cell r="A2925">
            <v>31102192</v>
          </cell>
          <cell r="C2925">
            <v>31102192</v>
          </cell>
          <cell r="D2925">
            <v>31102192</v>
          </cell>
          <cell r="E2925">
            <v>31102192</v>
          </cell>
          <cell r="F2925">
            <v>31102192</v>
          </cell>
          <cell r="G2925">
            <v>31102192</v>
          </cell>
          <cell r="H2925">
            <v>31102192</v>
          </cell>
          <cell r="I2925" t="str">
            <v/>
          </cell>
          <cell r="J2925" t="str">
            <v/>
          </cell>
          <cell r="K2925" t="str">
            <v/>
          </cell>
          <cell r="L2925" t="str">
            <v/>
          </cell>
          <cell r="M2925" t="str">
            <v/>
          </cell>
        </row>
        <row r="2926">
          <cell r="A2926">
            <v>31102192</v>
          </cell>
          <cell r="C2926">
            <v>31102192</v>
          </cell>
          <cell r="D2926">
            <v>31102192</v>
          </cell>
          <cell r="E2926">
            <v>31102192</v>
          </cell>
          <cell r="F2926">
            <v>31102192</v>
          </cell>
          <cell r="G2926">
            <v>31102192</v>
          </cell>
          <cell r="H2926">
            <v>31102192</v>
          </cell>
          <cell r="I2926" t="str">
            <v/>
          </cell>
          <cell r="J2926" t="str">
            <v/>
          </cell>
          <cell r="K2926" t="str">
            <v/>
          </cell>
          <cell r="L2926" t="str">
            <v/>
          </cell>
          <cell r="M2926" t="str">
            <v/>
          </cell>
        </row>
        <row r="2927">
          <cell r="A2927">
            <v>31102192</v>
          </cell>
          <cell r="C2927">
            <v>31102192</v>
          </cell>
          <cell r="D2927">
            <v>31102192</v>
          </cell>
          <cell r="E2927">
            <v>31102192</v>
          </cell>
          <cell r="F2927">
            <v>31102192</v>
          </cell>
          <cell r="G2927">
            <v>31102192</v>
          </cell>
          <cell r="H2927">
            <v>31102192</v>
          </cell>
          <cell r="I2927" t="str">
            <v/>
          </cell>
          <cell r="J2927" t="str">
            <v/>
          </cell>
          <cell r="K2927" t="str">
            <v/>
          </cell>
          <cell r="L2927" t="str">
            <v/>
          </cell>
          <cell r="M2927" t="str">
            <v/>
          </cell>
        </row>
        <row r="2928">
          <cell r="A2928">
            <v>31102192</v>
          </cell>
          <cell r="C2928">
            <v>31102192</v>
          </cell>
          <cell r="D2928">
            <v>31102192</v>
          </cell>
          <cell r="E2928">
            <v>31102192</v>
          </cell>
          <cell r="F2928">
            <v>31102192</v>
          </cell>
          <cell r="G2928">
            <v>31102192</v>
          </cell>
          <cell r="H2928">
            <v>31102192</v>
          </cell>
          <cell r="I2928" t="str">
            <v/>
          </cell>
          <cell r="J2928" t="str">
            <v/>
          </cell>
          <cell r="K2928" t="str">
            <v/>
          </cell>
          <cell r="L2928" t="str">
            <v/>
          </cell>
          <cell r="M2928" t="str">
            <v/>
          </cell>
        </row>
        <row r="2929">
          <cell r="A2929">
            <v>31102192</v>
          </cell>
          <cell r="C2929">
            <v>31102192</v>
          </cell>
          <cell r="D2929">
            <v>31102192</v>
          </cell>
          <cell r="E2929">
            <v>31102192</v>
          </cell>
          <cell r="F2929">
            <v>31102192</v>
          </cell>
          <cell r="G2929">
            <v>31102192</v>
          </cell>
          <cell r="H2929">
            <v>31102192</v>
          </cell>
          <cell r="I2929" t="str">
            <v/>
          </cell>
          <cell r="J2929" t="str">
            <v/>
          </cell>
          <cell r="K2929" t="str">
            <v/>
          </cell>
          <cell r="L2929" t="str">
            <v/>
          </cell>
          <cell r="M2929" t="str">
            <v/>
          </cell>
        </row>
        <row r="2930">
          <cell r="A2930">
            <v>31102192</v>
          </cell>
          <cell r="C2930">
            <v>31102192</v>
          </cell>
          <cell r="D2930">
            <v>31102192</v>
          </cell>
          <cell r="E2930">
            <v>31102192</v>
          </cell>
          <cell r="F2930">
            <v>31102192</v>
          </cell>
          <cell r="G2930">
            <v>31102192</v>
          </cell>
          <cell r="H2930">
            <v>31102192</v>
          </cell>
          <cell r="I2930" t="str">
            <v/>
          </cell>
          <cell r="J2930" t="str">
            <v/>
          </cell>
          <cell r="K2930" t="str">
            <v/>
          </cell>
          <cell r="L2930" t="str">
            <v/>
          </cell>
          <cell r="M2930" t="str">
            <v/>
          </cell>
        </row>
        <row r="2931">
          <cell r="A2931">
            <v>31102192</v>
          </cell>
          <cell r="C2931">
            <v>31102192</v>
          </cell>
          <cell r="D2931">
            <v>31102192</v>
          </cell>
          <cell r="E2931">
            <v>31102192</v>
          </cell>
          <cell r="F2931">
            <v>31102192</v>
          </cell>
          <cell r="G2931">
            <v>31102192</v>
          </cell>
          <cell r="H2931">
            <v>31102192</v>
          </cell>
          <cell r="I2931" t="str">
            <v/>
          </cell>
          <cell r="J2931" t="str">
            <v/>
          </cell>
          <cell r="K2931" t="str">
            <v/>
          </cell>
          <cell r="L2931" t="str">
            <v/>
          </cell>
          <cell r="M2931" t="str">
            <v/>
          </cell>
        </row>
        <row r="2932">
          <cell r="A2932">
            <v>31102192</v>
          </cell>
          <cell r="C2932">
            <v>31102192</v>
          </cell>
          <cell r="D2932">
            <v>31102192</v>
          </cell>
          <cell r="E2932">
            <v>31102192</v>
          </cell>
          <cell r="F2932">
            <v>31102192</v>
          </cell>
          <cell r="G2932">
            <v>31102192</v>
          </cell>
          <cell r="H2932">
            <v>31102192</v>
          </cell>
          <cell r="I2932" t="str">
            <v/>
          </cell>
          <cell r="J2932" t="str">
            <v/>
          </cell>
          <cell r="K2932" t="str">
            <v/>
          </cell>
          <cell r="L2932" t="str">
            <v/>
          </cell>
          <cell r="M2932" t="str">
            <v/>
          </cell>
        </row>
        <row r="2933">
          <cell r="A2933">
            <v>31102192</v>
          </cell>
          <cell r="C2933">
            <v>31102192</v>
          </cell>
          <cell r="D2933">
            <v>31102192</v>
          </cell>
          <cell r="E2933">
            <v>31102192</v>
          </cell>
          <cell r="F2933">
            <v>31102192</v>
          </cell>
          <cell r="G2933">
            <v>31102192</v>
          </cell>
          <cell r="H2933">
            <v>31102192</v>
          </cell>
          <cell r="I2933" t="str">
            <v/>
          </cell>
          <cell r="J2933" t="str">
            <v/>
          </cell>
          <cell r="K2933" t="str">
            <v/>
          </cell>
          <cell r="L2933" t="str">
            <v/>
          </cell>
          <cell r="M2933" t="str">
            <v/>
          </cell>
        </row>
        <row r="2934">
          <cell r="A2934">
            <v>31102192</v>
          </cell>
          <cell r="C2934">
            <v>31102192</v>
          </cell>
          <cell r="D2934">
            <v>31102192</v>
          </cell>
          <cell r="E2934">
            <v>31102192</v>
          </cell>
          <cell r="F2934">
            <v>31102192</v>
          </cell>
          <cell r="G2934">
            <v>31102192</v>
          </cell>
          <cell r="H2934">
            <v>31102192</v>
          </cell>
          <cell r="I2934" t="str">
            <v/>
          </cell>
          <cell r="J2934" t="str">
            <v/>
          </cell>
          <cell r="K2934" t="str">
            <v/>
          </cell>
          <cell r="L2934" t="str">
            <v/>
          </cell>
          <cell r="M2934" t="str">
            <v/>
          </cell>
        </row>
        <row r="2935">
          <cell r="A2935">
            <v>31102192</v>
          </cell>
          <cell r="C2935">
            <v>31102192</v>
          </cell>
          <cell r="D2935">
            <v>31102192</v>
          </cell>
          <cell r="E2935">
            <v>31102192</v>
          </cell>
          <cell r="F2935">
            <v>31102192</v>
          </cell>
          <cell r="G2935">
            <v>31102192</v>
          </cell>
          <cell r="H2935">
            <v>31102192</v>
          </cell>
          <cell r="I2935" t="str">
            <v/>
          </cell>
          <cell r="J2935" t="str">
            <v/>
          </cell>
          <cell r="K2935" t="str">
            <v/>
          </cell>
          <cell r="L2935" t="str">
            <v/>
          </cell>
          <cell r="M2935" t="str">
            <v/>
          </cell>
        </row>
        <row r="2936">
          <cell r="A2936">
            <v>31102192</v>
          </cell>
          <cell r="C2936">
            <v>31102192</v>
          </cell>
          <cell r="D2936">
            <v>31102192</v>
          </cell>
          <cell r="E2936">
            <v>31102192</v>
          </cell>
          <cell r="F2936">
            <v>31102192</v>
          </cell>
          <cell r="G2936">
            <v>31102192</v>
          </cell>
          <cell r="H2936">
            <v>31102192</v>
          </cell>
          <cell r="I2936" t="str">
            <v/>
          </cell>
          <cell r="J2936" t="str">
            <v/>
          </cell>
          <cell r="K2936" t="str">
            <v/>
          </cell>
          <cell r="L2936" t="str">
            <v/>
          </cell>
          <cell r="M2936" t="str">
            <v/>
          </cell>
        </row>
        <row r="2937">
          <cell r="A2937">
            <v>31102192</v>
          </cell>
          <cell r="C2937">
            <v>31102192</v>
          </cell>
          <cell r="D2937">
            <v>31102192</v>
          </cell>
          <cell r="E2937">
            <v>31102192</v>
          </cell>
          <cell r="F2937">
            <v>31102192</v>
          </cell>
          <cell r="G2937">
            <v>31102192</v>
          </cell>
          <cell r="H2937">
            <v>31102192</v>
          </cell>
          <cell r="I2937" t="str">
            <v/>
          </cell>
          <cell r="J2937" t="str">
            <v/>
          </cell>
          <cell r="K2937" t="str">
            <v/>
          </cell>
          <cell r="L2937" t="str">
            <v/>
          </cell>
          <cell r="M2937" t="str">
            <v/>
          </cell>
        </row>
        <row r="2938">
          <cell r="A2938">
            <v>31102192</v>
          </cell>
          <cell r="C2938">
            <v>31102192</v>
          </cell>
          <cell r="D2938">
            <v>31102192</v>
          </cell>
          <cell r="E2938">
            <v>31102192</v>
          </cell>
          <cell r="F2938">
            <v>31102192</v>
          </cell>
          <cell r="G2938">
            <v>31102192</v>
          </cell>
          <cell r="H2938">
            <v>31102192</v>
          </cell>
          <cell r="I2938" t="str">
            <v/>
          </cell>
          <cell r="J2938" t="str">
            <v/>
          </cell>
          <cell r="K2938" t="str">
            <v/>
          </cell>
          <cell r="L2938" t="str">
            <v/>
          </cell>
          <cell r="M2938" t="str">
            <v/>
          </cell>
        </row>
        <row r="2939">
          <cell r="A2939">
            <v>31102192</v>
          </cell>
          <cell r="C2939">
            <v>31102192</v>
          </cell>
          <cell r="D2939">
            <v>31102192</v>
          </cell>
          <cell r="E2939">
            <v>31102192</v>
          </cell>
          <cell r="F2939">
            <v>31102192</v>
          </cell>
          <cell r="G2939">
            <v>31102192</v>
          </cell>
          <cell r="H2939">
            <v>31102192</v>
          </cell>
          <cell r="I2939" t="str">
            <v/>
          </cell>
          <cell r="J2939" t="str">
            <v/>
          </cell>
          <cell r="K2939" t="str">
            <v/>
          </cell>
          <cell r="L2939" t="str">
            <v/>
          </cell>
          <cell r="M2939" t="str">
            <v/>
          </cell>
        </row>
        <row r="2940">
          <cell r="A2940">
            <v>31102192</v>
          </cell>
          <cell r="C2940">
            <v>31102192</v>
          </cell>
          <cell r="D2940">
            <v>31102192</v>
          </cell>
          <cell r="E2940">
            <v>31102192</v>
          </cell>
          <cell r="F2940">
            <v>31102192</v>
          </cell>
          <cell r="G2940">
            <v>31102192</v>
          </cell>
          <cell r="H2940">
            <v>31102192</v>
          </cell>
          <cell r="I2940" t="str">
            <v/>
          </cell>
          <cell r="J2940" t="str">
            <v/>
          </cell>
          <cell r="K2940" t="str">
            <v/>
          </cell>
          <cell r="L2940" t="str">
            <v/>
          </cell>
          <cell r="M2940" t="str">
            <v/>
          </cell>
        </row>
        <row r="2941">
          <cell r="A2941">
            <v>31102192</v>
          </cell>
          <cell r="C2941">
            <v>31102192</v>
          </cell>
          <cell r="D2941">
            <v>31102192</v>
          </cell>
          <cell r="E2941">
            <v>31102192</v>
          </cell>
          <cell r="F2941">
            <v>31102192</v>
          </cell>
          <cell r="G2941">
            <v>31102192</v>
          </cell>
          <cell r="H2941">
            <v>31102192</v>
          </cell>
          <cell r="I2941" t="str">
            <v/>
          </cell>
          <cell r="J2941" t="str">
            <v/>
          </cell>
          <cell r="K2941" t="str">
            <v/>
          </cell>
          <cell r="L2941" t="str">
            <v/>
          </cell>
          <cell r="M2941" t="str">
            <v/>
          </cell>
        </row>
        <row r="2942">
          <cell r="A2942">
            <v>31102192</v>
          </cell>
          <cell r="C2942">
            <v>31102192</v>
          </cell>
          <cell r="D2942">
            <v>31102192</v>
          </cell>
          <cell r="E2942">
            <v>31102192</v>
          </cell>
          <cell r="F2942">
            <v>31102192</v>
          </cell>
          <cell r="G2942">
            <v>31102192</v>
          </cell>
          <cell r="H2942">
            <v>31102192</v>
          </cell>
          <cell r="I2942" t="str">
            <v/>
          </cell>
          <cell r="J2942" t="str">
            <v/>
          </cell>
          <cell r="K2942" t="str">
            <v/>
          </cell>
          <cell r="L2942" t="str">
            <v/>
          </cell>
          <cell r="M2942" t="str">
            <v/>
          </cell>
        </row>
        <row r="2943">
          <cell r="A2943">
            <v>31102192</v>
          </cell>
          <cell r="C2943">
            <v>31102192</v>
          </cell>
          <cell r="D2943">
            <v>31102192</v>
          </cell>
          <cell r="E2943">
            <v>31102192</v>
          </cell>
          <cell r="F2943">
            <v>31102192</v>
          </cell>
          <cell r="G2943">
            <v>31102192</v>
          </cell>
          <cell r="H2943">
            <v>31102192</v>
          </cell>
          <cell r="I2943" t="str">
            <v/>
          </cell>
          <cell r="J2943" t="str">
            <v/>
          </cell>
          <cell r="K2943" t="str">
            <v/>
          </cell>
          <cell r="L2943" t="str">
            <v/>
          </cell>
          <cell r="M2943" t="str">
            <v/>
          </cell>
        </row>
        <row r="2944">
          <cell r="A2944">
            <v>31102192</v>
          </cell>
          <cell r="C2944">
            <v>31102192</v>
          </cell>
          <cell r="D2944">
            <v>31102192</v>
          </cell>
          <cell r="E2944">
            <v>31102192</v>
          </cell>
          <cell r="F2944">
            <v>31102192</v>
          </cell>
          <cell r="G2944">
            <v>31102192</v>
          </cell>
          <cell r="H2944">
            <v>31102192</v>
          </cell>
          <cell r="I2944" t="str">
            <v/>
          </cell>
          <cell r="J2944" t="str">
            <v/>
          </cell>
          <cell r="K2944" t="str">
            <v/>
          </cell>
          <cell r="L2944" t="str">
            <v/>
          </cell>
          <cell r="M2944" t="str">
            <v/>
          </cell>
        </row>
        <row r="2945">
          <cell r="A2945">
            <v>31102192</v>
          </cell>
          <cell r="C2945">
            <v>31102192</v>
          </cell>
          <cell r="D2945">
            <v>31102192</v>
          </cell>
          <cell r="E2945">
            <v>31102192</v>
          </cell>
          <cell r="F2945">
            <v>31102192</v>
          </cell>
          <cell r="G2945">
            <v>31102192</v>
          </cell>
          <cell r="H2945">
            <v>31102192</v>
          </cell>
          <cell r="I2945" t="str">
            <v/>
          </cell>
          <cell r="J2945" t="str">
            <v/>
          </cell>
          <cell r="K2945" t="str">
            <v/>
          </cell>
          <cell r="L2945" t="str">
            <v/>
          </cell>
          <cell r="M2945" t="str">
            <v/>
          </cell>
        </row>
        <row r="2946">
          <cell r="A2946">
            <v>31102192</v>
          </cell>
          <cell r="C2946">
            <v>31102192</v>
          </cell>
          <cell r="D2946">
            <v>31102192</v>
          </cell>
          <cell r="E2946">
            <v>31102192</v>
          </cell>
          <cell r="F2946">
            <v>31102192</v>
          </cell>
          <cell r="G2946">
            <v>31102192</v>
          </cell>
          <cell r="H2946">
            <v>31102192</v>
          </cell>
          <cell r="I2946" t="str">
            <v/>
          </cell>
          <cell r="J2946" t="str">
            <v/>
          </cell>
          <cell r="K2946" t="str">
            <v/>
          </cell>
          <cell r="L2946" t="str">
            <v/>
          </cell>
          <cell r="M2946" t="str">
            <v/>
          </cell>
        </row>
        <row r="2947">
          <cell r="A2947">
            <v>31102192</v>
          </cell>
          <cell r="C2947">
            <v>31102192</v>
          </cell>
          <cell r="D2947">
            <v>31102192</v>
          </cell>
          <cell r="E2947">
            <v>31102192</v>
          </cell>
          <cell r="F2947">
            <v>31102192</v>
          </cell>
          <cell r="G2947">
            <v>31102192</v>
          </cell>
          <cell r="H2947">
            <v>31102192</v>
          </cell>
          <cell r="I2947" t="str">
            <v/>
          </cell>
          <cell r="J2947" t="str">
            <v/>
          </cell>
          <cell r="K2947" t="str">
            <v/>
          </cell>
          <cell r="L2947" t="str">
            <v/>
          </cell>
          <cell r="M2947" t="str">
            <v/>
          </cell>
        </row>
        <row r="2948">
          <cell r="A2948">
            <v>31102192</v>
          </cell>
          <cell r="C2948">
            <v>31102192</v>
          </cell>
          <cell r="D2948">
            <v>31102192</v>
          </cell>
          <cell r="E2948">
            <v>31102192</v>
          </cell>
          <cell r="F2948">
            <v>31102192</v>
          </cell>
          <cell r="G2948">
            <v>31102192</v>
          </cell>
          <cell r="H2948">
            <v>31102192</v>
          </cell>
          <cell r="I2948" t="str">
            <v/>
          </cell>
          <cell r="J2948" t="str">
            <v/>
          </cell>
          <cell r="K2948" t="str">
            <v/>
          </cell>
          <cell r="L2948" t="str">
            <v/>
          </cell>
          <cell r="M2948" t="str">
            <v/>
          </cell>
        </row>
        <row r="2949">
          <cell r="A2949">
            <v>31102192</v>
          </cell>
          <cell r="C2949">
            <v>31102192</v>
          </cell>
          <cell r="D2949">
            <v>31102192</v>
          </cell>
          <cell r="E2949">
            <v>31102192</v>
          </cell>
          <cell r="F2949">
            <v>31102192</v>
          </cell>
          <cell r="G2949">
            <v>31102192</v>
          </cell>
          <cell r="H2949">
            <v>31102192</v>
          </cell>
          <cell r="I2949" t="str">
            <v/>
          </cell>
          <cell r="J2949" t="str">
            <v/>
          </cell>
          <cell r="K2949" t="str">
            <v/>
          </cell>
          <cell r="L2949" t="str">
            <v/>
          </cell>
          <cell r="M2949" t="str">
            <v/>
          </cell>
        </row>
        <row r="2950">
          <cell r="A2950">
            <v>31102192</v>
          </cell>
          <cell r="C2950">
            <v>31102192</v>
          </cell>
          <cell r="D2950">
            <v>31102192</v>
          </cell>
          <cell r="E2950">
            <v>31102192</v>
          </cell>
          <cell r="F2950">
            <v>31102192</v>
          </cell>
          <cell r="G2950">
            <v>31102192</v>
          </cell>
          <cell r="H2950">
            <v>31102192</v>
          </cell>
          <cell r="I2950" t="str">
            <v/>
          </cell>
          <cell r="J2950" t="str">
            <v/>
          </cell>
          <cell r="K2950" t="str">
            <v/>
          </cell>
          <cell r="L2950" t="str">
            <v/>
          </cell>
          <cell r="M2950" t="str">
            <v/>
          </cell>
        </row>
        <row r="2951">
          <cell r="A2951">
            <v>31102192</v>
          </cell>
          <cell r="C2951">
            <v>31102192</v>
          </cell>
          <cell r="D2951">
            <v>31102192</v>
          </cell>
          <cell r="E2951">
            <v>31102192</v>
          </cell>
          <cell r="F2951">
            <v>31102192</v>
          </cell>
          <cell r="G2951">
            <v>31102192</v>
          </cell>
          <cell r="H2951">
            <v>31102192</v>
          </cell>
          <cell r="I2951" t="str">
            <v/>
          </cell>
          <cell r="J2951" t="str">
            <v/>
          </cell>
          <cell r="K2951" t="str">
            <v/>
          </cell>
          <cell r="L2951" t="str">
            <v/>
          </cell>
          <cell r="M2951" t="str">
            <v/>
          </cell>
        </row>
        <row r="2952">
          <cell r="A2952">
            <v>31102192</v>
          </cell>
          <cell r="C2952">
            <v>31102192</v>
          </cell>
          <cell r="D2952">
            <v>31102192</v>
          </cell>
          <cell r="E2952">
            <v>31102192</v>
          </cell>
          <cell r="F2952">
            <v>31102192</v>
          </cell>
          <cell r="G2952">
            <v>31102192</v>
          </cell>
          <cell r="H2952">
            <v>31102192</v>
          </cell>
          <cell r="I2952" t="str">
            <v/>
          </cell>
          <cell r="J2952" t="str">
            <v/>
          </cell>
          <cell r="K2952" t="str">
            <v/>
          </cell>
          <cell r="L2952" t="str">
            <v/>
          </cell>
          <cell r="M2952" t="str">
            <v/>
          </cell>
        </row>
        <row r="2953">
          <cell r="A2953">
            <v>31102192</v>
          </cell>
          <cell r="C2953">
            <v>31102192</v>
          </cell>
          <cell r="D2953">
            <v>31102192</v>
          </cell>
          <cell r="E2953">
            <v>31102192</v>
          </cell>
          <cell r="F2953">
            <v>31102192</v>
          </cell>
          <cell r="G2953">
            <v>31102192</v>
          </cell>
          <cell r="H2953">
            <v>31102192</v>
          </cell>
          <cell r="I2953" t="str">
            <v/>
          </cell>
          <cell r="J2953" t="str">
            <v/>
          </cell>
          <cell r="K2953" t="str">
            <v/>
          </cell>
          <cell r="L2953" t="str">
            <v/>
          </cell>
          <cell r="M2953" t="str">
            <v/>
          </cell>
        </row>
        <row r="2954">
          <cell r="A2954">
            <v>31102192</v>
          </cell>
          <cell r="C2954">
            <v>31102192</v>
          </cell>
          <cell r="D2954">
            <v>31102192</v>
          </cell>
          <cell r="E2954">
            <v>31102192</v>
          </cell>
          <cell r="F2954">
            <v>31102192</v>
          </cell>
          <cell r="G2954">
            <v>31102192</v>
          </cell>
          <cell r="H2954">
            <v>31102192</v>
          </cell>
          <cell r="I2954" t="str">
            <v/>
          </cell>
          <cell r="J2954" t="str">
            <v/>
          </cell>
          <cell r="K2954" t="str">
            <v/>
          </cell>
          <cell r="L2954" t="str">
            <v/>
          </cell>
          <cell r="M2954" t="str">
            <v/>
          </cell>
        </row>
        <row r="2955">
          <cell r="A2955">
            <v>31102192</v>
          </cell>
          <cell r="C2955">
            <v>31102192</v>
          </cell>
          <cell r="D2955">
            <v>31102192</v>
          </cell>
          <cell r="E2955">
            <v>31102192</v>
          </cell>
          <cell r="F2955">
            <v>31102192</v>
          </cell>
          <cell r="G2955">
            <v>31102192</v>
          </cell>
          <cell r="H2955">
            <v>31102192</v>
          </cell>
          <cell r="I2955" t="str">
            <v/>
          </cell>
          <cell r="J2955" t="str">
            <v/>
          </cell>
          <cell r="K2955" t="str">
            <v/>
          </cell>
          <cell r="L2955" t="str">
            <v/>
          </cell>
          <cell r="M2955" t="str">
            <v/>
          </cell>
        </row>
        <row r="2956">
          <cell r="A2956">
            <v>31102192</v>
          </cell>
          <cell r="C2956">
            <v>31102192</v>
          </cell>
          <cell r="D2956">
            <v>31102192</v>
          </cell>
          <cell r="E2956">
            <v>31102192</v>
          </cell>
          <cell r="F2956">
            <v>31102192</v>
          </cell>
          <cell r="G2956">
            <v>31102192</v>
          </cell>
          <cell r="H2956">
            <v>31102192</v>
          </cell>
          <cell r="I2956" t="str">
            <v/>
          </cell>
          <cell r="J2956" t="str">
            <v/>
          </cell>
          <cell r="K2956" t="str">
            <v/>
          </cell>
          <cell r="L2956" t="str">
            <v/>
          </cell>
          <cell r="M2956" t="str">
            <v/>
          </cell>
        </row>
        <row r="2957">
          <cell r="A2957">
            <v>31102192</v>
          </cell>
          <cell r="C2957">
            <v>31102192</v>
          </cell>
          <cell r="D2957">
            <v>31102192</v>
          </cell>
          <cell r="E2957">
            <v>31102192</v>
          </cell>
          <cell r="F2957">
            <v>31102192</v>
          </cell>
          <cell r="G2957">
            <v>31102192</v>
          </cell>
          <cell r="H2957">
            <v>31102192</v>
          </cell>
          <cell r="I2957" t="str">
            <v/>
          </cell>
          <cell r="J2957" t="str">
            <v/>
          </cell>
          <cell r="K2957" t="str">
            <v/>
          </cell>
          <cell r="L2957" t="str">
            <v/>
          </cell>
          <cell r="M2957" t="str">
            <v/>
          </cell>
        </row>
        <row r="2958">
          <cell r="A2958">
            <v>31102192</v>
          </cell>
          <cell r="C2958">
            <v>31102192</v>
          </cell>
          <cell r="D2958">
            <v>31102192</v>
          </cell>
          <cell r="E2958">
            <v>31102192</v>
          </cell>
          <cell r="F2958">
            <v>31102192</v>
          </cell>
          <cell r="G2958">
            <v>31102192</v>
          </cell>
          <cell r="H2958">
            <v>31102192</v>
          </cell>
          <cell r="I2958" t="str">
            <v/>
          </cell>
          <cell r="J2958" t="str">
            <v/>
          </cell>
          <cell r="K2958" t="str">
            <v/>
          </cell>
          <cell r="L2958" t="str">
            <v/>
          </cell>
          <cell r="M2958" t="str">
            <v/>
          </cell>
        </row>
        <row r="2959">
          <cell r="A2959">
            <v>31102192</v>
          </cell>
          <cell r="C2959">
            <v>31102192</v>
          </cell>
          <cell r="D2959">
            <v>31102192</v>
          </cell>
          <cell r="E2959">
            <v>31102192</v>
          </cell>
          <cell r="F2959">
            <v>31102192</v>
          </cell>
          <cell r="G2959">
            <v>31102192</v>
          </cell>
          <cell r="H2959">
            <v>31102192</v>
          </cell>
          <cell r="I2959" t="str">
            <v/>
          </cell>
          <cell r="J2959" t="str">
            <v/>
          </cell>
          <cell r="K2959" t="str">
            <v/>
          </cell>
          <cell r="L2959" t="str">
            <v/>
          </cell>
          <cell r="M2959" t="str">
            <v/>
          </cell>
        </row>
        <row r="2960">
          <cell r="A2960">
            <v>31102192</v>
          </cell>
          <cell r="C2960">
            <v>31102192</v>
          </cell>
          <cell r="D2960">
            <v>31102192</v>
          </cell>
          <cell r="E2960">
            <v>31102192</v>
          </cell>
          <cell r="F2960">
            <v>31102192</v>
          </cell>
          <cell r="G2960">
            <v>31102192</v>
          </cell>
          <cell r="H2960">
            <v>31102192</v>
          </cell>
          <cell r="I2960" t="str">
            <v/>
          </cell>
          <cell r="J2960" t="str">
            <v/>
          </cell>
          <cell r="K2960" t="str">
            <v/>
          </cell>
          <cell r="L2960" t="str">
            <v/>
          </cell>
          <cell r="M2960" t="str">
            <v/>
          </cell>
        </row>
        <row r="2961">
          <cell r="A2961">
            <v>31102192</v>
          </cell>
          <cell r="C2961">
            <v>31102192</v>
          </cell>
          <cell r="D2961">
            <v>31102192</v>
          </cell>
          <cell r="E2961">
            <v>31102192</v>
          </cell>
          <cell r="F2961">
            <v>31102192</v>
          </cell>
          <cell r="G2961">
            <v>31102192</v>
          </cell>
          <cell r="H2961">
            <v>31102192</v>
          </cell>
          <cell r="I2961" t="str">
            <v/>
          </cell>
          <cell r="J2961" t="str">
            <v/>
          </cell>
          <cell r="K2961" t="str">
            <v/>
          </cell>
          <cell r="L2961" t="str">
            <v/>
          </cell>
          <cell r="M2961" t="str">
            <v/>
          </cell>
        </row>
        <row r="2962">
          <cell r="A2962">
            <v>31102192</v>
          </cell>
          <cell r="C2962">
            <v>31102192</v>
          </cell>
          <cell r="D2962">
            <v>31102192</v>
          </cell>
          <cell r="E2962">
            <v>31102192</v>
          </cell>
          <cell r="F2962">
            <v>31102192</v>
          </cell>
          <cell r="G2962">
            <v>31102192</v>
          </cell>
          <cell r="H2962">
            <v>31102192</v>
          </cell>
          <cell r="I2962" t="str">
            <v/>
          </cell>
          <cell r="J2962" t="str">
            <v/>
          </cell>
          <cell r="K2962" t="str">
            <v/>
          </cell>
          <cell r="L2962" t="str">
            <v/>
          </cell>
          <cell r="M2962" t="str">
            <v/>
          </cell>
        </row>
        <row r="2963">
          <cell r="A2963">
            <v>31102192</v>
          </cell>
          <cell r="C2963">
            <v>31102192</v>
          </cell>
          <cell r="D2963">
            <v>31102192</v>
          </cell>
          <cell r="E2963">
            <v>31102192</v>
          </cell>
          <cell r="F2963">
            <v>31102192</v>
          </cell>
          <cell r="G2963">
            <v>31102192</v>
          </cell>
          <cell r="H2963">
            <v>31102192</v>
          </cell>
          <cell r="I2963" t="str">
            <v/>
          </cell>
          <cell r="J2963" t="str">
            <v/>
          </cell>
          <cell r="K2963" t="str">
            <v/>
          </cell>
          <cell r="L2963" t="str">
            <v/>
          </cell>
          <cell r="M2963" t="str">
            <v/>
          </cell>
        </row>
        <row r="2964">
          <cell r="A2964">
            <v>31102192</v>
          </cell>
          <cell r="C2964">
            <v>31102192</v>
          </cell>
          <cell r="D2964">
            <v>31102192</v>
          </cell>
          <cell r="E2964">
            <v>31102192</v>
          </cell>
          <cell r="F2964">
            <v>31102192</v>
          </cell>
          <cell r="G2964">
            <v>31102192</v>
          </cell>
          <cell r="H2964">
            <v>31102192</v>
          </cell>
          <cell r="I2964" t="str">
            <v/>
          </cell>
          <cell r="J2964" t="str">
            <v/>
          </cell>
          <cell r="K2964" t="str">
            <v/>
          </cell>
          <cell r="L2964" t="str">
            <v/>
          </cell>
          <cell r="M2964" t="str">
            <v/>
          </cell>
        </row>
        <row r="2965">
          <cell r="A2965">
            <v>31102192</v>
          </cell>
          <cell r="C2965">
            <v>31102192</v>
          </cell>
          <cell r="D2965">
            <v>31102192</v>
          </cell>
          <cell r="E2965">
            <v>31102192</v>
          </cell>
          <cell r="F2965">
            <v>31102192</v>
          </cell>
          <cell r="G2965">
            <v>31102192</v>
          </cell>
          <cell r="H2965">
            <v>31102192</v>
          </cell>
          <cell r="I2965" t="str">
            <v/>
          </cell>
          <cell r="J2965" t="str">
            <v/>
          </cell>
          <cell r="K2965" t="str">
            <v/>
          </cell>
          <cell r="L2965" t="str">
            <v/>
          </cell>
          <cell r="M2965" t="str">
            <v/>
          </cell>
        </row>
        <row r="2966">
          <cell r="A2966">
            <v>31102192</v>
          </cell>
          <cell r="C2966">
            <v>31102192</v>
          </cell>
          <cell r="D2966">
            <v>31102192</v>
          </cell>
          <cell r="E2966">
            <v>31102192</v>
          </cell>
          <cell r="F2966">
            <v>31102192</v>
          </cell>
          <cell r="G2966">
            <v>31102192</v>
          </cell>
          <cell r="H2966">
            <v>31102192</v>
          </cell>
          <cell r="I2966" t="str">
            <v/>
          </cell>
          <cell r="J2966" t="str">
            <v/>
          </cell>
          <cell r="K2966" t="str">
            <v/>
          </cell>
          <cell r="L2966" t="str">
            <v/>
          </cell>
          <cell r="M2966" t="str">
            <v/>
          </cell>
        </row>
        <row r="2967">
          <cell r="A2967">
            <v>31102192</v>
          </cell>
          <cell r="C2967">
            <v>31102192</v>
          </cell>
          <cell r="D2967">
            <v>31102192</v>
          </cell>
          <cell r="E2967">
            <v>31102192</v>
          </cell>
          <cell r="F2967">
            <v>31102192</v>
          </cell>
          <cell r="G2967">
            <v>31102192</v>
          </cell>
          <cell r="H2967">
            <v>31102192</v>
          </cell>
          <cell r="I2967" t="str">
            <v/>
          </cell>
          <cell r="J2967" t="str">
            <v/>
          </cell>
          <cell r="K2967" t="str">
            <v/>
          </cell>
          <cell r="L2967" t="str">
            <v/>
          </cell>
          <cell r="M2967" t="str">
            <v/>
          </cell>
        </row>
        <row r="2968">
          <cell r="A2968">
            <v>31102192</v>
          </cell>
          <cell r="C2968">
            <v>31102192</v>
          </cell>
          <cell r="D2968">
            <v>31102192</v>
          </cell>
          <cell r="E2968">
            <v>31102192</v>
          </cell>
          <cell r="F2968">
            <v>31102192</v>
          </cell>
          <cell r="G2968">
            <v>31102192</v>
          </cell>
          <cell r="H2968">
            <v>31102192</v>
          </cell>
          <cell r="I2968" t="str">
            <v/>
          </cell>
          <cell r="J2968" t="str">
            <v/>
          </cell>
          <cell r="K2968" t="str">
            <v/>
          </cell>
          <cell r="L2968" t="str">
            <v/>
          </cell>
          <cell r="M2968" t="str">
            <v/>
          </cell>
        </row>
        <row r="2969">
          <cell r="A2969">
            <v>31102192</v>
          </cell>
          <cell r="C2969">
            <v>31102192</v>
          </cell>
          <cell r="D2969">
            <v>31102192</v>
          </cell>
          <cell r="E2969">
            <v>31102192</v>
          </cell>
          <cell r="F2969">
            <v>31102192</v>
          </cell>
          <cell r="G2969">
            <v>31102192</v>
          </cell>
          <cell r="H2969">
            <v>31102192</v>
          </cell>
          <cell r="I2969" t="str">
            <v/>
          </cell>
          <cell r="J2969" t="str">
            <v/>
          </cell>
          <cell r="K2969" t="str">
            <v/>
          </cell>
          <cell r="L2969" t="str">
            <v/>
          </cell>
          <cell r="M2969" t="str">
            <v/>
          </cell>
        </row>
        <row r="2970">
          <cell r="A2970">
            <v>31102192</v>
          </cell>
          <cell r="C2970">
            <v>31102192</v>
          </cell>
          <cell r="D2970">
            <v>31102192</v>
          </cell>
          <cell r="E2970">
            <v>31102192</v>
          </cell>
          <cell r="F2970">
            <v>31102192</v>
          </cell>
          <cell r="G2970">
            <v>31102192</v>
          </cell>
          <cell r="H2970">
            <v>31102192</v>
          </cell>
          <cell r="I2970" t="str">
            <v/>
          </cell>
          <cell r="J2970" t="str">
            <v/>
          </cell>
          <cell r="K2970" t="str">
            <v/>
          </cell>
          <cell r="L2970" t="str">
            <v/>
          </cell>
          <cell r="M2970" t="str">
            <v/>
          </cell>
        </row>
        <row r="2971">
          <cell r="A2971">
            <v>31102192</v>
          </cell>
          <cell r="C2971">
            <v>31102192</v>
          </cell>
          <cell r="D2971">
            <v>31102192</v>
          </cell>
          <cell r="E2971">
            <v>31102192</v>
          </cell>
          <cell r="F2971">
            <v>31102192</v>
          </cell>
          <cell r="G2971">
            <v>31102192</v>
          </cell>
          <cell r="H2971">
            <v>31102192</v>
          </cell>
          <cell r="I2971" t="str">
            <v/>
          </cell>
          <cell r="J2971" t="str">
            <v/>
          </cell>
          <cell r="K2971" t="str">
            <v/>
          </cell>
          <cell r="L2971" t="str">
            <v/>
          </cell>
          <cell r="M2971" t="str">
            <v/>
          </cell>
        </row>
        <row r="2972">
          <cell r="A2972">
            <v>31102192</v>
          </cell>
          <cell r="C2972">
            <v>31102192</v>
          </cell>
          <cell r="D2972">
            <v>31102192</v>
          </cell>
          <cell r="E2972">
            <v>31102192</v>
          </cell>
          <cell r="F2972">
            <v>31102192</v>
          </cell>
          <cell r="G2972">
            <v>31102192</v>
          </cell>
          <cell r="H2972">
            <v>31102192</v>
          </cell>
          <cell r="I2972" t="str">
            <v/>
          </cell>
          <cell r="J2972" t="str">
            <v/>
          </cell>
          <cell r="K2972" t="str">
            <v/>
          </cell>
          <cell r="L2972" t="str">
            <v/>
          </cell>
          <cell r="M2972" t="str">
            <v/>
          </cell>
        </row>
        <row r="2973">
          <cell r="A2973">
            <v>31102192</v>
          </cell>
          <cell r="C2973">
            <v>31102192</v>
          </cell>
          <cell r="D2973">
            <v>31102192</v>
          </cell>
          <cell r="E2973">
            <v>31102192</v>
          </cell>
          <cell r="F2973">
            <v>31102192</v>
          </cell>
          <cell r="G2973">
            <v>31102192</v>
          </cell>
          <cell r="H2973">
            <v>31102192</v>
          </cell>
          <cell r="I2973" t="str">
            <v/>
          </cell>
          <cell r="J2973" t="str">
            <v/>
          </cell>
          <cell r="K2973" t="str">
            <v/>
          </cell>
          <cell r="L2973" t="str">
            <v/>
          </cell>
          <cell r="M2973" t="str">
            <v/>
          </cell>
        </row>
        <row r="2974">
          <cell r="A2974">
            <v>31102192</v>
          </cell>
          <cell r="C2974">
            <v>31102192</v>
          </cell>
          <cell r="D2974">
            <v>31102192</v>
          </cell>
          <cell r="E2974">
            <v>31102192</v>
          </cell>
          <cell r="F2974">
            <v>31102192</v>
          </cell>
          <cell r="G2974">
            <v>31102192</v>
          </cell>
          <cell r="H2974">
            <v>31102192</v>
          </cell>
          <cell r="I2974" t="str">
            <v/>
          </cell>
          <cell r="J2974" t="str">
            <v/>
          </cell>
          <cell r="K2974" t="str">
            <v/>
          </cell>
          <cell r="L2974" t="str">
            <v/>
          </cell>
          <cell r="M2974" t="str">
            <v/>
          </cell>
        </row>
        <row r="2975">
          <cell r="A2975">
            <v>31102192</v>
          </cell>
          <cell r="C2975">
            <v>31102192</v>
          </cell>
          <cell r="D2975">
            <v>31102192</v>
          </cell>
          <cell r="E2975">
            <v>31102192</v>
          </cell>
          <cell r="F2975">
            <v>31102192</v>
          </cell>
          <cell r="G2975">
            <v>31102192</v>
          </cell>
          <cell r="H2975">
            <v>31102192</v>
          </cell>
          <cell r="I2975" t="str">
            <v/>
          </cell>
          <cell r="J2975" t="str">
            <v/>
          </cell>
          <cell r="K2975" t="str">
            <v/>
          </cell>
          <cell r="L2975" t="str">
            <v/>
          </cell>
          <cell r="M2975" t="str">
            <v/>
          </cell>
        </row>
        <row r="2976">
          <cell r="A2976">
            <v>31102192</v>
          </cell>
          <cell r="C2976">
            <v>31102192</v>
          </cell>
          <cell r="D2976">
            <v>31102192</v>
          </cell>
          <cell r="E2976">
            <v>31102192</v>
          </cell>
          <cell r="F2976">
            <v>31102192</v>
          </cell>
          <cell r="G2976">
            <v>31102192</v>
          </cell>
          <cell r="H2976">
            <v>31102192</v>
          </cell>
          <cell r="I2976" t="str">
            <v/>
          </cell>
          <cell r="J2976" t="str">
            <v/>
          </cell>
          <cell r="K2976" t="str">
            <v/>
          </cell>
          <cell r="L2976" t="str">
            <v/>
          </cell>
          <cell r="M2976" t="str">
            <v/>
          </cell>
        </row>
        <row r="2977">
          <cell r="A2977">
            <v>31102192</v>
          </cell>
          <cell r="C2977">
            <v>31102192</v>
          </cell>
          <cell r="D2977">
            <v>31102192</v>
          </cell>
          <cell r="E2977">
            <v>31102192</v>
          </cell>
          <cell r="F2977">
            <v>31102192</v>
          </cell>
          <cell r="G2977">
            <v>31102192</v>
          </cell>
          <cell r="H2977">
            <v>31102192</v>
          </cell>
          <cell r="I2977" t="str">
            <v/>
          </cell>
          <cell r="J2977" t="str">
            <v/>
          </cell>
          <cell r="K2977" t="str">
            <v/>
          </cell>
          <cell r="L2977" t="str">
            <v/>
          </cell>
          <cell r="M2977" t="str">
            <v/>
          </cell>
        </row>
        <row r="2978">
          <cell r="A2978">
            <v>31102192</v>
          </cell>
          <cell r="C2978">
            <v>31102192</v>
          </cell>
          <cell r="D2978">
            <v>31102192</v>
          </cell>
          <cell r="E2978">
            <v>31102192</v>
          </cell>
          <cell r="F2978">
            <v>31102192</v>
          </cell>
          <cell r="G2978">
            <v>31102192</v>
          </cell>
          <cell r="H2978">
            <v>31102192</v>
          </cell>
          <cell r="I2978" t="str">
            <v/>
          </cell>
          <cell r="J2978" t="str">
            <v/>
          </cell>
          <cell r="K2978" t="str">
            <v/>
          </cell>
          <cell r="L2978" t="str">
            <v/>
          </cell>
          <cell r="M2978" t="str">
            <v/>
          </cell>
        </row>
        <row r="2979">
          <cell r="A2979">
            <v>31102192</v>
          </cell>
          <cell r="C2979">
            <v>31102192</v>
          </cell>
          <cell r="D2979">
            <v>31102192</v>
          </cell>
          <cell r="E2979">
            <v>31102192</v>
          </cell>
          <cell r="F2979">
            <v>31102192</v>
          </cell>
          <cell r="G2979">
            <v>31102192</v>
          </cell>
          <cell r="H2979">
            <v>31102192</v>
          </cell>
          <cell r="I2979" t="str">
            <v/>
          </cell>
          <cell r="J2979" t="str">
            <v/>
          </cell>
          <cell r="K2979" t="str">
            <v/>
          </cell>
          <cell r="L2979" t="str">
            <v/>
          </cell>
          <cell r="M2979" t="str">
            <v/>
          </cell>
        </row>
        <row r="2980">
          <cell r="A2980">
            <v>31102192</v>
          </cell>
          <cell r="C2980">
            <v>31102192</v>
          </cell>
          <cell r="D2980">
            <v>31102192</v>
          </cell>
          <cell r="E2980">
            <v>31102192</v>
          </cell>
          <cell r="F2980">
            <v>31102192</v>
          </cell>
          <cell r="G2980">
            <v>31102192</v>
          </cell>
          <cell r="H2980">
            <v>31102192</v>
          </cell>
          <cell r="I2980" t="str">
            <v/>
          </cell>
          <cell r="J2980" t="str">
            <v/>
          </cell>
          <cell r="K2980" t="str">
            <v/>
          </cell>
          <cell r="L2980" t="str">
            <v/>
          </cell>
          <cell r="M2980" t="str">
            <v/>
          </cell>
        </row>
        <row r="2981">
          <cell r="A2981">
            <v>31102192</v>
          </cell>
          <cell r="C2981">
            <v>31102192</v>
          </cell>
          <cell r="D2981">
            <v>31102192</v>
          </cell>
          <cell r="E2981">
            <v>31102192</v>
          </cell>
          <cell r="F2981">
            <v>31102192</v>
          </cell>
          <cell r="G2981">
            <v>31102192</v>
          </cell>
          <cell r="H2981">
            <v>31102192</v>
          </cell>
          <cell r="I2981" t="str">
            <v/>
          </cell>
          <cell r="J2981" t="str">
            <v/>
          </cell>
          <cell r="K2981" t="str">
            <v/>
          </cell>
          <cell r="L2981" t="str">
            <v/>
          </cell>
          <cell r="M2981" t="str">
            <v/>
          </cell>
        </row>
        <row r="2982">
          <cell r="A2982">
            <v>31102192</v>
          </cell>
          <cell r="C2982">
            <v>31102192</v>
          </cell>
          <cell r="D2982">
            <v>31102192</v>
          </cell>
          <cell r="E2982">
            <v>31102192</v>
          </cell>
          <cell r="F2982">
            <v>31102192</v>
          </cell>
          <cell r="G2982">
            <v>31102192</v>
          </cell>
          <cell r="H2982">
            <v>31102192</v>
          </cell>
          <cell r="I2982" t="str">
            <v/>
          </cell>
          <cell r="J2982" t="str">
            <v/>
          </cell>
          <cell r="K2982" t="str">
            <v/>
          </cell>
          <cell r="L2982" t="str">
            <v/>
          </cell>
          <cell r="M2982" t="str">
            <v/>
          </cell>
        </row>
        <row r="2983">
          <cell r="A2983">
            <v>31102192</v>
          </cell>
          <cell r="C2983">
            <v>31102192</v>
          </cell>
          <cell r="D2983">
            <v>31102192</v>
          </cell>
          <cell r="E2983">
            <v>31102192</v>
          </cell>
          <cell r="F2983">
            <v>31102192</v>
          </cell>
          <cell r="G2983">
            <v>31102192</v>
          </cell>
          <cell r="H2983">
            <v>31102192</v>
          </cell>
          <cell r="I2983" t="str">
            <v/>
          </cell>
          <cell r="J2983" t="str">
            <v/>
          </cell>
          <cell r="K2983" t="str">
            <v/>
          </cell>
          <cell r="L2983" t="str">
            <v/>
          </cell>
          <cell r="M2983" t="str">
            <v/>
          </cell>
        </row>
        <row r="2984">
          <cell r="A2984">
            <v>31102192</v>
          </cell>
          <cell r="C2984">
            <v>31102192</v>
          </cell>
          <cell r="D2984">
            <v>31102192</v>
          </cell>
          <cell r="E2984">
            <v>31102192</v>
          </cell>
          <cell r="F2984">
            <v>31102192</v>
          </cell>
          <cell r="G2984">
            <v>31102192</v>
          </cell>
          <cell r="H2984">
            <v>31102192</v>
          </cell>
          <cell r="I2984" t="str">
            <v/>
          </cell>
          <cell r="J2984" t="str">
            <v/>
          </cell>
          <cell r="K2984" t="str">
            <v/>
          </cell>
          <cell r="L2984" t="str">
            <v/>
          </cell>
          <cell r="M2984" t="str">
            <v/>
          </cell>
        </row>
        <row r="2985">
          <cell r="A2985">
            <v>31102192</v>
          </cell>
          <cell r="C2985">
            <v>31102192</v>
          </cell>
          <cell r="D2985">
            <v>31102192</v>
          </cell>
          <cell r="E2985">
            <v>31102192</v>
          </cell>
          <cell r="F2985">
            <v>31102192</v>
          </cell>
          <cell r="G2985">
            <v>31102192</v>
          </cell>
          <cell r="H2985">
            <v>31102192</v>
          </cell>
          <cell r="I2985" t="str">
            <v/>
          </cell>
          <cell r="J2985" t="str">
            <v/>
          </cell>
          <cell r="K2985" t="str">
            <v/>
          </cell>
          <cell r="L2985" t="str">
            <v/>
          </cell>
          <cell r="M2985" t="str">
            <v/>
          </cell>
        </row>
        <row r="2986">
          <cell r="A2986">
            <v>31102192</v>
          </cell>
          <cell r="C2986">
            <v>31102192</v>
          </cell>
          <cell r="D2986">
            <v>31102192</v>
          </cell>
          <cell r="E2986">
            <v>31102192</v>
          </cell>
          <cell r="F2986">
            <v>31102192</v>
          </cell>
          <cell r="G2986">
            <v>31102192</v>
          </cell>
          <cell r="H2986">
            <v>31102192</v>
          </cell>
          <cell r="I2986" t="str">
            <v/>
          </cell>
          <cell r="J2986" t="str">
            <v/>
          </cell>
          <cell r="K2986" t="str">
            <v/>
          </cell>
          <cell r="L2986" t="str">
            <v/>
          </cell>
          <cell r="M2986" t="str">
            <v/>
          </cell>
        </row>
        <row r="2987">
          <cell r="A2987">
            <v>31102192</v>
          </cell>
          <cell r="C2987">
            <v>31102192</v>
          </cell>
          <cell r="D2987">
            <v>31102192</v>
          </cell>
          <cell r="E2987">
            <v>31102192</v>
          </cell>
          <cell r="F2987">
            <v>31102192</v>
          </cell>
          <cell r="G2987">
            <v>31102192</v>
          </cell>
          <cell r="H2987">
            <v>31102192</v>
          </cell>
          <cell r="I2987" t="str">
            <v/>
          </cell>
          <cell r="J2987" t="str">
            <v/>
          </cell>
          <cell r="K2987" t="str">
            <v/>
          </cell>
          <cell r="L2987" t="str">
            <v/>
          </cell>
          <cell r="M2987" t="str">
            <v/>
          </cell>
        </row>
        <row r="2988">
          <cell r="A2988">
            <v>31102192</v>
          </cell>
          <cell r="C2988">
            <v>31102192</v>
          </cell>
          <cell r="D2988">
            <v>31102192</v>
          </cell>
          <cell r="E2988">
            <v>31102192</v>
          </cell>
          <cell r="F2988">
            <v>31102192</v>
          </cell>
          <cell r="G2988">
            <v>31102192</v>
          </cell>
          <cell r="H2988">
            <v>31102192</v>
          </cell>
          <cell r="I2988" t="str">
            <v/>
          </cell>
          <cell r="J2988" t="str">
            <v/>
          </cell>
          <cell r="K2988" t="str">
            <v/>
          </cell>
          <cell r="L2988" t="str">
            <v/>
          </cell>
          <cell r="M2988" t="str">
            <v/>
          </cell>
        </row>
        <row r="2989">
          <cell r="A2989">
            <v>31102192</v>
          </cell>
          <cell r="C2989">
            <v>31102192</v>
          </cell>
          <cell r="D2989">
            <v>31102192</v>
          </cell>
          <cell r="E2989">
            <v>31102192</v>
          </cell>
          <cell r="F2989">
            <v>31102192</v>
          </cell>
          <cell r="G2989">
            <v>31102192</v>
          </cell>
          <cell r="H2989">
            <v>31102192</v>
          </cell>
          <cell r="I2989" t="str">
            <v/>
          </cell>
          <cell r="J2989" t="str">
            <v/>
          </cell>
          <cell r="K2989" t="str">
            <v/>
          </cell>
          <cell r="L2989" t="str">
            <v/>
          </cell>
          <cell r="M2989" t="str">
            <v/>
          </cell>
        </row>
        <row r="2990">
          <cell r="A2990">
            <v>31102192</v>
          </cell>
          <cell r="C2990">
            <v>31102192</v>
          </cell>
          <cell r="D2990">
            <v>31102192</v>
          </cell>
          <cell r="E2990">
            <v>31102192</v>
          </cell>
          <cell r="F2990">
            <v>31102192</v>
          </cell>
          <cell r="G2990">
            <v>31102192</v>
          </cell>
          <cell r="H2990">
            <v>31102192</v>
          </cell>
          <cell r="I2990" t="str">
            <v/>
          </cell>
          <cell r="J2990" t="str">
            <v/>
          </cell>
          <cell r="K2990" t="str">
            <v/>
          </cell>
          <cell r="L2990" t="str">
            <v/>
          </cell>
          <cell r="M2990" t="str">
            <v/>
          </cell>
        </row>
        <row r="2991">
          <cell r="A2991">
            <v>31102192</v>
          </cell>
          <cell r="C2991">
            <v>31102192</v>
          </cell>
          <cell r="D2991">
            <v>31102192</v>
          </cell>
          <cell r="E2991">
            <v>31102192</v>
          </cell>
          <cell r="F2991">
            <v>31102192</v>
          </cell>
          <cell r="G2991">
            <v>31102192</v>
          </cell>
          <cell r="H2991">
            <v>31102192</v>
          </cell>
          <cell r="I2991" t="str">
            <v/>
          </cell>
          <cell r="J2991" t="str">
            <v/>
          </cell>
          <cell r="K2991" t="str">
            <v/>
          </cell>
          <cell r="L2991" t="str">
            <v/>
          </cell>
          <cell r="M2991" t="str">
            <v/>
          </cell>
        </row>
        <row r="2992">
          <cell r="A2992">
            <v>31102192</v>
          </cell>
          <cell r="C2992">
            <v>31102192</v>
          </cell>
          <cell r="D2992">
            <v>31102192</v>
          </cell>
          <cell r="E2992">
            <v>31102192</v>
          </cell>
          <cell r="F2992">
            <v>31102192</v>
          </cell>
          <cell r="G2992">
            <v>31102192</v>
          </cell>
          <cell r="H2992">
            <v>31102192</v>
          </cell>
          <cell r="I2992" t="str">
            <v/>
          </cell>
          <cell r="J2992" t="str">
            <v/>
          </cell>
          <cell r="K2992" t="str">
            <v/>
          </cell>
          <cell r="L2992" t="str">
            <v/>
          </cell>
          <cell r="M2992" t="str">
            <v/>
          </cell>
        </row>
        <row r="2993">
          <cell r="A2993">
            <v>31102192</v>
          </cell>
          <cell r="C2993">
            <v>31102192</v>
          </cell>
          <cell r="D2993">
            <v>31102192</v>
          </cell>
          <cell r="E2993">
            <v>31102192</v>
          </cell>
          <cell r="F2993">
            <v>31102192</v>
          </cell>
          <cell r="G2993">
            <v>31102192</v>
          </cell>
          <cell r="H2993">
            <v>31102192</v>
          </cell>
          <cell r="I2993" t="str">
            <v/>
          </cell>
          <cell r="J2993" t="str">
            <v/>
          </cell>
          <cell r="K2993" t="str">
            <v/>
          </cell>
          <cell r="L2993" t="str">
            <v/>
          </cell>
          <cell r="M2993" t="str">
            <v/>
          </cell>
        </row>
        <row r="2994">
          <cell r="A2994">
            <v>31102192</v>
          </cell>
          <cell r="C2994">
            <v>31102192</v>
          </cell>
          <cell r="D2994">
            <v>31102192</v>
          </cell>
          <cell r="E2994">
            <v>31102192</v>
          </cell>
          <cell r="F2994">
            <v>31102192</v>
          </cell>
          <cell r="G2994">
            <v>31102192</v>
          </cell>
          <cell r="H2994">
            <v>31102192</v>
          </cell>
          <cell r="I2994" t="str">
            <v/>
          </cell>
          <cell r="J2994" t="str">
            <v/>
          </cell>
          <cell r="K2994" t="str">
            <v/>
          </cell>
          <cell r="L2994" t="str">
            <v/>
          </cell>
          <cell r="M2994" t="str">
            <v/>
          </cell>
        </row>
        <row r="2995">
          <cell r="A2995">
            <v>31102192</v>
          </cell>
          <cell r="C2995">
            <v>31102192</v>
          </cell>
          <cell r="D2995">
            <v>31102192</v>
          </cell>
          <cell r="E2995">
            <v>31102192</v>
          </cell>
          <cell r="F2995">
            <v>31102192</v>
          </cell>
          <cell r="G2995">
            <v>31102192</v>
          </cell>
          <cell r="H2995">
            <v>31102192</v>
          </cell>
          <cell r="I2995" t="str">
            <v/>
          </cell>
          <cell r="J2995" t="str">
            <v/>
          </cell>
          <cell r="K2995" t="str">
            <v/>
          </cell>
          <cell r="L2995" t="str">
            <v/>
          </cell>
          <cell r="M2995" t="str">
            <v/>
          </cell>
        </row>
        <row r="2996">
          <cell r="A2996">
            <v>31102192</v>
          </cell>
          <cell r="C2996">
            <v>31102192</v>
          </cell>
          <cell r="D2996">
            <v>31102192</v>
          </cell>
          <cell r="E2996">
            <v>31102192</v>
          </cell>
          <cell r="F2996">
            <v>31102192</v>
          </cell>
          <cell r="G2996">
            <v>31102192</v>
          </cell>
          <cell r="H2996">
            <v>31102192</v>
          </cell>
          <cell r="I2996" t="str">
            <v/>
          </cell>
          <cell r="J2996" t="str">
            <v/>
          </cell>
          <cell r="K2996" t="str">
            <v/>
          </cell>
          <cell r="L2996" t="str">
            <v/>
          </cell>
          <cell r="M2996" t="str">
            <v/>
          </cell>
        </row>
        <row r="2997">
          <cell r="A2997">
            <v>31102192</v>
          </cell>
          <cell r="C2997">
            <v>31102192</v>
          </cell>
          <cell r="D2997">
            <v>31102192</v>
          </cell>
          <cell r="E2997">
            <v>31102192</v>
          </cell>
          <cell r="F2997">
            <v>31102192</v>
          </cell>
          <cell r="G2997">
            <v>31102192</v>
          </cell>
          <cell r="H2997">
            <v>31102192</v>
          </cell>
          <cell r="I2997" t="str">
            <v/>
          </cell>
          <cell r="J2997" t="str">
            <v/>
          </cell>
          <cell r="K2997" t="str">
            <v/>
          </cell>
          <cell r="L2997" t="str">
            <v/>
          </cell>
          <cell r="M2997" t="str">
            <v/>
          </cell>
        </row>
        <row r="2998">
          <cell r="A2998">
            <v>31102192</v>
          </cell>
          <cell r="C2998">
            <v>31102192</v>
          </cell>
          <cell r="D2998">
            <v>31102192</v>
          </cell>
          <cell r="E2998">
            <v>31102192</v>
          </cell>
          <cell r="F2998">
            <v>31102192</v>
          </cell>
          <cell r="G2998">
            <v>31102192</v>
          </cell>
          <cell r="H2998">
            <v>31102192</v>
          </cell>
          <cell r="I2998" t="str">
            <v/>
          </cell>
          <cell r="J2998" t="str">
            <v/>
          </cell>
          <cell r="K2998" t="str">
            <v/>
          </cell>
          <cell r="L2998" t="str">
            <v/>
          </cell>
          <cell r="M2998" t="str">
            <v/>
          </cell>
        </row>
        <row r="2999">
          <cell r="A2999">
            <v>31102192</v>
          </cell>
          <cell r="C2999">
            <v>31102192</v>
          </cell>
          <cell r="D2999">
            <v>31102192</v>
          </cell>
          <cell r="E2999">
            <v>31102192</v>
          </cell>
          <cell r="F2999">
            <v>31102192</v>
          </cell>
          <cell r="G2999">
            <v>31102192</v>
          </cell>
          <cell r="H2999">
            <v>31102192</v>
          </cell>
          <cell r="I2999" t="str">
            <v/>
          </cell>
          <cell r="J2999" t="str">
            <v/>
          </cell>
          <cell r="K2999" t="str">
            <v/>
          </cell>
          <cell r="L2999" t="str">
            <v/>
          </cell>
          <cell r="M2999" t="str">
            <v/>
          </cell>
        </row>
        <row r="3000">
          <cell r="A3000">
            <v>31102192</v>
          </cell>
          <cell r="C3000">
            <v>31102192</v>
          </cell>
          <cell r="D3000">
            <v>31102192</v>
          </cell>
          <cell r="E3000">
            <v>31102192</v>
          </cell>
          <cell r="F3000">
            <v>31102192</v>
          </cell>
          <cell r="G3000">
            <v>31102192</v>
          </cell>
          <cell r="H3000">
            <v>31102192</v>
          </cell>
          <cell r="I3000" t="str">
            <v/>
          </cell>
          <cell r="J3000" t="str">
            <v/>
          </cell>
          <cell r="K3000" t="str">
            <v/>
          </cell>
          <cell r="L3000" t="str">
            <v/>
          </cell>
          <cell r="M3000" t="str">
            <v/>
          </cell>
        </row>
        <row r="3001">
          <cell r="A3001">
            <v>31102192</v>
          </cell>
          <cell r="C3001">
            <v>31102192</v>
          </cell>
          <cell r="D3001">
            <v>31102192</v>
          </cell>
          <cell r="E3001">
            <v>31102192</v>
          </cell>
          <cell r="F3001">
            <v>31102192</v>
          </cell>
          <cell r="G3001">
            <v>31102192</v>
          </cell>
          <cell r="H3001">
            <v>31102192</v>
          </cell>
          <cell r="I3001" t="str">
            <v/>
          </cell>
          <cell r="J3001" t="str">
            <v/>
          </cell>
          <cell r="K3001" t="str">
            <v/>
          </cell>
          <cell r="L3001" t="str">
            <v/>
          </cell>
          <cell r="M3001" t="str">
            <v/>
          </cell>
        </row>
        <row r="3002">
          <cell r="A3002">
            <v>31102192</v>
          </cell>
          <cell r="C3002">
            <v>31102192</v>
          </cell>
          <cell r="D3002">
            <v>31102192</v>
          </cell>
          <cell r="E3002">
            <v>31102192</v>
          </cell>
          <cell r="F3002">
            <v>31102192</v>
          </cell>
          <cell r="G3002">
            <v>31102192</v>
          </cell>
          <cell r="H3002">
            <v>31102192</v>
          </cell>
          <cell r="I3002" t="str">
            <v/>
          </cell>
          <cell r="J3002" t="str">
            <v/>
          </cell>
          <cell r="K3002" t="str">
            <v/>
          </cell>
          <cell r="L3002" t="str">
            <v/>
          </cell>
          <cell r="M3002" t="str">
            <v/>
          </cell>
        </row>
        <row r="3003">
          <cell r="A3003">
            <v>31102192</v>
          </cell>
          <cell r="C3003">
            <v>31102192</v>
          </cell>
          <cell r="D3003">
            <v>31102192</v>
          </cell>
          <cell r="E3003">
            <v>31102192</v>
          </cell>
          <cell r="F3003">
            <v>31102192</v>
          </cell>
          <cell r="G3003">
            <v>31102192</v>
          </cell>
          <cell r="H3003">
            <v>31102192</v>
          </cell>
          <cell r="I3003" t="str">
            <v/>
          </cell>
          <cell r="J3003" t="str">
            <v/>
          </cell>
          <cell r="K3003" t="str">
            <v/>
          </cell>
          <cell r="L3003" t="str">
            <v/>
          </cell>
          <cell r="M3003" t="str">
            <v/>
          </cell>
        </row>
        <row r="3004">
          <cell r="A3004">
            <v>31102192</v>
          </cell>
          <cell r="C3004">
            <v>31102192</v>
          </cell>
          <cell r="D3004">
            <v>31102192</v>
          </cell>
          <cell r="E3004">
            <v>31102192</v>
          </cell>
          <cell r="F3004">
            <v>31102192</v>
          </cell>
          <cell r="G3004">
            <v>31102192</v>
          </cell>
          <cell r="H3004">
            <v>31102192</v>
          </cell>
          <cell r="I3004" t="str">
            <v/>
          </cell>
          <cell r="J3004" t="str">
            <v/>
          </cell>
          <cell r="K3004" t="str">
            <v/>
          </cell>
          <cell r="L3004" t="str">
            <v/>
          </cell>
          <cell r="M3004" t="str">
            <v/>
          </cell>
        </row>
        <row r="3005">
          <cell r="A3005">
            <v>31102192</v>
          </cell>
          <cell r="C3005">
            <v>31102192</v>
          </cell>
          <cell r="D3005">
            <v>31102192</v>
          </cell>
          <cell r="E3005">
            <v>31102192</v>
          </cell>
          <cell r="F3005">
            <v>31102192</v>
          </cell>
          <cell r="G3005">
            <v>31102192</v>
          </cell>
          <cell r="H3005">
            <v>31102192</v>
          </cell>
          <cell r="I3005" t="str">
            <v/>
          </cell>
          <cell r="J3005" t="str">
            <v/>
          </cell>
          <cell r="K3005" t="str">
            <v/>
          </cell>
          <cell r="L3005" t="str">
            <v/>
          </cell>
          <cell r="M3005" t="str">
            <v/>
          </cell>
        </row>
        <row r="3006">
          <cell r="A3006">
            <v>31102192</v>
          </cell>
          <cell r="C3006">
            <v>31102192</v>
          </cell>
          <cell r="D3006">
            <v>31102192</v>
          </cell>
          <cell r="E3006">
            <v>31102192</v>
          </cell>
          <cell r="F3006">
            <v>31102192</v>
          </cell>
          <cell r="G3006">
            <v>31102192</v>
          </cell>
          <cell r="H3006">
            <v>31102192</v>
          </cell>
          <cell r="I3006" t="str">
            <v/>
          </cell>
          <cell r="J3006" t="str">
            <v/>
          </cell>
          <cell r="K3006" t="str">
            <v/>
          </cell>
          <cell r="L3006" t="str">
            <v/>
          </cell>
          <cell r="M3006" t="str">
            <v/>
          </cell>
        </row>
        <row r="3007">
          <cell r="A3007">
            <v>31102192</v>
          </cell>
          <cell r="C3007">
            <v>31102192</v>
          </cell>
          <cell r="D3007">
            <v>31102192</v>
          </cell>
          <cell r="E3007">
            <v>31102192</v>
          </cell>
          <cell r="F3007">
            <v>31102192</v>
          </cell>
          <cell r="G3007">
            <v>31102192</v>
          </cell>
          <cell r="H3007">
            <v>31102192</v>
          </cell>
          <cell r="I3007" t="str">
            <v/>
          </cell>
          <cell r="J3007" t="str">
            <v/>
          </cell>
          <cell r="K3007" t="str">
            <v/>
          </cell>
          <cell r="L3007" t="str">
            <v/>
          </cell>
          <cell r="M3007" t="str">
            <v/>
          </cell>
        </row>
        <row r="3008">
          <cell r="A3008">
            <v>31102192</v>
          </cell>
          <cell r="C3008">
            <v>31102192</v>
          </cell>
          <cell r="D3008">
            <v>31102192</v>
          </cell>
          <cell r="E3008">
            <v>31102192</v>
          </cell>
          <cell r="F3008">
            <v>31102192</v>
          </cell>
          <cell r="G3008">
            <v>31102192</v>
          </cell>
          <cell r="H3008">
            <v>31102192</v>
          </cell>
          <cell r="I3008" t="str">
            <v/>
          </cell>
          <cell r="J3008" t="str">
            <v/>
          </cell>
          <cell r="K3008" t="str">
            <v/>
          </cell>
          <cell r="L3008" t="str">
            <v/>
          </cell>
          <cell r="M3008" t="str">
            <v/>
          </cell>
        </row>
        <row r="3009">
          <cell r="A3009">
            <v>31102192</v>
          </cell>
          <cell r="C3009">
            <v>31102192</v>
          </cell>
          <cell r="D3009">
            <v>31102192</v>
          </cell>
          <cell r="E3009">
            <v>31102192</v>
          </cell>
          <cell r="F3009">
            <v>31102192</v>
          </cell>
          <cell r="G3009">
            <v>31102192</v>
          </cell>
          <cell r="H3009">
            <v>31102192</v>
          </cell>
          <cell r="I3009" t="str">
            <v/>
          </cell>
          <cell r="J3009" t="str">
            <v/>
          </cell>
          <cell r="K3009" t="str">
            <v/>
          </cell>
          <cell r="L3009" t="str">
            <v/>
          </cell>
          <cell r="M3009" t="str">
            <v/>
          </cell>
        </row>
        <row r="3010">
          <cell r="A3010">
            <v>31102192</v>
          </cell>
          <cell r="C3010">
            <v>31102192</v>
          </cell>
          <cell r="D3010">
            <v>31102192</v>
          </cell>
          <cell r="E3010">
            <v>31102192</v>
          </cell>
          <cell r="F3010">
            <v>31102192</v>
          </cell>
          <cell r="G3010">
            <v>31102192</v>
          </cell>
          <cell r="H3010">
            <v>31102192</v>
          </cell>
          <cell r="I3010" t="str">
            <v/>
          </cell>
          <cell r="J3010" t="str">
            <v/>
          </cell>
          <cell r="K3010" t="str">
            <v/>
          </cell>
          <cell r="L3010" t="str">
            <v/>
          </cell>
          <cell r="M3010" t="str">
            <v/>
          </cell>
        </row>
        <row r="3011">
          <cell r="A3011">
            <v>31102192</v>
          </cell>
          <cell r="C3011">
            <v>31102192</v>
          </cell>
          <cell r="D3011">
            <v>31102192</v>
          </cell>
          <cell r="E3011">
            <v>31102192</v>
          </cell>
          <cell r="F3011">
            <v>31102192</v>
          </cell>
          <cell r="G3011">
            <v>31102192</v>
          </cell>
          <cell r="H3011">
            <v>31102192</v>
          </cell>
          <cell r="I3011" t="str">
            <v/>
          </cell>
          <cell r="J3011" t="str">
            <v/>
          </cell>
          <cell r="K3011" t="str">
            <v/>
          </cell>
          <cell r="L3011" t="str">
            <v/>
          </cell>
          <cell r="M3011" t="str">
            <v/>
          </cell>
        </row>
        <row r="3012">
          <cell r="A3012">
            <v>31102192</v>
          </cell>
          <cell r="C3012">
            <v>31102192</v>
          </cell>
          <cell r="D3012">
            <v>31102192</v>
          </cell>
          <cell r="E3012">
            <v>31102192</v>
          </cell>
          <cell r="F3012">
            <v>31102192</v>
          </cell>
          <cell r="G3012">
            <v>31102192</v>
          </cell>
          <cell r="H3012">
            <v>31102192</v>
          </cell>
          <cell r="I3012" t="str">
            <v/>
          </cell>
          <cell r="J3012" t="str">
            <v/>
          </cell>
          <cell r="K3012" t="str">
            <v/>
          </cell>
          <cell r="L3012" t="str">
            <v/>
          </cell>
          <cell r="M3012" t="str">
            <v/>
          </cell>
        </row>
        <row r="3013">
          <cell r="A3013">
            <v>31102192</v>
          </cell>
          <cell r="C3013">
            <v>31102192</v>
          </cell>
          <cell r="D3013">
            <v>31102192</v>
          </cell>
          <cell r="E3013">
            <v>31102192</v>
          </cell>
          <cell r="F3013">
            <v>31102192</v>
          </cell>
          <cell r="G3013">
            <v>31102192</v>
          </cell>
          <cell r="H3013">
            <v>31102192</v>
          </cell>
          <cell r="I3013" t="str">
            <v/>
          </cell>
          <cell r="J3013" t="str">
            <v/>
          </cell>
          <cell r="K3013" t="str">
            <v/>
          </cell>
          <cell r="L3013" t="str">
            <v/>
          </cell>
          <cell r="M3013" t="str">
            <v/>
          </cell>
        </row>
        <row r="3014">
          <cell r="A3014">
            <v>31102192</v>
          </cell>
          <cell r="C3014">
            <v>31102192</v>
          </cell>
          <cell r="D3014">
            <v>31102192</v>
          </cell>
          <cell r="E3014">
            <v>31102192</v>
          </cell>
          <cell r="F3014">
            <v>31102192</v>
          </cell>
          <cell r="G3014">
            <v>31102192</v>
          </cell>
          <cell r="H3014">
            <v>31102192</v>
          </cell>
          <cell r="I3014" t="str">
            <v/>
          </cell>
          <cell r="J3014" t="str">
            <v/>
          </cell>
          <cell r="K3014" t="str">
            <v/>
          </cell>
          <cell r="L3014" t="str">
            <v/>
          </cell>
          <cell r="M3014" t="str">
            <v/>
          </cell>
        </row>
        <row r="3015">
          <cell r="A3015">
            <v>31102192</v>
          </cell>
          <cell r="C3015">
            <v>31102192</v>
          </cell>
          <cell r="D3015">
            <v>31102192</v>
          </cell>
          <cell r="E3015">
            <v>31102192</v>
          </cell>
          <cell r="F3015">
            <v>31102192</v>
          </cell>
          <cell r="G3015">
            <v>31102192</v>
          </cell>
          <cell r="H3015">
            <v>31102192</v>
          </cell>
          <cell r="I3015" t="str">
            <v/>
          </cell>
          <cell r="J3015" t="str">
            <v/>
          </cell>
          <cell r="K3015" t="str">
            <v/>
          </cell>
          <cell r="L3015" t="str">
            <v/>
          </cell>
          <cell r="M3015" t="str">
            <v/>
          </cell>
        </row>
        <row r="3016">
          <cell r="A3016">
            <v>31102192</v>
          </cell>
          <cell r="C3016">
            <v>31102192</v>
          </cell>
          <cell r="D3016">
            <v>31102192</v>
          </cell>
          <cell r="E3016">
            <v>31102192</v>
          </cell>
          <cell r="F3016">
            <v>31102192</v>
          </cell>
          <cell r="G3016">
            <v>31102192</v>
          </cell>
          <cell r="H3016">
            <v>31102192</v>
          </cell>
          <cell r="I3016" t="str">
            <v/>
          </cell>
          <cell r="J3016" t="str">
            <v/>
          </cell>
          <cell r="K3016" t="str">
            <v/>
          </cell>
          <cell r="L3016" t="str">
            <v/>
          </cell>
          <cell r="M3016" t="str">
            <v/>
          </cell>
        </row>
        <row r="3017">
          <cell r="A3017">
            <v>31102192</v>
          </cell>
          <cell r="C3017">
            <v>31102192</v>
          </cell>
          <cell r="D3017">
            <v>31102192</v>
          </cell>
          <cell r="E3017">
            <v>31102192</v>
          </cell>
          <cell r="F3017">
            <v>31102192</v>
          </cell>
          <cell r="G3017">
            <v>31102192</v>
          </cell>
          <cell r="H3017">
            <v>31102192</v>
          </cell>
          <cell r="I3017" t="str">
            <v/>
          </cell>
          <cell r="J3017" t="str">
            <v/>
          </cell>
          <cell r="K3017" t="str">
            <v/>
          </cell>
          <cell r="L3017" t="str">
            <v/>
          </cell>
          <cell r="M3017" t="str">
            <v/>
          </cell>
        </row>
        <row r="3018">
          <cell r="A3018">
            <v>31102192</v>
          </cell>
          <cell r="C3018">
            <v>31102192</v>
          </cell>
          <cell r="D3018">
            <v>31102192</v>
          </cell>
          <cell r="E3018">
            <v>31102192</v>
          </cell>
          <cell r="F3018">
            <v>31102192</v>
          </cell>
          <cell r="G3018">
            <v>31102192</v>
          </cell>
          <cell r="H3018">
            <v>31102192</v>
          </cell>
          <cell r="I3018" t="str">
            <v/>
          </cell>
          <cell r="J3018" t="str">
            <v/>
          </cell>
          <cell r="K3018" t="str">
            <v/>
          </cell>
          <cell r="L3018" t="str">
            <v/>
          </cell>
          <cell r="M3018" t="str">
            <v/>
          </cell>
        </row>
        <row r="3019">
          <cell r="A3019">
            <v>31102192</v>
          </cell>
          <cell r="C3019">
            <v>31102192</v>
          </cell>
          <cell r="D3019">
            <v>31102192</v>
          </cell>
          <cell r="E3019">
            <v>31102192</v>
          </cell>
          <cell r="F3019">
            <v>31102192</v>
          </cell>
          <cell r="G3019">
            <v>31102192</v>
          </cell>
          <cell r="H3019">
            <v>31102192</v>
          </cell>
          <cell r="I3019" t="str">
            <v/>
          </cell>
          <cell r="J3019" t="str">
            <v/>
          </cell>
          <cell r="K3019" t="str">
            <v/>
          </cell>
          <cell r="L3019" t="str">
            <v/>
          </cell>
          <cell r="M3019" t="str">
            <v/>
          </cell>
        </row>
        <row r="3020">
          <cell r="A3020">
            <v>31102192</v>
          </cell>
          <cell r="C3020">
            <v>31102192</v>
          </cell>
          <cell r="D3020">
            <v>31102192</v>
          </cell>
          <cell r="E3020">
            <v>31102192</v>
          </cell>
          <cell r="F3020">
            <v>31102192</v>
          </cell>
          <cell r="G3020">
            <v>31102192</v>
          </cell>
          <cell r="H3020">
            <v>31102192</v>
          </cell>
          <cell r="I3020" t="str">
            <v/>
          </cell>
          <cell r="J3020" t="str">
            <v/>
          </cell>
          <cell r="K3020" t="str">
            <v/>
          </cell>
          <cell r="L3020" t="str">
            <v/>
          </cell>
          <cell r="M3020" t="str">
            <v/>
          </cell>
        </row>
        <row r="3021">
          <cell r="A3021">
            <v>31102192</v>
          </cell>
          <cell r="C3021">
            <v>31102192</v>
          </cell>
          <cell r="D3021">
            <v>31102192</v>
          </cell>
          <cell r="E3021">
            <v>31102192</v>
          </cell>
          <cell r="F3021">
            <v>31102192</v>
          </cell>
          <cell r="G3021">
            <v>31102192</v>
          </cell>
          <cell r="H3021">
            <v>31102192</v>
          </cell>
          <cell r="I3021" t="str">
            <v/>
          </cell>
          <cell r="J3021" t="str">
            <v/>
          </cell>
          <cell r="K3021" t="str">
            <v/>
          </cell>
          <cell r="L3021" t="str">
            <v/>
          </cell>
          <cell r="M3021" t="str">
            <v/>
          </cell>
        </row>
        <row r="3022">
          <cell r="A3022">
            <v>31102192</v>
          </cell>
          <cell r="C3022">
            <v>31102192</v>
          </cell>
          <cell r="D3022">
            <v>31102192</v>
          </cell>
          <cell r="E3022">
            <v>31102192</v>
          </cell>
          <cell r="F3022">
            <v>31102192</v>
          </cell>
          <cell r="G3022">
            <v>31102192</v>
          </cell>
          <cell r="H3022">
            <v>31102192</v>
          </cell>
          <cell r="I3022" t="str">
            <v/>
          </cell>
          <cell r="J3022" t="str">
            <v/>
          </cell>
          <cell r="K3022" t="str">
            <v/>
          </cell>
          <cell r="L3022" t="str">
            <v/>
          </cell>
          <cell r="M3022" t="str">
            <v/>
          </cell>
        </row>
        <row r="3023">
          <cell r="A3023">
            <v>31102192</v>
          </cell>
          <cell r="C3023">
            <v>31102192</v>
          </cell>
          <cell r="D3023">
            <v>31102192</v>
          </cell>
          <cell r="E3023">
            <v>31102192</v>
          </cell>
          <cell r="F3023">
            <v>31102192</v>
          </cell>
          <cell r="G3023">
            <v>31102192</v>
          </cell>
          <cell r="H3023">
            <v>31102192</v>
          </cell>
          <cell r="I3023" t="str">
            <v/>
          </cell>
          <cell r="J3023" t="str">
            <v/>
          </cell>
          <cell r="K3023" t="str">
            <v/>
          </cell>
          <cell r="L3023" t="str">
            <v/>
          </cell>
          <cell r="M3023" t="str">
            <v/>
          </cell>
        </row>
        <row r="3024">
          <cell r="A3024">
            <v>31102192</v>
          </cell>
          <cell r="C3024">
            <v>31102192</v>
          </cell>
          <cell r="D3024">
            <v>31102192</v>
          </cell>
          <cell r="E3024">
            <v>31102192</v>
          </cell>
          <cell r="F3024">
            <v>31102192</v>
          </cell>
          <cell r="G3024">
            <v>31102192</v>
          </cell>
          <cell r="H3024">
            <v>31102192</v>
          </cell>
          <cell r="I3024" t="str">
            <v/>
          </cell>
          <cell r="J3024" t="str">
            <v/>
          </cell>
          <cell r="K3024" t="str">
            <v/>
          </cell>
          <cell r="L3024" t="str">
            <v/>
          </cell>
          <cell r="M3024" t="str">
            <v/>
          </cell>
        </row>
        <row r="3025">
          <cell r="A3025">
            <v>31102192</v>
          </cell>
          <cell r="C3025">
            <v>31102192</v>
          </cell>
          <cell r="D3025">
            <v>31102192</v>
          </cell>
          <cell r="E3025">
            <v>31102192</v>
          </cell>
          <cell r="F3025">
            <v>31102192</v>
          </cell>
          <cell r="G3025">
            <v>31102192</v>
          </cell>
          <cell r="H3025">
            <v>31102192</v>
          </cell>
          <cell r="I3025" t="str">
            <v/>
          </cell>
          <cell r="J3025" t="str">
            <v/>
          </cell>
          <cell r="K3025" t="str">
            <v/>
          </cell>
          <cell r="L3025" t="str">
            <v/>
          </cell>
          <cell r="M3025" t="str">
            <v/>
          </cell>
        </row>
        <row r="3026">
          <cell r="A3026">
            <v>31102192</v>
          </cell>
          <cell r="C3026">
            <v>31102192</v>
          </cell>
          <cell r="D3026">
            <v>31102192</v>
          </cell>
          <cell r="E3026">
            <v>31102192</v>
          </cell>
          <cell r="F3026">
            <v>31102192</v>
          </cell>
          <cell r="G3026">
            <v>31102192</v>
          </cell>
          <cell r="H3026">
            <v>31102192</v>
          </cell>
          <cell r="I3026" t="str">
            <v/>
          </cell>
          <cell r="J3026" t="str">
            <v/>
          </cell>
          <cell r="K3026" t="str">
            <v/>
          </cell>
          <cell r="L3026" t="str">
            <v/>
          </cell>
          <cell r="M3026" t="str">
            <v/>
          </cell>
        </row>
        <row r="3027">
          <cell r="A3027">
            <v>31102192</v>
          </cell>
          <cell r="C3027">
            <v>31102192</v>
          </cell>
          <cell r="D3027">
            <v>31102192</v>
          </cell>
          <cell r="E3027">
            <v>31102192</v>
          </cell>
          <cell r="F3027">
            <v>31102192</v>
          </cell>
          <cell r="G3027">
            <v>31102192</v>
          </cell>
          <cell r="H3027">
            <v>31102192</v>
          </cell>
          <cell r="I3027" t="str">
            <v/>
          </cell>
          <cell r="J3027" t="str">
            <v/>
          </cell>
          <cell r="K3027" t="str">
            <v/>
          </cell>
          <cell r="L3027" t="str">
            <v/>
          </cell>
          <cell r="M3027" t="str">
            <v/>
          </cell>
        </row>
        <row r="3028">
          <cell r="A3028">
            <v>31102192</v>
          </cell>
          <cell r="C3028">
            <v>31102192</v>
          </cell>
          <cell r="D3028">
            <v>31102192</v>
          </cell>
          <cell r="E3028">
            <v>31102192</v>
          </cell>
          <cell r="F3028">
            <v>31102192</v>
          </cell>
          <cell r="G3028">
            <v>31102192</v>
          </cell>
          <cell r="H3028">
            <v>31102192</v>
          </cell>
          <cell r="I3028" t="str">
            <v/>
          </cell>
          <cell r="J3028" t="str">
            <v/>
          </cell>
          <cell r="K3028" t="str">
            <v/>
          </cell>
          <cell r="L3028" t="str">
            <v/>
          </cell>
          <cell r="M3028" t="str">
            <v/>
          </cell>
        </row>
        <row r="3029">
          <cell r="A3029">
            <v>31102192</v>
          </cell>
          <cell r="C3029">
            <v>31102192</v>
          </cell>
          <cell r="D3029">
            <v>31102192</v>
          </cell>
          <cell r="E3029">
            <v>31102192</v>
          </cell>
          <cell r="F3029">
            <v>31102192</v>
          </cell>
          <cell r="G3029">
            <v>31102192</v>
          </cell>
          <cell r="H3029">
            <v>31102192</v>
          </cell>
          <cell r="I3029" t="str">
            <v/>
          </cell>
          <cell r="J3029" t="str">
            <v/>
          </cell>
          <cell r="K3029" t="str">
            <v/>
          </cell>
          <cell r="L3029" t="str">
            <v/>
          </cell>
          <cell r="M3029" t="str">
            <v/>
          </cell>
        </row>
        <row r="3030">
          <cell r="A3030">
            <v>31102192</v>
          </cell>
          <cell r="C3030">
            <v>31102192</v>
          </cell>
          <cell r="D3030">
            <v>31102192</v>
          </cell>
          <cell r="E3030">
            <v>31102192</v>
          </cell>
          <cell r="F3030">
            <v>31102192</v>
          </cell>
          <cell r="G3030">
            <v>31102192</v>
          </cell>
          <cell r="H3030">
            <v>31102192</v>
          </cell>
          <cell r="I3030" t="str">
            <v/>
          </cell>
          <cell r="J3030" t="str">
            <v/>
          </cell>
          <cell r="K3030" t="str">
            <v/>
          </cell>
          <cell r="L3030" t="str">
            <v/>
          </cell>
          <cell r="M3030" t="str">
            <v/>
          </cell>
        </row>
        <row r="3031">
          <cell r="A3031">
            <v>31102192</v>
          </cell>
          <cell r="C3031">
            <v>31102192</v>
          </cell>
          <cell r="D3031">
            <v>31102192</v>
          </cell>
          <cell r="E3031">
            <v>31102192</v>
          </cell>
          <cell r="F3031">
            <v>31102192</v>
          </cell>
          <cell r="G3031">
            <v>31102192</v>
          </cell>
          <cell r="H3031">
            <v>31102192</v>
          </cell>
          <cell r="I3031" t="str">
            <v/>
          </cell>
          <cell r="J3031" t="str">
            <v/>
          </cell>
          <cell r="K3031" t="str">
            <v/>
          </cell>
          <cell r="L3031" t="str">
            <v/>
          </cell>
          <cell r="M3031" t="str">
            <v/>
          </cell>
        </row>
        <row r="3032">
          <cell r="A3032">
            <v>31102192</v>
          </cell>
          <cell r="C3032">
            <v>31102192</v>
          </cell>
          <cell r="D3032">
            <v>31102192</v>
          </cell>
          <cell r="E3032">
            <v>31102192</v>
          </cell>
          <cell r="F3032">
            <v>31102192</v>
          </cell>
          <cell r="G3032">
            <v>31102192</v>
          </cell>
          <cell r="H3032">
            <v>31102192</v>
          </cell>
          <cell r="I3032" t="str">
            <v/>
          </cell>
          <cell r="J3032" t="str">
            <v/>
          </cell>
          <cell r="K3032" t="str">
            <v/>
          </cell>
          <cell r="L3032" t="str">
            <v/>
          </cell>
          <cell r="M3032" t="str">
            <v/>
          </cell>
        </row>
        <row r="3033">
          <cell r="A3033">
            <v>31102192</v>
          </cell>
          <cell r="C3033">
            <v>31102192</v>
          </cell>
          <cell r="D3033">
            <v>31102192</v>
          </cell>
          <cell r="E3033">
            <v>31102192</v>
          </cell>
          <cell r="F3033">
            <v>31102192</v>
          </cell>
          <cell r="G3033">
            <v>31102192</v>
          </cell>
          <cell r="H3033">
            <v>31102192</v>
          </cell>
          <cell r="I3033" t="str">
            <v/>
          </cell>
          <cell r="J3033" t="str">
            <v/>
          </cell>
          <cell r="K3033" t="str">
            <v/>
          </cell>
          <cell r="L3033" t="str">
            <v/>
          </cell>
          <cell r="M3033" t="str">
            <v/>
          </cell>
        </row>
        <row r="3034">
          <cell r="A3034">
            <v>31102192</v>
          </cell>
          <cell r="C3034">
            <v>31102192</v>
          </cell>
          <cell r="D3034">
            <v>31102192</v>
          </cell>
          <cell r="E3034">
            <v>31102192</v>
          </cell>
          <cell r="F3034">
            <v>31102192</v>
          </cell>
          <cell r="G3034">
            <v>31102192</v>
          </cell>
          <cell r="H3034">
            <v>31102192</v>
          </cell>
          <cell r="I3034" t="str">
            <v/>
          </cell>
          <cell r="J3034" t="str">
            <v/>
          </cell>
          <cell r="K3034" t="str">
            <v/>
          </cell>
          <cell r="L3034" t="str">
            <v/>
          </cell>
          <cell r="M3034" t="str">
            <v/>
          </cell>
        </row>
        <row r="3035">
          <cell r="A3035">
            <v>31102192</v>
          </cell>
          <cell r="C3035">
            <v>31102192</v>
          </cell>
          <cell r="D3035">
            <v>31102192</v>
          </cell>
          <cell r="E3035">
            <v>31102192</v>
          </cell>
          <cell r="F3035">
            <v>31102192</v>
          </cell>
          <cell r="G3035">
            <v>31102192</v>
          </cell>
          <cell r="H3035">
            <v>31102192</v>
          </cell>
          <cell r="I3035" t="str">
            <v/>
          </cell>
          <cell r="J3035" t="str">
            <v/>
          </cell>
          <cell r="K3035" t="str">
            <v/>
          </cell>
          <cell r="L3035" t="str">
            <v/>
          </cell>
          <cell r="M3035" t="str">
            <v/>
          </cell>
        </row>
        <row r="3036">
          <cell r="A3036">
            <v>31102192</v>
          </cell>
          <cell r="C3036">
            <v>31102192</v>
          </cell>
          <cell r="D3036">
            <v>31102192</v>
          </cell>
          <cell r="E3036">
            <v>31102192</v>
          </cell>
          <cell r="F3036">
            <v>31102192</v>
          </cell>
          <cell r="G3036">
            <v>31102192</v>
          </cell>
          <cell r="H3036">
            <v>31102192</v>
          </cell>
          <cell r="I3036" t="str">
            <v/>
          </cell>
          <cell r="J3036" t="str">
            <v/>
          </cell>
          <cell r="K3036" t="str">
            <v/>
          </cell>
          <cell r="L3036" t="str">
            <v/>
          </cell>
          <cell r="M3036" t="str">
            <v/>
          </cell>
        </row>
        <row r="3037">
          <cell r="A3037">
            <v>31102192</v>
          </cell>
          <cell r="C3037">
            <v>31102192</v>
          </cell>
          <cell r="D3037">
            <v>31102192</v>
          </cell>
          <cell r="E3037">
            <v>31102192</v>
          </cell>
          <cell r="F3037">
            <v>31102192</v>
          </cell>
          <cell r="G3037">
            <v>31102192</v>
          </cell>
          <cell r="H3037">
            <v>31102192</v>
          </cell>
          <cell r="I3037" t="str">
            <v/>
          </cell>
          <cell r="J3037" t="str">
            <v/>
          </cell>
          <cell r="K3037" t="str">
            <v/>
          </cell>
          <cell r="L3037" t="str">
            <v/>
          </cell>
          <cell r="M3037" t="str">
            <v/>
          </cell>
        </row>
        <row r="3038">
          <cell r="A3038">
            <v>31102192</v>
          </cell>
          <cell r="C3038">
            <v>31102192</v>
          </cell>
          <cell r="D3038">
            <v>31102192</v>
          </cell>
          <cell r="E3038">
            <v>31102192</v>
          </cell>
          <cell r="F3038">
            <v>31102192</v>
          </cell>
          <cell r="G3038">
            <v>31102192</v>
          </cell>
          <cell r="H3038">
            <v>31102192</v>
          </cell>
          <cell r="I3038" t="str">
            <v/>
          </cell>
          <cell r="J3038" t="str">
            <v/>
          </cell>
          <cell r="K3038" t="str">
            <v/>
          </cell>
          <cell r="L3038" t="str">
            <v/>
          </cell>
          <cell r="M3038" t="str">
            <v/>
          </cell>
        </row>
        <row r="3039">
          <cell r="A3039">
            <v>31102192</v>
          </cell>
          <cell r="C3039">
            <v>31102192</v>
          </cell>
          <cell r="D3039">
            <v>31102192</v>
          </cell>
          <cell r="E3039">
            <v>31102192</v>
          </cell>
          <cell r="F3039">
            <v>31102192</v>
          </cell>
          <cell r="G3039">
            <v>31102192</v>
          </cell>
          <cell r="H3039">
            <v>31102192</v>
          </cell>
          <cell r="I3039" t="str">
            <v/>
          </cell>
          <cell r="J3039" t="str">
            <v/>
          </cell>
          <cell r="K3039" t="str">
            <v/>
          </cell>
          <cell r="L3039" t="str">
            <v/>
          </cell>
          <cell r="M3039" t="str">
            <v/>
          </cell>
        </row>
        <row r="3040">
          <cell r="A3040">
            <v>31102192</v>
          </cell>
          <cell r="C3040">
            <v>31102192</v>
          </cell>
          <cell r="D3040">
            <v>31102192</v>
          </cell>
          <cell r="E3040">
            <v>31102192</v>
          </cell>
          <cell r="F3040">
            <v>31102192</v>
          </cell>
          <cell r="G3040">
            <v>31102192</v>
          </cell>
          <cell r="H3040">
            <v>31102192</v>
          </cell>
          <cell r="I3040" t="str">
            <v/>
          </cell>
          <cell r="J3040" t="str">
            <v/>
          </cell>
          <cell r="K3040" t="str">
            <v/>
          </cell>
          <cell r="L3040" t="str">
            <v/>
          </cell>
          <cell r="M3040" t="str">
            <v/>
          </cell>
        </row>
        <row r="3041">
          <cell r="A3041">
            <v>31102192</v>
          </cell>
          <cell r="C3041">
            <v>31102192</v>
          </cell>
          <cell r="D3041">
            <v>31102192</v>
          </cell>
          <cell r="E3041">
            <v>31102192</v>
          </cell>
          <cell r="F3041">
            <v>31102192</v>
          </cell>
          <cell r="G3041">
            <v>31102192</v>
          </cell>
          <cell r="H3041">
            <v>31102192</v>
          </cell>
          <cell r="I3041" t="str">
            <v/>
          </cell>
          <cell r="J3041" t="str">
            <v/>
          </cell>
          <cell r="K3041" t="str">
            <v/>
          </cell>
          <cell r="L3041" t="str">
            <v/>
          </cell>
          <cell r="M3041" t="str">
            <v/>
          </cell>
        </row>
        <row r="3042">
          <cell r="A3042">
            <v>31102192</v>
          </cell>
          <cell r="C3042">
            <v>31102192</v>
          </cell>
          <cell r="D3042">
            <v>31102192</v>
          </cell>
          <cell r="E3042">
            <v>31102192</v>
          </cell>
          <cell r="F3042">
            <v>31102192</v>
          </cell>
          <cell r="G3042">
            <v>31102192</v>
          </cell>
          <cell r="H3042">
            <v>31102192</v>
          </cell>
          <cell r="I3042" t="str">
            <v/>
          </cell>
          <cell r="J3042" t="str">
            <v/>
          </cell>
          <cell r="K3042" t="str">
            <v/>
          </cell>
          <cell r="L3042" t="str">
            <v/>
          </cell>
          <cell r="M3042" t="str">
            <v/>
          </cell>
        </row>
        <row r="3043">
          <cell r="A3043">
            <v>31102192</v>
          </cell>
          <cell r="C3043">
            <v>31102192</v>
          </cell>
          <cell r="D3043">
            <v>31102192</v>
          </cell>
          <cell r="E3043">
            <v>31102192</v>
          </cell>
          <cell r="F3043">
            <v>31102192</v>
          </cell>
          <cell r="G3043">
            <v>31102192</v>
          </cell>
          <cell r="H3043">
            <v>31102192</v>
          </cell>
          <cell r="I3043" t="str">
            <v/>
          </cell>
          <cell r="J3043" t="str">
            <v/>
          </cell>
          <cell r="K3043" t="str">
            <v/>
          </cell>
          <cell r="L3043" t="str">
            <v/>
          </cell>
          <cell r="M3043" t="str">
            <v/>
          </cell>
        </row>
        <row r="3044">
          <cell r="A3044">
            <v>31102192</v>
          </cell>
          <cell r="C3044">
            <v>31102192</v>
          </cell>
          <cell r="D3044">
            <v>31102192</v>
          </cell>
          <cell r="E3044">
            <v>31102192</v>
          </cell>
          <cell r="F3044">
            <v>31102192</v>
          </cell>
          <cell r="G3044">
            <v>31102192</v>
          </cell>
          <cell r="H3044">
            <v>31102192</v>
          </cell>
          <cell r="I3044" t="str">
            <v/>
          </cell>
          <cell r="J3044" t="str">
            <v/>
          </cell>
          <cell r="K3044" t="str">
            <v/>
          </cell>
          <cell r="L3044" t="str">
            <v/>
          </cell>
          <cell r="M3044" t="str">
            <v/>
          </cell>
        </row>
        <row r="3045">
          <cell r="A3045">
            <v>31102192</v>
          </cell>
          <cell r="C3045">
            <v>31102192</v>
          </cell>
          <cell r="D3045">
            <v>31102192</v>
          </cell>
          <cell r="E3045">
            <v>31102192</v>
          </cell>
          <cell r="F3045">
            <v>31102192</v>
          </cell>
          <cell r="G3045">
            <v>31102192</v>
          </cell>
          <cell r="H3045">
            <v>31102192</v>
          </cell>
          <cell r="I3045" t="str">
            <v/>
          </cell>
          <cell r="J3045" t="str">
            <v/>
          </cell>
          <cell r="K3045" t="str">
            <v/>
          </cell>
          <cell r="L3045" t="str">
            <v/>
          </cell>
          <cell r="M3045" t="str">
            <v/>
          </cell>
        </row>
        <row r="3046">
          <cell r="A3046">
            <v>31102192</v>
          </cell>
          <cell r="C3046">
            <v>31102192</v>
          </cell>
          <cell r="D3046">
            <v>31102192</v>
          </cell>
          <cell r="E3046">
            <v>31102192</v>
          </cell>
          <cell r="F3046">
            <v>31102192</v>
          </cell>
          <cell r="G3046">
            <v>31102192</v>
          </cell>
          <cell r="H3046">
            <v>31102192</v>
          </cell>
          <cell r="I3046" t="str">
            <v/>
          </cell>
          <cell r="J3046" t="str">
            <v/>
          </cell>
          <cell r="K3046" t="str">
            <v/>
          </cell>
          <cell r="L3046" t="str">
            <v/>
          </cell>
          <cell r="M3046" t="str">
            <v/>
          </cell>
        </row>
        <row r="3047">
          <cell r="A3047">
            <v>31102192</v>
          </cell>
          <cell r="C3047">
            <v>31102192</v>
          </cell>
          <cell r="D3047">
            <v>31102192</v>
          </cell>
          <cell r="E3047">
            <v>31102192</v>
          </cell>
          <cell r="F3047">
            <v>31102192</v>
          </cell>
          <cell r="G3047">
            <v>31102192</v>
          </cell>
          <cell r="H3047">
            <v>31102192</v>
          </cell>
          <cell r="I3047" t="str">
            <v/>
          </cell>
          <cell r="J3047" t="str">
            <v/>
          </cell>
          <cell r="K3047" t="str">
            <v/>
          </cell>
          <cell r="L3047" t="str">
            <v/>
          </cell>
          <cell r="M3047" t="str">
            <v/>
          </cell>
        </row>
        <row r="3048">
          <cell r="A3048">
            <v>31102192</v>
          </cell>
          <cell r="C3048">
            <v>31102192</v>
          </cell>
          <cell r="D3048">
            <v>31102192</v>
          </cell>
          <cell r="E3048">
            <v>31102192</v>
          </cell>
          <cell r="F3048">
            <v>31102192</v>
          </cell>
          <cell r="G3048">
            <v>31102192</v>
          </cell>
          <cell r="H3048">
            <v>31102192</v>
          </cell>
          <cell r="I3048" t="str">
            <v/>
          </cell>
          <cell r="J3048" t="str">
            <v/>
          </cell>
          <cell r="K3048" t="str">
            <v/>
          </cell>
          <cell r="L3048" t="str">
            <v/>
          </cell>
          <cell r="M3048" t="str">
            <v/>
          </cell>
        </row>
        <row r="3049">
          <cell r="A3049">
            <v>31102192</v>
          </cell>
          <cell r="C3049">
            <v>31102192</v>
          </cell>
          <cell r="D3049">
            <v>31102192</v>
          </cell>
          <cell r="E3049">
            <v>31102192</v>
          </cell>
          <cell r="F3049">
            <v>31102192</v>
          </cell>
          <cell r="G3049">
            <v>31102192</v>
          </cell>
          <cell r="H3049">
            <v>31102192</v>
          </cell>
          <cell r="I3049" t="str">
            <v/>
          </cell>
          <cell r="J3049" t="str">
            <v/>
          </cell>
          <cell r="K3049" t="str">
            <v/>
          </cell>
          <cell r="L3049" t="str">
            <v/>
          </cell>
          <cell r="M3049" t="str">
            <v/>
          </cell>
        </row>
        <row r="3050">
          <cell r="A3050">
            <v>31102192</v>
          </cell>
          <cell r="C3050">
            <v>31102192</v>
          </cell>
          <cell r="D3050">
            <v>31102192</v>
          </cell>
          <cell r="E3050">
            <v>31102192</v>
          </cell>
          <cell r="F3050">
            <v>31102192</v>
          </cell>
          <cell r="G3050">
            <v>31102192</v>
          </cell>
          <cell r="H3050">
            <v>31102192</v>
          </cell>
          <cell r="I3050" t="str">
            <v/>
          </cell>
          <cell r="J3050" t="str">
            <v/>
          </cell>
          <cell r="K3050" t="str">
            <v/>
          </cell>
          <cell r="L3050" t="str">
            <v/>
          </cell>
          <cell r="M3050" t="str">
            <v/>
          </cell>
        </row>
        <row r="3051">
          <cell r="A3051">
            <v>31102192</v>
          </cell>
          <cell r="C3051">
            <v>31102192</v>
          </cell>
          <cell r="D3051">
            <v>31102192</v>
          </cell>
          <cell r="E3051">
            <v>31102192</v>
          </cell>
          <cell r="F3051">
            <v>31102192</v>
          </cell>
          <cell r="G3051">
            <v>31102192</v>
          </cell>
          <cell r="H3051">
            <v>31102192</v>
          </cell>
          <cell r="I3051" t="str">
            <v/>
          </cell>
          <cell r="J3051" t="str">
            <v/>
          </cell>
          <cell r="K3051" t="str">
            <v/>
          </cell>
          <cell r="L3051" t="str">
            <v/>
          </cell>
          <cell r="M3051" t="str">
            <v/>
          </cell>
        </row>
        <row r="3052">
          <cell r="A3052">
            <v>31102192</v>
          </cell>
          <cell r="C3052">
            <v>31102192</v>
          </cell>
          <cell r="D3052">
            <v>31102192</v>
          </cell>
          <cell r="E3052">
            <v>31102192</v>
          </cell>
          <cell r="F3052">
            <v>31102192</v>
          </cell>
          <cell r="G3052">
            <v>31102192</v>
          </cell>
          <cell r="H3052">
            <v>31102192</v>
          </cell>
          <cell r="I3052" t="str">
            <v/>
          </cell>
          <cell r="J3052" t="str">
            <v/>
          </cell>
          <cell r="K3052" t="str">
            <v/>
          </cell>
          <cell r="L3052" t="str">
            <v/>
          </cell>
          <cell r="M3052" t="str">
            <v/>
          </cell>
        </row>
        <row r="3053">
          <cell r="A3053">
            <v>31102192</v>
          </cell>
          <cell r="C3053">
            <v>31102192</v>
          </cell>
          <cell r="D3053">
            <v>31102192</v>
          </cell>
          <cell r="E3053">
            <v>31102192</v>
          </cell>
          <cell r="F3053">
            <v>31102192</v>
          </cell>
          <cell r="G3053">
            <v>31102192</v>
          </cell>
          <cell r="H3053">
            <v>31102192</v>
          </cell>
          <cell r="I3053" t="str">
            <v/>
          </cell>
          <cell r="J3053" t="str">
            <v/>
          </cell>
          <cell r="K3053" t="str">
            <v/>
          </cell>
          <cell r="L3053" t="str">
            <v/>
          </cell>
          <cell r="M3053" t="str">
            <v/>
          </cell>
        </row>
        <row r="3054">
          <cell r="A3054">
            <v>31102192</v>
          </cell>
          <cell r="C3054">
            <v>31102192</v>
          </cell>
          <cell r="D3054">
            <v>31102192</v>
          </cell>
          <cell r="E3054">
            <v>31102192</v>
          </cell>
          <cell r="F3054">
            <v>31102192</v>
          </cell>
          <cell r="G3054">
            <v>31102192</v>
          </cell>
          <cell r="H3054">
            <v>31102192</v>
          </cell>
          <cell r="I3054" t="str">
            <v/>
          </cell>
          <cell r="J3054" t="str">
            <v/>
          </cell>
          <cell r="K3054" t="str">
            <v/>
          </cell>
          <cell r="L3054" t="str">
            <v/>
          </cell>
          <cell r="M3054" t="str">
            <v/>
          </cell>
        </row>
        <row r="3055">
          <cell r="A3055">
            <v>31102192</v>
          </cell>
          <cell r="C3055">
            <v>31102192</v>
          </cell>
          <cell r="D3055">
            <v>31102192</v>
          </cell>
          <cell r="E3055">
            <v>31102192</v>
          </cell>
          <cell r="F3055">
            <v>31102192</v>
          </cell>
          <cell r="G3055">
            <v>31102192</v>
          </cell>
          <cell r="H3055">
            <v>31102192</v>
          </cell>
          <cell r="I3055" t="str">
            <v/>
          </cell>
          <cell r="J3055" t="str">
            <v/>
          </cell>
          <cell r="K3055" t="str">
            <v/>
          </cell>
          <cell r="L3055" t="str">
            <v/>
          </cell>
          <cell r="M3055" t="str">
            <v/>
          </cell>
        </row>
        <row r="3056">
          <cell r="A3056">
            <v>31102192</v>
          </cell>
          <cell r="C3056">
            <v>31102192</v>
          </cell>
          <cell r="D3056">
            <v>31102192</v>
          </cell>
          <cell r="E3056">
            <v>31102192</v>
          </cell>
          <cell r="F3056">
            <v>31102192</v>
          </cell>
          <cell r="G3056">
            <v>31102192</v>
          </cell>
          <cell r="H3056">
            <v>31102192</v>
          </cell>
          <cell r="I3056" t="str">
            <v/>
          </cell>
          <cell r="J3056" t="str">
            <v/>
          </cell>
          <cell r="K3056" t="str">
            <v/>
          </cell>
          <cell r="L3056" t="str">
            <v/>
          </cell>
          <cell r="M3056" t="str">
            <v/>
          </cell>
        </row>
        <row r="3057">
          <cell r="A3057">
            <v>31102192</v>
          </cell>
          <cell r="C3057">
            <v>31102192</v>
          </cell>
          <cell r="D3057">
            <v>31102192</v>
          </cell>
          <cell r="E3057">
            <v>31102192</v>
          </cell>
          <cell r="F3057">
            <v>31102192</v>
          </cell>
          <cell r="G3057">
            <v>31102192</v>
          </cell>
          <cell r="H3057">
            <v>31102192</v>
          </cell>
          <cell r="I3057" t="str">
            <v/>
          </cell>
          <cell r="J3057" t="str">
            <v/>
          </cell>
          <cell r="K3057" t="str">
            <v/>
          </cell>
          <cell r="L3057" t="str">
            <v/>
          </cell>
          <cell r="M3057" t="str">
            <v/>
          </cell>
        </row>
        <row r="3058">
          <cell r="A3058">
            <v>31102192</v>
          </cell>
          <cell r="C3058">
            <v>31102192</v>
          </cell>
          <cell r="D3058">
            <v>31102192</v>
          </cell>
          <cell r="E3058">
            <v>31102192</v>
          </cell>
          <cell r="F3058">
            <v>31102192</v>
          </cell>
          <cell r="G3058">
            <v>31102192</v>
          </cell>
          <cell r="H3058">
            <v>31102192</v>
          </cell>
          <cell r="I3058" t="str">
            <v/>
          </cell>
          <cell r="J3058" t="str">
            <v/>
          </cell>
          <cell r="K3058" t="str">
            <v/>
          </cell>
          <cell r="L3058" t="str">
            <v/>
          </cell>
          <cell r="M3058" t="str">
            <v/>
          </cell>
        </row>
        <row r="3059">
          <cell r="A3059">
            <v>31102192</v>
          </cell>
          <cell r="C3059">
            <v>31102192</v>
          </cell>
          <cell r="D3059">
            <v>31102192</v>
          </cell>
          <cell r="E3059">
            <v>31102192</v>
          </cell>
          <cell r="F3059">
            <v>31102192</v>
          </cell>
          <cell r="G3059">
            <v>31102192</v>
          </cell>
          <cell r="H3059">
            <v>31102192</v>
          </cell>
          <cell r="I3059" t="str">
            <v/>
          </cell>
          <cell r="J3059" t="str">
            <v/>
          </cell>
          <cell r="K3059" t="str">
            <v/>
          </cell>
          <cell r="L3059" t="str">
            <v/>
          </cell>
          <cell r="M3059" t="str">
            <v/>
          </cell>
        </row>
        <row r="3060">
          <cell r="A3060">
            <v>31102192</v>
          </cell>
          <cell r="C3060">
            <v>31102192</v>
          </cell>
          <cell r="D3060">
            <v>31102192</v>
          </cell>
          <cell r="E3060">
            <v>31102192</v>
          </cell>
          <cell r="F3060">
            <v>31102192</v>
          </cell>
          <cell r="G3060">
            <v>31102192</v>
          </cell>
          <cell r="H3060">
            <v>31102192</v>
          </cell>
          <cell r="I3060" t="str">
            <v/>
          </cell>
          <cell r="J3060" t="str">
            <v/>
          </cell>
          <cell r="K3060" t="str">
            <v/>
          </cell>
          <cell r="L3060" t="str">
            <v/>
          </cell>
          <cell r="M3060" t="str">
            <v/>
          </cell>
        </row>
        <row r="3061">
          <cell r="A3061">
            <v>31102192</v>
          </cell>
          <cell r="C3061">
            <v>31102192</v>
          </cell>
          <cell r="D3061">
            <v>31102192</v>
          </cell>
          <cell r="E3061">
            <v>31102192</v>
          </cell>
          <cell r="F3061">
            <v>31102192</v>
          </cell>
          <cell r="G3061">
            <v>31102192</v>
          </cell>
          <cell r="H3061">
            <v>31102192</v>
          </cell>
          <cell r="I3061" t="str">
            <v/>
          </cell>
          <cell r="J3061" t="str">
            <v/>
          </cell>
          <cell r="K3061" t="str">
            <v/>
          </cell>
          <cell r="L3061" t="str">
            <v/>
          </cell>
          <cell r="M3061" t="str">
            <v/>
          </cell>
        </row>
        <row r="3062">
          <cell r="A3062">
            <v>31102192</v>
          </cell>
          <cell r="C3062">
            <v>31102192</v>
          </cell>
          <cell r="D3062">
            <v>31102192</v>
          </cell>
          <cell r="E3062">
            <v>31102192</v>
          </cell>
          <cell r="F3062">
            <v>31102192</v>
          </cell>
          <cell r="G3062">
            <v>31102192</v>
          </cell>
          <cell r="H3062">
            <v>31102192</v>
          </cell>
          <cell r="I3062" t="str">
            <v/>
          </cell>
          <cell r="J3062" t="str">
            <v/>
          </cell>
          <cell r="K3062" t="str">
            <v/>
          </cell>
          <cell r="L3062" t="str">
            <v/>
          </cell>
          <cell r="M3062" t="str">
            <v/>
          </cell>
        </row>
        <row r="3063">
          <cell r="A3063">
            <v>31102192</v>
          </cell>
          <cell r="C3063">
            <v>31102192</v>
          </cell>
          <cell r="D3063">
            <v>31102192</v>
          </cell>
          <cell r="E3063">
            <v>31102192</v>
          </cell>
          <cell r="F3063">
            <v>31102192</v>
          </cell>
          <cell r="G3063">
            <v>31102192</v>
          </cell>
          <cell r="H3063">
            <v>31102192</v>
          </cell>
          <cell r="I3063" t="str">
            <v/>
          </cell>
          <cell r="J3063" t="str">
            <v/>
          </cell>
          <cell r="K3063" t="str">
            <v/>
          </cell>
          <cell r="L3063" t="str">
            <v/>
          </cell>
          <cell r="M3063" t="str">
            <v/>
          </cell>
        </row>
        <row r="3064">
          <cell r="A3064">
            <v>31102192</v>
          </cell>
          <cell r="C3064">
            <v>31102192</v>
          </cell>
          <cell r="D3064">
            <v>31102192</v>
          </cell>
          <cell r="E3064">
            <v>31102192</v>
          </cell>
          <cell r="F3064">
            <v>31102192</v>
          </cell>
          <cell r="G3064">
            <v>31102192</v>
          </cell>
          <cell r="H3064">
            <v>31102192</v>
          </cell>
          <cell r="I3064" t="str">
            <v/>
          </cell>
          <cell r="J3064" t="str">
            <v/>
          </cell>
          <cell r="K3064" t="str">
            <v/>
          </cell>
          <cell r="L3064" t="str">
            <v/>
          </cell>
          <cell r="M3064" t="str">
            <v/>
          </cell>
        </row>
        <row r="3065">
          <cell r="A3065">
            <v>31102192</v>
          </cell>
          <cell r="C3065">
            <v>31102192</v>
          </cell>
          <cell r="D3065">
            <v>31102192</v>
          </cell>
          <cell r="E3065">
            <v>31102192</v>
          </cell>
          <cell r="F3065">
            <v>31102192</v>
          </cell>
          <cell r="G3065">
            <v>31102192</v>
          </cell>
          <cell r="H3065">
            <v>31102192</v>
          </cell>
          <cell r="I3065" t="str">
            <v/>
          </cell>
          <cell r="J3065" t="str">
            <v/>
          </cell>
          <cell r="K3065" t="str">
            <v/>
          </cell>
          <cell r="L3065" t="str">
            <v/>
          </cell>
          <cell r="M3065" t="str">
            <v/>
          </cell>
        </row>
        <row r="3066">
          <cell r="A3066">
            <v>31102192</v>
          </cell>
          <cell r="C3066">
            <v>31102192</v>
          </cell>
          <cell r="D3066">
            <v>31102192</v>
          </cell>
          <cell r="E3066">
            <v>31102192</v>
          </cell>
          <cell r="F3066">
            <v>31102192</v>
          </cell>
          <cell r="G3066">
            <v>31102192</v>
          </cell>
          <cell r="H3066">
            <v>31102192</v>
          </cell>
          <cell r="I3066" t="str">
            <v/>
          </cell>
          <cell r="J3066" t="str">
            <v/>
          </cell>
          <cell r="K3066" t="str">
            <v/>
          </cell>
          <cell r="L3066" t="str">
            <v/>
          </cell>
          <cell r="M3066" t="str">
            <v/>
          </cell>
        </row>
        <row r="3067">
          <cell r="A3067">
            <v>31102192</v>
          </cell>
          <cell r="C3067">
            <v>31102192</v>
          </cell>
          <cell r="D3067">
            <v>31102192</v>
          </cell>
          <cell r="E3067">
            <v>31102192</v>
          </cell>
          <cell r="F3067">
            <v>31102192</v>
          </cell>
          <cell r="G3067">
            <v>31102192</v>
          </cell>
          <cell r="H3067">
            <v>31102192</v>
          </cell>
          <cell r="I3067" t="str">
            <v/>
          </cell>
          <cell r="J3067" t="str">
            <v/>
          </cell>
          <cell r="K3067" t="str">
            <v/>
          </cell>
          <cell r="L3067" t="str">
            <v/>
          </cell>
          <cell r="M3067" t="str">
            <v/>
          </cell>
        </row>
        <row r="3068">
          <cell r="A3068">
            <v>31102192</v>
          </cell>
          <cell r="C3068">
            <v>31102192</v>
          </cell>
          <cell r="D3068">
            <v>31102192</v>
          </cell>
          <cell r="E3068">
            <v>31102192</v>
          </cell>
          <cell r="F3068">
            <v>31102192</v>
          </cell>
          <cell r="G3068">
            <v>31102192</v>
          </cell>
          <cell r="H3068">
            <v>31102192</v>
          </cell>
          <cell r="I3068" t="str">
            <v/>
          </cell>
          <cell r="J3068" t="str">
            <v/>
          </cell>
          <cell r="K3068" t="str">
            <v/>
          </cell>
          <cell r="L3068" t="str">
            <v/>
          </cell>
          <cell r="M3068" t="str">
            <v/>
          </cell>
        </row>
        <row r="3069">
          <cell r="A3069">
            <v>31102192</v>
          </cell>
          <cell r="C3069">
            <v>31102192</v>
          </cell>
          <cell r="D3069">
            <v>31102192</v>
          </cell>
          <cell r="E3069">
            <v>31102192</v>
          </cell>
          <cell r="F3069">
            <v>31102192</v>
          </cell>
          <cell r="G3069">
            <v>31102192</v>
          </cell>
          <cell r="H3069">
            <v>31102192</v>
          </cell>
          <cell r="I3069" t="str">
            <v/>
          </cell>
          <cell r="J3069" t="str">
            <v/>
          </cell>
          <cell r="K3069" t="str">
            <v/>
          </cell>
          <cell r="L3069" t="str">
            <v/>
          </cell>
          <cell r="M3069" t="str">
            <v/>
          </cell>
        </row>
        <row r="3070">
          <cell r="A3070">
            <v>31102192</v>
          </cell>
          <cell r="C3070">
            <v>31102192</v>
          </cell>
          <cell r="D3070">
            <v>31102192</v>
          </cell>
          <cell r="E3070">
            <v>31102192</v>
          </cell>
          <cell r="F3070">
            <v>31102192</v>
          </cell>
          <cell r="G3070">
            <v>31102192</v>
          </cell>
          <cell r="H3070">
            <v>31102192</v>
          </cell>
          <cell r="I3070" t="str">
            <v/>
          </cell>
          <cell r="J3070" t="str">
            <v/>
          </cell>
          <cell r="K3070" t="str">
            <v/>
          </cell>
          <cell r="L3070" t="str">
            <v/>
          </cell>
          <cell r="M3070" t="str">
            <v/>
          </cell>
        </row>
        <row r="3071">
          <cell r="A3071">
            <v>31102192</v>
          </cell>
          <cell r="C3071">
            <v>31102192</v>
          </cell>
          <cell r="D3071">
            <v>31102192</v>
          </cell>
          <cell r="E3071">
            <v>31102192</v>
          </cell>
          <cell r="F3071">
            <v>31102192</v>
          </cell>
          <cell r="G3071">
            <v>31102192</v>
          </cell>
          <cell r="H3071">
            <v>31102192</v>
          </cell>
          <cell r="I3071" t="str">
            <v/>
          </cell>
          <cell r="J3071" t="str">
            <v/>
          </cell>
          <cell r="K3071" t="str">
            <v/>
          </cell>
          <cell r="L3071" t="str">
            <v/>
          </cell>
          <cell r="M3071" t="str">
            <v/>
          </cell>
        </row>
        <row r="3072">
          <cell r="A3072">
            <v>31102192</v>
          </cell>
          <cell r="C3072">
            <v>31102192</v>
          </cell>
          <cell r="D3072">
            <v>31102192</v>
          </cell>
          <cell r="E3072">
            <v>31102192</v>
          </cell>
          <cell r="F3072">
            <v>31102192</v>
          </cell>
          <cell r="G3072">
            <v>31102192</v>
          </cell>
          <cell r="H3072">
            <v>31102192</v>
          </cell>
          <cell r="I3072" t="str">
            <v/>
          </cell>
          <cell r="J3072" t="str">
            <v/>
          </cell>
          <cell r="K3072" t="str">
            <v/>
          </cell>
          <cell r="L3072" t="str">
            <v/>
          </cell>
          <cell r="M3072" t="str">
            <v/>
          </cell>
        </row>
        <row r="3073">
          <cell r="A3073">
            <v>31102192</v>
          </cell>
          <cell r="C3073">
            <v>31102192</v>
          </cell>
          <cell r="D3073">
            <v>31102192</v>
          </cell>
          <cell r="E3073">
            <v>31102192</v>
          </cell>
          <cell r="F3073">
            <v>31102192</v>
          </cell>
          <cell r="G3073">
            <v>31102192</v>
          </cell>
          <cell r="H3073">
            <v>31102192</v>
          </cell>
          <cell r="I3073" t="str">
            <v/>
          </cell>
          <cell r="J3073" t="str">
            <v/>
          </cell>
          <cell r="K3073" t="str">
            <v/>
          </cell>
          <cell r="L3073" t="str">
            <v/>
          </cell>
          <cell r="M3073" t="str">
            <v/>
          </cell>
        </row>
        <row r="3074">
          <cell r="A3074">
            <v>31102192</v>
          </cell>
          <cell r="C3074">
            <v>31102192</v>
          </cell>
          <cell r="D3074">
            <v>31102192</v>
          </cell>
          <cell r="E3074">
            <v>31102192</v>
          </cell>
          <cell r="F3074">
            <v>31102192</v>
          </cell>
          <cell r="G3074">
            <v>31102192</v>
          </cell>
          <cell r="H3074">
            <v>31102192</v>
          </cell>
          <cell r="I3074" t="str">
            <v/>
          </cell>
          <cell r="J3074" t="str">
            <v/>
          </cell>
          <cell r="K3074" t="str">
            <v/>
          </cell>
          <cell r="L3074" t="str">
            <v/>
          </cell>
          <cell r="M3074" t="str">
            <v/>
          </cell>
        </row>
        <row r="3075">
          <cell r="A3075">
            <v>31102192</v>
          </cell>
          <cell r="C3075">
            <v>31102192</v>
          </cell>
          <cell r="D3075">
            <v>31102192</v>
          </cell>
          <cell r="E3075">
            <v>31102192</v>
          </cell>
          <cell r="F3075">
            <v>31102192</v>
          </cell>
          <cell r="G3075">
            <v>31102192</v>
          </cell>
          <cell r="H3075">
            <v>31102192</v>
          </cell>
          <cell r="I3075" t="str">
            <v/>
          </cell>
          <cell r="J3075" t="str">
            <v/>
          </cell>
          <cell r="K3075" t="str">
            <v/>
          </cell>
          <cell r="L3075" t="str">
            <v/>
          </cell>
          <cell r="M3075" t="str">
            <v/>
          </cell>
        </row>
        <row r="3076">
          <cell r="A3076">
            <v>31102192</v>
          </cell>
          <cell r="C3076">
            <v>31102192</v>
          </cell>
          <cell r="D3076">
            <v>31102192</v>
          </cell>
          <cell r="E3076">
            <v>31102192</v>
          </cell>
          <cell r="F3076">
            <v>31102192</v>
          </cell>
          <cell r="G3076">
            <v>31102192</v>
          </cell>
          <cell r="H3076">
            <v>31102192</v>
          </cell>
          <cell r="I3076" t="str">
            <v/>
          </cell>
          <cell r="J3076" t="str">
            <v/>
          </cell>
          <cell r="K3076" t="str">
            <v/>
          </cell>
          <cell r="L3076" t="str">
            <v/>
          </cell>
          <cell r="M3076" t="str">
            <v/>
          </cell>
        </row>
        <row r="3077">
          <cell r="A3077">
            <v>31102192</v>
          </cell>
          <cell r="C3077">
            <v>31102192</v>
          </cell>
          <cell r="D3077">
            <v>31102192</v>
          </cell>
          <cell r="E3077">
            <v>31102192</v>
          </cell>
          <cell r="F3077">
            <v>31102192</v>
          </cell>
          <cell r="G3077">
            <v>31102192</v>
          </cell>
          <cell r="H3077">
            <v>31102192</v>
          </cell>
          <cell r="I3077" t="str">
            <v/>
          </cell>
          <cell r="J3077" t="str">
            <v/>
          </cell>
          <cell r="K3077" t="str">
            <v/>
          </cell>
          <cell r="L3077" t="str">
            <v/>
          </cell>
          <cell r="M3077" t="str">
            <v/>
          </cell>
        </row>
        <row r="3078">
          <cell r="A3078">
            <v>31102192</v>
          </cell>
          <cell r="C3078">
            <v>31102192</v>
          </cell>
          <cell r="D3078">
            <v>31102192</v>
          </cell>
          <cell r="E3078">
            <v>31102192</v>
          </cell>
          <cell r="F3078">
            <v>31102192</v>
          </cell>
          <cell r="G3078">
            <v>31102192</v>
          </cell>
          <cell r="H3078">
            <v>31102192</v>
          </cell>
          <cell r="I3078" t="str">
            <v/>
          </cell>
          <cell r="J3078" t="str">
            <v/>
          </cell>
          <cell r="K3078" t="str">
            <v/>
          </cell>
          <cell r="L3078" t="str">
            <v/>
          </cell>
          <cell r="M3078" t="str">
            <v/>
          </cell>
        </row>
        <row r="3079">
          <cell r="A3079">
            <v>31102192</v>
          </cell>
          <cell r="C3079">
            <v>31102192</v>
          </cell>
          <cell r="D3079">
            <v>31102192</v>
          </cell>
          <cell r="E3079">
            <v>31102192</v>
          </cell>
          <cell r="F3079">
            <v>31102192</v>
          </cell>
          <cell r="G3079">
            <v>31102192</v>
          </cell>
          <cell r="H3079">
            <v>31102192</v>
          </cell>
          <cell r="I3079" t="str">
            <v/>
          </cell>
          <cell r="J3079" t="str">
            <v/>
          </cell>
          <cell r="K3079" t="str">
            <v/>
          </cell>
          <cell r="L3079" t="str">
            <v/>
          </cell>
          <cell r="M3079" t="str">
            <v/>
          </cell>
        </row>
        <row r="3080">
          <cell r="A3080">
            <v>31102192</v>
          </cell>
          <cell r="C3080">
            <v>31102192</v>
          </cell>
          <cell r="D3080">
            <v>31102192</v>
          </cell>
          <cell r="E3080">
            <v>31102192</v>
          </cell>
          <cell r="F3080">
            <v>31102192</v>
          </cell>
          <cell r="G3080">
            <v>31102192</v>
          </cell>
          <cell r="H3080">
            <v>31102192</v>
          </cell>
          <cell r="I3080" t="str">
            <v/>
          </cell>
          <cell r="J3080" t="str">
            <v/>
          </cell>
          <cell r="K3080" t="str">
            <v/>
          </cell>
          <cell r="L3080" t="str">
            <v/>
          </cell>
          <cell r="M3080" t="str">
            <v/>
          </cell>
        </row>
        <row r="3081">
          <cell r="A3081">
            <v>31102192</v>
          </cell>
          <cell r="C3081">
            <v>31102192</v>
          </cell>
          <cell r="D3081">
            <v>31102192</v>
          </cell>
          <cell r="E3081">
            <v>31102192</v>
          </cell>
          <cell r="F3081">
            <v>31102192</v>
          </cell>
          <cell r="G3081">
            <v>31102192</v>
          </cell>
          <cell r="H3081">
            <v>31102192</v>
          </cell>
          <cell r="I3081" t="str">
            <v/>
          </cell>
          <cell r="J3081" t="str">
            <v/>
          </cell>
          <cell r="K3081" t="str">
            <v/>
          </cell>
          <cell r="L3081" t="str">
            <v/>
          </cell>
          <cell r="M3081" t="str">
            <v/>
          </cell>
        </row>
        <row r="3082">
          <cell r="A3082">
            <v>31102192</v>
          </cell>
          <cell r="C3082">
            <v>31102192</v>
          </cell>
          <cell r="D3082">
            <v>31102192</v>
          </cell>
          <cell r="E3082">
            <v>31102192</v>
          </cell>
          <cell r="F3082">
            <v>31102192</v>
          </cell>
          <cell r="G3082">
            <v>31102192</v>
          </cell>
          <cell r="H3082">
            <v>31102192</v>
          </cell>
          <cell r="I3082" t="str">
            <v/>
          </cell>
          <cell r="J3082" t="str">
            <v/>
          </cell>
          <cell r="K3082" t="str">
            <v/>
          </cell>
          <cell r="L3082" t="str">
            <v/>
          </cell>
          <cell r="M3082" t="str">
            <v/>
          </cell>
        </row>
        <row r="3083">
          <cell r="A3083">
            <v>31102192</v>
          </cell>
          <cell r="C3083">
            <v>31102192</v>
          </cell>
          <cell r="D3083">
            <v>31102192</v>
          </cell>
          <cell r="E3083">
            <v>31102192</v>
          </cell>
          <cell r="F3083">
            <v>31102192</v>
          </cell>
          <cell r="G3083">
            <v>31102192</v>
          </cell>
          <cell r="H3083">
            <v>31102192</v>
          </cell>
          <cell r="I3083" t="str">
            <v/>
          </cell>
          <cell r="J3083" t="str">
            <v/>
          </cell>
          <cell r="K3083" t="str">
            <v/>
          </cell>
          <cell r="L3083" t="str">
            <v/>
          </cell>
          <cell r="M3083" t="str">
            <v/>
          </cell>
        </row>
        <row r="3084">
          <cell r="A3084">
            <v>31102192</v>
          </cell>
          <cell r="C3084">
            <v>31102192</v>
          </cell>
          <cell r="D3084">
            <v>31102192</v>
          </cell>
          <cell r="E3084">
            <v>31102192</v>
          </cell>
          <cell r="F3084">
            <v>31102192</v>
          </cell>
          <cell r="G3084">
            <v>31102192</v>
          </cell>
          <cell r="H3084">
            <v>31102192</v>
          </cell>
          <cell r="I3084" t="str">
            <v/>
          </cell>
          <cell r="J3084" t="str">
            <v/>
          </cell>
          <cell r="K3084" t="str">
            <v/>
          </cell>
          <cell r="L3084" t="str">
            <v/>
          </cell>
          <cell r="M3084" t="str">
            <v/>
          </cell>
        </row>
        <row r="3085">
          <cell r="A3085">
            <v>31102192</v>
          </cell>
          <cell r="C3085">
            <v>31102192</v>
          </cell>
          <cell r="D3085">
            <v>31102192</v>
          </cell>
          <cell r="E3085">
            <v>31102192</v>
          </cell>
          <cell r="F3085">
            <v>31102192</v>
          </cell>
          <cell r="G3085">
            <v>31102192</v>
          </cell>
          <cell r="H3085">
            <v>31102192</v>
          </cell>
          <cell r="I3085" t="str">
            <v/>
          </cell>
          <cell r="J3085" t="str">
            <v/>
          </cell>
          <cell r="K3085" t="str">
            <v/>
          </cell>
          <cell r="L3085" t="str">
            <v/>
          </cell>
          <cell r="M3085" t="str">
            <v/>
          </cell>
        </row>
        <row r="3086">
          <cell r="A3086">
            <v>31102192</v>
          </cell>
          <cell r="C3086">
            <v>31102192</v>
          </cell>
          <cell r="D3086">
            <v>31102192</v>
          </cell>
          <cell r="E3086">
            <v>31102192</v>
          </cell>
          <cell r="F3086">
            <v>31102192</v>
          </cell>
          <cell r="G3086">
            <v>31102192</v>
          </cell>
          <cell r="H3086">
            <v>31102192</v>
          </cell>
          <cell r="I3086" t="str">
            <v/>
          </cell>
          <cell r="J3086" t="str">
            <v/>
          </cell>
          <cell r="K3086" t="str">
            <v/>
          </cell>
          <cell r="L3086" t="str">
            <v/>
          </cell>
          <cell r="M3086" t="str">
            <v/>
          </cell>
        </row>
        <row r="3087">
          <cell r="A3087">
            <v>31102192</v>
          </cell>
          <cell r="C3087">
            <v>31102192</v>
          </cell>
          <cell r="D3087">
            <v>31102192</v>
          </cell>
          <cell r="E3087">
            <v>31102192</v>
          </cell>
          <cell r="F3087">
            <v>31102192</v>
          </cell>
          <cell r="G3087">
            <v>31102192</v>
          </cell>
          <cell r="H3087">
            <v>31102192</v>
          </cell>
          <cell r="I3087" t="str">
            <v/>
          </cell>
          <cell r="J3087" t="str">
            <v/>
          </cell>
          <cell r="K3087" t="str">
            <v/>
          </cell>
          <cell r="L3087" t="str">
            <v/>
          </cell>
          <cell r="M3087" t="str">
            <v/>
          </cell>
        </row>
        <row r="3088">
          <cell r="A3088">
            <v>31102192</v>
          </cell>
          <cell r="C3088">
            <v>31102192</v>
          </cell>
          <cell r="D3088">
            <v>31102192</v>
          </cell>
          <cell r="E3088">
            <v>31102192</v>
          </cell>
          <cell r="F3088">
            <v>31102192</v>
          </cell>
          <cell r="G3088">
            <v>31102192</v>
          </cell>
          <cell r="H3088">
            <v>31102192</v>
          </cell>
          <cell r="I3088" t="str">
            <v/>
          </cell>
          <cell r="J3088" t="str">
            <v/>
          </cell>
          <cell r="K3088" t="str">
            <v/>
          </cell>
          <cell r="L3088" t="str">
            <v/>
          </cell>
          <cell r="M3088" t="str">
            <v/>
          </cell>
        </row>
        <row r="3089">
          <cell r="A3089">
            <v>31102192</v>
          </cell>
          <cell r="C3089">
            <v>31102192</v>
          </cell>
          <cell r="D3089">
            <v>31102192</v>
          </cell>
          <cell r="E3089">
            <v>31102192</v>
          </cell>
          <cell r="F3089">
            <v>31102192</v>
          </cell>
          <cell r="G3089">
            <v>31102192</v>
          </cell>
          <cell r="H3089">
            <v>31102192</v>
          </cell>
          <cell r="I3089" t="str">
            <v/>
          </cell>
          <cell r="J3089" t="str">
            <v/>
          </cell>
          <cell r="K3089" t="str">
            <v/>
          </cell>
          <cell r="L3089" t="str">
            <v/>
          </cell>
          <cell r="M3089" t="str">
            <v/>
          </cell>
        </row>
        <row r="3090">
          <cell r="A3090">
            <v>31102192</v>
          </cell>
          <cell r="C3090">
            <v>31102192</v>
          </cell>
          <cell r="D3090">
            <v>31102192</v>
          </cell>
          <cell r="E3090">
            <v>31102192</v>
          </cell>
          <cell r="F3090">
            <v>31102192</v>
          </cell>
          <cell r="G3090">
            <v>31102192</v>
          </cell>
          <cell r="H3090">
            <v>31102192</v>
          </cell>
          <cell r="I3090" t="str">
            <v/>
          </cell>
          <cell r="J3090" t="str">
            <v/>
          </cell>
          <cell r="K3090" t="str">
            <v/>
          </cell>
          <cell r="L3090" t="str">
            <v/>
          </cell>
          <cell r="M3090" t="str">
            <v/>
          </cell>
        </row>
        <row r="3091">
          <cell r="A3091">
            <v>31102192</v>
          </cell>
          <cell r="C3091">
            <v>31102192</v>
          </cell>
          <cell r="D3091">
            <v>31102192</v>
          </cell>
          <cell r="E3091">
            <v>31102192</v>
          </cell>
          <cell r="F3091">
            <v>31102192</v>
          </cell>
          <cell r="G3091">
            <v>31102192</v>
          </cell>
          <cell r="H3091">
            <v>31102192</v>
          </cell>
          <cell r="I3091" t="str">
            <v/>
          </cell>
          <cell r="J3091" t="str">
            <v/>
          </cell>
          <cell r="K3091" t="str">
            <v/>
          </cell>
          <cell r="L3091" t="str">
            <v/>
          </cell>
          <cell r="M3091" t="str">
            <v/>
          </cell>
        </row>
        <row r="3092">
          <cell r="A3092">
            <v>31102192</v>
          </cell>
          <cell r="C3092">
            <v>31102192</v>
          </cell>
          <cell r="D3092">
            <v>31102192</v>
          </cell>
          <cell r="E3092">
            <v>31102192</v>
          </cell>
          <cell r="F3092">
            <v>31102192</v>
          </cell>
          <cell r="G3092">
            <v>31102192</v>
          </cell>
          <cell r="H3092">
            <v>31102192</v>
          </cell>
          <cell r="I3092" t="str">
            <v/>
          </cell>
          <cell r="J3092" t="str">
            <v/>
          </cell>
          <cell r="K3092" t="str">
            <v/>
          </cell>
          <cell r="L3092" t="str">
            <v/>
          </cell>
          <cell r="M3092" t="str">
            <v/>
          </cell>
        </row>
        <row r="3093">
          <cell r="A3093">
            <v>31102192</v>
          </cell>
          <cell r="C3093">
            <v>31102192</v>
          </cell>
          <cell r="D3093">
            <v>31102192</v>
          </cell>
          <cell r="E3093">
            <v>31102192</v>
          </cell>
          <cell r="F3093">
            <v>31102192</v>
          </cell>
          <cell r="G3093">
            <v>31102192</v>
          </cell>
          <cell r="H3093">
            <v>31102192</v>
          </cell>
          <cell r="I3093" t="str">
            <v/>
          </cell>
          <cell r="J3093" t="str">
            <v/>
          </cell>
          <cell r="K3093" t="str">
            <v/>
          </cell>
          <cell r="L3093" t="str">
            <v/>
          </cell>
          <cell r="M3093" t="str">
            <v/>
          </cell>
        </row>
        <row r="3094">
          <cell r="A3094">
            <v>31102192</v>
          </cell>
          <cell r="C3094">
            <v>31102192</v>
          </cell>
          <cell r="D3094">
            <v>31102192</v>
          </cell>
          <cell r="E3094">
            <v>31102192</v>
          </cell>
          <cell r="F3094">
            <v>31102192</v>
          </cell>
          <cell r="G3094">
            <v>31102192</v>
          </cell>
          <cell r="H3094">
            <v>31102192</v>
          </cell>
          <cell r="I3094" t="str">
            <v/>
          </cell>
          <cell r="J3094" t="str">
            <v/>
          </cell>
          <cell r="K3094" t="str">
            <v/>
          </cell>
          <cell r="L3094" t="str">
            <v/>
          </cell>
          <cell r="M3094" t="str">
            <v/>
          </cell>
        </row>
        <row r="3095">
          <cell r="A3095">
            <v>31102192</v>
          </cell>
          <cell r="C3095">
            <v>31102192</v>
          </cell>
          <cell r="D3095">
            <v>31102192</v>
          </cell>
          <cell r="E3095">
            <v>31102192</v>
          </cell>
          <cell r="F3095">
            <v>31102192</v>
          </cell>
          <cell r="G3095">
            <v>31102192</v>
          </cell>
          <cell r="H3095">
            <v>31102192</v>
          </cell>
          <cell r="I3095" t="str">
            <v/>
          </cell>
          <cell r="J3095" t="str">
            <v/>
          </cell>
          <cell r="K3095" t="str">
            <v/>
          </cell>
          <cell r="L3095" t="str">
            <v/>
          </cell>
          <cell r="M3095" t="str">
            <v/>
          </cell>
        </row>
        <row r="3096">
          <cell r="A3096">
            <v>31102192</v>
          </cell>
          <cell r="C3096">
            <v>31102192</v>
          </cell>
          <cell r="D3096">
            <v>31102192</v>
          </cell>
          <cell r="E3096">
            <v>31102192</v>
          </cell>
          <cell r="F3096">
            <v>31102192</v>
          </cell>
          <cell r="G3096">
            <v>31102192</v>
          </cell>
          <cell r="H3096">
            <v>31102192</v>
          </cell>
          <cell r="I3096" t="str">
            <v/>
          </cell>
          <cell r="J3096" t="str">
            <v/>
          </cell>
          <cell r="K3096" t="str">
            <v/>
          </cell>
          <cell r="L3096" t="str">
            <v/>
          </cell>
          <cell r="M3096" t="str">
            <v/>
          </cell>
        </row>
        <row r="3097">
          <cell r="A3097">
            <v>31102192</v>
          </cell>
          <cell r="C3097">
            <v>31102192</v>
          </cell>
          <cell r="D3097">
            <v>31102192</v>
          </cell>
          <cell r="E3097">
            <v>31102192</v>
          </cell>
          <cell r="F3097">
            <v>31102192</v>
          </cell>
          <cell r="G3097">
            <v>31102192</v>
          </cell>
          <cell r="H3097">
            <v>31102192</v>
          </cell>
          <cell r="I3097" t="str">
            <v/>
          </cell>
          <cell r="J3097" t="str">
            <v/>
          </cell>
          <cell r="K3097" t="str">
            <v/>
          </cell>
          <cell r="L3097" t="str">
            <v/>
          </cell>
          <cell r="M3097" t="str">
            <v/>
          </cell>
        </row>
        <row r="3098">
          <cell r="A3098">
            <v>31102192</v>
          </cell>
          <cell r="C3098">
            <v>31102192</v>
          </cell>
          <cell r="D3098">
            <v>31102192</v>
          </cell>
          <cell r="E3098">
            <v>31102192</v>
          </cell>
          <cell r="F3098">
            <v>31102192</v>
          </cell>
          <cell r="G3098">
            <v>31102192</v>
          </cell>
          <cell r="H3098">
            <v>31102192</v>
          </cell>
          <cell r="I3098" t="str">
            <v/>
          </cell>
          <cell r="J3098" t="str">
            <v/>
          </cell>
          <cell r="K3098" t="str">
            <v/>
          </cell>
          <cell r="L3098" t="str">
            <v/>
          </cell>
          <cell r="M3098" t="str">
            <v/>
          </cell>
        </row>
        <row r="3099">
          <cell r="A3099">
            <v>31102192</v>
          </cell>
          <cell r="C3099">
            <v>31102192</v>
          </cell>
          <cell r="D3099">
            <v>31102192</v>
          </cell>
          <cell r="E3099">
            <v>31102192</v>
          </cell>
          <cell r="F3099">
            <v>31102192</v>
          </cell>
          <cell r="G3099">
            <v>31102192</v>
          </cell>
          <cell r="H3099">
            <v>31102192</v>
          </cell>
          <cell r="I3099" t="str">
            <v/>
          </cell>
          <cell r="J3099" t="str">
            <v/>
          </cell>
          <cell r="K3099" t="str">
            <v/>
          </cell>
          <cell r="L3099" t="str">
            <v/>
          </cell>
          <cell r="M3099" t="str">
            <v/>
          </cell>
        </row>
        <row r="3100">
          <cell r="A3100">
            <v>31102192</v>
          </cell>
          <cell r="C3100">
            <v>31102192</v>
          </cell>
          <cell r="D3100">
            <v>31102192</v>
          </cell>
          <cell r="E3100">
            <v>31102192</v>
          </cell>
          <cell r="F3100">
            <v>31102192</v>
          </cell>
          <cell r="G3100">
            <v>31102192</v>
          </cell>
          <cell r="H3100">
            <v>31102192</v>
          </cell>
          <cell r="I3100" t="str">
            <v/>
          </cell>
          <cell r="J3100" t="str">
            <v/>
          </cell>
          <cell r="K3100" t="str">
            <v/>
          </cell>
          <cell r="L3100" t="str">
            <v/>
          </cell>
          <cell r="M3100" t="str">
            <v/>
          </cell>
        </row>
        <row r="3101">
          <cell r="A3101">
            <v>31102192</v>
          </cell>
          <cell r="C3101">
            <v>31102192</v>
          </cell>
          <cell r="D3101">
            <v>31102192</v>
          </cell>
          <cell r="E3101">
            <v>31102192</v>
          </cell>
          <cell r="F3101">
            <v>31102192</v>
          </cell>
          <cell r="G3101">
            <v>31102192</v>
          </cell>
          <cell r="H3101">
            <v>31102192</v>
          </cell>
          <cell r="I3101" t="str">
            <v/>
          </cell>
          <cell r="J3101" t="str">
            <v/>
          </cell>
          <cell r="K3101" t="str">
            <v/>
          </cell>
          <cell r="L3101" t="str">
            <v/>
          </cell>
          <cell r="M3101" t="str">
            <v/>
          </cell>
        </row>
        <row r="3102">
          <cell r="A3102">
            <v>31102192</v>
          </cell>
          <cell r="C3102">
            <v>31102192</v>
          </cell>
          <cell r="D3102">
            <v>31102192</v>
          </cell>
          <cell r="E3102">
            <v>31102192</v>
          </cell>
          <cell r="F3102">
            <v>31102192</v>
          </cell>
          <cell r="G3102">
            <v>31102192</v>
          </cell>
          <cell r="H3102">
            <v>31102192</v>
          </cell>
          <cell r="I3102" t="str">
            <v/>
          </cell>
          <cell r="J3102" t="str">
            <v/>
          </cell>
          <cell r="K3102" t="str">
            <v/>
          </cell>
          <cell r="L3102" t="str">
            <v/>
          </cell>
          <cell r="M3102" t="str">
            <v/>
          </cell>
        </row>
        <row r="3103">
          <cell r="A3103">
            <v>31102192</v>
          </cell>
          <cell r="C3103">
            <v>31102192</v>
          </cell>
          <cell r="D3103">
            <v>31102192</v>
          </cell>
          <cell r="E3103">
            <v>31102192</v>
          </cell>
          <cell r="F3103">
            <v>31102192</v>
          </cell>
          <cell r="G3103">
            <v>31102192</v>
          </cell>
          <cell r="H3103">
            <v>31102192</v>
          </cell>
          <cell r="I3103" t="str">
            <v/>
          </cell>
          <cell r="J3103" t="str">
            <v/>
          </cell>
          <cell r="K3103" t="str">
            <v/>
          </cell>
          <cell r="L3103" t="str">
            <v/>
          </cell>
          <cell r="M3103" t="str">
            <v/>
          </cell>
        </row>
        <row r="3104">
          <cell r="A3104">
            <v>31102192</v>
          </cell>
          <cell r="C3104">
            <v>31102192</v>
          </cell>
          <cell r="D3104">
            <v>31102192</v>
          </cell>
          <cell r="E3104">
            <v>31102192</v>
          </cell>
          <cell r="F3104">
            <v>31102192</v>
          </cell>
          <cell r="G3104">
            <v>31102192</v>
          </cell>
          <cell r="H3104">
            <v>31102192</v>
          </cell>
          <cell r="I3104" t="str">
            <v/>
          </cell>
          <cell r="J3104" t="str">
            <v/>
          </cell>
          <cell r="K3104" t="str">
            <v/>
          </cell>
          <cell r="L3104" t="str">
            <v/>
          </cell>
          <cell r="M3104" t="str">
            <v/>
          </cell>
        </row>
        <row r="3105">
          <cell r="A3105">
            <v>31102192</v>
          </cell>
          <cell r="C3105">
            <v>31102192</v>
          </cell>
          <cell r="D3105">
            <v>31102192</v>
          </cell>
          <cell r="E3105">
            <v>31102192</v>
          </cell>
          <cell r="F3105">
            <v>31102192</v>
          </cell>
          <cell r="G3105">
            <v>31102192</v>
          </cell>
          <cell r="H3105">
            <v>31102192</v>
          </cell>
          <cell r="I3105" t="str">
            <v/>
          </cell>
          <cell r="J3105" t="str">
            <v/>
          </cell>
          <cell r="K3105" t="str">
            <v/>
          </cell>
          <cell r="L3105" t="str">
            <v/>
          </cell>
          <cell r="M3105" t="str">
            <v/>
          </cell>
        </row>
        <row r="3106">
          <cell r="A3106">
            <v>31102192</v>
          </cell>
          <cell r="C3106">
            <v>31102192</v>
          </cell>
          <cell r="D3106">
            <v>31102192</v>
          </cell>
          <cell r="E3106">
            <v>31102192</v>
          </cell>
          <cell r="F3106">
            <v>31102192</v>
          </cell>
          <cell r="G3106">
            <v>31102192</v>
          </cell>
          <cell r="H3106">
            <v>31102192</v>
          </cell>
          <cell r="I3106" t="str">
            <v/>
          </cell>
          <cell r="J3106" t="str">
            <v/>
          </cell>
          <cell r="K3106" t="str">
            <v/>
          </cell>
          <cell r="L3106" t="str">
            <v/>
          </cell>
          <cell r="M3106" t="str">
            <v/>
          </cell>
        </row>
        <row r="3107">
          <cell r="A3107">
            <v>31102192</v>
          </cell>
          <cell r="C3107">
            <v>31102192</v>
          </cell>
          <cell r="D3107">
            <v>31102192</v>
          </cell>
          <cell r="E3107">
            <v>31102192</v>
          </cell>
          <cell r="F3107">
            <v>31102192</v>
          </cell>
          <cell r="G3107">
            <v>31102192</v>
          </cell>
          <cell r="H3107">
            <v>31102192</v>
          </cell>
          <cell r="I3107" t="str">
            <v/>
          </cell>
          <cell r="J3107" t="str">
            <v/>
          </cell>
          <cell r="K3107" t="str">
            <v/>
          </cell>
          <cell r="L3107" t="str">
            <v/>
          </cell>
          <cell r="M3107" t="str">
            <v/>
          </cell>
        </row>
        <row r="3108">
          <cell r="A3108">
            <v>31102192</v>
          </cell>
          <cell r="C3108">
            <v>31102192</v>
          </cell>
          <cell r="D3108">
            <v>31102192</v>
          </cell>
          <cell r="E3108">
            <v>31102192</v>
          </cell>
          <cell r="F3108">
            <v>31102192</v>
          </cell>
          <cell r="G3108">
            <v>31102192</v>
          </cell>
          <cell r="H3108">
            <v>31102192</v>
          </cell>
          <cell r="I3108" t="str">
            <v/>
          </cell>
          <cell r="J3108" t="str">
            <v/>
          </cell>
          <cell r="K3108" t="str">
            <v/>
          </cell>
          <cell r="L3108" t="str">
            <v/>
          </cell>
          <cell r="M3108" t="str">
            <v/>
          </cell>
        </row>
        <row r="3109">
          <cell r="A3109">
            <v>31102192</v>
          </cell>
          <cell r="C3109">
            <v>31102192</v>
          </cell>
          <cell r="D3109">
            <v>31102192</v>
          </cell>
          <cell r="E3109">
            <v>31102192</v>
          </cell>
          <cell r="F3109">
            <v>31102192</v>
          </cell>
          <cell r="G3109">
            <v>31102192</v>
          </cell>
          <cell r="H3109">
            <v>31102192</v>
          </cell>
          <cell r="I3109" t="str">
            <v/>
          </cell>
          <cell r="J3109" t="str">
            <v/>
          </cell>
          <cell r="K3109" t="str">
            <v/>
          </cell>
          <cell r="L3109" t="str">
            <v/>
          </cell>
          <cell r="M3109" t="str">
            <v/>
          </cell>
        </row>
        <row r="3110">
          <cell r="A3110">
            <v>31102192</v>
          </cell>
          <cell r="C3110">
            <v>31102192</v>
          </cell>
          <cell r="D3110">
            <v>31102192</v>
          </cell>
          <cell r="E3110">
            <v>31102192</v>
          </cell>
          <cell r="F3110">
            <v>31102192</v>
          </cell>
          <cell r="G3110">
            <v>31102192</v>
          </cell>
          <cell r="H3110">
            <v>31102192</v>
          </cell>
          <cell r="I3110" t="str">
            <v/>
          </cell>
          <cell r="J3110" t="str">
            <v/>
          </cell>
          <cell r="K3110" t="str">
            <v/>
          </cell>
          <cell r="L3110" t="str">
            <v/>
          </cell>
          <cell r="M3110" t="str">
            <v/>
          </cell>
        </row>
        <row r="3111">
          <cell r="A3111">
            <v>31102192</v>
          </cell>
          <cell r="C3111">
            <v>31102192</v>
          </cell>
          <cell r="D3111">
            <v>31102192</v>
          </cell>
          <cell r="E3111">
            <v>31102192</v>
          </cell>
          <cell r="F3111">
            <v>31102192</v>
          </cell>
          <cell r="G3111">
            <v>31102192</v>
          </cell>
          <cell r="H3111">
            <v>31102192</v>
          </cell>
          <cell r="I3111" t="str">
            <v/>
          </cell>
          <cell r="J3111" t="str">
            <v/>
          </cell>
          <cell r="K3111" t="str">
            <v/>
          </cell>
          <cell r="L3111" t="str">
            <v/>
          </cell>
          <cell r="M3111" t="str">
            <v/>
          </cell>
        </row>
        <row r="3112">
          <cell r="A3112">
            <v>31102192</v>
          </cell>
          <cell r="C3112">
            <v>31102192</v>
          </cell>
          <cell r="D3112">
            <v>31102192</v>
          </cell>
          <cell r="E3112">
            <v>31102192</v>
          </cell>
          <cell r="F3112">
            <v>31102192</v>
          </cell>
          <cell r="G3112">
            <v>31102192</v>
          </cell>
          <cell r="H3112">
            <v>31102192</v>
          </cell>
          <cell r="I3112" t="str">
            <v/>
          </cell>
          <cell r="J3112" t="str">
            <v/>
          </cell>
          <cell r="K3112" t="str">
            <v/>
          </cell>
          <cell r="L3112" t="str">
            <v/>
          </cell>
          <cell r="M3112" t="str">
            <v/>
          </cell>
        </row>
        <row r="3113">
          <cell r="A3113">
            <v>31102192</v>
          </cell>
          <cell r="C3113">
            <v>31102192</v>
          </cell>
          <cell r="D3113">
            <v>31102192</v>
          </cell>
          <cell r="E3113">
            <v>31102192</v>
          </cell>
          <cell r="F3113">
            <v>31102192</v>
          </cell>
          <cell r="G3113">
            <v>31102192</v>
          </cell>
          <cell r="H3113">
            <v>31102192</v>
          </cell>
          <cell r="I3113" t="str">
            <v/>
          </cell>
          <cell r="J3113" t="str">
            <v/>
          </cell>
          <cell r="K3113" t="str">
            <v/>
          </cell>
          <cell r="L3113" t="str">
            <v/>
          </cell>
          <cell r="M3113" t="str">
            <v/>
          </cell>
        </row>
        <row r="3114">
          <cell r="A3114">
            <v>31102192</v>
          </cell>
          <cell r="C3114">
            <v>31102192</v>
          </cell>
          <cell r="D3114">
            <v>31102192</v>
          </cell>
          <cell r="E3114">
            <v>31102192</v>
          </cell>
          <cell r="F3114">
            <v>31102192</v>
          </cell>
          <cell r="G3114">
            <v>31102192</v>
          </cell>
          <cell r="H3114">
            <v>31102192</v>
          </cell>
          <cell r="I3114" t="str">
            <v/>
          </cell>
          <cell r="J3114" t="str">
            <v/>
          </cell>
          <cell r="K3114" t="str">
            <v/>
          </cell>
          <cell r="L3114" t="str">
            <v/>
          </cell>
          <cell r="M3114" t="str">
            <v/>
          </cell>
        </row>
        <row r="3115">
          <cell r="A3115">
            <v>31102192</v>
          </cell>
          <cell r="C3115">
            <v>31102192</v>
          </cell>
          <cell r="D3115">
            <v>31102192</v>
          </cell>
          <cell r="E3115">
            <v>31102192</v>
          </cell>
          <cell r="F3115">
            <v>31102192</v>
          </cell>
          <cell r="G3115">
            <v>31102192</v>
          </cell>
          <cell r="H3115">
            <v>31102192</v>
          </cell>
          <cell r="I3115" t="str">
            <v/>
          </cell>
          <cell r="J3115" t="str">
            <v/>
          </cell>
          <cell r="K3115" t="str">
            <v/>
          </cell>
          <cell r="L3115" t="str">
            <v/>
          </cell>
          <cell r="M3115" t="str">
            <v/>
          </cell>
        </row>
        <row r="3116">
          <cell r="A3116">
            <v>31102192</v>
          </cell>
          <cell r="C3116">
            <v>31102192</v>
          </cell>
          <cell r="D3116">
            <v>31102192</v>
          </cell>
          <cell r="E3116">
            <v>31102192</v>
          </cell>
          <cell r="F3116">
            <v>31102192</v>
          </cell>
          <cell r="G3116">
            <v>31102192</v>
          </cell>
          <cell r="H3116">
            <v>31102192</v>
          </cell>
          <cell r="I3116" t="str">
            <v/>
          </cell>
          <cell r="J3116" t="str">
            <v/>
          </cell>
          <cell r="K3116" t="str">
            <v/>
          </cell>
          <cell r="L3116" t="str">
            <v/>
          </cell>
          <cell r="M3116" t="str">
            <v/>
          </cell>
        </row>
        <row r="3117">
          <cell r="A3117">
            <v>31102192</v>
          </cell>
          <cell r="C3117">
            <v>31102192</v>
          </cell>
          <cell r="D3117">
            <v>31102192</v>
          </cell>
          <cell r="E3117">
            <v>31102192</v>
          </cell>
          <cell r="F3117">
            <v>31102192</v>
          </cell>
          <cell r="G3117">
            <v>31102192</v>
          </cell>
          <cell r="H3117">
            <v>31102192</v>
          </cell>
          <cell r="I3117" t="str">
            <v/>
          </cell>
          <cell r="J3117" t="str">
            <v/>
          </cell>
          <cell r="K3117" t="str">
            <v/>
          </cell>
          <cell r="L3117" t="str">
            <v/>
          </cell>
          <cell r="M3117" t="str">
            <v/>
          </cell>
        </row>
        <row r="3118">
          <cell r="A3118">
            <v>31102192</v>
          </cell>
          <cell r="C3118">
            <v>31102192</v>
          </cell>
          <cell r="D3118">
            <v>31102192</v>
          </cell>
          <cell r="E3118">
            <v>31102192</v>
          </cell>
          <cell r="F3118">
            <v>31102192</v>
          </cell>
          <cell r="G3118">
            <v>31102192</v>
          </cell>
          <cell r="H3118">
            <v>31102192</v>
          </cell>
          <cell r="I3118" t="str">
            <v/>
          </cell>
          <cell r="J3118" t="str">
            <v/>
          </cell>
          <cell r="K3118" t="str">
            <v/>
          </cell>
          <cell r="L3118" t="str">
            <v/>
          </cell>
          <cell r="M3118" t="str">
            <v/>
          </cell>
        </row>
        <row r="3119">
          <cell r="A3119">
            <v>31102192</v>
          </cell>
          <cell r="C3119">
            <v>31102192</v>
          </cell>
          <cell r="D3119">
            <v>31102192</v>
          </cell>
          <cell r="E3119">
            <v>31102192</v>
          </cell>
          <cell r="F3119">
            <v>31102192</v>
          </cell>
          <cell r="G3119">
            <v>31102192</v>
          </cell>
          <cell r="H3119">
            <v>31102192</v>
          </cell>
          <cell r="I3119" t="str">
            <v/>
          </cell>
          <cell r="J3119" t="str">
            <v/>
          </cell>
          <cell r="K3119" t="str">
            <v/>
          </cell>
          <cell r="L3119" t="str">
            <v/>
          </cell>
          <cell r="M3119" t="str">
            <v/>
          </cell>
        </row>
        <row r="3120">
          <cell r="A3120">
            <v>31102192</v>
          </cell>
          <cell r="C3120">
            <v>31102192</v>
          </cell>
          <cell r="D3120">
            <v>31102192</v>
          </cell>
          <cell r="E3120">
            <v>31102192</v>
          </cell>
          <cell r="F3120">
            <v>31102192</v>
          </cell>
          <cell r="G3120">
            <v>31102192</v>
          </cell>
          <cell r="H3120">
            <v>31102192</v>
          </cell>
          <cell r="I3120" t="str">
            <v/>
          </cell>
          <cell r="J3120" t="str">
            <v/>
          </cell>
          <cell r="K3120" t="str">
            <v/>
          </cell>
          <cell r="L3120" t="str">
            <v/>
          </cell>
          <cell r="M3120" t="str">
            <v/>
          </cell>
        </row>
        <row r="3121">
          <cell r="A3121">
            <v>31102192</v>
          </cell>
          <cell r="C3121">
            <v>31102192</v>
          </cell>
          <cell r="D3121">
            <v>31102192</v>
          </cell>
          <cell r="E3121">
            <v>31102192</v>
          </cell>
          <cell r="F3121">
            <v>31102192</v>
          </cell>
          <cell r="G3121">
            <v>31102192</v>
          </cell>
          <cell r="H3121">
            <v>31102192</v>
          </cell>
          <cell r="I3121" t="str">
            <v/>
          </cell>
          <cell r="J3121" t="str">
            <v/>
          </cell>
          <cell r="K3121" t="str">
            <v/>
          </cell>
          <cell r="L3121" t="str">
            <v/>
          </cell>
          <cell r="M3121" t="str">
            <v/>
          </cell>
        </row>
        <row r="3122">
          <cell r="A3122">
            <v>31102192</v>
          </cell>
          <cell r="C3122">
            <v>31102192</v>
          </cell>
          <cell r="D3122">
            <v>31102192</v>
          </cell>
          <cell r="E3122">
            <v>31102192</v>
          </cell>
          <cell r="F3122">
            <v>31102192</v>
          </cell>
          <cell r="G3122">
            <v>31102192</v>
          </cell>
          <cell r="H3122">
            <v>31102192</v>
          </cell>
          <cell r="I3122" t="str">
            <v/>
          </cell>
          <cell r="J3122" t="str">
            <v/>
          </cell>
          <cell r="K3122" t="str">
            <v/>
          </cell>
          <cell r="L3122" t="str">
            <v/>
          </cell>
          <cell r="M3122" t="str">
            <v/>
          </cell>
        </row>
        <row r="3123">
          <cell r="A3123">
            <v>31102192</v>
          </cell>
          <cell r="C3123">
            <v>31102192</v>
          </cell>
          <cell r="D3123">
            <v>31102192</v>
          </cell>
          <cell r="E3123">
            <v>31102192</v>
          </cell>
          <cell r="F3123">
            <v>31102192</v>
          </cell>
          <cell r="G3123">
            <v>31102192</v>
          </cell>
          <cell r="H3123">
            <v>31102192</v>
          </cell>
          <cell r="I3123" t="str">
            <v/>
          </cell>
          <cell r="J3123" t="str">
            <v/>
          </cell>
          <cell r="K3123" t="str">
            <v/>
          </cell>
          <cell r="L3123" t="str">
            <v/>
          </cell>
          <cell r="M3123" t="str">
            <v/>
          </cell>
        </row>
        <row r="3124">
          <cell r="A3124">
            <v>31102192</v>
          </cell>
          <cell r="C3124">
            <v>31102192</v>
          </cell>
          <cell r="D3124">
            <v>31102192</v>
          </cell>
          <cell r="E3124">
            <v>31102192</v>
          </cell>
          <cell r="F3124">
            <v>31102192</v>
          </cell>
          <cell r="G3124">
            <v>31102192</v>
          </cell>
          <cell r="H3124">
            <v>31102192</v>
          </cell>
          <cell r="I3124" t="str">
            <v/>
          </cell>
          <cell r="J3124" t="str">
            <v/>
          </cell>
          <cell r="K3124" t="str">
            <v/>
          </cell>
          <cell r="L3124" t="str">
            <v/>
          </cell>
          <cell r="M3124" t="str">
            <v/>
          </cell>
        </row>
        <row r="3125">
          <cell r="A3125">
            <v>31102192</v>
          </cell>
          <cell r="C3125">
            <v>31102192</v>
          </cell>
          <cell r="D3125">
            <v>31102192</v>
          </cell>
          <cell r="E3125">
            <v>31102192</v>
          </cell>
          <cell r="F3125">
            <v>31102192</v>
          </cell>
          <cell r="G3125">
            <v>31102192</v>
          </cell>
          <cell r="H3125">
            <v>31102192</v>
          </cell>
          <cell r="I3125" t="str">
            <v/>
          </cell>
          <cell r="J3125" t="str">
            <v/>
          </cell>
          <cell r="K3125" t="str">
            <v/>
          </cell>
          <cell r="L3125" t="str">
            <v/>
          </cell>
          <cell r="M3125" t="str">
            <v/>
          </cell>
        </row>
        <row r="3126">
          <cell r="A3126">
            <v>31102192</v>
          </cell>
          <cell r="C3126">
            <v>31102192</v>
          </cell>
          <cell r="D3126">
            <v>31102192</v>
          </cell>
          <cell r="E3126">
            <v>31102192</v>
          </cell>
          <cell r="F3126">
            <v>31102192</v>
          </cell>
          <cell r="G3126">
            <v>31102192</v>
          </cell>
          <cell r="H3126">
            <v>31102192</v>
          </cell>
          <cell r="I3126" t="str">
            <v/>
          </cell>
          <cell r="J3126" t="str">
            <v/>
          </cell>
          <cell r="K3126" t="str">
            <v/>
          </cell>
          <cell r="L3126" t="str">
            <v/>
          </cell>
          <cell r="M3126" t="str">
            <v/>
          </cell>
        </row>
        <row r="3127">
          <cell r="A3127">
            <v>31102192</v>
          </cell>
          <cell r="C3127">
            <v>31102192</v>
          </cell>
          <cell r="D3127">
            <v>31102192</v>
          </cell>
          <cell r="E3127">
            <v>31102192</v>
          </cell>
          <cell r="F3127">
            <v>31102192</v>
          </cell>
          <cell r="G3127">
            <v>31102192</v>
          </cell>
          <cell r="H3127">
            <v>31102192</v>
          </cell>
          <cell r="I3127" t="str">
            <v/>
          </cell>
          <cell r="J3127" t="str">
            <v/>
          </cell>
          <cell r="K3127" t="str">
            <v/>
          </cell>
          <cell r="L3127" t="str">
            <v/>
          </cell>
          <cell r="M3127" t="str">
            <v/>
          </cell>
        </row>
        <row r="3128">
          <cell r="A3128">
            <v>31102192</v>
          </cell>
          <cell r="C3128">
            <v>31102192</v>
          </cell>
          <cell r="D3128">
            <v>31102192</v>
          </cell>
          <cell r="E3128">
            <v>31102192</v>
          </cell>
          <cell r="F3128">
            <v>31102192</v>
          </cell>
          <cell r="G3128">
            <v>31102192</v>
          </cell>
          <cell r="H3128">
            <v>31102192</v>
          </cell>
          <cell r="I3128" t="str">
            <v/>
          </cell>
          <cell r="J3128" t="str">
            <v/>
          </cell>
          <cell r="K3128" t="str">
            <v/>
          </cell>
          <cell r="L3128" t="str">
            <v/>
          </cell>
          <cell r="M3128" t="str">
            <v/>
          </cell>
        </row>
        <row r="3129">
          <cell r="A3129">
            <v>31102192</v>
          </cell>
          <cell r="C3129">
            <v>31102192</v>
          </cell>
          <cell r="D3129">
            <v>31102192</v>
          </cell>
          <cell r="E3129">
            <v>31102192</v>
          </cell>
          <cell r="F3129">
            <v>31102192</v>
          </cell>
          <cell r="G3129">
            <v>31102192</v>
          </cell>
          <cell r="H3129">
            <v>31102192</v>
          </cell>
          <cell r="I3129" t="str">
            <v/>
          </cell>
          <cell r="J3129" t="str">
            <v/>
          </cell>
          <cell r="K3129" t="str">
            <v/>
          </cell>
          <cell r="L3129" t="str">
            <v/>
          </cell>
          <cell r="M3129" t="str">
            <v/>
          </cell>
        </row>
        <row r="3130">
          <cell r="A3130">
            <v>31102192</v>
          </cell>
          <cell r="C3130">
            <v>31102192</v>
          </cell>
          <cell r="D3130">
            <v>31102192</v>
          </cell>
          <cell r="E3130">
            <v>31102192</v>
          </cell>
          <cell r="F3130">
            <v>31102192</v>
          </cell>
          <cell r="G3130">
            <v>31102192</v>
          </cell>
          <cell r="H3130">
            <v>31102192</v>
          </cell>
          <cell r="I3130" t="str">
            <v/>
          </cell>
          <cell r="J3130" t="str">
            <v/>
          </cell>
          <cell r="K3130" t="str">
            <v/>
          </cell>
          <cell r="L3130" t="str">
            <v/>
          </cell>
          <cell r="M3130" t="str">
            <v/>
          </cell>
        </row>
        <row r="3131">
          <cell r="A3131">
            <v>31102192</v>
          </cell>
          <cell r="C3131">
            <v>31102192</v>
          </cell>
          <cell r="D3131">
            <v>31102192</v>
          </cell>
          <cell r="E3131">
            <v>31102192</v>
          </cell>
          <cell r="F3131">
            <v>31102192</v>
          </cell>
          <cell r="G3131">
            <v>31102192</v>
          </cell>
          <cell r="H3131">
            <v>31102192</v>
          </cell>
          <cell r="I3131" t="str">
            <v/>
          </cell>
          <cell r="J3131" t="str">
            <v/>
          </cell>
          <cell r="K3131" t="str">
            <v/>
          </cell>
          <cell r="L3131" t="str">
            <v/>
          </cell>
          <cell r="M3131" t="str">
            <v/>
          </cell>
        </row>
        <row r="3132">
          <cell r="A3132">
            <v>31102192</v>
          </cell>
          <cell r="C3132">
            <v>31102192</v>
          </cell>
          <cell r="D3132">
            <v>31102192</v>
          </cell>
          <cell r="E3132">
            <v>31102192</v>
          </cell>
          <cell r="F3132">
            <v>31102192</v>
          </cell>
          <cell r="G3132">
            <v>31102192</v>
          </cell>
          <cell r="H3132">
            <v>31102192</v>
          </cell>
          <cell r="I3132" t="str">
            <v/>
          </cell>
          <cell r="J3132" t="str">
            <v/>
          </cell>
          <cell r="K3132" t="str">
            <v/>
          </cell>
          <cell r="L3132" t="str">
            <v/>
          </cell>
          <cell r="M3132" t="str">
            <v/>
          </cell>
        </row>
        <row r="3133">
          <cell r="A3133">
            <v>31102192</v>
          </cell>
          <cell r="C3133">
            <v>31102192</v>
          </cell>
          <cell r="D3133">
            <v>31102192</v>
          </cell>
          <cell r="E3133">
            <v>31102192</v>
          </cell>
          <cell r="F3133">
            <v>31102192</v>
          </cell>
          <cell r="G3133">
            <v>31102192</v>
          </cell>
          <cell r="H3133">
            <v>31102192</v>
          </cell>
          <cell r="I3133" t="str">
            <v/>
          </cell>
          <cell r="J3133" t="str">
            <v/>
          </cell>
          <cell r="K3133" t="str">
            <v/>
          </cell>
          <cell r="L3133" t="str">
            <v/>
          </cell>
          <cell r="M3133" t="str">
            <v/>
          </cell>
        </row>
        <row r="3134">
          <cell r="A3134">
            <v>31102192</v>
          </cell>
          <cell r="C3134">
            <v>31102192</v>
          </cell>
          <cell r="D3134">
            <v>31102192</v>
          </cell>
          <cell r="E3134">
            <v>31102192</v>
          </cell>
          <cell r="F3134">
            <v>31102192</v>
          </cell>
          <cell r="G3134">
            <v>31102192</v>
          </cell>
          <cell r="H3134">
            <v>31102192</v>
          </cell>
          <cell r="I3134" t="str">
            <v/>
          </cell>
          <cell r="J3134" t="str">
            <v/>
          </cell>
          <cell r="K3134" t="str">
            <v/>
          </cell>
          <cell r="L3134" t="str">
            <v/>
          </cell>
          <cell r="M3134" t="str">
            <v/>
          </cell>
        </row>
        <row r="3135">
          <cell r="A3135">
            <v>31102192</v>
          </cell>
          <cell r="C3135">
            <v>31102192</v>
          </cell>
          <cell r="D3135">
            <v>31102192</v>
          </cell>
          <cell r="E3135">
            <v>31102192</v>
          </cell>
          <cell r="F3135">
            <v>31102192</v>
          </cell>
          <cell r="G3135">
            <v>31102192</v>
          </cell>
          <cell r="H3135">
            <v>31102192</v>
          </cell>
          <cell r="I3135" t="str">
            <v/>
          </cell>
          <cell r="J3135" t="str">
            <v/>
          </cell>
          <cell r="K3135" t="str">
            <v/>
          </cell>
          <cell r="L3135" t="str">
            <v/>
          </cell>
          <cell r="M3135" t="str">
            <v/>
          </cell>
        </row>
        <row r="3136">
          <cell r="A3136">
            <v>31102192</v>
          </cell>
          <cell r="C3136">
            <v>31102192</v>
          </cell>
          <cell r="D3136">
            <v>31102192</v>
          </cell>
          <cell r="E3136">
            <v>31102192</v>
          </cell>
          <cell r="F3136">
            <v>31102192</v>
          </cell>
          <cell r="G3136">
            <v>31102192</v>
          </cell>
          <cell r="H3136">
            <v>31102192</v>
          </cell>
          <cell r="I3136" t="str">
            <v/>
          </cell>
          <cell r="J3136" t="str">
            <v/>
          </cell>
          <cell r="K3136" t="str">
            <v/>
          </cell>
          <cell r="L3136" t="str">
            <v/>
          </cell>
          <cell r="M3136" t="str">
            <v/>
          </cell>
        </row>
        <row r="3137">
          <cell r="A3137">
            <v>31102192</v>
          </cell>
          <cell r="C3137">
            <v>31102192</v>
          </cell>
          <cell r="D3137">
            <v>31102192</v>
          </cell>
          <cell r="E3137">
            <v>31102192</v>
          </cell>
          <cell r="F3137">
            <v>31102192</v>
          </cell>
          <cell r="G3137">
            <v>31102192</v>
          </cell>
          <cell r="H3137">
            <v>31102192</v>
          </cell>
          <cell r="I3137" t="str">
            <v/>
          </cell>
          <cell r="J3137" t="str">
            <v/>
          </cell>
          <cell r="K3137" t="str">
            <v/>
          </cell>
          <cell r="L3137" t="str">
            <v/>
          </cell>
          <cell r="M3137" t="str">
            <v/>
          </cell>
        </row>
        <row r="3138">
          <cell r="A3138">
            <v>31102192</v>
          </cell>
          <cell r="C3138">
            <v>31102192</v>
          </cell>
          <cell r="D3138">
            <v>31102192</v>
          </cell>
          <cell r="E3138">
            <v>31102192</v>
          </cell>
          <cell r="F3138">
            <v>31102192</v>
          </cell>
          <cell r="G3138">
            <v>31102192</v>
          </cell>
          <cell r="H3138">
            <v>31102192</v>
          </cell>
          <cell r="I3138" t="str">
            <v/>
          </cell>
          <cell r="J3138" t="str">
            <v/>
          </cell>
          <cell r="K3138" t="str">
            <v/>
          </cell>
          <cell r="L3138" t="str">
            <v/>
          </cell>
          <cell r="M3138" t="str">
            <v/>
          </cell>
        </row>
        <row r="3139">
          <cell r="A3139">
            <v>31102192</v>
          </cell>
          <cell r="C3139">
            <v>31102192</v>
          </cell>
          <cell r="D3139">
            <v>31102192</v>
          </cell>
          <cell r="E3139">
            <v>31102192</v>
          </cell>
          <cell r="F3139">
            <v>31102192</v>
          </cell>
          <cell r="G3139">
            <v>31102192</v>
          </cell>
          <cell r="H3139">
            <v>31102192</v>
          </cell>
          <cell r="I3139" t="str">
            <v/>
          </cell>
          <cell r="J3139" t="str">
            <v/>
          </cell>
          <cell r="K3139" t="str">
            <v/>
          </cell>
          <cell r="L3139" t="str">
            <v/>
          </cell>
          <cell r="M3139" t="str">
            <v/>
          </cell>
        </row>
        <row r="3140">
          <cell r="A3140">
            <v>31102192</v>
          </cell>
          <cell r="C3140">
            <v>31102192</v>
          </cell>
          <cell r="D3140">
            <v>31102192</v>
          </cell>
          <cell r="E3140">
            <v>31102192</v>
          </cell>
          <cell r="F3140">
            <v>31102192</v>
          </cell>
          <cell r="G3140">
            <v>31102192</v>
          </cell>
          <cell r="H3140">
            <v>31102192</v>
          </cell>
          <cell r="I3140" t="str">
            <v/>
          </cell>
          <cell r="J3140" t="str">
            <v/>
          </cell>
          <cell r="K3140" t="str">
            <v/>
          </cell>
          <cell r="L3140" t="str">
            <v/>
          </cell>
          <cell r="M3140" t="str">
            <v/>
          </cell>
        </row>
        <row r="3141">
          <cell r="A3141">
            <v>31102192</v>
          </cell>
          <cell r="C3141">
            <v>31102192</v>
          </cell>
          <cell r="D3141">
            <v>31102192</v>
          </cell>
          <cell r="E3141">
            <v>31102192</v>
          </cell>
          <cell r="F3141">
            <v>31102192</v>
          </cell>
          <cell r="G3141">
            <v>31102192</v>
          </cell>
          <cell r="H3141">
            <v>31102192</v>
          </cell>
          <cell r="I3141" t="str">
            <v/>
          </cell>
          <cell r="J3141" t="str">
            <v/>
          </cell>
          <cell r="K3141" t="str">
            <v/>
          </cell>
          <cell r="L3141" t="str">
            <v/>
          </cell>
          <cell r="M3141" t="str">
            <v/>
          </cell>
        </row>
        <row r="3142">
          <cell r="A3142">
            <v>31102192</v>
          </cell>
          <cell r="C3142">
            <v>31102192</v>
          </cell>
          <cell r="D3142">
            <v>31102192</v>
          </cell>
          <cell r="E3142">
            <v>31102192</v>
          </cell>
          <cell r="F3142">
            <v>31102192</v>
          </cell>
          <cell r="G3142">
            <v>31102192</v>
          </cell>
          <cell r="H3142">
            <v>31102192</v>
          </cell>
          <cell r="I3142" t="str">
            <v/>
          </cell>
          <cell r="J3142" t="str">
            <v/>
          </cell>
          <cell r="K3142" t="str">
            <v/>
          </cell>
          <cell r="L3142" t="str">
            <v/>
          </cell>
          <cell r="M3142" t="str">
            <v/>
          </cell>
        </row>
        <row r="3143">
          <cell r="A3143">
            <v>31102192</v>
          </cell>
          <cell r="C3143">
            <v>31102192</v>
          </cell>
          <cell r="D3143">
            <v>31102192</v>
          </cell>
          <cell r="E3143">
            <v>31102192</v>
          </cell>
          <cell r="F3143">
            <v>31102192</v>
          </cell>
          <cell r="G3143">
            <v>31102192</v>
          </cell>
          <cell r="H3143">
            <v>31102192</v>
          </cell>
          <cell r="I3143" t="str">
            <v/>
          </cell>
          <cell r="J3143" t="str">
            <v/>
          </cell>
          <cell r="K3143" t="str">
            <v/>
          </cell>
          <cell r="L3143" t="str">
            <v/>
          </cell>
          <cell r="M3143" t="str">
            <v/>
          </cell>
        </row>
        <row r="3144">
          <cell r="A3144">
            <v>31102192</v>
          </cell>
          <cell r="C3144">
            <v>31102192</v>
          </cell>
          <cell r="D3144">
            <v>31102192</v>
          </cell>
          <cell r="E3144">
            <v>31102192</v>
          </cell>
          <cell r="F3144">
            <v>31102192</v>
          </cell>
          <cell r="G3144">
            <v>31102192</v>
          </cell>
          <cell r="H3144">
            <v>31102192</v>
          </cell>
          <cell r="I3144" t="str">
            <v/>
          </cell>
          <cell r="J3144" t="str">
            <v/>
          </cell>
          <cell r="K3144" t="str">
            <v/>
          </cell>
          <cell r="L3144" t="str">
            <v/>
          </cell>
          <cell r="M3144" t="str">
            <v/>
          </cell>
        </row>
        <row r="3145">
          <cell r="A3145">
            <v>31102192</v>
          </cell>
          <cell r="C3145">
            <v>31102192</v>
          </cell>
          <cell r="D3145">
            <v>31102192</v>
          </cell>
          <cell r="E3145">
            <v>31102192</v>
          </cell>
          <cell r="F3145">
            <v>31102192</v>
          </cell>
          <cell r="G3145">
            <v>31102192</v>
          </cell>
          <cell r="H3145">
            <v>31102192</v>
          </cell>
          <cell r="I3145" t="str">
            <v/>
          </cell>
          <cell r="J3145" t="str">
            <v/>
          </cell>
          <cell r="K3145" t="str">
            <v/>
          </cell>
          <cell r="L3145" t="str">
            <v/>
          </cell>
          <cell r="M3145" t="str">
            <v/>
          </cell>
        </row>
        <row r="3146">
          <cell r="A3146">
            <v>31102192</v>
          </cell>
          <cell r="C3146">
            <v>31102192</v>
          </cell>
          <cell r="D3146">
            <v>31102192</v>
          </cell>
          <cell r="E3146">
            <v>31102192</v>
          </cell>
          <cell r="F3146">
            <v>31102192</v>
          </cell>
          <cell r="G3146">
            <v>31102192</v>
          </cell>
          <cell r="H3146">
            <v>31102192</v>
          </cell>
          <cell r="I3146" t="str">
            <v/>
          </cell>
          <cell r="J3146" t="str">
            <v/>
          </cell>
          <cell r="K3146" t="str">
            <v/>
          </cell>
          <cell r="L3146" t="str">
            <v/>
          </cell>
          <cell r="M3146" t="str">
            <v/>
          </cell>
        </row>
        <row r="3147">
          <cell r="A3147">
            <v>31102192</v>
          </cell>
          <cell r="C3147">
            <v>31102192</v>
          </cell>
          <cell r="D3147">
            <v>31102192</v>
          </cell>
          <cell r="E3147">
            <v>31102192</v>
          </cell>
          <cell r="F3147">
            <v>31102192</v>
          </cell>
          <cell r="G3147">
            <v>31102192</v>
          </cell>
          <cell r="H3147">
            <v>31102192</v>
          </cell>
          <cell r="I3147" t="str">
            <v/>
          </cell>
          <cell r="J3147" t="str">
            <v/>
          </cell>
          <cell r="K3147" t="str">
            <v/>
          </cell>
          <cell r="L3147" t="str">
            <v/>
          </cell>
          <cell r="M3147" t="str">
            <v/>
          </cell>
        </row>
        <row r="3148">
          <cell r="A3148">
            <v>31102192</v>
          </cell>
          <cell r="C3148">
            <v>31102192</v>
          </cell>
          <cell r="D3148">
            <v>31102192</v>
          </cell>
          <cell r="E3148">
            <v>31102192</v>
          </cell>
          <cell r="F3148">
            <v>31102192</v>
          </cell>
          <cell r="G3148">
            <v>31102192</v>
          </cell>
          <cell r="H3148">
            <v>31102192</v>
          </cell>
          <cell r="I3148" t="str">
            <v/>
          </cell>
          <cell r="J3148" t="str">
            <v/>
          </cell>
          <cell r="K3148" t="str">
            <v/>
          </cell>
          <cell r="L3148" t="str">
            <v/>
          </cell>
          <cell r="M3148" t="str">
            <v/>
          </cell>
        </row>
        <row r="3149">
          <cell r="A3149">
            <v>31102192</v>
          </cell>
          <cell r="C3149">
            <v>31102192</v>
          </cell>
          <cell r="D3149">
            <v>31102192</v>
          </cell>
          <cell r="E3149">
            <v>31102192</v>
          </cell>
          <cell r="F3149">
            <v>31102192</v>
          </cell>
          <cell r="G3149">
            <v>31102192</v>
          </cell>
          <cell r="H3149">
            <v>31102192</v>
          </cell>
          <cell r="I3149" t="str">
            <v/>
          </cell>
          <cell r="J3149" t="str">
            <v/>
          </cell>
          <cell r="K3149" t="str">
            <v/>
          </cell>
          <cell r="L3149" t="str">
            <v/>
          </cell>
          <cell r="M3149" t="str">
            <v/>
          </cell>
        </row>
        <row r="3150">
          <cell r="A3150">
            <v>31102192</v>
          </cell>
          <cell r="C3150">
            <v>31102192</v>
          </cell>
          <cell r="D3150">
            <v>31102192</v>
          </cell>
          <cell r="E3150">
            <v>31102192</v>
          </cell>
          <cell r="F3150">
            <v>31102192</v>
          </cell>
          <cell r="G3150">
            <v>31102192</v>
          </cell>
          <cell r="H3150">
            <v>31102192</v>
          </cell>
          <cell r="I3150" t="str">
            <v/>
          </cell>
          <cell r="J3150" t="str">
            <v/>
          </cell>
          <cell r="K3150" t="str">
            <v/>
          </cell>
          <cell r="L3150" t="str">
            <v/>
          </cell>
          <cell r="M3150" t="str">
            <v/>
          </cell>
        </row>
        <row r="3151">
          <cell r="A3151">
            <v>31102192</v>
          </cell>
          <cell r="C3151">
            <v>31102192</v>
          </cell>
          <cell r="D3151">
            <v>31102192</v>
          </cell>
          <cell r="E3151">
            <v>31102192</v>
          </cell>
          <cell r="F3151">
            <v>31102192</v>
          </cell>
          <cell r="G3151">
            <v>31102192</v>
          </cell>
          <cell r="H3151">
            <v>31102192</v>
          </cell>
          <cell r="I3151" t="str">
            <v/>
          </cell>
          <cell r="J3151" t="str">
            <v/>
          </cell>
          <cell r="K3151" t="str">
            <v/>
          </cell>
          <cell r="L3151" t="str">
            <v/>
          </cell>
          <cell r="M3151" t="str">
            <v/>
          </cell>
        </row>
        <row r="3152">
          <cell r="A3152">
            <v>31102192</v>
          </cell>
          <cell r="C3152">
            <v>31102192</v>
          </cell>
          <cell r="D3152">
            <v>31102192</v>
          </cell>
          <cell r="E3152">
            <v>31102192</v>
          </cell>
          <cell r="F3152">
            <v>31102192</v>
          </cell>
          <cell r="G3152">
            <v>31102192</v>
          </cell>
          <cell r="H3152">
            <v>31102192</v>
          </cell>
          <cell r="I3152" t="str">
            <v/>
          </cell>
          <cell r="J3152" t="str">
            <v/>
          </cell>
          <cell r="K3152" t="str">
            <v/>
          </cell>
          <cell r="L3152" t="str">
            <v/>
          </cell>
          <cell r="M3152" t="str">
            <v/>
          </cell>
        </row>
        <row r="3153">
          <cell r="A3153">
            <v>31102192</v>
          </cell>
          <cell r="C3153">
            <v>31102192</v>
          </cell>
          <cell r="D3153">
            <v>31102192</v>
          </cell>
          <cell r="E3153">
            <v>31102192</v>
          </cell>
          <cell r="F3153">
            <v>31102192</v>
          </cell>
          <cell r="G3153">
            <v>31102192</v>
          </cell>
          <cell r="H3153">
            <v>31102192</v>
          </cell>
          <cell r="I3153" t="str">
            <v/>
          </cell>
          <cell r="J3153" t="str">
            <v/>
          </cell>
          <cell r="K3153" t="str">
            <v/>
          </cell>
          <cell r="L3153" t="str">
            <v/>
          </cell>
          <cell r="M3153" t="str">
            <v/>
          </cell>
        </row>
        <row r="3154">
          <cell r="A3154">
            <v>31102192</v>
          </cell>
          <cell r="C3154">
            <v>31102192</v>
          </cell>
          <cell r="D3154">
            <v>31102192</v>
          </cell>
          <cell r="E3154">
            <v>31102192</v>
          </cell>
          <cell r="F3154">
            <v>31102192</v>
          </cell>
          <cell r="G3154">
            <v>31102192</v>
          </cell>
          <cell r="H3154">
            <v>31102192</v>
          </cell>
          <cell r="I3154" t="str">
            <v/>
          </cell>
          <cell r="J3154" t="str">
            <v/>
          </cell>
          <cell r="K3154" t="str">
            <v/>
          </cell>
          <cell r="L3154" t="str">
            <v/>
          </cell>
          <cell r="M3154" t="str">
            <v/>
          </cell>
        </row>
        <row r="3155">
          <cell r="A3155">
            <v>31102192</v>
          </cell>
          <cell r="C3155">
            <v>31102192</v>
          </cell>
          <cell r="D3155">
            <v>31102192</v>
          </cell>
          <cell r="E3155">
            <v>31102192</v>
          </cell>
          <cell r="F3155">
            <v>31102192</v>
          </cell>
          <cell r="G3155">
            <v>31102192</v>
          </cell>
          <cell r="H3155">
            <v>31102192</v>
          </cell>
          <cell r="I3155" t="str">
            <v/>
          </cell>
          <cell r="J3155" t="str">
            <v/>
          </cell>
          <cell r="K3155" t="str">
            <v/>
          </cell>
          <cell r="L3155" t="str">
            <v/>
          </cell>
          <cell r="M3155" t="str">
            <v/>
          </cell>
        </row>
        <row r="3156">
          <cell r="A3156">
            <v>31102192</v>
          </cell>
          <cell r="C3156">
            <v>31102192</v>
          </cell>
          <cell r="D3156">
            <v>31102192</v>
          </cell>
          <cell r="E3156">
            <v>31102192</v>
          </cell>
          <cell r="F3156">
            <v>31102192</v>
          </cell>
          <cell r="G3156">
            <v>31102192</v>
          </cell>
          <cell r="H3156">
            <v>31102192</v>
          </cell>
          <cell r="I3156" t="str">
            <v/>
          </cell>
          <cell r="J3156" t="str">
            <v/>
          </cell>
          <cell r="K3156" t="str">
            <v/>
          </cell>
          <cell r="L3156" t="str">
            <v/>
          </cell>
          <cell r="M3156" t="str">
            <v/>
          </cell>
        </row>
        <row r="3157">
          <cell r="A3157">
            <v>31102192</v>
          </cell>
          <cell r="C3157">
            <v>31102192</v>
          </cell>
          <cell r="D3157">
            <v>31102192</v>
          </cell>
          <cell r="E3157">
            <v>31102192</v>
          </cell>
          <cell r="F3157">
            <v>31102192</v>
          </cell>
          <cell r="G3157">
            <v>31102192</v>
          </cell>
          <cell r="H3157">
            <v>31102192</v>
          </cell>
          <cell r="I3157" t="str">
            <v/>
          </cell>
          <cell r="J3157" t="str">
            <v/>
          </cell>
          <cell r="K3157" t="str">
            <v/>
          </cell>
          <cell r="L3157" t="str">
            <v/>
          </cell>
          <cell r="M3157" t="str">
            <v/>
          </cell>
        </row>
        <row r="3158">
          <cell r="A3158">
            <v>31102192</v>
          </cell>
          <cell r="C3158">
            <v>31102192</v>
          </cell>
          <cell r="D3158">
            <v>31102192</v>
          </cell>
          <cell r="E3158">
            <v>31102192</v>
          </cell>
          <cell r="F3158">
            <v>31102192</v>
          </cell>
          <cell r="G3158">
            <v>31102192</v>
          </cell>
          <cell r="H3158">
            <v>31102192</v>
          </cell>
          <cell r="I3158" t="str">
            <v/>
          </cell>
          <cell r="J3158" t="str">
            <v/>
          </cell>
          <cell r="K3158" t="str">
            <v/>
          </cell>
          <cell r="L3158" t="str">
            <v/>
          </cell>
          <cell r="M3158" t="str">
            <v/>
          </cell>
        </row>
        <row r="3159">
          <cell r="A3159">
            <v>31102192</v>
          </cell>
          <cell r="C3159">
            <v>31102192</v>
          </cell>
          <cell r="D3159">
            <v>31102192</v>
          </cell>
          <cell r="E3159">
            <v>31102192</v>
          </cell>
          <cell r="F3159">
            <v>31102192</v>
          </cell>
          <cell r="G3159">
            <v>31102192</v>
          </cell>
          <cell r="H3159">
            <v>31102192</v>
          </cell>
          <cell r="I3159" t="str">
            <v/>
          </cell>
          <cell r="J3159" t="str">
            <v/>
          </cell>
          <cell r="K3159" t="str">
            <v/>
          </cell>
          <cell r="L3159" t="str">
            <v/>
          </cell>
          <cell r="M3159" t="str">
            <v/>
          </cell>
        </row>
        <row r="3160">
          <cell r="A3160">
            <v>31102192</v>
          </cell>
          <cell r="C3160">
            <v>31102192</v>
          </cell>
          <cell r="D3160">
            <v>31102192</v>
          </cell>
          <cell r="E3160">
            <v>31102192</v>
          </cell>
          <cell r="F3160">
            <v>31102192</v>
          </cell>
          <cell r="G3160">
            <v>31102192</v>
          </cell>
          <cell r="H3160">
            <v>31102192</v>
          </cell>
          <cell r="I3160" t="str">
            <v/>
          </cell>
          <cell r="J3160" t="str">
            <v/>
          </cell>
          <cell r="K3160" t="str">
            <v/>
          </cell>
          <cell r="L3160" t="str">
            <v/>
          </cell>
          <cell r="M3160" t="str">
            <v/>
          </cell>
        </row>
        <row r="3161">
          <cell r="A3161">
            <v>31102192</v>
          </cell>
          <cell r="C3161">
            <v>31102192</v>
          </cell>
          <cell r="D3161">
            <v>31102192</v>
          </cell>
          <cell r="E3161">
            <v>31102192</v>
          </cell>
          <cell r="F3161">
            <v>31102192</v>
          </cell>
          <cell r="G3161">
            <v>31102192</v>
          </cell>
          <cell r="H3161">
            <v>31102192</v>
          </cell>
          <cell r="I3161" t="str">
            <v/>
          </cell>
          <cell r="J3161" t="str">
            <v/>
          </cell>
          <cell r="K3161" t="str">
            <v/>
          </cell>
          <cell r="L3161" t="str">
            <v/>
          </cell>
          <cell r="M3161" t="str">
            <v/>
          </cell>
        </row>
        <row r="3162">
          <cell r="A3162">
            <v>31102192</v>
          </cell>
          <cell r="C3162">
            <v>31102192</v>
          </cell>
          <cell r="D3162">
            <v>31102192</v>
          </cell>
          <cell r="E3162">
            <v>31102192</v>
          </cell>
          <cell r="F3162">
            <v>31102192</v>
          </cell>
          <cell r="G3162">
            <v>31102192</v>
          </cell>
          <cell r="H3162">
            <v>31102192</v>
          </cell>
          <cell r="I3162" t="str">
            <v/>
          </cell>
          <cell r="J3162" t="str">
            <v/>
          </cell>
          <cell r="K3162" t="str">
            <v/>
          </cell>
          <cell r="L3162" t="str">
            <v/>
          </cell>
          <cell r="M3162" t="str">
            <v/>
          </cell>
        </row>
        <row r="3163">
          <cell r="A3163">
            <v>31102192</v>
          </cell>
          <cell r="C3163">
            <v>31102192</v>
          </cell>
          <cell r="D3163">
            <v>31102192</v>
          </cell>
          <cell r="E3163">
            <v>31102192</v>
          </cell>
          <cell r="F3163">
            <v>31102192</v>
          </cell>
          <cell r="G3163">
            <v>31102192</v>
          </cell>
          <cell r="H3163">
            <v>31102192</v>
          </cell>
          <cell r="I3163" t="str">
            <v/>
          </cell>
          <cell r="J3163" t="str">
            <v/>
          </cell>
          <cell r="K3163" t="str">
            <v/>
          </cell>
          <cell r="L3163" t="str">
            <v/>
          </cell>
          <cell r="M3163" t="str">
            <v/>
          </cell>
        </row>
        <row r="3164">
          <cell r="A3164">
            <v>31102192</v>
          </cell>
          <cell r="C3164">
            <v>31102192</v>
          </cell>
          <cell r="D3164">
            <v>31102192</v>
          </cell>
          <cell r="E3164">
            <v>31102192</v>
          </cell>
          <cell r="F3164">
            <v>31102192</v>
          </cell>
          <cell r="G3164">
            <v>31102192</v>
          </cell>
          <cell r="H3164">
            <v>31102192</v>
          </cell>
          <cell r="I3164" t="str">
            <v/>
          </cell>
          <cell r="J3164" t="str">
            <v/>
          </cell>
          <cell r="K3164" t="str">
            <v/>
          </cell>
          <cell r="L3164" t="str">
            <v/>
          </cell>
          <cell r="M3164" t="str">
            <v/>
          </cell>
        </row>
        <row r="3165">
          <cell r="A3165">
            <v>31102192</v>
          </cell>
          <cell r="C3165">
            <v>31102192</v>
          </cell>
          <cell r="D3165">
            <v>31102192</v>
          </cell>
          <cell r="E3165">
            <v>31102192</v>
          </cell>
          <cell r="F3165">
            <v>31102192</v>
          </cell>
          <cell r="G3165">
            <v>31102192</v>
          </cell>
          <cell r="H3165">
            <v>31102192</v>
          </cell>
          <cell r="I3165" t="str">
            <v/>
          </cell>
          <cell r="J3165" t="str">
            <v/>
          </cell>
          <cell r="K3165" t="str">
            <v/>
          </cell>
          <cell r="L3165" t="str">
            <v/>
          </cell>
          <cell r="M3165" t="str">
            <v/>
          </cell>
        </row>
        <row r="3166">
          <cell r="A3166">
            <v>31102192</v>
          </cell>
          <cell r="C3166">
            <v>31102192</v>
          </cell>
          <cell r="D3166">
            <v>31102192</v>
          </cell>
          <cell r="E3166">
            <v>31102192</v>
          </cell>
          <cell r="F3166">
            <v>31102192</v>
          </cell>
          <cell r="G3166">
            <v>31102192</v>
          </cell>
          <cell r="H3166">
            <v>31102192</v>
          </cell>
          <cell r="I3166" t="str">
            <v/>
          </cell>
          <cell r="J3166" t="str">
            <v/>
          </cell>
          <cell r="K3166" t="str">
            <v/>
          </cell>
          <cell r="L3166" t="str">
            <v/>
          </cell>
          <cell r="M3166" t="str">
            <v/>
          </cell>
        </row>
        <row r="3167">
          <cell r="A3167">
            <v>31102192</v>
          </cell>
          <cell r="C3167">
            <v>31102192</v>
          </cell>
          <cell r="D3167">
            <v>31102192</v>
          </cell>
          <cell r="E3167">
            <v>31102192</v>
          </cell>
          <cell r="F3167">
            <v>31102192</v>
          </cell>
          <cell r="G3167">
            <v>31102192</v>
          </cell>
          <cell r="H3167">
            <v>31102192</v>
          </cell>
          <cell r="I3167" t="str">
            <v/>
          </cell>
          <cell r="J3167" t="str">
            <v/>
          </cell>
          <cell r="K3167" t="str">
            <v/>
          </cell>
          <cell r="L3167" t="str">
            <v/>
          </cell>
          <cell r="M3167" t="str">
            <v/>
          </cell>
        </row>
        <row r="3168">
          <cell r="A3168">
            <v>31102192</v>
          </cell>
          <cell r="C3168">
            <v>31102192</v>
          </cell>
          <cell r="D3168">
            <v>31102192</v>
          </cell>
          <cell r="E3168">
            <v>31102192</v>
          </cell>
          <cell r="F3168">
            <v>31102192</v>
          </cell>
          <cell r="G3168">
            <v>31102192</v>
          </cell>
          <cell r="H3168">
            <v>31102192</v>
          </cell>
          <cell r="I3168" t="str">
            <v/>
          </cell>
          <cell r="J3168" t="str">
            <v/>
          </cell>
          <cell r="K3168" t="str">
            <v/>
          </cell>
          <cell r="L3168" t="str">
            <v/>
          </cell>
          <cell r="M3168" t="str">
            <v/>
          </cell>
        </row>
        <row r="3169">
          <cell r="A3169">
            <v>31102192</v>
          </cell>
          <cell r="C3169">
            <v>31102192</v>
          </cell>
          <cell r="D3169">
            <v>31102192</v>
          </cell>
          <cell r="E3169">
            <v>31102192</v>
          </cell>
          <cell r="F3169">
            <v>31102192</v>
          </cell>
          <cell r="G3169">
            <v>31102192</v>
          </cell>
          <cell r="H3169">
            <v>31102192</v>
          </cell>
          <cell r="I3169" t="str">
            <v/>
          </cell>
          <cell r="J3169" t="str">
            <v/>
          </cell>
          <cell r="K3169" t="str">
            <v/>
          </cell>
          <cell r="L3169" t="str">
            <v/>
          </cell>
          <cell r="M3169" t="str">
            <v/>
          </cell>
        </row>
        <row r="3170">
          <cell r="A3170">
            <v>31102192</v>
          </cell>
          <cell r="C3170">
            <v>31102192</v>
          </cell>
          <cell r="D3170">
            <v>31102192</v>
          </cell>
          <cell r="E3170">
            <v>31102192</v>
          </cell>
          <cell r="F3170">
            <v>31102192</v>
          </cell>
          <cell r="G3170">
            <v>31102192</v>
          </cell>
          <cell r="H3170">
            <v>31102192</v>
          </cell>
          <cell r="I3170" t="str">
            <v/>
          </cell>
          <cell r="J3170" t="str">
            <v/>
          </cell>
          <cell r="K3170" t="str">
            <v/>
          </cell>
          <cell r="L3170" t="str">
            <v/>
          </cell>
          <cell r="M3170" t="str">
            <v/>
          </cell>
        </row>
        <row r="3171">
          <cell r="A3171">
            <v>31102192</v>
          </cell>
          <cell r="C3171">
            <v>31102192</v>
          </cell>
          <cell r="D3171">
            <v>31102192</v>
          </cell>
          <cell r="E3171">
            <v>31102192</v>
          </cell>
          <cell r="F3171">
            <v>31102192</v>
          </cell>
          <cell r="G3171">
            <v>31102192</v>
          </cell>
          <cell r="H3171">
            <v>31102192</v>
          </cell>
          <cell r="I3171" t="str">
            <v/>
          </cell>
          <cell r="J3171" t="str">
            <v/>
          </cell>
          <cell r="K3171" t="str">
            <v/>
          </cell>
          <cell r="L3171" t="str">
            <v/>
          </cell>
          <cell r="M3171" t="str">
            <v/>
          </cell>
        </row>
        <row r="3172">
          <cell r="A3172">
            <v>31102192</v>
          </cell>
          <cell r="C3172">
            <v>31102192</v>
          </cell>
          <cell r="D3172">
            <v>31102192</v>
          </cell>
          <cell r="E3172">
            <v>31102192</v>
          </cell>
          <cell r="F3172">
            <v>31102192</v>
          </cell>
          <cell r="G3172">
            <v>31102192</v>
          </cell>
          <cell r="H3172">
            <v>31102192</v>
          </cell>
          <cell r="I3172" t="str">
            <v/>
          </cell>
          <cell r="J3172" t="str">
            <v/>
          </cell>
          <cell r="K3172" t="str">
            <v/>
          </cell>
          <cell r="L3172" t="str">
            <v/>
          </cell>
          <cell r="M3172" t="str">
            <v/>
          </cell>
        </row>
        <row r="3173">
          <cell r="A3173">
            <v>31102192</v>
          </cell>
          <cell r="C3173">
            <v>31102192</v>
          </cell>
          <cell r="D3173">
            <v>31102192</v>
          </cell>
          <cell r="E3173">
            <v>31102192</v>
          </cell>
          <cell r="F3173">
            <v>31102192</v>
          </cell>
          <cell r="G3173">
            <v>31102192</v>
          </cell>
          <cell r="H3173">
            <v>31102192</v>
          </cell>
          <cell r="I3173" t="str">
            <v/>
          </cell>
          <cell r="J3173" t="str">
            <v/>
          </cell>
          <cell r="K3173" t="str">
            <v/>
          </cell>
          <cell r="L3173" t="str">
            <v/>
          </cell>
          <cell r="M3173" t="str">
            <v/>
          </cell>
        </row>
        <row r="3174">
          <cell r="A3174">
            <v>31102192</v>
          </cell>
          <cell r="C3174">
            <v>31102192</v>
          </cell>
          <cell r="D3174">
            <v>31102192</v>
          </cell>
          <cell r="E3174">
            <v>31102192</v>
          </cell>
          <cell r="F3174">
            <v>31102192</v>
          </cell>
          <cell r="G3174">
            <v>31102192</v>
          </cell>
          <cell r="H3174">
            <v>31102192</v>
          </cell>
          <cell r="I3174" t="str">
            <v/>
          </cell>
          <cell r="J3174" t="str">
            <v/>
          </cell>
          <cell r="K3174" t="str">
            <v/>
          </cell>
          <cell r="L3174" t="str">
            <v/>
          </cell>
          <cell r="M3174" t="str">
            <v/>
          </cell>
        </row>
        <row r="3175">
          <cell r="A3175">
            <v>31102192</v>
          </cell>
          <cell r="C3175">
            <v>31102192</v>
          </cell>
          <cell r="D3175">
            <v>31102192</v>
          </cell>
          <cell r="E3175">
            <v>31102192</v>
          </cell>
          <cell r="F3175">
            <v>31102192</v>
          </cell>
          <cell r="G3175">
            <v>31102192</v>
          </cell>
          <cell r="H3175">
            <v>31102192</v>
          </cell>
          <cell r="I3175" t="str">
            <v/>
          </cell>
          <cell r="J3175" t="str">
            <v/>
          </cell>
          <cell r="K3175" t="str">
            <v/>
          </cell>
          <cell r="L3175" t="str">
            <v/>
          </cell>
          <cell r="M3175" t="str">
            <v/>
          </cell>
        </row>
        <row r="3176">
          <cell r="A3176">
            <v>31102192</v>
          </cell>
          <cell r="C3176">
            <v>31102192</v>
          </cell>
          <cell r="D3176">
            <v>31102192</v>
          </cell>
          <cell r="E3176">
            <v>31102192</v>
          </cell>
          <cell r="F3176">
            <v>31102192</v>
          </cell>
          <cell r="G3176">
            <v>31102192</v>
          </cell>
          <cell r="H3176">
            <v>31102192</v>
          </cell>
          <cell r="I3176" t="str">
            <v/>
          </cell>
          <cell r="J3176" t="str">
            <v/>
          </cell>
          <cell r="K3176" t="str">
            <v/>
          </cell>
          <cell r="L3176" t="str">
            <v/>
          </cell>
          <cell r="M3176" t="str">
            <v/>
          </cell>
        </row>
        <row r="3177">
          <cell r="A3177">
            <v>31102192</v>
          </cell>
          <cell r="C3177">
            <v>31102192</v>
          </cell>
          <cell r="D3177">
            <v>31102192</v>
          </cell>
          <cell r="E3177">
            <v>31102192</v>
          </cell>
          <cell r="F3177">
            <v>31102192</v>
          </cell>
          <cell r="G3177">
            <v>31102192</v>
          </cell>
          <cell r="H3177">
            <v>31102192</v>
          </cell>
          <cell r="I3177" t="str">
            <v/>
          </cell>
          <cell r="J3177" t="str">
            <v/>
          </cell>
          <cell r="K3177" t="str">
            <v/>
          </cell>
          <cell r="L3177" t="str">
            <v/>
          </cell>
          <cell r="M3177" t="str">
            <v/>
          </cell>
        </row>
        <row r="3178">
          <cell r="A3178">
            <v>31102192</v>
          </cell>
          <cell r="C3178">
            <v>31102192</v>
          </cell>
          <cell r="D3178">
            <v>31102192</v>
          </cell>
          <cell r="E3178">
            <v>31102192</v>
          </cell>
          <cell r="F3178">
            <v>31102192</v>
          </cell>
          <cell r="G3178">
            <v>31102192</v>
          </cell>
          <cell r="H3178">
            <v>31102192</v>
          </cell>
          <cell r="I3178" t="str">
            <v/>
          </cell>
          <cell r="J3178" t="str">
            <v/>
          </cell>
          <cell r="K3178" t="str">
            <v/>
          </cell>
          <cell r="L3178" t="str">
            <v/>
          </cell>
          <cell r="M3178" t="str">
            <v/>
          </cell>
        </row>
        <row r="3179">
          <cell r="A3179">
            <v>31102192</v>
          </cell>
          <cell r="C3179">
            <v>31102192</v>
          </cell>
          <cell r="D3179">
            <v>31102192</v>
          </cell>
          <cell r="E3179">
            <v>31102192</v>
          </cell>
          <cell r="F3179">
            <v>31102192</v>
          </cell>
          <cell r="G3179">
            <v>31102192</v>
          </cell>
          <cell r="H3179">
            <v>31102192</v>
          </cell>
          <cell r="I3179" t="str">
            <v/>
          </cell>
          <cell r="J3179" t="str">
            <v/>
          </cell>
          <cell r="K3179" t="str">
            <v/>
          </cell>
          <cell r="L3179" t="str">
            <v/>
          </cell>
          <cell r="M3179" t="str">
            <v/>
          </cell>
        </row>
        <row r="3180">
          <cell r="A3180">
            <v>31102192</v>
          </cell>
          <cell r="C3180">
            <v>31102192</v>
          </cell>
          <cell r="D3180">
            <v>31102192</v>
          </cell>
          <cell r="E3180">
            <v>31102192</v>
          </cell>
          <cell r="F3180">
            <v>31102192</v>
          </cell>
          <cell r="G3180">
            <v>31102192</v>
          </cell>
          <cell r="H3180">
            <v>31102192</v>
          </cell>
          <cell r="I3180" t="str">
            <v/>
          </cell>
          <cell r="J3180" t="str">
            <v/>
          </cell>
          <cell r="K3180" t="str">
            <v/>
          </cell>
          <cell r="L3180" t="str">
            <v/>
          </cell>
          <cell r="M3180" t="str">
            <v/>
          </cell>
        </row>
        <row r="3181">
          <cell r="A3181">
            <v>31102192</v>
          </cell>
          <cell r="C3181">
            <v>31102192</v>
          </cell>
          <cell r="D3181">
            <v>31102192</v>
          </cell>
          <cell r="E3181">
            <v>31102192</v>
          </cell>
          <cell r="F3181">
            <v>31102192</v>
          </cell>
          <cell r="G3181">
            <v>31102192</v>
          </cell>
          <cell r="H3181">
            <v>31102192</v>
          </cell>
          <cell r="I3181" t="str">
            <v/>
          </cell>
          <cell r="J3181" t="str">
            <v/>
          </cell>
          <cell r="K3181" t="str">
            <v/>
          </cell>
          <cell r="L3181" t="str">
            <v/>
          </cell>
          <cell r="M3181" t="str">
            <v/>
          </cell>
        </row>
        <row r="3182">
          <cell r="A3182">
            <v>31102192</v>
          </cell>
          <cell r="C3182">
            <v>31102192</v>
          </cell>
          <cell r="D3182">
            <v>31102192</v>
          </cell>
          <cell r="E3182">
            <v>31102192</v>
          </cell>
          <cell r="F3182">
            <v>31102192</v>
          </cell>
          <cell r="G3182">
            <v>31102192</v>
          </cell>
          <cell r="H3182">
            <v>31102192</v>
          </cell>
          <cell r="I3182" t="str">
            <v/>
          </cell>
          <cell r="J3182" t="str">
            <v/>
          </cell>
          <cell r="K3182" t="str">
            <v/>
          </cell>
          <cell r="L3182" t="str">
            <v/>
          </cell>
          <cell r="M3182" t="str">
            <v/>
          </cell>
        </row>
        <row r="3183">
          <cell r="A3183">
            <v>31102192</v>
          </cell>
          <cell r="C3183">
            <v>31102192</v>
          </cell>
          <cell r="D3183">
            <v>31102192</v>
          </cell>
          <cell r="E3183">
            <v>31102192</v>
          </cell>
          <cell r="F3183">
            <v>31102192</v>
          </cell>
          <cell r="G3183">
            <v>31102192</v>
          </cell>
          <cell r="H3183">
            <v>31102192</v>
          </cell>
          <cell r="I3183" t="str">
            <v/>
          </cell>
          <cell r="J3183" t="str">
            <v/>
          </cell>
          <cell r="K3183" t="str">
            <v/>
          </cell>
          <cell r="L3183" t="str">
            <v/>
          </cell>
          <cell r="M3183" t="str">
            <v/>
          </cell>
        </row>
        <row r="3184">
          <cell r="A3184">
            <v>31102192</v>
          </cell>
          <cell r="C3184">
            <v>31102192</v>
          </cell>
          <cell r="D3184">
            <v>31102192</v>
          </cell>
          <cell r="E3184">
            <v>31102192</v>
          </cell>
          <cell r="F3184">
            <v>31102192</v>
          </cell>
          <cell r="G3184">
            <v>31102192</v>
          </cell>
          <cell r="H3184">
            <v>31102192</v>
          </cell>
          <cell r="I3184" t="str">
            <v/>
          </cell>
          <cell r="J3184" t="str">
            <v/>
          </cell>
          <cell r="K3184" t="str">
            <v/>
          </cell>
          <cell r="L3184" t="str">
            <v/>
          </cell>
          <cell r="M3184" t="str">
            <v/>
          </cell>
        </row>
        <row r="3185">
          <cell r="A3185">
            <v>31102192</v>
          </cell>
          <cell r="C3185">
            <v>31102192</v>
          </cell>
          <cell r="D3185">
            <v>31102192</v>
          </cell>
          <cell r="E3185">
            <v>31102192</v>
          </cell>
          <cell r="F3185">
            <v>31102192</v>
          </cell>
          <cell r="G3185">
            <v>31102192</v>
          </cell>
          <cell r="H3185">
            <v>31102192</v>
          </cell>
          <cell r="I3185" t="str">
            <v/>
          </cell>
          <cell r="J3185" t="str">
            <v/>
          </cell>
          <cell r="K3185" t="str">
            <v/>
          </cell>
          <cell r="L3185" t="str">
            <v/>
          </cell>
          <cell r="M3185" t="str">
            <v/>
          </cell>
        </row>
        <row r="3186">
          <cell r="A3186">
            <v>31102192</v>
          </cell>
          <cell r="C3186">
            <v>31102192</v>
          </cell>
          <cell r="D3186">
            <v>31102192</v>
          </cell>
          <cell r="E3186">
            <v>31102192</v>
          </cell>
          <cell r="F3186">
            <v>31102192</v>
          </cell>
          <cell r="G3186">
            <v>31102192</v>
          </cell>
          <cell r="H3186">
            <v>31102192</v>
          </cell>
          <cell r="I3186" t="str">
            <v/>
          </cell>
          <cell r="J3186" t="str">
            <v/>
          </cell>
          <cell r="K3186" t="str">
            <v/>
          </cell>
          <cell r="L3186" t="str">
            <v/>
          </cell>
          <cell r="M3186" t="str">
            <v/>
          </cell>
        </row>
        <row r="3187">
          <cell r="A3187">
            <v>31102192</v>
          </cell>
          <cell r="C3187">
            <v>31102192</v>
          </cell>
          <cell r="D3187">
            <v>31102192</v>
          </cell>
          <cell r="E3187">
            <v>31102192</v>
          </cell>
          <cell r="F3187">
            <v>31102192</v>
          </cell>
          <cell r="G3187">
            <v>31102192</v>
          </cell>
          <cell r="H3187">
            <v>31102192</v>
          </cell>
          <cell r="I3187" t="str">
            <v/>
          </cell>
          <cell r="J3187" t="str">
            <v/>
          </cell>
          <cell r="K3187" t="str">
            <v/>
          </cell>
          <cell r="L3187" t="str">
            <v/>
          </cell>
          <cell r="M3187" t="str">
            <v/>
          </cell>
        </row>
        <row r="3188">
          <cell r="A3188">
            <v>31102192</v>
          </cell>
          <cell r="C3188">
            <v>31102192</v>
          </cell>
          <cell r="D3188">
            <v>31102192</v>
          </cell>
          <cell r="E3188">
            <v>31102192</v>
          </cell>
          <cell r="F3188">
            <v>31102192</v>
          </cell>
          <cell r="G3188">
            <v>31102192</v>
          </cell>
          <cell r="H3188">
            <v>31102192</v>
          </cell>
          <cell r="I3188" t="str">
            <v/>
          </cell>
          <cell r="J3188" t="str">
            <v/>
          </cell>
          <cell r="K3188" t="str">
            <v/>
          </cell>
          <cell r="L3188" t="str">
            <v/>
          </cell>
          <cell r="M3188" t="str">
            <v/>
          </cell>
        </row>
        <row r="3189">
          <cell r="A3189">
            <v>31102192</v>
          </cell>
          <cell r="C3189">
            <v>31102192</v>
          </cell>
          <cell r="D3189">
            <v>31102192</v>
          </cell>
          <cell r="E3189">
            <v>31102192</v>
          </cell>
          <cell r="F3189">
            <v>31102192</v>
          </cell>
          <cell r="G3189">
            <v>31102192</v>
          </cell>
          <cell r="H3189">
            <v>31102192</v>
          </cell>
          <cell r="I3189" t="str">
            <v/>
          </cell>
          <cell r="J3189" t="str">
            <v/>
          </cell>
          <cell r="K3189" t="str">
            <v/>
          </cell>
          <cell r="L3189" t="str">
            <v/>
          </cell>
          <cell r="M3189" t="str">
            <v/>
          </cell>
        </row>
        <row r="3190">
          <cell r="A3190">
            <v>31102192</v>
          </cell>
          <cell r="C3190">
            <v>31102192</v>
          </cell>
          <cell r="D3190">
            <v>31102192</v>
          </cell>
          <cell r="E3190">
            <v>31102192</v>
          </cell>
          <cell r="F3190">
            <v>31102192</v>
          </cell>
          <cell r="G3190">
            <v>31102192</v>
          </cell>
          <cell r="H3190">
            <v>31102192</v>
          </cell>
          <cell r="I3190" t="str">
            <v/>
          </cell>
          <cell r="J3190" t="str">
            <v/>
          </cell>
          <cell r="K3190" t="str">
            <v/>
          </cell>
          <cell r="L3190" t="str">
            <v/>
          </cell>
          <cell r="M3190" t="str">
            <v/>
          </cell>
        </row>
        <row r="3191">
          <cell r="A3191">
            <v>31102192</v>
          </cell>
          <cell r="C3191">
            <v>31102192</v>
          </cell>
          <cell r="D3191">
            <v>31102192</v>
          </cell>
          <cell r="E3191">
            <v>31102192</v>
          </cell>
          <cell r="F3191">
            <v>31102192</v>
          </cell>
          <cell r="G3191">
            <v>31102192</v>
          </cell>
          <cell r="H3191">
            <v>31102192</v>
          </cell>
          <cell r="I3191" t="str">
            <v/>
          </cell>
          <cell r="J3191" t="str">
            <v/>
          </cell>
          <cell r="K3191" t="str">
            <v/>
          </cell>
          <cell r="L3191" t="str">
            <v/>
          </cell>
          <cell r="M3191" t="str">
            <v/>
          </cell>
        </row>
        <row r="3192">
          <cell r="A3192">
            <v>31102192</v>
          </cell>
          <cell r="C3192">
            <v>31102192</v>
          </cell>
          <cell r="D3192">
            <v>31102192</v>
          </cell>
          <cell r="E3192">
            <v>31102192</v>
          </cell>
          <cell r="F3192">
            <v>31102192</v>
          </cell>
          <cell r="G3192">
            <v>31102192</v>
          </cell>
          <cell r="H3192">
            <v>31102192</v>
          </cell>
          <cell r="I3192" t="str">
            <v/>
          </cell>
          <cell r="J3192" t="str">
            <v/>
          </cell>
          <cell r="K3192" t="str">
            <v/>
          </cell>
          <cell r="L3192" t="str">
            <v/>
          </cell>
          <cell r="M3192" t="str">
            <v/>
          </cell>
        </row>
        <row r="3193">
          <cell r="A3193">
            <v>31102192</v>
          </cell>
          <cell r="C3193">
            <v>31102192</v>
          </cell>
          <cell r="D3193">
            <v>31102192</v>
          </cell>
          <cell r="E3193">
            <v>31102192</v>
          </cell>
          <cell r="F3193">
            <v>31102192</v>
          </cell>
          <cell r="G3193">
            <v>31102192</v>
          </cell>
          <cell r="H3193">
            <v>31102192</v>
          </cell>
          <cell r="I3193" t="str">
            <v/>
          </cell>
          <cell r="J3193" t="str">
            <v/>
          </cell>
          <cell r="K3193" t="str">
            <v/>
          </cell>
          <cell r="L3193" t="str">
            <v/>
          </cell>
          <cell r="M3193" t="str">
            <v/>
          </cell>
        </row>
        <row r="3194">
          <cell r="A3194">
            <v>31102192</v>
          </cell>
          <cell r="C3194">
            <v>31102192</v>
          </cell>
          <cell r="D3194">
            <v>31102192</v>
          </cell>
          <cell r="E3194">
            <v>31102192</v>
          </cell>
          <cell r="F3194">
            <v>31102192</v>
          </cell>
          <cell r="G3194">
            <v>31102192</v>
          </cell>
          <cell r="H3194">
            <v>31102192</v>
          </cell>
          <cell r="I3194" t="str">
            <v/>
          </cell>
          <cell r="J3194" t="str">
            <v/>
          </cell>
          <cell r="K3194" t="str">
            <v/>
          </cell>
          <cell r="L3194" t="str">
            <v/>
          </cell>
          <cell r="M3194" t="str">
            <v/>
          </cell>
        </row>
        <row r="3195">
          <cell r="A3195">
            <v>31102192</v>
          </cell>
          <cell r="C3195">
            <v>31102192</v>
          </cell>
          <cell r="D3195">
            <v>31102192</v>
          </cell>
          <cell r="E3195">
            <v>31102192</v>
          </cell>
          <cell r="F3195">
            <v>31102192</v>
          </cell>
          <cell r="G3195">
            <v>31102192</v>
          </cell>
          <cell r="H3195">
            <v>31102192</v>
          </cell>
          <cell r="I3195" t="str">
            <v/>
          </cell>
          <cell r="J3195" t="str">
            <v/>
          </cell>
          <cell r="K3195" t="str">
            <v/>
          </cell>
          <cell r="L3195" t="str">
            <v/>
          </cell>
          <cell r="M3195" t="str">
            <v/>
          </cell>
        </row>
        <row r="3196">
          <cell r="A3196">
            <v>31102192</v>
          </cell>
          <cell r="C3196">
            <v>31102192</v>
          </cell>
          <cell r="D3196">
            <v>31102192</v>
          </cell>
          <cell r="E3196">
            <v>31102192</v>
          </cell>
          <cell r="F3196">
            <v>31102192</v>
          </cell>
          <cell r="G3196">
            <v>31102192</v>
          </cell>
          <cell r="H3196">
            <v>31102192</v>
          </cell>
          <cell r="I3196" t="str">
            <v/>
          </cell>
          <cell r="J3196" t="str">
            <v/>
          </cell>
          <cell r="K3196" t="str">
            <v/>
          </cell>
          <cell r="L3196" t="str">
            <v/>
          </cell>
          <cell r="M3196" t="str">
            <v/>
          </cell>
        </row>
        <row r="3197">
          <cell r="A3197">
            <v>31102192</v>
          </cell>
          <cell r="C3197">
            <v>31102192</v>
          </cell>
          <cell r="D3197">
            <v>31102192</v>
          </cell>
          <cell r="E3197">
            <v>31102192</v>
          </cell>
          <cell r="F3197">
            <v>31102192</v>
          </cell>
          <cell r="G3197">
            <v>31102192</v>
          </cell>
          <cell r="H3197">
            <v>31102192</v>
          </cell>
          <cell r="I3197" t="str">
            <v/>
          </cell>
          <cell r="J3197" t="str">
            <v/>
          </cell>
          <cell r="K3197" t="str">
            <v/>
          </cell>
          <cell r="L3197" t="str">
            <v/>
          </cell>
          <cell r="M3197" t="str">
            <v/>
          </cell>
        </row>
        <row r="3198">
          <cell r="A3198">
            <v>31102192</v>
          </cell>
          <cell r="C3198">
            <v>31102192</v>
          </cell>
          <cell r="D3198">
            <v>31102192</v>
          </cell>
          <cell r="E3198">
            <v>31102192</v>
          </cell>
          <cell r="F3198">
            <v>31102192</v>
          </cell>
          <cell r="G3198">
            <v>31102192</v>
          </cell>
          <cell r="H3198">
            <v>31102192</v>
          </cell>
          <cell r="I3198" t="str">
            <v/>
          </cell>
          <cell r="J3198" t="str">
            <v/>
          </cell>
          <cell r="K3198" t="str">
            <v/>
          </cell>
          <cell r="L3198" t="str">
            <v/>
          </cell>
          <cell r="M3198" t="str">
            <v/>
          </cell>
        </row>
        <row r="3199">
          <cell r="A3199">
            <v>31102192</v>
          </cell>
          <cell r="C3199">
            <v>31102192</v>
          </cell>
          <cell r="D3199">
            <v>31102192</v>
          </cell>
          <cell r="E3199">
            <v>31102192</v>
          </cell>
          <cell r="F3199">
            <v>31102192</v>
          </cell>
          <cell r="G3199">
            <v>31102192</v>
          </cell>
          <cell r="H3199">
            <v>31102192</v>
          </cell>
          <cell r="I3199" t="str">
            <v/>
          </cell>
          <cell r="J3199" t="str">
            <v/>
          </cell>
          <cell r="K3199" t="str">
            <v/>
          </cell>
          <cell r="L3199" t="str">
            <v/>
          </cell>
          <cell r="M3199" t="str">
            <v/>
          </cell>
        </row>
        <row r="3200">
          <cell r="A3200">
            <v>31102192</v>
          </cell>
          <cell r="C3200">
            <v>31102192</v>
          </cell>
          <cell r="D3200">
            <v>31102192</v>
          </cell>
          <cell r="E3200">
            <v>31102192</v>
          </cell>
          <cell r="F3200">
            <v>31102192</v>
          </cell>
          <cell r="G3200">
            <v>31102192</v>
          </cell>
          <cell r="H3200">
            <v>31102192</v>
          </cell>
          <cell r="I3200" t="str">
            <v/>
          </cell>
          <cell r="J3200" t="str">
            <v/>
          </cell>
          <cell r="K3200" t="str">
            <v/>
          </cell>
          <cell r="L3200" t="str">
            <v/>
          </cell>
          <cell r="M3200" t="str">
            <v/>
          </cell>
        </row>
        <row r="3201">
          <cell r="A3201">
            <v>31102192</v>
          </cell>
          <cell r="C3201">
            <v>31102192</v>
          </cell>
          <cell r="D3201">
            <v>31102192</v>
          </cell>
          <cell r="E3201">
            <v>31102192</v>
          </cell>
          <cell r="F3201">
            <v>31102192</v>
          </cell>
          <cell r="G3201">
            <v>31102192</v>
          </cell>
          <cell r="H3201">
            <v>31102192</v>
          </cell>
          <cell r="I3201" t="str">
            <v/>
          </cell>
          <cell r="J3201" t="str">
            <v/>
          </cell>
          <cell r="K3201" t="str">
            <v/>
          </cell>
          <cell r="L3201" t="str">
            <v/>
          </cell>
          <cell r="M3201" t="str">
            <v/>
          </cell>
        </row>
        <row r="3202">
          <cell r="A3202">
            <v>31102192</v>
          </cell>
          <cell r="C3202">
            <v>31102192</v>
          </cell>
          <cell r="D3202">
            <v>31102192</v>
          </cell>
          <cell r="E3202">
            <v>31102192</v>
          </cell>
          <cell r="F3202">
            <v>31102192</v>
          </cell>
          <cell r="G3202">
            <v>31102192</v>
          </cell>
          <cell r="H3202">
            <v>31102192</v>
          </cell>
          <cell r="I3202" t="str">
            <v/>
          </cell>
          <cell r="J3202" t="str">
            <v/>
          </cell>
          <cell r="K3202" t="str">
            <v/>
          </cell>
          <cell r="L3202" t="str">
            <v/>
          </cell>
          <cell r="M3202" t="str">
            <v/>
          </cell>
        </row>
        <row r="3203">
          <cell r="A3203">
            <v>31102192</v>
          </cell>
          <cell r="C3203">
            <v>31102192</v>
          </cell>
          <cell r="D3203">
            <v>31102192</v>
          </cell>
          <cell r="E3203">
            <v>31102192</v>
          </cell>
          <cell r="F3203">
            <v>31102192</v>
          </cell>
          <cell r="G3203">
            <v>31102192</v>
          </cell>
          <cell r="H3203">
            <v>31102192</v>
          </cell>
          <cell r="I3203" t="str">
            <v/>
          </cell>
          <cell r="J3203" t="str">
            <v/>
          </cell>
          <cell r="K3203" t="str">
            <v/>
          </cell>
          <cell r="L3203" t="str">
            <v/>
          </cell>
          <cell r="M3203" t="str">
            <v/>
          </cell>
        </row>
        <row r="3204">
          <cell r="A3204">
            <v>31102192</v>
          </cell>
          <cell r="C3204">
            <v>31102192</v>
          </cell>
          <cell r="D3204">
            <v>31102192</v>
          </cell>
          <cell r="E3204">
            <v>31102192</v>
          </cell>
          <cell r="F3204">
            <v>31102192</v>
          </cell>
          <cell r="G3204">
            <v>31102192</v>
          </cell>
          <cell r="H3204">
            <v>31102192</v>
          </cell>
          <cell r="I3204" t="str">
            <v/>
          </cell>
          <cell r="J3204" t="str">
            <v/>
          </cell>
          <cell r="K3204" t="str">
            <v/>
          </cell>
          <cell r="L3204" t="str">
            <v/>
          </cell>
          <cell r="M3204" t="str">
            <v/>
          </cell>
        </row>
        <row r="3205">
          <cell r="A3205">
            <v>31102192</v>
          </cell>
          <cell r="C3205">
            <v>31102192</v>
          </cell>
          <cell r="D3205">
            <v>31102192</v>
          </cell>
          <cell r="E3205">
            <v>31102192</v>
          </cell>
          <cell r="F3205">
            <v>31102192</v>
          </cell>
          <cell r="G3205">
            <v>31102192</v>
          </cell>
          <cell r="H3205">
            <v>31102192</v>
          </cell>
          <cell r="I3205" t="str">
            <v/>
          </cell>
          <cell r="J3205" t="str">
            <v/>
          </cell>
          <cell r="K3205" t="str">
            <v/>
          </cell>
          <cell r="L3205" t="str">
            <v/>
          </cell>
          <cell r="M3205" t="str">
            <v/>
          </cell>
        </row>
        <row r="3206">
          <cell r="A3206">
            <v>31102192</v>
          </cell>
          <cell r="C3206">
            <v>31102192</v>
          </cell>
          <cell r="D3206">
            <v>31102192</v>
          </cell>
          <cell r="E3206">
            <v>31102192</v>
          </cell>
          <cell r="F3206">
            <v>31102192</v>
          </cell>
          <cell r="G3206">
            <v>31102192</v>
          </cell>
          <cell r="H3206">
            <v>31102192</v>
          </cell>
          <cell r="I3206" t="str">
            <v/>
          </cell>
          <cell r="J3206" t="str">
            <v/>
          </cell>
          <cell r="K3206" t="str">
            <v/>
          </cell>
          <cell r="L3206" t="str">
            <v/>
          </cell>
          <cell r="M3206" t="str">
            <v/>
          </cell>
        </row>
        <row r="3207">
          <cell r="A3207">
            <v>31102192</v>
          </cell>
          <cell r="C3207">
            <v>31102192</v>
          </cell>
          <cell r="D3207">
            <v>31102192</v>
          </cell>
          <cell r="E3207">
            <v>31102192</v>
          </cell>
          <cell r="F3207">
            <v>31102192</v>
          </cell>
          <cell r="G3207">
            <v>31102192</v>
          </cell>
          <cell r="H3207">
            <v>31102192</v>
          </cell>
          <cell r="I3207" t="str">
            <v/>
          </cell>
          <cell r="J3207" t="str">
            <v/>
          </cell>
          <cell r="K3207" t="str">
            <v/>
          </cell>
          <cell r="L3207" t="str">
            <v/>
          </cell>
          <cell r="M3207" t="str">
            <v/>
          </cell>
        </row>
        <row r="3208">
          <cell r="A3208">
            <v>31102192</v>
          </cell>
          <cell r="C3208">
            <v>31102192</v>
          </cell>
          <cell r="D3208">
            <v>31102192</v>
          </cell>
          <cell r="E3208">
            <v>31102192</v>
          </cell>
          <cell r="F3208">
            <v>31102192</v>
          </cell>
          <cell r="G3208">
            <v>31102192</v>
          </cell>
          <cell r="H3208">
            <v>31102192</v>
          </cell>
          <cell r="I3208" t="str">
            <v/>
          </cell>
          <cell r="J3208" t="str">
            <v/>
          </cell>
          <cell r="K3208" t="str">
            <v/>
          </cell>
          <cell r="L3208" t="str">
            <v/>
          </cell>
          <cell r="M3208" t="str">
            <v/>
          </cell>
        </row>
        <row r="3209">
          <cell r="A3209">
            <v>31102192</v>
          </cell>
          <cell r="C3209">
            <v>31102192</v>
          </cell>
          <cell r="D3209">
            <v>31102192</v>
          </cell>
          <cell r="E3209">
            <v>31102192</v>
          </cell>
          <cell r="F3209">
            <v>31102192</v>
          </cell>
          <cell r="G3209">
            <v>31102192</v>
          </cell>
          <cell r="H3209">
            <v>31102192</v>
          </cell>
          <cell r="I3209" t="str">
            <v/>
          </cell>
          <cell r="J3209" t="str">
            <v/>
          </cell>
          <cell r="K3209" t="str">
            <v/>
          </cell>
          <cell r="L3209" t="str">
            <v/>
          </cell>
          <cell r="M3209" t="str">
            <v/>
          </cell>
        </row>
        <row r="3210">
          <cell r="A3210">
            <v>31102192</v>
          </cell>
          <cell r="C3210">
            <v>31102192</v>
          </cell>
          <cell r="D3210">
            <v>31102192</v>
          </cell>
          <cell r="E3210">
            <v>31102192</v>
          </cell>
          <cell r="F3210">
            <v>31102192</v>
          </cell>
          <cell r="G3210">
            <v>31102192</v>
          </cell>
          <cell r="H3210">
            <v>31102192</v>
          </cell>
          <cell r="I3210" t="str">
            <v/>
          </cell>
          <cell r="J3210" t="str">
            <v/>
          </cell>
          <cell r="K3210" t="str">
            <v/>
          </cell>
          <cell r="L3210" t="str">
            <v/>
          </cell>
          <cell r="M3210" t="str">
            <v/>
          </cell>
        </row>
        <row r="3211">
          <cell r="A3211">
            <v>31102192</v>
          </cell>
          <cell r="C3211">
            <v>31102192</v>
          </cell>
          <cell r="D3211">
            <v>31102192</v>
          </cell>
          <cell r="E3211">
            <v>31102192</v>
          </cell>
          <cell r="F3211">
            <v>31102192</v>
          </cell>
          <cell r="G3211">
            <v>31102192</v>
          </cell>
          <cell r="H3211">
            <v>31102192</v>
          </cell>
          <cell r="I3211" t="str">
            <v/>
          </cell>
          <cell r="J3211" t="str">
            <v/>
          </cell>
          <cell r="K3211" t="str">
            <v/>
          </cell>
          <cell r="L3211" t="str">
            <v/>
          </cell>
          <cell r="M3211" t="str">
            <v/>
          </cell>
        </row>
        <row r="3212">
          <cell r="A3212">
            <v>31102192</v>
          </cell>
          <cell r="C3212">
            <v>31102192</v>
          </cell>
          <cell r="D3212">
            <v>31102192</v>
          </cell>
          <cell r="E3212">
            <v>31102192</v>
          </cell>
          <cell r="F3212">
            <v>31102192</v>
          </cell>
          <cell r="G3212">
            <v>31102192</v>
          </cell>
          <cell r="H3212">
            <v>31102192</v>
          </cell>
          <cell r="I3212" t="str">
            <v/>
          </cell>
          <cell r="J3212" t="str">
            <v/>
          </cell>
          <cell r="K3212" t="str">
            <v/>
          </cell>
          <cell r="L3212" t="str">
            <v/>
          </cell>
          <cell r="M3212" t="str">
            <v/>
          </cell>
        </row>
        <row r="3213">
          <cell r="A3213">
            <v>31102192</v>
          </cell>
          <cell r="C3213">
            <v>31102192</v>
          </cell>
          <cell r="D3213">
            <v>31102192</v>
          </cell>
          <cell r="E3213">
            <v>31102192</v>
          </cell>
          <cell r="F3213">
            <v>31102192</v>
          </cell>
          <cell r="G3213">
            <v>31102192</v>
          </cell>
          <cell r="H3213">
            <v>31102192</v>
          </cell>
          <cell r="I3213" t="str">
            <v/>
          </cell>
          <cell r="J3213" t="str">
            <v/>
          </cell>
          <cell r="K3213" t="str">
            <v/>
          </cell>
          <cell r="L3213" t="str">
            <v/>
          </cell>
          <cell r="M3213" t="str">
            <v/>
          </cell>
        </row>
        <row r="3214">
          <cell r="A3214">
            <v>31102192</v>
          </cell>
          <cell r="C3214">
            <v>31102192</v>
          </cell>
          <cell r="D3214">
            <v>31102192</v>
          </cell>
          <cell r="E3214">
            <v>31102192</v>
          </cell>
          <cell r="F3214">
            <v>31102192</v>
          </cell>
          <cell r="G3214">
            <v>31102192</v>
          </cell>
          <cell r="H3214">
            <v>31102192</v>
          </cell>
          <cell r="I3214" t="str">
            <v/>
          </cell>
          <cell r="J3214" t="str">
            <v/>
          </cell>
          <cell r="K3214" t="str">
            <v/>
          </cell>
          <cell r="L3214" t="str">
            <v/>
          </cell>
          <cell r="M3214" t="str">
            <v/>
          </cell>
        </row>
        <row r="3215">
          <cell r="A3215">
            <v>31102192</v>
          </cell>
          <cell r="C3215">
            <v>31102192</v>
          </cell>
          <cell r="D3215">
            <v>31102192</v>
          </cell>
          <cell r="E3215">
            <v>31102192</v>
          </cell>
          <cell r="F3215">
            <v>31102192</v>
          </cell>
          <cell r="G3215">
            <v>31102192</v>
          </cell>
          <cell r="H3215">
            <v>31102192</v>
          </cell>
          <cell r="I3215" t="str">
            <v/>
          </cell>
          <cell r="J3215" t="str">
            <v/>
          </cell>
          <cell r="K3215" t="str">
            <v/>
          </cell>
          <cell r="L3215" t="str">
            <v/>
          </cell>
          <cell r="M3215" t="str">
            <v/>
          </cell>
        </row>
        <row r="3216">
          <cell r="A3216">
            <v>31102192</v>
          </cell>
          <cell r="C3216">
            <v>31102192</v>
          </cell>
          <cell r="D3216">
            <v>31102192</v>
          </cell>
          <cell r="E3216">
            <v>31102192</v>
          </cell>
          <cell r="F3216">
            <v>31102192</v>
          </cell>
          <cell r="G3216">
            <v>31102192</v>
          </cell>
          <cell r="H3216">
            <v>31102192</v>
          </cell>
          <cell r="I3216" t="str">
            <v/>
          </cell>
          <cell r="J3216" t="str">
            <v/>
          </cell>
          <cell r="K3216" t="str">
            <v/>
          </cell>
          <cell r="L3216" t="str">
            <v/>
          </cell>
          <cell r="M3216" t="str">
            <v/>
          </cell>
        </row>
        <row r="3217">
          <cell r="A3217">
            <v>31102192</v>
          </cell>
          <cell r="C3217">
            <v>31102192</v>
          </cell>
          <cell r="D3217">
            <v>31102192</v>
          </cell>
          <cell r="E3217">
            <v>31102192</v>
          </cell>
          <cell r="F3217">
            <v>31102192</v>
          </cell>
          <cell r="G3217">
            <v>31102192</v>
          </cell>
          <cell r="H3217">
            <v>31102192</v>
          </cell>
          <cell r="I3217" t="str">
            <v/>
          </cell>
          <cell r="J3217" t="str">
            <v/>
          </cell>
          <cell r="K3217" t="str">
            <v/>
          </cell>
          <cell r="L3217" t="str">
            <v/>
          </cell>
          <cell r="M3217" t="str">
            <v/>
          </cell>
        </row>
        <row r="3218">
          <cell r="A3218">
            <v>31102192</v>
          </cell>
          <cell r="C3218">
            <v>31102192</v>
          </cell>
          <cell r="D3218">
            <v>31102192</v>
          </cell>
          <cell r="E3218">
            <v>31102192</v>
          </cell>
          <cell r="F3218">
            <v>31102192</v>
          </cell>
          <cell r="G3218">
            <v>31102192</v>
          </cell>
          <cell r="H3218">
            <v>31102192</v>
          </cell>
          <cell r="I3218" t="str">
            <v/>
          </cell>
          <cell r="J3218" t="str">
            <v/>
          </cell>
          <cell r="K3218" t="str">
            <v/>
          </cell>
          <cell r="L3218" t="str">
            <v/>
          </cell>
          <cell r="M3218" t="str">
            <v/>
          </cell>
        </row>
        <row r="3219">
          <cell r="A3219">
            <v>31102192</v>
          </cell>
          <cell r="C3219">
            <v>31102192</v>
          </cell>
          <cell r="D3219">
            <v>31102192</v>
          </cell>
          <cell r="E3219">
            <v>31102192</v>
          </cell>
          <cell r="F3219">
            <v>31102192</v>
          </cell>
          <cell r="G3219">
            <v>31102192</v>
          </cell>
          <cell r="H3219">
            <v>31102192</v>
          </cell>
          <cell r="I3219" t="str">
            <v/>
          </cell>
          <cell r="J3219" t="str">
            <v/>
          </cell>
          <cell r="K3219" t="str">
            <v/>
          </cell>
          <cell r="L3219" t="str">
            <v/>
          </cell>
          <cell r="M3219" t="str">
            <v/>
          </cell>
        </row>
        <row r="3220">
          <cell r="A3220">
            <v>31102192</v>
          </cell>
          <cell r="C3220">
            <v>31102192</v>
          </cell>
          <cell r="D3220">
            <v>31102192</v>
          </cell>
          <cell r="E3220">
            <v>31102192</v>
          </cell>
          <cell r="F3220">
            <v>31102192</v>
          </cell>
          <cell r="G3220">
            <v>31102192</v>
          </cell>
          <cell r="H3220">
            <v>31102192</v>
          </cell>
          <cell r="I3220" t="str">
            <v/>
          </cell>
          <cell r="J3220" t="str">
            <v/>
          </cell>
          <cell r="K3220" t="str">
            <v/>
          </cell>
          <cell r="L3220" t="str">
            <v/>
          </cell>
          <cell r="M3220" t="str">
            <v/>
          </cell>
        </row>
        <row r="3221">
          <cell r="A3221">
            <v>31102192</v>
          </cell>
          <cell r="C3221">
            <v>31102192</v>
          </cell>
          <cell r="D3221">
            <v>31102192</v>
          </cell>
          <cell r="E3221">
            <v>31102192</v>
          </cell>
          <cell r="F3221">
            <v>31102192</v>
          </cell>
          <cell r="G3221">
            <v>31102192</v>
          </cell>
          <cell r="H3221">
            <v>31102192</v>
          </cell>
          <cell r="I3221" t="str">
            <v/>
          </cell>
          <cell r="J3221" t="str">
            <v/>
          </cell>
          <cell r="K3221" t="str">
            <v/>
          </cell>
          <cell r="L3221" t="str">
            <v/>
          </cell>
          <cell r="M3221" t="str">
            <v/>
          </cell>
        </row>
        <row r="3222">
          <cell r="A3222">
            <v>31102192</v>
          </cell>
          <cell r="C3222">
            <v>31102192</v>
          </cell>
          <cell r="D3222">
            <v>31102192</v>
          </cell>
          <cell r="E3222">
            <v>31102192</v>
          </cell>
          <cell r="F3222">
            <v>31102192</v>
          </cell>
          <cell r="G3222">
            <v>31102192</v>
          </cell>
          <cell r="H3222">
            <v>31102192</v>
          </cell>
          <cell r="I3222" t="str">
            <v/>
          </cell>
          <cell r="J3222" t="str">
            <v/>
          </cell>
          <cell r="K3222" t="str">
            <v/>
          </cell>
          <cell r="L3222" t="str">
            <v/>
          </cell>
          <cell r="M3222" t="str">
            <v/>
          </cell>
        </row>
        <row r="3223">
          <cell r="A3223">
            <v>31102192</v>
          </cell>
          <cell r="C3223">
            <v>31102192</v>
          </cell>
          <cell r="D3223">
            <v>31102192</v>
          </cell>
          <cell r="E3223">
            <v>31102192</v>
          </cell>
          <cell r="F3223">
            <v>31102192</v>
          </cell>
          <cell r="G3223">
            <v>31102192</v>
          </cell>
          <cell r="H3223">
            <v>31102192</v>
          </cell>
          <cell r="I3223" t="str">
            <v/>
          </cell>
          <cell r="J3223" t="str">
            <v/>
          </cell>
          <cell r="K3223" t="str">
            <v/>
          </cell>
          <cell r="L3223" t="str">
            <v/>
          </cell>
          <cell r="M3223" t="str">
            <v/>
          </cell>
        </row>
        <row r="3224">
          <cell r="A3224">
            <v>31102192</v>
          </cell>
          <cell r="C3224">
            <v>31102192</v>
          </cell>
          <cell r="D3224">
            <v>31102192</v>
          </cell>
          <cell r="E3224">
            <v>31102192</v>
          </cell>
          <cell r="F3224">
            <v>31102192</v>
          </cell>
          <cell r="G3224">
            <v>31102192</v>
          </cell>
          <cell r="H3224">
            <v>31102192</v>
          </cell>
          <cell r="I3224" t="str">
            <v/>
          </cell>
          <cell r="J3224" t="str">
            <v/>
          </cell>
          <cell r="K3224" t="str">
            <v/>
          </cell>
          <cell r="L3224" t="str">
            <v/>
          </cell>
          <cell r="M3224" t="str">
            <v/>
          </cell>
        </row>
        <row r="3225">
          <cell r="A3225">
            <v>31102192</v>
          </cell>
          <cell r="C3225">
            <v>31102192</v>
          </cell>
          <cell r="D3225">
            <v>31102192</v>
          </cell>
          <cell r="E3225">
            <v>31102192</v>
          </cell>
          <cell r="F3225">
            <v>31102192</v>
          </cell>
          <cell r="G3225">
            <v>31102192</v>
          </cell>
          <cell r="H3225">
            <v>31102192</v>
          </cell>
          <cell r="I3225" t="str">
            <v/>
          </cell>
          <cell r="J3225" t="str">
            <v/>
          </cell>
          <cell r="K3225" t="str">
            <v/>
          </cell>
          <cell r="L3225" t="str">
            <v/>
          </cell>
          <cell r="M3225" t="str">
            <v/>
          </cell>
        </row>
        <row r="3226">
          <cell r="A3226">
            <v>31102192</v>
          </cell>
          <cell r="C3226">
            <v>31102192</v>
          </cell>
          <cell r="D3226">
            <v>31102192</v>
          </cell>
          <cell r="E3226">
            <v>31102192</v>
          </cell>
          <cell r="F3226">
            <v>31102192</v>
          </cell>
          <cell r="G3226">
            <v>31102192</v>
          </cell>
          <cell r="H3226">
            <v>31102192</v>
          </cell>
          <cell r="I3226" t="str">
            <v/>
          </cell>
          <cell r="J3226" t="str">
            <v/>
          </cell>
          <cell r="K3226" t="str">
            <v/>
          </cell>
          <cell r="L3226" t="str">
            <v/>
          </cell>
          <cell r="M3226" t="str">
            <v/>
          </cell>
        </row>
        <row r="3227">
          <cell r="A3227">
            <v>31102192</v>
          </cell>
          <cell r="C3227">
            <v>31102192</v>
          </cell>
          <cell r="D3227">
            <v>31102192</v>
          </cell>
          <cell r="E3227">
            <v>31102192</v>
          </cell>
          <cell r="F3227">
            <v>31102192</v>
          </cell>
          <cell r="G3227">
            <v>31102192</v>
          </cell>
          <cell r="H3227">
            <v>31102192</v>
          </cell>
          <cell r="I3227" t="str">
            <v/>
          </cell>
          <cell r="J3227" t="str">
            <v/>
          </cell>
          <cell r="K3227" t="str">
            <v/>
          </cell>
          <cell r="L3227" t="str">
            <v/>
          </cell>
          <cell r="M3227" t="str">
            <v/>
          </cell>
        </row>
        <row r="3228">
          <cell r="A3228">
            <v>31102192</v>
          </cell>
          <cell r="C3228">
            <v>31102192</v>
          </cell>
          <cell r="D3228">
            <v>31102192</v>
          </cell>
          <cell r="E3228">
            <v>31102192</v>
          </cell>
          <cell r="F3228">
            <v>31102192</v>
          </cell>
          <cell r="G3228">
            <v>31102192</v>
          </cell>
          <cell r="H3228">
            <v>31102192</v>
          </cell>
          <cell r="I3228" t="str">
            <v/>
          </cell>
          <cell r="J3228" t="str">
            <v/>
          </cell>
          <cell r="K3228" t="str">
            <v/>
          </cell>
          <cell r="L3228" t="str">
            <v/>
          </cell>
          <cell r="M3228" t="str">
            <v/>
          </cell>
        </row>
        <row r="3229">
          <cell r="A3229">
            <v>31102192</v>
          </cell>
          <cell r="C3229">
            <v>31102192</v>
          </cell>
          <cell r="D3229">
            <v>31102192</v>
          </cell>
          <cell r="E3229">
            <v>31102192</v>
          </cell>
          <cell r="F3229">
            <v>31102192</v>
          </cell>
          <cell r="G3229">
            <v>31102192</v>
          </cell>
          <cell r="H3229">
            <v>31102192</v>
          </cell>
          <cell r="I3229" t="str">
            <v/>
          </cell>
          <cell r="J3229" t="str">
            <v/>
          </cell>
          <cell r="K3229" t="str">
            <v/>
          </cell>
          <cell r="L3229" t="str">
            <v/>
          </cell>
          <cell r="M3229" t="str">
            <v/>
          </cell>
        </row>
        <row r="3230">
          <cell r="A3230">
            <v>31102192</v>
          </cell>
          <cell r="C3230">
            <v>31102192</v>
          </cell>
          <cell r="D3230">
            <v>31102192</v>
          </cell>
          <cell r="E3230">
            <v>31102192</v>
          </cell>
          <cell r="F3230">
            <v>31102192</v>
          </cell>
          <cell r="G3230">
            <v>31102192</v>
          </cell>
          <cell r="H3230">
            <v>31102192</v>
          </cell>
          <cell r="I3230" t="str">
            <v/>
          </cell>
          <cell r="J3230" t="str">
            <v/>
          </cell>
          <cell r="K3230" t="str">
            <v/>
          </cell>
          <cell r="L3230" t="str">
            <v/>
          </cell>
          <cell r="M3230" t="str">
            <v/>
          </cell>
        </row>
        <row r="3231">
          <cell r="A3231">
            <v>31102192</v>
          </cell>
          <cell r="C3231">
            <v>31102192</v>
          </cell>
          <cell r="D3231">
            <v>31102192</v>
          </cell>
          <cell r="E3231">
            <v>31102192</v>
          </cell>
          <cell r="F3231">
            <v>31102192</v>
          </cell>
          <cell r="G3231">
            <v>31102192</v>
          </cell>
          <cell r="H3231">
            <v>31102192</v>
          </cell>
          <cell r="I3231" t="str">
            <v/>
          </cell>
          <cell r="J3231" t="str">
            <v/>
          </cell>
          <cell r="K3231" t="str">
            <v/>
          </cell>
          <cell r="L3231" t="str">
            <v/>
          </cell>
          <cell r="M3231" t="str">
            <v/>
          </cell>
        </row>
        <row r="3232">
          <cell r="A3232">
            <v>31102192</v>
          </cell>
          <cell r="C3232">
            <v>31102192</v>
          </cell>
          <cell r="D3232">
            <v>31102192</v>
          </cell>
          <cell r="E3232">
            <v>31102192</v>
          </cell>
          <cell r="F3232">
            <v>31102192</v>
          </cell>
          <cell r="G3232">
            <v>31102192</v>
          </cell>
          <cell r="H3232">
            <v>31102192</v>
          </cell>
          <cell r="I3232" t="str">
            <v/>
          </cell>
          <cell r="J3232" t="str">
            <v/>
          </cell>
          <cell r="K3232" t="str">
            <v/>
          </cell>
          <cell r="L3232" t="str">
            <v/>
          </cell>
          <cell r="M3232" t="str">
            <v/>
          </cell>
        </row>
        <row r="3233">
          <cell r="A3233">
            <v>31102192</v>
          </cell>
          <cell r="C3233">
            <v>31102192</v>
          </cell>
          <cell r="D3233">
            <v>31102192</v>
          </cell>
          <cell r="E3233">
            <v>31102192</v>
          </cell>
          <cell r="F3233">
            <v>31102192</v>
          </cell>
          <cell r="G3233">
            <v>31102192</v>
          </cell>
          <cell r="H3233">
            <v>31102192</v>
          </cell>
          <cell r="I3233" t="str">
            <v/>
          </cell>
          <cell r="J3233" t="str">
            <v/>
          </cell>
          <cell r="K3233" t="str">
            <v/>
          </cell>
          <cell r="L3233" t="str">
            <v/>
          </cell>
          <cell r="M3233" t="str">
            <v/>
          </cell>
        </row>
        <row r="3234">
          <cell r="A3234">
            <v>31102192</v>
          </cell>
          <cell r="C3234">
            <v>31102192</v>
          </cell>
          <cell r="D3234">
            <v>31102192</v>
          </cell>
          <cell r="E3234">
            <v>31102192</v>
          </cell>
          <cell r="F3234">
            <v>31102192</v>
          </cell>
          <cell r="G3234">
            <v>31102192</v>
          </cell>
          <cell r="H3234">
            <v>31102192</v>
          </cell>
          <cell r="I3234" t="str">
            <v/>
          </cell>
          <cell r="J3234" t="str">
            <v/>
          </cell>
          <cell r="K3234" t="str">
            <v/>
          </cell>
          <cell r="L3234" t="str">
            <v/>
          </cell>
          <cell r="M3234" t="str">
            <v/>
          </cell>
        </row>
        <row r="3235">
          <cell r="A3235">
            <v>31102192</v>
          </cell>
          <cell r="C3235">
            <v>31102192</v>
          </cell>
          <cell r="D3235">
            <v>31102192</v>
          </cell>
          <cell r="E3235">
            <v>31102192</v>
          </cell>
          <cell r="F3235">
            <v>31102192</v>
          </cell>
          <cell r="G3235">
            <v>31102192</v>
          </cell>
          <cell r="H3235">
            <v>31102192</v>
          </cell>
          <cell r="I3235" t="str">
            <v/>
          </cell>
          <cell r="J3235" t="str">
            <v/>
          </cell>
          <cell r="K3235" t="str">
            <v/>
          </cell>
          <cell r="L3235" t="str">
            <v/>
          </cell>
          <cell r="M3235" t="str">
            <v/>
          </cell>
        </row>
        <row r="3236">
          <cell r="A3236">
            <v>31102192</v>
          </cell>
          <cell r="C3236">
            <v>31102192</v>
          </cell>
          <cell r="D3236">
            <v>31102192</v>
          </cell>
          <cell r="E3236">
            <v>31102192</v>
          </cell>
          <cell r="F3236">
            <v>31102192</v>
          </cell>
          <cell r="G3236">
            <v>31102192</v>
          </cell>
          <cell r="H3236">
            <v>31102192</v>
          </cell>
          <cell r="I3236" t="str">
            <v/>
          </cell>
          <cell r="J3236" t="str">
            <v/>
          </cell>
          <cell r="K3236" t="str">
            <v/>
          </cell>
          <cell r="L3236" t="str">
            <v/>
          </cell>
          <cell r="M3236" t="str">
            <v/>
          </cell>
        </row>
        <row r="3237">
          <cell r="A3237">
            <v>31102192</v>
          </cell>
          <cell r="C3237">
            <v>31102192</v>
          </cell>
          <cell r="D3237">
            <v>31102192</v>
          </cell>
          <cell r="E3237">
            <v>31102192</v>
          </cell>
          <cell r="F3237">
            <v>31102192</v>
          </cell>
          <cell r="G3237">
            <v>31102192</v>
          </cell>
          <cell r="H3237">
            <v>31102192</v>
          </cell>
          <cell r="I3237" t="str">
            <v/>
          </cell>
          <cell r="J3237" t="str">
            <v/>
          </cell>
          <cell r="K3237" t="str">
            <v/>
          </cell>
          <cell r="L3237" t="str">
            <v/>
          </cell>
          <cell r="M3237" t="str">
            <v/>
          </cell>
        </row>
        <row r="3238">
          <cell r="A3238">
            <v>31102192</v>
          </cell>
          <cell r="C3238">
            <v>31102192</v>
          </cell>
          <cell r="D3238">
            <v>31102192</v>
          </cell>
          <cell r="E3238">
            <v>31102192</v>
          </cell>
          <cell r="F3238">
            <v>31102192</v>
          </cell>
          <cell r="G3238">
            <v>31102192</v>
          </cell>
          <cell r="H3238">
            <v>31102192</v>
          </cell>
          <cell r="I3238" t="str">
            <v/>
          </cell>
          <cell r="J3238" t="str">
            <v/>
          </cell>
          <cell r="K3238" t="str">
            <v/>
          </cell>
          <cell r="L3238" t="str">
            <v/>
          </cell>
          <cell r="M3238" t="str">
            <v/>
          </cell>
        </row>
        <row r="3239">
          <cell r="A3239">
            <v>31102192</v>
          </cell>
          <cell r="C3239">
            <v>31102192</v>
          </cell>
          <cell r="D3239">
            <v>31102192</v>
          </cell>
          <cell r="E3239">
            <v>31102192</v>
          </cell>
          <cell r="F3239">
            <v>31102192</v>
          </cell>
          <cell r="G3239">
            <v>31102192</v>
          </cell>
          <cell r="H3239">
            <v>31102192</v>
          </cell>
          <cell r="I3239" t="str">
            <v/>
          </cell>
          <cell r="J3239" t="str">
            <v/>
          </cell>
          <cell r="K3239" t="str">
            <v/>
          </cell>
          <cell r="L3239" t="str">
            <v/>
          </cell>
          <cell r="M3239" t="str">
            <v/>
          </cell>
        </row>
        <row r="3240">
          <cell r="A3240">
            <v>31102192</v>
          </cell>
          <cell r="C3240">
            <v>31102192</v>
          </cell>
          <cell r="D3240">
            <v>31102192</v>
          </cell>
          <cell r="E3240">
            <v>31102192</v>
          </cell>
          <cell r="F3240">
            <v>31102192</v>
          </cell>
          <cell r="G3240">
            <v>31102192</v>
          </cell>
          <cell r="H3240">
            <v>31102192</v>
          </cell>
          <cell r="I3240" t="str">
            <v/>
          </cell>
          <cell r="J3240" t="str">
            <v/>
          </cell>
          <cell r="K3240" t="str">
            <v/>
          </cell>
          <cell r="L3240" t="str">
            <v/>
          </cell>
          <cell r="M3240" t="str">
            <v/>
          </cell>
        </row>
        <row r="3241">
          <cell r="A3241">
            <v>31102192</v>
          </cell>
          <cell r="C3241">
            <v>31102192</v>
          </cell>
          <cell r="D3241">
            <v>31102192</v>
          </cell>
          <cell r="E3241">
            <v>31102192</v>
          </cell>
          <cell r="F3241">
            <v>31102192</v>
          </cell>
          <cell r="G3241">
            <v>31102192</v>
          </cell>
          <cell r="H3241">
            <v>31102192</v>
          </cell>
          <cell r="I3241" t="str">
            <v/>
          </cell>
          <cell r="J3241" t="str">
            <v/>
          </cell>
          <cell r="K3241" t="str">
            <v/>
          </cell>
          <cell r="L3241" t="str">
            <v/>
          </cell>
          <cell r="M3241" t="str">
            <v/>
          </cell>
        </row>
        <row r="3242">
          <cell r="A3242">
            <v>31102192</v>
          </cell>
          <cell r="C3242">
            <v>31102192</v>
          </cell>
          <cell r="D3242">
            <v>31102192</v>
          </cell>
          <cell r="E3242">
            <v>31102192</v>
          </cell>
          <cell r="F3242">
            <v>31102192</v>
          </cell>
          <cell r="G3242">
            <v>31102192</v>
          </cell>
          <cell r="H3242">
            <v>31102192</v>
          </cell>
          <cell r="I3242" t="str">
            <v/>
          </cell>
          <cell r="J3242" t="str">
            <v/>
          </cell>
          <cell r="K3242" t="str">
            <v/>
          </cell>
          <cell r="L3242" t="str">
            <v/>
          </cell>
          <cell r="M3242" t="str">
            <v/>
          </cell>
        </row>
        <row r="3243">
          <cell r="A3243">
            <v>31102192</v>
          </cell>
          <cell r="C3243">
            <v>31102192</v>
          </cell>
          <cell r="D3243">
            <v>31102192</v>
          </cell>
          <cell r="E3243">
            <v>31102192</v>
          </cell>
          <cell r="F3243">
            <v>31102192</v>
          </cell>
          <cell r="G3243">
            <v>31102192</v>
          </cell>
          <cell r="H3243">
            <v>31102192</v>
          </cell>
          <cell r="I3243" t="str">
            <v/>
          </cell>
          <cell r="J3243" t="str">
            <v/>
          </cell>
          <cell r="K3243" t="str">
            <v/>
          </cell>
          <cell r="L3243" t="str">
            <v/>
          </cell>
          <cell r="M3243" t="str">
            <v/>
          </cell>
        </row>
        <row r="3244">
          <cell r="A3244">
            <v>31102192</v>
          </cell>
          <cell r="C3244">
            <v>31102192</v>
          </cell>
          <cell r="D3244">
            <v>31102192</v>
          </cell>
          <cell r="E3244">
            <v>31102192</v>
          </cell>
          <cell r="F3244">
            <v>31102192</v>
          </cell>
          <cell r="G3244">
            <v>31102192</v>
          </cell>
          <cell r="H3244">
            <v>31102192</v>
          </cell>
          <cell r="I3244" t="str">
            <v/>
          </cell>
          <cell r="J3244" t="str">
            <v/>
          </cell>
          <cell r="K3244" t="str">
            <v/>
          </cell>
          <cell r="L3244" t="str">
            <v/>
          </cell>
          <cell r="M3244" t="str">
            <v/>
          </cell>
        </row>
        <row r="3245">
          <cell r="A3245">
            <v>31102192</v>
          </cell>
          <cell r="C3245">
            <v>31102192</v>
          </cell>
          <cell r="D3245">
            <v>31102192</v>
          </cell>
          <cell r="E3245">
            <v>31102192</v>
          </cell>
          <cell r="F3245">
            <v>31102192</v>
          </cell>
          <cell r="G3245">
            <v>31102192</v>
          </cell>
          <cell r="H3245">
            <v>31102192</v>
          </cell>
          <cell r="I3245" t="str">
            <v/>
          </cell>
          <cell r="J3245" t="str">
            <v/>
          </cell>
          <cell r="K3245" t="str">
            <v/>
          </cell>
          <cell r="L3245" t="str">
            <v/>
          </cell>
          <cell r="M3245" t="str">
            <v/>
          </cell>
        </row>
        <row r="3246">
          <cell r="A3246">
            <v>31102192</v>
          </cell>
          <cell r="C3246">
            <v>31102192</v>
          </cell>
          <cell r="D3246">
            <v>31102192</v>
          </cell>
          <cell r="E3246">
            <v>31102192</v>
          </cell>
          <cell r="F3246">
            <v>31102192</v>
          </cell>
          <cell r="G3246">
            <v>31102192</v>
          </cell>
          <cell r="H3246">
            <v>31102192</v>
          </cell>
          <cell r="I3246" t="str">
            <v/>
          </cell>
          <cell r="J3246" t="str">
            <v/>
          </cell>
          <cell r="K3246" t="str">
            <v/>
          </cell>
          <cell r="L3246" t="str">
            <v/>
          </cell>
          <cell r="M3246" t="str">
            <v/>
          </cell>
        </row>
        <row r="3247">
          <cell r="A3247">
            <v>31102192</v>
          </cell>
          <cell r="C3247">
            <v>31102192</v>
          </cell>
          <cell r="D3247">
            <v>31102192</v>
          </cell>
          <cell r="E3247">
            <v>31102192</v>
          </cell>
          <cell r="F3247">
            <v>31102192</v>
          </cell>
          <cell r="G3247">
            <v>31102192</v>
          </cell>
          <cell r="H3247">
            <v>31102192</v>
          </cell>
          <cell r="I3247" t="str">
            <v/>
          </cell>
          <cell r="J3247" t="str">
            <v/>
          </cell>
          <cell r="K3247" t="str">
            <v/>
          </cell>
          <cell r="L3247" t="str">
            <v/>
          </cell>
          <cell r="M3247" t="str">
            <v/>
          </cell>
        </row>
        <row r="3248">
          <cell r="A3248">
            <v>31102192</v>
          </cell>
          <cell r="C3248">
            <v>31102192</v>
          </cell>
          <cell r="D3248">
            <v>31102192</v>
          </cell>
          <cell r="E3248">
            <v>31102192</v>
          </cell>
          <cell r="F3248">
            <v>31102192</v>
          </cell>
          <cell r="G3248">
            <v>31102192</v>
          </cell>
          <cell r="H3248">
            <v>31102192</v>
          </cell>
          <cell r="I3248" t="str">
            <v/>
          </cell>
          <cell r="J3248" t="str">
            <v/>
          </cell>
          <cell r="K3248" t="str">
            <v/>
          </cell>
          <cell r="L3248" t="str">
            <v/>
          </cell>
          <cell r="M3248" t="str">
            <v/>
          </cell>
        </row>
        <row r="3249">
          <cell r="A3249">
            <v>31102192</v>
          </cell>
          <cell r="C3249">
            <v>31102192</v>
          </cell>
          <cell r="D3249">
            <v>31102192</v>
          </cell>
          <cell r="E3249">
            <v>31102192</v>
          </cell>
          <cell r="F3249">
            <v>31102192</v>
          </cell>
          <cell r="G3249">
            <v>31102192</v>
          </cell>
          <cell r="H3249">
            <v>31102192</v>
          </cell>
          <cell r="I3249" t="str">
            <v/>
          </cell>
          <cell r="J3249" t="str">
            <v/>
          </cell>
          <cell r="K3249" t="str">
            <v/>
          </cell>
          <cell r="L3249" t="str">
            <v/>
          </cell>
          <cell r="M3249" t="str">
            <v/>
          </cell>
        </row>
        <row r="3250">
          <cell r="A3250">
            <v>31102192</v>
          </cell>
          <cell r="C3250">
            <v>31102192</v>
          </cell>
          <cell r="D3250">
            <v>31102192</v>
          </cell>
          <cell r="E3250">
            <v>31102192</v>
          </cell>
          <cell r="F3250">
            <v>31102192</v>
          </cell>
          <cell r="G3250">
            <v>31102192</v>
          </cell>
          <cell r="H3250">
            <v>31102192</v>
          </cell>
          <cell r="I3250" t="str">
            <v/>
          </cell>
          <cell r="J3250" t="str">
            <v/>
          </cell>
          <cell r="K3250" t="str">
            <v/>
          </cell>
          <cell r="L3250" t="str">
            <v/>
          </cell>
          <cell r="M3250" t="str">
            <v/>
          </cell>
        </row>
        <row r="3251">
          <cell r="A3251">
            <v>31102192</v>
          </cell>
          <cell r="C3251">
            <v>31102192</v>
          </cell>
          <cell r="D3251">
            <v>31102192</v>
          </cell>
          <cell r="E3251">
            <v>31102192</v>
          </cell>
          <cell r="F3251">
            <v>31102192</v>
          </cell>
          <cell r="G3251">
            <v>31102192</v>
          </cell>
          <cell r="H3251">
            <v>31102192</v>
          </cell>
          <cell r="I3251" t="str">
            <v/>
          </cell>
          <cell r="J3251" t="str">
            <v/>
          </cell>
          <cell r="K3251" t="str">
            <v/>
          </cell>
          <cell r="L3251" t="str">
            <v/>
          </cell>
          <cell r="M3251" t="str">
            <v/>
          </cell>
        </row>
        <row r="3252">
          <cell r="A3252">
            <v>31102192</v>
          </cell>
          <cell r="C3252">
            <v>31102192</v>
          </cell>
          <cell r="D3252">
            <v>31102192</v>
          </cell>
          <cell r="E3252">
            <v>31102192</v>
          </cell>
          <cell r="F3252">
            <v>31102192</v>
          </cell>
          <cell r="G3252">
            <v>31102192</v>
          </cell>
          <cell r="H3252">
            <v>31102192</v>
          </cell>
          <cell r="I3252" t="str">
            <v/>
          </cell>
          <cell r="J3252" t="str">
            <v/>
          </cell>
          <cell r="K3252" t="str">
            <v/>
          </cell>
          <cell r="L3252" t="str">
            <v/>
          </cell>
          <cell r="M3252" t="str">
            <v/>
          </cell>
        </row>
        <row r="3253">
          <cell r="A3253">
            <v>31102192</v>
          </cell>
          <cell r="C3253">
            <v>31102192</v>
          </cell>
          <cell r="D3253">
            <v>31102192</v>
          </cell>
          <cell r="E3253">
            <v>31102192</v>
          </cell>
          <cell r="F3253">
            <v>31102192</v>
          </cell>
          <cell r="G3253">
            <v>31102192</v>
          </cell>
          <cell r="H3253">
            <v>31102192</v>
          </cell>
          <cell r="I3253" t="str">
            <v/>
          </cell>
          <cell r="J3253" t="str">
            <v/>
          </cell>
          <cell r="K3253" t="str">
            <v/>
          </cell>
          <cell r="L3253" t="str">
            <v/>
          </cell>
          <cell r="M3253" t="str">
            <v/>
          </cell>
        </row>
        <row r="3254">
          <cell r="A3254">
            <v>31102192</v>
          </cell>
          <cell r="C3254">
            <v>31102192</v>
          </cell>
          <cell r="D3254">
            <v>31102192</v>
          </cell>
          <cell r="E3254">
            <v>31102192</v>
          </cell>
          <cell r="F3254">
            <v>31102192</v>
          </cell>
          <cell r="G3254">
            <v>31102192</v>
          </cell>
          <cell r="H3254">
            <v>31102192</v>
          </cell>
          <cell r="I3254" t="str">
            <v/>
          </cell>
          <cell r="J3254" t="str">
            <v/>
          </cell>
          <cell r="K3254" t="str">
            <v/>
          </cell>
          <cell r="L3254" t="str">
            <v/>
          </cell>
          <cell r="M3254" t="str">
            <v/>
          </cell>
        </row>
        <row r="3255">
          <cell r="A3255">
            <v>31102192</v>
          </cell>
          <cell r="C3255">
            <v>31102192</v>
          </cell>
          <cell r="D3255">
            <v>31102192</v>
          </cell>
          <cell r="E3255">
            <v>31102192</v>
          </cell>
          <cell r="F3255">
            <v>31102192</v>
          </cell>
          <cell r="G3255">
            <v>31102192</v>
          </cell>
          <cell r="H3255">
            <v>31102192</v>
          </cell>
          <cell r="I3255" t="str">
            <v/>
          </cell>
          <cell r="J3255" t="str">
            <v/>
          </cell>
          <cell r="K3255" t="str">
            <v/>
          </cell>
          <cell r="L3255" t="str">
            <v/>
          </cell>
          <cell r="M3255" t="str">
            <v/>
          </cell>
        </row>
        <row r="3256">
          <cell r="A3256">
            <v>31102192</v>
          </cell>
          <cell r="C3256">
            <v>31102192</v>
          </cell>
          <cell r="D3256">
            <v>31102192</v>
          </cell>
          <cell r="E3256">
            <v>31102192</v>
          </cell>
          <cell r="F3256">
            <v>31102192</v>
          </cell>
          <cell r="G3256">
            <v>31102192</v>
          </cell>
          <cell r="H3256">
            <v>31102192</v>
          </cell>
          <cell r="I3256" t="str">
            <v/>
          </cell>
          <cell r="J3256" t="str">
            <v/>
          </cell>
          <cell r="K3256" t="str">
            <v/>
          </cell>
          <cell r="L3256" t="str">
            <v/>
          </cell>
          <cell r="M3256" t="str">
            <v/>
          </cell>
        </row>
        <row r="3257">
          <cell r="A3257">
            <v>31102192</v>
          </cell>
          <cell r="C3257">
            <v>31102192</v>
          </cell>
          <cell r="D3257">
            <v>31102192</v>
          </cell>
          <cell r="E3257">
            <v>31102192</v>
          </cell>
          <cell r="F3257">
            <v>31102192</v>
          </cell>
          <cell r="G3257">
            <v>31102192</v>
          </cell>
          <cell r="H3257">
            <v>31102192</v>
          </cell>
          <cell r="I3257" t="str">
            <v/>
          </cell>
          <cell r="J3257" t="str">
            <v/>
          </cell>
          <cell r="K3257" t="str">
            <v/>
          </cell>
          <cell r="L3257" t="str">
            <v/>
          </cell>
          <cell r="M3257" t="str">
            <v/>
          </cell>
        </row>
        <row r="3258">
          <cell r="A3258">
            <v>31102192</v>
          </cell>
          <cell r="C3258">
            <v>31102192</v>
          </cell>
          <cell r="D3258">
            <v>31102192</v>
          </cell>
          <cell r="E3258">
            <v>31102192</v>
          </cell>
          <cell r="F3258">
            <v>31102192</v>
          </cell>
          <cell r="G3258">
            <v>31102192</v>
          </cell>
          <cell r="H3258">
            <v>31102192</v>
          </cell>
          <cell r="I3258" t="str">
            <v/>
          </cell>
          <cell r="J3258" t="str">
            <v/>
          </cell>
          <cell r="K3258" t="str">
            <v/>
          </cell>
          <cell r="L3258" t="str">
            <v/>
          </cell>
          <cell r="M3258" t="str">
            <v/>
          </cell>
        </row>
        <row r="3259">
          <cell r="A3259">
            <v>31102192</v>
          </cell>
          <cell r="C3259">
            <v>31102192</v>
          </cell>
          <cell r="D3259">
            <v>31102192</v>
          </cell>
          <cell r="E3259">
            <v>31102192</v>
          </cell>
          <cell r="F3259">
            <v>31102192</v>
          </cell>
          <cell r="G3259">
            <v>31102192</v>
          </cell>
          <cell r="H3259">
            <v>31102192</v>
          </cell>
          <cell r="I3259" t="str">
            <v/>
          </cell>
          <cell r="J3259" t="str">
            <v/>
          </cell>
          <cell r="K3259" t="str">
            <v/>
          </cell>
          <cell r="L3259" t="str">
            <v/>
          </cell>
          <cell r="M3259" t="str">
            <v/>
          </cell>
        </row>
        <row r="3260">
          <cell r="A3260">
            <v>31102192</v>
          </cell>
          <cell r="C3260">
            <v>31102192</v>
          </cell>
          <cell r="D3260">
            <v>31102192</v>
          </cell>
          <cell r="E3260">
            <v>31102192</v>
          </cell>
          <cell r="F3260">
            <v>31102192</v>
          </cell>
          <cell r="G3260">
            <v>31102192</v>
          </cell>
          <cell r="H3260">
            <v>31102192</v>
          </cell>
          <cell r="I3260" t="str">
            <v/>
          </cell>
          <cell r="J3260" t="str">
            <v/>
          </cell>
          <cell r="K3260" t="str">
            <v/>
          </cell>
          <cell r="L3260" t="str">
            <v/>
          </cell>
          <cell r="M3260" t="str">
            <v/>
          </cell>
        </row>
        <row r="3261">
          <cell r="A3261">
            <v>31102192</v>
          </cell>
          <cell r="C3261">
            <v>31102192</v>
          </cell>
          <cell r="D3261">
            <v>31102192</v>
          </cell>
          <cell r="E3261">
            <v>31102192</v>
          </cell>
          <cell r="F3261">
            <v>31102192</v>
          </cell>
          <cell r="G3261">
            <v>31102192</v>
          </cell>
          <cell r="H3261">
            <v>31102192</v>
          </cell>
          <cell r="I3261" t="str">
            <v/>
          </cell>
          <cell r="J3261" t="str">
            <v/>
          </cell>
          <cell r="K3261" t="str">
            <v/>
          </cell>
          <cell r="L3261" t="str">
            <v/>
          </cell>
          <cell r="M3261" t="str">
            <v/>
          </cell>
        </row>
        <row r="3262">
          <cell r="A3262">
            <v>31102192</v>
          </cell>
          <cell r="C3262">
            <v>31102192</v>
          </cell>
          <cell r="D3262">
            <v>31102192</v>
          </cell>
          <cell r="E3262">
            <v>31102192</v>
          </cell>
          <cell r="F3262">
            <v>31102192</v>
          </cell>
          <cell r="G3262">
            <v>31102192</v>
          </cell>
          <cell r="H3262">
            <v>31102192</v>
          </cell>
          <cell r="I3262" t="str">
            <v/>
          </cell>
          <cell r="J3262" t="str">
            <v/>
          </cell>
          <cell r="K3262" t="str">
            <v/>
          </cell>
          <cell r="L3262" t="str">
            <v/>
          </cell>
          <cell r="M3262" t="str">
            <v/>
          </cell>
        </row>
        <row r="3263">
          <cell r="A3263">
            <v>31102192</v>
          </cell>
          <cell r="C3263">
            <v>31102192</v>
          </cell>
          <cell r="D3263">
            <v>31102192</v>
          </cell>
          <cell r="E3263">
            <v>31102192</v>
          </cell>
          <cell r="F3263">
            <v>31102192</v>
          </cell>
          <cell r="G3263">
            <v>31102192</v>
          </cell>
          <cell r="H3263">
            <v>31102192</v>
          </cell>
          <cell r="I3263" t="str">
            <v/>
          </cell>
          <cell r="J3263" t="str">
            <v/>
          </cell>
          <cell r="K3263" t="str">
            <v/>
          </cell>
          <cell r="L3263" t="str">
            <v/>
          </cell>
          <cell r="M3263" t="str">
            <v/>
          </cell>
        </row>
        <row r="3264">
          <cell r="A3264">
            <v>31102192</v>
          </cell>
          <cell r="C3264">
            <v>31102192</v>
          </cell>
          <cell r="D3264">
            <v>31102192</v>
          </cell>
          <cell r="E3264">
            <v>31102192</v>
          </cell>
          <cell r="F3264">
            <v>31102192</v>
          </cell>
          <cell r="G3264">
            <v>31102192</v>
          </cell>
          <cell r="H3264">
            <v>31102192</v>
          </cell>
          <cell r="I3264" t="str">
            <v/>
          </cell>
          <cell r="J3264" t="str">
            <v/>
          </cell>
          <cell r="K3264" t="str">
            <v/>
          </cell>
          <cell r="L3264" t="str">
            <v/>
          </cell>
          <cell r="M3264" t="str">
            <v/>
          </cell>
        </row>
        <row r="3265">
          <cell r="A3265">
            <v>31102192</v>
          </cell>
          <cell r="C3265">
            <v>31102192</v>
          </cell>
          <cell r="D3265">
            <v>31102192</v>
          </cell>
          <cell r="E3265">
            <v>31102192</v>
          </cell>
          <cell r="F3265">
            <v>31102192</v>
          </cell>
          <cell r="G3265">
            <v>31102192</v>
          </cell>
          <cell r="H3265">
            <v>31102192</v>
          </cell>
          <cell r="I3265" t="str">
            <v/>
          </cell>
          <cell r="J3265" t="str">
            <v/>
          </cell>
          <cell r="K3265" t="str">
            <v/>
          </cell>
          <cell r="L3265" t="str">
            <v/>
          </cell>
          <cell r="M3265" t="str">
            <v/>
          </cell>
        </row>
        <row r="3266">
          <cell r="A3266">
            <v>31102192</v>
          </cell>
          <cell r="C3266">
            <v>31102192</v>
          </cell>
          <cell r="D3266">
            <v>31102192</v>
          </cell>
          <cell r="E3266">
            <v>31102192</v>
          </cell>
          <cell r="F3266">
            <v>31102192</v>
          </cell>
          <cell r="G3266">
            <v>31102192</v>
          </cell>
          <cell r="H3266">
            <v>31102192</v>
          </cell>
          <cell r="I3266" t="str">
            <v/>
          </cell>
          <cell r="J3266" t="str">
            <v/>
          </cell>
          <cell r="K3266" t="str">
            <v/>
          </cell>
          <cell r="L3266" t="str">
            <v/>
          </cell>
          <cell r="M3266" t="str">
            <v/>
          </cell>
        </row>
        <row r="3267">
          <cell r="A3267">
            <v>31102192</v>
          </cell>
          <cell r="C3267">
            <v>31102192</v>
          </cell>
          <cell r="D3267">
            <v>31102192</v>
          </cell>
          <cell r="E3267">
            <v>31102192</v>
          </cell>
          <cell r="F3267">
            <v>31102192</v>
          </cell>
          <cell r="G3267">
            <v>31102192</v>
          </cell>
          <cell r="H3267">
            <v>31102192</v>
          </cell>
          <cell r="I3267" t="str">
            <v/>
          </cell>
          <cell r="J3267" t="str">
            <v/>
          </cell>
          <cell r="K3267" t="str">
            <v/>
          </cell>
          <cell r="L3267" t="str">
            <v/>
          </cell>
          <cell r="M3267" t="str">
            <v/>
          </cell>
        </row>
        <row r="3268">
          <cell r="A3268">
            <v>31102192</v>
          </cell>
          <cell r="C3268">
            <v>31102192</v>
          </cell>
          <cell r="D3268">
            <v>31102192</v>
          </cell>
          <cell r="E3268">
            <v>31102192</v>
          </cell>
          <cell r="F3268">
            <v>31102192</v>
          </cell>
          <cell r="G3268">
            <v>31102192</v>
          </cell>
          <cell r="H3268">
            <v>31102192</v>
          </cell>
          <cell r="I3268" t="str">
            <v/>
          </cell>
          <cell r="J3268" t="str">
            <v/>
          </cell>
          <cell r="K3268" t="str">
            <v/>
          </cell>
          <cell r="L3268" t="str">
            <v/>
          </cell>
          <cell r="M3268" t="str">
            <v/>
          </cell>
        </row>
        <row r="3269">
          <cell r="A3269">
            <v>31102192</v>
          </cell>
          <cell r="C3269">
            <v>31102192</v>
          </cell>
          <cell r="D3269">
            <v>31102192</v>
          </cell>
          <cell r="E3269">
            <v>31102192</v>
          </cell>
          <cell r="F3269">
            <v>31102192</v>
          </cell>
          <cell r="G3269">
            <v>31102192</v>
          </cell>
          <cell r="H3269">
            <v>31102192</v>
          </cell>
          <cell r="I3269" t="str">
            <v/>
          </cell>
          <cell r="J3269" t="str">
            <v/>
          </cell>
          <cell r="K3269" t="str">
            <v/>
          </cell>
          <cell r="L3269" t="str">
            <v/>
          </cell>
          <cell r="M3269" t="str">
            <v/>
          </cell>
        </row>
        <row r="3270">
          <cell r="A3270">
            <v>31102192</v>
          </cell>
          <cell r="C3270">
            <v>31102192</v>
          </cell>
          <cell r="D3270">
            <v>31102192</v>
          </cell>
          <cell r="E3270">
            <v>31102192</v>
          </cell>
          <cell r="F3270">
            <v>31102192</v>
          </cell>
          <cell r="G3270">
            <v>31102192</v>
          </cell>
          <cell r="H3270">
            <v>31102192</v>
          </cell>
          <cell r="I3270" t="str">
            <v/>
          </cell>
          <cell r="J3270" t="str">
            <v/>
          </cell>
          <cell r="K3270" t="str">
            <v/>
          </cell>
          <cell r="L3270" t="str">
            <v/>
          </cell>
          <cell r="M3270" t="str">
            <v/>
          </cell>
        </row>
        <row r="3271">
          <cell r="A3271">
            <v>31102192</v>
          </cell>
          <cell r="C3271">
            <v>31102192</v>
          </cell>
          <cell r="D3271">
            <v>31102192</v>
          </cell>
          <cell r="E3271">
            <v>31102192</v>
          </cell>
          <cell r="F3271">
            <v>31102192</v>
          </cell>
          <cell r="G3271">
            <v>31102192</v>
          </cell>
          <cell r="H3271">
            <v>31102192</v>
          </cell>
          <cell r="I3271" t="str">
            <v/>
          </cell>
          <cell r="J3271" t="str">
            <v/>
          </cell>
          <cell r="K3271" t="str">
            <v/>
          </cell>
          <cell r="L3271" t="str">
            <v/>
          </cell>
          <cell r="M3271" t="str">
            <v/>
          </cell>
        </row>
        <row r="3272">
          <cell r="A3272">
            <v>31102192</v>
          </cell>
          <cell r="C3272">
            <v>31102192</v>
          </cell>
          <cell r="D3272">
            <v>31102192</v>
          </cell>
          <cell r="E3272">
            <v>31102192</v>
          </cell>
          <cell r="F3272">
            <v>31102192</v>
          </cell>
          <cell r="G3272">
            <v>31102192</v>
          </cell>
          <cell r="H3272">
            <v>31102192</v>
          </cell>
          <cell r="I3272" t="str">
            <v/>
          </cell>
          <cell r="J3272" t="str">
            <v/>
          </cell>
          <cell r="K3272" t="str">
            <v/>
          </cell>
          <cell r="L3272" t="str">
            <v/>
          </cell>
          <cell r="M3272" t="str">
            <v/>
          </cell>
        </row>
        <row r="3273">
          <cell r="A3273">
            <v>31102192</v>
          </cell>
          <cell r="C3273">
            <v>31102192</v>
          </cell>
          <cell r="D3273">
            <v>31102192</v>
          </cell>
          <cell r="E3273">
            <v>31102192</v>
          </cell>
          <cell r="F3273">
            <v>31102192</v>
          </cell>
          <cell r="G3273">
            <v>31102192</v>
          </cell>
          <cell r="H3273">
            <v>31102192</v>
          </cell>
          <cell r="I3273" t="str">
            <v/>
          </cell>
          <cell r="J3273" t="str">
            <v/>
          </cell>
          <cell r="K3273" t="str">
            <v/>
          </cell>
          <cell r="L3273" t="str">
            <v/>
          </cell>
          <cell r="M3273" t="str">
            <v/>
          </cell>
        </row>
        <row r="3274">
          <cell r="A3274">
            <v>31102192</v>
          </cell>
          <cell r="C3274">
            <v>31102192</v>
          </cell>
          <cell r="D3274">
            <v>31102192</v>
          </cell>
          <cell r="E3274">
            <v>31102192</v>
          </cell>
          <cell r="F3274">
            <v>31102192</v>
          </cell>
          <cell r="G3274">
            <v>31102192</v>
          </cell>
          <cell r="H3274">
            <v>31102192</v>
          </cell>
          <cell r="I3274" t="str">
            <v/>
          </cell>
          <cell r="J3274" t="str">
            <v/>
          </cell>
          <cell r="K3274" t="str">
            <v/>
          </cell>
          <cell r="L3274" t="str">
            <v/>
          </cell>
          <cell r="M3274" t="str">
            <v/>
          </cell>
        </row>
        <row r="3275">
          <cell r="A3275">
            <v>31102192</v>
          </cell>
          <cell r="C3275">
            <v>31102192</v>
          </cell>
          <cell r="D3275">
            <v>31102192</v>
          </cell>
          <cell r="E3275">
            <v>31102192</v>
          </cell>
          <cell r="F3275">
            <v>31102192</v>
          </cell>
          <cell r="G3275">
            <v>31102192</v>
          </cell>
          <cell r="H3275">
            <v>31102192</v>
          </cell>
          <cell r="I3275" t="str">
            <v/>
          </cell>
          <cell r="J3275" t="str">
            <v/>
          </cell>
          <cell r="K3275" t="str">
            <v/>
          </cell>
          <cell r="L3275" t="str">
            <v/>
          </cell>
          <cell r="M3275" t="str">
            <v/>
          </cell>
        </row>
        <row r="3276">
          <cell r="A3276">
            <v>31102192</v>
          </cell>
          <cell r="C3276">
            <v>31102192</v>
          </cell>
          <cell r="D3276">
            <v>31102192</v>
          </cell>
          <cell r="E3276">
            <v>31102192</v>
          </cell>
          <cell r="F3276">
            <v>31102192</v>
          </cell>
          <cell r="G3276">
            <v>31102192</v>
          </cell>
          <cell r="H3276">
            <v>31102192</v>
          </cell>
          <cell r="I3276" t="str">
            <v/>
          </cell>
          <cell r="J3276" t="str">
            <v/>
          </cell>
          <cell r="K3276" t="str">
            <v/>
          </cell>
          <cell r="L3276" t="str">
            <v/>
          </cell>
          <cell r="M3276" t="str">
            <v/>
          </cell>
        </row>
        <row r="3277">
          <cell r="A3277">
            <v>31102192</v>
          </cell>
          <cell r="C3277">
            <v>31102192</v>
          </cell>
          <cell r="D3277">
            <v>31102192</v>
          </cell>
          <cell r="E3277">
            <v>31102192</v>
          </cell>
          <cell r="F3277">
            <v>31102192</v>
          </cell>
          <cell r="G3277">
            <v>31102192</v>
          </cell>
          <cell r="H3277">
            <v>31102192</v>
          </cell>
          <cell r="I3277" t="str">
            <v/>
          </cell>
          <cell r="J3277" t="str">
            <v/>
          </cell>
          <cell r="K3277" t="str">
            <v/>
          </cell>
          <cell r="L3277" t="str">
            <v/>
          </cell>
          <cell r="M3277" t="str">
            <v/>
          </cell>
        </row>
        <row r="3278">
          <cell r="A3278">
            <v>31102192</v>
          </cell>
          <cell r="C3278">
            <v>31102192</v>
          </cell>
          <cell r="D3278">
            <v>31102192</v>
          </cell>
          <cell r="E3278">
            <v>31102192</v>
          </cell>
          <cell r="F3278">
            <v>31102192</v>
          </cell>
          <cell r="G3278">
            <v>31102192</v>
          </cell>
          <cell r="H3278">
            <v>31102192</v>
          </cell>
          <cell r="I3278" t="str">
            <v/>
          </cell>
          <cell r="J3278" t="str">
            <v/>
          </cell>
          <cell r="K3278" t="str">
            <v/>
          </cell>
          <cell r="L3278" t="str">
            <v/>
          </cell>
          <cell r="M3278" t="str">
            <v/>
          </cell>
        </row>
        <row r="3279">
          <cell r="A3279">
            <v>31102192</v>
          </cell>
          <cell r="C3279">
            <v>31102192</v>
          </cell>
          <cell r="D3279">
            <v>31102192</v>
          </cell>
          <cell r="E3279">
            <v>31102192</v>
          </cell>
          <cell r="F3279">
            <v>31102192</v>
          </cell>
          <cell r="G3279">
            <v>31102192</v>
          </cell>
          <cell r="H3279">
            <v>31102192</v>
          </cell>
          <cell r="I3279" t="str">
            <v/>
          </cell>
          <cell r="J3279" t="str">
            <v/>
          </cell>
          <cell r="K3279" t="str">
            <v/>
          </cell>
          <cell r="L3279" t="str">
            <v/>
          </cell>
          <cell r="M3279" t="str">
            <v/>
          </cell>
        </row>
        <row r="3280">
          <cell r="A3280">
            <v>31102192</v>
          </cell>
          <cell r="C3280">
            <v>31102192</v>
          </cell>
          <cell r="D3280">
            <v>31102192</v>
          </cell>
          <cell r="E3280">
            <v>31102192</v>
          </cell>
          <cell r="F3280">
            <v>31102192</v>
          </cell>
          <cell r="G3280">
            <v>31102192</v>
          </cell>
          <cell r="H3280">
            <v>31102192</v>
          </cell>
          <cell r="I3280" t="str">
            <v/>
          </cell>
          <cell r="J3280" t="str">
            <v/>
          </cell>
          <cell r="K3280" t="str">
            <v/>
          </cell>
          <cell r="L3280" t="str">
            <v/>
          </cell>
          <cell r="M3280" t="str">
            <v/>
          </cell>
        </row>
        <row r="3281">
          <cell r="A3281">
            <v>31102192</v>
          </cell>
          <cell r="C3281">
            <v>31102192</v>
          </cell>
          <cell r="D3281">
            <v>31102192</v>
          </cell>
          <cell r="E3281">
            <v>31102192</v>
          </cell>
          <cell r="F3281">
            <v>31102192</v>
          </cell>
          <cell r="G3281">
            <v>31102192</v>
          </cell>
          <cell r="H3281">
            <v>31102192</v>
          </cell>
          <cell r="I3281" t="str">
            <v/>
          </cell>
          <cell r="J3281" t="str">
            <v/>
          </cell>
          <cell r="K3281" t="str">
            <v/>
          </cell>
          <cell r="L3281" t="str">
            <v/>
          </cell>
          <cell r="M3281" t="str">
            <v/>
          </cell>
        </row>
        <row r="3282">
          <cell r="A3282">
            <v>31102192</v>
          </cell>
          <cell r="C3282">
            <v>31102192</v>
          </cell>
          <cell r="D3282">
            <v>31102192</v>
          </cell>
          <cell r="E3282">
            <v>31102192</v>
          </cell>
          <cell r="F3282">
            <v>31102192</v>
          </cell>
          <cell r="G3282">
            <v>31102192</v>
          </cell>
          <cell r="H3282">
            <v>31102192</v>
          </cell>
          <cell r="I3282" t="str">
            <v/>
          </cell>
          <cell r="J3282" t="str">
            <v/>
          </cell>
          <cell r="K3282" t="str">
            <v/>
          </cell>
          <cell r="L3282" t="str">
            <v/>
          </cell>
          <cell r="M3282" t="str">
            <v/>
          </cell>
        </row>
        <row r="3283">
          <cell r="A3283">
            <v>31102192</v>
          </cell>
          <cell r="C3283">
            <v>31102192</v>
          </cell>
          <cell r="D3283">
            <v>31102192</v>
          </cell>
          <cell r="E3283">
            <v>31102192</v>
          </cell>
          <cell r="F3283">
            <v>31102192</v>
          </cell>
          <cell r="G3283">
            <v>31102192</v>
          </cell>
          <cell r="H3283">
            <v>31102192</v>
          </cell>
          <cell r="I3283" t="str">
            <v/>
          </cell>
          <cell r="J3283" t="str">
            <v/>
          </cell>
          <cell r="K3283" t="str">
            <v/>
          </cell>
          <cell r="L3283" t="str">
            <v/>
          </cell>
          <cell r="M3283" t="str">
            <v/>
          </cell>
        </row>
        <row r="3284">
          <cell r="A3284">
            <v>31102192</v>
          </cell>
          <cell r="C3284">
            <v>31102192</v>
          </cell>
          <cell r="D3284">
            <v>31102192</v>
          </cell>
          <cell r="E3284">
            <v>31102192</v>
          </cell>
          <cell r="F3284">
            <v>31102192</v>
          </cell>
          <cell r="G3284">
            <v>31102192</v>
          </cell>
          <cell r="H3284">
            <v>31102192</v>
          </cell>
          <cell r="I3284" t="str">
            <v/>
          </cell>
          <cell r="J3284" t="str">
            <v/>
          </cell>
          <cell r="K3284" t="str">
            <v/>
          </cell>
          <cell r="L3284" t="str">
            <v/>
          </cell>
          <cell r="M3284" t="str">
            <v/>
          </cell>
        </row>
        <row r="3285">
          <cell r="A3285">
            <v>31102192</v>
          </cell>
          <cell r="C3285">
            <v>31102192</v>
          </cell>
          <cell r="D3285">
            <v>31102192</v>
          </cell>
          <cell r="E3285">
            <v>31102192</v>
          </cell>
          <cell r="F3285">
            <v>31102192</v>
          </cell>
          <cell r="G3285">
            <v>31102192</v>
          </cell>
          <cell r="H3285">
            <v>31102192</v>
          </cell>
          <cell r="I3285" t="str">
            <v/>
          </cell>
          <cell r="J3285" t="str">
            <v/>
          </cell>
          <cell r="K3285" t="str">
            <v/>
          </cell>
          <cell r="L3285" t="str">
            <v/>
          </cell>
          <cell r="M3285" t="str">
            <v/>
          </cell>
        </row>
        <row r="3286">
          <cell r="A3286">
            <v>31102192</v>
          </cell>
          <cell r="C3286">
            <v>31102192</v>
          </cell>
          <cell r="D3286">
            <v>31102192</v>
          </cell>
          <cell r="E3286">
            <v>31102192</v>
          </cell>
          <cell r="F3286">
            <v>31102192</v>
          </cell>
          <cell r="G3286">
            <v>31102192</v>
          </cell>
          <cell r="H3286">
            <v>31102192</v>
          </cell>
          <cell r="I3286" t="str">
            <v/>
          </cell>
          <cell r="J3286" t="str">
            <v/>
          </cell>
          <cell r="K3286" t="str">
            <v/>
          </cell>
          <cell r="L3286" t="str">
            <v/>
          </cell>
          <cell r="M3286" t="str">
            <v/>
          </cell>
        </row>
        <row r="3287">
          <cell r="A3287">
            <v>31102192</v>
          </cell>
          <cell r="C3287">
            <v>31102192</v>
          </cell>
          <cell r="D3287">
            <v>31102192</v>
          </cell>
          <cell r="E3287">
            <v>31102192</v>
          </cell>
          <cell r="F3287">
            <v>31102192</v>
          </cell>
          <cell r="G3287">
            <v>31102192</v>
          </cell>
          <cell r="H3287">
            <v>31102192</v>
          </cell>
          <cell r="I3287" t="str">
            <v/>
          </cell>
          <cell r="J3287" t="str">
            <v/>
          </cell>
          <cell r="K3287" t="str">
            <v/>
          </cell>
          <cell r="L3287" t="str">
            <v/>
          </cell>
          <cell r="M3287" t="str">
            <v/>
          </cell>
        </row>
        <row r="3288">
          <cell r="A3288">
            <v>31102192</v>
          </cell>
          <cell r="C3288">
            <v>31102192</v>
          </cell>
          <cell r="D3288">
            <v>31102192</v>
          </cell>
          <cell r="E3288">
            <v>31102192</v>
          </cell>
          <cell r="F3288">
            <v>31102192</v>
          </cell>
          <cell r="G3288">
            <v>31102192</v>
          </cell>
          <cell r="H3288">
            <v>31102192</v>
          </cell>
          <cell r="I3288" t="str">
            <v/>
          </cell>
          <cell r="J3288" t="str">
            <v/>
          </cell>
          <cell r="K3288" t="str">
            <v/>
          </cell>
          <cell r="L3288" t="str">
            <v/>
          </cell>
          <cell r="M3288" t="str">
            <v/>
          </cell>
        </row>
        <row r="3289">
          <cell r="A3289">
            <v>31102192</v>
          </cell>
          <cell r="C3289">
            <v>31102192</v>
          </cell>
          <cell r="D3289">
            <v>31102192</v>
          </cell>
          <cell r="E3289">
            <v>31102192</v>
          </cell>
          <cell r="F3289">
            <v>31102192</v>
          </cell>
          <cell r="G3289">
            <v>31102192</v>
          </cell>
          <cell r="H3289">
            <v>31102192</v>
          </cell>
          <cell r="I3289" t="str">
            <v/>
          </cell>
          <cell r="J3289" t="str">
            <v/>
          </cell>
          <cell r="K3289" t="str">
            <v/>
          </cell>
          <cell r="L3289" t="str">
            <v/>
          </cell>
          <cell r="M3289" t="str">
            <v/>
          </cell>
        </row>
        <row r="3290">
          <cell r="A3290">
            <v>31102192</v>
          </cell>
          <cell r="C3290">
            <v>31102192</v>
          </cell>
          <cell r="D3290">
            <v>31102192</v>
          </cell>
          <cell r="E3290">
            <v>31102192</v>
          </cell>
          <cell r="F3290">
            <v>31102192</v>
          </cell>
          <cell r="G3290">
            <v>31102192</v>
          </cell>
          <cell r="H3290">
            <v>31102192</v>
          </cell>
          <cell r="I3290" t="str">
            <v/>
          </cell>
          <cell r="J3290" t="str">
            <v/>
          </cell>
          <cell r="K3290" t="str">
            <v/>
          </cell>
          <cell r="L3290" t="str">
            <v/>
          </cell>
          <cell r="M3290" t="str">
            <v/>
          </cell>
        </row>
        <row r="3291">
          <cell r="A3291">
            <v>31102192</v>
          </cell>
          <cell r="C3291">
            <v>31102192</v>
          </cell>
          <cell r="D3291">
            <v>31102192</v>
          </cell>
          <cell r="E3291">
            <v>31102192</v>
          </cell>
          <cell r="F3291">
            <v>31102192</v>
          </cell>
          <cell r="G3291">
            <v>31102192</v>
          </cell>
          <cell r="H3291">
            <v>31102192</v>
          </cell>
          <cell r="I3291" t="str">
            <v/>
          </cell>
          <cell r="J3291" t="str">
            <v/>
          </cell>
          <cell r="K3291" t="str">
            <v/>
          </cell>
          <cell r="L3291" t="str">
            <v/>
          </cell>
          <cell r="M3291" t="str">
            <v/>
          </cell>
        </row>
        <row r="3292">
          <cell r="A3292">
            <v>31102192</v>
          </cell>
          <cell r="C3292">
            <v>31102192</v>
          </cell>
          <cell r="D3292">
            <v>31102192</v>
          </cell>
          <cell r="E3292">
            <v>31102192</v>
          </cell>
          <cell r="F3292">
            <v>31102192</v>
          </cell>
          <cell r="G3292">
            <v>31102192</v>
          </cell>
          <cell r="H3292">
            <v>31102192</v>
          </cell>
          <cell r="I3292" t="str">
            <v/>
          </cell>
          <cell r="J3292" t="str">
            <v/>
          </cell>
          <cell r="K3292" t="str">
            <v/>
          </cell>
          <cell r="L3292" t="str">
            <v/>
          </cell>
          <cell r="M3292" t="str">
            <v/>
          </cell>
        </row>
        <row r="3293">
          <cell r="A3293">
            <v>31102192</v>
          </cell>
          <cell r="C3293">
            <v>31102192</v>
          </cell>
          <cell r="D3293">
            <v>31102192</v>
          </cell>
          <cell r="E3293">
            <v>31102192</v>
          </cell>
          <cell r="F3293">
            <v>31102192</v>
          </cell>
          <cell r="G3293">
            <v>31102192</v>
          </cell>
          <cell r="H3293">
            <v>31102192</v>
          </cell>
          <cell r="I3293" t="str">
            <v/>
          </cell>
          <cell r="J3293" t="str">
            <v/>
          </cell>
          <cell r="K3293" t="str">
            <v/>
          </cell>
          <cell r="L3293" t="str">
            <v/>
          </cell>
          <cell r="M3293" t="str">
            <v/>
          </cell>
        </row>
        <row r="3294">
          <cell r="A3294">
            <v>31102192</v>
          </cell>
          <cell r="C3294">
            <v>31102192</v>
          </cell>
          <cell r="D3294">
            <v>31102192</v>
          </cell>
          <cell r="E3294">
            <v>31102192</v>
          </cell>
          <cell r="F3294">
            <v>31102192</v>
          </cell>
          <cell r="G3294">
            <v>31102192</v>
          </cell>
          <cell r="H3294">
            <v>31102192</v>
          </cell>
          <cell r="I3294" t="str">
            <v/>
          </cell>
          <cell r="J3294" t="str">
            <v/>
          </cell>
          <cell r="K3294" t="str">
            <v/>
          </cell>
          <cell r="L3294" t="str">
            <v/>
          </cell>
          <cell r="M3294" t="str">
            <v/>
          </cell>
        </row>
        <row r="3295">
          <cell r="A3295">
            <v>31102192</v>
          </cell>
          <cell r="C3295">
            <v>31102192</v>
          </cell>
          <cell r="D3295">
            <v>31102192</v>
          </cell>
          <cell r="E3295">
            <v>31102192</v>
          </cell>
          <cell r="F3295">
            <v>31102192</v>
          </cell>
          <cell r="G3295">
            <v>31102192</v>
          </cell>
          <cell r="H3295">
            <v>31102192</v>
          </cell>
          <cell r="I3295" t="str">
            <v/>
          </cell>
          <cell r="J3295" t="str">
            <v/>
          </cell>
          <cell r="K3295" t="str">
            <v/>
          </cell>
          <cell r="L3295" t="str">
            <v/>
          </cell>
          <cell r="M3295" t="str">
            <v/>
          </cell>
        </row>
        <row r="3296">
          <cell r="A3296">
            <v>31102192</v>
          </cell>
          <cell r="C3296">
            <v>31102192</v>
          </cell>
          <cell r="D3296">
            <v>31102192</v>
          </cell>
          <cell r="E3296">
            <v>31102192</v>
          </cell>
          <cell r="F3296">
            <v>31102192</v>
          </cell>
          <cell r="G3296">
            <v>31102192</v>
          </cell>
          <cell r="H3296">
            <v>31102192</v>
          </cell>
          <cell r="I3296" t="str">
            <v/>
          </cell>
          <cell r="J3296" t="str">
            <v/>
          </cell>
          <cell r="K3296" t="str">
            <v/>
          </cell>
          <cell r="L3296" t="str">
            <v/>
          </cell>
          <cell r="M3296" t="str">
            <v/>
          </cell>
        </row>
        <row r="3297">
          <cell r="A3297">
            <v>31102192</v>
          </cell>
          <cell r="C3297">
            <v>31102192</v>
          </cell>
          <cell r="D3297">
            <v>31102192</v>
          </cell>
          <cell r="E3297">
            <v>31102192</v>
          </cell>
          <cell r="F3297">
            <v>31102192</v>
          </cell>
          <cell r="G3297">
            <v>31102192</v>
          </cell>
          <cell r="H3297">
            <v>31102192</v>
          </cell>
          <cell r="I3297" t="str">
            <v/>
          </cell>
          <cell r="J3297" t="str">
            <v/>
          </cell>
          <cell r="K3297" t="str">
            <v/>
          </cell>
          <cell r="L3297" t="str">
            <v/>
          </cell>
          <cell r="M3297" t="str">
            <v/>
          </cell>
        </row>
        <row r="3298">
          <cell r="A3298">
            <v>31102192</v>
          </cell>
          <cell r="C3298">
            <v>31102192</v>
          </cell>
          <cell r="D3298">
            <v>31102192</v>
          </cell>
          <cell r="E3298">
            <v>31102192</v>
          </cell>
          <cell r="F3298">
            <v>31102192</v>
          </cell>
          <cell r="G3298">
            <v>31102192</v>
          </cell>
          <cell r="H3298">
            <v>31102192</v>
          </cell>
          <cell r="I3298" t="str">
            <v/>
          </cell>
          <cell r="J3298" t="str">
            <v/>
          </cell>
          <cell r="K3298" t="str">
            <v/>
          </cell>
          <cell r="L3298" t="str">
            <v/>
          </cell>
          <cell r="M3298" t="str">
            <v/>
          </cell>
        </row>
        <row r="3299">
          <cell r="A3299">
            <v>31102192</v>
          </cell>
          <cell r="C3299">
            <v>31102192</v>
          </cell>
          <cell r="D3299">
            <v>31102192</v>
          </cell>
          <cell r="E3299">
            <v>31102192</v>
          </cell>
          <cell r="F3299">
            <v>31102192</v>
          </cell>
          <cell r="G3299">
            <v>31102192</v>
          </cell>
          <cell r="H3299">
            <v>31102192</v>
          </cell>
          <cell r="I3299" t="str">
            <v/>
          </cell>
          <cell r="J3299" t="str">
            <v/>
          </cell>
          <cell r="K3299" t="str">
            <v/>
          </cell>
          <cell r="L3299" t="str">
            <v/>
          </cell>
          <cell r="M3299" t="str">
            <v/>
          </cell>
        </row>
        <row r="3300">
          <cell r="A3300">
            <v>31102192</v>
          </cell>
          <cell r="C3300">
            <v>31102192</v>
          </cell>
          <cell r="D3300">
            <v>31102192</v>
          </cell>
          <cell r="E3300">
            <v>31102192</v>
          </cell>
          <cell r="F3300">
            <v>31102192</v>
          </cell>
          <cell r="G3300">
            <v>31102192</v>
          </cell>
          <cell r="H3300">
            <v>31102192</v>
          </cell>
          <cell r="I3300" t="str">
            <v/>
          </cell>
          <cell r="J3300" t="str">
            <v/>
          </cell>
          <cell r="K3300" t="str">
            <v/>
          </cell>
          <cell r="L3300" t="str">
            <v/>
          </cell>
          <cell r="M3300" t="str">
            <v/>
          </cell>
        </row>
        <row r="3301">
          <cell r="A3301">
            <v>31102192</v>
          </cell>
          <cell r="C3301">
            <v>31102192</v>
          </cell>
          <cell r="D3301">
            <v>31102192</v>
          </cell>
          <cell r="E3301">
            <v>31102192</v>
          </cell>
          <cell r="F3301">
            <v>31102192</v>
          </cell>
          <cell r="G3301">
            <v>31102192</v>
          </cell>
          <cell r="H3301">
            <v>31102192</v>
          </cell>
          <cell r="I3301" t="str">
            <v/>
          </cell>
          <cell r="J3301" t="str">
            <v/>
          </cell>
          <cell r="K3301" t="str">
            <v/>
          </cell>
          <cell r="L3301" t="str">
            <v/>
          </cell>
          <cell r="M3301" t="str">
            <v/>
          </cell>
        </row>
        <row r="3302">
          <cell r="A3302">
            <v>31102192</v>
          </cell>
          <cell r="C3302">
            <v>31102192</v>
          </cell>
          <cell r="D3302">
            <v>31102192</v>
          </cell>
          <cell r="E3302">
            <v>31102192</v>
          </cell>
          <cell r="F3302">
            <v>31102192</v>
          </cell>
          <cell r="G3302">
            <v>31102192</v>
          </cell>
          <cell r="H3302">
            <v>31102192</v>
          </cell>
          <cell r="I3302" t="str">
            <v/>
          </cell>
          <cell r="J3302" t="str">
            <v/>
          </cell>
          <cell r="K3302" t="str">
            <v/>
          </cell>
          <cell r="L3302" t="str">
            <v/>
          </cell>
          <cell r="M3302" t="str">
            <v/>
          </cell>
        </row>
        <row r="3303">
          <cell r="A3303">
            <v>31102192</v>
          </cell>
          <cell r="C3303">
            <v>31102192</v>
          </cell>
          <cell r="D3303">
            <v>31102192</v>
          </cell>
          <cell r="E3303">
            <v>31102192</v>
          </cell>
          <cell r="F3303">
            <v>31102192</v>
          </cell>
          <cell r="G3303">
            <v>31102192</v>
          </cell>
          <cell r="H3303">
            <v>31102192</v>
          </cell>
          <cell r="I3303" t="str">
            <v/>
          </cell>
          <cell r="J3303" t="str">
            <v/>
          </cell>
          <cell r="K3303" t="str">
            <v/>
          </cell>
          <cell r="L3303" t="str">
            <v/>
          </cell>
          <cell r="M3303" t="str">
            <v/>
          </cell>
        </row>
        <row r="3304">
          <cell r="A3304">
            <v>31102192</v>
          </cell>
          <cell r="C3304">
            <v>31102192</v>
          </cell>
          <cell r="D3304">
            <v>31102192</v>
          </cell>
          <cell r="E3304">
            <v>31102192</v>
          </cell>
          <cell r="F3304">
            <v>31102192</v>
          </cell>
          <cell r="G3304">
            <v>31102192</v>
          </cell>
          <cell r="H3304">
            <v>31102192</v>
          </cell>
          <cell r="I3304" t="str">
            <v/>
          </cell>
          <cell r="J3304" t="str">
            <v/>
          </cell>
          <cell r="K3304" t="str">
            <v/>
          </cell>
          <cell r="L3304" t="str">
            <v/>
          </cell>
          <cell r="M3304" t="str">
            <v/>
          </cell>
        </row>
        <row r="3305">
          <cell r="A3305">
            <v>31102192</v>
          </cell>
          <cell r="C3305">
            <v>31102192</v>
          </cell>
          <cell r="D3305">
            <v>31102192</v>
          </cell>
          <cell r="E3305">
            <v>31102192</v>
          </cell>
          <cell r="F3305">
            <v>31102192</v>
          </cell>
          <cell r="G3305">
            <v>31102192</v>
          </cell>
          <cell r="H3305">
            <v>31102192</v>
          </cell>
          <cell r="I3305" t="str">
            <v/>
          </cell>
          <cell r="J3305" t="str">
            <v/>
          </cell>
          <cell r="K3305" t="str">
            <v/>
          </cell>
          <cell r="L3305" t="str">
            <v/>
          </cell>
          <cell r="M3305" t="str">
            <v/>
          </cell>
        </row>
        <row r="3306">
          <cell r="A3306">
            <v>31102192</v>
          </cell>
          <cell r="C3306">
            <v>31102192</v>
          </cell>
          <cell r="D3306">
            <v>31102192</v>
          </cell>
          <cell r="E3306">
            <v>31102192</v>
          </cell>
          <cell r="F3306">
            <v>31102192</v>
          </cell>
          <cell r="G3306">
            <v>31102192</v>
          </cell>
          <cell r="H3306">
            <v>31102192</v>
          </cell>
          <cell r="I3306" t="str">
            <v/>
          </cell>
          <cell r="J3306" t="str">
            <v/>
          </cell>
          <cell r="K3306" t="str">
            <v/>
          </cell>
          <cell r="L3306" t="str">
            <v/>
          </cell>
          <cell r="M3306" t="str">
            <v/>
          </cell>
        </row>
        <row r="3307">
          <cell r="A3307">
            <v>31102192</v>
          </cell>
          <cell r="C3307">
            <v>31102192</v>
          </cell>
          <cell r="D3307">
            <v>31102192</v>
          </cell>
          <cell r="E3307">
            <v>31102192</v>
          </cell>
          <cell r="F3307">
            <v>31102192</v>
          </cell>
          <cell r="G3307">
            <v>31102192</v>
          </cell>
          <cell r="H3307">
            <v>31102192</v>
          </cell>
          <cell r="I3307" t="str">
            <v/>
          </cell>
          <cell r="J3307" t="str">
            <v/>
          </cell>
          <cell r="K3307" t="str">
            <v/>
          </cell>
          <cell r="L3307" t="str">
            <v/>
          </cell>
          <cell r="M3307" t="str">
            <v/>
          </cell>
        </row>
        <row r="3308">
          <cell r="A3308">
            <v>31102192</v>
          </cell>
          <cell r="C3308">
            <v>31102192</v>
          </cell>
          <cell r="D3308">
            <v>31102192</v>
          </cell>
          <cell r="E3308">
            <v>31102192</v>
          </cell>
          <cell r="F3308">
            <v>31102192</v>
          </cell>
          <cell r="G3308">
            <v>31102192</v>
          </cell>
          <cell r="H3308">
            <v>31102192</v>
          </cell>
          <cell r="I3308" t="str">
            <v/>
          </cell>
          <cell r="J3308" t="str">
            <v/>
          </cell>
          <cell r="K3308" t="str">
            <v/>
          </cell>
          <cell r="L3308" t="str">
            <v/>
          </cell>
          <cell r="M3308" t="str">
            <v/>
          </cell>
        </row>
        <row r="3309">
          <cell r="A3309">
            <v>31102192</v>
          </cell>
          <cell r="C3309">
            <v>31102192</v>
          </cell>
          <cell r="D3309">
            <v>31102192</v>
          </cell>
          <cell r="E3309">
            <v>31102192</v>
          </cell>
          <cell r="F3309">
            <v>31102192</v>
          </cell>
          <cell r="G3309">
            <v>31102192</v>
          </cell>
          <cell r="H3309">
            <v>31102192</v>
          </cell>
          <cell r="I3309" t="str">
            <v/>
          </cell>
          <cell r="J3309" t="str">
            <v/>
          </cell>
          <cell r="K3309" t="str">
            <v/>
          </cell>
          <cell r="L3309" t="str">
            <v/>
          </cell>
          <cell r="M3309" t="str">
            <v/>
          </cell>
        </row>
        <row r="3310">
          <cell r="A3310">
            <v>31102192</v>
          </cell>
          <cell r="C3310">
            <v>31102192</v>
          </cell>
          <cell r="D3310">
            <v>31102192</v>
          </cell>
          <cell r="E3310">
            <v>31102192</v>
          </cell>
          <cell r="F3310">
            <v>31102192</v>
          </cell>
          <cell r="G3310">
            <v>31102192</v>
          </cell>
          <cell r="H3310">
            <v>31102192</v>
          </cell>
          <cell r="I3310" t="str">
            <v/>
          </cell>
          <cell r="J3310" t="str">
            <v/>
          </cell>
          <cell r="K3310" t="str">
            <v/>
          </cell>
          <cell r="L3310" t="str">
            <v/>
          </cell>
          <cell r="M3310" t="str">
            <v/>
          </cell>
        </row>
        <row r="3311">
          <cell r="A3311">
            <v>31102192</v>
          </cell>
          <cell r="C3311">
            <v>31102192</v>
          </cell>
          <cell r="D3311">
            <v>31102192</v>
          </cell>
          <cell r="E3311">
            <v>31102192</v>
          </cell>
          <cell r="F3311">
            <v>31102192</v>
          </cell>
          <cell r="G3311">
            <v>31102192</v>
          </cell>
          <cell r="H3311">
            <v>31102192</v>
          </cell>
          <cell r="I3311" t="str">
            <v/>
          </cell>
          <cell r="J3311" t="str">
            <v/>
          </cell>
          <cell r="K3311" t="str">
            <v/>
          </cell>
          <cell r="L3311" t="str">
            <v/>
          </cell>
          <cell r="M3311" t="str">
            <v/>
          </cell>
        </row>
        <row r="3312">
          <cell r="A3312">
            <v>31102192</v>
          </cell>
          <cell r="C3312">
            <v>31102192</v>
          </cell>
          <cell r="D3312">
            <v>31102192</v>
          </cell>
          <cell r="E3312">
            <v>31102192</v>
          </cell>
          <cell r="F3312">
            <v>31102192</v>
          </cell>
          <cell r="G3312">
            <v>31102192</v>
          </cell>
          <cell r="H3312">
            <v>31102192</v>
          </cell>
          <cell r="I3312" t="str">
            <v/>
          </cell>
          <cell r="J3312" t="str">
            <v/>
          </cell>
          <cell r="K3312" t="str">
            <v/>
          </cell>
          <cell r="L3312" t="str">
            <v/>
          </cell>
          <cell r="M3312" t="str">
            <v/>
          </cell>
        </row>
        <row r="3313">
          <cell r="A3313">
            <v>31102192</v>
          </cell>
          <cell r="C3313">
            <v>31102192</v>
          </cell>
          <cell r="D3313">
            <v>31102192</v>
          </cell>
          <cell r="E3313">
            <v>31102192</v>
          </cell>
          <cell r="F3313">
            <v>31102192</v>
          </cell>
          <cell r="G3313">
            <v>31102192</v>
          </cell>
          <cell r="H3313">
            <v>31102192</v>
          </cell>
          <cell r="I3313" t="str">
            <v/>
          </cell>
          <cell r="J3313" t="str">
            <v/>
          </cell>
          <cell r="K3313" t="str">
            <v/>
          </cell>
          <cell r="L3313" t="str">
            <v/>
          </cell>
          <cell r="M3313" t="str">
            <v/>
          </cell>
        </row>
        <row r="3314">
          <cell r="A3314">
            <v>31102192</v>
          </cell>
          <cell r="C3314">
            <v>31102192</v>
          </cell>
          <cell r="D3314">
            <v>31102192</v>
          </cell>
          <cell r="E3314">
            <v>31102192</v>
          </cell>
          <cell r="F3314">
            <v>31102192</v>
          </cell>
          <cell r="G3314">
            <v>31102192</v>
          </cell>
          <cell r="H3314">
            <v>31102192</v>
          </cell>
          <cell r="I3314" t="str">
            <v/>
          </cell>
          <cell r="J3314" t="str">
            <v/>
          </cell>
          <cell r="K3314" t="str">
            <v/>
          </cell>
          <cell r="L3314" t="str">
            <v/>
          </cell>
          <cell r="M3314" t="str">
            <v/>
          </cell>
        </row>
        <row r="3315">
          <cell r="A3315">
            <v>31102192</v>
          </cell>
          <cell r="C3315">
            <v>31102192</v>
          </cell>
          <cell r="D3315">
            <v>31102192</v>
          </cell>
          <cell r="E3315">
            <v>31102192</v>
          </cell>
          <cell r="F3315">
            <v>31102192</v>
          </cell>
          <cell r="G3315">
            <v>31102192</v>
          </cell>
          <cell r="H3315">
            <v>31102192</v>
          </cell>
          <cell r="I3315" t="str">
            <v/>
          </cell>
          <cell r="J3315" t="str">
            <v/>
          </cell>
          <cell r="K3315" t="str">
            <v/>
          </cell>
          <cell r="L3315" t="str">
            <v/>
          </cell>
          <cell r="M3315" t="str">
            <v/>
          </cell>
        </row>
        <row r="3316">
          <cell r="A3316">
            <v>31102192</v>
          </cell>
          <cell r="C3316">
            <v>31102192</v>
          </cell>
          <cell r="D3316">
            <v>31102192</v>
          </cell>
          <cell r="E3316">
            <v>31102192</v>
          </cell>
          <cell r="F3316">
            <v>31102192</v>
          </cell>
          <cell r="G3316">
            <v>31102192</v>
          </cell>
          <cell r="H3316">
            <v>31102192</v>
          </cell>
          <cell r="I3316" t="str">
            <v/>
          </cell>
          <cell r="J3316" t="str">
            <v/>
          </cell>
          <cell r="K3316" t="str">
            <v/>
          </cell>
          <cell r="L3316" t="str">
            <v/>
          </cell>
          <cell r="M3316" t="str">
            <v/>
          </cell>
        </row>
        <row r="3317">
          <cell r="A3317">
            <v>31102192</v>
          </cell>
          <cell r="C3317">
            <v>31102192</v>
          </cell>
          <cell r="D3317">
            <v>31102192</v>
          </cell>
          <cell r="E3317">
            <v>31102192</v>
          </cell>
          <cell r="F3317">
            <v>31102192</v>
          </cell>
          <cell r="G3317">
            <v>31102192</v>
          </cell>
          <cell r="H3317">
            <v>31102192</v>
          </cell>
          <cell r="I3317" t="str">
            <v/>
          </cell>
          <cell r="J3317" t="str">
            <v/>
          </cell>
          <cell r="K3317" t="str">
            <v/>
          </cell>
          <cell r="L3317" t="str">
            <v/>
          </cell>
          <cell r="M3317" t="str">
            <v/>
          </cell>
        </row>
        <row r="3318">
          <cell r="A3318">
            <v>31102192</v>
          </cell>
          <cell r="C3318">
            <v>31102192</v>
          </cell>
          <cell r="D3318">
            <v>31102192</v>
          </cell>
          <cell r="E3318">
            <v>31102192</v>
          </cell>
          <cell r="F3318">
            <v>31102192</v>
          </cell>
          <cell r="G3318">
            <v>31102192</v>
          </cell>
          <cell r="H3318">
            <v>31102192</v>
          </cell>
          <cell r="I3318" t="str">
            <v/>
          </cell>
          <cell r="J3318" t="str">
            <v/>
          </cell>
          <cell r="K3318" t="str">
            <v/>
          </cell>
          <cell r="L3318" t="str">
            <v/>
          </cell>
          <cell r="M3318" t="str">
            <v/>
          </cell>
        </row>
        <row r="3319">
          <cell r="A3319">
            <v>31102192</v>
          </cell>
          <cell r="C3319">
            <v>31102192</v>
          </cell>
          <cell r="D3319">
            <v>31102192</v>
          </cell>
          <cell r="E3319">
            <v>31102192</v>
          </cell>
          <cell r="F3319">
            <v>31102192</v>
          </cell>
          <cell r="G3319">
            <v>31102192</v>
          </cell>
          <cell r="H3319">
            <v>31102192</v>
          </cell>
          <cell r="I3319" t="str">
            <v/>
          </cell>
          <cell r="J3319" t="str">
            <v/>
          </cell>
          <cell r="K3319" t="str">
            <v/>
          </cell>
          <cell r="L3319" t="str">
            <v/>
          </cell>
          <cell r="M3319" t="str">
            <v/>
          </cell>
        </row>
        <row r="3320">
          <cell r="A3320">
            <v>31102192</v>
          </cell>
          <cell r="C3320">
            <v>31102192</v>
          </cell>
          <cell r="D3320">
            <v>31102192</v>
          </cell>
          <cell r="E3320">
            <v>31102192</v>
          </cell>
          <cell r="F3320">
            <v>31102192</v>
          </cell>
          <cell r="G3320">
            <v>31102192</v>
          </cell>
          <cell r="H3320">
            <v>31102192</v>
          </cell>
          <cell r="I3320" t="str">
            <v/>
          </cell>
          <cell r="J3320" t="str">
            <v/>
          </cell>
          <cell r="K3320" t="str">
            <v/>
          </cell>
          <cell r="L3320" t="str">
            <v/>
          </cell>
          <cell r="M3320" t="str">
            <v/>
          </cell>
        </row>
        <row r="3321">
          <cell r="A3321">
            <v>31102192</v>
          </cell>
          <cell r="C3321">
            <v>31102192</v>
          </cell>
          <cell r="D3321">
            <v>31102192</v>
          </cell>
          <cell r="E3321">
            <v>31102192</v>
          </cell>
          <cell r="F3321">
            <v>31102192</v>
          </cell>
          <cell r="G3321">
            <v>31102192</v>
          </cell>
          <cell r="H3321">
            <v>31102192</v>
          </cell>
          <cell r="I3321" t="str">
            <v/>
          </cell>
          <cell r="J3321" t="str">
            <v/>
          </cell>
          <cell r="K3321" t="str">
            <v/>
          </cell>
          <cell r="L3321" t="str">
            <v/>
          </cell>
          <cell r="M3321" t="str">
            <v/>
          </cell>
        </row>
        <row r="3322">
          <cell r="A3322">
            <v>31102192</v>
          </cell>
          <cell r="C3322">
            <v>31102192</v>
          </cell>
          <cell r="D3322">
            <v>31102192</v>
          </cell>
          <cell r="E3322">
            <v>31102192</v>
          </cell>
          <cell r="F3322">
            <v>31102192</v>
          </cell>
          <cell r="G3322">
            <v>31102192</v>
          </cell>
          <cell r="H3322">
            <v>31102192</v>
          </cell>
          <cell r="I3322" t="str">
            <v/>
          </cell>
          <cell r="J3322" t="str">
            <v/>
          </cell>
          <cell r="K3322" t="str">
            <v/>
          </cell>
          <cell r="L3322" t="str">
            <v/>
          </cell>
          <cell r="M3322" t="str">
            <v/>
          </cell>
        </row>
        <row r="3323">
          <cell r="A3323">
            <v>31102192</v>
          </cell>
          <cell r="C3323">
            <v>31102192</v>
          </cell>
          <cell r="D3323">
            <v>31102192</v>
          </cell>
          <cell r="E3323">
            <v>31102192</v>
          </cell>
          <cell r="F3323">
            <v>31102192</v>
          </cell>
          <cell r="G3323">
            <v>31102192</v>
          </cell>
          <cell r="H3323">
            <v>31102192</v>
          </cell>
          <cell r="I3323" t="str">
            <v/>
          </cell>
          <cell r="J3323" t="str">
            <v/>
          </cell>
          <cell r="K3323" t="str">
            <v/>
          </cell>
          <cell r="L3323" t="str">
            <v/>
          </cell>
          <cell r="M3323" t="str">
            <v/>
          </cell>
        </row>
        <row r="3324">
          <cell r="A3324">
            <v>31102192</v>
          </cell>
          <cell r="C3324">
            <v>31102192</v>
          </cell>
          <cell r="D3324">
            <v>31102192</v>
          </cell>
          <cell r="E3324">
            <v>31102192</v>
          </cell>
          <cell r="F3324">
            <v>31102192</v>
          </cell>
          <cell r="G3324">
            <v>31102192</v>
          </cell>
          <cell r="H3324">
            <v>31102192</v>
          </cell>
          <cell r="I3324" t="str">
            <v/>
          </cell>
          <cell r="J3324" t="str">
            <v/>
          </cell>
          <cell r="K3324" t="str">
            <v/>
          </cell>
          <cell r="L3324" t="str">
            <v/>
          </cell>
          <cell r="M3324" t="str">
            <v/>
          </cell>
        </row>
        <row r="3325">
          <cell r="A3325">
            <v>31102192</v>
          </cell>
          <cell r="C3325">
            <v>31102192</v>
          </cell>
          <cell r="D3325">
            <v>31102192</v>
          </cell>
          <cell r="E3325">
            <v>31102192</v>
          </cell>
          <cell r="F3325">
            <v>31102192</v>
          </cell>
          <cell r="G3325">
            <v>31102192</v>
          </cell>
          <cell r="H3325">
            <v>31102192</v>
          </cell>
          <cell r="I3325" t="str">
            <v/>
          </cell>
          <cell r="J3325" t="str">
            <v/>
          </cell>
          <cell r="K3325" t="str">
            <v/>
          </cell>
          <cell r="L3325" t="str">
            <v/>
          </cell>
          <cell r="M3325" t="str">
            <v/>
          </cell>
        </row>
        <row r="3326">
          <cell r="A3326">
            <v>31102192</v>
          </cell>
          <cell r="C3326">
            <v>31102192</v>
          </cell>
          <cell r="D3326">
            <v>31102192</v>
          </cell>
          <cell r="E3326">
            <v>31102192</v>
          </cell>
          <cell r="F3326">
            <v>31102192</v>
          </cell>
          <cell r="G3326">
            <v>31102192</v>
          </cell>
          <cell r="H3326">
            <v>31102192</v>
          </cell>
          <cell r="I3326" t="str">
            <v/>
          </cell>
          <cell r="J3326" t="str">
            <v/>
          </cell>
          <cell r="K3326" t="str">
            <v/>
          </cell>
          <cell r="L3326" t="str">
            <v/>
          </cell>
          <cell r="M3326" t="str">
            <v/>
          </cell>
        </row>
        <row r="3327">
          <cell r="A3327">
            <v>31102192</v>
          </cell>
          <cell r="C3327">
            <v>31102192</v>
          </cell>
          <cell r="D3327">
            <v>31102192</v>
          </cell>
          <cell r="E3327">
            <v>31102192</v>
          </cell>
          <cell r="F3327">
            <v>31102192</v>
          </cell>
          <cell r="G3327">
            <v>31102192</v>
          </cell>
          <cell r="H3327">
            <v>31102192</v>
          </cell>
          <cell r="I3327" t="str">
            <v/>
          </cell>
          <cell r="J3327" t="str">
            <v/>
          </cell>
          <cell r="K3327" t="str">
            <v/>
          </cell>
          <cell r="L3327" t="str">
            <v/>
          </cell>
          <cell r="M3327" t="str">
            <v/>
          </cell>
        </row>
        <row r="3328">
          <cell r="A3328">
            <v>31102192</v>
          </cell>
          <cell r="C3328">
            <v>31102192</v>
          </cell>
          <cell r="D3328">
            <v>31102192</v>
          </cell>
          <cell r="E3328">
            <v>31102192</v>
          </cell>
          <cell r="F3328">
            <v>31102192</v>
          </cell>
          <cell r="G3328">
            <v>31102192</v>
          </cell>
          <cell r="H3328">
            <v>31102192</v>
          </cell>
          <cell r="I3328" t="str">
            <v/>
          </cell>
          <cell r="J3328" t="str">
            <v/>
          </cell>
          <cell r="K3328" t="str">
            <v/>
          </cell>
          <cell r="L3328" t="str">
            <v/>
          </cell>
          <cell r="M3328" t="str">
            <v/>
          </cell>
        </row>
        <row r="3329">
          <cell r="A3329">
            <v>31102192</v>
          </cell>
          <cell r="C3329">
            <v>31102192</v>
          </cell>
          <cell r="D3329">
            <v>31102192</v>
          </cell>
          <cell r="E3329">
            <v>31102192</v>
          </cell>
          <cell r="F3329">
            <v>31102192</v>
          </cell>
          <cell r="G3329">
            <v>31102192</v>
          </cell>
          <cell r="H3329">
            <v>31102192</v>
          </cell>
          <cell r="I3329" t="str">
            <v/>
          </cell>
          <cell r="J3329" t="str">
            <v/>
          </cell>
          <cell r="K3329" t="str">
            <v/>
          </cell>
          <cell r="L3329" t="str">
            <v/>
          </cell>
          <cell r="M3329" t="str">
            <v/>
          </cell>
        </row>
        <row r="3330">
          <cell r="A3330">
            <v>31102192</v>
          </cell>
          <cell r="C3330">
            <v>31102192</v>
          </cell>
          <cell r="D3330">
            <v>31102192</v>
          </cell>
          <cell r="E3330">
            <v>31102192</v>
          </cell>
          <cell r="F3330">
            <v>31102192</v>
          </cell>
          <cell r="G3330">
            <v>31102192</v>
          </cell>
          <cell r="H3330">
            <v>31102192</v>
          </cell>
          <cell r="I3330" t="str">
            <v/>
          </cell>
          <cell r="J3330" t="str">
            <v/>
          </cell>
          <cell r="K3330" t="str">
            <v/>
          </cell>
          <cell r="L3330" t="str">
            <v/>
          </cell>
          <cell r="M3330" t="str">
            <v/>
          </cell>
        </row>
        <row r="3331">
          <cell r="A3331">
            <v>31102192</v>
          </cell>
          <cell r="C3331">
            <v>31102192</v>
          </cell>
          <cell r="D3331">
            <v>31102192</v>
          </cell>
          <cell r="E3331">
            <v>31102192</v>
          </cell>
          <cell r="F3331">
            <v>31102192</v>
          </cell>
          <cell r="G3331">
            <v>31102192</v>
          </cell>
          <cell r="H3331">
            <v>31102192</v>
          </cell>
          <cell r="I3331" t="str">
            <v/>
          </cell>
          <cell r="J3331" t="str">
            <v/>
          </cell>
          <cell r="K3331" t="str">
            <v/>
          </cell>
          <cell r="L3331" t="str">
            <v/>
          </cell>
          <cell r="M3331" t="str">
            <v/>
          </cell>
        </row>
        <row r="3332">
          <cell r="A3332">
            <v>31102192</v>
          </cell>
          <cell r="C3332">
            <v>31102192</v>
          </cell>
          <cell r="D3332">
            <v>31102192</v>
          </cell>
          <cell r="E3332">
            <v>31102192</v>
          </cell>
          <cell r="F3332">
            <v>31102192</v>
          </cell>
          <cell r="G3332">
            <v>31102192</v>
          </cell>
          <cell r="H3332">
            <v>31102192</v>
          </cell>
          <cell r="I3332" t="str">
            <v/>
          </cell>
          <cell r="J3332" t="str">
            <v/>
          </cell>
          <cell r="K3332" t="str">
            <v/>
          </cell>
          <cell r="L3332" t="str">
            <v/>
          </cell>
          <cell r="M3332" t="str">
            <v/>
          </cell>
        </row>
        <row r="3333">
          <cell r="A3333">
            <v>31102192</v>
          </cell>
          <cell r="C3333">
            <v>31102192</v>
          </cell>
          <cell r="D3333">
            <v>31102192</v>
          </cell>
          <cell r="E3333">
            <v>31102192</v>
          </cell>
          <cell r="F3333">
            <v>31102192</v>
          </cell>
          <cell r="G3333">
            <v>31102192</v>
          </cell>
          <cell r="H3333">
            <v>31102192</v>
          </cell>
          <cell r="I3333" t="str">
            <v/>
          </cell>
          <cell r="J3333" t="str">
            <v/>
          </cell>
          <cell r="K3333" t="str">
            <v/>
          </cell>
          <cell r="L3333" t="str">
            <v/>
          </cell>
          <cell r="M3333" t="str">
            <v/>
          </cell>
        </row>
        <row r="3334">
          <cell r="A3334">
            <v>31102192</v>
          </cell>
          <cell r="C3334">
            <v>31102192</v>
          </cell>
          <cell r="D3334">
            <v>31102192</v>
          </cell>
          <cell r="E3334">
            <v>31102192</v>
          </cell>
          <cell r="F3334">
            <v>31102192</v>
          </cell>
          <cell r="G3334">
            <v>31102192</v>
          </cell>
          <cell r="H3334">
            <v>31102192</v>
          </cell>
          <cell r="I3334" t="str">
            <v/>
          </cell>
          <cell r="J3334" t="str">
            <v/>
          </cell>
          <cell r="K3334" t="str">
            <v/>
          </cell>
          <cell r="L3334" t="str">
            <v/>
          </cell>
          <cell r="M3334" t="str">
            <v/>
          </cell>
        </row>
        <row r="3335">
          <cell r="A3335">
            <v>31102192</v>
          </cell>
          <cell r="C3335">
            <v>31102192</v>
          </cell>
          <cell r="D3335">
            <v>31102192</v>
          </cell>
          <cell r="E3335">
            <v>31102192</v>
          </cell>
          <cell r="F3335">
            <v>31102192</v>
          </cell>
          <cell r="G3335">
            <v>31102192</v>
          </cell>
          <cell r="H3335">
            <v>31102192</v>
          </cell>
          <cell r="I3335" t="str">
            <v/>
          </cell>
          <cell r="J3335" t="str">
            <v/>
          </cell>
          <cell r="K3335" t="str">
            <v/>
          </cell>
          <cell r="L3335" t="str">
            <v/>
          </cell>
          <cell r="M3335" t="str">
            <v/>
          </cell>
        </row>
        <row r="3336">
          <cell r="A3336">
            <v>31102192</v>
          </cell>
          <cell r="C3336">
            <v>31102192</v>
          </cell>
          <cell r="D3336">
            <v>31102192</v>
          </cell>
          <cell r="E3336">
            <v>31102192</v>
          </cell>
          <cell r="F3336">
            <v>31102192</v>
          </cell>
          <cell r="G3336">
            <v>31102192</v>
          </cell>
          <cell r="H3336">
            <v>31102192</v>
          </cell>
          <cell r="I3336" t="str">
            <v/>
          </cell>
          <cell r="J3336" t="str">
            <v/>
          </cell>
          <cell r="K3336" t="str">
            <v/>
          </cell>
          <cell r="L3336" t="str">
            <v/>
          </cell>
          <cell r="M3336" t="str">
            <v/>
          </cell>
        </row>
        <row r="3337">
          <cell r="A3337">
            <v>31102192</v>
          </cell>
          <cell r="C3337">
            <v>31102192</v>
          </cell>
          <cell r="D3337">
            <v>31102192</v>
          </cell>
          <cell r="E3337">
            <v>31102192</v>
          </cell>
          <cell r="F3337">
            <v>31102192</v>
          </cell>
          <cell r="G3337">
            <v>31102192</v>
          </cell>
          <cell r="H3337">
            <v>31102192</v>
          </cell>
          <cell r="I3337" t="str">
            <v/>
          </cell>
          <cell r="J3337" t="str">
            <v/>
          </cell>
          <cell r="K3337" t="str">
            <v/>
          </cell>
          <cell r="L3337" t="str">
            <v/>
          </cell>
          <cell r="M3337" t="str">
            <v/>
          </cell>
        </row>
        <row r="3338">
          <cell r="A3338">
            <v>31102192</v>
          </cell>
          <cell r="C3338">
            <v>31102192</v>
          </cell>
          <cell r="D3338">
            <v>31102192</v>
          </cell>
          <cell r="E3338">
            <v>31102192</v>
          </cell>
          <cell r="F3338">
            <v>31102192</v>
          </cell>
          <cell r="G3338">
            <v>31102192</v>
          </cell>
          <cell r="H3338">
            <v>31102192</v>
          </cell>
          <cell r="I3338" t="str">
            <v/>
          </cell>
          <cell r="J3338" t="str">
            <v/>
          </cell>
          <cell r="K3338" t="str">
            <v/>
          </cell>
          <cell r="L3338" t="str">
            <v/>
          </cell>
          <cell r="M3338" t="str">
            <v/>
          </cell>
        </row>
        <row r="3339">
          <cell r="A3339">
            <v>31102192</v>
          </cell>
          <cell r="C3339">
            <v>31102192</v>
          </cell>
          <cell r="D3339">
            <v>31102192</v>
          </cell>
          <cell r="E3339">
            <v>31102192</v>
          </cell>
          <cell r="F3339">
            <v>31102192</v>
          </cell>
          <cell r="G3339">
            <v>31102192</v>
          </cell>
          <cell r="H3339">
            <v>31102192</v>
          </cell>
          <cell r="I3339" t="str">
            <v/>
          </cell>
          <cell r="J3339" t="str">
            <v/>
          </cell>
          <cell r="K3339" t="str">
            <v/>
          </cell>
          <cell r="L3339" t="str">
            <v/>
          </cell>
          <cell r="M3339" t="str">
            <v/>
          </cell>
        </row>
        <row r="3340">
          <cell r="A3340">
            <v>31102192</v>
          </cell>
          <cell r="C3340">
            <v>31102192</v>
          </cell>
          <cell r="D3340">
            <v>31102192</v>
          </cell>
          <cell r="E3340">
            <v>31102192</v>
          </cell>
          <cell r="F3340">
            <v>31102192</v>
          </cell>
          <cell r="G3340">
            <v>31102192</v>
          </cell>
          <cell r="H3340">
            <v>31102192</v>
          </cell>
          <cell r="I3340" t="str">
            <v/>
          </cell>
          <cell r="J3340" t="str">
            <v/>
          </cell>
          <cell r="K3340" t="str">
            <v/>
          </cell>
          <cell r="L3340" t="str">
            <v/>
          </cell>
          <cell r="M3340" t="str">
            <v/>
          </cell>
        </row>
        <row r="3341">
          <cell r="A3341">
            <v>31102192</v>
          </cell>
          <cell r="C3341">
            <v>31102192</v>
          </cell>
          <cell r="D3341">
            <v>31102192</v>
          </cell>
          <cell r="E3341">
            <v>31102192</v>
          </cell>
          <cell r="F3341">
            <v>31102192</v>
          </cell>
          <cell r="G3341">
            <v>31102192</v>
          </cell>
          <cell r="H3341">
            <v>31102192</v>
          </cell>
          <cell r="I3341" t="str">
            <v/>
          </cell>
          <cell r="J3341" t="str">
            <v/>
          </cell>
          <cell r="K3341" t="str">
            <v/>
          </cell>
          <cell r="L3341" t="str">
            <v/>
          </cell>
          <cell r="M3341" t="str">
            <v/>
          </cell>
        </row>
        <row r="3342">
          <cell r="A3342">
            <v>31102192</v>
          </cell>
          <cell r="C3342">
            <v>31102192</v>
          </cell>
          <cell r="D3342">
            <v>31102192</v>
          </cell>
          <cell r="E3342">
            <v>31102192</v>
          </cell>
          <cell r="F3342">
            <v>31102192</v>
          </cell>
          <cell r="G3342">
            <v>31102192</v>
          </cell>
          <cell r="H3342">
            <v>31102192</v>
          </cell>
          <cell r="I3342" t="str">
            <v/>
          </cell>
          <cell r="J3342" t="str">
            <v/>
          </cell>
          <cell r="K3342" t="str">
            <v/>
          </cell>
          <cell r="L3342" t="str">
            <v/>
          </cell>
          <cell r="M3342" t="str">
            <v/>
          </cell>
        </row>
        <row r="3343">
          <cell r="A3343">
            <v>31102192</v>
          </cell>
          <cell r="C3343">
            <v>31102192</v>
          </cell>
          <cell r="D3343">
            <v>31102192</v>
          </cell>
          <cell r="E3343">
            <v>31102192</v>
          </cell>
          <cell r="F3343">
            <v>31102192</v>
          </cell>
          <cell r="G3343">
            <v>31102192</v>
          </cell>
          <cell r="H3343">
            <v>31102192</v>
          </cell>
          <cell r="I3343" t="str">
            <v/>
          </cell>
          <cell r="J3343" t="str">
            <v/>
          </cell>
          <cell r="K3343" t="str">
            <v/>
          </cell>
          <cell r="L3343" t="str">
            <v/>
          </cell>
          <cell r="M3343" t="str">
            <v/>
          </cell>
        </row>
        <row r="3344">
          <cell r="A3344">
            <v>31102192</v>
          </cell>
          <cell r="C3344">
            <v>31102192</v>
          </cell>
          <cell r="D3344">
            <v>31102192</v>
          </cell>
          <cell r="E3344">
            <v>31102192</v>
          </cell>
          <cell r="F3344">
            <v>31102192</v>
          </cell>
          <cell r="G3344">
            <v>31102192</v>
          </cell>
          <cell r="H3344">
            <v>31102192</v>
          </cell>
          <cell r="I3344" t="str">
            <v/>
          </cell>
          <cell r="J3344" t="str">
            <v/>
          </cell>
          <cell r="K3344" t="str">
            <v/>
          </cell>
          <cell r="L3344" t="str">
            <v/>
          </cell>
          <cell r="M3344" t="str">
            <v/>
          </cell>
        </row>
        <row r="3345">
          <cell r="A3345">
            <v>31102192</v>
          </cell>
          <cell r="C3345">
            <v>31102192</v>
          </cell>
          <cell r="D3345">
            <v>31102192</v>
          </cell>
          <cell r="E3345">
            <v>31102192</v>
          </cell>
          <cell r="F3345">
            <v>31102192</v>
          </cell>
          <cell r="G3345">
            <v>31102192</v>
          </cell>
          <cell r="H3345">
            <v>31102192</v>
          </cell>
          <cell r="I3345" t="str">
            <v/>
          </cell>
          <cell r="J3345" t="str">
            <v/>
          </cell>
          <cell r="K3345" t="str">
            <v/>
          </cell>
          <cell r="L3345" t="str">
            <v/>
          </cell>
          <cell r="M3345" t="str">
            <v/>
          </cell>
        </row>
        <row r="3346">
          <cell r="A3346">
            <v>31102192</v>
          </cell>
          <cell r="C3346">
            <v>31102192</v>
          </cell>
          <cell r="D3346">
            <v>31102192</v>
          </cell>
          <cell r="E3346">
            <v>31102192</v>
          </cell>
          <cell r="F3346">
            <v>31102192</v>
          </cell>
          <cell r="G3346">
            <v>31102192</v>
          </cell>
          <cell r="H3346">
            <v>31102192</v>
          </cell>
          <cell r="I3346" t="str">
            <v/>
          </cell>
          <cell r="J3346" t="str">
            <v/>
          </cell>
          <cell r="K3346" t="str">
            <v/>
          </cell>
          <cell r="L3346" t="str">
            <v/>
          </cell>
          <cell r="M3346" t="str">
            <v/>
          </cell>
        </row>
        <row r="3347">
          <cell r="A3347">
            <v>31102192</v>
          </cell>
          <cell r="C3347">
            <v>31102192</v>
          </cell>
          <cell r="D3347">
            <v>31102192</v>
          </cell>
          <cell r="E3347">
            <v>31102192</v>
          </cell>
          <cell r="F3347">
            <v>31102192</v>
          </cell>
          <cell r="G3347">
            <v>31102192</v>
          </cell>
          <cell r="H3347">
            <v>31102192</v>
          </cell>
          <cell r="I3347" t="str">
            <v/>
          </cell>
          <cell r="J3347" t="str">
            <v/>
          </cell>
          <cell r="K3347" t="str">
            <v/>
          </cell>
          <cell r="L3347" t="str">
            <v/>
          </cell>
          <cell r="M3347" t="str">
            <v/>
          </cell>
        </row>
        <row r="3348">
          <cell r="A3348">
            <v>31102192</v>
          </cell>
          <cell r="C3348">
            <v>31102192</v>
          </cell>
          <cell r="D3348">
            <v>31102192</v>
          </cell>
          <cell r="E3348">
            <v>31102192</v>
          </cell>
          <cell r="F3348">
            <v>31102192</v>
          </cell>
          <cell r="G3348">
            <v>31102192</v>
          </cell>
          <cell r="H3348">
            <v>31102192</v>
          </cell>
          <cell r="I3348" t="str">
            <v/>
          </cell>
          <cell r="J3348" t="str">
            <v/>
          </cell>
          <cell r="K3348" t="str">
            <v/>
          </cell>
          <cell r="L3348" t="str">
            <v/>
          </cell>
          <cell r="M3348" t="str">
            <v/>
          </cell>
        </row>
        <row r="3349">
          <cell r="A3349">
            <v>31102192</v>
          </cell>
          <cell r="C3349">
            <v>31102192</v>
          </cell>
          <cell r="D3349">
            <v>31102192</v>
          </cell>
          <cell r="E3349">
            <v>31102192</v>
          </cell>
          <cell r="F3349">
            <v>31102192</v>
          </cell>
          <cell r="G3349">
            <v>31102192</v>
          </cell>
          <cell r="H3349">
            <v>31102192</v>
          </cell>
          <cell r="I3349" t="str">
            <v/>
          </cell>
          <cell r="J3349" t="str">
            <v/>
          </cell>
          <cell r="K3349" t="str">
            <v/>
          </cell>
          <cell r="L3349" t="str">
            <v/>
          </cell>
          <cell r="M3349" t="str">
            <v/>
          </cell>
        </row>
        <row r="3350">
          <cell r="A3350">
            <v>31102192</v>
          </cell>
          <cell r="C3350">
            <v>31102192</v>
          </cell>
          <cell r="D3350">
            <v>31102192</v>
          </cell>
          <cell r="E3350">
            <v>31102192</v>
          </cell>
          <cell r="F3350">
            <v>31102192</v>
          </cell>
          <cell r="G3350">
            <v>31102192</v>
          </cell>
          <cell r="H3350">
            <v>31102192</v>
          </cell>
          <cell r="I3350" t="str">
            <v/>
          </cell>
          <cell r="J3350" t="str">
            <v/>
          </cell>
          <cell r="K3350" t="str">
            <v/>
          </cell>
          <cell r="L3350" t="str">
            <v/>
          </cell>
          <cell r="M3350" t="str">
            <v/>
          </cell>
        </row>
        <row r="3351">
          <cell r="A3351">
            <v>31102192</v>
          </cell>
          <cell r="C3351">
            <v>31102192</v>
          </cell>
          <cell r="D3351">
            <v>31102192</v>
          </cell>
          <cell r="E3351">
            <v>31102192</v>
          </cell>
          <cell r="F3351">
            <v>31102192</v>
          </cell>
          <cell r="G3351">
            <v>31102192</v>
          </cell>
          <cell r="H3351">
            <v>31102192</v>
          </cell>
          <cell r="I3351" t="str">
            <v/>
          </cell>
          <cell r="J3351" t="str">
            <v/>
          </cell>
          <cell r="K3351" t="str">
            <v/>
          </cell>
          <cell r="L3351" t="str">
            <v/>
          </cell>
          <cell r="M3351" t="str">
            <v/>
          </cell>
        </row>
        <row r="3352">
          <cell r="A3352">
            <v>31102192</v>
          </cell>
          <cell r="C3352">
            <v>31102192</v>
          </cell>
          <cell r="D3352">
            <v>31102192</v>
          </cell>
          <cell r="E3352">
            <v>31102192</v>
          </cell>
          <cell r="F3352">
            <v>31102192</v>
          </cell>
          <cell r="G3352">
            <v>31102192</v>
          </cell>
          <cell r="H3352">
            <v>31102192</v>
          </cell>
          <cell r="I3352" t="str">
            <v/>
          </cell>
          <cell r="J3352" t="str">
            <v/>
          </cell>
          <cell r="K3352" t="str">
            <v/>
          </cell>
          <cell r="L3352" t="str">
            <v/>
          </cell>
          <cell r="M3352" t="str">
            <v/>
          </cell>
        </row>
        <row r="3353">
          <cell r="A3353">
            <v>31102192</v>
          </cell>
          <cell r="C3353">
            <v>31102192</v>
          </cell>
          <cell r="D3353">
            <v>31102192</v>
          </cell>
          <cell r="E3353">
            <v>31102192</v>
          </cell>
          <cell r="F3353">
            <v>31102192</v>
          </cell>
          <cell r="G3353">
            <v>31102192</v>
          </cell>
          <cell r="H3353">
            <v>31102192</v>
          </cell>
          <cell r="I3353" t="str">
            <v/>
          </cell>
          <cell r="J3353" t="str">
            <v/>
          </cell>
          <cell r="K3353" t="str">
            <v/>
          </cell>
          <cell r="L3353" t="str">
            <v/>
          </cell>
          <cell r="M3353" t="str">
            <v/>
          </cell>
        </row>
        <row r="3354">
          <cell r="A3354">
            <v>31102192</v>
          </cell>
          <cell r="C3354">
            <v>31102192</v>
          </cell>
          <cell r="D3354">
            <v>31102192</v>
          </cell>
          <cell r="E3354">
            <v>31102192</v>
          </cell>
          <cell r="F3354">
            <v>31102192</v>
          </cell>
          <cell r="G3354">
            <v>31102192</v>
          </cell>
          <cell r="H3354">
            <v>31102192</v>
          </cell>
          <cell r="I3354" t="str">
            <v/>
          </cell>
          <cell r="J3354" t="str">
            <v/>
          </cell>
          <cell r="K3354" t="str">
            <v/>
          </cell>
          <cell r="L3354" t="str">
            <v/>
          </cell>
          <cell r="M3354" t="str">
            <v/>
          </cell>
        </row>
        <row r="3355">
          <cell r="A3355">
            <v>31102192</v>
          </cell>
          <cell r="C3355">
            <v>31102192</v>
          </cell>
          <cell r="D3355">
            <v>31102192</v>
          </cell>
          <cell r="E3355">
            <v>31102192</v>
          </cell>
          <cell r="F3355">
            <v>31102192</v>
          </cell>
          <cell r="G3355">
            <v>31102192</v>
          </cell>
          <cell r="H3355">
            <v>31102192</v>
          </cell>
          <cell r="I3355" t="str">
            <v/>
          </cell>
          <cell r="J3355" t="str">
            <v/>
          </cell>
          <cell r="K3355" t="str">
            <v/>
          </cell>
          <cell r="L3355" t="str">
            <v/>
          </cell>
          <cell r="M3355" t="str">
            <v/>
          </cell>
        </row>
        <row r="3356">
          <cell r="A3356">
            <v>31102192</v>
          </cell>
          <cell r="C3356">
            <v>31102192</v>
          </cell>
          <cell r="D3356">
            <v>31102192</v>
          </cell>
          <cell r="E3356">
            <v>31102192</v>
          </cell>
          <cell r="F3356">
            <v>31102192</v>
          </cell>
          <cell r="G3356">
            <v>31102192</v>
          </cell>
          <cell r="H3356">
            <v>31102192</v>
          </cell>
          <cell r="I3356" t="str">
            <v/>
          </cell>
          <cell r="J3356" t="str">
            <v/>
          </cell>
          <cell r="K3356" t="str">
            <v/>
          </cell>
          <cell r="L3356" t="str">
            <v/>
          </cell>
          <cell r="M3356" t="str">
            <v/>
          </cell>
        </row>
        <row r="3357">
          <cell r="A3357">
            <v>31102192</v>
          </cell>
          <cell r="C3357">
            <v>31102192</v>
          </cell>
          <cell r="D3357">
            <v>31102192</v>
          </cell>
          <cell r="E3357">
            <v>31102192</v>
          </cell>
          <cell r="F3357">
            <v>31102192</v>
          </cell>
          <cell r="G3357">
            <v>31102192</v>
          </cell>
          <cell r="H3357">
            <v>31102192</v>
          </cell>
          <cell r="I3357" t="str">
            <v/>
          </cell>
          <cell r="J3357" t="str">
            <v/>
          </cell>
          <cell r="K3357" t="str">
            <v/>
          </cell>
          <cell r="L3357" t="str">
            <v/>
          </cell>
          <cell r="M3357" t="str">
            <v/>
          </cell>
        </row>
        <row r="3358">
          <cell r="A3358">
            <v>31102192</v>
          </cell>
          <cell r="C3358">
            <v>31102192</v>
          </cell>
          <cell r="D3358">
            <v>31102192</v>
          </cell>
          <cell r="E3358">
            <v>31102192</v>
          </cell>
          <cell r="F3358">
            <v>31102192</v>
          </cell>
          <cell r="G3358">
            <v>31102192</v>
          </cell>
          <cell r="H3358">
            <v>31102192</v>
          </cell>
          <cell r="I3358" t="str">
            <v/>
          </cell>
          <cell r="J3358" t="str">
            <v/>
          </cell>
          <cell r="K3358" t="str">
            <v/>
          </cell>
          <cell r="L3358" t="str">
            <v/>
          </cell>
          <cell r="M3358" t="str">
            <v/>
          </cell>
        </row>
        <row r="3359">
          <cell r="A3359">
            <v>31102192</v>
          </cell>
          <cell r="C3359">
            <v>31102192</v>
          </cell>
          <cell r="D3359">
            <v>31102192</v>
          </cell>
          <cell r="E3359">
            <v>31102192</v>
          </cell>
          <cell r="F3359">
            <v>31102192</v>
          </cell>
          <cell r="G3359">
            <v>31102192</v>
          </cell>
          <cell r="H3359">
            <v>31102192</v>
          </cell>
          <cell r="I3359" t="str">
            <v/>
          </cell>
          <cell r="J3359" t="str">
            <v/>
          </cell>
          <cell r="K3359" t="str">
            <v/>
          </cell>
          <cell r="L3359" t="str">
            <v/>
          </cell>
          <cell r="M3359" t="str">
            <v/>
          </cell>
        </row>
        <row r="3360">
          <cell r="A3360">
            <v>31102192</v>
          </cell>
          <cell r="C3360">
            <v>31102192</v>
          </cell>
          <cell r="D3360">
            <v>31102192</v>
          </cell>
          <cell r="E3360">
            <v>31102192</v>
          </cell>
          <cell r="F3360">
            <v>31102192</v>
          </cell>
          <cell r="G3360">
            <v>31102192</v>
          </cell>
          <cell r="H3360">
            <v>31102192</v>
          </cell>
          <cell r="I3360" t="str">
            <v/>
          </cell>
          <cell r="J3360" t="str">
            <v/>
          </cell>
          <cell r="K3360" t="str">
            <v/>
          </cell>
          <cell r="L3360" t="str">
            <v/>
          </cell>
          <cell r="M3360" t="str">
            <v/>
          </cell>
        </row>
        <row r="3361">
          <cell r="A3361">
            <v>31102192</v>
          </cell>
          <cell r="C3361">
            <v>31102192</v>
          </cell>
          <cell r="D3361">
            <v>31102192</v>
          </cell>
          <cell r="E3361">
            <v>31102192</v>
          </cell>
          <cell r="F3361">
            <v>31102192</v>
          </cell>
          <cell r="G3361">
            <v>31102192</v>
          </cell>
          <cell r="H3361">
            <v>31102192</v>
          </cell>
          <cell r="I3361" t="str">
            <v/>
          </cell>
          <cell r="J3361" t="str">
            <v/>
          </cell>
          <cell r="K3361" t="str">
            <v/>
          </cell>
          <cell r="L3361" t="str">
            <v/>
          </cell>
          <cell r="M3361" t="str">
            <v/>
          </cell>
        </row>
        <row r="3362">
          <cell r="A3362">
            <v>31102192</v>
          </cell>
          <cell r="C3362">
            <v>31102192</v>
          </cell>
          <cell r="D3362">
            <v>31102192</v>
          </cell>
          <cell r="E3362">
            <v>31102192</v>
          </cell>
          <cell r="F3362">
            <v>31102192</v>
          </cell>
          <cell r="G3362">
            <v>31102192</v>
          </cell>
          <cell r="H3362">
            <v>31102192</v>
          </cell>
          <cell r="I3362" t="str">
            <v/>
          </cell>
          <cell r="J3362" t="str">
            <v/>
          </cell>
          <cell r="K3362" t="str">
            <v/>
          </cell>
          <cell r="L3362" t="str">
            <v/>
          </cell>
          <cell r="M3362" t="str">
            <v/>
          </cell>
        </row>
        <row r="3363">
          <cell r="A3363">
            <v>31102192</v>
          </cell>
          <cell r="C3363">
            <v>31102192</v>
          </cell>
          <cell r="D3363">
            <v>31102192</v>
          </cell>
          <cell r="E3363">
            <v>31102192</v>
          </cell>
          <cell r="F3363">
            <v>31102192</v>
          </cell>
          <cell r="G3363">
            <v>31102192</v>
          </cell>
          <cell r="H3363">
            <v>31102192</v>
          </cell>
          <cell r="I3363" t="str">
            <v/>
          </cell>
          <cell r="J3363" t="str">
            <v/>
          </cell>
          <cell r="K3363" t="str">
            <v/>
          </cell>
          <cell r="L3363" t="str">
            <v/>
          </cell>
          <cell r="M3363" t="str">
            <v/>
          </cell>
        </row>
        <row r="3364">
          <cell r="A3364">
            <v>31102192</v>
          </cell>
          <cell r="C3364">
            <v>31102192</v>
          </cell>
          <cell r="D3364">
            <v>31102192</v>
          </cell>
          <cell r="E3364">
            <v>31102192</v>
          </cell>
          <cell r="F3364">
            <v>31102192</v>
          </cell>
          <cell r="G3364">
            <v>31102192</v>
          </cell>
          <cell r="H3364">
            <v>31102192</v>
          </cell>
          <cell r="I3364" t="str">
            <v/>
          </cell>
          <cell r="J3364" t="str">
            <v/>
          </cell>
          <cell r="K3364" t="str">
            <v/>
          </cell>
          <cell r="L3364" t="str">
            <v/>
          </cell>
          <cell r="M3364" t="str">
            <v/>
          </cell>
        </row>
        <row r="3365">
          <cell r="A3365">
            <v>31102192</v>
          </cell>
          <cell r="C3365">
            <v>31102192</v>
          </cell>
          <cell r="D3365">
            <v>31102192</v>
          </cell>
          <cell r="E3365">
            <v>31102192</v>
          </cell>
          <cell r="F3365">
            <v>31102192</v>
          </cell>
          <cell r="G3365">
            <v>31102192</v>
          </cell>
          <cell r="H3365">
            <v>31102192</v>
          </cell>
          <cell r="I3365" t="str">
            <v/>
          </cell>
          <cell r="J3365" t="str">
            <v/>
          </cell>
          <cell r="K3365" t="str">
            <v/>
          </cell>
          <cell r="L3365" t="str">
            <v/>
          </cell>
          <cell r="M3365" t="str">
            <v/>
          </cell>
        </row>
        <row r="3366">
          <cell r="A3366">
            <v>31102192</v>
          </cell>
          <cell r="C3366">
            <v>31102192</v>
          </cell>
          <cell r="D3366">
            <v>31102192</v>
          </cell>
          <cell r="E3366">
            <v>31102192</v>
          </cell>
          <cell r="F3366">
            <v>31102192</v>
          </cell>
          <cell r="G3366">
            <v>31102192</v>
          </cell>
          <cell r="H3366">
            <v>31102192</v>
          </cell>
          <cell r="I3366" t="str">
            <v/>
          </cell>
          <cell r="J3366" t="str">
            <v/>
          </cell>
          <cell r="K3366" t="str">
            <v/>
          </cell>
          <cell r="L3366" t="str">
            <v/>
          </cell>
          <cell r="M3366" t="str">
            <v/>
          </cell>
        </row>
        <row r="3367">
          <cell r="A3367">
            <v>31102192</v>
          </cell>
          <cell r="C3367">
            <v>31102192</v>
          </cell>
          <cell r="D3367">
            <v>31102192</v>
          </cell>
          <cell r="E3367">
            <v>31102192</v>
          </cell>
          <cell r="F3367">
            <v>31102192</v>
          </cell>
          <cell r="G3367">
            <v>31102192</v>
          </cell>
          <cell r="H3367">
            <v>31102192</v>
          </cell>
          <cell r="I3367" t="str">
            <v/>
          </cell>
          <cell r="J3367" t="str">
            <v/>
          </cell>
          <cell r="K3367" t="str">
            <v/>
          </cell>
          <cell r="L3367" t="str">
            <v/>
          </cell>
          <cell r="M3367" t="str">
            <v/>
          </cell>
        </row>
        <row r="3368">
          <cell r="A3368">
            <v>31102192</v>
          </cell>
          <cell r="C3368">
            <v>31102192</v>
          </cell>
          <cell r="D3368">
            <v>31102192</v>
          </cell>
          <cell r="E3368">
            <v>31102192</v>
          </cell>
          <cell r="F3368">
            <v>31102192</v>
          </cell>
          <cell r="G3368">
            <v>31102192</v>
          </cell>
          <cell r="H3368">
            <v>31102192</v>
          </cell>
          <cell r="I3368" t="str">
            <v/>
          </cell>
          <cell r="J3368" t="str">
            <v/>
          </cell>
          <cell r="K3368" t="str">
            <v/>
          </cell>
          <cell r="L3368" t="str">
            <v/>
          </cell>
          <cell r="M3368" t="str">
            <v/>
          </cell>
        </row>
        <row r="3369">
          <cell r="A3369">
            <v>31102192</v>
          </cell>
          <cell r="C3369">
            <v>31102192</v>
          </cell>
          <cell r="D3369">
            <v>31102192</v>
          </cell>
          <cell r="E3369">
            <v>31102192</v>
          </cell>
          <cell r="F3369">
            <v>31102192</v>
          </cell>
          <cell r="G3369">
            <v>31102192</v>
          </cell>
          <cell r="H3369">
            <v>31102192</v>
          </cell>
          <cell r="I3369" t="str">
            <v/>
          </cell>
          <cell r="J3369" t="str">
            <v/>
          </cell>
          <cell r="K3369" t="str">
            <v/>
          </cell>
          <cell r="L3369" t="str">
            <v/>
          </cell>
          <cell r="M3369" t="str">
            <v/>
          </cell>
        </row>
        <row r="3370">
          <cell r="A3370">
            <v>31102192</v>
          </cell>
          <cell r="C3370">
            <v>31102192</v>
          </cell>
          <cell r="D3370">
            <v>31102192</v>
          </cell>
          <cell r="E3370">
            <v>31102192</v>
          </cell>
          <cell r="F3370">
            <v>31102192</v>
          </cell>
          <cell r="G3370">
            <v>31102192</v>
          </cell>
          <cell r="H3370">
            <v>31102192</v>
          </cell>
          <cell r="I3370" t="str">
            <v/>
          </cell>
          <cell r="J3370" t="str">
            <v/>
          </cell>
          <cell r="K3370" t="str">
            <v/>
          </cell>
          <cell r="L3370" t="str">
            <v/>
          </cell>
          <cell r="M3370" t="str">
            <v/>
          </cell>
        </row>
        <row r="3371">
          <cell r="A3371">
            <v>31102192</v>
          </cell>
          <cell r="C3371">
            <v>31102192</v>
          </cell>
          <cell r="D3371">
            <v>31102192</v>
          </cell>
          <cell r="E3371">
            <v>31102192</v>
          </cell>
          <cell r="F3371">
            <v>31102192</v>
          </cell>
          <cell r="G3371">
            <v>31102192</v>
          </cell>
          <cell r="H3371">
            <v>31102192</v>
          </cell>
          <cell r="I3371" t="str">
            <v/>
          </cell>
          <cell r="J3371" t="str">
            <v/>
          </cell>
          <cell r="K3371" t="str">
            <v/>
          </cell>
          <cell r="L3371" t="str">
            <v/>
          </cell>
          <cell r="M3371" t="str">
            <v/>
          </cell>
        </row>
        <row r="3372">
          <cell r="A3372">
            <v>31102192</v>
          </cell>
          <cell r="C3372">
            <v>31102192</v>
          </cell>
          <cell r="D3372">
            <v>31102192</v>
          </cell>
          <cell r="E3372">
            <v>31102192</v>
          </cell>
          <cell r="F3372">
            <v>31102192</v>
          </cell>
          <cell r="G3372">
            <v>31102192</v>
          </cell>
          <cell r="H3372">
            <v>31102192</v>
          </cell>
          <cell r="I3372" t="str">
            <v/>
          </cell>
          <cell r="J3372" t="str">
            <v/>
          </cell>
          <cell r="K3372" t="str">
            <v/>
          </cell>
          <cell r="L3372" t="str">
            <v/>
          </cell>
          <cell r="M3372" t="str">
            <v/>
          </cell>
        </row>
        <row r="3373">
          <cell r="A3373">
            <v>31102192</v>
          </cell>
          <cell r="C3373">
            <v>31102192</v>
          </cell>
          <cell r="D3373">
            <v>31102192</v>
          </cell>
          <cell r="E3373">
            <v>31102192</v>
          </cell>
          <cell r="F3373">
            <v>31102192</v>
          </cell>
          <cell r="G3373">
            <v>31102192</v>
          </cell>
          <cell r="H3373">
            <v>31102192</v>
          </cell>
          <cell r="I3373" t="str">
            <v/>
          </cell>
          <cell r="J3373" t="str">
            <v/>
          </cell>
          <cell r="K3373" t="str">
            <v/>
          </cell>
          <cell r="L3373" t="str">
            <v/>
          </cell>
          <cell r="M3373" t="str">
            <v/>
          </cell>
        </row>
        <row r="3374">
          <cell r="A3374">
            <v>31102192</v>
          </cell>
          <cell r="C3374">
            <v>31102192</v>
          </cell>
          <cell r="D3374">
            <v>31102192</v>
          </cell>
          <cell r="E3374">
            <v>31102192</v>
          </cell>
          <cell r="F3374">
            <v>31102192</v>
          </cell>
          <cell r="G3374">
            <v>31102192</v>
          </cell>
          <cell r="H3374">
            <v>31102192</v>
          </cell>
          <cell r="I3374" t="str">
            <v/>
          </cell>
          <cell r="J3374" t="str">
            <v/>
          </cell>
          <cell r="K3374" t="str">
            <v/>
          </cell>
          <cell r="L3374" t="str">
            <v/>
          </cell>
          <cell r="M3374" t="str">
            <v/>
          </cell>
        </row>
        <row r="3375">
          <cell r="A3375">
            <v>31102192</v>
          </cell>
          <cell r="C3375">
            <v>31102192</v>
          </cell>
          <cell r="D3375">
            <v>31102192</v>
          </cell>
          <cell r="E3375">
            <v>31102192</v>
          </cell>
          <cell r="F3375">
            <v>31102192</v>
          </cell>
          <cell r="G3375">
            <v>31102192</v>
          </cell>
          <cell r="H3375">
            <v>31102192</v>
          </cell>
          <cell r="I3375" t="str">
            <v/>
          </cell>
          <cell r="J3375" t="str">
            <v/>
          </cell>
          <cell r="K3375" t="str">
            <v/>
          </cell>
          <cell r="L3375" t="str">
            <v/>
          </cell>
          <cell r="M3375" t="str">
            <v/>
          </cell>
        </row>
        <row r="3376">
          <cell r="A3376">
            <v>31102192</v>
          </cell>
          <cell r="C3376">
            <v>31102192</v>
          </cell>
          <cell r="D3376">
            <v>31102192</v>
          </cell>
          <cell r="E3376">
            <v>31102192</v>
          </cell>
          <cell r="F3376">
            <v>31102192</v>
          </cell>
          <cell r="G3376">
            <v>31102192</v>
          </cell>
          <cell r="H3376">
            <v>31102192</v>
          </cell>
          <cell r="I3376" t="str">
            <v/>
          </cell>
          <cell r="J3376" t="str">
            <v/>
          </cell>
          <cell r="K3376" t="str">
            <v/>
          </cell>
          <cell r="L3376" t="str">
            <v/>
          </cell>
          <cell r="M3376" t="str">
            <v/>
          </cell>
        </row>
        <row r="3377">
          <cell r="A3377">
            <v>31102192</v>
          </cell>
          <cell r="C3377">
            <v>31102192</v>
          </cell>
          <cell r="D3377">
            <v>31102192</v>
          </cell>
          <cell r="E3377">
            <v>31102192</v>
          </cell>
          <cell r="F3377">
            <v>31102192</v>
          </cell>
          <cell r="G3377">
            <v>31102192</v>
          </cell>
          <cell r="H3377">
            <v>31102192</v>
          </cell>
          <cell r="I3377" t="str">
            <v/>
          </cell>
          <cell r="J3377" t="str">
            <v/>
          </cell>
          <cell r="K3377" t="str">
            <v/>
          </cell>
          <cell r="L3377" t="str">
            <v/>
          </cell>
          <cell r="M3377" t="str">
            <v/>
          </cell>
        </row>
        <row r="3378">
          <cell r="A3378">
            <v>31102192</v>
          </cell>
          <cell r="C3378">
            <v>31102192</v>
          </cell>
          <cell r="D3378">
            <v>31102192</v>
          </cell>
          <cell r="E3378">
            <v>31102192</v>
          </cell>
          <cell r="F3378">
            <v>31102192</v>
          </cell>
          <cell r="G3378">
            <v>31102192</v>
          </cell>
          <cell r="H3378">
            <v>31102192</v>
          </cell>
          <cell r="I3378" t="str">
            <v/>
          </cell>
          <cell r="J3378" t="str">
            <v/>
          </cell>
          <cell r="K3378" t="str">
            <v/>
          </cell>
          <cell r="L3378" t="str">
            <v/>
          </cell>
          <cell r="M3378" t="str">
            <v/>
          </cell>
        </row>
        <row r="3379">
          <cell r="A3379">
            <v>31102192</v>
          </cell>
          <cell r="C3379">
            <v>31102192</v>
          </cell>
          <cell r="D3379">
            <v>31102192</v>
          </cell>
          <cell r="E3379">
            <v>31102192</v>
          </cell>
          <cell r="F3379">
            <v>31102192</v>
          </cell>
          <cell r="G3379">
            <v>31102192</v>
          </cell>
          <cell r="H3379">
            <v>31102192</v>
          </cell>
          <cell r="I3379" t="str">
            <v/>
          </cell>
          <cell r="J3379" t="str">
            <v/>
          </cell>
          <cell r="K3379" t="str">
            <v/>
          </cell>
          <cell r="L3379" t="str">
            <v/>
          </cell>
          <cell r="M3379" t="str">
            <v/>
          </cell>
        </row>
        <row r="3380">
          <cell r="A3380">
            <v>31102192</v>
          </cell>
          <cell r="C3380">
            <v>31102192</v>
          </cell>
          <cell r="D3380">
            <v>31102192</v>
          </cell>
          <cell r="E3380">
            <v>31102192</v>
          </cell>
          <cell r="F3380">
            <v>31102192</v>
          </cell>
          <cell r="G3380">
            <v>31102192</v>
          </cell>
          <cell r="H3380">
            <v>31102192</v>
          </cell>
          <cell r="I3380" t="str">
            <v/>
          </cell>
          <cell r="J3380" t="str">
            <v/>
          </cell>
          <cell r="K3380" t="str">
            <v/>
          </cell>
          <cell r="L3380" t="str">
            <v/>
          </cell>
          <cell r="M3380" t="str">
            <v/>
          </cell>
        </row>
        <row r="3381">
          <cell r="A3381">
            <v>31102192</v>
          </cell>
          <cell r="C3381">
            <v>31102192</v>
          </cell>
          <cell r="D3381">
            <v>31102192</v>
          </cell>
          <cell r="E3381">
            <v>31102192</v>
          </cell>
          <cell r="F3381">
            <v>31102192</v>
          </cell>
          <cell r="G3381">
            <v>31102192</v>
          </cell>
          <cell r="H3381">
            <v>31102192</v>
          </cell>
          <cell r="I3381" t="str">
            <v/>
          </cell>
          <cell r="J3381" t="str">
            <v/>
          </cell>
          <cell r="K3381" t="str">
            <v/>
          </cell>
          <cell r="L3381" t="str">
            <v/>
          </cell>
          <cell r="M3381" t="str">
            <v/>
          </cell>
        </row>
        <row r="3382">
          <cell r="A3382">
            <v>31102192</v>
          </cell>
          <cell r="C3382">
            <v>31102192</v>
          </cell>
          <cell r="D3382">
            <v>31102192</v>
          </cell>
          <cell r="E3382">
            <v>31102192</v>
          </cell>
          <cell r="F3382">
            <v>31102192</v>
          </cell>
          <cell r="G3382">
            <v>31102192</v>
          </cell>
          <cell r="H3382">
            <v>31102192</v>
          </cell>
          <cell r="I3382" t="str">
            <v/>
          </cell>
          <cell r="J3382" t="str">
            <v/>
          </cell>
          <cell r="K3382" t="str">
            <v/>
          </cell>
          <cell r="L3382" t="str">
            <v/>
          </cell>
          <cell r="M3382" t="str">
            <v/>
          </cell>
        </row>
        <row r="3383">
          <cell r="A3383">
            <v>31102192</v>
          </cell>
          <cell r="C3383">
            <v>31102192</v>
          </cell>
          <cell r="D3383">
            <v>31102192</v>
          </cell>
          <cell r="E3383">
            <v>31102192</v>
          </cell>
          <cell r="F3383">
            <v>31102192</v>
          </cell>
          <cell r="G3383">
            <v>31102192</v>
          </cell>
          <cell r="H3383">
            <v>31102192</v>
          </cell>
          <cell r="I3383" t="str">
            <v/>
          </cell>
          <cell r="J3383" t="str">
            <v/>
          </cell>
          <cell r="K3383" t="str">
            <v/>
          </cell>
          <cell r="L3383" t="str">
            <v/>
          </cell>
          <cell r="M3383" t="str">
            <v/>
          </cell>
        </row>
        <row r="3384">
          <cell r="A3384">
            <v>31102192</v>
          </cell>
          <cell r="C3384">
            <v>31102192</v>
          </cell>
          <cell r="D3384">
            <v>31102192</v>
          </cell>
          <cell r="E3384">
            <v>31102192</v>
          </cell>
          <cell r="F3384">
            <v>31102192</v>
          </cell>
          <cell r="G3384">
            <v>31102192</v>
          </cell>
          <cell r="H3384">
            <v>31102192</v>
          </cell>
          <cell r="I3384" t="str">
            <v/>
          </cell>
          <cell r="J3384" t="str">
            <v/>
          </cell>
          <cell r="K3384" t="str">
            <v/>
          </cell>
          <cell r="L3384" t="str">
            <v/>
          </cell>
          <cell r="M3384" t="str">
            <v/>
          </cell>
        </row>
        <row r="3385">
          <cell r="A3385">
            <v>31102192</v>
          </cell>
          <cell r="C3385">
            <v>31102192</v>
          </cell>
          <cell r="D3385">
            <v>31102192</v>
          </cell>
          <cell r="E3385">
            <v>31102192</v>
          </cell>
          <cell r="F3385">
            <v>31102192</v>
          </cell>
          <cell r="G3385">
            <v>31102192</v>
          </cell>
          <cell r="H3385">
            <v>31102192</v>
          </cell>
          <cell r="I3385" t="str">
            <v/>
          </cell>
          <cell r="J3385" t="str">
            <v/>
          </cell>
          <cell r="K3385" t="str">
            <v/>
          </cell>
          <cell r="L3385" t="str">
            <v/>
          </cell>
          <cell r="M3385" t="str">
            <v/>
          </cell>
        </row>
        <row r="3386">
          <cell r="A3386">
            <v>31102192</v>
          </cell>
          <cell r="C3386">
            <v>31102192</v>
          </cell>
          <cell r="D3386">
            <v>31102192</v>
          </cell>
          <cell r="E3386">
            <v>31102192</v>
          </cell>
          <cell r="F3386">
            <v>31102192</v>
          </cell>
          <cell r="G3386">
            <v>31102192</v>
          </cell>
          <cell r="H3386">
            <v>31102192</v>
          </cell>
          <cell r="I3386" t="str">
            <v/>
          </cell>
          <cell r="J3386" t="str">
            <v/>
          </cell>
          <cell r="K3386" t="str">
            <v/>
          </cell>
          <cell r="L3386" t="str">
            <v/>
          </cell>
          <cell r="M3386" t="str">
            <v/>
          </cell>
        </row>
        <row r="3387">
          <cell r="A3387">
            <v>31102192</v>
          </cell>
          <cell r="C3387">
            <v>31102192</v>
          </cell>
          <cell r="D3387">
            <v>31102192</v>
          </cell>
          <cell r="E3387">
            <v>31102192</v>
          </cell>
          <cell r="F3387">
            <v>31102192</v>
          </cell>
          <cell r="G3387">
            <v>31102192</v>
          </cell>
          <cell r="H3387">
            <v>31102192</v>
          </cell>
          <cell r="I3387" t="str">
            <v/>
          </cell>
          <cell r="J3387" t="str">
            <v/>
          </cell>
          <cell r="K3387" t="str">
            <v/>
          </cell>
          <cell r="L3387" t="str">
            <v/>
          </cell>
          <cell r="M3387" t="str">
            <v/>
          </cell>
        </row>
        <row r="3388">
          <cell r="A3388">
            <v>31102192</v>
          </cell>
          <cell r="C3388">
            <v>31102192</v>
          </cell>
          <cell r="D3388">
            <v>31102192</v>
          </cell>
          <cell r="E3388">
            <v>31102192</v>
          </cell>
          <cell r="F3388">
            <v>31102192</v>
          </cell>
          <cell r="G3388">
            <v>31102192</v>
          </cell>
          <cell r="H3388">
            <v>31102192</v>
          </cell>
          <cell r="I3388" t="str">
            <v/>
          </cell>
          <cell r="J3388" t="str">
            <v/>
          </cell>
          <cell r="K3388" t="str">
            <v/>
          </cell>
          <cell r="L3388" t="str">
            <v/>
          </cell>
          <cell r="M3388" t="str">
            <v/>
          </cell>
        </row>
        <row r="3389">
          <cell r="A3389">
            <v>31102192</v>
          </cell>
          <cell r="C3389">
            <v>31102192</v>
          </cell>
          <cell r="D3389">
            <v>31102192</v>
          </cell>
          <cell r="E3389">
            <v>31102192</v>
          </cell>
          <cell r="F3389">
            <v>31102192</v>
          </cell>
          <cell r="G3389">
            <v>31102192</v>
          </cell>
          <cell r="H3389">
            <v>31102192</v>
          </cell>
          <cell r="I3389" t="str">
            <v/>
          </cell>
          <cell r="J3389" t="str">
            <v/>
          </cell>
          <cell r="K3389" t="str">
            <v/>
          </cell>
          <cell r="L3389" t="str">
            <v/>
          </cell>
          <cell r="M3389" t="str">
            <v/>
          </cell>
        </row>
        <row r="3390">
          <cell r="A3390">
            <v>31102192</v>
          </cell>
          <cell r="C3390">
            <v>31102192</v>
          </cell>
          <cell r="D3390">
            <v>31102192</v>
          </cell>
          <cell r="E3390">
            <v>31102192</v>
          </cell>
          <cell r="F3390">
            <v>31102192</v>
          </cell>
          <cell r="G3390">
            <v>31102192</v>
          </cell>
          <cell r="H3390">
            <v>31102192</v>
          </cell>
          <cell r="I3390" t="str">
            <v/>
          </cell>
          <cell r="J3390" t="str">
            <v/>
          </cell>
          <cell r="K3390" t="str">
            <v/>
          </cell>
          <cell r="L3390" t="str">
            <v/>
          </cell>
          <cell r="M3390" t="str">
            <v/>
          </cell>
        </row>
        <row r="3391">
          <cell r="A3391">
            <v>31102192</v>
          </cell>
          <cell r="C3391">
            <v>31102192</v>
          </cell>
          <cell r="D3391">
            <v>31102192</v>
          </cell>
          <cell r="E3391">
            <v>31102192</v>
          </cell>
          <cell r="F3391">
            <v>31102192</v>
          </cell>
          <cell r="G3391">
            <v>31102192</v>
          </cell>
          <cell r="H3391">
            <v>31102192</v>
          </cell>
          <cell r="I3391" t="str">
            <v/>
          </cell>
          <cell r="J3391" t="str">
            <v/>
          </cell>
          <cell r="K3391" t="str">
            <v/>
          </cell>
          <cell r="L3391" t="str">
            <v/>
          </cell>
          <cell r="M3391" t="str">
            <v/>
          </cell>
        </row>
        <row r="3392">
          <cell r="A3392">
            <v>31102192</v>
          </cell>
          <cell r="C3392">
            <v>31102192</v>
          </cell>
          <cell r="D3392">
            <v>31102192</v>
          </cell>
          <cell r="E3392">
            <v>31102192</v>
          </cell>
          <cell r="F3392">
            <v>31102192</v>
          </cell>
          <cell r="G3392">
            <v>31102192</v>
          </cell>
          <cell r="H3392">
            <v>31102192</v>
          </cell>
          <cell r="I3392" t="str">
            <v/>
          </cell>
          <cell r="J3392" t="str">
            <v/>
          </cell>
          <cell r="K3392" t="str">
            <v/>
          </cell>
          <cell r="L3392" t="str">
            <v/>
          </cell>
          <cell r="M3392" t="str">
            <v/>
          </cell>
        </row>
        <row r="3393">
          <cell r="A3393">
            <v>31102192</v>
          </cell>
          <cell r="C3393">
            <v>31102192</v>
          </cell>
          <cell r="D3393">
            <v>31102192</v>
          </cell>
          <cell r="E3393">
            <v>31102192</v>
          </cell>
          <cell r="F3393">
            <v>31102192</v>
          </cell>
          <cell r="G3393">
            <v>31102192</v>
          </cell>
          <cell r="H3393">
            <v>31102192</v>
          </cell>
          <cell r="I3393" t="str">
            <v/>
          </cell>
          <cell r="J3393" t="str">
            <v/>
          </cell>
          <cell r="K3393" t="str">
            <v/>
          </cell>
          <cell r="L3393" t="str">
            <v/>
          </cell>
          <cell r="M3393" t="str">
            <v/>
          </cell>
        </row>
        <row r="3394">
          <cell r="A3394">
            <v>31102192</v>
          </cell>
          <cell r="C3394">
            <v>31102192</v>
          </cell>
          <cell r="D3394">
            <v>31102192</v>
          </cell>
          <cell r="E3394">
            <v>31102192</v>
          </cell>
          <cell r="F3394">
            <v>31102192</v>
          </cell>
          <cell r="G3394">
            <v>31102192</v>
          </cell>
          <cell r="H3394">
            <v>31102192</v>
          </cell>
          <cell r="I3394" t="str">
            <v/>
          </cell>
          <cell r="J3394" t="str">
            <v/>
          </cell>
          <cell r="K3394" t="str">
            <v/>
          </cell>
          <cell r="L3394" t="str">
            <v/>
          </cell>
          <cell r="M3394" t="str">
            <v/>
          </cell>
        </row>
        <row r="3395">
          <cell r="A3395">
            <v>31102192</v>
          </cell>
          <cell r="C3395">
            <v>31102192</v>
          </cell>
          <cell r="D3395">
            <v>31102192</v>
          </cell>
          <cell r="E3395">
            <v>31102192</v>
          </cell>
          <cell r="F3395">
            <v>31102192</v>
          </cell>
          <cell r="G3395">
            <v>31102192</v>
          </cell>
          <cell r="H3395">
            <v>31102192</v>
          </cell>
          <cell r="I3395" t="str">
            <v/>
          </cell>
          <cell r="J3395" t="str">
            <v/>
          </cell>
          <cell r="K3395" t="str">
            <v/>
          </cell>
          <cell r="L3395" t="str">
            <v/>
          </cell>
          <cell r="M3395" t="str">
            <v/>
          </cell>
        </row>
        <row r="3396">
          <cell r="A3396">
            <v>31102192</v>
          </cell>
          <cell r="C3396">
            <v>31102192</v>
          </cell>
          <cell r="D3396">
            <v>31102192</v>
          </cell>
          <cell r="E3396">
            <v>31102192</v>
          </cell>
          <cell r="F3396">
            <v>31102192</v>
          </cell>
          <cell r="G3396">
            <v>31102192</v>
          </cell>
          <cell r="H3396">
            <v>31102192</v>
          </cell>
          <cell r="I3396" t="str">
            <v/>
          </cell>
          <cell r="J3396" t="str">
            <v/>
          </cell>
          <cell r="K3396" t="str">
            <v/>
          </cell>
          <cell r="L3396" t="str">
            <v/>
          </cell>
          <cell r="M3396" t="str">
            <v/>
          </cell>
        </row>
        <row r="3397">
          <cell r="A3397">
            <v>31102192</v>
          </cell>
          <cell r="C3397">
            <v>31102192</v>
          </cell>
          <cell r="D3397">
            <v>31102192</v>
          </cell>
          <cell r="E3397">
            <v>31102192</v>
          </cell>
          <cell r="F3397">
            <v>31102192</v>
          </cell>
          <cell r="G3397">
            <v>31102192</v>
          </cell>
          <cell r="H3397">
            <v>31102192</v>
          </cell>
          <cell r="I3397" t="str">
            <v/>
          </cell>
          <cell r="J3397" t="str">
            <v/>
          </cell>
          <cell r="K3397" t="str">
            <v/>
          </cell>
          <cell r="L3397" t="str">
            <v/>
          </cell>
          <cell r="M3397" t="str">
            <v/>
          </cell>
        </row>
        <row r="3398">
          <cell r="A3398">
            <v>31102192</v>
          </cell>
          <cell r="C3398">
            <v>31102192</v>
          </cell>
          <cell r="D3398">
            <v>31102192</v>
          </cell>
          <cell r="E3398">
            <v>31102192</v>
          </cell>
          <cell r="F3398">
            <v>31102192</v>
          </cell>
          <cell r="G3398">
            <v>31102192</v>
          </cell>
          <cell r="H3398">
            <v>31102192</v>
          </cell>
          <cell r="I3398" t="str">
            <v/>
          </cell>
          <cell r="J3398" t="str">
            <v/>
          </cell>
          <cell r="K3398" t="str">
            <v/>
          </cell>
          <cell r="L3398" t="str">
            <v/>
          </cell>
          <cell r="M3398" t="str">
            <v/>
          </cell>
        </row>
        <row r="3399">
          <cell r="A3399">
            <v>31102192</v>
          </cell>
          <cell r="C3399">
            <v>31102192</v>
          </cell>
          <cell r="D3399">
            <v>31102192</v>
          </cell>
          <cell r="E3399">
            <v>31102192</v>
          </cell>
          <cell r="F3399">
            <v>31102192</v>
          </cell>
          <cell r="G3399">
            <v>31102192</v>
          </cell>
          <cell r="H3399">
            <v>31102192</v>
          </cell>
          <cell r="I3399" t="str">
            <v/>
          </cell>
          <cell r="J3399" t="str">
            <v/>
          </cell>
          <cell r="K3399" t="str">
            <v/>
          </cell>
          <cell r="L3399" t="str">
            <v/>
          </cell>
          <cell r="M3399" t="str">
            <v/>
          </cell>
        </row>
        <row r="3400">
          <cell r="A3400">
            <v>31102192</v>
          </cell>
          <cell r="C3400">
            <v>31102192</v>
          </cell>
          <cell r="D3400">
            <v>31102192</v>
          </cell>
          <cell r="E3400">
            <v>31102192</v>
          </cell>
          <cell r="F3400">
            <v>31102192</v>
          </cell>
          <cell r="G3400">
            <v>31102192</v>
          </cell>
          <cell r="H3400">
            <v>31102192</v>
          </cell>
          <cell r="I3400" t="str">
            <v/>
          </cell>
          <cell r="J3400" t="str">
            <v/>
          </cell>
          <cell r="K3400" t="str">
            <v/>
          </cell>
          <cell r="L3400" t="str">
            <v/>
          </cell>
          <cell r="M3400" t="str">
            <v/>
          </cell>
        </row>
        <row r="3401">
          <cell r="A3401">
            <v>31102192</v>
          </cell>
          <cell r="C3401">
            <v>31102192</v>
          </cell>
          <cell r="D3401">
            <v>31102192</v>
          </cell>
          <cell r="E3401">
            <v>31102192</v>
          </cell>
          <cell r="F3401">
            <v>31102192</v>
          </cell>
          <cell r="G3401">
            <v>31102192</v>
          </cell>
          <cell r="H3401">
            <v>31102192</v>
          </cell>
          <cell r="I3401" t="str">
            <v/>
          </cell>
          <cell r="J3401" t="str">
            <v/>
          </cell>
          <cell r="K3401" t="str">
            <v/>
          </cell>
          <cell r="L3401" t="str">
            <v/>
          </cell>
          <cell r="M3401" t="str">
            <v/>
          </cell>
        </row>
        <row r="3402">
          <cell r="A3402">
            <v>31102192</v>
          </cell>
          <cell r="C3402">
            <v>31102192</v>
          </cell>
          <cell r="D3402">
            <v>31102192</v>
          </cell>
          <cell r="E3402">
            <v>31102192</v>
          </cell>
          <cell r="F3402">
            <v>31102192</v>
          </cell>
          <cell r="G3402">
            <v>31102192</v>
          </cell>
          <cell r="H3402">
            <v>31102192</v>
          </cell>
          <cell r="I3402" t="str">
            <v/>
          </cell>
          <cell r="J3402" t="str">
            <v/>
          </cell>
          <cell r="K3402" t="str">
            <v/>
          </cell>
          <cell r="L3402" t="str">
            <v/>
          </cell>
          <cell r="M3402" t="str">
            <v/>
          </cell>
        </row>
        <row r="3403">
          <cell r="A3403">
            <v>31102192</v>
          </cell>
          <cell r="C3403">
            <v>31102192</v>
          </cell>
          <cell r="D3403">
            <v>31102192</v>
          </cell>
          <cell r="E3403">
            <v>31102192</v>
          </cell>
          <cell r="F3403">
            <v>31102192</v>
          </cell>
          <cell r="G3403">
            <v>31102192</v>
          </cell>
          <cell r="H3403">
            <v>31102192</v>
          </cell>
          <cell r="I3403" t="str">
            <v/>
          </cell>
          <cell r="J3403" t="str">
            <v/>
          </cell>
          <cell r="K3403" t="str">
            <v/>
          </cell>
          <cell r="L3403" t="str">
            <v/>
          </cell>
          <cell r="M3403" t="str">
            <v/>
          </cell>
        </row>
        <row r="3404">
          <cell r="A3404">
            <v>31102192</v>
          </cell>
          <cell r="C3404">
            <v>31102192</v>
          </cell>
          <cell r="D3404">
            <v>31102192</v>
          </cell>
          <cell r="E3404">
            <v>31102192</v>
          </cell>
          <cell r="F3404">
            <v>31102192</v>
          </cell>
          <cell r="G3404">
            <v>31102192</v>
          </cell>
          <cell r="H3404">
            <v>31102192</v>
          </cell>
          <cell r="I3404" t="str">
            <v/>
          </cell>
          <cell r="J3404" t="str">
            <v/>
          </cell>
          <cell r="K3404" t="str">
            <v/>
          </cell>
          <cell r="L3404" t="str">
            <v/>
          </cell>
          <cell r="M3404" t="str">
            <v/>
          </cell>
        </row>
        <row r="3405">
          <cell r="A3405">
            <v>31102192</v>
          </cell>
          <cell r="C3405">
            <v>31102192</v>
          </cell>
          <cell r="D3405">
            <v>31102192</v>
          </cell>
          <cell r="E3405">
            <v>31102192</v>
          </cell>
          <cell r="F3405">
            <v>31102192</v>
          </cell>
          <cell r="G3405">
            <v>31102192</v>
          </cell>
          <cell r="H3405">
            <v>31102192</v>
          </cell>
          <cell r="I3405" t="str">
            <v/>
          </cell>
          <cell r="J3405" t="str">
            <v/>
          </cell>
          <cell r="K3405" t="str">
            <v/>
          </cell>
          <cell r="L3405" t="str">
            <v/>
          </cell>
          <cell r="M3405" t="str">
            <v/>
          </cell>
        </row>
        <row r="3406">
          <cell r="A3406">
            <v>31102192</v>
          </cell>
          <cell r="C3406">
            <v>31102192</v>
          </cell>
          <cell r="D3406">
            <v>31102192</v>
          </cell>
          <cell r="E3406">
            <v>31102192</v>
          </cell>
          <cell r="F3406">
            <v>31102192</v>
          </cell>
          <cell r="G3406">
            <v>31102192</v>
          </cell>
          <cell r="H3406">
            <v>31102192</v>
          </cell>
          <cell r="I3406" t="str">
            <v/>
          </cell>
          <cell r="J3406" t="str">
            <v/>
          </cell>
          <cell r="K3406" t="str">
            <v/>
          </cell>
          <cell r="L3406" t="str">
            <v/>
          </cell>
          <cell r="M3406" t="str">
            <v/>
          </cell>
        </row>
        <row r="3407">
          <cell r="A3407">
            <v>31102192</v>
          </cell>
          <cell r="C3407">
            <v>31102192</v>
          </cell>
          <cell r="D3407">
            <v>31102192</v>
          </cell>
          <cell r="E3407">
            <v>31102192</v>
          </cell>
          <cell r="F3407">
            <v>31102192</v>
          </cell>
          <cell r="G3407">
            <v>31102192</v>
          </cell>
          <cell r="H3407">
            <v>31102192</v>
          </cell>
          <cell r="I3407" t="str">
            <v/>
          </cell>
          <cell r="J3407" t="str">
            <v/>
          </cell>
          <cell r="K3407" t="str">
            <v/>
          </cell>
          <cell r="L3407" t="str">
            <v/>
          </cell>
          <cell r="M3407" t="str">
            <v/>
          </cell>
        </row>
        <row r="3408">
          <cell r="A3408">
            <v>31102192</v>
          </cell>
          <cell r="C3408">
            <v>31102192</v>
          </cell>
          <cell r="D3408">
            <v>31102192</v>
          </cell>
          <cell r="E3408">
            <v>31102192</v>
          </cell>
          <cell r="F3408">
            <v>31102192</v>
          </cell>
          <cell r="G3408">
            <v>31102192</v>
          </cell>
          <cell r="H3408">
            <v>31102192</v>
          </cell>
          <cell r="I3408" t="str">
            <v/>
          </cell>
          <cell r="J3408" t="str">
            <v/>
          </cell>
          <cell r="K3408" t="str">
            <v/>
          </cell>
          <cell r="L3408" t="str">
            <v/>
          </cell>
          <cell r="M3408" t="str">
            <v/>
          </cell>
        </row>
        <row r="3409">
          <cell r="A3409">
            <v>31102192</v>
          </cell>
          <cell r="C3409">
            <v>31102192</v>
          </cell>
          <cell r="D3409">
            <v>31102192</v>
          </cell>
          <cell r="E3409">
            <v>31102192</v>
          </cell>
          <cell r="F3409">
            <v>31102192</v>
          </cell>
          <cell r="G3409">
            <v>31102192</v>
          </cell>
          <cell r="H3409">
            <v>31102192</v>
          </cell>
          <cell r="I3409" t="str">
            <v/>
          </cell>
          <cell r="J3409" t="str">
            <v/>
          </cell>
          <cell r="K3409" t="str">
            <v/>
          </cell>
          <cell r="L3409" t="str">
            <v/>
          </cell>
          <cell r="M3409" t="str">
            <v/>
          </cell>
        </row>
        <row r="3410">
          <cell r="A3410">
            <v>31102192</v>
          </cell>
          <cell r="C3410">
            <v>31102192</v>
          </cell>
          <cell r="D3410">
            <v>31102192</v>
          </cell>
          <cell r="E3410">
            <v>31102192</v>
          </cell>
          <cell r="F3410">
            <v>31102192</v>
          </cell>
          <cell r="G3410">
            <v>31102192</v>
          </cell>
          <cell r="H3410">
            <v>31102192</v>
          </cell>
          <cell r="I3410" t="str">
            <v/>
          </cell>
          <cell r="J3410" t="str">
            <v/>
          </cell>
          <cell r="K3410" t="str">
            <v/>
          </cell>
          <cell r="L3410" t="str">
            <v/>
          </cell>
          <cell r="M3410" t="str">
            <v/>
          </cell>
        </row>
        <row r="3411">
          <cell r="A3411">
            <v>31102192</v>
          </cell>
          <cell r="C3411">
            <v>31102192</v>
          </cell>
          <cell r="D3411">
            <v>31102192</v>
          </cell>
          <cell r="E3411">
            <v>31102192</v>
          </cell>
          <cell r="F3411">
            <v>31102192</v>
          </cell>
          <cell r="G3411">
            <v>31102192</v>
          </cell>
          <cell r="H3411">
            <v>31102192</v>
          </cell>
          <cell r="I3411" t="str">
            <v/>
          </cell>
          <cell r="J3411" t="str">
            <v/>
          </cell>
          <cell r="K3411" t="str">
            <v/>
          </cell>
          <cell r="L3411" t="str">
            <v/>
          </cell>
          <cell r="M3411" t="str">
            <v/>
          </cell>
        </row>
        <row r="3412">
          <cell r="A3412">
            <v>31102192</v>
          </cell>
          <cell r="C3412">
            <v>31102192</v>
          </cell>
          <cell r="D3412">
            <v>31102192</v>
          </cell>
          <cell r="E3412">
            <v>31102192</v>
          </cell>
          <cell r="F3412">
            <v>31102192</v>
          </cell>
          <cell r="G3412">
            <v>31102192</v>
          </cell>
          <cell r="H3412">
            <v>31102192</v>
          </cell>
          <cell r="I3412" t="str">
            <v/>
          </cell>
          <cell r="J3412" t="str">
            <v/>
          </cell>
          <cell r="K3412" t="str">
            <v/>
          </cell>
          <cell r="L3412" t="str">
            <v/>
          </cell>
          <cell r="M3412" t="str">
            <v/>
          </cell>
        </row>
        <row r="3413">
          <cell r="A3413">
            <v>31102192</v>
          </cell>
          <cell r="C3413">
            <v>31102192</v>
          </cell>
          <cell r="D3413">
            <v>31102192</v>
          </cell>
          <cell r="E3413">
            <v>31102192</v>
          </cell>
          <cell r="F3413">
            <v>31102192</v>
          </cell>
          <cell r="G3413">
            <v>31102192</v>
          </cell>
          <cell r="H3413">
            <v>31102192</v>
          </cell>
          <cell r="I3413" t="str">
            <v/>
          </cell>
          <cell r="J3413" t="str">
            <v/>
          </cell>
          <cell r="K3413" t="str">
            <v/>
          </cell>
          <cell r="L3413" t="str">
            <v/>
          </cell>
          <cell r="M3413" t="str">
            <v/>
          </cell>
        </row>
        <row r="3414">
          <cell r="A3414">
            <v>31102192</v>
          </cell>
          <cell r="C3414">
            <v>31102192</v>
          </cell>
          <cell r="D3414">
            <v>31102192</v>
          </cell>
          <cell r="E3414">
            <v>31102192</v>
          </cell>
          <cell r="F3414">
            <v>31102192</v>
          </cell>
          <cell r="G3414">
            <v>31102192</v>
          </cell>
          <cell r="H3414">
            <v>31102192</v>
          </cell>
          <cell r="I3414" t="str">
            <v/>
          </cell>
          <cell r="J3414" t="str">
            <v/>
          </cell>
          <cell r="K3414" t="str">
            <v/>
          </cell>
          <cell r="L3414" t="str">
            <v/>
          </cell>
          <cell r="M3414" t="str">
            <v/>
          </cell>
        </row>
        <row r="3415">
          <cell r="A3415">
            <v>31102192</v>
          </cell>
          <cell r="C3415">
            <v>31102192</v>
          </cell>
          <cell r="D3415">
            <v>31102192</v>
          </cell>
          <cell r="E3415">
            <v>31102192</v>
          </cell>
          <cell r="F3415">
            <v>31102192</v>
          </cell>
          <cell r="G3415">
            <v>31102192</v>
          </cell>
          <cell r="H3415">
            <v>31102192</v>
          </cell>
          <cell r="I3415" t="str">
            <v/>
          </cell>
          <cell r="J3415" t="str">
            <v/>
          </cell>
          <cell r="K3415" t="str">
            <v/>
          </cell>
          <cell r="L3415" t="str">
            <v/>
          </cell>
          <cell r="M3415" t="str">
            <v/>
          </cell>
        </row>
        <row r="3416">
          <cell r="A3416">
            <v>31102192</v>
          </cell>
          <cell r="C3416">
            <v>31102192</v>
          </cell>
          <cell r="D3416">
            <v>31102192</v>
          </cell>
          <cell r="E3416">
            <v>31102192</v>
          </cell>
          <cell r="F3416">
            <v>31102192</v>
          </cell>
          <cell r="G3416">
            <v>31102192</v>
          </cell>
          <cell r="H3416">
            <v>31102192</v>
          </cell>
          <cell r="I3416" t="str">
            <v/>
          </cell>
          <cell r="J3416" t="str">
            <v/>
          </cell>
          <cell r="K3416" t="str">
            <v/>
          </cell>
          <cell r="L3416" t="str">
            <v/>
          </cell>
          <cell r="M3416" t="str">
            <v/>
          </cell>
        </row>
        <row r="3417">
          <cell r="A3417">
            <v>31102192</v>
          </cell>
          <cell r="C3417">
            <v>31102192</v>
          </cell>
          <cell r="D3417">
            <v>31102192</v>
          </cell>
          <cell r="E3417">
            <v>31102192</v>
          </cell>
          <cell r="F3417">
            <v>31102192</v>
          </cell>
          <cell r="G3417">
            <v>31102192</v>
          </cell>
          <cell r="H3417">
            <v>31102192</v>
          </cell>
          <cell r="I3417" t="str">
            <v/>
          </cell>
          <cell r="J3417" t="str">
            <v/>
          </cell>
          <cell r="K3417" t="str">
            <v/>
          </cell>
          <cell r="L3417" t="str">
            <v/>
          </cell>
          <cell r="M3417" t="str">
            <v/>
          </cell>
        </row>
        <row r="3418">
          <cell r="A3418">
            <v>31102192</v>
          </cell>
          <cell r="C3418">
            <v>31102192</v>
          </cell>
          <cell r="D3418">
            <v>31102192</v>
          </cell>
          <cell r="E3418">
            <v>31102192</v>
          </cell>
          <cell r="F3418">
            <v>31102192</v>
          </cell>
          <cell r="G3418">
            <v>31102192</v>
          </cell>
          <cell r="H3418">
            <v>31102192</v>
          </cell>
          <cell r="I3418" t="str">
            <v/>
          </cell>
          <cell r="J3418" t="str">
            <v/>
          </cell>
          <cell r="K3418" t="str">
            <v/>
          </cell>
          <cell r="L3418" t="str">
            <v/>
          </cell>
          <cell r="M3418" t="str">
            <v/>
          </cell>
        </row>
        <row r="3419">
          <cell r="A3419">
            <v>31102192</v>
          </cell>
          <cell r="C3419">
            <v>31102192</v>
          </cell>
          <cell r="D3419">
            <v>31102192</v>
          </cell>
          <cell r="E3419">
            <v>31102192</v>
          </cell>
          <cell r="F3419">
            <v>31102192</v>
          </cell>
          <cell r="G3419">
            <v>31102192</v>
          </cell>
          <cell r="H3419">
            <v>31102192</v>
          </cell>
          <cell r="I3419" t="str">
            <v/>
          </cell>
          <cell r="J3419" t="str">
            <v/>
          </cell>
          <cell r="K3419" t="str">
            <v/>
          </cell>
          <cell r="L3419" t="str">
            <v/>
          </cell>
          <cell r="M3419" t="str">
            <v/>
          </cell>
        </row>
        <row r="3420">
          <cell r="A3420">
            <v>31102192</v>
          </cell>
          <cell r="C3420">
            <v>31102192</v>
          </cell>
          <cell r="D3420">
            <v>31102192</v>
          </cell>
          <cell r="E3420">
            <v>31102192</v>
          </cell>
          <cell r="F3420">
            <v>31102192</v>
          </cell>
          <cell r="G3420">
            <v>31102192</v>
          </cell>
          <cell r="H3420">
            <v>31102192</v>
          </cell>
          <cell r="I3420" t="str">
            <v/>
          </cell>
          <cell r="J3420" t="str">
            <v/>
          </cell>
          <cell r="K3420" t="str">
            <v/>
          </cell>
          <cell r="L3420" t="str">
            <v/>
          </cell>
          <cell r="M3420" t="str">
            <v/>
          </cell>
        </row>
        <row r="3421">
          <cell r="A3421">
            <v>31102192</v>
          </cell>
          <cell r="C3421">
            <v>31102192</v>
          </cell>
          <cell r="D3421">
            <v>31102192</v>
          </cell>
          <cell r="E3421">
            <v>31102192</v>
          </cell>
          <cell r="F3421">
            <v>31102192</v>
          </cell>
          <cell r="G3421">
            <v>31102192</v>
          </cell>
          <cell r="H3421">
            <v>31102192</v>
          </cell>
          <cell r="I3421" t="str">
            <v/>
          </cell>
          <cell r="J3421" t="str">
            <v/>
          </cell>
          <cell r="K3421" t="str">
            <v/>
          </cell>
          <cell r="L3421" t="str">
            <v/>
          </cell>
          <cell r="M3421" t="str">
            <v/>
          </cell>
        </row>
        <row r="3422">
          <cell r="A3422">
            <v>31102192</v>
          </cell>
          <cell r="C3422">
            <v>31102192</v>
          </cell>
          <cell r="D3422">
            <v>31102192</v>
          </cell>
          <cell r="E3422">
            <v>31102192</v>
          </cell>
          <cell r="F3422">
            <v>31102192</v>
          </cell>
          <cell r="G3422">
            <v>31102192</v>
          </cell>
          <cell r="H3422">
            <v>31102192</v>
          </cell>
          <cell r="I3422" t="str">
            <v/>
          </cell>
          <cell r="J3422" t="str">
            <v/>
          </cell>
          <cell r="K3422" t="str">
            <v/>
          </cell>
          <cell r="L3422" t="str">
            <v/>
          </cell>
          <cell r="M3422" t="str">
            <v/>
          </cell>
        </row>
        <row r="3423">
          <cell r="A3423">
            <v>31102192</v>
          </cell>
          <cell r="C3423">
            <v>31102192</v>
          </cell>
          <cell r="D3423">
            <v>31102192</v>
          </cell>
          <cell r="E3423">
            <v>31102192</v>
          </cell>
          <cell r="F3423">
            <v>31102192</v>
          </cell>
          <cell r="G3423">
            <v>31102192</v>
          </cell>
          <cell r="H3423">
            <v>31102192</v>
          </cell>
          <cell r="I3423" t="str">
            <v/>
          </cell>
          <cell r="J3423" t="str">
            <v/>
          </cell>
          <cell r="K3423" t="str">
            <v/>
          </cell>
          <cell r="L3423" t="str">
            <v/>
          </cell>
          <cell r="M3423" t="str">
            <v/>
          </cell>
        </row>
        <row r="3424">
          <cell r="A3424">
            <v>31102192</v>
          </cell>
          <cell r="C3424">
            <v>31102192</v>
          </cell>
          <cell r="D3424">
            <v>31102192</v>
          </cell>
          <cell r="E3424">
            <v>31102192</v>
          </cell>
          <cell r="F3424">
            <v>31102192</v>
          </cell>
          <cell r="G3424">
            <v>31102192</v>
          </cell>
          <cell r="H3424">
            <v>31102192</v>
          </cell>
          <cell r="I3424" t="str">
            <v/>
          </cell>
          <cell r="J3424" t="str">
            <v/>
          </cell>
          <cell r="K3424" t="str">
            <v/>
          </cell>
          <cell r="L3424" t="str">
            <v/>
          </cell>
          <cell r="M3424" t="str">
            <v/>
          </cell>
        </row>
        <row r="3425">
          <cell r="A3425">
            <v>31102192</v>
          </cell>
          <cell r="C3425">
            <v>31102192</v>
          </cell>
          <cell r="D3425">
            <v>31102192</v>
          </cell>
          <cell r="E3425">
            <v>31102192</v>
          </cell>
          <cell r="F3425">
            <v>31102192</v>
          </cell>
          <cell r="G3425">
            <v>31102192</v>
          </cell>
          <cell r="H3425">
            <v>31102192</v>
          </cell>
          <cell r="I3425" t="str">
            <v/>
          </cell>
          <cell r="J3425" t="str">
            <v/>
          </cell>
          <cell r="K3425" t="str">
            <v/>
          </cell>
          <cell r="L3425" t="str">
            <v/>
          </cell>
          <cell r="M3425" t="str">
            <v/>
          </cell>
        </row>
        <row r="3426">
          <cell r="A3426">
            <v>31102192</v>
          </cell>
          <cell r="C3426">
            <v>31102192</v>
          </cell>
          <cell r="D3426">
            <v>31102192</v>
          </cell>
          <cell r="E3426">
            <v>31102192</v>
          </cell>
          <cell r="F3426">
            <v>31102192</v>
          </cell>
          <cell r="G3426">
            <v>31102192</v>
          </cell>
          <cell r="H3426">
            <v>31102192</v>
          </cell>
          <cell r="I3426" t="str">
            <v/>
          </cell>
          <cell r="J3426" t="str">
            <v/>
          </cell>
          <cell r="K3426" t="str">
            <v/>
          </cell>
          <cell r="L3426" t="str">
            <v/>
          </cell>
          <cell r="M3426" t="str">
            <v/>
          </cell>
        </row>
        <row r="3427">
          <cell r="A3427">
            <v>31102192</v>
          </cell>
          <cell r="C3427">
            <v>31102192</v>
          </cell>
          <cell r="D3427">
            <v>31102192</v>
          </cell>
          <cell r="E3427">
            <v>31102192</v>
          </cell>
          <cell r="F3427">
            <v>31102192</v>
          </cell>
          <cell r="G3427">
            <v>31102192</v>
          </cell>
          <cell r="H3427">
            <v>31102192</v>
          </cell>
          <cell r="I3427" t="str">
            <v/>
          </cell>
          <cell r="J3427" t="str">
            <v/>
          </cell>
          <cell r="K3427" t="str">
            <v/>
          </cell>
          <cell r="L3427" t="str">
            <v/>
          </cell>
          <cell r="M3427" t="str">
            <v/>
          </cell>
        </row>
        <row r="3428">
          <cell r="A3428">
            <v>31102192</v>
          </cell>
          <cell r="C3428">
            <v>31102192</v>
          </cell>
          <cell r="D3428">
            <v>31102192</v>
          </cell>
          <cell r="E3428">
            <v>31102192</v>
          </cell>
          <cell r="F3428">
            <v>31102192</v>
          </cell>
          <cell r="G3428">
            <v>31102192</v>
          </cell>
          <cell r="H3428">
            <v>31102192</v>
          </cell>
          <cell r="I3428" t="str">
            <v/>
          </cell>
          <cell r="J3428" t="str">
            <v/>
          </cell>
          <cell r="K3428" t="str">
            <v/>
          </cell>
          <cell r="L3428" t="str">
            <v/>
          </cell>
          <cell r="M3428" t="str">
            <v/>
          </cell>
        </row>
        <row r="3429">
          <cell r="A3429">
            <v>31102192</v>
          </cell>
          <cell r="C3429">
            <v>31102192</v>
          </cell>
          <cell r="D3429">
            <v>31102192</v>
          </cell>
          <cell r="E3429">
            <v>31102192</v>
          </cell>
          <cell r="F3429">
            <v>31102192</v>
          </cell>
          <cell r="G3429">
            <v>31102192</v>
          </cell>
          <cell r="H3429">
            <v>31102192</v>
          </cell>
          <cell r="I3429" t="str">
            <v/>
          </cell>
          <cell r="J3429" t="str">
            <v/>
          </cell>
          <cell r="K3429" t="str">
            <v/>
          </cell>
          <cell r="L3429" t="str">
            <v/>
          </cell>
          <cell r="M3429" t="str">
            <v/>
          </cell>
        </row>
        <row r="3430">
          <cell r="A3430">
            <v>31102192</v>
          </cell>
          <cell r="C3430">
            <v>31102192</v>
          </cell>
          <cell r="D3430">
            <v>31102192</v>
          </cell>
          <cell r="E3430">
            <v>31102192</v>
          </cell>
          <cell r="F3430">
            <v>31102192</v>
          </cell>
          <cell r="G3430">
            <v>31102192</v>
          </cell>
          <cell r="H3430">
            <v>31102192</v>
          </cell>
          <cell r="I3430" t="str">
            <v/>
          </cell>
          <cell r="J3430" t="str">
            <v/>
          </cell>
          <cell r="K3430" t="str">
            <v/>
          </cell>
          <cell r="L3430" t="str">
            <v/>
          </cell>
          <cell r="M3430" t="str">
            <v/>
          </cell>
        </row>
        <row r="3431">
          <cell r="A3431">
            <v>31102192</v>
          </cell>
          <cell r="C3431">
            <v>31102192</v>
          </cell>
          <cell r="D3431">
            <v>31102192</v>
          </cell>
          <cell r="E3431">
            <v>31102192</v>
          </cell>
          <cell r="F3431">
            <v>31102192</v>
          </cell>
          <cell r="G3431">
            <v>31102192</v>
          </cell>
          <cell r="H3431">
            <v>31102192</v>
          </cell>
          <cell r="I3431" t="str">
            <v/>
          </cell>
          <cell r="J3431" t="str">
            <v/>
          </cell>
          <cell r="K3431" t="str">
            <v/>
          </cell>
          <cell r="L3431" t="str">
            <v/>
          </cell>
          <cell r="M3431" t="str">
            <v/>
          </cell>
        </row>
        <row r="3432">
          <cell r="A3432">
            <v>31102192</v>
          </cell>
          <cell r="C3432">
            <v>31102192</v>
          </cell>
          <cell r="D3432">
            <v>31102192</v>
          </cell>
          <cell r="E3432">
            <v>31102192</v>
          </cell>
          <cell r="F3432">
            <v>31102192</v>
          </cell>
          <cell r="G3432">
            <v>31102192</v>
          </cell>
          <cell r="H3432">
            <v>31102192</v>
          </cell>
          <cell r="I3432" t="str">
            <v/>
          </cell>
          <cell r="J3432" t="str">
            <v/>
          </cell>
          <cell r="K3432" t="str">
            <v/>
          </cell>
          <cell r="L3432" t="str">
            <v/>
          </cell>
          <cell r="M3432" t="str">
            <v/>
          </cell>
        </row>
        <row r="3433">
          <cell r="A3433">
            <v>31102192</v>
          </cell>
          <cell r="C3433">
            <v>31102192</v>
          </cell>
          <cell r="D3433">
            <v>31102192</v>
          </cell>
          <cell r="E3433">
            <v>31102192</v>
          </cell>
          <cell r="F3433">
            <v>31102192</v>
          </cell>
          <cell r="G3433">
            <v>31102192</v>
          </cell>
          <cell r="H3433">
            <v>31102192</v>
          </cell>
          <cell r="I3433" t="str">
            <v/>
          </cell>
          <cell r="J3433" t="str">
            <v/>
          </cell>
          <cell r="K3433" t="str">
            <v/>
          </cell>
          <cell r="L3433" t="str">
            <v/>
          </cell>
          <cell r="M3433" t="str">
            <v/>
          </cell>
        </row>
        <row r="3434">
          <cell r="A3434">
            <v>31102192</v>
          </cell>
          <cell r="C3434">
            <v>31102192</v>
          </cell>
          <cell r="D3434">
            <v>31102192</v>
          </cell>
          <cell r="E3434">
            <v>31102192</v>
          </cell>
          <cell r="F3434">
            <v>31102192</v>
          </cell>
          <cell r="G3434">
            <v>31102192</v>
          </cell>
          <cell r="H3434">
            <v>31102192</v>
          </cell>
          <cell r="I3434" t="str">
            <v/>
          </cell>
          <cell r="J3434" t="str">
            <v/>
          </cell>
          <cell r="K3434" t="str">
            <v/>
          </cell>
          <cell r="L3434" t="str">
            <v/>
          </cell>
          <cell r="M3434" t="str">
            <v/>
          </cell>
        </row>
        <row r="3435">
          <cell r="A3435">
            <v>31102192</v>
          </cell>
          <cell r="C3435">
            <v>31102192</v>
          </cell>
          <cell r="D3435">
            <v>31102192</v>
          </cell>
          <cell r="E3435">
            <v>31102192</v>
          </cell>
          <cell r="F3435">
            <v>31102192</v>
          </cell>
          <cell r="G3435">
            <v>31102192</v>
          </cell>
          <cell r="H3435">
            <v>31102192</v>
          </cell>
          <cell r="I3435" t="str">
            <v/>
          </cell>
          <cell r="J3435" t="str">
            <v/>
          </cell>
          <cell r="K3435" t="str">
            <v/>
          </cell>
          <cell r="L3435" t="str">
            <v/>
          </cell>
          <cell r="M3435" t="str">
            <v/>
          </cell>
        </row>
        <row r="3436">
          <cell r="A3436">
            <v>31102192</v>
          </cell>
          <cell r="C3436">
            <v>31102192</v>
          </cell>
          <cell r="D3436">
            <v>31102192</v>
          </cell>
          <cell r="E3436">
            <v>31102192</v>
          </cell>
          <cell r="F3436">
            <v>31102192</v>
          </cell>
          <cell r="G3436">
            <v>31102192</v>
          </cell>
          <cell r="H3436">
            <v>31102192</v>
          </cell>
          <cell r="I3436" t="str">
            <v/>
          </cell>
          <cell r="J3436" t="str">
            <v/>
          </cell>
          <cell r="K3436" t="str">
            <v/>
          </cell>
          <cell r="L3436" t="str">
            <v/>
          </cell>
          <cell r="M3436" t="str">
            <v/>
          </cell>
        </row>
        <row r="3437">
          <cell r="A3437">
            <v>31102192</v>
          </cell>
          <cell r="C3437">
            <v>31102192</v>
          </cell>
          <cell r="D3437">
            <v>31102192</v>
          </cell>
          <cell r="E3437">
            <v>31102192</v>
          </cell>
          <cell r="F3437">
            <v>31102192</v>
          </cell>
          <cell r="G3437">
            <v>31102192</v>
          </cell>
          <cell r="H3437">
            <v>31102192</v>
          </cell>
          <cell r="I3437" t="str">
            <v/>
          </cell>
          <cell r="J3437" t="str">
            <v/>
          </cell>
          <cell r="K3437" t="str">
            <v/>
          </cell>
          <cell r="L3437" t="str">
            <v/>
          </cell>
          <cell r="M3437" t="str">
            <v/>
          </cell>
        </row>
        <row r="3438">
          <cell r="A3438">
            <v>31102192</v>
          </cell>
          <cell r="C3438">
            <v>31102192</v>
          </cell>
          <cell r="D3438">
            <v>31102192</v>
          </cell>
          <cell r="E3438">
            <v>31102192</v>
          </cell>
          <cell r="F3438">
            <v>31102192</v>
          </cell>
          <cell r="G3438">
            <v>31102192</v>
          </cell>
          <cell r="H3438">
            <v>31102192</v>
          </cell>
          <cell r="I3438" t="str">
            <v/>
          </cell>
          <cell r="J3438" t="str">
            <v/>
          </cell>
          <cell r="K3438" t="str">
            <v/>
          </cell>
          <cell r="L3438" t="str">
            <v/>
          </cell>
          <cell r="M3438" t="str">
            <v/>
          </cell>
        </row>
        <row r="3439">
          <cell r="A3439">
            <v>31102192</v>
          </cell>
          <cell r="C3439">
            <v>31102192</v>
          </cell>
          <cell r="D3439">
            <v>31102192</v>
          </cell>
          <cell r="E3439">
            <v>31102192</v>
          </cell>
          <cell r="F3439">
            <v>31102192</v>
          </cell>
          <cell r="G3439">
            <v>31102192</v>
          </cell>
          <cell r="H3439">
            <v>31102192</v>
          </cell>
          <cell r="I3439" t="str">
            <v/>
          </cell>
          <cell r="J3439" t="str">
            <v/>
          </cell>
          <cell r="K3439" t="str">
            <v/>
          </cell>
          <cell r="L3439" t="str">
            <v/>
          </cell>
          <cell r="M3439" t="str">
            <v/>
          </cell>
        </row>
        <row r="3440">
          <cell r="A3440">
            <v>31102192</v>
          </cell>
          <cell r="C3440">
            <v>31102192</v>
          </cell>
          <cell r="D3440">
            <v>31102192</v>
          </cell>
          <cell r="E3440">
            <v>31102192</v>
          </cell>
          <cell r="F3440">
            <v>31102192</v>
          </cell>
          <cell r="G3440">
            <v>31102192</v>
          </cell>
          <cell r="H3440">
            <v>31102192</v>
          </cell>
          <cell r="I3440" t="str">
            <v/>
          </cell>
          <cell r="J3440" t="str">
            <v/>
          </cell>
          <cell r="K3440" t="str">
            <v/>
          </cell>
          <cell r="L3440" t="str">
            <v/>
          </cell>
          <cell r="M3440" t="str">
            <v/>
          </cell>
        </row>
        <row r="3441">
          <cell r="A3441">
            <v>31102192</v>
          </cell>
          <cell r="C3441">
            <v>31102192</v>
          </cell>
          <cell r="D3441">
            <v>31102192</v>
          </cell>
          <cell r="E3441">
            <v>31102192</v>
          </cell>
          <cell r="F3441">
            <v>31102192</v>
          </cell>
          <cell r="G3441">
            <v>31102192</v>
          </cell>
          <cell r="H3441">
            <v>31102192</v>
          </cell>
          <cell r="I3441" t="str">
            <v/>
          </cell>
          <cell r="J3441" t="str">
            <v/>
          </cell>
          <cell r="K3441" t="str">
            <v/>
          </cell>
          <cell r="L3441" t="str">
            <v/>
          </cell>
          <cell r="M3441" t="str">
            <v/>
          </cell>
        </row>
        <row r="3442">
          <cell r="A3442">
            <v>31102192</v>
          </cell>
          <cell r="C3442">
            <v>31102192</v>
          </cell>
          <cell r="D3442">
            <v>31102192</v>
          </cell>
          <cell r="E3442">
            <v>31102192</v>
          </cell>
          <cell r="F3442">
            <v>31102192</v>
          </cell>
          <cell r="G3442">
            <v>31102192</v>
          </cell>
          <cell r="H3442">
            <v>31102192</v>
          </cell>
          <cell r="I3442" t="str">
            <v/>
          </cell>
          <cell r="J3442" t="str">
            <v/>
          </cell>
          <cell r="K3442" t="str">
            <v/>
          </cell>
          <cell r="L3442" t="str">
            <v/>
          </cell>
          <cell r="M3442" t="str">
            <v/>
          </cell>
        </row>
        <row r="3443">
          <cell r="A3443">
            <v>31102192</v>
          </cell>
          <cell r="C3443">
            <v>31102192</v>
          </cell>
          <cell r="D3443">
            <v>31102192</v>
          </cell>
          <cell r="E3443">
            <v>31102192</v>
          </cell>
          <cell r="F3443">
            <v>31102192</v>
          </cell>
          <cell r="G3443">
            <v>31102192</v>
          </cell>
          <cell r="H3443">
            <v>31102192</v>
          </cell>
          <cell r="I3443" t="str">
            <v/>
          </cell>
          <cell r="J3443" t="str">
            <v/>
          </cell>
          <cell r="K3443" t="str">
            <v/>
          </cell>
          <cell r="L3443" t="str">
            <v/>
          </cell>
          <cell r="M3443" t="str">
            <v/>
          </cell>
        </row>
        <row r="3444">
          <cell r="A3444">
            <v>31102192</v>
          </cell>
          <cell r="C3444">
            <v>31102192</v>
          </cell>
          <cell r="D3444">
            <v>31102192</v>
          </cell>
          <cell r="E3444">
            <v>31102192</v>
          </cell>
          <cell r="F3444">
            <v>31102192</v>
          </cell>
          <cell r="G3444">
            <v>31102192</v>
          </cell>
          <cell r="H3444">
            <v>31102192</v>
          </cell>
          <cell r="I3444" t="str">
            <v/>
          </cell>
          <cell r="J3444" t="str">
            <v/>
          </cell>
          <cell r="K3444" t="str">
            <v/>
          </cell>
          <cell r="L3444" t="str">
            <v/>
          </cell>
          <cell r="M3444" t="str">
            <v/>
          </cell>
        </row>
        <row r="3445">
          <cell r="A3445">
            <v>31102192</v>
          </cell>
          <cell r="C3445">
            <v>31102192</v>
          </cell>
          <cell r="D3445">
            <v>31102192</v>
          </cell>
          <cell r="E3445">
            <v>31102192</v>
          </cell>
          <cell r="F3445">
            <v>31102192</v>
          </cell>
          <cell r="G3445">
            <v>31102192</v>
          </cell>
          <cell r="H3445">
            <v>31102192</v>
          </cell>
          <cell r="I3445" t="str">
            <v/>
          </cell>
          <cell r="J3445" t="str">
            <v/>
          </cell>
          <cell r="K3445" t="str">
            <v/>
          </cell>
          <cell r="L3445" t="str">
            <v/>
          </cell>
          <cell r="M3445" t="str">
            <v/>
          </cell>
        </row>
        <row r="3446">
          <cell r="A3446">
            <v>31102192</v>
          </cell>
          <cell r="C3446">
            <v>31102192</v>
          </cell>
          <cell r="D3446">
            <v>31102192</v>
          </cell>
          <cell r="E3446">
            <v>31102192</v>
          </cell>
          <cell r="F3446">
            <v>31102192</v>
          </cell>
          <cell r="G3446">
            <v>31102192</v>
          </cell>
          <cell r="H3446">
            <v>31102192</v>
          </cell>
          <cell r="I3446" t="str">
            <v/>
          </cell>
          <cell r="J3446" t="str">
            <v/>
          </cell>
          <cell r="K3446" t="str">
            <v/>
          </cell>
          <cell r="L3446" t="str">
            <v/>
          </cell>
          <cell r="M3446" t="str">
            <v/>
          </cell>
        </row>
        <row r="3447">
          <cell r="A3447">
            <v>31102192</v>
          </cell>
          <cell r="C3447">
            <v>31102192</v>
          </cell>
          <cell r="D3447">
            <v>31102192</v>
          </cell>
          <cell r="E3447">
            <v>31102192</v>
          </cell>
          <cell r="F3447">
            <v>31102192</v>
          </cell>
          <cell r="G3447">
            <v>31102192</v>
          </cell>
          <cell r="H3447">
            <v>31102192</v>
          </cell>
          <cell r="I3447" t="str">
            <v/>
          </cell>
          <cell r="J3447" t="str">
            <v/>
          </cell>
          <cell r="K3447" t="str">
            <v/>
          </cell>
          <cell r="L3447" t="str">
            <v/>
          </cell>
          <cell r="M3447" t="str">
            <v/>
          </cell>
        </row>
        <row r="3448">
          <cell r="A3448">
            <v>31102192</v>
          </cell>
          <cell r="C3448">
            <v>31102192</v>
          </cell>
          <cell r="D3448">
            <v>31102192</v>
          </cell>
          <cell r="E3448">
            <v>31102192</v>
          </cell>
          <cell r="F3448">
            <v>31102192</v>
          </cell>
          <cell r="G3448">
            <v>31102192</v>
          </cell>
          <cell r="H3448">
            <v>31102192</v>
          </cell>
          <cell r="I3448" t="str">
            <v/>
          </cell>
          <cell r="J3448" t="str">
            <v/>
          </cell>
          <cell r="K3448" t="str">
            <v/>
          </cell>
          <cell r="L3448" t="str">
            <v/>
          </cell>
          <cell r="M3448" t="str">
            <v/>
          </cell>
        </row>
        <row r="3449">
          <cell r="A3449">
            <v>31102192</v>
          </cell>
          <cell r="C3449">
            <v>31102192</v>
          </cell>
          <cell r="D3449">
            <v>31102192</v>
          </cell>
          <cell r="E3449">
            <v>31102192</v>
          </cell>
          <cell r="F3449">
            <v>31102192</v>
          </cell>
          <cell r="G3449">
            <v>31102192</v>
          </cell>
          <cell r="H3449">
            <v>31102192</v>
          </cell>
          <cell r="I3449" t="str">
            <v/>
          </cell>
          <cell r="J3449" t="str">
            <v/>
          </cell>
          <cell r="K3449" t="str">
            <v/>
          </cell>
          <cell r="L3449" t="str">
            <v/>
          </cell>
          <cell r="M3449" t="str">
            <v/>
          </cell>
        </row>
        <row r="3450">
          <cell r="A3450">
            <v>31102192</v>
          </cell>
          <cell r="C3450">
            <v>31102192</v>
          </cell>
          <cell r="D3450">
            <v>31102192</v>
          </cell>
          <cell r="E3450">
            <v>31102192</v>
          </cell>
          <cell r="F3450">
            <v>31102192</v>
          </cell>
          <cell r="G3450">
            <v>31102192</v>
          </cell>
          <cell r="H3450">
            <v>31102192</v>
          </cell>
          <cell r="I3450" t="str">
            <v/>
          </cell>
          <cell r="J3450" t="str">
            <v/>
          </cell>
          <cell r="K3450" t="str">
            <v/>
          </cell>
          <cell r="L3450" t="str">
            <v/>
          </cell>
          <cell r="M3450" t="str">
            <v/>
          </cell>
        </row>
        <row r="3451">
          <cell r="A3451">
            <v>31102192</v>
          </cell>
          <cell r="C3451">
            <v>31102192</v>
          </cell>
          <cell r="D3451">
            <v>31102192</v>
          </cell>
          <cell r="E3451">
            <v>31102192</v>
          </cell>
          <cell r="F3451">
            <v>31102192</v>
          </cell>
          <cell r="G3451">
            <v>31102192</v>
          </cell>
          <cell r="H3451">
            <v>31102192</v>
          </cell>
          <cell r="I3451" t="str">
            <v/>
          </cell>
          <cell r="J3451" t="str">
            <v/>
          </cell>
          <cell r="K3451" t="str">
            <v/>
          </cell>
          <cell r="L3451" t="str">
            <v/>
          </cell>
          <cell r="M3451" t="str">
            <v/>
          </cell>
        </row>
        <row r="3452">
          <cell r="A3452">
            <v>31102192</v>
          </cell>
          <cell r="C3452">
            <v>31102192</v>
          </cell>
          <cell r="D3452">
            <v>31102192</v>
          </cell>
          <cell r="E3452">
            <v>31102192</v>
          </cell>
          <cell r="F3452">
            <v>31102192</v>
          </cell>
          <cell r="G3452">
            <v>31102192</v>
          </cell>
          <cell r="H3452">
            <v>31102192</v>
          </cell>
          <cell r="I3452" t="str">
            <v/>
          </cell>
          <cell r="J3452" t="str">
            <v/>
          </cell>
          <cell r="K3452" t="str">
            <v/>
          </cell>
          <cell r="L3452" t="str">
            <v/>
          </cell>
          <cell r="M3452" t="str">
            <v/>
          </cell>
        </row>
        <row r="3453">
          <cell r="A3453">
            <v>31102192</v>
          </cell>
          <cell r="C3453">
            <v>31102192</v>
          </cell>
          <cell r="D3453">
            <v>31102192</v>
          </cell>
          <cell r="E3453">
            <v>31102192</v>
          </cell>
          <cell r="F3453">
            <v>31102192</v>
          </cell>
          <cell r="G3453">
            <v>31102192</v>
          </cell>
          <cell r="H3453">
            <v>31102192</v>
          </cell>
          <cell r="I3453" t="str">
            <v/>
          </cell>
          <cell r="J3453" t="str">
            <v/>
          </cell>
          <cell r="K3453" t="str">
            <v/>
          </cell>
          <cell r="L3453" t="str">
            <v/>
          </cell>
          <cell r="M3453" t="str">
            <v/>
          </cell>
        </row>
        <row r="3454">
          <cell r="A3454">
            <v>31102192</v>
          </cell>
          <cell r="C3454">
            <v>31102192</v>
          </cell>
          <cell r="D3454">
            <v>31102192</v>
          </cell>
          <cell r="E3454">
            <v>31102192</v>
          </cell>
          <cell r="F3454">
            <v>31102192</v>
          </cell>
          <cell r="G3454">
            <v>31102192</v>
          </cell>
          <cell r="H3454">
            <v>31102192</v>
          </cell>
          <cell r="I3454" t="str">
            <v/>
          </cell>
          <cell r="J3454" t="str">
            <v/>
          </cell>
          <cell r="K3454" t="str">
            <v/>
          </cell>
          <cell r="L3454" t="str">
            <v/>
          </cell>
          <cell r="M3454" t="str">
            <v/>
          </cell>
        </row>
        <row r="3455">
          <cell r="A3455">
            <v>31102192</v>
          </cell>
          <cell r="C3455">
            <v>31102192</v>
          </cell>
          <cell r="D3455">
            <v>31102192</v>
          </cell>
          <cell r="E3455">
            <v>31102192</v>
          </cell>
          <cell r="F3455">
            <v>31102192</v>
          </cell>
          <cell r="G3455">
            <v>31102192</v>
          </cell>
          <cell r="H3455">
            <v>31102192</v>
          </cell>
          <cell r="I3455" t="str">
            <v/>
          </cell>
          <cell r="J3455" t="str">
            <v/>
          </cell>
          <cell r="K3455" t="str">
            <v/>
          </cell>
          <cell r="L3455" t="str">
            <v/>
          </cell>
          <cell r="M3455" t="str">
            <v/>
          </cell>
        </row>
        <row r="3456">
          <cell r="A3456">
            <v>31102192</v>
          </cell>
          <cell r="C3456">
            <v>31102192</v>
          </cell>
          <cell r="D3456">
            <v>31102192</v>
          </cell>
          <cell r="E3456">
            <v>31102192</v>
          </cell>
          <cell r="F3456">
            <v>31102192</v>
          </cell>
          <cell r="G3456">
            <v>31102192</v>
          </cell>
          <cell r="H3456">
            <v>31102192</v>
          </cell>
          <cell r="I3456" t="str">
            <v/>
          </cell>
          <cell r="J3456" t="str">
            <v/>
          </cell>
          <cell r="K3456" t="str">
            <v/>
          </cell>
          <cell r="L3456" t="str">
            <v/>
          </cell>
          <cell r="M3456" t="str">
            <v/>
          </cell>
        </row>
        <row r="3457">
          <cell r="A3457">
            <v>31102192</v>
          </cell>
          <cell r="C3457">
            <v>31102192</v>
          </cell>
          <cell r="D3457">
            <v>31102192</v>
          </cell>
          <cell r="E3457">
            <v>31102192</v>
          </cell>
          <cell r="F3457">
            <v>31102192</v>
          </cell>
          <cell r="G3457">
            <v>31102192</v>
          </cell>
          <cell r="H3457">
            <v>31102192</v>
          </cell>
          <cell r="I3457" t="str">
            <v/>
          </cell>
          <cell r="J3457" t="str">
            <v/>
          </cell>
          <cell r="K3457" t="str">
            <v/>
          </cell>
          <cell r="L3457" t="str">
            <v/>
          </cell>
          <cell r="M3457" t="str">
            <v/>
          </cell>
        </row>
        <row r="3458">
          <cell r="A3458">
            <v>31102192</v>
          </cell>
          <cell r="C3458">
            <v>31102192</v>
          </cell>
          <cell r="D3458">
            <v>31102192</v>
          </cell>
          <cell r="E3458">
            <v>31102192</v>
          </cell>
          <cell r="F3458">
            <v>31102192</v>
          </cell>
          <cell r="G3458">
            <v>31102192</v>
          </cell>
          <cell r="H3458">
            <v>31102192</v>
          </cell>
          <cell r="I3458" t="str">
            <v/>
          </cell>
          <cell r="J3458" t="str">
            <v/>
          </cell>
          <cell r="K3458" t="str">
            <v/>
          </cell>
          <cell r="L3458" t="str">
            <v/>
          </cell>
          <cell r="M3458" t="str">
            <v/>
          </cell>
        </row>
        <row r="3459">
          <cell r="A3459">
            <v>31102192</v>
          </cell>
          <cell r="C3459">
            <v>31102192</v>
          </cell>
          <cell r="D3459">
            <v>31102192</v>
          </cell>
          <cell r="E3459">
            <v>31102192</v>
          </cell>
          <cell r="F3459">
            <v>31102192</v>
          </cell>
          <cell r="G3459">
            <v>31102192</v>
          </cell>
          <cell r="H3459">
            <v>31102192</v>
          </cell>
          <cell r="I3459" t="str">
            <v/>
          </cell>
          <cell r="J3459" t="str">
            <v/>
          </cell>
          <cell r="K3459" t="str">
            <v/>
          </cell>
          <cell r="L3459" t="str">
            <v/>
          </cell>
          <cell r="M3459" t="str">
            <v/>
          </cell>
        </row>
        <row r="3460">
          <cell r="A3460">
            <v>31102192</v>
          </cell>
          <cell r="C3460">
            <v>31102192</v>
          </cell>
          <cell r="D3460">
            <v>31102192</v>
          </cell>
          <cell r="E3460">
            <v>31102192</v>
          </cell>
          <cell r="F3460">
            <v>31102192</v>
          </cell>
          <cell r="G3460">
            <v>31102192</v>
          </cell>
          <cell r="H3460">
            <v>31102192</v>
          </cell>
          <cell r="I3460" t="str">
            <v/>
          </cell>
          <cell r="J3460" t="str">
            <v/>
          </cell>
          <cell r="K3460" t="str">
            <v/>
          </cell>
          <cell r="L3460" t="str">
            <v/>
          </cell>
          <cell r="M3460" t="str">
            <v/>
          </cell>
        </row>
        <row r="3461">
          <cell r="A3461">
            <v>31102192</v>
          </cell>
          <cell r="C3461">
            <v>31102192</v>
          </cell>
          <cell r="D3461">
            <v>31102192</v>
          </cell>
          <cell r="E3461">
            <v>31102192</v>
          </cell>
          <cell r="F3461">
            <v>31102192</v>
          </cell>
          <cell r="G3461">
            <v>31102192</v>
          </cell>
          <cell r="H3461">
            <v>31102192</v>
          </cell>
          <cell r="I3461" t="str">
            <v/>
          </cell>
          <cell r="J3461" t="str">
            <v/>
          </cell>
          <cell r="K3461" t="str">
            <v/>
          </cell>
          <cell r="L3461" t="str">
            <v/>
          </cell>
          <cell r="M3461" t="str">
            <v/>
          </cell>
        </row>
        <row r="3462">
          <cell r="A3462">
            <v>31102192</v>
          </cell>
          <cell r="C3462">
            <v>31102192</v>
          </cell>
          <cell r="D3462">
            <v>31102192</v>
          </cell>
          <cell r="E3462">
            <v>31102192</v>
          </cell>
          <cell r="F3462">
            <v>31102192</v>
          </cell>
          <cell r="G3462">
            <v>31102192</v>
          </cell>
          <cell r="H3462">
            <v>31102192</v>
          </cell>
          <cell r="I3462" t="str">
            <v/>
          </cell>
          <cell r="J3462" t="str">
            <v/>
          </cell>
          <cell r="K3462" t="str">
            <v/>
          </cell>
          <cell r="L3462" t="str">
            <v/>
          </cell>
          <cell r="M3462" t="str">
            <v/>
          </cell>
        </row>
        <row r="3463">
          <cell r="A3463">
            <v>31102192</v>
          </cell>
          <cell r="C3463">
            <v>31102192</v>
          </cell>
          <cell r="D3463">
            <v>31102192</v>
          </cell>
          <cell r="E3463">
            <v>31102192</v>
          </cell>
          <cell r="F3463">
            <v>31102192</v>
          </cell>
          <cell r="G3463">
            <v>31102192</v>
          </cell>
          <cell r="H3463">
            <v>31102192</v>
          </cell>
          <cell r="I3463" t="str">
            <v/>
          </cell>
          <cell r="J3463" t="str">
            <v/>
          </cell>
          <cell r="K3463" t="str">
            <v/>
          </cell>
          <cell r="L3463" t="str">
            <v/>
          </cell>
          <cell r="M3463" t="str">
            <v/>
          </cell>
        </row>
        <row r="3464">
          <cell r="A3464">
            <v>31102192</v>
          </cell>
          <cell r="C3464">
            <v>31102192</v>
          </cell>
          <cell r="D3464">
            <v>31102192</v>
          </cell>
          <cell r="E3464">
            <v>31102192</v>
          </cell>
          <cell r="F3464">
            <v>31102192</v>
          </cell>
          <cell r="G3464">
            <v>31102192</v>
          </cell>
          <cell r="H3464">
            <v>31102192</v>
          </cell>
          <cell r="I3464" t="str">
            <v/>
          </cell>
          <cell r="J3464" t="str">
            <v/>
          </cell>
          <cell r="K3464" t="str">
            <v/>
          </cell>
          <cell r="L3464" t="str">
            <v/>
          </cell>
          <cell r="M3464" t="str">
            <v/>
          </cell>
        </row>
        <row r="3465">
          <cell r="A3465">
            <v>31102192</v>
          </cell>
          <cell r="C3465">
            <v>31102192</v>
          </cell>
          <cell r="D3465">
            <v>31102192</v>
          </cell>
          <cell r="E3465">
            <v>31102192</v>
          </cell>
          <cell r="F3465">
            <v>31102192</v>
          </cell>
          <cell r="G3465">
            <v>31102192</v>
          </cell>
          <cell r="H3465">
            <v>31102192</v>
          </cell>
          <cell r="I3465" t="str">
            <v/>
          </cell>
          <cell r="J3465" t="str">
            <v/>
          </cell>
          <cell r="K3465" t="str">
            <v/>
          </cell>
          <cell r="L3465" t="str">
            <v/>
          </cell>
          <cell r="M3465" t="str">
            <v/>
          </cell>
        </row>
        <row r="3466">
          <cell r="A3466">
            <v>31102192</v>
          </cell>
          <cell r="C3466">
            <v>31102192</v>
          </cell>
          <cell r="D3466">
            <v>31102192</v>
          </cell>
          <cell r="E3466">
            <v>31102192</v>
          </cell>
          <cell r="F3466">
            <v>31102192</v>
          </cell>
          <cell r="G3466">
            <v>31102192</v>
          </cell>
          <cell r="H3466">
            <v>31102192</v>
          </cell>
          <cell r="I3466" t="str">
            <v/>
          </cell>
          <cell r="J3466" t="str">
            <v/>
          </cell>
          <cell r="K3466" t="str">
            <v/>
          </cell>
          <cell r="L3466" t="str">
            <v/>
          </cell>
          <cell r="M3466" t="str">
            <v/>
          </cell>
        </row>
        <row r="3467">
          <cell r="A3467">
            <v>31102192</v>
          </cell>
          <cell r="C3467">
            <v>31102192</v>
          </cell>
          <cell r="D3467">
            <v>31102192</v>
          </cell>
          <cell r="E3467">
            <v>31102192</v>
          </cell>
          <cell r="F3467">
            <v>31102192</v>
          </cell>
          <cell r="G3467">
            <v>31102192</v>
          </cell>
          <cell r="H3467">
            <v>31102192</v>
          </cell>
          <cell r="I3467" t="str">
            <v/>
          </cell>
          <cell r="J3467" t="str">
            <v/>
          </cell>
          <cell r="K3467" t="str">
            <v/>
          </cell>
          <cell r="L3467" t="str">
            <v/>
          </cell>
          <cell r="M3467" t="str">
            <v/>
          </cell>
        </row>
        <row r="3468">
          <cell r="A3468">
            <v>31102192</v>
          </cell>
          <cell r="C3468">
            <v>31102192</v>
          </cell>
          <cell r="D3468">
            <v>31102192</v>
          </cell>
          <cell r="E3468">
            <v>31102192</v>
          </cell>
          <cell r="F3468">
            <v>31102192</v>
          </cell>
          <cell r="G3468">
            <v>31102192</v>
          </cell>
          <cell r="H3468">
            <v>31102192</v>
          </cell>
          <cell r="I3468" t="str">
            <v/>
          </cell>
          <cell r="J3468" t="str">
            <v/>
          </cell>
          <cell r="K3468" t="str">
            <v/>
          </cell>
          <cell r="L3468" t="str">
            <v/>
          </cell>
          <cell r="M3468" t="str">
            <v/>
          </cell>
        </row>
        <row r="3469">
          <cell r="A3469">
            <v>31102192</v>
          </cell>
          <cell r="C3469">
            <v>31102192</v>
          </cell>
          <cell r="D3469">
            <v>31102192</v>
          </cell>
          <cell r="E3469">
            <v>31102192</v>
          </cell>
          <cell r="F3469">
            <v>31102192</v>
          </cell>
          <cell r="G3469">
            <v>31102192</v>
          </cell>
          <cell r="H3469">
            <v>31102192</v>
          </cell>
          <cell r="I3469" t="str">
            <v/>
          </cell>
          <cell r="J3469" t="str">
            <v/>
          </cell>
          <cell r="K3469" t="str">
            <v/>
          </cell>
          <cell r="L3469" t="str">
            <v/>
          </cell>
          <cell r="M3469" t="str">
            <v/>
          </cell>
        </row>
        <row r="3470">
          <cell r="A3470">
            <v>31102192</v>
          </cell>
          <cell r="C3470">
            <v>31102192</v>
          </cell>
          <cell r="D3470">
            <v>31102192</v>
          </cell>
          <cell r="E3470">
            <v>31102192</v>
          </cell>
          <cell r="F3470">
            <v>31102192</v>
          </cell>
          <cell r="G3470">
            <v>31102192</v>
          </cell>
          <cell r="H3470">
            <v>31102192</v>
          </cell>
          <cell r="I3470" t="str">
            <v/>
          </cell>
          <cell r="J3470" t="str">
            <v/>
          </cell>
          <cell r="K3470" t="str">
            <v/>
          </cell>
          <cell r="L3470" t="str">
            <v/>
          </cell>
          <cell r="M3470" t="str">
            <v/>
          </cell>
        </row>
        <row r="3471">
          <cell r="A3471">
            <v>31102192</v>
          </cell>
          <cell r="C3471">
            <v>31102192</v>
          </cell>
          <cell r="D3471">
            <v>31102192</v>
          </cell>
          <cell r="E3471">
            <v>31102192</v>
          </cell>
          <cell r="F3471">
            <v>31102192</v>
          </cell>
          <cell r="G3471">
            <v>31102192</v>
          </cell>
          <cell r="H3471">
            <v>31102192</v>
          </cell>
          <cell r="I3471" t="str">
            <v/>
          </cell>
          <cell r="J3471" t="str">
            <v/>
          </cell>
          <cell r="K3471" t="str">
            <v/>
          </cell>
          <cell r="L3471" t="str">
            <v/>
          </cell>
          <cell r="M3471" t="str">
            <v/>
          </cell>
        </row>
        <row r="3472">
          <cell r="A3472">
            <v>31102192</v>
          </cell>
          <cell r="C3472">
            <v>31102192</v>
          </cell>
          <cell r="D3472">
            <v>31102192</v>
          </cell>
          <cell r="E3472">
            <v>31102192</v>
          </cell>
          <cell r="F3472">
            <v>31102192</v>
          </cell>
          <cell r="G3472">
            <v>31102192</v>
          </cell>
          <cell r="H3472">
            <v>31102192</v>
          </cell>
          <cell r="I3472" t="str">
            <v/>
          </cell>
          <cell r="J3472" t="str">
            <v/>
          </cell>
          <cell r="K3472" t="str">
            <v/>
          </cell>
          <cell r="L3472" t="str">
            <v/>
          </cell>
          <cell r="M3472" t="str">
            <v/>
          </cell>
        </row>
        <row r="3473">
          <cell r="A3473">
            <v>31102192</v>
          </cell>
          <cell r="C3473">
            <v>31102192</v>
          </cell>
          <cell r="D3473">
            <v>31102192</v>
          </cell>
          <cell r="E3473">
            <v>31102192</v>
          </cell>
          <cell r="F3473">
            <v>31102192</v>
          </cell>
          <cell r="G3473">
            <v>31102192</v>
          </cell>
          <cell r="H3473">
            <v>31102192</v>
          </cell>
          <cell r="I3473" t="str">
            <v/>
          </cell>
          <cell r="J3473" t="str">
            <v/>
          </cell>
          <cell r="K3473" t="str">
            <v/>
          </cell>
          <cell r="L3473" t="str">
            <v/>
          </cell>
          <cell r="M3473" t="str">
            <v/>
          </cell>
        </row>
        <row r="3474">
          <cell r="A3474">
            <v>31102192</v>
          </cell>
          <cell r="C3474">
            <v>31102192</v>
          </cell>
          <cell r="D3474">
            <v>31102192</v>
          </cell>
          <cell r="E3474">
            <v>31102192</v>
          </cell>
          <cell r="F3474">
            <v>31102192</v>
          </cell>
          <cell r="G3474">
            <v>31102192</v>
          </cell>
          <cell r="H3474">
            <v>31102192</v>
          </cell>
          <cell r="I3474" t="str">
            <v/>
          </cell>
          <cell r="J3474" t="str">
            <v/>
          </cell>
          <cell r="K3474" t="str">
            <v/>
          </cell>
          <cell r="L3474" t="str">
            <v/>
          </cell>
          <cell r="M3474" t="str">
            <v/>
          </cell>
        </row>
        <row r="3475">
          <cell r="A3475">
            <v>31102192</v>
          </cell>
          <cell r="C3475">
            <v>31102192</v>
          </cell>
          <cell r="D3475">
            <v>31102192</v>
          </cell>
          <cell r="E3475">
            <v>31102192</v>
          </cell>
          <cell r="F3475">
            <v>31102192</v>
          </cell>
          <cell r="G3475">
            <v>31102192</v>
          </cell>
          <cell r="H3475">
            <v>31102192</v>
          </cell>
          <cell r="I3475" t="str">
            <v/>
          </cell>
          <cell r="J3475" t="str">
            <v/>
          </cell>
          <cell r="K3475" t="str">
            <v/>
          </cell>
          <cell r="L3475" t="str">
            <v/>
          </cell>
          <cell r="M3475" t="str">
            <v/>
          </cell>
        </row>
        <row r="3476">
          <cell r="A3476">
            <v>31102192</v>
          </cell>
          <cell r="C3476">
            <v>31102192</v>
          </cell>
          <cell r="D3476">
            <v>31102192</v>
          </cell>
          <cell r="E3476">
            <v>31102192</v>
          </cell>
          <cell r="F3476">
            <v>31102192</v>
          </cell>
          <cell r="G3476">
            <v>31102192</v>
          </cell>
          <cell r="H3476">
            <v>31102192</v>
          </cell>
          <cell r="I3476" t="str">
            <v/>
          </cell>
          <cell r="J3476" t="str">
            <v/>
          </cell>
          <cell r="K3476" t="str">
            <v/>
          </cell>
          <cell r="L3476" t="str">
            <v/>
          </cell>
          <cell r="M3476" t="str">
            <v/>
          </cell>
        </row>
        <row r="3477">
          <cell r="A3477">
            <v>31102192</v>
          </cell>
          <cell r="C3477">
            <v>31102192</v>
          </cell>
          <cell r="D3477">
            <v>31102192</v>
          </cell>
          <cell r="E3477">
            <v>31102192</v>
          </cell>
          <cell r="F3477">
            <v>31102192</v>
          </cell>
          <cell r="G3477">
            <v>31102192</v>
          </cell>
          <cell r="H3477">
            <v>31102192</v>
          </cell>
          <cell r="I3477" t="str">
            <v/>
          </cell>
          <cell r="J3477" t="str">
            <v/>
          </cell>
          <cell r="K3477" t="str">
            <v/>
          </cell>
          <cell r="L3477" t="str">
            <v/>
          </cell>
          <cell r="M3477" t="str">
            <v/>
          </cell>
        </row>
        <row r="3478">
          <cell r="A3478">
            <v>31102192</v>
          </cell>
          <cell r="C3478">
            <v>31102192</v>
          </cell>
          <cell r="D3478">
            <v>31102192</v>
          </cell>
          <cell r="E3478">
            <v>31102192</v>
          </cell>
          <cell r="F3478">
            <v>31102192</v>
          </cell>
          <cell r="G3478">
            <v>31102192</v>
          </cell>
          <cell r="H3478">
            <v>31102192</v>
          </cell>
          <cell r="I3478" t="str">
            <v/>
          </cell>
          <cell r="J3478" t="str">
            <v/>
          </cell>
          <cell r="K3478" t="str">
            <v/>
          </cell>
          <cell r="L3478" t="str">
            <v/>
          </cell>
          <cell r="M3478" t="str">
            <v/>
          </cell>
        </row>
        <row r="3479">
          <cell r="A3479">
            <v>31102192</v>
          </cell>
          <cell r="C3479">
            <v>31102192</v>
          </cell>
          <cell r="D3479">
            <v>31102192</v>
          </cell>
          <cell r="E3479">
            <v>31102192</v>
          </cell>
          <cell r="F3479">
            <v>31102192</v>
          </cell>
          <cell r="G3479">
            <v>31102192</v>
          </cell>
          <cell r="H3479">
            <v>31102192</v>
          </cell>
          <cell r="I3479" t="str">
            <v/>
          </cell>
          <cell r="J3479" t="str">
            <v/>
          </cell>
          <cell r="K3479" t="str">
            <v/>
          </cell>
          <cell r="L3479" t="str">
            <v/>
          </cell>
          <cell r="M3479" t="str">
            <v/>
          </cell>
        </row>
        <row r="3480">
          <cell r="A3480">
            <v>31102192</v>
          </cell>
          <cell r="C3480">
            <v>31102192</v>
          </cell>
          <cell r="D3480">
            <v>31102192</v>
          </cell>
          <cell r="E3480">
            <v>31102192</v>
          </cell>
          <cell r="F3480">
            <v>31102192</v>
          </cell>
          <cell r="G3480">
            <v>31102192</v>
          </cell>
          <cell r="H3480">
            <v>31102192</v>
          </cell>
          <cell r="I3480" t="str">
            <v/>
          </cell>
          <cell r="J3480" t="str">
            <v/>
          </cell>
          <cell r="K3480" t="str">
            <v/>
          </cell>
          <cell r="L3480" t="str">
            <v/>
          </cell>
          <cell r="M3480" t="str">
            <v/>
          </cell>
        </row>
        <row r="3481">
          <cell r="A3481">
            <v>31102192</v>
          </cell>
          <cell r="C3481">
            <v>31102192</v>
          </cell>
          <cell r="D3481">
            <v>31102192</v>
          </cell>
          <cell r="E3481">
            <v>31102192</v>
          </cell>
          <cell r="F3481">
            <v>31102192</v>
          </cell>
          <cell r="G3481">
            <v>31102192</v>
          </cell>
          <cell r="H3481">
            <v>31102192</v>
          </cell>
          <cell r="I3481" t="str">
            <v/>
          </cell>
          <cell r="J3481" t="str">
            <v/>
          </cell>
          <cell r="K3481" t="str">
            <v/>
          </cell>
          <cell r="L3481" t="str">
            <v/>
          </cell>
          <cell r="M3481" t="str">
            <v/>
          </cell>
        </row>
        <row r="3482">
          <cell r="A3482">
            <v>31102192</v>
          </cell>
          <cell r="C3482">
            <v>31102192</v>
          </cell>
          <cell r="D3482">
            <v>31102192</v>
          </cell>
          <cell r="E3482">
            <v>31102192</v>
          </cell>
          <cell r="F3482">
            <v>31102192</v>
          </cell>
          <cell r="G3482">
            <v>31102192</v>
          </cell>
          <cell r="H3482">
            <v>31102192</v>
          </cell>
          <cell r="I3482" t="str">
            <v/>
          </cell>
          <cell r="J3482" t="str">
            <v/>
          </cell>
          <cell r="K3482" t="str">
            <v/>
          </cell>
          <cell r="L3482" t="str">
            <v/>
          </cell>
          <cell r="M3482" t="str">
            <v/>
          </cell>
        </row>
        <row r="3483">
          <cell r="A3483">
            <v>31102192</v>
          </cell>
          <cell r="C3483">
            <v>31102192</v>
          </cell>
          <cell r="D3483">
            <v>31102192</v>
          </cell>
          <cell r="E3483">
            <v>31102192</v>
          </cell>
          <cell r="F3483">
            <v>31102192</v>
          </cell>
          <cell r="G3483">
            <v>31102192</v>
          </cell>
          <cell r="H3483">
            <v>31102192</v>
          </cell>
          <cell r="I3483" t="str">
            <v/>
          </cell>
          <cell r="J3483" t="str">
            <v/>
          </cell>
          <cell r="K3483" t="str">
            <v/>
          </cell>
          <cell r="L3483" t="str">
            <v/>
          </cell>
          <cell r="M3483" t="str">
            <v/>
          </cell>
        </row>
        <row r="3484">
          <cell r="A3484">
            <v>31102192</v>
          </cell>
          <cell r="C3484">
            <v>31102192</v>
          </cell>
          <cell r="D3484">
            <v>31102192</v>
          </cell>
          <cell r="E3484">
            <v>31102192</v>
          </cell>
          <cell r="F3484">
            <v>31102192</v>
          </cell>
          <cell r="G3484">
            <v>31102192</v>
          </cell>
          <cell r="H3484">
            <v>31102192</v>
          </cell>
          <cell r="I3484" t="str">
            <v/>
          </cell>
          <cell r="J3484" t="str">
            <v/>
          </cell>
          <cell r="K3484" t="str">
            <v/>
          </cell>
          <cell r="L3484" t="str">
            <v/>
          </cell>
          <cell r="M3484" t="str">
            <v/>
          </cell>
        </row>
        <row r="3485">
          <cell r="A3485">
            <v>31102192</v>
          </cell>
          <cell r="C3485">
            <v>31102192</v>
          </cell>
          <cell r="D3485">
            <v>31102192</v>
          </cell>
          <cell r="E3485">
            <v>31102192</v>
          </cell>
          <cell r="F3485">
            <v>31102192</v>
          </cell>
          <cell r="G3485">
            <v>31102192</v>
          </cell>
          <cell r="H3485">
            <v>31102192</v>
          </cell>
          <cell r="I3485" t="str">
            <v/>
          </cell>
          <cell r="J3485" t="str">
            <v/>
          </cell>
          <cell r="K3485" t="str">
            <v/>
          </cell>
          <cell r="L3485" t="str">
            <v/>
          </cell>
          <cell r="M3485" t="str">
            <v/>
          </cell>
        </row>
        <row r="3486">
          <cell r="A3486">
            <v>31102192</v>
          </cell>
          <cell r="C3486">
            <v>31102192</v>
          </cell>
          <cell r="D3486">
            <v>31102192</v>
          </cell>
          <cell r="E3486">
            <v>31102192</v>
          </cell>
          <cell r="F3486">
            <v>31102192</v>
          </cell>
          <cell r="G3486">
            <v>31102192</v>
          </cell>
          <cell r="H3486">
            <v>31102192</v>
          </cell>
          <cell r="I3486" t="str">
            <v/>
          </cell>
          <cell r="J3486" t="str">
            <v/>
          </cell>
          <cell r="K3486" t="str">
            <v/>
          </cell>
          <cell r="L3486" t="str">
            <v/>
          </cell>
          <cell r="M3486" t="str">
            <v/>
          </cell>
        </row>
        <row r="3487">
          <cell r="A3487">
            <v>31102192</v>
          </cell>
          <cell r="C3487">
            <v>31102192</v>
          </cell>
          <cell r="D3487">
            <v>31102192</v>
          </cell>
          <cell r="E3487">
            <v>31102192</v>
          </cell>
          <cell r="F3487">
            <v>31102192</v>
          </cell>
          <cell r="G3487">
            <v>31102192</v>
          </cell>
          <cell r="H3487">
            <v>31102192</v>
          </cell>
          <cell r="I3487" t="str">
            <v/>
          </cell>
          <cell r="J3487" t="str">
            <v/>
          </cell>
          <cell r="K3487" t="str">
            <v/>
          </cell>
          <cell r="L3487" t="str">
            <v/>
          </cell>
          <cell r="M3487" t="str">
            <v/>
          </cell>
        </row>
        <row r="3488">
          <cell r="A3488">
            <v>31102192</v>
          </cell>
          <cell r="C3488">
            <v>31102192</v>
          </cell>
          <cell r="D3488">
            <v>31102192</v>
          </cell>
          <cell r="E3488">
            <v>31102192</v>
          </cell>
          <cell r="F3488">
            <v>31102192</v>
          </cell>
          <cell r="G3488">
            <v>31102192</v>
          </cell>
          <cell r="H3488">
            <v>31102192</v>
          </cell>
          <cell r="I3488" t="str">
            <v/>
          </cell>
          <cell r="J3488" t="str">
            <v/>
          </cell>
          <cell r="K3488" t="str">
            <v/>
          </cell>
          <cell r="L3488" t="str">
            <v/>
          </cell>
          <cell r="M3488" t="str">
            <v/>
          </cell>
        </row>
        <row r="3489">
          <cell r="A3489">
            <v>31102192</v>
          </cell>
          <cell r="C3489">
            <v>31102192</v>
          </cell>
          <cell r="D3489">
            <v>31102192</v>
          </cell>
          <cell r="E3489">
            <v>31102192</v>
          </cell>
          <cell r="F3489">
            <v>31102192</v>
          </cell>
          <cell r="G3489">
            <v>31102192</v>
          </cell>
          <cell r="H3489">
            <v>31102192</v>
          </cell>
          <cell r="I3489" t="str">
            <v/>
          </cell>
          <cell r="J3489" t="str">
            <v/>
          </cell>
          <cell r="K3489" t="str">
            <v/>
          </cell>
          <cell r="L3489" t="str">
            <v/>
          </cell>
          <cell r="M3489" t="str">
            <v/>
          </cell>
        </row>
        <row r="3490">
          <cell r="A3490">
            <v>31102192</v>
          </cell>
          <cell r="C3490">
            <v>31102192</v>
          </cell>
          <cell r="D3490">
            <v>31102192</v>
          </cell>
          <cell r="E3490">
            <v>31102192</v>
          </cell>
          <cell r="F3490">
            <v>31102192</v>
          </cell>
          <cell r="G3490">
            <v>31102192</v>
          </cell>
          <cell r="H3490">
            <v>31102192</v>
          </cell>
          <cell r="I3490" t="str">
            <v/>
          </cell>
          <cell r="J3490" t="str">
            <v/>
          </cell>
          <cell r="K3490" t="str">
            <v/>
          </cell>
          <cell r="L3490" t="str">
            <v/>
          </cell>
          <cell r="M3490" t="str">
            <v/>
          </cell>
        </row>
        <row r="3491">
          <cell r="A3491">
            <v>31102192</v>
          </cell>
          <cell r="C3491">
            <v>31102192</v>
          </cell>
          <cell r="D3491">
            <v>31102192</v>
          </cell>
          <cell r="E3491">
            <v>31102192</v>
          </cell>
          <cell r="F3491">
            <v>31102192</v>
          </cell>
          <cell r="G3491">
            <v>31102192</v>
          </cell>
          <cell r="H3491">
            <v>31102192</v>
          </cell>
          <cell r="I3491" t="str">
            <v/>
          </cell>
          <cell r="J3491" t="str">
            <v/>
          </cell>
          <cell r="K3491" t="str">
            <v/>
          </cell>
          <cell r="L3491" t="str">
            <v/>
          </cell>
          <cell r="M3491" t="str">
            <v/>
          </cell>
        </row>
        <row r="3492">
          <cell r="A3492">
            <v>31102192</v>
          </cell>
          <cell r="C3492">
            <v>31102192</v>
          </cell>
          <cell r="D3492">
            <v>31102192</v>
          </cell>
          <cell r="E3492">
            <v>31102192</v>
          </cell>
          <cell r="F3492">
            <v>31102192</v>
          </cell>
          <cell r="G3492">
            <v>31102192</v>
          </cell>
          <cell r="H3492">
            <v>31102192</v>
          </cell>
          <cell r="I3492" t="str">
            <v/>
          </cell>
          <cell r="J3492" t="str">
            <v/>
          </cell>
          <cell r="K3492" t="str">
            <v/>
          </cell>
          <cell r="L3492" t="str">
            <v/>
          </cell>
          <cell r="M3492" t="str">
            <v/>
          </cell>
        </row>
        <row r="3493">
          <cell r="A3493">
            <v>31102192</v>
          </cell>
          <cell r="C3493">
            <v>31102192</v>
          </cell>
          <cell r="D3493">
            <v>31102192</v>
          </cell>
          <cell r="E3493">
            <v>31102192</v>
          </cell>
          <cell r="F3493">
            <v>31102192</v>
          </cell>
          <cell r="G3493">
            <v>31102192</v>
          </cell>
          <cell r="H3493">
            <v>31102192</v>
          </cell>
          <cell r="I3493" t="str">
            <v/>
          </cell>
          <cell r="J3493" t="str">
            <v/>
          </cell>
          <cell r="K3493" t="str">
            <v/>
          </cell>
          <cell r="L3493" t="str">
            <v/>
          </cell>
          <cell r="M3493" t="str">
            <v/>
          </cell>
        </row>
        <row r="3494">
          <cell r="A3494">
            <v>31102192</v>
          </cell>
          <cell r="C3494">
            <v>31102192</v>
          </cell>
          <cell r="D3494">
            <v>31102192</v>
          </cell>
          <cell r="E3494">
            <v>31102192</v>
          </cell>
          <cell r="F3494">
            <v>31102192</v>
          </cell>
          <cell r="G3494">
            <v>31102192</v>
          </cell>
          <cell r="H3494">
            <v>31102192</v>
          </cell>
          <cell r="I3494" t="str">
            <v/>
          </cell>
          <cell r="J3494" t="str">
            <v/>
          </cell>
          <cell r="K3494" t="str">
            <v/>
          </cell>
          <cell r="L3494" t="str">
            <v/>
          </cell>
          <cell r="M3494" t="str">
            <v/>
          </cell>
        </row>
        <row r="3495">
          <cell r="A3495">
            <v>31102192</v>
          </cell>
          <cell r="C3495">
            <v>31102192</v>
          </cell>
          <cell r="D3495">
            <v>31102192</v>
          </cell>
          <cell r="E3495">
            <v>31102192</v>
          </cell>
          <cell r="F3495">
            <v>31102192</v>
          </cell>
          <cell r="G3495">
            <v>31102192</v>
          </cell>
          <cell r="H3495">
            <v>31102192</v>
          </cell>
          <cell r="I3495" t="str">
            <v/>
          </cell>
          <cell r="J3495" t="str">
            <v/>
          </cell>
          <cell r="K3495" t="str">
            <v/>
          </cell>
          <cell r="L3495" t="str">
            <v/>
          </cell>
          <cell r="M3495" t="str">
            <v/>
          </cell>
        </row>
        <row r="3496">
          <cell r="A3496">
            <v>31102192</v>
          </cell>
          <cell r="C3496">
            <v>31102192</v>
          </cell>
          <cell r="D3496">
            <v>31102192</v>
          </cell>
          <cell r="E3496">
            <v>31102192</v>
          </cell>
          <cell r="F3496">
            <v>31102192</v>
          </cell>
          <cell r="G3496">
            <v>31102192</v>
          </cell>
          <cell r="H3496">
            <v>31102192</v>
          </cell>
          <cell r="I3496" t="str">
            <v/>
          </cell>
          <cell r="J3496" t="str">
            <v/>
          </cell>
          <cell r="K3496" t="str">
            <v/>
          </cell>
          <cell r="L3496" t="str">
            <v/>
          </cell>
          <cell r="M3496" t="str">
            <v/>
          </cell>
        </row>
        <row r="3497">
          <cell r="A3497">
            <v>31102192</v>
          </cell>
          <cell r="C3497">
            <v>31102192</v>
          </cell>
          <cell r="D3497">
            <v>31102192</v>
          </cell>
          <cell r="E3497">
            <v>31102192</v>
          </cell>
          <cell r="F3497">
            <v>31102192</v>
          </cell>
          <cell r="G3497">
            <v>31102192</v>
          </cell>
          <cell r="H3497">
            <v>31102192</v>
          </cell>
          <cell r="I3497" t="str">
            <v/>
          </cell>
          <cell r="J3497" t="str">
            <v/>
          </cell>
          <cell r="K3497" t="str">
            <v/>
          </cell>
          <cell r="L3497" t="str">
            <v/>
          </cell>
          <cell r="M3497" t="str">
            <v/>
          </cell>
        </row>
        <row r="3498">
          <cell r="A3498">
            <v>31102192</v>
          </cell>
          <cell r="C3498">
            <v>31102192</v>
          </cell>
          <cell r="D3498">
            <v>31102192</v>
          </cell>
          <cell r="E3498">
            <v>31102192</v>
          </cell>
          <cell r="F3498">
            <v>31102192</v>
          </cell>
          <cell r="G3498">
            <v>31102192</v>
          </cell>
          <cell r="H3498">
            <v>31102192</v>
          </cell>
          <cell r="I3498" t="str">
            <v/>
          </cell>
          <cell r="J3498" t="str">
            <v/>
          </cell>
          <cell r="K3498" t="str">
            <v/>
          </cell>
          <cell r="L3498" t="str">
            <v/>
          </cell>
          <cell r="M3498" t="str">
            <v/>
          </cell>
        </row>
        <row r="3499">
          <cell r="A3499">
            <v>31102192</v>
          </cell>
          <cell r="C3499">
            <v>31102192</v>
          </cell>
          <cell r="D3499">
            <v>31102192</v>
          </cell>
          <cell r="E3499">
            <v>31102192</v>
          </cell>
          <cell r="F3499">
            <v>31102192</v>
          </cell>
          <cell r="G3499">
            <v>31102192</v>
          </cell>
          <cell r="H3499">
            <v>31102192</v>
          </cell>
          <cell r="I3499" t="str">
            <v/>
          </cell>
          <cell r="J3499" t="str">
            <v/>
          </cell>
          <cell r="K3499" t="str">
            <v/>
          </cell>
          <cell r="L3499" t="str">
            <v/>
          </cell>
          <cell r="M3499" t="str">
            <v/>
          </cell>
        </row>
        <row r="3500">
          <cell r="A3500">
            <v>31102192</v>
          </cell>
          <cell r="C3500">
            <v>31102192</v>
          </cell>
          <cell r="D3500">
            <v>31102192</v>
          </cell>
          <cell r="E3500">
            <v>31102192</v>
          </cell>
          <cell r="F3500">
            <v>31102192</v>
          </cell>
          <cell r="G3500">
            <v>31102192</v>
          </cell>
          <cell r="H3500">
            <v>31102192</v>
          </cell>
          <cell r="I3500" t="str">
            <v/>
          </cell>
          <cell r="J3500" t="str">
            <v/>
          </cell>
          <cell r="K3500" t="str">
            <v/>
          </cell>
          <cell r="L3500" t="str">
            <v/>
          </cell>
          <cell r="M3500" t="str">
            <v/>
          </cell>
        </row>
        <row r="3501">
          <cell r="A3501">
            <v>31102192</v>
          </cell>
          <cell r="C3501">
            <v>31102192</v>
          </cell>
          <cell r="D3501">
            <v>31102192</v>
          </cell>
          <cell r="E3501">
            <v>31102192</v>
          </cell>
          <cell r="F3501">
            <v>31102192</v>
          </cell>
          <cell r="G3501">
            <v>31102192</v>
          </cell>
          <cell r="H3501">
            <v>31102192</v>
          </cell>
          <cell r="I3501" t="str">
            <v/>
          </cell>
          <cell r="J3501" t="str">
            <v/>
          </cell>
          <cell r="K3501" t="str">
            <v/>
          </cell>
          <cell r="L3501" t="str">
            <v/>
          </cell>
          <cell r="M3501" t="str">
            <v/>
          </cell>
        </row>
        <row r="3502">
          <cell r="A3502">
            <v>31102192</v>
          </cell>
          <cell r="C3502">
            <v>31102192</v>
          </cell>
          <cell r="D3502">
            <v>31102192</v>
          </cell>
          <cell r="E3502">
            <v>31102192</v>
          </cell>
          <cell r="F3502">
            <v>31102192</v>
          </cell>
          <cell r="G3502">
            <v>31102192</v>
          </cell>
          <cell r="H3502">
            <v>31102192</v>
          </cell>
          <cell r="I3502" t="str">
            <v/>
          </cell>
          <cell r="J3502" t="str">
            <v/>
          </cell>
          <cell r="K3502" t="str">
            <v/>
          </cell>
          <cell r="L3502" t="str">
            <v/>
          </cell>
          <cell r="M3502" t="str">
            <v/>
          </cell>
        </row>
        <row r="3503">
          <cell r="A3503">
            <v>31102192</v>
          </cell>
          <cell r="C3503">
            <v>31102192</v>
          </cell>
          <cell r="D3503">
            <v>31102192</v>
          </cell>
          <cell r="E3503">
            <v>31102192</v>
          </cell>
          <cell r="F3503">
            <v>31102192</v>
          </cell>
          <cell r="G3503">
            <v>31102192</v>
          </cell>
          <cell r="H3503">
            <v>31102192</v>
          </cell>
          <cell r="I3503" t="str">
            <v/>
          </cell>
          <cell r="J3503" t="str">
            <v/>
          </cell>
          <cell r="K3503" t="str">
            <v/>
          </cell>
          <cell r="L3503" t="str">
            <v/>
          </cell>
          <cell r="M3503" t="str">
            <v/>
          </cell>
        </row>
        <row r="3504">
          <cell r="A3504">
            <v>31102192</v>
          </cell>
          <cell r="C3504">
            <v>31102192</v>
          </cell>
          <cell r="D3504">
            <v>31102192</v>
          </cell>
          <cell r="E3504">
            <v>31102192</v>
          </cell>
          <cell r="F3504">
            <v>31102192</v>
          </cell>
          <cell r="G3504">
            <v>31102192</v>
          </cell>
          <cell r="H3504">
            <v>31102192</v>
          </cell>
          <cell r="I3504" t="str">
            <v/>
          </cell>
          <cell r="J3504" t="str">
            <v/>
          </cell>
          <cell r="K3504" t="str">
            <v/>
          </cell>
          <cell r="L3504" t="str">
            <v/>
          </cell>
          <cell r="M3504" t="str">
            <v/>
          </cell>
        </row>
        <row r="3505">
          <cell r="A3505">
            <v>31102192</v>
          </cell>
          <cell r="C3505">
            <v>31102192</v>
          </cell>
          <cell r="D3505">
            <v>31102192</v>
          </cell>
          <cell r="E3505">
            <v>31102192</v>
          </cell>
          <cell r="F3505">
            <v>31102192</v>
          </cell>
          <cell r="G3505">
            <v>31102192</v>
          </cell>
          <cell r="H3505">
            <v>31102192</v>
          </cell>
          <cell r="I3505" t="str">
            <v/>
          </cell>
          <cell r="J3505" t="str">
            <v/>
          </cell>
          <cell r="K3505" t="str">
            <v/>
          </cell>
          <cell r="L3505" t="str">
            <v/>
          </cell>
          <cell r="M3505" t="str">
            <v/>
          </cell>
        </row>
        <row r="3506">
          <cell r="A3506">
            <v>31102192</v>
          </cell>
          <cell r="C3506">
            <v>31102192</v>
          </cell>
          <cell r="D3506">
            <v>31102192</v>
          </cell>
          <cell r="E3506">
            <v>31102192</v>
          </cell>
          <cell r="F3506">
            <v>31102192</v>
          </cell>
          <cell r="G3506">
            <v>31102192</v>
          </cell>
          <cell r="H3506">
            <v>31102192</v>
          </cell>
          <cell r="I3506" t="str">
            <v/>
          </cell>
          <cell r="J3506" t="str">
            <v/>
          </cell>
          <cell r="K3506" t="str">
            <v/>
          </cell>
          <cell r="L3506" t="str">
            <v/>
          </cell>
          <cell r="M3506" t="str">
            <v/>
          </cell>
        </row>
        <row r="3507">
          <cell r="A3507">
            <v>31102192</v>
          </cell>
          <cell r="C3507">
            <v>31102192</v>
          </cell>
          <cell r="D3507">
            <v>31102192</v>
          </cell>
          <cell r="E3507">
            <v>31102192</v>
          </cell>
          <cell r="F3507">
            <v>31102192</v>
          </cell>
          <cell r="G3507">
            <v>31102192</v>
          </cell>
          <cell r="H3507">
            <v>31102192</v>
          </cell>
          <cell r="I3507" t="str">
            <v/>
          </cell>
          <cell r="J3507" t="str">
            <v/>
          </cell>
          <cell r="K3507" t="str">
            <v/>
          </cell>
          <cell r="L3507" t="str">
            <v/>
          </cell>
          <cell r="M3507" t="str">
            <v/>
          </cell>
        </row>
        <row r="3508">
          <cell r="A3508">
            <v>31102192</v>
          </cell>
          <cell r="C3508">
            <v>31102192</v>
          </cell>
          <cell r="D3508">
            <v>31102192</v>
          </cell>
          <cell r="E3508">
            <v>31102192</v>
          </cell>
          <cell r="F3508">
            <v>31102192</v>
          </cell>
          <cell r="G3508">
            <v>31102192</v>
          </cell>
          <cell r="H3508">
            <v>31102192</v>
          </cell>
          <cell r="I3508" t="str">
            <v/>
          </cell>
          <cell r="J3508" t="str">
            <v/>
          </cell>
          <cell r="K3508" t="str">
            <v/>
          </cell>
          <cell r="L3508" t="str">
            <v/>
          </cell>
          <cell r="M3508" t="str">
            <v/>
          </cell>
        </row>
        <row r="3509">
          <cell r="A3509">
            <v>31102192</v>
          </cell>
          <cell r="C3509">
            <v>31102192</v>
          </cell>
          <cell r="D3509">
            <v>31102192</v>
          </cell>
          <cell r="E3509">
            <v>31102192</v>
          </cell>
          <cell r="F3509">
            <v>31102192</v>
          </cell>
          <cell r="G3509">
            <v>31102192</v>
          </cell>
          <cell r="H3509">
            <v>31102192</v>
          </cell>
          <cell r="I3509" t="str">
            <v/>
          </cell>
          <cell r="J3509" t="str">
            <v/>
          </cell>
          <cell r="K3509" t="str">
            <v/>
          </cell>
          <cell r="L3509" t="str">
            <v/>
          </cell>
          <cell r="M3509" t="str">
            <v/>
          </cell>
        </row>
        <row r="3510">
          <cell r="A3510">
            <v>31102192</v>
          </cell>
          <cell r="C3510">
            <v>31102192</v>
          </cell>
          <cell r="D3510">
            <v>31102192</v>
          </cell>
          <cell r="E3510">
            <v>31102192</v>
          </cell>
          <cell r="F3510">
            <v>31102192</v>
          </cell>
          <cell r="G3510">
            <v>31102192</v>
          </cell>
          <cell r="H3510">
            <v>31102192</v>
          </cell>
          <cell r="I3510" t="str">
            <v/>
          </cell>
          <cell r="J3510" t="str">
            <v/>
          </cell>
          <cell r="K3510" t="str">
            <v/>
          </cell>
          <cell r="L3510" t="str">
            <v/>
          </cell>
          <cell r="M3510" t="str">
            <v/>
          </cell>
        </row>
        <row r="3511">
          <cell r="A3511">
            <v>31102192</v>
          </cell>
          <cell r="C3511">
            <v>31102192</v>
          </cell>
          <cell r="D3511">
            <v>31102192</v>
          </cell>
          <cell r="E3511">
            <v>31102192</v>
          </cell>
          <cell r="F3511">
            <v>31102192</v>
          </cell>
          <cell r="G3511">
            <v>31102192</v>
          </cell>
          <cell r="H3511">
            <v>31102192</v>
          </cell>
          <cell r="I3511" t="str">
            <v/>
          </cell>
          <cell r="J3511" t="str">
            <v/>
          </cell>
          <cell r="K3511" t="str">
            <v/>
          </cell>
          <cell r="L3511" t="str">
            <v/>
          </cell>
          <cell r="M3511" t="str">
            <v/>
          </cell>
        </row>
        <row r="3512">
          <cell r="A3512">
            <v>31102192</v>
          </cell>
          <cell r="C3512">
            <v>31102192</v>
          </cell>
          <cell r="D3512">
            <v>31102192</v>
          </cell>
          <cell r="E3512">
            <v>31102192</v>
          </cell>
          <cell r="F3512">
            <v>31102192</v>
          </cell>
          <cell r="G3512">
            <v>31102192</v>
          </cell>
          <cell r="H3512">
            <v>31102192</v>
          </cell>
          <cell r="I3512" t="str">
            <v/>
          </cell>
          <cell r="J3512" t="str">
            <v/>
          </cell>
          <cell r="K3512" t="str">
            <v/>
          </cell>
          <cell r="L3512" t="str">
            <v/>
          </cell>
          <cell r="M3512" t="str">
            <v/>
          </cell>
        </row>
        <row r="3513">
          <cell r="A3513">
            <v>31102192</v>
          </cell>
          <cell r="C3513">
            <v>31102192</v>
          </cell>
          <cell r="D3513">
            <v>31102192</v>
          </cell>
          <cell r="E3513">
            <v>31102192</v>
          </cell>
          <cell r="F3513">
            <v>31102192</v>
          </cell>
          <cell r="G3513">
            <v>31102192</v>
          </cell>
          <cell r="H3513">
            <v>31102192</v>
          </cell>
          <cell r="I3513" t="str">
            <v/>
          </cell>
          <cell r="J3513" t="str">
            <v/>
          </cell>
          <cell r="K3513" t="str">
            <v/>
          </cell>
          <cell r="L3513" t="str">
            <v/>
          </cell>
          <cell r="M3513" t="str">
            <v/>
          </cell>
        </row>
        <row r="3514">
          <cell r="A3514">
            <v>31102192</v>
          </cell>
          <cell r="C3514">
            <v>31102192</v>
          </cell>
          <cell r="D3514">
            <v>31102192</v>
          </cell>
          <cell r="E3514">
            <v>31102192</v>
          </cell>
          <cell r="F3514">
            <v>31102192</v>
          </cell>
          <cell r="G3514">
            <v>31102192</v>
          </cell>
          <cell r="H3514">
            <v>31102192</v>
          </cell>
          <cell r="I3514" t="str">
            <v/>
          </cell>
          <cell r="J3514" t="str">
            <v/>
          </cell>
          <cell r="K3514" t="str">
            <v/>
          </cell>
          <cell r="L3514" t="str">
            <v/>
          </cell>
          <cell r="M3514" t="str">
            <v/>
          </cell>
        </row>
        <row r="3515">
          <cell r="A3515">
            <v>31102192</v>
          </cell>
          <cell r="C3515">
            <v>31102192</v>
          </cell>
          <cell r="D3515">
            <v>31102192</v>
          </cell>
          <cell r="E3515">
            <v>31102192</v>
          </cell>
          <cell r="F3515">
            <v>31102192</v>
          </cell>
          <cell r="G3515">
            <v>31102192</v>
          </cell>
          <cell r="H3515">
            <v>31102192</v>
          </cell>
          <cell r="I3515" t="str">
            <v/>
          </cell>
          <cell r="J3515" t="str">
            <v/>
          </cell>
          <cell r="K3515" t="str">
            <v/>
          </cell>
          <cell r="L3515" t="str">
            <v/>
          </cell>
          <cell r="M3515" t="str">
            <v/>
          </cell>
        </row>
        <row r="3516">
          <cell r="A3516">
            <v>31102192</v>
          </cell>
          <cell r="C3516">
            <v>31102192</v>
          </cell>
          <cell r="D3516">
            <v>31102192</v>
          </cell>
          <cell r="E3516">
            <v>31102192</v>
          </cell>
          <cell r="F3516">
            <v>31102192</v>
          </cell>
          <cell r="G3516">
            <v>31102192</v>
          </cell>
          <cell r="H3516">
            <v>31102192</v>
          </cell>
          <cell r="I3516" t="str">
            <v/>
          </cell>
          <cell r="J3516" t="str">
            <v/>
          </cell>
          <cell r="K3516" t="str">
            <v/>
          </cell>
          <cell r="L3516" t="str">
            <v/>
          </cell>
          <cell r="M3516" t="str">
            <v/>
          </cell>
        </row>
        <row r="3517">
          <cell r="A3517">
            <v>31102192</v>
          </cell>
          <cell r="C3517">
            <v>31102192</v>
          </cell>
          <cell r="D3517">
            <v>31102192</v>
          </cell>
          <cell r="E3517">
            <v>31102192</v>
          </cell>
          <cell r="F3517">
            <v>31102192</v>
          </cell>
          <cell r="G3517">
            <v>31102192</v>
          </cell>
          <cell r="H3517">
            <v>31102192</v>
          </cell>
          <cell r="I3517" t="str">
            <v/>
          </cell>
          <cell r="J3517" t="str">
            <v/>
          </cell>
          <cell r="K3517" t="str">
            <v/>
          </cell>
          <cell r="L3517" t="str">
            <v/>
          </cell>
          <cell r="M3517" t="str">
            <v/>
          </cell>
        </row>
        <row r="3518">
          <cell r="A3518">
            <v>31102192</v>
          </cell>
          <cell r="C3518">
            <v>31102192</v>
          </cell>
          <cell r="D3518">
            <v>31102192</v>
          </cell>
          <cell r="E3518">
            <v>31102192</v>
          </cell>
          <cell r="F3518">
            <v>31102192</v>
          </cell>
          <cell r="G3518">
            <v>31102192</v>
          </cell>
          <cell r="H3518">
            <v>31102192</v>
          </cell>
          <cell r="I3518" t="str">
            <v/>
          </cell>
          <cell r="J3518" t="str">
            <v/>
          </cell>
          <cell r="K3518" t="str">
            <v/>
          </cell>
          <cell r="L3518" t="str">
            <v/>
          </cell>
          <cell r="M3518" t="str">
            <v/>
          </cell>
        </row>
        <row r="3519">
          <cell r="A3519">
            <v>31102192</v>
          </cell>
          <cell r="C3519">
            <v>31102192</v>
          </cell>
          <cell r="D3519">
            <v>31102192</v>
          </cell>
          <cell r="E3519">
            <v>31102192</v>
          </cell>
          <cell r="F3519">
            <v>31102192</v>
          </cell>
          <cell r="G3519">
            <v>31102192</v>
          </cell>
          <cell r="H3519">
            <v>31102192</v>
          </cell>
          <cell r="I3519" t="str">
            <v/>
          </cell>
          <cell r="J3519" t="str">
            <v/>
          </cell>
          <cell r="K3519" t="str">
            <v/>
          </cell>
          <cell r="L3519" t="str">
            <v/>
          </cell>
          <cell r="M3519" t="str">
            <v/>
          </cell>
        </row>
        <row r="3520">
          <cell r="A3520">
            <v>31102192</v>
          </cell>
          <cell r="C3520">
            <v>31102192</v>
          </cell>
          <cell r="D3520">
            <v>31102192</v>
          </cell>
          <cell r="E3520">
            <v>31102192</v>
          </cell>
          <cell r="F3520">
            <v>31102192</v>
          </cell>
          <cell r="G3520">
            <v>31102192</v>
          </cell>
          <cell r="H3520">
            <v>31102192</v>
          </cell>
          <cell r="I3520" t="str">
            <v/>
          </cell>
          <cell r="J3520" t="str">
            <v/>
          </cell>
          <cell r="K3520" t="str">
            <v/>
          </cell>
          <cell r="L3520" t="str">
            <v/>
          </cell>
          <cell r="M3520" t="str">
            <v/>
          </cell>
        </row>
        <row r="3521">
          <cell r="A3521">
            <v>31102192</v>
          </cell>
          <cell r="C3521">
            <v>31102192</v>
          </cell>
          <cell r="D3521">
            <v>31102192</v>
          </cell>
          <cell r="E3521">
            <v>31102192</v>
          </cell>
          <cell r="F3521">
            <v>31102192</v>
          </cell>
          <cell r="G3521">
            <v>31102192</v>
          </cell>
          <cell r="H3521">
            <v>31102192</v>
          </cell>
          <cell r="I3521" t="str">
            <v/>
          </cell>
          <cell r="J3521" t="str">
            <v/>
          </cell>
          <cell r="K3521" t="str">
            <v/>
          </cell>
          <cell r="L3521" t="str">
            <v/>
          </cell>
          <cell r="M3521" t="str">
            <v/>
          </cell>
        </row>
        <row r="3522">
          <cell r="A3522">
            <v>31102192</v>
          </cell>
          <cell r="C3522">
            <v>31102192</v>
          </cell>
          <cell r="D3522">
            <v>31102192</v>
          </cell>
          <cell r="E3522">
            <v>31102192</v>
          </cell>
          <cell r="F3522">
            <v>31102192</v>
          </cell>
          <cell r="G3522">
            <v>31102192</v>
          </cell>
          <cell r="H3522">
            <v>31102192</v>
          </cell>
          <cell r="I3522" t="str">
            <v/>
          </cell>
          <cell r="J3522" t="str">
            <v/>
          </cell>
          <cell r="K3522" t="str">
            <v/>
          </cell>
          <cell r="L3522" t="str">
            <v/>
          </cell>
          <cell r="M3522" t="str">
            <v/>
          </cell>
        </row>
        <row r="3523">
          <cell r="A3523">
            <v>31102192</v>
          </cell>
          <cell r="C3523">
            <v>31102192</v>
          </cell>
          <cell r="D3523">
            <v>31102192</v>
          </cell>
          <cell r="E3523">
            <v>31102192</v>
          </cell>
          <cell r="F3523">
            <v>31102192</v>
          </cell>
          <cell r="G3523">
            <v>31102192</v>
          </cell>
          <cell r="H3523">
            <v>31102192</v>
          </cell>
          <cell r="I3523" t="str">
            <v/>
          </cell>
          <cell r="J3523" t="str">
            <v/>
          </cell>
          <cell r="K3523" t="str">
            <v/>
          </cell>
          <cell r="L3523" t="str">
            <v/>
          </cell>
          <cell r="M3523" t="str">
            <v/>
          </cell>
        </row>
        <row r="3524">
          <cell r="A3524">
            <v>31102192</v>
          </cell>
          <cell r="C3524">
            <v>31102192</v>
          </cell>
          <cell r="D3524">
            <v>31102192</v>
          </cell>
          <cell r="E3524">
            <v>31102192</v>
          </cell>
          <cell r="F3524">
            <v>31102192</v>
          </cell>
          <cell r="G3524">
            <v>31102192</v>
          </cell>
          <cell r="H3524">
            <v>31102192</v>
          </cell>
          <cell r="I3524" t="str">
            <v/>
          </cell>
          <cell r="J3524" t="str">
            <v/>
          </cell>
          <cell r="K3524" t="str">
            <v/>
          </cell>
          <cell r="L3524" t="str">
            <v/>
          </cell>
          <cell r="M3524" t="str">
            <v/>
          </cell>
        </row>
        <row r="3525">
          <cell r="A3525">
            <v>31102192</v>
          </cell>
          <cell r="C3525">
            <v>31102192</v>
          </cell>
          <cell r="D3525">
            <v>31102192</v>
          </cell>
          <cell r="E3525">
            <v>31102192</v>
          </cell>
          <cell r="F3525">
            <v>31102192</v>
          </cell>
          <cell r="G3525">
            <v>31102192</v>
          </cell>
          <cell r="H3525">
            <v>31102192</v>
          </cell>
          <cell r="I3525" t="str">
            <v/>
          </cell>
          <cell r="J3525" t="str">
            <v/>
          </cell>
          <cell r="K3525" t="str">
            <v/>
          </cell>
          <cell r="L3525" t="str">
            <v/>
          </cell>
          <cell r="M3525" t="str">
            <v/>
          </cell>
        </row>
        <row r="3526">
          <cell r="A3526">
            <v>31102192</v>
          </cell>
          <cell r="C3526">
            <v>31102192</v>
          </cell>
          <cell r="D3526">
            <v>31102192</v>
          </cell>
          <cell r="E3526">
            <v>31102192</v>
          </cell>
          <cell r="F3526">
            <v>31102192</v>
          </cell>
          <cell r="G3526">
            <v>31102192</v>
          </cell>
          <cell r="H3526">
            <v>31102192</v>
          </cell>
          <cell r="I3526" t="str">
            <v/>
          </cell>
          <cell r="J3526" t="str">
            <v/>
          </cell>
          <cell r="K3526" t="str">
            <v/>
          </cell>
          <cell r="L3526" t="str">
            <v/>
          </cell>
          <cell r="M3526" t="str">
            <v/>
          </cell>
        </row>
        <row r="3527">
          <cell r="A3527">
            <v>31102192</v>
          </cell>
          <cell r="C3527">
            <v>31102192</v>
          </cell>
          <cell r="D3527">
            <v>31102192</v>
          </cell>
          <cell r="E3527">
            <v>31102192</v>
          </cell>
          <cell r="F3527">
            <v>31102192</v>
          </cell>
          <cell r="G3527">
            <v>31102192</v>
          </cell>
          <cell r="H3527">
            <v>31102192</v>
          </cell>
          <cell r="I3527" t="str">
            <v/>
          </cell>
          <cell r="J3527" t="str">
            <v/>
          </cell>
          <cell r="K3527" t="str">
            <v/>
          </cell>
          <cell r="L3527" t="str">
            <v/>
          </cell>
          <cell r="M3527" t="str">
            <v/>
          </cell>
        </row>
        <row r="3528">
          <cell r="A3528">
            <v>31102192</v>
          </cell>
          <cell r="C3528">
            <v>31102192</v>
          </cell>
          <cell r="D3528">
            <v>31102192</v>
          </cell>
          <cell r="E3528">
            <v>31102192</v>
          </cell>
          <cell r="F3528">
            <v>31102192</v>
          </cell>
          <cell r="G3528">
            <v>31102192</v>
          </cell>
          <cell r="H3528">
            <v>31102192</v>
          </cell>
          <cell r="I3528" t="str">
            <v/>
          </cell>
          <cell r="J3528" t="str">
            <v/>
          </cell>
          <cell r="K3528" t="str">
            <v/>
          </cell>
          <cell r="L3528" t="str">
            <v/>
          </cell>
          <cell r="M3528" t="str">
            <v/>
          </cell>
        </row>
        <row r="3529">
          <cell r="A3529">
            <v>31102192</v>
          </cell>
          <cell r="C3529">
            <v>31102192</v>
          </cell>
          <cell r="D3529">
            <v>31102192</v>
          </cell>
          <cell r="E3529">
            <v>31102192</v>
          </cell>
          <cell r="F3529">
            <v>31102192</v>
          </cell>
          <cell r="G3529">
            <v>31102192</v>
          </cell>
          <cell r="H3529">
            <v>31102192</v>
          </cell>
          <cell r="I3529" t="str">
            <v/>
          </cell>
          <cell r="J3529" t="str">
            <v/>
          </cell>
          <cell r="K3529" t="str">
            <v/>
          </cell>
          <cell r="L3529" t="str">
            <v/>
          </cell>
          <cell r="M3529" t="str">
            <v/>
          </cell>
        </row>
        <row r="3530">
          <cell r="A3530">
            <v>31102192</v>
          </cell>
          <cell r="C3530">
            <v>31102192</v>
          </cell>
          <cell r="D3530">
            <v>31102192</v>
          </cell>
          <cell r="E3530">
            <v>31102192</v>
          </cell>
          <cell r="F3530">
            <v>31102192</v>
          </cell>
          <cell r="G3530">
            <v>31102192</v>
          </cell>
          <cell r="H3530">
            <v>31102192</v>
          </cell>
          <cell r="I3530" t="str">
            <v/>
          </cell>
          <cell r="J3530" t="str">
            <v/>
          </cell>
          <cell r="K3530" t="str">
            <v/>
          </cell>
          <cell r="L3530" t="str">
            <v/>
          </cell>
          <cell r="M3530" t="str">
            <v/>
          </cell>
        </row>
        <row r="3531">
          <cell r="A3531">
            <v>31102192</v>
          </cell>
          <cell r="C3531">
            <v>31102192</v>
          </cell>
          <cell r="D3531">
            <v>31102192</v>
          </cell>
          <cell r="E3531">
            <v>31102192</v>
          </cell>
          <cell r="F3531">
            <v>31102192</v>
          </cell>
          <cell r="G3531">
            <v>31102192</v>
          </cell>
          <cell r="H3531">
            <v>31102192</v>
          </cell>
          <cell r="I3531" t="str">
            <v/>
          </cell>
          <cell r="J3531" t="str">
            <v/>
          </cell>
          <cell r="K3531" t="str">
            <v/>
          </cell>
          <cell r="L3531" t="str">
            <v/>
          </cell>
          <cell r="M3531" t="str">
            <v/>
          </cell>
        </row>
        <row r="3532">
          <cell r="A3532">
            <v>31102192</v>
          </cell>
          <cell r="C3532">
            <v>31102192</v>
          </cell>
          <cell r="D3532">
            <v>31102192</v>
          </cell>
          <cell r="E3532">
            <v>31102192</v>
          </cell>
          <cell r="F3532">
            <v>31102192</v>
          </cell>
          <cell r="G3532">
            <v>31102192</v>
          </cell>
          <cell r="H3532">
            <v>31102192</v>
          </cell>
          <cell r="I3532" t="str">
            <v/>
          </cell>
          <cell r="J3532" t="str">
            <v/>
          </cell>
          <cell r="K3532" t="str">
            <v/>
          </cell>
          <cell r="L3532" t="str">
            <v/>
          </cell>
          <cell r="M3532" t="str">
            <v/>
          </cell>
        </row>
        <row r="3533">
          <cell r="A3533">
            <v>31102192</v>
          </cell>
          <cell r="C3533">
            <v>31102192</v>
          </cell>
          <cell r="D3533">
            <v>31102192</v>
          </cell>
          <cell r="E3533">
            <v>31102192</v>
          </cell>
          <cell r="F3533">
            <v>31102192</v>
          </cell>
          <cell r="G3533">
            <v>31102192</v>
          </cell>
          <cell r="H3533">
            <v>31102192</v>
          </cell>
          <cell r="I3533" t="str">
            <v/>
          </cell>
          <cell r="J3533" t="str">
            <v/>
          </cell>
          <cell r="K3533" t="str">
            <v/>
          </cell>
          <cell r="L3533" t="str">
            <v/>
          </cell>
          <cell r="M3533" t="str">
            <v/>
          </cell>
        </row>
        <row r="3534">
          <cell r="A3534">
            <v>31102192</v>
          </cell>
          <cell r="C3534">
            <v>31102192</v>
          </cell>
          <cell r="D3534">
            <v>31102192</v>
          </cell>
          <cell r="E3534">
            <v>31102192</v>
          </cell>
          <cell r="F3534">
            <v>31102192</v>
          </cell>
          <cell r="G3534">
            <v>31102192</v>
          </cell>
          <cell r="H3534">
            <v>31102192</v>
          </cell>
          <cell r="I3534" t="str">
            <v/>
          </cell>
          <cell r="J3534" t="str">
            <v/>
          </cell>
          <cell r="K3534" t="str">
            <v/>
          </cell>
          <cell r="L3534" t="str">
            <v/>
          </cell>
          <cell r="M3534" t="str">
            <v/>
          </cell>
        </row>
        <row r="3535">
          <cell r="A3535">
            <v>31102192</v>
          </cell>
          <cell r="C3535">
            <v>31102192</v>
          </cell>
          <cell r="D3535">
            <v>31102192</v>
          </cell>
          <cell r="E3535">
            <v>31102192</v>
          </cell>
          <cell r="F3535">
            <v>31102192</v>
          </cell>
          <cell r="G3535">
            <v>31102192</v>
          </cell>
          <cell r="H3535">
            <v>31102192</v>
          </cell>
          <cell r="I3535" t="str">
            <v/>
          </cell>
          <cell r="J3535" t="str">
            <v/>
          </cell>
          <cell r="K3535" t="str">
            <v/>
          </cell>
          <cell r="L3535" t="str">
            <v/>
          </cell>
          <cell r="M3535" t="str">
            <v/>
          </cell>
        </row>
        <row r="3536">
          <cell r="A3536">
            <v>31102192</v>
          </cell>
          <cell r="C3536">
            <v>31102192</v>
          </cell>
          <cell r="D3536">
            <v>31102192</v>
          </cell>
          <cell r="E3536">
            <v>31102192</v>
          </cell>
          <cell r="F3536">
            <v>31102192</v>
          </cell>
          <cell r="G3536">
            <v>31102192</v>
          </cell>
          <cell r="H3536">
            <v>31102192</v>
          </cell>
          <cell r="I3536" t="str">
            <v/>
          </cell>
          <cell r="J3536" t="str">
            <v/>
          </cell>
          <cell r="K3536" t="str">
            <v/>
          </cell>
          <cell r="L3536" t="str">
            <v/>
          </cell>
          <cell r="M3536" t="str">
            <v/>
          </cell>
        </row>
        <row r="3537">
          <cell r="A3537">
            <v>31102192</v>
          </cell>
          <cell r="C3537">
            <v>31102192</v>
          </cell>
          <cell r="D3537">
            <v>31102192</v>
          </cell>
          <cell r="E3537">
            <v>31102192</v>
          </cell>
          <cell r="F3537">
            <v>31102192</v>
          </cell>
          <cell r="G3537">
            <v>31102192</v>
          </cell>
          <cell r="H3537">
            <v>31102192</v>
          </cell>
          <cell r="I3537" t="str">
            <v/>
          </cell>
          <cell r="J3537" t="str">
            <v/>
          </cell>
          <cell r="K3537" t="str">
            <v/>
          </cell>
          <cell r="L3537" t="str">
            <v/>
          </cell>
          <cell r="M3537" t="str">
            <v/>
          </cell>
        </row>
        <row r="3538">
          <cell r="A3538">
            <v>31102192</v>
          </cell>
          <cell r="C3538">
            <v>31102192</v>
          </cell>
          <cell r="D3538">
            <v>31102192</v>
          </cell>
          <cell r="E3538">
            <v>31102192</v>
          </cell>
          <cell r="F3538">
            <v>31102192</v>
          </cell>
          <cell r="G3538">
            <v>31102192</v>
          </cell>
          <cell r="H3538">
            <v>31102192</v>
          </cell>
          <cell r="I3538" t="str">
            <v/>
          </cell>
          <cell r="J3538" t="str">
            <v/>
          </cell>
          <cell r="K3538" t="str">
            <v/>
          </cell>
          <cell r="L3538" t="str">
            <v/>
          </cell>
          <cell r="M3538" t="str">
            <v/>
          </cell>
        </row>
        <row r="3539">
          <cell r="A3539">
            <v>31102192</v>
          </cell>
          <cell r="C3539">
            <v>31102192</v>
          </cell>
          <cell r="D3539">
            <v>31102192</v>
          </cell>
          <cell r="E3539">
            <v>31102192</v>
          </cell>
          <cell r="F3539">
            <v>31102192</v>
          </cell>
          <cell r="G3539">
            <v>31102192</v>
          </cell>
          <cell r="H3539">
            <v>31102192</v>
          </cell>
          <cell r="I3539" t="str">
            <v/>
          </cell>
          <cell r="J3539" t="str">
            <v/>
          </cell>
          <cell r="K3539" t="str">
            <v/>
          </cell>
          <cell r="L3539" t="str">
            <v/>
          </cell>
          <cell r="M3539" t="str">
            <v/>
          </cell>
        </row>
        <row r="3540">
          <cell r="A3540">
            <v>31102192</v>
          </cell>
          <cell r="C3540">
            <v>31102192</v>
          </cell>
          <cell r="D3540">
            <v>31102192</v>
          </cell>
          <cell r="E3540">
            <v>31102192</v>
          </cell>
          <cell r="F3540">
            <v>31102192</v>
          </cell>
          <cell r="G3540">
            <v>31102192</v>
          </cell>
          <cell r="H3540">
            <v>31102192</v>
          </cell>
          <cell r="I3540" t="str">
            <v/>
          </cell>
          <cell r="J3540" t="str">
            <v/>
          </cell>
          <cell r="K3540" t="str">
            <v/>
          </cell>
          <cell r="L3540" t="str">
            <v/>
          </cell>
          <cell r="M3540" t="str">
            <v/>
          </cell>
        </row>
        <row r="3541">
          <cell r="A3541">
            <v>31102192</v>
          </cell>
          <cell r="C3541">
            <v>31102192</v>
          </cell>
          <cell r="D3541">
            <v>31102192</v>
          </cell>
          <cell r="E3541">
            <v>31102192</v>
          </cell>
          <cell r="F3541">
            <v>31102192</v>
          </cell>
          <cell r="G3541">
            <v>31102192</v>
          </cell>
          <cell r="H3541">
            <v>31102192</v>
          </cell>
          <cell r="I3541" t="str">
            <v/>
          </cell>
          <cell r="J3541" t="str">
            <v/>
          </cell>
          <cell r="K3541" t="str">
            <v/>
          </cell>
          <cell r="L3541" t="str">
            <v/>
          </cell>
          <cell r="M3541" t="str">
            <v/>
          </cell>
        </row>
        <row r="3542">
          <cell r="A3542">
            <v>31102192</v>
          </cell>
          <cell r="C3542">
            <v>31102192</v>
          </cell>
          <cell r="D3542">
            <v>31102192</v>
          </cell>
          <cell r="E3542">
            <v>31102192</v>
          </cell>
          <cell r="F3542">
            <v>31102192</v>
          </cell>
          <cell r="G3542">
            <v>31102192</v>
          </cell>
          <cell r="H3542">
            <v>31102192</v>
          </cell>
          <cell r="I3542" t="str">
            <v/>
          </cell>
          <cell r="J3542" t="str">
            <v/>
          </cell>
          <cell r="K3542" t="str">
            <v/>
          </cell>
          <cell r="L3542" t="str">
            <v/>
          </cell>
          <cell r="M3542" t="str">
            <v/>
          </cell>
        </row>
        <row r="3543">
          <cell r="A3543">
            <v>31102192</v>
          </cell>
          <cell r="C3543">
            <v>31102192</v>
          </cell>
          <cell r="D3543">
            <v>31102192</v>
          </cell>
          <cell r="E3543">
            <v>31102192</v>
          </cell>
          <cell r="F3543">
            <v>31102192</v>
          </cell>
          <cell r="G3543">
            <v>31102192</v>
          </cell>
          <cell r="H3543">
            <v>31102192</v>
          </cell>
          <cell r="I3543" t="str">
            <v/>
          </cell>
          <cell r="J3543" t="str">
            <v/>
          </cell>
          <cell r="K3543" t="str">
            <v/>
          </cell>
          <cell r="L3543" t="str">
            <v/>
          </cell>
          <cell r="M3543" t="str">
            <v/>
          </cell>
        </row>
        <row r="3544">
          <cell r="A3544">
            <v>31102192</v>
          </cell>
          <cell r="C3544">
            <v>31102192</v>
          </cell>
          <cell r="D3544">
            <v>31102192</v>
          </cell>
          <cell r="E3544">
            <v>31102192</v>
          </cell>
          <cell r="F3544">
            <v>31102192</v>
          </cell>
          <cell r="G3544">
            <v>31102192</v>
          </cell>
          <cell r="H3544">
            <v>31102192</v>
          </cell>
          <cell r="I3544" t="str">
            <v/>
          </cell>
          <cell r="J3544" t="str">
            <v/>
          </cell>
          <cell r="K3544" t="str">
            <v/>
          </cell>
          <cell r="L3544" t="str">
            <v/>
          </cell>
          <cell r="M3544" t="str">
            <v/>
          </cell>
        </row>
        <row r="3545">
          <cell r="A3545">
            <v>31102192</v>
          </cell>
          <cell r="C3545">
            <v>31102192</v>
          </cell>
          <cell r="D3545">
            <v>31102192</v>
          </cell>
          <cell r="E3545">
            <v>31102192</v>
          </cell>
          <cell r="F3545">
            <v>31102192</v>
          </cell>
          <cell r="G3545">
            <v>31102192</v>
          </cell>
          <cell r="H3545">
            <v>31102192</v>
          </cell>
          <cell r="I3545" t="str">
            <v/>
          </cell>
          <cell r="J3545" t="str">
            <v/>
          </cell>
          <cell r="K3545" t="str">
            <v/>
          </cell>
          <cell r="L3545" t="str">
            <v/>
          </cell>
          <cell r="M3545" t="str">
            <v/>
          </cell>
        </row>
        <row r="3546">
          <cell r="A3546">
            <v>31102192</v>
          </cell>
          <cell r="C3546">
            <v>31102192</v>
          </cell>
          <cell r="D3546">
            <v>31102192</v>
          </cell>
          <cell r="E3546">
            <v>31102192</v>
          </cell>
          <cell r="F3546">
            <v>31102192</v>
          </cell>
          <cell r="G3546">
            <v>31102192</v>
          </cell>
          <cell r="H3546">
            <v>31102192</v>
          </cell>
          <cell r="I3546" t="str">
            <v/>
          </cell>
          <cell r="J3546" t="str">
            <v/>
          </cell>
          <cell r="K3546" t="str">
            <v/>
          </cell>
          <cell r="L3546" t="str">
            <v/>
          </cell>
          <cell r="M3546" t="str">
            <v/>
          </cell>
        </row>
        <row r="3547">
          <cell r="A3547">
            <v>31102192</v>
          </cell>
          <cell r="C3547">
            <v>31102192</v>
          </cell>
          <cell r="D3547">
            <v>31102192</v>
          </cell>
          <cell r="E3547">
            <v>31102192</v>
          </cell>
          <cell r="F3547">
            <v>31102192</v>
          </cell>
          <cell r="G3547">
            <v>31102192</v>
          </cell>
          <cell r="H3547">
            <v>31102192</v>
          </cell>
          <cell r="I3547" t="str">
            <v/>
          </cell>
          <cell r="J3547" t="str">
            <v/>
          </cell>
          <cell r="K3547" t="str">
            <v/>
          </cell>
          <cell r="L3547" t="str">
            <v/>
          </cell>
          <cell r="M3547" t="str">
            <v/>
          </cell>
        </row>
        <row r="3548">
          <cell r="A3548">
            <v>31102192</v>
          </cell>
          <cell r="C3548">
            <v>31102192</v>
          </cell>
          <cell r="D3548">
            <v>31102192</v>
          </cell>
          <cell r="E3548">
            <v>31102192</v>
          </cell>
          <cell r="F3548">
            <v>31102192</v>
          </cell>
          <cell r="G3548">
            <v>31102192</v>
          </cell>
          <cell r="H3548">
            <v>31102192</v>
          </cell>
          <cell r="I3548" t="str">
            <v/>
          </cell>
          <cell r="J3548" t="str">
            <v/>
          </cell>
          <cell r="K3548" t="str">
            <v/>
          </cell>
          <cell r="L3548" t="str">
            <v/>
          </cell>
          <cell r="M3548" t="str">
            <v/>
          </cell>
        </row>
        <row r="3549">
          <cell r="A3549">
            <v>31102192</v>
          </cell>
          <cell r="C3549">
            <v>31102192</v>
          </cell>
          <cell r="D3549">
            <v>31102192</v>
          </cell>
          <cell r="E3549">
            <v>31102192</v>
          </cell>
          <cell r="F3549">
            <v>31102192</v>
          </cell>
          <cell r="G3549">
            <v>31102192</v>
          </cell>
          <cell r="H3549">
            <v>31102192</v>
          </cell>
          <cell r="I3549" t="str">
            <v/>
          </cell>
          <cell r="J3549" t="str">
            <v/>
          </cell>
          <cell r="K3549" t="str">
            <v/>
          </cell>
          <cell r="L3549" t="str">
            <v/>
          </cell>
          <cell r="M3549" t="str">
            <v/>
          </cell>
        </row>
        <row r="3550">
          <cell r="A3550">
            <v>31102192</v>
          </cell>
          <cell r="C3550">
            <v>31102192</v>
          </cell>
          <cell r="D3550">
            <v>31102192</v>
          </cell>
          <cell r="E3550">
            <v>31102192</v>
          </cell>
          <cell r="F3550">
            <v>31102192</v>
          </cell>
          <cell r="G3550">
            <v>31102192</v>
          </cell>
          <cell r="H3550">
            <v>31102192</v>
          </cell>
          <cell r="I3550" t="str">
            <v/>
          </cell>
          <cell r="J3550" t="str">
            <v/>
          </cell>
          <cell r="K3550" t="str">
            <v/>
          </cell>
          <cell r="L3550" t="str">
            <v/>
          </cell>
          <cell r="M3550" t="str">
            <v/>
          </cell>
        </row>
        <row r="3551">
          <cell r="A3551">
            <v>31102192</v>
          </cell>
          <cell r="C3551">
            <v>31102192</v>
          </cell>
          <cell r="D3551">
            <v>31102192</v>
          </cell>
          <cell r="E3551">
            <v>31102192</v>
          </cell>
          <cell r="F3551">
            <v>31102192</v>
          </cell>
          <cell r="G3551">
            <v>31102192</v>
          </cell>
          <cell r="H3551">
            <v>31102192</v>
          </cell>
          <cell r="I3551" t="str">
            <v/>
          </cell>
          <cell r="J3551" t="str">
            <v/>
          </cell>
          <cell r="K3551" t="str">
            <v/>
          </cell>
          <cell r="L3551" t="str">
            <v/>
          </cell>
          <cell r="M3551" t="str">
            <v/>
          </cell>
        </row>
        <row r="3552">
          <cell r="A3552">
            <v>31102192</v>
          </cell>
          <cell r="C3552">
            <v>31102192</v>
          </cell>
          <cell r="D3552">
            <v>31102192</v>
          </cell>
          <cell r="E3552">
            <v>31102192</v>
          </cell>
          <cell r="F3552">
            <v>31102192</v>
          </cell>
          <cell r="G3552">
            <v>31102192</v>
          </cell>
          <cell r="H3552">
            <v>31102192</v>
          </cell>
          <cell r="I3552" t="str">
            <v/>
          </cell>
          <cell r="J3552" t="str">
            <v/>
          </cell>
          <cell r="K3552" t="str">
            <v/>
          </cell>
          <cell r="L3552" t="str">
            <v/>
          </cell>
          <cell r="M3552" t="str">
            <v/>
          </cell>
        </row>
        <row r="3553">
          <cell r="A3553">
            <v>31102192</v>
          </cell>
          <cell r="C3553">
            <v>31102192</v>
          </cell>
          <cell r="D3553">
            <v>31102192</v>
          </cell>
          <cell r="E3553">
            <v>31102192</v>
          </cell>
          <cell r="F3553">
            <v>31102192</v>
          </cell>
          <cell r="G3553">
            <v>31102192</v>
          </cell>
          <cell r="H3553">
            <v>31102192</v>
          </cell>
          <cell r="I3553" t="str">
            <v/>
          </cell>
          <cell r="J3553" t="str">
            <v/>
          </cell>
          <cell r="K3553" t="str">
            <v/>
          </cell>
          <cell r="L3553" t="str">
            <v/>
          </cell>
          <cell r="M3553" t="str">
            <v/>
          </cell>
        </row>
        <row r="3554">
          <cell r="A3554">
            <v>31102192</v>
          </cell>
          <cell r="C3554">
            <v>31102192</v>
          </cell>
          <cell r="D3554">
            <v>31102192</v>
          </cell>
          <cell r="E3554">
            <v>31102192</v>
          </cell>
          <cell r="F3554">
            <v>31102192</v>
          </cell>
          <cell r="G3554">
            <v>31102192</v>
          </cell>
          <cell r="H3554">
            <v>31102192</v>
          </cell>
          <cell r="I3554" t="str">
            <v/>
          </cell>
          <cell r="J3554" t="str">
            <v/>
          </cell>
          <cell r="K3554" t="str">
            <v/>
          </cell>
          <cell r="L3554" t="str">
            <v/>
          </cell>
          <cell r="M3554" t="str">
            <v/>
          </cell>
        </row>
        <row r="3555">
          <cell r="A3555">
            <v>31102192</v>
          </cell>
          <cell r="C3555">
            <v>31102192</v>
          </cell>
          <cell r="D3555">
            <v>31102192</v>
          </cell>
          <cell r="E3555">
            <v>31102192</v>
          </cell>
          <cell r="F3555">
            <v>31102192</v>
          </cell>
          <cell r="G3555">
            <v>31102192</v>
          </cell>
          <cell r="H3555">
            <v>31102192</v>
          </cell>
          <cell r="I3555" t="str">
            <v/>
          </cell>
          <cell r="J3555" t="str">
            <v/>
          </cell>
          <cell r="K3555" t="str">
            <v/>
          </cell>
          <cell r="L3555" t="str">
            <v/>
          </cell>
          <cell r="M3555" t="str">
            <v/>
          </cell>
        </row>
        <row r="3556">
          <cell r="A3556">
            <v>31102192</v>
          </cell>
          <cell r="C3556">
            <v>31102192</v>
          </cell>
          <cell r="D3556">
            <v>31102192</v>
          </cell>
          <cell r="E3556">
            <v>31102192</v>
          </cell>
          <cell r="F3556">
            <v>31102192</v>
          </cell>
          <cell r="G3556">
            <v>31102192</v>
          </cell>
          <cell r="H3556">
            <v>31102192</v>
          </cell>
          <cell r="I3556" t="str">
            <v/>
          </cell>
          <cell r="J3556" t="str">
            <v/>
          </cell>
          <cell r="K3556" t="str">
            <v/>
          </cell>
          <cell r="L3556" t="str">
            <v/>
          </cell>
          <cell r="M3556" t="str">
            <v/>
          </cell>
        </row>
        <row r="3557">
          <cell r="A3557">
            <v>31102192</v>
          </cell>
          <cell r="C3557">
            <v>31102192</v>
          </cell>
          <cell r="D3557">
            <v>31102192</v>
          </cell>
          <cell r="E3557">
            <v>31102192</v>
          </cell>
          <cell r="F3557">
            <v>31102192</v>
          </cell>
          <cell r="G3557">
            <v>31102192</v>
          </cell>
          <cell r="H3557">
            <v>31102192</v>
          </cell>
          <cell r="I3557" t="str">
            <v/>
          </cell>
          <cell r="J3557" t="str">
            <v/>
          </cell>
          <cell r="K3557" t="str">
            <v/>
          </cell>
          <cell r="L3557" t="str">
            <v/>
          </cell>
          <cell r="M3557" t="str">
            <v/>
          </cell>
        </row>
        <row r="3558">
          <cell r="A3558">
            <v>31102192</v>
          </cell>
          <cell r="C3558">
            <v>31102192</v>
          </cell>
          <cell r="D3558">
            <v>31102192</v>
          </cell>
          <cell r="E3558">
            <v>31102192</v>
          </cell>
          <cell r="F3558">
            <v>31102192</v>
          </cell>
          <cell r="G3558">
            <v>31102192</v>
          </cell>
          <cell r="H3558">
            <v>31102192</v>
          </cell>
          <cell r="I3558" t="str">
            <v/>
          </cell>
          <cell r="J3558" t="str">
            <v/>
          </cell>
          <cell r="K3558" t="str">
            <v/>
          </cell>
          <cell r="L3558" t="str">
            <v/>
          </cell>
          <cell r="M3558" t="str">
            <v/>
          </cell>
        </row>
        <row r="3559">
          <cell r="A3559">
            <v>31102192</v>
          </cell>
          <cell r="C3559">
            <v>31102192</v>
          </cell>
          <cell r="D3559">
            <v>31102192</v>
          </cell>
          <cell r="E3559">
            <v>31102192</v>
          </cell>
          <cell r="F3559">
            <v>31102192</v>
          </cell>
          <cell r="G3559">
            <v>31102192</v>
          </cell>
          <cell r="H3559">
            <v>31102192</v>
          </cell>
          <cell r="I3559" t="str">
            <v/>
          </cell>
          <cell r="J3559" t="str">
            <v/>
          </cell>
          <cell r="K3559" t="str">
            <v/>
          </cell>
          <cell r="L3559" t="str">
            <v/>
          </cell>
          <cell r="M3559" t="str">
            <v/>
          </cell>
        </row>
        <row r="3560">
          <cell r="A3560">
            <v>31102192</v>
          </cell>
          <cell r="C3560">
            <v>31102192</v>
          </cell>
          <cell r="D3560">
            <v>31102192</v>
          </cell>
          <cell r="E3560">
            <v>31102192</v>
          </cell>
          <cell r="F3560">
            <v>31102192</v>
          </cell>
          <cell r="G3560">
            <v>31102192</v>
          </cell>
          <cell r="H3560">
            <v>31102192</v>
          </cell>
          <cell r="I3560" t="str">
            <v/>
          </cell>
          <cell r="J3560" t="str">
            <v/>
          </cell>
          <cell r="K3560" t="str">
            <v/>
          </cell>
          <cell r="L3560" t="str">
            <v/>
          </cell>
          <cell r="M3560" t="str">
            <v/>
          </cell>
        </row>
        <row r="3561">
          <cell r="A3561">
            <v>31102192</v>
          </cell>
          <cell r="C3561">
            <v>31102192</v>
          </cell>
          <cell r="D3561">
            <v>31102192</v>
          </cell>
          <cell r="E3561">
            <v>31102192</v>
          </cell>
          <cell r="F3561">
            <v>31102192</v>
          </cell>
          <cell r="G3561">
            <v>31102192</v>
          </cell>
          <cell r="H3561">
            <v>31102192</v>
          </cell>
          <cell r="I3561" t="str">
            <v/>
          </cell>
          <cell r="J3561" t="str">
            <v/>
          </cell>
          <cell r="K3561" t="str">
            <v/>
          </cell>
          <cell r="L3561" t="str">
            <v/>
          </cell>
          <cell r="M3561" t="str">
            <v/>
          </cell>
        </row>
        <row r="3562">
          <cell r="A3562">
            <v>31102192</v>
          </cell>
          <cell r="C3562">
            <v>31102192</v>
          </cell>
          <cell r="D3562">
            <v>31102192</v>
          </cell>
          <cell r="E3562">
            <v>31102192</v>
          </cell>
          <cell r="F3562">
            <v>31102192</v>
          </cell>
          <cell r="G3562">
            <v>31102192</v>
          </cell>
          <cell r="H3562">
            <v>31102192</v>
          </cell>
          <cell r="I3562" t="str">
            <v/>
          </cell>
          <cell r="J3562" t="str">
            <v/>
          </cell>
          <cell r="K3562" t="str">
            <v/>
          </cell>
          <cell r="L3562" t="str">
            <v/>
          </cell>
          <cell r="M3562" t="str">
            <v/>
          </cell>
        </row>
        <row r="3563">
          <cell r="A3563">
            <v>31102192</v>
          </cell>
          <cell r="C3563">
            <v>31102192</v>
          </cell>
          <cell r="D3563">
            <v>31102192</v>
          </cell>
          <cell r="E3563">
            <v>31102192</v>
          </cell>
          <cell r="F3563">
            <v>31102192</v>
          </cell>
          <cell r="G3563">
            <v>31102192</v>
          </cell>
          <cell r="H3563">
            <v>31102192</v>
          </cell>
          <cell r="I3563" t="str">
            <v/>
          </cell>
          <cell r="J3563" t="str">
            <v/>
          </cell>
          <cell r="K3563" t="str">
            <v/>
          </cell>
          <cell r="L3563" t="str">
            <v/>
          </cell>
          <cell r="M3563" t="str">
            <v/>
          </cell>
        </row>
        <row r="3564">
          <cell r="A3564">
            <v>31102192</v>
          </cell>
          <cell r="C3564">
            <v>31102192</v>
          </cell>
          <cell r="D3564">
            <v>31102192</v>
          </cell>
          <cell r="E3564">
            <v>31102192</v>
          </cell>
          <cell r="F3564">
            <v>31102192</v>
          </cell>
          <cell r="G3564">
            <v>31102192</v>
          </cell>
          <cell r="H3564">
            <v>31102192</v>
          </cell>
          <cell r="I3564" t="str">
            <v/>
          </cell>
          <cell r="J3564" t="str">
            <v/>
          </cell>
          <cell r="K3564" t="str">
            <v/>
          </cell>
          <cell r="L3564" t="str">
            <v/>
          </cell>
          <cell r="M3564" t="str">
            <v/>
          </cell>
        </row>
        <row r="3565">
          <cell r="A3565">
            <v>31102192</v>
          </cell>
          <cell r="C3565">
            <v>31102192</v>
          </cell>
          <cell r="D3565">
            <v>31102192</v>
          </cell>
          <cell r="E3565">
            <v>31102192</v>
          </cell>
          <cell r="F3565">
            <v>31102192</v>
          </cell>
          <cell r="G3565">
            <v>31102192</v>
          </cell>
          <cell r="H3565">
            <v>31102192</v>
          </cell>
          <cell r="I3565" t="str">
            <v/>
          </cell>
          <cell r="J3565" t="str">
            <v/>
          </cell>
          <cell r="K3565" t="str">
            <v/>
          </cell>
          <cell r="L3565" t="str">
            <v/>
          </cell>
          <cell r="M3565" t="str">
            <v/>
          </cell>
        </row>
        <row r="3566">
          <cell r="A3566">
            <v>31102192</v>
          </cell>
          <cell r="C3566">
            <v>31102192</v>
          </cell>
          <cell r="D3566">
            <v>31102192</v>
          </cell>
          <cell r="E3566">
            <v>31102192</v>
          </cell>
          <cell r="F3566">
            <v>31102192</v>
          </cell>
          <cell r="G3566">
            <v>31102192</v>
          </cell>
          <cell r="H3566">
            <v>31102192</v>
          </cell>
          <cell r="I3566" t="str">
            <v/>
          </cell>
          <cell r="J3566" t="str">
            <v/>
          </cell>
          <cell r="K3566" t="str">
            <v/>
          </cell>
          <cell r="L3566" t="str">
            <v/>
          </cell>
          <cell r="M3566" t="str">
            <v/>
          </cell>
        </row>
        <row r="3567">
          <cell r="A3567">
            <v>31102192</v>
          </cell>
          <cell r="C3567">
            <v>31102192</v>
          </cell>
          <cell r="D3567">
            <v>31102192</v>
          </cell>
          <cell r="E3567">
            <v>31102192</v>
          </cell>
          <cell r="F3567">
            <v>31102192</v>
          </cell>
          <cell r="G3567">
            <v>31102192</v>
          </cell>
          <cell r="H3567">
            <v>31102192</v>
          </cell>
          <cell r="I3567" t="str">
            <v/>
          </cell>
          <cell r="J3567" t="str">
            <v/>
          </cell>
          <cell r="K3567" t="str">
            <v/>
          </cell>
          <cell r="L3567" t="str">
            <v/>
          </cell>
          <cell r="M3567" t="str">
            <v/>
          </cell>
        </row>
        <row r="3568">
          <cell r="A3568">
            <v>31102192</v>
          </cell>
          <cell r="C3568">
            <v>31102192</v>
          </cell>
          <cell r="D3568">
            <v>31102192</v>
          </cell>
          <cell r="E3568">
            <v>31102192</v>
          </cell>
          <cell r="F3568">
            <v>31102192</v>
          </cell>
          <cell r="G3568">
            <v>31102192</v>
          </cell>
          <cell r="H3568">
            <v>31102192</v>
          </cell>
          <cell r="I3568" t="str">
            <v/>
          </cell>
          <cell r="J3568" t="str">
            <v/>
          </cell>
          <cell r="K3568" t="str">
            <v/>
          </cell>
          <cell r="L3568" t="str">
            <v/>
          </cell>
          <cell r="M3568" t="str">
            <v/>
          </cell>
        </row>
        <row r="3569">
          <cell r="A3569">
            <v>31102192</v>
          </cell>
          <cell r="C3569">
            <v>31102192</v>
          </cell>
          <cell r="D3569">
            <v>31102192</v>
          </cell>
          <cell r="E3569">
            <v>31102192</v>
          </cell>
          <cell r="F3569">
            <v>31102192</v>
          </cell>
          <cell r="G3569">
            <v>31102192</v>
          </cell>
          <cell r="H3569">
            <v>31102192</v>
          </cell>
          <cell r="I3569" t="str">
            <v/>
          </cell>
          <cell r="J3569" t="str">
            <v/>
          </cell>
          <cell r="K3569" t="str">
            <v/>
          </cell>
          <cell r="L3569" t="str">
            <v/>
          </cell>
          <cell r="M3569" t="str">
            <v/>
          </cell>
        </row>
        <row r="3570">
          <cell r="A3570">
            <v>31102192</v>
          </cell>
          <cell r="C3570">
            <v>31102192</v>
          </cell>
          <cell r="D3570">
            <v>31102192</v>
          </cell>
          <cell r="E3570">
            <v>31102192</v>
          </cell>
          <cell r="F3570">
            <v>31102192</v>
          </cell>
          <cell r="G3570">
            <v>31102192</v>
          </cell>
          <cell r="H3570">
            <v>31102192</v>
          </cell>
          <cell r="I3570" t="str">
            <v/>
          </cell>
          <cell r="J3570" t="str">
            <v/>
          </cell>
          <cell r="K3570" t="str">
            <v/>
          </cell>
          <cell r="L3570" t="str">
            <v/>
          </cell>
          <cell r="M3570" t="str">
            <v/>
          </cell>
        </row>
        <row r="3571">
          <cell r="A3571">
            <v>31102192</v>
          </cell>
          <cell r="C3571">
            <v>31102192</v>
          </cell>
          <cell r="D3571">
            <v>31102192</v>
          </cell>
          <cell r="E3571">
            <v>31102192</v>
          </cell>
          <cell r="F3571">
            <v>31102192</v>
          </cell>
          <cell r="G3571">
            <v>31102192</v>
          </cell>
          <cell r="H3571">
            <v>31102192</v>
          </cell>
          <cell r="I3571" t="str">
            <v/>
          </cell>
          <cell r="J3571" t="str">
            <v/>
          </cell>
          <cell r="K3571" t="str">
            <v/>
          </cell>
          <cell r="L3571" t="str">
            <v/>
          </cell>
          <cell r="M3571" t="str">
            <v/>
          </cell>
        </row>
        <row r="3572">
          <cell r="A3572">
            <v>31102192</v>
          </cell>
          <cell r="C3572">
            <v>31102192</v>
          </cell>
          <cell r="D3572">
            <v>31102192</v>
          </cell>
          <cell r="E3572">
            <v>31102192</v>
          </cell>
          <cell r="F3572">
            <v>31102192</v>
          </cell>
          <cell r="G3572">
            <v>31102192</v>
          </cell>
          <cell r="H3572">
            <v>31102192</v>
          </cell>
          <cell r="I3572" t="str">
            <v/>
          </cell>
          <cell r="J3572" t="str">
            <v/>
          </cell>
          <cell r="K3572" t="str">
            <v/>
          </cell>
          <cell r="L3572" t="str">
            <v/>
          </cell>
          <cell r="M3572" t="str">
            <v/>
          </cell>
        </row>
        <row r="3573">
          <cell r="A3573">
            <v>31102192</v>
          </cell>
          <cell r="C3573">
            <v>31102192</v>
          </cell>
          <cell r="D3573">
            <v>31102192</v>
          </cell>
          <cell r="E3573">
            <v>31102192</v>
          </cell>
          <cell r="F3573">
            <v>31102192</v>
          </cell>
          <cell r="G3573">
            <v>31102192</v>
          </cell>
          <cell r="H3573">
            <v>31102192</v>
          </cell>
          <cell r="I3573" t="str">
            <v/>
          </cell>
          <cell r="J3573" t="str">
            <v/>
          </cell>
          <cell r="K3573" t="str">
            <v/>
          </cell>
          <cell r="L3573" t="str">
            <v/>
          </cell>
          <cell r="M3573" t="str">
            <v/>
          </cell>
        </row>
        <row r="3574">
          <cell r="A3574">
            <v>31102192</v>
          </cell>
          <cell r="C3574">
            <v>31102192</v>
          </cell>
          <cell r="D3574">
            <v>31102192</v>
          </cell>
          <cell r="E3574">
            <v>31102192</v>
          </cell>
          <cell r="F3574">
            <v>31102192</v>
          </cell>
          <cell r="G3574">
            <v>31102192</v>
          </cell>
          <cell r="H3574">
            <v>31102192</v>
          </cell>
          <cell r="I3574" t="str">
            <v/>
          </cell>
          <cell r="J3574" t="str">
            <v/>
          </cell>
          <cell r="K3574" t="str">
            <v/>
          </cell>
          <cell r="L3574" t="str">
            <v/>
          </cell>
          <cell r="M3574" t="str">
            <v/>
          </cell>
        </row>
        <row r="3575">
          <cell r="A3575">
            <v>31102192</v>
          </cell>
          <cell r="C3575">
            <v>31102192</v>
          </cell>
          <cell r="D3575">
            <v>31102192</v>
          </cell>
          <cell r="E3575">
            <v>31102192</v>
          </cell>
          <cell r="F3575">
            <v>31102192</v>
          </cell>
          <cell r="G3575">
            <v>31102192</v>
          </cell>
          <cell r="H3575">
            <v>31102192</v>
          </cell>
          <cell r="I3575" t="str">
            <v/>
          </cell>
          <cell r="J3575" t="str">
            <v/>
          </cell>
          <cell r="K3575" t="str">
            <v/>
          </cell>
          <cell r="L3575" t="str">
            <v/>
          </cell>
          <cell r="M3575" t="str">
            <v/>
          </cell>
        </row>
        <row r="3576">
          <cell r="A3576">
            <v>31102192</v>
          </cell>
          <cell r="C3576">
            <v>31102192</v>
          </cell>
          <cell r="D3576">
            <v>31102192</v>
          </cell>
          <cell r="E3576">
            <v>31102192</v>
          </cell>
          <cell r="F3576">
            <v>31102192</v>
          </cell>
          <cell r="G3576">
            <v>31102192</v>
          </cell>
          <cell r="H3576">
            <v>31102192</v>
          </cell>
          <cell r="I3576" t="str">
            <v/>
          </cell>
          <cell r="J3576" t="str">
            <v/>
          </cell>
          <cell r="K3576" t="str">
            <v/>
          </cell>
          <cell r="L3576" t="str">
            <v/>
          </cell>
          <cell r="M3576" t="str">
            <v/>
          </cell>
        </row>
        <row r="3577">
          <cell r="A3577">
            <v>31102192</v>
          </cell>
          <cell r="C3577">
            <v>31102192</v>
          </cell>
          <cell r="D3577">
            <v>31102192</v>
          </cell>
          <cell r="E3577">
            <v>31102192</v>
          </cell>
          <cell r="F3577">
            <v>31102192</v>
          </cell>
          <cell r="G3577">
            <v>31102192</v>
          </cell>
          <cell r="H3577">
            <v>31102192</v>
          </cell>
          <cell r="I3577" t="str">
            <v/>
          </cell>
          <cell r="J3577" t="str">
            <v/>
          </cell>
          <cell r="K3577" t="str">
            <v/>
          </cell>
          <cell r="L3577" t="str">
            <v/>
          </cell>
          <cell r="M3577" t="str">
            <v/>
          </cell>
        </row>
        <row r="3578">
          <cell r="A3578">
            <v>31102192</v>
          </cell>
          <cell r="C3578">
            <v>31102192</v>
          </cell>
          <cell r="D3578">
            <v>31102192</v>
          </cell>
          <cell r="E3578">
            <v>31102192</v>
          </cell>
          <cell r="F3578">
            <v>31102192</v>
          </cell>
          <cell r="G3578">
            <v>31102192</v>
          </cell>
          <cell r="H3578">
            <v>31102192</v>
          </cell>
          <cell r="I3578" t="str">
            <v/>
          </cell>
          <cell r="J3578" t="str">
            <v/>
          </cell>
          <cell r="K3578" t="str">
            <v/>
          </cell>
          <cell r="L3578" t="str">
            <v/>
          </cell>
          <cell r="M3578" t="str">
            <v/>
          </cell>
        </row>
        <row r="3579">
          <cell r="A3579">
            <v>31102192</v>
          </cell>
          <cell r="C3579">
            <v>31102192</v>
          </cell>
          <cell r="D3579">
            <v>31102192</v>
          </cell>
          <cell r="E3579">
            <v>31102192</v>
          </cell>
          <cell r="F3579">
            <v>31102192</v>
          </cell>
          <cell r="G3579">
            <v>31102192</v>
          </cell>
          <cell r="H3579">
            <v>31102192</v>
          </cell>
          <cell r="I3579" t="str">
            <v/>
          </cell>
          <cell r="J3579" t="str">
            <v/>
          </cell>
          <cell r="K3579" t="str">
            <v/>
          </cell>
          <cell r="L3579" t="str">
            <v/>
          </cell>
          <cell r="M3579" t="str">
            <v/>
          </cell>
        </row>
        <row r="3580">
          <cell r="A3580">
            <v>31102192</v>
          </cell>
          <cell r="C3580">
            <v>31102192</v>
          </cell>
          <cell r="D3580">
            <v>31102192</v>
          </cell>
          <cell r="E3580">
            <v>31102192</v>
          </cell>
          <cell r="F3580">
            <v>31102192</v>
          </cell>
          <cell r="G3580">
            <v>31102192</v>
          </cell>
          <cell r="H3580">
            <v>31102192</v>
          </cell>
          <cell r="I3580" t="str">
            <v/>
          </cell>
          <cell r="J3580" t="str">
            <v/>
          </cell>
          <cell r="K3580" t="str">
            <v/>
          </cell>
          <cell r="L3580" t="str">
            <v/>
          </cell>
          <cell r="M3580" t="str">
            <v/>
          </cell>
        </row>
        <row r="3581">
          <cell r="A3581">
            <v>31102192</v>
          </cell>
          <cell r="C3581">
            <v>31102192</v>
          </cell>
          <cell r="D3581">
            <v>31102192</v>
          </cell>
          <cell r="E3581">
            <v>31102192</v>
          </cell>
          <cell r="F3581">
            <v>31102192</v>
          </cell>
          <cell r="G3581">
            <v>31102192</v>
          </cell>
          <cell r="H3581">
            <v>31102192</v>
          </cell>
          <cell r="I3581" t="str">
            <v/>
          </cell>
          <cell r="J3581" t="str">
            <v/>
          </cell>
          <cell r="K3581" t="str">
            <v/>
          </cell>
          <cell r="L3581" t="str">
            <v/>
          </cell>
          <cell r="M3581" t="str">
            <v/>
          </cell>
        </row>
        <row r="3582">
          <cell r="A3582">
            <v>31102192</v>
          </cell>
          <cell r="C3582">
            <v>31102192</v>
          </cell>
          <cell r="D3582">
            <v>31102192</v>
          </cell>
          <cell r="E3582">
            <v>31102192</v>
          </cell>
          <cell r="F3582">
            <v>31102192</v>
          </cell>
          <cell r="G3582">
            <v>31102192</v>
          </cell>
          <cell r="H3582">
            <v>31102192</v>
          </cell>
          <cell r="I3582" t="str">
            <v/>
          </cell>
          <cell r="J3582" t="str">
            <v/>
          </cell>
          <cell r="K3582" t="str">
            <v/>
          </cell>
          <cell r="L3582" t="str">
            <v/>
          </cell>
          <cell r="M3582" t="str">
            <v/>
          </cell>
        </row>
        <row r="3583">
          <cell r="A3583">
            <v>31102192</v>
          </cell>
          <cell r="C3583">
            <v>31102192</v>
          </cell>
          <cell r="D3583">
            <v>31102192</v>
          </cell>
          <cell r="E3583">
            <v>31102192</v>
          </cell>
          <cell r="F3583">
            <v>31102192</v>
          </cell>
          <cell r="G3583">
            <v>31102192</v>
          </cell>
          <cell r="H3583">
            <v>31102192</v>
          </cell>
          <cell r="I3583" t="str">
            <v/>
          </cell>
          <cell r="J3583" t="str">
            <v/>
          </cell>
          <cell r="K3583" t="str">
            <v/>
          </cell>
          <cell r="L3583" t="str">
            <v/>
          </cell>
          <cell r="M3583" t="str">
            <v/>
          </cell>
        </row>
        <row r="3584">
          <cell r="A3584">
            <v>31102192</v>
          </cell>
          <cell r="C3584">
            <v>31102192</v>
          </cell>
          <cell r="D3584">
            <v>31102192</v>
          </cell>
          <cell r="E3584">
            <v>31102192</v>
          </cell>
          <cell r="F3584">
            <v>31102192</v>
          </cell>
          <cell r="G3584">
            <v>31102192</v>
          </cell>
          <cell r="H3584">
            <v>31102192</v>
          </cell>
          <cell r="I3584" t="str">
            <v/>
          </cell>
          <cell r="J3584" t="str">
            <v/>
          </cell>
          <cell r="K3584" t="str">
            <v/>
          </cell>
          <cell r="L3584" t="str">
            <v/>
          </cell>
          <cell r="M3584" t="str">
            <v/>
          </cell>
        </row>
        <row r="3585">
          <cell r="A3585">
            <v>31102192</v>
          </cell>
          <cell r="C3585">
            <v>31102192</v>
          </cell>
          <cell r="D3585">
            <v>31102192</v>
          </cell>
          <cell r="E3585">
            <v>31102192</v>
          </cell>
          <cell r="F3585">
            <v>31102192</v>
          </cell>
          <cell r="G3585">
            <v>31102192</v>
          </cell>
          <cell r="H3585">
            <v>31102192</v>
          </cell>
          <cell r="I3585" t="str">
            <v/>
          </cell>
          <cell r="J3585" t="str">
            <v/>
          </cell>
          <cell r="K3585" t="str">
            <v/>
          </cell>
          <cell r="L3585" t="str">
            <v/>
          </cell>
          <cell r="M3585" t="str">
            <v/>
          </cell>
        </row>
        <row r="3586">
          <cell r="A3586">
            <v>31102192</v>
          </cell>
          <cell r="C3586">
            <v>31102192</v>
          </cell>
          <cell r="D3586">
            <v>31102192</v>
          </cell>
          <cell r="E3586">
            <v>31102192</v>
          </cell>
          <cell r="F3586">
            <v>31102192</v>
          </cell>
          <cell r="G3586">
            <v>31102192</v>
          </cell>
          <cell r="H3586">
            <v>31102192</v>
          </cell>
          <cell r="I3586" t="str">
            <v/>
          </cell>
          <cell r="J3586" t="str">
            <v/>
          </cell>
          <cell r="K3586" t="str">
            <v/>
          </cell>
          <cell r="L3586" t="str">
            <v/>
          </cell>
          <cell r="M3586" t="str">
            <v/>
          </cell>
        </row>
        <row r="3587">
          <cell r="A3587">
            <v>31102192</v>
          </cell>
          <cell r="C3587">
            <v>31102192</v>
          </cell>
          <cell r="D3587">
            <v>31102192</v>
          </cell>
          <cell r="E3587">
            <v>31102192</v>
          </cell>
          <cell r="F3587">
            <v>31102192</v>
          </cell>
          <cell r="G3587">
            <v>31102192</v>
          </cell>
          <cell r="H3587">
            <v>31102192</v>
          </cell>
          <cell r="I3587" t="str">
            <v/>
          </cell>
          <cell r="J3587" t="str">
            <v/>
          </cell>
          <cell r="K3587" t="str">
            <v/>
          </cell>
          <cell r="L3587" t="str">
            <v/>
          </cell>
          <cell r="M3587" t="str">
            <v/>
          </cell>
        </row>
        <row r="3588">
          <cell r="A3588">
            <v>31102192</v>
          </cell>
          <cell r="C3588">
            <v>31102192</v>
          </cell>
          <cell r="D3588">
            <v>31102192</v>
          </cell>
          <cell r="E3588">
            <v>31102192</v>
          </cell>
          <cell r="F3588">
            <v>31102192</v>
          </cell>
          <cell r="G3588">
            <v>31102192</v>
          </cell>
          <cell r="H3588">
            <v>31102192</v>
          </cell>
          <cell r="I3588" t="str">
            <v/>
          </cell>
          <cell r="J3588" t="str">
            <v/>
          </cell>
          <cell r="K3588" t="str">
            <v/>
          </cell>
          <cell r="L3588" t="str">
            <v/>
          </cell>
          <cell r="M3588" t="str">
            <v/>
          </cell>
        </row>
        <row r="3589">
          <cell r="A3589">
            <v>31102192</v>
          </cell>
          <cell r="C3589">
            <v>31102192</v>
          </cell>
          <cell r="D3589">
            <v>31102192</v>
          </cell>
          <cell r="E3589">
            <v>31102192</v>
          </cell>
          <cell r="F3589">
            <v>31102192</v>
          </cell>
          <cell r="G3589">
            <v>31102192</v>
          </cell>
          <cell r="H3589">
            <v>31102192</v>
          </cell>
          <cell r="I3589" t="str">
            <v/>
          </cell>
          <cell r="J3589" t="str">
            <v/>
          </cell>
          <cell r="K3589" t="str">
            <v/>
          </cell>
          <cell r="L3589" t="str">
            <v/>
          </cell>
          <cell r="M3589" t="str">
            <v/>
          </cell>
        </row>
        <row r="3590">
          <cell r="A3590">
            <v>31102192</v>
          </cell>
          <cell r="C3590">
            <v>31102192</v>
          </cell>
          <cell r="D3590">
            <v>31102192</v>
          </cell>
          <cell r="E3590">
            <v>31102192</v>
          </cell>
          <cell r="F3590">
            <v>31102192</v>
          </cell>
          <cell r="G3590">
            <v>31102192</v>
          </cell>
          <cell r="H3590">
            <v>31102192</v>
          </cell>
          <cell r="I3590" t="str">
            <v/>
          </cell>
          <cell r="J3590" t="str">
            <v/>
          </cell>
          <cell r="K3590" t="str">
            <v/>
          </cell>
          <cell r="L3590" t="str">
            <v/>
          </cell>
          <cell r="M3590" t="str">
            <v/>
          </cell>
        </row>
        <row r="3591">
          <cell r="A3591">
            <v>31102192</v>
          </cell>
          <cell r="C3591">
            <v>31102192</v>
          </cell>
          <cell r="D3591">
            <v>31102192</v>
          </cell>
          <cell r="E3591">
            <v>31102192</v>
          </cell>
          <cell r="F3591">
            <v>31102192</v>
          </cell>
          <cell r="G3591">
            <v>31102192</v>
          </cell>
          <cell r="H3591">
            <v>31102192</v>
          </cell>
          <cell r="I3591" t="str">
            <v/>
          </cell>
          <cell r="J3591" t="str">
            <v/>
          </cell>
          <cell r="K3591" t="str">
            <v/>
          </cell>
          <cell r="L3591" t="str">
            <v/>
          </cell>
          <cell r="M3591" t="str">
            <v/>
          </cell>
        </row>
        <row r="3592">
          <cell r="A3592">
            <v>31102192</v>
          </cell>
          <cell r="C3592">
            <v>31102192</v>
          </cell>
          <cell r="D3592">
            <v>31102192</v>
          </cell>
          <cell r="E3592">
            <v>31102192</v>
          </cell>
          <cell r="F3592">
            <v>31102192</v>
          </cell>
          <cell r="G3592">
            <v>31102192</v>
          </cell>
          <cell r="H3592">
            <v>31102192</v>
          </cell>
          <cell r="I3592" t="str">
            <v/>
          </cell>
          <cell r="J3592" t="str">
            <v/>
          </cell>
          <cell r="K3592" t="str">
            <v/>
          </cell>
          <cell r="L3592" t="str">
            <v/>
          </cell>
          <cell r="M3592" t="str">
            <v/>
          </cell>
        </row>
        <row r="3593">
          <cell r="A3593">
            <v>31102192</v>
          </cell>
          <cell r="C3593">
            <v>31102192</v>
          </cell>
          <cell r="D3593">
            <v>31102192</v>
          </cell>
          <cell r="E3593">
            <v>31102192</v>
          </cell>
          <cell r="F3593">
            <v>31102192</v>
          </cell>
          <cell r="G3593">
            <v>31102192</v>
          </cell>
          <cell r="H3593">
            <v>31102192</v>
          </cell>
          <cell r="I3593" t="str">
            <v/>
          </cell>
          <cell r="J3593" t="str">
            <v/>
          </cell>
          <cell r="K3593" t="str">
            <v/>
          </cell>
          <cell r="L3593" t="str">
            <v/>
          </cell>
          <cell r="M3593" t="str">
            <v/>
          </cell>
        </row>
        <row r="3594">
          <cell r="A3594">
            <v>31102192</v>
          </cell>
          <cell r="C3594">
            <v>31102192</v>
          </cell>
          <cell r="D3594">
            <v>31102192</v>
          </cell>
          <cell r="E3594">
            <v>31102192</v>
          </cell>
          <cell r="F3594">
            <v>31102192</v>
          </cell>
          <cell r="G3594">
            <v>31102192</v>
          </cell>
          <cell r="H3594">
            <v>31102192</v>
          </cell>
          <cell r="I3594" t="str">
            <v/>
          </cell>
          <cell r="J3594" t="str">
            <v/>
          </cell>
          <cell r="K3594" t="str">
            <v/>
          </cell>
          <cell r="L3594" t="str">
            <v/>
          </cell>
          <cell r="M3594" t="str">
            <v/>
          </cell>
        </row>
        <row r="3595">
          <cell r="A3595">
            <v>31102192</v>
          </cell>
          <cell r="C3595">
            <v>31102192</v>
          </cell>
          <cell r="D3595">
            <v>31102192</v>
          </cell>
          <cell r="E3595">
            <v>31102192</v>
          </cell>
          <cell r="F3595">
            <v>31102192</v>
          </cell>
          <cell r="G3595">
            <v>31102192</v>
          </cell>
          <cell r="H3595">
            <v>31102192</v>
          </cell>
          <cell r="I3595" t="str">
            <v/>
          </cell>
          <cell r="J3595" t="str">
            <v/>
          </cell>
          <cell r="K3595" t="str">
            <v/>
          </cell>
          <cell r="L3595" t="str">
            <v/>
          </cell>
          <cell r="M3595" t="str">
            <v/>
          </cell>
        </row>
        <row r="3596">
          <cell r="A3596">
            <v>31102192</v>
          </cell>
          <cell r="C3596">
            <v>31102192</v>
          </cell>
          <cell r="D3596">
            <v>31102192</v>
          </cell>
          <cell r="E3596">
            <v>31102192</v>
          </cell>
          <cell r="F3596">
            <v>31102192</v>
          </cell>
          <cell r="G3596">
            <v>31102192</v>
          </cell>
          <cell r="H3596">
            <v>31102192</v>
          </cell>
          <cell r="I3596" t="str">
            <v/>
          </cell>
          <cell r="J3596" t="str">
            <v/>
          </cell>
          <cell r="K3596" t="str">
            <v/>
          </cell>
          <cell r="L3596" t="str">
            <v/>
          </cell>
          <cell r="M3596" t="str">
            <v/>
          </cell>
        </row>
        <row r="3597">
          <cell r="A3597">
            <v>31102192</v>
          </cell>
          <cell r="C3597">
            <v>31102192</v>
          </cell>
          <cell r="D3597">
            <v>31102192</v>
          </cell>
          <cell r="E3597">
            <v>31102192</v>
          </cell>
          <cell r="F3597">
            <v>31102192</v>
          </cell>
          <cell r="G3597">
            <v>31102192</v>
          </cell>
          <cell r="H3597">
            <v>31102192</v>
          </cell>
          <cell r="I3597" t="str">
            <v/>
          </cell>
          <cell r="J3597" t="str">
            <v/>
          </cell>
          <cell r="K3597" t="str">
            <v/>
          </cell>
          <cell r="L3597" t="str">
            <v/>
          </cell>
          <cell r="M3597" t="str">
            <v/>
          </cell>
        </row>
        <row r="3598">
          <cell r="A3598">
            <v>31102192</v>
          </cell>
          <cell r="C3598">
            <v>31102192</v>
          </cell>
          <cell r="D3598">
            <v>31102192</v>
          </cell>
          <cell r="E3598">
            <v>31102192</v>
          </cell>
          <cell r="F3598">
            <v>31102192</v>
          </cell>
          <cell r="G3598">
            <v>31102192</v>
          </cell>
          <cell r="H3598">
            <v>31102192</v>
          </cell>
          <cell r="I3598" t="str">
            <v/>
          </cell>
          <cell r="J3598" t="str">
            <v/>
          </cell>
          <cell r="K3598" t="str">
            <v/>
          </cell>
          <cell r="L3598" t="str">
            <v/>
          </cell>
          <cell r="M3598" t="str">
            <v/>
          </cell>
        </row>
        <row r="3599">
          <cell r="A3599">
            <v>31102192</v>
          </cell>
          <cell r="C3599">
            <v>31102192</v>
          </cell>
          <cell r="D3599">
            <v>31102192</v>
          </cell>
          <cell r="E3599">
            <v>31102192</v>
          </cell>
          <cell r="F3599">
            <v>31102192</v>
          </cell>
          <cell r="G3599">
            <v>31102192</v>
          </cell>
          <cell r="H3599">
            <v>31102192</v>
          </cell>
          <cell r="I3599" t="str">
            <v/>
          </cell>
          <cell r="J3599" t="str">
            <v/>
          </cell>
          <cell r="K3599" t="str">
            <v/>
          </cell>
          <cell r="L3599" t="str">
            <v/>
          </cell>
          <cell r="M3599" t="str">
            <v/>
          </cell>
        </row>
        <row r="3600">
          <cell r="A3600">
            <v>31102192</v>
          </cell>
          <cell r="C3600">
            <v>31102192</v>
          </cell>
          <cell r="D3600">
            <v>31102192</v>
          </cell>
          <cell r="E3600">
            <v>31102192</v>
          </cell>
          <cell r="F3600">
            <v>31102192</v>
          </cell>
          <cell r="G3600">
            <v>31102192</v>
          </cell>
          <cell r="H3600">
            <v>31102192</v>
          </cell>
          <cell r="I3600" t="str">
            <v/>
          </cell>
          <cell r="J3600" t="str">
            <v/>
          </cell>
          <cell r="K3600" t="str">
            <v/>
          </cell>
          <cell r="L3600" t="str">
            <v/>
          </cell>
          <cell r="M3600" t="str">
            <v/>
          </cell>
        </row>
        <row r="3601">
          <cell r="A3601">
            <v>31102192</v>
          </cell>
          <cell r="C3601">
            <v>31102192</v>
          </cell>
          <cell r="D3601">
            <v>31102192</v>
          </cell>
          <cell r="E3601">
            <v>31102192</v>
          </cell>
          <cell r="F3601">
            <v>31102192</v>
          </cell>
          <cell r="G3601">
            <v>31102192</v>
          </cell>
          <cell r="H3601">
            <v>31102192</v>
          </cell>
          <cell r="I3601" t="str">
            <v/>
          </cell>
          <cell r="J3601" t="str">
            <v/>
          </cell>
          <cell r="K3601" t="str">
            <v/>
          </cell>
          <cell r="L3601" t="str">
            <v/>
          </cell>
          <cell r="M3601" t="str">
            <v/>
          </cell>
        </row>
        <row r="3602">
          <cell r="A3602">
            <v>31102192</v>
          </cell>
          <cell r="C3602">
            <v>31102192</v>
          </cell>
          <cell r="D3602">
            <v>31102192</v>
          </cell>
          <cell r="E3602">
            <v>31102192</v>
          </cell>
          <cell r="F3602">
            <v>31102192</v>
          </cell>
          <cell r="G3602">
            <v>31102192</v>
          </cell>
          <cell r="H3602">
            <v>31102192</v>
          </cell>
          <cell r="I3602" t="str">
            <v/>
          </cell>
          <cell r="J3602" t="str">
            <v/>
          </cell>
          <cell r="K3602" t="str">
            <v/>
          </cell>
          <cell r="L3602" t="str">
            <v/>
          </cell>
          <cell r="M3602" t="str">
            <v/>
          </cell>
        </row>
        <row r="3603">
          <cell r="A3603">
            <v>31102192</v>
          </cell>
          <cell r="C3603">
            <v>31102192</v>
          </cell>
          <cell r="D3603">
            <v>31102192</v>
          </cell>
          <cell r="E3603">
            <v>31102192</v>
          </cell>
          <cell r="F3603">
            <v>31102192</v>
          </cell>
          <cell r="G3603">
            <v>31102192</v>
          </cell>
          <cell r="H3603">
            <v>31102192</v>
          </cell>
          <cell r="I3603" t="str">
            <v/>
          </cell>
          <cell r="J3603" t="str">
            <v/>
          </cell>
          <cell r="K3603" t="str">
            <v/>
          </cell>
          <cell r="L3603" t="str">
            <v/>
          </cell>
          <cell r="M3603" t="str">
            <v/>
          </cell>
        </row>
        <row r="3604">
          <cell r="A3604">
            <v>31102192</v>
          </cell>
          <cell r="C3604">
            <v>31102192</v>
          </cell>
          <cell r="D3604">
            <v>31102192</v>
          </cell>
          <cell r="E3604">
            <v>31102192</v>
          </cell>
          <cell r="F3604">
            <v>31102192</v>
          </cell>
          <cell r="G3604">
            <v>31102192</v>
          </cell>
          <cell r="H3604">
            <v>31102192</v>
          </cell>
          <cell r="I3604" t="str">
            <v/>
          </cell>
          <cell r="J3604" t="str">
            <v/>
          </cell>
          <cell r="K3604" t="str">
            <v/>
          </cell>
          <cell r="L3604" t="str">
            <v/>
          </cell>
          <cell r="M3604" t="str">
            <v/>
          </cell>
        </row>
        <row r="3605">
          <cell r="A3605">
            <v>31102192</v>
          </cell>
          <cell r="C3605">
            <v>31102192</v>
          </cell>
          <cell r="D3605">
            <v>31102192</v>
          </cell>
          <cell r="E3605">
            <v>31102192</v>
          </cell>
          <cell r="F3605">
            <v>31102192</v>
          </cell>
          <cell r="G3605">
            <v>31102192</v>
          </cell>
          <cell r="H3605">
            <v>31102192</v>
          </cell>
          <cell r="I3605" t="str">
            <v/>
          </cell>
          <cell r="J3605" t="str">
            <v/>
          </cell>
          <cell r="K3605" t="str">
            <v/>
          </cell>
          <cell r="L3605" t="str">
            <v/>
          </cell>
          <cell r="M3605" t="str">
            <v/>
          </cell>
        </row>
        <row r="3606">
          <cell r="A3606">
            <v>31102192</v>
          </cell>
          <cell r="C3606">
            <v>31102192</v>
          </cell>
          <cell r="D3606">
            <v>31102192</v>
          </cell>
          <cell r="E3606">
            <v>31102192</v>
          </cell>
          <cell r="F3606">
            <v>31102192</v>
          </cell>
          <cell r="G3606">
            <v>31102192</v>
          </cell>
          <cell r="H3606">
            <v>31102192</v>
          </cell>
          <cell r="I3606" t="str">
            <v/>
          </cell>
          <cell r="J3606" t="str">
            <v/>
          </cell>
          <cell r="K3606" t="str">
            <v/>
          </cell>
          <cell r="L3606" t="str">
            <v/>
          </cell>
          <cell r="M3606" t="str">
            <v/>
          </cell>
        </row>
        <row r="3607">
          <cell r="A3607">
            <v>31102192</v>
          </cell>
          <cell r="C3607">
            <v>31102192</v>
          </cell>
          <cell r="D3607">
            <v>31102192</v>
          </cell>
          <cell r="E3607">
            <v>31102192</v>
          </cell>
          <cell r="F3607">
            <v>31102192</v>
          </cell>
          <cell r="G3607">
            <v>31102192</v>
          </cell>
          <cell r="H3607">
            <v>31102192</v>
          </cell>
          <cell r="I3607" t="str">
            <v/>
          </cell>
          <cell r="J3607" t="str">
            <v/>
          </cell>
          <cell r="K3607" t="str">
            <v/>
          </cell>
          <cell r="L3607" t="str">
            <v/>
          </cell>
          <cell r="M3607" t="str">
            <v/>
          </cell>
        </row>
        <row r="3608">
          <cell r="A3608">
            <v>31102192</v>
          </cell>
          <cell r="C3608">
            <v>31102192</v>
          </cell>
          <cell r="D3608">
            <v>31102192</v>
          </cell>
          <cell r="E3608">
            <v>31102192</v>
          </cell>
          <cell r="F3608">
            <v>31102192</v>
          </cell>
          <cell r="G3608">
            <v>31102192</v>
          </cell>
          <cell r="H3608">
            <v>31102192</v>
          </cell>
          <cell r="I3608" t="str">
            <v/>
          </cell>
          <cell r="J3608" t="str">
            <v/>
          </cell>
          <cell r="K3608" t="str">
            <v/>
          </cell>
          <cell r="L3608" t="str">
            <v/>
          </cell>
          <cell r="M3608" t="str">
            <v/>
          </cell>
        </row>
        <row r="3609">
          <cell r="A3609">
            <v>31102192</v>
          </cell>
          <cell r="C3609">
            <v>31102192</v>
          </cell>
          <cell r="D3609">
            <v>31102192</v>
          </cell>
          <cell r="E3609">
            <v>31102192</v>
          </cell>
          <cell r="F3609">
            <v>31102192</v>
          </cell>
          <cell r="G3609">
            <v>31102192</v>
          </cell>
          <cell r="H3609">
            <v>31102192</v>
          </cell>
          <cell r="I3609" t="str">
            <v/>
          </cell>
          <cell r="J3609" t="str">
            <v/>
          </cell>
          <cell r="K3609" t="str">
            <v/>
          </cell>
          <cell r="L3609" t="str">
            <v/>
          </cell>
          <cell r="M3609" t="str">
            <v/>
          </cell>
        </row>
        <row r="3610">
          <cell r="A3610">
            <v>31102192</v>
          </cell>
          <cell r="C3610">
            <v>31102192</v>
          </cell>
          <cell r="D3610">
            <v>31102192</v>
          </cell>
          <cell r="E3610">
            <v>31102192</v>
          </cell>
          <cell r="F3610">
            <v>31102192</v>
          </cell>
          <cell r="G3610">
            <v>31102192</v>
          </cell>
          <cell r="H3610">
            <v>31102192</v>
          </cell>
          <cell r="I3610" t="str">
            <v/>
          </cell>
          <cell r="J3610" t="str">
            <v/>
          </cell>
          <cell r="K3610" t="str">
            <v/>
          </cell>
          <cell r="L3610" t="str">
            <v/>
          </cell>
          <cell r="M3610" t="str">
            <v/>
          </cell>
        </row>
        <row r="3611">
          <cell r="A3611">
            <v>31102192</v>
          </cell>
          <cell r="C3611">
            <v>31102192</v>
          </cell>
          <cell r="D3611">
            <v>31102192</v>
          </cell>
          <cell r="E3611">
            <v>31102192</v>
          </cell>
          <cell r="F3611">
            <v>31102192</v>
          </cell>
          <cell r="G3611">
            <v>31102192</v>
          </cell>
          <cell r="H3611">
            <v>31102192</v>
          </cell>
          <cell r="I3611" t="str">
            <v/>
          </cell>
          <cell r="J3611" t="str">
            <v/>
          </cell>
          <cell r="K3611" t="str">
            <v/>
          </cell>
          <cell r="L3611" t="str">
            <v/>
          </cell>
          <cell r="M3611" t="str">
            <v/>
          </cell>
        </row>
        <row r="3612">
          <cell r="A3612">
            <v>31102192</v>
          </cell>
          <cell r="C3612">
            <v>31102192</v>
          </cell>
          <cell r="D3612">
            <v>31102192</v>
          </cell>
          <cell r="E3612">
            <v>31102192</v>
          </cell>
          <cell r="F3612">
            <v>31102192</v>
          </cell>
          <cell r="G3612">
            <v>31102192</v>
          </cell>
          <cell r="H3612">
            <v>31102192</v>
          </cell>
          <cell r="I3612" t="str">
            <v/>
          </cell>
          <cell r="J3612" t="str">
            <v/>
          </cell>
          <cell r="K3612" t="str">
            <v/>
          </cell>
          <cell r="L3612" t="str">
            <v/>
          </cell>
          <cell r="M3612" t="str">
            <v/>
          </cell>
        </row>
        <row r="3613">
          <cell r="A3613">
            <v>31102192</v>
          </cell>
          <cell r="C3613">
            <v>31102192</v>
          </cell>
          <cell r="D3613">
            <v>31102192</v>
          </cell>
          <cell r="E3613">
            <v>31102192</v>
          </cell>
          <cell r="F3613">
            <v>31102192</v>
          </cell>
          <cell r="G3613">
            <v>31102192</v>
          </cell>
          <cell r="H3613">
            <v>31102192</v>
          </cell>
          <cell r="I3613" t="str">
            <v/>
          </cell>
          <cell r="J3613" t="str">
            <v/>
          </cell>
          <cell r="K3613" t="str">
            <v/>
          </cell>
          <cell r="L3613" t="str">
            <v/>
          </cell>
          <cell r="M3613" t="str">
            <v/>
          </cell>
        </row>
        <row r="3614">
          <cell r="A3614">
            <v>31102192</v>
          </cell>
          <cell r="C3614">
            <v>31102192</v>
          </cell>
          <cell r="D3614">
            <v>31102192</v>
          </cell>
          <cell r="E3614">
            <v>31102192</v>
          </cell>
          <cell r="F3614">
            <v>31102192</v>
          </cell>
          <cell r="G3614">
            <v>31102192</v>
          </cell>
          <cell r="H3614">
            <v>31102192</v>
          </cell>
          <cell r="I3614" t="str">
            <v/>
          </cell>
          <cell r="J3614" t="str">
            <v/>
          </cell>
          <cell r="K3614" t="str">
            <v/>
          </cell>
          <cell r="L3614" t="str">
            <v/>
          </cell>
          <cell r="M3614" t="str">
            <v/>
          </cell>
        </row>
        <row r="3615">
          <cell r="A3615">
            <v>31102192</v>
          </cell>
          <cell r="C3615">
            <v>31102192</v>
          </cell>
          <cell r="D3615">
            <v>31102192</v>
          </cell>
          <cell r="E3615">
            <v>31102192</v>
          </cell>
          <cell r="F3615">
            <v>31102192</v>
          </cell>
          <cell r="G3615">
            <v>31102192</v>
          </cell>
          <cell r="H3615">
            <v>31102192</v>
          </cell>
          <cell r="I3615" t="str">
            <v/>
          </cell>
          <cell r="J3615" t="str">
            <v/>
          </cell>
          <cell r="K3615" t="str">
            <v/>
          </cell>
          <cell r="L3615" t="str">
            <v/>
          </cell>
          <cell r="M3615" t="str">
            <v/>
          </cell>
        </row>
        <row r="3616">
          <cell r="A3616">
            <v>31102192</v>
          </cell>
          <cell r="C3616">
            <v>31102192</v>
          </cell>
          <cell r="D3616">
            <v>31102192</v>
          </cell>
          <cell r="E3616">
            <v>31102192</v>
          </cell>
          <cell r="F3616">
            <v>31102192</v>
          </cell>
          <cell r="G3616">
            <v>31102192</v>
          </cell>
          <cell r="H3616">
            <v>31102192</v>
          </cell>
          <cell r="I3616" t="str">
            <v/>
          </cell>
          <cell r="J3616" t="str">
            <v/>
          </cell>
          <cell r="K3616" t="str">
            <v/>
          </cell>
          <cell r="L3616" t="str">
            <v/>
          </cell>
          <cell r="M3616" t="str">
            <v/>
          </cell>
        </row>
        <row r="3617">
          <cell r="A3617">
            <v>31102192</v>
          </cell>
          <cell r="C3617">
            <v>31102192</v>
          </cell>
          <cell r="D3617">
            <v>31102192</v>
          </cell>
          <cell r="E3617">
            <v>31102192</v>
          </cell>
          <cell r="F3617">
            <v>31102192</v>
          </cell>
          <cell r="G3617">
            <v>31102192</v>
          </cell>
          <cell r="H3617">
            <v>31102192</v>
          </cell>
          <cell r="I3617" t="str">
            <v/>
          </cell>
          <cell r="J3617" t="str">
            <v/>
          </cell>
          <cell r="K3617" t="str">
            <v/>
          </cell>
          <cell r="L3617" t="str">
            <v/>
          </cell>
          <cell r="M3617" t="str">
            <v/>
          </cell>
        </row>
        <row r="3618">
          <cell r="A3618">
            <v>31102192</v>
          </cell>
          <cell r="C3618">
            <v>31102192</v>
          </cell>
          <cell r="D3618">
            <v>31102192</v>
          </cell>
          <cell r="E3618">
            <v>31102192</v>
          </cell>
          <cell r="F3618">
            <v>31102192</v>
          </cell>
          <cell r="G3618">
            <v>31102192</v>
          </cell>
          <cell r="H3618">
            <v>31102192</v>
          </cell>
          <cell r="I3618" t="str">
            <v/>
          </cell>
          <cell r="J3618" t="str">
            <v/>
          </cell>
          <cell r="K3618" t="str">
            <v/>
          </cell>
          <cell r="L3618" t="str">
            <v/>
          </cell>
          <cell r="M3618" t="str">
            <v/>
          </cell>
        </row>
        <row r="3619">
          <cell r="A3619">
            <v>31102192</v>
          </cell>
          <cell r="C3619">
            <v>31102192</v>
          </cell>
          <cell r="D3619">
            <v>31102192</v>
          </cell>
          <cell r="E3619">
            <v>31102192</v>
          </cell>
          <cell r="F3619">
            <v>31102192</v>
          </cell>
          <cell r="G3619">
            <v>31102192</v>
          </cell>
          <cell r="H3619">
            <v>31102192</v>
          </cell>
          <cell r="I3619" t="str">
            <v/>
          </cell>
          <cell r="J3619" t="str">
            <v/>
          </cell>
          <cell r="K3619" t="str">
            <v/>
          </cell>
          <cell r="L3619" t="str">
            <v/>
          </cell>
          <cell r="M3619" t="str">
            <v/>
          </cell>
        </row>
        <row r="3620">
          <cell r="A3620">
            <v>31102192</v>
          </cell>
          <cell r="C3620">
            <v>31102192</v>
          </cell>
          <cell r="D3620">
            <v>31102192</v>
          </cell>
          <cell r="E3620">
            <v>31102192</v>
          </cell>
          <cell r="F3620">
            <v>31102192</v>
          </cell>
          <cell r="G3620">
            <v>31102192</v>
          </cell>
          <cell r="H3620">
            <v>31102192</v>
          </cell>
          <cell r="I3620" t="str">
            <v/>
          </cell>
          <cell r="J3620" t="str">
            <v/>
          </cell>
          <cell r="K3620" t="str">
            <v/>
          </cell>
          <cell r="L3620" t="str">
            <v/>
          </cell>
          <cell r="M3620" t="str">
            <v/>
          </cell>
        </row>
        <row r="3621">
          <cell r="A3621">
            <v>31102192</v>
          </cell>
          <cell r="C3621">
            <v>31102192</v>
          </cell>
          <cell r="D3621">
            <v>31102192</v>
          </cell>
          <cell r="E3621">
            <v>31102192</v>
          </cell>
          <cell r="F3621">
            <v>31102192</v>
          </cell>
          <cell r="G3621">
            <v>31102192</v>
          </cell>
          <cell r="H3621">
            <v>31102192</v>
          </cell>
          <cell r="I3621" t="str">
            <v/>
          </cell>
          <cell r="J3621" t="str">
            <v/>
          </cell>
          <cell r="K3621" t="str">
            <v/>
          </cell>
          <cell r="L3621" t="str">
            <v/>
          </cell>
          <cell r="M3621" t="str">
            <v/>
          </cell>
        </row>
        <row r="3622">
          <cell r="A3622">
            <v>31102192</v>
          </cell>
          <cell r="C3622">
            <v>31102192</v>
          </cell>
          <cell r="D3622">
            <v>31102192</v>
          </cell>
          <cell r="E3622">
            <v>31102192</v>
          </cell>
          <cell r="F3622">
            <v>31102192</v>
          </cell>
          <cell r="G3622">
            <v>31102192</v>
          </cell>
          <cell r="H3622">
            <v>31102192</v>
          </cell>
          <cell r="I3622" t="str">
            <v/>
          </cell>
          <cell r="J3622" t="str">
            <v/>
          </cell>
          <cell r="K3622" t="str">
            <v/>
          </cell>
          <cell r="L3622" t="str">
            <v/>
          </cell>
          <cell r="M3622" t="str">
            <v/>
          </cell>
        </row>
        <row r="3623">
          <cell r="A3623">
            <v>31102192</v>
          </cell>
          <cell r="C3623">
            <v>31102192</v>
          </cell>
          <cell r="D3623">
            <v>31102192</v>
          </cell>
          <cell r="E3623">
            <v>31102192</v>
          </cell>
          <cell r="F3623">
            <v>31102192</v>
          </cell>
          <cell r="G3623">
            <v>31102192</v>
          </cell>
          <cell r="H3623">
            <v>31102192</v>
          </cell>
          <cell r="I3623" t="str">
            <v/>
          </cell>
          <cell r="J3623" t="str">
            <v/>
          </cell>
          <cell r="K3623" t="str">
            <v/>
          </cell>
          <cell r="L3623" t="str">
            <v/>
          </cell>
          <cell r="M3623" t="str">
            <v/>
          </cell>
        </row>
        <row r="3624">
          <cell r="A3624">
            <v>31102192</v>
          </cell>
          <cell r="C3624">
            <v>31102192</v>
          </cell>
          <cell r="D3624">
            <v>31102192</v>
          </cell>
          <cell r="E3624">
            <v>31102192</v>
          </cell>
          <cell r="F3624">
            <v>31102192</v>
          </cell>
          <cell r="G3624">
            <v>31102192</v>
          </cell>
          <cell r="H3624">
            <v>31102192</v>
          </cell>
          <cell r="I3624" t="str">
            <v/>
          </cell>
          <cell r="J3624" t="str">
            <v/>
          </cell>
          <cell r="K3624" t="str">
            <v/>
          </cell>
          <cell r="L3624" t="str">
            <v/>
          </cell>
          <cell r="M3624" t="str">
            <v/>
          </cell>
        </row>
        <row r="3625">
          <cell r="A3625">
            <v>31102192</v>
          </cell>
          <cell r="C3625">
            <v>31102192</v>
          </cell>
          <cell r="D3625">
            <v>31102192</v>
          </cell>
          <cell r="E3625">
            <v>31102192</v>
          </cell>
          <cell r="F3625">
            <v>31102192</v>
          </cell>
          <cell r="G3625">
            <v>31102192</v>
          </cell>
          <cell r="H3625">
            <v>31102192</v>
          </cell>
          <cell r="I3625" t="str">
            <v/>
          </cell>
          <cell r="J3625" t="str">
            <v/>
          </cell>
          <cell r="K3625" t="str">
            <v/>
          </cell>
          <cell r="L3625" t="str">
            <v/>
          </cell>
          <cell r="M3625" t="str">
            <v/>
          </cell>
        </row>
        <row r="3626">
          <cell r="A3626">
            <v>31102192</v>
          </cell>
          <cell r="C3626">
            <v>31102192</v>
          </cell>
          <cell r="D3626">
            <v>31102192</v>
          </cell>
          <cell r="E3626">
            <v>31102192</v>
          </cell>
          <cell r="F3626">
            <v>31102192</v>
          </cell>
          <cell r="G3626">
            <v>31102192</v>
          </cell>
          <cell r="H3626">
            <v>31102192</v>
          </cell>
          <cell r="I3626" t="str">
            <v/>
          </cell>
          <cell r="J3626" t="str">
            <v/>
          </cell>
          <cell r="K3626" t="str">
            <v/>
          </cell>
          <cell r="L3626" t="str">
            <v/>
          </cell>
          <cell r="M3626" t="str">
            <v/>
          </cell>
        </row>
        <row r="3627">
          <cell r="A3627">
            <v>31102192</v>
          </cell>
          <cell r="C3627">
            <v>31102192</v>
          </cell>
          <cell r="D3627">
            <v>31102192</v>
          </cell>
          <cell r="E3627">
            <v>31102192</v>
          </cell>
          <cell r="F3627">
            <v>31102192</v>
          </cell>
          <cell r="G3627">
            <v>31102192</v>
          </cell>
          <cell r="H3627">
            <v>31102192</v>
          </cell>
          <cell r="I3627" t="str">
            <v/>
          </cell>
          <cell r="J3627" t="str">
            <v/>
          </cell>
          <cell r="K3627" t="str">
            <v/>
          </cell>
          <cell r="L3627" t="str">
            <v/>
          </cell>
          <cell r="M3627" t="str">
            <v/>
          </cell>
        </row>
        <row r="3628">
          <cell r="A3628">
            <v>31102192</v>
          </cell>
          <cell r="C3628">
            <v>31102192</v>
          </cell>
          <cell r="D3628">
            <v>31102192</v>
          </cell>
          <cell r="E3628">
            <v>31102192</v>
          </cell>
          <cell r="F3628">
            <v>31102192</v>
          </cell>
          <cell r="G3628">
            <v>31102192</v>
          </cell>
          <cell r="H3628">
            <v>31102192</v>
          </cell>
          <cell r="I3628" t="str">
            <v/>
          </cell>
          <cell r="J3628" t="str">
            <v/>
          </cell>
          <cell r="K3628" t="str">
            <v/>
          </cell>
          <cell r="L3628" t="str">
            <v/>
          </cell>
          <cell r="M3628" t="str">
            <v/>
          </cell>
        </row>
        <row r="3629">
          <cell r="A3629">
            <v>31102192</v>
          </cell>
          <cell r="C3629">
            <v>31102192</v>
          </cell>
          <cell r="D3629">
            <v>31102192</v>
          </cell>
          <cell r="E3629">
            <v>31102192</v>
          </cell>
          <cell r="F3629">
            <v>31102192</v>
          </cell>
          <cell r="G3629">
            <v>31102192</v>
          </cell>
          <cell r="H3629">
            <v>31102192</v>
          </cell>
          <cell r="I3629" t="str">
            <v/>
          </cell>
          <cell r="J3629" t="str">
            <v/>
          </cell>
          <cell r="K3629" t="str">
            <v/>
          </cell>
          <cell r="L3629" t="str">
            <v/>
          </cell>
          <cell r="M3629" t="str">
            <v/>
          </cell>
        </row>
        <row r="3630">
          <cell r="A3630">
            <v>31102192</v>
          </cell>
          <cell r="C3630">
            <v>31102192</v>
          </cell>
          <cell r="D3630">
            <v>31102192</v>
          </cell>
          <cell r="E3630">
            <v>31102192</v>
          </cell>
          <cell r="F3630">
            <v>31102192</v>
          </cell>
          <cell r="G3630">
            <v>31102192</v>
          </cell>
          <cell r="H3630">
            <v>31102192</v>
          </cell>
          <cell r="I3630" t="str">
            <v/>
          </cell>
          <cell r="J3630" t="str">
            <v/>
          </cell>
          <cell r="K3630" t="str">
            <v/>
          </cell>
          <cell r="L3630" t="str">
            <v/>
          </cell>
          <cell r="M3630" t="str">
            <v/>
          </cell>
        </row>
        <row r="3631">
          <cell r="A3631">
            <v>31102192</v>
          </cell>
          <cell r="C3631">
            <v>31102192</v>
          </cell>
          <cell r="D3631">
            <v>31102192</v>
          </cell>
          <cell r="E3631">
            <v>31102192</v>
          </cell>
          <cell r="F3631">
            <v>31102192</v>
          </cell>
          <cell r="G3631">
            <v>31102192</v>
          </cell>
          <cell r="H3631">
            <v>31102192</v>
          </cell>
          <cell r="I3631" t="str">
            <v/>
          </cell>
          <cell r="J3631" t="str">
            <v/>
          </cell>
          <cell r="K3631" t="str">
            <v/>
          </cell>
          <cell r="L3631" t="str">
            <v/>
          </cell>
          <cell r="M3631" t="str">
            <v/>
          </cell>
        </row>
        <row r="3632">
          <cell r="A3632">
            <v>31102192</v>
          </cell>
          <cell r="C3632">
            <v>31102192</v>
          </cell>
          <cell r="D3632">
            <v>31102192</v>
          </cell>
          <cell r="E3632">
            <v>31102192</v>
          </cell>
          <cell r="F3632">
            <v>31102192</v>
          </cell>
          <cell r="G3632">
            <v>31102192</v>
          </cell>
          <cell r="H3632">
            <v>31102192</v>
          </cell>
          <cell r="I3632" t="str">
            <v/>
          </cell>
          <cell r="J3632" t="str">
            <v/>
          </cell>
          <cell r="K3632" t="str">
            <v/>
          </cell>
          <cell r="L3632" t="str">
            <v/>
          </cell>
          <cell r="M3632" t="str">
            <v/>
          </cell>
        </row>
        <row r="3633">
          <cell r="A3633">
            <v>31102192</v>
          </cell>
          <cell r="C3633">
            <v>31102192</v>
          </cell>
          <cell r="D3633">
            <v>31102192</v>
          </cell>
          <cell r="E3633">
            <v>31102192</v>
          </cell>
          <cell r="F3633">
            <v>31102192</v>
          </cell>
          <cell r="G3633">
            <v>31102192</v>
          </cell>
          <cell r="H3633">
            <v>31102192</v>
          </cell>
          <cell r="I3633" t="str">
            <v/>
          </cell>
          <cell r="J3633" t="str">
            <v/>
          </cell>
          <cell r="K3633" t="str">
            <v/>
          </cell>
          <cell r="L3633" t="str">
            <v/>
          </cell>
          <cell r="M3633" t="str">
            <v/>
          </cell>
        </row>
        <row r="3634">
          <cell r="A3634">
            <v>31102192</v>
          </cell>
          <cell r="C3634">
            <v>31102192</v>
          </cell>
          <cell r="D3634">
            <v>31102192</v>
          </cell>
          <cell r="E3634">
            <v>31102192</v>
          </cell>
          <cell r="F3634">
            <v>31102192</v>
          </cell>
          <cell r="G3634">
            <v>31102192</v>
          </cell>
          <cell r="H3634">
            <v>31102192</v>
          </cell>
          <cell r="I3634" t="str">
            <v/>
          </cell>
          <cell r="J3634" t="str">
            <v/>
          </cell>
          <cell r="K3634" t="str">
            <v/>
          </cell>
          <cell r="L3634" t="str">
            <v/>
          </cell>
          <cell r="M3634" t="str">
            <v/>
          </cell>
        </row>
        <row r="3635">
          <cell r="A3635">
            <v>31102192</v>
          </cell>
          <cell r="C3635">
            <v>31102192</v>
          </cell>
          <cell r="D3635">
            <v>31102192</v>
          </cell>
          <cell r="E3635">
            <v>31102192</v>
          </cell>
          <cell r="F3635">
            <v>31102192</v>
          </cell>
          <cell r="G3635">
            <v>31102192</v>
          </cell>
          <cell r="H3635">
            <v>31102192</v>
          </cell>
          <cell r="I3635" t="str">
            <v/>
          </cell>
          <cell r="J3635" t="str">
            <v/>
          </cell>
          <cell r="K3635" t="str">
            <v/>
          </cell>
          <cell r="L3635" t="str">
            <v/>
          </cell>
          <cell r="M3635" t="str">
            <v/>
          </cell>
        </row>
        <row r="3636">
          <cell r="A3636">
            <v>31102192</v>
          </cell>
          <cell r="C3636">
            <v>31102192</v>
          </cell>
          <cell r="D3636">
            <v>31102192</v>
          </cell>
          <cell r="E3636">
            <v>31102192</v>
          </cell>
          <cell r="F3636">
            <v>31102192</v>
          </cell>
          <cell r="G3636">
            <v>31102192</v>
          </cell>
          <cell r="H3636">
            <v>31102192</v>
          </cell>
          <cell r="I3636" t="str">
            <v/>
          </cell>
          <cell r="J3636" t="str">
            <v/>
          </cell>
          <cell r="K3636" t="str">
            <v/>
          </cell>
          <cell r="L3636" t="str">
            <v/>
          </cell>
          <cell r="M3636" t="str">
            <v/>
          </cell>
        </row>
        <row r="3637">
          <cell r="A3637">
            <v>31102192</v>
          </cell>
          <cell r="C3637">
            <v>31102192</v>
          </cell>
          <cell r="D3637">
            <v>31102192</v>
          </cell>
          <cell r="E3637">
            <v>31102192</v>
          </cell>
          <cell r="F3637">
            <v>31102192</v>
          </cell>
          <cell r="G3637">
            <v>31102192</v>
          </cell>
          <cell r="H3637">
            <v>31102192</v>
          </cell>
          <cell r="I3637" t="str">
            <v/>
          </cell>
          <cell r="J3637" t="str">
            <v/>
          </cell>
          <cell r="K3637" t="str">
            <v/>
          </cell>
          <cell r="L3637" t="str">
            <v/>
          </cell>
          <cell r="M3637" t="str">
            <v/>
          </cell>
        </row>
        <row r="3638">
          <cell r="A3638">
            <v>31102192</v>
          </cell>
          <cell r="C3638">
            <v>31102192</v>
          </cell>
          <cell r="D3638">
            <v>31102192</v>
          </cell>
          <cell r="E3638">
            <v>31102192</v>
          </cell>
          <cell r="F3638">
            <v>31102192</v>
          </cell>
          <cell r="G3638">
            <v>31102192</v>
          </cell>
          <cell r="H3638">
            <v>31102192</v>
          </cell>
          <cell r="I3638" t="str">
            <v/>
          </cell>
          <cell r="J3638" t="str">
            <v/>
          </cell>
          <cell r="K3638" t="str">
            <v/>
          </cell>
          <cell r="L3638" t="str">
            <v/>
          </cell>
          <cell r="M3638" t="str">
            <v/>
          </cell>
        </row>
        <row r="3639">
          <cell r="A3639">
            <v>31102192</v>
          </cell>
          <cell r="C3639">
            <v>31102192</v>
          </cell>
          <cell r="D3639">
            <v>31102192</v>
          </cell>
          <cell r="E3639">
            <v>31102192</v>
          </cell>
          <cell r="F3639">
            <v>31102192</v>
          </cell>
          <cell r="G3639">
            <v>31102192</v>
          </cell>
          <cell r="H3639">
            <v>31102192</v>
          </cell>
          <cell r="I3639" t="str">
            <v/>
          </cell>
          <cell r="J3639" t="str">
            <v/>
          </cell>
          <cell r="K3639" t="str">
            <v/>
          </cell>
          <cell r="L3639" t="str">
            <v/>
          </cell>
          <cell r="M3639" t="str">
            <v/>
          </cell>
        </row>
        <row r="3640">
          <cell r="A3640">
            <v>31102192</v>
          </cell>
          <cell r="C3640">
            <v>31102192</v>
          </cell>
          <cell r="D3640">
            <v>31102192</v>
          </cell>
          <cell r="E3640">
            <v>31102192</v>
          </cell>
          <cell r="F3640">
            <v>31102192</v>
          </cell>
          <cell r="G3640">
            <v>31102192</v>
          </cell>
          <cell r="H3640">
            <v>31102192</v>
          </cell>
          <cell r="I3640" t="str">
            <v/>
          </cell>
          <cell r="J3640" t="str">
            <v/>
          </cell>
          <cell r="K3640" t="str">
            <v/>
          </cell>
          <cell r="L3640" t="str">
            <v/>
          </cell>
          <cell r="M3640" t="str">
            <v/>
          </cell>
        </row>
        <row r="3641">
          <cell r="A3641">
            <v>31102192</v>
          </cell>
          <cell r="C3641">
            <v>31102192</v>
          </cell>
          <cell r="D3641">
            <v>31102192</v>
          </cell>
          <cell r="E3641">
            <v>31102192</v>
          </cell>
          <cell r="F3641">
            <v>31102192</v>
          </cell>
          <cell r="G3641">
            <v>31102192</v>
          </cell>
          <cell r="H3641">
            <v>31102192</v>
          </cell>
          <cell r="I3641" t="str">
            <v/>
          </cell>
          <cell r="J3641" t="str">
            <v/>
          </cell>
          <cell r="K3641" t="str">
            <v/>
          </cell>
          <cell r="L3641" t="str">
            <v/>
          </cell>
          <cell r="M3641" t="str">
            <v/>
          </cell>
        </row>
        <row r="3642">
          <cell r="A3642">
            <v>31102192</v>
          </cell>
          <cell r="C3642">
            <v>31102192</v>
          </cell>
          <cell r="D3642">
            <v>31102192</v>
          </cell>
          <cell r="E3642">
            <v>31102192</v>
          </cell>
          <cell r="F3642">
            <v>31102192</v>
          </cell>
          <cell r="G3642">
            <v>31102192</v>
          </cell>
          <cell r="H3642">
            <v>31102192</v>
          </cell>
          <cell r="I3642" t="str">
            <v/>
          </cell>
          <cell r="J3642" t="str">
            <v/>
          </cell>
          <cell r="K3642" t="str">
            <v/>
          </cell>
          <cell r="L3642" t="str">
            <v/>
          </cell>
          <cell r="M3642" t="str">
            <v/>
          </cell>
        </row>
        <row r="3643">
          <cell r="A3643">
            <v>31102192</v>
          </cell>
          <cell r="C3643">
            <v>31102192</v>
          </cell>
          <cell r="D3643">
            <v>31102192</v>
          </cell>
          <cell r="E3643">
            <v>31102192</v>
          </cell>
          <cell r="F3643">
            <v>31102192</v>
          </cell>
          <cell r="G3643">
            <v>31102192</v>
          </cell>
          <cell r="H3643">
            <v>31102192</v>
          </cell>
          <cell r="I3643" t="str">
            <v/>
          </cell>
          <cell r="J3643" t="str">
            <v/>
          </cell>
          <cell r="K3643" t="str">
            <v/>
          </cell>
          <cell r="L3643" t="str">
            <v/>
          </cell>
          <cell r="M3643" t="str">
            <v/>
          </cell>
        </row>
        <row r="3644">
          <cell r="A3644">
            <v>31102192</v>
          </cell>
          <cell r="C3644">
            <v>31102192</v>
          </cell>
          <cell r="D3644">
            <v>31102192</v>
          </cell>
          <cell r="E3644">
            <v>31102192</v>
          </cell>
          <cell r="F3644">
            <v>31102192</v>
          </cell>
          <cell r="G3644">
            <v>31102192</v>
          </cell>
          <cell r="H3644">
            <v>31102192</v>
          </cell>
          <cell r="I3644" t="str">
            <v/>
          </cell>
          <cell r="J3644" t="str">
            <v/>
          </cell>
          <cell r="K3644" t="str">
            <v/>
          </cell>
          <cell r="L3644" t="str">
            <v/>
          </cell>
          <cell r="M3644" t="str">
            <v/>
          </cell>
        </row>
        <row r="3645">
          <cell r="A3645">
            <v>31102192</v>
          </cell>
          <cell r="C3645">
            <v>31102192</v>
          </cell>
          <cell r="D3645">
            <v>31102192</v>
          </cell>
          <cell r="E3645">
            <v>31102192</v>
          </cell>
          <cell r="F3645">
            <v>31102192</v>
          </cell>
          <cell r="G3645">
            <v>31102192</v>
          </cell>
          <cell r="H3645">
            <v>31102192</v>
          </cell>
          <cell r="I3645" t="str">
            <v/>
          </cell>
          <cell r="J3645" t="str">
            <v/>
          </cell>
          <cell r="K3645" t="str">
            <v/>
          </cell>
          <cell r="L3645" t="str">
            <v/>
          </cell>
          <cell r="M3645" t="str">
            <v/>
          </cell>
        </row>
        <row r="3646">
          <cell r="A3646">
            <v>31102192</v>
          </cell>
          <cell r="C3646">
            <v>31102192</v>
          </cell>
          <cell r="D3646">
            <v>31102192</v>
          </cell>
          <cell r="E3646">
            <v>31102192</v>
          </cell>
          <cell r="F3646">
            <v>31102192</v>
          </cell>
          <cell r="G3646">
            <v>31102192</v>
          </cell>
          <cell r="H3646">
            <v>31102192</v>
          </cell>
          <cell r="I3646" t="str">
            <v/>
          </cell>
          <cell r="J3646" t="str">
            <v/>
          </cell>
          <cell r="K3646" t="str">
            <v/>
          </cell>
          <cell r="L3646" t="str">
            <v/>
          </cell>
          <cell r="M3646" t="str">
            <v/>
          </cell>
        </row>
        <row r="3647">
          <cell r="A3647">
            <v>31102192</v>
          </cell>
          <cell r="C3647">
            <v>31102192</v>
          </cell>
          <cell r="D3647">
            <v>31102192</v>
          </cell>
          <cell r="E3647">
            <v>31102192</v>
          </cell>
          <cell r="F3647">
            <v>31102192</v>
          </cell>
          <cell r="G3647">
            <v>31102192</v>
          </cell>
          <cell r="H3647">
            <v>31102192</v>
          </cell>
          <cell r="I3647" t="str">
            <v/>
          </cell>
          <cell r="J3647" t="str">
            <v/>
          </cell>
          <cell r="K3647" t="str">
            <v/>
          </cell>
          <cell r="L3647" t="str">
            <v/>
          </cell>
          <cell r="M3647" t="str">
            <v/>
          </cell>
        </row>
        <row r="3648">
          <cell r="A3648">
            <v>31102192</v>
          </cell>
          <cell r="C3648">
            <v>31102192</v>
          </cell>
          <cell r="D3648">
            <v>31102192</v>
          </cell>
          <cell r="E3648">
            <v>31102192</v>
          </cell>
          <cell r="F3648">
            <v>31102192</v>
          </cell>
          <cell r="G3648">
            <v>31102192</v>
          </cell>
          <cell r="H3648">
            <v>31102192</v>
          </cell>
          <cell r="I3648" t="str">
            <v/>
          </cell>
          <cell r="J3648" t="str">
            <v/>
          </cell>
          <cell r="K3648" t="str">
            <v/>
          </cell>
          <cell r="L3648" t="str">
            <v/>
          </cell>
          <cell r="M3648" t="str">
            <v/>
          </cell>
        </row>
        <row r="3649">
          <cell r="A3649">
            <v>31102192</v>
          </cell>
          <cell r="C3649">
            <v>31102192</v>
          </cell>
          <cell r="D3649">
            <v>31102192</v>
          </cell>
          <cell r="E3649">
            <v>31102192</v>
          </cell>
          <cell r="F3649">
            <v>31102192</v>
          </cell>
          <cell r="G3649">
            <v>31102192</v>
          </cell>
          <cell r="H3649">
            <v>31102192</v>
          </cell>
          <cell r="I3649" t="str">
            <v/>
          </cell>
          <cell r="J3649" t="str">
            <v/>
          </cell>
          <cell r="K3649" t="str">
            <v/>
          </cell>
          <cell r="L3649" t="str">
            <v/>
          </cell>
          <cell r="M3649" t="str">
            <v/>
          </cell>
        </row>
        <row r="3650">
          <cell r="A3650">
            <v>31102192</v>
          </cell>
          <cell r="C3650">
            <v>31102192</v>
          </cell>
          <cell r="D3650">
            <v>31102192</v>
          </cell>
          <cell r="E3650">
            <v>31102192</v>
          </cell>
          <cell r="F3650">
            <v>31102192</v>
          </cell>
          <cell r="G3650">
            <v>31102192</v>
          </cell>
          <cell r="H3650">
            <v>31102192</v>
          </cell>
          <cell r="I3650" t="str">
            <v/>
          </cell>
          <cell r="J3650" t="str">
            <v/>
          </cell>
          <cell r="K3650" t="str">
            <v/>
          </cell>
          <cell r="L3650" t="str">
            <v/>
          </cell>
          <cell r="M3650" t="str">
            <v/>
          </cell>
        </row>
        <row r="3651">
          <cell r="A3651">
            <v>31102192</v>
          </cell>
          <cell r="C3651">
            <v>31102192</v>
          </cell>
          <cell r="D3651">
            <v>31102192</v>
          </cell>
          <cell r="E3651">
            <v>31102192</v>
          </cell>
          <cell r="F3651">
            <v>31102192</v>
          </cell>
          <cell r="G3651">
            <v>31102192</v>
          </cell>
          <cell r="H3651">
            <v>31102192</v>
          </cell>
          <cell r="I3651" t="str">
            <v/>
          </cell>
          <cell r="J3651" t="str">
            <v/>
          </cell>
          <cell r="K3651" t="str">
            <v/>
          </cell>
          <cell r="L3651" t="str">
            <v/>
          </cell>
          <cell r="M3651" t="str">
            <v/>
          </cell>
        </row>
        <row r="3652">
          <cell r="A3652">
            <v>31102192</v>
          </cell>
          <cell r="C3652">
            <v>31102192</v>
          </cell>
          <cell r="D3652">
            <v>31102192</v>
          </cell>
          <cell r="E3652">
            <v>31102192</v>
          </cell>
          <cell r="F3652">
            <v>31102192</v>
          </cell>
          <cell r="G3652">
            <v>31102192</v>
          </cell>
          <cell r="H3652">
            <v>31102192</v>
          </cell>
          <cell r="I3652" t="str">
            <v/>
          </cell>
          <cell r="J3652" t="str">
            <v/>
          </cell>
          <cell r="K3652" t="str">
            <v/>
          </cell>
          <cell r="L3652" t="str">
            <v/>
          </cell>
          <cell r="M3652" t="str">
            <v/>
          </cell>
        </row>
        <row r="3653">
          <cell r="A3653">
            <v>31102192</v>
          </cell>
          <cell r="C3653">
            <v>31102192</v>
          </cell>
          <cell r="D3653">
            <v>31102192</v>
          </cell>
          <cell r="E3653">
            <v>31102192</v>
          </cell>
          <cell r="F3653">
            <v>31102192</v>
          </cell>
          <cell r="G3653">
            <v>31102192</v>
          </cell>
          <cell r="H3653">
            <v>31102192</v>
          </cell>
          <cell r="I3653" t="str">
            <v/>
          </cell>
          <cell r="J3653" t="str">
            <v/>
          </cell>
          <cell r="K3653" t="str">
            <v/>
          </cell>
          <cell r="L3653" t="str">
            <v/>
          </cell>
          <cell r="M3653" t="str">
            <v/>
          </cell>
        </row>
        <row r="3654">
          <cell r="A3654">
            <v>31102192</v>
          </cell>
          <cell r="C3654">
            <v>31102192</v>
          </cell>
          <cell r="D3654">
            <v>31102192</v>
          </cell>
          <cell r="E3654">
            <v>31102192</v>
          </cell>
          <cell r="F3654">
            <v>31102192</v>
          </cell>
          <cell r="G3654">
            <v>31102192</v>
          </cell>
          <cell r="H3654">
            <v>31102192</v>
          </cell>
          <cell r="I3654" t="str">
            <v/>
          </cell>
          <cell r="J3654" t="str">
            <v/>
          </cell>
          <cell r="K3654" t="str">
            <v/>
          </cell>
          <cell r="L3654" t="str">
            <v/>
          </cell>
          <cell r="M3654" t="str">
            <v/>
          </cell>
        </row>
        <row r="3655">
          <cell r="A3655">
            <v>31102192</v>
          </cell>
          <cell r="C3655">
            <v>31102192</v>
          </cell>
          <cell r="D3655">
            <v>31102192</v>
          </cell>
          <cell r="E3655">
            <v>31102192</v>
          </cell>
          <cell r="F3655">
            <v>31102192</v>
          </cell>
          <cell r="G3655">
            <v>31102192</v>
          </cell>
          <cell r="H3655">
            <v>31102192</v>
          </cell>
          <cell r="I3655" t="str">
            <v/>
          </cell>
          <cell r="J3655" t="str">
            <v/>
          </cell>
          <cell r="K3655" t="str">
            <v/>
          </cell>
          <cell r="L3655" t="str">
            <v/>
          </cell>
          <cell r="M3655" t="str">
            <v/>
          </cell>
        </row>
        <row r="3656">
          <cell r="A3656">
            <v>31102192</v>
          </cell>
          <cell r="C3656">
            <v>31102192</v>
          </cell>
          <cell r="D3656">
            <v>31102192</v>
          </cell>
          <cell r="E3656">
            <v>31102192</v>
          </cell>
          <cell r="F3656">
            <v>31102192</v>
          </cell>
          <cell r="G3656">
            <v>31102192</v>
          </cell>
          <cell r="H3656">
            <v>31102192</v>
          </cell>
          <cell r="I3656" t="str">
            <v/>
          </cell>
          <cell r="J3656" t="str">
            <v/>
          </cell>
          <cell r="K3656" t="str">
            <v/>
          </cell>
          <cell r="L3656" t="str">
            <v/>
          </cell>
          <cell r="M3656" t="str">
            <v/>
          </cell>
        </row>
        <row r="3657">
          <cell r="A3657">
            <v>31102192</v>
          </cell>
          <cell r="C3657">
            <v>31102192</v>
          </cell>
          <cell r="D3657">
            <v>31102192</v>
          </cell>
          <cell r="E3657">
            <v>31102192</v>
          </cell>
          <cell r="F3657">
            <v>31102192</v>
          </cell>
          <cell r="G3657">
            <v>31102192</v>
          </cell>
          <cell r="H3657">
            <v>31102192</v>
          </cell>
          <cell r="I3657" t="str">
            <v/>
          </cell>
          <cell r="J3657" t="str">
            <v/>
          </cell>
          <cell r="K3657" t="str">
            <v/>
          </cell>
          <cell r="L3657" t="str">
            <v/>
          </cell>
          <cell r="M3657" t="str">
            <v/>
          </cell>
        </row>
        <row r="3658">
          <cell r="A3658">
            <v>31102192</v>
          </cell>
          <cell r="C3658">
            <v>31102192</v>
          </cell>
          <cell r="D3658">
            <v>31102192</v>
          </cell>
          <cell r="E3658">
            <v>31102192</v>
          </cell>
          <cell r="F3658">
            <v>31102192</v>
          </cell>
          <cell r="G3658">
            <v>31102192</v>
          </cell>
          <cell r="H3658">
            <v>31102192</v>
          </cell>
          <cell r="I3658" t="str">
            <v/>
          </cell>
          <cell r="J3658" t="str">
            <v/>
          </cell>
          <cell r="K3658" t="str">
            <v/>
          </cell>
          <cell r="L3658" t="str">
            <v/>
          </cell>
          <cell r="M3658" t="str">
            <v/>
          </cell>
        </row>
        <row r="3659">
          <cell r="A3659">
            <v>31102192</v>
          </cell>
          <cell r="C3659">
            <v>31102192</v>
          </cell>
          <cell r="D3659">
            <v>31102192</v>
          </cell>
          <cell r="E3659">
            <v>31102192</v>
          </cell>
          <cell r="F3659">
            <v>31102192</v>
          </cell>
          <cell r="G3659">
            <v>31102192</v>
          </cell>
          <cell r="H3659">
            <v>31102192</v>
          </cell>
          <cell r="I3659" t="str">
            <v/>
          </cell>
          <cell r="J3659" t="str">
            <v/>
          </cell>
          <cell r="K3659" t="str">
            <v/>
          </cell>
          <cell r="L3659" t="str">
            <v/>
          </cell>
          <cell r="M3659" t="str">
            <v/>
          </cell>
        </row>
        <row r="3660">
          <cell r="A3660">
            <v>31102192</v>
          </cell>
          <cell r="C3660">
            <v>31102192</v>
          </cell>
          <cell r="D3660">
            <v>31102192</v>
          </cell>
          <cell r="E3660">
            <v>31102192</v>
          </cell>
          <cell r="F3660">
            <v>31102192</v>
          </cell>
          <cell r="G3660">
            <v>31102192</v>
          </cell>
          <cell r="H3660">
            <v>31102192</v>
          </cell>
          <cell r="I3660" t="str">
            <v/>
          </cell>
          <cell r="J3660" t="str">
            <v/>
          </cell>
          <cell r="K3660" t="str">
            <v/>
          </cell>
          <cell r="L3660" t="str">
            <v/>
          </cell>
          <cell r="M3660" t="str">
            <v/>
          </cell>
        </row>
        <row r="3661">
          <cell r="A3661">
            <v>31102192</v>
          </cell>
          <cell r="C3661">
            <v>31102192</v>
          </cell>
          <cell r="D3661">
            <v>31102192</v>
          </cell>
          <cell r="E3661">
            <v>31102192</v>
          </cell>
          <cell r="F3661">
            <v>31102192</v>
          </cell>
          <cell r="G3661">
            <v>31102192</v>
          </cell>
          <cell r="H3661">
            <v>31102192</v>
          </cell>
          <cell r="I3661" t="str">
            <v/>
          </cell>
          <cell r="J3661" t="str">
            <v/>
          </cell>
          <cell r="K3661" t="str">
            <v/>
          </cell>
          <cell r="L3661" t="str">
            <v/>
          </cell>
          <cell r="M3661" t="str">
            <v/>
          </cell>
        </row>
        <row r="3662">
          <cell r="A3662">
            <v>31102192</v>
          </cell>
          <cell r="C3662">
            <v>31102192</v>
          </cell>
          <cell r="D3662">
            <v>31102192</v>
          </cell>
          <cell r="E3662">
            <v>31102192</v>
          </cell>
          <cell r="F3662">
            <v>31102192</v>
          </cell>
          <cell r="G3662">
            <v>31102192</v>
          </cell>
          <cell r="H3662">
            <v>31102192</v>
          </cell>
          <cell r="I3662" t="str">
            <v/>
          </cell>
          <cell r="J3662" t="str">
            <v/>
          </cell>
          <cell r="K3662" t="str">
            <v/>
          </cell>
          <cell r="L3662" t="str">
            <v/>
          </cell>
          <cell r="M3662" t="str">
            <v/>
          </cell>
        </row>
        <row r="3663">
          <cell r="A3663">
            <v>31102192</v>
          </cell>
          <cell r="C3663">
            <v>31102192</v>
          </cell>
          <cell r="D3663">
            <v>31102192</v>
          </cell>
          <cell r="E3663">
            <v>31102192</v>
          </cell>
          <cell r="F3663">
            <v>31102192</v>
          </cell>
          <cell r="G3663">
            <v>31102192</v>
          </cell>
          <cell r="H3663">
            <v>31102192</v>
          </cell>
          <cell r="I3663" t="str">
            <v/>
          </cell>
          <cell r="J3663" t="str">
            <v/>
          </cell>
          <cell r="K3663" t="str">
            <v/>
          </cell>
          <cell r="L3663" t="str">
            <v/>
          </cell>
          <cell r="M3663" t="str">
            <v/>
          </cell>
        </row>
        <row r="3664">
          <cell r="A3664">
            <v>31102192</v>
          </cell>
          <cell r="C3664">
            <v>31102192</v>
          </cell>
          <cell r="D3664">
            <v>31102192</v>
          </cell>
          <cell r="E3664">
            <v>31102192</v>
          </cell>
          <cell r="F3664">
            <v>31102192</v>
          </cell>
          <cell r="G3664">
            <v>31102192</v>
          </cell>
          <cell r="H3664">
            <v>31102192</v>
          </cell>
          <cell r="I3664" t="str">
            <v/>
          </cell>
          <cell r="J3664" t="str">
            <v/>
          </cell>
          <cell r="K3664" t="str">
            <v/>
          </cell>
          <cell r="L3664" t="str">
            <v/>
          </cell>
          <cell r="M3664" t="str">
            <v/>
          </cell>
        </row>
        <row r="3665">
          <cell r="A3665">
            <v>31102192</v>
          </cell>
          <cell r="C3665">
            <v>31102192</v>
          </cell>
          <cell r="D3665">
            <v>31102192</v>
          </cell>
          <cell r="E3665">
            <v>31102192</v>
          </cell>
          <cell r="F3665">
            <v>31102192</v>
          </cell>
          <cell r="G3665">
            <v>31102192</v>
          </cell>
          <cell r="H3665">
            <v>31102192</v>
          </cell>
          <cell r="I3665" t="str">
            <v/>
          </cell>
          <cell r="J3665" t="str">
            <v/>
          </cell>
          <cell r="K3665" t="str">
            <v/>
          </cell>
          <cell r="L3665" t="str">
            <v/>
          </cell>
          <cell r="M3665" t="str">
            <v/>
          </cell>
        </row>
        <row r="3666">
          <cell r="A3666">
            <v>31102192</v>
          </cell>
          <cell r="C3666">
            <v>31102192</v>
          </cell>
          <cell r="D3666">
            <v>31102192</v>
          </cell>
          <cell r="E3666">
            <v>31102192</v>
          </cell>
          <cell r="F3666">
            <v>31102192</v>
          </cell>
          <cell r="G3666">
            <v>31102192</v>
          </cell>
          <cell r="H3666">
            <v>31102192</v>
          </cell>
          <cell r="I3666" t="str">
            <v/>
          </cell>
          <cell r="J3666" t="str">
            <v/>
          </cell>
          <cell r="K3666" t="str">
            <v/>
          </cell>
          <cell r="L3666" t="str">
            <v/>
          </cell>
          <cell r="M3666" t="str">
            <v/>
          </cell>
        </row>
        <row r="3667">
          <cell r="A3667">
            <v>31102192</v>
          </cell>
          <cell r="C3667">
            <v>31102192</v>
          </cell>
          <cell r="D3667">
            <v>31102192</v>
          </cell>
          <cell r="E3667">
            <v>31102192</v>
          </cell>
          <cell r="F3667">
            <v>31102192</v>
          </cell>
          <cell r="G3667">
            <v>31102192</v>
          </cell>
          <cell r="H3667">
            <v>31102192</v>
          </cell>
          <cell r="I3667" t="str">
            <v/>
          </cell>
          <cell r="J3667" t="str">
            <v/>
          </cell>
          <cell r="K3667" t="str">
            <v/>
          </cell>
          <cell r="L3667" t="str">
            <v/>
          </cell>
          <cell r="M3667" t="str">
            <v/>
          </cell>
        </row>
        <row r="3668">
          <cell r="A3668">
            <v>31102192</v>
          </cell>
          <cell r="C3668">
            <v>31102192</v>
          </cell>
          <cell r="D3668">
            <v>31102192</v>
          </cell>
          <cell r="E3668">
            <v>31102192</v>
          </cell>
          <cell r="F3668">
            <v>31102192</v>
          </cell>
          <cell r="G3668">
            <v>31102192</v>
          </cell>
          <cell r="H3668">
            <v>31102192</v>
          </cell>
          <cell r="I3668" t="str">
            <v/>
          </cell>
          <cell r="J3668" t="str">
            <v/>
          </cell>
          <cell r="K3668" t="str">
            <v/>
          </cell>
          <cell r="L3668" t="str">
            <v/>
          </cell>
          <cell r="M3668" t="str">
            <v/>
          </cell>
        </row>
        <row r="3669">
          <cell r="A3669">
            <v>31102192</v>
          </cell>
          <cell r="C3669">
            <v>31102192</v>
          </cell>
          <cell r="D3669">
            <v>31102192</v>
          </cell>
          <cell r="E3669">
            <v>31102192</v>
          </cell>
          <cell r="F3669">
            <v>31102192</v>
          </cell>
          <cell r="G3669">
            <v>31102192</v>
          </cell>
          <cell r="H3669">
            <v>31102192</v>
          </cell>
          <cell r="I3669" t="str">
            <v/>
          </cell>
          <cell r="J3669" t="str">
            <v/>
          </cell>
          <cell r="K3669" t="str">
            <v/>
          </cell>
          <cell r="L3669" t="str">
            <v/>
          </cell>
          <cell r="M3669" t="str">
            <v/>
          </cell>
        </row>
        <row r="3670">
          <cell r="A3670">
            <v>31102192</v>
          </cell>
          <cell r="C3670">
            <v>31102192</v>
          </cell>
          <cell r="D3670">
            <v>31102192</v>
          </cell>
          <cell r="E3670">
            <v>31102192</v>
          </cell>
          <cell r="F3670">
            <v>31102192</v>
          </cell>
          <cell r="G3670">
            <v>31102192</v>
          </cell>
          <cell r="H3670">
            <v>31102192</v>
          </cell>
          <cell r="I3670" t="str">
            <v/>
          </cell>
          <cell r="J3670" t="str">
            <v/>
          </cell>
          <cell r="K3670" t="str">
            <v/>
          </cell>
          <cell r="L3670" t="str">
            <v/>
          </cell>
          <cell r="M3670" t="str">
            <v/>
          </cell>
        </row>
        <row r="3671">
          <cell r="A3671">
            <v>31102192</v>
          </cell>
          <cell r="C3671">
            <v>31102192</v>
          </cell>
          <cell r="D3671">
            <v>31102192</v>
          </cell>
          <cell r="E3671">
            <v>31102192</v>
          </cell>
          <cell r="F3671">
            <v>31102192</v>
          </cell>
          <cell r="G3671">
            <v>31102192</v>
          </cell>
          <cell r="H3671">
            <v>31102192</v>
          </cell>
          <cell r="I3671" t="str">
            <v/>
          </cell>
          <cell r="J3671" t="str">
            <v/>
          </cell>
          <cell r="K3671" t="str">
            <v/>
          </cell>
          <cell r="L3671" t="str">
            <v/>
          </cell>
          <cell r="M3671" t="str">
            <v/>
          </cell>
        </row>
        <row r="3672">
          <cell r="A3672">
            <v>31102192</v>
          </cell>
          <cell r="C3672">
            <v>31102192</v>
          </cell>
          <cell r="D3672">
            <v>31102192</v>
          </cell>
          <cell r="E3672">
            <v>31102192</v>
          </cell>
          <cell r="F3672">
            <v>31102192</v>
          </cell>
          <cell r="G3672">
            <v>31102192</v>
          </cell>
          <cell r="H3672">
            <v>31102192</v>
          </cell>
          <cell r="I3672" t="str">
            <v/>
          </cell>
          <cell r="J3672" t="str">
            <v/>
          </cell>
          <cell r="K3672" t="str">
            <v/>
          </cell>
          <cell r="L3672" t="str">
            <v/>
          </cell>
          <cell r="M3672" t="str">
            <v/>
          </cell>
        </row>
        <row r="3673">
          <cell r="A3673">
            <v>31102192</v>
          </cell>
          <cell r="C3673">
            <v>31102192</v>
          </cell>
          <cell r="D3673">
            <v>31102192</v>
          </cell>
          <cell r="E3673">
            <v>31102192</v>
          </cell>
          <cell r="F3673">
            <v>31102192</v>
          </cell>
          <cell r="G3673">
            <v>31102192</v>
          </cell>
          <cell r="H3673">
            <v>31102192</v>
          </cell>
          <cell r="I3673" t="str">
            <v/>
          </cell>
          <cell r="J3673" t="str">
            <v/>
          </cell>
          <cell r="K3673" t="str">
            <v/>
          </cell>
          <cell r="L3673" t="str">
            <v/>
          </cell>
          <cell r="M3673" t="str">
            <v/>
          </cell>
        </row>
        <row r="3674">
          <cell r="A3674">
            <v>31102192</v>
          </cell>
          <cell r="C3674">
            <v>31102192</v>
          </cell>
          <cell r="D3674">
            <v>31102192</v>
          </cell>
          <cell r="E3674">
            <v>31102192</v>
          </cell>
          <cell r="F3674">
            <v>31102192</v>
          </cell>
          <cell r="G3674">
            <v>31102192</v>
          </cell>
          <cell r="H3674">
            <v>31102192</v>
          </cell>
          <cell r="I3674" t="str">
            <v/>
          </cell>
          <cell r="J3674" t="str">
            <v/>
          </cell>
          <cell r="K3674" t="str">
            <v/>
          </cell>
          <cell r="L3674" t="str">
            <v/>
          </cell>
          <cell r="M3674" t="str">
            <v/>
          </cell>
        </row>
        <row r="3675">
          <cell r="A3675">
            <v>31102192</v>
          </cell>
          <cell r="C3675">
            <v>31102192</v>
          </cell>
          <cell r="D3675">
            <v>31102192</v>
          </cell>
          <cell r="E3675">
            <v>31102192</v>
          </cell>
          <cell r="F3675">
            <v>31102192</v>
          </cell>
          <cell r="G3675">
            <v>31102192</v>
          </cell>
          <cell r="H3675">
            <v>31102192</v>
          </cell>
          <cell r="I3675" t="str">
            <v/>
          </cell>
          <cell r="J3675" t="str">
            <v/>
          </cell>
          <cell r="K3675" t="str">
            <v/>
          </cell>
          <cell r="L3675" t="str">
            <v/>
          </cell>
          <cell r="M3675" t="str">
            <v/>
          </cell>
        </row>
        <row r="3676">
          <cell r="A3676">
            <v>31102192</v>
          </cell>
          <cell r="C3676">
            <v>31102192</v>
          </cell>
          <cell r="D3676">
            <v>31102192</v>
          </cell>
          <cell r="E3676">
            <v>31102192</v>
          </cell>
          <cell r="F3676">
            <v>31102192</v>
          </cell>
          <cell r="G3676">
            <v>31102192</v>
          </cell>
          <cell r="H3676">
            <v>31102192</v>
          </cell>
          <cell r="I3676" t="str">
            <v/>
          </cell>
          <cell r="J3676" t="str">
            <v/>
          </cell>
          <cell r="K3676" t="str">
            <v/>
          </cell>
          <cell r="L3676" t="str">
            <v/>
          </cell>
          <cell r="M3676" t="str">
            <v/>
          </cell>
        </row>
        <row r="3677">
          <cell r="A3677">
            <v>31102192</v>
          </cell>
          <cell r="C3677">
            <v>31102192</v>
          </cell>
          <cell r="D3677">
            <v>31102192</v>
          </cell>
          <cell r="E3677">
            <v>31102192</v>
          </cell>
          <cell r="F3677">
            <v>31102192</v>
          </cell>
          <cell r="G3677">
            <v>31102192</v>
          </cell>
          <cell r="H3677">
            <v>31102192</v>
          </cell>
          <cell r="I3677" t="str">
            <v/>
          </cell>
          <cell r="J3677" t="str">
            <v/>
          </cell>
          <cell r="K3677" t="str">
            <v/>
          </cell>
          <cell r="L3677" t="str">
            <v/>
          </cell>
          <cell r="M3677" t="str">
            <v/>
          </cell>
        </row>
        <row r="3678">
          <cell r="A3678">
            <v>31102192</v>
          </cell>
          <cell r="C3678">
            <v>31102192</v>
          </cell>
          <cell r="D3678">
            <v>31102192</v>
          </cell>
          <cell r="E3678">
            <v>31102192</v>
          </cell>
          <cell r="F3678">
            <v>31102192</v>
          </cell>
          <cell r="G3678">
            <v>31102192</v>
          </cell>
          <cell r="H3678">
            <v>31102192</v>
          </cell>
          <cell r="I3678" t="str">
            <v/>
          </cell>
          <cell r="J3678" t="str">
            <v/>
          </cell>
          <cell r="K3678" t="str">
            <v/>
          </cell>
          <cell r="L3678" t="str">
            <v/>
          </cell>
          <cell r="M3678" t="str">
            <v/>
          </cell>
        </row>
        <row r="3679">
          <cell r="A3679">
            <v>31102192</v>
          </cell>
          <cell r="C3679">
            <v>31102192</v>
          </cell>
          <cell r="D3679">
            <v>31102192</v>
          </cell>
          <cell r="E3679">
            <v>31102192</v>
          </cell>
          <cell r="F3679">
            <v>31102192</v>
          </cell>
          <cell r="G3679">
            <v>31102192</v>
          </cell>
          <cell r="H3679">
            <v>31102192</v>
          </cell>
          <cell r="I3679" t="str">
            <v/>
          </cell>
          <cell r="J3679" t="str">
            <v/>
          </cell>
          <cell r="K3679" t="str">
            <v/>
          </cell>
          <cell r="L3679" t="str">
            <v/>
          </cell>
          <cell r="M3679" t="str">
            <v/>
          </cell>
        </row>
        <row r="3680">
          <cell r="A3680">
            <v>31102192</v>
          </cell>
          <cell r="C3680">
            <v>31102192</v>
          </cell>
          <cell r="D3680">
            <v>31102192</v>
          </cell>
          <cell r="E3680">
            <v>31102192</v>
          </cell>
          <cell r="F3680">
            <v>31102192</v>
          </cell>
          <cell r="G3680">
            <v>31102192</v>
          </cell>
          <cell r="H3680">
            <v>31102192</v>
          </cell>
          <cell r="I3680" t="str">
            <v/>
          </cell>
          <cell r="J3680" t="str">
            <v/>
          </cell>
          <cell r="K3680" t="str">
            <v/>
          </cell>
          <cell r="L3680" t="str">
            <v/>
          </cell>
          <cell r="M3680" t="str">
            <v/>
          </cell>
        </row>
        <row r="3681">
          <cell r="A3681">
            <v>31102192</v>
          </cell>
          <cell r="C3681">
            <v>31102192</v>
          </cell>
          <cell r="D3681">
            <v>31102192</v>
          </cell>
          <cell r="E3681">
            <v>31102192</v>
          </cell>
          <cell r="F3681">
            <v>31102192</v>
          </cell>
          <cell r="G3681">
            <v>31102192</v>
          </cell>
          <cell r="H3681">
            <v>31102192</v>
          </cell>
          <cell r="I3681" t="str">
            <v/>
          </cell>
          <cell r="J3681" t="str">
            <v/>
          </cell>
          <cell r="K3681" t="str">
            <v/>
          </cell>
          <cell r="L3681" t="str">
            <v/>
          </cell>
          <cell r="M3681" t="str">
            <v/>
          </cell>
        </row>
        <row r="3682">
          <cell r="A3682">
            <v>31102192</v>
          </cell>
          <cell r="C3682">
            <v>31102192</v>
          </cell>
          <cell r="D3682">
            <v>31102192</v>
          </cell>
          <cell r="E3682">
            <v>31102192</v>
          </cell>
          <cell r="F3682">
            <v>31102192</v>
          </cell>
          <cell r="G3682">
            <v>31102192</v>
          </cell>
          <cell r="H3682">
            <v>31102192</v>
          </cell>
          <cell r="I3682" t="str">
            <v/>
          </cell>
          <cell r="J3682" t="str">
            <v/>
          </cell>
          <cell r="K3682" t="str">
            <v/>
          </cell>
          <cell r="L3682" t="str">
            <v/>
          </cell>
          <cell r="M3682" t="str">
            <v/>
          </cell>
        </row>
        <row r="3683">
          <cell r="A3683">
            <v>31102192</v>
          </cell>
          <cell r="C3683">
            <v>31102192</v>
          </cell>
          <cell r="D3683">
            <v>31102192</v>
          </cell>
          <cell r="E3683">
            <v>31102192</v>
          </cell>
          <cell r="F3683">
            <v>31102192</v>
          </cell>
          <cell r="G3683">
            <v>31102192</v>
          </cell>
          <cell r="H3683">
            <v>31102192</v>
          </cell>
          <cell r="I3683" t="str">
            <v/>
          </cell>
          <cell r="J3683" t="str">
            <v/>
          </cell>
          <cell r="K3683" t="str">
            <v/>
          </cell>
          <cell r="L3683" t="str">
            <v/>
          </cell>
          <cell r="M3683" t="str">
            <v/>
          </cell>
        </row>
        <row r="3684">
          <cell r="A3684">
            <v>31102192</v>
          </cell>
          <cell r="C3684">
            <v>31102192</v>
          </cell>
          <cell r="D3684">
            <v>31102192</v>
          </cell>
          <cell r="E3684">
            <v>31102192</v>
          </cell>
          <cell r="F3684">
            <v>31102192</v>
          </cell>
          <cell r="G3684">
            <v>31102192</v>
          </cell>
          <cell r="H3684">
            <v>31102192</v>
          </cell>
          <cell r="I3684" t="str">
            <v/>
          </cell>
          <cell r="J3684" t="str">
            <v/>
          </cell>
          <cell r="K3684" t="str">
            <v/>
          </cell>
          <cell r="L3684" t="str">
            <v/>
          </cell>
          <cell r="M3684" t="str">
            <v/>
          </cell>
        </row>
        <row r="3685">
          <cell r="A3685">
            <v>31102192</v>
          </cell>
          <cell r="C3685">
            <v>31102192</v>
          </cell>
          <cell r="D3685">
            <v>31102192</v>
          </cell>
          <cell r="E3685">
            <v>31102192</v>
          </cell>
          <cell r="F3685">
            <v>31102192</v>
          </cell>
          <cell r="G3685">
            <v>31102192</v>
          </cell>
          <cell r="H3685">
            <v>31102192</v>
          </cell>
          <cell r="I3685" t="str">
            <v/>
          </cell>
          <cell r="J3685" t="str">
            <v/>
          </cell>
          <cell r="K3685" t="str">
            <v/>
          </cell>
          <cell r="L3685" t="str">
            <v/>
          </cell>
          <cell r="M3685" t="str">
            <v/>
          </cell>
        </row>
        <row r="3686">
          <cell r="A3686">
            <v>31102192</v>
          </cell>
          <cell r="C3686">
            <v>31102192</v>
          </cell>
          <cell r="D3686">
            <v>31102192</v>
          </cell>
          <cell r="E3686">
            <v>31102192</v>
          </cell>
          <cell r="F3686">
            <v>31102192</v>
          </cell>
          <cell r="G3686">
            <v>31102192</v>
          </cell>
          <cell r="H3686">
            <v>31102192</v>
          </cell>
          <cell r="I3686" t="str">
            <v/>
          </cell>
          <cell r="J3686" t="str">
            <v/>
          </cell>
          <cell r="K3686" t="str">
            <v/>
          </cell>
          <cell r="L3686" t="str">
            <v/>
          </cell>
          <cell r="M3686" t="str">
            <v/>
          </cell>
        </row>
        <row r="3687">
          <cell r="A3687">
            <v>31102192</v>
          </cell>
          <cell r="C3687">
            <v>31102192</v>
          </cell>
          <cell r="D3687">
            <v>31102192</v>
          </cell>
          <cell r="E3687">
            <v>31102192</v>
          </cell>
          <cell r="F3687">
            <v>31102192</v>
          </cell>
          <cell r="G3687">
            <v>31102192</v>
          </cell>
          <cell r="H3687">
            <v>31102192</v>
          </cell>
          <cell r="I3687" t="str">
            <v/>
          </cell>
          <cell r="J3687" t="str">
            <v/>
          </cell>
          <cell r="K3687" t="str">
            <v/>
          </cell>
          <cell r="L3687" t="str">
            <v/>
          </cell>
          <cell r="M3687" t="str">
            <v/>
          </cell>
        </row>
        <row r="3688">
          <cell r="A3688">
            <v>31102192</v>
          </cell>
          <cell r="C3688">
            <v>31102192</v>
          </cell>
          <cell r="D3688">
            <v>31102192</v>
          </cell>
          <cell r="E3688">
            <v>31102192</v>
          </cell>
          <cell r="F3688">
            <v>31102192</v>
          </cell>
          <cell r="G3688">
            <v>31102192</v>
          </cell>
          <cell r="H3688">
            <v>31102192</v>
          </cell>
          <cell r="I3688" t="str">
            <v/>
          </cell>
          <cell r="J3688" t="str">
            <v/>
          </cell>
          <cell r="K3688" t="str">
            <v/>
          </cell>
          <cell r="L3688" t="str">
            <v/>
          </cell>
          <cell r="M3688" t="str">
            <v/>
          </cell>
        </row>
        <row r="3689">
          <cell r="A3689">
            <v>31102192</v>
          </cell>
          <cell r="C3689">
            <v>31102192</v>
          </cell>
          <cell r="D3689">
            <v>31102192</v>
          </cell>
          <cell r="E3689">
            <v>31102192</v>
          </cell>
          <cell r="F3689">
            <v>31102192</v>
          </cell>
          <cell r="G3689">
            <v>31102192</v>
          </cell>
          <cell r="H3689">
            <v>31102192</v>
          </cell>
          <cell r="I3689" t="str">
            <v/>
          </cell>
          <cell r="J3689" t="str">
            <v/>
          </cell>
          <cell r="K3689" t="str">
            <v/>
          </cell>
          <cell r="L3689" t="str">
            <v/>
          </cell>
          <cell r="M3689" t="str">
            <v/>
          </cell>
        </row>
        <row r="3690">
          <cell r="A3690">
            <v>31102192</v>
          </cell>
          <cell r="C3690">
            <v>31102192</v>
          </cell>
          <cell r="D3690">
            <v>31102192</v>
          </cell>
          <cell r="E3690">
            <v>31102192</v>
          </cell>
          <cell r="F3690">
            <v>31102192</v>
          </cell>
          <cell r="G3690">
            <v>31102192</v>
          </cell>
          <cell r="H3690">
            <v>31102192</v>
          </cell>
          <cell r="I3690" t="str">
            <v/>
          </cell>
          <cell r="J3690" t="str">
            <v/>
          </cell>
          <cell r="K3690" t="str">
            <v/>
          </cell>
          <cell r="L3690" t="str">
            <v/>
          </cell>
          <cell r="M3690" t="str">
            <v/>
          </cell>
        </row>
        <row r="3691">
          <cell r="A3691">
            <v>31102192</v>
          </cell>
          <cell r="C3691">
            <v>31102192</v>
          </cell>
          <cell r="D3691">
            <v>31102192</v>
          </cell>
          <cell r="E3691">
            <v>31102192</v>
          </cell>
          <cell r="F3691">
            <v>31102192</v>
          </cell>
          <cell r="G3691">
            <v>31102192</v>
          </cell>
          <cell r="H3691">
            <v>31102192</v>
          </cell>
          <cell r="I3691" t="str">
            <v/>
          </cell>
          <cell r="J3691" t="str">
            <v/>
          </cell>
          <cell r="K3691" t="str">
            <v/>
          </cell>
          <cell r="L3691" t="str">
            <v/>
          </cell>
          <cell r="M3691" t="str">
            <v/>
          </cell>
        </row>
        <row r="3692">
          <cell r="A3692">
            <v>31102192</v>
          </cell>
          <cell r="C3692">
            <v>31102192</v>
          </cell>
          <cell r="D3692">
            <v>31102192</v>
          </cell>
          <cell r="E3692">
            <v>31102192</v>
          </cell>
          <cell r="F3692">
            <v>31102192</v>
          </cell>
          <cell r="G3692">
            <v>31102192</v>
          </cell>
          <cell r="H3692">
            <v>31102192</v>
          </cell>
          <cell r="I3692" t="str">
            <v/>
          </cell>
          <cell r="J3692" t="str">
            <v/>
          </cell>
          <cell r="K3692" t="str">
            <v/>
          </cell>
          <cell r="L3692" t="str">
            <v/>
          </cell>
          <cell r="M3692" t="str">
            <v/>
          </cell>
        </row>
        <row r="3693">
          <cell r="A3693">
            <v>31102192</v>
          </cell>
          <cell r="C3693">
            <v>31102192</v>
          </cell>
          <cell r="D3693">
            <v>31102192</v>
          </cell>
          <cell r="E3693">
            <v>31102192</v>
          </cell>
          <cell r="F3693">
            <v>31102192</v>
          </cell>
          <cell r="G3693">
            <v>31102192</v>
          </cell>
          <cell r="H3693">
            <v>31102192</v>
          </cell>
          <cell r="I3693" t="str">
            <v/>
          </cell>
          <cell r="J3693" t="str">
            <v/>
          </cell>
          <cell r="K3693" t="str">
            <v/>
          </cell>
          <cell r="L3693" t="str">
            <v/>
          </cell>
          <cell r="M3693" t="str">
            <v/>
          </cell>
        </row>
        <row r="3694">
          <cell r="A3694">
            <v>31102192</v>
          </cell>
          <cell r="C3694">
            <v>31102192</v>
          </cell>
          <cell r="D3694">
            <v>31102192</v>
          </cell>
          <cell r="E3694">
            <v>31102192</v>
          </cell>
          <cell r="F3694">
            <v>31102192</v>
          </cell>
          <cell r="G3694">
            <v>31102192</v>
          </cell>
          <cell r="H3694">
            <v>31102192</v>
          </cell>
          <cell r="I3694" t="str">
            <v/>
          </cell>
          <cell r="J3694" t="str">
            <v/>
          </cell>
          <cell r="K3694" t="str">
            <v/>
          </cell>
          <cell r="L3694" t="str">
            <v/>
          </cell>
          <cell r="M3694" t="str">
            <v/>
          </cell>
        </row>
        <row r="3695">
          <cell r="A3695">
            <v>31102192</v>
          </cell>
          <cell r="C3695">
            <v>31102192</v>
          </cell>
          <cell r="D3695">
            <v>31102192</v>
          </cell>
          <cell r="E3695">
            <v>31102192</v>
          </cell>
          <cell r="F3695">
            <v>31102192</v>
          </cell>
          <cell r="G3695">
            <v>31102192</v>
          </cell>
          <cell r="H3695">
            <v>31102192</v>
          </cell>
          <cell r="I3695" t="str">
            <v/>
          </cell>
          <cell r="J3695" t="str">
            <v/>
          </cell>
          <cell r="K3695" t="str">
            <v/>
          </cell>
          <cell r="L3695" t="str">
            <v/>
          </cell>
          <cell r="M3695" t="str">
            <v/>
          </cell>
        </row>
        <row r="3696">
          <cell r="A3696">
            <v>31102192</v>
          </cell>
          <cell r="C3696">
            <v>31102192</v>
          </cell>
          <cell r="D3696">
            <v>31102192</v>
          </cell>
          <cell r="E3696">
            <v>31102192</v>
          </cell>
          <cell r="F3696">
            <v>31102192</v>
          </cell>
          <cell r="G3696">
            <v>31102192</v>
          </cell>
          <cell r="H3696">
            <v>31102192</v>
          </cell>
          <cell r="I3696" t="str">
            <v/>
          </cell>
          <cell r="J3696" t="str">
            <v/>
          </cell>
          <cell r="K3696" t="str">
            <v/>
          </cell>
          <cell r="L3696" t="str">
            <v/>
          </cell>
          <cell r="M3696" t="str">
            <v/>
          </cell>
        </row>
        <row r="3697">
          <cell r="A3697">
            <v>31102192</v>
          </cell>
          <cell r="C3697">
            <v>31102192</v>
          </cell>
          <cell r="D3697">
            <v>31102192</v>
          </cell>
          <cell r="E3697">
            <v>31102192</v>
          </cell>
          <cell r="F3697">
            <v>31102192</v>
          </cell>
          <cell r="G3697">
            <v>31102192</v>
          </cell>
          <cell r="H3697">
            <v>31102192</v>
          </cell>
          <cell r="I3697" t="str">
            <v/>
          </cell>
          <cell r="J3697" t="str">
            <v/>
          </cell>
          <cell r="K3697" t="str">
            <v/>
          </cell>
          <cell r="L3697" t="str">
            <v/>
          </cell>
          <cell r="M3697" t="str">
            <v/>
          </cell>
        </row>
        <row r="3698">
          <cell r="A3698">
            <v>31102192</v>
          </cell>
          <cell r="C3698">
            <v>31102192</v>
          </cell>
          <cell r="D3698">
            <v>31102192</v>
          </cell>
          <cell r="E3698">
            <v>31102192</v>
          </cell>
          <cell r="F3698">
            <v>31102192</v>
          </cell>
          <cell r="G3698">
            <v>31102192</v>
          </cell>
          <cell r="H3698">
            <v>31102192</v>
          </cell>
          <cell r="I3698" t="str">
            <v/>
          </cell>
          <cell r="J3698" t="str">
            <v/>
          </cell>
          <cell r="K3698" t="str">
            <v/>
          </cell>
          <cell r="L3698" t="str">
            <v/>
          </cell>
          <cell r="M3698" t="str">
            <v/>
          </cell>
        </row>
        <row r="3699">
          <cell r="A3699">
            <v>31102192</v>
          </cell>
          <cell r="C3699">
            <v>31102192</v>
          </cell>
          <cell r="D3699">
            <v>31102192</v>
          </cell>
          <cell r="E3699">
            <v>31102192</v>
          </cell>
          <cell r="F3699">
            <v>31102192</v>
          </cell>
          <cell r="G3699">
            <v>31102192</v>
          </cell>
          <cell r="H3699">
            <v>31102192</v>
          </cell>
          <cell r="I3699" t="str">
            <v/>
          </cell>
          <cell r="J3699" t="str">
            <v/>
          </cell>
          <cell r="K3699" t="str">
            <v/>
          </cell>
          <cell r="L3699" t="str">
            <v/>
          </cell>
          <cell r="M3699" t="str">
            <v/>
          </cell>
        </row>
        <row r="3700">
          <cell r="A3700">
            <v>31102192</v>
          </cell>
          <cell r="C3700">
            <v>31102192</v>
          </cell>
          <cell r="D3700">
            <v>31102192</v>
          </cell>
          <cell r="E3700">
            <v>31102192</v>
          </cell>
          <cell r="F3700">
            <v>31102192</v>
          </cell>
          <cell r="G3700">
            <v>31102192</v>
          </cell>
          <cell r="H3700">
            <v>31102192</v>
          </cell>
          <cell r="I3700" t="str">
            <v/>
          </cell>
          <cell r="J3700" t="str">
            <v/>
          </cell>
          <cell r="K3700" t="str">
            <v/>
          </cell>
          <cell r="L3700" t="str">
            <v/>
          </cell>
          <cell r="M3700" t="str">
            <v/>
          </cell>
        </row>
        <row r="3701">
          <cell r="A3701">
            <v>31102192</v>
          </cell>
          <cell r="C3701">
            <v>31102192</v>
          </cell>
          <cell r="D3701">
            <v>31102192</v>
          </cell>
          <cell r="E3701">
            <v>31102192</v>
          </cell>
          <cell r="F3701">
            <v>31102192</v>
          </cell>
          <cell r="G3701">
            <v>31102192</v>
          </cell>
          <cell r="H3701">
            <v>31102192</v>
          </cell>
          <cell r="I3701" t="str">
            <v/>
          </cell>
          <cell r="J3701" t="str">
            <v/>
          </cell>
          <cell r="K3701" t="str">
            <v/>
          </cell>
          <cell r="L3701" t="str">
            <v/>
          </cell>
          <cell r="M3701" t="str">
            <v/>
          </cell>
        </row>
        <row r="3702">
          <cell r="A3702">
            <v>31102192</v>
          </cell>
          <cell r="C3702">
            <v>31102192</v>
          </cell>
          <cell r="D3702">
            <v>31102192</v>
          </cell>
          <cell r="E3702">
            <v>31102192</v>
          </cell>
          <cell r="F3702">
            <v>31102192</v>
          </cell>
          <cell r="G3702">
            <v>31102192</v>
          </cell>
          <cell r="H3702">
            <v>31102192</v>
          </cell>
          <cell r="I3702" t="str">
            <v/>
          </cell>
          <cell r="J3702" t="str">
            <v/>
          </cell>
          <cell r="K3702" t="str">
            <v/>
          </cell>
          <cell r="L3702" t="str">
            <v/>
          </cell>
          <cell r="M3702" t="str">
            <v/>
          </cell>
        </row>
        <row r="3703">
          <cell r="A3703">
            <v>31102192</v>
          </cell>
          <cell r="C3703">
            <v>31102192</v>
          </cell>
          <cell r="D3703">
            <v>31102192</v>
          </cell>
          <cell r="E3703">
            <v>31102192</v>
          </cell>
          <cell r="F3703">
            <v>31102192</v>
          </cell>
          <cell r="G3703">
            <v>31102192</v>
          </cell>
          <cell r="H3703">
            <v>31102192</v>
          </cell>
          <cell r="I3703" t="str">
            <v/>
          </cell>
          <cell r="J3703" t="str">
            <v/>
          </cell>
          <cell r="K3703" t="str">
            <v/>
          </cell>
          <cell r="L3703" t="str">
            <v/>
          </cell>
          <cell r="M3703" t="str">
            <v/>
          </cell>
        </row>
        <row r="3704">
          <cell r="A3704">
            <v>31102192</v>
          </cell>
          <cell r="C3704">
            <v>31102192</v>
          </cell>
          <cell r="D3704">
            <v>31102192</v>
          </cell>
          <cell r="E3704">
            <v>31102192</v>
          </cell>
          <cell r="F3704">
            <v>31102192</v>
          </cell>
          <cell r="G3704">
            <v>31102192</v>
          </cell>
          <cell r="H3704">
            <v>31102192</v>
          </cell>
          <cell r="I3704" t="str">
            <v/>
          </cell>
          <cell r="J3704" t="str">
            <v/>
          </cell>
          <cell r="K3704" t="str">
            <v/>
          </cell>
          <cell r="L3704" t="str">
            <v/>
          </cell>
          <cell r="M3704" t="str">
            <v/>
          </cell>
        </row>
        <row r="3705">
          <cell r="A3705">
            <v>31102192</v>
          </cell>
          <cell r="C3705">
            <v>31102192</v>
          </cell>
          <cell r="D3705">
            <v>31102192</v>
          </cell>
          <cell r="E3705">
            <v>31102192</v>
          </cell>
          <cell r="F3705">
            <v>31102192</v>
          </cell>
          <cell r="G3705">
            <v>31102192</v>
          </cell>
          <cell r="H3705">
            <v>31102192</v>
          </cell>
          <cell r="I3705" t="str">
            <v/>
          </cell>
          <cell r="J3705" t="str">
            <v/>
          </cell>
          <cell r="K3705" t="str">
            <v/>
          </cell>
          <cell r="L3705" t="str">
            <v/>
          </cell>
          <cell r="M3705" t="str">
            <v/>
          </cell>
        </row>
        <row r="3706">
          <cell r="A3706">
            <v>31102192</v>
          </cell>
          <cell r="C3706">
            <v>31102192</v>
          </cell>
          <cell r="D3706">
            <v>31102192</v>
          </cell>
          <cell r="E3706">
            <v>31102192</v>
          </cell>
          <cell r="F3706">
            <v>31102192</v>
          </cell>
          <cell r="G3706">
            <v>31102192</v>
          </cell>
          <cell r="H3706">
            <v>31102192</v>
          </cell>
          <cell r="I3706" t="str">
            <v/>
          </cell>
          <cell r="J3706" t="str">
            <v/>
          </cell>
          <cell r="K3706" t="str">
            <v/>
          </cell>
          <cell r="L3706" t="str">
            <v/>
          </cell>
          <cell r="M3706" t="str">
            <v/>
          </cell>
        </row>
        <row r="3707">
          <cell r="A3707">
            <v>31102192</v>
          </cell>
          <cell r="C3707">
            <v>31102192</v>
          </cell>
          <cell r="D3707">
            <v>31102192</v>
          </cell>
          <cell r="E3707">
            <v>31102192</v>
          </cell>
          <cell r="F3707">
            <v>31102192</v>
          </cell>
          <cell r="G3707">
            <v>31102192</v>
          </cell>
          <cell r="H3707">
            <v>31102192</v>
          </cell>
          <cell r="I3707" t="str">
            <v/>
          </cell>
          <cell r="J3707" t="str">
            <v/>
          </cell>
          <cell r="K3707" t="str">
            <v/>
          </cell>
          <cell r="L3707" t="str">
            <v/>
          </cell>
          <cell r="M3707" t="str">
            <v/>
          </cell>
        </row>
        <row r="3708">
          <cell r="A3708">
            <v>31102192</v>
          </cell>
          <cell r="C3708">
            <v>31102192</v>
          </cell>
          <cell r="D3708">
            <v>31102192</v>
          </cell>
          <cell r="E3708">
            <v>31102192</v>
          </cell>
          <cell r="F3708">
            <v>31102192</v>
          </cell>
          <cell r="G3708">
            <v>31102192</v>
          </cell>
          <cell r="H3708">
            <v>31102192</v>
          </cell>
          <cell r="I3708" t="str">
            <v/>
          </cell>
          <cell r="J3708" t="str">
            <v/>
          </cell>
          <cell r="K3708" t="str">
            <v/>
          </cell>
          <cell r="L3708" t="str">
            <v/>
          </cell>
          <cell r="M3708" t="str">
            <v/>
          </cell>
        </row>
        <row r="3709">
          <cell r="A3709">
            <v>31102192</v>
          </cell>
          <cell r="C3709">
            <v>31102192</v>
          </cell>
          <cell r="D3709">
            <v>31102192</v>
          </cell>
          <cell r="E3709">
            <v>31102192</v>
          </cell>
          <cell r="F3709">
            <v>31102192</v>
          </cell>
          <cell r="G3709">
            <v>31102192</v>
          </cell>
          <cell r="H3709">
            <v>31102192</v>
          </cell>
          <cell r="I3709" t="str">
            <v/>
          </cell>
          <cell r="J3709" t="str">
            <v/>
          </cell>
          <cell r="K3709" t="str">
            <v/>
          </cell>
          <cell r="L3709" t="str">
            <v/>
          </cell>
          <cell r="M3709" t="str">
            <v/>
          </cell>
        </row>
        <row r="3710">
          <cell r="A3710">
            <v>31102192</v>
          </cell>
          <cell r="C3710">
            <v>31102192</v>
          </cell>
          <cell r="D3710">
            <v>31102192</v>
          </cell>
          <cell r="E3710">
            <v>31102192</v>
          </cell>
          <cell r="F3710">
            <v>31102192</v>
          </cell>
          <cell r="G3710">
            <v>31102192</v>
          </cell>
          <cell r="H3710">
            <v>31102192</v>
          </cell>
          <cell r="I3710" t="str">
            <v/>
          </cell>
          <cell r="J3710" t="str">
            <v/>
          </cell>
          <cell r="K3710" t="str">
            <v/>
          </cell>
          <cell r="L3710" t="str">
            <v/>
          </cell>
          <cell r="M3710" t="str">
            <v/>
          </cell>
        </row>
        <row r="3711">
          <cell r="A3711">
            <v>31102192</v>
          </cell>
          <cell r="C3711">
            <v>31102192</v>
          </cell>
          <cell r="D3711">
            <v>31102192</v>
          </cell>
          <cell r="E3711">
            <v>31102192</v>
          </cell>
          <cell r="F3711">
            <v>31102192</v>
          </cell>
          <cell r="G3711">
            <v>31102192</v>
          </cell>
          <cell r="H3711">
            <v>31102192</v>
          </cell>
          <cell r="I3711" t="str">
            <v/>
          </cell>
          <cell r="J3711" t="str">
            <v/>
          </cell>
          <cell r="K3711" t="str">
            <v/>
          </cell>
          <cell r="L3711" t="str">
            <v/>
          </cell>
          <cell r="M3711" t="str">
            <v/>
          </cell>
        </row>
        <row r="3712">
          <cell r="A3712">
            <v>31102192</v>
          </cell>
          <cell r="C3712">
            <v>31102192</v>
          </cell>
          <cell r="D3712">
            <v>31102192</v>
          </cell>
          <cell r="E3712">
            <v>31102192</v>
          </cell>
          <cell r="F3712">
            <v>31102192</v>
          </cell>
          <cell r="G3712">
            <v>31102192</v>
          </cell>
          <cell r="H3712">
            <v>31102192</v>
          </cell>
          <cell r="I3712" t="str">
            <v/>
          </cell>
          <cell r="J3712" t="str">
            <v/>
          </cell>
          <cell r="K3712" t="str">
            <v/>
          </cell>
          <cell r="L3712" t="str">
            <v/>
          </cell>
          <cell r="M3712" t="str">
            <v/>
          </cell>
        </row>
        <row r="3713">
          <cell r="A3713">
            <v>31102192</v>
          </cell>
          <cell r="C3713">
            <v>31102192</v>
          </cell>
          <cell r="D3713">
            <v>31102192</v>
          </cell>
          <cell r="E3713">
            <v>31102192</v>
          </cell>
          <cell r="F3713">
            <v>31102192</v>
          </cell>
          <cell r="G3713">
            <v>31102192</v>
          </cell>
          <cell r="H3713">
            <v>31102192</v>
          </cell>
          <cell r="I3713" t="str">
            <v/>
          </cell>
          <cell r="J3713" t="str">
            <v/>
          </cell>
          <cell r="K3713" t="str">
            <v/>
          </cell>
          <cell r="L3713" t="str">
            <v/>
          </cell>
          <cell r="M3713" t="str">
            <v/>
          </cell>
        </row>
        <row r="3714">
          <cell r="A3714">
            <v>31102192</v>
          </cell>
          <cell r="C3714">
            <v>31102192</v>
          </cell>
          <cell r="D3714">
            <v>31102192</v>
          </cell>
          <cell r="E3714">
            <v>31102192</v>
          </cell>
          <cell r="F3714">
            <v>31102192</v>
          </cell>
          <cell r="G3714">
            <v>31102192</v>
          </cell>
          <cell r="H3714">
            <v>31102192</v>
          </cell>
          <cell r="I3714" t="str">
            <v/>
          </cell>
          <cell r="J3714" t="str">
            <v/>
          </cell>
          <cell r="K3714" t="str">
            <v/>
          </cell>
          <cell r="L3714" t="str">
            <v/>
          </cell>
          <cell r="M3714" t="str">
            <v/>
          </cell>
        </row>
        <row r="3715">
          <cell r="A3715">
            <v>31102192</v>
          </cell>
          <cell r="C3715">
            <v>31102192</v>
          </cell>
          <cell r="D3715">
            <v>31102192</v>
          </cell>
          <cell r="E3715">
            <v>31102192</v>
          </cell>
          <cell r="F3715">
            <v>31102192</v>
          </cell>
          <cell r="G3715">
            <v>31102192</v>
          </cell>
          <cell r="H3715">
            <v>31102192</v>
          </cell>
          <cell r="I3715" t="str">
            <v/>
          </cell>
          <cell r="J3715" t="str">
            <v/>
          </cell>
          <cell r="K3715" t="str">
            <v/>
          </cell>
          <cell r="L3715" t="str">
            <v/>
          </cell>
          <cell r="M3715" t="str">
            <v/>
          </cell>
        </row>
        <row r="3716">
          <cell r="A3716">
            <v>31102192</v>
          </cell>
          <cell r="C3716">
            <v>31102192</v>
          </cell>
          <cell r="D3716">
            <v>31102192</v>
          </cell>
          <cell r="E3716">
            <v>31102192</v>
          </cell>
          <cell r="F3716">
            <v>31102192</v>
          </cell>
          <cell r="G3716">
            <v>31102192</v>
          </cell>
          <cell r="H3716">
            <v>31102192</v>
          </cell>
          <cell r="I3716" t="str">
            <v/>
          </cell>
          <cell r="J3716" t="str">
            <v/>
          </cell>
          <cell r="K3716" t="str">
            <v/>
          </cell>
          <cell r="L3716" t="str">
            <v/>
          </cell>
          <cell r="M3716" t="str">
            <v/>
          </cell>
        </row>
        <row r="3717">
          <cell r="A3717">
            <v>31102192</v>
          </cell>
          <cell r="C3717">
            <v>31102192</v>
          </cell>
          <cell r="D3717">
            <v>31102192</v>
          </cell>
          <cell r="E3717">
            <v>31102192</v>
          </cell>
          <cell r="F3717">
            <v>31102192</v>
          </cell>
          <cell r="G3717">
            <v>31102192</v>
          </cell>
          <cell r="H3717">
            <v>31102192</v>
          </cell>
          <cell r="I3717" t="str">
            <v/>
          </cell>
          <cell r="J3717" t="str">
            <v/>
          </cell>
          <cell r="K3717" t="str">
            <v/>
          </cell>
          <cell r="L3717" t="str">
            <v/>
          </cell>
          <cell r="M3717" t="str">
            <v/>
          </cell>
        </row>
        <row r="3718">
          <cell r="A3718">
            <v>31102192</v>
          </cell>
          <cell r="C3718">
            <v>31102192</v>
          </cell>
          <cell r="D3718">
            <v>31102192</v>
          </cell>
          <cell r="E3718">
            <v>31102192</v>
          </cell>
          <cell r="F3718">
            <v>31102192</v>
          </cell>
          <cell r="G3718">
            <v>31102192</v>
          </cell>
          <cell r="H3718">
            <v>31102192</v>
          </cell>
          <cell r="I3718" t="str">
            <v/>
          </cell>
          <cell r="J3718" t="str">
            <v/>
          </cell>
          <cell r="K3718" t="str">
            <v/>
          </cell>
          <cell r="L3718" t="str">
            <v/>
          </cell>
          <cell r="M3718" t="str">
            <v/>
          </cell>
        </row>
        <row r="3719">
          <cell r="A3719">
            <v>31102192</v>
          </cell>
          <cell r="C3719">
            <v>31102192</v>
          </cell>
          <cell r="D3719">
            <v>31102192</v>
          </cell>
          <cell r="E3719">
            <v>31102192</v>
          </cell>
          <cell r="F3719">
            <v>31102192</v>
          </cell>
          <cell r="G3719">
            <v>31102192</v>
          </cell>
          <cell r="H3719">
            <v>31102192</v>
          </cell>
          <cell r="I3719" t="str">
            <v/>
          </cell>
          <cell r="J3719" t="str">
            <v/>
          </cell>
          <cell r="K3719" t="str">
            <v/>
          </cell>
          <cell r="L3719" t="str">
            <v/>
          </cell>
          <cell r="M3719" t="str">
            <v/>
          </cell>
        </row>
        <row r="3720">
          <cell r="A3720">
            <v>31102192</v>
          </cell>
          <cell r="C3720">
            <v>31102192</v>
          </cell>
          <cell r="D3720">
            <v>31102192</v>
          </cell>
          <cell r="E3720">
            <v>31102192</v>
          </cell>
          <cell r="F3720">
            <v>31102192</v>
          </cell>
          <cell r="G3720">
            <v>31102192</v>
          </cell>
          <cell r="H3720">
            <v>31102192</v>
          </cell>
          <cell r="I3720" t="str">
            <v/>
          </cell>
          <cell r="J3720" t="str">
            <v/>
          </cell>
          <cell r="K3720" t="str">
            <v/>
          </cell>
          <cell r="L3720" t="str">
            <v/>
          </cell>
          <cell r="M3720" t="str">
            <v/>
          </cell>
        </row>
        <row r="3721">
          <cell r="A3721">
            <v>31102192</v>
          </cell>
          <cell r="C3721">
            <v>31102192</v>
          </cell>
          <cell r="D3721">
            <v>31102192</v>
          </cell>
          <cell r="E3721">
            <v>31102192</v>
          </cell>
          <cell r="F3721">
            <v>31102192</v>
          </cell>
          <cell r="G3721">
            <v>31102192</v>
          </cell>
          <cell r="H3721">
            <v>31102192</v>
          </cell>
          <cell r="I3721" t="str">
            <v/>
          </cell>
          <cell r="J3721" t="str">
            <v/>
          </cell>
          <cell r="K3721" t="str">
            <v/>
          </cell>
          <cell r="L3721" t="str">
            <v/>
          </cell>
          <cell r="M3721" t="str">
            <v/>
          </cell>
        </row>
        <row r="3722">
          <cell r="A3722">
            <v>31102192</v>
          </cell>
          <cell r="C3722">
            <v>31102192</v>
          </cell>
          <cell r="D3722">
            <v>31102192</v>
          </cell>
          <cell r="E3722">
            <v>31102192</v>
          </cell>
          <cell r="F3722">
            <v>31102192</v>
          </cell>
          <cell r="G3722">
            <v>31102192</v>
          </cell>
          <cell r="H3722">
            <v>31102192</v>
          </cell>
          <cell r="I3722" t="str">
            <v/>
          </cell>
          <cell r="J3722" t="str">
            <v/>
          </cell>
          <cell r="K3722" t="str">
            <v/>
          </cell>
          <cell r="L3722" t="str">
            <v/>
          </cell>
          <cell r="M3722" t="str">
            <v/>
          </cell>
        </row>
        <row r="3723">
          <cell r="A3723">
            <v>31102192</v>
          </cell>
          <cell r="C3723">
            <v>31102192</v>
          </cell>
          <cell r="D3723">
            <v>31102192</v>
          </cell>
          <cell r="E3723">
            <v>31102192</v>
          </cell>
          <cell r="F3723">
            <v>31102192</v>
          </cell>
          <cell r="G3723">
            <v>31102192</v>
          </cell>
          <cell r="H3723">
            <v>31102192</v>
          </cell>
          <cell r="I3723" t="str">
            <v/>
          </cell>
          <cell r="J3723" t="str">
            <v/>
          </cell>
          <cell r="K3723" t="str">
            <v/>
          </cell>
          <cell r="L3723" t="str">
            <v/>
          </cell>
          <cell r="M3723" t="str">
            <v/>
          </cell>
        </row>
        <row r="3724">
          <cell r="A3724">
            <v>31102192</v>
          </cell>
          <cell r="C3724">
            <v>31102192</v>
          </cell>
          <cell r="D3724">
            <v>31102192</v>
          </cell>
          <cell r="E3724">
            <v>31102192</v>
          </cell>
          <cell r="F3724">
            <v>31102192</v>
          </cell>
          <cell r="G3724">
            <v>31102192</v>
          </cell>
          <cell r="H3724">
            <v>31102192</v>
          </cell>
          <cell r="I3724" t="str">
            <v/>
          </cell>
          <cell r="J3724" t="str">
            <v/>
          </cell>
          <cell r="K3724" t="str">
            <v/>
          </cell>
          <cell r="L3724" t="str">
            <v/>
          </cell>
          <cell r="M3724" t="str">
            <v/>
          </cell>
        </row>
        <row r="3725">
          <cell r="A3725">
            <v>31102192</v>
          </cell>
          <cell r="C3725">
            <v>31102192</v>
          </cell>
          <cell r="D3725">
            <v>31102192</v>
          </cell>
          <cell r="E3725">
            <v>31102192</v>
          </cell>
          <cell r="F3725">
            <v>31102192</v>
          </cell>
          <cell r="G3725">
            <v>31102192</v>
          </cell>
          <cell r="H3725">
            <v>31102192</v>
          </cell>
          <cell r="I3725" t="str">
            <v/>
          </cell>
          <cell r="J3725" t="str">
            <v/>
          </cell>
          <cell r="K3725" t="str">
            <v/>
          </cell>
          <cell r="L3725" t="str">
            <v/>
          </cell>
          <cell r="M3725" t="str">
            <v/>
          </cell>
        </row>
        <row r="3726">
          <cell r="A3726">
            <v>31102192</v>
          </cell>
          <cell r="C3726">
            <v>31102192</v>
          </cell>
          <cell r="D3726">
            <v>31102192</v>
          </cell>
          <cell r="E3726">
            <v>31102192</v>
          </cell>
          <cell r="F3726">
            <v>31102192</v>
          </cell>
          <cell r="G3726">
            <v>31102192</v>
          </cell>
          <cell r="H3726">
            <v>31102192</v>
          </cell>
          <cell r="I3726" t="str">
            <v/>
          </cell>
          <cell r="J3726" t="str">
            <v/>
          </cell>
          <cell r="K3726" t="str">
            <v/>
          </cell>
          <cell r="L3726" t="str">
            <v/>
          </cell>
          <cell r="M3726" t="str">
            <v/>
          </cell>
        </row>
        <row r="3727">
          <cell r="A3727">
            <v>31102192</v>
          </cell>
          <cell r="C3727">
            <v>31102192</v>
          </cell>
          <cell r="D3727">
            <v>31102192</v>
          </cell>
          <cell r="E3727">
            <v>31102192</v>
          </cell>
          <cell r="F3727">
            <v>31102192</v>
          </cell>
          <cell r="G3727">
            <v>31102192</v>
          </cell>
          <cell r="H3727">
            <v>31102192</v>
          </cell>
          <cell r="I3727" t="str">
            <v/>
          </cell>
          <cell r="J3727" t="str">
            <v/>
          </cell>
          <cell r="K3727" t="str">
            <v/>
          </cell>
          <cell r="L3727" t="str">
            <v/>
          </cell>
          <cell r="M3727" t="str">
            <v/>
          </cell>
        </row>
        <row r="3728">
          <cell r="A3728">
            <v>31102192</v>
          </cell>
          <cell r="C3728">
            <v>31102192</v>
          </cell>
          <cell r="D3728">
            <v>31102192</v>
          </cell>
          <cell r="E3728">
            <v>31102192</v>
          </cell>
          <cell r="F3728">
            <v>31102192</v>
          </cell>
          <cell r="G3728">
            <v>31102192</v>
          </cell>
          <cell r="H3728">
            <v>31102192</v>
          </cell>
          <cell r="I3728" t="str">
            <v/>
          </cell>
          <cell r="J3728" t="str">
            <v/>
          </cell>
          <cell r="K3728" t="str">
            <v/>
          </cell>
          <cell r="L3728" t="str">
            <v/>
          </cell>
          <cell r="M3728" t="str">
            <v/>
          </cell>
        </row>
        <row r="3729">
          <cell r="A3729">
            <v>31102192</v>
          </cell>
          <cell r="C3729">
            <v>31102192</v>
          </cell>
          <cell r="D3729">
            <v>31102192</v>
          </cell>
          <cell r="E3729">
            <v>31102192</v>
          </cell>
          <cell r="F3729">
            <v>31102192</v>
          </cell>
          <cell r="G3729">
            <v>31102192</v>
          </cell>
          <cell r="H3729">
            <v>31102192</v>
          </cell>
          <cell r="I3729" t="str">
            <v/>
          </cell>
          <cell r="J3729" t="str">
            <v/>
          </cell>
          <cell r="K3729" t="str">
            <v/>
          </cell>
          <cell r="L3729" t="str">
            <v/>
          </cell>
          <cell r="M3729" t="str">
            <v/>
          </cell>
        </row>
        <row r="3730">
          <cell r="A3730">
            <v>31102192</v>
          </cell>
          <cell r="C3730">
            <v>31102192</v>
          </cell>
          <cell r="D3730">
            <v>31102192</v>
          </cell>
          <cell r="E3730">
            <v>31102192</v>
          </cell>
          <cell r="F3730">
            <v>31102192</v>
          </cell>
          <cell r="G3730">
            <v>31102192</v>
          </cell>
          <cell r="H3730">
            <v>31102192</v>
          </cell>
          <cell r="I3730" t="str">
            <v/>
          </cell>
          <cell r="J3730" t="str">
            <v/>
          </cell>
          <cell r="K3730" t="str">
            <v/>
          </cell>
          <cell r="L3730" t="str">
            <v/>
          </cell>
          <cell r="M3730" t="str">
            <v/>
          </cell>
        </row>
        <row r="3731">
          <cell r="A3731">
            <v>31102192</v>
          </cell>
          <cell r="C3731">
            <v>31102192</v>
          </cell>
          <cell r="D3731">
            <v>31102192</v>
          </cell>
          <cell r="E3731">
            <v>31102192</v>
          </cell>
          <cell r="F3731">
            <v>31102192</v>
          </cell>
          <cell r="G3731">
            <v>31102192</v>
          </cell>
          <cell r="H3731">
            <v>31102192</v>
          </cell>
          <cell r="I3731" t="str">
            <v/>
          </cell>
          <cell r="J3731" t="str">
            <v/>
          </cell>
          <cell r="K3731" t="str">
            <v/>
          </cell>
          <cell r="L3731" t="str">
            <v/>
          </cell>
          <cell r="M3731" t="str">
            <v/>
          </cell>
        </row>
        <row r="3732">
          <cell r="A3732">
            <v>31102192</v>
          </cell>
          <cell r="C3732">
            <v>31102192</v>
          </cell>
          <cell r="D3732">
            <v>31102192</v>
          </cell>
          <cell r="E3732">
            <v>31102192</v>
          </cell>
          <cell r="F3732">
            <v>31102192</v>
          </cell>
          <cell r="G3732">
            <v>31102192</v>
          </cell>
          <cell r="H3732">
            <v>31102192</v>
          </cell>
          <cell r="I3732" t="str">
            <v/>
          </cell>
          <cell r="J3732" t="str">
            <v/>
          </cell>
          <cell r="K3732" t="str">
            <v/>
          </cell>
          <cell r="L3732" t="str">
            <v/>
          </cell>
          <cell r="M3732" t="str">
            <v/>
          </cell>
        </row>
        <row r="3733">
          <cell r="A3733">
            <v>31102192</v>
          </cell>
          <cell r="C3733">
            <v>31102192</v>
          </cell>
          <cell r="D3733">
            <v>31102192</v>
          </cell>
          <cell r="E3733">
            <v>31102192</v>
          </cell>
          <cell r="F3733">
            <v>31102192</v>
          </cell>
          <cell r="G3733">
            <v>31102192</v>
          </cell>
          <cell r="H3733">
            <v>31102192</v>
          </cell>
          <cell r="I3733" t="str">
            <v/>
          </cell>
          <cell r="J3733" t="str">
            <v/>
          </cell>
          <cell r="K3733" t="str">
            <v/>
          </cell>
          <cell r="L3733" t="str">
            <v/>
          </cell>
          <cell r="M3733" t="str">
            <v/>
          </cell>
        </row>
        <row r="3734">
          <cell r="A3734">
            <v>31102192</v>
          </cell>
          <cell r="C3734">
            <v>31102192</v>
          </cell>
          <cell r="D3734">
            <v>31102192</v>
          </cell>
          <cell r="E3734">
            <v>31102192</v>
          </cell>
          <cell r="F3734">
            <v>31102192</v>
          </cell>
          <cell r="G3734">
            <v>31102192</v>
          </cell>
          <cell r="H3734">
            <v>31102192</v>
          </cell>
          <cell r="I3734" t="str">
            <v/>
          </cell>
          <cell r="J3734" t="str">
            <v/>
          </cell>
          <cell r="K3734" t="str">
            <v/>
          </cell>
          <cell r="L3734" t="str">
            <v/>
          </cell>
          <cell r="M3734" t="str">
            <v/>
          </cell>
        </row>
        <row r="3735">
          <cell r="A3735">
            <v>31102192</v>
          </cell>
          <cell r="C3735">
            <v>31102192</v>
          </cell>
          <cell r="D3735">
            <v>31102192</v>
          </cell>
          <cell r="E3735">
            <v>31102192</v>
          </cell>
          <cell r="F3735">
            <v>31102192</v>
          </cell>
          <cell r="G3735">
            <v>31102192</v>
          </cell>
          <cell r="H3735">
            <v>31102192</v>
          </cell>
          <cell r="I3735" t="str">
            <v/>
          </cell>
          <cell r="J3735" t="str">
            <v/>
          </cell>
          <cell r="K3735" t="str">
            <v/>
          </cell>
          <cell r="L3735" t="str">
            <v/>
          </cell>
          <cell r="M3735" t="str">
            <v/>
          </cell>
        </row>
        <row r="3736">
          <cell r="A3736">
            <v>31102192</v>
          </cell>
          <cell r="C3736">
            <v>31102192</v>
          </cell>
          <cell r="D3736">
            <v>31102192</v>
          </cell>
          <cell r="E3736">
            <v>31102192</v>
          </cell>
          <cell r="F3736">
            <v>31102192</v>
          </cell>
          <cell r="G3736">
            <v>31102192</v>
          </cell>
          <cell r="H3736">
            <v>31102192</v>
          </cell>
          <cell r="I3736" t="str">
            <v/>
          </cell>
          <cell r="J3736" t="str">
            <v/>
          </cell>
          <cell r="K3736" t="str">
            <v/>
          </cell>
          <cell r="L3736" t="str">
            <v/>
          </cell>
          <cell r="M3736" t="str">
            <v/>
          </cell>
        </row>
        <row r="3737">
          <cell r="A3737">
            <v>31102192</v>
          </cell>
          <cell r="C3737">
            <v>31102192</v>
          </cell>
          <cell r="D3737">
            <v>31102192</v>
          </cell>
          <cell r="E3737">
            <v>31102192</v>
          </cell>
          <cell r="F3737">
            <v>31102192</v>
          </cell>
          <cell r="G3737">
            <v>31102192</v>
          </cell>
          <cell r="H3737">
            <v>31102192</v>
          </cell>
          <cell r="I3737" t="str">
            <v/>
          </cell>
          <cell r="J3737" t="str">
            <v/>
          </cell>
          <cell r="K3737" t="str">
            <v/>
          </cell>
          <cell r="L3737" t="str">
            <v/>
          </cell>
          <cell r="M3737" t="str">
            <v/>
          </cell>
        </row>
        <row r="3738">
          <cell r="A3738">
            <v>31102192</v>
          </cell>
          <cell r="C3738">
            <v>31102192</v>
          </cell>
          <cell r="D3738">
            <v>31102192</v>
          </cell>
          <cell r="E3738">
            <v>31102192</v>
          </cell>
          <cell r="F3738">
            <v>31102192</v>
          </cell>
          <cell r="G3738">
            <v>31102192</v>
          </cell>
          <cell r="H3738">
            <v>31102192</v>
          </cell>
          <cell r="I3738" t="str">
            <v/>
          </cell>
          <cell r="J3738" t="str">
            <v/>
          </cell>
          <cell r="K3738" t="str">
            <v/>
          </cell>
          <cell r="L3738" t="str">
            <v/>
          </cell>
          <cell r="M3738" t="str">
            <v/>
          </cell>
        </row>
        <row r="3739">
          <cell r="A3739">
            <v>31102192</v>
          </cell>
          <cell r="C3739">
            <v>31102192</v>
          </cell>
          <cell r="D3739">
            <v>31102192</v>
          </cell>
          <cell r="E3739">
            <v>31102192</v>
          </cell>
          <cell r="F3739">
            <v>31102192</v>
          </cell>
          <cell r="G3739">
            <v>31102192</v>
          </cell>
          <cell r="H3739">
            <v>31102192</v>
          </cell>
          <cell r="I3739" t="str">
            <v/>
          </cell>
          <cell r="J3739" t="str">
            <v/>
          </cell>
          <cell r="K3739" t="str">
            <v/>
          </cell>
          <cell r="L3739" t="str">
            <v/>
          </cell>
          <cell r="M3739" t="str">
            <v/>
          </cell>
        </row>
        <row r="3740">
          <cell r="A3740">
            <v>31102192</v>
          </cell>
          <cell r="C3740">
            <v>31102192</v>
          </cell>
          <cell r="D3740">
            <v>31102192</v>
          </cell>
          <cell r="E3740">
            <v>31102192</v>
          </cell>
          <cell r="F3740">
            <v>31102192</v>
          </cell>
          <cell r="G3740">
            <v>31102192</v>
          </cell>
          <cell r="H3740">
            <v>31102192</v>
          </cell>
          <cell r="I3740" t="str">
            <v/>
          </cell>
          <cell r="J3740" t="str">
            <v/>
          </cell>
          <cell r="K3740" t="str">
            <v/>
          </cell>
          <cell r="L3740" t="str">
            <v/>
          </cell>
          <cell r="M3740" t="str">
            <v/>
          </cell>
        </row>
        <row r="3741">
          <cell r="A3741">
            <v>31102192</v>
          </cell>
          <cell r="C3741">
            <v>31102192</v>
          </cell>
          <cell r="D3741">
            <v>31102192</v>
          </cell>
          <cell r="E3741">
            <v>31102192</v>
          </cell>
          <cell r="F3741">
            <v>31102192</v>
          </cell>
          <cell r="G3741">
            <v>31102192</v>
          </cell>
          <cell r="H3741">
            <v>31102192</v>
          </cell>
          <cell r="I3741" t="str">
            <v/>
          </cell>
          <cell r="J3741" t="str">
            <v/>
          </cell>
          <cell r="K3741" t="str">
            <v/>
          </cell>
          <cell r="L3741" t="str">
            <v/>
          </cell>
          <cell r="M3741" t="str">
            <v/>
          </cell>
        </row>
        <row r="3742">
          <cell r="A3742">
            <v>31102192</v>
          </cell>
          <cell r="C3742">
            <v>31102192</v>
          </cell>
          <cell r="D3742">
            <v>31102192</v>
          </cell>
          <cell r="E3742">
            <v>31102192</v>
          </cell>
          <cell r="F3742">
            <v>31102192</v>
          </cell>
          <cell r="G3742">
            <v>31102192</v>
          </cell>
          <cell r="H3742">
            <v>31102192</v>
          </cell>
          <cell r="I3742" t="str">
            <v/>
          </cell>
          <cell r="J3742" t="str">
            <v/>
          </cell>
          <cell r="K3742" t="str">
            <v/>
          </cell>
          <cell r="L3742" t="str">
            <v/>
          </cell>
          <cell r="M3742" t="str">
            <v/>
          </cell>
        </row>
        <row r="3743">
          <cell r="A3743">
            <v>31102192</v>
          </cell>
          <cell r="C3743">
            <v>31102192</v>
          </cell>
          <cell r="D3743">
            <v>31102192</v>
          </cell>
          <cell r="E3743">
            <v>31102192</v>
          </cell>
          <cell r="F3743">
            <v>31102192</v>
          </cell>
          <cell r="G3743">
            <v>31102192</v>
          </cell>
          <cell r="H3743">
            <v>31102192</v>
          </cell>
          <cell r="I3743" t="str">
            <v/>
          </cell>
          <cell r="J3743" t="str">
            <v/>
          </cell>
          <cell r="K3743" t="str">
            <v/>
          </cell>
          <cell r="L3743" t="str">
            <v/>
          </cell>
          <cell r="M3743" t="str">
            <v/>
          </cell>
        </row>
        <row r="3744">
          <cell r="A3744">
            <v>31102192</v>
          </cell>
          <cell r="C3744">
            <v>31102192</v>
          </cell>
          <cell r="D3744">
            <v>31102192</v>
          </cell>
          <cell r="E3744">
            <v>31102192</v>
          </cell>
          <cell r="F3744">
            <v>31102192</v>
          </cell>
          <cell r="G3744">
            <v>31102192</v>
          </cell>
          <cell r="H3744">
            <v>31102192</v>
          </cell>
          <cell r="I3744" t="str">
            <v/>
          </cell>
          <cell r="J3744" t="str">
            <v/>
          </cell>
          <cell r="K3744" t="str">
            <v/>
          </cell>
          <cell r="L3744" t="str">
            <v/>
          </cell>
          <cell r="M3744" t="str">
            <v/>
          </cell>
        </row>
        <row r="3745">
          <cell r="A3745">
            <v>31102192</v>
          </cell>
          <cell r="C3745">
            <v>31102192</v>
          </cell>
          <cell r="D3745">
            <v>31102192</v>
          </cell>
          <cell r="E3745">
            <v>31102192</v>
          </cell>
          <cell r="F3745">
            <v>31102192</v>
          </cell>
          <cell r="G3745">
            <v>31102192</v>
          </cell>
          <cell r="H3745">
            <v>31102192</v>
          </cell>
          <cell r="I3745" t="str">
            <v/>
          </cell>
          <cell r="J3745" t="str">
            <v/>
          </cell>
          <cell r="K3745" t="str">
            <v/>
          </cell>
          <cell r="L3745" t="str">
            <v/>
          </cell>
          <cell r="M3745" t="str">
            <v/>
          </cell>
        </row>
        <row r="3746">
          <cell r="A3746">
            <v>31102192</v>
          </cell>
          <cell r="C3746">
            <v>31102192</v>
          </cell>
          <cell r="D3746">
            <v>31102192</v>
          </cell>
          <cell r="E3746">
            <v>31102192</v>
          </cell>
          <cell r="F3746">
            <v>31102192</v>
          </cell>
          <cell r="G3746">
            <v>31102192</v>
          </cell>
          <cell r="H3746">
            <v>31102192</v>
          </cell>
          <cell r="I3746" t="str">
            <v/>
          </cell>
          <cell r="J3746" t="str">
            <v/>
          </cell>
          <cell r="K3746" t="str">
            <v/>
          </cell>
          <cell r="L3746" t="str">
            <v/>
          </cell>
          <cell r="M3746" t="str">
            <v/>
          </cell>
        </row>
        <row r="3747">
          <cell r="A3747">
            <v>31102192</v>
          </cell>
          <cell r="C3747">
            <v>31102192</v>
          </cell>
          <cell r="D3747">
            <v>31102192</v>
          </cell>
          <cell r="E3747">
            <v>31102192</v>
          </cell>
          <cell r="F3747">
            <v>31102192</v>
          </cell>
          <cell r="G3747">
            <v>31102192</v>
          </cell>
          <cell r="H3747">
            <v>31102192</v>
          </cell>
          <cell r="I3747" t="str">
            <v/>
          </cell>
          <cell r="J3747" t="str">
            <v/>
          </cell>
          <cell r="K3747" t="str">
            <v/>
          </cell>
          <cell r="L3747" t="str">
            <v/>
          </cell>
          <cell r="M3747" t="str">
            <v/>
          </cell>
        </row>
        <row r="3748">
          <cell r="A3748">
            <v>31102192</v>
          </cell>
          <cell r="C3748">
            <v>31102192</v>
          </cell>
          <cell r="D3748">
            <v>31102192</v>
          </cell>
          <cell r="E3748">
            <v>31102192</v>
          </cell>
          <cell r="F3748">
            <v>31102192</v>
          </cell>
          <cell r="G3748">
            <v>31102192</v>
          </cell>
          <cell r="H3748">
            <v>31102192</v>
          </cell>
          <cell r="I3748" t="str">
            <v/>
          </cell>
          <cell r="J3748" t="str">
            <v/>
          </cell>
          <cell r="K3748" t="str">
            <v/>
          </cell>
          <cell r="L3748" t="str">
            <v/>
          </cell>
          <cell r="M3748" t="str">
            <v/>
          </cell>
        </row>
        <row r="3749">
          <cell r="A3749">
            <v>31102192</v>
          </cell>
          <cell r="C3749">
            <v>31102192</v>
          </cell>
          <cell r="D3749">
            <v>31102192</v>
          </cell>
          <cell r="E3749">
            <v>31102192</v>
          </cell>
          <cell r="F3749">
            <v>31102192</v>
          </cell>
          <cell r="G3749">
            <v>31102192</v>
          </cell>
          <cell r="H3749">
            <v>31102192</v>
          </cell>
          <cell r="I3749" t="str">
            <v/>
          </cell>
          <cell r="J3749" t="str">
            <v/>
          </cell>
          <cell r="K3749" t="str">
            <v/>
          </cell>
          <cell r="L3749" t="str">
            <v/>
          </cell>
          <cell r="M3749" t="str">
            <v/>
          </cell>
        </row>
        <row r="3750">
          <cell r="A3750">
            <v>31102192</v>
          </cell>
          <cell r="C3750">
            <v>31102192</v>
          </cell>
          <cell r="D3750">
            <v>31102192</v>
          </cell>
          <cell r="E3750">
            <v>31102192</v>
          </cell>
          <cell r="F3750">
            <v>31102192</v>
          </cell>
          <cell r="G3750">
            <v>31102192</v>
          </cell>
          <cell r="H3750">
            <v>31102192</v>
          </cell>
          <cell r="I3750" t="str">
            <v/>
          </cell>
          <cell r="J3750" t="str">
            <v/>
          </cell>
          <cell r="K3750" t="str">
            <v/>
          </cell>
          <cell r="L3750" t="str">
            <v/>
          </cell>
          <cell r="M3750" t="str">
            <v/>
          </cell>
        </row>
        <row r="3751">
          <cell r="A3751">
            <v>31102192</v>
          </cell>
          <cell r="C3751">
            <v>31102192</v>
          </cell>
          <cell r="D3751">
            <v>31102192</v>
          </cell>
          <cell r="E3751">
            <v>31102192</v>
          </cell>
          <cell r="F3751">
            <v>31102192</v>
          </cell>
          <cell r="G3751">
            <v>31102192</v>
          </cell>
          <cell r="H3751">
            <v>31102192</v>
          </cell>
          <cell r="I3751" t="str">
            <v/>
          </cell>
          <cell r="J3751" t="str">
            <v/>
          </cell>
          <cell r="K3751" t="str">
            <v/>
          </cell>
          <cell r="L3751" t="str">
            <v/>
          </cell>
          <cell r="M3751" t="str">
            <v/>
          </cell>
        </row>
        <row r="3752">
          <cell r="A3752">
            <v>31102192</v>
          </cell>
          <cell r="C3752">
            <v>31102192</v>
          </cell>
          <cell r="D3752">
            <v>31102192</v>
          </cell>
          <cell r="E3752">
            <v>31102192</v>
          </cell>
          <cell r="F3752">
            <v>31102192</v>
          </cell>
          <cell r="G3752">
            <v>31102192</v>
          </cell>
          <cell r="H3752">
            <v>31102192</v>
          </cell>
          <cell r="I3752" t="str">
            <v/>
          </cell>
          <cell r="J3752" t="str">
            <v/>
          </cell>
          <cell r="K3752" t="str">
            <v/>
          </cell>
          <cell r="L3752" t="str">
            <v/>
          </cell>
          <cell r="M3752" t="str">
            <v/>
          </cell>
        </row>
        <row r="3753">
          <cell r="A3753">
            <v>31102192</v>
          </cell>
          <cell r="C3753">
            <v>31102192</v>
          </cell>
          <cell r="D3753">
            <v>31102192</v>
          </cell>
          <cell r="E3753">
            <v>31102192</v>
          </cell>
          <cell r="F3753">
            <v>31102192</v>
          </cell>
          <cell r="G3753">
            <v>31102192</v>
          </cell>
          <cell r="H3753">
            <v>31102192</v>
          </cell>
          <cell r="I3753" t="str">
            <v/>
          </cell>
          <cell r="J3753" t="str">
            <v/>
          </cell>
          <cell r="K3753" t="str">
            <v/>
          </cell>
          <cell r="L3753" t="str">
            <v/>
          </cell>
          <cell r="M3753" t="str">
            <v/>
          </cell>
        </row>
        <row r="3754">
          <cell r="A3754">
            <v>31102192</v>
          </cell>
          <cell r="C3754">
            <v>31102192</v>
          </cell>
          <cell r="D3754">
            <v>31102192</v>
          </cell>
          <cell r="E3754">
            <v>31102192</v>
          </cell>
          <cell r="F3754">
            <v>31102192</v>
          </cell>
          <cell r="G3754">
            <v>31102192</v>
          </cell>
          <cell r="H3754">
            <v>31102192</v>
          </cell>
          <cell r="I3754" t="str">
            <v/>
          </cell>
          <cell r="J3754" t="str">
            <v/>
          </cell>
          <cell r="K3754" t="str">
            <v/>
          </cell>
          <cell r="L3754" t="str">
            <v/>
          </cell>
          <cell r="M3754" t="str">
            <v/>
          </cell>
        </row>
        <row r="3755">
          <cell r="A3755">
            <v>31102192</v>
          </cell>
          <cell r="C3755">
            <v>31102192</v>
          </cell>
          <cell r="D3755">
            <v>31102192</v>
          </cell>
          <cell r="E3755">
            <v>31102192</v>
          </cell>
          <cell r="F3755">
            <v>31102192</v>
          </cell>
          <cell r="G3755">
            <v>31102192</v>
          </cell>
          <cell r="H3755">
            <v>31102192</v>
          </cell>
          <cell r="I3755" t="str">
            <v/>
          </cell>
          <cell r="J3755" t="str">
            <v/>
          </cell>
          <cell r="K3755" t="str">
            <v/>
          </cell>
          <cell r="L3755" t="str">
            <v/>
          </cell>
          <cell r="M3755" t="str">
            <v/>
          </cell>
        </row>
        <row r="3756">
          <cell r="A3756">
            <v>31102192</v>
          </cell>
          <cell r="C3756">
            <v>31102192</v>
          </cell>
          <cell r="D3756">
            <v>31102192</v>
          </cell>
          <cell r="E3756">
            <v>31102192</v>
          </cell>
          <cell r="F3756">
            <v>31102192</v>
          </cell>
          <cell r="G3756">
            <v>31102192</v>
          </cell>
          <cell r="H3756">
            <v>31102192</v>
          </cell>
          <cell r="I3756" t="str">
            <v/>
          </cell>
          <cell r="J3756" t="str">
            <v/>
          </cell>
          <cell r="K3756" t="str">
            <v/>
          </cell>
          <cell r="L3756" t="str">
            <v/>
          </cell>
          <cell r="M3756" t="str">
            <v/>
          </cell>
        </row>
        <row r="3757">
          <cell r="A3757">
            <v>31102192</v>
          </cell>
          <cell r="C3757">
            <v>31102192</v>
          </cell>
          <cell r="D3757">
            <v>31102192</v>
          </cell>
          <cell r="E3757">
            <v>31102192</v>
          </cell>
          <cell r="F3757">
            <v>31102192</v>
          </cell>
          <cell r="G3757">
            <v>31102192</v>
          </cell>
          <cell r="H3757">
            <v>31102192</v>
          </cell>
          <cell r="I3757" t="str">
            <v/>
          </cell>
          <cell r="J3757" t="str">
            <v/>
          </cell>
          <cell r="K3757" t="str">
            <v/>
          </cell>
          <cell r="L3757" t="str">
            <v/>
          </cell>
          <cell r="M3757" t="str">
            <v/>
          </cell>
        </row>
        <row r="3758">
          <cell r="A3758">
            <v>31102192</v>
          </cell>
          <cell r="C3758">
            <v>31102192</v>
          </cell>
          <cell r="D3758">
            <v>31102192</v>
          </cell>
          <cell r="E3758">
            <v>31102192</v>
          </cell>
          <cell r="F3758">
            <v>31102192</v>
          </cell>
          <cell r="G3758">
            <v>31102192</v>
          </cell>
          <cell r="H3758">
            <v>31102192</v>
          </cell>
          <cell r="I3758" t="str">
            <v/>
          </cell>
          <cell r="J3758" t="str">
            <v/>
          </cell>
          <cell r="K3758" t="str">
            <v/>
          </cell>
          <cell r="L3758" t="str">
            <v/>
          </cell>
          <cell r="M3758" t="str">
            <v/>
          </cell>
        </row>
        <row r="3759">
          <cell r="A3759">
            <v>31102192</v>
          </cell>
          <cell r="C3759">
            <v>31102192</v>
          </cell>
          <cell r="D3759">
            <v>31102192</v>
          </cell>
          <cell r="E3759">
            <v>31102192</v>
          </cell>
          <cell r="F3759">
            <v>31102192</v>
          </cell>
          <cell r="G3759">
            <v>31102192</v>
          </cell>
          <cell r="H3759">
            <v>31102192</v>
          </cell>
          <cell r="I3759" t="str">
            <v/>
          </cell>
          <cell r="J3759" t="str">
            <v/>
          </cell>
          <cell r="K3759" t="str">
            <v/>
          </cell>
          <cell r="L3759" t="str">
            <v/>
          </cell>
          <cell r="M3759" t="str">
            <v/>
          </cell>
        </row>
        <row r="3760">
          <cell r="A3760">
            <v>31102192</v>
          </cell>
          <cell r="C3760">
            <v>31102192</v>
          </cell>
          <cell r="D3760">
            <v>31102192</v>
          </cell>
          <cell r="E3760">
            <v>31102192</v>
          </cell>
          <cell r="F3760">
            <v>31102192</v>
          </cell>
          <cell r="G3760">
            <v>31102192</v>
          </cell>
          <cell r="H3760">
            <v>31102192</v>
          </cell>
          <cell r="I3760" t="str">
            <v/>
          </cell>
          <cell r="J3760" t="str">
            <v/>
          </cell>
          <cell r="K3760" t="str">
            <v/>
          </cell>
          <cell r="L3760" t="str">
            <v/>
          </cell>
          <cell r="M3760" t="str">
            <v/>
          </cell>
        </row>
        <row r="3761">
          <cell r="A3761">
            <v>31102192</v>
          </cell>
          <cell r="C3761">
            <v>31102192</v>
          </cell>
          <cell r="D3761">
            <v>31102192</v>
          </cell>
          <cell r="E3761">
            <v>31102192</v>
          </cell>
          <cell r="F3761">
            <v>31102192</v>
          </cell>
          <cell r="G3761">
            <v>31102192</v>
          </cell>
          <cell r="H3761">
            <v>31102192</v>
          </cell>
          <cell r="I3761" t="str">
            <v/>
          </cell>
          <cell r="J3761" t="str">
            <v/>
          </cell>
          <cell r="K3761" t="str">
            <v/>
          </cell>
          <cell r="L3761" t="str">
            <v/>
          </cell>
          <cell r="M3761" t="str">
            <v/>
          </cell>
        </row>
        <row r="3762">
          <cell r="A3762">
            <v>31102192</v>
          </cell>
          <cell r="C3762">
            <v>31102192</v>
          </cell>
          <cell r="D3762">
            <v>31102192</v>
          </cell>
          <cell r="E3762">
            <v>31102192</v>
          </cell>
          <cell r="F3762">
            <v>31102192</v>
          </cell>
          <cell r="G3762">
            <v>31102192</v>
          </cell>
          <cell r="H3762">
            <v>31102192</v>
          </cell>
          <cell r="I3762" t="str">
            <v/>
          </cell>
          <cell r="J3762" t="str">
            <v/>
          </cell>
          <cell r="K3762" t="str">
            <v/>
          </cell>
          <cell r="L3762" t="str">
            <v/>
          </cell>
          <cell r="M3762" t="str">
            <v/>
          </cell>
        </row>
        <row r="3763">
          <cell r="A3763">
            <v>31102192</v>
          </cell>
          <cell r="C3763">
            <v>31102192</v>
          </cell>
          <cell r="D3763">
            <v>31102192</v>
          </cell>
          <cell r="E3763">
            <v>31102192</v>
          </cell>
          <cell r="F3763">
            <v>31102192</v>
          </cell>
          <cell r="G3763">
            <v>31102192</v>
          </cell>
          <cell r="H3763">
            <v>31102192</v>
          </cell>
          <cell r="I3763" t="str">
            <v/>
          </cell>
          <cell r="J3763" t="str">
            <v/>
          </cell>
          <cell r="K3763" t="str">
            <v/>
          </cell>
          <cell r="L3763" t="str">
            <v/>
          </cell>
          <cell r="M3763" t="str">
            <v/>
          </cell>
        </row>
        <row r="3764">
          <cell r="A3764">
            <v>31102192</v>
          </cell>
          <cell r="C3764">
            <v>31102192</v>
          </cell>
          <cell r="D3764">
            <v>31102192</v>
          </cell>
          <cell r="E3764">
            <v>31102192</v>
          </cell>
          <cell r="F3764">
            <v>31102192</v>
          </cell>
          <cell r="G3764">
            <v>31102192</v>
          </cell>
          <cell r="H3764">
            <v>31102192</v>
          </cell>
          <cell r="I3764" t="str">
            <v/>
          </cell>
          <cell r="J3764" t="str">
            <v/>
          </cell>
          <cell r="K3764" t="str">
            <v/>
          </cell>
          <cell r="L3764" t="str">
            <v/>
          </cell>
          <cell r="M3764" t="str">
            <v/>
          </cell>
        </row>
        <row r="3765">
          <cell r="A3765">
            <v>31102192</v>
          </cell>
          <cell r="C3765">
            <v>31102192</v>
          </cell>
          <cell r="D3765">
            <v>31102192</v>
          </cell>
          <cell r="E3765">
            <v>31102192</v>
          </cell>
          <cell r="F3765">
            <v>31102192</v>
          </cell>
          <cell r="G3765">
            <v>31102192</v>
          </cell>
          <cell r="H3765">
            <v>31102192</v>
          </cell>
          <cell r="I3765" t="str">
            <v/>
          </cell>
          <cell r="J3765" t="str">
            <v/>
          </cell>
          <cell r="K3765" t="str">
            <v/>
          </cell>
          <cell r="L3765" t="str">
            <v/>
          </cell>
          <cell r="M3765" t="str">
            <v/>
          </cell>
        </row>
        <row r="3766">
          <cell r="A3766">
            <v>31102192</v>
          </cell>
          <cell r="C3766">
            <v>31102192</v>
          </cell>
          <cell r="D3766">
            <v>31102192</v>
          </cell>
          <cell r="E3766">
            <v>31102192</v>
          </cell>
          <cell r="F3766">
            <v>31102192</v>
          </cell>
          <cell r="G3766">
            <v>31102192</v>
          </cell>
          <cell r="H3766">
            <v>31102192</v>
          </cell>
          <cell r="I3766" t="str">
            <v/>
          </cell>
          <cell r="J3766" t="str">
            <v/>
          </cell>
          <cell r="K3766" t="str">
            <v/>
          </cell>
          <cell r="L3766" t="str">
            <v/>
          </cell>
          <cell r="M3766" t="str">
            <v/>
          </cell>
        </row>
        <row r="3767">
          <cell r="A3767">
            <v>31102192</v>
          </cell>
          <cell r="C3767">
            <v>31102192</v>
          </cell>
          <cell r="D3767">
            <v>31102192</v>
          </cell>
          <cell r="E3767">
            <v>31102192</v>
          </cell>
          <cell r="F3767">
            <v>31102192</v>
          </cell>
          <cell r="G3767">
            <v>31102192</v>
          </cell>
          <cell r="H3767">
            <v>31102192</v>
          </cell>
          <cell r="I3767" t="str">
            <v/>
          </cell>
          <cell r="J3767" t="str">
            <v/>
          </cell>
          <cell r="K3767" t="str">
            <v/>
          </cell>
          <cell r="L3767" t="str">
            <v/>
          </cell>
          <cell r="M3767" t="str">
            <v/>
          </cell>
        </row>
        <row r="3768">
          <cell r="A3768">
            <v>31102192</v>
          </cell>
          <cell r="C3768">
            <v>31102192</v>
          </cell>
          <cell r="D3768">
            <v>31102192</v>
          </cell>
          <cell r="E3768">
            <v>31102192</v>
          </cell>
          <cell r="F3768">
            <v>31102192</v>
          </cell>
          <cell r="G3768">
            <v>31102192</v>
          </cell>
          <cell r="H3768">
            <v>31102192</v>
          </cell>
          <cell r="I3768" t="str">
            <v/>
          </cell>
          <cell r="J3768" t="str">
            <v/>
          </cell>
          <cell r="K3768" t="str">
            <v/>
          </cell>
          <cell r="L3768" t="str">
            <v/>
          </cell>
          <cell r="M3768" t="str">
            <v/>
          </cell>
        </row>
        <row r="3769">
          <cell r="A3769">
            <v>31102192</v>
          </cell>
          <cell r="C3769">
            <v>31102192</v>
          </cell>
          <cell r="D3769">
            <v>31102192</v>
          </cell>
          <cell r="E3769">
            <v>31102192</v>
          </cell>
          <cell r="F3769">
            <v>31102192</v>
          </cell>
          <cell r="G3769">
            <v>31102192</v>
          </cell>
          <cell r="H3769">
            <v>31102192</v>
          </cell>
          <cell r="I3769" t="str">
            <v/>
          </cell>
          <cell r="J3769" t="str">
            <v/>
          </cell>
          <cell r="K3769" t="str">
            <v/>
          </cell>
          <cell r="L3769" t="str">
            <v/>
          </cell>
          <cell r="M3769" t="str">
            <v/>
          </cell>
        </row>
        <row r="3770">
          <cell r="A3770">
            <v>31102192</v>
          </cell>
          <cell r="C3770">
            <v>31102192</v>
          </cell>
          <cell r="D3770">
            <v>31102192</v>
          </cell>
          <cell r="E3770">
            <v>31102192</v>
          </cell>
          <cell r="F3770">
            <v>31102192</v>
          </cell>
          <cell r="G3770">
            <v>31102192</v>
          </cell>
          <cell r="H3770">
            <v>31102192</v>
          </cell>
          <cell r="I3770" t="str">
            <v/>
          </cell>
          <cell r="J3770" t="str">
            <v/>
          </cell>
          <cell r="K3770" t="str">
            <v/>
          </cell>
          <cell r="L3770" t="str">
            <v/>
          </cell>
          <cell r="M3770" t="str">
            <v/>
          </cell>
        </row>
        <row r="3771">
          <cell r="A3771">
            <v>31102192</v>
          </cell>
          <cell r="C3771">
            <v>31102192</v>
          </cell>
          <cell r="D3771">
            <v>31102192</v>
          </cell>
          <cell r="E3771">
            <v>31102192</v>
          </cell>
          <cell r="F3771">
            <v>31102192</v>
          </cell>
          <cell r="G3771">
            <v>31102192</v>
          </cell>
          <cell r="H3771">
            <v>31102192</v>
          </cell>
          <cell r="I3771" t="str">
            <v/>
          </cell>
          <cell r="J3771" t="str">
            <v/>
          </cell>
          <cell r="K3771" t="str">
            <v/>
          </cell>
          <cell r="L3771" t="str">
            <v/>
          </cell>
          <cell r="M3771" t="str">
            <v/>
          </cell>
        </row>
        <row r="3772">
          <cell r="A3772">
            <v>31102192</v>
          </cell>
          <cell r="C3772">
            <v>31102192</v>
          </cell>
          <cell r="D3772">
            <v>31102192</v>
          </cell>
          <cell r="E3772">
            <v>31102192</v>
          </cell>
          <cell r="F3772">
            <v>31102192</v>
          </cell>
          <cell r="G3772">
            <v>31102192</v>
          </cell>
          <cell r="H3772">
            <v>31102192</v>
          </cell>
          <cell r="I3772" t="str">
            <v/>
          </cell>
          <cell r="J3772" t="str">
            <v/>
          </cell>
          <cell r="K3772" t="str">
            <v/>
          </cell>
          <cell r="L3772" t="str">
            <v/>
          </cell>
          <cell r="M3772" t="str">
            <v/>
          </cell>
        </row>
        <row r="3773">
          <cell r="A3773">
            <v>31102192</v>
          </cell>
          <cell r="C3773">
            <v>31102192</v>
          </cell>
          <cell r="D3773">
            <v>31102192</v>
          </cell>
          <cell r="E3773">
            <v>31102192</v>
          </cell>
          <cell r="F3773">
            <v>31102192</v>
          </cell>
          <cell r="G3773">
            <v>31102192</v>
          </cell>
          <cell r="H3773">
            <v>31102192</v>
          </cell>
          <cell r="I3773" t="str">
            <v/>
          </cell>
          <cell r="J3773" t="str">
            <v/>
          </cell>
          <cell r="K3773" t="str">
            <v/>
          </cell>
          <cell r="L3773" t="str">
            <v/>
          </cell>
          <cell r="M3773" t="str">
            <v/>
          </cell>
        </row>
        <row r="3774">
          <cell r="A3774">
            <v>31102192</v>
          </cell>
          <cell r="C3774">
            <v>31102192</v>
          </cell>
          <cell r="D3774">
            <v>31102192</v>
          </cell>
          <cell r="E3774">
            <v>31102192</v>
          </cell>
          <cell r="F3774">
            <v>31102192</v>
          </cell>
          <cell r="G3774">
            <v>31102192</v>
          </cell>
          <cell r="H3774">
            <v>31102192</v>
          </cell>
          <cell r="I3774" t="str">
            <v/>
          </cell>
          <cell r="J3774" t="str">
            <v/>
          </cell>
          <cell r="K3774" t="str">
            <v/>
          </cell>
          <cell r="L3774" t="str">
            <v/>
          </cell>
          <cell r="M3774" t="str">
            <v/>
          </cell>
        </row>
        <row r="3775">
          <cell r="A3775">
            <v>31102192</v>
          </cell>
          <cell r="C3775">
            <v>31102192</v>
          </cell>
          <cell r="D3775">
            <v>31102192</v>
          </cell>
          <cell r="E3775">
            <v>31102192</v>
          </cell>
          <cell r="F3775">
            <v>31102192</v>
          </cell>
          <cell r="G3775">
            <v>31102192</v>
          </cell>
          <cell r="H3775">
            <v>31102192</v>
          </cell>
          <cell r="I3775" t="str">
            <v/>
          </cell>
          <cell r="J3775" t="str">
            <v/>
          </cell>
          <cell r="K3775" t="str">
            <v/>
          </cell>
          <cell r="L3775" t="str">
            <v/>
          </cell>
          <cell r="M3775" t="str">
            <v/>
          </cell>
        </row>
        <row r="3776">
          <cell r="A3776">
            <v>31102192</v>
          </cell>
          <cell r="C3776">
            <v>31102192</v>
          </cell>
          <cell r="D3776">
            <v>31102192</v>
          </cell>
          <cell r="E3776">
            <v>31102192</v>
          </cell>
          <cell r="F3776">
            <v>31102192</v>
          </cell>
          <cell r="G3776">
            <v>31102192</v>
          </cell>
          <cell r="H3776">
            <v>31102192</v>
          </cell>
          <cell r="I3776" t="str">
            <v/>
          </cell>
          <cell r="J3776" t="str">
            <v/>
          </cell>
          <cell r="K3776" t="str">
            <v/>
          </cell>
          <cell r="L3776" t="str">
            <v/>
          </cell>
          <cell r="M3776" t="str">
            <v/>
          </cell>
        </row>
        <row r="3777">
          <cell r="A3777">
            <v>31102192</v>
          </cell>
          <cell r="C3777">
            <v>31102192</v>
          </cell>
          <cell r="D3777">
            <v>31102192</v>
          </cell>
          <cell r="E3777">
            <v>31102192</v>
          </cell>
          <cell r="F3777">
            <v>31102192</v>
          </cell>
          <cell r="G3777">
            <v>31102192</v>
          </cell>
          <cell r="H3777">
            <v>31102192</v>
          </cell>
          <cell r="I3777" t="str">
            <v/>
          </cell>
          <cell r="J3777" t="str">
            <v/>
          </cell>
          <cell r="K3777" t="str">
            <v/>
          </cell>
          <cell r="L3777" t="str">
            <v/>
          </cell>
          <cell r="M3777" t="str">
            <v/>
          </cell>
        </row>
        <row r="3778">
          <cell r="A3778">
            <v>31102192</v>
          </cell>
          <cell r="C3778">
            <v>31102192</v>
          </cell>
          <cell r="D3778">
            <v>31102192</v>
          </cell>
          <cell r="E3778">
            <v>31102192</v>
          </cell>
          <cell r="F3778">
            <v>31102192</v>
          </cell>
          <cell r="G3778">
            <v>31102192</v>
          </cell>
          <cell r="H3778">
            <v>31102192</v>
          </cell>
          <cell r="I3778" t="str">
            <v/>
          </cell>
          <cell r="J3778" t="str">
            <v/>
          </cell>
          <cell r="K3778" t="str">
            <v/>
          </cell>
          <cell r="L3778" t="str">
            <v/>
          </cell>
          <cell r="M3778" t="str">
            <v/>
          </cell>
        </row>
        <row r="3779">
          <cell r="A3779">
            <v>31102192</v>
          </cell>
          <cell r="C3779">
            <v>31102192</v>
          </cell>
          <cell r="D3779">
            <v>31102192</v>
          </cell>
          <cell r="E3779">
            <v>31102192</v>
          </cell>
          <cell r="F3779">
            <v>31102192</v>
          </cell>
          <cell r="G3779">
            <v>31102192</v>
          </cell>
          <cell r="H3779">
            <v>31102192</v>
          </cell>
          <cell r="I3779" t="str">
            <v/>
          </cell>
          <cell r="J3779" t="str">
            <v/>
          </cell>
          <cell r="K3779" t="str">
            <v/>
          </cell>
          <cell r="L3779" t="str">
            <v/>
          </cell>
          <cell r="M3779" t="str">
            <v/>
          </cell>
        </row>
        <row r="3780">
          <cell r="A3780">
            <v>31102192</v>
          </cell>
          <cell r="C3780">
            <v>31102192</v>
          </cell>
          <cell r="D3780">
            <v>31102192</v>
          </cell>
          <cell r="E3780">
            <v>31102192</v>
          </cell>
          <cell r="F3780">
            <v>31102192</v>
          </cell>
          <cell r="G3780">
            <v>31102192</v>
          </cell>
          <cell r="H3780">
            <v>31102192</v>
          </cell>
          <cell r="I3780" t="str">
            <v/>
          </cell>
          <cell r="J3780" t="str">
            <v/>
          </cell>
          <cell r="K3780" t="str">
            <v/>
          </cell>
          <cell r="L3780" t="str">
            <v/>
          </cell>
          <cell r="M3780" t="str">
            <v/>
          </cell>
        </row>
        <row r="3781">
          <cell r="A3781">
            <v>31102192</v>
          </cell>
          <cell r="C3781">
            <v>31102192</v>
          </cell>
          <cell r="D3781">
            <v>31102192</v>
          </cell>
          <cell r="E3781">
            <v>31102192</v>
          </cell>
          <cell r="F3781">
            <v>31102192</v>
          </cell>
          <cell r="G3781">
            <v>31102192</v>
          </cell>
          <cell r="H3781">
            <v>31102192</v>
          </cell>
          <cell r="I3781" t="str">
            <v/>
          </cell>
          <cell r="J3781" t="str">
            <v/>
          </cell>
          <cell r="K3781" t="str">
            <v/>
          </cell>
          <cell r="L3781" t="str">
            <v/>
          </cell>
          <cell r="M3781" t="str">
            <v/>
          </cell>
        </row>
        <row r="3782">
          <cell r="A3782">
            <v>31102192</v>
          </cell>
          <cell r="C3782">
            <v>31102192</v>
          </cell>
          <cell r="D3782">
            <v>31102192</v>
          </cell>
          <cell r="E3782">
            <v>31102192</v>
          </cell>
          <cell r="F3782">
            <v>31102192</v>
          </cell>
          <cell r="G3782">
            <v>31102192</v>
          </cell>
          <cell r="H3782">
            <v>31102192</v>
          </cell>
          <cell r="I3782" t="str">
            <v/>
          </cell>
          <cell r="J3782" t="str">
            <v/>
          </cell>
          <cell r="K3782" t="str">
            <v/>
          </cell>
          <cell r="L3782" t="str">
            <v/>
          </cell>
          <cell r="M3782" t="str">
            <v/>
          </cell>
        </row>
        <row r="3783">
          <cell r="A3783">
            <v>31102192</v>
          </cell>
          <cell r="C3783">
            <v>31102192</v>
          </cell>
          <cell r="D3783">
            <v>31102192</v>
          </cell>
          <cell r="E3783">
            <v>31102192</v>
          </cell>
          <cell r="F3783">
            <v>31102192</v>
          </cell>
          <cell r="G3783">
            <v>31102192</v>
          </cell>
          <cell r="H3783">
            <v>31102192</v>
          </cell>
          <cell r="I3783" t="str">
            <v/>
          </cell>
          <cell r="J3783" t="str">
            <v/>
          </cell>
          <cell r="K3783" t="str">
            <v/>
          </cell>
          <cell r="L3783" t="str">
            <v/>
          </cell>
          <cell r="M3783" t="str">
            <v/>
          </cell>
        </row>
        <row r="3784">
          <cell r="A3784">
            <v>31102192</v>
          </cell>
          <cell r="C3784">
            <v>31102192</v>
          </cell>
          <cell r="D3784">
            <v>31102192</v>
          </cell>
          <cell r="E3784">
            <v>31102192</v>
          </cell>
          <cell r="F3784">
            <v>31102192</v>
          </cell>
          <cell r="G3784">
            <v>31102192</v>
          </cell>
          <cell r="H3784">
            <v>31102192</v>
          </cell>
          <cell r="I3784" t="str">
            <v/>
          </cell>
          <cell r="J3784" t="str">
            <v/>
          </cell>
          <cell r="K3784" t="str">
            <v/>
          </cell>
          <cell r="L3784" t="str">
            <v/>
          </cell>
          <cell r="M3784" t="str">
            <v/>
          </cell>
        </row>
        <row r="3785">
          <cell r="A3785">
            <v>31102192</v>
          </cell>
          <cell r="C3785">
            <v>31102192</v>
          </cell>
          <cell r="D3785">
            <v>31102192</v>
          </cell>
          <cell r="E3785">
            <v>31102192</v>
          </cell>
          <cell r="F3785">
            <v>31102192</v>
          </cell>
          <cell r="G3785">
            <v>31102192</v>
          </cell>
          <cell r="H3785">
            <v>31102192</v>
          </cell>
          <cell r="I3785" t="str">
            <v/>
          </cell>
          <cell r="J3785" t="str">
            <v/>
          </cell>
          <cell r="K3785" t="str">
            <v/>
          </cell>
          <cell r="L3785" t="str">
            <v/>
          </cell>
          <cell r="M3785" t="str">
            <v/>
          </cell>
        </row>
        <row r="3786">
          <cell r="A3786">
            <v>31102192</v>
          </cell>
          <cell r="C3786">
            <v>31102192</v>
          </cell>
          <cell r="D3786">
            <v>31102192</v>
          </cell>
          <cell r="E3786">
            <v>31102192</v>
          </cell>
          <cell r="F3786">
            <v>31102192</v>
          </cell>
          <cell r="G3786">
            <v>31102192</v>
          </cell>
          <cell r="H3786">
            <v>31102192</v>
          </cell>
          <cell r="I3786" t="str">
            <v/>
          </cell>
          <cell r="J3786" t="str">
            <v/>
          </cell>
          <cell r="K3786" t="str">
            <v/>
          </cell>
          <cell r="L3786" t="str">
            <v/>
          </cell>
          <cell r="M3786" t="str">
            <v/>
          </cell>
        </row>
        <row r="3787">
          <cell r="A3787">
            <v>31102192</v>
          </cell>
          <cell r="C3787">
            <v>31102192</v>
          </cell>
          <cell r="D3787">
            <v>31102192</v>
          </cell>
          <cell r="E3787">
            <v>31102192</v>
          </cell>
          <cell r="F3787">
            <v>31102192</v>
          </cell>
          <cell r="G3787">
            <v>31102192</v>
          </cell>
          <cell r="H3787">
            <v>31102192</v>
          </cell>
          <cell r="I3787" t="str">
            <v/>
          </cell>
          <cell r="J3787" t="str">
            <v/>
          </cell>
          <cell r="K3787" t="str">
            <v/>
          </cell>
          <cell r="L3787" t="str">
            <v/>
          </cell>
          <cell r="M3787" t="str">
            <v/>
          </cell>
        </row>
        <row r="3788">
          <cell r="A3788">
            <v>31102192</v>
          </cell>
          <cell r="C3788">
            <v>31102192</v>
          </cell>
          <cell r="D3788">
            <v>31102192</v>
          </cell>
          <cell r="E3788">
            <v>31102192</v>
          </cell>
          <cell r="F3788">
            <v>31102192</v>
          </cell>
          <cell r="G3788">
            <v>31102192</v>
          </cell>
          <cell r="H3788">
            <v>31102192</v>
          </cell>
          <cell r="I3788" t="str">
            <v/>
          </cell>
          <cell r="J3788" t="str">
            <v/>
          </cell>
          <cell r="K3788" t="str">
            <v/>
          </cell>
          <cell r="L3788" t="str">
            <v/>
          </cell>
          <cell r="M3788" t="str">
            <v/>
          </cell>
        </row>
        <row r="3789">
          <cell r="A3789">
            <v>31102192</v>
          </cell>
          <cell r="C3789">
            <v>31102192</v>
          </cell>
          <cell r="D3789">
            <v>31102192</v>
          </cell>
          <cell r="E3789">
            <v>31102192</v>
          </cell>
          <cell r="F3789">
            <v>31102192</v>
          </cell>
          <cell r="G3789">
            <v>31102192</v>
          </cell>
          <cell r="H3789">
            <v>31102192</v>
          </cell>
          <cell r="I3789" t="str">
            <v/>
          </cell>
          <cell r="J3789" t="str">
            <v/>
          </cell>
          <cell r="K3789" t="str">
            <v/>
          </cell>
          <cell r="L3789" t="str">
            <v/>
          </cell>
          <cell r="M3789" t="str">
            <v/>
          </cell>
        </row>
        <row r="3790">
          <cell r="A3790">
            <v>31102192</v>
          </cell>
          <cell r="C3790">
            <v>31102192</v>
          </cell>
          <cell r="D3790">
            <v>31102192</v>
          </cell>
          <cell r="E3790">
            <v>31102192</v>
          </cell>
          <cell r="F3790">
            <v>31102192</v>
          </cell>
          <cell r="G3790">
            <v>31102192</v>
          </cell>
          <cell r="H3790">
            <v>31102192</v>
          </cell>
          <cell r="I3790" t="str">
            <v/>
          </cell>
          <cell r="J3790" t="str">
            <v/>
          </cell>
          <cell r="K3790" t="str">
            <v/>
          </cell>
          <cell r="L3790" t="str">
            <v/>
          </cell>
          <cell r="M3790" t="str">
            <v/>
          </cell>
        </row>
        <row r="3791">
          <cell r="A3791">
            <v>31102192</v>
          </cell>
          <cell r="C3791">
            <v>31102192</v>
          </cell>
          <cell r="D3791">
            <v>31102192</v>
          </cell>
          <cell r="E3791">
            <v>31102192</v>
          </cell>
          <cell r="F3791">
            <v>31102192</v>
          </cell>
          <cell r="G3791">
            <v>31102192</v>
          </cell>
          <cell r="H3791">
            <v>31102192</v>
          </cell>
          <cell r="I3791" t="str">
            <v/>
          </cell>
          <cell r="J3791" t="str">
            <v/>
          </cell>
          <cell r="K3791" t="str">
            <v/>
          </cell>
          <cell r="L3791" t="str">
            <v/>
          </cell>
          <cell r="M3791" t="str">
            <v/>
          </cell>
        </row>
        <row r="3792">
          <cell r="A3792">
            <v>31102192</v>
          </cell>
          <cell r="C3792">
            <v>31102192</v>
          </cell>
          <cell r="D3792">
            <v>31102192</v>
          </cell>
          <cell r="E3792">
            <v>31102192</v>
          </cell>
          <cell r="F3792">
            <v>31102192</v>
          </cell>
          <cell r="G3792">
            <v>31102192</v>
          </cell>
          <cell r="H3792">
            <v>31102192</v>
          </cell>
          <cell r="I3792" t="str">
            <v/>
          </cell>
          <cell r="J3792" t="str">
            <v/>
          </cell>
          <cell r="K3792" t="str">
            <v/>
          </cell>
          <cell r="L3792" t="str">
            <v/>
          </cell>
          <cell r="M3792" t="str">
            <v/>
          </cell>
        </row>
        <row r="3793">
          <cell r="A3793">
            <v>31102192</v>
          </cell>
          <cell r="C3793">
            <v>31102192</v>
          </cell>
          <cell r="D3793">
            <v>31102192</v>
          </cell>
          <cell r="E3793">
            <v>31102192</v>
          </cell>
          <cell r="F3793">
            <v>31102192</v>
          </cell>
          <cell r="G3793">
            <v>31102192</v>
          </cell>
          <cell r="H3793">
            <v>31102192</v>
          </cell>
          <cell r="I3793" t="str">
            <v/>
          </cell>
          <cell r="J3793" t="str">
            <v/>
          </cell>
          <cell r="K3793" t="str">
            <v/>
          </cell>
          <cell r="L3793" t="str">
            <v/>
          </cell>
          <cell r="M3793" t="str">
            <v/>
          </cell>
        </row>
        <row r="3794">
          <cell r="A3794">
            <v>31102192</v>
          </cell>
          <cell r="C3794">
            <v>31102192</v>
          </cell>
          <cell r="D3794">
            <v>31102192</v>
          </cell>
          <cell r="E3794">
            <v>31102192</v>
          </cell>
          <cell r="F3794">
            <v>31102192</v>
          </cell>
          <cell r="G3794">
            <v>31102192</v>
          </cell>
          <cell r="H3794">
            <v>31102192</v>
          </cell>
          <cell r="I3794" t="str">
            <v/>
          </cell>
          <cell r="J3794" t="str">
            <v/>
          </cell>
          <cell r="K3794" t="str">
            <v/>
          </cell>
          <cell r="L3794" t="str">
            <v/>
          </cell>
          <cell r="M3794" t="str">
            <v/>
          </cell>
        </row>
        <row r="3795">
          <cell r="A3795">
            <v>31102192</v>
          </cell>
          <cell r="C3795">
            <v>31102192</v>
          </cell>
          <cell r="D3795">
            <v>31102192</v>
          </cell>
          <cell r="E3795">
            <v>31102192</v>
          </cell>
          <cell r="F3795">
            <v>31102192</v>
          </cell>
          <cell r="G3795">
            <v>31102192</v>
          </cell>
          <cell r="H3795">
            <v>31102192</v>
          </cell>
          <cell r="I3795" t="str">
            <v/>
          </cell>
          <cell r="J3795" t="str">
            <v/>
          </cell>
          <cell r="K3795" t="str">
            <v/>
          </cell>
          <cell r="L3795" t="str">
            <v/>
          </cell>
          <cell r="M3795" t="str">
            <v/>
          </cell>
        </row>
        <row r="3796">
          <cell r="A3796">
            <v>31102192</v>
          </cell>
          <cell r="C3796">
            <v>31102192</v>
          </cell>
          <cell r="D3796">
            <v>31102192</v>
          </cell>
          <cell r="E3796">
            <v>31102192</v>
          </cell>
          <cell r="F3796">
            <v>31102192</v>
          </cell>
          <cell r="G3796">
            <v>31102192</v>
          </cell>
          <cell r="H3796">
            <v>31102192</v>
          </cell>
          <cell r="I3796" t="str">
            <v/>
          </cell>
          <cell r="J3796" t="str">
            <v/>
          </cell>
          <cell r="K3796" t="str">
            <v/>
          </cell>
          <cell r="L3796" t="str">
            <v/>
          </cell>
          <cell r="M3796" t="str">
            <v/>
          </cell>
        </row>
        <row r="3797">
          <cell r="A3797">
            <v>31102192</v>
          </cell>
          <cell r="C3797">
            <v>31102192</v>
          </cell>
          <cell r="D3797">
            <v>31102192</v>
          </cell>
          <cell r="E3797">
            <v>31102192</v>
          </cell>
          <cell r="F3797">
            <v>31102192</v>
          </cell>
          <cell r="G3797">
            <v>31102192</v>
          </cell>
          <cell r="H3797">
            <v>31102192</v>
          </cell>
          <cell r="I3797" t="str">
            <v/>
          </cell>
          <cell r="J3797" t="str">
            <v/>
          </cell>
          <cell r="K3797" t="str">
            <v/>
          </cell>
          <cell r="L3797" t="str">
            <v/>
          </cell>
          <cell r="M3797" t="str">
            <v/>
          </cell>
        </row>
        <row r="3798">
          <cell r="A3798">
            <v>31102192</v>
          </cell>
          <cell r="C3798">
            <v>31102192</v>
          </cell>
          <cell r="D3798">
            <v>31102192</v>
          </cell>
          <cell r="E3798">
            <v>31102192</v>
          </cell>
          <cell r="F3798">
            <v>31102192</v>
          </cell>
          <cell r="G3798">
            <v>31102192</v>
          </cell>
          <cell r="H3798">
            <v>31102192</v>
          </cell>
          <cell r="I3798" t="str">
            <v/>
          </cell>
          <cell r="J3798" t="str">
            <v/>
          </cell>
          <cell r="K3798" t="str">
            <v/>
          </cell>
          <cell r="L3798" t="str">
            <v/>
          </cell>
          <cell r="M3798" t="str">
            <v/>
          </cell>
        </row>
        <row r="3799">
          <cell r="A3799">
            <v>31102192</v>
          </cell>
          <cell r="C3799">
            <v>31102192</v>
          </cell>
          <cell r="D3799">
            <v>31102192</v>
          </cell>
          <cell r="E3799">
            <v>31102192</v>
          </cell>
          <cell r="F3799">
            <v>31102192</v>
          </cell>
          <cell r="G3799">
            <v>31102192</v>
          </cell>
          <cell r="H3799">
            <v>31102192</v>
          </cell>
          <cell r="I3799" t="str">
            <v/>
          </cell>
          <cell r="J3799" t="str">
            <v/>
          </cell>
          <cell r="K3799" t="str">
            <v/>
          </cell>
          <cell r="L3799" t="str">
            <v/>
          </cell>
          <cell r="M3799" t="str">
            <v/>
          </cell>
        </row>
        <row r="3800">
          <cell r="A3800">
            <v>31102192</v>
          </cell>
          <cell r="C3800">
            <v>31102192</v>
          </cell>
          <cell r="D3800">
            <v>31102192</v>
          </cell>
          <cell r="E3800">
            <v>31102192</v>
          </cell>
          <cell r="F3800">
            <v>31102192</v>
          </cell>
          <cell r="G3800">
            <v>31102192</v>
          </cell>
          <cell r="H3800">
            <v>31102192</v>
          </cell>
          <cell r="I3800" t="str">
            <v/>
          </cell>
          <cell r="J3800" t="str">
            <v/>
          </cell>
          <cell r="K3800" t="str">
            <v/>
          </cell>
          <cell r="L3800" t="str">
            <v/>
          </cell>
          <cell r="M3800" t="str">
            <v/>
          </cell>
        </row>
        <row r="3801">
          <cell r="A3801">
            <v>31102192</v>
          </cell>
          <cell r="C3801">
            <v>31102192</v>
          </cell>
          <cell r="D3801">
            <v>31102192</v>
          </cell>
          <cell r="E3801">
            <v>31102192</v>
          </cell>
          <cell r="F3801">
            <v>31102192</v>
          </cell>
          <cell r="G3801">
            <v>31102192</v>
          </cell>
          <cell r="H3801">
            <v>31102192</v>
          </cell>
          <cell r="I3801" t="str">
            <v/>
          </cell>
          <cell r="J3801" t="str">
            <v/>
          </cell>
          <cell r="K3801" t="str">
            <v/>
          </cell>
          <cell r="L3801" t="str">
            <v/>
          </cell>
          <cell r="M3801" t="str">
            <v/>
          </cell>
        </row>
        <row r="3802">
          <cell r="A3802">
            <v>31102192</v>
          </cell>
          <cell r="C3802">
            <v>31102192</v>
          </cell>
          <cell r="D3802">
            <v>31102192</v>
          </cell>
          <cell r="E3802">
            <v>31102192</v>
          </cell>
          <cell r="F3802">
            <v>31102192</v>
          </cell>
          <cell r="G3802">
            <v>31102192</v>
          </cell>
          <cell r="H3802">
            <v>31102192</v>
          </cell>
          <cell r="I3802" t="str">
            <v/>
          </cell>
          <cell r="J3802" t="str">
            <v/>
          </cell>
          <cell r="K3802" t="str">
            <v/>
          </cell>
          <cell r="L3802" t="str">
            <v/>
          </cell>
          <cell r="M3802" t="str">
            <v/>
          </cell>
        </row>
        <row r="3803">
          <cell r="A3803">
            <v>31102192</v>
          </cell>
          <cell r="C3803">
            <v>31102192</v>
          </cell>
          <cell r="D3803">
            <v>31102192</v>
          </cell>
          <cell r="E3803">
            <v>31102192</v>
          </cell>
          <cell r="F3803">
            <v>31102192</v>
          </cell>
          <cell r="G3803">
            <v>31102192</v>
          </cell>
          <cell r="H3803">
            <v>31102192</v>
          </cell>
          <cell r="I3803" t="str">
            <v/>
          </cell>
          <cell r="J3803" t="str">
            <v/>
          </cell>
          <cell r="K3803" t="str">
            <v/>
          </cell>
          <cell r="L3803" t="str">
            <v/>
          </cell>
          <cell r="M3803" t="str">
            <v/>
          </cell>
        </row>
        <row r="3804">
          <cell r="A3804">
            <v>31102192</v>
          </cell>
          <cell r="C3804">
            <v>31102192</v>
          </cell>
          <cell r="D3804">
            <v>31102192</v>
          </cell>
          <cell r="E3804">
            <v>31102192</v>
          </cell>
          <cell r="F3804">
            <v>31102192</v>
          </cell>
          <cell r="G3804">
            <v>31102192</v>
          </cell>
          <cell r="H3804">
            <v>31102192</v>
          </cell>
          <cell r="I3804" t="str">
            <v/>
          </cell>
          <cell r="J3804" t="str">
            <v/>
          </cell>
          <cell r="K3804" t="str">
            <v/>
          </cell>
          <cell r="L3804" t="str">
            <v/>
          </cell>
          <cell r="M3804" t="str">
            <v/>
          </cell>
        </row>
        <row r="3805">
          <cell r="A3805">
            <v>31102192</v>
          </cell>
          <cell r="C3805">
            <v>31102192</v>
          </cell>
          <cell r="D3805">
            <v>31102192</v>
          </cell>
          <cell r="E3805">
            <v>31102192</v>
          </cell>
          <cell r="F3805">
            <v>31102192</v>
          </cell>
          <cell r="G3805">
            <v>31102192</v>
          </cell>
          <cell r="H3805">
            <v>31102192</v>
          </cell>
          <cell r="I3805" t="str">
            <v/>
          </cell>
          <cell r="J3805" t="str">
            <v/>
          </cell>
          <cell r="K3805" t="str">
            <v/>
          </cell>
          <cell r="L3805" t="str">
            <v/>
          </cell>
          <cell r="M3805" t="str">
            <v/>
          </cell>
        </row>
        <row r="3806">
          <cell r="A3806">
            <v>31102192</v>
          </cell>
          <cell r="C3806">
            <v>31102192</v>
          </cell>
          <cell r="D3806">
            <v>31102192</v>
          </cell>
          <cell r="E3806">
            <v>31102192</v>
          </cell>
          <cell r="F3806">
            <v>31102192</v>
          </cell>
          <cell r="G3806">
            <v>31102192</v>
          </cell>
          <cell r="H3806">
            <v>31102192</v>
          </cell>
          <cell r="I3806" t="str">
            <v/>
          </cell>
          <cell r="J3806" t="str">
            <v/>
          </cell>
          <cell r="K3806" t="str">
            <v/>
          </cell>
          <cell r="L3806" t="str">
            <v/>
          </cell>
          <cell r="M3806" t="str">
            <v/>
          </cell>
        </row>
        <row r="3807">
          <cell r="A3807">
            <v>31102192</v>
          </cell>
          <cell r="C3807">
            <v>31102192</v>
          </cell>
          <cell r="D3807">
            <v>31102192</v>
          </cell>
          <cell r="E3807">
            <v>31102192</v>
          </cell>
          <cell r="F3807">
            <v>31102192</v>
          </cell>
          <cell r="G3807">
            <v>31102192</v>
          </cell>
          <cell r="H3807">
            <v>31102192</v>
          </cell>
          <cell r="I3807" t="str">
            <v/>
          </cell>
          <cell r="J3807" t="str">
            <v/>
          </cell>
          <cell r="K3807" t="str">
            <v/>
          </cell>
          <cell r="L3807" t="str">
            <v/>
          </cell>
          <cell r="M3807" t="str">
            <v/>
          </cell>
        </row>
        <row r="3808">
          <cell r="A3808">
            <v>31102192</v>
          </cell>
          <cell r="C3808">
            <v>31102192</v>
          </cell>
          <cell r="D3808">
            <v>31102192</v>
          </cell>
          <cell r="E3808">
            <v>31102192</v>
          </cell>
          <cell r="F3808">
            <v>31102192</v>
          </cell>
          <cell r="G3808">
            <v>31102192</v>
          </cell>
          <cell r="H3808">
            <v>31102192</v>
          </cell>
          <cell r="I3808" t="str">
            <v/>
          </cell>
          <cell r="J3808" t="str">
            <v/>
          </cell>
          <cell r="K3808" t="str">
            <v/>
          </cell>
          <cell r="L3808" t="str">
            <v/>
          </cell>
          <cell r="M3808" t="str">
            <v/>
          </cell>
        </row>
        <row r="3809">
          <cell r="A3809">
            <v>31102192</v>
          </cell>
          <cell r="C3809">
            <v>31102192</v>
          </cell>
          <cell r="D3809">
            <v>31102192</v>
          </cell>
          <cell r="E3809">
            <v>31102192</v>
          </cell>
          <cell r="F3809">
            <v>31102192</v>
          </cell>
          <cell r="G3809">
            <v>31102192</v>
          </cell>
          <cell r="H3809">
            <v>31102192</v>
          </cell>
          <cell r="I3809" t="str">
            <v/>
          </cell>
          <cell r="J3809" t="str">
            <v/>
          </cell>
          <cell r="K3809" t="str">
            <v/>
          </cell>
          <cell r="L3809" t="str">
            <v/>
          </cell>
          <cell r="M3809" t="str">
            <v/>
          </cell>
        </row>
        <row r="3810">
          <cell r="A3810">
            <v>31102192</v>
          </cell>
          <cell r="C3810">
            <v>31102192</v>
          </cell>
          <cell r="D3810">
            <v>31102192</v>
          </cell>
          <cell r="E3810">
            <v>31102192</v>
          </cell>
          <cell r="F3810">
            <v>31102192</v>
          </cell>
          <cell r="G3810">
            <v>31102192</v>
          </cell>
          <cell r="H3810">
            <v>31102192</v>
          </cell>
          <cell r="I3810" t="str">
            <v/>
          </cell>
          <cell r="J3810" t="str">
            <v/>
          </cell>
          <cell r="K3810" t="str">
            <v/>
          </cell>
          <cell r="L3810" t="str">
            <v/>
          </cell>
          <cell r="M3810" t="str">
            <v/>
          </cell>
        </row>
        <row r="3811">
          <cell r="A3811">
            <v>31102192</v>
          </cell>
          <cell r="C3811">
            <v>31102192</v>
          </cell>
          <cell r="D3811">
            <v>31102192</v>
          </cell>
          <cell r="E3811">
            <v>31102192</v>
          </cell>
          <cell r="F3811">
            <v>31102192</v>
          </cell>
          <cell r="G3811">
            <v>31102192</v>
          </cell>
          <cell r="H3811">
            <v>31102192</v>
          </cell>
          <cell r="I3811" t="str">
            <v/>
          </cell>
          <cell r="J3811" t="str">
            <v/>
          </cell>
          <cell r="K3811" t="str">
            <v/>
          </cell>
          <cell r="L3811" t="str">
            <v/>
          </cell>
          <cell r="M3811" t="str">
            <v/>
          </cell>
        </row>
        <row r="3812">
          <cell r="A3812">
            <v>31102192</v>
          </cell>
          <cell r="C3812">
            <v>31102192</v>
          </cell>
          <cell r="D3812">
            <v>31102192</v>
          </cell>
          <cell r="E3812">
            <v>31102192</v>
          </cell>
          <cell r="F3812">
            <v>31102192</v>
          </cell>
          <cell r="G3812">
            <v>31102192</v>
          </cell>
          <cell r="H3812">
            <v>31102192</v>
          </cell>
          <cell r="I3812" t="str">
            <v/>
          </cell>
          <cell r="J3812" t="str">
            <v/>
          </cell>
          <cell r="K3812" t="str">
            <v/>
          </cell>
          <cell r="L3812" t="str">
            <v/>
          </cell>
          <cell r="M3812" t="str">
            <v/>
          </cell>
        </row>
        <row r="3813">
          <cell r="A3813">
            <v>31102192</v>
          </cell>
          <cell r="C3813">
            <v>31102192</v>
          </cell>
          <cell r="D3813">
            <v>31102192</v>
          </cell>
          <cell r="E3813">
            <v>31102192</v>
          </cell>
          <cell r="F3813">
            <v>31102192</v>
          </cell>
          <cell r="G3813">
            <v>31102192</v>
          </cell>
          <cell r="H3813">
            <v>31102192</v>
          </cell>
          <cell r="I3813" t="str">
            <v/>
          </cell>
          <cell r="J3813" t="str">
            <v/>
          </cell>
          <cell r="K3813" t="str">
            <v/>
          </cell>
          <cell r="L3813" t="str">
            <v/>
          </cell>
          <cell r="M3813" t="str">
            <v/>
          </cell>
        </row>
        <row r="3814">
          <cell r="A3814">
            <v>31102192</v>
          </cell>
          <cell r="C3814">
            <v>31102192</v>
          </cell>
          <cell r="D3814">
            <v>31102192</v>
          </cell>
          <cell r="E3814">
            <v>31102192</v>
          </cell>
          <cell r="F3814">
            <v>31102192</v>
          </cell>
          <cell r="G3814">
            <v>31102192</v>
          </cell>
          <cell r="H3814">
            <v>31102192</v>
          </cell>
          <cell r="I3814" t="str">
            <v/>
          </cell>
          <cell r="J3814" t="str">
            <v/>
          </cell>
          <cell r="K3814" t="str">
            <v/>
          </cell>
          <cell r="L3814" t="str">
            <v/>
          </cell>
          <cell r="M3814" t="str">
            <v/>
          </cell>
        </row>
        <row r="3815">
          <cell r="A3815">
            <v>31102192</v>
          </cell>
          <cell r="C3815">
            <v>31102192</v>
          </cell>
          <cell r="D3815">
            <v>31102192</v>
          </cell>
          <cell r="E3815">
            <v>31102192</v>
          </cell>
          <cell r="F3815">
            <v>31102192</v>
          </cell>
          <cell r="G3815">
            <v>31102192</v>
          </cell>
          <cell r="H3815">
            <v>31102192</v>
          </cell>
          <cell r="I3815" t="str">
            <v/>
          </cell>
          <cell r="J3815" t="str">
            <v/>
          </cell>
          <cell r="K3815" t="str">
            <v/>
          </cell>
          <cell r="L3815" t="str">
            <v/>
          </cell>
          <cell r="M3815" t="str">
            <v/>
          </cell>
        </row>
        <row r="3816">
          <cell r="A3816">
            <v>31102192</v>
          </cell>
          <cell r="C3816">
            <v>31102192</v>
          </cell>
          <cell r="D3816">
            <v>31102192</v>
          </cell>
          <cell r="E3816">
            <v>31102192</v>
          </cell>
          <cell r="F3816">
            <v>31102192</v>
          </cell>
          <cell r="G3816">
            <v>31102192</v>
          </cell>
          <cell r="H3816">
            <v>31102192</v>
          </cell>
          <cell r="I3816" t="str">
            <v/>
          </cell>
          <cell r="J3816" t="str">
            <v/>
          </cell>
          <cell r="K3816" t="str">
            <v/>
          </cell>
          <cell r="L3816" t="str">
            <v/>
          </cell>
          <cell r="M3816" t="str">
            <v/>
          </cell>
        </row>
        <row r="3817">
          <cell r="A3817">
            <v>31102192</v>
          </cell>
          <cell r="C3817">
            <v>31102192</v>
          </cell>
          <cell r="D3817">
            <v>31102192</v>
          </cell>
          <cell r="E3817">
            <v>31102192</v>
          </cell>
          <cell r="F3817">
            <v>31102192</v>
          </cell>
          <cell r="G3817">
            <v>31102192</v>
          </cell>
          <cell r="H3817">
            <v>31102192</v>
          </cell>
          <cell r="I3817" t="str">
            <v/>
          </cell>
          <cell r="J3817" t="str">
            <v/>
          </cell>
          <cell r="K3817" t="str">
            <v/>
          </cell>
          <cell r="L3817" t="str">
            <v/>
          </cell>
          <cell r="M3817" t="str">
            <v/>
          </cell>
        </row>
        <row r="3818">
          <cell r="A3818">
            <v>31102192</v>
          </cell>
          <cell r="C3818">
            <v>31102192</v>
          </cell>
          <cell r="D3818">
            <v>31102192</v>
          </cell>
          <cell r="E3818">
            <v>31102192</v>
          </cell>
          <cell r="F3818">
            <v>31102192</v>
          </cell>
          <cell r="G3818">
            <v>31102192</v>
          </cell>
          <cell r="H3818">
            <v>31102192</v>
          </cell>
          <cell r="I3818" t="str">
            <v/>
          </cell>
          <cell r="J3818" t="str">
            <v/>
          </cell>
          <cell r="K3818" t="str">
            <v/>
          </cell>
          <cell r="L3818" t="str">
            <v/>
          </cell>
          <cell r="M3818" t="str">
            <v/>
          </cell>
        </row>
        <row r="3819">
          <cell r="A3819">
            <v>31102192</v>
          </cell>
          <cell r="C3819">
            <v>31102192</v>
          </cell>
          <cell r="D3819">
            <v>31102192</v>
          </cell>
          <cell r="E3819">
            <v>31102192</v>
          </cell>
          <cell r="F3819">
            <v>31102192</v>
          </cell>
          <cell r="G3819">
            <v>31102192</v>
          </cell>
          <cell r="H3819">
            <v>31102192</v>
          </cell>
          <cell r="I3819" t="str">
            <v/>
          </cell>
          <cell r="J3819" t="str">
            <v/>
          </cell>
          <cell r="K3819" t="str">
            <v/>
          </cell>
          <cell r="L3819" t="str">
            <v/>
          </cell>
          <cell r="M3819" t="str">
            <v/>
          </cell>
        </row>
        <row r="3820">
          <cell r="A3820">
            <v>31102192</v>
          </cell>
          <cell r="C3820">
            <v>31102192</v>
          </cell>
          <cell r="D3820">
            <v>31102192</v>
          </cell>
          <cell r="E3820">
            <v>31102192</v>
          </cell>
          <cell r="F3820">
            <v>31102192</v>
          </cell>
          <cell r="G3820">
            <v>31102192</v>
          </cell>
          <cell r="H3820">
            <v>31102192</v>
          </cell>
          <cell r="I3820" t="str">
            <v/>
          </cell>
          <cell r="J3820" t="str">
            <v/>
          </cell>
          <cell r="K3820" t="str">
            <v/>
          </cell>
          <cell r="L3820" t="str">
            <v/>
          </cell>
          <cell r="M3820" t="str">
            <v/>
          </cell>
        </row>
        <row r="3821">
          <cell r="A3821">
            <v>31102192</v>
          </cell>
          <cell r="C3821">
            <v>31102192</v>
          </cell>
          <cell r="D3821">
            <v>31102192</v>
          </cell>
          <cell r="E3821">
            <v>31102192</v>
          </cell>
          <cell r="F3821">
            <v>31102192</v>
          </cell>
          <cell r="G3821">
            <v>31102192</v>
          </cell>
          <cell r="H3821">
            <v>31102192</v>
          </cell>
          <cell r="I3821" t="str">
            <v/>
          </cell>
          <cell r="J3821" t="str">
            <v/>
          </cell>
          <cell r="K3821" t="str">
            <v/>
          </cell>
          <cell r="L3821" t="str">
            <v/>
          </cell>
          <cell r="M3821" t="str">
            <v/>
          </cell>
        </row>
        <row r="3822">
          <cell r="A3822">
            <v>31102192</v>
          </cell>
          <cell r="C3822">
            <v>31102192</v>
          </cell>
          <cell r="D3822">
            <v>31102192</v>
          </cell>
          <cell r="E3822">
            <v>31102192</v>
          </cell>
          <cell r="F3822">
            <v>31102192</v>
          </cell>
          <cell r="G3822">
            <v>31102192</v>
          </cell>
          <cell r="H3822">
            <v>31102192</v>
          </cell>
          <cell r="I3822" t="str">
            <v/>
          </cell>
          <cell r="J3822" t="str">
            <v/>
          </cell>
          <cell r="K3822" t="str">
            <v/>
          </cell>
          <cell r="L3822" t="str">
            <v/>
          </cell>
          <cell r="M3822" t="str">
            <v/>
          </cell>
        </row>
        <row r="3823">
          <cell r="A3823">
            <v>31102192</v>
          </cell>
          <cell r="C3823">
            <v>31102192</v>
          </cell>
          <cell r="D3823">
            <v>31102192</v>
          </cell>
          <cell r="E3823">
            <v>31102192</v>
          </cell>
          <cell r="F3823">
            <v>31102192</v>
          </cell>
          <cell r="G3823">
            <v>31102192</v>
          </cell>
          <cell r="H3823">
            <v>31102192</v>
          </cell>
          <cell r="I3823" t="str">
            <v/>
          </cell>
          <cell r="J3823" t="str">
            <v/>
          </cell>
          <cell r="K3823" t="str">
            <v/>
          </cell>
          <cell r="L3823" t="str">
            <v/>
          </cell>
          <cell r="M3823" t="str">
            <v/>
          </cell>
        </row>
        <row r="3824">
          <cell r="A3824">
            <v>31102192</v>
          </cell>
          <cell r="C3824">
            <v>31102192</v>
          </cell>
          <cell r="D3824">
            <v>31102192</v>
          </cell>
          <cell r="E3824">
            <v>31102192</v>
          </cell>
          <cell r="F3824">
            <v>31102192</v>
          </cell>
          <cell r="G3824">
            <v>31102192</v>
          </cell>
          <cell r="H3824">
            <v>31102192</v>
          </cell>
          <cell r="I3824" t="str">
            <v/>
          </cell>
          <cell r="J3824" t="str">
            <v/>
          </cell>
          <cell r="K3824" t="str">
            <v/>
          </cell>
          <cell r="L3824" t="str">
            <v/>
          </cell>
          <cell r="M3824" t="str">
            <v/>
          </cell>
        </row>
        <row r="3825">
          <cell r="A3825">
            <v>31102192</v>
          </cell>
          <cell r="C3825">
            <v>31102192</v>
          </cell>
          <cell r="D3825">
            <v>31102192</v>
          </cell>
          <cell r="E3825">
            <v>31102192</v>
          </cell>
          <cell r="F3825">
            <v>31102192</v>
          </cell>
          <cell r="G3825">
            <v>31102192</v>
          </cell>
          <cell r="H3825">
            <v>31102192</v>
          </cell>
          <cell r="I3825" t="str">
            <v/>
          </cell>
          <cell r="J3825" t="str">
            <v/>
          </cell>
          <cell r="K3825" t="str">
            <v/>
          </cell>
          <cell r="L3825" t="str">
            <v/>
          </cell>
          <cell r="M3825" t="str">
            <v/>
          </cell>
        </row>
        <row r="3826">
          <cell r="A3826">
            <v>31102192</v>
          </cell>
          <cell r="C3826">
            <v>31102192</v>
          </cell>
          <cell r="D3826">
            <v>31102192</v>
          </cell>
          <cell r="E3826">
            <v>31102192</v>
          </cell>
          <cell r="F3826">
            <v>31102192</v>
          </cell>
          <cell r="G3826">
            <v>31102192</v>
          </cell>
          <cell r="H3826">
            <v>31102192</v>
          </cell>
          <cell r="I3826" t="str">
            <v/>
          </cell>
          <cell r="J3826" t="str">
            <v/>
          </cell>
          <cell r="K3826" t="str">
            <v/>
          </cell>
          <cell r="L3826" t="str">
            <v/>
          </cell>
          <cell r="M3826" t="str">
            <v/>
          </cell>
        </row>
        <row r="3827">
          <cell r="A3827">
            <v>31102192</v>
          </cell>
          <cell r="C3827">
            <v>31102192</v>
          </cell>
          <cell r="D3827">
            <v>31102192</v>
          </cell>
          <cell r="E3827">
            <v>31102192</v>
          </cell>
          <cell r="F3827">
            <v>31102192</v>
          </cell>
          <cell r="G3827">
            <v>31102192</v>
          </cell>
          <cell r="H3827">
            <v>31102192</v>
          </cell>
          <cell r="I3827" t="str">
            <v/>
          </cell>
          <cell r="J3827" t="str">
            <v/>
          </cell>
          <cell r="K3827" t="str">
            <v/>
          </cell>
          <cell r="L3827" t="str">
            <v/>
          </cell>
          <cell r="M3827" t="str">
            <v/>
          </cell>
        </row>
        <row r="3828">
          <cell r="A3828">
            <v>31102192</v>
          </cell>
          <cell r="C3828">
            <v>31102192</v>
          </cell>
          <cell r="D3828">
            <v>31102192</v>
          </cell>
          <cell r="E3828">
            <v>31102192</v>
          </cell>
          <cell r="F3828">
            <v>31102192</v>
          </cell>
          <cell r="G3828">
            <v>31102192</v>
          </cell>
          <cell r="H3828">
            <v>31102192</v>
          </cell>
          <cell r="I3828" t="str">
            <v/>
          </cell>
          <cell r="J3828" t="str">
            <v/>
          </cell>
          <cell r="K3828" t="str">
            <v/>
          </cell>
          <cell r="L3828" t="str">
            <v/>
          </cell>
          <cell r="M3828" t="str">
            <v/>
          </cell>
        </row>
        <row r="3829">
          <cell r="A3829">
            <v>31102192</v>
          </cell>
          <cell r="C3829">
            <v>31102192</v>
          </cell>
          <cell r="D3829">
            <v>31102192</v>
          </cell>
          <cell r="E3829">
            <v>31102192</v>
          </cell>
          <cell r="F3829">
            <v>31102192</v>
          </cell>
          <cell r="G3829">
            <v>31102192</v>
          </cell>
          <cell r="H3829">
            <v>31102192</v>
          </cell>
          <cell r="I3829" t="str">
            <v/>
          </cell>
          <cell r="J3829" t="str">
            <v/>
          </cell>
          <cell r="K3829" t="str">
            <v/>
          </cell>
          <cell r="L3829" t="str">
            <v/>
          </cell>
          <cell r="M3829" t="str">
            <v/>
          </cell>
        </row>
        <row r="3830">
          <cell r="A3830">
            <v>31102192</v>
          </cell>
          <cell r="C3830">
            <v>31102192</v>
          </cell>
          <cell r="D3830">
            <v>31102192</v>
          </cell>
          <cell r="E3830">
            <v>31102192</v>
          </cell>
          <cell r="F3830">
            <v>31102192</v>
          </cell>
          <cell r="G3830">
            <v>31102192</v>
          </cell>
          <cell r="H3830">
            <v>31102192</v>
          </cell>
          <cell r="I3830" t="str">
            <v/>
          </cell>
          <cell r="J3830" t="str">
            <v/>
          </cell>
          <cell r="K3830" t="str">
            <v/>
          </cell>
          <cell r="L3830" t="str">
            <v/>
          </cell>
          <cell r="M3830" t="str">
            <v/>
          </cell>
        </row>
        <row r="3831">
          <cell r="A3831">
            <v>31102192</v>
          </cell>
          <cell r="C3831">
            <v>31102192</v>
          </cell>
          <cell r="D3831">
            <v>31102192</v>
          </cell>
          <cell r="E3831">
            <v>31102192</v>
          </cell>
          <cell r="F3831">
            <v>31102192</v>
          </cell>
          <cell r="G3831">
            <v>31102192</v>
          </cell>
          <cell r="H3831">
            <v>31102192</v>
          </cell>
          <cell r="I3831" t="str">
            <v/>
          </cell>
          <cell r="J3831" t="str">
            <v/>
          </cell>
          <cell r="K3831" t="str">
            <v/>
          </cell>
          <cell r="L3831" t="str">
            <v/>
          </cell>
          <cell r="M3831" t="str">
            <v/>
          </cell>
        </row>
        <row r="3832">
          <cell r="A3832">
            <v>31102192</v>
          </cell>
          <cell r="C3832">
            <v>31102192</v>
          </cell>
          <cell r="D3832">
            <v>31102192</v>
          </cell>
          <cell r="E3832">
            <v>31102192</v>
          </cell>
          <cell r="F3832">
            <v>31102192</v>
          </cell>
          <cell r="G3832">
            <v>31102192</v>
          </cell>
          <cell r="H3832">
            <v>31102192</v>
          </cell>
          <cell r="I3832" t="str">
            <v/>
          </cell>
          <cell r="J3832" t="str">
            <v/>
          </cell>
          <cell r="K3832" t="str">
            <v/>
          </cell>
          <cell r="L3832" t="str">
            <v/>
          </cell>
          <cell r="M3832" t="str">
            <v/>
          </cell>
        </row>
        <row r="3833">
          <cell r="A3833">
            <v>31102192</v>
          </cell>
          <cell r="C3833">
            <v>31102192</v>
          </cell>
          <cell r="D3833">
            <v>31102192</v>
          </cell>
          <cell r="E3833">
            <v>31102192</v>
          </cell>
          <cell r="F3833">
            <v>31102192</v>
          </cell>
          <cell r="G3833">
            <v>31102192</v>
          </cell>
          <cell r="H3833">
            <v>31102192</v>
          </cell>
          <cell r="I3833" t="str">
            <v/>
          </cell>
          <cell r="J3833" t="str">
            <v/>
          </cell>
          <cell r="K3833" t="str">
            <v/>
          </cell>
          <cell r="L3833" t="str">
            <v/>
          </cell>
          <cell r="M3833" t="str">
            <v/>
          </cell>
        </row>
        <row r="3834">
          <cell r="A3834">
            <v>31102192</v>
          </cell>
          <cell r="C3834">
            <v>31102192</v>
          </cell>
          <cell r="D3834">
            <v>31102192</v>
          </cell>
          <cell r="E3834">
            <v>31102192</v>
          </cell>
          <cell r="F3834">
            <v>31102192</v>
          </cell>
          <cell r="G3834">
            <v>31102192</v>
          </cell>
          <cell r="H3834">
            <v>31102192</v>
          </cell>
          <cell r="I3834" t="str">
            <v/>
          </cell>
          <cell r="J3834" t="str">
            <v/>
          </cell>
          <cell r="K3834" t="str">
            <v/>
          </cell>
          <cell r="L3834" t="str">
            <v/>
          </cell>
          <cell r="M3834" t="str">
            <v/>
          </cell>
        </row>
        <row r="3835">
          <cell r="A3835">
            <v>31102192</v>
          </cell>
          <cell r="C3835">
            <v>31102192</v>
          </cell>
          <cell r="D3835">
            <v>31102192</v>
          </cell>
          <cell r="E3835">
            <v>31102192</v>
          </cell>
          <cell r="F3835">
            <v>31102192</v>
          </cell>
          <cell r="G3835">
            <v>31102192</v>
          </cell>
          <cell r="H3835">
            <v>31102192</v>
          </cell>
          <cell r="I3835" t="str">
            <v/>
          </cell>
          <cell r="J3835" t="str">
            <v/>
          </cell>
          <cell r="K3835" t="str">
            <v/>
          </cell>
          <cell r="L3835" t="str">
            <v/>
          </cell>
          <cell r="M3835" t="str">
            <v/>
          </cell>
        </row>
        <row r="3836">
          <cell r="A3836">
            <v>31102192</v>
          </cell>
          <cell r="C3836">
            <v>31102192</v>
          </cell>
          <cell r="D3836">
            <v>31102192</v>
          </cell>
          <cell r="E3836">
            <v>31102192</v>
          </cell>
          <cell r="F3836">
            <v>31102192</v>
          </cell>
          <cell r="G3836">
            <v>31102192</v>
          </cell>
          <cell r="H3836">
            <v>31102192</v>
          </cell>
          <cell r="I3836" t="str">
            <v/>
          </cell>
          <cell r="J3836" t="str">
            <v/>
          </cell>
          <cell r="K3836" t="str">
            <v/>
          </cell>
          <cell r="L3836" t="str">
            <v/>
          </cell>
          <cell r="M3836" t="str">
            <v/>
          </cell>
        </row>
        <row r="3837">
          <cell r="A3837">
            <v>31102192</v>
          </cell>
          <cell r="C3837">
            <v>31102192</v>
          </cell>
          <cell r="D3837">
            <v>31102192</v>
          </cell>
          <cell r="E3837">
            <v>31102192</v>
          </cell>
          <cell r="F3837">
            <v>31102192</v>
          </cell>
          <cell r="G3837">
            <v>31102192</v>
          </cell>
          <cell r="H3837">
            <v>31102192</v>
          </cell>
          <cell r="I3837" t="str">
            <v/>
          </cell>
          <cell r="J3837" t="str">
            <v/>
          </cell>
          <cell r="K3837" t="str">
            <v/>
          </cell>
          <cell r="L3837" t="str">
            <v/>
          </cell>
          <cell r="M3837" t="str">
            <v/>
          </cell>
        </row>
        <row r="3838">
          <cell r="A3838">
            <v>31102192</v>
          </cell>
          <cell r="C3838">
            <v>31102192</v>
          </cell>
          <cell r="D3838">
            <v>31102192</v>
          </cell>
          <cell r="E3838">
            <v>31102192</v>
          </cell>
          <cell r="F3838">
            <v>31102192</v>
          </cell>
          <cell r="G3838">
            <v>31102192</v>
          </cell>
          <cell r="H3838">
            <v>31102192</v>
          </cell>
          <cell r="I3838" t="str">
            <v/>
          </cell>
          <cell r="J3838" t="str">
            <v/>
          </cell>
          <cell r="K3838" t="str">
            <v/>
          </cell>
          <cell r="L3838" t="str">
            <v/>
          </cell>
          <cell r="M3838" t="str">
            <v/>
          </cell>
        </row>
        <row r="3839">
          <cell r="A3839">
            <v>31102192</v>
          </cell>
          <cell r="C3839">
            <v>31102192</v>
          </cell>
          <cell r="D3839">
            <v>31102192</v>
          </cell>
          <cell r="E3839">
            <v>31102192</v>
          </cell>
          <cell r="F3839">
            <v>31102192</v>
          </cell>
          <cell r="G3839">
            <v>31102192</v>
          </cell>
          <cell r="H3839">
            <v>31102192</v>
          </cell>
          <cell r="I3839" t="str">
            <v/>
          </cell>
          <cell r="J3839" t="str">
            <v/>
          </cell>
          <cell r="K3839" t="str">
            <v/>
          </cell>
          <cell r="L3839" t="str">
            <v/>
          </cell>
          <cell r="M3839" t="str">
            <v/>
          </cell>
        </row>
        <row r="3840">
          <cell r="A3840">
            <v>31102192</v>
          </cell>
          <cell r="C3840">
            <v>31102192</v>
          </cell>
          <cell r="D3840">
            <v>31102192</v>
          </cell>
          <cell r="E3840">
            <v>31102192</v>
          </cell>
          <cell r="F3840">
            <v>31102192</v>
          </cell>
          <cell r="G3840">
            <v>31102192</v>
          </cell>
          <cell r="H3840">
            <v>31102192</v>
          </cell>
          <cell r="I3840" t="str">
            <v/>
          </cell>
          <cell r="J3840" t="str">
            <v/>
          </cell>
          <cell r="K3840" t="str">
            <v/>
          </cell>
          <cell r="L3840" t="str">
            <v/>
          </cell>
          <cell r="M3840" t="str">
            <v/>
          </cell>
        </row>
        <row r="3841">
          <cell r="A3841">
            <v>31102192</v>
          </cell>
          <cell r="C3841">
            <v>31102192</v>
          </cell>
          <cell r="D3841">
            <v>31102192</v>
          </cell>
          <cell r="E3841">
            <v>31102192</v>
          </cell>
          <cell r="F3841">
            <v>31102192</v>
          </cell>
          <cell r="G3841">
            <v>31102192</v>
          </cell>
          <cell r="H3841">
            <v>31102192</v>
          </cell>
          <cell r="I3841" t="str">
            <v/>
          </cell>
          <cell r="J3841" t="str">
            <v/>
          </cell>
          <cell r="K3841" t="str">
            <v/>
          </cell>
          <cell r="L3841" t="str">
            <v/>
          </cell>
          <cell r="M3841" t="str">
            <v/>
          </cell>
        </row>
        <row r="3842">
          <cell r="A3842">
            <v>31102192</v>
          </cell>
          <cell r="C3842">
            <v>31102192</v>
          </cell>
          <cell r="D3842">
            <v>31102192</v>
          </cell>
          <cell r="E3842">
            <v>31102192</v>
          </cell>
          <cell r="F3842">
            <v>31102192</v>
          </cell>
          <cell r="G3842">
            <v>31102192</v>
          </cell>
          <cell r="H3842">
            <v>31102192</v>
          </cell>
          <cell r="I3842" t="str">
            <v/>
          </cell>
          <cell r="J3842" t="str">
            <v/>
          </cell>
          <cell r="K3842" t="str">
            <v/>
          </cell>
          <cell r="L3842" t="str">
            <v/>
          </cell>
          <cell r="M3842" t="str">
            <v/>
          </cell>
        </row>
        <row r="3843">
          <cell r="A3843">
            <v>31102192</v>
          </cell>
          <cell r="C3843">
            <v>31102192</v>
          </cell>
          <cell r="D3843">
            <v>31102192</v>
          </cell>
          <cell r="E3843">
            <v>31102192</v>
          </cell>
          <cell r="F3843">
            <v>31102192</v>
          </cell>
          <cell r="G3843">
            <v>31102192</v>
          </cell>
          <cell r="H3843">
            <v>31102192</v>
          </cell>
          <cell r="I3843" t="str">
            <v/>
          </cell>
          <cell r="J3843" t="str">
            <v/>
          </cell>
          <cell r="K3843" t="str">
            <v/>
          </cell>
          <cell r="L3843" t="str">
            <v/>
          </cell>
          <cell r="M3843" t="str">
            <v/>
          </cell>
        </row>
        <row r="3844">
          <cell r="A3844">
            <v>31102192</v>
          </cell>
          <cell r="C3844">
            <v>31102192</v>
          </cell>
          <cell r="D3844">
            <v>31102192</v>
          </cell>
          <cell r="E3844">
            <v>31102192</v>
          </cell>
          <cell r="F3844">
            <v>31102192</v>
          </cell>
          <cell r="G3844">
            <v>31102192</v>
          </cell>
          <cell r="H3844">
            <v>31102192</v>
          </cell>
          <cell r="I3844" t="str">
            <v/>
          </cell>
          <cell r="J3844" t="str">
            <v/>
          </cell>
          <cell r="K3844" t="str">
            <v/>
          </cell>
          <cell r="L3844" t="str">
            <v/>
          </cell>
          <cell r="M3844" t="str">
            <v/>
          </cell>
        </row>
        <row r="3845">
          <cell r="A3845">
            <v>31102192</v>
          </cell>
          <cell r="C3845">
            <v>31102192</v>
          </cell>
          <cell r="D3845">
            <v>31102192</v>
          </cell>
          <cell r="E3845">
            <v>31102192</v>
          </cell>
          <cell r="F3845">
            <v>31102192</v>
          </cell>
          <cell r="G3845">
            <v>31102192</v>
          </cell>
          <cell r="H3845">
            <v>31102192</v>
          </cell>
          <cell r="I3845" t="str">
            <v/>
          </cell>
          <cell r="J3845" t="str">
            <v/>
          </cell>
          <cell r="K3845" t="str">
            <v/>
          </cell>
          <cell r="L3845" t="str">
            <v/>
          </cell>
          <cell r="M3845" t="str">
            <v/>
          </cell>
        </row>
        <row r="3846">
          <cell r="A3846">
            <v>31102192</v>
          </cell>
          <cell r="C3846">
            <v>31102192</v>
          </cell>
          <cell r="D3846">
            <v>31102192</v>
          </cell>
          <cell r="E3846">
            <v>31102192</v>
          </cell>
          <cell r="F3846">
            <v>31102192</v>
          </cell>
          <cell r="G3846">
            <v>31102192</v>
          </cell>
          <cell r="H3846">
            <v>31102192</v>
          </cell>
          <cell r="I3846" t="str">
            <v/>
          </cell>
          <cell r="J3846" t="str">
            <v/>
          </cell>
          <cell r="K3846" t="str">
            <v/>
          </cell>
          <cell r="L3846" t="str">
            <v/>
          </cell>
          <cell r="M3846" t="str">
            <v/>
          </cell>
        </row>
        <row r="3847">
          <cell r="A3847">
            <v>31102192</v>
          </cell>
          <cell r="C3847">
            <v>31102192</v>
          </cell>
          <cell r="D3847">
            <v>31102192</v>
          </cell>
          <cell r="E3847">
            <v>31102192</v>
          </cell>
          <cell r="F3847">
            <v>31102192</v>
          </cell>
          <cell r="G3847">
            <v>31102192</v>
          </cell>
          <cell r="H3847">
            <v>31102192</v>
          </cell>
          <cell r="I3847" t="str">
            <v/>
          </cell>
          <cell r="J3847" t="str">
            <v/>
          </cell>
          <cell r="K3847" t="str">
            <v/>
          </cell>
          <cell r="L3847" t="str">
            <v/>
          </cell>
          <cell r="M3847" t="str">
            <v/>
          </cell>
        </row>
        <row r="3848">
          <cell r="A3848">
            <v>31102192</v>
          </cell>
          <cell r="C3848">
            <v>31102192</v>
          </cell>
          <cell r="D3848">
            <v>31102192</v>
          </cell>
          <cell r="E3848">
            <v>31102192</v>
          </cell>
          <cell r="F3848">
            <v>31102192</v>
          </cell>
          <cell r="G3848">
            <v>31102192</v>
          </cell>
          <cell r="H3848">
            <v>31102192</v>
          </cell>
          <cell r="I3848" t="str">
            <v/>
          </cell>
          <cell r="J3848" t="str">
            <v/>
          </cell>
          <cell r="K3848" t="str">
            <v/>
          </cell>
          <cell r="L3848" t="str">
            <v/>
          </cell>
          <cell r="M3848" t="str">
            <v/>
          </cell>
        </row>
        <row r="3849">
          <cell r="A3849">
            <v>31102192</v>
          </cell>
          <cell r="C3849">
            <v>31102192</v>
          </cell>
          <cell r="D3849">
            <v>31102192</v>
          </cell>
          <cell r="E3849">
            <v>31102192</v>
          </cell>
          <cell r="F3849">
            <v>31102192</v>
          </cell>
          <cell r="G3849">
            <v>31102192</v>
          </cell>
          <cell r="H3849">
            <v>31102192</v>
          </cell>
          <cell r="I3849" t="str">
            <v/>
          </cell>
          <cell r="J3849" t="str">
            <v/>
          </cell>
          <cell r="K3849" t="str">
            <v/>
          </cell>
          <cell r="L3849" t="str">
            <v/>
          </cell>
          <cell r="M3849" t="str">
            <v/>
          </cell>
        </row>
        <row r="3850">
          <cell r="A3850">
            <v>31102192</v>
          </cell>
          <cell r="C3850">
            <v>31102192</v>
          </cell>
          <cell r="D3850">
            <v>31102192</v>
          </cell>
          <cell r="E3850">
            <v>31102192</v>
          </cell>
          <cell r="F3850">
            <v>31102192</v>
          </cell>
          <cell r="G3850">
            <v>31102192</v>
          </cell>
          <cell r="H3850">
            <v>31102192</v>
          </cell>
          <cell r="I3850" t="str">
            <v/>
          </cell>
          <cell r="J3850" t="str">
            <v/>
          </cell>
          <cell r="K3850" t="str">
            <v/>
          </cell>
          <cell r="L3850" t="str">
            <v/>
          </cell>
          <cell r="M3850" t="str">
            <v/>
          </cell>
        </row>
        <row r="3851">
          <cell r="A3851">
            <v>31102192</v>
          </cell>
          <cell r="C3851">
            <v>31102192</v>
          </cell>
          <cell r="D3851">
            <v>31102192</v>
          </cell>
          <cell r="E3851">
            <v>31102192</v>
          </cell>
          <cell r="F3851">
            <v>31102192</v>
          </cell>
          <cell r="G3851">
            <v>31102192</v>
          </cell>
          <cell r="H3851">
            <v>31102192</v>
          </cell>
          <cell r="I3851" t="str">
            <v/>
          </cell>
          <cell r="J3851" t="str">
            <v/>
          </cell>
          <cell r="K3851" t="str">
            <v/>
          </cell>
          <cell r="L3851" t="str">
            <v/>
          </cell>
          <cell r="M3851" t="str">
            <v/>
          </cell>
        </row>
        <row r="3852">
          <cell r="A3852">
            <v>31102192</v>
          </cell>
          <cell r="C3852">
            <v>31102192</v>
          </cell>
          <cell r="D3852">
            <v>31102192</v>
          </cell>
          <cell r="E3852">
            <v>31102192</v>
          </cell>
          <cell r="F3852">
            <v>31102192</v>
          </cell>
          <cell r="G3852">
            <v>31102192</v>
          </cell>
          <cell r="H3852">
            <v>31102192</v>
          </cell>
          <cell r="I3852" t="str">
            <v/>
          </cell>
          <cell r="J3852" t="str">
            <v/>
          </cell>
          <cell r="K3852" t="str">
            <v/>
          </cell>
          <cell r="L3852" t="str">
            <v/>
          </cell>
          <cell r="M3852" t="str">
            <v/>
          </cell>
        </row>
        <row r="3853">
          <cell r="A3853">
            <v>31102192</v>
          </cell>
          <cell r="C3853">
            <v>31102192</v>
          </cell>
          <cell r="D3853">
            <v>31102192</v>
          </cell>
          <cell r="E3853">
            <v>31102192</v>
          </cell>
          <cell r="F3853">
            <v>31102192</v>
          </cell>
          <cell r="G3853">
            <v>31102192</v>
          </cell>
          <cell r="H3853">
            <v>31102192</v>
          </cell>
          <cell r="I3853" t="str">
            <v/>
          </cell>
          <cell r="J3853" t="str">
            <v/>
          </cell>
          <cell r="K3853" t="str">
            <v/>
          </cell>
          <cell r="L3853" t="str">
            <v/>
          </cell>
          <cell r="M3853" t="str">
            <v/>
          </cell>
        </row>
        <row r="3854">
          <cell r="A3854">
            <v>31102192</v>
          </cell>
          <cell r="C3854">
            <v>31102192</v>
          </cell>
          <cell r="D3854">
            <v>31102192</v>
          </cell>
          <cell r="E3854">
            <v>31102192</v>
          </cell>
          <cell r="F3854">
            <v>31102192</v>
          </cell>
          <cell r="G3854">
            <v>31102192</v>
          </cell>
          <cell r="H3854">
            <v>31102192</v>
          </cell>
          <cell r="I3854" t="str">
            <v/>
          </cell>
          <cell r="J3854" t="str">
            <v/>
          </cell>
          <cell r="K3854" t="str">
            <v/>
          </cell>
          <cell r="L3854" t="str">
            <v/>
          </cell>
          <cell r="M3854" t="str">
            <v/>
          </cell>
        </row>
        <row r="3855">
          <cell r="A3855">
            <v>31102192</v>
          </cell>
          <cell r="C3855">
            <v>31102192</v>
          </cell>
          <cell r="D3855">
            <v>31102192</v>
          </cell>
          <cell r="E3855">
            <v>31102192</v>
          </cell>
          <cell r="F3855">
            <v>31102192</v>
          </cell>
          <cell r="G3855">
            <v>31102192</v>
          </cell>
          <cell r="H3855">
            <v>31102192</v>
          </cell>
          <cell r="I3855" t="str">
            <v/>
          </cell>
          <cell r="J3855" t="str">
            <v/>
          </cell>
          <cell r="K3855" t="str">
            <v/>
          </cell>
          <cell r="L3855" t="str">
            <v/>
          </cell>
          <cell r="M3855" t="str">
            <v/>
          </cell>
        </row>
        <row r="3856">
          <cell r="A3856">
            <v>31102192</v>
          </cell>
          <cell r="C3856">
            <v>31102192</v>
          </cell>
          <cell r="D3856">
            <v>31102192</v>
          </cell>
          <cell r="E3856">
            <v>31102192</v>
          </cell>
          <cell r="F3856">
            <v>31102192</v>
          </cell>
          <cell r="G3856">
            <v>31102192</v>
          </cell>
          <cell r="H3856">
            <v>31102192</v>
          </cell>
          <cell r="I3856" t="str">
            <v/>
          </cell>
          <cell r="J3856" t="str">
            <v/>
          </cell>
          <cell r="K3856" t="str">
            <v/>
          </cell>
          <cell r="L3856" t="str">
            <v/>
          </cell>
          <cell r="M3856" t="str">
            <v/>
          </cell>
        </row>
        <row r="3857">
          <cell r="A3857">
            <v>31102192</v>
          </cell>
          <cell r="C3857">
            <v>31102192</v>
          </cell>
          <cell r="D3857">
            <v>31102192</v>
          </cell>
          <cell r="E3857">
            <v>31102192</v>
          </cell>
          <cell r="F3857">
            <v>31102192</v>
          </cell>
          <cell r="G3857">
            <v>31102192</v>
          </cell>
          <cell r="H3857">
            <v>31102192</v>
          </cell>
          <cell r="I3857" t="str">
            <v/>
          </cell>
          <cell r="J3857" t="str">
            <v/>
          </cell>
          <cell r="K3857" t="str">
            <v/>
          </cell>
          <cell r="L3857" t="str">
            <v/>
          </cell>
          <cell r="M3857" t="str">
            <v/>
          </cell>
        </row>
        <row r="3858">
          <cell r="A3858">
            <v>31102192</v>
          </cell>
          <cell r="C3858">
            <v>31102192</v>
          </cell>
          <cell r="D3858">
            <v>31102192</v>
          </cell>
          <cell r="E3858">
            <v>31102192</v>
          </cell>
          <cell r="F3858">
            <v>31102192</v>
          </cell>
          <cell r="G3858">
            <v>31102192</v>
          </cell>
          <cell r="H3858">
            <v>31102192</v>
          </cell>
          <cell r="I3858" t="str">
            <v/>
          </cell>
          <cell r="J3858" t="str">
            <v/>
          </cell>
          <cell r="K3858" t="str">
            <v/>
          </cell>
          <cell r="L3858" t="str">
            <v/>
          </cell>
          <cell r="M3858" t="str">
            <v/>
          </cell>
        </row>
        <row r="3859">
          <cell r="A3859">
            <v>31102192</v>
          </cell>
          <cell r="C3859">
            <v>31102192</v>
          </cell>
          <cell r="D3859">
            <v>31102192</v>
          </cell>
          <cell r="E3859">
            <v>31102192</v>
          </cell>
          <cell r="F3859">
            <v>31102192</v>
          </cell>
          <cell r="G3859">
            <v>31102192</v>
          </cell>
          <cell r="H3859">
            <v>31102192</v>
          </cell>
          <cell r="I3859" t="str">
            <v/>
          </cell>
          <cell r="J3859" t="str">
            <v/>
          </cell>
          <cell r="K3859" t="str">
            <v/>
          </cell>
          <cell r="L3859" t="str">
            <v/>
          </cell>
          <cell r="M3859" t="str">
            <v/>
          </cell>
        </row>
        <row r="3860">
          <cell r="A3860">
            <v>31102192</v>
          </cell>
          <cell r="C3860">
            <v>31102192</v>
          </cell>
          <cell r="D3860">
            <v>31102192</v>
          </cell>
          <cell r="E3860">
            <v>31102192</v>
          </cell>
          <cell r="F3860">
            <v>31102192</v>
          </cell>
          <cell r="G3860">
            <v>31102192</v>
          </cell>
          <cell r="H3860">
            <v>31102192</v>
          </cell>
          <cell r="I3860" t="str">
            <v/>
          </cell>
          <cell r="J3860" t="str">
            <v/>
          </cell>
          <cell r="K3860" t="str">
            <v/>
          </cell>
          <cell r="L3860" t="str">
            <v/>
          </cell>
          <cell r="M3860" t="str">
            <v/>
          </cell>
        </row>
        <row r="3861">
          <cell r="A3861">
            <v>31102192</v>
          </cell>
          <cell r="C3861">
            <v>31102192</v>
          </cell>
          <cell r="D3861">
            <v>31102192</v>
          </cell>
          <cell r="E3861">
            <v>31102192</v>
          </cell>
          <cell r="F3861">
            <v>31102192</v>
          </cell>
          <cell r="G3861">
            <v>31102192</v>
          </cell>
          <cell r="H3861">
            <v>31102192</v>
          </cell>
          <cell r="I3861" t="str">
            <v/>
          </cell>
          <cell r="J3861" t="str">
            <v/>
          </cell>
          <cell r="K3861" t="str">
            <v/>
          </cell>
          <cell r="L3861" t="str">
            <v/>
          </cell>
          <cell r="M3861" t="str">
            <v/>
          </cell>
        </row>
        <row r="3862">
          <cell r="A3862">
            <v>31102192</v>
          </cell>
          <cell r="C3862">
            <v>31102192</v>
          </cell>
          <cell r="D3862">
            <v>31102192</v>
          </cell>
          <cell r="E3862">
            <v>31102192</v>
          </cell>
          <cell r="F3862">
            <v>31102192</v>
          </cell>
          <cell r="G3862">
            <v>31102192</v>
          </cell>
          <cell r="H3862">
            <v>31102192</v>
          </cell>
          <cell r="I3862" t="str">
            <v/>
          </cell>
          <cell r="J3862" t="str">
            <v/>
          </cell>
          <cell r="K3862" t="str">
            <v/>
          </cell>
          <cell r="L3862" t="str">
            <v/>
          </cell>
          <cell r="M3862" t="str">
            <v/>
          </cell>
        </row>
        <row r="3863">
          <cell r="A3863">
            <v>31102192</v>
          </cell>
          <cell r="C3863">
            <v>31102192</v>
          </cell>
          <cell r="D3863">
            <v>31102192</v>
          </cell>
          <cell r="E3863">
            <v>31102192</v>
          </cell>
          <cell r="F3863">
            <v>31102192</v>
          </cell>
          <cell r="G3863">
            <v>31102192</v>
          </cell>
          <cell r="H3863">
            <v>31102192</v>
          </cell>
          <cell r="I3863" t="str">
            <v/>
          </cell>
          <cell r="J3863" t="str">
            <v/>
          </cell>
          <cell r="K3863" t="str">
            <v/>
          </cell>
          <cell r="L3863" t="str">
            <v/>
          </cell>
          <cell r="M3863" t="str">
            <v/>
          </cell>
        </row>
        <row r="3864">
          <cell r="A3864">
            <v>31102192</v>
          </cell>
          <cell r="C3864">
            <v>31102192</v>
          </cell>
          <cell r="D3864">
            <v>31102192</v>
          </cell>
          <cell r="E3864">
            <v>31102192</v>
          </cell>
          <cell r="F3864">
            <v>31102192</v>
          </cell>
          <cell r="G3864">
            <v>31102192</v>
          </cell>
          <cell r="H3864">
            <v>31102192</v>
          </cell>
          <cell r="I3864" t="str">
            <v/>
          </cell>
          <cell r="J3864" t="str">
            <v/>
          </cell>
          <cell r="K3864" t="str">
            <v/>
          </cell>
          <cell r="L3864" t="str">
            <v/>
          </cell>
          <cell r="M3864" t="str">
            <v/>
          </cell>
        </row>
        <row r="3865">
          <cell r="A3865">
            <v>31102192</v>
          </cell>
          <cell r="C3865">
            <v>31102192</v>
          </cell>
          <cell r="D3865">
            <v>31102192</v>
          </cell>
          <cell r="E3865">
            <v>31102192</v>
          </cell>
          <cell r="F3865">
            <v>31102192</v>
          </cell>
          <cell r="G3865">
            <v>31102192</v>
          </cell>
          <cell r="H3865">
            <v>31102192</v>
          </cell>
          <cell r="I3865" t="str">
            <v/>
          </cell>
          <cell r="J3865" t="str">
            <v/>
          </cell>
          <cell r="K3865" t="str">
            <v/>
          </cell>
          <cell r="L3865" t="str">
            <v/>
          </cell>
          <cell r="M3865" t="str">
            <v/>
          </cell>
        </row>
        <row r="3866">
          <cell r="A3866">
            <v>31102192</v>
          </cell>
          <cell r="C3866">
            <v>31102192</v>
          </cell>
          <cell r="D3866">
            <v>31102192</v>
          </cell>
          <cell r="E3866">
            <v>31102192</v>
          </cell>
          <cell r="F3866">
            <v>31102192</v>
          </cell>
          <cell r="G3866">
            <v>31102192</v>
          </cell>
          <cell r="H3866">
            <v>31102192</v>
          </cell>
          <cell r="I3866" t="str">
            <v/>
          </cell>
          <cell r="J3866" t="str">
            <v/>
          </cell>
          <cell r="K3866" t="str">
            <v/>
          </cell>
          <cell r="L3866" t="str">
            <v/>
          </cell>
          <cell r="M3866" t="str">
            <v/>
          </cell>
        </row>
        <row r="3867">
          <cell r="A3867">
            <v>31102192</v>
          </cell>
          <cell r="C3867">
            <v>31102192</v>
          </cell>
          <cell r="D3867">
            <v>31102192</v>
          </cell>
          <cell r="E3867">
            <v>31102192</v>
          </cell>
          <cell r="F3867">
            <v>31102192</v>
          </cell>
          <cell r="G3867">
            <v>31102192</v>
          </cell>
          <cell r="H3867">
            <v>31102192</v>
          </cell>
          <cell r="I3867" t="str">
            <v/>
          </cell>
          <cell r="J3867" t="str">
            <v/>
          </cell>
          <cell r="K3867" t="str">
            <v/>
          </cell>
          <cell r="L3867" t="str">
            <v/>
          </cell>
          <cell r="M3867" t="str">
            <v/>
          </cell>
        </row>
        <row r="3868">
          <cell r="A3868">
            <v>31102192</v>
          </cell>
          <cell r="C3868">
            <v>31102192</v>
          </cell>
          <cell r="D3868">
            <v>31102192</v>
          </cell>
          <cell r="E3868">
            <v>31102192</v>
          </cell>
          <cell r="F3868">
            <v>31102192</v>
          </cell>
          <cell r="G3868">
            <v>31102192</v>
          </cell>
          <cell r="H3868">
            <v>31102192</v>
          </cell>
          <cell r="I3868" t="str">
            <v/>
          </cell>
          <cell r="J3868" t="str">
            <v/>
          </cell>
          <cell r="K3868" t="str">
            <v/>
          </cell>
          <cell r="L3868" t="str">
            <v/>
          </cell>
          <cell r="M3868" t="str">
            <v/>
          </cell>
        </row>
        <row r="3869">
          <cell r="A3869">
            <v>31102192</v>
          </cell>
          <cell r="C3869">
            <v>31102192</v>
          </cell>
          <cell r="D3869">
            <v>31102192</v>
          </cell>
          <cell r="E3869">
            <v>31102192</v>
          </cell>
          <cell r="F3869">
            <v>31102192</v>
          </cell>
          <cell r="G3869">
            <v>31102192</v>
          </cell>
          <cell r="H3869">
            <v>31102192</v>
          </cell>
          <cell r="I3869" t="str">
            <v/>
          </cell>
          <cell r="J3869" t="str">
            <v/>
          </cell>
          <cell r="K3869" t="str">
            <v/>
          </cell>
          <cell r="L3869" t="str">
            <v/>
          </cell>
          <cell r="M3869" t="str">
            <v/>
          </cell>
        </row>
        <row r="3870">
          <cell r="A3870">
            <v>31102192</v>
          </cell>
          <cell r="C3870">
            <v>31102192</v>
          </cell>
          <cell r="D3870">
            <v>31102192</v>
          </cell>
          <cell r="E3870">
            <v>31102192</v>
          </cell>
          <cell r="F3870">
            <v>31102192</v>
          </cell>
          <cell r="G3870">
            <v>31102192</v>
          </cell>
          <cell r="H3870">
            <v>31102192</v>
          </cell>
          <cell r="I3870" t="str">
            <v/>
          </cell>
          <cell r="J3870" t="str">
            <v/>
          </cell>
          <cell r="K3870" t="str">
            <v/>
          </cell>
          <cell r="L3870" t="str">
            <v/>
          </cell>
          <cell r="M3870" t="str">
            <v/>
          </cell>
        </row>
        <row r="3871">
          <cell r="A3871">
            <v>31102192</v>
          </cell>
          <cell r="C3871">
            <v>31102192</v>
          </cell>
          <cell r="D3871">
            <v>31102192</v>
          </cell>
          <cell r="E3871">
            <v>31102192</v>
          </cell>
          <cell r="F3871">
            <v>31102192</v>
          </cell>
          <cell r="G3871">
            <v>31102192</v>
          </cell>
          <cell r="H3871">
            <v>31102192</v>
          </cell>
          <cell r="I3871" t="str">
            <v/>
          </cell>
          <cell r="J3871" t="str">
            <v/>
          </cell>
          <cell r="K3871" t="str">
            <v/>
          </cell>
          <cell r="L3871" t="str">
            <v/>
          </cell>
          <cell r="M3871" t="str">
            <v/>
          </cell>
        </row>
        <row r="3872">
          <cell r="A3872">
            <v>31102192</v>
          </cell>
          <cell r="C3872">
            <v>31102192</v>
          </cell>
          <cell r="D3872">
            <v>31102192</v>
          </cell>
          <cell r="E3872">
            <v>31102192</v>
          </cell>
          <cell r="F3872">
            <v>31102192</v>
          </cell>
          <cell r="G3872">
            <v>31102192</v>
          </cell>
          <cell r="H3872">
            <v>31102192</v>
          </cell>
          <cell r="I3872" t="str">
            <v/>
          </cell>
          <cell r="J3872" t="str">
            <v/>
          </cell>
          <cell r="K3872" t="str">
            <v/>
          </cell>
          <cell r="L3872" t="str">
            <v/>
          </cell>
          <cell r="M3872" t="str">
            <v/>
          </cell>
        </row>
        <row r="3873">
          <cell r="A3873">
            <v>31102192</v>
          </cell>
          <cell r="C3873">
            <v>31102192</v>
          </cell>
          <cell r="D3873">
            <v>31102192</v>
          </cell>
          <cell r="E3873">
            <v>31102192</v>
          </cell>
          <cell r="F3873">
            <v>31102192</v>
          </cell>
          <cell r="G3873">
            <v>31102192</v>
          </cell>
          <cell r="H3873">
            <v>31102192</v>
          </cell>
          <cell r="I3873" t="str">
            <v/>
          </cell>
          <cell r="J3873" t="str">
            <v/>
          </cell>
          <cell r="K3873" t="str">
            <v/>
          </cell>
          <cell r="L3873" t="str">
            <v/>
          </cell>
          <cell r="M3873" t="str">
            <v/>
          </cell>
        </row>
        <row r="3874">
          <cell r="A3874">
            <v>31102192</v>
          </cell>
          <cell r="C3874">
            <v>31102192</v>
          </cell>
          <cell r="D3874">
            <v>31102192</v>
          </cell>
          <cell r="E3874">
            <v>31102192</v>
          </cell>
          <cell r="F3874">
            <v>31102192</v>
          </cell>
          <cell r="G3874">
            <v>31102192</v>
          </cell>
          <cell r="H3874">
            <v>31102192</v>
          </cell>
          <cell r="I3874" t="str">
            <v/>
          </cell>
          <cell r="J3874" t="str">
            <v/>
          </cell>
          <cell r="K3874" t="str">
            <v/>
          </cell>
          <cell r="L3874" t="str">
            <v/>
          </cell>
          <cell r="M3874" t="str">
            <v/>
          </cell>
        </row>
        <row r="3875">
          <cell r="A3875">
            <v>31102192</v>
          </cell>
          <cell r="C3875">
            <v>31102192</v>
          </cell>
          <cell r="D3875">
            <v>31102192</v>
          </cell>
          <cell r="E3875">
            <v>31102192</v>
          </cell>
          <cell r="F3875">
            <v>31102192</v>
          </cell>
          <cell r="G3875">
            <v>31102192</v>
          </cell>
          <cell r="H3875">
            <v>31102192</v>
          </cell>
          <cell r="I3875" t="str">
            <v/>
          </cell>
          <cell r="J3875" t="str">
            <v/>
          </cell>
          <cell r="K3875" t="str">
            <v/>
          </cell>
          <cell r="L3875" t="str">
            <v/>
          </cell>
          <cell r="M3875" t="str">
            <v/>
          </cell>
        </row>
        <row r="3876">
          <cell r="A3876">
            <v>31102192</v>
          </cell>
          <cell r="C3876">
            <v>31102192</v>
          </cell>
          <cell r="D3876">
            <v>31102192</v>
          </cell>
          <cell r="E3876">
            <v>31102192</v>
          </cell>
          <cell r="F3876">
            <v>31102192</v>
          </cell>
          <cell r="G3876">
            <v>31102192</v>
          </cell>
          <cell r="H3876">
            <v>31102192</v>
          </cell>
          <cell r="I3876" t="str">
            <v/>
          </cell>
          <cell r="J3876" t="str">
            <v/>
          </cell>
          <cell r="K3876" t="str">
            <v/>
          </cell>
          <cell r="L3876" t="str">
            <v/>
          </cell>
          <cell r="M3876" t="str">
            <v/>
          </cell>
        </row>
        <row r="3877">
          <cell r="A3877">
            <v>31102192</v>
          </cell>
          <cell r="C3877">
            <v>31102192</v>
          </cell>
          <cell r="D3877">
            <v>31102192</v>
          </cell>
          <cell r="E3877">
            <v>31102192</v>
          </cell>
          <cell r="F3877">
            <v>31102192</v>
          </cell>
          <cell r="G3877">
            <v>31102192</v>
          </cell>
          <cell r="H3877">
            <v>31102192</v>
          </cell>
          <cell r="I3877" t="str">
            <v/>
          </cell>
          <cell r="J3877" t="str">
            <v/>
          </cell>
          <cell r="K3877" t="str">
            <v/>
          </cell>
          <cell r="L3877" t="str">
            <v/>
          </cell>
          <cell r="M3877" t="str">
            <v/>
          </cell>
        </row>
        <row r="3878">
          <cell r="A3878">
            <v>31102192</v>
          </cell>
          <cell r="C3878">
            <v>31102192</v>
          </cell>
          <cell r="D3878">
            <v>31102192</v>
          </cell>
          <cell r="E3878">
            <v>31102192</v>
          </cell>
          <cell r="F3878">
            <v>31102192</v>
          </cell>
          <cell r="G3878">
            <v>31102192</v>
          </cell>
          <cell r="H3878">
            <v>31102192</v>
          </cell>
          <cell r="I3878" t="str">
            <v/>
          </cell>
          <cell r="J3878" t="str">
            <v/>
          </cell>
          <cell r="K3878" t="str">
            <v/>
          </cell>
          <cell r="L3878" t="str">
            <v/>
          </cell>
          <cell r="M3878" t="str">
            <v/>
          </cell>
        </row>
        <row r="3879">
          <cell r="A3879">
            <v>31102192</v>
          </cell>
          <cell r="C3879">
            <v>31102192</v>
          </cell>
          <cell r="D3879">
            <v>31102192</v>
          </cell>
          <cell r="E3879">
            <v>31102192</v>
          </cell>
          <cell r="F3879">
            <v>31102192</v>
          </cell>
          <cell r="G3879">
            <v>31102192</v>
          </cell>
          <cell r="H3879">
            <v>31102192</v>
          </cell>
          <cell r="I3879" t="str">
            <v/>
          </cell>
          <cell r="J3879" t="str">
            <v/>
          </cell>
          <cell r="K3879" t="str">
            <v/>
          </cell>
          <cell r="L3879" t="str">
            <v/>
          </cell>
          <cell r="M3879" t="str">
            <v/>
          </cell>
        </row>
        <row r="3880">
          <cell r="A3880">
            <v>31102192</v>
          </cell>
          <cell r="C3880">
            <v>31102192</v>
          </cell>
          <cell r="D3880">
            <v>31102192</v>
          </cell>
          <cell r="E3880">
            <v>31102192</v>
          </cell>
          <cell r="F3880">
            <v>31102192</v>
          </cell>
          <cell r="G3880">
            <v>31102192</v>
          </cell>
          <cell r="H3880">
            <v>31102192</v>
          </cell>
          <cell r="I3880" t="str">
            <v/>
          </cell>
          <cell r="J3880" t="str">
            <v/>
          </cell>
          <cell r="K3880" t="str">
            <v/>
          </cell>
          <cell r="L3880" t="str">
            <v/>
          </cell>
          <cell r="M3880" t="str">
            <v/>
          </cell>
        </row>
        <row r="3881">
          <cell r="A3881">
            <v>31102192</v>
          </cell>
          <cell r="C3881">
            <v>31102192</v>
          </cell>
          <cell r="D3881">
            <v>31102192</v>
          </cell>
          <cell r="E3881">
            <v>31102192</v>
          </cell>
          <cell r="F3881">
            <v>31102192</v>
          </cell>
          <cell r="G3881">
            <v>31102192</v>
          </cell>
          <cell r="H3881">
            <v>31102192</v>
          </cell>
          <cell r="I3881" t="str">
            <v/>
          </cell>
          <cell r="J3881" t="str">
            <v/>
          </cell>
          <cell r="K3881" t="str">
            <v/>
          </cell>
          <cell r="L3881" t="str">
            <v/>
          </cell>
          <cell r="M3881" t="str">
            <v/>
          </cell>
        </row>
        <row r="3882">
          <cell r="A3882">
            <v>31102192</v>
          </cell>
          <cell r="C3882">
            <v>31102192</v>
          </cell>
          <cell r="D3882">
            <v>31102192</v>
          </cell>
          <cell r="E3882">
            <v>31102192</v>
          </cell>
          <cell r="F3882">
            <v>31102192</v>
          </cell>
          <cell r="G3882">
            <v>31102192</v>
          </cell>
          <cell r="H3882">
            <v>31102192</v>
          </cell>
          <cell r="I3882" t="str">
            <v/>
          </cell>
          <cell r="J3882" t="str">
            <v/>
          </cell>
          <cell r="K3882" t="str">
            <v/>
          </cell>
          <cell r="L3882" t="str">
            <v/>
          </cell>
          <cell r="M3882" t="str">
            <v/>
          </cell>
        </row>
        <row r="3883">
          <cell r="A3883">
            <v>31102192</v>
          </cell>
          <cell r="C3883">
            <v>31102192</v>
          </cell>
          <cell r="D3883">
            <v>31102192</v>
          </cell>
          <cell r="E3883">
            <v>31102192</v>
          </cell>
          <cell r="F3883">
            <v>31102192</v>
          </cell>
          <cell r="G3883">
            <v>31102192</v>
          </cell>
          <cell r="H3883">
            <v>31102192</v>
          </cell>
          <cell r="I3883" t="str">
            <v/>
          </cell>
          <cell r="J3883" t="str">
            <v/>
          </cell>
          <cell r="K3883" t="str">
            <v/>
          </cell>
          <cell r="L3883" t="str">
            <v/>
          </cell>
          <cell r="M3883" t="str">
            <v/>
          </cell>
        </row>
        <row r="3884">
          <cell r="A3884">
            <v>31102192</v>
          </cell>
          <cell r="C3884">
            <v>31102192</v>
          </cell>
          <cell r="D3884">
            <v>31102192</v>
          </cell>
          <cell r="E3884">
            <v>31102192</v>
          </cell>
          <cell r="F3884">
            <v>31102192</v>
          </cell>
          <cell r="G3884">
            <v>31102192</v>
          </cell>
          <cell r="H3884">
            <v>31102192</v>
          </cell>
          <cell r="I3884" t="str">
            <v/>
          </cell>
          <cell r="J3884" t="str">
            <v/>
          </cell>
          <cell r="K3884" t="str">
            <v/>
          </cell>
          <cell r="L3884" t="str">
            <v/>
          </cell>
          <cell r="M3884" t="str">
            <v/>
          </cell>
        </row>
        <row r="3885">
          <cell r="A3885">
            <v>31102192</v>
          </cell>
          <cell r="C3885">
            <v>31102192</v>
          </cell>
          <cell r="D3885">
            <v>31102192</v>
          </cell>
          <cell r="E3885">
            <v>31102192</v>
          </cell>
          <cell r="F3885">
            <v>31102192</v>
          </cell>
          <cell r="G3885">
            <v>31102192</v>
          </cell>
          <cell r="H3885">
            <v>31102192</v>
          </cell>
          <cell r="I3885" t="str">
            <v/>
          </cell>
          <cell r="J3885" t="str">
            <v/>
          </cell>
          <cell r="K3885" t="str">
            <v/>
          </cell>
          <cell r="L3885" t="str">
            <v/>
          </cell>
          <cell r="M3885" t="str">
            <v/>
          </cell>
        </row>
        <row r="3886">
          <cell r="A3886">
            <v>31102192</v>
          </cell>
          <cell r="C3886">
            <v>31102192</v>
          </cell>
          <cell r="D3886">
            <v>31102192</v>
          </cell>
          <cell r="E3886">
            <v>31102192</v>
          </cell>
          <cell r="F3886">
            <v>31102192</v>
          </cell>
          <cell r="G3886">
            <v>31102192</v>
          </cell>
          <cell r="H3886">
            <v>31102192</v>
          </cell>
          <cell r="I3886" t="str">
            <v/>
          </cell>
          <cell r="J3886" t="str">
            <v/>
          </cell>
          <cell r="K3886" t="str">
            <v/>
          </cell>
          <cell r="L3886" t="str">
            <v/>
          </cell>
          <cell r="M3886" t="str">
            <v/>
          </cell>
        </row>
        <row r="3887">
          <cell r="A3887">
            <v>31102192</v>
          </cell>
          <cell r="C3887">
            <v>31102192</v>
          </cell>
          <cell r="D3887">
            <v>31102192</v>
          </cell>
          <cell r="E3887">
            <v>31102192</v>
          </cell>
          <cell r="F3887">
            <v>31102192</v>
          </cell>
          <cell r="G3887">
            <v>31102192</v>
          </cell>
          <cell r="H3887">
            <v>31102192</v>
          </cell>
          <cell r="I3887" t="str">
            <v/>
          </cell>
          <cell r="J3887" t="str">
            <v/>
          </cell>
          <cell r="K3887" t="str">
            <v/>
          </cell>
          <cell r="L3887" t="str">
            <v/>
          </cell>
          <cell r="M3887" t="str">
            <v/>
          </cell>
        </row>
        <row r="3888">
          <cell r="A3888">
            <v>31102192</v>
          </cell>
          <cell r="C3888">
            <v>31102192</v>
          </cell>
          <cell r="D3888">
            <v>31102192</v>
          </cell>
          <cell r="E3888">
            <v>31102192</v>
          </cell>
          <cell r="F3888">
            <v>31102192</v>
          </cell>
          <cell r="G3888">
            <v>31102192</v>
          </cell>
          <cell r="H3888">
            <v>31102192</v>
          </cell>
          <cell r="I3888" t="str">
            <v/>
          </cell>
          <cell r="J3888" t="str">
            <v/>
          </cell>
          <cell r="K3888" t="str">
            <v/>
          </cell>
          <cell r="L3888" t="str">
            <v/>
          </cell>
          <cell r="M3888" t="str">
            <v/>
          </cell>
        </row>
        <row r="3889">
          <cell r="A3889">
            <v>31102192</v>
          </cell>
          <cell r="C3889">
            <v>31102192</v>
          </cell>
          <cell r="D3889">
            <v>31102192</v>
          </cell>
          <cell r="E3889">
            <v>31102192</v>
          </cell>
          <cell r="F3889">
            <v>31102192</v>
          </cell>
          <cell r="G3889">
            <v>31102192</v>
          </cell>
          <cell r="H3889">
            <v>31102192</v>
          </cell>
          <cell r="I3889" t="str">
            <v/>
          </cell>
          <cell r="J3889" t="str">
            <v/>
          </cell>
          <cell r="K3889" t="str">
            <v/>
          </cell>
          <cell r="L3889" t="str">
            <v/>
          </cell>
          <cell r="M3889" t="str">
            <v/>
          </cell>
        </row>
        <row r="3890">
          <cell r="A3890">
            <v>31102192</v>
          </cell>
          <cell r="C3890">
            <v>31102192</v>
          </cell>
          <cell r="D3890">
            <v>31102192</v>
          </cell>
          <cell r="E3890">
            <v>31102192</v>
          </cell>
          <cell r="F3890">
            <v>31102192</v>
          </cell>
          <cell r="G3890">
            <v>31102192</v>
          </cell>
          <cell r="H3890">
            <v>31102192</v>
          </cell>
          <cell r="I3890" t="str">
            <v/>
          </cell>
          <cell r="J3890" t="str">
            <v/>
          </cell>
          <cell r="K3890" t="str">
            <v/>
          </cell>
          <cell r="L3890" t="str">
            <v/>
          </cell>
          <cell r="M3890" t="str">
            <v/>
          </cell>
        </row>
        <row r="3891">
          <cell r="A3891">
            <v>31102192</v>
          </cell>
          <cell r="C3891">
            <v>31102192</v>
          </cell>
          <cell r="D3891">
            <v>31102192</v>
          </cell>
          <cell r="E3891">
            <v>31102192</v>
          </cell>
          <cell r="F3891">
            <v>31102192</v>
          </cell>
          <cell r="G3891">
            <v>31102192</v>
          </cell>
          <cell r="H3891">
            <v>31102192</v>
          </cell>
          <cell r="I3891" t="str">
            <v/>
          </cell>
          <cell r="J3891" t="str">
            <v/>
          </cell>
          <cell r="K3891" t="str">
            <v/>
          </cell>
          <cell r="L3891" t="str">
            <v/>
          </cell>
          <cell r="M3891" t="str">
            <v/>
          </cell>
        </row>
        <row r="3892">
          <cell r="A3892">
            <v>31102192</v>
          </cell>
          <cell r="C3892">
            <v>31102192</v>
          </cell>
          <cell r="D3892">
            <v>31102192</v>
          </cell>
          <cell r="E3892">
            <v>31102192</v>
          </cell>
          <cell r="F3892">
            <v>31102192</v>
          </cell>
          <cell r="G3892">
            <v>31102192</v>
          </cell>
          <cell r="H3892">
            <v>31102192</v>
          </cell>
          <cell r="I3892" t="str">
            <v/>
          </cell>
          <cell r="J3892" t="str">
            <v/>
          </cell>
          <cell r="K3892" t="str">
            <v/>
          </cell>
          <cell r="L3892" t="str">
            <v/>
          </cell>
          <cell r="M3892" t="str">
            <v/>
          </cell>
        </row>
        <row r="3893">
          <cell r="A3893">
            <v>31102192</v>
          </cell>
          <cell r="C3893">
            <v>31102192</v>
          </cell>
          <cell r="D3893">
            <v>31102192</v>
          </cell>
          <cell r="E3893">
            <v>31102192</v>
          </cell>
          <cell r="F3893">
            <v>31102192</v>
          </cell>
          <cell r="G3893">
            <v>31102192</v>
          </cell>
          <cell r="H3893">
            <v>31102192</v>
          </cell>
          <cell r="I3893" t="str">
            <v/>
          </cell>
          <cell r="J3893" t="str">
            <v/>
          </cell>
          <cell r="K3893" t="str">
            <v/>
          </cell>
          <cell r="L3893" t="str">
            <v/>
          </cell>
          <cell r="M3893" t="str">
            <v/>
          </cell>
        </row>
        <row r="3894">
          <cell r="A3894">
            <v>31102192</v>
          </cell>
          <cell r="C3894">
            <v>31102192</v>
          </cell>
          <cell r="D3894">
            <v>31102192</v>
          </cell>
          <cell r="E3894">
            <v>31102192</v>
          </cell>
          <cell r="F3894">
            <v>31102192</v>
          </cell>
          <cell r="G3894">
            <v>31102192</v>
          </cell>
          <cell r="H3894">
            <v>31102192</v>
          </cell>
          <cell r="I3894" t="str">
            <v/>
          </cell>
          <cell r="J3894" t="str">
            <v/>
          </cell>
          <cell r="K3894" t="str">
            <v/>
          </cell>
          <cell r="L3894" t="str">
            <v/>
          </cell>
          <cell r="M3894" t="str">
            <v/>
          </cell>
        </row>
        <row r="3895">
          <cell r="A3895">
            <v>31102192</v>
          </cell>
          <cell r="C3895">
            <v>31102192</v>
          </cell>
          <cell r="D3895">
            <v>31102192</v>
          </cell>
          <cell r="E3895">
            <v>31102192</v>
          </cell>
          <cell r="F3895">
            <v>31102192</v>
          </cell>
          <cell r="G3895">
            <v>31102192</v>
          </cell>
          <cell r="H3895">
            <v>31102192</v>
          </cell>
          <cell r="I3895" t="str">
            <v/>
          </cell>
          <cell r="J3895" t="str">
            <v/>
          </cell>
          <cell r="K3895" t="str">
            <v/>
          </cell>
          <cell r="L3895" t="str">
            <v/>
          </cell>
          <cell r="M3895" t="str">
            <v/>
          </cell>
        </row>
        <row r="3896">
          <cell r="A3896">
            <v>31102192</v>
          </cell>
          <cell r="C3896">
            <v>31102192</v>
          </cell>
          <cell r="D3896">
            <v>31102192</v>
          </cell>
          <cell r="E3896">
            <v>31102192</v>
          </cell>
          <cell r="F3896">
            <v>31102192</v>
          </cell>
          <cell r="G3896">
            <v>31102192</v>
          </cell>
          <cell r="H3896">
            <v>31102192</v>
          </cell>
          <cell r="I3896" t="str">
            <v/>
          </cell>
          <cell r="J3896" t="str">
            <v/>
          </cell>
          <cell r="K3896" t="str">
            <v/>
          </cell>
          <cell r="L3896" t="str">
            <v/>
          </cell>
          <cell r="M3896" t="str">
            <v/>
          </cell>
        </row>
        <row r="3897">
          <cell r="A3897">
            <v>31102192</v>
          </cell>
          <cell r="C3897">
            <v>31102192</v>
          </cell>
          <cell r="D3897">
            <v>31102192</v>
          </cell>
          <cell r="E3897">
            <v>31102192</v>
          </cell>
          <cell r="F3897">
            <v>31102192</v>
          </cell>
          <cell r="G3897">
            <v>31102192</v>
          </cell>
          <cell r="H3897">
            <v>31102192</v>
          </cell>
          <cell r="I3897" t="str">
            <v/>
          </cell>
          <cell r="J3897" t="str">
            <v/>
          </cell>
          <cell r="K3897" t="str">
            <v/>
          </cell>
          <cell r="L3897" t="str">
            <v/>
          </cell>
          <cell r="M3897" t="str">
            <v/>
          </cell>
        </row>
        <row r="3898">
          <cell r="A3898">
            <v>31102192</v>
          </cell>
          <cell r="C3898">
            <v>31102192</v>
          </cell>
          <cell r="D3898">
            <v>31102192</v>
          </cell>
          <cell r="E3898">
            <v>31102192</v>
          </cell>
          <cell r="F3898">
            <v>31102192</v>
          </cell>
          <cell r="G3898">
            <v>31102192</v>
          </cell>
          <cell r="H3898">
            <v>31102192</v>
          </cell>
          <cell r="I3898" t="str">
            <v/>
          </cell>
          <cell r="J3898" t="str">
            <v/>
          </cell>
          <cell r="K3898" t="str">
            <v/>
          </cell>
          <cell r="L3898" t="str">
            <v/>
          </cell>
          <cell r="M3898" t="str">
            <v/>
          </cell>
        </row>
        <row r="3899">
          <cell r="A3899">
            <v>31102192</v>
          </cell>
          <cell r="C3899">
            <v>31102192</v>
          </cell>
          <cell r="D3899">
            <v>31102192</v>
          </cell>
          <cell r="E3899">
            <v>31102192</v>
          </cell>
          <cell r="F3899">
            <v>31102192</v>
          </cell>
          <cell r="G3899">
            <v>31102192</v>
          </cell>
          <cell r="H3899">
            <v>31102192</v>
          </cell>
          <cell r="I3899" t="str">
            <v/>
          </cell>
          <cell r="J3899" t="str">
            <v/>
          </cell>
          <cell r="K3899" t="str">
            <v/>
          </cell>
          <cell r="L3899" t="str">
            <v/>
          </cell>
          <cell r="M3899" t="str">
            <v/>
          </cell>
        </row>
        <row r="3900">
          <cell r="A3900">
            <v>31102192</v>
          </cell>
          <cell r="C3900">
            <v>31102192</v>
          </cell>
          <cell r="D3900">
            <v>31102192</v>
          </cell>
          <cell r="E3900">
            <v>31102192</v>
          </cell>
          <cell r="F3900">
            <v>31102192</v>
          </cell>
          <cell r="G3900">
            <v>31102192</v>
          </cell>
          <cell r="H3900">
            <v>31102192</v>
          </cell>
          <cell r="I3900" t="str">
            <v/>
          </cell>
          <cell r="J3900" t="str">
            <v/>
          </cell>
          <cell r="K3900" t="str">
            <v/>
          </cell>
          <cell r="L3900" t="str">
            <v/>
          </cell>
          <cell r="M3900" t="str">
            <v/>
          </cell>
        </row>
        <row r="3901">
          <cell r="A3901">
            <v>31102192</v>
          </cell>
          <cell r="C3901">
            <v>31102192</v>
          </cell>
          <cell r="D3901">
            <v>31102192</v>
          </cell>
          <cell r="E3901">
            <v>31102192</v>
          </cell>
          <cell r="F3901">
            <v>31102192</v>
          </cell>
          <cell r="G3901">
            <v>31102192</v>
          </cell>
          <cell r="H3901">
            <v>31102192</v>
          </cell>
          <cell r="I3901" t="str">
            <v/>
          </cell>
          <cell r="J3901" t="str">
            <v/>
          </cell>
          <cell r="K3901" t="str">
            <v/>
          </cell>
          <cell r="L3901" t="str">
            <v/>
          </cell>
          <cell r="M3901" t="str">
            <v/>
          </cell>
        </row>
        <row r="3902">
          <cell r="A3902">
            <v>31102192</v>
          </cell>
          <cell r="C3902">
            <v>31102192</v>
          </cell>
          <cell r="D3902">
            <v>31102192</v>
          </cell>
          <cell r="E3902">
            <v>31102192</v>
          </cell>
          <cell r="F3902">
            <v>31102192</v>
          </cell>
          <cell r="G3902">
            <v>31102192</v>
          </cell>
          <cell r="H3902">
            <v>31102192</v>
          </cell>
          <cell r="I3902" t="str">
            <v/>
          </cell>
          <cell r="J3902" t="str">
            <v/>
          </cell>
          <cell r="K3902" t="str">
            <v/>
          </cell>
          <cell r="L3902" t="str">
            <v/>
          </cell>
          <cell r="M3902" t="str">
            <v/>
          </cell>
        </row>
        <row r="3903">
          <cell r="A3903">
            <v>31102192</v>
          </cell>
          <cell r="C3903">
            <v>31102192</v>
          </cell>
          <cell r="D3903">
            <v>31102192</v>
          </cell>
          <cell r="E3903">
            <v>31102192</v>
          </cell>
          <cell r="F3903">
            <v>31102192</v>
          </cell>
          <cell r="G3903">
            <v>31102192</v>
          </cell>
          <cell r="H3903">
            <v>31102192</v>
          </cell>
          <cell r="I3903" t="str">
            <v/>
          </cell>
          <cell r="J3903" t="str">
            <v/>
          </cell>
          <cell r="K3903" t="str">
            <v/>
          </cell>
          <cell r="L3903" t="str">
            <v/>
          </cell>
          <cell r="M3903" t="str">
            <v/>
          </cell>
        </row>
        <row r="3904">
          <cell r="A3904">
            <v>31102192</v>
          </cell>
          <cell r="C3904">
            <v>31102192</v>
          </cell>
          <cell r="D3904">
            <v>31102192</v>
          </cell>
          <cell r="E3904">
            <v>31102192</v>
          </cell>
          <cell r="F3904">
            <v>31102192</v>
          </cell>
          <cell r="G3904">
            <v>31102192</v>
          </cell>
          <cell r="H3904">
            <v>31102192</v>
          </cell>
          <cell r="I3904" t="str">
            <v/>
          </cell>
          <cell r="J3904" t="str">
            <v/>
          </cell>
          <cell r="K3904" t="str">
            <v/>
          </cell>
          <cell r="L3904" t="str">
            <v/>
          </cell>
          <cell r="M3904" t="str">
            <v/>
          </cell>
        </row>
        <row r="3905">
          <cell r="A3905">
            <v>31102192</v>
          </cell>
          <cell r="C3905">
            <v>31102192</v>
          </cell>
          <cell r="D3905">
            <v>31102192</v>
          </cell>
          <cell r="E3905">
            <v>31102192</v>
          </cell>
          <cell r="F3905">
            <v>31102192</v>
          </cell>
          <cell r="G3905">
            <v>31102192</v>
          </cell>
          <cell r="H3905">
            <v>31102192</v>
          </cell>
          <cell r="I3905" t="str">
            <v/>
          </cell>
          <cell r="J3905" t="str">
            <v/>
          </cell>
          <cell r="K3905" t="str">
            <v/>
          </cell>
          <cell r="L3905" t="str">
            <v/>
          </cell>
          <cell r="M3905" t="str">
            <v/>
          </cell>
        </row>
        <row r="3906">
          <cell r="A3906">
            <v>31102192</v>
          </cell>
          <cell r="C3906">
            <v>31102192</v>
          </cell>
          <cell r="D3906">
            <v>31102192</v>
          </cell>
          <cell r="E3906">
            <v>31102192</v>
          </cell>
          <cell r="F3906">
            <v>31102192</v>
          </cell>
          <cell r="G3906">
            <v>31102192</v>
          </cell>
          <cell r="H3906">
            <v>31102192</v>
          </cell>
          <cell r="I3906" t="str">
            <v/>
          </cell>
          <cell r="J3906" t="str">
            <v/>
          </cell>
          <cell r="K3906" t="str">
            <v/>
          </cell>
          <cell r="L3906" t="str">
            <v/>
          </cell>
          <cell r="M3906" t="str">
            <v/>
          </cell>
        </row>
        <row r="3907">
          <cell r="A3907">
            <v>31102192</v>
          </cell>
          <cell r="C3907">
            <v>31102192</v>
          </cell>
          <cell r="D3907">
            <v>31102192</v>
          </cell>
          <cell r="E3907">
            <v>31102192</v>
          </cell>
          <cell r="F3907">
            <v>31102192</v>
          </cell>
          <cell r="G3907">
            <v>31102192</v>
          </cell>
          <cell r="H3907">
            <v>31102192</v>
          </cell>
          <cell r="I3907" t="str">
            <v/>
          </cell>
          <cell r="J3907" t="str">
            <v/>
          </cell>
          <cell r="K3907" t="str">
            <v/>
          </cell>
          <cell r="L3907" t="str">
            <v/>
          </cell>
          <cell r="M3907" t="str">
            <v/>
          </cell>
        </row>
        <row r="3908">
          <cell r="A3908">
            <v>31102192</v>
          </cell>
          <cell r="C3908">
            <v>31102192</v>
          </cell>
          <cell r="D3908">
            <v>31102192</v>
          </cell>
          <cell r="E3908">
            <v>31102192</v>
          </cell>
          <cell r="F3908">
            <v>31102192</v>
          </cell>
          <cell r="G3908">
            <v>31102192</v>
          </cell>
          <cell r="H3908">
            <v>31102192</v>
          </cell>
          <cell r="I3908" t="str">
            <v/>
          </cell>
          <cell r="J3908" t="str">
            <v/>
          </cell>
          <cell r="K3908" t="str">
            <v/>
          </cell>
          <cell r="L3908" t="str">
            <v/>
          </cell>
          <cell r="M3908" t="str">
            <v/>
          </cell>
        </row>
        <row r="3909">
          <cell r="A3909">
            <v>31102192</v>
          </cell>
          <cell r="C3909">
            <v>31102192</v>
          </cell>
          <cell r="D3909">
            <v>31102192</v>
          </cell>
          <cell r="E3909">
            <v>31102192</v>
          </cell>
          <cell r="F3909">
            <v>31102192</v>
          </cell>
          <cell r="G3909">
            <v>31102192</v>
          </cell>
          <cell r="H3909">
            <v>31102192</v>
          </cell>
          <cell r="I3909" t="str">
            <v/>
          </cell>
          <cell r="J3909" t="str">
            <v/>
          </cell>
          <cell r="K3909" t="str">
            <v/>
          </cell>
          <cell r="L3909" t="str">
            <v/>
          </cell>
          <cell r="M3909" t="str">
            <v/>
          </cell>
        </row>
        <row r="3910">
          <cell r="A3910">
            <v>31102192</v>
          </cell>
          <cell r="C3910">
            <v>31102192</v>
          </cell>
          <cell r="D3910">
            <v>31102192</v>
          </cell>
          <cell r="E3910">
            <v>31102192</v>
          </cell>
          <cell r="F3910">
            <v>31102192</v>
          </cell>
          <cell r="G3910">
            <v>31102192</v>
          </cell>
          <cell r="H3910">
            <v>31102192</v>
          </cell>
          <cell r="I3910" t="str">
            <v/>
          </cell>
          <cell r="J3910" t="str">
            <v/>
          </cell>
          <cell r="K3910" t="str">
            <v/>
          </cell>
          <cell r="L3910" t="str">
            <v/>
          </cell>
          <cell r="M3910" t="str">
            <v/>
          </cell>
        </row>
        <row r="3911">
          <cell r="A3911">
            <v>31102192</v>
          </cell>
          <cell r="C3911">
            <v>31102192</v>
          </cell>
          <cell r="D3911">
            <v>31102192</v>
          </cell>
          <cell r="E3911">
            <v>31102192</v>
          </cell>
          <cell r="F3911">
            <v>31102192</v>
          </cell>
          <cell r="G3911">
            <v>31102192</v>
          </cell>
          <cell r="H3911">
            <v>31102192</v>
          </cell>
          <cell r="I3911" t="str">
            <v/>
          </cell>
          <cell r="J3911" t="str">
            <v/>
          </cell>
          <cell r="K3911" t="str">
            <v/>
          </cell>
          <cell r="L3911" t="str">
            <v/>
          </cell>
          <cell r="M3911" t="str">
            <v/>
          </cell>
        </row>
        <row r="3912">
          <cell r="A3912">
            <v>31102192</v>
          </cell>
          <cell r="C3912">
            <v>31102192</v>
          </cell>
          <cell r="D3912">
            <v>31102192</v>
          </cell>
          <cell r="E3912">
            <v>31102192</v>
          </cell>
          <cell r="F3912">
            <v>31102192</v>
          </cell>
          <cell r="G3912">
            <v>31102192</v>
          </cell>
          <cell r="H3912">
            <v>31102192</v>
          </cell>
          <cell r="I3912" t="str">
            <v/>
          </cell>
          <cell r="J3912" t="str">
            <v/>
          </cell>
          <cell r="K3912" t="str">
            <v/>
          </cell>
          <cell r="L3912" t="str">
            <v/>
          </cell>
          <cell r="M3912" t="str">
            <v/>
          </cell>
        </row>
        <row r="3913">
          <cell r="A3913">
            <v>31102192</v>
          </cell>
          <cell r="C3913">
            <v>31102192</v>
          </cell>
          <cell r="D3913">
            <v>31102192</v>
          </cell>
          <cell r="E3913">
            <v>31102192</v>
          </cell>
          <cell r="F3913">
            <v>31102192</v>
          </cell>
          <cell r="G3913">
            <v>31102192</v>
          </cell>
          <cell r="H3913">
            <v>31102192</v>
          </cell>
          <cell r="I3913" t="str">
            <v/>
          </cell>
          <cell r="J3913" t="str">
            <v/>
          </cell>
          <cell r="K3913" t="str">
            <v/>
          </cell>
          <cell r="L3913" t="str">
            <v/>
          </cell>
          <cell r="M3913" t="str">
            <v/>
          </cell>
        </row>
        <row r="3914">
          <cell r="A3914">
            <v>31102192</v>
          </cell>
          <cell r="C3914">
            <v>31102192</v>
          </cell>
          <cell r="D3914">
            <v>31102192</v>
          </cell>
          <cell r="E3914">
            <v>31102192</v>
          </cell>
          <cell r="F3914">
            <v>31102192</v>
          </cell>
          <cell r="G3914">
            <v>31102192</v>
          </cell>
          <cell r="H3914">
            <v>31102192</v>
          </cell>
          <cell r="I3914" t="str">
            <v/>
          </cell>
          <cell r="J3914" t="str">
            <v/>
          </cell>
          <cell r="K3914" t="str">
            <v/>
          </cell>
          <cell r="L3914" t="str">
            <v/>
          </cell>
          <cell r="M3914" t="str">
            <v/>
          </cell>
        </row>
        <row r="3915">
          <cell r="A3915">
            <v>31102192</v>
          </cell>
          <cell r="C3915">
            <v>31102192</v>
          </cell>
          <cell r="D3915">
            <v>31102192</v>
          </cell>
          <cell r="E3915">
            <v>31102192</v>
          </cell>
          <cell r="F3915">
            <v>31102192</v>
          </cell>
          <cell r="G3915">
            <v>31102192</v>
          </cell>
          <cell r="H3915">
            <v>31102192</v>
          </cell>
          <cell r="I3915" t="str">
            <v/>
          </cell>
          <cell r="J3915" t="str">
            <v/>
          </cell>
          <cell r="K3915" t="str">
            <v/>
          </cell>
          <cell r="L3915" t="str">
            <v/>
          </cell>
          <cell r="M3915" t="str">
            <v/>
          </cell>
        </row>
        <row r="3916">
          <cell r="A3916">
            <v>31102192</v>
          </cell>
          <cell r="C3916">
            <v>31102192</v>
          </cell>
          <cell r="D3916">
            <v>31102192</v>
          </cell>
          <cell r="E3916">
            <v>31102192</v>
          </cell>
          <cell r="F3916">
            <v>31102192</v>
          </cell>
          <cell r="G3916">
            <v>31102192</v>
          </cell>
          <cell r="H3916">
            <v>31102192</v>
          </cell>
          <cell r="I3916" t="str">
            <v/>
          </cell>
          <cell r="J3916" t="str">
            <v/>
          </cell>
          <cell r="K3916" t="str">
            <v/>
          </cell>
          <cell r="L3916" t="str">
            <v/>
          </cell>
          <cell r="M3916" t="str">
            <v/>
          </cell>
        </row>
        <row r="3917">
          <cell r="A3917">
            <v>31102192</v>
          </cell>
          <cell r="C3917">
            <v>31102192</v>
          </cell>
          <cell r="D3917">
            <v>31102192</v>
          </cell>
          <cell r="E3917">
            <v>31102192</v>
          </cell>
          <cell r="F3917">
            <v>31102192</v>
          </cell>
          <cell r="G3917">
            <v>31102192</v>
          </cell>
          <cell r="H3917">
            <v>31102192</v>
          </cell>
          <cell r="I3917" t="str">
            <v/>
          </cell>
          <cell r="J3917" t="str">
            <v/>
          </cell>
          <cell r="K3917" t="str">
            <v/>
          </cell>
          <cell r="L3917" t="str">
            <v/>
          </cell>
          <cell r="M3917" t="str">
            <v/>
          </cell>
        </row>
        <row r="3918">
          <cell r="A3918">
            <v>31102192</v>
          </cell>
          <cell r="C3918">
            <v>31102192</v>
          </cell>
          <cell r="D3918">
            <v>31102192</v>
          </cell>
          <cell r="E3918">
            <v>31102192</v>
          </cell>
          <cell r="F3918">
            <v>31102192</v>
          </cell>
          <cell r="G3918">
            <v>31102192</v>
          </cell>
          <cell r="H3918">
            <v>31102192</v>
          </cell>
          <cell r="I3918" t="str">
            <v/>
          </cell>
          <cell r="J3918" t="str">
            <v/>
          </cell>
          <cell r="K3918" t="str">
            <v/>
          </cell>
          <cell r="L3918" t="str">
            <v/>
          </cell>
          <cell r="M3918" t="str">
            <v/>
          </cell>
        </row>
        <row r="3919">
          <cell r="A3919">
            <v>31102192</v>
          </cell>
          <cell r="C3919">
            <v>31102192</v>
          </cell>
          <cell r="D3919">
            <v>31102192</v>
          </cell>
          <cell r="E3919">
            <v>31102192</v>
          </cell>
          <cell r="F3919">
            <v>31102192</v>
          </cell>
          <cell r="G3919">
            <v>31102192</v>
          </cell>
          <cell r="H3919">
            <v>31102192</v>
          </cell>
          <cell r="I3919" t="str">
            <v/>
          </cell>
          <cell r="J3919" t="str">
            <v/>
          </cell>
          <cell r="K3919" t="str">
            <v/>
          </cell>
          <cell r="L3919" t="str">
            <v/>
          </cell>
          <cell r="M3919" t="str">
            <v/>
          </cell>
        </row>
        <row r="3920">
          <cell r="A3920">
            <v>31102192</v>
          </cell>
          <cell r="C3920">
            <v>31102192</v>
          </cell>
          <cell r="D3920">
            <v>31102192</v>
          </cell>
          <cell r="E3920">
            <v>31102192</v>
          </cell>
          <cell r="F3920">
            <v>31102192</v>
          </cell>
          <cell r="G3920">
            <v>31102192</v>
          </cell>
          <cell r="H3920">
            <v>31102192</v>
          </cell>
          <cell r="I3920" t="str">
            <v/>
          </cell>
          <cell r="J3920" t="str">
            <v/>
          </cell>
          <cell r="K3920" t="str">
            <v/>
          </cell>
          <cell r="L3920" t="str">
            <v/>
          </cell>
          <cell r="M3920" t="str">
            <v/>
          </cell>
        </row>
        <row r="3921">
          <cell r="A3921">
            <v>31102192</v>
          </cell>
          <cell r="C3921">
            <v>31102192</v>
          </cell>
          <cell r="D3921">
            <v>31102192</v>
          </cell>
          <cell r="E3921">
            <v>31102192</v>
          </cell>
          <cell r="F3921">
            <v>31102192</v>
          </cell>
          <cell r="G3921">
            <v>31102192</v>
          </cell>
          <cell r="H3921">
            <v>31102192</v>
          </cell>
          <cell r="I3921" t="str">
            <v/>
          </cell>
          <cell r="J3921" t="str">
            <v/>
          </cell>
          <cell r="K3921" t="str">
            <v/>
          </cell>
          <cell r="L3921" t="str">
            <v/>
          </cell>
          <cell r="M3921" t="str">
            <v/>
          </cell>
        </row>
        <row r="3922">
          <cell r="A3922">
            <v>31102192</v>
          </cell>
          <cell r="C3922">
            <v>31102192</v>
          </cell>
          <cell r="D3922">
            <v>31102192</v>
          </cell>
          <cell r="E3922">
            <v>31102192</v>
          </cell>
          <cell r="F3922">
            <v>31102192</v>
          </cell>
          <cell r="G3922">
            <v>31102192</v>
          </cell>
          <cell r="H3922">
            <v>31102192</v>
          </cell>
          <cell r="I3922" t="str">
            <v/>
          </cell>
          <cell r="J3922" t="str">
            <v/>
          </cell>
          <cell r="K3922" t="str">
            <v/>
          </cell>
          <cell r="L3922" t="str">
            <v/>
          </cell>
          <cell r="M3922" t="str">
            <v/>
          </cell>
        </row>
        <row r="3923">
          <cell r="A3923">
            <v>31102192</v>
          </cell>
          <cell r="C3923">
            <v>31102192</v>
          </cell>
          <cell r="D3923">
            <v>31102192</v>
          </cell>
          <cell r="E3923">
            <v>31102192</v>
          </cell>
          <cell r="F3923">
            <v>31102192</v>
          </cell>
          <cell r="G3923">
            <v>31102192</v>
          </cell>
          <cell r="H3923">
            <v>31102192</v>
          </cell>
          <cell r="I3923" t="str">
            <v/>
          </cell>
          <cell r="J3923" t="str">
            <v/>
          </cell>
          <cell r="K3923" t="str">
            <v/>
          </cell>
          <cell r="L3923" t="str">
            <v/>
          </cell>
          <cell r="M3923" t="str">
            <v/>
          </cell>
        </row>
        <row r="3924">
          <cell r="A3924">
            <v>31102192</v>
          </cell>
          <cell r="C3924">
            <v>31102192</v>
          </cell>
          <cell r="D3924">
            <v>31102192</v>
          </cell>
          <cell r="E3924">
            <v>31102192</v>
          </cell>
          <cell r="F3924">
            <v>31102192</v>
          </cell>
          <cell r="G3924">
            <v>31102192</v>
          </cell>
          <cell r="H3924">
            <v>31102192</v>
          </cell>
          <cell r="I3924" t="str">
            <v/>
          </cell>
          <cell r="J3924" t="str">
            <v/>
          </cell>
          <cell r="K3924" t="str">
            <v/>
          </cell>
          <cell r="L3924" t="str">
            <v/>
          </cell>
          <cell r="M3924" t="str">
            <v/>
          </cell>
        </row>
        <row r="3925">
          <cell r="A3925">
            <v>31102192</v>
          </cell>
          <cell r="C3925">
            <v>31102192</v>
          </cell>
          <cell r="D3925">
            <v>31102192</v>
          </cell>
          <cell r="E3925">
            <v>31102192</v>
          </cell>
          <cell r="F3925">
            <v>31102192</v>
          </cell>
          <cell r="G3925">
            <v>31102192</v>
          </cell>
          <cell r="H3925">
            <v>31102192</v>
          </cell>
          <cell r="I3925" t="str">
            <v/>
          </cell>
          <cell r="J3925" t="str">
            <v/>
          </cell>
          <cell r="K3925" t="str">
            <v/>
          </cell>
          <cell r="L3925" t="str">
            <v/>
          </cell>
          <cell r="M3925" t="str">
            <v/>
          </cell>
        </row>
        <row r="3926">
          <cell r="A3926">
            <v>31102192</v>
          </cell>
          <cell r="C3926">
            <v>31102192</v>
          </cell>
          <cell r="D3926">
            <v>31102192</v>
          </cell>
          <cell r="E3926">
            <v>31102192</v>
          </cell>
          <cell r="F3926">
            <v>31102192</v>
          </cell>
          <cell r="G3926">
            <v>31102192</v>
          </cell>
          <cell r="H3926">
            <v>31102192</v>
          </cell>
          <cell r="I3926" t="str">
            <v/>
          </cell>
          <cell r="J3926" t="str">
            <v/>
          </cell>
          <cell r="K3926" t="str">
            <v/>
          </cell>
          <cell r="L3926" t="str">
            <v/>
          </cell>
          <cell r="M3926" t="str">
            <v/>
          </cell>
        </row>
        <row r="3927">
          <cell r="A3927">
            <v>31102192</v>
          </cell>
          <cell r="C3927">
            <v>31102192</v>
          </cell>
          <cell r="D3927">
            <v>31102192</v>
          </cell>
          <cell r="E3927">
            <v>31102192</v>
          </cell>
          <cell r="F3927">
            <v>31102192</v>
          </cell>
          <cell r="G3927">
            <v>31102192</v>
          </cell>
          <cell r="H3927">
            <v>31102192</v>
          </cell>
          <cell r="I3927" t="str">
            <v/>
          </cell>
          <cell r="J3927" t="str">
            <v/>
          </cell>
          <cell r="K3927" t="str">
            <v/>
          </cell>
          <cell r="L3927" t="str">
            <v/>
          </cell>
          <cell r="M3927" t="str">
            <v/>
          </cell>
        </row>
        <row r="3928">
          <cell r="A3928">
            <v>31102192</v>
          </cell>
          <cell r="C3928">
            <v>31102192</v>
          </cell>
          <cell r="D3928">
            <v>31102192</v>
          </cell>
          <cell r="E3928">
            <v>31102192</v>
          </cell>
          <cell r="F3928">
            <v>31102192</v>
          </cell>
          <cell r="G3928">
            <v>31102192</v>
          </cell>
          <cell r="H3928">
            <v>31102192</v>
          </cell>
          <cell r="I3928" t="str">
            <v/>
          </cell>
          <cell r="J3928" t="str">
            <v/>
          </cell>
          <cell r="K3928" t="str">
            <v/>
          </cell>
          <cell r="L3928" t="str">
            <v/>
          </cell>
          <cell r="M3928" t="str">
            <v/>
          </cell>
        </row>
        <row r="3929">
          <cell r="A3929">
            <v>31102192</v>
          </cell>
          <cell r="C3929">
            <v>31102192</v>
          </cell>
          <cell r="D3929">
            <v>31102192</v>
          </cell>
          <cell r="E3929">
            <v>31102192</v>
          </cell>
          <cell r="F3929">
            <v>31102192</v>
          </cell>
          <cell r="G3929">
            <v>31102192</v>
          </cell>
          <cell r="H3929">
            <v>31102192</v>
          </cell>
          <cell r="I3929" t="str">
            <v/>
          </cell>
          <cell r="J3929" t="str">
            <v/>
          </cell>
          <cell r="K3929" t="str">
            <v/>
          </cell>
          <cell r="L3929" t="str">
            <v/>
          </cell>
          <cell r="M3929" t="str">
            <v/>
          </cell>
        </row>
        <row r="3930">
          <cell r="A3930">
            <v>31102192</v>
          </cell>
          <cell r="C3930">
            <v>31102192</v>
          </cell>
          <cell r="D3930">
            <v>31102192</v>
          </cell>
          <cell r="E3930">
            <v>31102192</v>
          </cell>
          <cell r="F3930">
            <v>31102192</v>
          </cell>
          <cell r="G3930">
            <v>31102192</v>
          </cell>
          <cell r="H3930">
            <v>31102192</v>
          </cell>
          <cell r="I3930" t="str">
            <v/>
          </cell>
          <cell r="J3930" t="str">
            <v/>
          </cell>
          <cell r="K3930" t="str">
            <v/>
          </cell>
          <cell r="L3930" t="str">
            <v/>
          </cell>
          <cell r="M3930" t="str">
            <v/>
          </cell>
        </row>
        <row r="3931">
          <cell r="A3931">
            <v>31102192</v>
          </cell>
          <cell r="C3931">
            <v>31102192</v>
          </cell>
          <cell r="D3931">
            <v>31102192</v>
          </cell>
          <cell r="E3931">
            <v>31102192</v>
          </cell>
          <cell r="F3931">
            <v>31102192</v>
          </cell>
          <cell r="G3931">
            <v>31102192</v>
          </cell>
          <cell r="H3931">
            <v>31102192</v>
          </cell>
          <cell r="I3931" t="str">
            <v/>
          </cell>
          <cell r="J3931" t="str">
            <v/>
          </cell>
          <cell r="K3931" t="str">
            <v/>
          </cell>
          <cell r="L3931" t="str">
            <v/>
          </cell>
          <cell r="M3931" t="str">
            <v/>
          </cell>
        </row>
        <row r="3932">
          <cell r="A3932">
            <v>31102192</v>
          </cell>
          <cell r="C3932">
            <v>31102192</v>
          </cell>
          <cell r="D3932">
            <v>31102192</v>
          </cell>
          <cell r="E3932">
            <v>31102192</v>
          </cell>
          <cell r="F3932">
            <v>31102192</v>
          </cell>
          <cell r="G3932">
            <v>31102192</v>
          </cell>
          <cell r="H3932">
            <v>31102192</v>
          </cell>
          <cell r="I3932" t="str">
            <v/>
          </cell>
          <cell r="J3932" t="str">
            <v/>
          </cell>
          <cell r="K3932" t="str">
            <v/>
          </cell>
          <cell r="L3932" t="str">
            <v/>
          </cell>
          <cell r="M3932" t="str">
            <v/>
          </cell>
        </row>
        <row r="3933">
          <cell r="A3933">
            <v>31102192</v>
          </cell>
          <cell r="C3933">
            <v>31102192</v>
          </cell>
          <cell r="D3933">
            <v>31102192</v>
          </cell>
          <cell r="E3933">
            <v>31102192</v>
          </cell>
          <cell r="F3933">
            <v>31102192</v>
          </cell>
          <cell r="G3933">
            <v>31102192</v>
          </cell>
          <cell r="H3933">
            <v>31102192</v>
          </cell>
          <cell r="I3933" t="str">
            <v/>
          </cell>
          <cell r="J3933" t="str">
            <v/>
          </cell>
          <cell r="K3933" t="str">
            <v/>
          </cell>
          <cell r="L3933" t="str">
            <v/>
          </cell>
          <cell r="M3933" t="str">
            <v/>
          </cell>
        </row>
        <row r="3934">
          <cell r="A3934">
            <v>31102192</v>
          </cell>
          <cell r="C3934">
            <v>31102192</v>
          </cell>
          <cell r="D3934">
            <v>31102192</v>
          </cell>
          <cell r="E3934">
            <v>31102192</v>
          </cell>
          <cell r="F3934">
            <v>31102192</v>
          </cell>
          <cell r="G3934">
            <v>31102192</v>
          </cell>
          <cell r="H3934">
            <v>31102192</v>
          </cell>
          <cell r="I3934" t="str">
            <v/>
          </cell>
          <cell r="J3934" t="str">
            <v/>
          </cell>
          <cell r="K3934" t="str">
            <v/>
          </cell>
          <cell r="L3934" t="str">
            <v/>
          </cell>
          <cell r="M3934" t="str">
            <v/>
          </cell>
        </row>
        <row r="3935">
          <cell r="A3935">
            <v>31102192</v>
          </cell>
          <cell r="C3935">
            <v>31102192</v>
          </cell>
          <cell r="D3935">
            <v>31102192</v>
          </cell>
          <cell r="E3935">
            <v>31102192</v>
          </cell>
          <cell r="F3935">
            <v>31102192</v>
          </cell>
          <cell r="G3935">
            <v>31102192</v>
          </cell>
          <cell r="H3935">
            <v>31102192</v>
          </cell>
          <cell r="I3935" t="str">
            <v/>
          </cell>
          <cell r="J3935" t="str">
            <v/>
          </cell>
          <cell r="K3935" t="str">
            <v/>
          </cell>
          <cell r="L3935" t="str">
            <v/>
          </cell>
          <cell r="M3935" t="str">
            <v/>
          </cell>
        </row>
        <row r="3936">
          <cell r="A3936">
            <v>31102192</v>
          </cell>
          <cell r="C3936">
            <v>31102192</v>
          </cell>
          <cell r="D3936">
            <v>31102192</v>
          </cell>
          <cell r="E3936">
            <v>31102192</v>
          </cell>
          <cell r="F3936">
            <v>31102192</v>
          </cell>
          <cell r="G3936">
            <v>31102192</v>
          </cell>
          <cell r="H3936">
            <v>31102192</v>
          </cell>
          <cell r="I3936" t="str">
            <v/>
          </cell>
          <cell r="J3936" t="str">
            <v/>
          </cell>
          <cell r="K3936" t="str">
            <v/>
          </cell>
          <cell r="L3936" t="str">
            <v/>
          </cell>
          <cell r="M3936" t="str">
            <v/>
          </cell>
        </row>
        <row r="3937">
          <cell r="A3937">
            <v>31102192</v>
          </cell>
          <cell r="C3937">
            <v>31102192</v>
          </cell>
          <cell r="D3937">
            <v>31102192</v>
          </cell>
          <cell r="E3937">
            <v>31102192</v>
          </cell>
          <cell r="F3937">
            <v>31102192</v>
          </cell>
          <cell r="G3937">
            <v>31102192</v>
          </cell>
          <cell r="H3937">
            <v>31102192</v>
          </cell>
          <cell r="I3937" t="str">
            <v/>
          </cell>
          <cell r="J3937" t="str">
            <v/>
          </cell>
          <cell r="K3937" t="str">
            <v/>
          </cell>
          <cell r="L3937" t="str">
            <v/>
          </cell>
          <cell r="M3937" t="str">
            <v/>
          </cell>
        </row>
        <row r="3938">
          <cell r="A3938">
            <v>31102192</v>
          </cell>
          <cell r="C3938">
            <v>31102192</v>
          </cell>
          <cell r="D3938">
            <v>31102192</v>
          </cell>
          <cell r="E3938">
            <v>31102192</v>
          </cell>
          <cell r="F3938">
            <v>31102192</v>
          </cell>
          <cell r="G3938">
            <v>31102192</v>
          </cell>
          <cell r="H3938">
            <v>31102192</v>
          </cell>
          <cell r="I3938" t="str">
            <v/>
          </cell>
          <cell r="J3938" t="str">
            <v/>
          </cell>
          <cell r="K3938" t="str">
            <v/>
          </cell>
          <cell r="L3938" t="str">
            <v/>
          </cell>
          <cell r="M3938" t="str">
            <v/>
          </cell>
        </row>
        <row r="3939">
          <cell r="A3939">
            <v>31102192</v>
          </cell>
          <cell r="C3939">
            <v>31102192</v>
          </cell>
          <cell r="D3939">
            <v>31102192</v>
          </cell>
          <cell r="E3939">
            <v>31102192</v>
          </cell>
          <cell r="F3939">
            <v>31102192</v>
          </cell>
          <cell r="G3939">
            <v>31102192</v>
          </cell>
          <cell r="H3939">
            <v>31102192</v>
          </cell>
          <cell r="I3939" t="str">
            <v/>
          </cell>
          <cell r="J3939" t="str">
            <v/>
          </cell>
          <cell r="K3939" t="str">
            <v/>
          </cell>
          <cell r="L3939" t="str">
            <v/>
          </cell>
          <cell r="M3939" t="str">
            <v/>
          </cell>
        </row>
        <row r="3940">
          <cell r="A3940">
            <v>31102192</v>
          </cell>
          <cell r="C3940">
            <v>31102192</v>
          </cell>
          <cell r="D3940">
            <v>31102192</v>
          </cell>
          <cell r="E3940">
            <v>31102192</v>
          </cell>
          <cell r="F3940">
            <v>31102192</v>
          </cell>
          <cell r="G3940">
            <v>31102192</v>
          </cell>
          <cell r="H3940">
            <v>31102192</v>
          </cell>
          <cell r="I3940" t="str">
            <v/>
          </cell>
          <cell r="J3940" t="str">
            <v/>
          </cell>
          <cell r="K3940" t="str">
            <v/>
          </cell>
          <cell r="L3940" t="str">
            <v/>
          </cell>
          <cell r="M3940" t="str">
            <v/>
          </cell>
        </row>
        <row r="3941">
          <cell r="A3941">
            <v>31102192</v>
          </cell>
          <cell r="C3941">
            <v>31102192</v>
          </cell>
          <cell r="D3941">
            <v>31102192</v>
          </cell>
          <cell r="E3941">
            <v>31102192</v>
          </cell>
          <cell r="F3941">
            <v>31102192</v>
          </cell>
          <cell r="G3941">
            <v>31102192</v>
          </cell>
          <cell r="H3941">
            <v>31102192</v>
          </cell>
          <cell r="I3941" t="str">
            <v/>
          </cell>
          <cell r="J3941" t="str">
            <v/>
          </cell>
          <cell r="K3941" t="str">
            <v/>
          </cell>
          <cell r="L3941" t="str">
            <v/>
          </cell>
          <cell r="M3941" t="str">
            <v/>
          </cell>
        </row>
        <row r="3942">
          <cell r="A3942">
            <v>31102192</v>
          </cell>
          <cell r="C3942">
            <v>31102192</v>
          </cell>
          <cell r="D3942">
            <v>31102192</v>
          </cell>
          <cell r="E3942">
            <v>31102192</v>
          </cell>
          <cell r="F3942">
            <v>31102192</v>
          </cell>
          <cell r="G3942">
            <v>31102192</v>
          </cell>
          <cell r="H3942">
            <v>31102192</v>
          </cell>
          <cell r="I3942" t="str">
            <v/>
          </cell>
          <cell r="J3942" t="str">
            <v/>
          </cell>
          <cell r="K3942" t="str">
            <v/>
          </cell>
          <cell r="L3942" t="str">
            <v/>
          </cell>
          <cell r="M3942" t="str">
            <v/>
          </cell>
        </row>
        <row r="3943">
          <cell r="A3943">
            <v>31102192</v>
          </cell>
          <cell r="C3943">
            <v>31102192</v>
          </cell>
          <cell r="D3943">
            <v>31102192</v>
          </cell>
          <cell r="E3943">
            <v>31102192</v>
          </cell>
          <cell r="F3943">
            <v>31102192</v>
          </cell>
          <cell r="G3943">
            <v>31102192</v>
          </cell>
          <cell r="H3943">
            <v>31102192</v>
          </cell>
          <cell r="I3943" t="str">
            <v/>
          </cell>
          <cell r="J3943" t="str">
            <v/>
          </cell>
          <cell r="K3943" t="str">
            <v/>
          </cell>
          <cell r="L3943" t="str">
            <v/>
          </cell>
          <cell r="M3943" t="str">
            <v/>
          </cell>
        </row>
        <row r="3944">
          <cell r="A3944">
            <v>31102192</v>
          </cell>
          <cell r="C3944">
            <v>31102192</v>
          </cell>
          <cell r="D3944">
            <v>31102192</v>
          </cell>
          <cell r="E3944">
            <v>31102192</v>
          </cell>
          <cell r="F3944">
            <v>31102192</v>
          </cell>
          <cell r="G3944">
            <v>31102192</v>
          </cell>
          <cell r="H3944">
            <v>31102192</v>
          </cell>
          <cell r="I3944" t="str">
            <v/>
          </cell>
          <cell r="J3944" t="str">
            <v/>
          </cell>
          <cell r="K3944" t="str">
            <v/>
          </cell>
          <cell r="L3944" t="str">
            <v/>
          </cell>
          <cell r="M3944" t="str">
            <v/>
          </cell>
        </row>
        <row r="3945">
          <cell r="A3945">
            <v>31102192</v>
          </cell>
          <cell r="C3945">
            <v>31102192</v>
          </cell>
          <cell r="D3945">
            <v>31102192</v>
          </cell>
          <cell r="E3945">
            <v>31102192</v>
          </cell>
          <cell r="F3945">
            <v>31102192</v>
          </cell>
          <cell r="G3945">
            <v>31102192</v>
          </cell>
          <cell r="H3945">
            <v>31102192</v>
          </cell>
          <cell r="I3945" t="str">
            <v/>
          </cell>
          <cell r="J3945" t="str">
            <v/>
          </cell>
          <cell r="K3945" t="str">
            <v/>
          </cell>
          <cell r="L3945" t="str">
            <v/>
          </cell>
          <cell r="M3945" t="str">
            <v/>
          </cell>
        </row>
        <row r="3946">
          <cell r="A3946">
            <v>31102192</v>
          </cell>
          <cell r="C3946">
            <v>31102192</v>
          </cell>
          <cell r="D3946">
            <v>31102192</v>
          </cell>
          <cell r="E3946">
            <v>31102192</v>
          </cell>
          <cell r="F3946">
            <v>31102192</v>
          </cell>
          <cell r="G3946">
            <v>31102192</v>
          </cell>
          <cell r="H3946">
            <v>31102192</v>
          </cell>
          <cell r="I3946" t="str">
            <v/>
          </cell>
          <cell r="J3946" t="str">
            <v/>
          </cell>
          <cell r="K3946" t="str">
            <v/>
          </cell>
          <cell r="L3946" t="str">
            <v/>
          </cell>
          <cell r="M3946" t="str">
            <v/>
          </cell>
        </row>
        <row r="3947">
          <cell r="A3947">
            <v>31102192</v>
          </cell>
          <cell r="C3947">
            <v>31102192</v>
          </cell>
          <cell r="D3947">
            <v>31102192</v>
          </cell>
          <cell r="E3947">
            <v>31102192</v>
          </cell>
          <cell r="F3947">
            <v>31102192</v>
          </cell>
          <cell r="G3947">
            <v>31102192</v>
          </cell>
          <cell r="H3947">
            <v>31102192</v>
          </cell>
          <cell r="I3947" t="str">
            <v/>
          </cell>
          <cell r="J3947" t="str">
            <v/>
          </cell>
          <cell r="K3947" t="str">
            <v/>
          </cell>
          <cell r="L3947" t="str">
            <v/>
          </cell>
          <cell r="M3947" t="str">
            <v/>
          </cell>
        </row>
        <row r="3948">
          <cell r="A3948">
            <v>31102192</v>
          </cell>
          <cell r="C3948">
            <v>31102192</v>
          </cell>
          <cell r="D3948">
            <v>31102192</v>
          </cell>
          <cell r="E3948">
            <v>31102192</v>
          </cell>
          <cell r="F3948">
            <v>31102192</v>
          </cell>
          <cell r="G3948">
            <v>31102192</v>
          </cell>
          <cell r="H3948">
            <v>31102192</v>
          </cell>
          <cell r="I3948" t="str">
            <v/>
          </cell>
          <cell r="J3948" t="str">
            <v/>
          </cell>
          <cell r="K3948" t="str">
            <v/>
          </cell>
          <cell r="L3948" t="str">
            <v/>
          </cell>
          <cell r="M3948" t="str">
            <v/>
          </cell>
        </row>
        <row r="3949">
          <cell r="A3949">
            <v>31102192</v>
          </cell>
          <cell r="C3949">
            <v>31102192</v>
          </cell>
          <cell r="D3949">
            <v>31102192</v>
          </cell>
          <cell r="E3949">
            <v>31102192</v>
          </cell>
          <cell r="F3949">
            <v>31102192</v>
          </cell>
          <cell r="G3949">
            <v>31102192</v>
          </cell>
          <cell r="H3949">
            <v>31102192</v>
          </cell>
          <cell r="I3949" t="str">
            <v/>
          </cell>
          <cell r="J3949" t="str">
            <v/>
          </cell>
          <cell r="K3949" t="str">
            <v/>
          </cell>
          <cell r="L3949" t="str">
            <v/>
          </cell>
          <cell r="M3949" t="str">
            <v/>
          </cell>
        </row>
        <row r="3950">
          <cell r="A3950">
            <v>31102192</v>
          </cell>
          <cell r="C3950">
            <v>31102192</v>
          </cell>
          <cell r="D3950">
            <v>31102192</v>
          </cell>
          <cell r="E3950">
            <v>31102192</v>
          </cell>
          <cell r="F3950">
            <v>31102192</v>
          </cell>
          <cell r="G3950">
            <v>31102192</v>
          </cell>
          <cell r="H3950">
            <v>31102192</v>
          </cell>
          <cell r="I3950" t="str">
            <v/>
          </cell>
          <cell r="J3950" t="str">
            <v/>
          </cell>
          <cell r="K3950" t="str">
            <v/>
          </cell>
          <cell r="L3950" t="str">
            <v/>
          </cell>
          <cell r="M3950" t="str">
            <v/>
          </cell>
        </row>
        <row r="3951">
          <cell r="A3951">
            <v>31102192</v>
          </cell>
          <cell r="C3951">
            <v>31102192</v>
          </cell>
          <cell r="D3951">
            <v>31102192</v>
          </cell>
          <cell r="E3951">
            <v>31102192</v>
          </cell>
          <cell r="F3951">
            <v>31102192</v>
          </cell>
          <cell r="G3951">
            <v>31102192</v>
          </cell>
          <cell r="H3951">
            <v>31102192</v>
          </cell>
          <cell r="I3951" t="str">
            <v/>
          </cell>
          <cell r="J3951" t="str">
            <v/>
          </cell>
          <cell r="K3951" t="str">
            <v/>
          </cell>
          <cell r="L3951" t="str">
            <v/>
          </cell>
          <cell r="M3951" t="str">
            <v/>
          </cell>
        </row>
        <row r="3952">
          <cell r="A3952">
            <v>31102192</v>
          </cell>
          <cell r="C3952">
            <v>31102192</v>
          </cell>
          <cell r="D3952">
            <v>31102192</v>
          </cell>
          <cell r="E3952">
            <v>31102192</v>
          </cell>
          <cell r="F3952">
            <v>31102192</v>
          </cell>
          <cell r="G3952">
            <v>31102192</v>
          </cell>
          <cell r="H3952">
            <v>31102192</v>
          </cell>
          <cell r="I3952" t="str">
            <v/>
          </cell>
          <cell r="J3952" t="str">
            <v/>
          </cell>
          <cell r="K3952" t="str">
            <v/>
          </cell>
          <cell r="L3952" t="str">
            <v/>
          </cell>
          <cell r="M3952" t="str">
            <v/>
          </cell>
        </row>
        <row r="3953">
          <cell r="A3953">
            <v>31102192</v>
          </cell>
          <cell r="C3953">
            <v>31102192</v>
          </cell>
          <cell r="D3953">
            <v>31102192</v>
          </cell>
          <cell r="E3953">
            <v>31102192</v>
          </cell>
          <cell r="F3953">
            <v>31102192</v>
          </cell>
          <cell r="G3953">
            <v>31102192</v>
          </cell>
          <cell r="H3953">
            <v>31102192</v>
          </cell>
          <cell r="I3953" t="str">
            <v/>
          </cell>
          <cell r="J3953" t="str">
            <v/>
          </cell>
          <cell r="K3953" t="str">
            <v/>
          </cell>
          <cell r="L3953" t="str">
            <v/>
          </cell>
          <cell r="M3953" t="str">
            <v/>
          </cell>
        </row>
        <row r="3954">
          <cell r="A3954">
            <v>31102192</v>
          </cell>
          <cell r="C3954">
            <v>31102192</v>
          </cell>
          <cell r="D3954">
            <v>31102192</v>
          </cell>
          <cell r="E3954">
            <v>31102192</v>
          </cell>
          <cell r="F3954">
            <v>31102192</v>
          </cell>
          <cell r="G3954">
            <v>31102192</v>
          </cell>
          <cell r="H3954">
            <v>31102192</v>
          </cell>
          <cell r="I3954" t="str">
            <v/>
          </cell>
          <cell r="J3954" t="str">
            <v/>
          </cell>
          <cell r="K3954" t="str">
            <v/>
          </cell>
          <cell r="L3954" t="str">
            <v/>
          </cell>
          <cell r="M3954" t="str">
            <v/>
          </cell>
        </row>
        <row r="3955">
          <cell r="A3955">
            <v>31102192</v>
          </cell>
          <cell r="C3955">
            <v>31102192</v>
          </cell>
          <cell r="D3955">
            <v>31102192</v>
          </cell>
          <cell r="E3955">
            <v>31102192</v>
          </cell>
          <cell r="F3955">
            <v>31102192</v>
          </cell>
          <cell r="G3955">
            <v>31102192</v>
          </cell>
          <cell r="H3955">
            <v>31102192</v>
          </cell>
          <cell r="I3955" t="str">
            <v/>
          </cell>
          <cell r="J3955" t="str">
            <v/>
          </cell>
          <cell r="K3955" t="str">
            <v/>
          </cell>
          <cell r="L3955" t="str">
            <v/>
          </cell>
          <cell r="M3955" t="str">
            <v/>
          </cell>
        </row>
        <row r="3956">
          <cell r="A3956">
            <v>31102192</v>
          </cell>
          <cell r="C3956">
            <v>31102192</v>
          </cell>
          <cell r="D3956">
            <v>31102192</v>
          </cell>
          <cell r="E3956">
            <v>31102192</v>
          </cell>
          <cell r="F3956">
            <v>31102192</v>
          </cell>
          <cell r="G3956">
            <v>31102192</v>
          </cell>
          <cell r="H3956">
            <v>31102192</v>
          </cell>
          <cell r="I3956" t="str">
            <v/>
          </cell>
          <cell r="J3956" t="str">
            <v/>
          </cell>
          <cell r="K3956" t="str">
            <v/>
          </cell>
          <cell r="L3956" t="str">
            <v/>
          </cell>
          <cell r="M3956" t="str">
            <v/>
          </cell>
        </row>
        <row r="3957">
          <cell r="A3957">
            <v>31102192</v>
          </cell>
          <cell r="C3957">
            <v>31102192</v>
          </cell>
          <cell r="D3957">
            <v>31102192</v>
          </cell>
          <cell r="E3957">
            <v>31102192</v>
          </cell>
          <cell r="F3957">
            <v>31102192</v>
          </cell>
          <cell r="G3957">
            <v>31102192</v>
          </cell>
          <cell r="H3957">
            <v>31102192</v>
          </cell>
          <cell r="I3957" t="str">
            <v/>
          </cell>
          <cell r="J3957" t="str">
            <v/>
          </cell>
          <cell r="K3957" t="str">
            <v/>
          </cell>
          <cell r="L3957" t="str">
            <v/>
          </cell>
          <cell r="M3957" t="str">
            <v/>
          </cell>
        </row>
        <row r="3958">
          <cell r="A3958">
            <v>31102192</v>
          </cell>
          <cell r="C3958">
            <v>31102192</v>
          </cell>
          <cell r="D3958">
            <v>31102192</v>
          </cell>
          <cell r="E3958">
            <v>31102192</v>
          </cell>
          <cell r="F3958">
            <v>31102192</v>
          </cell>
          <cell r="G3958">
            <v>31102192</v>
          </cell>
          <cell r="H3958">
            <v>31102192</v>
          </cell>
          <cell r="I3958" t="str">
            <v/>
          </cell>
          <cell r="J3958" t="str">
            <v/>
          </cell>
          <cell r="K3958" t="str">
            <v/>
          </cell>
          <cell r="L3958" t="str">
            <v/>
          </cell>
          <cell r="M3958" t="str">
            <v/>
          </cell>
        </row>
        <row r="3959">
          <cell r="A3959">
            <v>31102192</v>
          </cell>
          <cell r="C3959">
            <v>31102192</v>
          </cell>
          <cell r="D3959">
            <v>31102192</v>
          </cell>
          <cell r="E3959">
            <v>31102192</v>
          </cell>
          <cell r="F3959">
            <v>31102192</v>
          </cell>
          <cell r="G3959">
            <v>31102192</v>
          </cell>
          <cell r="H3959">
            <v>31102192</v>
          </cell>
          <cell r="I3959" t="str">
            <v/>
          </cell>
          <cell r="J3959" t="str">
            <v/>
          </cell>
          <cell r="K3959" t="str">
            <v/>
          </cell>
          <cell r="L3959" t="str">
            <v/>
          </cell>
          <cell r="M3959" t="str">
            <v/>
          </cell>
        </row>
        <row r="3960">
          <cell r="A3960">
            <v>31102192</v>
          </cell>
          <cell r="C3960">
            <v>31102192</v>
          </cell>
          <cell r="D3960">
            <v>31102192</v>
          </cell>
          <cell r="E3960">
            <v>31102192</v>
          </cell>
          <cell r="F3960">
            <v>31102192</v>
          </cell>
          <cell r="G3960">
            <v>31102192</v>
          </cell>
          <cell r="H3960">
            <v>31102192</v>
          </cell>
          <cell r="I3960" t="str">
            <v/>
          </cell>
          <cell r="J3960" t="str">
            <v/>
          </cell>
          <cell r="K3960" t="str">
            <v/>
          </cell>
          <cell r="L3960" t="str">
            <v/>
          </cell>
          <cell r="M3960" t="str">
            <v/>
          </cell>
        </row>
        <row r="3961">
          <cell r="A3961">
            <v>31102192</v>
          </cell>
          <cell r="C3961">
            <v>31102192</v>
          </cell>
          <cell r="D3961">
            <v>31102192</v>
          </cell>
          <cell r="E3961">
            <v>31102192</v>
          </cell>
          <cell r="F3961">
            <v>31102192</v>
          </cell>
          <cell r="G3961">
            <v>31102192</v>
          </cell>
          <cell r="H3961">
            <v>31102192</v>
          </cell>
          <cell r="I3961" t="str">
            <v/>
          </cell>
          <cell r="J3961" t="str">
            <v/>
          </cell>
          <cell r="K3961" t="str">
            <v/>
          </cell>
          <cell r="L3961" t="str">
            <v/>
          </cell>
          <cell r="M3961" t="str">
            <v/>
          </cell>
        </row>
        <row r="3962">
          <cell r="A3962">
            <v>31102192</v>
          </cell>
          <cell r="C3962">
            <v>31102192</v>
          </cell>
          <cell r="D3962">
            <v>31102192</v>
          </cell>
          <cell r="E3962">
            <v>31102192</v>
          </cell>
          <cell r="F3962">
            <v>31102192</v>
          </cell>
          <cell r="G3962">
            <v>31102192</v>
          </cell>
          <cell r="H3962">
            <v>31102192</v>
          </cell>
          <cell r="I3962" t="str">
            <v/>
          </cell>
          <cell r="J3962" t="str">
            <v/>
          </cell>
          <cell r="K3962" t="str">
            <v/>
          </cell>
          <cell r="L3962" t="str">
            <v/>
          </cell>
          <cell r="M3962" t="str">
            <v/>
          </cell>
        </row>
        <row r="3963">
          <cell r="A3963">
            <v>31102192</v>
          </cell>
          <cell r="C3963">
            <v>31102192</v>
          </cell>
          <cell r="D3963">
            <v>31102192</v>
          </cell>
          <cell r="E3963">
            <v>31102192</v>
          </cell>
          <cell r="F3963">
            <v>31102192</v>
          </cell>
          <cell r="G3963">
            <v>31102192</v>
          </cell>
          <cell r="H3963">
            <v>31102192</v>
          </cell>
          <cell r="I3963" t="str">
            <v/>
          </cell>
          <cell r="J3963" t="str">
            <v/>
          </cell>
          <cell r="K3963" t="str">
            <v/>
          </cell>
          <cell r="L3963" t="str">
            <v/>
          </cell>
          <cell r="M3963" t="str">
            <v/>
          </cell>
        </row>
        <row r="3964">
          <cell r="A3964">
            <v>31102192</v>
          </cell>
          <cell r="C3964">
            <v>31102192</v>
          </cell>
          <cell r="D3964">
            <v>31102192</v>
          </cell>
          <cell r="E3964">
            <v>31102192</v>
          </cell>
          <cell r="F3964">
            <v>31102192</v>
          </cell>
          <cell r="G3964">
            <v>31102192</v>
          </cell>
          <cell r="H3964">
            <v>31102192</v>
          </cell>
          <cell r="I3964" t="str">
            <v/>
          </cell>
          <cell r="J3964" t="str">
            <v/>
          </cell>
          <cell r="K3964" t="str">
            <v/>
          </cell>
          <cell r="L3964" t="str">
            <v/>
          </cell>
          <cell r="M3964" t="str">
            <v/>
          </cell>
        </row>
        <row r="3965">
          <cell r="A3965">
            <v>31102192</v>
          </cell>
          <cell r="C3965">
            <v>31102192</v>
          </cell>
          <cell r="D3965">
            <v>31102192</v>
          </cell>
          <cell r="E3965">
            <v>31102192</v>
          </cell>
          <cell r="F3965">
            <v>31102192</v>
          </cell>
          <cell r="G3965">
            <v>31102192</v>
          </cell>
          <cell r="H3965">
            <v>31102192</v>
          </cell>
          <cell r="I3965" t="str">
            <v/>
          </cell>
          <cell r="J3965" t="str">
            <v/>
          </cell>
          <cell r="K3965" t="str">
            <v/>
          </cell>
          <cell r="L3965" t="str">
            <v/>
          </cell>
          <cell r="M3965" t="str">
            <v/>
          </cell>
        </row>
        <row r="3966">
          <cell r="A3966">
            <v>31102192</v>
          </cell>
          <cell r="C3966">
            <v>31102192</v>
          </cell>
          <cell r="D3966">
            <v>31102192</v>
          </cell>
          <cell r="E3966">
            <v>31102192</v>
          </cell>
          <cell r="F3966">
            <v>31102192</v>
          </cell>
          <cell r="G3966">
            <v>31102192</v>
          </cell>
          <cell r="H3966">
            <v>31102192</v>
          </cell>
          <cell r="I3966" t="str">
            <v/>
          </cell>
          <cell r="J3966" t="str">
            <v/>
          </cell>
          <cell r="K3966" t="str">
            <v/>
          </cell>
          <cell r="L3966" t="str">
            <v/>
          </cell>
          <cell r="M3966" t="str">
            <v/>
          </cell>
        </row>
        <row r="3967">
          <cell r="A3967">
            <v>31102192</v>
          </cell>
          <cell r="C3967">
            <v>31102192</v>
          </cell>
          <cell r="D3967">
            <v>31102192</v>
          </cell>
          <cell r="E3967">
            <v>31102192</v>
          </cell>
          <cell r="F3967">
            <v>31102192</v>
          </cell>
          <cell r="G3967">
            <v>31102192</v>
          </cell>
          <cell r="H3967">
            <v>31102192</v>
          </cell>
          <cell r="I3967" t="str">
            <v/>
          </cell>
          <cell r="J3967" t="str">
            <v/>
          </cell>
          <cell r="K3967" t="str">
            <v/>
          </cell>
          <cell r="L3967" t="str">
            <v/>
          </cell>
          <cell r="M3967" t="str">
            <v/>
          </cell>
        </row>
        <row r="3968">
          <cell r="A3968">
            <v>31102192</v>
          </cell>
          <cell r="C3968">
            <v>31102192</v>
          </cell>
          <cell r="D3968">
            <v>31102192</v>
          </cell>
          <cell r="E3968">
            <v>31102192</v>
          </cell>
          <cell r="F3968">
            <v>31102192</v>
          </cell>
          <cell r="G3968">
            <v>31102192</v>
          </cell>
          <cell r="H3968">
            <v>31102192</v>
          </cell>
          <cell r="I3968" t="str">
            <v/>
          </cell>
          <cell r="J3968" t="str">
            <v/>
          </cell>
          <cell r="K3968" t="str">
            <v/>
          </cell>
          <cell r="L3968" t="str">
            <v/>
          </cell>
          <cell r="M3968" t="str">
            <v/>
          </cell>
        </row>
        <row r="3969">
          <cell r="A3969">
            <v>31102192</v>
          </cell>
          <cell r="C3969">
            <v>31102192</v>
          </cell>
          <cell r="D3969">
            <v>31102192</v>
          </cell>
          <cell r="E3969">
            <v>31102192</v>
          </cell>
          <cell r="F3969">
            <v>31102192</v>
          </cell>
          <cell r="G3969">
            <v>31102192</v>
          </cell>
          <cell r="H3969">
            <v>31102192</v>
          </cell>
          <cell r="I3969" t="str">
            <v/>
          </cell>
          <cell r="J3969" t="str">
            <v/>
          </cell>
          <cell r="K3969" t="str">
            <v/>
          </cell>
          <cell r="L3969" t="str">
            <v/>
          </cell>
          <cell r="M3969" t="str">
            <v/>
          </cell>
        </row>
        <row r="3970">
          <cell r="A3970">
            <v>31102192</v>
          </cell>
          <cell r="C3970">
            <v>31102192</v>
          </cell>
          <cell r="D3970">
            <v>31102192</v>
          </cell>
          <cell r="E3970">
            <v>31102192</v>
          </cell>
          <cell r="F3970">
            <v>31102192</v>
          </cell>
          <cell r="G3970">
            <v>31102192</v>
          </cell>
          <cell r="H3970">
            <v>31102192</v>
          </cell>
          <cell r="I3970" t="str">
            <v/>
          </cell>
          <cell r="J3970" t="str">
            <v/>
          </cell>
          <cell r="K3970" t="str">
            <v/>
          </cell>
          <cell r="L3970" t="str">
            <v/>
          </cell>
          <cell r="M3970" t="str">
            <v/>
          </cell>
        </row>
        <row r="3971">
          <cell r="A3971">
            <v>31102192</v>
          </cell>
          <cell r="C3971">
            <v>31102192</v>
          </cell>
          <cell r="D3971">
            <v>31102192</v>
          </cell>
          <cell r="E3971">
            <v>31102192</v>
          </cell>
          <cell r="F3971">
            <v>31102192</v>
          </cell>
          <cell r="G3971">
            <v>31102192</v>
          </cell>
          <cell r="H3971">
            <v>31102192</v>
          </cell>
          <cell r="I3971" t="str">
            <v/>
          </cell>
          <cell r="J3971" t="str">
            <v/>
          </cell>
          <cell r="K3971" t="str">
            <v/>
          </cell>
          <cell r="L3971" t="str">
            <v/>
          </cell>
          <cell r="M3971" t="str">
            <v/>
          </cell>
        </row>
        <row r="3972">
          <cell r="A3972">
            <v>31102192</v>
          </cell>
          <cell r="C3972">
            <v>31102192</v>
          </cell>
          <cell r="D3972">
            <v>31102192</v>
          </cell>
          <cell r="E3972">
            <v>31102192</v>
          </cell>
          <cell r="F3972">
            <v>31102192</v>
          </cell>
          <cell r="G3972">
            <v>31102192</v>
          </cell>
          <cell r="H3972">
            <v>31102192</v>
          </cell>
          <cell r="I3972" t="str">
            <v/>
          </cell>
          <cell r="J3972" t="str">
            <v/>
          </cell>
          <cell r="K3972" t="str">
            <v/>
          </cell>
          <cell r="L3972" t="str">
            <v/>
          </cell>
          <cell r="M3972" t="str">
            <v/>
          </cell>
        </row>
        <row r="3973">
          <cell r="A3973">
            <v>31102192</v>
          </cell>
          <cell r="C3973">
            <v>31102192</v>
          </cell>
          <cell r="D3973">
            <v>31102192</v>
          </cell>
          <cell r="E3973">
            <v>31102192</v>
          </cell>
          <cell r="F3973">
            <v>31102192</v>
          </cell>
          <cell r="G3973">
            <v>31102192</v>
          </cell>
          <cell r="H3973">
            <v>31102192</v>
          </cell>
          <cell r="I3973" t="str">
            <v/>
          </cell>
          <cell r="J3973" t="str">
            <v/>
          </cell>
          <cell r="K3973" t="str">
            <v/>
          </cell>
          <cell r="L3973" t="str">
            <v/>
          </cell>
          <cell r="M3973" t="str">
            <v/>
          </cell>
        </row>
        <row r="3974">
          <cell r="A3974">
            <v>31102192</v>
          </cell>
          <cell r="C3974">
            <v>31102192</v>
          </cell>
          <cell r="D3974">
            <v>31102192</v>
          </cell>
          <cell r="E3974">
            <v>31102192</v>
          </cell>
          <cell r="F3974">
            <v>31102192</v>
          </cell>
          <cell r="G3974">
            <v>31102192</v>
          </cell>
          <cell r="H3974">
            <v>31102192</v>
          </cell>
          <cell r="I3974" t="str">
            <v/>
          </cell>
          <cell r="J3974" t="str">
            <v/>
          </cell>
          <cell r="K3974" t="str">
            <v/>
          </cell>
          <cell r="L3974" t="str">
            <v/>
          </cell>
          <cell r="M3974" t="str">
            <v/>
          </cell>
        </row>
        <row r="3975">
          <cell r="A3975">
            <v>31102192</v>
          </cell>
          <cell r="C3975">
            <v>31102192</v>
          </cell>
          <cell r="D3975">
            <v>31102192</v>
          </cell>
          <cell r="E3975">
            <v>31102192</v>
          </cell>
          <cell r="F3975">
            <v>31102192</v>
          </cell>
          <cell r="G3975">
            <v>31102192</v>
          </cell>
          <cell r="H3975">
            <v>31102192</v>
          </cell>
          <cell r="I3975" t="str">
            <v/>
          </cell>
          <cell r="J3975" t="str">
            <v/>
          </cell>
          <cell r="K3975" t="str">
            <v/>
          </cell>
          <cell r="L3975" t="str">
            <v/>
          </cell>
          <cell r="M3975" t="str">
            <v/>
          </cell>
        </row>
        <row r="3976">
          <cell r="A3976">
            <v>31102192</v>
          </cell>
          <cell r="C3976">
            <v>31102192</v>
          </cell>
          <cell r="D3976">
            <v>31102192</v>
          </cell>
          <cell r="E3976">
            <v>31102192</v>
          </cell>
          <cell r="F3976">
            <v>31102192</v>
          </cell>
          <cell r="G3976">
            <v>31102192</v>
          </cell>
          <cell r="H3976">
            <v>31102192</v>
          </cell>
          <cell r="I3976" t="str">
            <v/>
          </cell>
          <cell r="J3976" t="str">
            <v/>
          </cell>
          <cell r="K3976" t="str">
            <v/>
          </cell>
          <cell r="L3976" t="str">
            <v/>
          </cell>
          <cell r="M3976" t="str">
            <v/>
          </cell>
        </row>
        <row r="3977">
          <cell r="A3977">
            <v>31102192</v>
          </cell>
          <cell r="C3977">
            <v>31102192</v>
          </cell>
          <cell r="D3977">
            <v>31102192</v>
          </cell>
          <cell r="E3977">
            <v>31102192</v>
          </cell>
          <cell r="F3977">
            <v>31102192</v>
          </cell>
          <cell r="G3977">
            <v>31102192</v>
          </cell>
          <cell r="H3977">
            <v>31102192</v>
          </cell>
          <cell r="I3977" t="str">
            <v/>
          </cell>
          <cell r="J3977" t="str">
            <v/>
          </cell>
          <cell r="K3977" t="str">
            <v/>
          </cell>
          <cell r="L3977" t="str">
            <v/>
          </cell>
          <cell r="M3977" t="str">
            <v/>
          </cell>
        </row>
        <row r="3978">
          <cell r="A3978">
            <v>31102192</v>
          </cell>
          <cell r="C3978">
            <v>31102192</v>
          </cell>
          <cell r="D3978">
            <v>31102192</v>
          </cell>
          <cell r="E3978">
            <v>31102192</v>
          </cell>
          <cell r="F3978">
            <v>31102192</v>
          </cell>
          <cell r="G3978">
            <v>31102192</v>
          </cell>
          <cell r="H3978">
            <v>31102192</v>
          </cell>
          <cell r="I3978" t="str">
            <v/>
          </cell>
          <cell r="J3978" t="str">
            <v/>
          </cell>
          <cell r="K3978" t="str">
            <v/>
          </cell>
          <cell r="L3978" t="str">
            <v/>
          </cell>
          <cell r="M3978" t="str">
            <v/>
          </cell>
        </row>
        <row r="3979">
          <cell r="A3979">
            <v>31102192</v>
          </cell>
          <cell r="C3979">
            <v>31102192</v>
          </cell>
          <cell r="D3979">
            <v>31102192</v>
          </cell>
          <cell r="E3979">
            <v>31102192</v>
          </cell>
          <cell r="F3979">
            <v>31102192</v>
          </cell>
          <cell r="G3979">
            <v>31102192</v>
          </cell>
          <cell r="H3979">
            <v>31102192</v>
          </cell>
          <cell r="I3979" t="str">
            <v/>
          </cell>
          <cell r="J3979" t="str">
            <v/>
          </cell>
          <cell r="K3979" t="str">
            <v/>
          </cell>
          <cell r="L3979" t="str">
            <v/>
          </cell>
          <cell r="M3979" t="str">
            <v/>
          </cell>
        </row>
        <row r="3980">
          <cell r="A3980">
            <v>31102192</v>
          </cell>
          <cell r="C3980">
            <v>31102192</v>
          </cell>
          <cell r="D3980">
            <v>31102192</v>
          </cell>
          <cell r="E3980">
            <v>31102192</v>
          </cell>
          <cell r="F3980">
            <v>31102192</v>
          </cell>
          <cell r="G3980">
            <v>31102192</v>
          </cell>
          <cell r="H3980">
            <v>31102192</v>
          </cell>
          <cell r="I3980" t="str">
            <v/>
          </cell>
          <cell r="J3980" t="str">
            <v/>
          </cell>
          <cell r="K3980" t="str">
            <v/>
          </cell>
          <cell r="L3980" t="str">
            <v/>
          </cell>
          <cell r="M3980" t="str">
            <v/>
          </cell>
        </row>
        <row r="3981">
          <cell r="A3981">
            <v>31102192</v>
          </cell>
          <cell r="C3981">
            <v>31102192</v>
          </cell>
          <cell r="D3981">
            <v>31102192</v>
          </cell>
          <cell r="E3981">
            <v>31102192</v>
          </cell>
          <cell r="F3981">
            <v>31102192</v>
          </cell>
          <cell r="G3981">
            <v>31102192</v>
          </cell>
          <cell r="H3981">
            <v>31102192</v>
          </cell>
          <cell r="I3981" t="str">
            <v/>
          </cell>
          <cell r="J3981" t="str">
            <v/>
          </cell>
          <cell r="K3981" t="str">
            <v/>
          </cell>
          <cell r="L3981" t="str">
            <v/>
          </cell>
          <cell r="M3981" t="str">
            <v/>
          </cell>
        </row>
        <row r="3982">
          <cell r="A3982">
            <v>31102192</v>
          </cell>
          <cell r="C3982">
            <v>31102192</v>
          </cell>
          <cell r="D3982">
            <v>31102192</v>
          </cell>
          <cell r="E3982">
            <v>31102192</v>
          </cell>
          <cell r="F3982">
            <v>31102192</v>
          </cell>
          <cell r="G3982">
            <v>31102192</v>
          </cell>
          <cell r="H3982">
            <v>31102192</v>
          </cell>
          <cell r="I3982" t="str">
            <v/>
          </cell>
          <cell r="J3982" t="str">
            <v/>
          </cell>
          <cell r="K3982" t="str">
            <v/>
          </cell>
          <cell r="L3982" t="str">
            <v/>
          </cell>
          <cell r="M3982" t="str">
            <v/>
          </cell>
        </row>
        <row r="3983">
          <cell r="A3983">
            <v>31102192</v>
          </cell>
          <cell r="C3983">
            <v>31102192</v>
          </cell>
          <cell r="D3983">
            <v>31102192</v>
          </cell>
          <cell r="E3983">
            <v>31102192</v>
          </cell>
          <cell r="F3983">
            <v>31102192</v>
          </cell>
          <cell r="G3983">
            <v>31102192</v>
          </cell>
          <cell r="H3983">
            <v>31102192</v>
          </cell>
          <cell r="I3983" t="str">
            <v/>
          </cell>
          <cell r="J3983" t="str">
            <v/>
          </cell>
          <cell r="K3983" t="str">
            <v/>
          </cell>
          <cell r="L3983" t="str">
            <v/>
          </cell>
          <cell r="M3983" t="str">
            <v/>
          </cell>
        </row>
        <row r="3984">
          <cell r="A3984">
            <v>31102192</v>
          </cell>
          <cell r="C3984">
            <v>31102192</v>
          </cell>
          <cell r="D3984">
            <v>31102192</v>
          </cell>
          <cell r="E3984">
            <v>31102192</v>
          </cell>
          <cell r="F3984">
            <v>31102192</v>
          </cell>
          <cell r="G3984">
            <v>31102192</v>
          </cell>
          <cell r="H3984">
            <v>31102192</v>
          </cell>
          <cell r="I3984" t="str">
            <v/>
          </cell>
          <cell r="J3984" t="str">
            <v/>
          </cell>
          <cell r="K3984" t="str">
            <v/>
          </cell>
          <cell r="L3984" t="str">
            <v/>
          </cell>
          <cell r="M3984" t="str">
            <v/>
          </cell>
        </row>
        <row r="3985">
          <cell r="A3985">
            <v>31102192</v>
          </cell>
          <cell r="C3985">
            <v>31102192</v>
          </cell>
          <cell r="D3985">
            <v>31102192</v>
          </cell>
          <cell r="E3985">
            <v>31102192</v>
          </cell>
          <cell r="F3985">
            <v>31102192</v>
          </cell>
          <cell r="G3985">
            <v>31102192</v>
          </cell>
          <cell r="H3985">
            <v>31102192</v>
          </cell>
          <cell r="I3985" t="str">
            <v/>
          </cell>
          <cell r="J3985" t="str">
            <v/>
          </cell>
          <cell r="K3985" t="str">
            <v/>
          </cell>
          <cell r="L3985" t="str">
            <v/>
          </cell>
          <cell r="M3985" t="str">
            <v/>
          </cell>
        </row>
        <row r="3986">
          <cell r="A3986">
            <v>31102192</v>
          </cell>
          <cell r="C3986">
            <v>31102192</v>
          </cell>
          <cell r="D3986">
            <v>31102192</v>
          </cell>
          <cell r="E3986">
            <v>31102192</v>
          </cell>
          <cell r="F3986">
            <v>31102192</v>
          </cell>
          <cell r="G3986">
            <v>31102192</v>
          </cell>
          <cell r="H3986">
            <v>31102192</v>
          </cell>
          <cell r="I3986" t="str">
            <v/>
          </cell>
          <cell r="J3986" t="str">
            <v/>
          </cell>
          <cell r="K3986" t="str">
            <v/>
          </cell>
          <cell r="L3986" t="str">
            <v/>
          </cell>
          <cell r="M3986" t="str">
            <v/>
          </cell>
        </row>
        <row r="3987">
          <cell r="A3987">
            <v>31102192</v>
          </cell>
          <cell r="C3987">
            <v>31102192</v>
          </cell>
          <cell r="D3987">
            <v>31102192</v>
          </cell>
          <cell r="E3987">
            <v>31102192</v>
          </cell>
          <cell r="F3987">
            <v>31102192</v>
          </cell>
          <cell r="G3987">
            <v>31102192</v>
          </cell>
          <cell r="H3987">
            <v>31102192</v>
          </cell>
          <cell r="I3987" t="str">
            <v/>
          </cell>
          <cell r="J3987" t="str">
            <v/>
          </cell>
          <cell r="K3987" t="str">
            <v/>
          </cell>
          <cell r="L3987" t="str">
            <v/>
          </cell>
          <cell r="M3987" t="str">
            <v/>
          </cell>
        </row>
        <row r="3988">
          <cell r="A3988">
            <v>31102192</v>
          </cell>
          <cell r="C3988">
            <v>31102192</v>
          </cell>
          <cell r="D3988">
            <v>31102192</v>
          </cell>
          <cell r="E3988">
            <v>31102192</v>
          </cell>
          <cell r="F3988">
            <v>31102192</v>
          </cell>
          <cell r="G3988">
            <v>31102192</v>
          </cell>
          <cell r="H3988">
            <v>31102192</v>
          </cell>
          <cell r="I3988" t="str">
            <v/>
          </cell>
          <cell r="J3988" t="str">
            <v/>
          </cell>
          <cell r="K3988" t="str">
            <v/>
          </cell>
          <cell r="L3988" t="str">
            <v/>
          </cell>
          <cell r="M3988" t="str">
            <v/>
          </cell>
        </row>
        <row r="3989">
          <cell r="A3989">
            <v>31102192</v>
          </cell>
          <cell r="C3989">
            <v>31102192</v>
          </cell>
          <cell r="D3989">
            <v>31102192</v>
          </cell>
          <cell r="E3989">
            <v>31102192</v>
          </cell>
          <cell r="F3989">
            <v>31102192</v>
          </cell>
          <cell r="G3989">
            <v>31102192</v>
          </cell>
          <cell r="H3989">
            <v>31102192</v>
          </cell>
          <cell r="I3989" t="str">
            <v/>
          </cell>
          <cell r="J3989" t="str">
            <v/>
          </cell>
          <cell r="K3989" t="str">
            <v/>
          </cell>
          <cell r="L3989" t="str">
            <v/>
          </cell>
          <cell r="M3989" t="str">
            <v/>
          </cell>
        </row>
        <row r="3990">
          <cell r="A3990">
            <v>31102192</v>
          </cell>
          <cell r="C3990">
            <v>31102192</v>
          </cell>
          <cell r="D3990">
            <v>31102192</v>
          </cell>
          <cell r="E3990">
            <v>31102192</v>
          </cell>
          <cell r="F3990">
            <v>31102192</v>
          </cell>
          <cell r="G3990">
            <v>31102192</v>
          </cell>
          <cell r="H3990">
            <v>31102192</v>
          </cell>
          <cell r="I3990" t="str">
            <v/>
          </cell>
          <cell r="J3990" t="str">
            <v/>
          </cell>
          <cell r="K3990" t="str">
            <v/>
          </cell>
          <cell r="L3990" t="str">
            <v/>
          </cell>
          <cell r="M3990" t="str">
            <v/>
          </cell>
        </row>
        <row r="3991">
          <cell r="A3991">
            <v>31102192</v>
          </cell>
          <cell r="C3991">
            <v>31102192</v>
          </cell>
          <cell r="D3991">
            <v>31102192</v>
          </cell>
          <cell r="E3991">
            <v>31102192</v>
          </cell>
          <cell r="F3991">
            <v>31102192</v>
          </cell>
          <cell r="G3991">
            <v>31102192</v>
          </cell>
          <cell r="H3991">
            <v>31102192</v>
          </cell>
          <cell r="I3991" t="str">
            <v/>
          </cell>
          <cell r="J3991" t="str">
            <v/>
          </cell>
          <cell r="K3991" t="str">
            <v/>
          </cell>
          <cell r="L3991" t="str">
            <v/>
          </cell>
          <cell r="M3991" t="str">
            <v/>
          </cell>
        </row>
        <row r="3992">
          <cell r="A3992">
            <v>31102192</v>
          </cell>
          <cell r="C3992">
            <v>31102192</v>
          </cell>
          <cell r="D3992">
            <v>31102192</v>
          </cell>
          <cell r="E3992">
            <v>31102192</v>
          </cell>
          <cell r="F3992">
            <v>31102192</v>
          </cell>
          <cell r="G3992">
            <v>31102192</v>
          </cell>
          <cell r="H3992">
            <v>31102192</v>
          </cell>
          <cell r="I3992" t="str">
            <v/>
          </cell>
          <cell r="J3992" t="str">
            <v/>
          </cell>
          <cell r="K3992" t="str">
            <v/>
          </cell>
          <cell r="L3992" t="str">
            <v/>
          </cell>
          <cell r="M3992" t="str">
            <v/>
          </cell>
        </row>
        <row r="3993">
          <cell r="A3993">
            <v>31102192</v>
          </cell>
          <cell r="C3993">
            <v>31102192</v>
          </cell>
          <cell r="D3993">
            <v>31102192</v>
          </cell>
          <cell r="E3993">
            <v>31102192</v>
          </cell>
          <cell r="F3993">
            <v>31102192</v>
          </cell>
          <cell r="G3993">
            <v>31102192</v>
          </cell>
          <cell r="H3993">
            <v>31102192</v>
          </cell>
          <cell r="I3993" t="str">
            <v/>
          </cell>
          <cell r="J3993" t="str">
            <v/>
          </cell>
          <cell r="K3993" t="str">
            <v/>
          </cell>
          <cell r="L3993" t="str">
            <v/>
          </cell>
          <cell r="M3993" t="str">
            <v/>
          </cell>
        </row>
        <row r="3994">
          <cell r="A3994">
            <v>31102192</v>
          </cell>
          <cell r="C3994">
            <v>31102192</v>
          </cell>
          <cell r="D3994">
            <v>31102192</v>
          </cell>
          <cell r="E3994">
            <v>31102192</v>
          </cell>
          <cell r="F3994">
            <v>31102192</v>
          </cell>
          <cell r="G3994">
            <v>31102192</v>
          </cell>
          <cell r="H3994">
            <v>31102192</v>
          </cell>
          <cell r="I3994" t="str">
            <v/>
          </cell>
          <cell r="J3994" t="str">
            <v/>
          </cell>
          <cell r="K3994" t="str">
            <v/>
          </cell>
          <cell r="L3994" t="str">
            <v/>
          </cell>
          <cell r="M3994" t="str">
            <v/>
          </cell>
        </row>
        <row r="3995">
          <cell r="A3995">
            <v>31102192</v>
          </cell>
          <cell r="C3995">
            <v>31102192</v>
          </cell>
          <cell r="D3995">
            <v>31102192</v>
          </cell>
          <cell r="E3995">
            <v>31102192</v>
          </cell>
          <cell r="F3995">
            <v>31102192</v>
          </cell>
          <cell r="G3995">
            <v>31102192</v>
          </cell>
          <cell r="H3995">
            <v>31102192</v>
          </cell>
          <cell r="I3995" t="str">
            <v/>
          </cell>
          <cell r="J3995" t="str">
            <v/>
          </cell>
          <cell r="K3995" t="str">
            <v/>
          </cell>
          <cell r="L3995" t="str">
            <v/>
          </cell>
          <cell r="M3995" t="str">
            <v/>
          </cell>
        </row>
        <row r="3996">
          <cell r="A3996">
            <v>31102192</v>
          </cell>
          <cell r="C3996">
            <v>31102192</v>
          </cell>
          <cell r="D3996">
            <v>31102192</v>
          </cell>
          <cell r="E3996">
            <v>31102192</v>
          </cell>
          <cell r="F3996">
            <v>31102192</v>
          </cell>
          <cell r="G3996">
            <v>31102192</v>
          </cell>
          <cell r="H3996">
            <v>31102192</v>
          </cell>
          <cell r="I3996" t="str">
            <v/>
          </cell>
          <cell r="J3996" t="str">
            <v/>
          </cell>
          <cell r="K3996" t="str">
            <v/>
          </cell>
          <cell r="L3996" t="str">
            <v/>
          </cell>
          <cell r="M3996" t="str">
            <v/>
          </cell>
        </row>
        <row r="3997">
          <cell r="A3997">
            <v>31102192</v>
          </cell>
          <cell r="C3997">
            <v>31102192</v>
          </cell>
          <cell r="D3997">
            <v>31102192</v>
          </cell>
          <cell r="E3997">
            <v>31102192</v>
          </cell>
          <cell r="F3997">
            <v>31102192</v>
          </cell>
          <cell r="G3997">
            <v>31102192</v>
          </cell>
          <cell r="H3997">
            <v>31102192</v>
          </cell>
          <cell r="I3997" t="str">
            <v/>
          </cell>
          <cell r="J3997" t="str">
            <v/>
          </cell>
          <cell r="K3997" t="str">
            <v/>
          </cell>
          <cell r="L3997" t="str">
            <v/>
          </cell>
          <cell r="M3997" t="str">
            <v/>
          </cell>
        </row>
        <row r="3998">
          <cell r="A3998">
            <v>31102192</v>
          </cell>
          <cell r="C3998">
            <v>31102192</v>
          </cell>
          <cell r="D3998">
            <v>31102192</v>
          </cell>
          <cell r="E3998">
            <v>31102192</v>
          </cell>
          <cell r="F3998">
            <v>31102192</v>
          </cell>
          <cell r="G3998">
            <v>31102192</v>
          </cell>
          <cell r="H3998">
            <v>31102192</v>
          </cell>
          <cell r="I3998" t="str">
            <v/>
          </cell>
          <cell r="J3998" t="str">
            <v/>
          </cell>
          <cell r="K3998" t="str">
            <v/>
          </cell>
          <cell r="L3998" t="str">
            <v/>
          </cell>
          <cell r="M3998" t="str">
            <v/>
          </cell>
        </row>
        <row r="3999">
          <cell r="A3999">
            <v>31102192</v>
          </cell>
          <cell r="C3999">
            <v>31102192</v>
          </cell>
          <cell r="D3999">
            <v>31102192</v>
          </cell>
          <cell r="E3999">
            <v>31102192</v>
          </cell>
          <cell r="F3999">
            <v>31102192</v>
          </cell>
          <cell r="G3999">
            <v>31102192</v>
          </cell>
          <cell r="H3999">
            <v>31102192</v>
          </cell>
          <cell r="I3999" t="str">
            <v/>
          </cell>
          <cell r="J3999" t="str">
            <v/>
          </cell>
          <cell r="K3999" t="str">
            <v/>
          </cell>
          <cell r="L3999" t="str">
            <v/>
          </cell>
          <cell r="M3999" t="str">
            <v/>
          </cell>
        </row>
        <row r="4000">
          <cell r="A4000">
            <v>31102192</v>
          </cell>
          <cell r="C4000">
            <v>31102192</v>
          </cell>
          <cell r="D4000">
            <v>31102192</v>
          </cell>
          <cell r="E4000">
            <v>31102192</v>
          </cell>
          <cell r="F4000">
            <v>31102192</v>
          </cell>
          <cell r="G4000">
            <v>31102192</v>
          </cell>
          <cell r="H4000">
            <v>31102192</v>
          </cell>
          <cell r="I4000" t="str">
            <v/>
          </cell>
          <cell r="J4000" t="str">
            <v/>
          </cell>
          <cell r="K4000" t="str">
            <v/>
          </cell>
          <cell r="L4000" t="str">
            <v/>
          </cell>
          <cell r="M4000" t="str">
            <v/>
          </cell>
        </row>
        <row r="4001">
          <cell r="A4001">
            <v>31102192</v>
          </cell>
          <cell r="C4001">
            <v>31102192</v>
          </cell>
          <cell r="D4001">
            <v>31102192</v>
          </cell>
          <cell r="E4001">
            <v>31102192</v>
          </cell>
          <cell r="F4001">
            <v>31102192</v>
          </cell>
          <cell r="G4001">
            <v>31102192</v>
          </cell>
          <cell r="H4001">
            <v>31102192</v>
          </cell>
          <cell r="I4001" t="str">
            <v/>
          </cell>
          <cell r="J4001" t="str">
            <v/>
          </cell>
          <cell r="K4001" t="str">
            <v/>
          </cell>
          <cell r="L4001" t="str">
            <v/>
          </cell>
          <cell r="M4001" t="str">
            <v/>
          </cell>
        </row>
        <row r="4002">
          <cell r="A4002">
            <v>31102192</v>
          </cell>
          <cell r="C4002">
            <v>31102192</v>
          </cell>
          <cell r="D4002">
            <v>31102192</v>
          </cell>
          <cell r="E4002">
            <v>31102192</v>
          </cell>
          <cell r="F4002">
            <v>31102192</v>
          </cell>
          <cell r="G4002">
            <v>31102192</v>
          </cell>
          <cell r="H4002">
            <v>31102192</v>
          </cell>
          <cell r="I4002" t="str">
            <v/>
          </cell>
          <cell r="J4002" t="str">
            <v/>
          </cell>
          <cell r="K4002" t="str">
            <v/>
          </cell>
          <cell r="L4002" t="str">
            <v/>
          </cell>
          <cell r="M4002" t="str">
            <v/>
          </cell>
        </row>
        <row r="4003">
          <cell r="A4003">
            <v>31102192</v>
          </cell>
          <cell r="C4003">
            <v>31102192</v>
          </cell>
          <cell r="D4003">
            <v>31102192</v>
          </cell>
          <cell r="E4003">
            <v>31102192</v>
          </cell>
          <cell r="F4003">
            <v>31102192</v>
          </cell>
          <cell r="G4003">
            <v>31102192</v>
          </cell>
          <cell r="H4003">
            <v>31102192</v>
          </cell>
          <cell r="I4003" t="str">
            <v/>
          </cell>
          <cell r="J4003" t="str">
            <v/>
          </cell>
          <cell r="K4003" t="str">
            <v/>
          </cell>
          <cell r="L4003" t="str">
            <v/>
          </cell>
          <cell r="M4003" t="str">
            <v/>
          </cell>
        </row>
        <row r="4004">
          <cell r="A4004">
            <v>31102192</v>
          </cell>
          <cell r="C4004">
            <v>31102192</v>
          </cell>
          <cell r="D4004">
            <v>31102192</v>
          </cell>
          <cell r="E4004">
            <v>31102192</v>
          </cell>
          <cell r="F4004">
            <v>31102192</v>
          </cell>
          <cell r="G4004">
            <v>31102192</v>
          </cell>
          <cell r="H4004">
            <v>31102192</v>
          </cell>
          <cell r="I4004" t="str">
            <v/>
          </cell>
          <cell r="J4004" t="str">
            <v/>
          </cell>
          <cell r="K4004" t="str">
            <v/>
          </cell>
          <cell r="L4004" t="str">
            <v/>
          </cell>
          <cell r="M4004" t="str">
            <v/>
          </cell>
        </row>
        <row r="4005">
          <cell r="A4005">
            <v>31102192</v>
          </cell>
          <cell r="C4005">
            <v>31102192</v>
          </cell>
          <cell r="D4005">
            <v>31102192</v>
          </cell>
          <cell r="E4005">
            <v>31102192</v>
          </cell>
          <cell r="F4005">
            <v>31102192</v>
          </cell>
          <cell r="G4005">
            <v>31102192</v>
          </cell>
          <cell r="H4005">
            <v>31102192</v>
          </cell>
          <cell r="I4005" t="str">
            <v/>
          </cell>
          <cell r="J4005" t="str">
            <v/>
          </cell>
          <cell r="K4005" t="str">
            <v/>
          </cell>
          <cell r="L4005" t="str">
            <v/>
          </cell>
          <cell r="M4005" t="str">
            <v/>
          </cell>
        </row>
        <row r="4006">
          <cell r="A4006">
            <v>31102192</v>
          </cell>
          <cell r="C4006">
            <v>31102192</v>
          </cell>
          <cell r="D4006">
            <v>31102192</v>
          </cell>
          <cell r="E4006">
            <v>31102192</v>
          </cell>
          <cell r="F4006">
            <v>31102192</v>
          </cell>
          <cell r="G4006">
            <v>31102192</v>
          </cell>
          <cell r="H4006">
            <v>31102192</v>
          </cell>
          <cell r="I4006" t="str">
            <v/>
          </cell>
          <cell r="J4006" t="str">
            <v/>
          </cell>
          <cell r="K4006" t="str">
            <v/>
          </cell>
          <cell r="L4006" t="str">
            <v/>
          </cell>
          <cell r="M4006" t="str">
            <v/>
          </cell>
        </row>
        <row r="4007">
          <cell r="A4007">
            <v>31102192</v>
          </cell>
          <cell r="C4007">
            <v>31102192</v>
          </cell>
          <cell r="D4007">
            <v>31102192</v>
          </cell>
          <cell r="E4007">
            <v>31102192</v>
          </cell>
          <cell r="F4007">
            <v>31102192</v>
          </cell>
          <cell r="G4007">
            <v>31102192</v>
          </cell>
          <cell r="H4007">
            <v>31102192</v>
          </cell>
          <cell r="I4007" t="str">
            <v/>
          </cell>
          <cell r="J4007" t="str">
            <v/>
          </cell>
          <cell r="K4007" t="str">
            <v/>
          </cell>
          <cell r="L4007" t="str">
            <v/>
          </cell>
          <cell r="M4007" t="str">
            <v/>
          </cell>
        </row>
        <row r="4008">
          <cell r="A4008">
            <v>31102192</v>
          </cell>
          <cell r="C4008">
            <v>31102192</v>
          </cell>
          <cell r="D4008">
            <v>31102192</v>
          </cell>
          <cell r="E4008">
            <v>31102192</v>
          </cell>
          <cell r="F4008">
            <v>31102192</v>
          </cell>
          <cell r="G4008">
            <v>31102192</v>
          </cell>
          <cell r="H4008">
            <v>31102192</v>
          </cell>
          <cell r="I4008" t="str">
            <v/>
          </cell>
          <cell r="J4008" t="str">
            <v/>
          </cell>
          <cell r="K4008" t="str">
            <v/>
          </cell>
          <cell r="L4008" t="str">
            <v/>
          </cell>
          <cell r="M4008" t="str">
            <v/>
          </cell>
        </row>
        <row r="4009">
          <cell r="A4009">
            <v>31102192</v>
          </cell>
          <cell r="C4009">
            <v>31102192</v>
          </cell>
          <cell r="D4009">
            <v>31102192</v>
          </cell>
          <cell r="E4009">
            <v>31102192</v>
          </cell>
          <cell r="F4009">
            <v>31102192</v>
          </cell>
          <cell r="G4009">
            <v>31102192</v>
          </cell>
          <cell r="H4009">
            <v>31102192</v>
          </cell>
          <cell r="I4009" t="str">
            <v/>
          </cell>
          <cell r="J4009" t="str">
            <v/>
          </cell>
          <cell r="K4009" t="str">
            <v/>
          </cell>
          <cell r="L4009" t="str">
            <v/>
          </cell>
          <cell r="M4009" t="str">
            <v/>
          </cell>
        </row>
        <row r="4010">
          <cell r="A4010">
            <v>31102192</v>
          </cell>
          <cell r="C4010">
            <v>31102192</v>
          </cell>
          <cell r="D4010">
            <v>31102192</v>
          </cell>
          <cell r="E4010">
            <v>31102192</v>
          </cell>
          <cell r="F4010">
            <v>31102192</v>
          </cell>
          <cell r="G4010">
            <v>31102192</v>
          </cell>
          <cell r="H4010">
            <v>31102192</v>
          </cell>
          <cell r="I4010" t="str">
            <v/>
          </cell>
          <cell r="J4010" t="str">
            <v/>
          </cell>
          <cell r="K4010" t="str">
            <v/>
          </cell>
          <cell r="L4010" t="str">
            <v/>
          </cell>
          <cell r="M4010" t="str">
            <v/>
          </cell>
        </row>
        <row r="4011">
          <cell r="A4011">
            <v>31102192</v>
          </cell>
          <cell r="C4011">
            <v>31102192</v>
          </cell>
          <cell r="D4011">
            <v>31102192</v>
          </cell>
          <cell r="E4011">
            <v>31102192</v>
          </cell>
          <cell r="F4011">
            <v>31102192</v>
          </cell>
          <cell r="G4011">
            <v>31102192</v>
          </cell>
          <cell r="H4011">
            <v>31102192</v>
          </cell>
          <cell r="I4011" t="str">
            <v/>
          </cell>
          <cell r="J4011" t="str">
            <v/>
          </cell>
          <cell r="K4011" t="str">
            <v/>
          </cell>
          <cell r="L4011" t="str">
            <v/>
          </cell>
          <cell r="M4011" t="str">
            <v/>
          </cell>
        </row>
        <row r="4012">
          <cell r="A4012">
            <v>31102192</v>
          </cell>
          <cell r="C4012">
            <v>31102192</v>
          </cell>
          <cell r="D4012">
            <v>31102192</v>
          </cell>
          <cell r="E4012">
            <v>31102192</v>
          </cell>
          <cell r="F4012">
            <v>31102192</v>
          </cell>
          <cell r="G4012">
            <v>31102192</v>
          </cell>
          <cell r="H4012">
            <v>31102192</v>
          </cell>
          <cell r="I4012" t="str">
            <v/>
          </cell>
          <cell r="J4012" t="str">
            <v/>
          </cell>
          <cell r="K4012" t="str">
            <v/>
          </cell>
          <cell r="L4012" t="str">
            <v/>
          </cell>
          <cell r="M4012" t="str">
            <v/>
          </cell>
        </row>
        <row r="4013">
          <cell r="A4013">
            <v>31102192</v>
          </cell>
          <cell r="C4013">
            <v>31102192</v>
          </cell>
          <cell r="D4013">
            <v>31102192</v>
          </cell>
          <cell r="E4013">
            <v>31102192</v>
          </cell>
          <cell r="F4013">
            <v>31102192</v>
          </cell>
          <cell r="G4013">
            <v>31102192</v>
          </cell>
          <cell r="H4013">
            <v>31102192</v>
          </cell>
          <cell r="I4013" t="str">
            <v/>
          </cell>
          <cell r="J4013" t="str">
            <v/>
          </cell>
          <cell r="K4013" t="str">
            <v/>
          </cell>
          <cell r="L4013" t="str">
            <v/>
          </cell>
          <cell r="M4013" t="str">
            <v/>
          </cell>
        </row>
        <row r="4014">
          <cell r="A4014">
            <v>31102192</v>
          </cell>
          <cell r="C4014">
            <v>31102192</v>
          </cell>
          <cell r="D4014">
            <v>31102192</v>
          </cell>
          <cell r="E4014">
            <v>31102192</v>
          </cell>
          <cell r="F4014">
            <v>31102192</v>
          </cell>
          <cell r="G4014">
            <v>31102192</v>
          </cell>
          <cell r="H4014">
            <v>31102192</v>
          </cell>
          <cell r="I4014" t="str">
            <v/>
          </cell>
          <cell r="J4014" t="str">
            <v/>
          </cell>
          <cell r="K4014" t="str">
            <v/>
          </cell>
          <cell r="L4014" t="str">
            <v/>
          </cell>
          <cell r="M4014" t="str">
            <v/>
          </cell>
        </row>
        <row r="4015">
          <cell r="A4015">
            <v>31102192</v>
          </cell>
          <cell r="C4015">
            <v>31102192</v>
          </cell>
          <cell r="D4015">
            <v>31102192</v>
          </cell>
          <cell r="E4015">
            <v>31102192</v>
          </cell>
          <cell r="F4015">
            <v>31102192</v>
          </cell>
          <cell r="G4015">
            <v>31102192</v>
          </cell>
          <cell r="H4015">
            <v>31102192</v>
          </cell>
          <cell r="I4015" t="str">
            <v/>
          </cell>
          <cell r="J4015" t="str">
            <v/>
          </cell>
          <cell r="K4015" t="str">
            <v/>
          </cell>
          <cell r="L4015" t="str">
            <v/>
          </cell>
          <cell r="M4015" t="str">
            <v/>
          </cell>
        </row>
        <row r="4016">
          <cell r="A4016">
            <v>31102192</v>
          </cell>
          <cell r="C4016">
            <v>31102192</v>
          </cell>
          <cell r="D4016">
            <v>31102192</v>
          </cell>
          <cell r="E4016">
            <v>31102192</v>
          </cell>
          <cell r="F4016">
            <v>31102192</v>
          </cell>
          <cell r="G4016">
            <v>31102192</v>
          </cell>
          <cell r="H4016">
            <v>31102192</v>
          </cell>
          <cell r="I4016" t="str">
            <v/>
          </cell>
          <cell r="J4016" t="str">
            <v/>
          </cell>
          <cell r="K4016" t="str">
            <v/>
          </cell>
          <cell r="L4016" t="str">
            <v/>
          </cell>
          <cell r="M4016" t="str">
            <v/>
          </cell>
        </row>
        <row r="4017">
          <cell r="A4017">
            <v>31102192</v>
          </cell>
          <cell r="C4017">
            <v>31102192</v>
          </cell>
          <cell r="D4017">
            <v>31102192</v>
          </cell>
          <cell r="E4017">
            <v>31102192</v>
          </cell>
          <cell r="F4017">
            <v>31102192</v>
          </cell>
          <cell r="G4017">
            <v>31102192</v>
          </cell>
          <cell r="H4017">
            <v>31102192</v>
          </cell>
          <cell r="I4017" t="str">
            <v/>
          </cell>
          <cell r="J4017" t="str">
            <v/>
          </cell>
          <cell r="K4017" t="str">
            <v/>
          </cell>
          <cell r="L4017" t="str">
            <v/>
          </cell>
          <cell r="M4017" t="str">
            <v/>
          </cell>
        </row>
        <row r="4018">
          <cell r="A4018">
            <v>31102192</v>
          </cell>
          <cell r="C4018">
            <v>31102192</v>
          </cell>
          <cell r="D4018">
            <v>31102192</v>
          </cell>
          <cell r="E4018">
            <v>31102192</v>
          </cell>
          <cell r="F4018">
            <v>31102192</v>
          </cell>
          <cell r="G4018">
            <v>31102192</v>
          </cell>
          <cell r="H4018">
            <v>31102192</v>
          </cell>
          <cell r="I4018" t="str">
            <v/>
          </cell>
          <cell r="J4018" t="str">
            <v/>
          </cell>
          <cell r="K4018" t="str">
            <v/>
          </cell>
          <cell r="L4018" t="str">
            <v/>
          </cell>
          <cell r="M4018" t="str">
            <v/>
          </cell>
        </row>
        <row r="4019">
          <cell r="A4019">
            <v>31102192</v>
          </cell>
          <cell r="C4019">
            <v>31102192</v>
          </cell>
          <cell r="D4019">
            <v>31102192</v>
          </cell>
          <cell r="E4019">
            <v>31102192</v>
          </cell>
          <cell r="F4019">
            <v>31102192</v>
          </cell>
          <cell r="G4019">
            <v>31102192</v>
          </cell>
          <cell r="H4019">
            <v>31102192</v>
          </cell>
          <cell r="I4019" t="str">
            <v/>
          </cell>
          <cell r="J4019" t="str">
            <v/>
          </cell>
          <cell r="K4019" t="str">
            <v/>
          </cell>
          <cell r="L4019" t="str">
            <v/>
          </cell>
          <cell r="M4019" t="str">
            <v/>
          </cell>
        </row>
        <row r="4020">
          <cell r="A4020">
            <v>31102192</v>
          </cell>
          <cell r="C4020">
            <v>31102192</v>
          </cell>
          <cell r="D4020">
            <v>31102192</v>
          </cell>
          <cell r="E4020">
            <v>31102192</v>
          </cell>
          <cell r="F4020">
            <v>31102192</v>
          </cell>
          <cell r="G4020">
            <v>31102192</v>
          </cell>
          <cell r="H4020">
            <v>31102192</v>
          </cell>
          <cell r="I4020" t="str">
            <v/>
          </cell>
          <cell r="J4020" t="str">
            <v/>
          </cell>
          <cell r="K4020" t="str">
            <v/>
          </cell>
          <cell r="L4020" t="str">
            <v/>
          </cell>
          <cell r="M4020" t="str">
            <v/>
          </cell>
        </row>
        <row r="4021">
          <cell r="A4021">
            <v>31102192</v>
          </cell>
          <cell r="C4021">
            <v>31102192</v>
          </cell>
          <cell r="D4021">
            <v>31102192</v>
          </cell>
          <cell r="E4021">
            <v>31102192</v>
          </cell>
          <cell r="F4021">
            <v>31102192</v>
          </cell>
          <cell r="G4021">
            <v>31102192</v>
          </cell>
          <cell r="H4021">
            <v>31102192</v>
          </cell>
          <cell r="I4021" t="str">
            <v/>
          </cell>
          <cell r="J4021" t="str">
            <v/>
          </cell>
          <cell r="K4021" t="str">
            <v/>
          </cell>
          <cell r="L4021" t="str">
            <v/>
          </cell>
          <cell r="M4021" t="str">
            <v/>
          </cell>
        </row>
        <row r="4022">
          <cell r="A4022">
            <v>31102192</v>
          </cell>
          <cell r="C4022">
            <v>31102192</v>
          </cell>
          <cell r="D4022">
            <v>31102192</v>
          </cell>
          <cell r="E4022">
            <v>31102192</v>
          </cell>
          <cell r="F4022">
            <v>31102192</v>
          </cell>
          <cell r="G4022">
            <v>31102192</v>
          </cell>
          <cell r="H4022">
            <v>31102192</v>
          </cell>
          <cell r="I4022" t="str">
            <v/>
          </cell>
          <cell r="J4022" t="str">
            <v/>
          </cell>
          <cell r="K4022" t="str">
            <v/>
          </cell>
          <cell r="L4022" t="str">
            <v/>
          </cell>
          <cell r="M4022" t="str">
            <v/>
          </cell>
        </row>
        <row r="4023">
          <cell r="A4023">
            <v>31102192</v>
          </cell>
          <cell r="C4023">
            <v>31102192</v>
          </cell>
          <cell r="D4023">
            <v>31102192</v>
          </cell>
          <cell r="E4023">
            <v>31102192</v>
          </cell>
          <cell r="F4023">
            <v>31102192</v>
          </cell>
          <cell r="G4023">
            <v>31102192</v>
          </cell>
          <cell r="H4023">
            <v>31102192</v>
          </cell>
          <cell r="I4023" t="str">
            <v/>
          </cell>
          <cell r="J4023" t="str">
            <v/>
          </cell>
          <cell r="K4023" t="str">
            <v/>
          </cell>
          <cell r="L4023" t="str">
            <v/>
          </cell>
          <cell r="M4023" t="str">
            <v/>
          </cell>
        </row>
        <row r="4024">
          <cell r="A4024">
            <v>31102192</v>
          </cell>
          <cell r="C4024">
            <v>31102192</v>
          </cell>
          <cell r="D4024">
            <v>31102192</v>
          </cell>
          <cell r="E4024">
            <v>31102192</v>
          </cell>
          <cell r="F4024">
            <v>31102192</v>
          </cell>
          <cell r="G4024">
            <v>31102192</v>
          </cell>
          <cell r="H4024">
            <v>31102192</v>
          </cell>
          <cell r="I4024" t="str">
            <v/>
          </cell>
          <cell r="J4024" t="str">
            <v/>
          </cell>
          <cell r="K4024" t="str">
            <v/>
          </cell>
          <cell r="L4024" t="str">
            <v/>
          </cell>
          <cell r="M4024" t="str">
            <v/>
          </cell>
        </row>
        <row r="4025">
          <cell r="A4025">
            <v>31102192</v>
          </cell>
          <cell r="C4025">
            <v>31102192</v>
          </cell>
          <cell r="D4025">
            <v>31102192</v>
          </cell>
          <cell r="E4025">
            <v>31102192</v>
          </cell>
          <cell r="F4025">
            <v>31102192</v>
          </cell>
          <cell r="G4025">
            <v>31102192</v>
          </cell>
          <cell r="H4025">
            <v>31102192</v>
          </cell>
          <cell r="I4025" t="str">
            <v/>
          </cell>
          <cell r="J4025" t="str">
            <v/>
          </cell>
          <cell r="K4025" t="str">
            <v/>
          </cell>
          <cell r="L4025" t="str">
            <v/>
          </cell>
          <cell r="M4025" t="str">
            <v/>
          </cell>
        </row>
        <row r="4026">
          <cell r="A4026">
            <v>31102192</v>
          </cell>
          <cell r="C4026">
            <v>31102192</v>
          </cell>
          <cell r="D4026">
            <v>31102192</v>
          </cell>
          <cell r="E4026">
            <v>31102192</v>
          </cell>
          <cell r="F4026">
            <v>31102192</v>
          </cell>
          <cell r="G4026">
            <v>31102192</v>
          </cell>
          <cell r="H4026">
            <v>31102192</v>
          </cell>
          <cell r="I4026" t="str">
            <v/>
          </cell>
          <cell r="J4026" t="str">
            <v/>
          </cell>
          <cell r="K4026" t="str">
            <v/>
          </cell>
          <cell r="L4026" t="str">
            <v/>
          </cell>
          <cell r="M4026" t="str">
            <v/>
          </cell>
        </row>
        <row r="4027">
          <cell r="A4027">
            <v>31102192</v>
          </cell>
          <cell r="C4027">
            <v>31102192</v>
          </cell>
          <cell r="D4027">
            <v>31102192</v>
          </cell>
          <cell r="E4027">
            <v>31102192</v>
          </cell>
          <cell r="F4027">
            <v>31102192</v>
          </cell>
          <cell r="G4027">
            <v>31102192</v>
          </cell>
          <cell r="H4027">
            <v>31102192</v>
          </cell>
          <cell r="I4027" t="str">
            <v/>
          </cell>
          <cell r="J4027" t="str">
            <v/>
          </cell>
          <cell r="K4027" t="str">
            <v/>
          </cell>
          <cell r="L4027" t="str">
            <v/>
          </cell>
          <cell r="M4027" t="str">
            <v/>
          </cell>
        </row>
        <row r="4028">
          <cell r="A4028">
            <v>31102192</v>
          </cell>
          <cell r="C4028">
            <v>31102192</v>
          </cell>
          <cell r="D4028">
            <v>31102192</v>
          </cell>
          <cell r="E4028">
            <v>31102192</v>
          </cell>
          <cell r="F4028">
            <v>31102192</v>
          </cell>
          <cell r="G4028">
            <v>31102192</v>
          </cell>
          <cell r="H4028">
            <v>31102192</v>
          </cell>
          <cell r="I4028" t="str">
            <v/>
          </cell>
          <cell r="J4028" t="str">
            <v/>
          </cell>
          <cell r="K4028" t="str">
            <v/>
          </cell>
          <cell r="L4028" t="str">
            <v/>
          </cell>
          <cell r="M4028" t="str">
            <v/>
          </cell>
        </row>
        <row r="4029">
          <cell r="A4029">
            <v>31102192</v>
          </cell>
          <cell r="C4029">
            <v>31102192</v>
          </cell>
          <cell r="D4029">
            <v>31102192</v>
          </cell>
          <cell r="E4029">
            <v>31102192</v>
          </cell>
          <cell r="F4029">
            <v>31102192</v>
          </cell>
          <cell r="G4029">
            <v>31102192</v>
          </cell>
          <cell r="H4029">
            <v>31102192</v>
          </cell>
          <cell r="I4029" t="str">
            <v/>
          </cell>
          <cell r="J4029" t="str">
            <v/>
          </cell>
          <cell r="K4029" t="str">
            <v/>
          </cell>
          <cell r="L4029" t="str">
            <v/>
          </cell>
          <cell r="M4029" t="str">
            <v/>
          </cell>
        </row>
        <row r="4030">
          <cell r="A4030">
            <v>31102192</v>
          </cell>
          <cell r="C4030">
            <v>31102192</v>
          </cell>
          <cell r="D4030">
            <v>31102192</v>
          </cell>
          <cell r="E4030">
            <v>31102192</v>
          </cell>
          <cell r="F4030">
            <v>31102192</v>
          </cell>
          <cell r="G4030">
            <v>31102192</v>
          </cell>
          <cell r="H4030">
            <v>31102192</v>
          </cell>
          <cell r="I4030" t="str">
            <v/>
          </cell>
          <cell r="J4030" t="str">
            <v/>
          </cell>
          <cell r="K4030" t="str">
            <v/>
          </cell>
          <cell r="L4030" t="str">
            <v/>
          </cell>
          <cell r="M4030" t="str">
            <v/>
          </cell>
        </row>
        <row r="4031">
          <cell r="A4031">
            <v>31102192</v>
          </cell>
          <cell r="C4031">
            <v>31102192</v>
          </cell>
          <cell r="D4031">
            <v>31102192</v>
          </cell>
          <cell r="E4031">
            <v>31102192</v>
          </cell>
          <cell r="F4031">
            <v>31102192</v>
          </cell>
          <cell r="G4031">
            <v>31102192</v>
          </cell>
          <cell r="H4031">
            <v>31102192</v>
          </cell>
          <cell r="I4031" t="str">
            <v/>
          </cell>
          <cell r="J4031" t="str">
            <v/>
          </cell>
          <cell r="K4031" t="str">
            <v/>
          </cell>
          <cell r="L4031" t="str">
            <v/>
          </cell>
          <cell r="M4031" t="str">
            <v/>
          </cell>
        </row>
        <row r="4032">
          <cell r="A4032">
            <v>31102192</v>
          </cell>
          <cell r="C4032">
            <v>31102192</v>
          </cell>
          <cell r="D4032">
            <v>31102192</v>
          </cell>
          <cell r="E4032">
            <v>31102192</v>
          </cell>
          <cell r="F4032">
            <v>31102192</v>
          </cell>
          <cell r="G4032">
            <v>31102192</v>
          </cell>
          <cell r="H4032">
            <v>31102192</v>
          </cell>
          <cell r="I4032" t="str">
            <v/>
          </cell>
          <cell r="J4032" t="str">
            <v/>
          </cell>
          <cell r="K4032" t="str">
            <v/>
          </cell>
          <cell r="L4032" t="str">
            <v/>
          </cell>
          <cell r="M4032" t="str">
            <v/>
          </cell>
        </row>
        <row r="4033">
          <cell r="A4033">
            <v>31102192</v>
          </cell>
          <cell r="C4033">
            <v>31102192</v>
          </cell>
          <cell r="D4033">
            <v>31102192</v>
          </cell>
          <cell r="E4033">
            <v>31102192</v>
          </cell>
          <cell r="F4033">
            <v>31102192</v>
          </cell>
          <cell r="G4033">
            <v>31102192</v>
          </cell>
          <cell r="H4033">
            <v>31102192</v>
          </cell>
          <cell r="I4033" t="str">
            <v/>
          </cell>
          <cell r="J4033" t="str">
            <v/>
          </cell>
          <cell r="K4033" t="str">
            <v/>
          </cell>
          <cell r="L4033" t="str">
            <v/>
          </cell>
          <cell r="M4033" t="str">
            <v/>
          </cell>
        </row>
        <row r="4034">
          <cell r="A4034">
            <v>31102192</v>
          </cell>
          <cell r="C4034">
            <v>31102192</v>
          </cell>
          <cell r="D4034">
            <v>31102192</v>
          </cell>
          <cell r="E4034">
            <v>31102192</v>
          </cell>
          <cell r="F4034">
            <v>31102192</v>
          </cell>
          <cell r="G4034">
            <v>31102192</v>
          </cell>
          <cell r="H4034">
            <v>31102192</v>
          </cell>
          <cell r="I4034" t="str">
            <v/>
          </cell>
          <cell r="J4034" t="str">
            <v/>
          </cell>
          <cell r="K4034" t="str">
            <v/>
          </cell>
          <cell r="L4034" t="str">
            <v/>
          </cell>
          <cell r="M4034" t="str">
            <v/>
          </cell>
        </row>
        <row r="4035">
          <cell r="A4035">
            <v>31102192</v>
          </cell>
          <cell r="C4035">
            <v>31102192</v>
          </cell>
          <cell r="D4035">
            <v>31102192</v>
          </cell>
          <cell r="E4035">
            <v>31102192</v>
          </cell>
          <cell r="F4035">
            <v>31102192</v>
          </cell>
          <cell r="G4035">
            <v>31102192</v>
          </cell>
          <cell r="H4035">
            <v>31102192</v>
          </cell>
          <cell r="I4035" t="str">
            <v/>
          </cell>
          <cell r="J4035" t="str">
            <v/>
          </cell>
          <cell r="K4035" t="str">
            <v/>
          </cell>
          <cell r="L4035" t="str">
            <v/>
          </cell>
          <cell r="M4035" t="str">
            <v/>
          </cell>
        </row>
        <row r="4036">
          <cell r="A4036">
            <v>31102192</v>
          </cell>
          <cell r="C4036">
            <v>31102192</v>
          </cell>
          <cell r="D4036">
            <v>31102192</v>
          </cell>
          <cell r="E4036">
            <v>31102192</v>
          </cell>
          <cell r="F4036">
            <v>31102192</v>
          </cell>
          <cell r="G4036">
            <v>31102192</v>
          </cell>
          <cell r="H4036">
            <v>31102192</v>
          </cell>
          <cell r="I4036" t="str">
            <v/>
          </cell>
          <cell r="J4036" t="str">
            <v/>
          </cell>
          <cell r="K4036" t="str">
            <v/>
          </cell>
          <cell r="L4036" t="str">
            <v/>
          </cell>
          <cell r="M4036" t="str">
            <v/>
          </cell>
        </row>
        <row r="4037">
          <cell r="A4037">
            <v>31102192</v>
          </cell>
          <cell r="C4037">
            <v>31102192</v>
          </cell>
          <cell r="D4037">
            <v>31102192</v>
          </cell>
          <cell r="E4037">
            <v>31102192</v>
          </cell>
          <cell r="F4037">
            <v>31102192</v>
          </cell>
          <cell r="G4037">
            <v>31102192</v>
          </cell>
          <cell r="H4037">
            <v>31102192</v>
          </cell>
          <cell r="I4037" t="str">
            <v/>
          </cell>
          <cell r="J4037" t="str">
            <v/>
          </cell>
          <cell r="K4037" t="str">
            <v/>
          </cell>
          <cell r="L4037" t="str">
            <v/>
          </cell>
          <cell r="M4037" t="str">
            <v/>
          </cell>
        </row>
        <row r="4038">
          <cell r="A4038">
            <v>31102192</v>
          </cell>
          <cell r="C4038">
            <v>31102192</v>
          </cell>
          <cell r="D4038">
            <v>31102192</v>
          </cell>
          <cell r="E4038">
            <v>31102192</v>
          </cell>
          <cell r="F4038">
            <v>31102192</v>
          </cell>
          <cell r="G4038">
            <v>31102192</v>
          </cell>
          <cell r="H4038">
            <v>31102192</v>
          </cell>
          <cell r="I4038" t="str">
            <v/>
          </cell>
          <cell r="J4038" t="str">
            <v/>
          </cell>
          <cell r="K4038" t="str">
            <v/>
          </cell>
          <cell r="L4038" t="str">
            <v/>
          </cell>
          <cell r="M4038" t="str">
            <v/>
          </cell>
        </row>
        <row r="4039">
          <cell r="A4039">
            <v>31102192</v>
          </cell>
          <cell r="C4039">
            <v>31102192</v>
          </cell>
          <cell r="D4039">
            <v>31102192</v>
          </cell>
          <cell r="E4039">
            <v>31102192</v>
          </cell>
          <cell r="F4039">
            <v>31102192</v>
          </cell>
          <cell r="G4039">
            <v>31102192</v>
          </cell>
          <cell r="H4039">
            <v>31102192</v>
          </cell>
          <cell r="I4039" t="str">
            <v/>
          </cell>
          <cell r="J4039" t="str">
            <v/>
          </cell>
          <cell r="K4039" t="str">
            <v/>
          </cell>
          <cell r="L4039" t="str">
            <v/>
          </cell>
          <cell r="M4039" t="str">
            <v/>
          </cell>
        </row>
        <row r="4040">
          <cell r="A4040">
            <v>31102192</v>
          </cell>
          <cell r="C4040">
            <v>31102192</v>
          </cell>
          <cell r="D4040">
            <v>31102192</v>
          </cell>
          <cell r="E4040">
            <v>31102192</v>
          </cell>
          <cell r="F4040">
            <v>31102192</v>
          </cell>
          <cell r="G4040">
            <v>31102192</v>
          </cell>
          <cell r="H4040">
            <v>31102192</v>
          </cell>
          <cell r="I4040" t="str">
            <v/>
          </cell>
          <cell r="J4040" t="str">
            <v/>
          </cell>
          <cell r="K4040" t="str">
            <v/>
          </cell>
          <cell r="L4040" t="str">
            <v/>
          </cell>
          <cell r="M4040" t="str">
            <v/>
          </cell>
        </row>
        <row r="4041">
          <cell r="A4041">
            <v>31102192</v>
          </cell>
          <cell r="C4041">
            <v>31102192</v>
          </cell>
          <cell r="D4041">
            <v>31102192</v>
          </cell>
          <cell r="E4041">
            <v>31102192</v>
          </cell>
          <cell r="F4041">
            <v>31102192</v>
          </cell>
          <cell r="G4041">
            <v>31102192</v>
          </cell>
          <cell r="H4041">
            <v>31102192</v>
          </cell>
          <cell r="I4041" t="str">
            <v/>
          </cell>
          <cell r="J4041" t="str">
            <v/>
          </cell>
          <cell r="K4041" t="str">
            <v/>
          </cell>
          <cell r="L4041" t="str">
            <v/>
          </cell>
          <cell r="M4041" t="str">
            <v/>
          </cell>
        </row>
        <row r="4042">
          <cell r="A4042">
            <v>31102192</v>
          </cell>
          <cell r="C4042">
            <v>31102192</v>
          </cell>
          <cell r="D4042">
            <v>31102192</v>
          </cell>
          <cell r="E4042">
            <v>31102192</v>
          </cell>
          <cell r="F4042">
            <v>31102192</v>
          </cell>
          <cell r="G4042">
            <v>31102192</v>
          </cell>
          <cell r="H4042">
            <v>31102192</v>
          </cell>
          <cell r="I4042" t="str">
            <v/>
          </cell>
          <cell r="J4042" t="str">
            <v/>
          </cell>
          <cell r="K4042" t="str">
            <v/>
          </cell>
          <cell r="L4042" t="str">
            <v/>
          </cell>
          <cell r="M4042" t="str">
            <v/>
          </cell>
        </row>
        <row r="4043">
          <cell r="A4043">
            <v>31102192</v>
          </cell>
          <cell r="C4043">
            <v>31102192</v>
          </cell>
          <cell r="D4043">
            <v>31102192</v>
          </cell>
          <cell r="E4043">
            <v>31102192</v>
          </cell>
          <cell r="F4043">
            <v>31102192</v>
          </cell>
          <cell r="G4043">
            <v>31102192</v>
          </cell>
          <cell r="H4043">
            <v>31102192</v>
          </cell>
          <cell r="I4043" t="str">
            <v/>
          </cell>
          <cell r="J4043" t="str">
            <v/>
          </cell>
          <cell r="K4043" t="str">
            <v/>
          </cell>
          <cell r="L4043" t="str">
            <v/>
          </cell>
          <cell r="M4043" t="str">
            <v/>
          </cell>
        </row>
        <row r="4044">
          <cell r="A4044">
            <v>31102192</v>
          </cell>
          <cell r="C4044">
            <v>31102192</v>
          </cell>
          <cell r="D4044">
            <v>31102192</v>
          </cell>
          <cell r="E4044">
            <v>31102192</v>
          </cell>
          <cell r="F4044">
            <v>31102192</v>
          </cell>
          <cell r="G4044">
            <v>31102192</v>
          </cell>
          <cell r="H4044">
            <v>31102192</v>
          </cell>
          <cell r="I4044" t="str">
            <v/>
          </cell>
          <cell r="J4044" t="str">
            <v/>
          </cell>
          <cell r="K4044" t="str">
            <v/>
          </cell>
          <cell r="L4044" t="str">
            <v/>
          </cell>
          <cell r="M4044" t="str">
            <v/>
          </cell>
        </row>
        <row r="4045">
          <cell r="A4045">
            <v>31102192</v>
          </cell>
          <cell r="C4045">
            <v>31102192</v>
          </cell>
          <cell r="D4045">
            <v>31102192</v>
          </cell>
          <cell r="E4045">
            <v>31102192</v>
          </cell>
          <cell r="F4045">
            <v>31102192</v>
          </cell>
          <cell r="G4045">
            <v>31102192</v>
          </cell>
          <cell r="H4045">
            <v>31102192</v>
          </cell>
          <cell r="I4045" t="str">
            <v/>
          </cell>
          <cell r="J4045" t="str">
            <v/>
          </cell>
          <cell r="K4045" t="str">
            <v/>
          </cell>
          <cell r="L4045" t="str">
            <v/>
          </cell>
          <cell r="M4045" t="str">
            <v/>
          </cell>
        </row>
        <row r="4046">
          <cell r="A4046">
            <v>31102192</v>
          </cell>
          <cell r="C4046">
            <v>31102192</v>
          </cell>
          <cell r="D4046">
            <v>31102192</v>
          </cell>
          <cell r="E4046">
            <v>31102192</v>
          </cell>
          <cell r="F4046">
            <v>31102192</v>
          </cell>
          <cell r="G4046">
            <v>31102192</v>
          </cell>
          <cell r="H4046">
            <v>31102192</v>
          </cell>
          <cell r="I4046" t="str">
            <v/>
          </cell>
          <cell r="J4046" t="str">
            <v/>
          </cell>
          <cell r="K4046" t="str">
            <v/>
          </cell>
          <cell r="L4046" t="str">
            <v/>
          </cell>
          <cell r="M4046" t="str">
            <v/>
          </cell>
        </row>
        <row r="4047">
          <cell r="A4047">
            <v>31102192</v>
          </cell>
          <cell r="C4047">
            <v>31102192</v>
          </cell>
          <cell r="D4047">
            <v>31102192</v>
          </cell>
          <cell r="E4047">
            <v>31102192</v>
          </cell>
          <cell r="F4047">
            <v>31102192</v>
          </cell>
          <cell r="G4047">
            <v>31102192</v>
          </cell>
          <cell r="H4047">
            <v>31102192</v>
          </cell>
          <cell r="I4047" t="str">
            <v/>
          </cell>
          <cell r="J4047" t="str">
            <v/>
          </cell>
          <cell r="K4047" t="str">
            <v/>
          </cell>
          <cell r="L4047" t="str">
            <v/>
          </cell>
          <cell r="M4047" t="str">
            <v/>
          </cell>
        </row>
        <row r="4048">
          <cell r="A4048">
            <v>31102192</v>
          </cell>
          <cell r="C4048">
            <v>31102192</v>
          </cell>
          <cell r="D4048">
            <v>31102192</v>
          </cell>
          <cell r="E4048">
            <v>31102192</v>
          </cell>
          <cell r="F4048">
            <v>31102192</v>
          </cell>
          <cell r="G4048">
            <v>31102192</v>
          </cell>
          <cell r="H4048">
            <v>31102192</v>
          </cell>
          <cell r="I4048" t="str">
            <v/>
          </cell>
          <cell r="J4048" t="str">
            <v/>
          </cell>
          <cell r="K4048" t="str">
            <v/>
          </cell>
          <cell r="L4048" t="str">
            <v/>
          </cell>
          <cell r="M4048" t="str">
            <v/>
          </cell>
        </row>
        <row r="4049">
          <cell r="A4049">
            <v>31102192</v>
          </cell>
          <cell r="C4049">
            <v>31102192</v>
          </cell>
          <cell r="D4049">
            <v>31102192</v>
          </cell>
          <cell r="E4049">
            <v>31102192</v>
          </cell>
          <cell r="F4049">
            <v>31102192</v>
          </cell>
          <cell r="G4049">
            <v>31102192</v>
          </cell>
          <cell r="H4049">
            <v>31102192</v>
          </cell>
          <cell r="I4049" t="str">
            <v/>
          </cell>
          <cell r="J4049" t="str">
            <v/>
          </cell>
          <cell r="K4049" t="str">
            <v/>
          </cell>
          <cell r="L4049" t="str">
            <v/>
          </cell>
          <cell r="M4049" t="str">
            <v/>
          </cell>
        </row>
        <row r="4050">
          <cell r="A4050">
            <v>31102192</v>
          </cell>
          <cell r="C4050">
            <v>31102192</v>
          </cell>
          <cell r="D4050">
            <v>31102192</v>
          </cell>
          <cell r="E4050">
            <v>31102192</v>
          </cell>
          <cell r="F4050">
            <v>31102192</v>
          </cell>
          <cell r="G4050">
            <v>31102192</v>
          </cell>
          <cell r="H4050">
            <v>31102192</v>
          </cell>
          <cell r="I4050" t="str">
            <v/>
          </cell>
          <cell r="J4050" t="str">
            <v/>
          </cell>
          <cell r="K4050" t="str">
            <v/>
          </cell>
          <cell r="L4050" t="str">
            <v/>
          </cell>
          <cell r="M4050" t="str">
            <v/>
          </cell>
        </row>
        <row r="4051">
          <cell r="A4051">
            <v>31102192</v>
          </cell>
          <cell r="C4051">
            <v>31102192</v>
          </cell>
          <cell r="D4051">
            <v>31102192</v>
          </cell>
          <cell r="E4051">
            <v>31102192</v>
          </cell>
          <cell r="F4051">
            <v>31102192</v>
          </cell>
          <cell r="G4051">
            <v>31102192</v>
          </cell>
          <cell r="H4051">
            <v>31102192</v>
          </cell>
          <cell r="I4051" t="str">
            <v/>
          </cell>
          <cell r="J4051" t="str">
            <v/>
          </cell>
          <cell r="K4051" t="str">
            <v/>
          </cell>
          <cell r="L4051" t="str">
            <v/>
          </cell>
          <cell r="M4051" t="str">
            <v/>
          </cell>
        </row>
        <row r="4052">
          <cell r="A4052">
            <v>31102192</v>
          </cell>
          <cell r="C4052">
            <v>31102192</v>
          </cell>
          <cell r="D4052">
            <v>31102192</v>
          </cell>
          <cell r="E4052">
            <v>31102192</v>
          </cell>
          <cell r="F4052">
            <v>31102192</v>
          </cell>
          <cell r="G4052">
            <v>31102192</v>
          </cell>
          <cell r="H4052">
            <v>31102192</v>
          </cell>
          <cell r="I4052" t="str">
            <v/>
          </cell>
          <cell r="J4052" t="str">
            <v/>
          </cell>
          <cell r="K4052" t="str">
            <v/>
          </cell>
          <cell r="L4052" t="str">
            <v/>
          </cell>
          <cell r="M4052" t="str">
            <v/>
          </cell>
        </row>
        <row r="4053">
          <cell r="A4053">
            <v>31102192</v>
          </cell>
          <cell r="C4053">
            <v>31102192</v>
          </cell>
          <cell r="D4053">
            <v>31102192</v>
          </cell>
          <cell r="E4053">
            <v>31102192</v>
          </cell>
          <cell r="F4053">
            <v>31102192</v>
          </cell>
          <cell r="G4053">
            <v>31102192</v>
          </cell>
          <cell r="H4053">
            <v>31102192</v>
          </cell>
          <cell r="I4053" t="str">
            <v/>
          </cell>
          <cell r="J4053" t="str">
            <v/>
          </cell>
          <cell r="K4053" t="str">
            <v/>
          </cell>
          <cell r="L4053" t="str">
            <v/>
          </cell>
          <cell r="M4053" t="str">
            <v/>
          </cell>
        </row>
        <row r="4054">
          <cell r="A4054">
            <v>31102192</v>
          </cell>
          <cell r="C4054">
            <v>31102192</v>
          </cell>
          <cell r="D4054">
            <v>31102192</v>
          </cell>
          <cell r="E4054">
            <v>31102192</v>
          </cell>
          <cell r="F4054">
            <v>31102192</v>
          </cell>
          <cell r="G4054">
            <v>31102192</v>
          </cell>
          <cell r="H4054">
            <v>31102192</v>
          </cell>
          <cell r="I4054" t="str">
            <v/>
          </cell>
          <cell r="J4054" t="str">
            <v/>
          </cell>
          <cell r="K4054" t="str">
            <v/>
          </cell>
          <cell r="L4054" t="str">
            <v/>
          </cell>
          <cell r="M4054" t="str">
            <v/>
          </cell>
        </row>
        <row r="4055">
          <cell r="A4055">
            <v>31102192</v>
          </cell>
          <cell r="C4055">
            <v>31102192</v>
          </cell>
          <cell r="D4055">
            <v>31102192</v>
          </cell>
          <cell r="E4055">
            <v>31102192</v>
          </cell>
          <cell r="F4055">
            <v>31102192</v>
          </cell>
          <cell r="G4055">
            <v>31102192</v>
          </cell>
          <cell r="H4055">
            <v>31102192</v>
          </cell>
          <cell r="I4055" t="str">
            <v/>
          </cell>
          <cell r="J4055" t="str">
            <v/>
          </cell>
          <cell r="K4055" t="str">
            <v/>
          </cell>
          <cell r="L4055" t="str">
            <v/>
          </cell>
          <cell r="M4055" t="str">
            <v/>
          </cell>
        </row>
        <row r="4056">
          <cell r="A4056">
            <v>31102192</v>
          </cell>
          <cell r="C4056">
            <v>31102192</v>
          </cell>
          <cell r="D4056">
            <v>31102192</v>
          </cell>
          <cell r="E4056">
            <v>31102192</v>
          </cell>
          <cell r="F4056">
            <v>31102192</v>
          </cell>
          <cell r="G4056">
            <v>31102192</v>
          </cell>
          <cell r="H4056">
            <v>31102192</v>
          </cell>
          <cell r="I4056" t="str">
            <v/>
          </cell>
          <cell r="J4056" t="str">
            <v/>
          </cell>
          <cell r="K4056" t="str">
            <v/>
          </cell>
          <cell r="L4056" t="str">
            <v/>
          </cell>
          <cell r="M4056" t="str">
            <v/>
          </cell>
        </row>
        <row r="4057">
          <cell r="A4057">
            <v>31102192</v>
          </cell>
          <cell r="C4057">
            <v>31102192</v>
          </cell>
          <cell r="D4057">
            <v>31102192</v>
          </cell>
          <cell r="E4057">
            <v>31102192</v>
          </cell>
          <cell r="F4057">
            <v>31102192</v>
          </cell>
          <cell r="G4057">
            <v>31102192</v>
          </cell>
          <cell r="H4057">
            <v>31102192</v>
          </cell>
          <cell r="I4057" t="str">
            <v/>
          </cell>
          <cell r="J4057" t="str">
            <v/>
          </cell>
          <cell r="K4057" t="str">
            <v/>
          </cell>
          <cell r="L4057" t="str">
            <v/>
          </cell>
          <cell r="M4057" t="str">
            <v/>
          </cell>
        </row>
        <row r="4058">
          <cell r="A4058">
            <v>31102192</v>
          </cell>
          <cell r="C4058">
            <v>31102192</v>
          </cell>
          <cell r="D4058">
            <v>31102192</v>
          </cell>
          <cell r="E4058">
            <v>31102192</v>
          </cell>
          <cell r="F4058">
            <v>31102192</v>
          </cell>
          <cell r="G4058">
            <v>31102192</v>
          </cell>
          <cell r="H4058">
            <v>31102192</v>
          </cell>
          <cell r="I4058" t="str">
            <v/>
          </cell>
          <cell r="J4058" t="str">
            <v/>
          </cell>
          <cell r="K4058" t="str">
            <v/>
          </cell>
          <cell r="L4058" t="str">
            <v/>
          </cell>
          <cell r="M4058" t="str">
            <v/>
          </cell>
        </row>
        <row r="4059">
          <cell r="A4059">
            <v>31102192</v>
          </cell>
          <cell r="C4059">
            <v>31102192</v>
          </cell>
          <cell r="D4059">
            <v>31102192</v>
          </cell>
          <cell r="E4059">
            <v>31102192</v>
          </cell>
          <cell r="F4059">
            <v>31102192</v>
          </cell>
          <cell r="G4059">
            <v>31102192</v>
          </cell>
          <cell r="H4059">
            <v>31102192</v>
          </cell>
          <cell r="I4059" t="str">
            <v/>
          </cell>
          <cell r="J4059" t="str">
            <v/>
          </cell>
          <cell r="K4059" t="str">
            <v/>
          </cell>
          <cell r="L4059" t="str">
            <v/>
          </cell>
          <cell r="M4059" t="str">
            <v/>
          </cell>
        </row>
        <row r="4060">
          <cell r="A4060">
            <v>31102192</v>
          </cell>
          <cell r="C4060">
            <v>31102192</v>
          </cell>
          <cell r="D4060">
            <v>31102192</v>
          </cell>
          <cell r="E4060">
            <v>31102192</v>
          </cell>
          <cell r="F4060">
            <v>31102192</v>
          </cell>
          <cell r="G4060">
            <v>31102192</v>
          </cell>
          <cell r="H4060">
            <v>31102192</v>
          </cell>
          <cell r="I4060" t="str">
            <v/>
          </cell>
          <cell r="J4060" t="str">
            <v/>
          </cell>
          <cell r="K4060" t="str">
            <v/>
          </cell>
          <cell r="L4060" t="str">
            <v/>
          </cell>
          <cell r="M4060" t="str">
            <v/>
          </cell>
        </row>
        <row r="4061">
          <cell r="A4061">
            <v>31102192</v>
          </cell>
          <cell r="C4061">
            <v>31102192</v>
          </cell>
          <cell r="D4061">
            <v>31102192</v>
          </cell>
          <cell r="E4061">
            <v>31102192</v>
          </cell>
          <cell r="F4061">
            <v>31102192</v>
          </cell>
          <cell r="G4061">
            <v>31102192</v>
          </cell>
          <cell r="H4061">
            <v>31102192</v>
          </cell>
          <cell r="I4061" t="str">
            <v/>
          </cell>
          <cell r="J4061" t="str">
            <v/>
          </cell>
          <cell r="K4061" t="str">
            <v/>
          </cell>
          <cell r="L4061" t="str">
            <v/>
          </cell>
          <cell r="M4061" t="str">
            <v/>
          </cell>
        </row>
        <row r="4062">
          <cell r="A4062">
            <v>31102192</v>
          </cell>
          <cell r="C4062">
            <v>31102192</v>
          </cell>
          <cell r="D4062">
            <v>31102192</v>
          </cell>
          <cell r="E4062">
            <v>31102192</v>
          </cell>
          <cell r="F4062">
            <v>31102192</v>
          </cell>
          <cell r="G4062">
            <v>31102192</v>
          </cell>
          <cell r="H4062">
            <v>31102192</v>
          </cell>
          <cell r="I4062" t="str">
            <v/>
          </cell>
          <cell r="J4062" t="str">
            <v/>
          </cell>
          <cell r="K4062" t="str">
            <v/>
          </cell>
          <cell r="L4062" t="str">
            <v/>
          </cell>
          <cell r="M4062" t="str">
            <v/>
          </cell>
        </row>
        <row r="4063">
          <cell r="A4063">
            <v>31102192</v>
          </cell>
          <cell r="C4063">
            <v>31102192</v>
          </cell>
          <cell r="D4063">
            <v>31102192</v>
          </cell>
          <cell r="E4063">
            <v>31102192</v>
          </cell>
          <cell r="F4063">
            <v>31102192</v>
          </cell>
          <cell r="G4063">
            <v>31102192</v>
          </cell>
          <cell r="H4063">
            <v>31102192</v>
          </cell>
          <cell r="I4063" t="str">
            <v/>
          </cell>
          <cell r="J4063" t="str">
            <v/>
          </cell>
          <cell r="K4063" t="str">
            <v/>
          </cell>
          <cell r="L4063" t="str">
            <v/>
          </cell>
          <cell r="M4063" t="str">
            <v/>
          </cell>
        </row>
        <row r="4064">
          <cell r="A4064">
            <v>31102192</v>
          </cell>
          <cell r="C4064">
            <v>31102192</v>
          </cell>
          <cell r="D4064">
            <v>31102192</v>
          </cell>
          <cell r="E4064">
            <v>31102192</v>
          </cell>
          <cell r="F4064">
            <v>31102192</v>
          </cell>
          <cell r="G4064">
            <v>31102192</v>
          </cell>
          <cell r="H4064">
            <v>31102192</v>
          </cell>
          <cell r="I4064" t="str">
            <v/>
          </cell>
          <cell r="J4064" t="str">
            <v/>
          </cell>
          <cell r="K4064" t="str">
            <v/>
          </cell>
          <cell r="L4064" t="str">
            <v/>
          </cell>
          <cell r="M4064" t="str">
            <v/>
          </cell>
        </row>
        <row r="4065">
          <cell r="A4065">
            <v>31102192</v>
          </cell>
          <cell r="C4065">
            <v>31102192</v>
          </cell>
          <cell r="D4065">
            <v>31102192</v>
          </cell>
          <cell r="E4065">
            <v>31102192</v>
          </cell>
          <cell r="F4065">
            <v>31102192</v>
          </cell>
          <cell r="G4065">
            <v>31102192</v>
          </cell>
          <cell r="H4065">
            <v>31102192</v>
          </cell>
          <cell r="I4065" t="str">
            <v/>
          </cell>
          <cell r="J4065" t="str">
            <v/>
          </cell>
          <cell r="K4065" t="str">
            <v/>
          </cell>
          <cell r="L4065" t="str">
            <v/>
          </cell>
          <cell r="M4065" t="str">
            <v/>
          </cell>
        </row>
        <row r="4066">
          <cell r="A4066">
            <v>31102192</v>
          </cell>
          <cell r="C4066">
            <v>31102192</v>
          </cell>
          <cell r="D4066">
            <v>31102192</v>
          </cell>
          <cell r="E4066">
            <v>31102192</v>
          </cell>
          <cell r="F4066">
            <v>31102192</v>
          </cell>
          <cell r="G4066">
            <v>31102192</v>
          </cell>
          <cell r="H4066">
            <v>31102192</v>
          </cell>
          <cell r="I4066" t="str">
            <v/>
          </cell>
          <cell r="J4066" t="str">
            <v/>
          </cell>
          <cell r="K4066" t="str">
            <v/>
          </cell>
          <cell r="L4066" t="str">
            <v/>
          </cell>
          <cell r="M4066" t="str">
            <v/>
          </cell>
        </row>
        <row r="4067">
          <cell r="A4067">
            <v>31102192</v>
          </cell>
          <cell r="C4067">
            <v>31102192</v>
          </cell>
          <cell r="D4067">
            <v>31102192</v>
          </cell>
          <cell r="E4067">
            <v>31102192</v>
          </cell>
          <cell r="F4067">
            <v>31102192</v>
          </cell>
          <cell r="G4067">
            <v>31102192</v>
          </cell>
          <cell r="H4067">
            <v>31102192</v>
          </cell>
          <cell r="I4067" t="str">
            <v/>
          </cell>
          <cell r="J4067" t="str">
            <v/>
          </cell>
          <cell r="K4067" t="str">
            <v/>
          </cell>
          <cell r="L4067" t="str">
            <v/>
          </cell>
          <cell r="M4067" t="str">
            <v/>
          </cell>
        </row>
        <row r="4068">
          <cell r="A4068">
            <v>31102192</v>
          </cell>
          <cell r="C4068">
            <v>31102192</v>
          </cell>
          <cell r="D4068">
            <v>31102192</v>
          </cell>
          <cell r="E4068">
            <v>31102192</v>
          </cell>
          <cell r="F4068">
            <v>31102192</v>
          </cell>
          <cell r="G4068">
            <v>31102192</v>
          </cell>
          <cell r="H4068">
            <v>31102192</v>
          </cell>
          <cell r="I4068" t="str">
            <v/>
          </cell>
          <cell r="J4068" t="str">
            <v/>
          </cell>
          <cell r="K4068" t="str">
            <v/>
          </cell>
          <cell r="L4068" t="str">
            <v/>
          </cell>
          <cell r="M4068" t="str">
            <v/>
          </cell>
        </row>
        <row r="4069">
          <cell r="A4069">
            <v>31102192</v>
          </cell>
          <cell r="C4069">
            <v>31102192</v>
          </cell>
          <cell r="D4069">
            <v>31102192</v>
          </cell>
          <cell r="E4069">
            <v>31102192</v>
          </cell>
          <cell r="F4069">
            <v>31102192</v>
          </cell>
          <cell r="G4069">
            <v>31102192</v>
          </cell>
          <cell r="H4069">
            <v>31102192</v>
          </cell>
          <cell r="I4069" t="str">
            <v/>
          </cell>
          <cell r="J4069" t="str">
            <v/>
          </cell>
          <cell r="K4069" t="str">
            <v/>
          </cell>
          <cell r="L4069" t="str">
            <v/>
          </cell>
          <cell r="M4069" t="str">
            <v/>
          </cell>
        </row>
        <row r="4070">
          <cell r="A4070">
            <v>31102192</v>
          </cell>
          <cell r="C4070">
            <v>31102192</v>
          </cell>
          <cell r="D4070">
            <v>31102192</v>
          </cell>
          <cell r="E4070">
            <v>31102192</v>
          </cell>
          <cell r="F4070">
            <v>31102192</v>
          </cell>
          <cell r="G4070">
            <v>31102192</v>
          </cell>
          <cell r="H4070">
            <v>31102192</v>
          </cell>
          <cell r="I4070" t="str">
            <v/>
          </cell>
          <cell r="J4070" t="str">
            <v/>
          </cell>
          <cell r="K4070" t="str">
            <v/>
          </cell>
          <cell r="L4070" t="str">
            <v/>
          </cell>
          <cell r="M4070" t="str">
            <v/>
          </cell>
        </row>
        <row r="4071">
          <cell r="A4071">
            <v>31102192</v>
          </cell>
          <cell r="C4071">
            <v>31102192</v>
          </cell>
          <cell r="D4071">
            <v>31102192</v>
          </cell>
          <cell r="E4071">
            <v>31102192</v>
          </cell>
          <cell r="F4071">
            <v>31102192</v>
          </cell>
          <cell r="G4071">
            <v>31102192</v>
          </cell>
          <cell r="H4071">
            <v>31102192</v>
          </cell>
          <cell r="I4071" t="str">
            <v/>
          </cell>
          <cell r="J4071" t="str">
            <v/>
          </cell>
          <cell r="K4071" t="str">
            <v/>
          </cell>
          <cell r="L4071" t="str">
            <v/>
          </cell>
          <cell r="M4071" t="str">
            <v/>
          </cell>
        </row>
        <row r="4072">
          <cell r="A4072">
            <v>31102192</v>
          </cell>
          <cell r="C4072">
            <v>31102192</v>
          </cell>
          <cell r="D4072">
            <v>31102192</v>
          </cell>
          <cell r="E4072">
            <v>31102192</v>
          </cell>
          <cell r="F4072">
            <v>31102192</v>
          </cell>
          <cell r="G4072">
            <v>31102192</v>
          </cell>
          <cell r="H4072">
            <v>31102192</v>
          </cell>
          <cell r="I4072" t="str">
            <v/>
          </cell>
          <cell r="J4072" t="str">
            <v/>
          </cell>
          <cell r="K4072" t="str">
            <v/>
          </cell>
          <cell r="L4072" t="str">
            <v/>
          </cell>
          <cell r="M4072" t="str">
            <v/>
          </cell>
        </row>
        <row r="4073">
          <cell r="A4073">
            <v>31102192</v>
          </cell>
          <cell r="C4073">
            <v>31102192</v>
          </cell>
          <cell r="D4073">
            <v>31102192</v>
          </cell>
          <cell r="E4073">
            <v>31102192</v>
          </cell>
          <cell r="F4073">
            <v>31102192</v>
          </cell>
          <cell r="G4073">
            <v>31102192</v>
          </cell>
          <cell r="H4073">
            <v>31102192</v>
          </cell>
          <cell r="I4073" t="str">
            <v/>
          </cell>
          <cell r="J4073" t="str">
            <v/>
          </cell>
          <cell r="K4073" t="str">
            <v/>
          </cell>
          <cell r="L4073" t="str">
            <v/>
          </cell>
          <cell r="M4073" t="str">
            <v/>
          </cell>
        </row>
        <row r="4074">
          <cell r="A4074">
            <v>31102192</v>
          </cell>
          <cell r="C4074">
            <v>31102192</v>
          </cell>
          <cell r="D4074">
            <v>31102192</v>
          </cell>
          <cell r="E4074">
            <v>31102192</v>
          </cell>
          <cell r="F4074">
            <v>31102192</v>
          </cell>
          <cell r="G4074">
            <v>31102192</v>
          </cell>
          <cell r="H4074">
            <v>31102192</v>
          </cell>
          <cell r="I4074" t="str">
            <v/>
          </cell>
          <cell r="J4074" t="str">
            <v/>
          </cell>
          <cell r="K4074" t="str">
            <v/>
          </cell>
          <cell r="L4074" t="str">
            <v/>
          </cell>
          <cell r="M4074" t="str">
            <v/>
          </cell>
        </row>
        <row r="4075">
          <cell r="A4075">
            <v>31102192</v>
          </cell>
          <cell r="C4075">
            <v>31102192</v>
          </cell>
          <cell r="D4075">
            <v>31102192</v>
          </cell>
          <cell r="E4075">
            <v>31102192</v>
          </cell>
          <cell r="F4075">
            <v>31102192</v>
          </cell>
          <cell r="G4075">
            <v>31102192</v>
          </cell>
          <cell r="H4075">
            <v>31102192</v>
          </cell>
          <cell r="I4075" t="str">
            <v/>
          </cell>
          <cell r="J4075" t="str">
            <v/>
          </cell>
          <cell r="K4075" t="str">
            <v/>
          </cell>
          <cell r="L4075" t="str">
            <v/>
          </cell>
          <cell r="M4075" t="str">
            <v/>
          </cell>
        </row>
        <row r="4076">
          <cell r="A4076">
            <v>31102192</v>
          </cell>
          <cell r="C4076">
            <v>31102192</v>
          </cell>
          <cell r="D4076">
            <v>31102192</v>
          </cell>
          <cell r="E4076">
            <v>31102192</v>
          </cell>
          <cell r="F4076">
            <v>31102192</v>
          </cell>
          <cell r="G4076">
            <v>31102192</v>
          </cell>
          <cell r="H4076">
            <v>31102192</v>
          </cell>
          <cell r="I4076" t="str">
            <v/>
          </cell>
          <cell r="J4076" t="str">
            <v/>
          </cell>
          <cell r="K4076" t="str">
            <v/>
          </cell>
          <cell r="L4076" t="str">
            <v/>
          </cell>
          <cell r="M4076" t="str">
            <v/>
          </cell>
        </row>
        <row r="4077">
          <cell r="A4077">
            <v>31102192</v>
          </cell>
          <cell r="C4077">
            <v>31102192</v>
          </cell>
          <cell r="D4077">
            <v>31102192</v>
          </cell>
          <cell r="E4077">
            <v>31102192</v>
          </cell>
          <cell r="F4077">
            <v>31102192</v>
          </cell>
          <cell r="G4077">
            <v>31102192</v>
          </cell>
          <cell r="H4077">
            <v>31102192</v>
          </cell>
          <cell r="I4077" t="str">
            <v/>
          </cell>
          <cell r="J4077" t="str">
            <v/>
          </cell>
          <cell r="K4077" t="str">
            <v/>
          </cell>
          <cell r="L4077" t="str">
            <v/>
          </cell>
          <cell r="M4077" t="str">
            <v/>
          </cell>
        </row>
        <row r="4078">
          <cell r="A4078">
            <v>31102192</v>
          </cell>
          <cell r="C4078">
            <v>31102192</v>
          </cell>
          <cell r="D4078">
            <v>31102192</v>
          </cell>
          <cell r="E4078">
            <v>31102192</v>
          </cell>
          <cell r="F4078">
            <v>31102192</v>
          </cell>
          <cell r="G4078">
            <v>31102192</v>
          </cell>
          <cell r="H4078">
            <v>31102192</v>
          </cell>
          <cell r="I4078" t="str">
            <v/>
          </cell>
          <cell r="J4078" t="str">
            <v/>
          </cell>
          <cell r="K4078" t="str">
            <v/>
          </cell>
          <cell r="L4078" t="str">
            <v/>
          </cell>
          <cell r="M4078" t="str">
            <v/>
          </cell>
        </row>
        <row r="4079">
          <cell r="A4079">
            <v>31102192</v>
          </cell>
          <cell r="C4079">
            <v>31102192</v>
          </cell>
          <cell r="D4079">
            <v>31102192</v>
          </cell>
          <cell r="E4079">
            <v>31102192</v>
          </cell>
          <cell r="F4079">
            <v>31102192</v>
          </cell>
          <cell r="G4079">
            <v>31102192</v>
          </cell>
          <cell r="H4079">
            <v>31102192</v>
          </cell>
          <cell r="I4079" t="str">
            <v/>
          </cell>
          <cell r="J4079" t="str">
            <v/>
          </cell>
          <cell r="K4079" t="str">
            <v/>
          </cell>
          <cell r="L4079" t="str">
            <v/>
          </cell>
          <cell r="M4079" t="str">
            <v/>
          </cell>
        </row>
        <row r="4080">
          <cell r="A4080">
            <v>31102192</v>
          </cell>
          <cell r="C4080">
            <v>31102192</v>
          </cell>
          <cell r="D4080">
            <v>31102192</v>
          </cell>
          <cell r="E4080">
            <v>31102192</v>
          </cell>
          <cell r="F4080">
            <v>31102192</v>
          </cell>
          <cell r="G4080">
            <v>31102192</v>
          </cell>
          <cell r="H4080">
            <v>31102192</v>
          </cell>
          <cell r="I4080" t="str">
            <v/>
          </cell>
          <cell r="J4080" t="str">
            <v/>
          </cell>
          <cell r="K4080" t="str">
            <v/>
          </cell>
          <cell r="L4080" t="str">
            <v/>
          </cell>
          <cell r="M4080" t="str">
            <v/>
          </cell>
        </row>
        <row r="4081">
          <cell r="A4081">
            <v>31102192</v>
          </cell>
          <cell r="C4081">
            <v>31102192</v>
          </cell>
          <cell r="D4081">
            <v>31102192</v>
          </cell>
          <cell r="E4081">
            <v>31102192</v>
          </cell>
          <cell r="F4081">
            <v>31102192</v>
          </cell>
          <cell r="G4081">
            <v>31102192</v>
          </cell>
          <cell r="H4081">
            <v>31102192</v>
          </cell>
          <cell r="I4081" t="str">
            <v/>
          </cell>
          <cell r="J4081" t="str">
            <v/>
          </cell>
          <cell r="K4081" t="str">
            <v/>
          </cell>
          <cell r="L4081" t="str">
            <v/>
          </cell>
          <cell r="M4081" t="str">
            <v/>
          </cell>
        </row>
        <row r="4082">
          <cell r="A4082">
            <v>31102192</v>
          </cell>
          <cell r="C4082">
            <v>31102192</v>
          </cell>
          <cell r="D4082">
            <v>31102192</v>
          </cell>
          <cell r="E4082">
            <v>31102192</v>
          </cell>
          <cell r="F4082">
            <v>31102192</v>
          </cell>
          <cell r="G4082">
            <v>31102192</v>
          </cell>
          <cell r="H4082">
            <v>31102192</v>
          </cell>
          <cell r="I4082" t="str">
            <v/>
          </cell>
          <cell r="J4082" t="str">
            <v/>
          </cell>
          <cell r="K4082" t="str">
            <v/>
          </cell>
          <cell r="L4082" t="str">
            <v/>
          </cell>
          <cell r="M4082" t="str">
            <v/>
          </cell>
        </row>
        <row r="4083">
          <cell r="A4083">
            <v>31102192</v>
          </cell>
          <cell r="C4083">
            <v>31102192</v>
          </cell>
          <cell r="D4083">
            <v>31102192</v>
          </cell>
          <cell r="E4083">
            <v>31102192</v>
          </cell>
          <cell r="F4083">
            <v>31102192</v>
          </cell>
          <cell r="G4083">
            <v>31102192</v>
          </cell>
          <cell r="H4083">
            <v>31102192</v>
          </cell>
          <cell r="I4083" t="str">
            <v/>
          </cell>
          <cell r="J4083" t="str">
            <v/>
          </cell>
          <cell r="K4083" t="str">
            <v/>
          </cell>
          <cell r="L4083" t="str">
            <v/>
          </cell>
          <cell r="M4083" t="str">
            <v/>
          </cell>
        </row>
        <row r="4084">
          <cell r="A4084">
            <v>31102192</v>
          </cell>
          <cell r="C4084">
            <v>31102192</v>
          </cell>
          <cell r="D4084">
            <v>31102192</v>
          </cell>
          <cell r="E4084">
            <v>31102192</v>
          </cell>
          <cell r="F4084">
            <v>31102192</v>
          </cell>
          <cell r="G4084">
            <v>31102192</v>
          </cell>
          <cell r="H4084">
            <v>31102192</v>
          </cell>
          <cell r="I4084" t="str">
            <v/>
          </cell>
          <cell r="J4084" t="str">
            <v/>
          </cell>
          <cell r="K4084" t="str">
            <v/>
          </cell>
          <cell r="L4084" t="str">
            <v/>
          </cell>
          <cell r="M4084" t="str">
            <v/>
          </cell>
        </row>
        <row r="4085">
          <cell r="A4085">
            <v>31102192</v>
          </cell>
          <cell r="C4085">
            <v>31102192</v>
          </cell>
          <cell r="D4085">
            <v>31102192</v>
          </cell>
          <cell r="E4085">
            <v>31102192</v>
          </cell>
          <cell r="F4085">
            <v>31102192</v>
          </cell>
          <cell r="G4085">
            <v>31102192</v>
          </cell>
          <cell r="H4085">
            <v>31102192</v>
          </cell>
          <cell r="I4085" t="str">
            <v/>
          </cell>
          <cell r="J4085" t="str">
            <v/>
          </cell>
          <cell r="K4085" t="str">
            <v/>
          </cell>
          <cell r="L4085" t="str">
            <v/>
          </cell>
          <cell r="M4085" t="str">
            <v/>
          </cell>
        </row>
        <row r="4086">
          <cell r="A4086">
            <v>31102192</v>
          </cell>
          <cell r="C4086">
            <v>31102192</v>
          </cell>
          <cell r="D4086">
            <v>31102192</v>
          </cell>
          <cell r="E4086">
            <v>31102192</v>
          </cell>
          <cell r="F4086">
            <v>31102192</v>
          </cell>
          <cell r="G4086">
            <v>31102192</v>
          </cell>
          <cell r="H4086">
            <v>31102192</v>
          </cell>
          <cell r="I4086" t="str">
            <v/>
          </cell>
          <cell r="J4086" t="str">
            <v/>
          </cell>
          <cell r="K4086" t="str">
            <v/>
          </cell>
          <cell r="L4086" t="str">
            <v/>
          </cell>
          <cell r="M4086" t="str">
            <v/>
          </cell>
        </row>
        <row r="4087">
          <cell r="A4087">
            <v>31102192</v>
          </cell>
          <cell r="C4087">
            <v>31102192</v>
          </cell>
          <cell r="D4087">
            <v>31102192</v>
          </cell>
          <cell r="E4087">
            <v>31102192</v>
          </cell>
          <cell r="F4087">
            <v>31102192</v>
          </cell>
          <cell r="G4087">
            <v>31102192</v>
          </cell>
          <cell r="H4087">
            <v>31102192</v>
          </cell>
          <cell r="I4087" t="str">
            <v/>
          </cell>
          <cell r="J4087" t="str">
            <v/>
          </cell>
          <cell r="K4087" t="str">
            <v/>
          </cell>
          <cell r="L4087" t="str">
            <v/>
          </cell>
          <cell r="M4087" t="str">
            <v/>
          </cell>
        </row>
        <row r="4088">
          <cell r="A4088">
            <v>31102192</v>
          </cell>
          <cell r="C4088">
            <v>31102192</v>
          </cell>
          <cell r="D4088">
            <v>31102192</v>
          </cell>
          <cell r="E4088">
            <v>31102192</v>
          </cell>
          <cell r="F4088">
            <v>31102192</v>
          </cell>
          <cell r="G4088">
            <v>31102192</v>
          </cell>
          <cell r="H4088">
            <v>31102192</v>
          </cell>
          <cell r="I4088" t="str">
            <v/>
          </cell>
          <cell r="J4088" t="str">
            <v/>
          </cell>
          <cell r="K4088" t="str">
            <v/>
          </cell>
          <cell r="L4088" t="str">
            <v/>
          </cell>
          <cell r="M4088" t="str">
            <v/>
          </cell>
        </row>
        <row r="4089">
          <cell r="A4089">
            <v>31102192</v>
          </cell>
          <cell r="C4089">
            <v>31102192</v>
          </cell>
          <cell r="D4089">
            <v>31102192</v>
          </cell>
          <cell r="E4089">
            <v>31102192</v>
          </cell>
          <cell r="F4089">
            <v>31102192</v>
          </cell>
          <cell r="G4089">
            <v>31102192</v>
          </cell>
          <cell r="H4089">
            <v>31102192</v>
          </cell>
          <cell r="I4089" t="str">
            <v/>
          </cell>
          <cell r="J4089" t="str">
            <v/>
          </cell>
          <cell r="K4089" t="str">
            <v/>
          </cell>
          <cell r="L4089" t="str">
            <v/>
          </cell>
          <cell r="M4089" t="str">
            <v/>
          </cell>
        </row>
        <row r="4090">
          <cell r="A4090">
            <v>31102192</v>
          </cell>
          <cell r="C4090">
            <v>31102192</v>
          </cell>
          <cell r="D4090">
            <v>31102192</v>
          </cell>
          <cell r="E4090">
            <v>31102192</v>
          </cell>
          <cell r="F4090">
            <v>31102192</v>
          </cell>
          <cell r="G4090">
            <v>31102192</v>
          </cell>
          <cell r="H4090">
            <v>31102192</v>
          </cell>
          <cell r="I4090" t="str">
            <v/>
          </cell>
          <cell r="J4090" t="str">
            <v/>
          </cell>
          <cell r="K4090" t="str">
            <v/>
          </cell>
          <cell r="L4090" t="str">
            <v/>
          </cell>
          <cell r="M4090" t="str">
            <v/>
          </cell>
        </row>
        <row r="4091">
          <cell r="A4091">
            <v>31102192</v>
          </cell>
          <cell r="C4091">
            <v>31102192</v>
          </cell>
          <cell r="D4091">
            <v>31102192</v>
          </cell>
          <cell r="E4091">
            <v>31102192</v>
          </cell>
          <cell r="F4091">
            <v>31102192</v>
          </cell>
          <cell r="G4091">
            <v>31102192</v>
          </cell>
          <cell r="H4091">
            <v>31102192</v>
          </cell>
          <cell r="I4091" t="str">
            <v/>
          </cell>
          <cell r="J4091" t="str">
            <v/>
          </cell>
          <cell r="K4091" t="str">
            <v/>
          </cell>
          <cell r="L4091" t="str">
            <v/>
          </cell>
          <cell r="M4091" t="str">
            <v/>
          </cell>
        </row>
        <row r="4092">
          <cell r="A4092">
            <v>31102192</v>
          </cell>
          <cell r="C4092">
            <v>31102192</v>
          </cell>
          <cell r="D4092">
            <v>31102192</v>
          </cell>
          <cell r="E4092">
            <v>31102192</v>
          </cell>
          <cell r="F4092">
            <v>31102192</v>
          </cell>
          <cell r="G4092">
            <v>31102192</v>
          </cell>
          <cell r="H4092">
            <v>31102192</v>
          </cell>
          <cell r="I4092" t="str">
            <v/>
          </cell>
          <cell r="J4092" t="str">
            <v/>
          </cell>
          <cell r="K4092" t="str">
            <v/>
          </cell>
          <cell r="L4092" t="str">
            <v/>
          </cell>
          <cell r="M4092" t="str">
            <v/>
          </cell>
        </row>
        <row r="4093">
          <cell r="A4093">
            <v>31102192</v>
          </cell>
          <cell r="C4093">
            <v>31102192</v>
          </cell>
          <cell r="D4093">
            <v>31102192</v>
          </cell>
          <cell r="E4093">
            <v>31102192</v>
          </cell>
          <cell r="F4093">
            <v>31102192</v>
          </cell>
          <cell r="G4093">
            <v>31102192</v>
          </cell>
          <cell r="H4093">
            <v>31102192</v>
          </cell>
          <cell r="I4093" t="str">
            <v/>
          </cell>
          <cell r="J4093" t="str">
            <v/>
          </cell>
          <cell r="K4093" t="str">
            <v/>
          </cell>
          <cell r="L4093" t="str">
            <v/>
          </cell>
          <cell r="M4093" t="str">
            <v/>
          </cell>
        </row>
        <row r="4094">
          <cell r="A4094">
            <v>31102192</v>
          </cell>
          <cell r="C4094">
            <v>31102192</v>
          </cell>
          <cell r="D4094">
            <v>31102192</v>
          </cell>
          <cell r="E4094">
            <v>31102192</v>
          </cell>
          <cell r="F4094">
            <v>31102192</v>
          </cell>
          <cell r="G4094">
            <v>31102192</v>
          </cell>
          <cell r="H4094">
            <v>31102192</v>
          </cell>
          <cell r="I4094" t="str">
            <v/>
          </cell>
          <cell r="J4094" t="str">
            <v/>
          </cell>
          <cell r="K4094" t="str">
            <v/>
          </cell>
          <cell r="L4094" t="str">
            <v/>
          </cell>
          <cell r="M4094" t="str">
            <v/>
          </cell>
        </row>
        <row r="4095">
          <cell r="A4095">
            <v>31102192</v>
          </cell>
          <cell r="C4095">
            <v>31102192</v>
          </cell>
          <cell r="D4095">
            <v>31102192</v>
          </cell>
          <cell r="E4095">
            <v>31102192</v>
          </cell>
          <cell r="F4095">
            <v>31102192</v>
          </cell>
          <cell r="G4095">
            <v>31102192</v>
          </cell>
          <cell r="H4095">
            <v>31102192</v>
          </cell>
          <cell r="I4095" t="str">
            <v/>
          </cell>
          <cell r="J4095" t="str">
            <v/>
          </cell>
          <cell r="K4095" t="str">
            <v/>
          </cell>
          <cell r="L4095" t="str">
            <v/>
          </cell>
          <cell r="M4095" t="str">
            <v/>
          </cell>
        </row>
        <row r="4096">
          <cell r="A4096">
            <v>31102192</v>
          </cell>
          <cell r="C4096">
            <v>31102192</v>
          </cell>
          <cell r="D4096">
            <v>31102192</v>
          </cell>
          <cell r="E4096">
            <v>31102192</v>
          </cell>
          <cell r="F4096">
            <v>31102192</v>
          </cell>
          <cell r="G4096">
            <v>31102192</v>
          </cell>
          <cell r="H4096">
            <v>31102192</v>
          </cell>
          <cell r="I4096" t="str">
            <v/>
          </cell>
          <cell r="J4096" t="str">
            <v/>
          </cell>
          <cell r="K4096" t="str">
            <v/>
          </cell>
          <cell r="L4096" t="str">
            <v/>
          </cell>
          <cell r="M4096" t="str">
            <v/>
          </cell>
        </row>
        <row r="4097">
          <cell r="A4097">
            <v>31102192</v>
          </cell>
          <cell r="C4097">
            <v>31102192</v>
          </cell>
          <cell r="D4097">
            <v>31102192</v>
          </cell>
          <cell r="E4097">
            <v>31102192</v>
          </cell>
          <cell r="F4097">
            <v>31102192</v>
          </cell>
          <cell r="G4097">
            <v>31102192</v>
          </cell>
          <cell r="H4097">
            <v>31102192</v>
          </cell>
          <cell r="I4097" t="str">
            <v/>
          </cell>
          <cell r="J4097" t="str">
            <v/>
          </cell>
          <cell r="K4097" t="str">
            <v/>
          </cell>
          <cell r="L4097" t="str">
            <v/>
          </cell>
          <cell r="M4097" t="str">
            <v/>
          </cell>
        </row>
        <row r="4098">
          <cell r="A4098">
            <v>31102192</v>
          </cell>
          <cell r="C4098">
            <v>31102192</v>
          </cell>
          <cell r="D4098">
            <v>31102192</v>
          </cell>
          <cell r="E4098">
            <v>31102192</v>
          </cell>
          <cell r="F4098">
            <v>31102192</v>
          </cell>
          <cell r="G4098">
            <v>31102192</v>
          </cell>
          <cell r="H4098">
            <v>31102192</v>
          </cell>
          <cell r="I4098" t="str">
            <v/>
          </cell>
          <cell r="J4098" t="str">
            <v/>
          </cell>
          <cell r="K4098" t="str">
            <v/>
          </cell>
          <cell r="L4098" t="str">
            <v/>
          </cell>
          <cell r="M4098" t="str">
            <v/>
          </cell>
        </row>
        <row r="4099">
          <cell r="A4099">
            <v>31102192</v>
          </cell>
          <cell r="C4099">
            <v>31102192</v>
          </cell>
          <cell r="D4099">
            <v>31102192</v>
          </cell>
          <cell r="E4099">
            <v>31102192</v>
          </cell>
          <cell r="F4099">
            <v>31102192</v>
          </cell>
          <cell r="G4099">
            <v>31102192</v>
          </cell>
          <cell r="H4099">
            <v>31102192</v>
          </cell>
          <cell r="I4099" t="str">
            <v/>
          </cell>
          <cell r="J4099" t="str">
            <v/>
          </cell>
          <cell r="K4099" t="str">
            <v/>
          </cell>
          <cell r="L4099" t="str">
            <v/>
          </cell>
          <cell r="M4099" t="str">
            <v/>
          </cell>
        </row>
        <row r="4100">
          <cell r="A4100">
            <v>31102192</v>
          </cell>
          <cell r="C4100">
            <v>31102192</v>
          </cell>
          <cell r="D4100">
            <v>31102192</v>
          </cell>
          <cell r="E4100">
            <v>31102192</v>
          </cell>
          <cell r="F4100">
            <v>31102192</v>
          </cell>
          <cell r="G4100">
            <v>31102192</v>
          </cell>
          <cell r="H4100">
            <v>31102192</v>
          </cell>
          <cell r="I4100" t="str">
            <v/>
          </cell>
          <cell r="J4100" t="str">
            <v/>
          </cell>
          <cell r="K4100" t="str">
            <v/>
          </cell>
          <cell r="L4100" t="str">
            <v/>
          </cell>
          <cell r="M4100" t="str">
            <v/>
          </cell>
        </row>
        <row r="4101">
          <cell r="A4101">
            <v>31102192</v>
          </cell>
          <cell r="C4101">
            <v>31102192</v>
          </cell>
          <cell r="D4101">
            <v>31102192</v>
          </cell>
          <cell r="E4101">
            <v>31102192</v>
          </cell>
          <cell r="F4101">
            <v>31102192</v>
          </cell>
          <cell r="G4101">
            <v>31102192</v>
          </cell>
          <cell r="H4101">
            <v>31102192</v>
          </cell>
          <cell r="I4101" t="str">
            <v/>
          </cell>
          <cell r="J4101" t="str">
            <v/>
          </cell>
          <cell r="K4101" t="str">
            <v/>
          </cell>
          <cell r="L4101" t="str">
            <v/>
          </cell>
          <cell r="M4101" t="str">
            <v/>
          </cell>
        </row>
        <row r="4102">
          <cell r="A4102">
            <v>31102192</v>
          </cell>
          <cell r="C4102">
            <v>31102192</v>
          </cell>
          <cell r="D4102">
            <v>31102192</v>
          </cell>
          <cell r="E4102">
            <v>31102192</v>
          </cell>
          <cell r="F4102">
            <v>31102192</v>
          </cell>
          <cell r="G4102">
            <v>31102192</v>
          </cell>
          <cell r="H4102">
            <v>31102192</v>
          </cell>
          <cell r="I4102" t="str">
            <v/>
          </cell>
          <cell r="J4102" t="str">
            <v/>
          </cell>
          <cell r="K4102" t="str">
            <v/>
          </cell>
          <cell r="L4102" t="str">
            <v/>
          </cell>
          <cell r="M4102" t="str">
            <v/>
          </cell>
        </row>
        <row r="4103">
          <cell r="A4103">
            <v>31102192</v>
          </cell>
          <cell r="C4103">
            <v>31102192</v>
          </cell>
          <cell r="D4103">
            <v>31102192</v>
          </cell>
          <cell r="E4103">
            <v>31102192</v>
          </cell>
          <cell r="F4103">
            <v>31102192</v>
          </cell>
          <cell r="G4103">
            <v>31102192</v>
          </cell>
          <cell r="H4103">
            <v>31102192</v>
          </cell>
          <cell r="I4103" t="str">
            <v/>
          </cell>
          <cell r="J4103" t="str">
            <v/>
          </cell>
          <cell r="K4103" t="str">
            <v/>
          </cell>
          <cell r="L4103" t="str">
            <v/>
          </cell>
          <cell r="M4103" t="str">
            <v/>
          </cell>
        </row>
        <row r="4104">
          <cell r="A4104">
            <v>31102192</v>
          </cell>
          <cell r="C4104">
            <v>31102192</v>
          </cell>
          <cell r="D4104">
            <v>31102192</v>
          </cell>
          <cell r="E4104">
            <v>31102192</v>
          </cell>
          <cell r="F4104">
            <v>31102192</v>
          </cell>
          <cell r="G4104">
            <v>31102192</v>
          </cell>
          <cell r="H4104">
            <v>31102192</v>
          </cell>
          <cell r="I4104" t="str">
            <v/>
          </cell>
          <cell r="J4104" t="str">
            <v/>
          </cell>
          <cell r="K4104" t="str">
            <v/>
          </cell>
          <cell r="L4104" t="str">
            <v/>
          </cell>
          <cell r="M4104" t="str">
            <v/>
          </cell>
        </row>
        <row r="4105">
          <cell r="A4105">
            <v>31102192</v>
          </cell>
          <cell r="C4105">
            <v>31102192</v>
          </cell>
          <cell r="D4105">
            <v>31102192</v>
          </cell>
          <cell r="E4105">
            <v>31102192</v>
          </cell>
          <cell r="F4105">
            <v>31102192</v>
          </cell>
          <cell r="G4105">
            <v>31102192</v>
          </cell>
          <cell r="H4105">
            <v>31102192</v>
          </cell>
          <cell r="I4105" t="str">
            <v/>
          </cell>
          <cell r="J4105" t="str">
            <v/>
          </cell>
          <cell r="K4105" t="str">
            <v/>
          </cell>
          <cell r="L4105" t="str">
            <v/>
          </cell>
          <cell r="M4105" t="str">
            <v/>
          </cell>
        </row>
        <row r="4106">
          <cell r="A4106">
            <v>31102192</v>
          </cell>
          <cell r="C4106">
            <v>31102192</v>
          </cell>
          <cell r="D4106">
            <v>31102192</v>
          </cell>
          <cell r="E4106">
            <v>31102192</v>
          </cell>
          <cell r="F4106">
            <v>31102192</v>
          </cell>
          <cell r="G4106">
            <v>31102192</v>
          </cell>
          <cell r="H4106">
            <v>31102192</v>
          </cell>
          <cell r="I4106" t="str">
            <v/>
          </cell>
          <cell r="J4106" t="str">
            <v/>
          </cell>
          <cell r="K4106" t="str">
            <v/>
          </cell>
          <cell r="L4106" t="str">
            <v/>
          </cell>
          <cell r="M4106" t="str">
            <v/>
          </cell>
        </row>
        <row r="4107">
          <cell r="A4107">
            <v>31102192</v>
          </cell>
          <cell r="C4107">
            <v>31102192</v>
          </cell>
          <cell r="D4107">
            <v>31102192</v>
          </cell>
          <cell r="E4107">
            <v>31102192</v>
          </cell>
          <cell r="F4107">
            <v>31102192</v>
          </cell>
          <cell r="G4107">
            <v>31102192</v>
          </cell>
          <cell r="H4107">
            <v>31102192</v>
          </cell>
          <cell r="I4107" t="str">
            <v/>
          </cell>
          <cell r="J4107" t="str">
            <v/>
          </cell>
          <cell r="K4107" t="str">
            <v/>
          </cell>
          <cell r="L4107" t="str">
            <v/>
          </cell>
          <cell r="M4107" t="str">
            <v/>
          </cell>
        </row>
        <row r="4108">
          <cell r="A4108">
            <v>31102192</v>
          </cell>
          <cell r="C4108">
            <v>31102192</v>
          </cell>
          <cell r="D4108">
            <v>31102192</v>
          </cell>
          <cell r="E4108">
            <v>31102192</v>
          </cell>
          <cell r="F4108">
            <v>31102192</v>
          </cell>
          <cell r="G4108">
            <v>31102192</v>
          </cell>
          <cell r="H4108">
            <v>31102192</v>
          </cell>
          <cell r="I4108" t="str">
            <v/>
          </cell>
          <cell r="J4108" t="str">
            <v/>
          </cell>
          <cell r="K4108" t="str">
            <v/>
          </cell>
          <cell r="L4108" t="str">
            <v/>
          </cell>
          <cell r="M4108" t="str">
            <v/>
          </cell>
        </row>
        <row r="4109">
          <cell r="A4109">
            <v>31102192</v>
          </cell>
          <cell r="C4109">
            <v>31102192</v>
          </cell>
          <cell r="D4109">
            <v>31102192</v>
          </cell>
          <cell r="E4109">
            <v>31102192</v>
          </cell>
          <cell r="F4109">
            <v>31102192</v>
          </cell>
          <cell r="G4109">
            <v>31102192</v>
          </cell>
          <cell r="H4109">
            <v>31102192</v>
          </cell>
          <cell r="I4109" t="str">
            <v/>
          </cell>
          <cell r="J4109" t="str">
            <v/>
          </cell>
          <cell r="K4109" t="str">
            <v/>
          </cell>
          <cell r="L4109" t="str">
            <v/>
          </cell>
          <cell r="M4109" t="str">
            <v/>
          </cell>
        </row>
        <row r="4110">
          <cell r="A4110">
            <v>31102192</v>
          </cell>
          <cell r="C4110">
            <v>31102192</v>
          </cell>
          <cell r="D4110">
            <v>31102192</v>
          </cell>
          <cell r="E4110">
            <v>31102192</v>
          </cell>
          <cell r="F4110">
            <v>31102192</v>
          </cell>
          <cell r="G4110">
            <v>31102192</v>
          </cell>
          <cell r="H4110">
            <v>31102192</v>
          </cell>
          <cell r="I4110" t="str">
            <v/>
          </cell>
          <cell r="J4110" t="str">
            <v/>
          </cell>
          <cell r="K4110" t="str">
            <v/>
          </cell>
          <cell r="L4110" t="str">
            <v/>
          </cell>
          <cell r="M4110" t="str">
            <v/>
          </cell>
        </row>
        <row r="4111">
          <cell r="A4111">
            <v>31102192</v>
          </cell>
          <cell r="C4111">
            <v>31102192</v>
          </cell>
          <cell r="D4111">
            <v>31102192</v>
          </cell>
          <cell r="E4111">
            <v>31102192</v>
          </cell>
          <cell r="F4111">
            <v>31102192</v>
          </cell>
          <cell r="G4111">
            <v>31102192</v>
          </cell>
          <cell r="H4111">
            <v>31102192</v>
          </cell>
          <cell r="I4111" t="str">
            <v/>
          </cell>
          <cell r="J4111" t="str">
            <v/>
          </cell>
          <cell r="K4111" t="str">
            <v/>
          </cell>
          <cell r="L4111" t="str">
            <v/>
          </cell>
          <cell r="M4111" t="str">
            <v/>
          </cell>
        </row>
        <row r="4112">
          <cell r="A4112">
            <v>31102192</v>
          </cell>
          <cell r="C4112">
            <v>31102192</v>
          </cell>
          <cell r="D4112">
            <v>31102192</v>
          </cell>
          <cell r="E4112">
            <v>31102192</v>
          </cell>
          <cell r="F4112">
            <v>31102192</v>
          </cell>
          <cell r="G4112">
            <v>31102192</v>
          </cell>
          <cell r="H4112">
            <v>31102192</v>
          </cell>
          <cell r="I4112" t="str">
            <v/>
          </cell>
          <cell r="J4112" t="str">
            <v/>
          </cell>
          <cell r="K4112" t="str">
            <v/>
          </cell>
          <cell r="L4112" t="str">
            <v/>
          </cell>
          <cell r="M4112" t="str">
            <v/>
          </cell>
        </row>
        <row r="4113">
          <cell r="A4113">
            <v>31102192</v>
          </cell>
          <cell r="C4113">
            <v>31102192</v>
          </cell>
          <cell r="D4113">
            <v>31102192</v>
          </cell>
          <cell r="E4113">
            <v>31102192</v>
          </cell>
          <cell r="F4113">
            <v>31102192</v>
          </cell>
          <cell r="G4113">
            <v>31102192</v>
          </cell>
          <cell r="H4113">
            <v>31102192</v>
          </cell>
          <cell r="I4113" t="str">
            <v/>
          </cell>
          <cell r="J4113" t="str">
            <v/>
          </cell>
          <cell r="K4113" t="str">
            <v/>
          </cell>
          <cell r="L4113" t="str">
            <v/>
          </cell>
          <cell r="M4113" t="str">
            <v/>
          </cell>
        </row>
        <row r="4114">
          <cell r="A4114">
            <v>31102192</v>
          </cell>
          <cell r="C4114">
            <v>31102192</v>
          </cell>
          <cell r="D4114">
            <v>31102192</v>
          </cell>
          <cell r="E4114">
            <v>31102192</v>
          </cell>
          <cell r="F4114">
            <v>31102192</v>
          </cell>
          <cell r="G4114">
            <v>31102192</v>
          </cell>
          <cell r="H4114">
            <v>31102192</v>
          </cell>
          <cell r="I4114" t="str">
            <v/>
          </cell>
          <cell r="J4114" t="str">
            <v/>
          </cell>
          <cell r="K4114" t="str">
            <v/>
          </cell>
          <cell r="L4114" t="str">
            <v/>
          </cell>
          <cell r="M4114" t="str">
            <v/>
          </cell>
        </row>
        <row r="4115">
          <cell r="A4115">
            <v>31102192</v>
          </cell>
          <cell r="C4115">
            <v>31102192</v>
          </cell>
          <cell r="D4115">
            <v>31102192</v>
          </cell>
          <cell r="E4115">
            <v>31102192</v>
          </cell>
          <cell r="F4115">
            <v>31102192</v>
          </cell>
          <cell r="G4115">
            <v>31102192</v>
          </cell>
          <cell r="H4115">
            <v>31102192</v>
          </cell>
          <cell r="I4115" t="str">
            <v/>
          </cell>
          <cell r="J4115" t="str">
            <v/>
          </cell>
          <cell r="K4115" t="str">
            <v/>
          </cell>
          <cell r="L4115" t="str">
            <v/>
          </cell>
          <cell r="M4115" t="str">
            <v/>
          </cell>
        </row>
        <row r="4116">
          <cell r="A4116">
            <v>31102192</v>
          </cell>
          <cell r="C4116">
            <v>31102192</v>
          </cell>
          <cell r="D4116">
            <v>31102192</v>
          </cell>
          <cell r="E4116">
            <v>31102192</v>
          </cell>
          <cell r="F4116">
            <v>31102192</v>
          </cell>
          <cell r="G4116">
            <v>31102192</v>
          </cell>
          <cell r="H4116">
            <v>31102192</v>
          </cell>
          <cell r="I4116" t="str">
            <v/>
          </cell>
          <cell r="J4116" t="str">
            <v/>
          </cell>
          <cell r="K4116" t="str">
            <v/>
          </cell>
          <cell r="L4116" t="str">
            <v/>
          </cell>
          <cell r="M4116" t="str">
            <v/>
          </cell>
        </row>
        <row r="4117">
          <cell r="A4117">
            <v>31102192</v>
          </cell>
          <cell r="C4117">
            <v>31102192</v>
          </cell>
          <cell r="D4117">
            <v>31102192</v>
          </cell>
          <cell r="E4117">
            <v>31102192</v>
          </cell>
          <cell r="F4117">
            <v>31102192</v>
          </cell>
          <cell r="G4117">
            <v>31102192</v>
          </cell>
          <cell r="H4117">
            <v>31102192</v>
          </cell>
          <cell r="I4117" t="str">
            <v/>
          </cell>
          <cell r="J4117" t="str">
            <v/>
          </cell>
          <cell r="K4117" t="str">
            <v/>
          </cell>
          <cell r="L4117" t="str">
            <v/>
          </cell>
          <cell r="M4117" t="str">
            <v/>
          </cell>
        </row>
        <row r="4118">
          <cell r="A4118">
            <v>31102192</v>
          </cell>
          <cell r="C4118">
            <v>31102192</v>
          </cell>
          <cell r="D4118">
            <v>31102192</v>
          </cell>
          <cell r="E4118">
            <v>31102192</v>
          </cell>
          <cell r="F4118">
            <v>31102192</v>
          </cell>
          <cell r="G4118">
            <v>31102192</v>
          </cell>
          <cell r="H4118">
            <v>31102192</v>
          </cell>
          <cell r="I4118" t="str">
            <v/>
          </cell>
          <cell r="J4118" t="str">
            <v/>
          </cell>
          <cell r="K4118" t="str">
            <v/>
          </cell>
          <cell r="L4118" t="str">
            <v/>
          </cell>
          <cell r="M4118" t="str">
            <v/>
          </cell>
        </row>
        <row r="4119">
          <cell r="A4119">
            <v>31102192</v>
          </cell>
          <cell r="C4119">
            <v>31102192</v>
          </cell>
          <cell r="D4119">
            <v>31102192</v>
          </cell>
          <cell r="E4119">
            <v>31102192</v>
          </cell>
          <cell r="F4119">
            <v>31102192</v>
          </cell>
          <cell r="G4119">
            <v>31102192</v>
          </cell>
          <cell r="H4119">
            <v>31102192</v>
          </cell>
          <cell r="I4119" t="str">
            <v/>
          </cell>
          <cell r="J4119" t="str">
            <v/>
          </cell>
          <cell r="K4119" t="str">
            <v/>
          </cell>
          <cell r="L4119" t="str">
            <v/>
          </cell>
          <cell r="M4119" t="str">
            <v/>
          </cell>
        </row>
        <row r="4120">
          <cell r="A4120">
            <v>31102192</v>
          </cell>
          <cell r="C4120">
            <v>31102192</v>
          </cell>
          <cell r="D4120">
            <v>31102192</v>
          </cell>
          <cell r="E4120">
            <v>31102192</v>
          </cell>
          <cell r="F4120">
            <v>31102192</v>
          </cell>
          <cell r="G4120">
            <v>31102192</v>
          </cell>
          <cell r="H4120">
            <v>31102192</v>
          </cell>
          <cell r="I4120" t="str">
            <v/>
          </cell>
          <cell r="J4120" t="str">
            <v/>
          </cell>
          <cell r="K4120" t="str">
            <v/>
          </cell>
          <cell r="L4120" t="str">
            <v/>
          </cell>
          <cell r="M4120" t="str">
            <v/>
          </cell>
        </row>
        <row r="4121">
          <cell r="A4121">
            <v>31102192</v>
          </cell>
          <cell r="C4121">
            <v>31102192</v>
          </cell>
          <cell r="D4121">
            <v>31102192</v>
          </cell>
          <cell r="E4121">
            <v>31102192</v>
          </cell>
          <cell r="F4121">
            <v>31102192</v>
          </cell>
          <cell r="G4121">
            <v>31102192</v>
          </cell>
          <cell r="H4121">
            <v>31102192</v>
          </cell>
          <cell r="I4121" t="str">
            <v/>
          </cell>
          <cell r="J4121" t="str">
            <v/>
          </cell>
          <cell r="K4121" t="str">
            <v/>
          </cell>
          <cell r="L4121" t="str">
            <v/>
          </cell>
          <cell r="M4121" t="str">
            <v/>
          </cell>
        </row>
        <row r="4122">
          <cell r="A4122">
            <v>31102192</v>
          </cell>
          <cell r="C4122">
            <v>31102192</v>
          </cell>
          <cell r="D4122">
            <v>31102192</v>
          </cell>
          <cell r="E4122">
            <v>31102192</v>
          </cell>
          <cell r="F4122">
            <v>31102192</v>
          </cell>
          <cell r="G4122">
            <v>31102192</v>
          </cell>
          <cell r="H4122">
            <v>31102192</v>
          </cell>
          <cell r="I4122" t="str">
            <v/>
          </cell>
          <cell r="J4122" t="str">
            <v/>
          </cell>
          <cell r="K4122" t="str">
            <v/>
          </cell>
          <cell r="L4122" t="str">
            <v/>
          </cell>
          <cell r="M4122" t="str">
            <v/>
          </cell>
        </row>
        <row r="4123">
          <cell r="A4123">
            <v>31102192</v>
          </cell>
          <cell r="C4123">
            <v>31102192</v>
          </cell>
          <cell r="D4123">
            <v>31102192</v>
          </cell>
          <cell r="E4123">
            <v>31102192</v>
          </cell>
          <cell r="F4123">
            <v>31102192</v>
          </cell>
          <cell r="G4123">
            <v>31102192</v>
          </cell>
          <cell r="H4123">
            <v>31102192</v>
          </cell>
          <cell r="I4123" t="str">
            <v/>
          </cell>
          <cell r="J4123" t="str">
            <v/>
          </cell>
          <cell r="K4123" t="str">
            <v/>
          </cell>
          <cell r="L4123" t="str">
            <v/>
          </cell>
          <cell r="M4123" t="str">
            <v/>
          </cell>
        </row>
        <row r="4124">
          <cell r="A4124">
            <v>31102192</v>
          </cell>
          <cell r="C4124">
            <v>31102192</v>
          </cell>
          <cell r="D4124">
            <v>31102192</v>
          </cell>
          <cell r="E4124">
            <v>31102192</v>
          </cell>
          <cell r="F4124">
            <v>31102192</v>
          </cell>
          <cell r="G4124">
            <v>31102192</v>
          </cell>
          <cell r="H4124">
            <v>31102192</v>
          </cell>
          <cell r="I4124" t="str">
            <v/>
          </cell>
          <cell r="J4124" t="str">
            <v/>
          </cell>
          <cell r="K4124" t="str">
            <v/>
          </cell>
          <cell r="L4124" t="str">
            <v/>
          </cell>
          <cell r="M4124" t="str">
            <v/>
          </cell>
        </row>
        <row r="4125">
          <cell r="A4125">
            <v>31102192</v>
          </cell>
          <cell r="C4125">
            <v>31102192</v>
          </cell>
          <cell r="D4125">
            <v>31102192</v>
          </cell>
          <cell r="E4125">
            <v>31102192</v>
          </cell>
          <cell r="F4125">
            <v>31102192</v>
          </cell>
          <cell r="G4125">
            <v>31102192</v>
          </cell>
          <cell r="H4125">
            <v>31102192</v>
          </cell>
          <cell r="I4125" t="str">
            <v/>
          </cell>
          <cell r="J4125" t="str">
            <v/>
          </cell>
          <cell r="K4125" t="str">
            <v/>
          </cell>
          <cell r="L4125" t="str">
            <v/>
          </cell>
          <cell r="M4125" t="str">
            <v/>
          </cell>
        </row>
        <row r="4126">
          <cell r="A4126">
            <v>31102192</v>
          </cell>
          <cell r="C4126">
            <v>31102192</v>
          </cell>
          <cell r="D4126">
            <v>31102192</v>
          </cell>
          <cell r="E4126">
            <v>31102192</v>
          </cell>
          <cell r="F4126">
            <v>31102192</v>
          </cell>
          <cell r="G4126">
            <v>31102192</v>
          </cell>
          <cell r="H4126">
            <v>31102192</v>
          </cell>
          <cell r="I4126" t="str">
            <v/>
          </cell>
          <cell r="J4126" t="str">
            <v/>
          </cell>
          <cell r="K4126" t="str">
            <v/>
          </cell>
          <cell r="L4126" t="str">
            <v/>
          </cell>
          <cell r="M4126" t="str">
            <v/>
          </cell>
        </row>
        <row r="4127">
          <cell r="A4127">
            <v>31102192</v>
          </cell>
          <cell r="C4127">
            <v>31102192</v>
          </cell>
          <cell r="D4127">
            <v>31102192</v>
          </cell>
          <cell r="E4127">
            <v>31102192</v>
          </cell>
          <cell r="F4127">
            <v>31102192</v>
          </cell>
          <cell r="G4127">
            <v>31102192</v>
          </cell>
          <cell r="H4127">
            <v>31102192</v>
          </cell>
          <cell r="I4127" t="str">
            <v/>
          </cell>
          <cell r="J4127" t="str">
            <v/>
          </cell>
          <cell r="K4127" t="str">
            <v/>
          </cell>
          <cell r="L4127" t="str">
            <v/>
          </cell>
          <cell r="M4127" t="str">
            <v/>
          </cell>
        </row>
        <row r="4128">
          <cell r="A4128">
            <v>31102192</v>
          </cell>
          <cell r="C4128">
            <v>31102192</v>
          </cell>
          <cell r="D4128">
            <v>31102192</v>
          </cell>
          <cell r="E4128">
            <v>31102192</v>
          </cell>
          <cell r="F4128">
            <v>31102192</v>
          </cell>
          <cell r="G4128">
            <v>31102192</v>
          </cell>
          <cell r="H4128">
            <v>31102192</v>
          </cell>
          <cell r="I4128" t="str">
            <v/>
          </cell>
          <cell r="J4128" t="str">
            <v/>
          </cell>
          <cell r="K4128" t="str">
            <v/>
          </cell>
          <cell r="L4128" t="str">
            <v/>
          </cell>
          <cell r="M4128" t="str">
            <v/>
          </cell>
        </row>
        <row r="4129">
          <cell r="A4129">
            <v>31102192</v>
          </cell>
          <cell r="C4129">
            <v>31102192</v>
          </cell>
          <cell r="D4129">
            <v>31102192</v>
          </cell>
          <cell r="E4129">
            <v>31102192</v>
          </cell>
          <cell r="F4129">
            <v>31102192</v>
          </cell>
          <cell r="G4129">
            <v>31102192</v>
          </cell>
          <cell r="H4129">
            <v>31102192</v>
          </cell>
          <cell r="I4129" t="str">
            <v/>
          </cell>
          <cell r="J4129" t="str">
            <v/>
          </cell>
          <cell r="K4129" t="str">
            <v/>
          </cell>
          <cell r="L4129" t="str">
            <v/>
          </cell>
          <cell r="M4129" t="str">
            <v/>
          </cell>
        </row>
        <row r="4130">
          <cell r="A4130">
            <v>31102192</v>
          </cell>
          <cell r="C4130">
            <v>31102192</v>
          </cell>
          <cell r="D4130">
            <v>31102192</v>
          </cell>
          <cell r="E4130">
            <v>31102192</v>
          </cell>
          <cell r="F4130">
            <v>31102192</v>
          </cell>
          <cell r="G4130">
            <v>31102192</v>
          </cell>
          <cell r="H4130">
            <v>31102192</v>
          </cell>
          <cell r="I4130" t="str">
            <v/>
          </cell>
          <cell r="J4130" t="str">
            <v/>
          </cell>
          <cell r="K4130" t="str">
            <v/>
          </cell>
          <cell r="L4130" t="str">
            <v/>
          </cell>
          <cell r="M4130" t="str">
            <v/>
          </cell>
        </row>
        <row r="4131">
          <cell r="A4131">
            <v>31102192</v>
          </cell>
          <cell r="C4131">
            <v>31102192</v>
          </cell>
          <cell r="D4131">
            <v>31102192</v>
          </cell>
          <cell r="E4131">
            <v>31102192</v>
          </cell>
          <cell r="F4131">
            <v>31102192</v>
          </cell>
          <cell r="G4131">
            <v>31102192</v>
          </cell>
          <cell r="H4131">
            <v>31102192</v>
          </cell>
          <cell r="I4131" t="str">
            <v/>
          </cell>
          <cell r="J4131" t="str">
            <v/>
          </cell>
          <cell r="K4131" t="str">
            <v/>
          </cell>
          <cell r="L4131" t="str">
            <v/>
          </cell>
          <cell r="M4131" t="str">
            <v/>
          </cell>
        </row>
        <row r="4132">
          <cell r="A4132">
            <v>31102192</v>
          </cell>
          <cell r="C4132">
            <v>31102192</v>
          </cell>
          <cell r="D4132">
            <v>31102192</v>
          </cell>
          <cell r="E4132">
            <v>31102192</v>
          </cell>
          <cell r="F4132">
            <v>31102192</v>
          </cell>
          <cell r="G4132">
            <v>31102192</v>
          </cell>
          <cell r="H4132">
            <v>31102192</v>
          </cell>
          <cell r="I4132" t="str">
            <v/>
          </cell>
          <cell r="J4132" t="str">
            <v/>
          </cell>
          <cell r="K4132" t="str">
            <v/>
          </cell>
          <cell r="L4132" t="str">
            <v/>
          </cell>
          <cell r="M4132" t="str">
            <v/>
          </cell>
        </row>
        <row r="4133">
          <cell r="A4133">
            <v>31102192</v>
          </cell>
          <cell r="C4133">
            <v>31102192</v>
          </cell>
          <cell r="D4133">
            <v>31102192</v>
          </cell>
          <cell r="E4133">
            <v>31102192</v>
          </cell>
          <cell r="F4133">
            <v>31102192</v>
          </cell>
          <cell r="G4133">
            <v>31102192</v>
          </cell>
          <cell r="H4133">
            <v>31102192</v>
          </cell>
          <cell r="I4133" t="str">
            <v/>
          </cell>
          <cell r="J4133" t="str">
            <v/>
          </cell>
          <cell r="K4133" t="str">
            <v/>
          </cell>
          <cell r="L4133" t="str">
            <v/>
          </cell>
          <cell r="M4133" t="str">
            <v/>
          </cell>
        </row>
        <row r="4134">
          <cell r="A4134">
            <v>31102192</v>
          </cell>
          <cell r="C4134">
            <v>31102192</v>
          </cell>
          <cell r="D4134">
            <v>31102192</v>
          </cell>
          <cell r="E4134">
            <v>31102192</v>
          </cell>
          <cell r="F4134">
            <v>31102192</v>
          </cell>
          <cell r="G4134">
            <v>31102192</v>
          </cell>
          <cell r="H4134">
            <v>31102192</v>
          </cell>
          <cell r="I4134" t="str">
            <v/>
          </cell>
          <cell r="J4134" t="str">
            <v/>
          </cell>
          <cell r="K4134" t="str">
            <v/>
          </cell>
          <cell r="L4134" t="str">
            <v/>
          </cell>
          <cell r="M4134" t="str">
            <v/>
          </cell>
        </row>
        <row r="4135">
          <cell r="A4135">
            <v>31102192</v>
          </cell>
          <cell r="C4135">
            <v>31102192</v>
          </cell>
          <cell r="D4135">
            <v>31102192</v>
          </cell>
          <cell r="E4135">
            <v>31102192</v>
          </cell>
          <cell r="F4135">
            <v>31102192</v>
          </cell>
          <cell r="G4135">
            <v>31102192</v>
          </cell>
          <cell r="H4135">
            <v>31102192</v>
          </cell>
          <cell r="I4135" t="str">
            <v/>
          </cell>
          <cell r="J4135" t="str">
            <v/>
          </cell>
          <cell r="K4135" t="str">
            <v/>
          </cell>
          <cell r="L4135" t="str">
            <v/>
          </cell>
          <cell r="M4135" t="str">
            <v/>
          </cell>
        </row>
        <row r="4136">
          <cell r="A4136">
            <v>31102192</v>
          </cell>
          <cell r="C4136">
            <v>31102192</v>
          </cell>
          <cell r="D4136">
            <v>31102192</v>
          </cell>
          <cell r="E4136">
            <v>31102192</v>
          </cell>
          <cell r="F4136">
            <v>31102192</v>
          </cell>
          <cell r="G4136">
            <v>31102192</v>
          </cell>
          <cell r="H4136">
            <v>31102192</v>
          </cell>
          <cell r="I4136" t="str">
            <v/>
          </cell>
          <cell r="J4136" t="str">
            <v/>
          </cell>
          <cell r="K4136" t="str">
            <v/>
          </cell>
          <cell r="L4136" t="str">
            <v/>
          </cell>
          <cell r="M4136" t="str">
            <v/>
          </cell>
        </row>
        <row r="4137">
          <cell r="A4137">
            <v>31102192</v>
          </cell>
          <cell r="C4137">
            <v>31102192</v>
          </cell>
          <cell r="D4137">
            <v>31102192</v>
          </cell>
          <cell r="E4137">
            <v>31102192</v>
          </cell>
          <cell r="F4137">
            <v>31102192</v>
          </cell>
          <cell r="G4137">
            <v>31102192</v>
          </cell>
          <cell r="H4137">
            <v>31102192</v>
          </cell>
          <cell r="I4137" t="str">
            <v/>
          </cell>
          <cell r="J4137" t="str">
            <v/>
          </cell>
          <cell r="K4137" t="str">
            <v/>
          </cell>
          <cell r="L4137" t="str">
            <v/>
          </cell>
          <cell r="M4137" t="str">
            <v/>
          </cell>
        </row>
        <row r="4138">
          <cell r="A4138">
            <v>31102192</v>
          </cell>
          <cell r="C4138">
            <v>31102192</v>
          </cell>
          <cell r="D4138">
            <v>31102192</v>
          </cell>
          <cell r="E4138">
            <v>31102192</v>
          </cell>
          <cell r="F4138">
            <v>31102192</v>
          </cell>
          <cell r="G4138">
            <v>31102192</v>
          </cell>
          <cell r="H4138">
            <v>31102192</v>
          </cell>
          <cell r="I4138" t="str">
            <v/>
          </cell>
          <cell r="J4138" t="str">
            <v/>
          </cell>
          <cell r="K4138" t="str">
            <v/>
          </cell>
          <cell r="L4138" t="str">
            <v/>
          </cell>
          <cell r="M4138" t="str">
            <v/>
          </cell>
        </row>
        <row r="4139">
          <cell r="A4139">
            <v>31102192</v>
          </cell>
          <cell r="C4139">
            <v>31102192</v>
          </cell>
          <cell r="D4139">
            <v>31102192</v>
          </cell>
          <cell r="E4139">
            <v>31102192</v>
          </cell>
          <cell r="F4139">
            <v>31102192</v>
          </cell>
          <cell r="G4139">
            <v>31102192</v>
          </cell>
          <cell r="H4139">
            <v>31102192</v>
          </cell>
          <cell r="I4139" t="str">
            <v/>
          </cell>
          <cell r="J4139" t="str">
            <v/>
          </cell>
          <cell r="K4139" t="str">
            <v/>
          </cell>
          <cell r="L4139" t="str">
            <v/>
          </cell>
          <cell r="M4139" t="str">
            <v/>
          </cell>
        </row>
        <row r="4140">
          <cell r="A4140">
            <v>31102192</v>
          </cell>
          <cell r="C4140">
            <v>31102192</v>
          </cell>
          <cell r="D4140">
            <v>31102192</v>
          </cell>
          <cell r="E4140">
            <v>31102192</v>
          </cell>
          <cell r="F4140">
            <v>31102192</v>
          </cell>
          <cell r="G4140">
            <v>31102192</v>
          </cell>
          <cell r="H4140">
            <v>31102192</v>
          </cell>
          <cell r="I4140" t="str">
            <v/>
          </cell>
          <cell r="J4140" t="str">
            <v/>
          </cell>
          <cell r="K4140" t="str">
            <v/>
          </cell>
          <cell r="L4140" t="str">
            <v/>
          </cell>
          <cell r="M4140" t="str">
            <v/>
          </cell>
        </row>
        <row r="4141">
          <cell r="A4141">
            <v>31102192</v>
          </cell>
          <cell r="C4141">
            <v>31102192</v>
          </cell>
          <cell r="D4141">
            <v>31102192</v>
          </cell>
          <cell r="E4141">
            <v>31102192</v>
          </cell>
          <cell r="F4141">
            <v>31102192</v>
          </cell>
          <cell r="G4141">
            <v>31102192</v>
          </cell>
          <cell r="H4141">
            <v>31102192</v>
          </cell>
          <cell r="I4141" t="str">
            <v/>
          </cell>
          <cell r="J4141" t="str">
            <v/>
          </cell>
          <cell r="K4141" t="str">
            <v/>
          </cell>
          <cell r="L4141" t="str">
            <v/>
          </cell>
          <cell r="M4141" t="str">
            <v/>
          </cell>
        </row>
        <row r="4142">
          <cell r="A4142">
            <v>31102192</v>
          </cell>
          <cell r="C4142">
            <v>31102192</v>
          </cell>
          <cell r="D4142">
            <v>31102192</v>
          </cell>
          <cell r="E4142">
            <v>31102192</v>
          </cell>
          <cell r="F4142">
            <v>31102192</v>
          </cell>
          <cell r="G4142">
            <v>31102192</v>
          </cell>
          <cell r="H4142">
            <v>31102192</v>
          </cell>
          <cell r="I4142" t="str">
            <v/>
          </cell>
          <cell r="J4142" t="str">
            <v/>
          </cell>
          <cell r="K4142" t="str">
            <v/>
          </cell>
          <cell r="L4142" t="str">
            <v/>
          </cell>
          <cell r="M4142" t="str">
            <v/>
          </cell>
        </row>
        <row r="4143">
          <cell r="A4143">
            <v>31102192</v>
          </cell>
          <cell r="C4143">
            <v>31102192</v>
          </cell>
          <cell r="D4143">
            <v>31102192</v>
          </cell>
          <cell r="E4143">
            <v>31102192</v>
          </cell>
          <cell r="F4143">
            <v>31102192</v>
          </cell>
          <cell r="G4143">
            <v>31102192</v>
          </cell>
          <cell r="H4143">
            <v>31102192</v>
          </cell>
          <cell r="I4143" t="str">
            <v/>
          </cell>
          <cell r="J4143" t="str">
            <v/>
          </cell>
          <cell r="K4143" t="str">
            <v/>
          </cell>
          <cell r="L4143" t="str">
            <v/>
          </cell>
          <cell r="M4143" t="str">
            <v/>
          </cell>
        </row>
        <row r="4144">
          <cell r="A4144">
            <v>31102192</v>
          </cell>
          <cell r="C4144">
            <v>31102192</v>
          </cell>
          <cell r="D4144">
            <v>31102192</v>
          </cell>
          <cell r="E4144">
            <v>31102192</v>
          </cell>
          <cell r="F4144">
            <v>31102192</v>
          </cell>
          <cell r="G4144">
            <v>31102192</v>
          </cell>
          <cell r="H4144">
            <v>31102192</v>
          </cell>
          <cell r="I4144" t="str">
            <v/>
          </cell>
          <cell r="J4144" t="str">
            <v/>
          </cell>
          <cell r="K4144" t="str">
            <v/>
          </cell>
          <cell r="L4144" t="str">
            <v/>
          </cell>
          <cell r="M4144" t="str">
            <v/>
          </cell>
        </row>
        <row r="4145">
          <cell r="A4145">
            <v>31102192</v>
          </cell>
          <cell r="C4145">
            <v>31102192</v>
          </cell>
          <cell r="D4145">
            <v>31102192</v>
          </cell>
          <cell r="E4145">
            <v>31102192</v>
          </cell>
          <cell r="F4145">
            <v>31102192</v>
          </cell>
          <cell r="G4145">
            <v>31102192</v>
          </cell>
          <cell r="H4145">
            <v>31102192</v>
          </cell>
          <cell r="I4145" t="str">
            <v/>
          </cell>
          <cell r="J4145" t="str">
            <v/>
          </cell>
          <cell r="K4145" t="str">
            <v/>
          </cell>
          <cell r="L4145" t="str">
            <v/>
          </cell>
          <cell r="M4145" t="str">
            <v/>
          </cell>
        </row>
        <row r="4146">
          <cell r="A4146">
            <v>31102192</v>
          </cell>
          <cell r="C4146">
            <v>31102192</v>
          </cell>
          <cell r="D4146">
            <v>31102192</v>
          </cell>
          <cell r="E4146">
            <v>31102192</v>
          </cell>
          <cell r="F4146">
            <v>31102192</v>
          </cell>
          <cell r="G4146">
            <v>31102192</v>
          </cell>
          <cell r="H4146">
            <v>31102192</v>
          </cell>
          <cell r="I4146" t="str">
            <v/>
          </cell>
          <cell r="J4146" t="str">
            <v/>
          </cell>
          <cell r="K4146" t="str">
            <v/>
          </cell>
          <cell r="L4146" t="str">
            <v/>
          </cell>
          <cell r="M4146" t="str">
            <v/>
          </cell>
        </row>
        <row r="4147">
          <cell r="A4147">
            <v>31102192</v>
          </cell>
          <cell r="C4147">
            <v>31102192</v>
          </cell>
          <cell r="D4147">
            <v>31102192</v>
          </cell>
          <cell r="E4147">
            <v>31102192</v>
          </cell>
          <cell r="F4147">
            <v>31102192</v>
          </cell>
          <cell r="G4147">
            <v>31102192</v>
          </cell>
          <cell r="H4147">
            <v>31102192</v>
          </cell>
          <cell r="I4147" t="str">
            <v/>
          </cell>
          <cell r="J4147" t="str">
            <v/>
          </cell>
          <cell r="K4147" t="str">
            <v/>
          </cell>
          <cell r="L4147" t="str">
            <v/>
          </cell>
          <cell r="M4147" t="str">
            <v/>
          </cell>
        </row>
        <row r="4148">
          <cell r="A4148">
            <v>31102192</v>
          </cell>
          <cell r="C4148">
            <v>31102192</v>
          </cell>
          <cell r="D4148">
            <v>31102192</v>
          </cell>
          <cell r="E4148">
            <v>31102192</v>
          </cell>
          <cell r="F4148">
            <v>31102192</v>
          </cell>
          <cell r="G4148">
            <v>31102192</v>
          </cell>
          <cell r="H4148">
            <v>31102192</v>
          </cell>
          <cell r="I4148" t="str">
            <v/>
          </cell>
          <cell r="J4148" t="str">
            <v/>
          </cell>
          <cell r="K4148" t="str">
            <v/>
          </cell>
          <cell r="L4148" t="str">
            <v/>
          </cell>
          <cell r="M4148" t="str">
            <v/>
          </cell>
        </row>
        <row r="4149">
          <cell r="A4149">
            <v>31102192</v>
          </cell>
          <cell r="C4149">
            <v>31102192</v>
          </cell>
          <cell r="D4149">
            <v>31102192</v>
          </cell>
          <cell r="E4149">
            <v>31102192</v>
          </cell>
          <cell r="F4149">
            <v>31102192</v>
          </cell>
          <cell r="G4149">
            <v>31102192</v>
          </cell>
          <cell r="H4149">
            <v>31102192</v>
          </cell>
          <cell r="I4149" t="str">
            <v/>
          </cell>
          <cell r="J4149" t="str">
            <v/>
          </cell>
          <cell r="K4149" t="str">
            <v/>
          </cell>
          <cell r="L4149" t="str">
            <v/>
          </cell>
          <cell r="M4149" t="str">
            <v/>
          </cell>
        </row>
        <row r="4150">
          <cell r="A4150">
            <v>31102192</v>
          </cell>
          <cell r="C4150">
            <v>31102192</v>
          </cell>
          <cell r="D4150">
            <v>31102192</v>
          </cell>
          <cell r="E4150">
            <v>31102192</v>
          </cell>
          <cell r="F4150">
            <v>31102192</v>
          </cell>
          <cell r="G4150">
            <v>31102192</v>
          </cell>
          <cell r="H4150">
            <v>31102192</v>
          </cell>
          <cell r="I4150" t="str">
            <v/>
          </cell>
          <cell r="J4150" t="str">
            <v/>
          </cell>
          <cell r="K4150" t="str">
            <v/>
          </cell>
          <cell r="L4150" t="str">
            <v/>
          </cell>
          <cell r="M4150" t="str">
            <v/>
          </cell>
        </row>
        <row r="4151">
          <cell r="A4151">
            <v>31102192</v>
          </cell>
          <cell r="C4151">
            <v>31102192</v>
          </cell>
          <cell r="D4151">
            <v>31102192</v>
          </cell>
          <cell r="E4151">
            <v>31102192</v>
          </cell>
          <cell r="F4151">
            <v>31102192</v>
          </cell>
          <cell r="G4151">
            <v>31102192</v>
          </cell>
          <cell r="H4151">
            <v>31102192</v>
          </cell>
          <cell r="I4151" t="str">
            <v/>
          </cell>
          <cell r="J4151" t="str">
            <v/>
          </cell>
          <cell r="K4151" t="str">
            <v/>
          </cell>
          <cell r="L4151" t="str">
            <v/>
          </cell>
          <cell r="M4151" t="str">
            <v/>
          </cell>
        </row>
        <row r="4152">
          <cell r="A4152">
            <v>31102192</v>
          </cell>
          <cell r="C4152">
            <v>31102192</v>
          </cell>
          <cell r="D4152">
            <v>31102192</v>
          </cell>
          <cell r="E4152">
            <v>31102192</v>
          </cell>
          <cell r="F4152">
            <v>31102192</v>
          </cell>
          <cell r="G4152">
            <v>31102192</v>
          </cell>
          <cell r="H4152">
            <v>31102192</v>
          </cell>
          <cell r="I4152" t="str">
            <v/>
          </cell>
          <cell r="J4152" t="str">
            <v/>
          </cell>
          <cell r="K4152" t="str">
            <v/>
          </cell>
          <cell r="L4152" t="str">
            <v/>
          </cell>
          <cell r="M4152" t="str">
            <v/>
          </cell>
        </row>
        <row r="4153">
          <cell r="A4153">
            <v>31102192</v>
          </cell>
          <cell r="C4153">
            <v>31102192</v>
          </cell>
          <cell r="D4153">
            <v>31102192</v>
          </cell>
          <cell r="E4153">
            <v>31102192</v>
          </cell>
          <cell r="F4153">
            <v>31102192</v>
          </cell>
          <cell r="G4153">
            <v>31102192</v>
          </cell>
          <cell r="H4153">
            <v>31102192</v>
          </cell>
          <cell r="I4153" t="str">
            <v/>
          </cell>
          <cell r="J4153" t="str">
            <v/>
          </cell>
          <cell r="K4153" t="str">
            <v/>
          </cell>
          <cell r="L4153" t="str">
            <v/>
          </cell>
          <cell r="M4153" t="str">
            <v/>
          </cell>
        </row>
        <row r="4154">
          <cell r="A4154">
            <v>31102192</v>
          </cell>
          <cell r="C4154">
            <v>31102192</v>
          </cell>
          <cell r="D4154">
            <v>31102192</v>
          </cell>
          <cell r="E4154">
            <v>31102192</v>
          </cell>
          <cell r="F4154">
            <v>31102192</v>
          </cell>
          <cell r="G4154">
            <v>31102192</v>
          </cell>
          <cell r="H4154">
            <v>31102192</v>
          </cell>
          <cell r="I4154" t="str">
            <v/>
          </cell>
          <cell r="J4154" t="str">
            <v/>
          </cell>
          <cell r="K4154" t="str">
            <v/>
          </cell>
          <cell r="L4154" t="str">
            <v/>
          </cell>
          <cell r="M4154" t="str">
            <v/>
          </cell>
        </row>
        <row r="4155">
          <cell r="A4155">
            <v>31102192</v>
          </cell>
          <cell r="C4155">
            <v>31102192</v>
          </cell>
          <cell r="D4155">
            <v>31102192</v>
          </cell>
          <cell r="E4155">
            <v>31102192</v>
          </cell>
          <cell r="F4155">
            <v>31102192</v>
          </cell>
          <cell r="G4155">
            <v>31102192</v>
          </cell>
          <cell r="H4155">
            <v>31102192</v>
          </cell>
          <cell r="I4155" t="str">
            <v/>
          </cell>
          <cell r="J4155" t="str">
            <v/>
          </cell>
          <cell r="K4155" t="str">
            <v/>
          </cell>
          <cell r="L4155" t="str">
            <v/>
          </cell>
          <cell r="M4155" t="str">
            <v/>
          </cell>
        </row>
        <row r="4156">
          <cell r="A4156">
            <v>31102192</v>
          </cell>
          <cell r="C4156">
            <v>31102192</v>
          </cell>
          <cell r="D4156">
            <v>31102192</v>
          </cell>
          <cell r="E4156">
            <v>31102192</v>
          </cell>
          <cell r="F4156">
            <v>31102192</v>
          </cell>
          <cell r="G4156">
            <v>31102192</v>
          </cell>
          <cell r="H4156">
            <v>31102192</v>
          </cell>
          <cell r="I4156" t="str">
            <v/>
          </cell>
          <cell r="J4156" t="str">
            <v/>
          </cell>
          <cell r="K4156" t="str">
            <v/>
          </cell>
          <cell r="L4156" t="str">
            <v/>
          </cell>
          <cell r="M4156" t="str">
            <v/>
          </cell>
        </row>
        <row r="4157">
          <cell r="A4157">
            <v>31102192</v>
          </cell>
          <cell r="C4157">
            <v>31102192</v>
          </cell>
          <cell r="D4157">
            <v>31102192</v>
          </cell>
          <cell r="E4157">
            <v>31102192</v>
          </cell>
          <cell r="F4157">
            <v>31102192</v>
          </cell>
          <cell r="G4157">
            <v>31102192</v>
          </cell>
          <cell r="H4157">
            <v>31102192</v>
          </cell>
          <cell r="I4157" t="str">
            <v/>
          </cell>
          <cell r="J4157" t="str">
            <v/>
          </cell>
          <cell r="K4157" t="str">
            <v/>
          </cell>
          <cell r="L4157" t="str">
            <v/>
          </cell>
          <cell r="M4157" t="str">
            <v/>
          </cell>
        </row>
        <row r="4158">
          <cell r="A4158">
            <v>31102192</v>
          </cell>
          <cell r="C4158">
            <v>31102192</v>
          </cell>
          <cell r="D4158">
            <v>31102192</v>
          </cell>
          <cell r="E4158">
            <v>31102192</v>
          </cell>
          <cell r="F4158">
            <v>31102192</v>
          </cell>
          <cell r="G4158">
            <v>31102192</v>
          </cell>
          <cell r="H4158">
            <v>31102192</v>
          </cell>
          <cell r="I4158" t="str">
            <v/>
          </cell>
          <cell r="J4158" t="str">
            <v/>
          </cell>
          <cell r="K4158" t="str">
            <v/>
          </cell>
          <cell r="L4158" t="str">
            <v/>
          </cell>
          <cell r="M4158" t="str">
            <v/>
          </cell>
        </row>
        <row r="4159">
          <cell r="A4159">
            <v>31102192</v>
          </cell>
          <cell r="C4159">
            <v>31102192</v>
          </cell>
          <cell r="D4159">
            <v>31102192</v>
          </cell>
          <cell r="E4159">
            <v>31102192</v>
          </cell>
          <cell r="F4159">
            <v>31102192</v>
          </cell>
          <cell r="G4159">
            <v>31102192</v>
          </cell>
          <cell r="H4159">
            <v>31102192</v>
          </cell>
          <cell r="I4159" t="str">
            <v/>
          </cell>
          <cell r="J4159" t="str">
            <v/>
          </cell>
          <cell r="K4159" t="str">
            <v/>
          </cell>
          <cell r="L4159" t="str">
            <v/>
          </cell>
          <cell r="M4159" t="str">
            <v/>
          </cell>
        </row>
        <row r="4160">
          <cell r="A4160">
            <v>31102192</v>
          </cell>
          <cell r="C4160">
            <v>31102192</v>
          </cell>
          <cell r="D4160">
            <v>31102192</v>
          </cell>
          <cell r="E4160">
            <v>31102192</v>
          </cell>
          <cell r="F4160">
            <v>31102192</v>
          </cell>
          <cell r="G4160">
            <v>31102192</v>
          </cell>
          <cell r="H4160">
            <v>31102192</v>
          </cell>
          <cell r="I4160" t="str">
            <v/>
          </cell>
          <cell r="J4160" t="str">
            <v/>
          </cell>
          <cell r="K4160" t="str">
            <v/>
          </cell>
          <cell r="L4160" t="str">
            <v/>
          </cell>
          <cell r="M4160" t="str">
            <v/>
          </cell>
        </row>
        <row r="4161">
          <cell r="A4161">
            <v>31102192</v>
          </cell>
          <cell r="C4161">
            <v>31102192</v>
          </cell>
          <cell r="D4161">
            <v>31102192</v>
          </cell>
          <cell r="E4161">
            <v>31102192</v>
          </cell>
          <cell r="F4161">
            <v>31102192</v>
          </cell>
          <cell r="G4161">
            <v>31102192</v>
          </cell>
          <cell r="H4161">
            <v>31102192</v>
          </cell>
          <cell r="I4161" t="str">
            <v/>
          </cell>
          <cell r="J4161" t="str">
            <v/>
          </cell>
          <cell r="K4161" t="str">
            <v/>
          </cell>
          <cell r="L4161" t="str">
            <v/>
          </cell>
          <cell r="M4161" t="str">
            <v/>
          </cell>
        </row>
        <row r="4162">
          <cell r="A4162">
            <v>31102192</v>
          </cell>
          <cell r="C4162">
            <v>31102192</v>
          </cell>
          <cell r="D4162">
            <v>31102192</v>
          </cell>
          <cell r="E4162">
            <v>31102192</v>
          </cell>
          <cell r="F4162">
            <v>31102192</v>
          </cell>
          <cell r="G4162">
            <v>31102192</v>
          </cell>
          <cell r="H4162">
            <v>31102192</v>
          </cell>
          <cell r="I4162" t="str">
            <v/>
          </cell>
          <cell r="J4162" t="str">
            <v/>
          </cell>
          <cell r="K4162" t="str">
            <v/>
          </cell>
          <cell r="L4162" t="str">
            <v/>
          </cell>
          <cell r="M4162" t="str">
            <v/>
          </cell>
        </row>
        <row r="4163">
          <cell r="A4163">
            <v>31102192</v>
          </cell>
          <cell r="C4163">
            <v>31102192</v>
          </cell>
          <cell r="D4163">
            <v>31102192</v>
          </cell>
          <cell r="E4163">
            <v>31102192</v>
          </cell>
          <cell r="F4163">
            <v>31102192</v>
          </cell>
          <cell r="G4163">
            <v>31102192</v>
          </cell>
          <cell r="H4163">
            <v>31102192</v>
          </cell>
          <cell r="I4163" t="str">
            <v/>
          </cell>
          <cell r="J4163" t="str">
            <v/>
          </cell>
          <cell r="K4163" t="str">
            <v/>
          </cell>
          <cell r="L4163" t="str">
            <v/>
          </cell>
          <cell r="M4163" t="str">
            <v/>
          </cell>
        </row>
        <row r="4164">
          <cell r="A4164">
            <v>31102192</v>
          </cell>
          <cell r="C4164">
            <v>31102192</v>
          </cell>
          <cell r="D4164">
            <v>31102192</v>
          </cell>
          <cell r="E4164">
            <v>31102192</v>
          </cell>
          <cell r="F4164">
            <v>31102192</v>
          </cell>
          <cell r="G4164">
            <v>31102192</v>
          </cell>
          <cell r="H4164">
            <v>31102192</v>
          </cell>
          <cell r="I4164" t="str">
            <v/>
          </cell>
          <cell r="J4164" t="str">
            <v/>
          </cell>
          <cell r="K4164" t="str">
            <v/>
          </cell>
          <cell r="L4164" t="str">
            <v/>
          </cell>
          <cell r="M4164" t="str">
            <v/>
          </cell>
        </row>
        <row r="4165">
          <cell r="A4165">
            <v>31102192</v>
          </cell>
          <cell r="C4165">
            <v>31102192</v>
          </cell>
          <cell r="D4165">
            <v>31102192</v>
          </cell>
          <cell r="E4165">
            <v>31102192</v>
          </cell>
          <cell r="F4165">
            <v>31102192</v>
          </cell>
          <cell r="G4165">
            <v>31102192</v>
          </cell>
          <cell r="H4165">
            <v>31102192</v>
          </cell>
          <cell r="I4165" t="str">
            <v/>
          </cell>
          <cell r="J4165" t="str">
            <v/>
          </cell>
          <cell r="K4165" t="str">
            <v/>
          </cell>
          <cell r="L4165" t="str">
            <v/>
          </cell>
          <cell r="M4165" t="str">
            <v/>
          </cell>
        </row>
        <row r="4166">
          <cell r="A4166">
            <v>31102192</v>
          </cell>
          <cell r="C4166">
            <v>31102192</v>
          </cell>
          <cell r="D4166">
            <v>31102192</v>
          </cell>
          <cell r="E4166">
            <v>31102192</v>
          </cell>
          <cell r="F4166">
            <v>31102192</v>
          </cell>
          <cell r="G4166">
            <v>31102192</v>
          </cell>
          <cell r="H4166">
            <v>31102192</v>
          </cell>
          <cell r="I4166" t="str">
            <v/>
          </cell>
          <cell r="J4166" t="str">
            <v/>
          </cell>
          <cell r="K4166" t="str">
            <v/>
          </cell>
          <cell r="L4166" t="str">
            <v/>
          </cell>
          <cell r="M4166" t="str">
            <v/>
          </cell>
        </row>
        <row r="4167">
          <cell r="A4167">
            <v>31102192</v>
          </cell>
          <cell r="C4167">
            <v>31102192</v>
          </cell>
          <cell r="D4167">
            <v>31102192</v>
          </cell>
          <cell r="E4167">
            <v>31102192</v>
          </cell>
          <cell r="F4167">
            <v>31102192</v>
          </cell>
          <cell r="G4167">
            <v>31102192</v>
          </cell>
          <cell r="H4167">
            <v>31102192</v>
          </cell>
          <cell r="I4167" t="str">
            <v/>
          </cell>
          <cell r="J4167" t="str">
            <v/>
          </cell>
          <cell r="K4167" t="str">
            <v/>
          </cell>
          <cell r="L4167" t="str">
            <v/>
          </cell>
          <cell r="M4167" t="str">
            <v/>
          </cell>
        </row>
        <row r="4168">
          <cell r="A4168">
            <v>31102192</v>
          </cell>
          <cell r="C4168">
            <v>31102192</v>
          </cell>
          <cell r="D4168">
            <v>31102192</v>
          </cell>
          <cell r="E4168">
            <v>31102192</v>
          </cell>
          <cell r="F4168">
            <v>31102192</v>
          </cell>
          <cell r="G4168">
            <v>31102192</v>
          </cell>
          <cell r="H4168">
            <v>31102192</v>
          </cell>
          <cell r="I4168" t="str">
            <v/>
          </cell>
          <cell r="J4168" t="str">
            <v/>
          </cell>
          <cell r="K4168" t="str">
            <v/>
          </cell>
          <cell r="L4168" t="str">
            <v/>
          </cell>
          <cell r="M4168" t="str">
            <v/>
          </cell>
        </row>
        <row r="4169">
          <cell r="A4169">
            <v>31102192</v>
          </cell>
          <cell r="C4169">
            <v>31102192</v>
          </cell>
          <cell r="D4169">
            <v>31102192</v>
          </cell>
          <cell r="E4169">
            <v>31102192</v>
          </cell>
          <cell r="F4169">
            <v>31102192</v>
          </cell>
          <cell r="G4169">
            <v>31102192</v>
          </cell>
          <cell r="H4169">
            <v>31102192</v>
          </cell>
          <cell r="I4169" t="str">
            <v/>
          </cell>
          <cell r="J4169" t="str">
            <v/>
          </cell>
          <cell r="K4169" t="str">
            <v/>
          </cell>
          <cell r="L4169" t="str">
            <v/>
          </cell>
          <cell r="M4169" t="str">
            <v/>
          </cell>
        </row>
        <row r="4170">
          <cell r="A4170">
            <v>31102192</v>
          </cell>
          <cell r="C4170">
            <v>31102192</v>
          </cell>
          <cell r="D4170">
            <v>31102192</v>
          </cell>
          <cell r="E4170">
            <v>31102192</v>
          </cell>
          <cell r="F4170">
            <v>31102192</v>
          </cell>
          <cell r="G4170">
            <v>31102192</v>
          </cell>
          <cell r="H4170">
            <v>31102192</v>
          </cell>
          <cell r="I4170" t="str">
            <v/>
          </cell>
          <cell r="J4170" t="str">
            <v/>
          </cell>
          <cell r="K4170" t="str">
            <v/>
          </cell>
          <cell r="L4170" t="str">
            <v/>
          </cell>
          <cell r="M4170" t="str">
            <v/>
          </cell>
        </row>
        <row r="4171">
          <cell r="A4171">
            <v>31102192</v>
          </cell>
          <cell r="C4171">
            <v>31102192</v>
          </cell>
          <cell r="D4171">
            <v>31102192</v>
          </cell>
          <cell r="E4171">
            <v>31102192</v>
          </cell>
          <cell r="F4171">
            <v>31102192</v>
          </cell>
          <cell r="G4171">
            <v>31102192</v>
          </cell>
          <cell r="H4171">
            <v>31102192</v>
          </cell>
          <cell r="I4171" t="str">
            <v/>
          </cell>
          <cell r="J4171" t="str">
            <v/>
          </cell>
          <cell r="K4171" t="str">
            <v/>
          </cell>
          <cell r="L4171" t="str">
            <v/>
          </cell>
          <cell r="M4171" t="str">
            <v/>
          </cell>
        </row>
        <row r="4172">
          <cell r="A4172">
            <v>31102192</v>
          </cell>
          <cell r="C4172">
            <v>31102192</v>
          </cell>
          <cell r="D4172">
            <v>31102192</v>
          </cell>
          <cell r="E4172">
            <v>31102192</v>
          </cell>
          <cell r="F4172">
            <v>31102192</v>
          </cell>
          <cell r="G4172">
            <v>31102192</v>
          </cell>
          <cell r="H4172">
            <v>31102192</v>
          </cell>
          <cell r="I4172" t="str">
            <v/>
          </cell>
          <cell r="J4172" t="str">
            <v/>
          </cell>
          <cell r="K4172" t="str">
            <v/>
          </cell>
          <cell r="L4172" t="str">
            <v/>
          </cell>
          <cell r="M4172" t="str">
            <v/>
          </cell>
        </row>
        <row r="4173">
          <cell r="A4173">
            <v>31102192</v>
          </cell>
          <cell r="C4173">
            <v>31102192</v>
          </cell>
          <cell r="D4173">
            <v>31102192</v>
          </cell>
          <cell r="E4173">
            <v>31102192</v>
          </cell>
          <cell r="F4173">
            <v>31102192</v>
          </cell>
          <cell r="G4173">
            <v>31102192</v>
          </cell>
          <cell r="H4173">
            <v>31102192</v>
          </cell>
          <cell r="I4173" t="str">
            <v/>
          </cell>
          <cell r="J4173" t="str">
            <v/>
          </cell>
          <cell r="K4173" t="str">
            <v/>
          </cell>
          <cell r="L4173" t="str">
            <v/>
          </cell>
          <cell r="M4173" t="str">
            <v/>
          </cell>
        </row>
        <row r="4174">
          <cell r="A4174">
            <v>31102192</v>
          </cell>
          <cell r="C4174">
            <v>31102192</v>
          </cell>
          <cell r="D4174">
            <v>31102192</v>
          </cell>
          <cell r="E4174">
            <v>31102192</v>
          </cell>
          <cell r="F4174">
            <v>31102192</v>
          </cell>
          <cell r="G4174">
            <v>31102192</v>
          </cell>
          <cell r="H4174">
            <v>31102192</v>
          </cell>
          <cell r="I4174" t="str">
            <v/>
          </cell>
          <cell r="J4174" t="str">
            <v/>
          </cell>
          <cell r="K4174" t="str">
            <v/>
          </cell>
          <cell r="L4174" t="str">
            <v/>
          </cell>
          <cell r="M4174" t="str">
            <v/>
          </cell>
        </row>
        <row r="4175">
          <cell r="A4175">
            <v>31102192</v>
          </cell>
          <cell r="C4175">
            <v>31102192</v>
          </cell>
          <cell r="D4175">
            <v>31102192</v>
          </cell>
          <cell r="E4175">
            <v>31102192</v>
          </cell>
          <cell r="F4175">
            <v>31102192</v>
          </cell>
          <cell r="G4175">
            <v>31102192</v>
          </cell>
          <cell r="H4175">
            <v>31102192</v>
          </cell>
          <cell r="I4175" t="str">
            <v/>
          </cell>
          <cell r="J4175" t="str">
            <v/>
          </cell>
          <cell r="K4175" t="str">
            <v/>
          </cell>
          <cell r="L4175" t="str">
            <v/>
          </cell>
          <cell r="M4175" t="str">
            <v/>
          </cell>
        </row>
        <row r="4176">
          <cell r="A4176">
            <v>31102192</v>
          </cell>
          <cell r="C4176">
            <v>31102192</v>
          </cell>
          <cell r="D4176">
            <v>31102192</v>
          </cell>
          <cell r="E4176">
            <v>31102192</v>
          </cell>
          <cell r="F4176">
            <v>31102192</v>
          </cell>
          <cell r="G4176">
            <v>31102192</v>
          </cell>
          <cell r="H4176">
            <v>31102192</v>
          </cell>
          <cell r="I4176" t="str">
            <v/>
          </cell>
          <cell r="J4176" t="str">
            <v/>
          </cell>
          <cell r="K4176" t="str">
            <v/>
          </cell>
          <cell r="L4176" t="str">
            <v/>
          </cell>
          <cell r="M4176" t="str">
            <v/>
          </cell>
        </row>
        <row r="4177">
          <cell r="A4177">
            <v>31102192</v>
          </cell>
          <cell r="C4177">
            <v>31102192</v>
          </cell>
          <cell r="D4177">
            <v>31102192</v>
          </cell>
          <cell r="E4177">
            <v>31102192</v>
          </cell>
          <cell r="F4177">
            <v>31102192</v>
          </cell>
          <cell r="G4177">
            <v>31102192</v>
          </cell>
          <cell r="H4177">
            <v>31102192</v>
          </cell>
          <cell r="I4177" t="str">
            <v/>
          </cell>
          <cell r="J4177" t="str">
            <v/>
          </cell>
          <cell r="K4177" t="str">
            <v/>
          </cell>
          <cell r="L4177" t="str">
            <v/>
          </cell>
          <cell r="M4177" t="str">
            <v/>
          </cell>
        </row>
        <row r="4178">
          <cell r="A4178">
            <v>31102192</v>
          </cell>
          <cell r="C4178">
            <v>31102192</v>
          </cell>
          <cell r="D4178">
            <v>31102192</v>
          </cell>
          <cell r="E4178">
            <v>31102192</v>
          </cell>
          <cell r="F4178">
            <v>31102192</v>
          </cell>
          <cell r="G4178">
            <v>31102192</v>
          </cell>
          <cell r="H4178">
            <v>31102192</v>
          </cell>
          <cell r="I4178" t="str">
            <v/>
          </cell>
          <cell r="J4178" t="str">
            <v/>
          </cell>
          <cell r="K4178" t="str">
            <v/>
          </cell>
          <cell r="L4178" t="str">
            <v/>
          </cell>
          <cell r="M4178" t="str">
            <v/>
          </cell>
        </row>
        <row r="4179">
          <cell r="A4179">
            <v>31102192</v>
          </cell>
          <cell r="C4179">
            <v>31102192</v>
          </cell>
          <cell r="D4179">
            <v>31102192</v>
          </cell>
          <cell r="E4179">
            <v>31102192</v>
          </cell>
          <cell r="F4179">
            <v>31102192</v>
          </cell>
          <cell r="G4179">
            <v>31102192</v>
          </cell>
          <cell r="H4179">
            <v>31102192</v>
          </cell>
          <cell r="I4179" t="str">
            <v/>
          </cell>
          <cell r="J4179" t="str">
            <v/>
          </cell>
          <cell r="K4179" t="str">
            <v/>
          </cell>
          <cell r="L4179" t="str">
            <v/>
          </cell>
          <cell r="M4179" t="str">
            <v/>
          </cell>
        </row>
        <row r="4180">
          <cell r="A4180">
            <v>31102192</v>
          </cell>
          <cell r="C4180">
            <v>31102192</v>
          </cell>
          <cell r="D4180">
            <v>31102192</v>
          </cell>
          <cell r="E4180">
            <v>31102192</v>
          </cell>
          <cell r="F4180">
            <v>31102192</v>
          </cell>
          <cell r="G4180">
            <v>31102192</v>
          </cell>
          <cell r="H4180">
            <v>31102192</v>
          </cell>
          <cell r="I4180" t="str">
            <v/>
          </cell>
          <cell r="J4180" t="str">
            <v/>
          </cell>
          <cell r="K4180" t="str">
            <v/>
          </cell>
          <cell r="L4180" t="str">
            <v/>
          </cell>
          <cell r="M4180" t="str">
            <v/>
          </cell>
        </row>
        <row r="4181">
          <cell r="A4181">
            <v>31102192</v>
          </cell>
          <cell r="C4181">
            <v>31102192</v>
          </cell>
          <cell r="D4181">
            <v>31102192</v>
          </cell>
          <cell r="E4181">
            <v>31102192</v>
          </cell>
          <cell r="F4181">
            <v>31102192</v>
          </cell>
          <cell r="G4181">
            <v>31102192</v>
          </cell>
          <cell r="H4181">
            <v>31102192</v>
          </cell>
          <cell r="I4181" t="str">
            <v/>
          </cell>
          <cell r="J4181" t="str">
            <v/>
          </cell>
          <cell r="K4181" t="str">
            <v/>
          </cell>
          <cell r="L4181" t="str">
            <v/>
          </cell>
          <cell r="M4181" t="str">
            <v/>
          </cell>
        </row>
        <row r="4182">
          <cell r="A4182">
            <v>31102192</v>
          </cell>
          <cell r="C4182">
            <v>31102192</v>
          </cell>
          <cell r="D4182">
            <v>31102192</v>
          </cell>
          <cell r="E4182">
            <v>31102192</v>
          </cell>
          <cell r="F4182">
            <v>31102192</v>
          </cell>
          <cell r="G4182">
            <v>31102192</v>
          </cell>
          <cell r="H4182">
            <v>31102192</v>
          </cell>
          <cell r="I4182" t="str">
            <v/>
          </cell>
          <cell r="J4182" t="str">
            <v/>
          </cell>
          <cell r="K4182" t="str">
            <v/>
          </cell>
          <cell r="L4182" t="str">
            <v/>
          </cell>
          <cell r="M4182" t="str">
            <v/>
          </cell>
        </row>
        <row r="4183">
          <cell r="A4183">
            <v>31102192</v>
          </cell>
          <cell r="C4183">
            <v>31102192</v>
          </cell>
          <cell r="D4183">
            <v>31102192</v>
          </cell>
          <cell r="E4183">
            <v>31102192</v>
          </cell>
          <cell r="F4183">
            <v>31102192</v>
          </cell>
          <cell r="G4183">
            <v>31102192</v>
          </cell>
          <cell r="H4183">
            <v>31102192</v>
          </cell>
          <cell r="I4183" t="str">
            <v/>
          </cell>
          <cell r="J4183" t="str">
            <v/>
          </cell>
          <cell r="K4183" t="str">
            <v/>
          </cell>
          <cell r="L4183" t="str">
            <v/>
          </cell>
          <cell r="M4183" t="str">
            <v/>
          </cell>
        </row>
        <row r="4184">
          <cell r="A4184">
            <v>31102192</v>
          </cell>
          <cell r="C4184">
            <v>31102192</v>
          </cell>
          <cell r="D4184">
            <v>31102192</v>
          </cell>
          <cell r="E4184">
            <v>31102192</v>
          </cell>
          <cell r="F4184">
            <v>31102192</v>
          </cell>
          <cell r="G4184">
            <v>31102192</v>
          </cell>
          <cell r="H4184">
            <v>31102192</v>
          </cell>
          <cell r="I4184" t="str">
            <v/>
          </cell>
          <cell r="J4184" t="str">
            <v/>
          </cell>
          <cell r="K4184" t="str">
            <v/>
          </cell>
          <cell r="L4184" t="str">
            <v/>
          </cell>
          <cell r="M4184" t="str">
            <v/>
          </cell>
        </row>
        <row r="4185">
          <cell r="A4185">
            <v>31102192</v>
          </cell>
          <cell r="C4185">
            <v>31102192</v>
          </cell>
          <cell r="D4185">
            <v>31102192</v>
          </cell>
          <cell r="E4185">
            <v>31102192</v>
          </cell>
          <cell r="F4185">
            <v>31102192</v>
          </cell>
          <cell r="G4185">
            <v>31102192</v>
          </cell>
          <cell r="H4185">
            <v>31102192</v>
          </cell>
          <cell r="I4185" t="str">
            <v/>
          </cell>
          <cell r="J4185" t="str">
            <v/>
          </cell>
          <cell r="K4185" t="str">
            <v/>
          </cell>
          <cell r="L4185" t="str">
            <v/>
          </cell>
          <cell r="M4185" t="str">
            <v/>
          </cell>
        </row>
        <row r="4186">
          <cell r="A4186">
            <v>31102192</v>
          </cell>
          <cell r="C4186">
            <v>31102192</v>
          </cell>
          <cell r="D4186">
            <v>31102192</v>
          </cell>
          <cell r="E4186">
            <v>31102192</v>
          </cell>
          <cell r="F4186">
            <v>31102192</v>
          </cell>
          <cell r="G4186">
            <v>31102192</v>
          </cell>
          <cell r="H4186">
            <v>31102192</v>
          </cell>
          <cell r="I4186" t="str">
            <v/>
          </cell>
          <cell r="J4186" t="str">
            <v/>
          </cell>
          <cell r="K4186" t="str">
            <v/>
          </cell>
          <cell r="L4186" t="str">
            <v/>
          </cell>
          <cell r="M4186" t="str">
            <v/>
          </cell>
        </row>
        <row r="4187">
          <cell r="A4187">
            <v>31102192</v>
          </cell>
          <cell r="C4187">
            <v>31102192</v>
          </cell>
          <cell r="D4187">
            <v>31102192</v>
          </cell>
          <cell r="E4187">
            <v>31102192</v>
          </cell>
          <cell r="F4187">
            <v>31102192</v>
          </cell>
          <cell r="G4187">
            <v>31102192</v>
          </cell>
          <cell r="H4187">
            <v>31102192</v>
          </cell>
          <cell r="I4187" t="str">
            <v/>
          </cell>
          <cell r="J4187" t="str">
            <v/>
          </cell>
          <cell r="K4187" t="str">
            <v/>
          </cell>
          <cell r="L4187" t="str">
            <v/>
          </cell>
          <cell r="M4187" t="str">
            <v/>
          </cell>
        </row>
        <row r="4188">
          <cell r="A4188">
            <v>31102192</v>
          </cell>
          <cell r="C4188">
            <v>31102192</v>
          </cell>
          <cell r="D4188">
            <v>31102192</v>
          </cell>
          <cell r="E4188">
            <v>31102192</v>
          </cell>
          <cell r="F4188">
            <v>31102192</v>
          </cell>
          <cell r="G4188">
            <v>31102192</v>
          </cell>
          <cell r="H4188">
            <v>31102192</v>
          </cell>
          <cell r="I4188" t="str">
            <v/>
          </cell>
          <cell r="J4188" t="str">
            <v/>
          </cell>
          <cell r="K4188" t="str">
            <v/>
          </cell>
          <cell r="L4188" t="str">
            <v/>
          </cell>
          <cell r="M4188" t="str">
            <v/>
          </cell>
        </row>
        <row r="4189">
          <cell r="A4189">
            <v>31102192</v>
          </cell>
          <cell r="C4189">
            <v>31102192</v>
          </cell>
          <cell r="D4189">
            <v>31102192</v>
          </cell>
          <cell r="E4189">
            <v>31102192</v>
          </cell>
          <cell r="F4189">
            <v>31102192</v>
          </cell>
          <cell r="G4189">
            <v>31102192</v>
          </cell>
          <cell r="H4189">
            <v>31102192</v>
          </cell>
          <cell r="I4189" t="str">
            <v/>
          </cell>
          <cell r="J4189" t="str">
            <v/>
          </cell>
          <cell r="K4189" t="str">
            <v/>
          </cell>
          <cell r="L4189" t="str">
            <v/>
          </cell>
          <cell r="M4189" t="str">
            <v/>
          </cell>
        </row>
        <row r="4190">
          <cell r="A4190">
            <v>31102192</v>
          </cell>
          <cell r="C4190">
            <v>31102192</v>
          </cell>
          <cell r="D4190">
            <v>31102192</v>
          </cell>
          <cell r="E4190">
            <v>31102192</v>
          </cell>
          <cell r="F4190">
            <v>31102192</v>
          </cell>
          <cell r="G4190">
            <v>31102192</v>
          </cell>
          <cell r="H4190">
            <v>31102192</v>
          </cell>
          <cell r="I4190" t="str">
            <v/>
          </cell>
          <cell r="J4190" t="str">
            <v/>
          </cell>
          <cell r="K4190" t="str">
            <v/>
          </cell>
          <cell r="L4190" t="str">
            <v/>
          </cell>
          <cell r="M4190" t="str">
            <v/>
          </cell>
        </row>
        <row r="4191">
          <cell r="A4191">
            <v>31102192</v>
          </cell>
          <cell r="C4191">
            <v>31102192</v>
          </cell>
          <cell r="D4191">
            <v>31102192</v>
          </cell>
          <cell r="E4191">
            <v>31102192</v>
          </cell>
          <cell r="F4191">
            <v>31102192</v>
          </cell>
          <cell r="G4191">
            <v>31102192</v>
          </cell>
          <cell r="H4191">
            <v>31102192</v>
          </cell>
          <cell r="I4191" t="str">
            <v/>
          </cell>
          <cell r="J4191" t="str">
            <v/>
          </cell>
          <cell r="K4191" t="str">
            <v/>
          </cell>
          <cell r="L4191" t="str">
            <v/>
          </cell>
          <cell r="M4191" t="str">
            <v/>
          </cell>
        </row>
        <row r="4192">
          <cell r="A4192">
            <v>31102192</v>
          </cell>
          <cell r="C4192">
            <v>31102192</v>
          </cell>
          <cell r="D4192">
            <v>31102192</v>
          </cell>
          <cell r="E4192">
            <v>31102192</v>
          </cell>
          <cell r="F4192">
            <v>31102192</v>
          </cell>
          <cell r="G4192">
            <v>31102192</v>
          </cell>
          <cell r="H4192">
            <v>31102192</v>
          </cell>
          <cell r="I4192" t="str">
            <v/>
          </cell>
          <cell r="J4192" t="str">
            <v/>
          </cell>
          <cell r="K4192" t="str">
            <v/>
          </cell>
          <cell r="L4192" t="str">
            <v/>
          </cell>
          <cell r="M4192" t="str">
            <v/>
          </cell>
        </row>
        <row r="4193">
          <cell r="A4193">
            <v>31102192</v>
          </cell>
          <cell r="C4193">
            <v>31102192</v>
          </cell>
          <cell r="D4193">
            <v>31102192</v>
          </cell>
          <cell r="E4193">
            <v>31102192</v>
          </cell>
          <cell r="F4193">
            <v>31102192</v>
          </cell>
          <cell r="G4193">
            <v>31102192</v>
          </cell>
          <cell r="H4193">
            <v>31102192</v>
          </cell>
          <cell r="I4193" t="str">
            <v/>
          </cell>
          <cell r="J4193" t="str">
            <v/>
          </cell>
          <cell r="K4193" t="str">
            <v/>
          </cell>
          <cell r="L4193" t="str">
            <v/>
          </cell>
          <cell r="M4193" t="str">
            <v/>
          </cell>
        </row>
        <row r="4194">
          <cell r="A4194">
            <v>31102192</v>
          </cell>
          <cell r="C4194">
            <v>31102192</v>
          </cell>
          <cell r="D4194">
            <v>31102192</v>
          </cell>
          <cell r="E4194">
            <v>31102192</v>
          </cell>
          <cell r="F4194">
            <v>31102192</v>
          </cell>
          <cell r="G4194">
            <v>31102192</v>
          </cell>
          <cell r="H4194">
            <v>31102192</v>
          </cell>
          <cell r="I4194" t="str">
            <v/>
          </cell>
          <cell r="J4194" t="str">
            <v/>
          </cell>
          <cell r="K4194" t="str">
            <v/>
          </cell>
          <cell r="L4194" t="str">
            <v/>
          </cell>
          <cell r="M4194" t="str">
            <v/>
          </cell>
        </row>
        <row r="4195">
          <cell r="A4195">
            <v>31102192</v>
          </cell>
          <cell r="C4195">
            <v>31102192</v>
          </cell>
          <cell r="D4195">
            <v>31102192</v>
          </cell>
          <cell r="E4195">
            <v>31102192</v>
          </cell>
          <cell r="F4195">
            <v>31102192</v>
          </cell>
          <cell r="G4195">
            <v>31102192</v>
          </cell>
          <cell r="H4195">
            <v>31102192</v>
          </cell>
          <cell r="I4195" t="str">
            <v/>
          </cell>
          <cell r="J4195" t="str">
            <v/>
          </cell>
          <cell r="K4195" t="str">
            <v/>
          </cell>
          <cell r="L4195" t="str">
            <v/>
          </cell>
          <cell r="M4195" t="str">
            <v/>
          </cell>
        </row>
        <row r="4196">
          <cell r="A4196">
            <v>31102192</v>
          </cell>
          <cell r="C4196">
            <v>31102192</v>
          </cell>
          <cell r="D4196">
            <v>31102192</v>
          </cell>
          <cell r="E4196">
            <v>31102192</v>
          </cell>
          <cell r="F4196">
            <v>31102192</v>
          </cell>
          <cell r="G4196">
            <v>31102192</v>
          </cell>
          <cell r="H4196">
            <v>31102192</v>
          </cell>
          <cell r="I4196" t="str">
            <v/>
          </cell>
          <cell r="J4196" t="str">
            <v/>
          </cell>
          <cell r="K4196" t="str">
            <v/>
          </cell>
          <cell r="L4196" t="str">
            <v/>
          </cell>
          <cell r="M4196" t="str">
            <v/>
          </cell>
        </row>
        <row r="4197">
          <cell r="A4197">
            <v>31102192</v>
          </cell>
          <cell r="C4197">
            <v>31102192</v>
          </cell>
          <cell r="D4197">
            <v>31102192</v>
          </cell>
          <cell r="E4197">
            <v>31102192</v>
          </cell>
          <cell r="F4197">
            <v>31102192</v>
          </cell>
          <cell r="G4197">
            <v>31102192</v>
          </cell>
          <cell r="H4197">
            <v>31102192</v>
          </cell>
          <cell r="I4197" t="str">
            <v/>
          </cell>
          <cell r="J4197" t="str">
            <v/>
          </cell>
          <cell r="K4197" t="str">
            <v/>
          </cell>
          <cell r="L4197" t="str">
            <v/>
          </cell>
          <cell r="M4197" t="str">
            <v/>
          </cell>
        </row>
        <row r="4198">
          <cell r="A4198">
            <v>31102192</v>
          </cell>
          <cell r="C4198">
            <v>31102192</v>
          </cell>
          <cell r="D4198">
            <v>31102192</v>
          </cell>
          <cell r="E4198">
            <v>31102192</v>
          </cell>
          <cell r="F4198">
            <v>31102192</v>
          </cell>
          <cell r="G4198">
            <v>31102192</v>
          </cell>
          <cell r="H4198">
            <v>31102192</v>
          </cell>
          <cell r="I4198" t="str">
            <v/>
          </cell>
          <cell r="J4198" t="str">
            <v/>
          </cell>
          <cell r="K4198" t="str">
            <v/>
          </cell>
          <cell r="L4198" t="str">
            <v/>
          </cell>
          <cell r="M4198" t="str">
            <v/>
          </cell>
        </row>
        <row r="4199">
          <cell r="A4199">
            <v>31102192</v>
          </cell>
          <cell r="C4199">
            <v>31102192</v>
          </cell>
          <cell r="D4199">
            <v>31102192</v>
          </cell>
          <cell r="E4199">
            <v>31102192</v>
          </cell>
          <cell r="F4199">
            <v>31102192</v>
          </cell>
          <cell r="G4199">
            <v>31102192</v>
          </cell>
          <cell r="H4199">
            <v>31102192</v>
          </cell>
          <cell r="I4199" t="str">
            <v/>
          </cell>
          <cell r="J4199" t="str">
            <v/>
          </cell>
          <cell r="K4199" t="str">
            <v/>
          </cell>
          <cell r="L4199" t="str">
            <v/>
          </cell>
          <cell r="M4199" t="str">
            <v/>
          </cell>
        </row>
        <row r="4200">
          <cell r="A4200">
            <v>31102192</v>
          </cell>
          <cell r="C4200">
            <v>31102192</v>
          </cell>
          <cell r="D4200">
            <v>31102192</v>
          </cell>
          <cell r="E4200">
            <v>31102192</v>
          </cell>
          <cell r="F4200">
            <v>31102192</v>
          </cell>
          <cell r="G4200">
            <v>31102192</v>
          </cell>
          <cell r="H4200">
            <v>31102192</v>
          </cell>
          <cell r="I4200" t="str">
            <v/>
          </cell>
          <cell r="J4200" t="str">
            <v/>
          </cell>
          <cell r="K4200" t="str">
            <v/>
          </cell>
          <cell r="L4200" t="str">
            <v/>
          </cell>
          <cell r="M4200" t="str">
            <v/>
          </cell>
        </row>
        <row r="4201">
          <cell r="A4201">
            <v>31102192</v>
          </cell>
          <cell r="C4201">
            <v>31102192</v>
          </cell>
          <cell r="D4201">
            <v>31102192</v>
          </cell>
          <cell r="E4201">
            <v>31102192</v>
          </cell>
          <cell r="F4201">
            <v>31102192</v>
          </cell>
          <cell r="G4201">
            <v>31102192</v>
          </cell>
          <cell r="H4201">
            <v>31102192</v>
          </cell>
          <cell r="I4201" t="str">
            <v/>
          </cell>
          <cell r="J4201" t="str">
            <v/>
          </cell>
          <cell r="K4201" t="str">
            <v/>
          </cell>
          <cell r="L4201" t="str">
            <v/>
          </cell>
          <cell r="M4201" t="str">
            <v/>
          </cell>
        </row>
        <row r="4202">
          <cell r="A4202">
            <v>31102192</v>
          </cell>
          <cell r="C4202">
            <v>31102192</v>
          </cell>
          <cell r="D4202">
            <v>31102192</v>
          </cell>
          <cell r="E4202">
            <v>31102192</v>
          </cell>
          <cell r="F4202">
            <v>31102192</v>
          </cell>
          <cell r="G4202">
            <v>31102192</v>
          </cell>
          <cell r="H4202">
            <v>31102192</v>
          </cell>
          <cell r="I4202" t="str">
            <v/>
          </cell>
          <cell r="J4202" t="str">
            <v/>
          </cell>
          <cell r="K4202" t="str">
            <v/>
          </cell>
          <cell r="L4202" t="str">
            <v/>
          </cell>
          <cell r="M4202" t="str">
            <v/>
          </cell>
        </row>
        <row r="4203">
          <cell r="A4203">
            <v>31102192</v>
          </cell>
          <cell r="C4203">
            <v>31102192</v>
          </cell>
          <cell r="D4203">
            <v>31102192</v>
          </cell>
          <cell r="E4203">
            <v>31102192</v>
          </cell>
          <cell r="F4203">
            <v>31102192</v>
          </cell>
          <cell r="G4203">
            <v>31102192</v>
          </cell>
          <cell r="H4203">
            <v>31102192</v>
          </cell>
          <cell r="I4203" t="str">
            <v/>
          </cell>
          <cell r="J4203" t="str">
            <v/>
          </cell>
          <cell r="K4203" t="str">
            <v/>
          </cell>
          <cell r="L4203" t="str">
            <v/>
          </cell>
          <cell r="M4203" t="str">
            <v/>
          </cell>
        </row>
        <row r="4204">
          <cell r="A4204">
            <v>31102192</v>
          </cell>
          <cell r="C4204">
            <v>31102192</v>
          </cell>
          <cell r="D4204">
            <v>31102192</v>
          </cell>
          <cell r="E4204">
            <v>31102192</v>
          </cell>
          <cell r="F4204">
            <v>31102192</v>
          </cell>
          <cell r="G4204">
            <v>31102192</v>
          </cell>
          <cell r="H4204">
            <v>31102192</v>
          </cell>
          <cell r="I4204" t="str">
            <v/>
          </cell>
          <cell r="J4204" t="str">
            <v/>
          </cell>
          <cell r="K4204" t="str">
            <v/>
          </cell>
          <cell r="L4204" t="str">
            <v/>
          </cell>
          <cell r="M4204" t="str">
            <v/>
          </cell>
        </row>
        <row r="4205">
          <cell r="A4205">
            <v>31102192</v>
          </cell>
          <cell r="C4205">
            <v>31102192</v>
          </cell>
          <cell r="D4205">
            <v>31102192</v>
          </cell>
          <cell r="E4205">
            <v>31102192</v>
          </cell>
          <cell r="F4205">
            <v>31102192</v>
          </cell>
          <cell r="G4205">
            <v>31102192</v>
          </cell>
          <cell r="H4205">
            <v>31102192</v>
          </cell>
          <cell r="I4205" t="str">
            <v/>
          </cell>
          <cell r="J4205" t="str">
            <v/>
          </cell>
          <cell r="K4205" t="str">
            <v/>
          </cell>
          <cell r="L4205" t="str">
            <v/>
          </cell>
          <cell r="M4205" t="str">
            <v/>
          </cell>
        </row>
        <row r="4206">
          <cell r="A4206">
            <v>31102192</v>
          </cell>
          <cell r="C4206">
            <v>31102192</v>
          </cell>
          <cell r="D4206">
            <v>31102192</v>
          </cell>
          <cell r="E4206">
            <v>31102192</v>
          </cell>
          <cell r="F4206">
            <v>31102192</v>
          </cell>
          <cell r="G4206">
            <v>31102192</v>
          </cell>
          <cell r="H4206">
            <v>31102192</v>
          </cell>
          <cell r="I4206" t="str">
            <v/>
          </cell>
          <cell r="J4206" t="str">
            <v/>
          </cell>
          <cell r="K4206" t="str">
            <v/>
          </cell>
          <cell r="L4206" t="str">
            <v/>
          </cell>
          <cell r="M4206" t="str">
            <v/>
          </cell>
        </row>
        <row r="4207">
          <cell r="A4207">
            <v>31102192</v>
          </cell>
          <cell r="C4207">
            <v>31102192</v>
          </cell>
          <cell r="D4207">
            <v>31102192</v>
          </cell>
          <cell r="E4207">
            <v>31102192</v>
          </cell>
          <cell r="F4207">
            <v>31102192</v>
          </cell>
          <cell r="G4207">
            <v>31102192</v>
          </cell>
          <cell r="H4207">
            <v>31102192</v>
          </cell>
          <cell r="I4207" t="str">
            <v/>
          </cell>
          <cell r="J4207" t="str">
            <v/>
          </cell>
          <cell r="K4207" t="str">
            <v/>
          </cell>
          <cell r="L4207" t="str">
            <v/>
          </cell>
          <cell r="M4207" t="str">
            <v/>
          </cell>
        </row>
        <row r="4208">
          <cell r="A4208">
            <v>31102192</v>
          </cell>
          <cell r="C4208">
            <v>31102192</v>
          </cell>
          <cell r="D4208">
            <v>31102192</v>
          </cell>
          <cell r="E4208">
            <v>31102192</v>
          </cell>
          <cell r="F4208">
            <v>31102192</v>
          </cell>
          <cell r="G4208">
            <v>31102192</v>
          </cell>
          <cell r="H4208">
            <v>31102192</v>
          </cell>
          <cell r="I4208" t="str">
            <v/>
          </cell>
          <cell r="J4208" t="str">
            <v/>
          </cell>
          <cell r="K4208" t="str">
            <v/>
          </cell>
          <cell r="L4208" t="str">
            <v/>
          </cell>
          <cell r="M4208" t="str">
            <v/>
          </cell>
        </row>
        <row r="4209">
          <cell r="A4209">
            <v>31102192</v>
          </cell>
          <cell r="C4209">
            <v>31102192</v>
          </cell>
          <cell r="D4209">
            <v>31102192</v>
          </cell>
          <cell r="E4209">
            <v>31102192</v>
          </cell>
          <cell r="F4209">
            <v>31102192</v>
          </cell>
          <cell r="G4209">
            <v>31102192</v>
          </cell>
          <cell r="H4209">
            <v>31102192</v>
          </cell>
          <cell r="I4209" t="str">
            <v/>
          </cell>
          <cell r="J4209" t="str">
            <v/>
          </cell>
          <cell r="K4209" t="str">
            <v/>
          </cell>
          <cell r="L4209" t="str">
            <v/>
          </cell>
          <cell r="M4209" t="str">
            <v/>
          </cell>
        </row>
        <row r="4210">
          <cell r="A4210">
            <v>31102192</v>
          </cell>
          <cell r="C4210">
            <v>31102192</v>
          </cell>
          <cell r="D4210">
            <v>31102192</v>
          </cell>
          <cell r="E4210">
            <v>31102192</v>
          </cell>
          <cell r="F4210">
            <v>31102192</v>
          </cell>
          <cell r="G4210">
            <v>31102192</v>
          </cell>
          <cell r="H4210">
            <v>31102192</v>
          </cell>
          <cell r="I4210" t="str">
            <v/>
          </cell>
          <cell r="J4210" t="str">
            <v/>
          </cell>
          <cell r="K4210" t="str">
            <v/>
          </cell>
          <cell r="L4210" t="str">
            <v/>
          </cell>
          <cell r="M4210" t="str">
            <v/>
          </cell>
        </row>
        <row r="4211">
          <cell r="A4211">
            <v>31102192</v>
          </cell>
          <cell r="C4211">
            <v>31102192</v>
          </cell>
          <cell r="D4211">
            <v>31102192</v>
          </cell>
          <cell r="E4211">
            <v>31102192</v>
          </cell>
          <cell r="F4211">
            <v>31102192</v>
          </cell>
          <cell r="G4211">
            <v>31102192</v>
          </cell>
          <cell r="H4211">
            <v>31102192</v>
          </cell>
          <cell r="I4211" t="str">
            <v/>
          </cell>
          <cell r="J4211" t="str">
            <v/>
          </cell>
          <cell r="K4211" t="str">
            <v/>
          </cell>
          <cell r="L4211" t="str">
            <v/>
          </cell>
          <cell r="M4211" t="str">
            <v/>
          </cell>
        </row>
        <row r="4212">
          <cell r="A4212">
            <v>31102192</v>
          </cell>
          <cell r="C4212">
            <v>31102192</v>
          </cell>
          <cell r="D4212">
            <v>31102192</v>
          </cell>
          <cell r="E4212">
            <v>31102192</v>
          </cell>
          <cell r="F4212">
            <v>31102192</v>
          </cell>
          <cell r="G4212">
            <v>31102192</v>
          </cell>
          <cell r="H4212">
            <v>31102192</v>
          </cell>
          <cell r="I4212" t="str">
            <v/>
          </cell>
          <cell r="J4212" t="str">
            <v/>
          </cell>
          <cell r="K4212" t="str">
            <v/>
          </cell>
          <cell r="L4212" t="str">
            <v/>
          </cell>
          <cell r="M4212" t="str">
            <v/>
          </cell>
        </row>
        <row r="4213">
          <cell r="A4213">
            <v>31102192</v>
          </cell>
          <cell r="C4213">
            <v>31102192</v>
          </cell>
          <cell r="D4213">
            <v>31102192</v>
          </cell>
          <cell r="E4213">
            <v>31102192</v>
          </cell>
          <cell r="F4213">
            <v>31102192</v>
          </cell>
          <cell r="G4213">
            <v>31102192</v>
          </cell>
          <cell r="H4213">
            <v>31102192</v>
          </cell>
          <cell r="I4213" t="str">
            <v/>
          </cell>
          <cell r="J4213" t="str">
            <v/>
          </cell>
          <cell r="K4213" t="str">
            <v/>
          </cell>
          <cell r="L4213" t="str">
            <v/>
          </cell>
          <cell r="M4213" t="str">
            <v/>
          </cell>
        </row>
        <row r="4214">
          <cell r="A4214">
            <v>31102192</v>
          </cell>
          <cell r="C4214">
            <v>31102192</v>
          </cell>
          <cell r="D4214">
            <v>31102192</v>
          </cell>
          <cell r="E4214">
            <v>31102192</v>
          </cell>
          <cell r="F4214">
            <v>31102192</v>
          </cell>
          <cell r="G4214">
            <v>31102192</v>
          </cell>
          <cell r="H4214">
            <v>31102192</v>
          </cell>
          <cell r="I4214" t="str">
            <v/>
          </cell>
          <cell r="J4214" t="str">
            <v/>
          </cell>
          <cell r="K4214" t="str">
            <v/>
          </cell>
          <cell r="L4214" t="str">
            <v/>
          </cell>
          <cell r="M4214" t="str">
            <v/>
          </cell>
        </row>
        <row r="4215">
          <cell r="A4215">
            <v>31102192</v>
          </cell>
          <cell r="C4215">
            <v>31102192</v>
          </cell>
          <cell r="D4215">
            <v>31102192</v>
          </cell>
          <cell r="E4215">
            <v>31102192</v>
          </cell>
          <cell r="F4215">
            <v>31102192</v>
          </cell>
          <cell r="G4215">
            <v>31102192</v>
          </cell>
          <cell r="H4215">
            <v>31102192</v>
          </cell>
          <cell r="I4215" t="str">
            <v/>
          </cell>
          <cell r="J4215" t="str">
            <v/>
          </cell>
          <cell r="K4215" t="str">
            <v/>
          </cell>
          <cell r="L4215" t="str">
            <v/>
          </cell>
          <cell r="M4215" t="str">
            <v/>
          </cell>
        </row>
        <row r="4216">
          <cell r="A4216">
            <v>31102192</v>
          </cell>
          <cell r="C4216">
            <v>31102192</v>
          </cell>
          <cell r="D4216">
            <v>31102192</v>
          </cell>
          <cell r="E4216">
            <v>31102192</v>
          </cell>
          <cell r="F4216">
            <v>31102192</v>
          </cell>
          <cell r="G4216">
            <v>31102192</v>
          </cell>
          <cell r="H4216">
            <v>31102192</v>
          </cell>
          <cell r="I4216" t="str">
            <v/>
          </cell>
          <cell r="J4216" t="str">
            <v/>
          </cell>
          <cell r="K4216" t="str">
            <v/>
          </cell>
          <cell r="L4216" t="str">
            <v/>
          </cell>
          <cell r="M4216" t="str">
            <v/>
          </cell>
        </row>
        <row r="4217">
          <cell r="A4217">
            <v>31102192</v>
          </cell>
          <cell r="C4217">
            <v>31102192</v>
          </cell>
          <cell r="D4217">
            <v>31102192</v>
          </cell>
          <cell r="E4217">
            <v>31102192</v>
          </cell>
          <cell r="F4217">
            <v>31102192</v>
          </cell>
          <cell r="G4217">
            <v>31102192</v>
          </cell>
          <cell r="H4217">
            <v>31102192</v>
          </cell>
          <cell r="I4217" t="str">
            <v/>
          </cell>
          <cell r="J4217" t="str">
            <v/>
          </cell>
          <cell r="K4217" t="str">
            <v/>
          </cell>
          <cell r="L4217" t="str">
            <v/>
          </cell>
          <cell r="M4217" t="str">
            <v/>
          </cell>
        </row>
        <row r="4218">
          <cell r="A4218">
            <v>31102192</v>
          </cell>
          <cell r="C4218">
            <v>31102192</v>
          </cell>
          <cell r="D4218">
            <v>31102192</v>
          </cell>
          <cell r="E4218">
            <v>31102192</v>
          </cell>
          <cell r="F4218">
            <v>31102192</v>
          </cell>
          <cell r="G4218">
            <v>31102192</v>
          </cell>
          <cell r="H4218">
            <v>31102192</v>
          </cell>
          <cell r="I4218" t="str">
            <v/>
          </cell>
          <cell r="J4218" t="str">
            <v/>
          </cell>
          <cell r="K4218" t="str">
            <v/>
          </cell>
          <cell r="L4218" t="str">
            <v/>
          </cell>
          <cell r="M4218" t="str">
            <v/>
          </cell>
        </row>
        <row r="4219">
          <cell r="A4219">
            <v>31102192</v>
          </cell>
          <cell r="C4219">
            <v>31102192</v>
          </cell>
          <cell r="D4219">
            <v>31102192</v>
          </cell>
          <cell r="E4219">
            <v>31102192</v>
          </cell>
          <cell r="F4219">
            <v>31102192</v>
          </cell>
          <cell r="G4219">
            <v>31102192</v>
          </cell>
          <cell r="H4219">
            <v>31102192</v>
          </cell>
          <cell r="I4219" t="str">
            <v/>
          </cell>
          <cell r="J4219" t="str">
            <v/>
          </cell>
          <cell r="K4219" t="str">
            <v/>
          </cell>
          <cell r="L4219" t="str">
            <v/>
          </cell>
          <cell r="M4219" t="str">
            <v/>
          </cell>
        </row>
        <row r="4220">
          <cell r="A4220">
            <v>31102192</v>
          </cell>
          <cell r="C4220">
            <v>31102192</v>
          </cell>
          <cell r="D4220">
            <v>31102192</v>
          </cell>
          <cell r="E4220">
            <v>31102192</v>
          </cell>
          <cell r="F4220">
            <v>31102192</v>
          </cell>
          <cell r="G4220">
            <v>31102192</v>
          </cell>
          <cell r="H4220">
            <v>31102192</v>
          </cell>
          <cell r="I4220" t="str">
            <v/>
          </cell>
          <cell r="J4220" t="str">
            <v/>
          </cell>
          <cell r="K4220" t="str">
            <v/>
          </cell>
          <cell r="L4220" t="str">
            <v/>
          </cell>
          <cell r="M4220" t="str">
            <v/>
          </cell>
        </row>
        <row r="4221">
          <cell r="A4221">
            <v>31102192</v>
          </cell>
          <cell r="C4221">
            <v>31102192</v>
          </cell>
          <cell r="D4221">
            <v>31102192</v>
          </cell>
          <cell r="E4221">
            <v>31102192</v>
          </cell>
          <cell r="F4221">
            <v>31102192</v>
          </cell>
          <cell r="G4221">
            <v>31102192</v>
          </cell>
          <cell r="H4221">
            <v>31102192</v>
          </cell>
          <cell r="I4221" t="str">
            <v/>
          </cell>
          <cell r="J4221" t="str">
            <v/>
          </cell>
          <cell r="K4221" t="str">
            <v/>
          </cell>
          <cell r="L4221" t="str">
            <v/>
          </cell>
          <cell r="M4221" t="str">
            <v/>
          </cell>
        </row>
        <row r="4222">
          <cell r="A4222">
            <v>31102192</v>
          </cell>
          <cell r="C4222">
            <v>31102192</v>
          </cell>
          <cell r="D4222">
            <v>31102192</v>
          </cell>
          <cell r="E4222">
            <v>31102192</v>
          </cell>
          <cell r="F4222">
            <v>31102192</v>
          </cell>
          <cell r="G4222">
            <v>31102192</v>
          </cell>
          <cell r="H4222">
            <v>31102192</v>
          </cell>
          <cell r="I4222" t="str">
            <v/>
          </cell>
          <cell r="J4222" t="str">
            <v/>
          </cell>
          <cell r="K4222" t="str">
            <v/>
          </cell>
          <cell r="L4222" t="str">
            <v/>
          </cell>
          <cell r="M4222" t="str">
            <v/>
          </cell>
        </row>
        <row r="4223">
          <cell r="A4223">
            <v>31102192</v>
          </cell>
          <cell r="C4223">
            <v>31102192</v>
          </cell>
          <cell r="D4223">
            <v>31102192</v>
          </cell>
          <cell r="E4223">
            <v>31102192</v>
          </cell>
          <cell r="F4223">
            <v>31102192</v>
          </cell>
          <cell r="G4223">
            <v>31102192</v>
          </cell>
          <cell r="H4223">
            <v>31102192</v>
          </cell>
          <cell r="I4223" t="str">
            <v/>
          </cell>
          <cell r="J4223" t="str">
            <v/>
          </cell>
          <cell r="K4223" t="str">
            <v/>
          </cell>
          <cell r="L4223" t="str">
            <v/>
          </cell>
          <cell r="M4223" t="str">
            <v/>
          </cell>
        </row>
        <row r="4224">
          <cell r="A4224">
            <v>31102192</v>
          </cell>
          <cell r="C4224">
            <v>31102192</v>
          </cell>
          <cell r="D4224">
            <v>31102192</v>
          </cell>
          <cell r="E4224">
            <v>31102192</v>
          </cell>
          <cell r="F4224">
            <v>31102192</v>
          </cell>
          <cell r="G4224">
            <v>31102192</v>
          </cell>
          <cell r="H4224">
            <v>31102192</v>
          </cell>
          <cell r="I4224" t="str">
            <v/>
          </cell>
          <cell r="J4224" t="str">
            <v/>
          </cell>
          <cell r="K4224" t="str">
            <v/>
          </cell>
          <cell r="L4224" t="str">
            <v/>
          </cell>
          <cell r="M4224" t="str">
            <v/>
          </cell>
        </row>
        <row r="4225">
          <cell r="A4225">
            <v>31102192</v>
          </cell>
          <cell r="C4225">
            <v>31102192</v>
          </cell>
          <cell r="D4225">
            <v>31102192</v>
          </cell>
          <cell r="E4225">
            <v>31102192</v>
          </cell>
          <cell r="F4225">
            <v>31102192</v>
          </cell>
          <cell r="G4225">
            <v>31102192</v>
          </cell>
          <cell r="H4225">
            <v>31102192</v>
          </cell>
          <cell r="I4225" t="str">
            <v/>
          </cell>
          <cell r="J4225" t="str">
            <v/>
          </cell>
          <cell r="K4225" t="str">
            <v/>
          </cell>
          <cell r="L4225" t="str">
            <v/>
          </cell>
          <cell r="M4225" t="str">
            <v/>
          </cell>
        </row>
        <row r="4226">
          <cell r="A4226">
            <v>31102192</v>
          </cell>
          <cell r="C4226">
            <v>31102192</v>
          </cell>
          <cell r="D4226">
            <v>31102192</v>
          </cell>
          <cell r="E4226">
            <v>31102192</v>
          </cell>
          <cell r="F4226">
            <v>31102192</v>
          </cell>
          <cell r="G4226">
            <v>31102192</v>
          </cell>
          <cell r="H4226">
            <v>31102192</v>
          </cell>
          <cell r="I4226" t="str">
            <v/>
          </cell>
          <cell r="J4226" t="str">
            <v/>
          </cell>
          <cell r="K4226" t="str">
            <v/>
          </cell>
          <cell r="L4226" t="str">
            <v/>
          </cell>
          <cell r="M4226" t="str">
            <v/>
          </cell>
        </row>
        <row r="4227">
          <cell r="A4227">
            <v>31102192</v>
          </cell>
          <cell r="C4227">
            <v>31102192</v>
          </cell>
          <cell r="D4227">
            <v>31102192</v>
          </cell>
          <cell r="E4227">
            <v>31102192</v>
          </cell>
          <cell r="F4227">
            <v>31102192</v>
          </cell>
          <cell r="G4227">
            <v>31102192</v>
          </cell>
          <cell r="H4227">
            <v>31102192</v>
          </cell>
          <cell r="I4227" t="str">
            <v/>
          </cell>
          <cell r="J4227" t="str">
            <v/>
          </cell>
          <cell r="K4227" t="str">
            <v/>
          </cell>
          <cell r="L4227" t="str">
            <v/>
          </cell>
          <cell r="M4227" t="str">
            <v/>
          </cell>
        </row>
        <row r="4228">
          <cell r="A4228">
            <v>31102192</v>
          </cell>
          <cell r="C4228">
            <v>31102192</v>
          </cell>
          <cell r="D4228">
            <v>31102192</v>
          </cell>
          <cell r="E4228">
            <v>31102192</v>
          </cell>
          <cell r="F4228">
            <v>31102192</v>
          </cell>
          <cell r="G4228">
            <v>31102192</v>
          </cell>
          <cell r="H4228">
            <v>31102192</v>
          </cell>
          <cell r="I4228" t="str">
            <v/>
          </cell>
          <cell r="J4228" t="str">
            <v/>
          </cell>
          <cell r="K4228" t="str">
            <v/>
          </cell>
          <cell r="L4228" t="str">
            <v/>
          </cell>
          <cell r="M4228" t="str">
            <v/>
          </cell>
        </row>
        <row r="4229">
          <cell r="A4229">
            <v>31102192</v>
          </cell>
          <cell r="C4229">
            <v>31102192</v>
          </cell>
          <cell r="D4229">
            <v>31102192</v>
          </cell>
          <cell r="E4229">
            <v>31102192</v>
          </cell>
          <cell r="F4229">
            <v>31102192</v>
          </cell>
          <cell r="G4229">
            <v>31102192</v>
          </cell>
          <cell r="H4229">
            <v>31102192</v>
          </cell>
          <cell r="I4229" t="str">
            <v/>
          </cell>
          <cell r="J4229" t="str">
            <v/>
          </cell>
          <cell r="K4229" t="str">
            <v/>
          </cell>
          <cell r="L4229" t="str">
            <v/>
          </cell>
          <cell r="M4229" t="str">
            <v/>
          </cell>
        </row>
        <row r="4230">
          <cell r="A4230">
            <v>31102192</v>
          </cell>
          <cell r="C4230">
            <v>31102192</v>
          </cell>
          <cell r="D4230">
            <v>31102192</v>
          </cell>
          <cell r="E4230">
            <v>31102192</v>
          </cell>
          <cell r="F4230">
            <v>31102192</v>
          </cell>
          <cell r="G4230">
            <v>31102192</v>
          </cell>
          <cell r="H4230">
            <v>31102192</v>
          </cell>
          <cell r="I4230" t="str">
            <v/>
          </cell>
          <cell r="J4230" t="str">
            <v/>
          </cell>
          <cell r="K4230" t="str">
            <v/>
          </cell>
          <cell r="L4230" t="str">
            <v/>
          </cell>
          <cell r="M4230" t="str">
            <v/>
          </cell>
        </row>
        <row r="4231">
          <cell r="A4231">
            <v>31102192</v>
          </cell>
          <cell r="C4231">
            <v>31102192</v>
          </cell>
          <cell r="D4231">
            <v>31102192</v>
          </cell>
          <cell r="E4231">
            <v>31102192</v>
          </cell>
          <cell r="F4231">
            <v>31102192</v>
          </cell>
          <cell r="G4231">
            <v>31102192</v>
          </cell>
          <cell r="H4231">
            <v>31102192</v>
          </cell>
          <cell r="I4231" t="str">
            <v/>
          </cell>
          <cell r="J4231" t="str">
            <v/>
          </cell>
          <cell r="K4231" t="str">
            <v/>
          </cell>
          <cell r="L4231" t="str">
            <v/>
          </cell>
          <cell r="M4231" t="str">
            <v/>
          </cell>
        </row>
        <row r="4232">
          <cell r="A4232">
            <v>31102192</v>
          </cell>
          <cell r="C4232">
            <v>31102192</v>
          </cell>
          <cell r="D4232">
            <v>31102192</v>
          </cell>
          <cell r="E4232">
            <v>31102192</v>
          </cell>
          <cell r="F4232">
            <v>31102192</v>
          </cell>
          <cell r="G4232">
            <v>31102192</v>
          </cell>
          <cell r="H4232">
            <v>31102192</v>
          </cell>
          <cell r="I4232" t="str">
            <v/>
          </cell>
          <cell r="J4232" t="str">
            <v/>
          </cell>
          <cell r="K4232" t="str">
            <v/>
          </cell>
          <cell r="L4232" t="str">
            <v/>
          </cell>
          <cell r="M4232" t="str">
            <v/>
          </cell>
        </row>
        <row r="4233">
          <cell r="A4233">
            <v>31102192</v>
          </cell>
          <cell r="C4233">
            <v>31102192</v>
          </cell>
          <cell r="D4233">
            <v>31102192</v>
          </cell>
          <cell r="E4233">
            <v>31102192</v>
          </cell>
          <cell r="F4233">
            <v>31102192</v>
          </cell>
          <cell r="G4233">
            <v>31102192</v>
          </cell>
          <cell r="H4233">
            <v>31102192</v>
          </cell>
          <cell r="I4233" t="str">
            <v/>
          </cell>
          <cell r="J4233" t="str">
            <v/>
          </cell>
          <cell r="K4233" t="str">
            <v/>
          </cell>
          <cell r="L4233" t="str">
            <v/>
          </cell>
          <cell r="M4233" t="str">
            <v/>
          </cell>
        </row>
        <row r="4234">
          <cell r="A4234">
            <v>31102192</v>
          </cell>
          <cell r="C4234">
            <v>31102192</v>
          </cell>
          <cell r="D4234">
            <v>31102192</v>
          </cell>
          <cell r="E4234">
            <v>31102192</v>
          </cell>
          <cell r="F4234">
            <v>31102192</v>
          </cell>
          <cell r="G4234">
            <v>31102192</v>
          </cell>
          <cell r="H4234">
            <v>31102192</v>
          </cell>
          <cell r="I4234" t="str">
            <v/>
          </cell>
          <cell r="J4234" t="str">
            <v/>
          </cell>
          <cell r="K4234" t="str">
            <v/>
          </cell>
          <cell r="L4234" t="str">
            <v/>
          </cell>
          <cell r="M4234" t="str">
            <v/>
          </cell>
        </row>
        <row r="4235">
          <cell r="A4235">
            <v>31102192</v>
          </cell>
          <cell r="C4235">
            <v>31102192</v>
          </cell>
          <cell r="D4235">
            <v>31102192</v>
          </cell>
          <cell r="E4235">
            <v>31102192</v>
          </cell>
          <cell r="F4235">
            <v>31102192</v>
          </cell>
          <cell r="G4235">
            <v>31102192</v>
          </cell>
          <cell r="H4235">
            <v>31102192</v>
          </cell>
          <cell r="I4235" t="str">
            <v/>
          </cell>
          <cell r="J4235" t="str">
            <v/>
          </cell>
          <cell r="K4235" t="str">
            <v/>
          </cell>
          <cell r="L4235" t="str">
            <v/>
          </cell>
          <cell r="M4235" t="str">
            <v/>
          </cell>
        </row>
        <row r="4236">
          <cell r="A4236">
            <v>31102192</v>
          </cell>
          <cell r="C4236">
            <v>31102192</v>
          </cell>
          <cell r="D4236">
            <v>31102192</v>
          </cell>
          <cell r="E4236">
            <v>31102192</v>
          </cell>
          <cell r="F4236">
            <v>31102192</v>
          </cell>
          <cell r="G4236">
            <v>31102192</v>
          </cell>
          <cell r="H4236">
            <v>31102192</v>
          </cell>
          <cell r="I4236" t="str">
            <v/>
          </cell>
          <cell r="J4236" t="str">
            <v/>
          </cell>
          <cell r="K4236" t="str">
            <v/>
          </cell>
          <cell r="L4236" t="str">
            <v/>
          </cell>
          <cell r="M4236" t="str">
            <v/>
          </cell>
        </row>
        <row r="4237">
          <cell r="A4237">
            <v>31102192</v>
          </cell>
          <cell r="C4237">
            <v>31102192</v>
          </cell>
          <cell r="D4237">
            <v>31102192</v>
          </cell>
          <cell r="E4237">
            <v>31102192</v>
          </cell>
          <cell r="F4237">
            <v>31102192</v>
          </cell>
          <cell r="G4237">
            <v>31102192</v>
          </cell>
          <cell r="H4237">
            <v>31102192</v>
          </cell>
          <cell r="I4237" t="str">
            <v/>
          </cell>
          <cell r="J4237" t="str">
            <v/>
          </cell>
          <cell r="K4237" t="str">
            <v/>
          </cell>
          <cell r="L4237" t="str">
            <v/>
          </cell>
          <cell r="M4237" t="str">
            <v/>
          </cell>
        </row>
        <row r="4238">
          <cell r="A4238">
            <v>31102192</v>
          </cell>
          <cell r="C4238">
            <v>31102192</v>
          </cell>
          <cell r="D4238">
            <v>31102192</v>
          </cell>
          <cell r="E4238">
            <v>31102192</v>
          </cell>
          <cell r="F4238">
            <v>31102192</v>
          </cell>
          <cell r="G4238">
            <v>31102192</v>
          </cell>
          <cell r="H4238">
            <v>31102192</v>
          </cell>
          <cell r="I4238" t="str">
            <v/>
          </cell>
          <cell r="J4238" t="str">
            <v/>
          </cell>
          <cell r="K4238" t="str">
            <v/>
          </cell>
          <cell r="L4238" t="str">
            <v/>
          </cell>
          <cell r="M4238" t="str">
            <v/>
          </cell>
        </row>
        <row r="4239">
          <cell r="A4239">
            <v>31102192</v>
          </cell>
          <cell r="C4239">
            <v>31102192</v>
          </cell>
          <cell r="D4239">
            <v>31102192</v>
          </cell>
          <cell r="E4239">
            <v>31102192</v>
          </cell>
          <cell r="F4239">
            <v>31102192</v>
          </cell>
          <cell r="G4239">
            <v>31102192</v>
          </cell>
          <cell r="H4239">
            <v>31102192</v>
          </cell>
          <cell r="I4239" t="str">
            <v/>
          </cell>
          <cell r="J4239" t="str">
            <v/>
          </cell>
          <cell r="K4239" t="str">
            <v/>
          </cell>
          <cell r="L4239" t="str">
            <v/>
          </cell>
          <cell r="M4239" t="str">
            <v/>
          </cell>
        </row>
        <row r="4240">
          <cell r="A4240">
            <v>31102192</v>
          </cell>
          <cell r="C4240">
            <v>31102192</v>
          </cell>
          <cell r="D4240">
            <v>31102192</v>
          </cell>
          <cell r="E4240">
            <v>31102192</v>
          </cell>
          <cell r="F4240">
            <v>31102192</v>
          </cell>
          <cell r="G4240">
            <v>31102192</v>
          </cell>
          <cell r="H4240">
            <v>31102192</v>
          </cell>
          <cell r="I4240" t="str">
            <v/>
          </cell>
          <cell r="J4240" t="str">
            <v/>
          </cell>
          <cell r="K4240" t="str">
            <v/>
          </cell>
          <cell r="L4240" t="str">
            <v/>
          </cell>
          <cell r="M4240" t="str">
            <v/>
          </cell>
        </row>
        <row r="4241">
          <cell r="A4241">
            <v>31102192</v>
          </cell>
          <cell r="C4241">
            <v>31102192</v>
          </cell>
          <cell r="D4241">
            <v>31102192</v>
          </cell>
          <cell r="E4241">
            <v>31102192</v>
          </cell>
          <cell r="F4241">
            <v>31102192</v>
          </cell>
          <cell r="G4241">
            <v>31102192</v>
          </cell>
          <cell r="H4241">
            <v>31102192</v>
          </cell>
          <cell r="I4241" t="str">
            <v/>
          </cell>
          <cell r="J4241" t="str">
            <v/>
          </cell>
          <cell r="K4241" t="str">
            <v/>
          </cell>
          <cell r="L4241" t="str">
            <v/>
          </cell>
          <cell r="M4241" t="str">
            <v/>
          </cell>
        </row>
        <row r="4242">
          <cell r="A4242">
            <v>31102192</v>
          </cell>
          <cell r="C4242">
            <v>31102192</v>
          </cell>
          <cell r="D4242">
            <v>31102192</v>
          </cell>
          <cell r="E4242">
            <v>31102192</v>
          </cell>
          <cell r="F4242">
            <v>31102192</v>
          </cell>
          <cell r="G4242">
            <v>31102192</v>
          </cell>
          <cell r="H4242">
            <v>31102192</v>
          </cell>
          <cell r="I4242" t="str">
            <v/>
          </cell>
          <cell r="J4242" t="str">
            <v/>
          </cell>
          <cell r="K4242" t="str">
            <v/>
          </cell>
          <cell r="L4242" t="str">
            <v/>
          </cell>
          <cell r="M4242" t="str">
            <v/>
          </cell>
        </row>
        <row r="4243">
          <cell r="A4243">
            <v>31102192</v>
          </cell>
          <cell r="C4243">
            <v>31102192</v>
          </cell>
          <cell r="D4243">
            <v>31102192</v>
          </cell>
          <cell r="E4243">
            <v>31102192</v>
          </cell>
          <cell r="F4243">
            <v>31102192</v>
          </cell>
          <cell r="G4243">
            <v>31102192</v>
          </cell>
          <cell r="H4243">
            <v>31102192</v>
          </cell>
          <cell r="I4243" t="str">
            <v/>
          </cell>
          <cell r="J4243" t="str">
            <v/>
          </cell>
          <cell r="K4243" t="str">
            <v/>
          </cell>
          <cell r="L4243" t="str">
            <v/>
          </cell>
          <cell r="M4243" t="str">
            <v/>
          </cell>
        </row>
        <row r="4244">
          <cell r="A4244">
            <v>31102192</v>
          </cell>
          <cell r="C4244">
            <v>31102192</v>
          </cell>
          <cell r="D4244">
            <v>31102192</v>
          </cell>
          <cell r="E4244">
            <v>31102192</v>
          </cell>
          <cell r="F4244">
            <v>31102192</v>
          </cell>
          <cell r="G4244">
            <v>31102192</v>
          </cell>
          <cell r="H4244">
            <v>31102192</v>
          </cell>
          <cell r="I4244" t="str">
            <v/>
          </cell>
          <cell r="J4244" t="str">
            <v/>
          </cell>
          <cell r="K4244" t="str">
            <v/>
          </cell>
          <cell r="L4244" t="str">
            <v/>
          </cell>
          <cell r="M4244" t="str">
            <v/>
          </cell>
        </row>
        <row r="4245">
          <cell r="A4245">
            <v>31102192</v>
          </cell>
          <cell r="C4245">
            <v>31102192</v>
          </cell>
          <cell r="D4245">
            <v>31102192</v>
          </cell>
          <cell r="E4245">
            <v>31102192</v>
          </cell>
          <cell r="F4245">
            <v>31102192</v>
          </cell>
          <cell r="G4245">
            <v>31102192</v>
          </cell>
          <cell r="H4245">
            <v>31102192</v>
          </cell>
          <cell r="I4245" t="str">
            <v/>
          </cell>
          <cell r="J4245" t="str">
            <v/>
          </cell>
          <cell r="K4245" t="str">
            <v/>
          </cell>
          <cell r="L4245" t="str">
            <v/>
          </cell>
          <cell r="M4245" t="str">
            <v/>
          </cell>
        </row>
        <row r="4246">
          <cell r="A4246">
            <v>31102192</v>
          </cell>
          <cell r="C4246">
            <v>31102192</v>
          </cell>
          <cell r="D4246">
            <v>31102192</v>
          </cell>
          <cell r="E4246">
            <v>31102192</v>
          </cell>
          <cell r="F4246">
            <v>31102192</v>
          </cell>
          <cell r="G4246">
            <v>31102192</v>
          </cell>
          <cell r="H4246">
            <v>31102192</v>
          </cell>
          <cell r="I4246" t="str">
            <v/>
          </cell>
          <cell r="J4246" t="str">
            <v/>
          </cell>
          <cell r="K4246" t="str">
            <v/>
          </cell>
          <cell r="L4246" t="str">
            <v/>
          </cell>
          <cell r="M4246" t="str">
            <v/>
          </cell>
        </row>
        <row r="4247">
          <cell r="A4247">
            <v>31102192</v>
          </cell>
          <cell r="C4247">
            <v>31102192</v>
          </cell>
          <cell r="D4247">
            <v>31102192</v>
          </cell>
          <cell r="E4247">
            <v>31102192</v>
          </cell>
          <cell r="F4247">
            <v>31102192</v>
          </cell>
          <cell r="G4247">
            <v>31102192</v>
          </cell>
          <cell r="H4247">
            <v>31102192</v>
          </cell>
          <cell r="I4247" t="str">
            <v/>
          </cell>
          <cell r="J4247" t="str">
            <v/>
          </cell>
          <cell r="K4247" t="str">
            <v/>
          </cell>
          <cell r="L4247" t="str">
            <v/>
          </cell>
          <cell r="M4247" t="str">
            <v/>
          </cell>
        </row>
        <row r="4248">
          <cell r="A4248">
            <v>31102192</v>
          </cell>
          <cell r="C4248">
            <v>31102192</v>
          </cell>
          <cell r="D4248">
            <v>31102192</v>
          </cell>
          <cell r="E4248">
            <v>31102192</v>
          </cell>
          <cell r="F4248">
            <v>31102192</v>
          </cell>
          <cell r="G4248">
            <v>31102192</v>
          </cell>
          <cell r="H4248">
            <v>31102192</v>
          </cell>
          <cell r="I4248" t="str">
            <v/>
          </cell>
          <cell r="J4248" t="str">
            <v/>
          </cell>
          <cell r="K4248" t="str">
            <v/>
          </cell>
          <cell r="L4248" t="str">
            <v/>
          </cell>
          <cell r="M4248" t="str">
            <v/>
          </cell>
        </row>
        <row r="4249">
          <cell r="A4249">
            <v>31102192</v>
          </cell>
          <cell r="C4249">
            <v>31102192</v>
          </cell>
          <cell r="D4249">
            <v>31102192</v>
          </cell>
          <cell r="E4249">
            <v>31102192</v>
          </cell>
          <cell r="F4249">
            <v>31102192</v>
          </cell>
          <cell r="G4249">
            <v>31102192</v>
          </cell>
          <cell r="H4249">
            <v>31102192</v>
          </cell>
          <cell r="I4249" t="str">
            <v/>
          </cell>
          <cell r="J4249" t="str">
            <v/>
          </cell>
          <cell r="K4249" t="str">
            <v/>
          </cell>
          <cell r="L4249" t="str">
            <v/>
          </cell>
          <cell r="M4249" t="str">
            <v/>
          </cell>
        </row>
        <row r="4250">
          <cell r="A4250">
            <v>31102192</v>
          </cell>
          <cell r="C4250">
            <v>31102192</v>
          </cell>
          <cell r="D4250">
            <v>31102192</v>
          </cell>
          <cell r="E4250">
            <v>31102192</v>
          </cell>
          <cell r="F4250">
            <v>31102192</v>
          </cell>
          <cell r="G4250">
            <v>31102192</v>
          </cell>
          <cell r="H4250">
            <v>31102192</v>
          </cell>
          <cell r="I4250" t="str">
            <v/>
          </cell>
          <cell r="J4250" t="str">
            <v/>
          </cell>
          <cell r="K4250" t="str">
            <v/>
          </cell>
          <cell r="L4250" t="str">
            <v/>
          </cell>
          <cell r="M4250" t="str">
            <v/>
          </cell>
        </row>
        <row r="4251">
          <cell r="A4251">
            <v>31102192</v>
          </cell>
          <cell r="C4251">
            <v>31102192</v>
          </cell>
          <cell r="D4251">
            <v>31102192</v>
          </cell>
          <cell r="E4251">
            <v>31102192</v>
          </cell>
          <cell r="F4251">
            <v>31102192</v>
          </cell>
          <cell r="G4251">
            <v>31102192</v>
          </cell>
          <cell r="H4251">
            <v>31102192</v>
          </cell>
          <cell r="I4251" t="str">
            <v/>
          </cell>
          <cell r="J4251" t="str">
            <v/>
          </cell>
          <cell r="K4251" t="str">
            <v/>
          </cell>
          <cell r="L4251" t="str">
            <v/>
          </cell>
          <cell r="M4251" t="str">
            <v/>
          </cell>
        </row>
        <row r="4252">
          <cell r="A4252">
            <v>31102192</v>
          </cell>
          <cell r="C4252">
            <v>31102192</v>
          </cell>
          <cell r="D4252">
            <v>31102192</v>
          </cell>
          <cell r="E4252">
            <v>31102192</v>
          </cell>
          <cell r="F4252">
            <v>31102192</v>
          </cell>
          <cell r="G4252">
            <v>31102192</v>
          </cell>
          <cell r="H4252">
            <v>31102192</v>
          </cell>
          <cell r="I4252" t="str">
            <v/>
          </cell>
          <cell r="J4252" t="str">
            <v/>
          </cell>
          <cell r="K4252" t="str">
            <v/>
          </cell>
          <cell r="L4252" t="str">
            <v/>
          </cell>
          <cell r="M4252" t="str">
            <v/>
          </cell>
        </row>
        <row r="4253">
          <cell r="A4253">
            <v>31102192</v>
          </cell>
          <cell r="C4253">
            <v>31102192</v>
          </cell>
          <cell r="D4253">
            <v>31102192</v>
          </cell>
          <cell r="E4253">
            <v>31102192</v>
          </cell>
          <cell r="F4253">
            <v>31102192</v>
          </cell>
          <cell r="G4253">
            <v>31102192</v>
          </cell>
          <cell r="H4253">
            <v>31102192</v>
          </cell>
          <cell r="I4253" t="str">
            <v/>
          </cell>
          <cell r="J4253" t="str">
            <v/>
          </cell>
          <cell r="K4253" t="str">
            <v/>
          </cell>
          <cell r="L4253" t="str">
            <v/>
          </cell>
          <cell r="M4253" t="str">
            <v/>
          </cell>
        </row>
        <row r="4254">
          <cell r="A4254">
            <v>31102192</v>
          </cell>
          <cell r="C4254">
            <v>31102192</v>
          </cell>
          <cell r="D4254">
            <v>31102192</v>
          </cell>
          <cell r="E4254">
            <v>31102192</v>
          </cell>
          <cell r="F4254">
            <v>31102192</v>
          </cell>
          <cell r="G4254">
            <v>31102192</v>
          </cell>
          <cell r="H4254">
            <v>31102192</v>
          </cell>
          <cell r="I4254" t="str">
            <v/>
          </cell>
          <cell r="J4254" t="str">
            <v/>
          </cell>
          <cell r="K4254" t="str">
            <v/>
          </cell>
          <cell r="L4254" t="str">
            <v/>
          </cell>
          <cell r="M4254" t="str">
            <v/>
          </cell>
        </row>
        <row r="4255">
          <cell r="A4255">
            <v>31102192</v>
          </cell>
          <cell r="C4255">
            <v>31102192</v>
          </cell>
          <cell r="D4255">
            <v>31102192</v>
          </cell>
          <cell r="E4255">
            <v>31102192</v>
          </cell>
          <cell r="F4255">
            <v>31102192</v>
          </cell>
          <cell r="G4255">
            <v>31102192</v>
          </cell>
          <cell r="H4255">
            <v>31102192</v>
          </cell>
          <cell r="I4255" t="str">
            <v/>
          </cell>
          <cell r="J4255" t="str">
            <v/>
          </cell>
          <cell r="K4255" t="str">
            <v/>
          </cell>
          <cell r="L4255" t="str">
            <v/>
          </cell>
          <cell r="M4255" t="str">
            <v/>
          </cell>
        </row>
        <row r="4256">
          <cell r="A4256">
            <v>31102192</v>
          </cell>
          <cell r="C4256">
            <v>31102192</v>
          </cell>
          <cell r="D4256">
            <v>31102192</v>
          </cell>
          <cell r="E4256">
            <v>31102192</v>
          </cell>
          <cell r="F4256">
            <v>31102192</v>
          </cell>
          <cell r="G4256">
            <v>31102192</v>
          </cell>
          <cell r="H4256">
            <v>31102192</v>
          </cell>
          <cell r="I4256" t="str">
            <v/>
          </cell>
          <cell r="J4256" t="str">
            <v/>
          </cell>
          <cell r="K4256" t="str">
            <v/>
          </cell>
          <cell r="L4256" t="str">
            <v/>
          </cell>
          <cell r="M4256" t="str">
            <v/>
          </cell>
        </row>
        <row r="4257">
          <cell r="A4257">
            <v>31102192</v>
          </cell>
          <cell r="C4257">
            <v>31102192</v>
          </cell>
          <cell r="D4257">
            <v>31102192</v>
          </cell>
          <cell r="E4257">
            <v>31102192</v>
          </cell>
          <cell r="F4257">
            <v>31102192</v>
          </cell>
          <cell r="G4257">
            <v>31102192</v>
          </cell>
          <cell r="H4257">
            <v>31102192</v>
          </cell>
          <cell r="I4257" t="str">
            <v/>
          </cell>
          <cell r="J4257" t="str">
            <v/>
          </cell>
          <cell r="K4257" t="str">
            <v/>
          </cell>
          <cell r="L4257" t="str">
            <v/>
          </cell>
          <cell r="M4257" t="str">
            <v/>
          </cell>
        </row>
        <row r="4258">
          <cell r="A4258">
            <v>31102192</v>
          </cell>
          <cell r="C4258">
            <v>31102192</v>
          </cell>
          <cell r="D4258">
            <v>31102192</v>
          </cell>
          <cell r="E4258">
            <v>31102192</v>
          </cell>
          <cell r="F4258">
            <v>31102192</v>
          </cell>
          <cell r="G4258">
            <v>31102192</v>
          </cell>
          <cell r="H4258">
            <v>31102192</v>
          </cell>
          <cell r="I4258" t="str">
            <v/>
          </cell>
          <cell r="J4258" t="str">
            <v/>
          </cell>
          <cell r="K4258" t="str">
            <v/>
          </cell>
          <cell r="L4258" t="str">
            <v/>
          </cell>
          <cell r="M4258" t="str">
            <v/>
          </cell>
        </row>
        <row r="4259">
          <cell r="A4259">
            <v>31102192</v>
          </cell>
          <cell r="C4259">
            <v>31102192</v>
          </cell>
          <cell r="D4259">
            <v>31102192</v>
          </cell>
          <cell r="E4259">
            <v>31102192</v>
          </cell>
          <cell r="F4259">
            <v>31102192</v>
          </cell>
          <cell r="G4259">
            <v>31102192</v>
          </cell>
          <cell r="H4259">
            <v>31102192</v>
          </cell>
          <cell r="I4259" t="str">
            <v/>
          </cell>
          <cell r="J4259" t="str">
            <v/>
          </cell>
          <cell r="K4259" t="str">
            <v/>
          </cell>
          <cell r="L4259" t="str">
            <v/>
          </cell>
          <cell r="M4259" t="str">
            <v/>
          </cell>
        </row>
        <row r="4260">
          <cell r="A4260">
            <v>31102192</v>
          </cell>
          <cell r="C4260">
            <v>31102192</v>
          </cell>
          <cell r="D4260">
            <v>31102192</v>
          </cell>
          <cell r="E4260">
            <v>31102192</v>
          </cell>
          <cell r="F4260">
            <v>31102192</v>
          </cell>
          <cell r="G4260">
            <v>31102192</v>
          </cell>
          <cell r="H4260">
            <v>31102192</v>
          </cell>
          <cell r="I4260" t="str">
            <v/>
          </cell>
          <cell r="J4260" t="str">
            <v/>
          </cell>
          <cell r="K4260" t="str">
            <v/>
          </cell>
          <cell r="L4260" t="str">
            <v/>
          </cell>
          <cell r="M4260" t="str">
            <v/>
          </cell>
        </row>
        <row r="4261">
          <cell r="A4261">
            <v>31102192</v>
          </cell>
          <cell r="C4261">
            <v>31102192</v>
          </cell>
          <cell r="D4261">
            <v>31102192</v>
          </cell>
          <cell r="E4261">
            <v>31102192</v>
          </cell>
          <cell r="F4261">
            <v>31102192</v>
          </cell>
          <cell r="G4261">
            <v>31102192</v>
          </cell>
          <cell r="H4261">
            <v>31102192</v>
          </cell>
          <cell r="I4261" t="str">
            <v/>
          </cell>
          <cell r="J4261" t="str">
            <v/>
          </cell>
          <cell r="K4261" t="str">
            <v/>
          </cell>
          <cell r="L4261" t="str">
            <v/>
          </cell>
          <cell r="M4261" t="str">
            <v/>
          </cell>
        </row>
        <row r="4262">
          <cell r="A4262">
            <v>31102192</v>
          </cell>
          <cell r="C4262">
            <v>31102192</v>
          </cell>
          <cell r="D4262">
            <v>31102192</v>
          </cell>
          <cell r="E4262">
            <v>31102192</v>
          </cell>
          <cell r="F4262">
            <v>31102192</v>
          </cell>
          <cell r="G4262">
            <v>31102192</v>
          </cell>
          <cell r="H4262">
            <v>31102192</v>
          </cell>
          <cell r="I4262" t="str">
            <v/>
          </cell>
          <cell r="J4262" t="str">
            <v/>
          </cell>
          <cell r="K4262" t="str">
            <v/>
          </cell>
          <cell r="L4262" t="str">
            <v/>
          </cell>
          <cell r="M4262" t="str">
            <v/>
          </cell>
        </row>
        <row r="4263">
          <cell r="A4263">
            <v>31102192</v>
          </cell>
          <cell r="C4263">
            <v>31102192</v>
          </cell>
          <cell r="D4263">
            <v>31102192</v>
          </cell>
          <cell r="E4263">
            <v>31102192</v>
          </cell>
          <cell r="F4263">
            <v>31102192</v>
          </cell>
          <cell r="G4263">
            <v>31102192</v>
          </cell>
          <cell r="H4263">
            <v>31102192</v>
          </cell>
          <cell r="I4263" t="str">
            <v/>
          </cell>
          <cell r="J4263" t="str">
            <v/>
          </cell>
          <cell r="K4263" t="str">
            <v/>
          </cell>
          <cell r="L4263" t="str">
            <v/>
          </cell>
          <cell r="M4263" t="str">
            <v/>
          </cell>
        </row>
        <row r="4264">
          <cell r="A4264">
            <v>31102192</v>
          </cell>
          <cell r="C4264">
            <v>31102192</v>
          </cell>
          <cell r="D4264">
            <v>31102192</v>
          </cell>
          <cell r="E4264">
            <v>31102192</v>
          </cell>
          <cell r="F4264">
            <v>31102192</v>
          </cell>
          <cell r="G4264">
            <v>31102192</v>
          </cell>
          <cell r="H4264">
            <v>31102192</v>
          </cell>
          <cell r="I4264" t="str">
            <v/>
          </cell>
          <cell r="J4264" t="str">
            <v/>
          </cell>
          <cell r="K4264" t="str">
            <v/>
          </cell>
          <cell r="L4264" t="str">
            <v/>
          </cell>
          <cell r="M4264" t="str">
            <v/>
          </cell>
        </row>
        <row r="4265">
          <cell r="A4265">
            <v>31102192</v>
          </cell>
          <cell r="C4265">
            <v>31102192</v>
          </cell>
          <cell r="D4265">
            <v>31102192</v>
          </cell>
          <cell r="E4265">
            <v>31102192</v>
          </cell>
          <cell r="F4265">
            <v>31102192</v>
          </cell>
          <cell r="G4265">
            <v>31102192</v>
          </cell>
          <cell r="H4265">
            <v>31102192</v>
          </cell>
          <cell r="I4265" t="str">
            <v/>
          </cell>
          <cell r="J4265" t="str">
            <v/>
          </cell>
          <cell r="K4265" t="str">
            <v/>
          </cell>
          <cell r="L4265" t="str">
            <v/>
          </cell>
          <cell r="M4265" t="str">
            <v/>
          </cell>
        </row>
        <row r="4266">
          <cell r="A4266">
            <v>31102192</v>
          </cell>
          <cell r="C4266">
            <v>31102192</v>
          </cell>
          <cell r="D4266">
            <v>31102192</v>
          </cell>
          <cell r="E4266">
            <v>31102192</v>
          </cell>
          <cell r="F4266">
            <v>31102192</v>
          </cell>
          <cell r="G4266">
            <v>31102192</v>
          </cell>
          <cell r="H4266">
            <v>31102192</v>
          </cell>
          <cell r="I4266" t="str">
            <v/>
          </cell>
          <cell r="J4266" t="str">
            <v/>
          </cell>
          <cell r="K4266" t="str">
            <v/>
          </cell>
          <cell r="L4266" t="str">
            <v/>
          </cell>
          <cell r="M4266" t="str">
            <v/>
          </cell>
        </row>
        <row r="4267">
          <cell r="A4267">
            <v>31102192</v>
          </cell>
          <cell r="C4267">
            <v>31102192</v>
          </cell>
          <cell r="D4267">
            <v>31102192</v>
          </cell>
          <cell r="E4267">
            <v>31102192</v>
          </cell>
          <cell r="F4267">
            <v>31102192</v>
          </cell>
          <cell r="G4267">
            <v>31102192</v>
          </cell>
          <cell r="H4267">
            <v>31102192</v>
          </cell>
          <cell r="I4267" t="str">
            <v/>
          </cell>
          <cell r="J4267" t="str">
            <v/>
          </cell>
          <cell r="K4267" t="str">
            <v/>
          </cell>
          <cell r="L4267" t="str">
            <v/>
          </cell>
          <cell r="M4267" t="str">
            <v/>
          </cell>
        </row>
        <row r="4268">
          <cell r="A4268">
            <v>31102192</v>
          </cell>
          <cell r="C4268">
            <v>31102192</v>
          </cell>
          <cell r="D4268">
            <v>31102192</v>
          </cell>
          <cell r="E4268">
            <v>31102192</v>
          </cell>
          <cell r="F4268">
            <v>31102192</v>
          </cell>
          <cell r="G4268">
            <v>31102192</v>
          </cell>
          <cell r="H4268">
            <v>31102192</v>
          </cell>
          <cell r="I4268" t="str">
            <v/>
          </cell>
          <cell r="J4268" t="str">
            <v/>
          </cell>
          <cell r="K4268" t="str">
            <v/>
          </cell>
          <cell r="L4268" t="str">
            <v/>
          </cell>
          <cell r="M4268" t="str">
            <v/>
          </cell>
        </row>
        <row r="4269">
          <cell r="A4269">
            <v>31102192</v>
          </cell>
          <cell r="C4269">
            <v>31102192</v>
          </cell>
          <cell r="D4269">
            <v>31102192</v>
          </cell>
          <cell r="E4269">
            <v>31102192</v>
          </cell>
          <cell r="F4269">
            <v>31102192</v>
          </cell>
          <cell r="G4269">
            <v>31102192</v>
          </cell>
          <cell r="H4269">
            <v>31102192</v>
          </cell>
          <cell r="I4269" t="str">
            <v/>
          </cell>
          <cell r="J4269" t="str">
            <v/>
          </cell>
          <cell r="K4269" t="str">
            <v/>
          </cell>
          <cell r="L4269" t="str">
            <v/>
          </cell>
          <cell r="M4269" t="str">
            <v/>
          </cell>
        </row>
        <row r="4270">
          <cell r="A4270">
            <v>31102192</v>
          </cell>
          <cell r="C4270">
            <v>31102192</v>
          </cell>
          <cell r="D4270">
            <v>31102192</v>
          </cell>
          <cell r="E4270">
            <v>31102192</v>
          </cell>
          <cell r="F4270">
            <v>31102192</v>
          </cell>
          <cell r="G4270">
            <v>31102192</v>
          </cell>
          <cell r="H4270">
            <v>31102192</v>
          </cell>
          <cell r="I4270" t="str">
            <v/>
          </cell>
          <cell r="J4270" t="str">
            <v/>
          </cell>
          <cell r="K4270" t="str">
            <v/>
          </cell>
          <cell r="L4270" t="str">
            <v/>
          </cell>
          <cell r="M4270" t="str">
            <v/>
          </cell>
        </row>
        <row r="4271">
          <cell r="A4271">
            <v>31102192</v>
          </cell>
          <cell r="C4271">
            <v>31102192</v>
          </cell>
          <cell r="D4271">
            <v>31102192</v>
          </cell>
          <cell r="E4271">
            <v>31102192</v>
          </cell>
          <cell r="F4271">
            <v>31102192</v>
          </cell>
          <cell r="G4271">
            <v>31102192</v>
          </cell>
          <cell r="H4271">
            <v>31102192</v>
          </cell>
          <cell r="I4271" t="str">
            <v/>
          </cell>
          <cell r="J4271" t="str">
            <v/>
          </cell>
          <cell r="K4271" t="str">
            <v/>
          </cell>
          <cell r="L4271" t="str">
            <v/>
          </cell>
          <cell r="M4271" t="str">
            <v/>
          </cell>
        </row>
        <row r="4272">
          <cell r="A4272">
            <v>31102192</v>
          </cell>
          <cell r="C4272">
            <v>31102192</v>
          </cell>
          <cell r="D4272">
            <v>31102192</v>
          </cell>
          <cell r="E4272">
            <v>31102192</v>
          </cell>
          <cell r="F4272">
            <v>31102192</v>
          </cell>
          <cell r="G4272">
            <v>31102192</v>
          </cell>
          <cell r="H4272">
            <v>31102192</v>
          </cell>
          <cell r="I4272" t="str">
            <v/>
          </cell>
          <cell r="J4272" t="str">
            <v/>
          </cell>
          <cell r="K4272" t="str">
            <v/>
          </cell>
          <cell r="L4272" t="str">
            <v/>
          </cell>
          <cell r="M4272" t="str">
            <v/>
          </cell>
        </row>
        <row r="4273">
          <cell r="A4273">
            <v>31102192</v>
          </cell>
          <cell r="C4273">
            <v>31102192</v>
          </cell>
          <cell r="D4273">
            <v>31102192</v>
          </cell>
          <cell r="E4273">
            <v>31102192</v>
          </cell>
          <cell r="F4273">
            <v>31102192</v>
          </cell>
          <cell r="G4273">
            <v>31102192</v>
          </cell>
          <cell r="H4273">
            <v>31102192</v>
          </cell>
          <cell r="I4273" t="str">
            <v/>
          </cell>
          <cell r="J4273" t="str">
            <v/>
          </cell>
          <cell r="K4273" t="str">
            <v/>
          </cell>
          <cell r="L4273" t="str">
            <v/>
          </cell>
          <cell r="M4273" t="str">
            <v/>
          </cell>
        </row>
        <row r="4274">
          <cell r="A4274">
            <v>31102192</v>
          </cell>
          <cell r="C4274">
            <v>31102192</v>
          </cell>
          <cell r="D4274">
            <v>31102192</v>
          </cell>
          <cell r="E4274">
            <v>31102192</v>
          </cell>
          <cell r="F4274">
            <v>31102192</v>
          </cell>
          <cell r="G4274">
            <v>31102192</v>
          </cell>
          <cell r="H4274">
            <v>31102192</v>
          </cell>
          <cell r="I4274" t="str">
            <v/>
          </cell>
          <cell r="J4274" t="str">
            <v/>
          </cell>
          <cell r="K4274" t="str">
            <v/>
          </cell>
          <cell r="L4274" t="str">
            <v/>
          </cell>
          <cell r="M4274" t="str">
            <v/>
          </cell>
        </row>
        <row r="4275">
          <cell r="A4275">
            <v>31102192</v>
          </cell>
          <cell r="C4275">
            <v>31102192</v>
          </cell>
          <cell r="D4275">
            <v>31102192</v>
          </cell>
          <cell r="E4275">
            <v>31102192</v>
          </cell>
          <cell r="F4275">
            <v>31102192</v>
          </cell>
          <cell r="G4275">
            <v>31102192</v>
          </cell>
          <cell r="H4275">
            <v>31102192</v>
          </cell>
          <cell r="I4275" t="str">
            <v/>
          </cell>
          <cell r="J4275" t="str">
            <v/>
          </cell>
          <cell r="K4275" t="str">
            <v/>
          </cell>
          <cell r="L4275" t="str">
            <v/>
          </cell>
          <cell r="M4275" t="str">
            <v/>
          </cell>
        </row>
        <row r="4276">
          <cell r="A4276">
            <v>31102192</v>
          </cell>
          <cell r="C4276">
            <v>31102192</v>
          </cell>
          <cell r="D4276">
            <v>31102192</v>
          </cell>
          <cell r="E4276">
            <v>31102192</v>
          </cell>
          <cell r="F4276">
            <v>31102192</v>
          </cell>
          <cell r="G4276">
            <v>31102192</v>
          </cell>
          <cell r="H4276">
            <v>31102192</v>
          </cell>
          <cell r="I4276" t="str">
            <v/>
          </cell>
          <cell r="J4276" t="str">
            <v/>
          </cell>
          <cell r="K4276" t="str">
            <v/>
          </cell>
          <cell r="L4276" t="str">
            <v/>
          </cell>
          <cell r="M4276" t="str">
            <v/>
          </cell>
        </row>
        <row r="4277">
          <cell r="A4277">
            <v>31102192</v>
          </cell>
          <cell r="C4277">
            <v>31102192</v>
          </cell>
          <cell r="D4277">
            <v>31102192</v>
          </cell>
          <cell r="E4277">
            <v>31102192</v>
          </cell>
          <cell r="F4277">
            <v>31102192</v>
          </cell>
          <cell r="G4277">
            <v>31102192</v>
          </cell>
          <cell r="H4277">
            <v>31102192</v>
          </cell>
          <cell r="I4277" t="str">
            <v/>
          </cell>
          <cell r="J4277" t="str">
            <v/>
          </cell>
          <cell r="K4277" t="str">
            <v/>
          </cell>
          <cell r="L4277" t="str">
            <v/>
          </cell>
          <cell r="M4277" t="str">
            <v/>
          </cell>
        </row>
        <row r="4278">
          <cell r="A4278">
            <v>31102192</v>
          </cell>
          <cell r="C4278">
            <v>31102192</v>
          </cell>
          <cell r="D4278">
            <v>31102192</v>
          </cell>
          <cell r="E4278">
            <v>31102192</v>
          </cell>
          <cell r="F4278">
            <v>31102192</v>
          </cell>
          <cell r="G4278">
            <v>31102192</v>
          </cell>
          <cell r="H4278">
            <v>31102192</v>
          </cell>
          <cell r="I4278" t="str">
            <v/>
          </cell>
          <cell r="J4278" t="str">
            <v/>
          </cell>
          <cell r="K4278" t="str">
            <v/>
          </cell>
          <cell r="L4278" t="str">
            <v/>
          </cell>
          <cell r="M4278" t="str">
            <v/>
          </cell>
        </row>
        <row r="4279">
          <cell r="A4279">
            <v>31102192</v>
          </cell>
          <cell r="C4279">
            <v>31102192</v>
          </cell>
          <cell r="D4279">
            <v>31102192</v>
          </cell>
          <cell r="E4279">
            <v>31102192</v>
          </cell>
          <cell r="F4279">
            <v>31102192</v>
          </cell>
          <cell r="G4279">
            <v>31102192</v>
          </cell>
          <cell r="H4279">
            <v>31102192</v>
          </cell>
          <cell r="I4279" t="str">
            <v/>
          </cell>
          <cell r="J4279" t="str">
            <v/>
          </cell>
          <cell r="K4279" t="str">
            <v/>
          </cell>
          <cell r="L4279" t="str">
            <v/>
          </cell>
          <cell r="M4279" t="str">
            <v/>
          </cell>
        </row>
        <row r="4280">
          <cell r="A4280">
            <v>31102192</v>
          </cell>
          <cell r="C4280">
            <v>31102192</v>
          </cell>
          <cell r="D4280">
            <v>31102192</v>
          </cell>
          <cell r="E4280">
            <v>31102192</v>
          </cell>
          <cell r="F4280">
            <v>31102192</v>
          </cell>
          <cell r="G4280">
            <v>31102192</v>
          </cell>
          <cell r="H4280">
            <v>31102192</v>
          </cell>
          <cell r="I4280" t="str">
            <v/>
          </cell>
          <cell r="J4280" t="str">
            <v/>
          </cell>
          <cell r="K4280" t="str">
            <v/>
          </cell>
          <cell r="L4280" t="str">
            <v/>
          </cell>
          <cell r="M4280" t="str">
            <v/>
          </cell>
        </row>
        <row r="4281">
          <cell r="A4281">
            <v>31102192</v>
          </cell>
          <cell r="C4281">
            <v>31102192</v>
          </cell>
          <cell r="D4281">
            <v>31102192</v>
          </cell>
          <cell r="E4281">
            <v>31102192</v>
          </cell>
          <cell r="F4281">
            <v>31102192</v>
          </cell>
          <cell r="G4281">
            <v>31102192</v>
          </cell>
          <cell r="H4281">
            <v>31102192</v>
          </cell>
          <cell r="I4281" t="str">
            <v/>
          </cell>
          <cell r="J4281" t="str">
            <v/>
          </cell>
          <cell r="K4281" t="str">
            <v/>
          </cell>
          <cell r="L4281" t="str">
            <v/>
          </cell>
          <cell r="M4281" t="str">
            <v/>
          </cell>
        </row>
        <row r="4282">
          <cell r="A4282">
            <v>31102192</v>
          </cell>
          <cell r="C4282">
            <v>31102192</v>
          </cell>
          <cell r="D4282">
            <v>31102192</v>
          </cell>
          <cell r="E4282">
            <v>31102192</v>
          </cell>
          <cell r="F4282">
            <v>31102192</v>
          </cell>
          <cell r="G4282">
            <v>31102192</v>
          </cell>
          <cell r="H4282">
            <v>31102192</v>
          </cell>
          <cell r="I4282" t="str">
            <v/>
          </cell>
          <cell r="J4282" t="str">
            <v/>
          </cell>
          <cell r="K4282" t="str">
            <v/>
          </cell>
          <cell r="L4282" t="str">
            <v/>
          </cell>
          <cell r="M4282" t="str">
            <v/>
          </cell>
        </row>
        <row r="4283">
          <cell r="A4283">
            <v>31102192</v>
          </cell>
          <cell r="C4283">
            <v>31102192</v>
          </cell>
          <cell r="D4283">
            <v>31102192</v>
          </cell>
          <cell r="E4283">
            <v>31102192</v>
          </cell>
          <cell r="F4283">
            <v>31102192</v>
          </cell>
          <cell r="G4283">
            <v>31102192</v>
          </cell>
          <cell r="H4283">
            <v>31102192</v>
          </cell>
          <cell r="I4283" t="str">
            <v/>
          </cell>
          <cell r="J4283" t="str">
            <v/>
          </cell>
          <cell r="K4283" t="str">
            <v/>
          </cell>
          <cell r="L4283" t="str">
            <v/>
          </cell>
          <cell r="M4283" t="str">
            <v/>
          </cell>
        </row>
        <row r="4284">
          <cell r="A4284">
            <v>31102192</v>
          </cell>
          <cell r="C4284">
            <v>31102192</v>
          </cell>
          <cell r="D4284">
            <v>31102192</v>
          </cell>
          <cell r="E4284">
            <v>31102192</v>
          </cell>
          <cell r="F4284">
            <v>31102192</v>
          </cell>
          <cell r="G4284">
            <v>31102192</v>
          </cell>
          <cell r="H4284">
            <v>31102192</v>
          </cell>
          <cell r="I4284" t="str">
            <v/>
          </cell>
          <cell r="J4284" t="str">
            <v/>
          </cell>
          <cell r="K4284" t="str">
            <v/>
          </cell>
          <cell r="L4284" t="str">
            <v/>
          </cell>
          <cell r="M4284" t="str">
            <v/>
          </cell>
        </row>
        <row r="4285">
          <cell r="A4285">
            <v>31102192</v>
          </cell>
          <cell r="C4285">
            <v>31102192</v>
          </cell>
          <cell r="D4285">
            <v>31102192</v>
          </cell>
          <cell r="E4285">
            <v>31102192</v>
          </cell>
          <cell r="F4285">
            <v>31102192</v>
          </cell>
          <cell r="G4285">
            <v>31102192</v>
          </cell>
          <cell r="H4285">
            <v>31102192</v>
          </cell>
          <cell r="I4285" t="str">
            <v/>
          </cell>
          <cell r="J4285" t="str">
            <v/>
          </cell>
          <cell r="K4285" t="str">
            <v/>
          </cell>
          <cell r="L4285" t="str">
            <v/>
          </cell>
          <cell r="M4285" t="str">
            <v/>
          </cell>
        </row>
        <row r="4286">
          <cell r="A4286">
            <v>31102192</v>
          </cell>
          <cell r="C4286">
            <v>31102192</v>
          </cell>
          <cell r="D4286">
            <v>31102192</v>
          </cell>
          <cell r="E4286">
            <v>31102192</v>
          </cell>
          <cell r="F4286">
            <v>31102192</v>
          </cell>
          <cell r="G4286">
            <v>31102192</v>
          </cell>
          <cell r="H4286">
            <v>31102192</v>
          </cell>
          <cell r="I4286" t="str">
            <v/>
          </cell>
          <cell r="J4286" t="str">
            <v/>
          </cell>
          <cell r="K4286" t="str">
            <v/>
          </cell>
          <cell r="L4286" t="str">
            <v/>
          </cell>
          <cell r="M4286" t="str">
            <v/>
          </cell>
        </row>
        <row r="4287">
          <cell r="A4287">
            <v>31102192</v>
          </cell>
          <cell r="C4287">
            <v>31102192</v>
          </cell>
          <cell r="D4287">
            <v>31102192</v>
          </cell>
          <cell r="E4287">
            <v>31102192</v>
          </cell>
          <cell r="F4287">
            <v>31102192</v>
          </cell>
          <cell r="G4287">
            <v>31102192</v>
          </cell>
          <cell r="H4287">
            <v>31102192</v>
          </cell>
          <cell r="I4287" t="str">
            <v/>
          </cell>
          <cell r="J4287" t="str">
            <v/>
          </cell>
          <cell r="K4287" t="str">
            <v/>
          </cell>
          <cell r="L4287" t="str">
            <v/>
          </cell>
          <cell r="M4287" t="str">
            <v/>
          </cell>
        </row>
        <row r="4288">
          <cell r="A4288">
            <v>31102192</v>
          </cell>
          <cell r="C4288">
            <v>31102192</v>
          </cell>
          <cell r="D4288">
            <v>31102192</v>
          </cell>
          <cell r="E4288">
            <v>31102192</v>
          </cell>
          <cell r="F4288">
            <v>31102192</v>
          </cell>
          <cell r="G4288">
            <v>31102192</v>
          </cell>
          <cell r="H4288">
            <v>31102192</v>
          </cell>
          <cell r="I4288" t="str">
            <v/>
          </cell>
          <cell r="J4288" t="str">
            <v/>
          </cell>
          <cell r="K4288" t="str">
            <v/>
          </cell>
          <cell r="L4288" t="str">
            <v/>
          </cell>
          <cell r="M4288" t="str">
            <v/>
          </cell>
        </row>
        <row r="4289">
          <cell r="A4289">
            <v>31102192</v>
          </cell>
          <cell r="C4289">
            <v>31102192</v>
          </cell>
          <cell r="D4289">
            <v>31102192</v>
          </cell>
          <cell r="E4289">
            <v>31102192</v>
          </cell>
          <cell r="F4289">
            <v>31102192</v>
          </cell>
          <cell r="G4289">
            <v>31102192</v>
          </cell>
          <cell r="H4289">
            <v>31102192</v>
          </cell>
          <cell r="I4289" t="str">
            <v/>
          </cell>
          <cell r="J4289" t="str">
            <v/>
          </cell>
          <cell r="K4289" t="str">
            <v/>
          </cell>
          <cell r="L4289" t="str">
            <v/>
          </cell>
          <cell r="M4289" t="str">
            <v/>
          </cell>
        </row>
        <row r="4290">
          <cell r="A4290">
            <v>31102192</v>
          </cell>
          <cell r="C4290">
            <v>31102192</v>
          </cell>
          <cell r="D4290">
            <v>31102192</v>
          </cell>
          <cell r="E4290">
            <v>31102192</v>
          </cell>
          <cell r="F4290">
            <v>31102192</v>
          </cell>
          <cell r="G4290">
            <v>31102192</v>
          </cell>
          <cell r="H4290">
            <v>31102192</v>
          </cell>
          <cell r="I4290" t="str">
            <v/>
          </cell>
          <cell r="J4290" t="str">
            <v/>
          </cell>
          <cell r="K4290" t="str">
            <v/>
          </cell>
          <cell r="L4290" t="str">
            <v/>
          </cell>
          <cell r="M4290" t="str">
            <v/>
          </cell>
        </row>
        <row r="4291">
          <cell r="A4291">
            <v>31102192</v>
          </cell>
          <cell r="C4291">
            <v>31102192</v>
          </cell>
          <cell r="D4291">
            <v>31102192</v>
          </cell>
          <cell r="E4291">
            <v>31102192</v>
          </cell>
          <cell r="F4291">
            <v>31102192</v>
          </cell>
          <cell r="G4291">
            <v>31102192</v>
          </cell>
          <cell r="H4291">
            <v>31102192</v>
          </cell>
          <cell r="I4291" t="str">
            <v/>
          </cell>
          <cell r="J4291" t="str">
            <v/>
          </cell>
          <cell r="K4291" t="str">
            <v/>
          </cell>
          <cell r="L4291" t="str">
            <v/>
          </cell>
          <cell r="M4291" t="str">
            <v/>
          </cell>
        </row>
        <row r="4292">
          <cell r="A4292">
            <v>31102192</v>
          </cell>
          <cell r="C4292">
            <v>31102192</v>
          </cell>
          <cell r="D4292">
            <v>31102192</v>
          </cell>
          <cell r="E4292">
            <v>31102192</v>
          </cell>
          <cell r="F4292">
            <v>31102192</v>
          </cell>
          <cell r="G4292">
            <v>31102192</v>
          </cell>
          <cell r="H4292">
            <v>31102192</v>
          </cell>
          <cell r="I4292" t="str">
            <v/>
          </cell>
          <cell r="J4292" t="str">
            <v/>
          </cell>
          <cell r="K4292" t="str">
            <v/>
          </cell>
          <cell r="L4292" t="str">
            <v/>
          </cell>
          <cell r="M4292" t="str">
            <v/>
          </cell>
        </row>
        <row r="4293">
          <cell r="A4293">
            <v>31102192</v>
          </cell>
          <cell r="C4293">
            <v>31102192</v>
          </cell>
          <cell r="D4293">
            <v>31102192</v>
          </cell>
          <cell r="E4293">
            <v>31102192</v>
          </cell>
          <cell r="F4293">
            <v>31102192</v>
          </cell>
          <cell r="G4293">
            <v>31102192</v>
          </cell>
          <cell r="H4293">
            <v>31102192</v>
          </cell>
          <cell r="I4293" t="str">
            <v/>
          </cell>
          <cell r="J4293" t="str">
            <v/>
          </cell>
          <cell r="K4293" t="str">
            <v/>
          </cell>
          <cell r="L4293" t="str">
            <v/>
          </cell>
          <cell r="M4293" t="str">
            <v/>
          </cell>
        </row>
        <row r="4294">
          <cell r="A4294">
            <v>31102192</v>
          </cell>
          <cell r="C4294">
            <v>31102192</v>
          </cell>
          <cell r="D4294">
            <v>31102192</v>
          </cell>
          <cell r="E4294">
            <v>31102192</v>
          </cell>
          <cell r="F4294">
            <v>31102192</v>
          </cell>
          <cell r="G4294">
            <v>31102192</v>
          </cell>
          <cell r="H4294">
            <v>31102192</v>
          </cell>
          <cell r="I4294" t="str">
            <v/>
          </cell>
          <cell r="J4294" t="str">
            <v/>
          </cell>
          <cell r="K4294" t="str">
            <v/>
          </cell>
          <cell r="L4294" t="str">
            <v/>
          </cell>
          <cell r="M4294" t="str">
            <v/>
          </cell>
        </row>
        <row r="4295">
          <cell r="A4295">
            <v>31102192</v>
          </cell>
          <cell r="C4295">
            <v>31102192</v>
          </cell>
          <cell r="D4295">
            <v>31102192</v>
          </cell>
          <cell r="E4295">
            <v>31102192</v>
          </cell>
          <cell r="F4295">
            <v>31102192</v>
          </cell>
          <cell r="G4295">
            <v>31102192</v>
          </cell>
          <cell r="H4295">
            <v>31102192</v>
          </cell>
          <cell r="I4295" t="str">
            <v/>
          </cell>
          <cell r="J4295" t="str">
            <v/>
          </cell>
          <cell r="K4295" t="str">
            <v/>
          </cell>
          <cell r="L4295" t="str">
            <v/>
          </cell>
          <cell r="M4295" t="str">
            <v/>
          </cell>
        </row>
        <row r="4296">
          <cell r="A4296">
            <v>31102192</v>
          </cell>
          <cell r="C4296">
            <v>31102192</v>
          </cell>
          <cell r="D4296">
            <v>31102192</v>
          </cell>
          <cell r="E4296">
            <v>31102192</v>
          </cell>
          <cell r="F4296">
            <v>31102192</v>
          </cell>
          <cell r="G4296">
            <v>31102192</v>
          </cell>
          <cell r="H4296">
            <v>31102192</v>
          </cell>
          <cell r="I4296" t="str">
            <v/>
          </cell>
          <cell r="J4296" t="str">
            <v/>
          </cell>
          <cell r="K4296" t="str">
            <v/>
          </cell>
          <cell r="L4296" t="str">
            <v/>
          </cell>
          <cell r="M4296" t="str">
            <v/>
          </cell>
        </row>
        <row r="4297">
          <cell r="A4297">
            <v>31102192</v>
          </cell>
          <cell r="C4297">
            <v>31102192</v>
          </cell>
          <cell r="D4297">
            <v>31102192</v>
          </cell>
          <cell r="E4297">
            <v>31102192</v>
          </cell>
          <cell r="F4297">
            <v>31102192</v>
          </cell>
          <cell r="G4297">
            <v>31102192</v>
          </cell>
          <cell r="H4297">
            <v>31102192</v>
          </cell>
          <cell r="I4297" t="str">
            <v/>
          </cell>
          <cell r="J4297" t="str">
            <v/>
          </cell>
          <cell r="K4297" t="str">
            <v/>
          </cell>
          <cell r="L4297" t="str">
            <v/>
          </cell>
          <cell r="M4297" t="str">
            <v/>
          </cell>
        </row>
        <row r="4298">
          <cell r="A4298">
            <v>31102192</v>
          </cell>
          <cell r="C4298">
            <v>31102192</v>
          </cell>
          <cell r="D4298">
            <v>31102192</v>
          </cell>
          <cell r="E4298">
            <v>31102192</v>
          </cell>
          <cell r="F4298">
            <v>31102192</v>
          </cell>
          <cell r="G4298">
            <v>31102192</v>
          </cell>
          <cell r="H4298">
            <v>31102192</v>
          </cell>
          <cell r="I4298" t="str">
            <v/>
          </cell>
          <cell r="J4298" t="str">
            <v/>
          </cell>
          <cell r="K4298" t="str">
            <v/>
          </cell>
          <cell r="L4298" t="str">
            <v/>
          </cell>
          <cell r="M4298" t="str">
            <v/>
          </cell>
        </row>
        <row r="4299">
          <cell r="A4299">
            <v>31102192</v>
          </cell>
          <cell r="C4299">
            <v>31102192</v>
          </cell>
          <cell r="D4299">
            <v>31102192</v>
          </cell>
          <cell r="E4299">
            <v>31102192</v>
          </cell>
          <cell r="F4299">
            <v>31102192</v>
          </cell>
          <cell r="G4299">
            <v>31102192</v>
          </cell>
          <cell r="H4299">
            <v>31102192</v>
          </cell>
          <cell r="I4299" t="str">
            <v/>
          </cell>
          <cell r="J4299" t="str">
            <v/>
          </cell>
          <cell r="K4299" t="str">
            <v/>
          </cell>
          <cell r="L4299" t="str">
            <v/>
          </cell>
          <cell r="M4299" t="str">
            <v/>
          </cell>
        </row>
        <row r="4300">
          <cell r="A4300">
            <v>31102192</v>
          </cell>
          <cell r="C4300">
            <v>31102192</v>
          </cell>
          <cell r="D4300">
            <v>31102192</v>
          </cell>
          <cell r="E4300">
            <v>31102192</v>
          </cell>
          <cell r="F4300">
            <v>31102192</v>
          </cell>
          <cell r="G4300">
            <v>31102192</v>
          </cell>
          <cell r="H4300">
            <v>31102192</v>
          </cell>
          <cell r="I4300" t="str">
            <v/>
          </cell>
          <cell r="J4300" t="str">
            <v/>
          </cell>
          <cell r="K4300" t="str">
            <v/>
          </cell>
          <cell r="L4300" t="str">
            <v/>
          </cell>
          <cell r="M4300" t="str">
            <v/>
          </cell>
        </row>
        <row r="4301">
          <cell r="A4301">
            <v>31102192</v>
          </cell>
          <cell r="C4301">
            <v>31102192</v>
          </cell>
          <cell r="D4301">
            <v>31102192</v>
          </cell>
          <cell r="E4301">
            <v>31102192</v>
          </cell>
          <cell r="F4301">
            <v>31102192</v>
          </cell>
          <cell r="G4301">
            <v>31102192</v>
          </cell>
          <cell r="H4301">
            <v>31102192</v>
          </cell>
          <cell r="I4301" t="str">
            <v/>
          </cell>
          <cell r="J4301" t="str">
            <v/>
          </cell>
          <cell r="K4301" t="str">
            <v/>
          </cell>
          <cell r="L4301" t="str">
            <v/>
          </cell>
          <cell r="M4301" t="str">
            <v/>
          </cell>
        </row>
        <row r="4302">
          <cell r="A4302">
            <v>31102192</v>
          </cell>
          <cell r="C4302">
            <v>31102192</v>
          </cell>
          <cell r="D4302">
            <v>31102192</v>
          </cell>
          <cell r="E4302">
            <v>31102192</v>
          </cell>
          <cell r="F4302">
            <v>31102192</v>
          </cell>
          <cell r="G4302">
            <v>31102192</v>
          </cell>
          <cell r="H4302">
            <v>31102192</v>
          </cell>
          <cell r="I4302" t="str">
            <v/>
          </cell>
          <cell r="J4302" t="str">
            <v/>
          </cell>
          <cell r="K4302" t="str">
            <v/>
          </cell>
          <cell r="L4302" t="str">
            <v/>
          </cell>
          <cell r="M4302" t="str">
            <v/>
          </cell>
        </row>
        <row r="4303">
          <cell r="A4303">
            <v>31102192</v>
          </cell>
          <cell r="C4303">
            <v>31102192</v>
          </cell>
          <cell r="D4303">
            <v>31102192</v>
          </cell>
          <cell r="E4303">
            <v>31102192</v>
          </cell>
          <cell r="F4303">
            <v>31102192</v>
          </cell>
          <cell r="G4303">
            <v>31102192</v>
          </cell>
          <cell r="H4303">
            <v>31102192</v>
          </cell>
          <cell r="I4303" t="str">
            <v/>
          </cell>
          <cell r="J4303" t="str">
            <v/>
          </cell>
          <cell r="K4303" t="str">
            <v/>
          </cell>
          <cell r="L4303" t="str">
            <v/>
          </cell>
          <cell r="M4303" t="str">
            <v/>
          </cell>
        </row>
        <row r="4304">
          <cell r="A4304">
            <v>31102192</v>
          </cell>
          <cell r="C4304">
            <v>31102192</v>
          </cell>
          <cell r="D4304">
            <v>31102192</v>
          </cell>
          <cell r="E4304">
            <v>31102192</v>
          </cell>
          <cell r="F4304">
            <v>31102192</v>
          </cell>
          <cell r="G4304">
            <v>31102192</v>
          </cell>
          <cell r="H4304">
            <v>31102192</v>
          </cell>
          <cell r="I4304" t="str">
            <v/>
          </cell>
          <cell r="J4304" t="str">
            <v/>
          </cell>
          <cell r="K4304" t="str">
            <v/>
          </cell>
          <cell r="L4304" t="str">
            <v/>
          </cell>
          <cell r="M4304" t="str">
            <v/>
          </cell>
        </row>
        <row r="4305">
          <cell r="A4305">
            <v>31102192</v>
          </cell>
          <cell r="C4305">
            <v>31102192</v>
          </cell>
          <cell r="D4305">
            <v>31102192</v>
          </cell>
          <cell r="E4305">
            <v>31102192</v>
          </cell>
          <cell r="F4305">
            <v>31102192</v>
          </cell>
          <cell r="G4305">
            <v>31102192</v>
          </cell>
          <cell r="H4305">
            <v>31102192</v>
          </cell>
          <cell r="I4305" t="str">
            <v/>
          </cell>
          <cell r="J4305" t="str">
            <v/>
          </cell>
          <cell r="K4305" t="str">
            <v/>
          </cell>
          <cell r="L4305" t="str">
            <v/>
          </cell>
          <cell r="M4305" t="str">
            <v/>
          </cell>
        </row>
        <row r="4306">
          <cell r="A4306">
            <v>31102192</v>
          </cell>
          <cell r="C4306">
            <v>31102192</v>
          </cell>
          <cell r="D4306">
            <v>31102192</v>
          </cell>
          <cell r="E4306">
            <v>31102192</v>
          </cell>
          <cell r="F4306">
            <v>31102192</v>
          </cell>
          <cell r="G4306">
            <v>31102192</v>
          </cell>
          <cell r="H4306">
            <v>31102192</v>
          </cell>
          <cell r="I4306" t="str">
            <v/>
          </cell>
          <cell r="J4306" t="str">
            <v/>
          </cell>
          <cell r="K4306" t="str">
            <v/>
          </cell>
          <cell r="L4306" t="str">
            <v/>
          </cell>
          <cell r="M4306" t="str">
            <v/>
          </cell>
        </row>
        <row r="4307">
          <cell r="A4307">
            <v>31102192</v>
          </cell>
          <cell r="C4307">
            <v>31102192</v>
          </cell>
          <cell r="D4307">
            <v>31102192</v>
          </cell>
          <cell r="E4307">
            <v>31102192</v>
          </cell>
          <cell r="F4307">
            <v>31102192</v>
          </cell>
          <cell r="G4307">
            <v>31102192</v>
          </cell>
          <cell r="H4307">
            <v>31102192</v>
          </cell>
          <cell r="I4307" t="str">
            <v/>
          </cell>
          <cell r="J4307" t="str">
            <v/>
          </cell>
          <cell r="K4307" t="str">
            <v/>
          </cell>
          <cell r="L4307" t="str">
            <v/>
          </cell>
          <cell r="M4307" t="str">
            <v/>
          </cell>
        </row>
        <row r="4308">
          <cell r="A4308">
            <v>31102192</v>
          </cell>
          <cell r="C4308">
            <v>31102192</v>
          </cell>
          <cell r="D4308">
            <v>31102192</v>
          </cell>
          <cell r="E4308">
            <v>31102192</v>
          </cell>
          <cell r="F4308">
            <v>31102192</v>
          </cell>
          <cell r="G4308">
            <v>31102192</v>
          </cell>
          <cell r="H4308">
            <v>31102192</v>
          </cell>
          <cell r="I4308" t="str">
            <v/>
          </cell>
          <cell r="J4308" t="str">
            <v/>
          </cell>
          <cell r="K4308" t="str">
            <v/>
          </cell>
          <cell r="L4308" t="str">
            <v/>
          </cell>
          <cell r="M4308" t="str">
            <v/>
          </cell>
        </row>
        <row r="4309">
          <cell r="A4309">
            <v>31102192</v>
          </cell>
          <cell r="C4309">
            <v>31102192</v>
          </cell>
          <cell r="D4309">
            <v>31102192</v>
          </cell>
          <cell r="E4309">
            <v>31102192</v>
          </cell>
          <cell r="F4309">
            <v>31102192</v>
          </cell>
          <cell r="G4309">
            <v>31102192</v>
          </cell>
          <cell r="H4309">
            <v>31102192</v>
          </cell>
          <cell r="I4309" t="str">
            <v/>
          </cell>
          <cell r="J4309" t="str">
            <v/>
          </cell>
          <cell r="K4309" t="str">
            <v/>
          </cell>
          <cell r="L4309" t="str">
            <v/>
          </cell>
          <cell r="M4309" t="str">
            <v/>
          </cell>
        </row>
        <row r="4310">
          <cell r="A4310">
            <v>31102192</v>
          </cell>
          <cell r="C4310">
            <v>31102192</v>
          </cell>
          <cell r="D4310">
            <v>31102192</v>
          </cell>
          <cell r="E4310">
            <v>31102192</v>
          </cell>
          <cell r="F4310">
            <v>31102192</v>
          </cell>
          <cell r="G4310">
            <v>31102192</v>
          </cell>
          <cell r="H4310">
            <v>31102192</v>
          </cell>
          <cell r="I4310" t="str">
            <v/>
          </cell>
          <cell r="J4310" t="str">
            <v/>
          </cell>
          <cell r="K4310" t="str">
            <v/>
          </cell>
          <cell r="L4310" t="str">
            <v/>
          </cell>
          <cell r="M4310" t="str">
            <v/>
          </cell>
        </row>
        <row r="4311">
          <cell r="A4311">
            <v>31102192</v>
          </cell>
          <cell r="C4311">
            <v>31102192</v>
          </cell>
          <cell r="D4311">
            <v>31102192</v>
          </cell>
          <cell r="E4311">
            <v>31102192</v>
          </cell>
          <cell r="F4311">
            <v>31102192</v>
          </cell>
          <cell r="G4311">
            <v>31102192</v>
          </cell>
          <cell r="H4311">
            <v>31102192</v>
          </cell>
          <cell r="I4311" t="str">
            <v/>
          </cell>
          <cell r="J4311" t="str">
            <v/>
          </cell>
          <cell r="K4311" t="str">
            <v/>
          </cell>
          <cell r="L4311" t="str">
            <v/>
          </cell>
          <cell r="M4311" t="str">
            <v/>
          </cell>
        </row>
        <row r="4312">
          <cell r="A4312">
            <v>31102192</v>
          </cell>
          <cell r="C4312">
            <v>31102192</v>
          </cell>
          <cell r="D4312">
            <v>31102192</v>
          </cell>
          <cell r="E4312">
            <v>31102192</v>
          </cell>
          <cell r="F4312">
            <v>31102192</v>
          </cell>
          <cell r="G4312">
            <v>31102192</v>
          </cell>
          <cell r="H4312">
            <v>31102192</v>
          </cell>
          <cell r="I4312" t="str">
            <v/>
          </cell>
          <cell r="J4312" t="str">
            <v/>
          </cell>
          <cell r="K4312" t="str">
            <v/>
          </cell>
          <cell r="L4312" t="str">
            <v/>
          </cell>
          <cell r="M4312" t="str">
            <v/>
          </cell>
        </row>
        <row r="4313">
          <cell r="A4313">
            <v>31102192</v>
          </cell>
          <cell r="C4313">
            <v>31102192</v>
          </cell>
          <cell r="D4313">
            <v>31102192</v>
          </cell>
          <cell r="E4313">
            <v>31102192</v>
          </cell>
          <cell r="F4313">
            <v>31102192</v>
          </cell>
          <cell r="G4313">
            <v>31102192</v>
          </cell>
          <cell r="H4313">
            <v>31102192</v>
          </cell>
          <cell r="I4313" t="str">
            <v/>
          </cell>
          <cell r="J4313" t="str">
            <v/>
          </cell>
          <cell r="K4313" t="str">
            <v/>
          </cell>
          <cell r="L4313" t="str">
            <v/>
          </cell>
          <cell r="M4313" t="str">
            <v/>
          </cell>
        </row>
        <row r="4314">
          <cell r="A4314">
            <v>31102192</v>
          </cell>
          <cell r="C4314">
            <v>31102192</v>
          </cell>
          <cell r="D4314">
            <v>31102192</v>
          </cell>
          <cell r="E4314">
            <v>31102192</v>
          </cell>
          <cell r="F4314">
            <v>31102192</v>
          </cell>
          <cell r="G4314">
            <v>31102192</v>
          </cell>
          <cell r="H4314">
            <v>31102192</v>
          </cell>
          <cell r="I4314" t="str">
            <v/>
          </cell>
          <cell r="J4314" t="str">
            <v/>
          </cell>
          <cell r="K4314" t="str">
            <v/>
          </cell>
          <cell r="L4314" t="str">
            <v/>
          </cell>
          <cell r="M4314" t="str">
            <v/>
          </cell>
        </row>
        <row r="4315">
          <cell r="A4315">
            <v>31102192</v>
          </cell>
          <cell r="C4315">
            <v>31102192</v>
          </cell>
          <cell r="D4315">
            <v>31102192</v>
          </cell>
          <cell r="E4315">
            <v>31102192</v>
          </cell>
          <cell r="F4315">
            <v>31102192</v>
          </cell>
          <cell r="G4315">
            <v>31102192</v>
          </cell>
          <cell r="H4315">
            <v>31102192</v>
          </cell>
          <cell r="I4315" t="str">
            <v/>
          </cell>
          <cell r="J4315" t="str">
            <v/>
          </cell>
          <cell r="K4315" t="str">
            <v/>
          </cell>
          <cell r="L4315" t="str">
            <v/>
          </cell>
          <cell r="M4315" t="str">
            <v/>
          </cell>
        </row>
        <row r="4316">
          <cell r="A4316">
            <v>31102192</v>
          </cell>
          <cell r="C4316">
            <v>31102192</v>
          </cell>
          <cell r="D4316">
            <v>31102192</v>
          </cell>
          <cell r="E4316">
            <v>31102192</v>
          </cell>
          <cell r="F4316">
            <v>31102192</v>
          </cell>
          <cell r="G4316">
            <v>31102192</v>
          </cell>
          <cell r="H4316">
            <v>31102192</v>
          </cell>
          <cell r="I4316" t="str">
            <v/>
          </cell>
          <cell r="J4316" t="str">
            <v/>
          </cell>
          <cell r="K4316" t="str">
            <v/>
          </cell>
          <cell r="L4316" t="str">
            <v/>
          </cell>
          <cell r="M4316" t="str">
            <v/>
          </cell>
        </row>
        <row r="4317">
          <cell r="A4317">
            <v>31102192</v>
          </cell>
          <cell r="C4317">
            <v>31102192</v>
          </cell>
          <cell r="D4317">
            <v>31102192</v>
          </cell>
          <cell r="E4317">
            <v>31102192</v>
          </cell>
          <cell r="F4317">
            <v>31102192</v>
          </cell>
          <cell r="G4317">
            <v>31102192</v>
          </cell>
          <cell r="H4317">
            <v>31102192</v>
          </cell>
          <cell r="I4317" t="str">
            <v/>
          </cell>
          <cell r="J4317" t="str">
            <v/>
          </cell>
          <cell r="K4317" t="str">
            <v/>
          </cell>
          <cell r="L4317" t="str">
            <v/>
          </cell>
          <cell r="M4317" t="str">
            <v/>
          </cell>
        </row>
        <row r="4318">
          <cell r="A4318">
            <v>31102192</v>
          </cell>
          <cell r="C4318">
            <v>31102192</v>
          </cell>
          <cell r="D4318">
            <v>31102192</v>
          </cell>
          <cell r="E4318">
            <v>31102192</v>
          </cell>
          <cell r="F4318">
            <v>31102192</v>
          </cell>
          <cell r="G4318">
            <v>31102192</v>
          </cell>
          <cell r="H4318">
            <v>31102192</v>
          </cell>
          <cell r="I4318" t="str">
            <v/>
          </cell>
          <cell r="J4318" t="str">
            <v/>
          </cell>
          <cell r="K4318" t="str">
            <v/>
          </cell>
          <cell r="L4318" t="str">
            <v/>
          </cell>
          <cell r="M4318" t="str">
            <v/>
          </cell>
        </row>
        <row r="4319">
          <cell r="A4319">
            <v>31102192</v>
          </cell>
          <cell r="C4319">
            <v>31102192</v>
          </cell>
          <cell r="D4319">
            <v>31102192</v>
          </cell>
          <cell r="E4319">
            <v>31102192</v>
          </cell>
          <cell r="F4319">
            <v>31102192</v>
          </cell>
          <cell r="G4319">
            <v>31102192</v>
          </cell>
          <cell r="H4319">
            <v>31102192</v>
          </cell>
          <cell r="I4319" t="str">
            <v/>
          </cell>
          <cell r="J4319" t="str">
            <v/>
          </cell>
          <cell r="K4319" t="str">
            <v/>
          </cell>
          <cell r="L4319" t="str">
            <v/>
          </cell>
          <cell r="M4319" t="str">
            <v/>
          </cell>
        </row>
        <row r="4320">
          <cell r="A4320">
            <v>31102192</v>
          </cell>
          <cell r="C4320">
            <v>31102192</v>
          </cell>
          <cell r="D4320">
            <v>31102192</v>
          </cell>
          <cell r="E4320">
            <v>31102192</v>
          </cell>
          <cell r="F4320">
            <v>31102192</v>
          </cell>
          <cell r="G4320">
            <v>31102192</v>
          </cell>
          <cell r="H4320">
            <v>31102192</v>
          </cell>
          <cell r="I4320" t="str">
            <v/>
          </cell>
          <cell r="J4320" t="str">
            <v/>
          </cell>
          <cell r="K4320" t="str">
            <v/>
          </cell>
          <cell r="L4320" t="str">
            <v/>
          </cell>
          <cell r="M4320" t="str">
            <v/>
          </cell>
        </row>
        <row r="4321">
          <cell r="A4321">
            <v>31102192</v>
          </cell>
          <cell r="C4321">
            <v>31102192</v>
          </cell>
          <cell r="D4321">
            <v>31102192</v>
          </cell>
          <cell r="E4321">
            <v>31102192</v>
          </cell>
          <cell r="F4321">
            <v>31102192</v>
          </cell>
          <cell r="G4321">
            <v>31102192</v>
          </cell>
          <cell r="H4321">
            <v>31102192</v>
          </cell>
          <cell r="I4321" t="str">
            <v/>
          </cell>
          <cell r="J4321" t="str">
            <v/>
          </cell>
          <cell r="K4321" t="str">
            <v/>
          </cell>
          <cell r="L4321" t="str">
            <v/>
          </cell>
          <cell r="M4321" t="str">
            <v/>
          </cell>
        </row>
        <row r="4322">
          <cell r="A4322">
            <v>31102192</v>
          </cell>
          <cell r="C4322">
            <v>31102192</v>
          </cell>
          <cell r="D4322">
            <v>31102192</v>
          </cell>
          <cell r="E4322">
            <v>31102192</v>
          </cell>
          <cell r="F4322">
            <v>31102192</v>
          </cell>
          <cell r="G4322">
            <v>31102192</v>
          </cell>
          <cell r="H4322">
            <v>31102192</v>
          </cell>
          <cell r="I4322" t="str">
            <v/>
          </cell>
          <cell r="J4322" t="str">
            <v/>
          </cell>
          <cell r="K4322" t="str">
            <v/>
          </cell>
          <cell r="L4322" t="str">
            <v/>
          </cell>
          <cell r="M4322" t="str">
            <v/>
          </cell>
        </row>
        <row r="4323">
          <cell r="A4323">
            <v>31102192</v>
          </cell>
          <cell r="C4323">
            <v>31102192</v>
          </cell>
          <cell r="D4323">
            <v>31102192</v>
          </cell>
          <cell r="E4323">
            <v>31102192</v>
          </cell>
          <cell r="F4323">
            <v>31102192</v>
          </cell>
          <cell r="G4323">
            <v>31102192</v>
          </cell>
          <cell r="H4323">
            <v>31102192</v>
          </cell>
          <cell r="I4323" t="str">
            <v/>
          </cell>
          <cell r="J4323" t="str">
            <v/>
          </cell>
          <cell r="K4323" t="str">
            <v/>
          </cell>
          <cell r="L4323" t="str">
            <v/>
          </cell>
          <cell r="M4323" t="str">
            <v/>
          </cell>
        </row>
        <row r="4324">
          <cell r="A4324">
            <v>31102192</v>
          </cell>
          <cell r="C4324">
            <v>31102192</v>
          </cell>
          <cell r="D4324">
            <v>31102192</v>
          </cell>
          <cell r="E4324">
            <v>31102192</v>
          </cell>
          <cell r="F4324">
            <v>31102192</v>
          </cell>
          <cell r="G4324">
            <v>31102192</v>
          </cell>
          <cell r="H4324">
            <v>31102192</v>
          </cell>
          <cell r="I4324" t="str">
            <v/>
          </cell>
          <cell r="J4324" t="str">
            <v/>
          </cell>
          <cell r="K4324" t="str">
            <v/>
          </cell>
          <cell r="L4324" t="str">
            <v/>
          </cell>
          <cell r="M4324" t="str">
            <v/>
          </cell>
        </row>
        <row r="4325">
          <cell r="A4325">
            <v>31102192</v>
          </cell>
          <cell r="C4325">
            <v>31102192</v>
          </cell>
          <cell r="D4325">
            <v>31102192</v>
          </cell>
          <cell r="E4325">
            <v>31102192</v>
          </cell>
          <cell r="F4325">
            <v>31102192</v>
          </cell>
          <cell r="G4325">
            <v>31102192</v>
          </cell>
          <cell r="H4325">
            <v>31102192</v>
          </cell>
          <cell r="I4325" t="str">
            <v/>
          </cell>
          <cell r="J4325" t="str">
            <v/>
          </cell>
          <cell r="K4325" t="str">
            <v/>
          </cell>
          <cell r="L4325" t="str">
            <v/>
          </cell>
          <cell r="M4325" t="str">
            <v/>
          </cell>
        </row>
        <row r="4326">
          <cell r="A4326">
            <v>31102192</v>
          </cell>
          <cell r="C4326">
            <v>31102192</v>
          </cell>
          <cell r="D4326">
            <v>31102192</v>
          </cell>
          <cell r="E4326">
            <v>31102192</v>
          </cell>
          <cell r="F4326">
            <v>31102192</v>
          </cell>
          <cell r="G4326">
            <v>31102192</v>
          </cell>
          <cell r="H4326">
            <v>31102192</v>
          </cell>
          <cell r="I4326" t="str">
            <v/>
          </cell>
          <cell r="J4326" t="str">
            <v/>
          </cell>
          <cell r="K4326" t="str">
            <v/>
          </cell>
          <cell r="L4326" t="str">
            <v/>
          </cell>
          <cell r="M4326" t="str">
            <v/>
          </cell>
        </row>
        <row r="4327">
          <cell r="A4327">
            <v>31102192</v>
          </cell>
          <cell r="C4327">
            <v>31102192</v>
          </cell>
          <cell r="D4327">
            <v>31102192</v>
          </cell>
          <cell r="E4327">
            <v>31102192</v>
          </cell>
          <cell r="F4327">
            <v>31102192</v>
          </cell>
          <cell r="G4327">
            <v>31102192</v>
          </cell>
          <cell r="H4327">
            <v>31102192</v>
          </cell>
          <cell r="I4327" t="str">
            <v/>
          </cell>
          <cell r="J4327" t="str">
            <v/>
          </cell>
          <cell r="K4327" t="str">
            <v/>
          </cell>
          <cell r="L4327" t="str">
            <v/>
          </cell>
          <cell r="M4327" t="str">
            <v/>
          </cell>
        </row>
        <row r="4328">
          <cell r="A4328">
            <v>31102192</v>
          </cell>
          <cell r="C4328">
            <v>31102192</v>
          </cell>
          <cell r="D4328">
            <v>31102192</v>
          </cell>
          <cell r="E4328">
            <v>31102192</v>
          </cell>
          <cell r="F4328">
            <v>31102192</v>
          </cell>
          <cell r="G4328">
            <v>31102192</v>
          </cell>
          <cell r="H4328">
            <v>31102192</v>
          </cell>
          <cell r="I4328" t="str">
            <v/>
          </cell>
          <cell r="J4328" t="str">
            <v/>
          </cell>
          <cell r="K4328" t="str">
            <v/>
          </cell>
          <cell r="L4328" t="str">
            <v/>
          </cell>
          <cell r="M4328" t="str">
            <v/>
          </cell>
        </row>
        <row r="4329">
          <cell r="A4329">
            <v>31102192</v>
          </cell>
          <cell r="C4329">
            <v>31102192</v>
          </cell>
          <cell r="D4329">
            <v>31102192</v>
          </cell>
          <cell r="E4329">
            <v>31102192</v>
          </cell>
          <cell r="F4329">
            <v>31102192</v>
          </cell>
          <cell r="G4329">
            <v>31102192</v>
          </cell>
          <cell r="H4329">
            <v>31102192</v>
          </cell>
          <cell r="I4329" t="str">
            <v/>
          </cell>
          <cell r="J4329" t="str">
            <v/>
          </cell>
          <cell r="K4329" t="str">
            <v/>
          </cell>
          <cell r="L4329" t="str">
            <v/>
          </cell>
          <cell r="M4329" t="str">
            <v/>
          </cell>
        </row>
        <row r="4330">
          <cell r="A4330">
            <v>31102192</v>
          </cell>
          <cell r="C4330">
            <v>31102192</v>
          </cell>
          <cell r="D4330">
            <v>31102192</v>
          </cell>
          <cell r="E4330">
            <v>31102192</v>
          </cell>
          <cell r="F4330">
            <v>31102192</v>
          </cell>
          <cell r="G4330">
            <v>31102192</v>
          </cell>
          <cell r="H4330">
            <v>31102192</v>
          </cell>
          <cell r="I4330" t="str">
            <v/>
          </cell>
          <cell r="J4330" t="str">
            <v/>
          </cell>
          <cell r="K4330" t="str">
            <v/>
          </cell>
          <cell r="L4330" t="str">
            <v/>
          </cell>
          <cell r="M4330" t="str">
            <v/>
          </cell>
        </row>
        <row r="4331">
          <cell r="A4331">
            <v>31102192</v>
          </cell>
          <cell r="C4331">
            <v>31102192</v>
          </cell>
          <cell r="D4331">
            <v>31102192</v>
          </cell>
          <cell r="E4331">
            <v>31102192</v>
          </cell>
          <cell r="F4331">
            <v>31102192</v>
          </cell>
          <cell r="G4331">
            <v>31102192</v>
          </cell>
          <cell r="H4331">
            <v>31102192</v>
          </cell>
          <cell r="I4331" t="str">
            <v/>
          </cell>
          <cell r="J4331" t="str">
            <v/>
          </cell>
          <cell r="K4331" t="str">
            <v/>
          </cell>
          <cell r="L4331" t="str">
            <v/>
          </cell>
          <cell r="M4331" t="str">
            <v/>
          </cell>
        </row>
        <row r="4332">
          <cell r="A4332">
            <v>31102192</v>
          </cell>
          <cell r="C4332">
            <v>31102192</v>
          </cell>
          <cell r="D4332">
            <v>31102192</v>
          </cell>
          <cell r="E4332">
            <v>31102192</v>
          </cell>
          <cell r="F4332">
            <v>31102192</v>
          </cell>
          <cell r="G4332">
            <v>31102192</v>
          </cell>
          <cell r="H4332">
            <v>31102192</v>
          </cell>
          <cell r="I4332" t="str">
            <v/>
          </cell>
          <cell r="J4332" t="str">
            <v/>
          </cell>
          <cell r="K4332" t="str">
            <v/>
          </cell>
          <cell r="L4332" t="str">
            <v/>
          </cell>
          <cell r="M4332" t="str">
            <v/>
          </cell>
        </row>
        <row r="4333">
          <cell r="A4333">
            <v>31102192</v>
          </cell>
          <cell r="C4333">
            <v>31102192</v>
          </cell>
          <cell r="D4333">
            <v>31102192</v>
          </cell>
          <cell r="E4333">
            <v>31102192</v>
          </cell>
          <cell r="F4333">
            <v>31102192</v>
          </cell>
          <cell r="G4333">
            <v>31102192</v>
          </cell>
          <cell r="H4333">
            <v>31102192</v>
          </cell>
          <cell r="I4333" t="str">
            <v/>
          </cell>
          <cell r="J4333" t="str">
            <v/>
          </cell>
          <cell r="K4333" t="str">
            <v/>
          </cell>
          <cell r="L4333" t="str">
            <v/>
          </cell>
          <cell r="M4333" t="str">
            <v/>
          </cell>
        </row>
        <row r="4334">
          <cell r="A4334">
            <v>31102192</v>
          </cell>
          <cell r="C4334">
            <v>31102192</v>
          </cell>
          <cell r="D4334">
            <v>31102192</v>
          </cell>
          <cell r="E4334">
            <v>31102192</v>
          </cell>
          <cell r="F4334">
            <v>31102192</v>
          </cell>
          <cell r="G4334">
            <v>31102192</v>
          </cell>
          <cell r="H4334">
            <v>31102192</v>
          </cell>
          <cell r="I4334" t="str">
            <v/>
          </cell>
          <cell r="J4334" t="str">
            <v/>
          </cell>
          <cell r="K4334" t="str">
            <v/>
          </cell>
          <cell r="L4334" t="str">
            <v/>
          </cell>
          <cell r="M4334" t="str">
            <v/>
          </cell>
        </row>
        <row r="4335">
          <cell r="A4335">
            <v>31102192</v>
          </cell>
          <cell r="C4335">
            <v>31102192</v>
          </cell>
          <cell r="D4335">
            <v>31102192</v>
          </cell>
          <cell r="E4335">
            <v>31102192</v>
          </cell>
          <cell r="F4335">
            <v>31102192</v>
          </cell>
          <cell r="G4335">
            <v>31102192</v>
          </cell>
          <cell r="H4335">
            <v>31102192</v>
          </cell>
          <cell r="I4335" t="str">
            <v/>
          </cell>
          <cell r="J4335" t="str">
            <v/>
          </cell>
          <cell r="K4335" t="str">
            <v/>
          </cell>
          <cell r="L4335" t="str">
            <v/>
          </cell>
          <cell r="M4335" t="str">
            <v/>
          </cell>
        </row>
        <row r="4336">
          <cell r="A4336">
            <v>31102192</v>
          </cell>
          <cell r="C4336">
            <v>31102192</v>
          </cell>
          <cell r="D4336">
            <v>31102192</v>
          </cell>
          <cell r="E4336">
            <v>31102192</v>
          </cell>
          <cell r="F4336">
            <v>31102192</v>
          </cell>
          <cell r="G4336">
            <v>31102192</v>
          </cell>
          <cell r="H4336">
            <v>31102192</v>
          </cell>
          <cell r="I4336" t="str">
            <v/>
          </cell>
          <cell r="J4336" t="str">
            <v/>
          </cell>
          <cell r="K4336" t="str">
            <v/>
          </cell>
          <cell r="L4336" t="str">
            <v/>
          </cell>
          <cell r="M4336" t="str">
            <v/>
          </cell>
        </row>
        <row r="4337">
          <cell r="A4337">
            <v>31102192</v>
          </cell>
          <cell r="C4337">
            <v>31102192</v>
          </cell>
          <cell r="D4337">
            <v>31102192</v>
          </cell>
          <cell r="E4337">
            <v>31102192</v>
          </cell>
          <cell r="F4337">
            <v>31102192</v>
          </cell>
          <cell r="G4337">
            <v>31102192</v>
          </cell>
          <cell r="H4337">
            <v>31102192</v>
          </cell>
          <cell r="I4337" t="str">
            <v/>
          </cell>
          <cell r="J4337" t="str">
            <v/>
          </cell>
          <cell r="K4337" t="str">
            <v/>
          </cell>
          <cell r="L4337" t="str">
            <v/>
          </cell>
          <cell r="M4337" t="str">
            <v/>
          </cell>
        </row>
        <row r="4338">
          <cell r="A4338">
            <v>31102192</v>
          </cell>
          <cell r="C4338">
            <v>31102192</v>
          </cell>
          <cell r="D4338">
            <v>31102192</v>
          </cell>
          <cell r="E4338">
            <v>31102192</v>
          </cell>
          <cell r="F4338">
            <v>31102192</v>
          </cell>
          <cell r="G4338">
            <v>31102192</v>
          </cell>
          <cell r="H4338">
            <v>31102192</v>
          </cell>
          <cell r="I4338" t="str">
            <v/>
          </cell>
          <cell r="J4338" t="str">
            <v/>
          </cell>
          <cell r="K4338" t="str">
            <v/>
          </cell>
          <cell r="L4338" t="str">
            <v/>
          </cell>
          <cell r="M4338" t="str">
            <v/>
          </cell>
        </row>
        <row r="4339">
          <cell r="A4339">
            <v>31102192</v>
          </cell>
          <cell r="C4339">
            <v>31102192</v>
          </cell>
          <cell r="D4339">
            <v>31102192</v>
          </cell>
          <cell r="E4339">
            <v>31102192</v>
          </cell>
          <cell r="F4339">
            <v>31102192</v>
          </cell>
          <cell r="G4339">
            <v>31102192</v>
          </cell>
          <cell r="H4339">
            <v>31102192</v>
          </cell>
          <cell r="I4339" t="str">
            <v/>
          </cell>
          <cell r="J4339" t="str">
            <v/>
          </cell>
          <cell r="K4339" t="str">
            <v/>
          </cell>
          <cell r="L4339" t="str">
            <v/>
          </cell>
          <cell r="M4339" t="str">
            <v/>
          </cell>
        </row>
        <row r="4340">
          <cell r="A4340">
            <v>31102192</v>
          </cell>
          <cell r="C4340">
            <v>31102192</v>
          </cell>
          <cell r="D4340">
            <v>31102192</v>
          </cell>
          <cell r="E4340">
            <v>31102192</v>
          </cell>
          <cell r="F4340">
            <v>31102192</v>
          </cell>
          <cell r="G4340">
            <v>31102192</v>
          </cell>
          <cell r="H4340">
            <v>31102192</v>
          </cell>
          <cell r="I4340" t="str">
            <v/>
          </cell>
          <cell r="J4340" t="str">
            <v/>
          </cell>
          <cell r="K4340" t="str">
            <v/>
          </cell>
          <cell r="L4340" t="str">
            <v/>
          </cell>
          <cell r="M4340" t="str">
            <v/>
          </cell>
        </row>
        <row r="4341">
          <cell r="A4341">
            <v>31102192</v>
          </cell>
          <cell r="C4341">
            <v>31102192</v>
          </cell>
          <cell r="D4341">
            <v>31102192</v>
          </cell>
          <cell r="E4341">
            <v>31102192</v>
          </cell>
          <cell r="F4341">
            <v>31102192</v>
          </cell>
          <cell r="G4341">
            <v>31102192</v>
          </cell>
          <cell r="H4341">
            <v>31102192</v>
          </cell>
          <cell r="I4341" t="str">
            <v/>
          </cell>
          <cell r="J4341" t="str">
            <v/>
          </cell>
          <cell r="K4341" t="str">
            <v/>
          </cell>
          <cell r="L4341" t="str">
            <v/>
          </cell>
          <cell r="M4341" t="str">
            <v/>
          </cell>
        </row>
        <row r="4342">
          <cell r="A4342">
            <v>31102192</v>
          </cell>
          <cell r="C4342">
            <v>31102192</v>
          </cell>
          <cell r="D4342">
            <v>31102192</v>
          </cell>
          <cell r="E4342">
            <v>31102192</v>
          </cell>
          <cell r="F4342">
            <v>31102192</v>
          </cell>
          <cell r="G4342">
            <v>31102192</v>
          </cell>
          <cell r="H4342">
            <v>31102192</v>
          </cell>
          <cell r="I4342" t="str">
            <v/>
          </cell>
          <cell r="J4342" t="str">
            <v/>
          </cell>
          <cell r="K4342" t="str">
            <v/>
          </cell>
          <cell r="L4342" t="str">
            <v/>
          </cell>
          <cell r="M4342" t="str">
            <v/>
          </cell>
        </row>
        <row r="4343">
          <cell r="A4343">
            <v>31102192</v>
          </cell>
          <cell r="C4343">
            <v>31102192</v>
          </cell>
          <cell r="D4343">
            <v>31102192</v>
          </cell>
          <cell r="E4343">
            <v>31102192</v>
          </cell>
          <cell r="F4343">
            <v>31102192</v>
          </cell>
          <cell r="G4343">
            <v>31102192</v>
          </cell>
          <cell r="H4343">
            <v>31102192</v>
          </cell>
          <cell r="I4343" t="str">
            <v/>
          </cell>
          <cell r="J4343" t="str">
            <v/>
          </cell>
          <cell r="K4343" t="str">
            <v/>
          </cell>
          <cell r="L4343" t="str">
            <v/>
          </cell>
          <cell r="M4343" t="str">
            <v/>
          </cell>
        </row>
        <row r="4344">
          <cell r="A4344">
            <v>31102192</v>
          </cell>
          <cell r="C4344">
            <v>31102192</v>
          </cell>
          <cell r="D4344">
            <v>31102192</v>
          </cell>
          <cell r="E4344">
            <v>31102192</v>
          </cell>
          <cell r="F4344">
            <v>31102192</v>
          </cell>
          <cell r="G4344">
            <v>31102192</v>
          </cell>
          <cell r="H4344">
            <v>31102192</v>
          </cell>
          <cell r="I4344" t="str">
            <v/>
          </cell>
          <cell r="J4344" t="str">
            <v/>
          </cell>
          <cell r="K4344" t="str">
            <v/>
          </cell>
          <cell r="L4344" t="str">
            <v/>
          </cell>
          <cell r="M4344" t="str">
            <v/>
          </cell>
        </row>
        <row r="4345">
          <cell r="A4345">
            <v>31102192</v>
          </cell>
          <cell r="C4345">
            <v>31102192</v>
          </cell>
          <cell r="D4345">
            <v>31102192</v>
          </cell>
          <cell r="E4345">
            <v>31102192</v>
          </cell>
          <cell r="F4345">
            <v>31102192</v>
          </cell>
          <cell r="G4345">
            <v>31102192</v>
          </cell>
          <cell r="H4345">
            <v>31102192</v>
          </cell>
          <cell r="I4345" t="str">
            <v/>
          </cell>
          <cell r="J4345" t="str">
            <v/>
          </cell>
          <cell r="K4345" t="str">
            <v/>
          </cell>
          <cell r="L4345" t="str">
            <v/>
          </cell>
          <cell r="M4345" t="str">
            <v/>
          </cell>
        </row>
        <row r="4346">
          <cell r="A4346">
            <v>31102192</v>
          </cell>
          <cell r="C4346">
            <v>31102192</v>
          </cell>
          <cell r="D4346">
            <v>31102192</v>
          </cell>
          <cell r="E4346">
            <v>31102192</v>
          </cell>
          <cell r="F4346">
            <v>31102192</v>
          </cell>
          <cell r="G4346">
            <v>31102192</v>
          </cell>
          <cell r="H4346">
            <v>31102192</v>
          </cell>
          <cell r="I4346" t="str">
            <v/>
          </cell>
          <cell r="J4346" t="str">
            <v/>
          </cell>
          <cell r="K4346" t="str">
            <v/>
          </cell>
          <cell r="L4346" t="str">
            <v/>
          </cell>
          <cell r="M4346" t="str">
            <v/>
          </cell>
        </row>
        <row r="4347">
          <cell r="A4347">
            <v>31102192</v>
          </cell>
          <cell r="C4347">
            <v>31102192</v>
          </cell>
          <cell r="D4347">
            <v>31102192</v>
          </cell>
          <cell r="E4347">
            <v>31102192</v>
          </cell>
          <cell r="F4347">
            <v>31102192</v>
          </cell>
          <cell r="G4347">
            <v>31102192</v>
          </cell>
          <cell r="H4347">
            <v>31102192</v>
          </cell>
          <cell r="I4347" t="str">
            <v/>
          </cell>
          <cell r="J4347" t="str">
            <v/>
          </cell>
          <cell r="K4347" t="str">
            <v/>
          </cell>
          <cell r="L4347" t="str">
            <v/>
          </cell>
          <cell r="M4347" t="str">
            <v/>
          </cell>
        </row>
        <row r="4348">
          <cell r="A4348">
            <v>31102192</v>
          </cell>
          <cell r="C4348">
            <v>31102192</v>
          </cell>
          <cell r="D4348">
            <v>31102192</v>
          </cell>
          <cell r="E4348">
            <v>31102192</v>
          </cell>
          <cell r="F4348">
            <v>31102192</v>
          </cell>
          <cell r="G4348">
            <v>31102192</v>
          </cell>
          <cell r="H4348">
            <v>31102192</v>
          </cell>
          <cell r="I4348" t="str">
            <v/>
          </cell>
          <cell r="J4348" t="str">
            <v/>
          </cell>
          <cell r="K4348" t="str">
            <v/>
          </cell>
          <cell r="L4348" t="str">
            <v/>
          </cell>
          <cell r="M4348" t="str">
            <v/>
          </cell>
        </row>
        <row r="4349">
          <cell r="A4349">
            <v>31102192</v>
          </cell>
          <cell r="C4349">
            <v>31102192</v>
          </cell>
          <cell r="D4349">
            <v>31102192</v>
          </cell>
          <cell r="E4349">
            <v>31102192</v>
          </cell>
          <cell r="F4349">
            <v>31102192</v>
          </cell>
          <cell r="G4349">
            <v>31102192</v>
          </cell>
          <cell r="H4349">
            <v>31102192</v>
          </cell>
          <cell r="I4349" t="str">
            <v/>
          </cell>
          <cell r="J4349" t="str">
            <v/>
          </cell>
          <cell r="K4349" t="str">
            <v/>
          </cell>
          <cell r="L4349" t="str">
            <v/>
          </cell>
          <cell r="M4349" t="str">
            <v/>
          </cell>
        </row>
        <row r="4350">
          <cell r="A4350">
            <v>31102192</v>
          </cell>
          <cell r="C4350">
            <v>31102192</v>
          </cell>
          <cell r="D4350">
            <v>31102192</v>
          </cell>
          <cell r="E4350">
            <v>31102192</v>
          </cell>
          <cell r="F4350">
            <v>31102192</v>
          </cell>
          <cell r="G4350">
            <v>31102192</v>
          </cell>
          <cell r="H4350">
            <v>31102192</v>
          </cell>
          <cell r="I4350" t="str">
            <v/>
          </cell>
          <cell r="J4350" t="str">
            <v/>
          </cell>
          <cell r="K4350" t="str">
            <v/>
          </cell>
          <cell r="L4350" t="str">
            <v/>
          </cell>
          <cell r="M4350" t="str">
            <v/>
          </cell>
        </row>
        <row r="4351">
          <cell r="A4351">
            <v>31102192</v>
          </cell>
          <cell r="C4351">
            <v>31102192</v>
          </cell>
          <cell r="D4351">
            <v>31102192</v>
          </cell>
          <cell r="E4351">
            <v>31102192</v>
          </cell>
          <cell r="F4351">
            <v>31102192</v>
          </cell>
          <cell r="G4351">
            <v>31102192</v>
          </cell>
          <cell r="H4351">
            <v>31102192</v>
          </cell>
          <cell r="I4351" t="str">
            <v/>
          </cell>
          <cell r="J4351" t="str">
            <v/>
          </cell>
          <cell r="K4351" t="str">
            <v/>
          </cell>
          <cell r="L4351" t="str">
            <v/>
          </cell>
          <cell r="M4351" t="str">
            <v/>
          </cell>
        </row>
        <row r="4352">
          <cell r="A4352">
            <v>31102192</v>
          </cell>
          <cell r="C4352">
            <v>31102192</v>
          </cell>
          <cell r="D4352">
            <v>31102192</v>
          </cell>
          <cell r="E4352">
            <v>31102192</v>
          </cell>
          <cell r="F4352">
            <v>31102192</v>
          </cell>
          <cell r="G4352">
            <v>31102192</v>
          </cell>
          <cell r="H4352">
            <v>31102192</v>
          </cell>
          <cell r="I4352" t="str">
            <v/>
          </cell>
          <cell r="J4352" t="str">
            <v/>
          </cell>
          <cell r="K4352" t="str">
            <v/>
          </cell>
          <cell r="L4352" t="str">
            <v/>
          </cell>
          <cell r="M4352" t="str">
            <v/>
          </cell>
        </row>
        <row r="4353">
          <cell r="A4353">
            <v>31102192</v>
          </cell>
          <cell r="C4353">
            <v>31102192</v>
          </cell>
          <cell r="D4353">
            <v>31102192</v>
          </cell>
          <cell r="E4353">
            <v>31102192</v>
          </cell>
          <cell r="F4353">
            <v>31102192</v>
          </cell>
          <cell r="G4353">
            <v>31102192</v>
          </cell>
          <cell r="H4353">
            <v>31102192</v>
          </cell>
          <cell r="I4353" t="str">
            <v/>
          </cell>
          <cell r="J4353" t="str">
            <v/>
          </cell>
          <cell r="K4353" t="str">
            <v/>
          </cell>
          <cell r="L4353" t="str">
            <v/>
          </cell>
          <cell r="M4353" t="str">
            <v/>
          </cell>
        </row>
        <row r="4354">
          <cell r="A4354">
            <v>31102192</v>
          </cell>
          <cell r="C4354">
            <v>31102192</v>
          </cell>
          <cell r="D4354">
            <v>31102192</v>
          </cell>
          <cell r="E4354">
            <v>31102192</v>
          </cell>
          <cell r="F4354">
            <v>31102192</v>
          </cell>
          <cell r="G4354">
            <v>31102192</v>
          </cell>
          <cell r="H4354">
            <v>31102192</v>
          </cell>
          <cell r="I4354" t="str">
            <v/>
          </cell>
          <cell r="J4354" t="str">
            <v/>
          </cell>
          <cell r="K4354" t="str">
            <v/>
          </cell>
          <cell r="L4354" t="str">
            <v/>
          </cell>
          <cell r="M4354" t="str">
            <v/>
          </cell>
        </row>
        <row r="4355">
          <cell r="A4355">
            <v>31102192</v>
          </cell>
          <cell r="C4355">
            <v>31102192</v>
          </cell>
          <cell r="D4355">
            <v>31102192</v>
          </cell>
          <cell r="E4355">
            <v>31102192</v>
          </cell>
          <cell r="F4355">
            <v>31102192</v>
          </cell>
          <cell r="G4355">
            <v>31102192</v>
          </cell>
          <cell r="H4355">
            <v>31102192</v>
          </cell>
          <cell r="I4355" t="str">
            <v/>
          </cell>
          <cell r="J4355" t="str">
            <v/>
          </cell>
          <cell r="K4355" t="str">
            <v/>
          </cell>
          <cell r="L4355" t="str">
            <v/>
          </cell>
          <cell r="M4355" t="str">
            <v/>
          </cell>
        </row>
        <row r="4356">
          <cell r="A4356">
            <v>31102192</v>
          </cell>
          <cell r="C4356">
            <v>31102192</v>
          </cell>
          <cell r="D4356">
            <v>31102192</v>
          </cell>
          <cell r="E4356">
            <v>31102192</v>
          </cell>
          <cell r="F4356">
            <v>31102192</v>
          </cell>
          <cell r="G4356">
            <v>31102192</v>
          </cell>
          <cell r="H4356">
            <v>31102192</v>
          </cell>
          <cell r="I4356" t="str">
            <v/>
          </cell>
          <cell r="J4356" t="str">
            <v/>
          </cell>
          <cell r="K4356" t="str">
            <v/>
          </cell>
          <cell r="L4356" t="str">
            <v/>
          </cell>
          <cell r="M4356" t="str">
            <v/>
          </cell>
        </row>
        <row r="4357">
          <cell r="A4357">
            <v>31102192</v>
          </cell>
          <cell r="C4357">
            <v>31102192</v>
          </cell>
          <cell r="D4357">
            <v>31102192</v>
          </cell>
          <cell r="E4357">
            <v>31102192</v>
          </cell>
          <cell r="F4357">
            <v>31102192</v>
          </cell>
          <cell r="G4357">
            <v>31102192</v>
          </cell>
          <cell r="H4357">
            <v>31102192</v>
          </cell>
          <cell r="I4357" t="str">
            <v/>
          </cell>
          <cell r="J4357" t="str">
            <v/>
          </cell>
          <cell r="K4357" t="str">
            <v/>
          </cell>
          <cell r="L4357" t="str">
            <v/>
          </cell>
          <cell r="M4357" t="str">
            <v/>
          </cell>
        </row>
        <row r="4358">
          <cell r="A4358">
            <v>31102192</v>
          </cell>
          <cell r="C4358">
            <v>31102192</v>
          </cell>
          <cell r="D4358">
            <v>31102192</v>
          </cell>
          <cell r="E4358">
            <v>31102192</v>
          </cell>
          <cell r="F4358">
            <v>31102192</v>
          </cell>
          <cell r="G4358">
            <v>31102192</v>
          </cell>
          <cell r="H4358">
            <v>31102192</v>
          </cell>
          <cell r="I4358" t="str">
            <v/>
          </cell>
          <cell r="J4358" t="str">
            <v/>
          </cell>
          <cell r="K4358" t="str">
            <v/>
          </cell>
          <cell r="L4358" t="str">
            <v/>
          </cell>
          <cell r="M4358" t="str">
            <v/>
          </cell>
        </row>
        <row r="4359">
          <cell r="A4359">
            <v>31102192</v>
          </cell>
          <cell r="C4359">
            <v>31102192</v>
          </cell>
          <cell r="D4359">
            <v>31102192</v>
          </cell>
          <cell r="E4359">
            <v>31102192</v>
          </cell>
          <cell r="F4359">
            <v>31102192</v>
          </cell>
          <cell r="G4359">
            <v>31102192</v>
          </cell>
          <cell r="H4359">
            <v>31102192</v>
          </cell>
          <cell r="I4359" t="str">
            <v/>
          </cell>
          <cell r="J4359" t="str">
            <v/>
          </cell>
          <cell r="K4359" t="str">
            <v/>
          </cell>
          <cell r="L4359" t="str">
            <v/>
          </cell>
          <cell r="M4359" t="str">
            <v/>
          </cell>
        </row>
        <row r="4360">
          <cell r="A4360">
            <v>31102192</v>
          </cell>
          <cell r="C4360">
            <v>31102192</v>
          </cell>
          <cell r="D4360">
            <v>31102192</v>
          </cell>
          <cell r="E4360">
            <v>31102192</v>
          </cell>
          <cell r="F4360">
            <v>31102192</v>
          </cell>
          <cell r="G4360">
            <v>31102192</v>
          </cell>
          <cell r="H4360">
            <v>31102192</v>
          </cell>
          <cell r="I4360" t="str">
            <v/>
          </cell>
          <cell r="J4360" t="str">
            <v/>
          </cell>
          <cell r="K4360" t="str">
            <v/>
          </cell>
          <cell r="L4360" t="str">
            <v/>
          </cell>
          <cell r="M4360" t="str">
            <v/>
          </cell>
        </row>
        <row r="4361">
          <cell r="A4361">
            <v>31102192</v>
          </cell>
          <cell r="C4361">
            <v>31102192</v>
          </cell>
          <cell r="D4361">
            <v>31102192</v>
          </cell>
          <cell r="E4361">
            <v>31102192</v>
          </cell>
          <cell r="F4361">
            <v>31102192</v>
          </cell>
          <cell r="G4361">
            <v>31102192</v>
          </cell>
          <cell r="H4361">
            <v>31102192</v>
          </cell>
          <cell r="I4361" t="str">
            <v/>
          </cell>
          <cell r="J4361" t="str">
            <v/>
          </cell>
          <cell r="K4361" t="str">
            <v/>
          </cell>
          <cell r="L4361" t="str">
            <v/>
          </cell>
          <cell r="M4361" t="str">
            <v/>
          </cell>
        </row>
        <row r="4362">
          <cell r="A4362">
            <v>31102192</v>
          </cell>
          <cell r="C4362">
            <v>31102192</v>
          </cell>
          <cell r="D4362">
            <v>31102192</v>
          </cell>
          <cell r="E4362">
            <v>31102192</v>
          </cell>
          <cell r="F4362">
            <v>31102192</v>
          </cell>
          <cell r="G4362">
            <v>31102192</v>
          </cell>
          <cell r="H4362">
            <v>31102192</v>
          </cell>
          <cell r="I4362" t="str">
            <v/>
          </cell>
          <cell r="J4362" t="str">
            <v/>
          </cell>
          <cell r="K4362" t="str">
            <v/>
          </cell>
          <cell r="L4362" t="str">
            <v/>
          </cell>
          <cell r="M4362" t="str">
            <v/>
          </cell>
        </row>
        <row r="4363">
          <cell r="A4363">
            <v>31102192</v>
          </cell>
          <cell r="C4363">
            <v>31102192</v>
          </cell>
          <cell r="D4363">
            <v>31102192</v>
          </cell>
          <cell r="E4363">
            <v>31102192</v>
          </cell>
          <cell r="F4363">
            <v>31102192</v>
          </cell>
          <cell r="G4363">
            <v>31102192</v>
          </cell>
          <cell r="H4363">
            <v>31102192</v>
          </cell>
          <cell r="I4363" t="str">
            <v/>
          </cell>
          <cell r="J4363" t="str">
            <v/>
          </cell>
          <cell r="K4363" t="str">
            <v/>
          </cell>
          <cell r="L4363" t="str">
            <v/>
          </cell>
          <cell r="M4363" t="str">
            <v/>
          </cell>
        </row>
        <row r="4364">
          <cell r="A4364">
            <v>31102192</v>
          </cell>
          <cell r="C4364">
            <v>31102192</v>
          </cell>
          <cell r="D4364">
            <v>31102192</v>
          </cell>
          <cell r="E4364">
            <v>31102192</v>
          </cell>
          <cell r="F4364">
            <v>31102192</v>
          </cell>
          <cell r="G4364">
            <v>31102192</v>
          </cell>
          <cell r="H4364">
            <v>31102192</v>
          </cell>
          <cell r="I4364" t="str">
            <v/>
          </cell>
          <cell r="J4364" t="str">
            <v/>
          </cell>
          <cell r="K4364" t="str">
            <v/>
          </cell>
          <cell r="L4364" t="str">
            <v/>
          </cell>
          <cell r="M4364" t="str">
            <v/>
          </cell>
        </row>
        <row r="4365">
          <cell r="A4365">
            <v>31102192</v>
          </cell>
          <cell r="C4365">
            <v>31102192</v>
          </cell>
          <cell r="D4365">
            <v>31102192</v>
          </cell>
          <cell r="E4365">
            <v>31102192</v>
          </cell>
          <cell r="F4365">
            <v>31102192</v>
          </cell>
          <cell r="G4365">
            <v>31102192</v>
          </cell>
          <cell r="H4365">
            <v>31102192</v>
          </cell>
          <cell r="I4365" t="str">
            <v/>
          </cell>
          <cell r="J4365" t="str">
            <v/>
          </cell>
          <cell r="K4365" t="str">
            <v/>
          </cell>
          <cell r="L4365" t="str">
            <v/>
          </cell>
          <cell r="M4365" t="str">
            <v/>
          </cell>
        </row>
        <row r="4366">
          <cell r="A4366">
            <v>31102192</v>
          </cell>
          <cell r="C4366">
            <v>31102192</v>
          </cell>
          <cell r="D4366">
            <v>31102192</v>
          </cell>
          <cell r="E4366">
            <v>31102192</v>
          </cell>
          <cell r="F4366">
            <v>31102192</v>
          </cell>
          <cell r="G4366">
            <v>31102192</v>
          </cell>
          <cell r="H4366">
            <v>31102192</v>
          </cell>
          <cell r="I4366" t="str">
            <v/>
          </cell>
          <cell r="J4366" t="str">
            <v/>
          </cell>
          <cell r="K4366" t="str">
            <v/>
          </cell>
          <cell r="L4366" t="str">
            <v/>
          </cell>
          <cell r="M4366" t="str">
            <v/>
          </cell>
        </row>
        <row r="4367">
          <cell r="A4367">
            <v>31102192</v>
          </cell>
          <cell r="C4367">
            <v>31102192</v>
          </cell>
          <cell r="D4367">
            <v>31102192</v>
          </cell>
          <cell r="E4367">
            <v>31102192</v>
          </cell>
          <cell r="F4367">
            <v>31102192</v>
          </cell>
          <cell r="G4367">
            <v>31102192</v>
          </cell>
          <cell r="H4367">
            <v>31102192</v>
          </cell>
          <cell r="I4367" t="str">
            <v/>
          </cell>
          <cell r="J4367" t="str">
            <v/>
          </cell>
          <cell r="K4367" t="str">
            <v/>
          </cell>
          <cell r="L4367" t="str">
            <v/>
          </cell>
          <cell r="M4367" t="str">
            <v/>
          </cell>
        </row>
        <row r="4368">
          <cell r="A4368">
            <v>31102192</v>
          </cell>
          <cell r="C4368">
            <v>31102192</v>
          </cell>
          <cell r="D4368">
            <v>31102192</v>
          </cell>
          <cell r="E4368">
            <v>31102192</v>
          </cell>
          <cell r="F4368">
            <v>31102192</v>
          </cell>
          <cell r="G4368">
            <v>31102192</v>
          </cell>
          <cell r="H4368">
            <v>31102192</v>
          </cell>
          <cell r="I4368" t="str">
            <v/>
          </cell>
          <cell r="J4368" t="str">
            <v/>
          </cell>
          <cell r="K4368" t="str">
            <v/>
          </cell>
          <cell r="L4368" t="str">
            <v/>
          </cell>
          <cell r="M4368" t="str">
            <v/>
          </cell>
        </row>
        <row r="4369">
          <cell r="A4369">
            <v>31102192</v>
          </cell>
          <cell r="C4369">
            <v>31102192</v>
          </cell>
          <cell r="D4369">
            <v>31102192</v>
          </cell>
          <cell r="E4369">
            <v>31102192</v>
          </cell>
          <cell r="F4369">
            <v>31102192</v>
          </cell>
          <cell r="G4369">
            <v>31102192</v>
          </cell>
          <cell r="H4369">
            <v>31102192</v>
          </cell>
          <cell r="I4369" t="str">
            <v/>
          </cell>
          <cell r="J4369" t="str">
            <v/>
          </cell>
          <cell r="K4369" t="str">
            <v/>
          </cell>
          <cell r="L4369" t="str">
            <v/>
          </cell>
          <cell r="M4369" t="str">
            <v/>
          </cell>
        </row>
        <row r="4370">
          <cell r="A4370">
            <v>31102192</v>
          </cell>
          <cell r="C4370">
            <v>31102192</v>
          </cell>
          <cell r="D4370">
            <v>31102192</v>
          </cell>
          <cell r="E4370">
            <v>31102192</v>
          </cell>
          <cell r="F4370">
            <v>31102192</v>
          </cell>
          <cell r="G4370">
            <v>31102192</v>
          </cell>
          <cell r="H4370">
            <v>31102192</v>
          </cell>
          <cell r="I4370" t="str">
            <v/>
          </cell>
          <cell r="J4370" t="str">
            <v/>
          </cell>
          <cell r="K4370" t="str">
            <v/>
          </cell>
          <cell r="L4370" t="str">
            <v/>
          </cell>
          <cell r="M4370" t="str">
            <v/>
          </cell>
        </row>
        <row r="4371">
          <cell r="A4371">
            <v>31102192</v>
          </cell>
          <cell r="C4371">
            <v>31102192</v>
          </cell>
          <cell r="D4371">
            <v>31102192</v>
          </cell>
          <cell r="E4371">
            <v>31102192</v>
          </cell>
          <cell r="F4371">
            <v>31102192</v>
          </cell>
          <cell r="G4371">
            <v>31102192</v>
          </cell>
          <cell r="H4371">
            <v>31102192</v>
          </cell>
          <cell r="I4371" t="str">
            <v/>
          </cell>
          <cell r="J4371" t="str">
            <v/>
          </cell>
          <cell r="K4371" t="str">
            <v/>
          </cell>
          <cell r="L4371" t="str">
            <v/>
          </cell>
          <cell r="M4371" t="str">
            <v/>
          </cell>
        </row>
        <row r="4372">
          <cell r="A4372">
            <v>31102192</v>
          </cell>
          <cell r="C4372">
            <v>31102192</v>
          </cell>
          <cell r="D4372">
            <v>31102192</v>
          </cell>
          <cell r="E4372">
            <v>31102192</v>
          </cell>
          <cell r="F4372">
            <v>31102192</v>
          </cell>
          <cell r="G4372">
            <v>31102192</v>
          </cell>
          <cell r="H4372">
            <v>31102192</v>
          </cell>
          <cell r="I4372" t="str">
            <v/>
          </cell>
          <cell r="J4372" t="str">
            <v/>
          </cell>
          <cell r="K4372" t="str">
            <v/>
          </cell>
          <cell r="L4372" t="str">
            <v/>
          </cell>
          <cell r="M4372" t="str">
            <v/>
          </cell>
        </row>
        <row r="4373">
          <cell r="A4373">
            <v>31102192</v>
          </cell>
          <cell r="C4373">
            <v>31102192</v>
          </cell>
          <cell r="D4373">
            <v>31102192</v>
          </cell>
          <cell r="E4373">
            <v>31102192</v>
          </cell>
          <cell r="F4373">
            <v>31102192</v>
          </cell>
          <cell r="G4373">
            <v>31102192</v>
          </cell>
          <cell r="H4373">
            <v>31102192</v>
          </cell>
          <cell r="I4373" t="str">
            <v/>
          </cell>
          <cell r="J4373" t="str">
            <v/>
          </cell>
          <cell r="K4373" t="str">
            <v/>
          </cell>
          <cell r="L4373" t="str">
            <v/>
          </cell>
          <cell r="M4373" t="str">
            <v/>
          </cell>
        </row>
        <row r="4374">
          <cell r="A4374">
            <v>31102192</v>
          </cell>
          <cell r="C4374">
            <v>31102192</v>
          </cell>
          <cell r="D4374">
            <v>31102192</v>
          </cell>
          <cell r="E4374">
            <v>31102192</v>
          </cell>
          <cell r="F4374">
            <v>31102192</v>
          </cell>
          <cell r="G4374">
            <v>31102192</v>
          </cell>
          <cell r="H4374">
            <v>31102192</v>
          </cell>
          <cell r="I4374" t="str">
            <v/>
          </cell>
          <cell r="J4374" t="str">
            <v/>
          </cell>
          <cell r="K4374" t="str">
            <v/>
          </cell>
          <cell r="L4374" t="str">
            <v/>
          </cell>
          <cell r="M4374" t="str">
            <v/>
          </cell>
        </row>
        <row r="4375">
          <cell r="A4375">
            <v>31102192</v>
          </cell>
          <cell r="C4375">
            <v>31102192</v>
          </cell>
          <cell r="D4375">
            <v>31102192</v>
          </cell>
          <cell r="E4375">
            <v>31102192</v>
          </cell>
          <cell r="F4375">
            <v>31102192</v>
          </cell>
          <cell r="G4375">
            <v>31102192</v>
          </cell>
          <cell r="H4375">
            <v>31102192</v>
          </cell>
          <cell r="I4375" t="str">
            <v/>
          </cell>
          <cell r="J4375" t="str">
            <v/>
          </cell>
          <cell r="K4375" t="str">
            <v/>
          </cell>
          <cell r="L4375" t="str">
            <v/>
          </cell>
          <cell r="M4375" t="str">
            <v/>
          </cell>
        </row>
        <row r="4376">
          <cell r="A4376">
            <v>31102192</v>
          </cell>
          <cell r="C4376">
            <v>31102192</v>
          </cell>
          <cell r="D4376">
            <v>31102192</v>
          </cell>
          <cell r="E4376">
            <v>31102192</v>
          </cell>
          <cell r="F4376">
            <v>31102192</v>
          </cell>
          <cell r="G4376">
            <v>31102192</v>
          </cell>
          <cell r="H4376">
            <v>31102192</v>
          </cell>
          <cell r="I4376" t="str">
            <v/>
          </cell>
          <cell r="J4376" t="str">
            <v/>
          </cell>
          <cell r="K4376" t="str">
            <v/>
          </cell>
          <cell r="L4376" t="str">
            <v/>
          </cell>
          <cell r="M4376" t="str">
            <v/>
          </cell>
        </row>
        <row r="4377">
          <cell r="A4377">
            <v>31102192</v>
          </cell>
          <cell r="C4377">
            <v>31102192</v>
          </cell>
          <cell r="D4377">
            <v>31102192</v>
          </cell>
          <cell r="E4377">
            <v>31102192</v>
          </cell>
          <cell r="F4377">
            <v>31102192</v>
          </cell>
          <cell r="G4377">
            <v>31102192</v>
          </cell>
          <cell r="H4377">
            <v>31102192</v>
          </cell>
          <cell r="I4377" t="str">
            <v/>
          </cell>
          <cell r="J4377" t="str">
            <v/>
          </cell>
          <cell r="K4377" t="str">
            <v/>
          </cell>
          <cell r="L4377" t="str">
            <v/>
          </cell>
          <cell r="M4377" t="str">
            <v/>
          </cell>
        </row>
        <row r="4378">
          <cell r="A4378">
            <v>31102192</v>
          </cell>
          <cell r="C4378">
            <v>31102192</v>
          </cell>
          <cell r="D4378">
            <v>31102192</v>
          </cell>
          <cell r="E4378">
            <v>31102192</v>
          </cell>
          <cell r="F4378">
            <v>31102192</v>
          </cell>
          <cell r="G4378">
            <v>31102192</v>
          </cell>
          <cell r="H4378">
            <v>31102192</v>
          </cell>
          <cell r="I4378" t="str">
            <v/>
          </cell>
          <cell r="J4378" t="str">
            <v/>
          </cell>
          <cell r="K4378" t="str">
            <v/>
          </cell>
          <cell r="L4378" t="str">
            <v/>
          </cell>
          <cell r="M4378" t="str">
            <v/>
          </cell>
        </row>
        <row r="4379">
          <cell r="A4379">
            <v>31102192</v>
          </cell>
          <cell r="C4379">
            <v>31102192</v>
          </cell>
          <cell r="D4379">
            <v>31102192</v>
          </cell>
          <cell r="E4379">
            <v>31102192</v>
          </cell>
          <cell r="F4379">
            <v>31102192</v>
          </cell>
          <cell r="G4379">
            <v>31102192</v>
          </cell>
          <cell r="H4379">
            <v>31102192</v>
          </cell>
          <cell r="I4379" t="str">
            <v/>
          </cell>
          <cell r="J4379" t="str">
            <v/>
          </cell>
          <cell r="K4379" t="str">
            <v/>
          </cell>
          <cell r="L4379" t="str">
            <v/>
          </cell>
          <cell r="M4379" t="str">
            <v/>
          </cell>
        </row>
        <row r="4380">
          <cell r="A4380">
            <v>31102192</v>
          </cell>
          <cell r="C4380">
            <v>31102192</v>
          </cell>
          <cell r="D4380">
            <v>31102192</v>
          </cell>
          <cell r="E4380">
            <v>31102192</v>
          </cell>
          <cell r="F4380">
            <v>31102192</v>
          </cell>
          <cell r="G4380">
            <v>31102192</v>
          </cell>
          <cell r="H4380">
            <v>31102192</v>
          </cell>
          <cell r="I4380" t="str">
            <v/>
          </cell>
          <cell r="J4380" t="str">
            <v/>
          </cell>
          <cell r="K4380" t="str">
            <v/>
          </cell>
          <cell r="L4380" t="str">
            <v/>
          </cell>
          <cell r="M4380" t="str">
            <v/>
          </cell>
        </row>
        <row r="4381">
          <cell r="A4381">
            <v>31102192</v>
          </cell>
          <cell r="C4381">
            <v>31102192</v>
          </cell>
          <cell r="D4381">
            <v>31102192</v>
          </cell>
          <cell r="E4381">
            <v>31102192</v>
          </cell>
          <cell r="F4381">
            <v>31102192</v>
          </cell>
          <cell r="G4381">
            <v>31102192</v>
          </cell>
          <cell r="H4381">
            <v>31102192</v>
          </cell>
          <cell r="I4381" t="str">
            <v/>
          </cell>
          <cell r="J4381" t="str">
            <v/>
          </cell>
          <cell r="K4381" t="str">
            <v/>
          </cell>
          <cell r="L4381" t="str">
            <v/>
          </cell>
          <cell r="M4381" t="str">
            <v/>
          </cell>
        </row>
        <row r="4382">
          <cell r="A4382">
            <v>31102192</v>
          </cell>
          <cell r="C4382">
            <v>31102192</v>
          </cell>
          <cell r="D4382">
            <v>31102192</v>
          </cell>
          <cell r="E4382">
            <v>31102192</v>
          </cell>
          <cell r="F4382">
            <v>31102192</v>
          </cell>
          <cell r="G4382">
            <v>31102192</v>
          </cell>
          <cell r="H4382">
            <v>31102192</v>
          </cell>
          <cell r="I4382" t="str">
            <v/>
          </cell>
          <cell r="J4382" t="str">
            <v/>
          </cell>
          <cell r="K4382" t="str">
            <v/>
          </cell>
          <cell r="L4382" t="str">
            <v/>
          </cell>
          <cell r="M4382" t="str">
            <v/>
          </cell>
        </row>
        <row r="4383">
          <cell r="A4383">
            <v>31102192</v>
          </cell>
          <cell r="C4383">
            <v>31102192</v>
          </cell>
          <cell r="D4383">
            <v>31102192</v>
          </cell>
          <cell r="E4383">
            <v>31102192</v>
          </cell>
          <cell r="F4383">
            <v>31102192</v>
          </cell>
          <cell r="G4383">
            <v>31102192</v>
          </cell>
          <cell r="H4383">
            <v>31102192</v>
          </cell>
          <cell r="I4383" t="str">
            <v/>
          </cell>
          <cell r="J4383" t="str">
            <v/>
          </cell>
          <cell r="K4383" t="str">
            <v/>
          </cell>
          <cell r="L4383" t="str">
            <v/>
          </cell>
          <cell r="M4383" t="str">
            <v/>
          </cell>
        </row>
        <row r="4384">
          <cell r="A4384">
            <v>31102192</v>
          </cell>
          <cell r="C4384">
            <v>31102192</v>
          </cell>
          <cell r="D4384">
            <v>31102192</v>
          </cell>
          <cell r="E4384">
            <v>31102192</v>
          </cell>
          <cell r="F4384">
            <v>31102192</v>
          </cell>
          <cell r="G4384">
            <v>31102192</v>
          </cell>
          <cell r="H4384">
            <v>31102192</v>
          </cell>
          <cell r="I4384" t="str">
            <v/>
          </cell>
          <cell r="J4384" t="str">
            <v/>
          </cell>
          <cell r="K4384" t="str">
            <v/>
          </cell>
          <cell r="L4384" t="str">
            <v/>
          </cell>
          <cell r="M4384" t="str">
            <v/>
          </cell>
        </row>
        <row r="4385">
          <cell r="A4385">
            <v>31102192</v>
          </cell>
          <cell r="C4385">
            <v>31102192</v>
          </cell>
          <cell r="D4385">
            <v>31102192</v>
          </cell>
          <cell r="E4385">
            <v>31102192</v>
          </cell>
          <cell r="F4385">
            <v>31102192</v>
          </cell>
          <cell r="G4385">
            <v>31102192</v>
          </cell>
          <cell r="H4385">
            <v>31102192</v>
          </cell>
          <cell r="I4385" t="str">
            <v/>
          </cell>
          <cell r="J4385" t="str">
            <v/>
          </cell>
          <cell r="K4385" t="str">
            <v/>
          </cell>
          <cell r="L4385" t="str">
            <v/>
          </cell>
          <cell r="M4385" t="str">
            <v/>
          </cell>
        </row>
        <row r="4386">
          <cell r="A4386">
            <v>31102192</v>
          </cell>
          <cell r="C4386">
            <v>31102192</v>
          </cell>
          <cell r="D4386">
            <v>31102192</v>
          </cell>
          <cell r="E4386">
            <v>31102192</v>
          </cell>
          <cell r="F4386">
            <v>31102192</v>
          </cell>
          <cell r="G4386">
            <v>31102192</v>
          </cell>
          <cell r="H4386">
            <v>31102192</v>
          </cell>
          <cell r="I4386" t="str">
            <v/>
          </cell>
          <cell r="J4386" t="str">
            <v/>
          </cell>
          <cell r="K4386" t="str">
            <v/>
          </cell>
          <cell r="L4386" t="str">
            <v/>
          </cell>
          <cell r="M4386" t="str">
            <v/>
          </cell>
        </row>
        <row r="4387">
          <cell r="A4387">
            <v>31102192</v>
          </cell>
          <cell r="C4387">
            <v>31102192</v>
          </cell>
          <cell r="D4387">
            <v>31102192</v>
          </cell>
          <cell r="E4387">
            <v>31102192</v>
          </cell>
          <cell r="F4387">
            <v>31102192</v>
          </cell>
          <cell r="G4387">
            <v>31102192</v>
          </cell>
          <cell r="H4387">
            <v>31102192</v>
          </cell>
          <cell r="I4387" t="str">
            <v/>
          </cell>
          <cell r="J4387" t="str">
            <v/>
          </cell>
          <cell r="K4387" t="str">
            <v/>
          </cell>
          <cell r="L4387" t="str">
            <v/>
          </cell>
          <cell r="M4387" t="str">
            <v/>
          </cell>
        </row>
        <row r="4388">
          <cell r="A4388">
            <v>31102192</v>
          </cell>
          <cell r="C4388">
            <v>31102192</v>
          </cell>
          <cell r="D4388">
            <v>31102192</v>
          </cell>
          <cell r="E4388">
            <v>31102192</v>
          </cell>
          <cell r="F4388">
            <v>31102192</v>
          </cell>
          <cell r="G4388">
            <v>31102192</v>
          </cell>
          <cell r="H4388">
            <v>31102192</v>
          </cell>
          <cell r="I4388" t="str">
            <v/>
          </cell>
          <cell r="J4388" t="str">
            <v/>
          </cell>
          <cell r="K4388" t="str">
            <v/>
          </cell>
          <cell r="L4388" t="str">
            <v/>
          </cell>
          <cell r="M4388" t="str">
            <v/>
          </cell>
        </row>
        <row r="4389">
          <cell r="A4389">
            <v>31102192</v>
          </cell>
          <cell r="C4389">
            <v>31102192</v>
          </cell>
          <cell r="D4389">
            <v>31102192</v>
          </cell>
          <cell r="E4389">
            <v>31102192</v>
          </cell>
          <cell r="F4389">
            <v>31102192</v>
          </cell>
          <cell r="G4389">
            <v>31102192</v>
          </cell>
          <cell r="H4389">
            <v>31102192</v>
          </cell>
          <cell r="I4389" t="str">
            <v/>
          </cell>
          <cell r="J4389" t="str">
            <v/>
          </cell>
          <cell r="K4389" t="str">
            <v/>
          </cell>
          <cell r="L4389" t="str">
            <v/>
          </cell>
          <cell r="M4389" t="str">
            <v/>
          </cell>
        </row>
        <row r="4390">
          <cell r="A4390">
            <v>31102192</v>
          </cell>
          <cell r="C4390">
            <v>31102192</v>
          </cell>
          <cell r="D4390">
            <v>31102192</v>
          </cell>
          <cell r="E4390">
            <v>31102192</v>
          </cell>
          <cell r="F4390">
            <v>31102192</v>
          </cell>
          <cell r="G4390">
            <v>31102192</v>
          </cell>
          <cell r="H4390">
            <v>31102192</v>
          </cell>
          <cell r="I4390" t="str">
            <v/>
          </cell>
          <cell r="J4390" t="str">
            <v/>
          </cell>
          <cell r="K4390" t="str">
            <v/>
          </cell>
          <cell r="L4390" t="str">
            <v/>
          </cell>
          <cell r="M4390" t="str">
            <v/>
          </cell>
        </row>
        <row r="4391">
          <cell r="A4391">
            <v>31102192</v>
          </cell>
          <cell r="C4391">
            <v>31102192</v>
          </cell>
          <cell r="D4391">
            <v>31102192</v>
          </cell>
          <cell r="E4391">
            <v>31102192</v>
          </cell>
          <cell r="F4391">
            <v>31102192</v>
          </cell>
          <cell r="G4391">
            <v>31102192</v>
          </cell>
          <cell r="H4391">
            <v>31102192</v>
          </cell>
          <cell r="I4391" t="str">
            <v/>
          </cell>
          <cell r="J4391" t="str">
            <v/>
          </cell>
          <cell r="K4391" t="str">
            <v/>
          </cell>
          <cell r="L4391" t="str">
            <v/>
          </cell>
          <cell r="M4391" t="str">
            <v/>
          </cell>
        </row>
        <row r="4392">
          <cell r="A4392">
            <v>31102192</v>
          </cell>
          <cell r="C4392">
            <v>31102192</v>
          </cell>
          <cell r="D4392">
            <v>31102192</v>
          </cell>
          <cell r="E4392">
            <v>31102192</v>
          </cell>
          <cell r="F4392">
            <v>31102192</v>
          </cell>
          <cell r="G4392">
            <v>31102192</v>
          </cell>
          <cell r="H4392">
            <v>31102192</v>
          </cell>
          <cell r="I4392" t="str">
            <v/>
          </cell>
          <cell r="J4392" t="str">
            <v/>
          </cell>
          <cell r="K4392" t="str">
            <v/>
          </cell>
          <cell r="L4392" t="str">
            <v/>
          </cell>
          <cell r="M4392" t="str">
            <v/>
          </cell>
        </row>
        <row r="4393">
          <cell r="A4393">
            <v>31102192</v>
          </cell>
          <cell r="C4393">
            <v>31102192</v>
          </cell>
          <cell r="D4393">
            <v>31102192</v>
          </cell>
          <cell r="E4393">
            <v>31102192</v>
          </cell>
          <cell r="F4393">
            <v>31102192</v>
          </cell>
          <cell r="G4393">
            <v>31102192</v>
          </cell>
          <cell r="H4393">
            <v>31102192</v>
          </cell>
          <cell r="I4393" t="str">
            <v/>
          </cell>
          <cell r="J4393" t="str">
            <v/>
          </cell>
          <cell r="K4393" t="str">
            <v/>
          </cell>
          <cell r="L4393" t="str">
            <v/>
          </cell>
          <cell r="M4393" t="str">
            <v/>
          </cell>
        </row>
        <row r="4394">
          <cell r="A4394">
            <v>31102192</v>
          </cell>
          <cell r="C4394">
            <v>31102192</v>
          </cell>
          <cell r="D4394">
            <v>31102192</v>
          </cell>
          <cell r="E4394">
            <v>31102192</v>
          </cell>
          <cell r="F4394">
            <v>31102192</v>
          </cell>
          <cell r="G4394">
            <v>31102192</v>
          </cell>
          <cell r="H4394">
            <v>31102192</v>
          </cell>
          <cell r="I4394" t="str">
            <v/>
          </cell>
          <cell r="J4394" t="str">
            <v/>
          </cell>
          <cell r="K4394" t="str">
            <v/>
          </cell>
          <cell r="L4394" t="str">
            <v/>
          </cell>
          <cell r="M4394" t="str">
            <v/>
          </cell>
        </row>
        <row r="4395">
          <cell r="A4395">
            <v>31102192</v>
          </cell>
          <cell r="C4395">
            <v>31102192</v>
          </cell>
          <cell r="D4395">
            <v>31102192</v>
          </cell>
          <cell r="E4395">
            <v>31102192</v>
          </cell>
          <cell r="F4395">
            <v>31102192</v>
          </cell>
          <cell r="G4395">
            <v>31102192</v>
          </cell>
          <cell r="H4395">
            <v>31102192</v>
          </cell>
          <cell r="I4395" t="str">
            <v/>
          </cell>
          <cell r="J4395" t="str">
            <v/>
          </cell>
          <cell r="K4395" t="str">
            <v/>
          </cell>
          <cell r="L4395" t="str">
            <v/>
          </cell>
          <cell r="M4395" t="str">
            <v/>
          </cell>
        </row>
        <row r="4396">
          <cell r="A4396">
            <v>31102192</v>
          </cell>
          <cell r="C4396">
            <v>31102192</v>
          </cell>
          <cell r="D4396">
            <v>31102192</v>
          </cell>
          <cell r="E4396">
            <v>31102192</v>
          </cell>
          <cell r="F4396">
            <v>31102192</v>
          </cell>
          <cell r="G4396">
            <v>31102192</v>
          </cell>
          <cell r="H4396">
            <v>31102192</v>
          </cell>
          <cell r="I4396" t="str">
            <v/>
          </cell>
          <cell r="J4396" t="str">
            <v/>
          </cell>
          <cell r="K4396" t="str">
            <v/>
          </cell>
          <cell r="L4396" t="str">
            <v/>
          </cell>
          <cell r="M4396" t="str">
            <v/>
          </cell>
        </row>
        <row r="4397">
          <cell r="A4397">
            <v>31102192</v>
          </cell>
          <cell r="C4397">
            <v>31102192</v>
          </cell>
          <cell r="D4397">
            <v>31102192</v>
          </cell>
          <cell r="E4397">
            <v>31102192</v>
          </cell>
          <cell r="F4397">
            <v>31102192</v>
          </cell>
          <cell r="G4397">
            <v>31102192</v>
          </cell>
          <cell r="H4397">
            <v>31102192</v>
          </cell>
          <cell r="I4397" t="str">
            <v/>
          </cell>
          <cell r="J4397" t="str">
            <v/>
          </cell>
          <cell r="K4397" t="str">
            <v/>
          </cell>
          <cell r="L4397" t="str">
            <v/>
          </cell>
          <cell r="M4397" t="str">
            <v/>
          </cell>
        </row>
        <row r="4398">
          <cell r="A4398">
            <v>31102192</v>
          </cell>
          <cell r="C4398">
            <v>31102192</v>
          </cell>
          <cell r="D4398">
            <v>31102192</v>
          </cell>
          <cell r="E4398">
            <v>31102192</v>
          </cell>
          <cell r="F4398">
            <v>31102192</v>
          </cell>
          <cell r="G4398">
            <v>31102192</v>
          </cell>
          <cell r="H4398">
            <v>31102192</v>
          </cell>
          <cell r="I4398" t="str">
            <v/>
          </cell>
          <cell r="J4398" t="str">
            <v/>
          </cell>
          <cell r="K4398" t="str">
            <v/>
          </cell>
          <cell r="L4398" t="str">
            <v/>
          </cell>
          <cell r="M4398" t="str">
            <v/>
          </cell>
        </row>
        <row r="4399">
          <cell r="A4399">
            <v>31102192</v>
          </cell>
          <cell r="C4399">
            <v>31102192</v>
          </cell>
          <cell r="D4399">
            <v>31102192</v>
          </cell>
          <cell r="E4399">
            <v>31102192</v>
          </cell>
          <cell r="F4399">
            <v>31102192</v>
          </cell>
          <cell r="G4399">
            <v>31102192</v>
          </cell>
          <cell r="H4399">
            <v>31102192</v>
          </cell>
          <cell r="I4399" t="str">
            <v/>
          </cell>
          <cell r="J4399" t="str">
            <v/>
          </cell>
          <cell r="K4399" t="str">
            <v/>
          </cell>
          <cell r="L4399" t="str">
            <v/>
          </cell>
          <cell r="M4399" t="str">
            <v/>
          </cell>
        </row>
        <row r="4400">
          <cell r="A4400">
            <v>31102192</v>
          </cell>
          <cell r="C4400">
            <v>31102192</v>
          </cell>
          <cell r="D4400">
            <v>31102192</v>
          </cell>
          <cell r="E4400">
            <v>31102192</v>
          </cell>
          <cell r="F4400">
            <v>31102192</v>
          </cell>
          <cell r="G4400">
            <v>31102192</v>
          </cell>
          <cell r="H4400">
            <v>31102192</v>
          </cell>
          <cell r="I4400" t="str">
            <v/>
          </cell>
          <cell r="J4400" t="str">
            <v/>
          </cell>
          <cell r="K4400" t="str">
            <v/>
          </cell>
          <cell r="L4400" t="str">
            <v/>
          </cell>
          <cell r="M4400" t="str">
            <v/>
          </cell>
        </row>
        <row r="4401">
          <cell r="A4401">
            <v>31102192</v>
          </cell>
          <cell r="C4401">
            <v>31102192</v>
          </cell>
          <cell r="D4401">
            <v>31102192</v>
          </cell>
          <cell r="E4401">
            <v>31102192</v>
          </cell>
          <cell r="F4401">
            <v>31102192</v>
          </cell>
          <cell r="G4401">
            <v>31102192</v>
          </cell>
          <cell r="H4401">
            <v>31102192</v>
          </cell>
          <cell r="I4401" t="str">
            <v/>
          </cell>
          <cell r="J4401" t="str">
            <v/>
          </cell>
          <cell r="K4401" t="str">
            <v/>
          </cell>
          <cell r="L4401" t="str">
            <v/>
          </cell>
          <cell r="M4401" t="str">
            <v/>
          </cell>
        </row>
        <row r="4402">
          <cell r="A4402">
            <v>31102192</v>
          </cell>
          <cell r="C4402">
            <v>31102192</v>
          </cell>
          <cell r="D4402">
            <v>31102192</v>
          </cell>
          <cell r="E4402">
            <v>31102192</v>
          </cell>
          <cell r="F4402">
            <v>31102192</v>
          </cell>
          <cell r="G4402">
            <v>31102192</v>
          </cell>
          <cell r="H4402">
            <v>31102192</v>
          </cell>
          <cell r="I4402" t="str">
            <v/>
          </cell>
          <cell r="J4402" t="str">
            <v/>
          </cell>
          <cell r="K4402" t="str">
            <v/>
          </cell>
          <cell r="L4402" t="str">
            <v/>
          </cell>
          <cell r="M4402" t="str">
            <v/>
          </cell>
        </row>
        <row r="4403">
          <cell r="A4403">
            <v>31102192</v>
          </cell>
          <cell r="C4403">
            <v>31102192</v>
          </cell>
          <cell r="D4403">
            <v>31102192</v>
          </cell>
          <cell r="E4403">
            <v>31102192</v>
          </cell>
          <cell r="F4403">
            <v>31102192</v>
          </cell>
          <cell r="G4403">
            <v>31102192</v>
          </cell>
          <cell r="H4403">
            <v>31102192</v>
          </cell>
          <cell r="I4403" t="str">
            <v/>
          </cell>
          <cell r="J4403" t="str">
            <v/>
          </cell>
          <cell r="K4403" t="str">
            <v/>
          </cell>
          <cell r="L4403" t="str">
            <v/>
          </cell>
          <cell r="M4403" t="str">
            <v/>
          </cell>
        </row>
        <row r="4404">
          <cell r="A4404">
            <v>31102192</v>
          </cell>
          <cell r="C4404">
            <v>31102192</v>
          </cell>
          <cell r="D4404">
            <v>31102192</v>
          </cell>
          <cell r="E4404">
            <v>31102192</v>
          </cell>
          <cell r="F4404">
            <v>31102192</v>
          </cell>
          <cell r="G4404">
            <v>31102192</v>
          </cell>
          <cell r="H4404">
            <v>31102192</v>
          </cell>
          <cell r="I4404" t="str">
            <v/>
          </cell>
          <cell r="J4404" t="str">
            <v/>
          </cell>
          <cell r="K4404" t="str">
            <v/>
          </cell>
          <cell r="L4404" t="str">
            <v/>
          </cell>
          <cell r="M4404" t="str">
            <v/>
          </cell>
        </row>
        <row r="4405">
          <cell r="A4405">
            <v>31102192</v>
          </cell>
          <cell r="C4405">
            <v>31102192</v>
          </cell>
          <cell r="D4405">
            <v>31102192</v>
          </cell>
          <cell r="E4405">
            <v>31102192</v>
          </cell>
          <cell r="F4405">
            <v>31102192</v>
          </cell>
          <cell r="G4405">
            <v>31102192</v>
          </cell>
          <cell r="H4405">
            <v>31102192</v>
          </cell>
          <cell r="I4405" t="str">
            <v/>
          </cell>
          <cell r="J4405" t="str">
            <v/>
          </cell>
          <cell r="K4405" t="str">
            <v/>
          </cell>
          <cell r="L4405" t="str">
            <v/>
          </cell>
          <cell r="M4405" t="str">
            <v/>
          </cell>
        </row>
        <row r="4406">
          <cell r="A4406">
            <v>31102192</v>
          </cell>
          <cell r="C4406">
            <v>31102192</v>
          </cell>
          <cell r="D4406">
            <v>31102192</v>
          </cell>
          <cell r="E4406">
            <v>31102192</v>
          </cell>
          <cell r="F4406">
            <v>31102192</v>
          </cell>
          <cell r="G4406">
            <v>31102192</v>
          </cell>
          <cell r="H4406">
            <v>31102192</v>
          </cell>
          <cell r="I4406" t="str">
            <v/>
          </cell>
          <cell r="J4406" t="str">
            <v/>
          </cell>
          <cell r="K4406" t="str">
            <v/>
          </cell>
          <cell r="L4406" t="str">
            <v/>
          </cell>
          <cell r="M4406" t="str">
            <v/>
          </cell>
        </row>
        <row r="4407">
          <cell r="A4407">
            <v>31102192</v>
          </cell>
          <cell r="C4407">
            <v>31102192</v>
          </cell>
          <cell r="D4407">
            <v>31102192</v>
          </cell>
          <cell r="E4407">
            <v>31102192</v>
          </cell>
          <cell r="F4407">
            <v>31102192</v>
          </cell>
          <cell r="G4407">
            <v>31102192</v>
          </cell>
          <cell r="H4407">
            <v>31102192</v>
          </cell>
          <cell r="I4407" t="str">
            <v/>
          </cell>
          <cell r="J4407" t="str">
            <v/>
          </cell>
          <cell r="K4407" t="str">
            <v/>
          </cell>
          <cell r="L4407" t="str">
            <v/>
          </cell>
          <cell r="M4407" t="str">
            <v/>
          </cell>
        </row>
        <row r="4408">
          <cell r="A4408">
            <v>31102192</v>
          </cell>
          <cell r="C4408">
            <v>31102192</v>
          </cell>
          <cell r="D4408">
            <v>31102192</v>
          </cell>
          <cell r="E4408">
            <v>31102192</v>
          </cell>
          <cell r="F4408">
            <v>31102192</v>
          </cell>
          <cell r="G4408">
            <v>31102192</v>
          </cell>
          <cell r="H4408">
            <v>31102192</v>
          </cell>
          <cell r="I4408" t="str">
            <v/>
          </cell>
          <cell r="J4408" t="str">
            <v/>
          </cell>
          <cell r="K4408" t="str">
            <v/>
          </cell>
          <cell r="L4408" t="str">
            <v/>
          </cell>
          <cell r="M4408" t="str">
            <v/>
          </cell>
        </row>
        <row r="4409">
          <cell r="A4409">
            <v>31102192</v>
          </cell>
          <cell r="C4409">
            <v>31102192</v>
          </cell>
          <cell r="D4409">
            <v>31102192</v>
          </cell>
          <cell r="E4409">
            <v>31102192</v>
          </cell>
          <cell r="F4409">
            <v>31102192</v>
          </cell>
          <cell r="G4409">
            <v>31102192</v>
          </cell>
          <cell r="H4409">
            <v>31102192</v>
          </cell>
          <cell r="I4409" t="str">
            <v/>
          </cell>
          <cell r="J4409" t="str">
            <v/>
          </cell>
          <cell r="K4409" t="str">
            <v/>
          </cell>
          <cell r="L4409" t="str">
            <v/>
          </cell>
          <cell r="M4409" t="str">
            <v/>
          </cell>
        </row>
        <row r="4410">
          <cell r="A4410">
            <v>31102192</v>
          </cell>
          <cell r="C4410">
            <v>31102192</v>
          </cell>
          <cell r="D4410">
            <v>31102192</v>
          </cell>
          <cell r="E4410">
            <v>31102192</v>
          </cell>
          <cell r="F4410">
            <v>31102192</v>
          </cell>
          <cell r="G4410">
            <v>31102192</v>
          </cell>
          <cell r="H4410">
            <v>31102192</v>
          </cell>
          <cell r="I4410" t="str">
            <v/>
          </cell>
          <cell r="J4410" t="str">
            <v/>
          </cell>
          <cell r="K4410" t="str">
            <v/>
          </cell>
          <cell r="L4410" t="str">
            <v/>
          </cell>
          <cell r="M4410" t="str">
            <v/>
          </cell>
        </row>
        <row r="4411">
          <cell r="A4411">
            <v>31102192</v>
          </cell>
          <cell r="C4411">
            <v>31102192</v>
          </cell>
          <cell r="D4411">
            <v>31102192</v>
          </cell>
          <cell r="E4411">
            <v>31102192</v>
          </cell>
          <cell r="F4411">
            <v>31102192</v>
          </cell>
          <cell r="G4411">
            <v>31102192</v>
          </cell>
          <cell r="H4411">
            <v>31102192</v>
          </cell>
          <cell r="I4411" t="str">
            <v/>
          </cell>
          <cell r="J4411" t="str">
            <v/>
          </cell>
          <cell r="K4411" t="str">
            <v/>
          </cell>
          <cell r="L4411" t="str">
            <v/>
          </cell>
          <cell r="M4411" t="str">
            <v/>
          </cell>
        </row>
        <row r="4412">
          <cell r="A4412">
            <v>31102192</v>
          </cell>
          <cell r="C4412">
            <v>31102192</v>
          </cell>
          <cell r="D4412">
            <v>31102192</v>
          </cell>
          <cell r="E4412">
            <v>31102192</v>
          </cell>
          <cell r="F4412">
            <v>31102192</v>
          </cell>
          <cell r="G4412">
            <v>31102192</v>
          </cell>
          <cell r="H4412">
            <v>31102192</v>
          </cell>
          <cell r="I4412" t="str">
            <v/>
          </cell>
          <cell r="J4412" t="str">
            <v/>
          </cell>
          <cell r="K4412" t="str">
            <v/>
          </cell>
          <cell r="L4412" t="str">
            <v/>
          </cell>
          <cell r="M4412" t="str">
            <v/>
          </cell>
        </row>
        <row r="4413">
          <cell r="A4413">
            <v>31102192</v>
          </cell>
          <cell r="C4413">
            <v>31102192</v>
          </cell>
          <cell r="D4413">
            <v>31102192</v>
          </cell>
          <cell r="E4413">
            <v>31102192</v>
          </cell>
          <cell r="F4413">
            <v>31102192</v>
          </cell>
          <cell r="G4413">
            <v>31102192</v>
          </cell>
          <cell r="H4413">
            <v>31102192</v>
          </cell>
          <cell r="I4413" t="str">
            <v/>
          </cell>
          <cell r="J4413" t="str">
            <v/>
          </cell>
          <cell r="K4413" t="str">
            <v/>
          </cell>
          <cell r="L4413" t="str">
            <v/>
          </cell>
          <cell r="M4413" t="str">
            <v/>
          </cell>
        </row>
        <row r="4414">
          <cell r="A4414">
            <v>31102192</v>
          </cell>
          <cell r="C4414">
            <v>31102192</v>
          </cell>
          <cell r="D4414">
            <v>31102192</v>
          </cell>
          <cell r="E4414">
            <v>31102192</v>
          </cell>
          <cell r="F4414">
            <v>31102192</v>
          </cell>
          <cell r="G4414">
            <v>31102192</v>
          </cell>
          <cell r="H4414">
            <v>31102192</v>
          </cell>
          <cell r="I4414" t="str">
            <v/>
          </cell>
          <cell r="J4414" t="str">
            <v/>
          </cell>
          <cell r="K4414" t="str">
            <v/>
          </cell>
          <cell r="L4414" t="str">
            <v/>
          </cell>
          <cell r="M4414" t="str">
            <v/>
          </cell>
        </row>
        <row r="4415">
          <cell r="A4415">
            <v>31102192</v>
          </cell>
          <cell r="C4415">
            <v>31102192</v>
          </cell>
          <cell r="D4415">
            <v>31102192</v>
          </cell>
          <cell r="E4415">
            <v>31102192</v>
          </cell>
          <cell r="F4415">
            <v>31102192</v>
          </cell>
          <cell r="G4415">
            <v>31102192</v>
          </cell>
          <cell r="H4415">
            <v>31102192</v>
          </cell>
          <cell r="I4415" t="str">
            <v/>
          </cell>
          <cell r="J4415" t="str">
            <v/>
          </cell>
          <cell r="K4415" t="str">
            <v/>
          </cell>
          <cell r="L4415" t="str">
            <v/>
          </cell>
          <cell r="M4415" t="str">
            <v/>
          </cell>
        </row>
        <row r="4416">
          <cell r="A4416">
            <v>31102192</v>
          </cell>
          <cell r="C4416">
            <v>31102192</v>
          </cell>
          <cell r="D4416">
            <v>31102192</v>
          </cell>
          <cell r="E4416">
            <v>31102192</v>
          </cell>
          <cell r="F4416">
            <v>31102192</v>
          </cell>
          <cell r="G4416">
            <v>31102192</v>
          </cell>
          <cell r="H4416">
            <v>31102192</v>
          </cell>
          <cell r="I4416" t="str">
            <v/>
          </cell>
          <cell r="J4416" t="str">
            <v/>
          </cell>
          <cell r="K4416" t="str">
            <v/>
          </cell>
          <cell r="L4416" t="str">
            <v/>
          </cell>
          <cell r="M4416" t="str">
            <v/>
          </cell>
        </row>
        <row r="4417">
          <cell r="A4417">
            <v>31102192</v>
          </cell>
          <cell r="C4417">
            <v>31102192</v>
          </cell>
          <cell r="D4417">
            <v>31102192</v>
          </cell>
          <cell r="E4417">
            <v>31102192</v>
          </cell>
          <cell r="F4417">
            <v>31102192</v>
          </cell>
          <cell r="G4417">
            <v>31102192</v>
          </cell>
          <cell r="H4417">
            <v>31102192</v>
          </cell>
          <cell r="I4417" t="str">
            <v/>
          </cell>
          <cell r="J4417" t="str">
            <v/>
          </cell>
          <cell r="K4417" t="str">
            <v/>
          </cell>
          <cell r="L4417" t="str">
            <v/>
          </cell>
          <cell r="M4417" t="str">
            <v/>
          </cell>
        </row>
        <row r="4418">
          <cell r="A4418">
            <v>31102192</v>
          </cell>
          <cell r="C4418">
            <v>31102192</v>
          </cell>
          <cell r="D4418">
            <v>31102192</v>
          </cell>
          <cell r="E4418">
            <v>31102192</v>
          </cell>
          <cell r="F4418">
            <v>31102192</v>
          </cell>
          <cell r="G4418">
            <v>31102192</v>
          </cell>
          <cell r="H4418">
            <v>31102192</v>
          </cell>
          <cell r="I4418" t="str">
            <v/>
          </cell>
          <cell r="J4418" t="str">
            <v/>
          </cell>
          <cell r="K4418" t="str">
            <v/>
          </cell>
          <cell r="L4418" t="str">
            <v/>
          </cell>
          <cell r="M4418" t="str">
            <v/>
          </cell>
        </row>
        <row r="4419">
          <cell r="A4419">
            <v>31102192</v>
          </cell>
          <cell r="C4419">
            <v>31102192</v>
          </cell>
          <cell r="D4419">
            <v>31102192</v>
          </cell>
          <cell r="E4419">
            <v>31102192</v>
          </cell>
          <cell r="F4419">
            <v>31102192</v>
          </cell>
          <cell r="G4419">
            <v>31102192</v>
          </cell>
          <cell r="H4419">
            <v>31102192</v>
          </cell>
          <cell r="I4419" t="str">
            <v/>
          </cell>
          <cell r="J4419" t="str">
            <v/>
          </cell>
          <cell r="K4419" t="str">
            <v/>
          </cell>
          <cell r="L4419" t="str">
            <v/>
          </cell>
          <cell r="M4419" t="str">
            <v/>
          </cell>
        </row>
        <row r="4420">
          <cell r="A4420">
            <v>31102192</v>
          </cell>
          <cell r="C4420">
            <v>31102192</v>
          </cell>
          <cell r="D4420">
            <v>31102192</v>
          </cell>
          <cell r="E4420">
            <v>31102192</v>
          </cell>
          <cell r="F4420">
            <v>31102192</v>
          </cell>
          <cell r="G4420">
            <v>31102192</v>
          </cell>
          <cell r="H4420">
            <v>31102192</v>
          </cell>
          <cell r="I4420" t="str">
            <v/>
          </cell>
          <cell r="J4420" t="str">
            <v/>
          </cell>
          <cell r="K4420" t="str">
            <v/>
          </cell>
          <cell r="L4420" t="str">
            <v/>
          </cell>
          <cell r="M4420" t="str">
            <v/>
          </cell>
        </row>
        <row r="4421">
          <cell r="A4421">
            <v>31102192</v>
          </cell>
          <cell r="C4421">
            <v>31102192</v>
          </cell>
          <cell r="D4421">
            <v>31102192</v>
          </cell>
          <cell r="E4421">
            <v>31102192</v>
          </cell>
          <cell r="F4421">
            <v>31102192</v>
          </cell>
          <cell r="G4421">
            <v>31102192</v>
          </cell>
          <cell r="H4421">
            <v>31102192</v>
          </cell>
          <cell r="I4421" t="str">
            <v/>
          </cell>
          <cell r="J4421" t="str">
            <v/>
          </cell>
          <cell r="K4421" t="str">
            <v/>
          </cell>
          <cell r="L4421" t="str">
            <v/>
          </cell>
          <cell r="M4421" t="str">
            <v/>
          </cell>
        </row>
        <row r="4422">
          <cell r="A4422">
            <v>31102192</v>
          </cell>
          <cell r="C4422">
            <v>31102192</v>
          </cell>
          <cell r="D4422">
            <v>31102192</v>
          </cell>
          <cell r="E4422">
            <v>31102192</v>
          </cell>
          <cell r="F4422">
            <v>31102192</v>
          </cell>
          <cell r="G4422">
            <v>31102192</v>
          </cell>
          <cell r="H4422">
            <v>31102192</v>
          </cell>
          <cell r="I4422" t="str">
            <v/>
          </cell>
          <cell r="J4422" t="str">
            <v/>
          </cell>
          <cell r="K4422" t="str">
            <v/>
          </cell>
          <cell r="L4422" t="str">
            <v/>
          </cell>
          <cell r="M4422" t="str">
            <v/>
          </cell>
        </row>
        <row r="4423">
          <cell r="A4423">
            <v>31102192</v>
          </cell>
          <cell r="C4423">
            <v>31102192</v>
          </cell>
          <cell r="D4423">
            <v>31102192</v>
          </cell>
          <cell r="E4423">
            <v>31102192</v>
          </cell>
          <cell r="F4423">
            <v>31102192</v>
          </cell>
          <cell r="G4423">
            <v>31102192</v>
          </cell>
          <cell r="H4423">
            <v>31102192</v>
          </cell>
          <cell r="I4423" t="str">
            <v/>
          </cell>
          <cell r="J4423" t="str">
            <v/>
          </cell>
          <cell r="K4423" t="str">
            <v/>
          </cell>
          <cell r="L4423" t="str">
            <v/>
          </cell>
          <cell r="M4423" t="str">
            <v/>
          </cell>
        </row>
        <row r="4424">
          <cell r="A4424">
            <v>31102192</v>
          </cell>
          <cell r="C4424">
            <v>31102192</v>
          </cell>
          <cell r="D4424">
            <v>31102192</v>
          </cell>
          <cell r="E4424">
            <v>31102192</v>
          </cell>
          <cell r="F4424">
            <v>31102192</v>
          </cell>
          <cell r="G4424">
            <v>31102192</v>
          </cell>
          <cell r="H4424">
            <v>31102192</v>
          </cell>
          <cell r="I4424" t="str">
            <v/>
          </cell>
          <cell r="J4424" t="str">
            <v/>
          </cell>
          <cell r="K4424" t="str">
            <v/>
          </cell>
          <cell r="L4424" t="str">
            <v/>
          </cell>
          <cell r="M4424" t="str">
            <v/>
          </cell>
        </row>
        <row r="4425">
          <cell r="A4425">
            <v>31102192</v>
          </cell>
          <cell r="C4425">
            <v>31102192</v>
          </cell>
          <cell r="D4425">
            <v>31102192</v>
          </cell>
          <cell r="E4425">
            <v>31102192</v>
          </cell>
          <cell r="F4425">
            <v>31102192</v>
          </cell>
          <cell r="G4425">
            <v>31102192</v>
          </cell>
          <cell r="H4425">
            <v>31102192</v>
          </cell>
          <cell r="I4425" t="str">
            <v/>
          </cell>
          <cell r="J4425" t="str">
            <v/>
          </cell>
          <cell r="K4425" t="str">
            <v/>
          </cell>
          <cell r="L4425" t="str">
            <v/>
          </cell>
          <cell r="M4425" t="str">
            <v/>
          </cell>
        </row>
        <row r="4426">
          <cell r="A4426">
            <v>31102192</v>
          </cell>
          <cell r="C4426">
            <v>31102192</v>
          </cell>
          <cell r="D4426">
            <v>31102192</v>
          </cell>
          <cell r="E4426">
            <v>31102192</v>
          </cell>
          <cell r="F4426">
            <v>31102192</v>
          </cell>
          <cell r="G4426">
            <v>31102192</v>
          </cell>
          <cell r="H4426">
            <v>31102192</v>
          </cell>
          <cell r="I4426" t="str">
            <v/>
          </cell>
          <cell r="J4426" t="str">
            <v/>
          </cell>
          <cell r="K4426" t="str">
            <v/>
          </cell>
          <cell r="L4426" t="str">
            <v/>
          </cell>
          <cell r="M4426" t="str">
            <v/>
          </cell>
        </row>
        <row r="4427">
          <cell r="A4427">
            <v>31102192</v>
          </cell>
          <cell r="C4427">
            <v>31102192</v>
          </cell>
          <cell r="D4427">
            <v>31102192</v>
          </cell>
          <cell r="E4427">
            <v>31102192</v>
          </cell>
          <cell r="F4427">
            <v>31102192</v>
          </cell>
          <cell r="G4427">
            <v>31102192</v>
          </cell>
          <cell r="H4427">
            <v>31102192</v>
          </cell>
          <cell r="I4427" t="str">
            <v/>
          </cell>
          <cell r="J4427" t="str">
            <v/>
          </cell>
          <cell r="K4427" t="str">
            <v/>
          </cell>
          <cell r="L4427" t="str">
            <v/>
          </cell>
          <cell r="M4427" t="str">
            <v/>
          </cell>
        </row>
        <row r="4428">
          <cell r="A4428">
            <v>31102192</v>
          </cell>
          <cell r="C4428">
            <v>31102192</v>
          </cell>
          <cell r="D4428">
            <v>31102192</v>
          </cell>
          <cell r="E4428">
            <v>31102192</v>
          </cell>
          <cell r="F4428">
            <v>31102192</v>
          </cell>
          <cell r="G4428">
            <v>31102192</v>
          </cell>
          <cell r="H4428">
            <v>31102192</v>
          </cell>
          <cell r="I4428" t="str">
            <v/>
          </cell>
          <cell r="J4428" t="str">
            <v/>
          </cell>
          <cell r="K4428" t="str">
            <v/>
          </cell>
          <cell r="L4428" t="str">
            <v/>
          </cell>
          <cell r="M4428" t="str">
            <v/>
          </cell>
        </row>
        <row r="4429">
          <cell r="A4429">
            <v>31102192</v>
          </cell>
          <cell r="C4429">
            <v>31102192</v>
          </cell>
          <cell r="D4429">
            <v>31102192</v>
          </cell>
          <cell r="E4429">
            <v>31102192</v>
          </cell>
          <cell r="F4429">
            <v>31102192</v>
          </cell>
          <cell r="G4429">
            <v>31102192</v>
          </cell>
          <cell r="H4429">
            <v>31102192</v>
          </cell>
          <cell r="I4429" t="str">
            <v/>
          </cell>
          <cell r="J4429" t="str">
            <v/>
          </cell>
          <cell r="K4429" t="str">
            <v/>
          </cell>
          <cell r="L4429" t="str">
            <v/>
          </cell>
          <cell r="M4429" t="str">
            <v/>
          </cell>
        </row>
        <row r="4430">
          <cell r="A4430">
            <v>31102192</v>
          </cell>
          <cell r="C4430">
            <v>31102192</v>
          </cell>
          <cell r="D4430">
            <v>31102192</v>
          </cell>
          <cell r="E4430">
            <v>31102192</v>
          </cell>
          <cell r="F4430">
            <v>31102192</v>
          </cell>
          <cell r="G4430">
            <v>31102192</v>
          </cell>
          <cell r="H4430">
            <v>31102192</v>
          </cell>
          <cell r="I4430" t="str">
            <v/>
          </cell>
          <cell r="J4430" t="str">
            <v/>
          </cell>
          <cell r="K4430" t="str">
            <v/>
          </cell>
          <cell r="L4430" t="str">
            <v/>
          </cell>
          <cell r="M4430" t="str">
            <v/>
          </cell>
        </row>
        <row r="4431">
          <cell r="A4431">
            <v>31102192</v>
          </cell>
          <cell r="C4431">
            <v>31102192</v>
          </cell>
          <cell r="D4431">
            <v>31102192</v>
          </cell>
          <cell r="E4431">
            <v>31102192</v>
          </cell>
          <cell r="F4431">
            <v>31102192</v>
          </cell>
          <cell r="G4431">
            <v>31102192</v>
          </cell>
          <cell r="H4431">
            <v>31102192</v>
          </cell>
          <cell r="I4431" t="str">
            <v/>
          </cell>
          <cell r="J4431" t="str">
            <v/>
          </cell>
          <cell r="K4431" t="str">
            <v/>
          </cell>
          <cell r="L4431" t="str">
            <v/>
          </cell>
          <cell r="M4431" t="str">
            <v/>
          </cell>
        </row>
        <row r="4432">
          <cell r="A4432">
            <v>31102192</v>
          </cell>
          <cell r="C4432">
            <v>31102192</v>
          </cell>
          <cell r="D4432">
            <v>31102192</v>
          </cell>
          <cell r="E4432">
            <v>31102192</v>
          </cell>
          <cell r="F4432">
            <v>31102192</v>
          </cell>
          <cell r="G4432">
            <v>31102192</v>
          </cell>
          <cell r="H4432">
            <v>31102192</v>
          </cell>
          <cell r="I4432" t="str">
            <v/>
          </cell>
          <cell r="J4432" t="str">
            <v/>
          </cell>
          <cell r="K4432" t="str">
            <v/>
          </cell>
          <cell r="L4432" t="str">
            <v/>
          </cell>
          <cell r="M4432" t="str">
            <v/>
          </cell>
        </row>
        <row r="4433">
          <cell r="A4433">
            <v>31102192</v>
          </cell>
          <cell r="C4433">
            <v>31102192</v>
          </cell>
          <cell r="D4433">
            <v>31102192</v>
          </cell>
          <cell r="E4433">
            <v>31102192</v>
          </cell>
          <cell r="F4433">
            <v>31102192</v>
          </cell>
          <cell r="G4433">
            <v>31102192</v>
          </cell>
          <cell r="H4433">
            <v>31102192</v>
          </cell>
          <cell r="I4433" t="str">
            <v/>
          </cell>
          <cell r="J4433" t="str">
            <v/>
          </cell>
          <cell r="K4433" t="str">
            <v/>
          </cell>
          <cell r="L4433" t="str">
            <v/>
          </cell>
          <cell r="M4433" t="str">
            <v/>
          </cell>
        </row>
        <row r="4434">
          <cell r="A4434">
            <v>31102192</v>
          </cell>
          <cell r="C4434">
            <v>31102192</v>
          </cell>
          <cell r="D4434">
            <v>31102192</v>
          </cell>
          <cell r="E4434">
            <v>31102192</v>
          </cell>
          <cell r="F4434">
            <v>31102192</v>
          </cell>
          <cell r="G4434">
            <v>31102192</v>
          </cell>
          <cell r="H4434">
            <v>31102192</v>
          </cell>
          <cell r="I4434" t="str">
            <v/>
          </cell>
          <cell r="J4434" t="str">
            <v/>
          </cell>
          <cell r="K4434" t="str">
            <v/>
          </cell>
          <cell r="L4434" t="str">
            <v/>
          </cell>
          <cell r="M4434" t="str">
            <v/>
          </cell>
        </row>
        <row r="4435">
          <cell r="A4435">
            <v>31102192</v>
          </cell>
          <cell r="C4435">
            <v>31102192</v>
          </cell>
          <cell r="D4435">
            <v>31102192</v>
          </cell>
          <cell r="E4435">
            <v>31102192</v>
          </cell>
          <cell r="F4435">
            <v>31102192</v>
          </cell>
          <cell r="G4435">
            <v>31102192</v>
          </cell>
          <cell r="H4435">
            <v>31102192</v>
          </cell>
          <cell r="I4435" t="str">
            <v/>
          </cell>
          <cell r="J4435" t="str">
            <v/>
          </cell>
          <cell r="K4435" t="str">
            <v/>
          </cell>
          <cell r="L4435" t="str">
            <v/>
          </cell>
          <cell r="M4435" t="str">
            <v/>
          </cell>
        </row>
        <row r="4436">
          <cell r="A4436">
            <v>31102192</v>
          </cell>
          <cell r="C4436">
            <v>31102192</v>
          </cell>
          <cell r="D4436">
            <v>31102192</v>
          </cell>
          <cell r="E4436">
            <v>31102192</v>
          </cell>
          <cell r="F4436">
            <v>31102192</v>
          </cell>
          <cell r="G4436">
            <v>31102192</v>
          </cell>
          <cell r="H4436">
            <v>31102192</v>
          </cell>
          <cell r="I4436" t="str">
            <v/>
          </cell>
          <cell r="J4436" t="str">
            <v/>
          </cell>
          <cell r="K4436" t="str">
            <v/>
          </cell>
          <cell r="L4436" t="str">
            <v/>
          </cell>
          <cell r="M4436" t="str">
            <v/>
          </cell>
        </row>
        <row r="4437">
          <cell r="A4437">
            <v>31102192</v>
          </cell>
          <cell r="C4437">
            <v>31102192</v>
          </cell>
          <cell r="D4437">
            <v>31102192</v>
          </cell>
          <cell r="E4437">
            <v>31102192</v>
          </cell>
          <cell r="F4437">
            <v>31102192</v>
          </cell>
          <cell r="G4437">
            <v>31102192</v>
          </cell>
          <cell r="H4437">
            <v>31102192</v>
          </cell>
          <cell r="I4437" t="str">
            <v/>
          </cell>
          <cell r="J4437" t="str">
            <v/>
          </cell>
          <cell r="K4437" t="str">
            <v/>
          </cell>
          <cell r="L4437" t="str">
            <v/>
          </cell>
          <cell r="M4437" t="str">
            <v/>
          </cell>
        </row>
        <row r="4438">
          <cell r="A4438">
            <v>31102192</v>
          </cell>
          <cell r="C4438">
            <v>31102192</v>
          </cell>
          <cell r="D4438">
            <v>31102192</v>
          </cell>
          <cell r="E4438">
            <v>31102192</v>
          </cell>
          <cell r="F4438">
            <v>31102192</v>
          </cell>
          <cell r="G4438">
            <v>31102192</v>
          </cell>
          <cell r="H4438">
            <v>31102192</v>
          </cell>
          <cell r="I4438" t="str">
            <v/>
          </cell>
          <cell r="J4438" t="str">
            <v/>
          </cell>
          <cell r="K4438" t="str">
            <v/>
          </cell>
          <cell r="L4438" t="str">
            <v/>
          </cell>
          <cell r="M4438" t="str">
            <v/>
          </cell>
        </row>
        <row r="4439">
          <cell r="A4439">
            <v>31102192</v>
          </cell>
          <cell r="C4439">
            <v>31102192</v>
          </cell>
          <cell r="D4439">
            <v>31102192</v>
          </cell>
          <cell r="E4439">
            <v>31102192</v>
          </cell>
          <cell r="F4439">
            <v>31102192</v>
          </cell>
          <cell r="G4439">
            <v>31102192</v>
          </cell>
          <cell r="H4439">
            <v>31102192</v>
          </cell>
          <cell r="I4439" t="str">
            <v/>
          </cell>
          <cell r="J4439" t="str">
            <v/>
          </cell>
          <cell r="K4439" t="str">
            <v/>
          </cell>
          <cell r="L4439" t="str">
            <v/>
          </cell>
          <cell r="M4439" t="str">
            <v/>
          </cell>
        </row>
        <row r="4440">
          <cell r="A4440">
            <v>31102192</v>
          </cell>
          <cell r="C4440">
            <v>31102192</v>
          </cell>
          <cell r="D4440">
            <v>31102192</v>
          </cell>
          <cell r="E4440">
            <v>31102192</v>
          </cell>
          <cell r="F4440">
            <v>31102192</v>
          </cell>
          <cell r="G4440">
            <v>31102192</v>
          </cell>
          <cell r="H4440">
            <v>31102192</v>
          </cell>
          <cell r="I4440" t="str">
            <v/>
          </cell>
          <cell r="J4440" t="str">
            <v/>
          </cell>
          <cell r="K4440" t="str">
            <v/>
          </cell>
          <cell r="L4440" t="str">
            <v/>
          </cell>
          <cell r="M4440" t="str">
            <v/>
          </cell>
        </row>
        <row r="4441">
          <cell r="A4441">
            <v>31102192</v>
          </cell>
          <cell r="C4441">
            <v>31102192</v>
          </cell>
          <cell r="D4441">
            <v>31102192</v>
          </cell>
          <cell r="E4441">
            <v>31102192</v>
          </cell>
          <cell r="F4441">
            <v>31102192</v>
          </cell>
          <cell r="G4441">
            <v>31102192</v>
          </cell>
          <cell r="H4441">
            <v>31102192</v>
          </cell>
          <cell r="I4441" t="str">
            <v/>
          </cell>
          <cell r="J4441" t="str">
            <v/>
          </cell>
          <cell r="K4441" t="str">
            <v/>
          </cell>
          <cell r="L4441" t="str">
            <v/>
          </cell>
          <cell r="M4441" t="str">
            <v/>
          </cell>
        </row>
        <row r="4442">
          <cell r="A4442">
            <v>31102192</v>
          </cell>
          <cell r="C4442">
            <v>31102192</v>
          </cell>
          <cell r="D4442">
            <v>31102192</v>
          </cell>
          <cell r="E4442">
            <v>31102192</v>
          </cell>
          <cell r="F4442">
            <v>31102192</v>
          </cell>
          <cell r="G4442">
            <v>31102192</v>
          </cell>
          <cell r="H4442">
            <v>31102192</v>
          </cell>
          <cell r="I4442" t="str">
            <v/>
          </cell>
          <cell r="J4442" t="str">
            <v/>
          </cell>
          <cell r="K4442" t="str">
            <v/>
          </cell>
          <cell r="L4442" t="str">
            <v/>
          </cell>
          <cell r="M4442" t="str">
            <v/>
          </cell>
        </row>
        <row r="4443">
          <cell r="A4443">
            <v>31102192</v>
          </cell>
          <cell r="C4443">
            <v>31102192</v>
          </cell>
          <cell r="D4443">
            <v>31102192</v>
          </cell>
          <cell r="E4443">
            <v>31102192</v>
          </cell>
          <cell r="F4443">
            <v>31102192</v>
          </cell>
          <cell r="G4443">
            <v>31102192</v>
          </cell>
          <cell r="H4443">
            <v>31102192</v>
          </cell>
          <cell r="I4443" t="str">
            <v/>
          </cell>
          <cell r="J4443" t="str">
            <v/>
          </cell>
          <cell r="K4443" t="str">
            <v/>
          </cell>
          <cell r="L4443" t="str">
            <v/>
          </cell>
          <cell r="M4443" t="str">
            <v/>
          </cell>
        </row>
        <row r="4444">
          <cell r="A4444">
            <v>31102192</v>
          </cell>
          <cell r="C4444">
            <v>31102192</v>
          </cell>
          <cell r="D4444">
            <v>31102192</v>
          </cell>
          <cell r="E4444">
            <v>31102192</v>
          </cell>
          <cell r="F4444">
            <v>31102192</v>
          </cell>
          <cell r="G4444">
            <v>31102192</v>
          </cell>
          <cell r="H4444">
            <v>31102192</v>
          </cell>
          <cell r="I4444" t="str">
            <v/>
          </cell>
          <cell r="J4444" t="str">
            <v/>
          </cell>
          <cell r="K4444" t="str">
            <v/>
          </cell>
          <cell r="L4444" t="str">
            <v/>
          </cell>
          <cell r="M4444" t="str">
            <v/>
          </cell>
        </row>
        <row r="4445">
          <cell r="A4445">
            <v>31102192</v>
          </cell>
          <cell r="C4445">
            <v>31102192</v>
          </cell>
          <cell r="D4445">
            <v>31102192</v>
          </cell>
          <cell r="E4445">
            <v>31102192</v>
          </cell>
          <cell r="F4445">
            <v>31102192</v>
          </cell>
          <cell r="G4445">
            <v>31102192</v>
          </cell>
          <cell r="H4445">
            <v>31102192</v>
          </cell>
          <cell r="I4445" t="str">
            <v/>
          </cell>
          <cell r="J4445" t="str">
            <v/>
          </cell>
          <cell r="K4445" t="str">
            <v/>
          </cell>
          <cell r="L4445" t="str">
            <v/>
          </cell>
          <cell r="M4445" t="str">
            <v/>
          </cell>
        </row>
        <row r="4446">
          <cell r="A4446">
            <v>31102192</v>
          </cell>
          <cell r="C4446">
            <v>31102192</v>
          </cell>
          <cell r="D4446">
            <v>31102192</v>
          </cell>
          <cell r="E4446">
            <v>31102192</v>
          </cell>
          <cell r="F4446">
            <v>31102192</v>
          </cell>
          <cell r="G4446">
            <v>31102192</v>
          </cell>
          <cell r="H4446">
            <v>31102192</v>
          </cell>
          <cell r="I4446" t="str">
            <v/>
          </cell>
          <cell r="J4446" t="str">
            <v/>
          </cell>
          <cell r="K4446" t="str">
            <v/>
          </cell>
          <cell r="L4446" t="str">
            <v/>
          </cell>
          <cell r="M4446" t="str">
            <v/>
          </cell>
        </row>
        <row r="4447">
          <cell r="A4447">
            <v>31102192</v>
          </cell>
          <cell r="C4447">
            <v>31102192</v>
          </cell>
          <cell r="D4447">
            <v>31102192</v>
          </cell>
          <cell r="E4447">
            <v>31102192</v>
          </cell>
          <cell r="F4447">
            <v>31102192</v>
          </cell>
          <cell r="G4447">
            <v>31102192</v>
          </cell>
          <cell r="H4447">
            <v>31102192</v>
          </cell>
          <cell r="I4447" t="str">
            <v/>
          </cell>
          <cell r="J4447" t="str">
            <v/>
          </cell>
          <cell r="K4447" t="str">
            <v/>
          </cell>
          <cell r="L4447" t="str">
            <v/>
          </cell>
          <cell r="M4447" t="str">
            <v/>
          </cell>
        </row>
        <row r="4448">
          <cell r="A4448">
            <v>31102192</v>
          </cell>
          <cell r="C4448">
            <v>31102192</v>
          </cell>
          <cell r="D4448">
            <v>31102192</v>
          </cell>
          <cell r="E4448">
            <v>31102192</v>
          </cell>
          <cell r="F4448">
            <v>31102192</v>
          </cell>
          <cell r="G4448">
            <v>31102192</v>
          </cell>
          <cell r="H4448">
            <v>31102192</v>
          </cell>
          <cell r="I4448" t="str">
            <v/>
          </cell>
          <cell r="J4448" t="str">
            <v/>
          </cell>
          <cell r="K4448" t="str">
            <v/>
          </cell>
          <cell r="L4448" t="str">
            <v/>
          </cell>
          <cell r="M4448" t="str">
            <v/>
          </cell>
        </row>
        <row r="4449">
          <cell r="A4449">
            <v>31102192</v>
          </cell>
          <cell r="C4449">
            <v>31102192</v>
          </cell>
          <cell r="D4449">
            <v>31102192</v>
          </cell>
          <cell r="E4449">
            <v>31102192</v>
          </cell>
          <cell r="F4449">
            <v>31102192</v>
          </cell>
          <cell r="G4449">
            <v>31102192</v>
          </cell>
          <cell r="H4449">
            <v>31102192</v>
          </cell>
          <cell r="I4449" t="str">
            <v/>
          </cell>
          <cell r="J4449" t="str">
            <v/>
          </cell>
          <cell r="K4449" t="str">
            <v/>
          </cell>
          <cell r="L4449" t="str">
            <v/>
          </cell>
          <cell r="M4449" t="str">
            <v/>
          </cell>
        </row>
        <row r="4450">
          <cell r="A4450">
            <v>31102192</v>
          </cell>
          <cell r="C4450">
            <v>31102192</v>
          </cell>
          <cell r="D4450">
            <v>31102192</v>
          </cell>
          <cell r="E4450">
            <v>31102192</v>
          </cell>
          <cell r="F4450">
            <v>31102192</v>
          </cell>
          <cell r="G4450">
            <v>31102192</v>
          </cell>
          <cell r="H4450">
            <v>31102192</v>
          </cell>
          <cell r="I4450" t="str">
            <v/>
          </cell>
          <cell r="J4450" t="str">
            <v/>
          </cell>
          <cell r="K4450" t="str">
            <v/>
          </cell>
          <cell r="L4450" t="str">
            <v/>
          </cell>
          <cell r="M4450" t="str">
            <v/>
          </cell>
        </row>
        <row r="4451">
          <cell r="A4451">
            <v>31102192</v>
          </cell>
          <cell r="C4451">
            <v>31102192</v>
          </cell>
          <cell r="D4451">
            <v>31102192</v>
          </cell>
          <cell r="E4451">
            <v>31102192</v>
          </cell>
          <cell r="F4451">
            <v>31102192</v>
          </cell>
          <cell r="G4451">
            <v>31102192</v>
          </cell>
          <cell r="H4451">
            <v>31102192</v>
          </cell>
          <cell r="I4451" t="str">
            <v/>
          </cell>
          <cell r="J4451" t="str">
            <v/>
          </cell>
          <cell r="K4451" t="str">
            <v/>
          </cell>
          <cell r="L4451" t="str">
            <v/>
          </cell>
          <cell r="M4451" t="str">
            <v/>
          </cell>
        </row>
        <row r="4452">
          <cell r="A4452">
            <v>31102192</v>
          </cell>
          <cell r="C4452">
            <v>31102192</v>
          </cell>
          <cell r="D4452">
            <v>31102192</v>
          </cell>
          <cell r="E4452">
            <v>31102192</v>
          </cell>
          <cell r="F4452">
            <v>31102192</v>
          </cell>
          <cell r="G4452">
            <v>31102192</v>
          </cell>
          <cell r="H4452">
            <v>31102192</v>
          </cell>
          <cell r="I4452" t="str">
            <v/>
          </cell>
          <cell r="J4452" t="str">
            <v/>
          </cell>
          <cell r="K4452" t="str">
            <v/>
          </cell>
          <cell r="L4452" t="str">
            <v/>
          </cell>
          <cell r="M4452" t="str">
            <v/>
          </cell>
        </row>
        <row r="4453">
          <cell r="A4453">
            <v>31102192</v>
          </cell>
          <cell r="C4453">
            <v>31102192</v>
          </cell>
          <cell r="D4453">
            <v>31102192</v>
          </cell>
          <cell r="E4453">
            <v>31102192</v>
          </cell>
          <cell r="F4453">
            <v>31102192</v>
          </cell>
          <cell r="G4453">
            <v>31102192</v>
          </cell>
          <cell r="H4453">
            <v>31102192</v>
          </cell>
          <cell r="I4453" t="str">
            <v/>
          </cell>
          <cell r="J4453" t="str">
            <v/>
          </cell>
          <cell r="K4453" t="str">
            <v/>
          </cell>
          <cell r="L4453" t="str">
            <v/>
          </cell>
          <cell r="M4453" t="str">
            <v/>
          </cell>
        </row>
        <row r="4454">
          <cell r="A4454">
            <v>31102192</v>
          </cell>
          <cell r="C4454">
            <v>31102192</v>
          </cell>
          <cell r="D4454">
            <v>31102192</v>
          </cell>
          <cell r="E4454">
            <v>31102192</v>
          </cell>
          <cell r="F4454">
            <v>31102192</v>
          </cell>
          <cell r="G4454">
            <v>31102192</v>
          </cell>
          <cell r="H4454">
            <v>31102192</v>
          </cell>
          <cell r="I4454" t="str">
            <v/>
          </cell>
          <cell r="J4454" t="str">
            <v/>
          </cell>
          <cell r="K4454" t="str">
            <v/>
          </cell>
          <cell r="L4454" t="str">
            <v/>
          </cell>
          <cell r="M4454" t="str">
            <v/>
          </cell>
        </row>
        <row r="4455">
          <cell r="A4455">
            <v>31102192</v>
          </cell>
          <cell r="C4455">
            <v>31102192</v>
          </cell>
          <cell r="D4455">
            <v>31102192</v>
          </cell>
          <cell r="E4455">
            <v>31102192</v>
          </cell>
          <cell r="F4455">
            <v>31102192</v>
          </cell>
          <cell r="G4455">
            <v>31102192</v>
          </cell>
          <cell r="H4455">
            <v>31102192</v>
          </cell>
          <cell r="I4455" t="str">
            <v/>
          </cell>
          <cell r="J4455" t="str">
            <v/>
          </cell>
          <cell r="K4455" t="str">
            <v/>
          </cell>
          <cell r="L4455" t="str">
            <v/>
          </cell>
          <cell r="M4455" t="str">
            <v/>
          </cell>
        </row>
        <row r="4456">
          <cell r="A4456">
            <v>31102192</v>
          </cell>
          <cell r="C4456">
            <v>31102192</v>
          </cell>
          <cell r="D4456">
            <v>31102192</v>
          </cell>
          <cell r="E4456">
            <v>31102192</v>
          </cell>
          <cell r="F4456">
            <v>31102192</v>
          </cell>
          <cell r="G4456">
            <v>31102192</v>
          </cell>
          <cell r="H4456">
            <v>31102192</v>
          </cell>
          <cell r="I4456" t="str">
            <v/>
          </cell>
          <cell r="J4456" t="str">
            <v/>
          </cell>
          <cell r="K4456" t="str">
            <v/>
          </cell>
          <cell r="L4456" t="str">
            <v/>
          </cell>
          <cell r="M4456" t="str">
            <v/>
          </cell>
        </row>
        <row r="4457">
          <cell r="A4457">
            <v>31102192</v>
          </cell>
          <cell r="C4457">
            <v>31102192</v>
          </cell>
          <cell r="D4457">
            <v>31102192</v>
          </cell>
          <cell r="E4457">
            <v>31102192</v>
          </cell>
          <cell r="F4457">
            <v>31102192</v>
          </cell>
          <cell r="G4457">
            <v>31102192</v>
          </cell>
          <cell r="H4457">
            <v>31102192</v>
          </cell>
          <cell r="I4457" t="str">
            <v/>
          </cell>
          <cell r="J4457" t="str">
            <v/>
          </cell>
          <cell r="K4457" t="str">
            <v/>
          </cell>
          <cell r="L4457" t="str">
            <v/>
          </cell>
          <cell r="M4457" t="str">
            <v/>
          </cell>
        </row>
        <row r="4458">
          <cell r="A4458">
            <v>31102192</v>
          </cell>
          <cell r="C4458">
            <v>31102192</v>
          </cell>
          <cell r="D4458">
            <v>31102192</v>
          </cell>
          <cell r="E4458">
            <v>31102192</v>
          </cell>
          <cell r="F4458">
            <v>31102192</v>
          </cell>
          <cell r="G4458">
            <v>31102192</v>
          </cell>
          <cell r="H4458">
            <v>31102192</v>
          </cell>
          <cell r="I4458" t="str">
            <v/>
          </cell>
          <cell r="J4458" t="str">
            <v/>
          </cell>
          <cell r="K4458" t="str">
            <v/>
          </cell>
          <cell r="L4458" t="str">
            <v/>
          </cell>
          <cell r="M4458" t="str">
            <v/>
          </cell>
        </row>
        <row r="4459">
          <cell r="A4459">
            <v>31102192</v>
          </cell>
          <cell r="C4459">
            <v>31102192</v>
          </cell>
          <cell r="D4459">
            <v>31102192</v>
          </cell>
          <cell r="E4459">
            <v>31102192</v>
          </cell>
          <cell r="F4459">
            <v>31102192</v>
          </cell>
          <cell r="G4459">
            <v>31102192</v>
          </cell>
          <cell r="H4459">
            <v>31102192</v>
          </cell>
          <cell r="I4459" t="str">
            <v/>
          </cell>
          <cell r="J4459" t="str">
            <v/>
          </cell>
          <cell r="K4459" t="str">
            <v/>
          </cell>
          <cell r="L4459" t="str">
            <v/>
          </cell>
          <cell r="M4459" t="str">
            <v/>
          </cell>
        </row>
        <row r="4460">
          <cell r="A4460">
            <v>31102192</v>
          </cell>
          <cell r="C4460">
            <v>31102192</v>
          </cell>
          <cell r="D4460">
            <v>31102192</v>
          </cell>
          <cell r="E4460">
            <v>31102192</v>
          </cell>
          <cell r="F4460">
            <v>31102192</v>
          </cell>
          <cell r="G4460">
            <v>31102192</v>
          </cell>
          <cell r="H4460">
            <v>31102192</v>
          </cell>
          <cell r="I4460" t="str">
            <v/>
          </cell>
          <cell r="J4460" t="str">
            <v/>
          </cell>
          <cell r="K4460" t="str">
            <v/>
          </cell>
          <cell r="L4460" t="str">
            <v/>
          </cell>
          <cell r="M4460" t="str">
            <v/>
          </cell>
        </row>
        <row r="4461">
          <cell r="A4461">
            <v>31102192</v>
          </cell>
          <cell r="C4461">
            <v>31102192</v>
          </cell>
          <cell r="D4461">
            <v>31102192</v>
          </cell>
          <cell r="E4461">
            <v>31102192</v>
          </cell>
          <cell r="F4461">
            <v>31102192</v>
          </cell>
          <cell r="G4461">
            <v>31102192</v>
          </cell>
          <cell r="H4461">
            <v>31102192</v>
          </cell>
          <cell r="I4461" t="str">
            <v/>
          </cell>
          <cell r="J4461" t="str">
            <v/>
          </cell>
          <cell r="K4461" t="str">
            <v/>
          </cell>
          <cell r="L4461" t="str">
            <v/>
          </cell>
          <cell r="M4461" t="str">
            <v/>
          </cell>
        </row>
        <row r="4462">
          <cell r="A4462">
            <v>31102192</v>
          </cell>
          <cell r="C4462">
            <v>31102192</v>
          </cell>
          <cell r="D4462">
            <v>31102192</v>
          </cell>
          <cell r="E4462">
            <v>31102192</v>
          </cell>
          <cell r="F4462">
            <v>31102192</v>
          </cell>
          <cell r="G4462">
            <v>31102192</v>
          </cell>
          <cell r="H4462">
            <v>31102192</v>
          </cell>
          <cell r="I4462" t="str">
            <v/>
          </cell>
          <cell r="J4462" t="str">
            <v/>
          </cell>
          <cell r="K4462" t="str">
            <v/>
          </cell>
          <cell r="L4462" t="str">
            <v/>
          </cell>
          <cell r="M4462" t="str">
            <v/>
          </cell>
        </row>
        <row r="4463">
          <cell r="A4463">
            <v>31102192</v>
          </cell>
          <cell r="C4463">
            <v>31102192</v>
          </cell>
          <cell r="D4463">
            <v>31102192</v>
          </cell>
          <cell r="E4463">
            <v>31102192</v>
          </cell>
          <cell r="F4463">
            <v>31102192</v>
          </cell>
          <cell r="G4463">
            <v>31102192</v>
          </cell>
          <cell r="H4463">
            <v>31102192</v>
          </cell>
          <cell r="I4463" t="str">
            <v/>
          </cell>
          <cell r="J4463" t="str">
            <v/>
          </cell>
          <cell r="K4463" t="str">
            <v/>
          </cell>
          <cell r="L4463" t="str">
            <v/>
          </cell>
          <cell r="M4463" t="str">
            <v/>
          </cell>
        </row>
        <row r="4464">
          <cell r="A4464">
            <v>31102192</v>
          </cell>
          <cell r="C4464">
            <v>31102192</v>
          </cell>
          <cell r="D4464">
            <v>31102192</v>
          </cell>
          <cell r="E4464">
            <v>31102192</v>
          </cell>
          <cell r="F4464">
            <v>31102192</v>
          </cell>
          <cell r="G4464">
            <v>31102192</v>
          </cell>
          <cell r="H4464">
            <v>31102192</v>
          </cell>
          <cell r="I4464" t="str">
            <v/>
          </cell>
          <cell r="J4464" t="str">
            <v/>
          </cell>
          <cell r="K4464" t="str">
            <v/>
          </cell>
          <cell r="L4464" t="str">
            <v/>
          </cell>
          <cell r="M4464" t="str">
            <v/>
          </cell>
        </row>
        <row r="4465">
          <cell r="A4465">
            <v>31102192</v>
          </cell>
          <cell r="C4465">
            <v>31102192</v>
          </cell>
          <cell r="D4465">
            <v>31102192</v>
          </cell>
          <cell r="E4465">
            <v>31102192</v>
          </cell>
          <cell r="F4465">
            <v>31102192</v>
          </cell>
          <cell r="G4465">
            <v>31102192</v>
          </cell>
          <cell r="H4465">
            <v>31102192</v>
          </cell>
          <cell r="I4465" t="str">
            <v/>
          </cell>
          <cell r="J4465" t="str">
            <v/>
          </cell>
          <cell r="K4465" t="str">
            <v/>
          </cell>
          <cell r="L4465" t="str">
            <v/>
          </cell>
          <cell r="M4465" t="str">
            <v/>
          </cell>
        </row>
        <row r="4466">
          <cell r="A4466">
            <v>31102192</v>
          </cell>
          <cell r="C4466">
            <v>31102192</v>
          </cell>
          <cell r="D4466">
            <v>31102192</v>
          </cell>
          <cell r="E4466">
            <v>31102192</v>
          </cell>
          <cell r="F4466">
            <v>31102192</v>
          </cell>
          <cell r="G4466">
            <v>31102192</v>
          </cell>
          <cell r="H4466">
            <v>31102192</v>
          </cell>
          <cell r="I4466" t="str">
            <v/>
          </cell>
          <cell r="J4466" t="str">
            <v/>
          </cell>
          <cell r="K4466" t="str">
            <v/>
          </cell>
          <cell r="L4466" t="str">
            <v/>
          </cell>
          <cell r="M4466" t="str">
            <v/>
          </cell>
        </row>
        <row r="4467">
          <cell r="A4467">
            <v>31102192</v>
          </cell>
          <cell r="C4467">
            <v>31102192</v>
          </cell>
          <cell r="D4467">
            <v>31102192</v>
          </cell>
          <cell r="E4467">
            <v>31102192</v>
          </cell>
          <cell r="F4467">
            <v>31102192</v>
          </cell>
          <cell r="G4467">
            <v>31102192</v>
          </cell>
          <cell r="H4467">
            <v>31102192</v>
          </cell>
          <cell r="I4467" t="str">
            <v/>
          </cell>
          <cell r="J4467" t="str">
            <v/>
          </cell>
          <cell r="K4467" t="str">
            <v/>
          </cell>
          <cell r="L4467" t="str">
            <v/>
          </cell>
          <cell r="M4467" t="str">
            <v/>
          </cell>
        </row>
        <row r="4468">
          <cell r="A4468">
            <v>31102192</v>
          </cell>
          <cell r="C4468">
            <v>31102192</v>
          </cell>
          <cell r="D4468">
            <v>31102192</v>
          </cell>
          <cell r="E4468">
            <v>31102192</v>
          </cell>
          <cell r="F4468">
            <v>31102192</v>
          </cell>
          <cell r="G4468">
            <v>31102192</v>
          </cell>
          <cell r="H4468">
            <v>31102192</v>
          </cell>
          <cell r="I4468" t="str">
            <v/>
          </cell>
          <cell r="J4468" t="str">
            <v/>
          </cell>
          <cell r="K4468" t="str">
            <v/>
          </cell>
          <cell r="L4468" t="str">
            <v/>
          </cell>
          <cell r="M4468" t="str">
            <v/>
          </cell>
        </row>
        <row r="4469">
          <cell r="A4469">
            <v>31102192</v>
          </cell>
          <cell r="C4469">
            <v>31102192</v>
          </cell>
          <cell r="D4469">
            <v>31102192</v>
          </cell>
          <cell r="E4469">
            <v>31102192</v>
          </cell>
          <cell r="F4469">
            <v>31102192</v>
          </cell>
          <cell r="G4469">
            <v>31102192</v>
          </cell>
          <cell r="H4469">
            <v>31102192</v>
          </cell>
          <cell r="I4469" t="str">
            <v/>
          </cell>
          <cell r="J4469" t="str">
            <v/>
          </cell>
          <cell r="K4469" t="str">
            <v/>
          </cell>
          <cell r="L4469" t="str">
            <v/>
          </cell>
          <cell r="M4469" t="str">
            <v/>
          </cell>
        </row>
        <row r="4470">
          <cell r="A4470">
            <v>31102192</v>
          </cell>
          <cell r="C4470">
            <v>31102192</v>
          </cell>
          <cell r="D4470">
            <v>31102192</v>
          </cell>
          <cell r="E4470">
            <v>31102192</v>
          </cell>
          <cell r="F4470">
            <v>31102192</v>
          </cell>
          <cell r="G4470">
            <v>31102192</v>
          </cell>
          <cell r="H4470">
            <v>31102192</v>
          </cell>
          <cell r="I4470" t="str">
            <v/>
          </cell>
          <cell r="J4470" t="str">
            <v/>
          </cell>
          <cell r="K4470" t="str">
            <v/>
          </cell>
          <cell r="L4470" t="str">
            <v/>
          </cell>
          <cell r="M4470" t="str">
            <v/>
          </cell>
        </row>
        <row r="4471">
          <cell r="A4471">
            <v>31102192</v>
          </cell>
          <cell r="C4471">
            <v>31102192</v>
          </cell>
          <cell r="D4471">
            <v>31102192</v>
          </cell>
          <cell r="E4471">
            <v>31102192</v>
          </cell>
          <cell r="F4471">
            <v>31102192</v>
          </cell>
          <cell r="G4471">
            <v>31102192</v>
          </cell>
          <cell r="H4471">
            <v>31102192</v>
          </cell>
          <cell r="I4471" t="str">
            <v/>
          </cell>
          <cell r="J4471" t="str">
            <v/>
          </cell>
          <cell r="K4471" t="str">
            <v/>
          </cell>
          <cell r="L4471" t="str">
            <v/>
          </cell>
          <cell r="M4471" t="str">
            <v/>
          </cell>
        </row>
        <row r="4472">
          <cell r="A4472">
            <v>31102192</v>
          </cell>
          <cell r="C4472">
            <v>31102192</v>
          </cell>
          <cell r="D4472">
            <v>31102192</v>
          </cell>
          <cell r="E4472">
            <v>31102192</v>
          </cell>
          <cell r="F4472">
            <v>31102192</v>
          </cell>
          <cell r="G4472">
            <v>31102192</v>
          </cell>
          <cell r="H4472">
            <v>31102192</v>
          </cell>
          <cell r="I4472" t="str">
            <v/>
          </cell>
          <cell r="J4472" t="str">
            <v/>
          </cell>
          <cell r="K4472" t="str">
            <v/>
          </cell>
          <cell r="L4472" t="str">
            <v/>
          </cell>
          <cell r="M4472" t="str">
            <v/>
          </cell>
        </row>
        <row r="4473">
          <cell r="A4473">
            <v>31102192</v>
          </cell>
          <cell r="C4473">
            <v>31102192</v>
          </cell>
          <cell r="D4473">
            <v>31102192</v>
          </cell>
          <cell r="E4473">
            <v>31102192</v>
          </cell>
          <cell r="F4473">
            <v>31102192</v>
          </cell>
          <cell r="G4473">
            <v>31102192</v>
          </cell>
          <cell r="H4473">
            <v>31102192</v>
          </cell>
          <cell r="I4473" t="str">
            <v/>
          </cell>
          <cell r="J4473" t="str">
            <v/>
          </cell>
          <cell r="K4473" t="str">
            <v/>
          </cell>
          <cell r="L4473" t="str">
            <v/>
          </cell>
          <cell r="M4473" t="str">
            <v/>
          </cell>
        </row>
        <row r="4474">
          <cell r="A4474">
            <v>31102192</v>
          </cell>
          <cell r="C4474">
            <v>31102192</v>
          </cell>
          <cell r="D4474">
            <v>31102192</v>
          </cell>
          <cell r="E4474">
            <v>31102192</v>
          </cell>
          <cell r="F4474">
            <v>31102192</v>
          </cell>
          <cell r="G4474">
            <v>31102192</v>
          </cell>
          <cell r="H4474">
            <v>31102192</v>
          </cell>
          <cell r="I4474" t="str">
            <v/>
          </cell>
          <cell r="J4474" t="str">
            <v/>
          </cell>
          <cell r="K4474" t="str">
            <v/>
          </cell>
          <cell r="L4474" t="str">
            <v/>
          </cell>
          <cell r="M4474" t="str">
            <v/>
          </cell>
        </row>
        <row r="4475">
          <cell r="A4475">
            <v>31102192</v>
          </cell>
          <cell r="C4475">
            <v>31102192</v>
          </cell>
          <cell r="D4475">
            <v>31102192</v>
          </cell>
          <cell r="E4475">
            <v>31102192</v>
          </cell>
          <cell r="F4475">
            <v>31102192</v>
          </cell>
          <cell r="G4475">
            <v>31102192</v>
          </cell>
          <cell r="H4475">
            <v>31102192</v>
          </cell>
          <cell r="I4475" t="str">
            <v/>
          </cell>
          <cell r="J4475" t="str">
            <v/>
          </cell>
          <cell r="K4475" t="str">
            <v/>
          </cell>
          <cell r="L4475" t="str">
            <v/>
          </cell>
          <cell r="M4475" t="str">
            <v/>
          </cell>
        </row>
        <row r="4476">
          <cell r="A4476">
            <v>31102192</v>
          </cell>
          <cell r="C4476">
            <v>31102192</v>
          </cell>
          <cell r="D4476">
            <v>31102192</v>
          </cell>
          <cell r="E4476">
            <v>31102192</v>
          </cell>
          <cell r="F4476">
            <v>31102192</v>
          </cell>
          <cell r="G4476">
            <v>31102192</v>
          </cell>
          <cell r="H4476">
            <v>31102192</v>
          </cell>
          <cell r="I4476" t="str">
            <v/>
          </cell>
          <cell r="J4476" t="str">
            <v/>
          </cell>
          <cell r="K4476" t="str">
            <v/>
          </cell>
          <cell r="L4476" t="str">
            <v/>
          </cell>
          <cell r="M4476" t="str">
            <v/>
          </cell>
        </row>
        <row r="4477">
          <cell r="A4477">
            <v>31102192</v>
          </cell>
          <cell r="C4477">
            <v>31102192</v>
          </cell>
          <cell r="D4477">
            <v>31102192</v>
          </cell>
          <cell r="E4477">
            <v>31102192</v>
          </cell>
          <cell r="F4477">
            <v>31102192</v>
          </cell>
          <cell r="G4477">
            <v>31102192</v>
          </cell>
          <cell r="H4477">
            <v>31102192</v>
          </cell>
          <cell r="I4477" t="str">
            <v/>
          </cell>
          <cell r="J4477" t="str">
            <v/>
          </cell>
          <cell r="K4477" t="str">
            <v/>
          </cell>
          <cell r="L4477" t="str">
            <v/>
          </cell>
          <cell r="M4477" t="str">
            <v/>
          </cell>
        </row>
        <row r="4478">
          <cell r="A4478">
            <v>31102192</v>
          </cell>
          <cell r="C4478">
            <v>31102192</v>
          </cell>
          <cell r="D4478">
            <v>31102192</v>
          </cell>
          <cell r="E4478">
            <v>31102192</v>
          </cell>
          <cell r="F4478">
            <v>31102192</v>
          </cell>
          <cell r="G4478">
            <v>31102192</v>
          </cell>
          <cell r="H4478">
            <v>31102192</v>
          </cell>
          <cell r="I4478" t="str">
            <v/>
          </cell>
          <cell r="J4478" t="str">
            <v/>
          </cell>
          <cell r="K4478" t="str">
            <v/>
          </cell>
          <cell r="L4478" t="str">
            <v/>
          </cell>
          <cell r="M4478" t="str">
            <v/>
          </cell>
        </row>
        <row r="4479">
          <cell r="A4479">
            <v>31102192</v>
          </cell>
          <cell r="C4479">
            <v>31102192</v>
          </cell>
          <cell r="D4479">
            <v>31102192</v>
          </cell>
          <cell r="E4479">
            <v>31102192</v>
          </cell>
          <cell r="F4479">
            <v>31102192</v>
          </cell>
          <cell r="G4479">
            <v>31102192</v>
          </cell>
          <cell r="H4479">
            <v>31102192</v>
          </cell>
          <cell r="I4479" t="str">
            <v/>
          </cell>
          <cell r="J4479" t="str">
            <v/>
          </cell>
          <cell r="K4479" t="str">
            <v/>
          </cell>
          <cell r="L4479" t="str">
            <v/>
          </cell>
          <cell r="M4479" t="str">
            <v/>
          </cell>
        </row>
        <row r="4480">
          <cell r="A4480">
            <v>31102192</v>
          </cell>
          <cell r="C4480">
            <v>31102192</v>
          </cell>
          <cell r="D4480">
            <v>31102192</v>
          </cell>
          <cell r="E4480">
            <v>31102192</v>
          </cell>
          <cell r="F4480">
            <v>31102192</v>
          </cell>
          <cell r="G4480">
            <v>31102192</v>
          </cell>
          <cell r="H4480">
            <v>31102192</v>
          </cell>
          <cell r="I4480" t="str">
            <v/>
          </cell>
          <cell r="J4480" t="str">
            <v/>
          </cell>
          <cell r="K4480" t="str">
            <v/>
          </cell>
          <cell r="L4480" t="str">
            <v/>
          </cell>
          <cell r="M4480" t="str">
            <v/>
          </cell>
        </row>
        <row r="4481">
          <cell r="A4481">
            <v>31102192</v>
          </cell>
          <cell r="C4481">
            <v>31102192</v>
          </cell>
          <cell r="D4481">
            <v>31102192</v>
          </cell>
          <cell r="E4481">
            <v>31102192</v>
          </cell>
          <cell r="F4481">
            <v>31102192</v>
          </cell>
          <cell r="G4481">
            <v>31102192</v>
          </cell>
          <cell r="H4481">
            <v>31102192</v>
          </cell>
          <cell r="I4481" t="str">
            <v/>
          </cell>
          <cell r="J4481" t="str">
            <v/>
          </cell>
          <cell r="K4481" t="str">
            <v/>
          </cell>
          <cell r="L4481" t="str">
            <v/>
          </cell>
          <cell r="M4481" t="str">
            <v/>
          </cell>
        </row>
        <row r="4482">
          <cell r="A4482">
            <v>31102192</v>
          </cell>
          <cell r="C4482">
            <v>31102192</v>
          </cell>
          <cell r="D4482">
            <v>31102192</v>
          </cell>
          <cell r="E4482">
            <v>31102192</v>
          </cell>
          <cell r="F4482">
            <v>31102192</v>
          </cell>
          <cell r="G4482">
            <v>31102192</v>
          </cell>
          <cell r="H4482">
            <v>31102192</v>
          </cell>
          <cell r="I4482" t="str">
            <v/>
          </cell>
          <cell r="J4482" t="str">
            <v/>
          </cell>
          <cell r="K4482" t="str">
            <v/>
          </cell>
          <cell r="L4482" t="str">
            <v/>
          </cell>
          <cell r="M4482" t="str">
            <v/>
          </cell>
        </row>
        <row r="4483">
          <cell r="A4483">
            <v>31102192</v>
          </cell>
          <cell r="C4483">
            <v>31102192</v>
          </cell>
          <cell r="D4483">
            <v>31102192</v>
          </cell>
          <cell r="E4483">
            <v>31102192</v>
          </cell>
          <cell r="F4483">
            <v>31102192</v>
          </cell>
          <cell r="G4483">
            <v>31102192</v>
          </cell>
          <cell r="H4483">
            <v>31102192</v>
          </cell>
          <cell r="I4483" t="str">
            <v/>
          </cell>
          <cell r="J4483" t="str">
            <v/>
          </cell>
          <cell r="K4483" t="str">
            <v/>
          </cell>
          <cell r="L4483" t="str">
            <v/>
          </cell>
          <cell r="M4483" t="str">
            <v/>
          </cell>
        </row>
        <row r="4484">
          <cell r="A4484">
            <v>31102192</v>
          </cell>
          <cell r="C4484">
            <v>31102192</v>
          </cell>
          <cell r="D4484">
            <v>31102192</v>
          </cell>
          <cell r="E4484">
            <v>31102192</v>
          </cell>
          <cell r="F4484">
            <v>31102192</v>
          </cell>
          <cell r="G4484">
            <v>31102192</v>
          </cell>
          <cell r="H4484">
            <v>31102192</v>
          </cell>
          <cell r="I4484" t="str">
            <v/>
          </cell>
          <cell r="J4484" t="str">
            <v/>
          </cell>
          <cell r="K4484" t="str">
            <v/>
          </cell>
          <cell r="L4484" t="str">
            <v/>
          </cell>
          <cell r="M4484" t="str">
            <v/>
          </cell>
        </row>
        <row r="4485">
          <cell r="A4485">
            <v>31102192</v>
          </cell>
          <cell r="C4485">
            <v>31102192</v>
          </cell>
          <cell r="D4485">
            <v>31102192</v>
          </cell>
          <cell r="E4485">
            <v>31102192</v>
          </cell>
          <cell r="F4485">
            <v>31102192</v>
          </cell>
          <cell r="G4485">
            <v>31102192</v>
          </cell>
          <cell r="H4485">
            <v>31102192</v>
          </cell>
          <cell r="I4485" t="str">
            <v/>
          </cell>
          <cell r="J4485" t="str">
            <v/>
          </cell>
          <cell r="K4485" t="str">
            <v/>
          </cell>
          <cell r="L4485" t="str">
            <v/>
          </cell>
          <cell r="M4485" t="str">
            <v/>
          </cell>
        </row>
        <row r="4486">
          <cell r="A4486">
            <v>31102192</v>
          </cell>
          <cell r="C4486">
            <v>31102192</v>
          </cell>
          <cell r="D4486">
            <v>31102192</v>
          </cell>
          <cell r="E4486">
            <v>31102192</v>
          </cell>
          <cell r="F4486">
            <v>31102192</v>
          </cell>
          <cell r="G4486">
            <v>31102192</v>
          </cell>
          <cell r="H4486">
            <v>31102192</v>
          </cell>
          <cell r="I4486" t="str">
            <v/>
          </cell>
          <cell r="J4486" t="str">
            <v/>
          </cell>
          <cell r="K4486" t="str">
            <v/>
          </cell>
          <cell r="L4486" t="str">
            <v/>
          </cell>
          <cell r="M4486" t="str">
            <v/>
          </cell>
        </row>
        <row r="4487">
          <cell r="A4487">
            <v>31102192</v>
          </cell>
          <cell r="C4487">
            <v>31102192</v>
          </cell>
          <cell r="D4487">
            <v>31102192</v>
          </cell>
          <cell r="E4487">
            <v>31102192</v>
          </cell>
          <cell r="F4487">
            <v>31102192</v>
          </cell>
          <cell r="G4487">
            <v>31102192</v>
          </cell>
          <cell r="H4487">
            <v>31102192</v>
          </cell>
          <cell r="I4487" t="str">
            <v/>
          </cell>
          <cell r="J4487" t="str">
            <v/>
          </cell>
          <cell r="K4487" t="str">
            <v/>
          </cell>
          <cell r="L4487" t="str">
            <v/>
          </cell>
          <cell r="M4487" t="str">
            <v/>
          </cell>
        </row>
        <row r="4488">
          <cell r="A4488">
            <v>31102192</v>
          </cell>
          <cell r="C4488">
            <v>31102192</v>
          </cell>
          <cell r="D4488">
            <v>31102192</v>
          </cell>
          <cell r="E4488">
            <v>31102192</v>
          </cell>
          <cell r="F4488">
            <v>31102192</v>
          </cell>
          <cell r="G4488">
            <v>31102192</v>
          </cell>
          <cell r="H4488">
            <v>31102192</v>
          </cell>
          <cell r="I4488" t="str">
            <v/>
          </cell>
          <cell r="J4488" t="str">
            <v/>
          </cell>
          <cell r="K4488" t="str">
            <v/>
          </cell>
          <cell r="L4488" t="str">
            <v/>
          </cell>
          <cell r="M4488" t="str">
            <v/>
          </cell>
        </row>
        <row r="4489">
          <cell r="A4489">
            <v>31102192</v>
          </cell>
          <cell r="C4489">
            <v>31102192</v>
          </cell>
          <cell r="D4489">
            <v>31102192</v>
          </cell>
          <cell r="E4489">
            <v>31102192</v>
          </cell>
          <cell r="F4489">
            <v>31102192</v>
          </cell>
          <cell r="G4489">
            <v>31102192</v>
          </cell>
          <cell r="H4489">
            <v>31102192</v>
          </cell>
          <cell r="I4489" t="str">
            <v/>
          </cell>
          <cell r="J4489" t="str">
            <v/>
          </cell>
          <cell r="K4489" t="str">
            <v/>
          </cell>
          <cell r="L4489" t="str">
            <v/>
          </cell>
          <cell r="M4489" t="str">
            <v/>
          </cell>
        </row>
        <row r="4490">
          <cell r="A4490">
            <v>31102192</v>
          </cell>
          <cell r="C4490">
            <v>31102192</v>
          </cell>
          <cell r="D4490">
            <v>31102192</v>
          </cell>
          <cell r="E4490">
            <v>31102192</v>
          </cell>
          <cell r="F4490">
            <v>31102192</v>
          </cell>
          <cell r="G4490">
            <v>31102192</v>
          </cell>
          <cell r="H4490">
            <v>31102192</v>
          </cell>
          <cell r="I4490" t="str">
            <v/>
          </cell>
          <cell r="J4490" t="str">
            <v/>
          </cell>
          <cell r="K4490" t="str">
            <v/>
          </cell>
          <cell r="L4490" t="str">
            <v/>
          </cell>
          <cell r="M4490" t="str">
            <v/>
          </cell>
        </row>
        <row r="4491">
          <cell r="A4491">
            <v>31102192</v>
          </cell>
          <cell r="C4491">
            <v>31102192</v>
          </cell>
          <cell r="D4491">
            <v>31102192</v>
          </cell>
          <cell r="E4491">
            <v>31102192</v>
          </cell>
          <cell r="F4491">
            <v>31102192</v>
          </cell>
          <cell r="G4491">
            <v>31102192</v>
          </cell>
          <cell r="H4491">
            <v>31102192</v>
          </cell>
          <cell r="I4491" t="str">
            <v/>
          </cell>
          <cell r="J4491" t="str">
            <v/>
          </cell>
          <cell r="K4491" t="str">
            <v/>
          </cell>
          <cell r="L4491" t="str">
            <v/>
          </cell>
          <cell r="M4491" t="str">
            <v/>
          </cell>
        </row>
        <row r="4492">
          <cell r="A4492">
            <v>31102192</v>
          </cell>
          <cell r="C4492">
            <v>31102192</v>
          </cell>
          <cell r="D4492">
            <v>31102192</v>
          </cell>
          <cell r="E4492">
            <v>31102192</v>
          </cell>
          <cell r="F4492">
            <v>31102192</v>
          </cell>
          <cell r="G4492">
            <v>31102192</v>
          </cell>
          <cell r="H4492">
            <v>31102192</v>
          </cell>
          <cell r="I4492" t="str">
            <v/>
          </cell>
          <cell r="J4492" t="str">
            <v/>
          </cell>
          <cell r="K4492" t="str">
            <v/>
          </cell>
          <cell r="L4492" t="str">
            <v/>
          </cell>
          <cell r="M4492" t="str">
            <v/>
          </cell>
        </row>
        <row r="4493">
          <cell r="A4493">
            <v>31102192</v>
          </cell>
          <cell r="C4493">
            <v>31102192</v>
          </cell>
          <cell r="D4493">
            <v>31102192</v>
          </cell>
          <cell r="E4493">
            <v>31102192</v>
          </cell>
          <cell r="F4493">
            <v>31102192</v>
          </cell>
          <cell r="G4493">
            <v>31102192</v>
          </cell>
          <cell r="H4493">
            <v>31102192</v>
          </cell>
          <cell r="I4493" t="str">
            <v/>
          </cell>
          <cell r="J4493" t="str">
            <v/>
          </cell>
          <cell r="K4493" t="str">
            <v/>
          </cell>
          <cell r="L4493" t="str">
            <v/>
          </cell>
          <cell r="M4493" t="str">
            <v/>
          </cell>
        </row>
        <row r="4494">
          <cell r="A4494">
            <v>31102192</v>
          </cell>
          <cell r="C4494">
            <v>31102192</v>
          </cell>
          <cell r="D4494">
            <v>31102192</v>
          </cell>
          <cell r="E4494">
            <v>31102192</v>
          </cell>
          <cell r="F4494">
            <v>31102192</v>
          </cell>
          <cell r="G4494">
            <v>31102192</v>
          </cell>
          <cell r="H4494">
            <v>31102192</v>
          </cell>
          <cell r="I4494" t="str">
            <v/>
          </cell>
          <cell r="J4494" t="str">
            <v/>
          </cell>
          <cell r="K4494" t="str">
            <v/>
          </cell>
          <cell r="L4494" t="str">
            <v/>
          </cell>
          <cell r="M4494" t="str">
            <v/>
          </cell>
        </row>
        <row r="4495">
          <cell r="A4495">
            <v>31102192</v>
          </cell>
          <cell r="C4495">
            <v>31102192</v>
          </cell>
          <cell r="D4495">
            <v>31102192</v>
          </cell>
          <cell r="E4495">
            <v>31102192</v>
          </cell>
          <cell r="F4495">
            <v>31102192</v>
          </cell>
          <cell r="G4495">
            <v>31102192</v>
          </cell>
          <cell r="H4495">
            <v>31102192</v>
          </cell>
          <cell r="I4495" t="str">
            <v/>
          </cell>
          <cell r="J4495" t="str">
            <v/>
          </cell>
          <cell r="K4495" t="str">
            <v/>
          </cell>
          <cell r="L4495" t="str">
            <v/>
          </cell>
          <cell r="M4495" t="str">
            <v/>
          </cell>
        </row>
        <row r="4496">
          <cell r="A4496">
            <v>31102192</v>
          </cell>
          <cell r="C4496">
            <v>31102192</v>
          </cell>
          <cell r="D4496">
            <v>31102192</v>
          </cell>
          <cell r="E4496">
            <v>31102192</v>
          </cell>
          <cell r="F4496">
            <v>31102192</v>
          </cell>
          <cell r="G4496">
            <v>31102192</v>
          </cell>
          <cell r="H4496">
            <v>31102192</v>
          </cell>
          <cell r="I4496" t="str">
            <v/>
          </cell>
          <cell r="J4496" t="str">
            <v/>
          </cell>
          <cell r="K4496" t="str">
            <v/>
          </cell>
          <cell r="L4496" t="str">
            <v/>
          </cell>
          <cell r="M4496" t="str">
            <v/>
          </cell>
        </row>
        <row r="4497">
          <cell r="A4497">
            <v>31102192</v>
          </cell>
          <cell r="C4497">
            <v>31102192</v>
          </cell>
          <cell r="D4497">
            <v>31102192</v>
          </cell>
          <cell r="E4497">
            <v>31102192</v>
          </cell>
          <cell r="F4497">
            <v>31102192</v>
          </cell>
          <cell r="G4497">
            <v>31102192</v>
          </cell>
          <cell r="H4497">
            <v>31102192</v>
          </cell>
          <cell r="I4497" t="str">
            <v/>
          </cell>
          <cell r="J4497" t="str">
            <v/>
          </cell>
          <cell r="K4497" t="str">
            <v/>
          </cell>
          <cell r="L4497" t="str">
            <v/>
          </cell>
          <cell r="M4497" t="str">
            <v/>
          </cell>
        </row>
        <row r="4498">
          <cell r="A4498">
            <v>31102192</v>
          </cell>
          <cell r="C4498">
            <v>31102192</v>
          </cell>
          <cell r="D4498">
            <v>31102192</v>
          </cell>
          <cell r="E4498">
            <v>31102192</v>
          </cell>
          <cell r="F4498">
            <v>31102192</v>
          </cell>
          <cell r="G4498">
            <v>31102192</v>
          </cell>
          <cell r="H4498">
            <v>31102192</v>
          </cell>
          <cell r="I4498" t="str">
            <v/>
          </cell>
          <cell r="J4498" t="str">
            <v/>
          </cell>
          <cell r="K4498" t="str">
            <v/>
          </cell>
          <cell r="L4498" t="str">
            <v/>
          </cell>
          <cell r="M4498" t="str">
            <v/>
          </cell>
        </row>
        <row r="4499">
          <cell r="A4499">
            <v>31102192</v>
          </cell>
          <cell r="C4499">
            <v>31102192</v>
          </cell>
          <cell r="D4499">
            <v>31102192</v>
          </cell>
          <cell r="E4499">
            <v>31102192</v>
          </cell>
          <cell r="F4499">
            <v>31102192</v>
          </cell>
          <cell r="G4499">
            <v>31102192</v>
          </cell>
          <cell r="H4499">
            <v>31102192</v>
          </cell>
          <cell r="I4499" t="str">
            <v/>
          </cell>
          <cell r="J4499" t="str">
            <v/>
          </cell>
          <cell r="K4499" t="str">
            <v/>
          </cell>
          <cell r="L4499" t="str">
            <v/>
          </cell>
          <cell r="M4499" t="str">
            <v/>
          </cell>
        </row>
        <row r="4500">
          <cell r="A4500">
            <v>31102192</v>
          </cell>
          <cell r="C4500">
            <v>31102192</v>
          </cell>
          <cell r="D4500">
            <v>31102192</v>
          </cell>
          <cell r="E4500">
            <v>31102192</v>
          </cell>
          <cell r="F4500">
            <v>31102192</v>
          </cell>
          <cell r="G4500">
            <v>31102192</v>
          </cell>
          <cell r="H4500">
            <v>31102192</v>
          </cell>
          <cell r="I4500" t="str">
            <v/>
          </cell>
          <cell r="J4500" t="str">
            <v/>
          </cell>
          <cell r="K4500" t="str">
            <v/>
          </cell>
          <cell r="L4500" t="str">
            <v/>
          </cell>
          <cell r="M4500" t="str">
            <v/>
          </cell>
        </row>
        <row r="4501">
          <cell r="A4501">
            <v>31102192</v>
          </cell>
          <cell r="C4501">
            <v>31102192</v>
          </cell>
          <cell r="D4501">
            <v>31102192</v>
          </cell>
          <cell r="E4501">
            <v>31102192</v>
          </cell>
          <cell r="F4501">
            <v>31102192</v>
          </cell>
          <cell r="G4501">
            <v>31102192</v>
          </cell>
          <cell r="H4501">
            <v>31102192</v>
          </cell>
          <cell r="I4501" t="str">
            <v/>
          </cell>
          <cell r="J4501" t="str">
            <v/>
          </cell>
          <cell r="K4501" t="str">
            <v/>
          </cell>
          <cell r="L4501" t="str">
            <v/>
          </cell>
          <cell r="M4501" t="str">
            <v/>
          </cell>
        </row>
        <row r="4502">
          <cell r="A4502">
            <v>31102192</v>
          </cell>
          <cell r="C4502">
            <v>31102192</v>
          </cell>
          <cell r="D4502">
            <v>31102192</v>
          </cell>
          <cell r="E4502">
            <v>31102192</v>
          </cell>
          <cell r="F4502">
            <v>31102192</v>
          </cell>
          <cell r="G4502">
            <v>31102192</v>
          </cell>
          <cell r="H4502">
            <v>31102192</v>
          </cell>
          <cell r="I4502" t="str">
            <v/>
          </cell>
          <cell r="J4502" t="str">
            <v/>
          </cell>
          <cell r="K4502" t="str">
            <v/>
          </cell>
          <cell r="L4502" t="str">
            <v/>
          </cell>
          <cell r="M4502" t="str">
            <v/>
          </cell>
        </row>
        <row r="4503">
          <cell r="A4503">
            <v>31102192</v>
          </cell>
          <cell r="C4503">
            <v>31102192</v>
          </cell>
          <cell r="D4503">
            <v>31102192</v>
          </cell>
          <cell r="E4503">
            <v>31102192</v>
          </cell>
          <cell r="F4503">
            <v>31102192</v>
          </cell>
          <cell r="G4503">
            <v>31102192</v>
          </cell>
          <cell r="H4503">
            <v>31102192</v>
          </cell>
          <cell r="I4503" t="str">
            <v/>
          </cell>
          <cell r="J4503" t="str">
            <v/>
          </cell>
          <cell r="K4503" t="str">
            <v/>
          </cell>
          <cell r="L4503" t="str">
            <v/>
          </cell>
          <cell r="M4503" t="str">
            <v/>
          </cell>
        </row>
        <row r="4504">
          <cell r="A4504">
            <v>31102192</v>
          </cell>
          <cell r="C4504">
            <v>31102192</v>
          </cell>
          <cell r="D4504">
            <v>31102192</v>
          </cell>
          <cell r="E4504">
            <v>31102192</v>
          </cell>
          <cell r="F4504">
            <v>31102192</v>
          </cell>
          <cell r="G4504">
            <v>31102192</v>
          </cell>
          <cell r="H4504">
            <v>31102192</v>
          </cell>
          <cell r="I4504" t="str">
            <v/>
          </cell>
          <cell r="J4504" t="str">
            <v/>
          </cell>
          <cell r="K4504" t="str">
            <v/>
          </cell>
          <cell r="L4504" t="str">
            <v/>
          </cell>
          <cell r="M4504" t="str">
            <v/>
          </cell>
        </row>
        <row r="4505">
          <cell r="A4505">
            <v>31102192</v>
          </cell>
          <cell r="C4505">
            <v>31102192</v>
          </cell>
          <cell r="D4505">
            <v>31102192</v>
          </cell>
          <cell r="E4505">
            <v>31102192</v>
          </cell>
          <cell r="F4505">
            <v>31102192</v>
          </cell>
          <cell r="G4505">
            <v>31102192</v>
          </cell>
          <cell r="H4505">
            <v>31102192</v>
          </cell>
          <cell r="I4505" t="str">
            <v/>
          </cell>
          <cell r="J4505" t="str">
            <v/>
          </cell>
          <cell r="K4505" t="str">
            <v/>
          </cell>
          <cell r="L4505" t="str">
            <v/>
          </cell>
          <cell r="M4505" t="str">
            <v/>
          </cell>
        </row>
        <row r="4506">
          <cell r="A4506">
            <v>31102192</v>
          </cell>
          <cell r="C4506">
            <v>31102192</v>
          </cell>
          <cell r="D4506">
            <v>31102192</v>
          </cell>
          <cell r="E4506">
            <v>31102192</v>
          </cell>
          <cell r="F4506">
            <v>31102192</v>
          </cell>
          <cell r="G4506">
            <v>31102192</v>
          </cell>
          <cell r="H4506">
            <v>31102192</v>
          </cell>
          <cell r="I4506" t="str">
            <v/>
          </cell>
          <cell r="J4506" t="str">
            <v/>
          </cell>
          <cell r="K4506" t="str">
            <v/>
          </cell>
          <cell r="L4506" t="str">
            <v/>
          </cell>
          <cell r="M4506" t="str">
            <v/>
          </cell>
        </row>
        <row r="4507">
          <cell r="A4507">
            <v>31102192</v>
          </cell>
          <cell r="C4507">
            <v>31102192</v>
          </cell>
          <cell r="D4507">
            <v>31102192</v>
          </cell>
          <cell r="E4507">
            <v>31102192</v>
          </cell>
          <cell r="F4507">
            <v>31102192</v>
          </cell>
          <cell r="G4507">
            <v>31102192</v>
          </cell>
          <cell r="H4507">
            <v>31102192</v>
          </cell>
          <cell r="I4507" t="str">
            <v/>
          </cell>
          <cell r="J4507" t="str">
            <v/>
          </cell>
          <cell r="K4507" t="str">
            <v/>
          </cell>
          <cell r="L4507" t="str">
            <v/>
          </cell>
          <cell r="M4507" t="str">
            <v/>
          </cell>
        </row>
        <row r="4508">
          <cell r="A4508">
            <v>31102192</v>
          </cell>
          <cell r="C4508">
            <v>31102192</v>
          </cell>
          <cell r="D4508">
            <v>31102192</v>
          </cell>
          <cell r="E4508">
            <v>31102192</v>
          </cell>
          <cell r="F4508">
            <v>31102192</v>
          </cell>
          <cell r="G4508">
            <v>31102192</v>
          </cell>
          <cell r="H4508">
            <v>31102192</v>
          </cell>
          <cell r="I4508" t="str">
            <v/>
          </cell>
          <cell r="J4508" t="str">
            <v/>
          </cell>
          <cell r="K4508" t="str">
            <v/>
          </cell>
          <cell r="L4508" t="str">
            <v/>
          </cell>
          <cell r="M4508" t="str">
            <v/>
          </cell>
        </row>
        <row r="4509">
          <cell r="A4509">
            <v>31102192</v>
          </cell>
          <cell r="C4509">
            <v>31102192</v>
          </cell>
          <cell r="D4509">
            <v>31102192</v>
          </cell>
          <cell r="E4509">
            <v>31102192</v>
          </cell>
          <cell r="F4509">
            <v>31102192</v>
          </cell>
          <cell r="G4509">
            <v>31102192</v>
          </cell>
          <cell r="H4509">
            <v>31102192</v>
          </cell>
          <cell r="I4509" t="str">
            <v/>
          </cell>
          <cell r="J4509" t="str">
            <v/>
          </cell>
          <cell r="K4509" t="str">
            <v/>
          </cell>
          <cell r="L4509" t="str">
            <v/>
          </cell>
          <cell r="M4509" t="str">
            <v/>
          </cell>
        </row>
        <row r="4510">
          <cell r="A4510">
            <v>31102192</v>
          </cell>
          <cell r="C4510">
            <v>31102192</v>
          </cell>
          <cell r="D4510">
            <v>31102192</v>
          </cell>
          <cell r="E4510">
            <v>31102192</v>
          </cell>
          <cell r="F4510">
            <v>31102192</v>
          </cell>
          <cell r="G4510">
            <v>31102192</v>
          </cell>
          <cell r="H4510">
            <v>31102192</v>
          </cell>
          <cell r="I4510" t="str">
            <v/>
          </cell>
          <cell r="J4510" t="str">
            <v/>
          </cell>
          <cell r="K4510" t="str">
            <v/>
          </cell>
          <cell r="L4510" t="str">
            <v/>
          </cell>
          <cell r="M4510" t="str">
            <v/>
          </cell>
        </row>
        <row r="4511">
          <cell r="A4511">
            <v>31102192</v>
          </cell>
          <cell r="C4511">
            <v>31102192</v>
          </cell>
          <cell r="D4511">
            <v>31102192</v>
          </cell>
          <cell r="E4511">
            <v>31102192</v>
          </cell>
          <cell r="F4511">
            <v>31102192</v>
          </cell>
          <cell r="G4511">
            <v>31102192</v>
          </cell>
          <cell r="H4511">
            <v>31102192</v>
          </cell>
          <cell r="I4511" t="str">
            <v/>
          </cell>
          <cell r="J4511" t="str">
            <v/>
          </cell>
          <cell r="K4511" t="str">
            <v/>
          </cell>
          <cell r="L4511" t="str">
            <v/>
          </cell>
          <cell r="M4511" t="str">
            <v/>
          </cell>
        </row>
        <row r="4512">
          <cell r="A4512">
            <v>31102192</v>
          </cell>
          <cell r="C4512">
            <v>31102192</v>
          </cell>
          <cell r="D4512">
            <v>31102192</v>
          </cell>
          <cell r="E4512">
            <v>31102192</v>
          </cell>
          <cell r="F4512">
            <v>31102192</v>
          </cell>
          <cell r="G4512">
            <v>31102192</v>
          </cell>
          <cell r="H4512">
            <v>31102192</v>
          </cell>
          <cell r="I4512" t="str">
            <v/>
          </cell>
          <cell r="J4512" t="str">
            <v/>
          </cell>
          <cell r="K4512" t="str">
            <v/>
          </cell>
          <cell r="L4512" t="str">
            <v/>
          </cell>
          <cell r="M4512" t="str">
            <v/>
          </cell>
        </row>
        <row r="4513">
          <cell r="A4513">
            <v>31102192</v>
          </cell>
          <cell r="C4513">
            <v>31102192</v>
          </cell>
          <cell r="D4513">
            <v>31102192</v>
          </cell>
          <cell r="E4513">
            <v>31102192</v>
          </cell>
          <cell r="F4513">
            <v>31102192</v>
          </cell>
          <cell r="G4513">
            <v>31102192</v>
          </cell>
          <cell r="H4513">
            <v>31102192</v>
          </cell>
          <cell r="I4513" t="str">
            <v/>
          </cell>
          <cell r="J4513" t="str">
            <v/>
          </cell>
          <cell r="K4513" t="str">
            <v/>
          </cell>
          <cell r="L4513" t="str">
            <v/>
          </cell>
          <cell r="M4513" t="str">
            <v/>
          </cell>
        </row>
        <row r="4514">
          <cell r="A4514">
            <v>31102192</v>
          </cell>
          <cell r="C4514">
            <v>31102192</v>
          </cell>
          <cell r="D4514">
            <v>31102192</v>
          </cell>
          <cell r="E4514">
            <v>31102192</v>
          </cell>
          <cell r="F4514">
            <v>31102192</v>
          </cell>
          <cell r="G4514">
            <v>31102192</v>
          </cell>
          <cell r="H4514">
            <v>31102192</v>
          </cell>
          <cell r="I4514" t="str">
            <v/>
          </cell>
          <cell r="J4514" t="str">
            <v/>
          </cell>
          <cell r="K4514" t="str">
            <v/>
          </cell>
          <cell r="L4514" t="str">
            <v/>
          </cell>
          <cell r="M4514" t="str">
            <v/>
          </cell>
        </row>
        <row r="4515">
          <cell r="A4515">
            <v>31102192</v>
          </cell>
          <cell r="C4515">
            <v>31102192</v>
          </cell>
          <cell r="D4515">
            <v>31102192</v>
          </cell>
          <cell r="E4515">
            <v>31102192</v>
          </cell>
          <cell r="F4515">
            <v>31102192</v>
          </cell>
          <cell r="G4515">
            <v>31102192</v>
          </cell>
          <cell r="H4515">
            <v>31102192</v>
          </cell>
          <cell r="I4515" t="str">
            <v/>
          </cell>
          <cell r="J4515" t="str">
            <v/>
          </cell>
          <cell r="K4515" t="str">
            <v/>
          </cell>
          <cell r="L4515" t="str">
            <v/>
          </cell>
          <cell r="M4515" t="str">
            <v/>
          </cell>
        </row>
        <row r="4516">
          <cell r="A4516">
            <v>31102192</v>
          </cell>
          <cell r="C4516">
            <v>31102192</v>
          </cell>
          <cell r="D4516">
            <v>31102192</v>
          </cell>
          <cell r="E4516">
            <v>31102192</v>
          </cell>
          <cell r="F4516">
            <v>31102192</v>
          </cell>
          <cell r="G4516">
            <v>31102192</v>
          </cell>
          <cell r="H4516">
            <v>31102192</v>
          </cell>
          <cell r="I4516" t="str">
            <v/>
          </cell>
          <cell r="J4516" t="str">
            <v/>
          </cell>
          <cell r="K4516" t="str">
            <v/>
          </cell>
          <cell r="L4516" t="str">
            <v/>
          </cell>
          <cell r="M4516" t="str">
            <v/>
          </cell>
        </row>
        <row r="4517">
          <cell r="A4517">
            <v>31102192</v>
          </cell>
          <cell r="C4517">
            <v>31102192</v>
          </cell>
          <cell r="D4517">
            <v>31102192</v>
          </cell>
          <cell r="E4517">
            <v>31102192</v>
          </cell>
          <cell r="F4517">
            <v>31102192</v>
          </cell>
          <cell r="G4517">
            <v>31102192</v>
          </cell>
          <cell r="H4517">
            <v>31102192</v>
          </cell>
          <cell r="I4517" t="str">
            <v/>
          </cell>
          <cell r="J4517" t="str">
            <v/>
          </cell>
          <cell r="K4517" t="str">
            <v/>
          </cell>
          <cell r="L4517" t="str">
            <v/>
          </cell>
          <cell r="M4517" t="str">
            <v/>
          </cell>
        </row>
        <row r="4518">
          <cell r="A4518">
            <v>31102192</v>
          </cell>
          <cell r="C4518">
            <v>31102192</v>
          </cell>
          <cell r="D4518">
            <v>31102192</v>
          </cell>
          <cell r="E4518">
            <v>31102192</v>
          </cell>
          <cell r="F4518">
            <v>31102192</v>
          </cell>
          <cell r="G4518">
            <v>31102192</v>
          </cell>
          <cell r="H4518">
            <v>31102192</v>
          </cell>
          <cell r="I4518" t="str">
            <v/>
          </cell>
          <cell r="J4518" t="str">
            <v/>
          </cell>
          <cell r="K4518" t="str">
            <v/>
          </cell>
          <cell r="L4518" t="str">
            <v/>
          </cell>
          <cell r="M4518" t="str">
            <v/>
          </cell>
        </row>
        <row r="4519">
          <cell r="A4519">
            <v>31102192</v>
          </cell>
          <cell r="C4519">
            <v>31102192</v>
          </cell>
          <cell r="D4519">
            <v>31102192</v>
          </cell>
          <cell r="E4519">
            <v>31102192</v>
          </cell>
          <cell r="F4519">
            <v>31102192</v>
          </cell>
          <cell r="G4519">
            <v>31102192</v>
          </cell>
          <cell r="H4519">
            <v>31102192</v>
          </cell>
          <cell r="I4519" t="str">
            <v/>
          </cell>
          <cell r="J4519" t="str">
            <v/>
          </cell>
          <cell r="K4519" t="str">
            <v/>
          </cell>
          <cell r="L4519" t="str">
            <v/>
          </cell>
          <cell r="M4519" t="str">
            <v/>
          </cell>
        </row>
        <row r="4520">
          <cell r="A4520">
            <v>31102192</v>
          </cell>
          <cell r="C4520">
            <v>31102192</v>
          </cell>
          <cell r="D4520">
            <v>31102192</v>
          </cell>
          <cell r="E4520">
            <v>31102192</v>
          </cell>
          <cell r="F4520">
            <v>31102192</v>
          </cell>
          <cell r="G4520">
            <v>31102192</v>
          </cell>
          <cell r="H4520">
            <v>31102192</v>
          </cell>
          <cell r="I4520" t="str">
            <v/>
          </cell>
          <cell r="J4520" t="str">
            <v/>
          </cell>
          <cell r="K4520" t="str">
            <v/>
          </cell>
          <cell r="L4520" t="str">
            <v/>
          </cell>
          <cell r="M4520" t="str">
            <v/>
          </cell>
        </row>
        <row r="4521">
          <cell r="A4521">
            <v>31102192</v>
          </cell>
          <cell r="C4521">
            <v>31102192</v>
          </cell>
          <cell r="D4521">
            <v>31102192</v>
          </cell>
          <cell r="E4521">
            <v>31102192</v>
          </cell>
          <cell r="F4521">
            <v>31102192</v>
          </cell>
          <cell r="G4521">
            <v>31102192</v>
          </cell>
          <cell r="H4521">
            <v>31102192</v>
          </cell>
          <cell r="I4521" t="str">
            <v/>
          </cell>
          <cell r="J4521" t="str">
            <v/>
          </cell>
          <cell r="K4521" t="str">
            <v/>
          </cell>
          <cell r="L4521" t="str">
            <v/>
          </cell>
          <cell r="M4521" t="str">
            <v/>
          </cell>
        </row>
        <row r="4522">
          <cell r="A4522">
            <v>31102192</v>
          </cell>
          <cell r="C4522">
            <v>31102192</v>
          </cell>
          <cell r="D4522">
            <v>31102192</v>
          </cell>
          <cell r="E4522">
            <v>31102192</v>
          </cell>
          <cell r="F4522">
            <v>31102192</v>
          </cell>
          <cell r="G4522">
            <v>31102192</v>
          </cell>
          <cell r="H4522">
            <v>31102192</v>
          </cell>
          <cell r="I4522" t="str">
            <v/>
          </cell>
          <cell r="J4522" t="str">
            <v/>
          </cell>
          <cell r="K4522" t="str">
            <v/>
          </cell>
          <cell r="L4522" t="str">
            <v/>
          </cell>
          <cell r="M4522" t="str">
            <v/>
          </cell>
        </row>
        <row r="4523">
          <cell r="A4523">
            <v>31102192</v>
          </cell>
          <cell r="C4523">
            <v>31102192</v>
          </cell>
          <cell r="D4523">
            <v>31102192</v>
          </cell>
          <cell r="E4523">
            <v>31102192</v>
          </cell>
          <cell r="F4523">
            <v>31102192</v>
          </cell>
          <cell r="G4523">
            <v>31102192</v>
          </cell>
          <cell r="H4523">
            <v>31102192</v>
          </cell>
          <cell r="I4523" t="str">
            <v/>
          </cell>
          <cell r="J4523" t="str">
            <v/>
          </cell>
          <cell r="K4523" t="str">
            <v/>
          </cell>
          <cell r="L4523" t="str">
            <v/>
          </cell>
          <cell r="M4523" t="str">
            <v/>
          </cell>
        </row>
        <row r="4524">
          <cell r="A4524">
            <v>31102192</v>
          </cell>
          <cell r="C4524">
            <v>31102192</v>
          </cell>
          <cell r="D4524">
            <v>31102192</v>
          </cell>
          <cell r="E4524">
            <v>31102192</v>
          </cell>
          <cell r="F4524">
            <v>31102192</v>
          </cell>
          <cell r="G4524">
            <v>31102192</v>
          </cell>
          <cell r="H4524">
            <v>31102192</v>
          </cell>
          <cell r="I4524" t="str">
            <v/>
          </cell>
          <cell r="J4524" t="str">
            <v/>
          </cell>
          <cell r="K4524" t="str">
            <v/>
          </cell>
          <cell r="L4524" t="str">
            <v/>
          </cell>
          <cell r="M4524" t="str">
            <v/>
          </cell>
        </row>
        <row r="4525">
          <cell r="A4525">
            <v>31102192</v>
          </cell>
          <cell r="C4525">
            <v>31102192</v>
          </cell>
          <cell r="D4525">
            <v>31102192</v>
          </cell>
          <cell r="E4525">
            <v>31102192</v>
          </cell>
          <cell r="F4525">
            <v>31102192</v>
          </cell>
          <cell r="G4525">
            <v>31102192</v>
          </cell>
          <cell r="H4525">
            <v>31102192</v>
          </cell>
          <cell r="I4525" t="str">
            <v/>
          </cell>
          <cell r="J4525" t="str">
            <v/>
          </cell>
          <cell r="K4525" t="str">
            <v/>
          </cell>
          <cell r="L4525" t="str">
            <v/>
          </cell>
          <cell r="M4525" t="str">
            <v/>
          </cell>
        </row>
        <row r="4526">
          <cell r="A4526">
            <v>31102192</v>
          </cell>
          <cell r="C4526">
            <v>31102192</v>
          </cell>
          <cell r="D4526">
            <v>31102192</v>
          </cell>
          <cell r="E4526">
            <v>31102192</v>
          </cell>
          <cell r="F4526">
            <v>31102192</v>
          </cell>
          <cell r="G4526">
            <v>31102192</v>
          </cell>
          <cell r="H4526">
            <v>31102192</v>
          </cell>
          <cell r="I4526" t="str">
            <v/>
          </cell>
          <cell r="J4526" t="str">
            <v/>
          </cell>
          <cell r="K4526" t="str">
            <v/>
          </cell>
          <cell r="L4526" t="str">
            <v/>
          </cell>
          <cell r="M4526" t="str">
            <v/>
          </cell>
        </row>
        <row r="4527">
          <cell r="A4527">
            <v>31102192</v>
          </cell>
          <cell r="C4527">
            <v>31102192</v>
          </cell>
          <cell r="D4527">
            <v>31102192</v>
          </cell>
          <cell r="E4527">
            <v>31102192</v>
          </cell>
          <cell r="F4527">
            <v>31102192</v>
          </cell>
          <cell r="G4527">
            <v>31102192</v>
          </cell>
          <cell r="H4527">
            <v>31102192</v>
          </cell>
          <cell r="I4527" t="str">
            <v/>
          </cell>
          <cell r="J4527" t="str">
            <v/>
          </cell>
          <cell r="K4527" t="str">
            <v/>
          </cell>
          <cell r="L4527" t="str">
            <v/>
          </cell>
          <cell r="M4527" t="str">
            <v/>
          </cell>
        </row>
        <row r="4528">
          <cell r="A4528">
            <v>31102192</v>
          </cell>
          <cell r="C4528">
            <v>31102192</v>
          </cell>
          <cell r="D4528">
            <v>31102192</v>
          </cell>
          <cell r="E4528">
            <v>31102192</v>
          </cell>
          <cell r="F4528">
            <v>31102192</v>
          </cell>
          <cell r="G4528">
            <v>31102192</v>
          </cell>
          <cell r="H4528">
            <v>31102192</v>
          </cell>
          <cell r="I4528" t="str">
            <v/>
          </cell>
          <cell r="J4528" t="str">
            <v/>
          </cell>
          <cell r="K4528" t="str">
            <v/>
          </cell>
          <cell r="L4528" t="str">
            <v/>
          </cell>
          <cell r="M4528" t="str">
            <v/>
          </cell>
        </row>
        <row r="4529">
          <cell r="A4529">
            <v>31102192</v>
          </cell>
          <cell r="C4529">
            <v>31102192</v>
          </cell>
          <cell r="D4529">
            <v>31102192</v>
          </cell>
          <cell r="E4529">
            <v>31102192</v>
          </cell>
          <cell r="F4529">
            <v>31102192</v>
          </cell>
          <cell r="G4529">
            <v>31102192</v>
          </cell>
          <cell r="H4529">
            <v>31102192</v>
          </cell>
          <cell r="I4529" t="str">
            <v/>
          </cell>
          <cell r="J4529" t="str">
            <v/>
          </cell>
          <cell r="K4529" t="str">
            <v/>
          </cell>
          <cell r="L4529" t="str">
            <v/>
          </cell>
          <cell r="M4529" t="str">
            <v/>
          </cell>
        </row>
        <row r="4530">
          <cell r="A4530">
            <v>31102192</v>
          </cell>
          <cell r="C4530">
            <v>31102192</v>
          </cell>
          <cell r="D4530">
            <v>31102192</v>
          </cell>
          <cell r="E4530">
            <v>31102192</v>
          </cell>
          <cell r="F4530">
            <v>31102192</v>
          </cell>
          <cell r="G4530">
            <v>31102192</v>
          </cell>
          <cell r="H4530">
            <v>31102192</v>
          </cell>
          <cell r="I4530" t="str">
            <v/>
          </cell>
          <cell r="J4530" t="str">
            <v/>
          </cell>
          <cell r="K4530" t="str">
            <v/>
          </cell>
          <cell r="L4530" t="str">
            <v/>
          </cell>
          <cell r="M4530" t="str">
            <v/>
          </cell>
        </row>
        <row r="4531">
          <cell r="A4531">
            <v>31102192</v>
          </cell>
          <cell r="C4531">
            <v>31102192</v>
          </cell>
          <cell r="D4531">
            <v>31102192</v>
          </cell>
          <cell r="E4531">
            <v>31102192</v>
          </cell>
          <cell r="F4531">
            <v>31102192</v>
          </cell>
          <cell r="G4531">
            <v>31102192</v>
          </cell>
          <cell r="H4531">
            <v>31102192</v>
          </cell>
          <cell r="I4531" t="str">
            <v/>
          </cell>
          <cell r="J4531" t="str">
            <v/>
          </cell>
          <cell r="K4531" t="str">
            <v/>
          </cell>
          <cell r="L4531" t="str">
            <v/>
          </cell>
          <cell r="M4531" t="str">
            <v/>
          </cell>
        </row>
        <row r="4532">
          <cell r="A4532">
            <v>31102192</v>
          </cell>
          <cell r="C4532">
            <v>31102192</v>
          </cell>
          <cell r="D4532">
            <v>31102192</v>
          </cell>
          <cell r="E4532">
            <v>31102192</v>
          </cell>
          <cell r="F4532">
            <v>31102192</v>
          </cell>
          <cell r="G4532">
            <v>31102192</v>
          </cell>
          <cell r="H4532">
            <v>31102192</v>
          </cell>
          <cell r="I4532" t="str">
            <v/>
          </cell>
          <cell r="J4532" t="str">
            <v/>
          </cell>
          <cell r="K4532" t="str">
            <v/>
          </cell>
          <cell r="L4532" t="str">
            <v/>
          </cell>
          <cell r="M4532" t="str">
            <v/>
          </cell>
        </row>
        <row r="4533">
          <cell r="A4533">
            <v>31102192</v>
          </cell>
          <cell r="C4533">
            <v>31102192</v>
          </cell>
          <cell r="D4533">
            <v>31102192</v>
          </cell>
          <cell r="E4533">
            <v>31102192</v>
          </cell>
          <cell r="F4533">
            <v>31102192</v>
          </cell>
          <cell r="G4533">
            <v>31102192</v>
          </cell>
          <cell r="H4533">
            <v>31102192</v>
          </cell>
          <cell r="I4533" t="str">
            <v/>
          </cell>
          <cell r="J4533" t="str">
            <v/>
          </cell>
          <cell r="K4533" t="str">
            <v/>
          </cell>
          <cell r="L4533" t="str">
            <v/>
          </cell>
          <cell r="M4533" t="str">
            <v/>
          </cell>
        </row>
        <row r="4534">
          <cell r="A4534">
            <v>31102192</v>
          </cell>
          <cell r="C4534">
            <v>31102192</v>
          </cell>
          <cell r="D4534">
            <v>31102192</v>
          </cell>
          <cell r="E4534">
            <v>31102192</v>
          </cell>
          <cell r="F4534">
            <v>31102192</v>
          </cell>
          <cell r="G4534">
            <v>31102192</v>
          </cell>
          <cell r="H4534">
            <v>31102192</v>
          </cell>
          <cell r="I4534" t="str">
            <v/>
          </cell>
          <cell r="J4534" t="str">
            <v/>
          </cell>
          <cell r="K4534" t="str">
            <v/>
          </cell>
          <cell r="L4534" t="str">
            <v/>
          </cell>
          <cell r="M4534" t="str">
            <v/>
          </cell>
        </row>
        <row r="4535">
          <cell r="A4535">
            <v>31102192</v>
          </cell>
          <cell r="C4535">
            <v>31102192</v>
          </cell>
          <cell r="D4535">
            <v>31102192</v>
          </cell>
          <cell r="E4535">
            <v>31102192</v>
          </cell>
          <cell r="F4535">
            <v>31102192</v>
          </cell>
          <cell r="G4535">
            <v>31102192</v>
          </cell>
          <cell r="H4535">
            <v>31102192</v>
          </cell>
          <cell r="I4535" t="str">
            <v/>
          </cell>
          <cell r="J4535" t="str">
            <v/>
          </cell>
          <cell r="K4535" t="str">
            <v/>
          </cell>
          <cell r="L4535" t="str">
            <v/>
          </cell>
          <cell r="M4535" t="str">
            <v/>
          </cell>
        </row>
        <row r="4536">
          <cell r="A4536">
            <v>31102192</v>
          </cell>
          <cell r="C4536">
            <v>31102192</v>
          </cell>
          <cell r="D4536">
            <v>31102192</v>
          </cell>
          <cell r="E4536">
            <v>31102192</v>
          </cell>
          <cell r="F4536">
            <v>31102192</v>
          </cell>
          <cell r="G4536">
            <v>31102192</v>
          </cell>
          <cell r="H4536">
            <v>31102192</v>
          </cell>
          <cell r="I4536" t="str">
            <v/>
          </cell>
          <cell r="J4536" t="str">
            <v/>
          </cell>
          <cell r="K4536" t="str">
            <v/>
          </cell>
          <cell r="L4536" t="str">
            <v/>
          </cell>
          <cell r="M4536" t="str">
            <v/>
          </cell>
        </row>
        <row r="4537">
          <cell r="A4537">
            <v>31102192</v>
          </cell>
          <cell r="C4537">
            <v>31102192</v>
          </cell>
          <cell r="D4537">
            <v>31102192</v>
          </cell>
          <cell r="E4537">
            <v>31102192</v>
          </cell>
          <cell r="F4537">
            <v>31102192</v>
          </cell>
          <cell r="G4537">
            <v>31102192</v>
          </cell>
          <cell r="H4537">
            <v>31102192</v>
          </cell>
          <cell r="I4537" t="str">
            <v/>
          </cell>
          <cell r="J4537" t="str">
            <v/>
          </cell>
          <cell r="K4537" t="str">
            <v/>
          </cell>
          <cell r="L4537" t="str">
            <v/>
          </cell>
          <cell r="M4537" t="str">
            <v/>
          </cell>
        </row>
        <row r="4538">
          <cell r="A4538">
            <v>31102192</v>
          </cell>
          <cell r="C4538">
            <v>31102192</v>
          </cell>
          <cell r="D4538">
            <v>31102192</v>
          </cell>
          <cell r="E4538">
            <v>31102192</v>
          </cell>
          <cell r="F4538">
            <v>31102192</v>
          </cell>
          <cell r="G4538">
            <v>31102192</v>
          </cell>
          <cell r="H4538">
            <v>31102192</v>
          </cell>
          <cell r="I4538" t="str">
            <v/>
          </cell>
          <cell r="J4538" t="str">
            <v/>
          </cell>
          <cell r="K4538" t="str">
            <v/>
          </cell>
          <cell r="L4538" t="str">
            <v/>
          </cell>
          <cell r="M4538" t="str">
            <v/>
          </cell>
        </row>
        <row r="4539">
          <cell r="A4539">
            <v>31102192</v>
          </cell>
          <cell r="C4539">
            <v>31102192</v>
          </cell>
          <cell r="D4539">
            <v>31102192</v>
          </cell>
          <cell r="E4539">
            <v>31102192</v>
          </cell>
          <cell r="F4539">
            <v>31102192</v>
          </cell>
          <cell r="G4539">
            <v>31102192</v>
          </cell>
          <cell r="H4539">
            <v>31102192</v>
          </cell>
          <cell r="I4539" t="str">
            <v/>
          </cell>
          <cell r="J4539" t="str">
            <v/>
          </cell>
          <cell r="K4539" t="str">
            <v/>
          </cell>
          <cell r="L4539" t="str">
            <v/>
          </cell>
          <cell r="M4539" t="str">
            <v/>
          </cell>
        </row>
        <row r="4540">
          <cell r="A4540">
            <v>31102192</v>
          </cell>
          <cell r="C4540">
            <v>31102192</v>
          </cell>
          <cell r="D4540">
            <v>31102192</v>
          </cell>
          <cell r="E4540">
            <v>31102192</v>
          </cell>
          <cell r="F4540">
            <v>31102192</v>
          </cell>
          <cell r="G4540">
            <v>31102192</v>
          </cell>
          <cell r="H4540">
            <v>31102192</v>
          </cell>
          <cell r="I4540" t="str">
            <v/>
          </cell>
          <cell r="J4540" t="str">
            <v/>
          </cell>
          <cell r="K4540" t="str">
            <v/>
          </cell>
          <cell r="L4540" t="str">
            <v/>
          </cell>
          <cell r="M4540" t="str">
            <v/>
          </cell>
        </row>
        <row r="4541">
          <cell r="A4541">
            <v>31102192</v>
          </cell>
          <cell r="C4541">
            <v>31102192</v>
          </cell>
          <cell r="D4541">
            <v>31102192</v>
          </cell>
          <cell r="E4541">
            <v>31102192</v>
          </cell>
          <cell r="F4541">
            <v>31102192</v>
          </cell>
          <cell r="G4541">
            <v>31102192</v>
          </cell>
          <cell r="H4541">
            <v>31102192</v>
          </cell>
          <cell r="I4541" t="str">
            <v/>
          </cell>
          <cell r="J4541" t="str">
            <v/>
          </cell>
          <cell r="K4541" t="str">
            <v/>
          </cell>
          <cell r="L4541" t="str">
            <v/>
          </cell>
          <cell r="M4541" t="str">
            <v/>
          </cell>
        </row>
        <row r="4542">
          <cell r="A4542">
            <v>31102192</v>
          </cell>
          <cell r="C4542">
            <v>31102192</v>
          </cell>
          <cell r="D4542">
            <v>31102192</v>
          </cell>
          <cell r="E4542">
            <v>31102192</v>
          </cell>
          <cell r="F4542">
            <v>31102192</v>
          </cell>
          <cell r="G4542">
            <v>31102192</v>
          </cell>
          <cell r="H4542">
            <v>31102192</v>
          </cell>
          <cell r="I4542" t="str">
            <v/>
          </cell>
          <cell r="J4542" t="str">
            <v/>
          </cell>
          <cell r="K4542" t="str">
            <v/>
          </cell>
          <cell r="L4542" t="str">
            <v/>
          </cell>
          <cell r="M4542" t="str">
            <v/>
          </cell>
        </row>
        <row r="4543">
          <cell r="A4543">
            <v>31102192</v>
          </cell>
          <cell r="C4543">
            <v>31102192</v>
          </cell>
          <cell r="D4543">
            <v>31102192</v>
          </cell>
          <cell r="E4543">
            <v>31102192</v>
          </cell>
          <cell r="F4543">
            <v>31102192</v>
          </cell>
          <cell r="G4543">
            <v>31102192</v>
          </cell>
          <cell r="H4543">
            <v>31102192</v>
          </cell>
          <cell r="I4543" t="str">
            <v/>
          </cell>
          <cell r="J4543" t="str">
            <v/>
          </cell>
          <cell r="K4543" t="str">
            <v/>
          </cell>
          <cell r="L4543" t="str">
            <v/>
          </cell>
          <cell r="M4543" t="str">
            <v/>
          </cell>
        </row>
        <row r="4544">
          <cell r="A4544">
            <v>31102192</v>
          </cell>
          <cell r="C4544">
            <v>31102192</v>
          </cell>
          <cell r="D4544">
            <v>31102192</v>
          </cell>
          <cell r="E4544">
            <v>31102192</v>
          </cell>
          <cell r="F4544">
            <v>31102192</v>
          </cell>
          <cell r="G4544">
            <v>31102192</v>
          </cell>
          <cell r="H4544">
            <v>31102192</v>
          </cell>
          <cell r="I4544" t="str">
            <v/>
          </cell>
          <cell r="J4544" t="str">
            <v/>
          </cell>
          <cell r="K4544" t="str">
            <v/>
          </cell>
          <cell r="L4544" t="str">
            <v/>
          </cell>
          <cell r="M4544" t="str">
            <v/>
          </cell>
        </row>
        <row r="4545">
          <cell r="A4545">
            <v>31102192</v>
          </cell>
          <cell r="C4545">
            <v>31102192</v>
          </cell>
          <cell r="D4545">
            <v>31102192</v>
          </cell>
          <cell r="E4545">
            <v>31102192</v>
          </cell>
          <cell r="F4545">
            <v>31102192</v>
          </cell>
          <cell r="G4545">
            <v>31102192</v>
          </cell>
          <cell r="H4545">
            <v>31102192</v>
          </cell>
          <cell r="I4545" t="str">
            <v/>
          </cell>
          <cell r="J4545" t="str">
            <v/>
          </cell>
          <cell r="K4545" t="str">
            <v/>
          </cell>
          <cell r="L4545" t="str">
            <v/>
          </cell>
          <cell r="M4545" t="str">
            <v/>
          </cell>
        </row>
        <row r="4546">
          <cell r="A4546">
            <v>31102192</v>
          </cell>
          <cell r="C4546">
            <v>31102192</v>
          </cell>
          <cell r="D4546">
            <v>31102192</v>
          </cell>
          <cell r="E4546">
            <v>31102192</v>
          </cell>
          <cell r="F4546">
            <v>31102192</v>
          </cell>
          <cell r="G4546">
            <v>31102192</v>
          </cell>
          <cell r="H4546">
            <v>31102192</v>
          </cell>
          <cell r="I4546" t="str">
            <v/>
          </cell>
          <cell r="J4546" t="str">
            <v/>
          </cell>
          <cell r="K4546" t="str">
            <v/>
          </cell>
          <cell r="L4546" t="str">
            <v/>
          </cell>
          <cell r="M4546" t="str">
            <v/>
          </cell>
        </row>
        <row r="4547">
          <cell r="A4547">
            <v>31102192</v>
          </cell>
          <cell r="C4547">
            <v>31102192</v>
          </cell>
          <cell r="D4547">
            <v>31102192</v>
          </cell>
          <cell r="E4547">
            <v>31102192</v>
          </cell>
          <cell r="F4547">
            <v>31102192</v>
          </cell>
          <cell r="G4547">
            <v>31102192</v>
          </cell>
          <cell r="H4547">
            <v>31102192</v>
          </cell>
          <cell r="I4547" t="str">
            <v/>
          </cell>
          <cell r="J4547" t="str">
            <v/>
          </cell>
          <cell r="K4547" t="str">
            <v/>
          </cell>
          <cell r="L4547" t="str">
            <v/>
          </cell>
          <cell r="M4547" t="str">
            <v/>
          </cell>
        </row>
        <row r="4548">
          <cell r="A4548">
            <v>31102192</v>
          </cell>
          <cell r="C4548">
            <v>31102192</v>
          </cell>
          <cell r="D4548">
            <v>31102192</v>
          </cell>
          <cell r="E4548">
            <v>31102192</v>
          </cell>
          <cell r="F4548">
            <v>31102192</v>
          </cell>
          <cell r="G4548">
            <v>31102192</v>
          </cell>
          <cell r="H4548">
            <v>31102192</v>
          </cell>
          <cell r="I4548" t="str">
            <v/>
          </cell>
          <cell r="J4548" t="str">
            <v/>
          </cell>
          <cell r="K4548" t="str">
            <v/>
          </cell>
          <cell r="L4548" t="str">
            <v/>
          </cell>
          <cell r="M4548" t="str">
            <v/>
          </cell>
        </row>
        <row r="4549">
          <cell r="A4549">
            <v>31102192</v>
          </cell>
          <cell r="C4549">
            <v>31102192</v>
          </cell>
          <cell r="D4549">
            <v>31102192</v>
          </cell>
          <cell r="E4549">
            <v>31102192</v>
          </cell>
          <cell r="F4549">
            <v>31102192</v>
          </cell>
          <cell r="G4549">
            <v>31102192</v>
          </cell>
          <cell r="H4549">
            <v>31102192</v>
          </cell>
          <cell r="I4549" t="str">
            <v/>
          </cell>
          <cell r="J4549" t="str">
            <v/>
          </cell>
          <cell r="K4549" t="str">
            <v/>
          </cell>
          <cell r="L4549" t="str">
            <v/>
          </cell>
          <cell r="M4549" t="str">
            <v/>
          </cell>
        </row>
        <row r="4550">
          <cell r="A4550">
            <v>31102192</v>
          </cell>
          <cell r="C4550">
            <v>31102192</v>
          </cell>
          <cell r="D4550">
            <v>31102192</v>
          </cell>
          <cell r="E4550">
            <v>31102192</v>
          </cell>
          <cell r="F4550">
            <v>31102192</v>
          </cell>
          <cell r="G4550">
            <v>31102192</v>
          </cell>
          <cell r="H4550">
            <v>31102192</v>
          </cell>
          <cell r="I4550" t="str">
            <v/>
          </cell>
          <cell r="J4550" t="str">
            <v/>
          </cell>
          <cell r="K4550" t="str">
            <v/>
          </cell>
          <cell r="L4550" t="str">
            <v/>
          </cell>
          <cell r="M4550" t="str">
            <v/>
          </cell>
        </row>
        <row r="4551">
          <cell r="A4551">
            <v>31102192</v>
          </cell>
          <cell r="C4551">
            <v>31102192</v>
          </cell>
          <cell r="D4551">
            <v>31102192</v>
          </cell>
          <cell r="E4551">
            <v>31102192</v>
          </cell>
          <cell r="F4551">
            <v>31102192</v>
          </cell>
          <cell r="G4551">
            <v>31102192</v>
          </cell>
          <cell r="H4551">
            <v>31102192</v>
          </cell>
          <cell r="I4551" t="str">
            <v/>
          </cell>
          <cell r="J4551" t="str">
            <v/>
          </cell>
          <cell r="K4551" t="str">
            <v/>
          </cell>
          <cell r="L4551" t="str">
            <v/>
          </cell>
          <cell r="M4551" t="str">
            <v/>
          </cell>
        </row>
        <row r="4552">
          <cell r="A4552">
            <v>31102192</v>
          </cell>
          <cell r="C4552">
            <v>31102192</v>
          </cell>
          <cell r="D4552">
            <v>31102192</v>
          </cell>
          <cell r="E4552">
            <v>31102192</v>
          </cell>
          <cell r="F4552">
            <v>31102192</v>
          </cell>
          <cell r="G4552">
            <v>31102192</v>
          </cell>
          <cell r="H4552">
            <v>31102192</v>
          </cell>
          <cell r="I4552" t="str">
            <v/>
          </cell>
          <cell r="J4552" t="str">
            <v/>
          </cell>
          <cell r="K4552" t="str">
            <v/>
          </cell>
          <cell r="L4552" t="str">
            <v/>
          </cell>
          <cell r="M4552" t="str">
            <v/>
          </cell>
        </row>
        <row r="4553">
          <cell r="A4553">
            <v>31102192</v>
          </cell>
          <cell r="C4553">
            <v>31102192</v>
          </cell>
          <cell r="D4553">
            <v>31102192</v>
          </cell>
          <cell r="E4553">
            <v>31102192</v>
          </cell>
          <cell r="F4553">
            <v>31102192</v>
          </cell>
          <cell r="G4553">
            <v>31102192</v>
          </cell>
          <cell r="H4553">
            <v>31102192</v>
          </cell>
          <cell r="I4553" t="str">
            <v/>
          </cell>
          <cell r="J4553" t="str">
            <v/>
          </cell>
          <cell r="K4553" t="str">
            <v/>
          </cell>
          <cell r="L4553" t="str">
            <v/>
          </cell>
          <cell r="M4553" t="str">
            <v/>
          </cell>
        </row>
        <row r="4554">
          <cell r="A4554">
            <v>31102192</v>
          </cell>
          <cell r="C4554">
            <v>31102192</v>
          </cell>
          <cell r="D4554">
            <v>31102192</v>
          </cell>
          <cell r="E4554">
            <v>31102192</v>
          </cell>
          <cell r="F4554">
            <v>31102192</v>
          </cell>
          <cell r="G4554">
            <v>31102192</v>
          </cell>
          <cell r="H4554">
            <v>31102192</v>
          </cell>
          <cell r="I4554" t="str">
            <v/>
          </cell>
          <cell r="J4554" t="str">
            <v/>
          </cell>
          <cell r="K4554" t="str">
            <v/>
          </cell>
          <cell r="L4554" t="str">
            <v/>
          </cell>
          <cell r="M4554" t="str">
            <v/>
          </cell>
        </row>
        <row r="4555">
          <cell r="A4555">
            <v>31102192</v>
          </cell>
          <cell r="C4555">
            <v>31102192</v>
          </cell>
          <cell r="D4555">
            <v>31102192</v>
          </cell>
          <cell r="E4555">
            <v>31102192</v>
          </cell>
          <cell r="F4555">
            <v>31102192</v>
          </cell>
          <cell r="G4555">
            <v>31102192</v>
          </cell>
          <cell r="H4555">
            <v>31102192</v>
          </cell>
          <cell r="I4555" t="str">
            <v/>
          </cell>
          <cell r="J4555" t="str">
            <v/>
          </cell>
          <cell r="K4555" t="str">
            <v/>
          </cell>
          <cell r="L4555" t="str">
            <v/>
          </cell>
          <cell r="M4555" t="str">
            <v/>
          </cell>
        </row>
        <row r="4556">
          <cell r="A4556">
            <v>31102192</v>
          </cell>
          <cell r="C4556">
            <v>31102192</v>
          </cell>
          <cell r="D4556">
            <v>31102192</v>
          </cell>
          <cell r="E4556">
            <v>31102192</v>
          </cell>
          <cell r="F4556">
            <v>31102192</v>
          </cell>
          <cell r="G4556">
            <v>31102192</v>
          </cell>
          <cell r="H4556">
            <v>31102192</v>
          </cell>
          <cell r="I4556" t="str">
            <v/>
          </cell>
          <cell r="J4556" t="str">
            <v/>
          </cell>
          <cell r="K4556" t="str">
            <v/>
          </cell>
          <cell r="L4556" t="str">
            <v/>
          </cell>
          <cell r="M4556" t="str">
            <v/>
          </cell>
        </row>
        <row r="4557">
          <cell r="A4557">
            <v>31102192</v>
          </cell>
          <cell r="C4557">
            <v>31102192</v>
          </cell>
          <cell r="D4557">
            <v>31102192</v>
          </cell>
          <cell r="E4557">
            <v>31102192</v>
          </cell>
          <cell r="F4557">
            <v>31102192</v>
          </cell>
          <cell r="G4557">
            <v>31102192</v>
          </cell>
          <cell r="H4557">
            <v>31102192</v>
          </cell>
          <cell r="I4557" t="str">
            <v/>
          </cell>
          <cell r="J4557" t="str">
            <v/>
          </cell>
          <cell r="K4557" t="str">
            <v/>
          </cell>
          <cell r="L4557" t="str">
            <v/>
          </cell>
          <cell r="M4557" t="str">
            <v/>
          </cell>
        </row>
        <row r="4558">
          <cell r="A4558">
            <v>31102192</v>
          </cell>
          <cell r="C4558">
            <v>31102192</v>
          </cell>
          <cell r="D4558">
            <v>31102192</v>
          </cell>
          <cell r="E4558">
            <v>31102192</v>
          </cell>
          <cell r="F4558">
            <v>31102192</v>
          </cell>
          <cell r="G4558">
            <v>31102192</v>
          </cell>
          <cell r="H4558">
            <v>31102192</v>
          </cell>
          <cell r="I4558" t="str">
            <v/>
          </cell>
          <cell r="J4558" t="str">
            <v/>
          </cell>
          <cell r="K4558" t="str">
            <v/>
          </cell>
          <cell r="L4558" t="str">
            <v/>
          </cell>
          <cell r="M4558" t="str">
            <v/>
          </cell>
        </row>
        <row r="4559">
          <cell r="A4559">
            <v>31102192</v>
          </cell>
          <cell r="C4559">
            <v>31102192</v>
          </cell>
          <cell r="D4559">
            <v>31102192</v>
          </cell>
          <cell r="E4559">
            <v>31102192</v>
          </cell>
          <cell r="F4559">
            <v>31102192</v>
          </cell>
          <cell r="G4559">
            <v>31102192</v>
          </cell>
          <cell r="H4559">
            <v>31102192</v>
          </cell>
          <cell r="I4559" t="str">
            <v/>
          </cell>
          <cell r="J4559" t="str">
            <v/>
          </cell>
          <cell r="K4559" t="str">
            <v/>
          </cell>
          <cell r="L4559" t="str">
            <v/>
          </cell>
          <cell r="M4559" t="str">
            <v/>
          </cell>
        </row>
        <row r="4560">
          <cell r="A4560">
            <v>31102192</v>
          </cell>
          <cell r="C4560">
            <v>31102192</v>
          </cell>
          <cell r="D4560">
            <v>31102192</v>
          </cell>
          <cell r="E4560">
            <v>31102192</v>
          </cell>
          <cell r="F4560">
            <v>31102192</v>
          </cell>
          <cell r="G4560">
            <v>31102192</v>
          </cell>
          <cell r="H4560">
            <v>31102192</v>
          </cell>
          <cell r="I4560" t="str">
            <v/>
          </cell>
          <cell r="J4560" t="str">
            <v/>
          </cell>
          <cell r="K4560" t="str">
            <v/>
          </cell>
          <cell r="L4560" t="str">
            <v/>
          </cell>
          <cell r="M4560" t="str">
            <v/>
          </cell>
        </row>
        <row r="4561">
          <cell r="A4561">
            <v>31102192</v>
          </cell>
          <cell r="C4561">
            <v>31102192</v>
          </cell>
          <cell r="D4561">
            <v>31102192</v>
          </cell>
          <cell r="E4561">
            <v>31102192</v>
          </cell>
          <cell r="F4561">
            <v>31102192</v>
          </cell>
          <cell r="G4561">
            <v>31102192</v>
          </cell>
          <cell r="H4561">
            <v>31102192</v>
          </cell>
          <cell r="I4561" t="str">
            <v/>
          </cell>
          <cell r="J4561" t="str">
            <v/>
          </cell>
          <cell r="K4561" t="str">
            <v/>
          </cell>
          <cell r="L4561" t="str">
            <v/>
          </cell>
          <cell r="M4561" t="str">
            <v/>
          </cell>
        </row>
        <row r="4562">
          <cell r="A4562">
            <v>31102192</v>
          </cell>
          <cell r="C4562">
            <v>31102192</v>
          </cell>
          <cell r="D4562">
            <v>31102192</v>
          </cell>
          <cell r="E4562">
            <v>31102192</v>
          </cell>
          <cell r="F4562">
            <v>31102192</v>
          </cell>
          <cell r="G4562">
            <v>31102192</v>
          </cell>
          <cell r="H4562">
            <v>31102192</v>
          </cell>
          <cell r="I4562" t="str">
            <v/>
          </cell>
          <cell r="J4562" t="str">
            <v/>
          </cell>
          <cell r="K4562" t="str">
            <v/>
          </cell>
          <cell r="L4562" t="str">
            <v/>
          </cell>
          <cell r="M4562" t="str">
            <v/>
          </cell>
        </row>
        <row r="4563">
          <cell r="A4563">
            <v>31102192</v>
          </cell>
          <cell r="C4563">
            <v>31102192</v>
          </cell>
          <cell r="D4563">
            <v>31102192</v>
          </cell>
          <cell r="E4563">
            <v>31102192</v>
          </cell>
          <cell r="F4563">
            <v>31102192</v>
          </cell>
          <cell r="G4563">
            <v>31102192</v>
          </cell>
          <cell r="H4563">
            <v>31102192</v>
          </cell>
          <cell r="I4563" t="str">
            <v/>
          </cell>
          <cell r="J4563" t="str">
            <v/>
          </cell>
          <cell r="K4563" t="str">
            <v/>
          </cell>
          <cell r="L4563" t="str">
            <v/>
          </cell>
          <cell r="M4563" t="str">
            <v/>
          </cell>
        </row>
        <row r="4564">
          <cell r="A4564">
            <v>31102192</v>
          </cell>
          <cell r="C4564">
            <v>31102192</v>
          </cell>
          <cell r="D4564">
            <v>31102192</v>
          </cell>
          <cell r="E4564">
            <v>31102192</v>
          </cell>
          <cell r="F4564">
            <v>31102192</v>
          </cell>
          <cell r="G4564">
            <v>31102192</v>
          </cell>
          <cell r="H4564">
            <v>31102192</v>
          </cell>
          <cell r="I4564" t="str">
            <v/>
          </cell>
          <cell r="J4564" t="str">
            <v/>
          </cell>
          <cell r="K4564" t="str">
            <v/>
          </cell>
          <cell r="L4564" t="str">
            <v/>
          </cell>
          <cell r="M4564" t="str">
            <v/>
          </cell>
        </row>
        <row r="4565">
          <cell r="A4565">
            <v>31102192</v>
          </cell>
          <cell r="C4565">
            <v>31102192</v>
          </cell>
          <cell r="D4565">
            <v>31102192</v>
          </cell>
          <cell r="E4565">
            <v>31102192</v>
          </cell>
          <cell r="F4565">
            <v>31102192</v>
          </cell>
          <cell r="G4565">
            <v>31102192</v>
          </cell>
          <cell r="H4565">
            <v>31102192</v>
          </cell>
          <cell r="I4565" t="str">
            <v/>
          </cell>
          <cell r="J4565" t="str">
            <v/>
          </cell>
          <cell r="K4565" t="str">
            <v/>
          </cell>
          <cell r="L4565" t="str">
            <v/>
          </cell>
          <cell r="M4565" t="str">
            <v/>
          </cell>
        </row>
        <row r="4566">
          <cell r="A4566">
            <v>31102192</v>
          </cell>
          <cell r="C4566">
            <v>31102192</v>
          </cell>
          <cell r="D4566">
            <v>31102192</v>
          </cell>
          <cell r="E4566">
            <v>31102192</v>
          </cell>
          <cell r="F4566">
            <v>31102192</v>
          </cell>
          <cell r="G4566">
            <v>31102192</v>
          </cell>
          <cell r="H4566">
            <v>31102192</v>
          </cell>
          <cell r="I4566" t="str">
            <v/>
          </cell>
          <cell r="J4566" t="str">
            <v/>
          </cell>
          <cell r="K4566" t="str">
            <v/>
          </cell>
          <cell r="L4566" t="str">
            <v/>
          </cell>
          <cell r="M4566" t="str">
            <v/>
          </cell>
        </row>
        <row r="4567">
          <cell r="A4567">
            <v>31102192</v>
          </cell>
          <cell r="C4567">
            <v>31102192</v>
          </cell>
          <cell r="D4567">
            <v>31102192</v>
          </cell>
          <cell r="E4567">
            <v>31102192</v>
          </cell>
          <cell r="F4567">
            <v>31102192</v>
          </cell>
          <cell r="G4567">
            <v>31102192</v>
          </cell>
          <cell r="H4567">
            <v>31102192</v>
          </cell>
          <cell r="I4567" t="str">
            <v/>
          </cell>
          <cell r="J4567" t="str">
            <v/>
          </cell>
          <cell r="K4567" t="str">
            <v/>
          </cell>
          <cell r="L4567" t="str">
            <v/>
          </cell>
          <cell r="M4567" t="str">
            <v/>
          </cell>
        </row>
        <row r="4568">
          <cell r="A4568">
            <v>31102192</v>
          </cell>
          <cell r="C4568">
            <v>31102192</v>
          </cell>
          <cell r="D4568">
            <v>31102192</v>
          </cell>
          <cell r="E4568">
            <v>31102192</v>
          </cell>
          <cell r="F4568">
            <v>31102192</v>
          </cell>
          <cell r="G4568">
            <v>31102192</v>
          </cell>
          <cell r="H4568">
            <v>31102192</v>
          </cell>
          <cell r="I4568" t="str">
            <v/>
          </cell>
          <cell r="J4568" t="str">
            <v/>
          </cell>
          <cell r="K4568" t="str">
            <v/>
          </cell>
          <cell r="L4568" t="str">
            <v/>
          </cell>
          <cell r="M4568" t="str">
            <v/>
          </cell>
        </row>
        <row r="4569">
          <cell r="A4569">
            <v>31102192</v>
          </cell>
          <cell r="C4569">
            <v>31102192</v>
          </cell>
          <cell r="D4569">
            <v>31102192</v>
          </cell>
          <cell r="E4569">
            <v>31102192</v>
          </cell>
          <cell r="F4569">
            <v>31102192</v>
          </cell>
          <cell r="G4569">
            <v>31102192</v>
          </cell>
          <cell r="H4569">
            <v>31102192</v>
          </cell>
          <cell r="I4569" t="str">
            <v/>
          </cell>
          <cell r="J4569" t="str">
            <v/>
          </cell>
          <cell r="K4569" t="str">
            <v/>
          </cell>
          <cell r="L4569" t="str">
            <v/>
          </cell>
          <cell r="M4569" t="str">
            <v/>
          </cell>
        </row>
        <row r="4570">
          <cell r="A4570">
            <v>31102192</v>
          </cell>
          <cell r="C4570">
            <v>31102192</v>
          </cell>
          <cell r="D4570">
            <v>31102192</v>
          </cell>
          <cell r="E4570">
            <v>31102192</v>
          </cell>
          <cell r="F4570">
            <v>31102192</v>
          </cell>
          <cell r="G4570">
            <v>31102192</v>
          </cell>
          <cell r="H4570">
            <v>31102192</v>
          </cell>
          <cell r="I4570" t="str">
            <v/>
          </cell>
          <cell r="J4570" t="str">
            <v/>
          </cell>
          <cell r="K4570" t="str">
            <v/>
          </cell>
          <cell r="L4570" t="str">
            <v/>
          </cell>
          <cell r="M4570" t="str">
            <v/>
          </cell>
        </row>
        <row r="4571">
          <cell r="A4571">
            <v>31102192</v>
          </cell>
          <cell r="C4571">
            <v>31102192</v>
          </cell>
          <cell r="D4571">
            <v>31102192</v>
          </cell>
          <cell r="E4571">
            <v>31102192</v>
          </cell>
          <cell r="F4571">
            <v>31102192</v>
          </cell>
          <cell r="G4571">
            <v>31102192</v>
          </cell>
          <cell r="H4571">
            <v>31102192</v>
          </cell>
          <cell r="I4571" t="str">
            <v/>
          </cell>
          <cell r="J4571" t="str">
            <v/>
          </cell>
          <cell r="K4571" t="str">
            <v/>
          </cell>
          <cell r="L4571" t="str">
            <v/>
          </cell>
          <cell r="M4571" t="str">
            <v/>
          </cell>
        </row>
        <row r="4572">
          <cell r="A4572">
            <v>31102192</v>
          </cell>
          <cell r="C4572">
            <v>31102192</v>
          </cell>
          <cell r="D4572">
            <v>31102192</v>
          </cell>
          <cell r="E4572">
            <v>31102192</v>
          </cell>
          <cell r="F4572">
            <v>31102192</v>
          </cell>
          <cell r="G4572">
            <v>31102192</v>
          </cell>
          <cell r="H4572">
            <v>31102192</v>
          </cell>
          <cell r="I4572" t="str">
            <v/>
          </cell>
          <cell r="J4572" t="str">
            <v/>
          </cell>
          <cell r="K4572" t="str">
            <v/>
          </cell>
          <cell r="L4572" t="str">
            <v/>
          </cell>
          <cell r="M4572" t="str">
            <v/>
          </cell>
        </row>
        <row r="4573">
          <cell r="A4573">
            <v>31102192</v>
          </cell>
          <cell r="C4573">
            <v>31102192</v>
          </cell>
          <cell r="D4573">
            <v>31102192</v>
          </cell>
          <cell r="E4573">
            <v>31102192</v>
          </cell>
          <cell r="F4573">
            <v>31102192</v>
          </cell>
          <cell r="G4573">
            <v>31102192</v>
          </cell>
          <cell r="H4573">
            <v>31102192</v>
          </cell>
          <cell r="I4573" t="str">
            <v/>
          </cell>
          <cell r="J4573" t="str">
            <v/>
          </cell>
          <cell r="K4573" t="str">
            <v/>
          </cell>
          <cell r="L4573" t="str">
            <v/>
          </cell>
          <cell r="M4573" t="str">
            <v/>
          </cell>
        </row>
        <row r="4574">
          <cell r="A4574">
            <v>31102192</v>
          </cell>
          <cell r="C4574">
            <v>31102192</v>
          </cell>
          <cell r="D4574">
            <v>31102192</v>
          </cell>
          <cell r="E4574">
            <v>31102192</v>
          </cell>
          <cell r="F4574">
            <v>31102192</v>
          </cell>
          <cell r="G4574">
            <v>31102192</v>
          </cell>
          <cell r="H4574">
            <v>31102192</v>
          </cell>
          <cell r="I4574" t="str">
            <v/>
          </cell>
          <cell r="J4574" t="str">
            <v/>
          </cell>
          <cell r="K4574" t="str">
            <v/>
          </cell>
          <cell r="L4574" t="str">
            <v/>
          </cell>
          <cell r="M4574" t="str">
            <v/>
          </cell>
        </row>
        <row r="4575">
          <cell r="A4575">
            <v>31102192</v>
          </cell>
          <cell r="C4575">
            <v>31102192</v>
          </cell>
          <cell r="D4575">
            <v>31102192</v>
          </cell>
          <cell r="E4575">
            <v>31102192</v>
          </cell>
          <cell r="F4575">
            <v>31102192</v>
          </cell>
          <cell r="G4575">
            <v>31102192</v>
          </cell>
          <cell r="H4575">
            <v>31102192</v>
          </cell>
          <cell r="I4575" t="str">
            <v/>
          </cell>
          <cell r="J4575" t="str">
            <v/>
          </cell>
          <cell r="K4575" t="str">
            <v/>
          </cell>
          <cell r="L4575" t="str">
            <v/>
          </cell>
          <cell r="M4575" t="str">
            <v/>
          </cell>
        </row>
        <row r="4576">
          <cell r="A4576">
            <v>31102192</v>
          </cell>
          <cell r="C4576">
            <v>31102192</v>
          </cell>
          <cell r="D4576">
            <v>31102192</v>
          </cell>
          <cell r="E4576">
            <v>31102192</v>
          </cell>
          <cell r="F4576">
            <v>31102192</v>
          </cell>
          <cell r="G4576">
            <v>31102192</v>
          </cell>
          <cell r="H4576">
            <v>31102192</v>
          </cell>
          <cell r="I4576" t="str">
            <v/>
          </cell>
          <cell r="J4576" t="str">
            <v/>
          </cell>
          <cell r="K4576" t="str">
            <v/>
          </cell>
          <cell r="L4576" t="str">
            <v/>
          </cell>
          <cell r="M4576" t="str">
            <v/>
          </cell>
        </row>
        <row r="4577">
          <cell r="A4577">
            <v>31102192</v>
          </cell>
          <cell r="C4577">
            <v>31102192</v>
          </cell>
          <cell r="D4577">
            <v>31102192</v>
          </cell>
          <cell r="E4577">
            <v>31102192</v>
          </cell>
          <cell r="F4577">
            <v>31102192</v>
          </cell>
          <cell r="G4577">
            <v>31102192</v>
          </cell>
          <cell r="H4577">
            <v>31102192</v>
          </cell>
          <cell r="I4577" t="str">
            <v/>
          </cell>
          <cell r="J4577" t="str">
            <v/>
          </cell>
          <cell r="K4577" t="str">
            <v/>
          </cell>
          <cell r="L4577" t="str">
            <v/>
          </cell>
          <cell r="M4577" t="str">
            <v/>
          </cell>
        </row>
        <row r="4578">
          <cell r="A4578">
            <v>31102192</v>
          </cell>
          <cell r="C4578">
            <v>31102192</v>
          </cell>
          <cell r="D4578">
            <v>31102192</v>
          </cell>
          <cell r="E4578">
            <v>31102192</v>
          </cell>
          <cell r="F4578">
            <v>31102192</v>
          </cell>
          <cell r="G4578">
            <v>31102192</v>
          </cell>
          <cell r="H4578">
            <v>31102192</v>
          </cell>
          <cell r="I4578" t="str">
            <v/>
          </cell>
          <cell r="J4578" t="str">
            <v/>
          </cell>
          <cell r="K4578" t="str">
            <v/>
          </cell>
          <cell r="L4578" t="str">
            <v/>
          </cell>
          <cell r="M4578" t="str">
            <v/>
          </cell>
        </row>
        <row r="4579">
          <cell r="A4579">
            <v>31102192</v>
          </cell>
          <cell r="C4579">
            <v>31102192</v>
          </cell>
          <cell r="D4579">
            <v>31102192</v>
          </cell>
          <cell r="E4579">
            <v>31102192</v>
          </cell>
          <cell r="F4579">
            <v>31102192</v>
          </cell>
          <cell r="G4579">
            <v>31102192</v>
          </cell>
          <cell r="H4579">
            <v>31102192</v>
          </cell>
          <cell r="I4579" t="str">
            <v/>
          </cell>
          <cell r="J4579" t="str">
            <v/>
          </cell>
          <cell r="K4579" t="str">
            <v/>
          </cell>
          <cell r="L4579" t="str">
            <v/>
          </cell>
          <cell r="M4579" t="str">
            <v/>
          </cell>
        </row>
        <row r="4580">
          <cell r="A4580">
            <v>31102192</v>
          </cell>
          <cell r="C4580">
            <v>31102192</v>
          </cell>
          <cell r="D4580">
            <v>31102192</v>
          </cell>
          <cell r="E4580">
            <v>31102192</v>
          </cell>
          <cell r="F4580">
            <v>31102192</v>
          </cell>
          <cell r="G4580">
            <v>31102192</v>
          </cell>
          <cell r="H4580">
            <v>31102192</v>
          </cell>
          <cell r="I4580" t="str">
            <v/>
          </cell>
          <cell r="J4580" t="str">
            <v/>
          </cell>
          <cell r="K4580" t="str">
            <v/>
          </cell>
          <cell r="L4580" t="str">
            <v/>
          </cell>
          <cell r="M4580" t="str">
            <v/>
          </cell>
        </row>
        <row r="4581">
          <cell r="A4581">
            <v>31102192</v>
          </cell>
          <cell r="C4581">
            <v>31102192</v>
          </cell>
          <cell r="D4581">
            <v>31102192</v>
          </cell>
          <cell r="E4581">
            <v>31102192</v>
          </cell>
          <cell r="F4581">
            <v>31102192</v>
          </cell>
          <cell r="G4581">
            <v>31102192</v>
          </cell>
          <cell r="H4581">
            <v>31102192</v>
          </cell>
          <cell r="I4581" t="str">
            <v/>
          </cell>
          <cell r="J4581" t="str">
            <v/>
          </cell>
          <cell r="K4581" t="str">
            <v/>
          </cell>
          <cell r="L4581" t="str">
            <v/>
          </cell>
          <cell r="M4581" t="str">
            <v/>
          </cell>
        </row>
        <row r="4582">
          <cell r="A4582">
            <v>31102192</v>
          </cell>
          <cell r="C4582">
            <v>31102192</v>
          </cell>
          <cell r="D4582">
            <v>31102192</v>
          </cell>
          <cell r="E4582">
            <v>31102192</v>
          </cell>
          <cell r="F4582">
            <v>31102192</v>
          </cell>
          <cell r="G4582">
            <v>31102192</v>
          </cell>
          <cell r="H4582">
            <v>31102192</v>
          </cell>
          <cell r="I4582" t="str">
            <v/>
          </cell>
          <cell r="J4582" t="str">
            <v/>
          </cell>
          <cell r="K4582" t="str">
            <v/>
          </cell>
          <cell r="L4582" t="str">
            <v/>
          </cell>
          <cell r="M4582" t="str">
            <v/>
          </cell>
        </row>
        <row r="4583">
          <cell r="A4583">
            <v>31102192</v>
          </cell>
          <cell r="C4583">
            <v>31102192</v>
          </cell>
          <cell r="D4583">
            <v>31102192</v>
          </cell>
          <cell r="E4583">
            <v>31102192</v>
          </cell>
          <cell r="F4583">
            <v>31102192</v>
          </cell>
          <cell r="G4583">
            <v>31102192</v>
          </cell>
          <cell r="H4583">
            <v>31102192</v>
          </cell>
          <cell r="I4583" t="str">
            <v/>
          </cell>
          <cell r="J4583" t="str">
            <v/>
          </cell>
          <cell r="K4583" t="str">
            <v/>
          </cell>
          <cell r="L4583" t="str">
            <v/>
          </cell>
          <cell r="M4583" t="str">
            <v/>
          </cell>
        </row>
        <row r="4584">
          <cell r="A4584">
            <v>31102192</v>
          </cell>
          <cell r="C4584">
            <v>31102192</v>
          </cell>
          <cell r="D4584">
            <v>31102192</v>
          </cell>
          <cell r="E4584">
            <v>31102192</v>
          </cell>
          <cell r="F4584">
            <v>31102192</v>
          </cell>
          <cell r="G4584">
            <v>31102192</v>
          </cell>
          <cell r="H4584">
            <v>31102192</v>
          </cell>
          <cell r="I4584" t="str">
            <v/>
          </cell>
          <cell r="J4584" t="str">
            <v/>
          </cell>
          <cell r="K4584" t="str">
            <v/>
          </cell>
          <cell r="L4584" t="str">
            <v/>
          </cell>
          <cell r="M4584" t="str">
            <v/>
          </cell>
        </row>
        <row r="4585">
          <cell r="A4585">
            <v>31102192</v>
          </cell>
          <cell r="C4585">
            <v>31102192</v>
          </cell>
          <cell r="D4585">
            <v>31102192</v>
          </cell>
          <cell r="E4585">
            <v>31102192</v>
          </cell>
          <cell r="F4585">
            <v>31102192</v>
          </cell>
          <cell r="G4585">
            <v>31102192</v>
          </cell>
          <cell r="H4585">
            <v>31102192</v>
          </cell>
          <cell r="I4585" t="str">
            <v/>
          </cell>
          <cell r="J4585" t="str">
            <v/>
          </cell>
          <cell r="K4585" t="str">
            <v/>
          </cell>
          <cell r="L4585" t="str">
            <v/>
          </cell>
          <cell r="M4585" t="str">
            <v/>
          </cell>
        </row>
        <row r="4586">
          <cell r="A4586">
            <v>31102192</v>
          </cell>
          <cell r="C4586">
            <v>31102192</v>
          </cell>
          <cell r="D4586">
            <v>31102192</v>
          </cell>
          <cell r="E4586">
            <v>31102192</v>
          </cell>
          <cell r="F4586">
            <v>31102192</v>
          </cell>
          <cell r="G4586">
            <v>31102192</v>
          </cell>
          <cell r="H4586">
            <v>31102192</v>
          </cell>
          <cell r="I4586" t="str">
            <v/>
          </cell>
          <cell r="J4586" t="str">
            <v/>
          </cell>
          <cell r="K4586" t="str">
            <v/>
          </cell>
          <cell r="L4586" t="str">
            <v/>
          </cell>
          <cell r="M4586" t="str">
            <v/>
          </cell>
        </row>
        <row r="4587">
          <cell r="A4587">
            <v>31102192</v>
          </cell>
          <cell r="C4587">
            <v>31102192</v>
          </cell>
          <cell r="D4587">
            <v>31102192</v>
          </cell>
          <cell r="E4587">
            <v>31102192</v>
          </cell>
          <cell r="F4587">
            <v>31102192</v>
          </cell>
          <cell r="G4587">
            <v>31102192</v>
          </cell>
          <cell r="H4587">
            <v>31102192</v>
          </cell>
          <cell r="I4587" t="str">
            <v/>
          </cell>
          <cell r="J4587" t="str">
            <v/>
          </cell>
          <cell r="K4587" t="str">
            <v/>
          </cell>
          <cell r="L4587" t="str">
            <v/>
          </cell>
          <cell r="M4587" t="str">
            <v/>
          </cell>
        </row>
        <row r="4588">
          <cell r="A4588">
            <v>31102192</v>
          </cell>
          <cell r="C4588">
            <v>31102192</v>
          </cell>
          <cell r="D4588">
            <v>31102192</v>
          </cell>
          <cell r="E4588">
            <v>31102192</v>
          </cell>
          <cell r="F4588">
            <v>31102192</v>
          </cell>
          <cell r="G4588">
            <v>31102192</v>
          </cell>
          <cell r="H4588">
            <v>31102192</v>
          </cell>
          <cell r="I4588" t="str">
            <v/>
          </cell>
          <cell r="J4588" t="str">
            <v/>
          </cell>
          <cell r="K4588" t="str">
            <v/>
          </cell>
          <cell r="L4588" t="str">
            <v/>
          </cell>
          <cell r="M4588" t="str">
            <v/>
          </cell>
        </row>
        <row r="4589">
          <cell r="A4589">
            <v>31102192</v>
          </cell>
          <cell r="C4589">
            <v>31102192</v>
          </cell>
          <cell r="D4589">
            <v>31102192</v>
          </cell>
          <cell r="E4589">
            <v>31102192</v>
          </cell>
          <cell r="F4589">
            <v>31102192</v>
          </cell>
          <cell r="G4589">
            <v>31102192</v>
          </cell>
          <cell r="H4589">
            <v>31102192</v>
          </cell>
          <cell r="I4589" t="str">
            <v/>
          </cell>
          <cell r="J4589" t="str">
            <v/>
          </cell>
          <cell r="K4589" t="str">
            <v/>
          </cell>
          <cell r="L4589" t="str">
            <v/>
          </cell>
          <cell r="M4589" t="str">
            <v/>
          </cell>
        </row>
        <row r="4590">
          <cell r="A4590">
            <v>31102192</v>
          </cell>
          <cell r="C4590">
            <v>31102192</v>
          </cell>
          <cell r="D4590">
            <v>31102192</v>
          </cell>
          <cell r="E4590">
            <v>31102192</v>
          </cell>
          <cell r="F4590">
            <v>31102192</v>
          </cell>
          <cell r="G4590">
            <v>31102192</v>
          </cell>
          <cell r="H4590">
            <v>31102192</v>
          </cell>
          <cell r="I4590" t="str">
            <v/>
          </cell>
          <cell r="J4590" t="str">
            <v/>
          </cell>
          <cell r="K4590" t="str">
            <v/>
          </cell>
          <cell r="L4590" t="str">
            <v/>
          </cell>
          <cell r="M4590" t="str">
            <v/>
          </cell>
        </row>
        <row r="4591">
          <cell r="A4591">
            <v>31102192</v>
          </cell>
          <cell r="C4591">
            <v>31102192</v>
          </cell>
          <cell r="D4591">
            <v>31102192</v>
          </cell>
          <cell r="E4591">
            <v>31102192</v>
          </cell>
          <cell r="F4591">
            <v>31102192</v>
          </cell>
          <cell r="G4591">
            <v>31102192</v>
          </cell>
          <cell r="H4591">
            <v>31102192</v>
          </cell>
          <cell r="I4591" t="str">
            <v/>
          </cell>
          <cell r="J4591" t="str">
            <v/>
          </cell>
          <cell r="K4591" t="str">
            <v/>
          </cell>
          <cell r="L4591" t="str">
            <v/>
          </cell>
          <cell r="M4591" t="str">
            <v/>
          </cell>
        </row>
        <row r="4592">
          <cell r="A4592">
            <v>31102192</v>
          </cell>
          <cell r="C4592">
            <v>31102192</v>
          </cell>
          <cell r="D4592">
            <v>31102192</v>
          </cell>
          <cell r="E4592">
            <v>31102192</v>
          </cell>
          <cell r="F4592">
            <v>31102192</v>
          </cell>
          <cell r="G4592">
            <v>31102192</v>
          </cell>
          <cell r="H4592">
            <v>31102192</v>
          </cell>
          <cell r="I4592" t="str">
            <v/>
          </cell>
          <cell r="J4592" t="str">
            <v/>
          </cell>
          <cell r="K4592" t="str">
            <v/>
          </cell>
          <cell r="L4592" t="str">
            <v/>
          </cell>
          <cell r="M4592" t="str">
            <v/>
          </cell>
        </row>
        <row r="4593">
          <cell r="A4593">
            <v>31102192</v>
          </cell>
          <cell r="C4593">
            <v>31102192</v>
          </cell>
          <cell r="D4593">
            <v>31102192</v>
          </cell>
          <cell r="E4593">
            <v>31102192</v>
          </cell>
          <cell r="F4593">
            <v>31102192</v>
          </cell>
          <cell r="G4593">
            <v>31102192</v>
          </cell>
          <cell r="H4593">
            <v>31102192</v>
          </cell>
          <cell r="I4593" t="str">
            <v/>
          </cell>
          <cell r="J4593" t="str">
            <v/>
          </cell>
          <cell r="K4593" t="str">
            <v/>
          </cell>
          <cell r="L4593" t="str">
            <v/>
          </cell>
          <cell r="M4593" t="str">
            <v/>
          </cell>
        </row>
        <row r="4594">
          <cell r="A4594">
            <v>31102192</v>
          </cell>
          <cell r="C4594">
            <v>31102192</v>
          </cell>
          <cell r="D4594">
            <v>31102192</v>
          </cell>
          <cell r="E4594">
            <v>31102192</v>
          </cell>
          <cell r="F4594">
            <v>31102192</v>
          </cell>
          <cell r="G4594">
            <v>31102192</v>
          </cell>
          <cell r="H4594">
            <v>31102192</v>
          </cell>
          <cell r="I4594" t="str">
            <v/>
          </cell>
          <cell r="J4594" t="str">
            <v/>
          </cell>
          <cell r="K4594" t="str">
            <v/>
          </cell>
          <cell r="L4594" t="str">
            <v/>
          </cell>
          <cell r="M4594" t="str">
            <v/>
          </cell>
        </row>
        <row r="4595">
          <cell r="A4595">
            <v>31102192</v>
          </cell>
          <cell r="C4595">
            <v>31102192</v>
          </cell>
          <cell r="D4595">
            <v>31102192</v>
          </cell>
          <cell r="E4595">
            <v>31102192</v>
          </cell>
          <cell r="F4595">
            <v>31102192</v>
          </cell>
          <cell r="G4595">
            <v>31102192</v>
          </cell>
          <cell r="H4595">
            <v>31102192</v>
          </cell>
          <cell r="I4595" t="str">
            <v/>
          </cell>
          <cell r="J4595" t="str">
            <v/>
          </cell>
          <cell r="K4595" t="str">
            <v/>
          </cell>
          <cell r="L4595" t="str">
            <v/>
          </cell>
          <cell r="M4595" t="str">
            <v/>
          </cell>
        </row>
        <row r="4596">
          <cell r="A4596">
            <v>31102192</v>
          </cell>
          <cell r="C4596">
            <v>31102192</v>
          </cell>
          <cell r="D4596">
            <v>31102192</v>
          </cell>
          <cell r="E4596">
            <v>31102192</v>
          </cell>
          <cell r="F4596">
            <v>31102192</v>
          </cell>
          <cell r="G4596">
            <v>31102192</v>
          </cell>
          <cell r="H4596">
            <v>31102192</v>
          </cell>
          <cell r="I4596" t="str">
            <v/>
          </cell>
          <cell r="J4596" t="str">
            <v/>
          </cell>
          <cell r="K4596" t="str">
            <v/>
          </cell>
          <cell r="L4596" t="str">
            <v/>
          </cell>
          <cell r="M4596" t="str">
            <v/>
          </cell>
        </row>
        <row r="4597">
          <cell r="A4597">
            <v>31102192</v>
          </cell>
          <cell r="C4597">
            <v>31102192</v>
          </cell>
          <cell r="D4597">
            <v>31102192</v>
          </cell>
          <cell r="E4597">
            <v>31102192</v>
          </cell>
          <cell r="F4597">
            <v>31102192</v>
          </cell>
          <cell r="G4597">
            <v>31102192</v>
          </cell>
          <cell r="H4597">
            <v>31102192</v>
          </cell>
          <cell r="I4597" t="str">
            <v/>
          </cell>
          <cell r="J4597" t="str">
            <v/>
          </cell>
          <cell r="K4597" t="str">
            <v/>
          </cell>
          <cell r="L4597" t="str">
            <v/>
          </cell>
          <cell r="M4597" t="str">
            <v/>
          </cell>
        </row>
        <row r="4598">
          <cell r="A4598">
            <v>31102192</v>
          </cell>
          <cell r="C4598">
            <v>31102192</v>
          </cell>
          <cell r="D4598">
            <v>31102192</v>
          </cell>
          <cell r="E4598">
            <v>31102192</v>
          </cell>
          <cell r="F4598">
            <v>31102192</v>
          </cell>
          <cell r="G4598">
            <v>31102192</v>
          </cell>
          <cell r="H4598">
            <v>31102192</v>
          </cell>
          <cell r="I4598" t="str">
            <v/>
          </cell>
          <cell r="J4598" t="str">
            <v/>
          </cell>
          <cell r="K4598" t="str">
            <v/>
          </cell>
          <cell r="L4598" t="str">
            <v/>
          </cell>
          <cell r="M4598" t="str">
            <v/>
          </cell>
        </row>
        <row r="4599">
          <cell r="A4599">
            <v>31102192</v>
          </cell>
          <cell r="C4599">
            <v>31102192</v>
          </cell>
          <cell r="D4599">
            <v>31102192</v>
          </cell>
          <cell r="E4599">
            <v>31102192</v>
          </cell>
          <cell r="F4599">
            <v>31102192</v>
          </cell>
          <cell r="G4599">
            <v>31102192</v>
          </cell>
          <cell r="H4599">
            <v>31102192</v>
          </cell>
          <cell r="I4599" t="str">
            <v/>
          </cell>
          <cell r="J4599" t="str">
            <v/>
          </cell>
          <cell r="K4599" t="str">
            <v/>
          </cell>
          <cell r="L4599" t="str">
            <v/>
          </cell>
          <cell r="M4599" t="str">
            <v/>
          </cell>
        </row>
        <row r="4600">
          <cell r="A4600">
            <v>31102192</v>
          </cell>
          <cell r="C4600">
            <v>31102192</v>
          </cell>
          <cell r="D4600">
            <v>31102192</v>
          </cell>
          <cell r="E4600">
            <v>31102192</v>
          </cell>
          <cell r="F4600">
            <v>31102192</v>
          </cell>
          <cell r="G4600">
            <v>31102192</v>
          </cell>
          <cell r="H4600">
            <v>31102192</v>
          </cell>
          <cell r="I4600" t="str">
            <v/>
          </cell>
          <cell r="J4600" t="str">
            <v/>
          </cell>
          <cell r="K4600" t="str">
            <v/>
          </cell>
          <cell r="L4600" t="str">
            <v/>
          </cell>
          <cell r="M4600" t="str">
            <v/>
          </cell>
        </row>
        <row r="4601">
          <cell r="A4601">
            <v>31102192</v>
          </cell>
          <cell r="C4601">
            <v>31102192</v>
          </cell>
          <cell r="D4601">
            <v>31102192</v>
          </cell>
          <cell r="E4601">
            <v>31102192</v>
          </cell>
          <cell r="F4601">
            <v>31102192</v>
          </cell>
          <cell r="G4601">
            <v>31102192</v>
          </cell>
          <cell r="H4601">
            <v>31102192</v>
          </cell>
          <cell r="I4601" t="str">
            <v/>
          </cell>
          <cell r="J4601" t="str">
            <v/>
          </cell>
          <cell r="K4601" t="str">
            <v/>
          </cell>
          <cell r="L4601" t="str">
            <v/>
          </cell>
          <cell r="M4601" t="str">
            <v/>
          </cell>
        </row>
        <row r="4602">
          <cell r="A4602">
            <v>31102192</v>
          </cell>
          <cell r="C4602">
            <v>31102192</v>
          </cell>
          <cell r="D4602">
            <v>31102192</v>
          </cell>
          <cell r="E4602">
            <v>31102192</v>
          </cell>
          <cell r="F4602">
            <v>31102192</v>
          </cell>
          <cell r="G4602">
            <v>31102192</v>
          </cell>
          <cell r="H4602">
            <v>31102192</v>
          </cell>
          <cell r="I4602" t="str">
            <v/>
          </cell>
          <cell r="J4602" t="str">
            <v/>
          </cell>
          <cell r="K4602" t="str">
            <v/>
          </cell>
          <cell r="L4602" t="str">
            <v/>
          </cell>
          <cell r="M4602" t="str">
            <v/>
          </cell>
        </row>
        <row r="4603">
          <cell r="A4603">
            <v>31102192</v>
          </cell>
          <cell r="C4603">
            <v>31102192</v>
          </cell>
          <cell r="D4603">
            <v>31102192</v>
          </cell>
          <cell r="E4603">
            <v>31102192</v>
          </cell>
          <cell r="F4603">
            <v>31102192</v>
          </cell>
          <cell r="G4603">
            <v>31102192</v>
          </cell>
          <cell r="H4603">
            <v>31102192</v>
          </cell>
          <cell r="I4603" t="str">
            <v/>
          </cell>
          <cell r="J4603" t="str">
            <v/>
          </cell>
          <cell r="K4603" t="str">
            <v/>
          </cell>
          <cell r="L4603" t="str">
            <v/>
          </cell>
          <cell r="M4603" t="str">
            <v/>
          </cell>
        </row>
        <row r="4604">
          <cell r="A4604">
            <v>31102192</v>
          </cell>
          <cell r="C4604">
            <v>31102192</v>
          </cell>
          <cell r="D4604">
            <v>31102192</v>
          </cell>
          <cell r="E4604">
            <v>31102192</v>
          </cell>
          <cell r="F4604">
            <v>31102192</v>
          </cell>
          <cell r="G4604">
            <v>31102192</v>
          </cell>
          <cell r="H4604">
            <v>31102192</v>
          </cell>
          <cell r="I4604" t="str">
            <v/>
          </cell>
          <cell r="J4604" t="str">
            <v/>
          </cell>
          <cell r="K4604" t="str">
            <v/>
          </cell>
          <cell r="L4604" t="str">
            <v/>
          </cell>
          <cell r="M4604" t="str">
            <v/>
          </cell>
        </row>
        <row r="4605">
          <cell r="A4605">
            <v>31102192</v>
          </cell>
          <cell r="C4605">
            <v>31102192</v>
          </cell>
          <cell r="D4605">
            <v>31102192</v>
          </cell>
          <cell r="E4605">
            <v>31102192</v>
          </cell>
          <cell r="F4605">
            <v>31102192</v>
          </cell>
          <cell r="G4605">
            <v>31102192</v>
          </cell>
          <cell r="H4605">
            <v>31102192</v>
          </cell>
          <cell r="I4605" t="str">
            <v/>
          </cell>
          <cell r="J4605" t="str">
            <v/>
          </cell>
          <cell r="K4605" t="str">
            <v/>
          </cell>
          <cell r="L4605" t="str">
            <v/>
          </cell>
          <cell r="M4605" t="str">
            <v/>
          </cell>
        </row>
        <row r="4606">
          <cell r="A4606">
            <v>31102192</v>
          </cell>
          <cell r="C4606">
            <v>31102192</v>
          </cell>
          <cell r="D4606">
            <v>31102192</v>
          </cell>
          <cell r="E4606">
            <v>31102192</v>
          </cell>
          <cell r="F4606">
            <v>31102192</v>
          </cell>
          <cell r="G4606">
            <v>31102192</v>
          </cell>
          <cell r="H4606">
            <v>31102192</v>
          </cell>
          <cell r="I4606" t="str">
            <v/>
          </cell>
          <cell r="J4606" t="str">
            <v/>
          </cell>
          <cell r="K4606" t="str">
            <v/>
          </cell>
          <cell r="L4606" t="str">
            <v/>
          </cell>
          <cell r="M4606" t="str">
            <v/>
          </cell>
        </row>
        <row r="4607">
          <cell r="A4607">
            <v>31102192</v>
          </cell>
          <cell r="C4607">
            <v>31102192</v>
          </cell>
          <cell r="D4607">
            <v>31102192</v>
          </cell>
          <cell r="E4607">
            <v>31102192</v>
          </cell>
          <cell r="F4607">
            <v>31102192</v>
          </cell>
          <cell r="G4607">
            <v>31102192</v>
          </cell>
          <cell r="H4607">
            <v>31102192</v>
          </cell>
          <cell r="I4607" t="str">
            <v/>
          </cell>
          <cell r="J4607" t="str">
            <v/>
          </cell>
          <cell r="K4607" t="str">
            <v/>
          </cell>
          <cell r="L4607" t="str">
            <v/>
          </cell>
          <cell r="M4607" t="str">
            <v/>
          </cell>
        </row>
        <row r="4608">
          <cell r="A4608">
            <v>31102192</v>
          </cell>
          <cell r="C4608">
            <v>31102192</v>
          </cell>
          <cell r="D4608">
            <v>31102192</v>
          </cell>
          <cell r="E4608">
            <v>31102192</v>
          </cell>
          <cell r="F4608">
            <v>31102192</v>
          </cell>
          <cell r="G4608">
            <v>31102192</v>
          </cell>
          <cell r="H4608">
            <v>31102192</v>
          </cell>
          <cell r="I4608" t="str">
            <v/>
          </cell>
          <cell r="J4608" t="str">
            <v/>
          </cell>
          <cell r="K4608" t="str">
            <v/>
          </cell>
          <cell r="L4608" t="str">
            <v/>
          </cell>
          <cell r="M4608" t="str">
            <v/>
          </cell>
        </row>
        <row r="4609">
          <cell r="A4609">
            <v>31102192</v>
          </cell>
          <cell r="C4609">
            <v>31102192</v>
          </cell>
          <cell r="D4609">
            <v>31102192</v>
          </cell>
          <cell r="E4609">
            <v>31102192</v>
          </cell>
          <cell r="F4609">
            <v>31102192</v>
          </cell>
          <cell r="G4609">
            <v>31102192</v>
          </cell>
          <cell r="H4609">
            <v>31102192</v>
          </cell>
          <cell r="I4609" t="str">
            <v/>
          </cell>
          <cell r="J4609" t="str">
            <v/>
          </cell>
          <cell r="K4609" t="str">
            <v/>
          </cell>
          <cell r="L4609" t="str">
            <v/>
          </cell>
          <cell r="M4609" t="str">
            <v/>
          </cell>
        </row>
        <row r="4610">
          <cell r="A4610">
            <v>31102192</v>
          </cell>
          <cell r="C4610">
            <v>31102192</v>
          </cell>
          <cell r="D4610">
            <v>31102192</v>
          </cell>
          <cell r="E4610">
            <v>31102192</v>
          </cell>
          <cell r="F4610">
            <v>31102192</v>
          </cell>
          <cell r="G4610">
            <v>31102192</v>
          </cell>
          <cell r="H4610">
            <v>31102192</v>
          </cell>
          <cell r="I4610" t="str">
            <v/>
          </cell>
          <cell r="J4610" t="str">
            <v/>
          </cell>
          <cell r="K4610" t="str">
            <v/>
          </cell>
          <cell r="L4610" t="str">
            <v/>
          </cell>
          <cell r="M4610" t="str">
            <v/>
          </cell>
        </row>
        <row r="4611">
          <cell r="A4611">
            <v>31102192</v>
          </cell>
          <cell r="C4611">
            <v>31102192</v>
          </cell>
          <cell r="D4611">
            <v>31102192</v>
          </cell>
          <cell r="E4611">
            <v>31102192</v>
          </cell>
          <cell r="F4611">
            <v>31102192</v>
          </cell>
          <cell r="G4611">
            <v>31102192</v>
          </cell>
          <cell r="H4611">
            <v>31102192</v>
          </cell>
          <cell r="I4611" t="str">
            <v/>
          </cell>
          <cell r="J4611" t="str">
            <v/>
          </cell>
          <cell r="K4611" t="str">
            <v/>
          </cell>
          <cell r="L4611" t="str">
            <v/>
          </cell>
          <cell r="M4611" t="str">
            <v/>
          </cell>
        </row>
        <row r="4612">
          <cell r="A4612">
            <v>31102192</v>
          </cell>
          <cell r="C4612">
            <v>31102192</v>
          </cell>
          <cell r="D4612">
            <v>31102192</v>
          </cell>
          <cell r="E4612">
            <v>31102192</v>
          </cell>
          <cell r="F4612">
            <v>31102192</v>
          </cell>
          <cell r="G4612">
            <v>31102192</v>
          </cell>
          <cell r="H4612">
            <v>31102192</v>
          </cell>
          <cell r="I4612" t="str">
            <v/>
          </cell>
          <cell r="J4612" t="str">
            <v/>
          </cell>
          <cell r="K4612" t="str">
            <v/>
          </cell>
          <cell r="L4612" t="str">
            <v/>
          </cell>
          <cell r="M4612" t="str">
            <v/>
          </cell>
        </row>
        <row r="4613">
          <cell r="A4613">
            <v>31102192</v>
          </cell>
          <cell r="C4613">
            <v>31102192</v>
          </cell>
          <cell r="D4613">
            <v>31102192</v>
          </cell>
          <cell r="E4613">
            <v>31102192</v>
          </cell>
          <cell r="F4613">
            <v>31102192</v>
          </cell>
          <cell r="G4613">
            <v>31102192</v>
          </cell>
          <cell r="H4613">
            <v>31102192</v>
          </cell>
          <cell r="I4613" t="str">
            <v/>
          </cell>
          <cell r="J4613" t="str">
            <v/>
          </cell>
          <cell r="K4613" t="str">
            <v/>
          </cell>
          <cell r="L4613" t="str">
            <v/>
          </cell>
          <cell r="M4613" t="str">
            <v/>
          </cell>
        </row>
        <row r="4614">
          <cell r="A4614">
            <v>31102192</v>
          </cell>
          <cell r="C4614">
            <v>31102192</v>
          </cell>
          <cell r="D4614">
            <v>31102192</v>
          </cell>
          <cell r="E4614">
            <v>31102192</v>
          </cell>
          <cell r="F4614">
            <v>31102192</v>
          </cell>
          <cell r="G4614">
            <v>31102192</v>
          </cell>
          <cell r="H4614">
            <v>31102192</v>
          </cell>
          <cell r="I4614" t="str">
            <v/>
          </cell>
          <cell r="J4614" t="str">
            <v/>
          </cell>
          <cell r="K4614" t="str">
            <v/>
          </cell>
          <cell r="L4614" t="str">
            <v/>
          </cell>
          <cell r="M4614" t="str">
            <v/>
          </cell>
        </row>
        <row r="4615">
          <cell r="A4615">
            <v>31102192</v>
          </cell>
          <cell r="C4615">
            <v>31102192</v>
          </cell>
          <cell r="D4615">
            <v>31102192</v>
          </cell>
          <cell r="E4615">
            <v>31102192</v>
          </cell>
          <cell r="F4615">
            <v>31102192</v>
          </cell>
          <cell r="G4615">
            <v>31102192</v>
          </cell>
          <cell r="H4615">
            <v>31102192</v>
          </cell>
          <cell r="I4615" t="str">
            <v/>
          </cell>
          <cell r="J4615" t="str">
            <v/>
          </cell>
          <cell r="K4615" t="str">
            <v/>
          </cell>
          <cell r="L4615" t="str">
            <v/>
          </cell>
          <cell r="M4615" t="str">
            <v/>
          </cell>
        </row>
        <row r="4616">
          <cell r="A4616">
            <v>31102192</v>
          </cell>
          <cell r="C4616">
            <v>31102192</v>
          </cell>
          <cell r="D4616">
            <v>31102192</v>
          </cell>
          <cell r="E4616">
            <v>31102192</v>
          </cell>
          <cell r="F4616">
            <v>31102192</v>
          </cell>
          <cell r="G4616">
            <v>31102192</v>
          </cell>
          <cell r="H4616">
            <v>31102192</v>
          </cell>
          <cell r="I4616" t="str">
            <v/>
          </cell>
          <cell r="J4616" t="str">
            <v/>
          </cell>
          <cell r="K4616" t="str">
            <v/>
          </cell>
          <cell r="L4616" t="str">
            <v/>
          </cell>
          <cell r="M4616" t="str">
            <v/>
          </cell>
        </row>
        <row r="4617">
          <cell r="A4617">
            <v>31102192</v>
          </cell>
          <cell r="C4617">
            <v>31102192</v>
          </cell>
          <cell r="D4617">
            <v>31102192</v>
          </cell>
          <cell r="E4617">
            <v>31102192</v>
          </cell>
          <cell r="F4617">
            <v>31102192</v>
          </cell>
          <cell r="G4617">
            <v>31102192</v>
          </cell>
          <cell r="H4617">
            <v>31102192</v>
          </cell>
          <cell r="I4617" t="str">
            <v/>
          </cell>
          <cell r="J4617" t="str">
            <v/>
          </cell>
          <cell r="K4617" t="str">
            <v/>
          </cell>
          <cell r="L4617" t="str">
            <v/>
          </cell>
          <cell r="M4617" t="str">
            <v/>
          </cell>
        </row>
        <row r="4618">
          <cell r="A4618">
            <v>31102192</v>
          </cell>
          <cell r="C4618">
            <v>31102192</v>
          </cell>
          <cell r="D4618">
            <v>31102192</v>
          </cell>
          <cell r="E4618">
            <v>31102192</v>
          </cell>
          <cell r="F4618">
            <v>31102192</v>
          </cell>
          <cell r="G4618">
            <v>31102192</v>
          </cell>
          <cell r="H4618">
            <v>31102192</v>
          </cell>
          <cell r="I4618" t="str">
            <v/>
          </cell>
          <cell r="J4618" t="str">
            <v/>
          </cell>
          <cell r="K4618" t="str">
            <v/>
          </cell>
          <cell r="L4618" t="str">
            <v/>
          </cell>
          <cell r="M4618" t="str">
            <v/>
          </cell>
        </row>
        <row r="4619">
          <cell r="A4619">
            <v>31102192</v>
          </cell>
          <cell r="C4619">
            <v>31102192</v>
          </cell>
          <cell r="D4619">
            <v>31102192</v>
          </cell>
          <cell r="E4619">
            <v>31102192</v>
          </cell>
          <cell r="F4619">
            <v>31102192</v>
          </cell>
          <cell r="G4619">
            <v>31102192</v>
          </cell>
          <cell r="H4619">
            <v>31102192</v>
          </cell>
          <cell r="I4619" t="str">
            <v/>
          </cell>
          <cell r="J4619" t="str">
            <v/>
          </cell>
          <cell r="K4619" t="str">
            <v/>
          </cell>
          <cell r="L4619" t="str">
            <v/>
          </cell>
          <cell r="M4619" t="str">
            <v/>
          </cell>
        </row>
        <row r="4620">
          <cell r="A4620">
            <v>31102192</v>
          </cell>
          <cell r="C4620">
            <v>31102192</v>
          </cell>
          <cell r="D4620">
            <v>31102192</v>
          </cell>
          <cell r="E4620">
            <v>31102192</v>
          </cell>
          <cell r="F4620">
            <v>31102192</v>
          </cell>
          <cell r="G4620">
            <v>31102192</v>
          </cell>
          <cell r="H4620">
            <v>31102192</v>
          </cell>
          <cell r="I4620" t="str">
            <v/>
          </cell>
          <cell r="J4620" t="str">
            <v/>
          </cell>
          <cell r="K4620" t="str">
            <v/>
          </cell>
          <cell r="L4620" t="str">
            <v/>
          </cell>
          <cell r="M4620" t="str">
            <v/>
          </cell>
        </row>
        <row r="4621">
          <cell r="A4621">
            <v>31102192</v>
          </cell>
          <cell r="C4621">
            <v>31102192</v>
          </cell>
          <cell r="D4621">
            <v>31102192</v>
          </cell>
          <cell r="E4621">
            <v>31102192</v>
          </cell>
          <cell r="F4621">
            <v>31102192</v>
          </cell>
          <cell r="G4621">
            <v>31102192</v>
          </cell>
          <cell r="H4621">
            <v>31102192</v>
          </cell>
          <cell r="I4621" t="str">
            <v/>
          </cell>
          <cell r="J4621" t="str">
            <v/>
          </cell>
          <cell r="K4621" t="str">
            <v/>
          </cell>
          <cell r="L4621" t="str">
            <v/>
          </cell>
          <cell r="M4621" t="str">
            <v/>
          </cell>
        </row>
        <row r="4622">
          <cell r="A4622">
            <v>31102192</v>
          </cell>
          <cell r="C4622">
            <v>31102192</v>
          </cell>
          <cell r="D4622">
            <v>31102192</v>
          </cell>
          <cell r="E4622">
            <v>31102192</v>
          </cell>
          <cell r="F4622">
            <v>31102192</v>
          </cell>
          <cell r="G4622">
            <v>31102192</v>
          </cell>
          <cell r="H4622">
            <v>31102192</v>
          </cell>
          <cell r="I4622" t="str">
            <v/>
          </cell>
          <cell r="J4622" t="str">
            <v/>
          </cell>
          <cell r="K4622" t="str">
            <v/>
          </cell>
          <cell r="L4622" t="str">
            <v/>
          </cell>
          <cell r="M4622" t="str">
            <v/>
          </cell>
        </row>
        <row r="4623">
          <cell r="A4623">
            <v>31102192</v>
          </cell>
          <cell r="C4623">
            <v>31102192</v>
          </cell>
          <cell r="D4623">
            <v>31102192</v>
          </cell>
          <cell r="E4623">
            <v>31102192</v>
          </cell>
          <cell r="F4623">
            <v>31102192</v>
          </cell>
          <cell r="G4623">
            <v>31102192</v>
          </cell>
          <cell r="H4623">
            <v>31102192</v>
          </cell>
          <cell r="I4623" t="str">
            <v/>
          </cell>
          <cell r="J4623" t="str">
            <v/>
          </cell>
          <cell r="K4623" t="str">
            <v/>
          </cell>
          <cell r="L4623" t="str">
            <v/>
          </cell>
          <cell r="M4623" t="str">
            <v/>
          </cell>
        </row>
        <row r="4624">
          <cell r="A4624">
            <v>31102192</v>
          </cell>
          <cell r="C4624">
            <v>31102192</v>
          </cell>
          <cell r="D4624">
            <v>31102192</v>
          </cell>
          <cell r="E4624">
            <v>31102192</v>
          </cell>
          <cell r="F4624">
            <v>31102192</v>
          </cell>
          <cell r="G4624">
            <v>31102192</v>
          </cell>
          <cell r="H4624">
            <v>31102192</v>
          </cell>
          <cell r="I4624" t="str">
            <v/>
          </cell>
          <cell r="J4624" t="str">
            <v/>
          </cell>
          <cell r="K4624" t="str">
            <v/>
          </cell>
          <cell r="L4624" t="str">
            <v/>
          </cell>
          <cell r="M4624" t="str">
            <v/>
          </cell>
        </row>
        <row r="4625">
          <cell r="A4625">
            <v>31102192</v>
          </cell>
          <cell r="C4625">
            <v>31102192</v>
          </cell>
          <cell r="D4625">
            <v>31102192</v>
          </cell>
          <cell r="E4625">
            <v>31102192</v>
          </cell>
          <cell r="F4625">
            <v>31102192</v>
          </cell>
          <cell r="G4625">
            <v>31102192</v>
          </cell>
          <cell r="H4625">
            <v>31102192</v>
          </cell>
          <cell r="I4625" t="str">
            <v/>
          </cell>
          <cell r="J4625" t="str">
            <v/>
          </cell>
          <cell r="K4625" t="str">
            <v/>
          </cell>
          <cell r="L4625" t="str">
            <v/>
          </cell>
          <cell r="M4625" t="str">
            <v/>
          </cell>
        </row>
        <row r="4626">
          <cell r="A4626">
            <v>31102192</v>
          </cell>
          <cell r="C4626">
            <v>31102192</v>
          </cell>
          <cell r="D4626">
            <v>31102192</v>
          </cell>
          <cell r="E4626">
            <v>31102192</v>
          </cell>
          <cell r="F4626">
            <v>31102192</v>
          </cell>
          <cell r="G4626">
            <v>31102192</v>
          </cell>
          <cell r="H4626">
            <v>31102192</v>
          </cell>
          <cell r="I4626" t="str">
            <v/>
          </cell>
          <cell r="J4626" t="str">
            <v/>
          </cell>
          <cell r="K4626" t="str">
            <v/>
          </cell>
          <cell r="L4626" t="str">
            <v/>
          </cell>
          <cell r="M4626" t="str">
            <v/>
          </cell>
        </row>
        <row r="4627">
          <cell r="A4627">
            <v>31102192</v>
          </cell>
          <cell r="C4627">
            <v>31102192</v>
          </cell>
          <cell r="D4627">
            <v>31102192</v>
          </cell>
          <cell r="E4627">
            <v>31102192</v>
          </cell>
          <cell r="F4627">
            <v>31102192</v>
          </cell>
          <cell r="G4627">
            <v>31102192</v>
          </cell>
          <cell r="H4627">
            <v>31102192</v>
          </cell>
          <cell r="I4627" t="str">
            <v/>
          </cell>
          <cell r="J4627" t="str">
            <v/>
          </cell>
          <cell r="K4627" t="str">
            <v/>
          </cell>
          <cell r="L4627" t="str">
            <v/>
          </cell>
          <cell r="M4627" t="str">
            <v/>
          </cell>
        </row>
        <row r="4628">
          <cell r="A4628">
            <v>31102192</v>
          </cell>
          <cell r="C4628">
            <v>31102192</v>
          </cell>
          <cell r="D4628">
            <v>31102192</v>
          </cell>
          <cell r="E4628">
            <v>31102192</v>
          </cell>
          <cell r="F4628">
            <v>31102192</v>
          </cell>
          <cell r="G4628">
            <v>31102192</v>
          </cell>
          <cell r="H4628">
            <v>31102192</v>
          </cell>
          <cell r="I4628" t="str">
            <v/>
          </cell>
          <cell r="J4628" t="str">
            <v/>
          </cell>
          <cell r="K4628" t="str">
            <v/>
          </cell>
          <cell r="L4628" t="str">
            <v/>
          </cell>
          <cell r="M4628" t="str">
            <v/>
          </cell>
        </row>
        <row r="4629">
          <cell r="A4629">
            <v>31102192</v>
          </cell>
          <cell r="C4629">
            <v>31102192</v>
          </cell>
          <cell r="D4629">
            <v>31102192</v>
          </cell>
          <cell r="E4629">
            <v>31102192</v>
          </cell>
          <cell r="F4629">
            <v>31102192</v>
          </cell>
          <cell r="G4629">
            <v>31102192</v>
          </cell>
          <cell r="H4629">
            <v>31102192</v>
          </cell>
          <cell r="I4629" t="str">
            <v/>
          </cell>
          <cell r="J4629" t="str">
            <v/>
          </cell>
          <cell r="K4629" t="str">
            <v/>
          </cell>
          <cell r="L4629" t="str">
            <v/>
          </cell>
          <cell r="M4629" t="str">
            <v/>
          </cell>
        </row>
        <row r="4630">
          <cell r="A4630">
            <v>31102192</v>
          </cell>
          <cell r="C4630">
            <v>31102192</v>
          </cell>
          <cell r="D4630">
            <v>31102192</v>
          </cell>
          <cell r="E4630">
            <v>31102192</v>
          </cell>
          <cell r="F4630">
            <v>31102192</v>
          </cell>
          <cell r="G4630">
            <v>31102192</v>
          </cell>
          <cell r="H4630">
            <v>31102192</v>
          </cell>
          <cell r="I4630" t="str">
            <v/>
          </cell>
          <cell r="J4630" t="str">
            <v/>
          </cell>
          <cell r="K4630" t="str">
            <v/>
          </cell>
          <cell r="L4630" t="str">
            <v/>
          </cell>
          <cell r="M4630" t="str">
            <v/>
          </cell>
        </row>
        <row r="4631">
          <cell r="A4631">
            <v>31102192</v>
          </cell>
          <cell r="C4631">
            <v>31102192</v>
          </cell>
          <cell r="D4631">
            <v>31102192</v>
          </cell>
          <cell r="E4631">
            <v>31102192</v>
          </cell>
          <cell r="F4631">
            <v>31102192</v>
          </cell>
          <cell r="G4631">
            <v>31102192</v>
          </cell>
          <cell r="H4631">
            <v>31102192</v>
          </cell>
          <cell r="I4631" t="str">
            <v/>
          </cell>
          <cell r="J4631" t="str">
            <v/>
          </cell>
          <cell r="K4631" t="str">
            <v/>
          </cell>
          <cell r="L4631" t="str">
            <v/>
          </cell>
          <cell r="M4631" t="str">
            <v/>
          </cell>
        </row>
        <row r="4632">
          <cell r="A4632">
            <v>31102192</v>
          </cell>
          <cell r="C4632">
            <v>31102192</v>
          </cell>
          <cell r="D4632">
            <v>31102192</v>
          </cell>
          <cell r="E4632">
            <v>31102192</v>
          </cell>
          <cell r="F4632">
            <v>31102192</v>
          </cell>
          <cell r="G4632">
            <v>31102192</v>
          </cell>
          <cell r="H4632">
            <v>31102192</v>
          </cell>
          <cell r="I4632" t="str">
            <v/>
          </cell>
          <cell r="J4632" t="str">
            <v/>
          </cell>
          <cell r="K4632" t="str">
            <v/>
          </cell>
          <cell r="L4632" t="str">
            <v/>
          </cell>
          <cell r="M4632" t="str">
            <v/>
          </cell>
        </row>
        <row r="4633">
          <cell r="A4633">
            <v>31102192</v>
          </cell>
          <cell r="C4633">
            <v>31102192</v>
          </cell>
          <cell r="D4633">
            <v>31102192</v>
          </cell>
          <cell r="E4633">
            <v>31102192</v>
          </cell>
          <cell r="F4633">
            <v>31102192</v>
          </cell>
          <cell r="G4633">
            <v>31102192</v>
          </cell>
          <cell r="H4633">
            <v>31102192</v>
          </cell>
          <cell r="I4633" t="str">
            <v/>
          </cell>
          <cell r="J4633" t="str">
            <v/>
          </cell>
          <cell r="K4633" t="str">
            <v/>
          </cell>
          <cell r="L4633" t="str">
            <v/>
          </cell>
          <cell r="M4633" t="str">
            <v/>
          </cell>
        </row>
        <row r="4634">
          <cell r="A4634">
            <v>31102192</v>
          </cell>
          <cell r="C4634">
            <v>31102192</v>
          </cell>
          <cell r="D4634">
            <v>31102192</v>
          </cell>
          <cell r="E4634">
            <v>31102192</v>
          </cell>
          <cell r="F4634">
            <v>31102192</v>
          </cell>
          <cell r="G4634">
            <v>31102192</v>
          </cell>
          <cell r="H4634">
            <v>31102192</v>
          </cell>
          <cell r="I4634" t="str">
            <v/>
          </cell>
          <cell r="J4634" t="str">
            <v/>
          </cell>
          <cell r="K4634" t="str">
            <v/>
          </cell>
          <cell r="L4634" t="str">
            <v/>
          </cell>
          <cell r="M4634" t="str">
            <v/>
          </cell>
        </row>
        <row r="4635">
          <cell r="A4635">
            <v>31102192</v>
          </cell>
          <cell r="C4635">
            <v>31102192</v>
          </cell>
          <cell r="D4635">
            <v>31102192</v>
          </cell>
          <cell r="E4635">
            <v>31102192</v>
          </cell>
          <cell r="F4635">
            <v>31102192</v>
          </cell>
          <cell r="G4635">
            <v>31102192</v>
          </cell>
          <cell r="H4635">
            <v>31102192</v>
          </cell>
          <cell r="I4635" t="str">
            <v/>
          </cell>
          <cell r="J4635" t="str">
            <v/>
          </cell>
          <cell r="K4635" t="str">
            <v/>
          </cell>
          <cell r="L4635" t="str">
            <v/>
          </cell>
          <cell r="M4635" t="str">
            <v/>
          </cell>
        </row>
        <row r="4636">
          <cell r="A4636">
            <v>31102192</v>
          </cell>
          <cell r="C4636">
            <v>31102192</v>
          </cell>
          <cell r="D4636">
            <v>31102192</v>
          </cell>
          <cell r="E4636">
            <v>31102192</v>
          </cell>
          <cell r="F4636">
            <v>31102192</v>
          </cell>
          <cell r="G4636">
            <v>31102192</v>
          </cell>
          <cell r="H4636">
            <v>31102192</v>
          </cell>
          <cell r="I4636" t="str">
            <v/>
          </cell>
          <cell r="J4636" t="str">
            <v/>
          </cell>
          <cell r="K4636" t="str">
            <v/>
          </cell>
          <cell r="L4636" t="str">
            <v/>
          </cell>
          <cell r="M4636" t="str">
            <v/>
          </cell>
        </row>
        <row r="4637">
          <cell r="A4637">
            <v>31102192</v>
          </cell>
          <cell r="C4637">
            <v>31102192</v>
          </cell>
          <cell r="D4637">
            <v>31102192</v>
          </cell>
          <cell r="E4637">
            <v>31102192</v>
          </cell>
          <cell r="F4637">
            <v>31102192</v>
          </cell>
          <cell r="G4637">
            <v>31102192</v>
          </cell>
          <cell r="H4637">
            <v>31102192</v>
          </cell>
          <cell r="I4637" t="str">
            <v/>
          </cell>
          <cell r="J4637" t="str">
            <v/>
          </cell>
          <cell r="K4637" t="str">
            <v/>
          </cell>
          <cell r="L4637" t="str">
            <v/>
          </cell>
          <cell r="M4637" t="str">
            <v/>
          </cell>
        </row>
        <row r="4638">
          <cell r="A4638">
            <v>31102192</v>
          </cell>
          <cell r="C4638">
            <v>31102192</v>
          </cell>
          <cell r="D4638">
            <v>31102192</v>
          </cell>
          <cell r="E4638">
            <v>31102192</v>
          </cell>
          <cell r="F4638">
            <v>31102192</v>
          </cell>
          <cell r="G4638">
            <v>31102192</v>
          </cell>
          <cell r="H4638">
            <v>31102192</v>
          </cell>
          <cell r="I4638" t="str">
            <v/>
          </cell>
          <cell r="J4638" t="str">
            <v/>
          </cell>
          <cell r="K4638" t="str">
            <v/>
          </cell>
          <cell r="L4638" t="str">
            <v/>
          </cell>
          <cell r="M4638" t="str">
            <v/>
          </cell>
        </row>
        <row r="4639">
          <cell r="A4639">
            <v>31102192</v>
          </cell>
          <cell r="C4639">
            <v>31102192</v>
          </cell>
          <cell r="D4639">
            <v>31102192</v>
          </cell>
          <cell r="E4639">
            <v>31102192</v>
          </cell>
          <cell r="F4639">
            <v>31102192</v>
          </cell>
          <cell r="G4639">
            <v>31102192</v>
          </cell>
          <cell r="H4639">
            <v>31102192</v>
          </cell>
          <cell r="I4639" t="str">
            <v/>
          </cell>
          <cell r="J4639" t="str">
            <v/>
          </cell>
          <cell r="K4639" t="str">
            <v/>
          </cell>
          <cell r="L4639" t="str">
            <v/>
          </cell>
          <cell r="M4639" t="str">
            <v/>
          </cell>
        </row>
        <row r="4640">
          <cell r="A4640">
            <v>31102192</v>
          </cell>
          <cell r="C4640">
            <v>31102192</v>
          </cell>
          <cell r="D4640">
            <v>31102192</v>
          </cell>
          <cell r="E4640">
            <v>31102192</v>
          </cell>
          <cell r="F4640">
            <v>31102192</v>
          </cell>
          <cell r="G4640">
            <v>31102192</v>
          </cell>
          <cell r="H4640">
            <v>31102192</v>
          </cell>
          <cell r="I4640" t="str">
            <v/>
          </cell>
          <cell r="J4640" t="str">
            <v/>
          </cell>
          <cell r="K4640" t="str">
            <v/>
          </cell>
          <cell r="L4640" t="str">
            <v/>
          </cell>
          <cell r="M4640" t="str">
            <v/>
          </cell>
        </row>
        <row r="4641">
          <cell r="A4641">
            <v>31102192</v>
          </cell>
          <cell r="C4641">
            <v>31102192</v>
          </cell>
          <cell r="D4641">
            <v>31102192</v>
          </cell>
          <cell r="E4641">
            <v>31102192</v>
          </cell>
          <cell r="F4641">
            <v>31102192</v>
          </cell>
          <cell r="G4641">
            <v>31102192</v>
          </cell>
          <cell r="H4641">
            <v>31102192</v>
          </cell>
          <cell r="I4641" t="str">
            <v/>
          </cell>
          <cell r="J4641" t="str">
            <v/>
          </cell>
          <cell r="K4641" t="str">
            <v/>
          </cell>
          <cell r="L4641" t="str">
            <v/>
          </cell>
          <cell r="M4641" t="str">
            <v/>
          </cell>
        </row>
        <row r="4642">
          <cell r="A4642">
            <v>31102192</v>
          </cell>
          <cell r="C4642">
            <v>31102192</v>
          </cell>
          <cell r="D4642">
            <v>31102192</v>
          </cell>
          <cell r="E4642">
            <v>31102192</v>
          </cell>
          <cell r="F4642">
            <v>31102192</v>
          </cell>
          <cell r="G4642">
            <v>31102192</v>
          </cell>
          <cell r="H4642">
            <v>31102192</v>
          </cell>
          <cell r="I4642" t="str">
            <v/>
          </cell>
          <cell r="J4642" t="str">
            <v/>
          </cell>
          <cell r="K4642" t="str">
            <v/>
          </cell>
          <cell r="L4642" t="str">
            <v/>
          </cell>
          <cell r="M4642" t="str">
            <v/>
          </cell>
        </row>
        <row r="4643">
          <cell r="A4643">
            <v>31102192</v>
          </cell>
          <cell r="C4643">
            <v>31102192</v>
          </cell>
          <cell r="D4643">
            <v>31102192</v>
          </cell>
          <cell r="E4643">
            <v>31102192</v>
          </cell>
          <cell r="F4643">
            <v>31102192</v>
          </cell>
          <cell r="G4643">
            <v>31102192</v>
          </cell>
          <cell r="H4643">
            <v>31102192</v>
          </cell>
          <cell r="I4643" t="str">
            <v/>
          </cell>
          <cell r="J4643" t="str">
            <v/>
          </cell>
          <cell r="K4643" t="str">
            <v/>
          </cell>
          <cell r="L4643" t="str">
            <v/>
          </cell>
          <cell r="M4643" t="str">
            <v/>
          </cell>
        </row>
        <row r="4644">
          <cell r="A4644">
            <v>31102192</v>
          </cell>
          <cell r="C4644">
            <v>31102192</v>
          </cell>
          <cell r="D4644">
            <v>31102192</v>
          </cell>
          <cell r="E4644">
            <v>31102192</v>
          </cell>
          <cell r="F4644">
            <v>31102192</v>
          </cell>
          <cell r="G4644">
            <v>31102192</v>
          </cell>
          <cell r="H4644">
            <v>31102192</v>
          </cell>
          <cell r="I4644" t="str">
            <v/>
          </cell>
          <cell r="J4644" t="str">
            <v/>
          </cell>
          <cell r="K4644" t="str">
            <v/>
          </cell>
          <cell r="L4644" t="str">
            <v/>
          </cell>
          <cell r="M4644" t="str">
            <v/>
          </cell>
        </row>
        <row r="4645">
          <cell r="A4645">
            <v>31102192</v>
          </cell>
          <cell r="C4645">
            <v>31102192</v>
          </cell>
          <cell r="D4645">
            <v>31102192</v>
          </cell>
          <cell r="E4645">
            <v>31102192</v>
          </cell>
          <cell r="F4645">
            <v>31102192</v>
          </cell>
          <cell r="G4645">
            <v>31102192</v>
          </cell>
          <cell r="H4645">
            <v>31102192</v>
          </cell>
          <cell r="I4645" t="str">
            <v/>
          </cell>
          <cell r="J4645" t="str">
            <v/>
          </cell>
          <cell r="K4645" t="str">
            <v/>
          </cell>
          <cell r="L4645" t="str">
            <v/>
          </cell>
          <cell r="M4645" t="str">
            <v/>
          </cell>
        </row>
        <row r="4646">
          <cell r="A4646">
            <v>31102192</v>
          </cell>
          <cell r="C4646">
            <v>31102192</v>
          </cell>
          <cell r="D4646">
            <v>31102192</v>
          </cell>
          <cell r="E4646">
            <v>31102192</v>
          </cell>
          <cell r="F4646">
            <v>31102192</v>
          </cell>
          <cell r="G4646">
            <v>31102192</v>
          </cell>
          <cell r="H4646">
            <v>31102192</v>
          </cell>
          <cell r="I4646" t="str">
            <v/>
          </cell>
          <cell r="J4646" t="str">
            <v/>
          </cell>
          <cell r="K4646" t="str">
            <v/>
          </cell>
          <cell r="L4646" t="str">
            <v/>
          </cell>
          <cell r="M4646" t="str">
            <v/>
          </cell>
        </row>
        <row r="4647">
          <cell r="A4647">
            <v>31102192</v>
          </cell>
          <cell r="C4647">
            <v>31102192</v>
          </cell>
          <cell r="D4647">
            <v>31102192</v>
          </cell>
          <cell r="E4647">
            <v>31102192</v>
          </cell>
          <cell r="F4647">
            <v>31102192</v>
          </cell>
          <cell r="G4647">
            <v>31102192</v>
          </cell>
          <cell r="H4647">
            <v>31102192</v>
          </cell>
          <cell r="I4647" t="str">
            <v/>
          </cell>
          <cell r="J4647" t="str">
            <v/>
          </cell>
          <cell r="K4647" t="str">
            <v/>
          </cell>
          <cell r="L4647" t="str">
            <v/>
          </cell>
          <cell r="M4647" t="str">
            <v/>
          </cell>
        </row>
        <row r="4648">
          <cell r="A4648">
            <v>31102192</v>
          </cell>
          <cell r="C4648">
            <v>31102192</v>
          </cell>
          <cell r="D4648">
            <v>31102192</v>
          </cell>
          <cell r="E4648">
            <v>31102192</v>
          </cell>
          <cell r="F4648">
            <v>31102192</v>
          </cell>
          <cell r="G4648">
            <v>31102192</v>
          </cell>
          <cell r="H4648">
            <v>31102192</v>
          </cell>
          <cell r="I4648" t="str">
            <v/>
          </cell>
          <cell r="J4648" t="str">
            <v/>
          </cell>
          <cell r="K4648" t="str">
            <v/>
          </cell>
          <cell r="L4648" t="str">
            <v/>
          </cell>
          <cell r="M4648" t="str">
            <v/>
          </cell>
        </row>
        <row r="4649">
          <cell r="A4649">
            <v>31102192</v>
          </cell>
          <cell r="C4649">
            <v>31102192</v>
          </cell>
          <cell r="D4649">
            <v>31102192</v>
          </cell>
          <cell r="E4649">
            <v>31102192</v>
          </cell>
          <cell r="F4649">
            <v>31102192</v>
          </cell>
          <cell r="G4649">
            <v>31102192</v>
          </cell>
          <cell r="H4649">
            <v>31102192</v>
          </cell>
          <cell r="I4649" t="str">
            <v/>
          </cell>
          <cell r="J4649" t="str">
            <v/>
          </cell>
          <cell r="K4649" t="str">
            <v/>
          </cell>
          <cell r="L4649" t="str">
            <v/>
          </cell>
          <cell r="M4649" t="str">
            <v/>
          </cell>
        </row>
        <row r="4650">
          <cell r="A4650">
            <v>31102192</v>
          </cell>
          <cell r="C4650">
            <v>31102192</v>
          </cell>
          <cell r="D4650">
            <v>31102192</v>
          </cell>
          <cell r="E4650">
            <v>31102192</v>
          </cell>
          <cell r="F4650">
            <v>31102192</v>
          </cell>
          <cell r="G4650">
            <v>31102192</v>
          </cell>
          <cell r="H4650">
            <v>31102192</v>
          </cell>
          <cell r="I4650" t="str">
            <v/>
          </cell>
          <cell r="J4650" t="str">
            <v/>
          </cell>
          <cell r="K4650" t="str">
            <v/>
          </cell>
          <cell r="L4650" t="str">
            <v/>
          </cell>
          <cell r="M4650" t="str">
            <v/>
          </cell>
        </row>
        <row r="4651">
          <cell r="A4651">
            <v>31102192</v>
          </cell>
          <cell r="C4651">
            <v>31102192</v>
          </cell>
          <cell r="D4651">
            <v>31102192</v>
          </cell>
          <cell r="E4651">
            <v>31102192</v>
          </cell>
          <cell r="F4651">
            <v>31102192</v>
          </cell>
          <cell r="G4651">
            <v>31102192</v>
          </cell>
          <cell r="H4651">
            <v>31102192</v>
          </cell>
          <cell r="I4651" t="str">
            <v/>
          </cell>
          <cell r="J4651" t="str">
            <v/>
          </cell>
          <cell r="K4651" t="str">
            <v/>
          </cell>
          <cell r="L4651" t="str">
            <v/>
          </cell>
          <cell r="M4651" t="str">
            <v/>
          </cell>
        </row>
        <row r="4652">
          <cell r="A4652">
            <v>31102192</v>
          </cell>
          <cell r="C4652">
            <v>31102192</v>
          </cell>
          <cell r="D4652">
            <v>31102192</v>
          </cell>
          <cell r="E4652">
            <v>31102192</v>
          </cell>
          <cell r="F4652">
            <v>31102192</v>
          </cell>
          <cell r="G4652">
            <v>31102192</v>
          </cell>
          <cell r="H4652">
            <v>31102192</v>
          </cell>
          <cell r="I4652" t="str">
            <v/>
          </cell>
          <cell r="J4652" t="str">
            <v/>
          </cell>
          <cell r="K4652" t="str">
            <v/>
          </cell>
          <cell r="L4652" t="str">
            <v/>
          </cell>
          <cell r="M4652" t="str">
            <v/>
          </cell>
        </row>
        <row r="4653">
          <cell r="A4653">
            <v>31102192</v>
          </cell>
          <cell r="C4653">
            <v>31102192</v>
          </cell>
          <cell r="D4653">
            <v>31102192</v>
          </cell>
          <cell r="E4653">
            <v>31102192</v>
          </cell>
          <cell r="F4653">
            <v>31102192</v>
          </cell>
          <cell r="G4653">
            <v>31102192</v>
          </cell>
          <cell r="H4653">
            <v>31102192</v>
          </cell>
          <cell r="I4653" t="str">
            <v/>
          </cell>
          <cell r="J4653" t="str">
            <v/>
          </cell>
          <cell r="K4653" t="str">
            <v/>
          </cell>
          <cell r="L4653" t="str">
            <v/>
          </cell>
          <cell r="M4653" t="str">
            <v/>
          </cell>
        </row>
        <row r="4654">
          <cell r="A4654">
            <v>31102192</v>
          </cell>
          <cell r="C4654">
            <v>31102192</v>
          </cell>
          <cell r="D4654">
            <v>31102192</v>
          </cell>
          <cell r="E4654">
            <v>31102192</v>
          </cell>
          <cell r="F4654">
            <v>31102192</v>
          </cell>
          <cell r="G4654">
            <v>31102192</v>
          </cell>
          <cell r="H4654">
            <v>31102192</v>
          </cell>
          <cell r="I4654" t="str">
            <v/>
          </cell>
          <cell r="J4654" t="str">
            <v/>
          </cell>
          <cell r="K4654" t="str">
            <v/>
          </cell>
          <cell r="L4654" t="str">
            <v/>
          </cell>
          <cell r="M4654" t="str">
            <v/>
          </cell>
        </row>
        <row r="4655">
          <cell r="A4655">
            <v>31102192</v>
          </cell>
          <cell r="C4655">
            <v>31102192</v>
          </cell>
          <cell r="D4655">
            <v>31102192</v>
          </cell>
          <cell r="E4655">
            <v>31102192</v>
          </cell>
          <cell r="F4655">
            <v>31102192</v>
          </cell>
          <cell r="G4655">
            <v>31102192</v>
          </cell>
          <cell r="H4655">
            <v>31102192</v>
          </cell>
          <cell r="I4655" t="str">
            <v/>
          </cell>
          <cell r="J4655" t="str">
            <v/>
          </cell>
          <cell r="K4655" t="str">
            <v/>
          </cell>
          <cell r="L4655" t="str">
            <v/>
          </cell>
          <cell r="M4655" t="str">
            <v/>
          </cell>
        </row>
        <row r="4656">
          <cell r="A4656">
            <v>31102192</v>
          </cell>
          <cell r="C4656">
            <v>31102192</v>
          </cell>
          <cell r="D4656">
            <v>31102192</v>
          </cell>
          <cell r="E4656">
            <v>31102192</v>
          </cell>
          <cell r="F4656">
            <v>31102192</v>
          </cell>
          <cell r="G4656">
            <v>31102192</v>
          </cell>
          <cell r="H4656">
            <v>31102192</v>
          </cell>
          <cell r="I4656" t="str">
            <v/>
          </cell>
          <cell r="J4656" t="str">
            <v/>
          </cell>
          <cell r="K4656" t="str">
            <v/>
          </cell>
          <cell r="L4656" t="str">
            <v/>
          </cell>
          <cell r="M4656" t="str">
            <v/>
          </cell>
        </row>
        <row r="4657">
          <cell r="A4657">
            <v>31102192</v>
          </cell>
          <cell r="C4657">
            <v>31102192</v>
          </cell>
          <cell r="D4657">
            <v>31102192</v>
          </cell>
          <cell r="E4657">
            <v>31102192</v>
          </cell>
          <cell r="F4657">
            <v>31102192</v>
          </cell>
          <cell r="G4657">
            <v>31102192</v>
          </cell>
          <cell r="H4657">
            <v>31102192</v>
          </cell>
          <cell r="I4657" t="str">
            <v/>
          </cell>
          <cell r="J4657" t="str">
            <v/>
          </cell>
          <cell r="K4657" t="str">
            <v/>
          </cell>
          <cell r="L4657" t="str">
            <v/>
          </cell>
          <cell r="M4657" t="str">
            <v/>
          </cell>
        </row>
        <row r="4658">
          <cell r="A4658">
            <v>31102192</v>
          </cell>
          <cell r="C4658">
            <v>31102192</v>
          </cell>
          <cell r="D4658">
            <v>31102192</v>
          </cell>
          <cell r="E4658">
            <v>31102192</v>
          </cell>
          <cell r="F4658">
            <v>31102192</v>
          </cell>
          <cell r="G4658">
            <v>31102192</v>
          </cell>
          <cell r="H4658">
            <v>31102192</v>
          </cell>
          <cell r="I4658" t="str">
            <v/>
          </cell>
          <cell r="J4658" t="str">
            <v/>
          </cell>
          <cell r="K4658" t="str">
            <v/>
          </cell>
          <cell r="L4658" t="str">
            <v/>
          </cell>
          <cell r="M4658" t="str">
            <v/>
          </cell>
        </row>
        <row r="4659">
          <cell r="A4659">
            <v>31102192</v>
          </cell>
          <cell r="C4659">
            <v>31102192</v>
          </cell>
          <cell r="D4659">
            <v>31102192</v>
          </cell>
          <cell r="E4659">
            <v>31102192</v>
          </cell>
          <cell r="F4659">
            <v>31102192</v>
          </cell>
          <cell r="G4659">
            <v>31102192</v>
          </cell>
          <cell r="H4659">
            <v>31102192</v>
          </cell>
          <cell r="I4659" t="str">
            <v/>
          </cell>
          <cell r="J4659" t="str">
            <v/>
          </cell>
          <cell r="K4659" t="str">
            <v/>
          </cell>
          <cell r="L4659" t="str">
            <v/>
          </cell>
          <cell r="M4659" t="str">
            <v/>
          </cell>
        </row>
        <row r="4660">
          <cell r="A4660">
            <v>31102192</v>
          </cell>
          <cell r="C4660">
            <v>31102192</v>
          </cell>
          <cell r="D4660">
            <v>31102192</v>
          </cell>
          <cell r="E4660">
            <v>31102192</v>
          </cell>
          <cell r="F4660">
            <v>31102192</v>
          </cell>
          <cell r="G4660">
            <v>31102192</v>
          </cell>
          <cell r="H4660">
            <v>31102192</v>
          </cell>
          <cell r="I4660" t="str">
            <v/>
          </cell>
          <cell r="J4660" t="str">
            <v/>
          </cell>
          <cell r="K4660" t="str">
            <v/>
          </cell>
          <cell r="L4660" t="str">
            <v/>
          </cell>
          <cell r="M4660" t="str">
            <v/>
          </cell>
        </row>
        <row r="4661">
          <cell r="A4661">
            <v>31102192</v>
          </cell>
          <cell r="C4661">
            <v>31102192</v>
          </cell>
          <cell r="D4661">
            <v>31102192</v>
          </cell>
          <cell r="E4661">
            <v>31102192</v>
          </cell>
          <cell r="F4661">
            <v>31102192</v>
          </cell>
          <cell r="G4661">
            <v>31102192</v>
          </cell>
          <cell r="H4661">
            <v>31102192</v>
          </cell>
          <cell r="I4661" t="str">
            <v/>
          </cell>
          <cell r="J4661" t="str">
            <v/>
          </cell>
          <cell r="K4661" t="str">
            <v/>
          </cell>
          <cell r="L4661" t="str">
            <v/>
          </cell>
          <cell r="M4661" t="str">
            <v/>
          </cell>
        </row>
        <row r="4662">
          <cell r="A4662">
            <v>31102192</v>
          </cell>
          <cell r="C4662">
            <v>31102192</v>
          </cell>
          <cell r="D4662">
            <v>31102192</v>
          </cell>
          <cell r="E4662">
            <v>31102192</v>
          </cell>
          <cell r="F4662">
            <v>31102192</v>
          </cell>
          <cell r="G4662">
            <v>31102192</v>
          </cell>
          <cell r="H4662">
            <v>31102192</v>
          </cell>
          <cell r="I4662" t="str">
            <v/>
          </cell>
          <cell r="J4662" t="str">
            <v/>
          </cell>
          <cell r="K4662" t="str">
            <v/>
          </cell>
          <cell r="L4662" t="str">
            <v/>
          </cell>
          <cell r="M4662" t="str">
            <v/>
          </cell>
        </row>
        <row r="4663">
          <cell r="A4663">
            <v>31102192</v>
          </cell>
          <cell r="C4663">
            <v>31102192</v>
          </cell>
          <cell r="D4663">
            <v>31102192</v>
          </cell>
          <cell r="E4663">
            <v>31102192</v>
          </cell>
          <cell r="F4663">
            <v>31102192</v>
          </cell>
          <cell r="G4663">
            <v>31102192</v>
          </cell>
          <cell r="H4663">
            <v>31102192</v>
          </cell>
          <cell r="I4663" t="str">
            <v/>
          </cell>
          <cell r="J4663" t="str">
            <v/>
          </cell>
          <cell r="K4663" t="str">
            <v/>
          </cell>
          <cell r="L4663" t="str">
            <v/>
          </cell>
          <cell r="M4663" t="str">
            <v/>
          </cell>
        </row>
        <row r="4664">
          <cell r="A4664">
            <v>31102192</v>
          </cell>
          <cell r="C4664">
            <v>31102192</v>
          </cell>
          <cell r="D4664">
            <v>31102192</v>
          </cell>
          <cell r="E4664">
            <v>31102192</v>
          </cell>
          <cell r="F4664">
            <v>31102192</v>
          </cell>
          <cell r="G4664">
            <v>31102192</v>
          </cell>
          <cell r="H4664">
            <v>31102192</v>
          </cell>
          <cell r="I4664" t="str">
            <v/>
          </cell>
          <cell r="J4664" t="str">
            <v/>
          </cell>
          <cell r="K4664" t="str">
            <v/>
          </cell>
          <cell r="L4664" t="str">
            <v/>
          </cell>
          <cell r="M4664" t="str">
            <v/>
          </cell>
        </row>
        <row r="4665">
          <cell r="A4665">
            <v>31102192</v>
          </cell>
          <cell r="C4665">
            <v>31102192</v>
          </cell>
          <cell r="D4665">
            <v>31102192</v>
          </cell>
          <cell r="E4665">
            <v>31102192</v>
          </cell>
          <cell r="F4665">
            <v>31102192</v>
          </cell>
          <cell r="G4665">
            <v>31102192</v>
          </cell>
          <cell r="H4665">
            <v>31102192</v>
          </cell>
          <cell r="I4665" t="str">
            <v/>
          </cell>
          <cell r="J4665" t="str">
            <v/>
          </cell>
          <cell r="K4665" t="str">
            <v/>
          </cell>
          <cell r="L4665" t="str">
            <v/>
          </cell>
          <cell r="M4665" t="str">
            <v/>
          </cell>
        </row>
        <row r="4666">
          <cell r="A4666">
            <v>31102192</v>
          </cell>
          <cell r="C4666">
            <v>31102192</v>
          </cell>
          <cell r="D4666">
            <v>31102192</v>
          </cell>
          <cell r="E4666">
            <v>31102192</v>
          </cell>
          <cell r="F4666">
            <v>31102192</v>
          </cell>
          <cell r="G4666">
            <v>31102192</v>
          </cell>
          <cell r="H4666">
            <v>31102192</v>
          </cell>
          <cell r="I4666" t="str">
            <v/>
          </cell>
          <cell r="J4666" t="str">
            <v/>
          </cell>
          <cell r="K4666" t="str">
            <v/>
          </cell>
          <cell r="L4666" t="str">
            <v/>
          </cell>
          <cell r="M4666" t="str">
            <v/>
          </cell>
        </row>
        <row r="4667">
          <cell r="A4667">
            <v>31102192</v>
          </cell>
          <cell r="C4667">
            <v>31102192</v>
          </cell>
          <cell r="D4667">
            <v>31102192</v>
          </cell>
          <cell r="E4667">
            <v>31102192</v>
          </cell>
          <cell r="F4667">
            <v>31102192</v>
          </cell>
          <cell r="G4667">
            <v>31102192</v>
          </cell>
          <cell r="H4667">
            <v>31102192</v>
          </cell>
          <cell r="I4667" t="str">
            <v/>
          </cell>
          <cell r="J4667" t="str">
            <v/>
          </cell>
          <cell r="K4667" t="str">
            <v/>
          </cell>
          <cell r="L4667" t="str">
            <v/>
          </cell>
          <cell r="M4667" t="str">
            <v/>
          </cell>
        </row>
        <row r="4668">
          <cell r="A4668">
            <v>31102192</v>
          </cell>
          <cell r="C4668">
            <v>31102192</v>
          </cell>
          <cell r="D4668">
            <v>31102192</v>
          </cell>
          <cell r="E4668">
            <v>31102192</v>
          </cell>
          <cell r="F4668">
            <v>31102192</v>
          </cell>
          <cell r="G4668">
            <v>31102192</v>
          </cell>
          <cell r="H4668">
            <v>31102192</v>
          </cell>
          <cell r="I4668" t="str">
            <v/>
          </cell>
          <cell r="J4668" t="str">
            <v/>
          </cell>
          <cell r="K4668" t="str">
            <v/>
          </cell>
          <cell r="L4668" t="str">
            <v/>
          </cell>
          <cell r="M4668" t="str">
            <v/>
          </cell>
        </row>
        <row r="4669">
          <cell r="A4669">
            <v>31102192</v>
          </cell>
          <cell r="C4669">
            <v>31102192</v>
          </cell>
          <cell r="D4669">
            <v>31102192</v>
          </cell>
          <cell r="E4669">
            <v>31102192</v>
          </cell>
          <cell r="F4669">
            <v>31102192</v>
          </cell>
          <cell r="G4669">
            <v>31102192</v>
          </cell>
          <cell r="H4669">
            <v>31102192</v>
          </cell>
          <cell r="I4669" t="str">
            <v/>
          </cell>
          <cell r="J4669" t="str">
            <v/>
          </cell>
          <cell r="K4669" t="str">
            <v/>
          </cell>
          <cell r="L4669" t="str">
            <v/>
          </cell>
          <cell r="M4669" t="str">
            <v/>
          </cell>
        </row>
        <row r="4670">
          <cell r="A4670">
            <v>31102192</v>
          </cell>
          <cell r="C4670">
            <v>31102192</v>
          </cell>
          <cell r="D4670">
            <v>31102192</v>
          </cell>
          <cell r="E4670">
            <v>31102192</v>
          </cell>
          <cell r="F4670">
            <v>31102192</v>
          </cell>
          <cell r="G4670">
            <v>31102192</v>
          </cell>
          <cell r="H4670">
            <v>31102192</v>
          </cell>
          <cell r="I4670" t="str">
            <v/>
          </cell>
          <cell r="J4670" t="str">
            <v/>
          </cell>
          <cell r="K4670" t="str">
            <v/>
          </cell>
          <cell r="L4670" t="str">
            <v/>
          </cell>
          <cell r="M4670" t="str">
            <v/>
          </cell>
        </row>
        <row r="4671">
          <cell r="A4671">
            <v>31102192</v>
          </cell>
          <cell r="C4671">
            <v>31102192</v>
          </cell>
          <cell r="D4671">
            <v>31102192</v>
          </cell>
          <cell r="E4671">
            <v>31102192</v>
          </cell>
          <cell r="F4671">
            <v>31102192</v>
          </cell>
          <cell r="G4671">
            <v>31102192</v>
          </cell>
          <cell r="H4671">
            <v>31102192</v>
          </cell>
          <cell r="I4671" t="str">
            <v/>
          </cell>
          <cell r="J4671" t="str">
            <v/>
          </cell>
          <cell r="K4671" t="str">
            <v/>
          </cell>
          <cell r="L4671" t="str">
            <v/>
          </cell>
          <cell r="M4671" t="str">
            <v/>
          </cell>
        </row>
        <row r="4672">
          <cell r="A4672">
            <v>31102192</v>
          </cell>
          <cell r="C4672">
            <v>31102192</v>
          </cell>
          <cell r="D4672">
            <v>31102192</v>
          </cell>
          <cell r="E4672">
            <v>31102192</v>
          </cell>
          <cell r="F4672">
            <v>31102192</v>
          </cell>
          <cell r="G4672">
            <v>31102192</v>
          </cell>
          <cell r="H4672">
            <v>31102192</v>
          </cell>
          <cell r="I4672" t="str">
            <v/>
          </cell>
          <cell r="J4672" t="str">
            <v/>
          </cell>
          <cell r="K4672" t="str">
            <v/>
          </cell>
          <cell r="L4672" t="str">
            <v/>
          </cell>
          <cell r="M4672" t="str">
            <v/>
          </cell>
        </row>
        <row r="4673">
          <cell r="A4673">
            <v>31102192</v>
          </cell>
          <cell r="C4673">
            <v>31102192</v>
          </cell>
          <cell r="D4673">
            <v>31102192</v>
          </cell>
          <cell r="E4673">
            <v>31102192</v>
          </cell>
          <cell r="F4673">
            <v>31102192</v>
          </cell>
          <cell r="G4673">
            <v>31102192</v>
          </cell>
          <cell r="H4673">
            <v>31102192</v>
          </cell>
          <cell r="I4673" t="str">
            <v/>
          </cell>
          <cell r="J4673" t="str">
            <v/>
          </cell>
          <cell r="K4673" t="str">
            <v/>
          </cell>
          <cell r="L4673" t="str">
            <v/>
          </cell>
          <cell r="M4673" t="str">
            <v/>
          </cell>
        </row>
        <row r="4674">
          <cell r="A4674">
            <v>31102192</v>
          </cell>
          <cell r="C4674">
            <v>31102192</v>
          </cell>
          <cell r="D4674">
            <v>31102192</v>
          </cell>
          <cell r="E4674">
            <v>31102192</v>
          </cell>
          <cell r="F4674">
            <v>31102192</v>
          </cell>
          <cell r="G4674">
            <v>31102192</v>
          </cell>
          <cell r="H4674">
            <v>31102192</v>
          </cell>
          <cell r="I4674" t="str">
            <v/>
          </cell>
          <cell r="J4674" t="str">
            <v/>
          </cell>
          <cell r="K4674" t="str">
            <v/>
          </cell>
          <cell r="L4674" t="str">
            <v/>
          </cell>
          <cell r="M4674" t="str">
            <v/>
          </cell>
        </row>
        <row r="4675">
          <cell r="A4675">
            <v>31102192</v>
          </cell>
          <cell r="C4675">
            <v>31102192</v>
          </cell>
          <cell r="D4675">
            <v>31102192</v>
          </cell>
          <cell r="E4675">
            <v>31102192</v>
          </cell>
          <cell r="F4675">
            <v>31102192</v>
          </cell>
          <cell r="G4675">
            <v>31102192</v>
          </cell>
          <cell r="H4675">
            <v>31102192</v>
          </cell>
          <cell r="I4675" t="str">
            <v/>
          </cell>
          <cell r="J4675" t="str">
            <v/>
          </cell>
          <cell r="K4675" t="str">
            <v/>
          </cell>
          <cell r="L4675" t="str">
            <v/>
          </cell>
          <cell r="M4675" t="str">
            <v/>
          </cell>
        </row>
        <row r="4676">
          <cell r="A4676">
            <v>31102192</v>
          </cell>
          <cell r="C4676">
            <v>31102192</v>
          </cell>
          <cell r="D4676">
            <v>31102192</v>
          </cell>
          <cell r="E4676">
            <v>31102192</v>
          </cell>
          <cell r="F4676">
            <v>31102192</v>
          </cell>
          <cell r="G4676">
            <v>31102192</v>
          </cell>
          <cell r="H4676">
            <v>31102192</v>
          </cell>
          <cell r="I4676" t="str">
            <v/>
          </cell>
          <cell r="J4676" t="str">
            <v/>
          </cell>
          <cell r="K4676" t="str">
            <v/>
          </cell>
          <cell r="L4676" t="str">
            <v/>
          </cell>
          <cell r="M4676" t="str">
            <v/>
          </cell>
        </row>
        <row r="4677">
          <cell r="A4677">
            <v>31102192</v>
          </cell>
          <cell r="C4677">
            <v>31102192</v>
          </cell>
          <cell r="D4677">
            <v>31102192</v>
          </cell>
          <cell r="E4677">
            <v>31102192</v>
          </cell>
          <cell r="F4677">
            <v>31102192</v>
          </cell>
          <cell r="G4677">
            <v>31102192</v>
          </cell>
          <cell r="H4677">
            <v>31102192</v>
          </cell>
          <cell r="I4677" t="str">
            <v/>
          </cell>
          <cell r="J4677" t="str">
            <v/>
          </cell>
          <cell r="K4677" t="str">
            <v/>
          </cell>
          <cell r="L4677" t="str">
            <v/>
          </cell>
          <cell r="M4677" t="str">
            <v/>
          </cell>
        </row>
        <row r="4678">
          <cell r="A4678">
            <v>31102192</v>
          </cell>
          <cell r="C4678">
            <v>31102192</v>
          </cell>
          <cell r="D4678">
            <v>31102192</v>
          </cell>
          <cell r="E4678">
            <v>31102192</v>
          </cell>
          <cell r="F4678">
            <v>31102192</v>
          </cell>
          <cell r="G4678">
            <v>31102192</v>
          </cell>
          <cell r="H4678">
            <v>31102192</v>
          </cell>
          <cell r="I4678" t="str">
            <v/>
          </cell>
          <cell r="J4678" t="str">
            <v/>
          </cell>
          <cell r="K4678" t="str">
            <v/>
          </cell>
          <cell r="L4678" t="str">
            <v/>
          </cell>
          <cell r="M4678" t="str">
            <v/>
          </cell>
        </row>
        <row r="4679">
          <cell r="A4679">
            <v>31102192</v>
          </cell>
          <cell r="C4679">
            <v>31102192</v>
          </cell>
          <cell r="D4679">
            <v>31102192</v>
          </cell>
          <cell r="E4679">
            <v>31102192</v>
          </cell>
          <cell r="F4679">
            <v>31102192</v>
          </cell>
          <cell r="G4679">
            <v>31102192</v>
          </cell>
          <cell r="H4679">
            <v>31102192</v>
          </cell>
          <cell r="I4679" t="str">
            <v/>
          </cell>
          <cell r="J4679" t="str">
            <v/>
          </cell>
          <cell r="K4679" t="str">
            <v/>
          </cell>
          <cell r="L4679" t="str">
            <v/>
          </cell>
          <cell r="M4679" t="str">
            <v/>
          </cell>
        </row>
        <row r="4680">
          <cell r="A4680">
            <v>31102192</v>
          </cell>
          <cell r="C4680">
            <v>31102192</v>
          </cell>
          <cell r="D4680">
            <v>31102192</v>
          </cell>
          <cell r="E4680">
            <v>31102192</v>
          </cell>
          <cell r="F4680">
            <v>31102192</v>
          </cell>
          <cell r="G4680">
            <v>31102192</v>
          </cell>
          <cell r="H4680">
            <v>31102192</v>
          </cell>
          <cell r="I4680" t="str">
            <v/>
          </cell>
          <cell r="J4680" t="str">
            <v/>
          </cell>
          <cell r="K4680" t="str">
            <v/>
          </cell>
          <cell r="L4680" t="str">
            <v/>
          </cell>
          <cell r="M4680" t="str">
            <v/>
          </cell>
        </row>
        <row r="4681">
          <cell r="A4681">
            <v>31102192</v>
          </cell>
          <cell r="C4681">
            <v>31102192</v>
          </cell>
          <cell r="D4681">
            <v>31102192</v>
          </cell>
          <cell r="E4681">
            <v>31102192</v>
          </cell>
          <cell r="F4681">
            <v>31102192</v>
          </cell>
          <cell r="G4681">
            <v>31102192</v>
          </cell>
          <cell r="H4681">
            <v>31102192</v>
          </cell>
          <cell r="I4681" t="str">
            <v/>
          </cell>
          <cell r="J4681" t="str">
            <v/>
          </cell>
          <cell r="K4681" t="str">
            <v/>
          </cell>
          <cell r="L4681" t="str">
            <v/>
          </cell>
          <cell r="M4681" t="str">
            <v/>
          </cell>
        </row>
        <row r="4682">
          <cell r="A4682">
            <v>31102192</v>
          </cell>
          <cell r="C4682">
            <v>31102192</v>
          </cell>
          <cell r="D4682">
            <v>31102192</v>
          </cell>
          <cell r="E4682">
            <v>31102192</v>
          </cell>
          <cell r="F4682">
            <v>31102192</v>
          </cell>
          <cell r="G4682">
            <v>31102192</v>
          </cell>
          <cell r="H4682">
            <v>31102192</v>
          </cell>
          <cell r="I4682" t="str">
            <v/>
          </cell>
          <cell r="J4682" t="str">
            <v/>
          </cell>
          <cell r="K4682" t="str">
            <v/>
          </cell>
          <cell r="L4682" t="str">
            <v/>
          </cell>
          <cell r="M4682" t="str">
            <v/>
          </cell>
        </row>
        <row r="4683">
          <cell r="A4683">
            <v>31102192</v>
          </cell>
          <cell r="C4683">
            <v>31102192</v>
          </cell>
          <cell r="D4683">
            <v>31102192</v>
          </cell>
          <cell r="E4683">
            <v>31102192</v>
          </cell>
          <cell r="F4683">
            <v>31102192</v>
          </cell>
          <cell r="G4683">
            <v>31102192</v>
          </cell>
          <cell r="H4683">
            <v>31102192</v>
          </cell>
          <cell r="I4683" t="str">
            <v/>
          </cell>
          <cell r="J4683" t="str">
            <v/>
          </cell>
          <cell r="K4683" t="str">
            <v/>
          </cell>
          <cell r="L4683" t="str">
            <v/>
          </cell>
          <cell r="M4683" t="str">
            <v/>
          </cell>
        </row>
        <row r="4684">
          <cell r="A4684">
            <v>31102192</v>
          </cell>
          <cell r="C4684">
            <v>31102192</v>
          </cell>
          <cell r="D4684">
            <v>31102192</v>
          </cell>
          <cell r="E4684">
            <v>31102192</v>
          </cell>
          <cell r="F4684">
            <v>31102192</v>
          </cell>
          <cell r="G4684">
            <v>31102192</v>
          </cell>
          <cell r="H4684">
            <v>31102192</v>
          </cell>
          <cell r="I4684" t="str">
            <v/>
          </cell>
          <cell r="J4684" t="str">
            <v/>
          </cell>
          <cell r="K4684" t="str">
            <v/>
          </cell>
          <cell r="L4684" t="str">
            <v/>
          </cell>
          <cell r="M4684" t="str">
            <v/>
          </cell>
        </row>
        <row r="4685">
          <cell r="A4685">
            <v>31102192</v>
          </cell>
          <cell r="C4685">
            <v>31102192</v>
          </cell>
          <cell r="D4685">
            <v>31102192</v>
          </cell>
          <cell r="E4685">
            <v>31102192</v>
          </cell>
          <cell r="F4685">
            <v>31102192</v>
          </cell>
          <cell r="G4685">
            <v>31102192</v>
          </cell>
          <cell r="H4685">
            <v>31102192</v>
          </cell>
          <cell r="I4685" t="str">
            <v/>
          </cell>
          <cell r="J4685" t="str">
            <v/>
          </cell>
          <cell r="K4685" t="str">
            <v/>
          </cell>
          <cell r="L4685" t="str">
            <v/>
          </cell>
          <cell r="M4685" t="str">
            <v/>
          </cell>
        </row>
        <row r="4686">
          <cell r="A4686">
            <v>31102192</v>
          </cell>
          <cell r="C4686">
            <v>31102192</v>
          </cell>
          <cell r="D4686">
            <v>31102192</v>
          </cell>
          <cell r="E4686">
            <v>31102192</v>
          </cell>
          <cell r="F4686">
            <v>31102192</v>
          </cell>
          <cell r="G4686">
            <v>31102192</v>
          </cell>
          <cell r="H4686">
            <v>31102192</v>
          </cell>
          <cell r="I4686" t="str">
            <v/>
          </cell>
          <cell r="J4686" t="str">
            <v/>
          </cell>
          <cell r="K4686" t="str">
            <v/>
          </cell>
          <cell r="L4686" t="str">
            <v/>
          </cell>
          <cell r="M4686" t="str">
            <v/>
          </cell>
        </row>
        <row r="4687">
          <cell r="A4687">
            <v>31102192</v>
          </cell>
          <cell r="C4687">
            <v>31102192</v>
          </cell>
          <cell r="D4687">
            <v>31102192</v>
          </cell>
          <cell r="E4687">
            <v>31102192</v>
          </cell>
          <cell r="F4687">
            <v>31102192</v>
          </cell>
          <cell r="G4687">
            <v>31102192</v>
          </cell>
          <cell r="H4687">
            <v>31102192</v>
          </cell>
          <cell r="I4687" t="str">
            <v/>
          </cell>
          <cell r="J4687" t="str">
            <v/>
          </cell>
          <cell r="K4687" t="str">
            <v/>
          </cell>
          <cell r="L4687" t="str">
            <v/>
          </cell>
          <cell r="M4687" t="str">
            <v/>
          </cell>
        </row>
        <row r="4688">
          <cell r="A4688">
            <v>31102192</v>
          </cell>
          <cell r="C4688">
            <v>31102192</v>
          </cell>
          <cell r="D4688">
            <v>31102192</v>
          </cell>
          <cell r="E4688">
            <v>31102192</v>
          </cell>
          <cell r="F4688">
            <v>31102192</v>
          </cell>
          <cell r="G4688">
            <v>31102192</v>
          </cell>
          <cell r="H4688">
            <v>31102192</v>
          </cell>
          <cell r="I4688" t="str">
            <v/>
          </cell>
          <cell r="J4688" t="str">
            <v/>
          </cell>
          <cell r="K4688" t="str">
            <v/>
          </cell>
          <cell r="L4688" t="str">
            <v/>
          </cell>
          <cell r="M4688" t="str">
            <v/>
          </cell>
        </row>
        <row r="4689">
          <cell r="A4689">
            <v>31102192</v>
          </cell>
          <cell r="C4689">
            <v>31102192</v>
          </cell>
          <cell r="D4689">
            <v>31102192</v>
          </cell>
          <cell r="E4689">
            <v>31102192</v>
          </cell>
          <cell r="F4689">
            <v>31102192</v>
          </cell>
          <cell r="G4689">
            <v>31102192</v>
          </cell>
          <cell r="H4689">
            <v>31102192</v>
          </cell>
          <cell r="I4689" t="str">
            <v/>
          </cell>
          <cell r="J4689" t="str">
            <v/>
          </cell>
          <cell r="K4689" t="str">
            <v/>
          </cell>
          <cell r="L4689" t="str">
            <v/>
          </cell>
          <cell r="M4689" t="str">
            <v/>
          </cell>
        </row>
        <row r="4690">
          <cell r="A4690">
            <v>31102192</v>
          </cell>
          <cell r="C4690">
            <v>31102192</v>
          </cell>
          <cell r="D4690">
            <v>31102192</v>
          </cell>
          <cell r="E4690">
            <v>31102192</v>
          </cell>
          <cell r="F4690">
            <v>31102192</v>
          </cell>
          <cell r="G4690">
            <v>31102192</v>
          </cell>
          <cell r="H4690">
            <v>31102192</v>
          </cell>
          <cell r="I4690" t="str">
            <v/>
          </cell>
          <cell r="J4690" t="str">
            <v/>
          </cell>
          <cell r="K4690" t="str">
            <v/>
          </cell>
          <cell r="L4690" t="str">
            <v/>
          </cell>
          <cell r="M4690" t="str">
            <v/>
          </cell>
        </row>
        <row r="4691">
          <cell r="A4691">
            <v>31102192</v>
          </cell>
          <cell r="C4691">
            <v>31102192</v>
          </cell>
          <cell r="D4691">
            <v>31102192</v>
          </cell>
          <cell r="E4691">
            <v>31102192</v>
          </cell>
          <cell r="F4691">
            <v>31102192</v>
          </cell>
          <cell r="G4691">
            <v>31102192</v>
          </cell>
          <cell r="H4691">
            <v>31102192</v>
          </cell>
          <cell r="I4691" t="str">
            <v/>
          </cell>
          <cell r="J4691" t="str">
            <v/>
          </cell>
          <cell r="K4691" t="str">
            <v/>
          </cell>
          <cell r="L4691" t="str">
            <v/>
          </cell>
          <cell r="M4691" t="str">
            <v/>
          </cell>
        </row>
        <row r="4692">
          <cell r="A4692">
            <v>31102192</v>
          </cell>
          <cell r="C4692">
            <v>31102192</v>
          </cell>
          <cell r="D4692">
            <v>31102192</v>
          </cell>
          <cell r="E4692">
            <v>31102192</v>
          </cell>
          <cell r="F4692">
            <v>31102192</v>
          </cell>
          <cell r="G4692">
            <v>31102192</v>
          </cell>
          <cell r="H4692">
            <v>31102192</v>
          </cell>
          <cell r="I4692" t="str">
            <v/>
          </cell>
          <cell r="J4692" t="str">
            <v/>
          </cell>
          <cell r="K4692" t="str">
            <v/>
          </cell>
          <cell r="L4692" t="str">
            <v/>
          </cell>
          <cell r="M4692" t="str">
            <v/>
          </cell>
        </row>
        <row r="4693">
          <cell r="A4693">
            <v>31102192</v>
          </cell>
          <cell r="C4693">
            <v>31102192</v>
          </cell>
          <cell r="D4693">
            <v>31102192</v>
          </cell>
          <cell r="E4693">
            <v>31102192</v>
          </cell>
          <cell r="F4693">
            <v>31102192</v>
          </cell>
          <cell r="G4693">
            <v>31102192</v>
          </cell>
          <cell r="H4693">
            <v>31102192</v>
          </cell>
          <cell r="I4693" t="str">
            <v/>
          </cell>
          <cell r="J4693" t="str">
            <v/>
          </cell>
          <cell r="K4693" t="str">
            <v/>
          </cell>
          <cell r="L4693" t="str">
            <v/>
          </cell>
          <cell r="M4693" t="str">
            <v/>
          </cell>
        </row>
        <row r="4694">
          <cell r="A4694">
            <v>31102192</v>
          </cell>
          <cell r="C4694">
            <v>31102192</v>
          </cell>
          <cell r="D4694">
            <v>31102192</v>
          </cell>
          <cell r="E4694">
            <v>31102192</v>
          </cell>
          <cell r="F4694">
            <v>31102192</v>
          </cell>
          <cell r="G4694">
            <v>31102192</v>
          </cell>
          <cell r="H4694">
            <v>31102192</v>
          </cell>
          <cell r="I4694" t="str">
            <v/>
          </cell>
          <cell r="J4694" t="str">
            <v/>
          </cell>
          <cell r="K4694" t="str">
            <v/>
          </cell>
          <cell r="L4694" t="str">
            <v/>
          </cell>
          <cell r="M4694" t="str">
            <v/>
          </cell>
        </row>
        <row r="4695">
          <cell r="A4695">
            <v>31102192</v>
          </cell>
          <cell r="C4695">
            <v>31102192</v>
          </cell>
          <cell r="D4695">
            <v>31102192</v>
          </cell>
          <cell r="E4695">
            <v>31102192</v>
          </cell>
          <cell r="F4695">
            <v>31102192</v>
          </cell>
          <cell r="G4695">
            <v>31102192</v>
          </cell>
          <cell r="H4695">
            <v>31102192</v>
          </cell>
          <cell r="I4695" t="str">
            <v/>
          </cell>
          <cell r="J4695" t="str">
            <v/>
          </cell>
          <cell r="K4695" t="str">
            <v/>
          </cell>
          <cell r="L4695" t="str">
            <v/>
          </cell>
          <cell r="M4695" t="str">
            <v/>
          </cell>
        </row>
        <row r="4696">
          <cell r="A4696">
            <v>31102192</v>
          </cell>
          <cell r="C4696">
            <v>31102192</v>
          </cell>
          <cell r="D4696">
            <v>31102192</v>
          </cell>
          <cell r="E4696">
            <v>31102192</v>
          </cell>
          <cell r="F4696">
            <v>31102192</v>
          </cell>
          <cell r="G4696">
            <v>31102192</v>
          </cell>
          <cell r="H4696">
            <v>31102192</v>
          </cell>
          <cell r="I4696" t="str">
            <v/>
          </cell>
          <cell r="J4696" t="str">
            <v/>
          </cell>
          <cell r="K4696" t="str">
            <v/>
          </cell>
          <cell r="L4696" t="str">
            <v/>
          </cell>
          <cell r="M4696" t="str">
            <v/>
          </cell>
        </row>
        <row r="4697">
          <cell r="A4697">
            <v>31102192</v>
          </cell>
          <cell r="C4697">
            <v>31102192</v>
          </cell>
          <cell r="D4697">
            <v>31102192</v>
          </cell>
          <cell r="E4697">
            <v>31102192</v>
          </cell>
          <cell r="F4697">
            <v>31102192</v>
          </cell>
          <cell r="G4697">
            <v>31102192</v>
          </cell>
          <cell r="H4697">
            <v>31102192</v>
          </cell>
          <cell r="I4697" t="str">
            <v/>
          </cell>
          <cell r="J4697" t="str">
            <v/>
          </cell>
          <cell r="K4697" t="str">
            <v/>
          </cell>
          <cell r="L4697" t="str">
            <v/>
          </cell>
          <cell r="M4697" t="str">
            <v/>
          </cell>
        </row>
        <row r="4698">
          <cell r="A4698">
            <v>31102192</v>
          </cell>
          <cell r="C4698">
            <v>31102192</v>
          </cell>
          <cell r="D4698">
            <v>31102192</v>
          </cell>
          <cell r="E4698">
            <v>31102192</v>
          </cell>
          <cell r="F4698">
            <v>31102192</v>
          </cell>
          <cell r="G4698">
            <v>31102192</v>
          </cell>
          <cell r="H4698">
            <v>31102192</v>
          </cell>
          <cell r="I4698" t="str">
            <v/>
          </cell>
          <cell r="J4698" t="str">
            <v/>
          </cell>
          <cell r="K4698" t="str">
            <v/>
          </cell>
          <cell r="L4698" t="str">
            <v/>
          </cell>
          <cell r="M4698" t="str">
            <v/>
          </cell>
        </row>
        <row r="4699">
          <cell r="A4699">
            <v>31102192</v>
          </cell>
          <cell r="C4699">
            <v>31102192</v>
          </cell>
          <cell r="D4699">
            <v>31102192</v>
          </cell>
          <cell r="E4699">
            <v>31102192</v>
          </cell>
          <cell r="F4699">
            <v>31102192</v>
          </cell>
          <cell r="G4699">
            <v>31102192</v>
          </cell>
          <cell r="H4699">
            <v>31102192</v>
          </cell>
          <cell r="I4699" t="str">
            <v/>
          </cell>
          <cell r="J4699" t="str">
            <v/>
          </cell>
          <cell r="K4699" t="str">
            <v/>
          </cell>
          <cell r="L4699" t="str">
            <v/>
          </cell>
          <cell r="M4699" t="str">
            <v/>
          </cell>
        </row>
        <row r="4700">
          <cell r="A4700">
            <v>31102192</v>
          </cell>
          <cell r="C4700">
            <v>31102192</v>
          </cell>
          <cell r="D4700">
            <v>31102192</v>
          </cell>
          <cell r="E4700">
            <v>31102192</v>
          </cell>
          <cell r="F4700">
            <v>31102192</v>
          </cell>
          <cell r="G4700">
            <v>31102192</v>
          </cell>
          <cell r="H4700">
            <v>31102192</v>
          </cell>
          <cell r="I4700" t="str">
            <v/>
          </cell>
          <cell r="J4700" t="str">
            <v/>
          </cell>
          <cell r="K4700" t="str">
            <v/>
          </cell>
          <cell r="L4700" t="str">
            <v/>
          </cell>
          <cell r="M4700" t="str">
            <v/>
          </cell>
        </row>
        <row r="4701">
          <cell r="A4701">
            <v>31102192</v>
          </cell>
          <cell r="C4701">
            <v>31102192</v>
          </cell>
          <cell r="D4701">
            <v>31102192</v>
          </cell>
          <cell r="E4701">
            <v>31102192</v>
          </cell>
          <cell r="F4701">
            <v>31102192</v>
          </cell>
          <cell r="G4701">
            <v>31102192</v>
          </cell>
          <cell r="H4701">
            <v>31102192</v>
          </cell>
          <cell r="I4701" t="str">
            <v/>
          </cell>
          <cell r="J4701" t="str">
            <v/>
          </cell>
          <cell r="K4701" t="str">
            <v/>
          </cell>
          <cell r="L4701" t="str">
            <v/>
          </cell>
          <cell r="M4701" t="str">
            <v/>
          </cell>
        </row>
        <row r="4702">
          <cell r="A4702">
            <v>31102192</v>
          </cell>
          <cell r="C4702">
            <v>31102192</v>
          </cell>
          <cell r="D4702">
            <v>31102192</v>
          </cell>
          <cell r="E4702">
            <v>31102192</v>
          </cell>
          <cell r="F4702">
            <v>31102192</v>
          </cell>
          <cell r="G4702">
            <v>31102192</v>
          </cell>
          <cell r="H4702">
            <v>31102192</v>
          </cell>
          <cell r="I4702" t="str">
            <v/>
          </cell>
          <cell r="J4702" t="str">
            <v/>
          </cell>
          <cell r="K4702" t="str">
            <v/>
          </cell>
          <cell r="L4702" t="str">
            <v/>
          </cell>
          <cell r="M4702" t="str">
            <v/>
          </cell>
        </row>
        <row r="4703">
          <cell r="A4703">
            <v>31102192</v>
          </cell>
          <cell r="C4703">
            <v>31102192</v>
          </cell>
          <cell r="D4703">
            <v>31102192</v>
          </cell>
          <cell r="E4703">
            <v>31102192</v>
          </cell>
          <cell r="F4703">
            <v>31102192</v>
          </cell>
          <cell r="G4703">
            <v>31102192</v>
          </cell>
          <cell r="H4703">
            <v>31102192</v>
          </cell>
          <cell r="I4703" t="str">
            <v/>
          </cell>
          <cell r="J4703" t="str">
            <v/>
          </cell>
          <cell r="K4703" t="str">
            <v/>
          </cell>
          <cell r="L4703" t="str">
            <v/>
          </cell>
          <cell r="M4703" t="str">
            <v/>
          </cell>
        </row>
        <row r="4704">
          <cell r="A4704">
            <v>31102192</v>
          </cell>
          <cell r="C4704">
            <v>31102192</v>
          </cell>
          <cell r="D4704">
            <v>31102192</v>
          </cell>
          <cell r="E4704">
            <v>31102192</v>
          </cell>
          <cell r="F4704">
            <v>31102192</v>
          </cell>
          <cell r="G4704">
            <v>31102192</v>
          </cell>
          <cell r="H4704">
            <v>31102192</v>
          </cell>
          <cell r="I4704" t="str">
            <v/>
          </cell>
          <cell r="J4704" t="str">
            <v/>
          </cell>
          <cell r="K4704" t="str">
            <v/>
          </cell>
          <cell r="L4704" t="str">
            <v/>
          </cell>
          <cell r="M4704" t="str">
            <v/>
          </cell>
        </row>
        <row r="4705">
          <cell r="A4705">
            <v>31102192</v>
          </cell>
          <cell r="C4705">
            <v>31102192</v>
          </cell>
          <cell r="D4705">
            <v>31102192</v>
          </cell>
          <cell r="E4705">
            <v>31102192</v>
          </cell>
          <cell r="F4705">
            <v>31102192</v>
          </cell>
          <cell r="G4705">
            <v>31102192</v>
          </cell>
          <cell r="H4705">
            <v>31102192</v>
          </cell>
          <cell r="I4705" t="str">
            <v/>
          </cell>
          <cell r="J4705" t="str">
            <v/>
          </cell>
          <cell r="K4705" t="str">
            <v/>
          </cell>
          <cell r="L4705" t="str">
            <v/>
          </cell>
          <cell r="M4705" t="str">
            <v/>
          </cell>
        </row>
        <row r="4706">
          <cell r="A4706">
            <v>31102192</v>
          </cell>
          <cell r="C4706">
            <v>31102192</v>
          </cell>
          <cell r="D4706">
            <v>31102192</v>
          </cell>
          <cell r="E4706">
            <v>31102192</v>
          </cell>
          <cell r="F4706">
            <v>31102192</v>
          </cell>
          <cell r="G4706">
            <v>31102192</v>
          </cell>
          <cell r="H4706">
            <v>31102192</v>
          </cell>
          <cell r="I4706" t="str">
            <v/>
          </cell>
          <cell r="J4706" t="str">
            <v/>
          </cell>
          <cell r="K4706" t="str">
            <v/>
          </cell>
          <cell r="L4706" t="str">
            <v/>
          </cell>
          <cell r="M4706" t="str">
            <v/>
          </cell>
        </row>
        <row r="4707">
          <cell r="A4707">
            <v>31102192</v>
          </cell>
          <cell r="C4707">
            <v>31102192</v>
          </cell>
          <cell r="D4707">
            <v>31102192</v>
          </cell>
          <cell r="E4707">
            <v>31102192</v>
          </cell>
          <cell r="F4707">
            <v>31102192</v>
          </cell>
          <cell r="G4707">
            <v>31102192</v>
          </cell>
          <cell r="H4707">
            <v>31102192</v>
          </cell>
          <cell r="I4707" t="str">
            <v/>
          </cell>
          <cell r="J4707" t="str">
            <v/>
          </cell>
          <cell r="K4707" t="str">
            <v/>
          </cell>
          <cell r="L4707" t="str">
            <v/>
          </cell>
          <cell r="M4707" t="str">
            <v/>
          </cell>
        </row>
        <row r="4708">
          <cell r="A4708">
            <v>31102192</v>
          </cell>
          <cell r="C4708">
            <v>31102192</v>
          </cell>
          <cell r="D4708">
            <v>31102192</v>
          </cell>
          <cell r="E4708">
            <v>31102192</v>
          </cell>
          <cell r="F4708">
            <v>31102192</v>
          </cell>
          <cell r="G4708">
            <v>31102192</v>
          </cell>
          <cell r="H4708">
            <v>31102192</v>
          </cell>
          <cell r="I4708" t="str">
            <v/>
          </cell>
          <cell r="J4708" t="str">
            <v/>
          </cell>
          <cell r="K4708" t="str">
            <v/>
          </cell>
          <cell r="L4708" t="str">
            <v/>
          </cell>
          <cell r="M4708" t="str">
            <v/>
          </cell>
        </row>
        <row r="4709">
          <cell r="A4709">
            <v>31102192</v>
          </cell>
          <cell r="C4709">
            <v>31102192</v>
          </cell>
          <cell r="D4709">
            <v>31102192</v>
          </cell>
          <cell r="E4709">
            <v>31102192</v>
          </cell>
          <cell r="F4709">
            <v>31102192</v>
          </cell>
          <cell r="G4709">
            <v>31102192</v>
          </cell>
          <cell r="H4709">
            <v>31102192</v>
          </cell>
          <cell r="I4709" t="str">
            <v/>
          </cell>
          <cell r="J4709" t="str">
            <v/>
          </cell>
          <cell r="K4709" t="str">
            <v/>
          </cell>
          <cell r="L4709" t="str">
            <v/>
          </cell>
          <cell r="M4709" t="str">
            <v/>
          </cell>
        </row>
        <row r="4710">
          <cell r="A4710">
            <v>31102192</v>
          </cell>
          <cell r="C4710">
            <v>31102192</v>
          </cell>
          <cell r="D4710">
            <v>31102192</v>
          </cell>
          <cell r="E4710">
            <v>31102192</v>
          </cell>
          <cell r="F4710">
            <v>31102192</v>
          </cell>
          <cell r="G4710">
            <v>31102192</v>
          </cell>
          <cell r="H4710">
            <v>31102192</v>
          </cell>
          <cell r="I4710" t="str">
            <v/>
          </cell>
          <cell r="J4710" t="str">
            <v/>
          </cell>
          <cell r="K4710" t="str">
            <v/>
          </cell>
          <cell r="L4710" t="str">
            <v/>
          </cell>
          <cell r="M4710" t="str">
            <v/>
          </cell>
        </row>
        <row r="4711">
          <cell r="A4711">
            <v>31102192</v>
          </cell>
          <cell r="C4711">
            <v>31102192</v>
          </cell>
          <cell r="D4711">
            <v>31102192</v>
          </cell>
          <cell r="E4711">
            <v>31102192</v>
          </cell>
          <cell r="F4711">
            <v>31102192</v>
          </cell>
          <cell r="G4711">
            <v>31102192</v>
          </cell>
          <cell r="H4711">
            <v>31102192</v>
          </cell>
          <cell r="I4711" t="str">
            <v/>
          </cell>
          <cell r="J4711" t="str">
            <v/>
          </cell>
          <cell r="K4711" t="str">
            <v/>
          </cell>
          <cell r="L4711" t="str">
            <v/>
          </cell>
          <cell r="M4711" t="str">
            <v/>
          </cell>
        </row>
        <row r="4712">
          <cell r="A4712">
            <v>31102192</v>
          </cell>
          <cell r="C4712">
            <v>31102192</v>
          </cell>
          <cell r="D4712">
            <v>31102192</v>
          </cell>
          <cell r="E4712">
            <v>31102192</v>
          </cell>
          <cell r="F4712">
            <v>31102192</v>
          </cell>
          <cell r="G4712">
            <v>31102192</v>
          </cell>
          <cell r="H4712">
            <v>31102192</v>
          </cell>
          <cell r="I4712" t="str">
            <v/>
          </cell>
          <cell r="J4712" t="str">
            <v/>
          </cell>
          <cell r="K4712" t="str">
            <v/>
          </cell>
          <cell r="L4712" t="str">
            <v/>
          </cell>
          <cell r="M4712" t="str">
            <v/>
          </cell>
        </row>
        <row r="4713">
          <cell r="A4713">
            <v>31102192</v>
          </cell>
          <cell r="C4713">
            <v>31102192</v>
          </cell>
          <cell r="D4713">
            <v>31102192</v>
          </cell>
          <cell r="E4713">
            <v>31102192</v>
          </cell>
          <cell r="F4713">
            <v>31102192</v>
          </cell>
          <cell r="G4713">
            <v>31102192</v>
          </cell>
          <cell r="H4713">
            <v>31102192</v>
          </cell>
          <cell r="I4713" t="str">
            <v/>
          </cell>
          <cell r="J4713" t="str">
            <v/>
          </cell>
          <cell r="K4713" t="str">
            <v/>
          </cell>
          <cell r="L4713" t="str">
            <v/>
          </cell>
          <cell r="M4713" t="str">
            <v/>
          </cell>
        </row>
        <row r="4714">
          <cell r="A4714">
            <v>31102192</v>
          </cell>
          <cell r="C4714">
            <v>31102192</v>
          </cell>
          <cell r="D4714">
            <v>31102192</v>
          </cell>
          <cell r="E4714">
            <v>31102192</v>
          </cell>
          <cell r="F4714">
            <v>31102192</v>
          </cell>
          <cell r="G4714">
            <v>31102192</v>
          </cell>
          <cell r="H4714">
            <v>31102192</v>
          </cell>
          <cell r="I4714" t="str">
            <v/>
          </cell>
          <cell r="J4714" t="str">
            <v/>
          </cell>
          <cell r="K4714" t="str">
            <v/>
          </cell>
          <cell r="L4714" t="str">
            <v/>
          </cell>
          <cell r="M4714" t="str">
            <v/>
          </cell>
        </row>
        <row r="4715">
          <cell r="A4715">
            <v>31102192</v>
          </cell>
          <cell r="C4715">
            <v>31102192</v>
          </cell>
          <cell r="D4715">
            <v>31102192</v>
          </cell>
          <cell r="E4715">
            <v>31102192</v>
          </cell>
          <cell r="F4715">
            <v>31102192</v>
          </cell>
          <cell r="G4715">
            <v>31102192</v>
          </cell>
          <cell r="H4715">
            <v>31102192</v>
          </cell>
          <cell r="I4715" t="str">
            <v/>
          </cell>
          <cell r="J4715" t="str">
            <v/>
          </cell>
          <cell r="K4715" t="str">
            <v/>
          </cell>
          <cell r="L4715" t="str">
            <v/>
          </cell>
          <cell r="M4715" t="str">
            <v/>
          </cell>
        </row>
        <row r="4716">
          <cell r="A4716">
            <v>31102192</v>
          </cell>
          <cell r="C4716">
            <v>31102192</v>
          </cell>
          <cell r="D4716">
            <v>31102192</v>
          </cell>
          <cell r="E4716">
            <v>31102192</v>
          </cell>
          <cell r="F4716">
            <v>31102192</v>
          </cell>
          <cell r="G4716">
            <v>31102192</v>
          </cell>
          <cell r="H4716">
            <v>31102192</v>
          </cell>
          <cell r="I4716" t="str">
            <v/>
          </cell>
          <cell r="J4716" t="str">
            <v/>
          </cell>
          <cell r="K4716" t="str">
            <v/>
          </cell>
          <cell r="L4716" t="str">
            <v/>
          </cell>
          <cell r="M4716" t="str">
            <v/>
          </cell>
        </row>
        <row r="4717">
          <cell r="A4717">
            <v>31102192</v>
          </cell>
          <cell r="C4717">
            <v>31102192</v>
          </cell>
          <cell r="D4717">
            <v>31102192</v>
          </cell>
          <cell r="E4717">
            <v>31102192</v>
          </cell>
          <cell r="F4717">
            <v>31102192</v>
          </cell>
          <cell r="G4717">
            <v>31102192</v>
          </cell>
          <cell r="H4717">
            <v>31102192</v>
          </cell>
          <cell r="I4717" t="str">
            <v/>
          </cell>
          <cell r="J4717" t="str">
            <v/>
          </cell>
          <cell r="K4717" t="str">
            <v/>
          </cell>
          <cell r="L4717" t="str">
            <v/>
          </cell>
          <cell r="M4717" t="str">
            <v/>
          </cell>
        </row>
        <row r="4718">
          <cell r="A4718">
            <v>31102192</v>
          </cell>
          <cell r="C4718">
            <v>31102192</v>
          </cell>
          <cell r="D4718">
            <v>31102192</v>
          </cell>
          <cell r="E4718">
            <v>31102192</v>
          </cell>
          <cell r="F4718">
            <v>31102192</v>
          </cell>
          <cell r="G4718">
            <v>31102192</v>
          </cell>
          <cell r="H4718">
            <v>31102192</v>
          </cell>
          <cell r="I4718" t="str">
            <v/>
          </cell>
          <cell r="J4718" t="str">
            <v/>
          </cell>
          <cell r="K4718" t="str">
            <v/>
          </cell>
          <cell r="L4718" t="str">
            <v/>
          </cell>
          <cell r="M4718" t="str">
            <v/>
          </cell>
        </row>
        <row r="4719">
          <cell r="A4719">
            <v>31102192</v>
          </cell>
          <cell r="C4719">
            <v>31102192</v>
          </cell>
          <cell r="D4719">
            <v>31102192</v>
          </cell>
          <cell r="E4719">
            <v>31102192</v>
          </cell>
          <cell r="F4719">
            <v>31102192</v>
          </cell>
          <cell r="G4719">
            <v>31102192</v>
          </cell>
          <cell r="H4719">
            <v>31102192</v>
          </cell>
          <cell r="I4719" t="str">
            <v/>
          </cell>
          <cell r="J4719" t="str">
            <v/>
          </cell>
          <cell r="K4719" t="str">
            <v/>
          </cell>
          <cell r="L4719" t="str">
            <v/>
          </cell>
          <cell r="M4719" t="str">
            <v/>
          </cell>
        </row>
        <row r="4720">
          <cell r="A4720">
            <v>31102192</v>
          </cell>
          <cell r="C4720">
            <v>31102192</v>
          </cell>
          <cell r="D4720">
            <v>31102192</v>
          </cell>
          <cell r="E4720">
            <v>31102192</v>
          </cell>
          <cell r="F4720">
            <v>31102192</v>
          </cell>
          <cell r="G4720">
            <v>31102192</v>
          </cell>
          <cell r="H4720">
            <v>31102192</v>
          </cell>
          <cell r="I4720" t="str">
            <v/>
          </cell>
          <cell r="J4720" t="str">
            <v/>
          </cell>
          <cell r="K4720" t="str">
            <v/>
          </cell>
          <cell r="L4720" t="str">
            <v/>
          </cell>
          <cell r="M4720" t="str">
            <v/>
          </cell>
        </row>
        <row r="4721">
          <cell r="A4721">
            <v>31102192</v>
          </cell>
          <cell r="C4721">
            <v>31102192</v>
          </cell>
          <cell r="D4721">
            <v>31102192</v>
          </cell>
          <cell r="E4721">
            <v>31102192</v>
          </cell>
          <cell r="F4721">
            <v>31102192</v>
          </cell>
          <cell r="G4721">
            <v>31102192</v>
          </cell>
          <cell r="H4721">
            <v>31102192</v>
          </cell>
          <cell r="I4721" t="str">
            <v/>
          </cell>
          <cell r="J4721" t="str">
            <v/>
          </cell>
          <cell r="K4721" t="str">
            <v/>
          </cell>
          <cell r="L4721" t="str">
            <v/>
          </cell>
          <cell r="M4721" t="str">
            <v/>
          </cell>
        </row>
        <row r="4722">
          <cell r="A4722">
            <v>31102192</v>
          </cell>
          <cell r="C4722">
            <v>31102192</v>
          </cell>
          <cell r="D4722">
            <v>31102192</v>
          </cell>
          <cell r="E4722">
            <v>31102192</v>
          </cell>
          <cell r="F4722">
            <v>31102192</v>
          </cell>
          <cell r="G4722">
            <v>31102192</v>
          </cell>
          <cell r="H4722">
            <v>31102192</v>
          </cell>
          <cell r="I4722" t="str">
            <v/>
          </cell>
          <cell r="J4722" t="str">
            <v/>
          </cell>
          <cell r="K4722" t="str">
            <v/>
          </cell>
          <cell r="L4722" t="str">
            <v/>
          </cell>
          <cell r="M4722" t="str">
            <v/>
          </cell>
        </row>
        <row r="4723">
          <cell r="A4723">
            <v>31102192</v>
          </cell>
          <cell r="C4723">
            <v>31102192</v>
          </cell>
          <cell r="D4723">
            <v>31102192</v>
          </cell>
          <cell r="E4723">
            <v>31102192</v>
          </cell>
          <cell r="F4723">
            <v>31102192</v>
          </cell>
          <cell r="G4723">
            <v>31102192</v>
          </cell>
          <cell r="H4723">
            <v>31102192</v>
          </cell>
          <cell r="I4723" t="str">
            <v/>
          </cell>
          <cell r="J4723" t="str">
            <v/>
          </cell>
          <cell r="K4723" t="str">
            <v/>
          </cell>
          <cell r="L4723" t="str">
            <v/>
          </cell>
          <cell r="M4723" t="str">
            <v/>
          </cell>
        </row>
        <row r="4724">
          <cell r="A4724">
            <v>31102192</v>
          </cell>
          <cell r="C4724">
            <v>31102192</v>
          </cell>
          <cell r="D4724">
            <v>31102192</v>
          </cell>
          <cell r="E4724">
            <v>31102192</v>
          </cell>
          <cell r="F4724">
            <v>31102192</v>
          </cell>
          <cell r="G4724">
            <v>31102192</v>
          </cell>
          <cell r="H4724">
            <v>31102192</v>
          </cell>
          <cell r="I4724" t="str">
            <v/>
          </cell>
          <cell r="J4724" t="str">
            <v/>
          </cell>
          <cell r="K4724" t="str">
            <v/>
          </cell>
          <cell r="L4724" t="str">
            <v/>
          </cell>
          <cell r="M4724" t="str">
            <v/>
          </cell>
        </row>
        <row r="4725">
          <cell r="A4725">
            <v>31102192</v>
          </cell>
          <cell r="C4725">
            <v>31102192</v>
          </cell>
          <cell r="D4725">
            <v>31102192</v>
          </cell>
          <cell r="E4725">
            <v>31102192</v>
          </cell>
          <cell r="F4725">
            <v>31102192</v>
          </cell>
          <cell r="G4725">
            <v>31102192</v>
          </cell>
          <cell r="H4725">
            <v>31102192</v>
          </cell>
          <cell r="I4725" t="str">
            <v/>
          </cell>
          <cell r="J4725" t="str">
            <v/>
          </cell>
          <cell r="K4725" t="str">
            <v/>
          </cell>
          <cell r="L4725" t="str">
            <v/>
          </cell>
          <cell r="M4725" t="str">
            <v/>
          </cell>
        </row>
        <row r="4726">
          <cell r="A4726">
            <v>31102192</v>
          </cell>
          <cell r="C4726">
            <v>31102192</v>
          </cell>
          <cell r="D4726">
            <v>31102192</v>
          </cell>
          <cell r="E4726">
            <v>31102192</v>
          </cell>
          <cell r="F4726">
            <v>31102192</v>
          </cell>
          <cell r="G4726">
            <v>31102192</v>
          </cell>
          <cell r="H4726">
            <v>31102192</v>
          </cell>
          <cell r="I4726" t="str">
            <v/>
          </cell>
          <cell r="J4726" t="str">
            <v/>
          </cell>
          <cell r="K4726" t="str">
            <v/>
          </cell>
          <cell r="L4726" t="str">
            <v/>
          </cell>
          <cell r="M4726" t="str">
            <v/>
          </cell>
        </row>
        <row r="4727">
          <cell r="A4727">
            <v>31102192</v>
          </cell>
          <cell r="C4727">
            <v>31102192</v>
          </cell>
          <cell r="D4727">
            <v>31102192</v>
          </cell>
          <cell r="E4727">
            <v>31102192</v>
          </cell>
          <cell r="F4727">
            <v>31102192</v>
          </cell>
          <cell r="G4727">
            <v>31102192</v>
          </cell>
          <cell r="H4727">
            <v>31102192</v>
          </cell>
          <cell r="I4727" t="str">
            <v/>
          </cell>
          <cell r="J4727" t="str">
            <v/>
          </cell>
          <cell r="K4727" t="str">
            <v/>
          </cell>
          <cell r="L4727" t="str">
            <v/>
          </cell>
          <cell r="M4727" t="str">
            <v/>
          </cell>
        </row>
        <row r="4728">
          <cell r="A4728">
            <v>31102192</v>
          </cell>
          <cell r="C4728">
            <v>31102192</v>
          </cell>
          <cell r="D4728">
            <v>31102192</v>
          </cell>
          <cell r="E4728">
            <v>31102192</v>
          </cell>
          <cell r="F4728">
            <v>31102192</v>
          </cell>
          <cell r="G4728">
            <v>31102192</v>
          </cell>
          <cell r="H4728">
            <v>31102192</v>
          </cell>
          <cell r="I4728" t="str">
            <v/>
          </cell>
          <cell r="J4728" t="str">
            <v/>
          </cell>
          <cell r="K4728" t="str">
            <v/>
          </cell>
          <cell r="L4728" t="str">
            <v/>
          </cell>
          <cell r="M4728" t="str">
            <v/>
          </cell>
        </row>
        <row r="4729">
          <cell r="A4729">
            <v>31102192</v>
          </cell>
          <cell r="C4729">
            <v>31102192</v>
          </cell>
          <cell r="D4729">
            <v>31102192</v>
          </cell>
          <cell r="E4729">
            <v>31102192</v>
          </cell>
          <cell r="F4729">
            <v>31102192</v>
          </cell>
          <cell r="G4729">
            <v>31102192</v>
          </cell>
          <cell r="H4729">
            <v>31102192</v>
          </cell>
          <cell r="I4729" t="str">
            <v/>
          </cell>
          <cell r="J4729" t="str">
            <v/>
          </cell>
          <cell r="K4729" t="str">
            <v/>
          </cell>
          <cell r="L4729" t="str">
            <v/>
          </cell>
          <cell r="M4729" t="str">
            <v/>
          </cell>
        </row>
        <row r="4730">
          <cell r="A4730">
            <v>31102192</v>
          </cell>
          <cell r="C4730">
            <v>31102192</v>
          </cell>
          <cell r="D4730">
            <v>31102192</v>
          </cell>
          <cell r="E4730">
            <v>31102192</v>
          </cell>
          <cell r="F4730">
            <v>31102192</v>
          </cell>
          <cell r="G4730">
            <v>31102192</v>
          </cell>
          <cell r="H4730">
            <v>31102192</v>
          </cell>
          <cell r="I4730" t="str">
            <v/>
          </cell>
          <cell r="J4730" t="str">
            <v/>
          </cell>
          <cell r="K4730" t="str">
            <v/>
          </cell>
          <cell r="L4730" t="str">
            <v/>
          </cell>
          <cell r="M4730" t="str">
            <v/>
          </cell>
        </row>
        <row r="4731">
          <cell r="A4731">
            <v>31102192</v>
          </cell>
          <cell r="C4731">
            <v>31102192</v>
          </cell>
          <cell r="D4731">
            <v>31102192</v>
          </cell>
          <cell r="E4731">
            <v>31102192</v>
          </cell>
          <cell r="F4731">
            <v>31102192</v>
          </cell>
          <cell r="G4731">
            <v>31102192</v>
          </cell>
          <cell r="H4731">
            <v>31102192</v>
          </cell>
          <cell r="I4731" t="str">
            <v/>
          </cell>
          <cell r="J4731" t="str">
            <v/>
          </cell>
          <cell r="K4731" t="str">
            <v/>
          </cell>
          <cell r="L4731" t="str">
            <v/>
          </cell>
          <cell r="M4731" t="str">
            <v/>
          </cell>
        </row>
        <row r="4732">
          <cell r="A4732">
            <v>31102192</v>
          </cell>
          <cell r="C4732">
            <v>31102192</v>
          </cell>
          <cell r="D4732">
            <v>31102192</v>
          </cell>
          <cell r="E4732">
            <v>31102192</v>
          </cell>
          <cell r="F4732">
            <v>31102192</v>
          </cell>
          <cell r="G4732">
            <v>31102192</v>
          </cell>
          <cell r="H4732">
            <v>31102192</v>
          </cell>
          <cell r="I4732" t="str">
            <v/>
          </cell>
          <cell r="J4732" t="str">
            <v/>
          </cell>
          <cell r="K4732" t="str">
            <v/>
          </cell>
          <cell r="L4732" t="str">
            <v/>
          </cell>
          <cell r="M4732" t="str">
            <v/>
          </cell>
        </row>
        <row r="4733">
          <cell r="A4733">
            <v>31102192</v>
          </cell>
          <cell r="C4733">
            <v>31102192</v>
          </cell>
          <cell r="D4733">
            <v>31102192</v>
          </cell>
          <cell r="E4733">
            <v>31102192</v>
          </cell>
          <cell r="F4733">
            <v>31102192</v>
          </cell>
          <cell r="G4733">
            <v>31102192</v>
          </cell>
          <cell r="H4733">
            <v>31102192</v>
          </cell>
          <cell r="I4733" t="str">
            <v/>
          </cell>
          <cell r="J4733" t="str">
            <v/>
          </cell>
          <cell r="K4733" t="str">
            <v/>
          </cell>
          <cell r="L4733" t="str">
            <v/>
          </cell>
          <cell r="M4733" t="str">
            <v/>
          </cell>
        </row>
        <row r="4734">
          <cell r="A4734">
            <v>31102192</v>
          </cell>
          <cell r="C4734">
            <v>31102192</v>
          </cell>
          <cell r="D4734">
            <v>31102192</v>
          </cell>
          <cell r="E4734">
            <v>31102192</v>
          </cell>
          <cell r="F4734">
            <v>31102192</v>
          </cell>
          <cell r="G4734">
            <v>31102192</v>
          </cell>
          <cell r="H4734">
            <v>31102192</v>
          </cell>
          <cell r="I4734" t="str">
            <v/>
          </cell>
          <cell r="J4734" t="str">
            <v/>
          </cell>
          <cell r="K4734" t="str">
            <v/>
          </cell>
          <cell r="L4734" t="str">
            <v/>
          </cell>
          <cell r="M4734" t="str">
            <v/>
          </cell>
        </row>
        <row r="4735">
          <cell r="A4735">
            <v>31102192</v>
          </cell>
          <cell r="C4735">
            <v>31102192</v>
          </cell>
          <cell r="D4735">
            <v>31102192</v>
          </cell>
          <cell r="E4735">
            <v>31102192</v>
          </cell>
          <cell r="F4735">
            <v>31102192</v>
          </cell>
          <cell r="G4735">
            <v>31102192</v>
          </cell>
          <cell r="H4735">
            <v>31102192</v>
          </cell>
          <cell r="I4735" t="str">
            <v/>
          </cell>
          <cell r="J4735" t="str">
            <v/>
          </cell>
          <cell r="K4735" t="str">
            <v/>
          </cell>
          <cell r="L4735" t="str">
            <v/>
          </cell>
          <cell r="M4735" t="str">
            <v/>
          </cell>
        </row>
        <row r="4736">
          <cell r="A4736">
            <v>31102192</v>
          </cell>
          <cell r="C4736">
            <v>31102192</v>
          </cell>
          <cell r="D4736">
            <v>31102192</v>
          </cell>
          <cell r="E4736">
            <v>31102192</v>
          </cell>
          <cell r="F4736">
            <v>31102192</v>
          </cell>
          <cell r="G4736">
            <v>31102192</v>
          </cell>
          <cell r="H4736">
            <v>31102192</v>
          </cell>
          <cell r="I4736" t="str">
            <v/>
          </cell>
          <cell r="J4736" t="str">
            <v/>
          </cell>
          <cell r="K4736" t="str">
            <v/>
          </cell>
          <cell r="L4736" t="str">
            <v/>
          </cell>
          <cell r="M4736" t="str">
            <v/>
          </cell>
        </row>
        <row r="4737">
          <cell r="A4737">
            <v>31102192</v>
          </cell>
          <cell r="C4737">
            <v>31102192</v>
          </cell>
          <cell r="D4737">
            <v>31102192</v>
          </cell>
          <cell r="E4737">
            <v>31102192</v>
          </cell>
          <cell r="F4737">
            <v>31102192</v>
          </cell>
          <cell r="G4737">
            <v>31102192</v>
          </cell>
          <cell r="H4737">
            <v>31102192</v>
          </cell>
          <cell r="I4737" t="str">
            <v/>
          </cell>
          <cell r="J4737" t="str">
            <v/>
          </cell>
          <cell r="K4737" t="str">
            <v/>
          </cell>
          <cell r="L4737" t="str">
            <v/>
          </cell>
          <cell r="M4737" t="str">
            <v/>
          </cell>
        </row>
        <row r="4738">
          <cell r="A4738">
            <v>31102192</v>
          </cell>
          <cell r="C4738">
            <v>31102192</v>
          </cell>
          <cell r="D4738">
            <v>31102192</v>
          </cell>
          <cell r="E4738">
            <v>31102192</v>
          </cell>
          <cell r="F4738">
            <v>31102192</v>
          </cell>
          <cell r="G4738">
            <v>31102192</v>
          </cell>
          <cell r="H4738">
            <v>31102192</v>
          </cell>
          <cell r="I4738" t="str">
            <v/>
          </cell>
          <cell r="J4738" t="str">
            <v/>
          </cell>
          <cell r="K4738" t="str">
            <v/>
          </cell>
          <cell r="L4738" t="str">
            <v/>
          </cell>
          <cell r="M4738" t="str">
            <v/>
          </cell>
        </row>
        <row r="4739">
          <cell r="A4739">
            <v>31102192</v>
          </cell>
          <cell r="C4739">
            <v>31102192</v>
          </cell>
          <cell r="D4739">
            <v>31102192</v>
          </cell>
          <cell r="E4739">
            <v>31102192</v>
          </cell>
          <cell r="F4739">
            <v>31102192</v>
          </cell>
          <cell r="G4739">
            <v>31102192</v>
          </cell>
          <cell r="H4739">
            <v>31102192</v>
          </cell>
          <cell r="I4739" t="str">
            <v/>
          </cell>
          <cell r="J4739" t="str">
            <v/>
          </cell>
          <cell r="K4739" t="str">
            <v/>
          </cell>
          <cell r="L4739" t="str">
            <v/>
          </cell>
          <cell r="M4739" t="str">
            <v/>
          </cell>
        </row>
        <row r="4740">
          <cell r="A4740">
            <v>31102192</v>
          </cell>
          <cell r="C4740">
            <v>31102192</v>
          </cell>
          <cell r="D4740">
            <v>31102192</v>
          </cell>
          <cell r="E4740">
            <v>31102192</v>
          </cell>
          <cell r="F4740">
            <v>31102192</v>
          </cell>
          <cell r="G4740">
            <v>31102192</v>
          </cell>
          <cell r="H4740">
            <v>31102192</v>
          </cell>
          <cell r="I4740" t="str">
            <v/>
          </cell>
          <cell r="J4740" t="str">
            <v/>
          </cell>
          <cell r="K4740" t="str">
            <v/>
          </cell>
          <cell r="L4740" t="str">
            <v/>
          </cell>
          <cell r="M4740" t="str">
            <v/>
          </cell>
        </row>
        <row r="4741">
          <cell r="A4741">
            <v>31102192</v>
          </cell>
          <cell r="C4741">
            <v>31102192</v>
          </cell>
          <cell r="D4741">
            <v>31102192</v>
          </cell>
          <cell r="E4741">
            <v>31102192</v>
          </cell>
          <cell r="F4741">
            <v>31102192</v>
          </cell>
          <cell r="G4741">
            <v>31102192</v>
          </cell>
          <cell r="H4741">
            <v>31102192</v>
          </cell>
          <cell r="I4741" t="str">
            <v/>
          </cell>
          <cell r="J4741" t="str">
            <v/>
          </cell>
          <cell r="K4741" t="str">
            <v/>
          </cell>
          <cell r="L4741" t="str">
            <v/>
          </cell>
          <cell r="M4741" t="str">
            <v/>
          </cell>
        </row>
        <row r="4742">
          <cell r="A4742">
            <v>31102192</v>
          </cell>
          <cell r="C4742">
            <v>31102192</v>
          </cell>
          <cell r="D4742">
            <v>31102192</v>
          </cell>
          <cell r="E4742">
            <v>31102192</v>
          </cell>
          <cell r="F4742">
            <v>31102192</v>
          </cell>
          <cell r="G4742">
            <v>31102192</v>
          </cell>
          <cell r="H4742">
            <v>31102192</v>
          </cell>
          <cell r="I4742" t="str">
            <v/>
          </cell>
          <cell r="J4742" t="str">
            <v/>
          </cell>
          <cell r="K4742" t="str">
            <v/>
          </cell>
          <cell r="L4742" t="str">
            <v/>
          </cell>
          <cell r="M4742" t="str">
            <v/>
          </cell>
        </row>
        <row r="4743">
          <cell r="A4743">
            <v>31102192</v>
          </cell>
          <cell r="C4743">
            <v>31102192</v>
          </cell>
          <cell r="D4743">
            <v>31102192</v>
          </cell>
          <cell r="E4743">
            <v>31102192</v>
          </cell>
          <cell r="F4743">
            <v>31102192</v>
          </cell>
          <cell r="G4743">
            <v>31102192</v>
          </cell>
          <cell r="H4743">
            <v>31102192</v>
          </cell>
          <cell r="I4743" t="str">
            <v/>
          </cell>
          <cell r="J4743" t="str">
            <v/>
          </cell>
          <cell r="K4743" t="str">
            <v/>
          </cell>
          <cell r="L4743" t="str">
            <v/>
          </cell>
          <cell r="M4743" t="str">
            <v/>
          </cell>
        </row>
        <row r="4744">
          <cell r="A4744">
            <v>31102192</v>
          </cell>
          <cell r="C4744">
            <v>31102192</v>
          </cell>
          <cell r="D4744">
            <v>31102192</v>
          </cell>
          <cell r="E4744">
            <v>31102192</v>
          </cell>
          <cell r="F4744">
            <v>31102192</v>
          </cell>
          <cell r="G4744">
            <v>31102192</v>
          </cell>
          <cell r="H4744">
            <v>31102192</v>
          </cell>
          <cell r="I4744" t="str">
            <v/>
          </cell>
          <cell r="J4744" t="str">
            <v/>
          </cell>
          <cell r="K4744" t="str">
            <v/>
          </cell>
          <cell r="L4744" t="str">
            <v/>
          </cell>
          <cell r="M4744" t="str">
            <v/>
          </cell>
        </row>
        <row r="4745">
          <cell r="A4745">
            <v>31102192</v>
          </cell>
          <cell r="C4745">
            <v>31102192</v>
          </cell>
          <cell r="D4745">
            <v>31102192</v>
          </cell>
          <cell r="E4745">
            <v>31102192</v>
          </cell>
          <cell r="F4745">
            <v>31102192</v>
          </cell>
          <cell r="G4745">
            <v>31102192</v>
          </cell>
          <cell r="H4745">
            <v>31102192</v>
          </cell>
          <cell r="I4745" t="str">
            <v/>
          </cell>
          <cell r="J4745" t="str">
            <v/>
          </cell>
          <cell r="K4745" t="str">
            <v/>
          </cell>
          <cell r="L4745" t="str">
            <v/>
          </cell>
          <cell r="M4745" t="str">
            <v/>
          </cell>
        </row>
        <row r="4746">
          <cell r="A4746">
            <v>31102192</v>
          </cell>
          <cell r="C4746">
            <v>31102192</v>
          </cell>
          <cell r="D4746">
            <v>31102192</v>
          </cell>
          <cell r="E4746">
            <v>31102192</v>
          </cell>
          <cell r="F4746">
            <v>31102192</v>
          </cell>
          <cell r="G4746">
            <v>31102192</v>
          </cell>
          <cell r="H4746">
            <v>31102192</v>
          </cell>
          <cell r="I4746" t="str">
            <v/>
          </cell>
          <cell r="J4746" t="str">
            <v/>
          </cell>
          <cell r="K4746" t="str">
            <v/>
          </cell>
          <cell r="L4746" t="str">
            <v/>
          </cell>
          <cell r="M4746" t="str">
            <v/>
          </cell>
        </row>
        <row r="4747">
          <cell r="A4747">
            <v>31102192</v>
          </cell>
          <cell r="C4747">
            <v>31102192</v>
          </cell>
          <cell r="D4747">
            <v>31102192</v>
          </cell>
          <cell r="E4747">
            <v>31102192</v>
          </cell>
          <cell r="F4747">
            <v>31102192</v>
          </cell>
          <cell r="G4747">
            <v>31102192</v>
          </cell>
          <cell r="H4747">
            <v>31102192</v>
          </cell>
          <cell r="I4747" t="str">
            <v/>
          </cell>
          <cell r="J4747" t="str">
            <v/>
          </cell>
          <cell r="K4747" t="str">
            <v/>
          </cell>
          <cell r="L4747" t="str">
            <v/>
          </cell>
          <cell r="M4747" t="str">
            <v/>
          </cell>
        </row>
        <row r="4748">
          <cell r="A4748">
            <v>31102192</v>
          </cell>
          <cell r="C4748">
            <v>31102192</v>
          </cell>
          <cell r="D4748">
            <v>31102192</v>
          </cell>
          <cell r="E4748">
            <v>31102192</v>
          </cell>
          <cell r="F4748">
            <v>31102192</v>
          </cell>
          <cell r="G4748">
            <v>31102192</v>
          </cell>
          <cell r="H4748">
            <v>31102192</v>
          </cell>
          <cell r="I4748" t="str">
            <v/>
          </cell>
          <cell r="J4748" t="str">
            <v/>
          </cell>
          <cell r="K4748" t="str">
            <v/>
          </cell>
          <cell r="L4748" t="str">
            <v/>
          </cell>
          <cell r="M4748" t="str">
            <v/>
          </cell>
        </row>
        <row r="4749">
          <cell r="A4749">
            <v>31102192</v>
          </cell>
          <cell r="C4749">
            <v>31102192</v>
          </cell>
          <cell r="D4749">
            <v>31102192</v>
          </cell>
          <cell r="E4749">
            <v>31102192</v>
          </cell>
          <cell r="F4749">
            <v>31102192</v>
          </cell>
          <cell r="G4749">
            <v>31102192</v>
          </cell>
          <cell r="H4749">
            <v>31102192</v>
          </cell>
          <cell r="I4749" t="str">
            <v/>
          </cell>
          <cell r="J4749" t="str">
            <v/>
          </cell>
          <cell r="K4749" t="str">
            <v/>
          </cell>
          <cell r="L4749" t="str">
            <v/>
          </cell>
          <cell r="M4749" t="str">
            <v/>
          </cell>
        </row>
        <row r="4750">
          <cell r="A4750">
            <v>31102192</v>
          </cell>
          <cell r="C4750">
            <v>31102192</v>
          </cell>
          <cell r="D4750">
            <v>31102192</v>
          </cell>
          <cell r="E4750">
            <v>31102192</v>
          </cell>
          <cell r="F4750">
            <v>31102192</v>
          </cell>
          <cell r="G4750">
            <v>31102192</v>
          </cell>
          <cell r="H4750">
            <v>31102192</v>
          </cell>
          <cell r="I4750" t="str">
            <v/>
          </cell>
          <cell r="J4750" t="str">
            <v/>
          </cell>
          <cell r="K4750" t="str">
            <v/>
          </cell>
          <cell r="L4750" t="str">
            <v/>
          </cell>
          <cell r="M4750" t="str">
            <v/>
          </cell>
        </row>
        <row r="4751">
          <cell r="A4751">
            <v>31102192</v>
          </cell>
          <cell r="C4751">
            <v>31102192</v>
          </cell>
          <cell r="D4751">
            <v>31102192</v>
          </cell>
          <cell r="E4751">
            <v>31102192</v>
          </cell>
          <cell r="F4751">
            <v>31102192</v>
          </cell>
          <cell r="G4751">
            <v>31102192</v>
          </cell>
          <cell r="H4751">
            <v>31102192</v>
          </cell>
          <cell r="I4751" t="str">
            <v/>
          </cell>
          <cell r="J4751" t="str">
            <v/>
          </cell>
          <cell r="K4751" t="str">
            <v/>
          </cell>
          <cell r="L4751" t="str">
            <v/>
          </cell>
          <cell r="M4751" t="str">
            <v/>
          </cell>
        </row>
        <row r="4752">
          <cell r="A4752">
            <v>31102192</v>
          </cell>
          <cell r="C4752">
            <v>31102192</v>
          </cell>
          <cell r="D4752">
            <v>31102192</v>
          </cell>
          <cell r="E4752">
            <v>31102192</v>
          </cell>
          <cell r="F4752">
            <v>31102192</v>
          </cell>
          <cell r="G4752">
            <v>31102192</v>
          </cell>
          <cell r="H4752">
            <v>31102192</v>
          </cell>
          <cell r="I4752" t="str">
            <v/>
          </cell>
          <cell r="J4752" t="str">
            <v/>
          </cell>
          <cell r="K4752" t="str">
            <v/>
          </cell>
          <cell r="L4752" t="str">
            <v/>
          </cell>
          <cell r="M4752" t="str">
            <v/>
          </cell>
        </row>
        <row r="4753">
          <cell r="A4753">
            <v>31102192</v>
          </cell>
          <cell r="C4753">
            <v>31102192</v>
          </cell>
          <cell r="D4753">
            <v>31102192</v>
          </cell>
          <cell r="E4753">
            <v>31102192</v>
          </cell>
          <cell r="F4753">
            <v>31102192</v>
          </cell>
          <cell r="G4753">
            <v>31102192</v>
          </cell>
          <cell r="H4753">
            <v>31102192</v>
          </cell>
          <cell r="I4753" t="str">
            <v/>
          </cell>
          <cell r="J4753" t="str">
            <v/>
          </cell>
          <cell r="K4753" t="str">
            <v/>
          </cell>
          <cell r="L4753" t="str">
            <v/>
          </cell>
          <cell r="M4753" t="str">
            <v/>
          </cell>
        </row>
        <row r="4754">
          <cell r="A4754">
            <v>31102192</v>
          </cell>
          <cell r="C4754">
            <v>31102192</v>
          </cell>
          <cell r="D4754">
            <v>31102192</v>
          </cell>
          <cell r="E4754">
            <v>31102192</v>
          </cell>
          <cell r="F4754">
            <v>31102192</v>
          </cell>
          <cell r="G4754">
            <v>31102192</v>
          </cell>
          <cell r="H4754">
            <v>31102192</v>
          </cell>
          <cell r="I4754" t="str">
            <v/>
          </cell>
          <cell r="J4754" t="str">
            <v/>
          </cell>
          <cell r="K4754" t="str">
            <v/>
          </cell>
          <cell r="L4754" t="str">
            <v/>
          </cell>
          <cell r="M4754" t="str">
            <v/>
          </cell>
        </row>
        <row r="4755">
          <cell r="A4755">
            <v>31102192</v>
          </cell>
          <cell r="C4755">
            <v>31102192</v>
          </cell>
          <cell r="D4755">
            <v>31102192</v>
          </cell>
          <cell r="E4755">
            <v>31102192</v>
          </cell>
          <cell r="F4755">
            <v>31102192</v>
          </cell>
          <cell r="G4755">
            <v>31102192</v>
          </cell>
          <cell r="H4755">
            <v>31102192</v>
          </cell>
          <cell r="I4755" t="str">
            <v/>
          </cell>
          <cell r="J4755" t="str">
            <v/>
          </cell>
          <cell r="K4755" t="str">
            <v/>
          </cell>
          <cell r="L4755" t="str">
            <v/>
          </cell>
          <cell r="M4755" t="str">
            <v/>
          </cell>
        </row>
        <row r="4756">
          <cell r="A4756">
            <v>31102192</v>
          </cell>
          <cell r="C4756">
            <v>31102192</v>
          </cell>
          <cell r="D4756">
            <v>31102192</v>
          </cell>
          <cell r="E4756">
            <v>31102192</v>
          </cell>
          <cell r="F4756">
            <v>31102192</v>
          </cell>
          <cell r="G4756">
            <v>31102192</v>
          </cell>
          <cell r="H4756">
            <v>31102192</v>
          </cell>
          <cell r="I4756" t="str">
            <v/>
          </cell>
          <cell r="J4756" t="str">
            <v/>
          </cell>
          <cell r="K4756" t="str">
            <v/>
          </cell>
          <cell r="L4756" t="str">
            <v/>
          </cell>
          <cell r="M4756" t="str">
            <v/>
          </cell>
        </row>
        <row r="4757">
          <cell r="A4757">
            <v>31102192</v>
          </cell>
          <cell r="C4757">
            <v>31102192</v>
          </cell>
          <cell r="D4757">
            <v>31102192</v>
          </cell>
          <cell r="E4757">
            <v>31102192</v>
          </cell>
          <cell r="F4757">
            <v>31102192</v>
          </cell>
          <cell r="G4757">
            <v>31102192</v>
          </cell>
          <cell r="H4757">
            <v>31102192</v>
          </cell>
          <cell r="I4757" t="str">
            <v/>
          </cell>
          <cell r="J4757" t="str">
            <v/>
          </cell>
          <cell r="K4757" t="str">
            <v/>
          </cell>
          <cell r="L4757" t="str">
            <v/>
          </cell>
          <cell r="M4757" t="str">
            <v/>
          </cell>
        </row>
        <row r="4758">
          <cell r="A4758">
            <v>31102192</v>
          </cell>
          <cell r="C4758">
            <v>31102192</v>
          </cell>
          <cell r="D4758">
            <v>31102192</v>
          </cell>
          <cell r="E4758">
            <v>31102192</v>
          </cell>
          <cell r="F4758">
            <v>31102192</v>
          </cell>
          <cell r="G4758">
            <v>31102192</v>
          </cell>
          <cell r="H4758">
            <v>31102192</v>
          </cell>
          <cell r="I4758" t="str">
            <v/>
          </cell>
          <cell r="J4758" t="str">
            <v/>
          </cell>
          <cell r="K4758" t="str">
            <v/>
          </cell>
          <cell r="L4758" t="str">
            <v/>
          </cell>
          <cell r="M4758" t="str">
            <v/>
          </cell>
        </row>
        <row r="4759">
          <cell r="A4759">
            <v>31102192</v>
          </cell>
          <cell r="C4759">
            <v>31102192</v>
          </cell>
          <cell r="D4759">
            <v>31102192</v>
          </cell>
          <cell r="E4759">
            <v>31102192</v>
          </cell>
          <cell r="F4759">
            <v>31102192</v>
          </cell>
          <cell r="G4759">
            <v>31102192</v>
          </cell>
          <cell r="H4759">
            <v>31102192</v>
          </cell>
          <cell r="I4759" t="str">
            <v/>
          </cell>
          <cell r="J4759" t="str">
            <v/>
          </cell>
          <cell r="K4759" t="str">
            <v/>
          </cell>
          <cell r="L4759" t="str">
            <v/>
          </cell>
          <cell r="M4759" t="str">
            <v/>
          </cell>
        </row>
        <row r="4760">
          <cell r="A4760">
            <v>31102192</v>
          </cell>
          <cell r="C4760">
            <v>31102192</v>
          </cell>
          <cell r="D4760">
            <v>31102192</v>
          </cell>
          <cell r="E4760">
            <v>31102192</v>
          </cell>
          <cell r="F4760">
            <v>31102192</v>
          </cell>
          <cell r="G4760">
            <v>31102192</v>
          </cell>
          <cell r="H4760">
            <v>31102192</v>
          </cell>
          <cell r="I4760" t="str">
            <v/>
          </cell>
          <cell r="J4760" t="str">
            <v/>
          </cell>
          <cell r="K4760" t="str">
            <v/>
          </cell>
          <cell r="L4760" t="str">
            <v/>
          </cell>
          <cell r="M4760" t="str">
            <v/>
          </cell>
        </row>
        <row r="4761">
          <cell r="A4761">
            <v>31102192</v>
          </cell>
          <cell r="C4761">
            <v>31102192</v>
          </cell>
          <cell r="D4761">
            <v>31102192</v>
          </cell>
          <cell r="E4761">
            <v>31102192</v>
          </cell>
          <cell r="F4761">
            <v>31102192</v>
          </cell>
          <cell r="G4761">
            <v>31102192</v>
          </cell>
          <cell r="H4761">
            <v>31102192</v>
          </cell>
          <cell r="I4761" t="str">
            <v/>
          </cell>
          <cell r="J4761" t="str">
            <v/>
          </cell>
          <cell r="K4761" t="str">
            <v/>
          </cell>
          <cell r="L4761" t="str">
            <v/>
          </cell>
          <cell r="M4761" t="str">
            <v/>
          </cell>
        </row>
        <row r="4762">
          <cell r="A4762">
            <v>31102192</v>
          </cell>
          <cell r="C4762">
            <v>31102192</v>
          </cell>
          <cell r="D4762">
            <v>31102192</v>
          </cell>
          <cell r="E4762">
            <v>31102192</v>
          </cell>
          <cell r="F4762">
            <v>31102192</v>
          </cell>
          <cell r="G4762">
            <v>31102192</v>
          </cell>
          <cell r="H4762">
            <v>31102192</v>
          </cell>
          <cell r="I4762" t="str">
            <v/>
          </cell>
          <cell r="J4762" t="str">
            <v/>
          </cell>
          <cell r="K4762" t="str">
            <v/>
          </cell>
          <cell r="L4762" t="str">
            <v/>
          </cell>
          <cell r="M4762" t="str">
            <v/>
          </cell>
        </row>
        <row r="4763">
          <cell r="A4763">
            <v>31102192</v>
          </cell>
          <cell r="C4763">
            <v>31102192</v>
          </cell>
          <cell r="D4763">
            <v>31102192</v>
          </cell>
          <cell r="E4763">
            <v>31102192</v>
          </cell>
          <cell r="F4763">
            <v>31102192</v>
          </cell>
          <cell r="G4763">
            <v>31102192</v>
          </cell>
          <cell r="H4763">
            <v>31102192</v>
          </cell>
          <cell r="I4763" t="str">
            <v/>
          </cell>
          <cell r="J4763" t="str">
            <v/>
          </cell>
          <cell r="K4763" t="str">
            <v/>
          </cell>
          <cell r="L4763" t="str">
            <v/>
          </cell>
          <cell r="M4763" t="str">
            <v/>
          </cell>
        </row>
        <row r="4764">
          <cell r="A4764">
            <v>31102192</v>
          </cell>
          <cell r="C4764">
            <v>31102192</v>
          </cell>
          <cell r="D4764">
            <v>31102192</v>
          </cell>
          <cell r="E4764">
            <v>31102192</v>
          </cell>
          <cell r="F4764">
            <v>31102192</v>
          </cell>
          <cell r="G4764">
            <v>31102192</v>
          </cell>
          <cell r="H4764">
            <v>31102192</v>
          </cell>
          <cell r="I4764" t="str">
            <v/>
          </cell>
          <cell r="J4764" t="str">
            <v/>
          </cell>
          <cell r="K4764" t="str">
            <v/>
          </cell>
          <cell r="L4764" t="str">
            <v/>
          </cell>
          <cell r="M4764" t="str">
            <v/>
          </cell>
        </row>
        <row r="4765">
          <cell r="A4765">
            <v>31102192</v>
          </cell>
          <cell r="C4765">
            <v>31102192</v>
          </cell>
          <cell r="D4765">
            <v>31102192</v>
          </cell>
          <cell r="E4765">
            <v>31102192</v>
          </cell>
          <cell r="F4765">
            <v>31102192</v>
          </cell>
          <cell r="G4765">
            <v>31102192</v>
          </cell>
          <cell r="H4765">
            <v>31102192</v>
          </cell>
          <cell r="I4765" t="str">
            <v/>
          </cell>
          <cell r="J4765" t="str">
            <v/>
          </cell>
          <cell r="K4765" t="str">
            <v/>
          </cell>
          <cell r="L4765" t="str">
            <v/>
          </cell>
          <cell r="M4765" t="str">
            <v/>
          </cell>
        </row>
        <row r="4766">
          <cell r="A4766">
            <v>31102192</v>
          </cell>
          <cell r="C4766">
            <v>31102192</v>
          </cell>
          <cell r="D4766">
            <v>31102192</v>
          </cell>
          <cell r="E4766">
            <v>31102192</v>
          </cell>
          <cell r="F4766">
            <v>31102192</v>
          </cell>
          <cell r="G4766">
            <v>31102192</v>
          </cell>
          <cell r="H4766">
            <v>31102192</v>
          </cell>
          <cell r="I4766" t="str">
            <v/>
          </cell>
          <cell r="J4766" t="str">
            <v/>
          </cell>
          <cell r="K4766" t="str">
            <v/>
          </cell>
          <cell r="L4766" t="str">
            <v/>
          </cell>
          <cell r="M4766" t="str">
            <v/>
          </cell>
        </row>
        <row r="4767">
          <cell r="A4767">
            <v>31102192</v>
          </cell>
          <cell r="C4767">
            <v>31102192</v>
          </cell>
          <cell r="D4767">
            <v>31102192</v>
          </cell>
          <cell r="E4767">
            <v>31102192</v>
          </cell>
          <cell r="F4767">
            <v>31102192</v>
          </cell>
          <cell r="G4767">
            <v>31102192</v>
          </cell>
          <cell r="H4767">
            <v>31102192</v>
          </cell>
          <cell r="I4767" t="str">
            <v/>
          </cell>
          <cell r="J4767" t="str">
            <v/>
          </cell>
          <cell r="K4767" t="str">
            <v/>
          </cell>
          <cell r="L4767" t="str">
            <v/>
          </cell>
          <cell r="M4767" t="str">
            <v/>
          </cell>
        </row>
        <row r="4768">
          <cell r="A4768">
            <v>31102192</v>
          </cell>
          <cell r="C4768">
            <v>31102192</v>
          </cell>
          <cell r="D4768">
            <v>31102192</v>
          </cell>
          <cell r="E4768">
            <v>31102192</v>
          </cell>
          <cell r="F4768">
            <v>31102192</v>
          </cell>
          <cell r="G4768">
            <v>31102192</v>
          </cell>
          <cell r="H4768">
            <v>31102192</v>
          </cell>
          <cell r="I4768" t="str">
            <v/>
          </cell>
          <cell r="J4768" t="str">
            <v/>
          </cell>
          <cell r="K4768" t="str">
            <v/>
          </cell>
          <cell r="L4768" t="str">
            <v/>
          </cell>
          <cell r="M4768" t="str">
            <v/>
          </cell>
        </row>
        <row r="4769">
          <cell r="A4769">
            <v>31102192</v>
          </cell>
          <cell r="C4769">
            <v>31102192</v>
          </cell>
          <cell r="D4769">
            <v>31102192</v>
          </cell>
          <cell r="E4769">
            <v>31102192</v>
          </cell>
          <cell r="F4769">
            <v>31102192</v>
          </cell>
          <cell r="G4769">
            <v>31102192</v>
          </cell>
          <cell r="H4769">
            <v>31102192</v>
          </cell>
          <cell r="I4769" t="str">
            <v/>
          </cell>
          <cell r="J4769" t="str">
            <v/>
          </cell>
          <cell r="K4769" t="str">
            <v/>
          </cell>
          <cell r="L4769" t="str">
            <v/>
          </cell>
          <cell r="M4769" t="str">
            <v/>
          </cell>
        </row>
        <row r="4770">
          <cell r="A4770">
            <v>31102192</v>
          </cell>
          <cell r="C4770">
            <v>31102192</v>
          </cell>
          <cell r="D4770">
            <v>31102192</v>
          </cell>
          <cell r="E4770">
            <v>31102192</v>
          </cell>
          <cell r="F4770">
            <v>31102192</v>
          </cell>
          <cell r="G4770">
            <v>31102192</v>
          </cell>
          <cell r="H4770">
            <v>31102192</v>
          </cell>
          <cell r="I4770" t="str">
            <v/>
          </cell>
          <cell r="J4770" t="str">
            <v/>
          </cell>
          <cell r="K4770" t="str">
            <v/>
          </cell>
          <cell r="L4770" t="str">
            <v/>
          </cell>
          <cell r="M4770" t="str">
            <v/>
          </cell>
        </row>
        <row r="4771">
          <cell r="A4771">
            <v>31102192</v>
          </cell>
          <cell r="C4771">
            <v>31102192</v>
          </cell>
          <cell r="D4771">
            <v>31102192</v>
          </cell>
          <cell r="E4771">
            <v>31102192</v>
          </cell>
          <cell r="F4771">
            <v>31102192</v>
          </cell>
          <cell r="G4771">
            <v>31102192</v>
          </cell>
          <cell r="H4771">
            <v>31102192</v>
          </cell>
          <cell r="I4771" t="str">
            <v/>
          </cell>
          <cell r="J4771" t="str">
            <v/>
          </cell>
          <cell r="K4771" t="str">
            <v/>
          </cell>
          <cell r="L4771" t="str">
            <v/>
          </cell>
          <cell r="M4771" t="str">
            <v/>
          </cell>
        </row>
        <row r="4772">
          <cell r="A4772">
            <v>31102192</v>
          </cell>
          <cell r="C4772">
            <v>31102192</v>
          </cell>
          <cell r="D4772">
            <v>31102192</v>
          </cell>
          <cell r="E4772">
            <v>31102192</v>
          </cell>
          <cell r="F4772">
            <v>31102192</v>
          </cell>
          <cell r="G4772">
            <v>31102192</v>
          </cell>
          <cell r="H4772">
            <v>31102192</v>
          </cell>
          <cell r="I4772" t="str">
            <v/>
          </cell>
          <cell r="J4772" t="str">
            <v/>
          </cell>
          <cell r="K4772" t="str">
            <v/>
          </cell>
          <cell r="L4772" t="str">
            <v/>
          </cell>
          <cell r="M4772" t="str">
            <v/>
          </cell>
        </row>
        <row r="4773">
          <cell r="A4773">
            <v>31102192</v>
          </cell>
          <cell r="C4773">
            <v>31102192</v>
          </cell>
          <cell r="D4773">
            <v>31102192</v>
          </cell>
          <cell r="E4773">
            <v>31102192</v>
          </cell>
          <cell r="F4773">
            <v>31102192</v>
          </cell>
          <cell r="G4773">
            <v>31102192</v>
          </cell>
          <cell r="H4773">
            <v>31102192</v>
          </cell>
          <cell r="I4773" t="str">
            <v/>
          </cell>
          <cell r="J4773" t="str">
            <v/>
          </cell>
          <cell r="K4773" t="str">
            <v/>
          </cell>
          <cell r="L4773" t="str">
            <v/>
          </cell>
          <cell r="M4773" t="str">
            <v/>
          </cell>
        </row>
        <row r="4774">
          <cell r="A4774">
            <v>31102192</v>
          </cell>
          <cell r="C4774">
            <v>31102192</v>
          </cell>
          <cell r="D4774">
            <v>31102192</v>
          </cell>
          <cell r="E4774">
            <v>31102192</v>
          </cell>
          <cell r="F4774">
            <v>31102192</v>
          </cell>
          <cell r="G4774">
            <v>31102192</v>
          </cell>
          <cell r="H4774">
            <v>31102192</v>
          </cell>
          <cell r="I4774" t="str">
            <v/>
          </cell>
          <cell r="J4774" t="str">
            <v/>
          </cell>
          <cell r="K4774" t="str">
            <v/>
          </cell>
          <cell r="L4774" t="str">
            <v/>
          </cell>
          <cell r="M4774" t="str">
            <v/>
          </cell>
        </row>
        <row r="4775">
          <cell r="A4775">
            <v>31102192</v>
          </cell>
          <cell r="C4775">
            <v>31102192</v>
          </cell>
          <cell r="D4775">
            <v>31102192</v>
          </cell>
          <cell r="E4775">
            <v>31102192</v>
          </cell>
          <cell r="F4775">
            <v>31102192</v>
          </cell>
          <cell r="G4775">
            <v>31102192</v>
          </cell>
          <cell r="H4775">
            <v>31102192</v>
          </cell>
          <cell r="I4775" t="str">
            <v/>
          </cell>
          <cell r="J4775" t="str">
            <v/>
          </cell>
          <cell r="K4775" t="str">
            <v/>
          </cell>
          <cell r="L4775" t="str">
            <v/>
          </cell>
          <cell r="M4775" t="str">
            <v/>
          </cell>
        </row>
        <row r="4776">
          <cell r="A4776">
            <v>31102192</v>
          </cell>
          <cell r="C4776">
            <v>31102192</v>
          </cell>
          <cell r="D4776">
            <v>31102192</v>
          </cell>
          <cell r="E4776">
            <v>31102192</v>
          </cell>
          <cell r="F4776">
            <v>31102192</v>
          </cell>
          <cell r="G4776">
            <v>31102192</v>
          </cell>
          <cell r="H4776">
            <v>31102192</v>
          </cell>
          <cell r="I4776" t="str">
            <v/>
          </cell>
          <cell r="J4776" t="str">
            <v/>
          </cell>
          <cell r="K4776" t="str">
            <v/>
          </cell>
          <cell r="L4776" t="str">
            <v/>
          </cell>
          <cell r="M4776" t="str">
            <v/>
          </cell>
        </row>
        <row r="4777">
          <cell r="A4777">
            <v>31102192</v>
          </cell>
          <cell r="C4777">
            <v>31102192</v>
          </cell>
          <cell r="D4777">
            <v>31102192</v>
          </cell>
          <cell r="E4777">
            <v>31102192</v>
          </cell>
          <cell r="F4777">
            <v>31102192</v>
          </cell>
          <cell r="G4777">
            <v>31102192</v>
          </cell>
          <cell r="H4777">
            <v>31102192</v>
          </cell>
          <cell r="I4777" t="str">
            <v/>
          </cell>
          <cell r="J4777" t="str">
            <v/>
          </cell>
          <cell r="K4777" t="str">
            <v/>
          </cell>
          <cell r="L4777" t="str">
            <v/>
          </cell>
          <cell r="M4777" t="str">
            <v/>
          </cell>
        </row>
        <row r="4778">
          <cell r="A4778">
            <v>31102192</v>
          </cell>
          <cell r="C4778">
            <v>31102192</v>
          </cell>
          <cell r="D4778">
            <v>31102192</v>
          </cell>
          <cell r="E4778">
            <v>31102192</v>
          </cell>
          <cell r="F4778">
            <v>31102192</v>
          </cell>
          <cell r="G4778">
            <v>31102192</v>
          </cell>
          <cell r="H4778">
            <v>31102192</v>
          </cell>
          <cell r="I4778" t="str">
            <v/>
          </cell>
          <cell r="J4778" t="str">
            <v/>
          </cell>
          <cell r="K4778" t="str">
            <v/>
          </cell>
          <cell r="L4778" t="str">
            <v/>
          </cell>
          <cell r="M4778" t="str">
            <v/>
          </cell>
        </row>
        <row r="4779">
          <cell r="A4779">
            <v>31102192</v>
          </cell>
          <cell r="C4779">
            <v>31102192</v>
          </cell>
          <cell r="D4779">
            <v>31102192</v>
          </cell>
          <cell r="E4779">
            <v>31102192</v>
          </cell>
          <cell r="F4779">
            <v>31102192</v>
          </cell>
          <cell r="G4779">
            <v>31102192</v>
          </cell>
          <cell r="H4779">
            <v>31102192</v>
          </cell>
          <cell r="I4779" t="str">
            <v/>
          </cell>
          <cell r="J4779" t="str">
            <v/>
          </cell>
          <cell r="K4779" t="str">
            <v/>
          </cell>
          <cell r="L4779" t="str">
            <v/>
          </cell>
          <cell r="M4779" t="str">
            <v/>
          </cell>
        </row>
        <row r="4780">
          <cell r="A4780">
            <v>31102192</v>
          </cell>
          <cell r="C4780">
            <v>31102192</v>
          </cell>
          <cell r="D4780">
            <v>31102192</v>
          </cell>
          <cell r="E4780">
            <v>31102192</v>
          </cell>
          <cell r="F4780">
            <v>31102192</v>
          </cell>
          <cell r="G4780">
            <v>31102192</v>
          </cell>
          <cell r="H4780">
            <v>31102192</v>
          </cell>
          <cell r="I4780" t="str">
            <v/>
          </cell>
          <cell r="J4780" t="str">
            <v/>
          </cell>
          <cell r="K4780" t="str">
            <v/>
          </cell>
          <cell r="L4780" t="str">
            <v/>
          </cell>
          <cell r="M4780" t="str">
            <v/>
          </cell>
        </row>
        <row r="4781">
          <cell r="A4781">
            <v>31102192</v>
          </cell>
          <cell r="C4781">
            <v>31102192</v>
          </cell>
          <cell r="D4781">
            <v>31102192</v>
          </cell>
          <cell r="E4781">
            <v>31102192</v>
          </cell>
          <cell r="F4781">
            <v>31102192</v>
          </cell>
          <cell r="G4781">
            <v>31102192</v>
          </cell>
          <cell r="H4781">
            <v>31102192</v>
          </cell>
          <cell r="I4781" t="str">
            <v/>
          </cell>
          <cell r="J4781" t="str">
            <v/>
          </cell>
          <cell r="K4781" t="str">
            <v/>
          </cell>
          <cell r="L4781" t="str">
            <v/>
          </cell>
          <cell r="M4781" t="str">
            <v/>
          </cell>
        </row>
        <row r="4782">
          <cell r="A4782">
            <v>31102192</v>
          </cell>
          <cell r="C4782">
            <v>31102192</v>
          </cell>
          <cell r="D4782">
            <v>31102192</v>
          </cell>
          <cell r="E4782">
            <v>31102192</v>
          </cell>
          <cell r="F4782">
            <v>31102192</v>
          </cell>
          <cell r="G4782">
            <v>31102192</v>
          </cell>
          <cell r="H4782">
            <v>31102192</v>
          </cell>
          <cell r="I4782" t="str">
            <v/>
          </cell>
          <cell r="J4782" t="str">
            <v/>
          </cell>
          <cell r="K4782" t="str">
            <v/>
          </cell>
          <cell r="L4782" t="str">
            <v/>
          </cell>
          <cell r="M4782" t="str">
            <v/>
          </cell>
        </row>
        <row r="4783">
          <cell r="A4783">
            <v>31102192</v>
          </cell>
          <cell r="C4783">
            <v>31102192</v>
          </cell>
          <cell r="D4783">
            <v>31102192</v>
          </cell>
          <cell r="E4783">
            <v>31102192</v>
          </cell>
          <cell r="F4783">
            <v>31102192</v>
          </cell>
          <cell r="G4783">
            <v>31102192</v>
          </cell>
          <cell r="H4783">
            <v>31102192</v>
          </cell>
          <cell r="I4783" t="str">
            <v/>
          </cell>
          <cell r="J4783" t="str">
            <v/>
          </cell>
          <cell r="K4783" t="str">
            <v/>
          </cell>
          <cell r="L4783" t="str">
            <v/>
          </cell>
          <cell r="M4783" t="str">
            <v/>
          </cell>
        </row>
        <row r="4784">
          <cell r="A4784">
            <v>31102192</v>
          </cell>
          <cell r="C4784">
            <v>31102192</v>
          </cell>
          <cell r="D4784">
            <v>31102192</v>
          </cell>
          <cell r="E4784">
            <v>31102192</v>
          </cell>
          <cell r="F4784">
            <v>31102192</v>
          </cell>
          <cell r="G4784">
            <v>31102192</v>
          </cell>
          <cell r="H4784">
            <v>31102192</v>
          </cell>
          <cell r="I4784" t="str">
            <v/>
          </cell>
          <cell r="J4784" t="str">
            <v/>
          </cell>
          <cell r="K4784" t="str">
            <v/>
          </cell>
          <cell r="L4784" t="str">
            <v/>
          </cell>
          <cell r="M4784" t="str">
            <v/>
          </cell>
        </row>
        <row r="4785">
          <cell r="A4785">
            <v>31102192</v>
          </cell>
          <cell r="C4785">
            <v>31102192</v>
          </cell>
          <cell r="D4785">
            <v>31102192</v>
          </cell>
          <cell r="E4785">
            <v>31102192</v>
          </cell>
          <cell r="F4785">
            <v>31102192</v>
          </cell>
          <cell r="G4785">
            <v>31102192</v>
          </cell>
          <cell r="H4785">
            <v>31102192</v>
          </cell>
          <cell r="I4785" t="str">
            <v/>
          </cell>
          <cell r="J4785" t="str">
            <v/>
          </cell>
          <cell r="K4785" t="str">
            <v/>
          </cell>
          <cell r="L4785" t="str">
            <v/>
          </cell>
          <cell r="M4785" t="str">
            <v/>
          </cell>
        </row>
        <row r="4786">
          <cell r="A4786">
            <v>31102192</v>
          </cell>
          <cell r="C4786">
            <v>31102192</v>
          </cell>
          <cell r="D4786">
            <v>31102192</v>
          </cell>
          <cell r="E4786">
            <v>31102192</v>
          </cell>
          <cell r="F4786">
            <v>31102192</v>
          </cell>
          <cell r="G4786">
            <v>31102192</v>
          </cell>
          <cell r="H4786">
            <v>31102192</v>
          </cell>
          <cell r="I4786" t="str">
            <v/>
          </cell>
          <cell r="J4786" t="str">
            <v/>
          </cell>
          <cell r="K4786" t="str">
            <v/>
          </cell>
          <cell r="L4786" t="str">
            <v/>
          </cell>
          <cell r="M4786" t="str">
            <v/>
          </cell>
        </row>
        <row r="4787">
          <cell r="A4787">
            <v>31102192</v>
          </cell>
          <cell r="C4787">
            <v>31102192</v>
          </cell>
          <cell r="D4787">
            <v>31102192</v>
          </cell>
          <cell r="E4787">
            <v>31102192</v>
          </cell>
          <cell r="F4787">
            <v>31102192</v>
          </cell>
          <cell r="G4787">
            <v>31102192</v>
          </cell>
          <cell r="H4787">
            <v>31102192</v>
          </cell>
          <cell r="I4787" t="str">
            <v/>
          </cell>
          <cell r="J4787" t="str">
            <v/>
          </cell>
          <cell r="K4787" t="str">
            <v/>
          </cell>
          <cell r="L4787" t="str">
            <v/>
          </cell>
          <cell r="M4787" t="str">
            <v/>
          </cell>
        </row>
        <row r="4788">
          <cell r="A4788">
            <v>31102192</v>
          </cell>
          <cell r="C4788">
            <v>31102192</v>
          </cell>
          <cell r="D4788">
            <v>31102192</v>
          </cell>
          <cell r="E4788">
            <v>31102192</v>
          </cell>
          <cell r="F4788">
            <v>31102192</v>
          </cell>
          <cell r="G4788">
            <v>31102192</v>
          </cell>
          <cell r="H4788">
            <v>31102192</v>
          </cell>
          <cell r="I4788" t="str">
            <v/>
          </cell>
          <cell r="J4788" t="str">
            <v/>
          </cell>
          <cell r="K4788" t="str">
            <v/>
          </cell>
          <cell r="L4788" t="str">
            <v/>
          </cell>
          <cell r="M4788" t="str">
            <v/>
          </cell>
        </row>
        <row r="4789">
          <cell r="A4789">
            <v>31102192</v>
          </cell>
          <cell r="C4789">
            <v>31102192</v>
          </cell>
          <cell r="D4789">
            <v>31102192</v>
          </cell>
          <cell r="E4789">
            <v>31102192</v>
          </cell>
          <cell r="F4789">
            <v>31102192</v>
          </cell>
          <cell r="G4789">
            <v>31102192</v>
          </cell>
          <cell r="H4789">
            <v>31102192</v>
          </cell>
          <cell r="I4789" t="str">
            <v/>
          </cell>
          <cell r="J4789" t="str">
            <v/>
          </cell>
          <cell r="K4789" t="str">
            <v/>
          </cell>
          <cell r="L4789" t="str">
            <v/>
          </cell>
          <cell r="M4789" t="str">
            <v/>
          </cell>
        </row>
        <row r="4790">
          <cell r="A4790">
            <v>31102192</v>
          </cell>
          <cell r="C4790">
            <v>31102192</v>
          </cell>
          <cell r="D4790">
            <v>31102192</v>
          </cell>
          <cell r="E4790">
            <v>31102192</v>
          </cell>
          <cell r="F4790">
            <v>31102192</v>
          </cell>
          <cell r="G4790">
            <v>31102192</v>
          </cell>
          <cell r="H4790">
            <v>31102192</v>
          </cell>
          <cell r="I4790" t="str">
            <v/>
          </cell>
          <cell r="J4790" t="str">
            <v/>
          </cell>
          <cell r="K4790" t="str">
            <v/>
          </cell>
          <cell r="L4790" t="str">
            <v/>
          </cell>
          <cell r="M4790" t="str">
            <v/>
          </cell>
        </row>
        <row r="4791">
          <cell r="A4791">
            <v>31102192</v>
          </cell>
          <cell r="C4791">
            <v>31102192</v>
          </cell>
          <cell r="D4791">
            <v>31102192</v>
          </cell>
          <cell r="E4791">
            <v>31102192</v>
          </cell>
          <cell r="F4791">
            <v>31102192</v>
          </cell>
          <cell r="G4791">
            <v>31102192</v>
          </cell>
          <cell r="H4791">
            <v>31102192</v>
          </cell>
          <cell r="I4791" t="str">
            <v/>
          </cell>
          <cell r="J4791" t="str">
            <v/>
          </cell>
          <cell r="K4791" t="str">
            <v/>
          </cell>
          <cell r="L4791" t="str">
            <v/>
          </cell>
          <cell r="M4791" t="str">
            <v/>
          </cell>
        </row>
        <row r="4792">
          <cell r="A4792">
            <v>31102192</v>
          </cell>
          <cell r="C4792">
            <v>31102192</v>
          </cell>
          <cell r="D4792">
            <v>31102192</v>
          </cell>
          <cell r="E4792">
            <v>31102192</v>
          </cell>
          <cell r="F4792">
            <v>31102192</v>
          </cell>
          <cell r="G4792">
            <v>31102192</v>
          </cell>
          <cell r="H4792">
            <v>31102192</v>
          </cell>
          <cell r="I4792" t="str">
            <v/>
          </cell>
          <cell r="J4792" t="str">
            <v/>
          </cell>
          <cell r="K4792" t="str">
            <v/>
          </cell>
          <cell r="L4792" t="str">
            <v/>
          </cell>
          <cell r="M4792" t="str">
            <v/>
          </cell>
        </row>
        <row r="4793">
          <cell r="A4793">
            <v>31102192</v>
          </cell>
          <cell r="C4793">
            <v>31102192</v>
          </cell>
          <cell r="D4793">
            <v>31102192</v>
          </cell>
          <cell r="E4793">
            <v>31102192</v>
          </cell>
          <cell r="F4793">
            <v>31102192</v>
          </cell>
          <cell r="G4793">
            <v>31102192</v>
          </cell>
          <cell r="H4793">
            <v>31102192</v>
          </cell>
          <cell r="I4793" t="str">
            <v/>
          </cell>
          <cell r="J4793" t="str">
            <v/>
          </cell>
          <cell r="K4793" t="str">
            <v/>
          </cell>
          <cell r="L4793" t="str">
            <v/>
          </cell>
          <cell r="M4793" t="str">
            <v/>
          </cell>
        </row>
        <row r="4794">
          <cell r="A4794">
            <v>31102192</v>
          </cell>
          <cell r="C4794">
            <v>31102192</v>
          </cell>
          <cell r="D4794">
            <v>31102192</v>
          </cell>
          <cell r="E4794">
            <v>31102192</v>
          </cell>
          <cell r="F4794">
            <v>31102192</v>
          </cell>
          <cell r="G4794">
            <v>31102192</v>
          </cell>
          <cell r="H4794">
            <v>31102192</v>
          </cell>
          <cell r="I4794" t="str">
            <v/>
          </cell>
          <cell r="J4794" t="str">
            <v/>
          </cell>
          <cell r="K4794" t="str">
            <v/>
          </cell>
          <cell r="L4794" t="str">
            <v/>
          </cell>
          <cell r="M4794" t="str">
            <v/>
          </cell>
        </row>
        <row r="4795">
          <cell r="A4795">
            <v>31102192</v>
          </cell>
          <cell r="C4795">
            <v>31102192</v>
          </cell>
          <cell r="D4795">
            <v>31102192</v>
          </cell>
          <cell r="E4795">
            <v>31102192</v>
          </cell>
          <cell r="F4795">
            <v>31102192</v>
          </cell>
          <cell r="G4795">
            <v>31102192</v>
          </cell>
          <cell r="H4795">
            <v>31102192</v>
          </cell>
          <cell r="I4795" t="str">
            <v/>
          </cell>
          <cell r="J4795" t="str">
            <v/>
          </cell>
          <cell r="K4795" t="str">
            <v/>
          </cell>
          <cell r="L4795" t="str">
            <v/>
          </cell>
          <cell r="M4795" t="str">
            <v/>
          </cell>
        </row>
        <row r="4796">
          <cell r="A4796">
            <v>31102192</v>
          </cell>
          <cell r="C4796">
            <v>31102192</v>
          </cell>
          <cell r="D4796">
            <v>31102192</v>
          </cell>
          <cell r="E4796">
            <v>31102192</v>
          </cell>
          <cell r="F4796">
            <v>31102192</v>
          </cell>
          <cell r="G4796">
            <v>31102192</v>
          </cell>
          <cell r="H4796">
            <v>31102192</v>
          </cell>
          <cell r="I4796" t="str">
            <v/>
          </cell>
          <cell r="J4796" t="str">
            <v/>
          </cell>
          <cell r="K4796" t="str">
            <v/>
          </cell>
          <cell r="L4796" t="str">
            <v/>
          </cell>
          <cell r="M4796" t="str">
            <v/>
          </cell>
        </row>
        <row r="4797">
          <cell r="A4797">
            <v>31102192</v>
          </cell>
          <cell r="C4797">
            <v>31102192</v>
          </cell>
          <cell r="D4797">
            <v>31102192</v>
          </cell>
          <cell r="E4797">
            <v>31102192</v>
          </cell>
          <cell r="F4797">
            <v>31102192</v>
          </cell>
          <cell r="G4797">
            <v>31102192</v>
          </cell>
          <cell r="H4797">
            <v>31102192</v>
          </cell>
          <cell r="I4797" t="str">
            <v/>
          </cell>
          <cell r="J4797" t="str">
            <v/>
          </cell>
          <cell r="K4797" t="str">
            <v/>
          </cell>
          <cell r="L4797" t="str">
            <v/>
          </cell>
          <cell r="M4797" t="str">
            <v/>
          </cell>
        </row>
        <row r="4798">
          <cell r="A4798">
            <v>31102192</v>
          </cell>
          <cell r="C4798">
            <v>31102192</v>
          </cell>
          <cell r="D4798">
            <v>31102192</v>
          </cell>
          <cell r="E4798">
            <v>31102192</v>
          </cell>
          <cell r="F4798">
            <v>31102192</v>
          </cell>
          <cell r="G4798">
            <v>31102192</v>
          </cell>
          <cell r="H4798">
            <v>31102192</v>
          </cell>
          <cell r="I4798" t="str">
            <v/>
          </cell>
          <cell r="J4798" t="str">
            <v/>
          </cell>
          <cell r="K4798" t="str">
            <v/>
          </cell>
          <cell r="L4798" t="str">
            <v/>
          </cell>
          <cell r="M4798" t="str">
            <v/>
          </cell>
        </row>
        <row r="4799">
          <cell r="A4799">
            <v>31102192</v>
          </cell>
          <cell r="C4799">
            <v>31102192</v>
          </cell>
          <cell r="D4799">
            <v>31102192</v>
          </cell>
          <cell r="E4799">
            <v>31102192</v>
          </cell>
          <cell r="F4799">
            <v>31102192</v>
          </cell>
          <cell r="G4799">
            <v>31102192</v>
          </cell>
          <cell r="H4799">
            <v>31102192</v>
          </cell>
          <cell r="I4799" t="str">
            <v/>
          </cell>
          <cell r="J4799" t="str">
            <v/>
          </cell>
          <cell r="K4799" t="str">
            <v/>
          </cell>
          <cell r="L4799" t="str">
            <v/>
          </cell>
          <cell r="M4799" t="str">
            <v/>
          </cell>
        </row>
        <row r="4800">
          <cell r="A4800">
            <v>31102192</v>
          </cell>
          <cell r="C4800">
            <v>31102192</v>
          </cell>
          <cell r="D4800">
            <v>31102192</v>
          </cell>
          <cell r="E4800">
            <v>31102192</v>
          </cell>
          <cell r="F4800">
            <v>31102192</v>
          </cell>
          <cell r="G4800">
            <v>31102192</v>
          </cell>
          <cell r="H4800">
            <v>31102192</v>
          </cell>
          <cell r="I4800" t="str">
            <v/>
          </cell>
          <cell r="J4800" t="str">
            <v/>
          </cell>
          <cell r="K4800" t="str">
            <v/>
          </cell>
          <cell r="L4800" t="str">
            <v/>
          </cell>
          <cell r="M4800" t="str">
            <v/>
          </cell>
        </row>
        <row r="4801">
          <cell r="A4801">
            <v>31102192</v>
          </cell>
          <cell r="C4801">
            <v>31102192</v>
          </cell>
          <cell r="D4801">
            <v>31102192</v>
          </cell>
          <cell r="E4801">
            <v>31102192</v>
          </cell>
          <cell r="F4801">
            <v>31102192</v>
          </cell>
          <cell r="G4801">
            <v>31102192</v>
          </cell>
          <cell r="H4801">
            <v>31102192</v>
          </cell>
          <cell r="I4801" t="str">
            <v/>
          </cell>
          <cell r="J4801" t="str">
            <v/>
          </cell>
          <cell r="K4801" t="str">
            <v/>
          </cell>
          <cell r="L4801" t="str">
            <v/>
          </cell>
          <cell r="M4801" t="str">
            <v/>
          </cell>
        </row>
        <row r="4802">
          <cell r="A4802">
            <v>31102192</v>
          </cell>
          <cell r="C4802">
            <v>31102192</v>
          </cell>
          <cell r="D4802">
            <v>31102192</v>
          </cell>
          <cell r="E4802">
            <v>31102192</v>
          </cell>
          <cell r="F4802">
            <v>31102192</v>
          </cell>
          <cell r="G4802">
            <v>31102192</v>
          </cell>
          <cell r="H4802">
            <v>31102192</v>
          </cell>
          <cell r="I4802" t="str">
            <v/>
          </cell>
          <cell r="J4802" t="str">
            <v/>
          </cell>
          <cell r="K4802" t="str">
            <v/>
          </cell>
          <cell r="L4802" t="str">
            <v/>
          </cell>
          <cell r="M4802" t="str">
            <v/>
          </cell>
        </row>
        <row r="4803">
          <cell r="A4803">
            <v>31102192</v>
          </cell>
          <cell r="C4803">
            <v>31102192</v>
          </cell>
          <cell r="D4803">
            <v>31102192</v>
          </cell>
          <cell r="E4803">
            <v>31102192</v>
          </cell>
          <cell r="F4803">
            <v>31102192</v>
          </cell>
          <cell r="G4803">
            <v>31102192</v>
          </cell>
          <cell r="H4803">
            <v>31102192</v>
          </cell>
          <cell r="I4803" t="str">
            <v/>
          </cell>
          <cell r="J4803" t="str">
            <v/>
          </cell>
          <cell r="K4803" t="str">
            <v/>
          </cell>
          <cell r="L4803" t="str">
            <v/>
          </cell>
          <cell r="M4803" t="str">
            <v/>
          </cell>
        </row>
        <row r="4804">
          <cell r="A4804">
            <v>31102192</v>
          </cell>
          <cell r="C4804">
            <v>31102192</v>
          </cell>
          <cell r="D4804">
            <v>31102192</v>
          </cell>
          <cell r="E4804">
            <v>31102192</v>
          </cell>
          <cell r="F4804">
            <v>31102192</v>
          </cell>
          <cell r="G4804">
            <v>31102192</v>
          </cell>
          <cell r="H4804">
            <v>31102192</v>
          </cell>
          <cell r="I4804" t="str">
            <v/>
          </cell>
          <cell r="J4804" t="str">
            <v/>
          </cell>
          <cell r="K4804" t="str">
            <v/>
          </cell>
          <cell r="L4804" t="str">
            <v/>
          </cell>
          <cell r="M4804" t="str">
            <v/>
          </cell>
        </row>
        <row r="4805">
          <cell r="A4805">
            <v>31102192</v>
          </cell>
          <cell r="C4805">
            <v>31102192</v>
          </cell>
          <cell r="D4805">
            <v>31102192</v>
          </cell>
          <cell r="E4805">
            <v>31102192</v>
          </cell>
          <cell r="F4805">
            <v>31102192</v>
          </cell>
          <cell r="G4805">
            <v>31102192</v>
          </cell>
          <cell r="H4805">
            <v>31102192</v>
          </cell>
          <cell r="I4805" t="str">
            <v/>
          </cell>
          <cell r="J4805" t="str">
            <v/>
          </cell>
          <cell r="K4805" t="str">
            <v/>
          </cell>
          <cell r="L4805" t="str">
            <v/>
          </cell>
          <cell r="M4805" t="str">
            <v/>
          </cell>
        </row>
        <row r="4806">
          <cell r="A4806">
            <v>31102192</v>
          </cell>
          <cell r="C4806">
            <v>31102192</v>
          </cell>
          <cell r="D4806">
            <v>31102192</v>
          </cell>
          <cell r="E4806">
            <v>31102192</v>
          </cell>
          <cell r="F4806">
            <v>31102192</v>
          </cell>
          <cell r="G4806">
            <v>31102192</v>
          </cell>
          <cell r="H4806">
            <v>31102192</v>
          </cell>
          <cell r="I4806" t="str">
            <v/>
          </cell>
          <cell r="J4806" t="str">
            <v/>
          </cell>
          <cell r="K4806" t="str">
            <v/>
          </cell>
          <cell r="L4806" t="str">
            <v/>
          </cell>
          <cell r="M4806" t="str">
            <v/>
          </cell>
        </row>
        <row r="4807">
          <cell r="A4807">
            <v>31102192</v>
          </cell>
          <cell r="C4807">
            <v>31102192</v>
          </cell>
          <cell r="D4807">
            <v>31102192</v>
          </cell>
          <cell r="E4807">
            <v>31102192</v>
          </cell>
          <cell r="F4807">
            <v>31102192</v>
          </cell>
          <cell r="G4807">
            <v>31102192</v>
          </cell>
          <cell r="H4807">
            <v>31102192</v>
          </cell>
          <cell r="I4807" t="str">
            <v/>
          </cell>
          <cell r="J4807" t="str">
            <v/>
          </cell>
          <cell r="K4807" t="str">
            <v/>
          </cell>
          <cell r="L4807" t="str">
            <v/>
          </cell>
          <cell r="M4807" t="str">
            <v/>
          </cell>
        </row>
        <row r="4808">
          <cell r="A4808">
            <v>31102192</v>
          </cell>
          <cell r="C4808">
            <v>31102192</v>
          </cell>
          <cell r="D4808">
            <v>31102192</v>
          </cell>
          <cell r="E4808">
            <v>31102192</v>
          </cell>
          <cell r="F4808">
            <v>31102192</v>
          </cell>
          <cell r="G4808">
            <v>31102192</v>
          </cell>
          <cell r="H4808">
            <v>31102192</v>
          </cell>
          <cell r="I4808" t="str">
            <v/>
          </cell>
          <cell r="J4808" t="str">
            <v/>
          </cell>
          <cell r="K4808" t="str">
            <v/>
          </cell>
          <cell r="L4808" t="str">
            <v/>
          </cell>
          <cell r="M4808" t="str">
            <v/>
          </cell>
        </row>
        <row r="4809">
          <cell r="A4809">
            <v>31102192</v>
          </cell>
          <cell r="C4809">
            <v>31102192</v>
          </cell>
          <cell r="D4809">
            <v>31102192</v>
          </cell>
          <cell r="E4809">
            <v>31102192</v>
          </cell>
          <cell r="F4809">
            <v>31102192</v>
          </cell>
          <cell r="G4809">
            <v>31102192</v>
          </cell>
          <cell r="H4809">
            <v>31102192</v>
          </cell>
          <cell r="I4809" t="str">
            <v/>
          </cell>
          <cell r="J4809" t="str">
            <v/>
          </cell>
          <cell r="K4809" t="str">
            <v/>
          </cell>
          <cell r="L4809" t="str">
            <v/>
          </cell>
          <cell r="M4809" t="str">
            <v/>
          </cell>
        </row>
        <row r="4810">
          <cell r="A4810">
            <v>31102192</v>
          </cell>
          <cell r="C4810">
            <v>31102192</v>
          </cell>
          <cell r="D4810">
            <v>31102192</v>
          </cell>
          <cell r="E4810">
            <v>31102192</v>
          </cell>
          <cell r="F4810">
            <v>31102192</v>
          </cell>
          <cell r="G4810">
            <v>31102192</v>
          </cell>
          <cell r="H4810">
            <v>31102192</v>
          </cell>
          <cell r="I4810" t="str">
            <v/>
          </cell>
          <cell r="J4810" t="str">
            <v/>
          </cell>
          <cell r="K4810" t="str">
            <v/>
          </cell>
          <cell r="L4810" t="str">
            <v/>
          </cell>
          <cell r="M4810" t="str">
            <v/>
          </cell>
        </row>
        <row r="4811">
          <cell r="A4811">
            <v>31102192</v>
          </cell>
          <cell r="C4811">
            <v>31102192</v>
          </cell>
          <cell r="D4811">
            <v>31102192</v>
          </cell>
          <cell r="E4811">
            <v>31102192</v>
          </cell>
          <cell r="F4811">
            <v>31102192</v>
          </cell>
          <cell r="G4811">
            <v>31102192</v>
          </cell>
          <cell r="H4811">
            <v>31102192</v>
          </cell>
          <cell r="I4811" t="str">
            <v/>
          </cell>
          <cell r="J4811" t="str">
            <v/>
          </cell>
          <cell r="K4811" t="str">
            <v/>
          </cell>
          <cell r="L4811" t="str">
            <v/>
          </cell>
          <cell r="M4811" t="str">
            <v/>
          </cell>
        </row>
        <row r="4812">
          <cell r="A4812">
            <v>31102192</v>
          </cell>
          <cell r="C4812">
            <v>31102192</v>
          </cell>
          <cell r="D4812">
            <v>31102192</v>
          </cell>
          <cell r="E4812">
            <v>31102192</v>
          </cell>
          <cell r="F4812">
            <v>31102192</v>
          </cell>
          <cell r="G4812">
            <v>31102192</v>
          </cell>
          <cell r="H4812">
            <v>31102192</v>
          </cell>
          <cell r="I4812" t="str">
            <v/>
          </cell>
          <cell r="J4812" t="str">
            <v/>
          </cell>
          <cell r="K4812" t="str">
            <v/>
          </cell>
          <cell r="L4812" t="str">
            <v/>
          </cell>
          <cell r="M4812" t="str">
            <v/>
          </cell>
        </row>
        <row r="4813">
          <cell r="A4813">
            <v>31102192</v>
          </cell>
          <cell r="C4813">
            <v>31102192</v>
          </cell>
          <cell r="D4813">
            <v>31102192</v>
          </cell>
          <cell r="E4813">
            <v>31102192</v>
          </cell>
          <cell r="F4813">
            <v>31102192</v>
          </cell>
          <cell r="G4813">
            <v>31102192</v>
          </cell>
          <cell r="H4813">
            <v>31102192</v>
          </cell>
          <cell r="I4813" t="str">
            <v/>
          </cell>
          <cell r="J4813" t="str">
            <v/>
          </cell>
          <cell r="K4813" t="str">
            <v/>
          </cell>
          <cell r="L4813" t="str">
            <v/>
          </cell>
          <cell r="M4813" t="str">
            <v/>
          </cell>
        </row>
        <row r="4814">
          <cell r="A4814">
            <v>31102192</v>
          </cell>
          <cell r="C4814">
            <v>31102192</v>
          </cell>
          <cell r="D4814">
            <v>31102192</v>
          </cell>
          <cell r="E4814">
            <v>31102192</v>
          </cell>
          <cell r="F4814">
            <v>31102192</v>
          </cell>
          <cell r="G4814">
            <v>31102192</v>
          </cell>
          <cell r="H4814">
            <v>31102192</v>
          </cell>
          <cell r="I4814" t="str">
            <v/>
          </cell>
          <cell r="J4814" t="str">
            <v/>
          </cell>
          <cell r="K4814" t="str">
            <v/>
          </cell>
          <cell r="L4814" t="str">
            <v/>
          </cell>
          <cell r="M4814" t="str">
            <v/>
          </cell>
        </row>
        <row r="4815">
          <cell r="A4815">
            <v>31102192</v>
          </cell>
          <cell r="C4815">
            <v>31102192</v>
          </cell>
          <cell r="D4815">
            <v>31102192</v>
          </cell>
          <cell r="E4815">
            <v>31102192</v>
          </cell>
          <cell r="F4815">
            <v>31102192</v>
          </cell>
          <cell r="G4815">
            <v>31102192</v>
          </cell>
          <cell r="H4815">
            <v>31102192</v>
          </cell>
          <cell r="I4815" t="str">
            <v/>
          </cell>
          <cell r="J4815" t="str">
            <v/>
          </cell>
          <cell r="K4815" t="str">
            <v/>
          </cell>
          <cell r="L4815" t="str">
            <v/>
          </cell>
          <cell r="M4815" t="str">
            <v/>
          </cell>
        </row>
        <row r="4816">
          <cell r="A4816">
            <v>31102192</v>
          </cell>
          <cell r="C4816">
            <v>31102192</v>
          </cell>
          <cell r="D4816">
            <v>31102192</v>
          </cell>
          <cell r="E4816">
            <v>31102192</v>
          </cell>
          <cell r="F4816">
            <v>31102192</v>
          </cell>
          <cell r="G4816">
            <v>31102192</v>
          </cell>
          <cell r="H4816">
            <v>31102192</v>
          </cell>
          <cell r="I4816" t="str">
            <v/>
          </cell>
          <cell r="J4816" t="str">
            <v/>
          </cell>
          <cell r="K4816" t="str">
            <v/>
          </cell>
          <cell r="L4816" t="str">
            <v/>
          </cell>
          <cell r="M4816" t="str">
            <v/>
          </cell>
        </row>
        <row r="4817">
          <cell r="A4817">
            <v>31102192</v>
          </cell>
          <cell r="C4817">
            <v>31102192</v>
          </cell>
          <cell r="D4817">
            <v>31102192</v>
          </cell>
          <cell r="E4817">
            <v>31102192</v>
          </cell>
          <cell r="F4817">
            <v>31102192</v>
          </cell>
          <cell r="G4817">
            <v>31102192</v>
          </cell>
          <cell r="H4817">
            <v>31102192</v>
          </cell>
          <cell r="I4817" t="str">
            <v/>
          </cell>
          <cell r="J4817" t="str">
            <v/>
          </cell>
          <cell r="K4817" t="str">
            <v/>
          </cell>
          <cell r="L4817" t="str">
            <v/>
          </cell>
          <cell r="M4817" t="str">
            <v/>
          </cell>
        </row>
        <row r="4818">
          <cell r="A4818">
            <v>31102192</v>
          </cell>
          <cell r="C4818">
            <v>31102192</v>
          </cell>
          <cell r="D4818">
            <v>31102192</v>
          </cell>
          <cell r="E4818">
            <v>31102192</v>
          </cell>
          <cell r="F4818">
            <v>31102192</v>
          </cell>
          <cell r="G4818">
            <v>31102192</v>
          </cell>
          <cell r="H4818">
            <v>31102192</v>
          </cell>
          <cell r="I4818" t="str">
            <v/>
          </cell>
          <cell r="J4818" t="str">
            <v/>
          </cell>
          <cell r="K4818" t="str">
            <v/>
          </cell>
          <cell r="L4818" t="str">
            <v/>
          </cell>
          <cell r="M4818" t="str">
            <v/>
          </cell>
        </row>
        <row r="4819">
          <cell r="A4819">
            <v>31102192</v>
          </cell>
          <cell r="C4819">
            <v>31102192</v>
          </cell>
          <cell r="D4819">
            <v>31102192</v>
          </cell>
          <cell r="E4819">
            <v>31102192</v>
          </cell>
          <cell r="F4819">
            <v>31102192</v>
          </cell>
          <cell r="G4819">
            <v>31102192</v>
          </cell>
          <cell r="H4819">
            <v>31102192</v>
          </cell>
          <cell r="I4819" t="str">
            <v/>
          </cell>
          <cell r="J4819" t="str">
            <v/>
          </cell>
          <cell r="K4819" t="str">
            <v/>
          </cell>
          <cell r="L4819" t="str">
            <v/>
          </cell>
          <cell r="M4819" t="str">
            <v/>
          </cell>
        </row>
        <row r="4820">
          <cell r="A4820">
            <v>31102192</v>
          </cell>
          <cell r="C4820">
            <v>31102192</v>
          </cell>
          <cell r="D4820">
            <v>31102192</v>
          </cell>
          <cell r="E4820">
            <v>31102192</v>
          </cell>
          <cell r="F4820">
            <v>31102192</v>
          </cell>
          <cell r="G4820">
            <v>31102192</v>
          </cell>
          <cell r="H4820">
            <v>31102192</v>
          </cell>
          <cell r="I4820" t="str">
            <v/>
          </cell>
          <cell r="J4820" t="str">
            <v/>
          </cell>
          <cell r="K4820" t="str">
            <v/>
          </cell>
          <cell r="L4820" t="str">
            <v/>
          </cell>
          <cell r="M4820" t="str">
            <v/>
          </cell>
        </row>
        <row r="4821">
          <cell r="A4821">
            <v>31102192</v>
          </cell>
          <cell r="C4821">
            <v>31102192</v>
          </cell>
          <cell r="D4821">
            <v>31102192</v>
          </cell>
          <cell r="E4821">
            <v>31102192</v>
          </cell>
          <cell r="F4821">
            <v>31102192</v>
          </cell>
          <cell r="G4821">
            <v>31102192</v>
          </cell>
          <cell r="H4821">
            <v>31102192</v>
          </cell>
          <cell r="I4821" t="str">
            <v/>
          </cell>
          <cell r="J4821" t="str">
            <v/>
          </cell>
          <cell r="K4821" t="str">
            <v/>
          </cell>
          <cell r="L4821" t="str">
            <v/>
          </cell>
          <cell r="M4821" t="str">
            <v/>
          </cell>
        </row>
        <row r="4822">
          <cell r="A4822">
            <v>31102192</v>
          </cell>
          <cell r="C4822">
            <v>31102192</v>
          </cell>
          <cell r="D4822">
            <v>31102192</v>
          </cell>
          <cell r="E4822">
            <v>31102192</v>
          </cell>
          <cell r="F4822">
            <v>31102192</v>
          </cell>
          <cell r="G4822">
            <v>31102192</v>
          </cell>
          <cell r="H4822">
            <v>31102192</v>
          </cell>
          <cell r="I4822" t="str">
            <v/>
          </cell>
          <cell r="J4822" t="str">
            <v/>
          </cell>
          <cell r="K4822" t="str">
            <v/>
          </cell>
          <cell r="L4822" t="str">
            <v/>
          </cell>
          <cell r="M4822" t="str">
            <v/>
          </cell>
        </row>
        <row r="4823">
          <cell r="A4823">
            <v>31102192</v>
          </cell>
          <cell r="C4823">
            <v>31102192</v>
          </cell>
          <cell r="D4823">
            <v>31102192</v>
          </cell>
          <cell r="E4823">
            <v>31102192</v>
          </cell>
          <cell r="F4823">
            <v>31102192</v>
          </cell>
          <cell r="G4823">
            <v>31102192</v>
          </cell>
          <cell r="H4823">
            <v>31102192</v>
          </cell>
          <cell r="I4823" t="str">
            <v/>
          </cell>
          <cell r="J4823" t="str">
            <v/>
          </cell>
          <cell r="K4823" t="str">
            <v/>
          </cell>
          <cell r="L4823" t="str">
            <v/>
          </cell>
          <cell r="M4823" t="str">
            <v/>
          </cell>
        </row>
        <row r="4824">
          <cell r="A4824">
            <v>31102192</v>
          </cell>
          <cell r="C4824">
            <v>31102192</v>
          </cell>
          <cell r="D4824">
            <v>31102192</v>
          </cell>
          <cell r="E4824">
            <v>31102192</v>
          </cell>
          <cell r="F4824">
            <v>31102192</v>
          </cell>
          <cell r="G4824">
            <v>31102192</v>
          </cell>
          <cell r="H4824">
            <v>31102192</v>
          </cell>
          <cell r="I4824" t="str">
            <v/>
          </cell>
          <cell r="J4824" t="str">
            <v/>
          </cell>
          <cell r="K4824" t="str">
            <v/>
          </cell>
          <cell r="L4824" t="str">
            <v/>
          </cell>
          <cell r="M4824" t="str">
            <v/>
          </cell>
        </row>
        <row r="4825">
          <cell r="A4825">
            <v>31102192</v>
          </cell>
          <cell r="C4825">
            <v>31102192</v>
          </cell>
          <cell r="D4825">
            <v>31102192</v>
          </cell>
          <cell r="E4825">
            <v>31102192</v>
          </cell>
          <cell r="F4825">
            <v>31102192</v>
          </cell>
          <cell r="G4825">
            <v>31102192</v>
          </cell>
          <cell r="H4825">
            <v>31102192</v>
          </cell>
          <cell r="I4825" t="str">
            <v/>
          </cell>
          <cell r="J4825" t="str">
            <v/>
          </cell>
          <cell r="K4825" t="str">
            <v/>
          </cell>
          <cell r="L4825" t="str">
            <v/>
          </cell>
          <cell r="M4825" t="str">
            <v/>
          </cell>
        </row>
        <row r="4826">
          <cell r="A4826">
            <v>31102192</v>
          </cell>
          <cell r="C4826">
            <v>31102192</v>
          </cell>
          <cell r="D4826">
            <v>31102192</v>
          </cell>
          <cell r="E4826">
            <v>31102192</v>
          </cell>
          <cell r="F4826">
            <v>31102192</v>
          </cell>
          <cell r="G4826">
            <v>31102192</v>
          </cell>
          <cell r="H4826">
            <v>31102192</v>
          </cell>
          <cell r="I4826" t="str">
            <v/>
          </cell>
          <cell r="J4826" t="str">
            <v/>
          </cell>
          <cell r="K4826" t="str">
            <v/>
          </cell>
          <cell r="L4826" t="str">
            <v/>
          </cell>
          <cell r="M4826" t="str">
            <v/>
          </cell>
        </row>
        <row r="4827">
          <cell r="A4827">
            <v>31102192</v>
          </cell>
          <cell r="C4827">
            <v>31102192</v>
          </cell>
          <cell r="D4827">
            <v>31102192</v>
          </cell>
          <cell r="E4827">
            <v>31102192</v>
          </cell>
          <cell r="F4827">
            <v>31102192</v>
          </cell>
          <cell r="G4827">
            <v>31102192</v>
          </cell>
          <cell r="H4827">
            <v>31102192</v>
          </cell>
          <cell r="I4827" t="str">
            <v/>
          </cell>
          <cell r="J4827" t="str">
            <v/>
          </cell>
          <cell r="K4827" t="str">
            <v/>
          </cell>
          <cell r="L4827" t="str">
            <v/>
          </cell>
          <cell r="M4827" t="str">
            <v/>
          </cell>
        </row>
        <row r="4828">
          <cell r="A4828">
            <v>31102192</v>
          </cell>
          <cell r="C4828">
            <v>31102192</v>
          </cell>
          <cell r="D4828">
            <v>31102192</v>
          </cell>
          <cell r="E4828">
            <v>31102192</v>
          </cell>
          <cell r="F4828">
            <v>31102192</v>
          </cell>
          <cell r="G4828">
            <v>31102192</v>
          </cell>
          <cell r="H4828">
            <v>31102192</v>
          </cell>
          <cell r="I4828" t="str">
            <v/>
          </cell>
          <cell r="J4828" t="str">
            <v/>
          </cell>
          <cell r="K4828" t="str">
            <v/>
          </cell>
          <cell r="L4828" t="str">
            <v/>
          </cell>
          <cell r="M4828" t="str">
            <v/>
          </cell>
        </row>
        <row r="4829">
          <cell r="A4829">
            <v>31102192</v>
          </cell>
          <cell r="C4829">
            <v>31102192</v>
          </cell>
          <cell r="D4829">
            <v>31102192</v>
          </cell>
          <cell r="E4829">
            <v>31102192</v>
          </cell>
          <cell r="F4829">
            <v>31102192</v>
          </cell>
          <cell r="G4829">
            <v>31102192</v>
          </cell>
          <cell r="H4829">
            <v>31102192</v>
          </cell>
          <cell r="I4829" t="str">
            <v/>
          </cell>
          <cell r="J4829" t="str">
            <v/>
          </cell>
          <cell r="K4829" t="str">
            <v/>
          </cell>
          <cell r="L4829" t="str">
            <v/>
          </cell>
          <cell r="M4829" t="str">
            <v/>
          </cell>
        </row>
        <row r="4830">
          <cell r="A4830">
            <v>31102192</v>
          </cell>
          <cell r="C4830">
            <v>31102192</v>
          </cell>
          <cell r="D4830">
            <v>31102192</v>
          </cell>
          <cell r="E4830">
            <v>31102192</v>
          </cell>
          <cell r="F4830">
            <v>31102192</v>
          </cell>
          <cell r="G4830">
            <v>31102192</v>
          </cell>
          <cell r="H4830">
            <v>31102192</v>
          </cell>
          <cell r="I4830" t="str">
            <v/>
          </cell>
          <cell r="J4830" t="str">
            <v/>
          </cell>
          <cell r="K4830" t="str">
            <v/>
          </cell>
          <cell r="L4830" t="str">
            <v/>
          </cell>
          <cell r="M4830" t="str">
            <v/>
          </cell>
        </row>
        <row r="4831">
          <cell r="A4831">
            <v>31102192</v>
          </cell>
          <cell r="C4831">
            <v>31102192</v>
          </cell>
          <cell r="D4831">
            <v>31102192</v>
          </cell>
          <cell r="E4831">
            <v>31102192</v>
          </cell>
          <cell r="F4831">
            <v>31102192</v>
          </cell>
          <cell r="G4831">
            <v>31102192</v>
          </cell>
          <cell r="H4831">
            <v>31102192</v>
          </cell>
          <cell r="I4831" t="str">
            <v/>
          </cell>
          <cell r="J4831" t="str">
            <v/>
          </cell>
          <cell r="K4831" t="str">
            <v/>
          </cell>
          <cell r="L4831" t="str">
            <v/>
          </cell>
          <cell r="M4831" t="str">
            <v/>
          </cell>
        </row>
        <row r="4832">
          <cell r="A4832">
            <v>31102192</v>
          </cell>
          <cell r="C4832">
            <v>31102192</v>
          </cell>
          <cell r="D4832">
            <v>31102192</v>
          </cell>
          <cell r="E4832">
            <v>31102192</v>
          </cell>
          <cell r="F4832">
            <v>31102192</v>
          </cell>
          <cell r="G4832">
            <v>31102192</v>
          </cell>
          <cell r="H4832">
            <v>31102192</v>
          </cell>
          <cell r="I4832" t="str">
            <v/>
          </cell>
          <cell r="J4832" t="str">
            <v/>
          </cell>
          <cell r="K4832" t="str">
            <v/>
          </cell>
          <cell r="L4832" t="str">
            <v/>
          </cell>
          <cell r="M4832" t="str">
            <v/>
          </cell>
        </row>
        <row r="4833">
          <cell r="A4833">
            <v>31102192</v>
          </cell>
          <cell r="C4833">
            <v>31102192</v>
          </cell>
          <cell r="D4833">
            <v>31102192</v>
          </cell>
          <cell r="E4833">
            <v>31102192</v>
          </cell>
          <cell r="F4833">
            <v>31102192</v>
          </cell>
          <cell r="G4833">
            <v>31102192</v>
          </cell>
          <cell r="H4833">
            <v>31102192</v>
          </cell>
          <cell r="I4833" t="str">
            <v/>
          </cell>
          <cell r="J4833" t="str">
            <v/>
          </cell>
          <cell r="K4833" t="str">
            <v/>
          </cell>
          <cell r="L4833" t="str">
            <v/>
          </cell>
          <cell r="M4833" t="str">
            <v/>
          </cell>
        </row>
        <row r="4834">
          <cell r="A4834">
            <v>31102192</v>
          </cell>
          <cell r="C4834">
            <v>31102192</v>
          </cell>
          <cell r="D4834">
            <v>31102192</v>
          </cell>
          <cell r="E4834">
            <v>31102192</v>
          </cell>
          <cell r="F4834">
            <v>31102192</v>
          </cell>
          <cell r="G4834">
            <v>31102192</v>
          </cell>
          <cell r="H4834">
            <v>31102192</v>
          </cell>
          <cell r="I4834" t="str">
            <v/>
          </cell>
          <cell r="J4834" t="str">
            <v/>
          </cell>
          <cell r="K4834" t="str">
            <v/>
          </cell>
          <cell r="L4834" t="str">
            <v/>
          </cell>
          <cell r="M4834" t="str">
            <v/>
          </cell>
        </row>
        <row r="4835">
          <cell r="A4835">
            <v>31102192</v>
          </cell>
          <cell r="C4835">
            <v>31102192</v>
          </cell>
          <cell r="D4835">
            <v>31102192</v>
          </cell>
          <cell r="E4835">
            <v>31102192</v>
          </cell>
          <cell r="F4835">
            <v>31102192</v>
          </cell>
          <cell r="G4835">
            <v>31102192</v>
          </cell>
          <cell r="H4835">
            <v>31102192</v>
          </cell>
          <cell r="I4835" t="str">
            <v/>
          </cell>
          <cell r="J4835" t="str">
            <v/>
          </cell>
          <cell r="K4835" t="str">
            <v/>
          </cell>
          <cell r="L4835" t="str">
            <v/>
          </cell>
          <cell r="M4835" t="str">
            <v/>
          </cell>
        </row>
        <row r="4836">
          <cell r="A4836">
            <v>31102192</v>
          </cell>
          <cell r="C4836">
            <v>31102192</v>
          </cell>
          <cell r="D4836">
            <v>31102192</v>
          </cell>
          <cell r="E4836">
            <v>31102192</v>
          </cell>
          <cell r="F4836">
            <v>31102192</v>
          </cell>
          <cell r="G4836">
            <v>31102192</v>
          </cell>
          <cell r="H4836">
            <v>31102192</v>
          </cell>
          <cell r="I4836" t="str">
            <v/>
          </cell>
          <cell r="J4836" t="str">
            <v/>
          </cell>
          <cell r="K4836" t="str">
            <v/>
          </cell>
          <cell r="L4836" t="str">
            <v/>
          </cell>
          <cell r="M4836" t="str">
            <v/>
          </cell>
        </row>
        <row r="4837">
          <cell r="A4837">
            <v>31102192</v>
          </cell>
          <cell r="C4837">
            <v>31102192</v>
          </cell>
          <cell r="D4837">
            <v>31102192</v>
          </cell>
          <cell r="E4837">
            <v>31102192</v>
          </cell>
          <cell r="F4837">
            <v>31102192</v>
          </cell>
          <cell r="G4837">
            <v>31102192</v>
          </cell>
          <cell r="H4837">
            <v>31102192</v>
          </cell>
          <cell r="I4837" t="str">
            <v/>
          </cell>
          <cell r="J4837" t="str">
            <v/>
          </cell>
          <cell r="K4837" t="str">
            <v/>
          </cell>
          <cell r="L4837" t="str">
            <v/>
          </cell>
          <cell r="M4837" t="str">
            <v/>
          </cell>
        </row>
        <row r="4838">
          <cell r="A4838">
            <v>31102192</v>
          </cell>
          <cell r="C4838">
            <v>31102192</v>
          </cell>
          <cell r="D4838">
            <v>31102192</v>
          </cell>
          <cell r="E4838">
            <v>31102192</v>
          </cell>
          <cell r="F4838">
            <v>31102192</v>
          </cell>
          <cell r="G4838">
            <v>31102192</v>
          </cell>
          <cell r="H4838">
            <v>31102192</v>
          </cell>
          <cell r="I4838" t="str">
            <v/>
          </cell>
          <cell r="J4838" t="str">
            <v/>
          </cell>
          <cell r="K4838" t="str">
            <v/>
          </cell>
          <cell r="L4838" t="str">
            <v/>
          </cell>
          <cell r="M4838" t="str">
            <v/>
          </cell>
        </row>
        <row r="4839">
          <cell r="A4839">
            <v>31102192</v>
          </cell>
          <cell r="C4839">
            <v>31102192</v>
          </cell>
          <cell r="D4839">
            <v>31102192</v>
          </cell>
          <cell r="E4839">
            <v>31102192</v>
          </cell>
          <cell r="F4839">
            <v>31102192</v>
          </cell>
          <cell r="G4839">
            <v>31102192</v>
          </cell>
          <cell r="H4839">
            <v>31102192</v>
          </cell>
          <cell r="I4839" t="str">
            <v/>
          </cell>
          <cell r="J4839" t="str">
            <v/>
          </cell>
          <cell r="K4839" t="str">
            <v/>
          </cell>
          <cell r="L4839" t="str">
            <v/>
          </cell>
          <cell r="M4839" t="str">
            <v/>
          </cell>
        </row>
        <row r="4840">
          <cell r="A4840">
            <v>31102192</v>
          </cell>
          <cell r="C4840">
            <v>31102192</v>
          </cell>
          <cell r="D4840">
            <v>31102192</v>
          </cell>
          <cell r="E4840">
            <v>31102192</v>
          </cell>
          <cell r="F4840">
            <v>31102192</v>
          </cell>
          <cell r="G4840">
            <v>31102192</v>
          </cell>
          <cell r="H4840">
            <v>31102192</v>
          </cell>
          <cell r="I4840" t="str">
            <v/>
          </cell>
          <cell r="J4840" t="str">
            <v/>
          </cell>
          <cell r="K4840" t="str">
            <v/>
          </cell>
          <cell r="L4840" t="str">
            <v/>
          </cell>
          <cell r="M4840" t="str">
            <v/>
          </cell>
        </row>
        <row r="4841">
          <cell r="A4841">
            <v>31102192</v>
          </cell>
          <cell r="C4841">
            <v>31102192</v>
          </cell>
          <cell r="D4841">
            <v>31102192</v>
          </cell>
          <cell r="E4841">
            <v>31102192</v>
          </cell>
          <cell r="F4841">
            <v>31102192</v>
          </cell>
          <cell r="G4841">
            <v>31102192</v>
          </cell>
          <cell r="H4841">
            <v>31102192</v>
          </cell>
          <cell r="I4841" t="str">
            <v/>
          </cell>
          <cell r="J4841" t="str">
            <v/>
          </cell>
          <cell r="K4841" t="str">
            <v/>
          </cell>
          <cell r="L4841" t="str">
            <v/>
          </cell>
          <cell r="M4841" t="str">
            <v/>
          </cell>
        </row>
        <row r="4842">
          <cell r="A4842">
            <v>31102192</v>
          </cell>
          <cell r="C4842">
            <v>31102192</v>
          </cell>
          <cell r="D4842">
            <v>31102192</v>
          </cell>
          <cell r="E4842">
            <v>31102192</v>
          </cell>
          <cell r="F4842">
            <v>31102192</v>
          </cell>
          <cell r="G4842">
            <v>31102192</v>
          </cell>
          <cell r="H4842">
            <v>31102192</v>
          </cell>
          <cell r="I4842" t="str">
            <v/>
          </cell>
          <cell r="J4842" t="str">
            <v/>
          </cell>
          <cell r="K4842" t="str">
            <v/>
          </cell>
          <cell r="L4842" t="str">
            <v/>
          </cell>
          <cell r="M4842" t="str">
            <v/>
          </cell>
        </row>
        <row r="4843">
          <cell r="A4843">
            <v>31102192</v>
          </cell>
          <cell r="C4843">
            <v>31102192</v>
          </cell>
          <cell r="D4843">
            <v>31102192</v>
          </cell>
          <cell r="E4843">
            <v>31102192</v>
          </cell>
          <cell r="F4843">
            <v>31102192</v>
          </cell>
          <cell r="G4843">
            <v>31102192</v>
          </cell>
          <cell r="H4843">
            <v>31102192</v>
          </cell>
          <cell r="I4843" t="str">
            <v/>
          </cell>
          <cell r="J4843" t="str">
            <v/>
          </cell>
          <cell r="K4843" t="str">
            <v/>
          </cell>
          <cell r="L4843" t="str">
            <v/>
          </cell>
          <cell r="M4843" t="str">
            <v/>
          </cell>
        </row>
        <row r="4844">
          <cell r="A4844">
            <v>31102192</v>
          </cell>
          <cell r="C4844">
            <v>31102192</v>
          </cell>
          <cell r="D4844">
            <v>31102192</v>
          </cell>
          <cell r="E4844">
            <v>31102192</v>
          </cell>
          <cell r="F4844">
            <v>31102192</v>
          </cell>
          <cell r="G4844">
            <v>31102192</v>
          </cell>
          <cell r="H4844">
            <v>31102192</v>
          </cell>
          <cell r="I4844" t="str">
            <v/>
          </cell>
          <cell r="J4844" t="str">
            <v/>
          </cell>
          <cell r="K4844" t="str">
            <v/>
          </cell>
          <cell r="L4844" t="str">
            <v/>
          </cell>
          <cell r="M4844" t="str">
            <v/>
          </cell>
        </row>
        <row r="4845">
          <cell r="A4845">
            <v>31102192</v>
          </cell>
          <cell r="C4845">
            <v>31102192</v>
          </cell>
          <cell r="D4845">
            <v>31102192</v>
          </cell>
          <cell r="E4845">
            <v>31102192</v>
          </cell>
          <cell r="F4845">
            <v>31102192</v>
          </cell>
          <cell r="G4845">
            <v>31102192</v>
          </cell>
          <cell r="H4845">
            <v>31102192</v>
          </cell>
          <cell r="I4845" t="str">
            <v/>
          </cell>
          <cell r="J4845" t="str">
            <v/>
          </cell>
          <cell r="K4845" t="str">
            <v/>
          </cell>
          <cell r="L4845" t="str">
            <v/>
          </cell>
          <cell r="M4845" t="str">
            <v/>
          </cell>
        </row>
        <row r="4846">
          <cell r="A4846">
            <v>31102192</v>
          </cell>
          <cell r="C4846">
            <v>31102192</v>
          </cell>
          <cell r="D4846">
            <v>31102192</v>
          </cell>
          <cell r="E4846">
            <v>31102192</v>
          </cell>
          <cell r="F4846">
            <v>31102192</v>
          </cell>
          <cell r="G4846">
            <v>31102192</v>
          </cell>
          <cell r="H4846">
            <v>31102192</v>
          </cell>
          <cell r="I4846" t="str">
            <v/>
          </cell>
          <cell r="J4846" t="str">
            <v/>
          </cell>
          <cell r="K4846" t="str">
            <v/>
          </cell>
          <cell r="L4846" t="str">
            <v/>
          </cell>
          <cell r="M4846" t="str">
            <v/>
          </cell>
        </row>
        <row r="4847">
          <cell r="A4847">
            <v>31102192</v>
          </cell>
          <cell r="C4847">
            <v>31102192</v>
          </cell>
          <cell r="D4847">
            <v>31102192</v>
          </cell>
          <cell r="E4847">
            <v>31102192</v>
          </cell>
          <cell r="F4847">
            <v>31102192</v>
          </cell>
          <cell r="G4847">
            <v>31102192</v>
          </cell>
          <cell r="H4847">
            <v>31102192</v>
          </cell>
          <cell r="I4847" t="str">
            <v/>
          </cell>
          <cell r="J4847" t="str">
            <v/>
          </cell>
          <cell r="K4847" t="str">
            <v/>
          </cell>
          <cell r="L4847" t="str">
            <v/>
          </cell>
          <cell r="M4847" t="str">
            <v/>
          </cell>
        </row>
        <row r="4848">
          <cell r="A4848">
            <v>31102192</v>
          </cell>
          <cell r="C4848">
            <v>31102192</v>
          </cell>
          <cell r="D4848">
            <v>31102192</v>
          </cell>
          <cell r="E4848">
            <v>31102192</v>
          </cell>
          <cell r="F4848">
            <v>31102192</v>
          </cell>
          <cell r="G4848">
            <v>31102192</v>
          </cell>
          <cell r="H4848">
            <v>31102192</v>
          </cell>
          <cell r="I4848" t="str">
            <v/>
          </cell>
          <cell r="J4848" t="str">
            <v/>
          </cell>
          <cell r="K4848" t="str">
            <v/>
          </cell>
          <cell r="L4848" t="str">
            <v/>
          </cell>
          <cell r="M4848" t="str">
            <v/>
          </cell>
        </row>
        <row r="4849">
          <cell r="A4849">
            <v>31102192</v>
          </cell>
          <cell r="C4849">
            <v>31102192</v>
          </cell>
          <cell r="D4849">
            <v>31102192</v>
          </cell>
          <cell r="E4849">
            <v>31102192</v>
          </cell>
          <cell r="F4849">
            <v>31102192</v>
          </cell>
          <cell r="G4849">
            <v>31102192</v>
          </cell>
          <cell r="H4849">
            <v>31102192</v>
          </cell>
          <cell r="I4849" t="str">
            <v/>
          </cell>
          <cell r="J4849" t="str">
            <v/>
          </cell>
          <cell r="K4849" t="str">
            <v/>
          </cell>
          <cell r="L4849" t="str">
            <v/>
          </cell>
          <cell r="M4849" t="str">
            <v/>
          </cell>
        </row>
        <row r="4850">
          <cell r="A4850">
            <v>31102192</v>
          </cell>
          <cell r="C4850">
            <v>31102192</v>
          </cell>
          <cell r="D4850">
            <v>31102192</v>
          </cell>
          <cell r="E4850">
            <v>31102192</v>
          </cell>
          <cell r="F4850">
            <v>31102192</v>
          </cell>
          <cell r="G4850">
            <v>31102192</v>
          </cell>
          <cell r="H4850">
            <v>31102192</v>
          </cell>
          <cell r="I4850" t="str">
            <v/>
          </cell>
          <cell r="J4850" t="str">
            <v/>
          </cell>
          <cell r="K4850" t="str">
            <v/>
          </cell>
          <cell r="L4850" t="str">
            <v/>
          </cell>
          <cell r="M4850" t="str">
            <v/>
          </cell>
        </row>
        <row r="4851">
          <cell r="A4851">
            <v>31102192</v>
          </cell>
          <cell r="C4851">
            <v>31102192</v>
          </cell>
          <cell r="D4851">
            <v>31102192</v>
          </cell>
          <cell r="E4851">
            <v>31102192</v>
          </cell>
          <cell r="F4851">
            <v>31102192</v>
          </cell>
          <cell r="G4851">
            <v>31102192</v>
          </cell>
          <cell r="H4851">
            <v>31102192</v>
          </cell>
          <cell r="I4851" t="str">
            <v/>
          </cell>
          <cell r="J4851" t="str">
            <v/>
          </cell>
          <cell r="K4851" t="str">
            <v/>
          </cell>
          <cell r="L4851" t="str">
            <v/>
          </cell>
          <cell r="M4851" t="str">
            <v/>
          </cell>
        </row>
        <row r="4852">
          <cell r="A4852">
            <v>31102192</v>
          </cell>
          <cell r="C4852">
            <v>31102192</v>
          </cell>
          <cell r="D4852">
            <v>31102192</v>
          </cell>
          <cell r="E4852">
            <v>31102192</v>
          </cell>
          <cell r="F4852">
            <v>31102192</v>
          </cell>
          <cell r="G4852">
            <v>31102192</v>
          </cell>
          <cell r="H4852">
            <v>31102192</v>
          </cell>
          <cell r="I4852" t="str">
            <v/>
          </cell>
          <cell r="J4852" t="str">
            <v/>
          </cell>
          <cell r="K4852" t="str">
            <v/>
          </cell>
          <cell r="L4852" t="str">
            <v/>
          </cell>
          <cell r="M4852" t="str">
            <v/>
          </cell>
        </row>
        <row r="4853">
          <cell r="A4853">
            <v>31102192</v>
          </cell>
          <cell r="C4853">
            <v>31102192</v>
          </cell>
          <cell r="D4853">
            <v>31102192</v>
          </cell>
          <cell r="E4853">
            <v>31102192</v>
          </cell>
          <cell r="F4853">
            <v>31102192</v>
          </cell>
          <cell r="G4853">
            <v>31102192</v>
          </cell>
          <cell r="H4853">
            <v>31102192</v>
          </cell>
          <cell r="I4853" t="str">
            <v/>
          </cell>
          <cell r="J4853" t="str">
            <v/>
          </cell>
          <cell r="K4853" t="str">
            <v/>
          </cell>
          <cell r="L4853" t="str">
            <v/>
          </cell>
          <cell r="M4853" t="str">
            <v/>
          </cell>
        </row>
        <row r="4854">
          <cell r="A4854">
            <v>31102192</v>
          </cell>
          <cell r="C4854">
            <v>31102192</v>
          </cell>
          <cell r="D4854">
            <v>31102192</v>
          </cell>
          <cell r="E4854">
            <v>31102192</v>
          </cell>
          <cell r="F4854">
            <v>31102192</v>
          </cell>
          <cell r="G4854">
            <v>31102192</v>
          </cell>
          <cell r="H4854">
            <v>31102192</v>
          </cell>
          <cell r="I4854" t="str">
            <v/>
          </cell>
          <cell r="J4854" t="str">
            <v/>
          </cell>
          <cell r="K4854" t="str">
            <v/>
          </cell>
          <cell r="L4854" t="str">
            <v/>
          </cell>
          <cell r="M4854" t="str">
            <v/>
          </cell>
        </row>
        <row r="4855">
          <cell r="A4855">
            <v>31102192</v>
          </cell>
          <cell r="C4855">
            <v>31102192</v>
          </cell>
          <cell r="D4855">
            <v>31102192</v>
          </cell>
          <cell r="E4855">
            <v>31102192</v>
          </cell>
          <cell r="F4855">
            <v>31102192</v>
          </cell>
          <cell r="G4855">
            <v>31102192</v>
          </cell>
          <cell r="H4855">
            <v>31102192</v>
          </cell>
          <cell r="I4855" t="str">
            <v/>
          </cell>
          <cell r="J4855" t="str">
            <v/>
          </cell>
          <cell r="K4855" t="str">
            <v/>
          </cell>
          <cell r="L4855" t="str">
            <v/>
          </cell>
          <cell r="M4855" t="str">
            <v/>
          </cell>
        </row>
        <row r="4856">
          <cell r="A4856">
            <v>31102192</v>
          </cell>
          <cell r="C4856">
            <v>31102192</v>
          </cell>
          <cell r="D4856">
            <v>31102192</v>
          </cell>
          <cell r="E4856">
            <v>31102192</v>
          </cell>
          <cell r="F4856">
            <v>31102192</v>
          </cell>
          <cell r="G4856">
            <v>31102192</v>
          </cell>
          <cell r="H4856">
            <v>31102192</v>
          </cell>
          <cell r="I4856" t="str">
            <v/>
          </cell>
          <cell r="J4856" t="str">
            <v/>
          </cell>
          <cell r="K4856" t="str">
            <v/>
          </cell>
          <cell r="L4856" t="str">
            <v/>
          </cell>
          <cell r="M4856" t="str">
            <v/>
          </cell>
        </row>
        <row r="4857">
          <cell r="A4857">
            <v>31102192</v>
          </cell>
          <cell r="C4857">
            <v>31102192</v>
          </cell>
          <cell r="D4857">
            <v>31102192</v>
          </cell>
          <cell r="E4857">
            <v>31102192</v>
          </cell>
          <cell r="F4857">
            <v>31102192</v>
          </cell>
          <cell r="G4857">
            <v>31102192</v>
          </cell>
          <cell r="H4857">
            <v>31102192</v>
          </cell>
          <cell r="I4857" t="str">
            <v/>
          </cell>
          <cell r="J4857" t="str">
            <v/>
          </cell>
          <cell r="K4857" t="str">
            <v/>
          </cell>
          <cell r="L4857" t="str">
            <v/>
          </cell>
          <cell r="M4857" t="str">
            <v/>
          </cell>
        </row>
        <row r="4858">
          <cell r="A4858">
            <v>31102192</v>
          </cell>
          <cell r="C4858">
            <v>31102192</v>
          </cell>
          <cell r="D4858">
            <v>31102192</v>
          </cell>
          <cell r="E4858">
            <v>31102192</v>
          </cell>
          <cell r="F4858">
            <v>31102192</v>
          </cell>
          <cell r="G4858">
            <v>31102192</v>
          </cell>
          <cell r="H4858">
            <v>31102192</v>
          </cell>
          <cell r="I4858" t="str">
            <v/>
          </cell>
          <cell r="J4858" t="str">
            <v/>
          </cell>
          <cell r="K4858" t="str">
            <v/>
          </cell>
          <cell r="L4858" t="str">
            <v/>
          </cell>
          <cell r="M4858" t="str">
            <v/>
          </cell>
        </row>
        <row r="4859">
          <cell r="A4859">
            <v>31102192</v>
          </cell>
          <cell r="C4859">
            <v>31102192</v>
          </cell>
          <cell r="D4859">
            <v>31102192</v>
          </cell>
          <cell r="E4859">
            <v>31102192</v>
          </cell>
          <cell r="F4859">
            <v>31102192</v>
          </cell>
          <cell r="G4859">
            <v>31102192</v>
          </cell>
          <cell r="H4859">
            <v>31102192</v>
          </cell>
          <cell r="I4859" t="str">
            <v/>
          </cell>
          <cell r="J4859" t="str">
            <v/>
          </cell>
          <cell r="K4859" t="str">
            <v/>
          </cell>
          <cell r="L4859" t="str">
            <v/>
          </cell>
          <cell r="M4859" t="str">
            <v/>
          </cell>
        </row>
        <row r="4860">
          <cell r="A4860">
            <v>31102192</v>
          </cell>
          <cell r="C4860">
            <v>31102192</v>
          </cell>
          <cell r="D4860">
            <v>31102192</v>
          </cell>
          <cell r="E4860">
            <v>31102192</v>
          </cell>
          <cell r="F4860">
            <v>31102192</v>
          </cell>
          <cell r="G4860">
            <v>31102192</v>
          </cell>
          <cell r="H4860">
            <v>31102192</v>
          </cell>
          <cell r="I4860" t="str">
            <v/>
          </cell>
          <cell r="J4860" t="str">
            <v/>
          </cell>
          <cell r="K4860" t="str">
            <v/>
          </cell>
          <cell r="L4860" t="str">
            <v/>
          </cell>
          <cell r="M4860" t="str">
            <v/>
          </cell>
        </row>
        <row r="4861">
          <cell r="A4861">
            <v>31102192</v>
          </cell>
          <cell r="C4861">
            <v>31102192</v>
          </cell>
          <cell r="D4861">
            <v>31102192</v>
          </cell>
          <cell r="E4861">
            <v>31102192</v>
          </cell>
          <cell r="F4861">
            <v>31102192</v>
          </cell>
          <cell r="G4861">
            <v>31102192</v>
          </cell>
          <cell r="H4861">
            <v>31102192</v>
          </cell>
          <cell r="I4861" t="str">
            <v/>
          </cell>
          <cell r="J4861" t="str">
            <v/>
          </cell>
          <cell r="K4861" t="str">
            <v/>
          </cell>
          <cell r="L4861" t="str">
            <v/>
          </cell>
          <cell r="M4861" t="str">
            <v/>
          </cell>
        </row>
        <row r="4862">
          <cell r="A4862">
            <v>31102192</v>
          </cell>
          <cell r="C4862">
            <v>31102192</v>
          </cell>
          <cell r="D4862">
            <v>31102192</v>
          </cell>
          <cell r="E4862">
            <v>31102192</v>
          </cell>
          <cell r="F4862">
            <v>31102192</v>
          </cell>
          <cell r="G4862">
            <v>31102192</v>
          </cell>
          <cell r="H4862">
            <v>31102192</v>
          </cell>
          <cell r="I4862" t="str">
            <v/>
          </cell>
          <cell r="J4862" t="str">
            <v/>
          </cell>
          <cell r="K4862" t="str">
            <v/>
          </cell>
          <cell r="L4862" t="str">
            <v/>
          </cell>
          <cell r="M4862" t="str">
            <v/>
          </cell>
        </row>
        <row r="4863">
          <cell r="A4863">
            <v>31102192</v>
          </cell>
          <cell r="C4863">
            <v>31102192</v>
          </cell>
          <cell r="D4863">
            <v>31102192</v>
          </cell>
          <cell r="E4863">
            <v>31102192</v>
          </cell>
          <cell r="F4863">
            <v>31102192</v>
          </cell>
          <cell r="G4863">
            <v>31102192</v>
          </cell>
          <cell r="H4863">
            <v>31102192</v>
          </cell>
          <cell r="I4863" t="str">
            <v/>
          </cell>
          <cell r="J4863" t="str">
            <v/>
          </cell>
          <cell r="K4863" t="str">
            <v/>
          </cell>
          <cell r="L4863" t="str">
            <v/>
          </cell>
          <cell r="M4863" t="str">
            <v/>
          </cell>
        </row>
        <row r="4864">
          <cell r="A4864">
            <v>31102192</v>
          </cell>
          <cell r="C4864">
            <v>31102192</v>
          </cell>
          <cell r="D4864">
            <v>31102192</v>
          </cell>
          <cell r="E4864">
            <v>31102192</v>
          </cell>
          <cell r="F4864">
            <v>31102192</v>
          </cell>
          <cell r="G4864">
            <v>31102192</v>
          </cell>
          <cell r="H4864">
            <v>31102192</v>
          </cell>
          <cell r="I4864" t="str">
            <v/>
          </cell>
          <cell r="J4864" t="str">
            <v/>
          </cell>
          <cell r="K4864" t="str">
            <v/>
          </cell>
          <cell r="L4864" t="str">
            <v/>
          </cell>
          <cell r="M4864" t="str">
            <v/>
          </cell>
        </row>
        <row r="4865">
          <cell r="A4865">
            <v>31102192</v>
          </cell>
          <cell r="C4865">
            <v>31102192</v>
          </cell>
          <cell r="D4865">
            <v>31102192</v>
          </cell>
          <cell r="E4865">
            <v>31102192</v>
          </cell>
          <cell r="F4865">
            <v>31102192</v>
          </cell>
          <cell r="G4865">
            <v>31102192</v>
          </cell>
          <cell r="H4865">
            <v>31102192</v>
          </cell>
          <cell r="I4865" t="str">
            <v/>
          </cell>
          <cell r="J4865" t="str">
            <v/>
          </cell>
          <cell r="K4865" t="str">
            <v/>
          </cell>
          <cell r="L4865" t="str">
            <v/>
          </cell>
          <cell r="M4865" t="str">
            <v/>
          </cell>
        </row>
        <row r="4866">
          <cell r="A4866">
            <v>31102192</v>
          </cell>
          <cell r="C4866">
            <v>31102192</v>
          </cell>
          <cell r="D4866">
            <v>31102192</v>
          </cell>
          <cell r="E4866">
            <v>31102192</v>
          </cell>
          <cell r="F4866">
            <v>31102192</v>
          </cell>
          <cell r="G4866">
            <v>31102192</v>
          </cell>
          <cell r="H4866">
            <v>31102192</v>
          </cell>
          <cell r="I4866" t="str">
            <v/>
          </cell>
          <cell r="J4866" t="str">
            <v/>
          </cell>
          <cell r="K4866" t="str">
            <v/>
          </cell>
          <cell r="L4866" t="str">
            <v/>
          </cell>
          <cell r="M4866" t="str">
            <v/>
          </cell>
        </row>
        <row r="4867">
          <cell r="A4867">
            <v>31102192</v>
          </cell>
          <cell r="C4867">
            <v>31102192</v>
          </cell>
          <cell r="D4867">
            <v>31102192</v>
          </cell>
          <cell r="E4867">
            <v>31102192</v>
          </cell>
          <cell r="F4867">
            <v>31102192</v>
          </cell>
          <cell r="G4867">
            <v>31102192</v>
          </cell>
          <cell r="H4867">
            <v>31102192</v>
          </cell>
          <cell r="I4867" t="str">
            <v/>
          </cell>
          <cell r="J4867" t="str">
            <v/>
          </cell>
          <cell r="K4867" t="str">
            <v/>
          </cell>
          <cell r="L4867" t="str">
            <v/>
          </cell>
          <cell r="M4867" t="str">
            <v/>
          </cell>
        </row>
        <row r="4868">
          <cell r="A4868">
            <v>31102192</v>
          </cell>
          <cell r="C4868">
            <v>31102192</v>
          </cell>
          <cell r="D4868">
            <v>31102192</v>
          </cell>
          <cell r="E4868">
            <v>31102192</v>
          </cell>
          <cell r="F4868">
            <v>31102192</v>
          </cell>
          <cell r="G4868">
            <v>31102192</v>
          </cell>
          <cell r="H4868">
            <v>31102192</v>
          </cell>
          <cell r="I4868" t="str">
            <v/>
          </cell>
          <cell r="J4868" t="str">
            <v/>
          </cell>
          <cell r="K4868" t="str">
            <v/>
          </cell>
          <cell r="L4868" t="str">
            <v/>
          </cell>
          <cell r="M4868" t="str">
            <v/>
          </cell>
        </row>
        <row r="4869">
          <cell r="A4869">
            <v>31102192</v>
          </cell>
          <cell r="C4869">
            <v>31102192</v>
          </cell>
          <cell r="D4869">
            <v>31102192</v>
          </cell>
          <cell r="E4869">
            <v>31102192</v>
          </cell>
          <cell r="F4869">
            <v>31102192</v>
          </cell>
          <cell r="G4869">
            <v>31102192</v>
          </cell>
          <cell r="H4869">
            <v>31102192</v>
          </cell>
          <cell r="I4869" t="str">
            <v/>
          </cell>
          <cell r="J4869" t="str">
            <v/>
          </cell>
          <cell r="K4869" t="str">
            <v/>
          </cell>
          <cell r="L4869" t="str">
            <v/>
          </cell>
          <cell r="M4869" t="str">
            <v/>
          </cell>
        </row>
        <row r="4870">
          <cell r="A4870">
            <v>31102192</v>
          </cell>
          <cell r="C4870">
            <v>31102192</v>
          </cell>
          <cell r="D4870">
            <v>31102192</v>
          </cell>
          <cell r="E4870">
            <v>31102192</v>
          </cell>
          <cell r="F4870">
            <v>31102192</v>
          </cell>
          <cell r="G4870">
            <v>31102192</v>
          </cell>
          <cell r="H4870">
            <v>31102192</v>
          </cell>
          <cell r="I4870" t="str">
            <v/>
          </cell>
          <cell r="J4870" t="str">
            <v/>
          </cell>
          <cell r="K4870" t="str">
            <v/>
          </cell>
          <cell r="L4870" t="str">
            <v/>
          </cell>
          <cell r="M4870" t="str">
            <v/>
          </cell>
        </row>
        <row r="4871">
          <cell r="A4871">
            <v>31102192</v>
          </cell>
          <cell r="C4871">
            <v>31102192</v>
          </cell>
          <cell r="D4871">
            <v>31102192</v>
          </cell>
          <cell r="E4871">
            <v>31102192</v>
          </cell>
          <cell r="F4871">
            <v>31102192</v>
          </cell>
          <cell r="G4871">
            <v>31102192</v>
          </cell>
          <cell r="H4871">
            <v>31102192</v>
          </cell>
          <cell r="I4871" t="str">
            <v/>
          </cell>
          <cell r="J4871" t="str">
            <v/>
          </cell>
          <cell r="K4871" t="str">
            <v/>
          </cell>
          <cell r="L4871" t="str">
            <v/>
          </cell>
          <cell r="M4871" t="str">
            <v/>
          </cell>
        </row>
        <row r="4872">
          <cell r="A4872">
            <v>31102192</v>
          </cell>
          <cell r="C4872">
            <v>31102192</v>
          </cell>
          <cell r="D4872">
            <v>31102192</v>
          </cell>
          <cell r="E4872">
            <v>31102192</v>
          </cell>
          <cell r="F4872">
            <v>31102192</v>
          </cell>
          <cell r="G4872">
            <v>31102192</v>
          </cell>
          <cell r="H4872">
            <v>31102192</v>
          </cell>
          <cell r="I4872" t="str">
            <v/>
          </cell>
          <cell r="J4872" t="str">
            <v/>
          </cell>
          <cell r="K4872" t="str">
            <v/>
          </cell>
          <cell r="L4872" t="str">
            <v/>
          </cell>
          <cell r="M4872" t="str">
            <v/>
          </cell>
        </row>
        <row r="4873">
          <cell r="A4873">
            <v>31102192</v>
          </cell>
          <cell r="C4873">
            <v>31102192</v>
          </cell>
          <cell r="D4873">
            <v>31102192</v>
          </cell>
          <cell r="E4873">
            <v>31102192</v>
          </cell>
          <cell r="F4873">
            <v>31102192</v>
          </cell>
          <cell r="G4873">
            <v>31102192</v>
          </cell>
          <cell r="H4873">
            <v>31102192</v>
          </cell>
          <cell r="I4873" t="str">
            <v/>
          </cell>
          <cell r="J4873" t="str">
            <v/>
          </cell>
          <cell r="K4873" t="str">
            <v/>
          </cell>
          <cell r="L4873" t="str">
            <v/>
          </cell>
          <cell r="M4873" t="str">
            <v/>
          </cell>
        </row>
        <row r="4874">
          <cell r="A4874">
            <v>31102192</v>
          </cell>
          <cell r="C4874">
            <v>31102192</v>
          </cell>
          <cell r="D4874">
            <v>31102192</v>
          </cell>
          <cell r="E4874">
            <v>31102192</v>
          </cell>
          <cell r="F4874">
            <v>31102192</v>
          </cell>
          <cell r="G4874">
            <v>31102192</v>
          </cell>
          <cell r="H4874">
            <v>31102192</v>
          </cell>
          <cell r="I4874" t="str">
            <v/>
          </cell>
          <cell r="J4874" t="str">
            <v/>
          </cell>
          <cell r="K4874" t="str">
            <v/>
          </cell>
          <cell r="L4874" t="str">
            <v/>
          </cell>
          <cell r="M4874" t="str">
            <v/>
          </cell>
        </row>
        <row r="4875">
          <cell r="A4875">
            <v>31102192</v>
          </cell>
          <cell r="C4875">
            <v>31102192</v>
          </cell>
          <cell r="D4875">
            <v>31102192</v>
          </cell>
          <cell r="E4875">
            <v>31102192</v>
          </cell>
          <cell r="F4875">
            <v>31102192</v>
          </cell>
          <cell r="G4875">
            <v>31102192</v>
          </cell>
          <cell r="H4875">
            <v>31102192</v>
          </cell>
          <cell r="I4875" t="str">
            <v/>
          </cell>
          <cell r="J4875" t="str">
            <v/>
          </cell>
          <cell r="K4875" t="str">
            <v/>
          </cell>
          <cell r="L4875" t="str">
            <v/>
          </cell>
          <cell r="M4875" t="str">
            <v/>
          </cell>
        </row>
        <row r="4876">
          <cell r="A4876">
            <v>31102192</v>
          </cell>
          <cell r="C4876">
            <v>31102192</v>
          </cell>
          <cell r="D4876">
            <v>31102192</v>
          </cell>
          <cell r="E4876">
            <v>31102192</v>
          </cell>
          <cell r="F4876">
            <v>31102192</v>
          </cell>
          <cell r="G4876">
            <v>31102192</v>
          </cell>
          <cell r="H4876">
            <v>31102192</v>
          </cell>
          <cell r="I4876" t="str">
            <v/>
          </cell>
          <cell r="J4876" t="str">
            <v/>
          </cell>
          <cell r="K4876" t="str">
            <v/>
          </cell>
          <cell r="L4876" t="str">
            <v/>
          </cell>
          <cell r="M4876" t="str">
            <v/>
          </cell>
        </row>
        <row r="4877">
          <cell r="A4877">
            <v>31102192</v>
          </cell>
          <cell r="C4877">
            <v>31102192</v>
          </cell>
          <cell r="D4877">
            <v>31102192</v>
          </cell>
          <cell r="E4877">
            <v>31102192</v>
          </cell>
          <cell r="F4877">
            <v>31102192</v>
          </cell>
          <cell r="G4877">
            <v>31102192</v>
          </cell>
          <cell r="H4877">
            <v>31102192</v>
          </cell>
          <cell r="I4877" t="str">
            <v/>
          </cell>
          <cell r="J4877" t="str">
            <v/>
          </cell>
          <cell r="K4877" t="str">
            <v/>
          </cell>
          <cell r="L4877" t="str">
            <v/>
          </cell>
          <cell r="M4877" t="str">
            <v/>
          </cell>
        </row>
        <row r="4878">
          <cell r="A4878">
            <v>31102192</v>
          </cell>
          <cell r="C4878">
            <v>31102192</v>
          </cell>
          <cell r="D4878">
            <v>31102192</v>
          </cell>
          <cell r="E4878">
            <v>31102192</v>
          </cell>
          <cell r="F4878">
            <v>31102192</v>
          </cell>
          <cell r="G4878">
            <v>31102192</v>
          </cell>
          <cell r="H4878">
            <v>31102192</v>
          </cell>
          <cell r="I4878" t="str">
            <v/>
          </cell>
          <cell r="J4878" t="str">
            <v/>
          </cell>
          <cell r="K4878" t="str">
            <v/>
          </cell>
          <cell r="L4878" t="str">
            <v/>
          </cell>
          <cell r="M4878" t="str">
            <v/>
          </cell>
        </row>
        <row r="4879">
          <cell r="A4879">
            <v>31102192</v>
          </cell>
          <cell r="C4879">
            <v>31102192</v>
          </cell>
          <cell r="D4879">
            <v>31102192</v>
          </cell>
          <cell r="E4879">
            <v>31102192</v>
          </cell>
          <cell r="F4879">
            <v>31102192</v>
          </cell>
          <cell r="G4879">
            <v>31102192</v>
          </cell>
          <cell r="H4879">
            <v>31102192</v>
          </cell>
          <cell r="I4879" t="str">
            <v/>
          </cell>
          <cell r="J4879" t="str">
            <v/>
          </cell>
          <cell r="K4879" t="str">
            <v/>
          </cell>
          <cell r="L4879" t="str">
            <v/>
          </cell>
          <cell r="M4879" t="str">
            <v/>
          </cell>
        </row>
        <row r="4880">
          <cell r="A4880">
            <v>31102192</v>
          </cell>
          <cell r="C4880">
            <v>31102192</v>
          </cell>
          <cell r="D4880">
            <v>31102192</v>
          </cell>
          <cell r="E4880">
            <v>31102192</v>
          </cell>
          <cell r="F4880">
            <v>31102192</v>
          </cell>
          <cell r="G4880">
            <v>31102192</v>
          </cell>
          <cell r="H4880">
            <v>31102192</v>
          </cell>
          <cell r="I4880" t="str">
            <v/>
          </cell>
          <cell r="J4880" t="str">
            <v/>
          </cell>
          <cell r="K4880" t="str">
            <v/>
          </cell>
          <cell r="L4880" t="str">
            <v/>
          </cell>
          <cell r="M4880" t="str">
            <v/>
          </cell>
        </row>
        <row r="4881">
          <cell r="A4881">
            <v>31102192</v>
          </cell>
          <cell r="C4881">
            <v>31102192</v>
          </cell>
          <cell r="D4881">
            <v>31102192</v>
          </cell>
          <cell r="E4881">
            <v>31102192</v>
          </cell>
          <cell r="F4881">
            <v>31102192</v>
          </cell>
          <cell r="G4881">
            <v>31102192</v>
          </cell>
          <cell r="H4881">
            <v>31102192</v>
          </cell>
          <cell r="I4881" t="str">
            <v/>
          </cell>
          <cell r="J4881" t="str">
            <v/>
          </cell>
          <cell r="K4881" t="str">
            <v/>
          </cell>
          <cell r="L4881" t="str">
            <v/>
          </cell>
          <cell r="M4881" t="str">
            <v/>
          </cell>
        </row>
        <row r="4882">
          <cell r="A4882">
            <v>31102192</v>
          </cell>
          <cell r="C4882">
            <v>31102192</v>
          </cell>
          <cell r="D4882">
            <v>31102192</v>
          </cell>
          <cell r="E4882">
            <v>31102192</v>
          </cell>
          <cell r="F4882">
            <v>31102192</v>
          </cell>
          <cell r="G4882">
            <v>31102192</v>
          </cell>
          <cell r="H4882">
            <v>31102192</v>
          </cell>
          <cell r="I4882" t="str">
            <v/>
          </cell>
          <cell r="J4882" t="str">
            <v/>
          </cell>
          <cell r="K4882" t="str">
            <v/>
          </cell>
          <cell r="L4882" t="str">
            <v/>
          </cell>
          <cell r="M4882" t="str">
            <v/>
          </cell>
        </row>
        <row r="4883">
          <cell r="A4883">
            <v>31102192</v>
          </cell>
          <cell r="C4883">
            <v>31102192</v>
          </cell>
          <cell r="D4883">
            <v>31102192</v>
          </cell>
          <cell r="E4883">
            <v>31102192</v>
          </cell>
          <cell r="F4883">
            <v>31102192</v>
          </cell>
          <cell r="G4883">
            <v>31102192</v>
          </cell>
          <cell r="H4883">
            <v>31102192</v>
          </cell>
          <cell r="I4883" t="str">
            <v/>
          </cell>
          <cell r="J4883" t="str">
            <v/>
          </cell>
          <cell r="K4883" t="str">
            <v/>
          </cell>
          <cell r="L4883" t="str">
            <v/>
          </cell>
          <cell r="M4883" t="str">
            <v/>
          </cell>
        </row>
        <row r="4884">
          <cell r="A4884">
            <v>31102192</v>
          </cell>
          <cell r="C4884">
            <v>31102192</v>
          </cell>
          <cell r="D4884">
            <v>31102192</v>
          </cell>
          <cell r="E4884">
            <v>31102192</v>
          </cell>
          <cell r="F4884">
            <v>31102192</v>
          </cell>
          <cell r="G4884">
            <v>31102192</v>
          </cell>
          <cell r="H4884">
            <v>31102192</v>
          </cell>
          <cell r="I4884" t="str">
            <v/>
          </cell>
          <cell r="J4884" t="str">
            <v/>
          </cell>
          <cell r="K4884" t="str">
            <v/>
          </cell>
          <cell r="L4884" t="str">
            <v/>
          </cell>
          <cell r="M4884" t="str">
            <v/>
          </cell>
        </row>
        <row r="4885">
          <cell r="A4885">
            <v>31102192</v>
          </cell>
          <cell r="C4885">
            <v>31102192</v>
          </cell>
          <cell r="D4885">
            <v>31102192</v>
          </cell>
          <cell r="E4885">
            <v>31102192</v>
          </cell>
          <cell r="F4885">
            <v>31102192</v>
          </cell>
          <cell r="G4885">
            <v>31102192</v>
          </cell>
          <cell r="H4885">
            <v>31102192</v>
          </cell>
          <cell r="I4885" t="str">
            <v/>
          </cell>
          <cell r="J4885" t="str">
            <v/>
          </cell>
          <cell r="K4885" t="str">
            <v/>
          </cell>
          <cell r="L4885" t="str">
            <v/>
          </cell>
          <cell r="M4885" t="str">
            <v/>
          </cell>
        </row>
        <row r="4886">
          <cell r="A4886">
            <v>31102192</v>
          </cell>
          <cell r="C4886">
            <v>31102192</v>
          </cell>
          <cell r="D4886">
            <v>31102192</v>
          </cell>
          <cell r="E4886">
            <v>31102192</v>
          </cell>
          <cell r="F4886">
            <v>31102192</v>
          </cell>
          <cell r="G4886">
            <v>31102192</v>
          </cell>
          <cell r="H4886">
            <v>31102192</v>
          </cell>
          <cell r="I4886" t="str">
            <v/>
          </cell>
          <cell r="J4886" t="str">
            <v/>
          </cell>
          <cell r="K4886" t="str">
            <v/>
          </cell>
          <cell r="L4886" t="str">
            <v/>
          </cell>
          <cell r="M4886" t="str">
            <v/>
          </cell>
        </row>
        <row r="4887">
          <cell r="A4887">
            <v>31102192</v>
          </cell>
          <cell r="C4887">
            <v>31102192</v>
          </cell>
          <cell r="D4887">
            <v>31102192</v>
          </cell>
          <cell r="E4887">
            <v>31102192</v>
          </cell>
          <cell r="F4887">
            <v>31102192</v>
          </cell>
          <cell r="G4887">
            <v>31102192</v>
          </cell>
          <cell r="H4887">
            <v>31102192</v>
          </cell>
          <cell r="I4887" t="str">
            <v/>
          </cell>
          <cell r="J4887" t="str">
            <v/>
          </cell>
          <cell r="K4887" t="str">
            <v/>
          </cell>
          <cell r="L4887" t="str">
            <v/>
          </cell>
          <cell r="M4887" t="str">
            <v/>
          </cell>
        </row>
        <row r="4888">
          <cell r="A4888">
            <v>31102192</v>
          </cell>
          <cell r="C4888">
            <v>31102192</v>
          </cell>
          <cell r="D4888">
            <v>31102192</v>
          </cell>
          <cell r="E4888">
            <v>31102192</v>
          </cell>
          <cell r="F4888">
            <v>31102192</v>
          </cell>
          <cell r="G4888">
            <v>31102192</v>
          </cell>
          <cell r="H4888">
            <v>31102192</v>
          </cell>
          <cell r="I4888" t="str">
            <v/>
          </cell>
          <cell r="J4888" t="str">
            <v/>
          </cell>
          <cell r="K4888" t="str">
            <v/>
          </cell>
          <cell r="L4888" t="str">
            <v/>
          </cell>
          <cell r="M4888" t="str">
            <v/>
          </cell>
        </row>
        <row r="4889">
          <cell r="A4889">
            <v>31102192</v>
          </cell>
          <cell r="C4889">
            <v>31102192</v>
          </cell>
          <cell r="D4889">
            <v>31102192</v>
          </cell>
          <cell r="E4889">
            <v>31102192</v>
          </cell>
          <cell r="F4889">
            <v>31102192</v>
          </cell>
          <cell r="G4889">
            <v>31102192</v>
          </cell>
          <cell r="H4889">
            <v>31102192</v>
          </cell>
          <cell r="I4889" t="str">
            <v/>
          </cell>
          <cell r="J4889" t="str">
            <v/>
          </cell>
          <cell r="K4889" t="str">
            <v/>
          </cell>
          <cell r="L4889" t="str">
            <v/>
          </cell>
          <cell r="M4889" t="str">
            <v/>
          </cell>
        </row>
        <row r="4890">
          <cell r="A4890">
            <v>31102192</v>
          </cell>
          <cell r="C4890">
            <v>31102192</v>
          </cell>
          <cell r="D4890">
            <v>31102192</v>
          </cell>
          <cell r="E4890">
            <v>31102192</v>
          </cell>
          <cell r="F4890">
            <v>31102192</v>
          </cell>
          <cell r="G4890">
            <v>31102192</v>
          </cell>
          <cell r="H4890">
            <v>31102192</v>
          </cell>
          <cell r="I4890" t="str">
            <v/>
          </cell>
          <cell r="J4890" t="str">
            <v/>
          </cell>
          <cell r="K4890" t="str">
            <v/>
          </cell>
          <cell r="L4890" t="str">
            <v/>
          </cell>
          <cell r="M4890" t="str">
            <v/>
          </cell>
        </row>
        <row r="4891">
          <cell r="A4891">
            <v>31102192</v>
          </cell>
          <cell r="C4891">
            <v>31102192</v>
          </cell>
          <cell r="D4891">
            <v>31102192</v>
          </cell>
          <cell r="E4891">
            <v>31102192</v>
          </cell>
          <cell r="F4891">
            <v>31102192</v>
          </cell>
          <cell r="G4891">
            <v>31102192</v>
          </cell>
          <cell r="H4891">
            <v>31102192</v>
          </cell>
          <cell r="I4891" t="str">
            <v/>
          </cell>
          <cell r="J4891" t="str">
            <v/>
          </cell>
          <cell r="K4891" t="str">
            <v/>
          </cell>
          <cell r="L4891" t="str">
            <v/>
          </cell>
          <cell r="M4891" t="str">
            <v/>
          </cell>
        </row>
        <row r="4892">
          <cell r="A4892">
            <v>31102192</v>
          </cell>
          <cell r="C4892">
            <v>31102192</v>
          </cell>
          <cell r="D4892">
            <v>31102192</v>
          </cell>
          <cell r="E4892">
            <v>31102192</v>
          </cell>
          <cell r="F4892">
            <v>31102192</v>
          </cell>
          <cell r="G4892">
            <v>31102192</v>
          </cell>
          <cell r="H4892">
            <v>31102192</v>
          </cell>
          <cell r="I4892" t="str">
            <v/>
          </cell>
          <cell r="J4892" t="str">
            <v/>
          </cell>
          <cell r="K4892" t="str">
            <v/>
          </cell>
          <cell r="L4892" t="str">
            <v/>
          </cell>
          <cell r="M4892" t="str">
            <v/>
          </cell>
        </row>
        <row r="4893">
          <cell r="A4893">
            <v>31102192</v>
          </cell>
          <cell r="C4893">
            <v>31102192</v>
          </cell>
          <cell r="D4893">
            <v>31102192</v>
          </cell>
          <cell r="E4893">
            <v>31102192</v>
          </cell>
          <cell r="F4893">
            <v>31102192</v>
          </cell>
          <cell r="G4893">
            <v>31102192</v>
          </cell>
          <cell r="H4893">
            <v>31102192</v>
          </cell>
          <cell r="I4893" t="str">
            <v/>
          </cell>
          <cell r="J4893" t="str">
            <v/>
          </cell>
          <cell r="K4893" t="str">
            <v/>
          </cell>
          <cell r="L4893" t="str">
            <v/>
          </cell>
          <cell r="M4893" t="str">
            <v/>
          </cell>
        </row>
        <row r="4894">
          <cell r="A4894">
            <v>31102192</v>
          </cell>
          <cell r="C4894">
            <v>31102192</v>
          </cell>
          <cell r="D4894">
            <v>31102192</v>
          </cell>
          <cell r="E4894">
            <v>31102192</v>
          </cell>
          <cell r="F4894">
            <v>31102192</v>
          </cell>
          <cell r="G4894">
            <v>31102192</v>
          </cell>
          <cell r="H4894">
            <v>31102192</v>
          </cell>
          <cell r="I4894" t="str">
            <v/>
          </cell>
          <cell r="J4894" t="str">
            <v/>
          </cell>
          <cell r="K4894" t="str">
            <v/>
          </cell>
          <cell r="L4894" t="str">
            <v/>
          </cell>
          <cell r="M4894" t="str">
            <v/>
          </cell>
        </row>
        <row r="4895">
          <cell r="A4895">
            <v>31102192</v>
          </cell>
          <cell r="C4895">
            <v>31102192</v>
          </cell>
          <cell r="D4895">
            <v>31102192</v>
          </cell>
          <cell r="E4895">
            <v>31102192</v>
          </cell>
          <cell r="F4895">
            <v>31102192</v>
          </cell>
          <cell r="G4895">
            <v>31102192</v>
          </cell>
          <cell r="H4895">
            <v>31102192</v>
          </cell>
          <cell r="I4895" t="str">
            <v/>
          </cell>
          <cell r="J4895" t="str">
            <v/>
          </cell>
          <cell r="K4895" t="str">
            <v/>
          </cell>
          <cell r="L4895" t="str">
            <v/>
          </cell>
          <cell r="M4895" t="str">
            <v/>
          </cell>
        </row>
        <row r="4896">
          <cell r="A4896">
            <v>31102192</v>
          </cell>
          <cell r="C4896">
            <v>31102192</v>
          </cell>
          <cell r="D4896">
            <v>31102192</v>
          </cell>
          <cell r="E4896">
            <v>31102192</v>
          </cell>
          <cell r="F4896">
            <v>31102192</v>
          </cell>
          <cell r="G4896">
            <v>31102192</v>
          </cell>
          <cell r="H4896">
            <v>31102192</v>
          </cell>
          <cell r="I4896" t="str">
            <v/>
          </cell>
          <cell r="J4896" t="str">
            <v/>
          </cell>
          <cell r="K4896" t="str">
            <v/>
          </cell>
          <cell r="L4896" t="str">
            <v/>
          </cell>
          <cell r="M4896" t="str">
            <v/>
          </cell>
        </row>
        <row r="4897">
          <cell r="A4897">
            <v>31102192</v>
          </cell>
          <cell r="C4897">
            <v>31102192</v>
          </cell>
          <cell r="D4897">
            <v>31102192</v>
          </cell>
          <cell r="E4897">
            <v>31102192</v>
          </cell>
          <cell r="F4897">
            <v>31102192</v>
          </cell>
          <cell r="G4897">
            <v>31102192</v>
          </cell>
          <cell r="H4897">
            <v>31102192</v>
          </cell>
          <cell r="I4897" t="str">
            <v/>
          </cell>
          <cell r="J4897" t="str">
            <v/>
          </cell>
          <cell r="K4897" t="str">
            <v/>
          </cell>
          <cell r="L4897" t="str">
            <v/>
          </cell>
          <cell r="M4897" t="str">
            <v/>
          </cell>
        </row>
        <row r="4898">
          <cell r="A4898">
            <v>31102192</v>
          </cell>
          <cell r="C4898">
            <v>31102192</v>
          </cell>
          <cell r="D4898">
            <v>31102192</v>
          </cell>
          <cell r="E4898">
            <v>31102192</v>
          </cell>
          <cell r="F4898">
            <v>31102192</v>
          </cell>
          <cell r="G4898">
            <v>31102192</v>
          </cell>
          <cell r="H4898">
            <v>31102192</v>
          </cell>
          <cell r="I4898" t="str">
            <v/>
          </cell>
          <cell r="J4898" t="str">
            <v/>
          </cell>
          <cell r="K4898" t="str">
            <v/>
          </cell>
          <cell r="L4898" t="str">
            <v/>
          </cell>
          <cell r="M4898" t="str">
            <v/>
          </cell>
        </row>
        <row r="4899">
          <cell r="A4899">
            <v>31102192</v>
          </cell>
          <cell r="C4899">
            <v>31102192</v>
          </cell>
          <cell r="D4899">
            <v>31102192</v>
          </cell>
          <cell r="E4899">
            <v>31102192</v>
          </cell>
          <cell r="F4899">
            <v>31102192</v>
          </cell>
          <cell r="G4899">
            <v>31102192</v>
          </cell>
          <cell r="H4899">
            <v>31102192</v>
          </cell>
          <cell r="I4899" t="str">
            <v/>
          </cell>
          <cell r="J4899" t="str">
            <v/>
          </cell>
          <cell r="K4899" t="str">
            <v/>
          </cell>
          <cell r="L4899" t="str">
            <v/>
          </cell>
          <cell r="M4899" t="str">
            <v/>
          </cell>
        </row>
        <row r="4900">
          <cell r="A4900">
            <v>31102192</v>
          </cell>
          <cell r="C4900">
            <v>31102192</v>
          </cell>
          <cell r="D4900">
            <v>31102192</v>
          </cell>
          <cell r="E4900">
            <v>31102192</v>
          </cell>
          <cell r="F4900">
            <v>31102192</v>
          </cell>
          <cell r="G4900">
            <v>31102192</v>
          </cell>
          <cell r="H4900">
            <v>31102192</v>
          </cell>
          <cell r="I4900" t="str">
            <v/>
          </cell>
          <cell r="J4900" t="str">
            <v/>
          </cell>
          <cell r="K4900" t="str">
            <v/>
          </cell>
          <cell r="L4900" t="str">
            <v/>
          </cell>
          <cell r="M4900" t="str">
            <v/>
          </cell>
        </row>
        <row r="4901">
          <cell r="A4901">
            <v>31102192</v>
          </cell>
          <cell r="C4901">
            <v>31102192</v>
          </cell>
          <cell r="D4901">
            <v>31102192</v>
          </cell>
          <cell r="E4901">
            <v>31102192</v>
          </cell>
          <cell r="F4901">
            <v>31102192</v>
          </cell>
          <cell r="G4901">
            <v>31102192</v>
          </cell>
          <cell r="H4901">
            <v>31102192</v>
          </cell>
          <cell r="I4901" t="str">
            <v/>
          </cell>
          <cell r="J4901" t="str">
            <v/>
          </cell>
          <cell r="K4901" t="str">
            <v/>
          </cell>
          <cell r="L4901" t="str">
            <v/>
          </cell>
          <cell r="M4901" t="str">
            <v/>
          </cell>
        </row>
        <row r="4902">
          <cell r="A4902">
            <v>31102192</v>
          </cell>
          <cell r="C4902">
            <v>31102192</v>
          </cell>
          <cell r="D4902">
            <v>31102192</v>
          </cell>
          <cell r="E4902">
            <v>31102192</v>
          </cell>
          <cell r="F4902">
            <v>31102192</v>
          </cell>
          <cell r="G4902">
            <v>31102192</v>
          </cell>
          <cell r="H4902">
            <v>31102192</v>
          </cell>
          <cell r="I4902" t="str">
            <v/>
          </cell>
          <cell r="J4902" t="str">
            <v/>
          </cell>
          <cell r="K4902" t="str">
            <v/>
          </cell>
          <cell r="L4902" t="str">
            <v/>
          </cell>
          <cell r="M4902" t="str">
            <v/>
          </cell>
        </row>
        <row r="4903">
          <cell r="A4903">
            <v>31102192</v>
          </cell>
          <cell r="C4903">
            <v>31102192</v>
          </cell>
          <cell r="D4903">
            <v>31102192</v>
          </cell>
          <cell r="E4903">
            <v>31102192</v>
          </cell>
          <cell r="F4903">
            <v>31102192</v>
          </cell>
          <cell r="G4903">
            <v>31102192</v>
          </cell>
          <cell r="H4903">
            <v>31102192</v>
          </cell>
          <cell r="I4903" t="str">
            <v/>
          </cell>
          <cell r="J4903" t="str">
            <v/>
          </cell>
          <cell r="K4903" t="str">
            <v/>
          </cell>
          <cell r="L4903" t="str">
            <v/>
          </cell>
          <cell r="M4903" t="str">
            <v/>
          </cell>
        </row>
        <row r="4904">
          <cell r="A4904">
            <v>31102192</v>
          </cell>
          <cell r="C4904">
            <v>31102192</v>
          </cell>
          <cell r="D4904">
            <v>31102192</v>
          </cell>
          <cell r="E4904">
            <v>31102192</v>
          </cell>
          <cell r="F4904">
            <v>31102192</v>
          </cell>
          <cell r="G4904">
            <v>31102192</v>
          </cell>
          <cell r="H4904">
            <v>31102192</v>
          </cell>
          <cell r="I4904" t="str">
            <v/>
          </cell>
          <cell r="J4904" t="str">
            <v/>
          </cell>
          <cell r="K4904" t="str">
            <v/>
          </cell>
          <cell r="L4904" t="str">
            <v/>
          </cell>
          <cell r="M4904" t="str">
            <v/>
          </cell>
        </row>
        <row r="4905">
          <cell r="A4905">
            <v>31102192</v>
          </cell>
          <cell r="C4905">
            <v>31102192</v>
          </cell>
          <cell r="D4905">
            <v>31102192</v>
          </cell>
          <cell r="E4905">
            <v>31102192</v>
          </cell>
          <cell r="F4905">
            <v>31102192</v>
          </cell>
          <cell r="G4905">
            <v>31102192</v>
          </cell>
          <cell r="H4905">
            <v>31102192</v>
          </cell>
          <cell r="I4905" t="str">
            <v/>
          </cell>
          <cell r="J4905" t="str">
            <v/>
          </cell>
          <cell r="K4905" t="str">
            <v/>
          </cell>
          <cell r="L4905" t="str">
            <v/>
          </cell>
          <cell r="M4905" t="str">
            <v/>
          </cell>
        </row>
        <row r="4906">
          <cell r="A4906">
            <v>31102192</v>
          </cell>
          <cell r="C4906">
            <v>31102192</v>
          </cell>
          <cell r="D4906">
            <v>31102192</v>
          </cell>
          <cell r="E4906">
            <v>31102192</v>
          </cell>
          <cell r="F4906">
            <v>31102192</v>
          </cell>
          <cell r="G4906">
            <v>31102192</v>
          </cell>
          <cell r="H4906">
            <v>31102192</v>
          </cell>
          <cell r="I4906" t="str">
            <v/>
          </cell>
          <cell r="J4906" t="str">
            <v/>
          </cell>
          <cell r="K4906" t="str">
            <v/>
          </cell>
          <cell r="L4906" t="str">
            <v/>
          </cell>
          <cell r="M4906" t="str">
            <v/>
          </cell>
        </row>
        <row r="4907">
          <cell r="A4907">
            <v>31102192</v>
          </cell>
          <cell r="C4907">
            <v>31102192</v>
          </cell>
          <cell r="D4907">
            <v>31102192</v>
          </cell>
          <cell r="E4907">
            <v>31102192</v>
          </cell>
          <cell r="F4907">
            <v>31102192</v>
          </cell>
          <cell r="G4907">
            <v>31102192</v>
          </cell>
          <cell r="H4907">
            <v>31102192</v>
          </cell>
          <cell r="I4907" t="str">
            <v/>
          </cell>
          <cell r="J4907" t="str">
            <v/>
          </cell>
          <cell r="K4907" t="str">
            <v/>
          </cell>
          <cell r="L4907" t="str">
            <v/>
          </cell>
          <cell r="M4907" t="str">
            <v/>
          </cell>
        </row>
        <row r="4908">
          <cell r="A4908">
            <v>31102192</v>
          </cell>
          <cell r="C4908">
            <v>31102192</v>
          </cell>
          <cell r="D4908">
            <v>31102192</v>
          </cell>
          <cell r="E4908">
            <v>31102192</v>
          </cell>
          <cell r="F4908">
            <v>31102192</v>
          </cell>
          <cell r="G4908">
            <v>31102192</v>
          </cell>
          <cell r="H4908">
            <v>31102192</v>
          </cell>
          <cell r="I4908" t="str">
            <v/>
          </cell>
          <cell r="J4908" t="str">
            <v/>
          </cell>
          <cell r="K4908" t="str">
            <v/>
          </cell>
          <cell r="L4908" t="str">
            <v/>
          </cell>
          <cell r="M4908" t="str">
            <v/>
          </cell>
        </row>
        <row r="4909">
          <cell r="A4909">
            <v>31102192</v>
          </cell>
          <cell r="C4909">
            <v>31102192</v>
          </cell>
          <cell r="D4909">
            <v>31102192</v>
          </cell>
          <cell r="E4909">
            <v>31102192</v>
          </cell>
          <cell r="F4909">
            <v>31102192</v>
          </cell>
          <cell r="G4909">
            <v>31102192</v>
          </cell>
          <cell r="H4909">
            <v>31102192</v>
          </cell>
          <cell r="I4909" t="str">
            <v/>
          </cell>
          <cell r="J4909" t="str">
            <v/>
          </cell>
          <cell r="K4909" t="str">
            <v/>
          </cell>
          <cell r="L4909" t="str">
            <v/>
          </cell>
          <cell r="M4909" t="str">
            <v/>
          </cell>
        </row>
        <row r="4910">
          <cell r="A4910">
            <v>31102192</v>
          </cell>
          <cell r="C4910">
            <v>31102192</v>
          </cell>
          <cell r="D4910">
            <v>31102192</v>
          </cell>
          <cell r="E4910">
            <v>31102192</v>
          </cell>
          <cell r="F4910">
            <v>31102192</v>
          </cell>
          <cell r="G4910">
            <v>31102192</v>
          </cell>
          <cell r="H4910">
            <v>31102192</v>
          </cell>
          <cell r="I4910" t="str">
            <v/>
          </cell>
          <cell r="J4910" t="str">
            <v/>
          </cell>
          <cell r="K4910" t="str">
            <v/>
          </cell>
          <cell r="L4910" t="str">
            <v/>
          </cell>
          <cell r="M4910" t="str">
            <v/>
          </cell>
        </row>
        <row r="4911">
          <cell r="A4911">
            <v>31102192</v>
          </cell>
          <cell r="C4911">
            <v>31102192</v>
          </cell>
          <cell r="D4911">
            <v>31102192</v>
          </cell>
          <cell r="E4911">
            <v>31102192</v>
          </cell>
          <cell r="F4911">
            <v>31102192</v>
          </cell>
          <cell r="G4911">
            <v>31102192</v>
          </cell>
          <cell r="H4911">
            <v>31102192</v>
          </cell>
          <cell r="I4911" t="str">
            <v/>
          </cell>
          <cell r="J4911" t="str">
            <v/>
          </cell>
          <cell r="K4911" t="str">
            <v/>
          </cell>
          <cell r="L4911" t="str">
            <v/>
          </cell>
          <cell r="M4911" t="str">
            <v/>
          </cell>
        </row>
        <row r="4912">
          <cell r="A4912">
            <v>31102192</v>
          </cell>
          <cell r="C4912">
            <v>31102192</v>
          </cell>
          <cell r="D4912">
            <v>31102192</v>
          </cell>
          <cell r="E4912">
            <v>31102192</v>
          </cell>
          <cell r="F4912">
            <v>31102192</v>
          </cell>
          <cell r="G4912">
            <v>31102192</v>
          </cell>
          <cell r="H4912">
            <v>31102192</v>
          </cell>
          <cell r="I4912" t="str">
            <v/>
          </cell>
          <cell r="J4912" t="str">
            <v/>
          </cell>
          <cell r="K4912" t="str">
            <v/>
          </cell>
          <cell r="L4912" t="str">
            <v/>
          </cell>
          <cell r="M4912" t="str">
            <v/>
          </cell>
        </row>
        <row r="4913">
          <cell r="A4913">
            <v>31102192</v>
          </cell>
          <cell r="C4913">
            <v>31102192</v>
          </cell>
          <cell r="D4913">
            <v>31102192</v>
          </cell>
          <cell r="E4913">
            <v>31102192</v>
          </cell>
          <cell r="F4913">
            <v>31102192</v>
          </cell>
          <cell r="G4913">
            <v>31102192</v>
          </cell>
          <cell r="H4913">
            <v>31102192</v>
          </cell>
          <cell r="I4913" t="str">
            <v/>
          </cell>
          <cell r="J4913" t="str">
            <v/>
          </cell>
          <cell r="K4913" t="str">
            <v/>
          </cell>
          <cell r="L4913" t="str">
            <v/>
          </cell>
          <cell r="M4913" t="str">
            <v/>
          </cell>
        </row>
        <row r="4914">
          <cell r="A4914">
            <v>31102192</v>
          </cell>
          <cell r="C4914">
            <v>31102192</v>
          </cell>
          <cell r="D4914">
            <v>31102192</v>
          </cell>
          <cell r="E4914">
            <v>31102192</v>
          </cell>
          <cell r="F4914">
            <v>31102192</v>
          </cell>
          <cell r="G4914">
            <v>31102192</v>
          </cell>
          <cell r="H4914">
            <v>31102192</v>
          </cell>
          <cell r="I4914" t="str">
            <v/>
          </cell>
          <cell r="J4914" t="str">
            <v/>
          </cell>
          <cell r="K4914" t="str">
            <v/>
          </cell>
          <cell r="L4914" t="str">
            <v/>
          </cell>
          <cell r="M4914" t="str">
            <v/>
          </cell>
        </row>
        <row r="4915">
          <cell r="A4915">
            <v>31102192</v>
          </cell>
          <cell r="C4915">
            <v>31102192</v>
          </cell>
          <cell r="D4915">
            <v>31102192</v>
          </cell>
          <cell r="E4915">
            <v>31102192</v>
          </cell>
          <cell r="F4915">
            <v>31102192</v>
          </cell>
          <cell r="G4915">
            <v>31102192</v>
          </cell>
          <cell r="H4915">
            <v>31102192</v>
          </cell>
          <cell r="I4915" t="str">
            <v/>
          </cell>
          <cell r="J4915" t="str">
            <v/>
          </cell>
          <cell r="K4915" t="str">
            <v/>
          </cell>
          <cell r="L4915" t="str">
            <v/>
          </cell>
          <cell r="M4915" t="str">
            <v/>
          </cell>
        </row>
        <row r="4916">
          <cell r="A4916">
            <v>31102192</v>
          </cell>
          <cell r="C4916">
            <v>31102192</v>
          </cell>
          <cell r="D4916">
            <v>31102192</v>
          </cell>
          <cell r="E4916">
            <v>31102192</v>
          </cell>
          <cell r="F4916">
            <v>31102192</v>
          </cell>
          <cell r="G4916">
            <v>31102192</v>
          </cell>
          <cell r="H4916">
            <v>31102192</v>
          </cell>
          <cell r="I4916" t="str">
            <v/>
          </cell>
          <cell r="J4916" t="str">
            <v/>
          </cell>
          <cell r="K4916" t="str">
            <v/>
          </cell>
          <cell r="L4916" t="str">
            <v/>
          </cell>
          <cell r="M4916" t="str">
            <v/>
          </cell>
        </row>
        <row r="4917">
          <cell r="A4917">
            <v>31102192</v>
          </cell>
          <cell r="C4917">
            <v>31102192</v>
          </cell>
          <cell r="D4917">
            <v>31102192</v>
          </cell>
          <cell r="E4917">
            <v>31102192</v>
          </cell>
          <cell r="F4917">
            <v>31102192</v>
          </cell>
          <cell r="G4917">
            <v>31102192</v>
          </cell>
          <cell r="H4917">
            <v>31102192</v>
          </cell>
          <cell r="I4917" t="str">
            <v/>
          </cell>
          <cell r="J4917" t="str">
            <v/>
          </cell>
          <cell r="K4917" t="str">
            <v/>
          </cell>
          <cell r="L4917" t="str">
            <v/>
          </cell>
          <cell r="M4917" t="str">
            <v/>
          </cell>
        </row>
        <row r="4918">
          <cell r="A4918">
            <v>31102192</v>
          </cell>
          <cell r="C4918">
            <v>31102192</v>
          </cell>
          <cell r="D4918">
            <v>31102192</v>
          </cell>
          <cell r="E4918">
            <v>31102192</v>
          </cell>
          <cell r="F4918">
            <v>31102192</v>
          </cell>
          <cell r="G4918">
            <v>31102192</v>
          </cell>
          <cell r="H4918">
            <v>31102192</v>
          </cell>
          <cell r="I4918" t="str">
            <v/>
          </cell>
          <cell r="J4918" t="str">
            <v/>
          </cell>
          <cell r="K4918" t="str">
            <v/>
          </cell>
          <cell r="L4918" t="str">
            <v/>
          </cell>
          <cell r="M4918" t="str">
            <v/>
          </cell>
        </row>
        <row r="4919">
          <cell r="A4919">
            <v>31102192</v>
          </cell>
          <cell r="C4919">
            <v>31102192</v>
          </cell>
          <cell r="D4919">
            <v>31102192</v>
          </cell>
          <cell r="E4919">
            <v>31102192</v>
          </cell>
          <cell r="F4919">
            <v>31102192</v>
          </cell>
          <cell r="G4919">
            <v>31102192</v>
          </cell>
          <cell r="H4919">
            <v>31102192</v>
          </cell>
          <cell r="I4919" t="str">
            <v/>
          </cell>
          <cell r="J4919" t="str">
            <v/>
          </cell>
          <cell r="K4919" t="str">
            <v/>
          </cell>
          <cell r="L4919" t="str">
            <v/>
          </cell>
          <cell r="M4919" t="str">
            <v/>
          </cell>
        </row>
        <row r="4920">
          <cell r="A4920">
            <v>31102192</v>
          </cell>
          <cell r="C4920">
            <v>31102192</v>
          </cell>
          <cell r="D4920">
            <v>31102192</v>
          </cell>
          <cell r="E4920">
            <v>31102192</v>
          </cell>
          <cell r="F4920">
            <v>31102192</v>
          </cell>
          <cell r="G4920">
            <v>31102192</v>
          </cell>
          <cell r="H4920">
            <v>31102192</v>
          </cell>
          <cell r="I4920" t="str">
            <v/>
          </cell>
          <cell r="J4920" t="str">
            <v/>
          </cell>
          <cell r="K4920" t="str">
            <v/>
          </cell>
          <cell r="L4920" t="str">
            <v/>
          </cell>
          <cell r="M4920" t="str">
            <v/>
          </cell>
        </row>
        <row r="4921">
          <cell r="A4921">
            <v>31102192</v>
          </cell>
          <cell r="C4921">
            <v>31102192</v>
          </cell>
          <cell r="D4921">
            <v>31102192</v>
          </cell>
          <cell r="E4921">
            <v>31102192</v>
          </cell>
          <cell r="F4921">
            <v>31102192</v>
          </cell>
          <cell r="G4921">
            <v>31102192</v>
          </cell>
          <cell r="H4921">
            <v>31102192</v>
          </cell>
          <cell r="I4921" t="str">
            <v/>
          </cell>
          <cell r="J4921" t="str">
            <v/>
          </cell>
          <cell r="K4921" t="str">
            <v/>
          </cell>
          <cell r="L4921" t="str">
            <v/>
          </cell>
          <cell r="M4921" t="str">
            <v/>
          </cell>
        </row>
        <row r="4922">
          <cell r="A4922">
            <v>31102192</v>
          </cell>
          <cell r="C4922">
            <v>31102192</v>
          </cell>
          <cell r="D4922">
            <v>31102192</v>
          </cell>
          <cell r="E4922">
            <v>31102192</v>
          </cell>
          <cell r="F4922">
            <v>31102192</v>
          </cell>
          <cell r="G4922">
            <v>31102192</v>
          </cell>
          <cell r="H4922">
            <v>31102192</v>
          </cell>
          <cell r="I4922" t="str">
            <v/>
          </cell>
          <cell r="J4922" t="str">
            <v/>
          </cell>
          <cell r="K4922" t="str">
            <v/>
          </cell>
          <cell r="L4922" t="str">
            <v/>
          </cell>
          <cell r="M4922" t="str">
            <v/>
          </cell>
        </row>
        <row r="4923">
          <cell r="A4923">
            <v>31102192</v>
          </cell>
          <cell r="C4923">
            <v>31102192</v>
          </cell>
          <cell r="D4923">
            <v>31102192</v>
          </cell>
          <cell r="E4923">
            <v>31102192</v>
          </cell>
          <cell r="F4923">
            <v>31102192</v>
          </cell>
          <cell r="G4923">
            <v>31102192</v>
          </cell>
          <cell r="H4923">
            <v>31102192</v>
          </cell>
          <cell r="I4923" t="str">
            <v/>
          </cell>
          <cell r="J4923" t="str">
            <v/>
          </cell>
          <cell r="K4923" t="str">
            <v/>
          </cell>
          <cell r="L4923" t="str">
            <v/>
          </cell>
          <cell r="M4923" t="str">
            <v/>
          </cell>
        </row>
        <row r="4924">
          <cell r="A4924">
            <v>31102192</v>
          </cell>
          <cell r="C4924">
            <v>31102192</v>
          </cell>
          <cell r="D4924">
            <v>31102192</v>
          </cell>
          <cell r="E4924">
            <v>31102192</v>
          </cell>
          <cell r="F4924">
            <v>31102192</v>
          </cell>
          <cell r="G4924">
            <v>31102192</v>
          </cell>
          <cell r="H4924">
            <v>31102192</v>
          </cell>
          <cell r="I4924" t="str">
            <v/>
          </cell>
          <cell r="J4924" t="str">
            <v/>
          </cell>
          <cell r="K4924" t="str">
            <v/>
          </cell>
          <cell r="L4924" t="str">
            <v/>
          </cell>
          <cell r="M4924" t="str">
            <v/>
          </cell>
        </row>
        <row r="4925">
          <cell r="A4925">
            <v>31102192</v>
          </cell>
          <cell r="C4925">
            <v>31102192</v>
          </cell>
          <cell r="D4925">
            <v>31102192</v>
          </cell>
          <cell r="E4925">
            <v>31102192</v>
          </cell>
          <cell r="F4925">
            <v>31102192</v>
          </cell>
          <cell r="G4925">
            <v>31102192</v>
          </cell>
          <cell r="H4925">
            <v>31102192</v>
          </cell>
          <cell r="I4925" t="str">
            <v/>
          </cell>
          <cell r="J4925" t="str">
            <v/>
          </cell>
          <cell r="K4925" t="str">
            <v/>
          </cell>
          <cell r="L4925" t="str">
            <v/>
          </cell>
          <cell r="M4925" t="str">
            <v/>
          </cell>
        </row>
        <row r="4926">
          <cell r="A4926">
            <v>31102192</v>
          </cell>
          <cell r="C4926">
            <v>31102192</v>
          </cell>
          <cell r="D4926">
            <v>31102192</v>
          </cell>
          <cell r="E4926">
            <v>31102192</v>
          </cell>
          <cell r="F4926">
            <v>31102192</v>
          </cell>
          <cell r="G4926">
            <v>31102192</v>
          </cell>
          <cell r="H4926">
            <v>31102192</v>
          </cell>
          <cell r="I4926" t="str">
            <v/>
          </cell>
          <cell r="J4926" t="str">
            <v/>
          </cell>
          <cell r="K4926" t="str">
            <v/>
          </cell>
          <cell r="L4926" t="str">
            <v/>
          </cell>
          <cell r="M4926" t="str">
            <v/>
          </cell>
        </row>
        <row r="4927">
          <cell r="A4927">
            <v>31102192</v>
          </cell>
          <cell r="C4927">
            <v>31102192</v>
          </cell>
          <cell r="D4927">
            <v>31102192</v>
          </cell>
          <cell r="E4927">
            <v>31102192</v>
          </cell>
          <cell r="F4927">
            <v>31102192</v>
          </cell>
          <cell r="G4927">
            <v>31102192</v>
          </cell>
          <cell r="H4927">
            <v>31102192</v>
          </cell>
          <cell r="I4927" t="str">
            <v/>
          </cell>
          <cell r="J4927" t="str">
            <v/>
          </cell>
          <cell r="K4927" t="str">
            <v/>
          </cell>
          <cell r="L4927" t="str">
            <v/>
          </cell>
          <cell r="M4927" t="str">
            <v/>
          </cell>
        </row>
        <row r="4928">
          <cell r="A4928">
            <v>31102192</v>
          </cell>
          <cell r="C4928">
            <v>31102192</v>
          </cell>
          <cell r="D4928">
            <v>31102192</v>
          </cell>
          <cell r="E4928">
            <v>31102192</v>
          </cell>
          <cell r="F4928">
            <v>31102192</v>
          </cell>
          <cell r="G4928">
            <v>31102192</v>
          </cell>
          <cell r="H4928">
            <v>31102192</v>
          </cell>
          <cell r="I4928" t="str">
            <v/>
          </cell>
          <cell r="J4928" t="str">
            <v/>
          </cell>
          <cell r="K4928" t="str">
            <v/>
          </cell>
          <cell r="L4928" t="str">
            <v/>
          </cell>
          <cell r="M4928" t="str">
            <v/>
          </cell>
        </row>
        <row r="4929">
          <cell r="A4929">
            <v>31102192</v>
          </cell>
          <cell r="C4929">
            <v>31102192</v>
          </cell>
          <cell r="D4929">
            <v>31102192</v>
          </cell>
          <cell r="E4929">
            <v>31102192</v>
          </cell>
          <cell r="F4929">
            <v>31102192</v>
          </cell>
          <cell r="G4929">
            <v>31102192</v>
          </cell>
          <cell r="H4929">
            <v>31102192</v>
          </cell>
          <cell r="I4929" t="str">
            <v/>
          </cell>
          <cell r="J4929" t="str">
            <v/>
          </cell>
          <cell r="K4929" t="str">
            <v/>
          </cell>
          <cell r="L4929" t="str">
            <v/>
          </cell>
          <cell r="M4929" t="str">
            <v/>
          </cell>
        </row>
        <row r="4930">
          <cell r="A4930">
            <v>31102192</v>
          </cell>
          <cell r="C4930">
            <v>31102192</v>
          </cell>
          <cell r="D4930">
            <v>31102192</v>
          </cell>
          <cell r="E4930">
            <v>31102192</v>
          </cell>
          <cell r="F4930">
            <v>31102192</v>
          </cell>
          <cell r="G4930">
            <v>31102192</v>
          </cell>
          <cell r="H4930">
            <v>31102192</v>
          </cell>
          <cell r="I4930" t="str">
            <v/>
          </cell>
          <cell r="J4930" t="str">
            <v/>
          </cell>
          <cell r="K4930" t="str">
            <v/>
          </cell>
          <cell r="L4930" t="str">
            <v/>
          </cell>
          <cell r="M4930" t="str">
            <v/>
          </cell>
        </row>
        <row r="4931">
          <cell r="A4931">
            <v>31102192</v>
          </cell>
          <cell r="C4931">
            <v>31102192</v>
          </cell>
          <cell r="D4931">
            <v>31102192</v>
          </cell>
          <cell r="E4931">
            <v>31102192</v>
          </cell>
          <cell r="F4931">
            <v>31102192</v>
          </cell>
          <cell r="G4931">
            <v>31102192</v>
          </cell>
          <cell r="H4931">
            <v>31102192</v>
          </cell>
          <cell r="I4931" t="str">
            <v/>
          </cell>
          <cell r="J4931" t="str">
            <v/>
          </cell>
          <cell r="K4931" t="str">
            <v/>
          </cell>
          <cell r="L4931" t="str">
            <v/>
          </cell>
          <cell r="M4931" t="str">
            <v/>
          </cell>
        </row>
        <row r="4932">
          <cell r="A4932">
            <v>31102192</v>
          </cell>
          <cell r="C4932">
            <v>31102192</v>
          </cell>
          <cell r="D4932">
            <v>31102192</v>
          </cell>
          <cell r="E4932">
            <v>31102192</v>
          </cell>
          <cell r="F4932">
            <v>31102192</v>
          </cell>
          <cell r="G4932">
            <v>31102192</v>
          </cell>
          <cell r="H4932">
            <v>31102192</v>
          </cell>
          <cell r="I4932" t="str">
            <v/>
          </cell>
          <cell r="J4932" t="str">
            <v/>
          </cell>
          <cell r="K4932" t="str">
            <v/>
          </cell>
          <cell r="L4932" t="str">
            <v/>
          </cell>
          <cell r="M4932" t="str">
            <v/>
          </cell>
        </row>
        <row r="4933">
          <cell r="A4933">
            <v>31102192</v>
          </cell>
          <cell r="C4933">
            <v>31102192</v>
          </cell>
          <cell r="D4933">
            <v>31102192</v>
          </cell>
          <cell r="E4933">
            <v>31102192</v>
          </cell>
          <cell r="F4933">
            <v>31102192</v>
          </cell>
          <cell r="G4933">
            <v>31102192</v>
          </cell>
          <cell r="H4933">
            <v>31102192</v>
          </cell>
          <cell r="I4933" t="str">
            <v/>
          </cell>
          <cell r="J4933" t="str">
            <v/>
          </cell>
          <cell r="K4933" t="str">
            <v/>
          </cell>
          <cell r="L4933" t="str">
            <v/>
          </cell>
          <cell r="M4933" t="str">
            <v/>
          </cell>
        </row>
        <row r="4934">
          <cell r="A4934">
            <v>31102192</v>
          </cell>
          <cell r="C4934">
            <v>31102192</v>
          </cell>
          <cell r="D4934">
            <v>31102192</v>
          </cell>
          <cell r="E4934">
            <v>31102192</v>
          </cell>
          <cell r="F4934">
            <v>31102192</v>
          </cell>
          <cell r="G4934">
            <v>31102192</v>
          </cell>
          <cell r="H4934">
            <v>31102192</v>
          </cell>
          <cell r="I4934" t="str">
            <v/>
          </cell>
          <cell r="J4934" t="str">
            <v/>
          </cell>
          <cell r="K4934" t="str">
            <v/>
          </cell>
          <cell r="L4934" t="str">
            <v/>
          </cell>
          <cell r="M4934" t="str">
            <v/>
          </cell>
        </row>
        <row r="4935">
          <cell r="A4935">
            <v>31102192</v>
          </cell>
          <cell r="C4935">
            <v>31102192</v>
          </cell>
          <cell r="D4935">
            <v>31102192</v>
          </cell>
          <cell r="E4935">
            <v>31102192</v>
          </cell>
          <cell r="F4935">
            <v>31102192</v>
          </cell>
          <cell r="G4935">
            <v>31102192</v>
          </cell>
          <cell r="H4935">
            <v>31102192</v>
          </cell>
          <cell r="I4935" t="str">
            <v/>
          </cell>
          <cell r="J4935" t="str">
            <v/>
          </cell>
          <cell r="K4935" t="str">
            <v/>
          </cell>
          <cell r="L4935" t="str">
            <v/>
          </cell>
          <cell r="M4935" t="str">
            <v/>
          </cell>
        </row>
        <row r="4936">
          <cell r="A4936">
            <v>31102192</v>
          </cell>
          <cell r="C4936">
            <v>31102192</v>
          </cell>
          <cell r="D4936">
            <v>31102192</v>
          </cell>
          <cell r="E4936">
            <v>31102192</v>
          </cell>
          <cell r="F4936">
            <v>31102192</v>
          </cell>
          <cell r="G4936">
            <v>31102192</v>
          </cell>
          <cell r="H4936">
            <v>31102192</v>
          </cell>
          <cell r="I4936" t="str">
            <v/>
          </cell>
          <cell r="J4936" t="str">
            <v/>
          </cell>
          <cell r="K4936" t="str">
            <v/>
          </cell>
          <cell r="L4936" t="str">
            <v/>
          </cell>
          <cell r="M4936" t="str">
            <v/>
          </cell>
        </row>
        <row r="4937">
          <cell r="A4937">
            <v>31102192</v>
          </cell>
          <cell r="C4937">
            <v>31102192</v>
          </cell>
          <cell r="D4937">
            <v>31102192</v>
          </cell>
          <cell r="E4937">
            <v>31102192</v>
          </cell>
          <cell r="F4937">
            <v>31102192</v>
          </cell>
          <cell r="G4937">
            <v>31102192</v>
          </cell>
          <cell r="H4937">
            <v>31102192</v>
          </cell>
          <cell r="I4937" t="str">
            <v/>
          </cell>
          <cell r="J4937" t="str">
            <v/>
          </cell>
          <cell r="K4937" t="str">
            <v/>
          </cell>
          <cell r="L4937" t="str">
            <v/>
          </cell>
          <cell r="M4937" t="str">
            <v/>
          </cell>
        </row>
        <row r="4938">
          <cell r="A4938">
            <v>31102192</v>
          </cell>
          <cell r="C4938">
            <v>31102192</v>
          </cell>
          <cell r="D4938">
            <v>31102192</v>
          </cell>
          <cell r="E4938">
            <v>31102192</v>
          </cell>
          <cell r="F4938">
            <v>31102192</v>
          </cell>
          <cell r="G4938">
            <v>31102192</v>
          </cell>
          <cell r="H4938">
            <v>31102192</v>
          </cell>
          <cell r="I4938" t="str">
            <v/>
          </cell>
          <cell r="J4938" t="str">
            <v/>
          </cell>
          <cell r="K4938" t="str">
            <v/>
          </cell>
          <cell r="L4938" t="str">
            <v/>
          </cell>
          <cell r="M4938" t="str">
            <v/>
          </cell>
        </row>
        <row r="4939">
          <cell r="A4939">
            <v>31102192</v>
          </cell>
          <cell r="C4939">
            <v>31102192</v>
          </cell>
          <cell r="D4939">
            <v>31102192</v>
          </cell>
          <cell r="E4939">
            <v>31102192</v>
          </cell>
          <cell r="F4939">
            <v>31102192</v>
          </cell>
          <cell r="G4939">
            <v>31102192</v>
          </cell>
          <cell r="H4939">
            <v>31102192</v>
          </cell>
          <cell r="I4939" t="str">
            <v/>
          </cell>
          <cell r="J4939" t="str">
            <v/>
          </cell>
          <cell r="K4939" t="str">
            <v/>
          </cell>
          <cell r="L4939" t="str">
            <v/>
          </cell>
          <cell r="M4939" t="str">
            <v/>
          </cell>
        </row>
        <row r="4940">
          <cell r="A4940">
            <v>31102192</v>
          </cell>
          <cell r="C4940">
            <v>31102192</v>
          </cell>
          <cell r="D4940">
            <v>31102192</v>
          </cell>
          <cell r="E4940">
            <v>31102192</v>
          </cell>
          <cell r="F4940">
            <v>31102192</v>
          </cell>
          <cell r="G4940">
            <v>31102192</v>
          </cell>
          <cell r="H4940">
            <v>31102192</v>
          </cell>
          <cell r="I4940" t="str">
            <v/>
          </cell>
          <cell r="J4940" t="str">
            <v/>
          </cell>
          <cell r="K4940" t="str">
            <v/>
          </cell>
          <cell r="L4940" t="str">
            <v/>
          </cell>
          <cell r="M4940" t="str">
            <v/>
          </cell>
        </row>
        <row r="4941">
          <cell r="A4941">
            <v>31102192</v>
          </cell>
          <cell r="C4941">
            <v>31102192</v>
          </cell>
          <cell r="D4941">
            <v>31102192</v>
          </cell>
          <cell r="E4941">
            <v>31102192</v>
          </cell>
          <cell r="F4941">
            <v>31102192</v>
          </cell>
          <cell r="G4941">
            <v>31102192</v>
          </cell>
          <cell r="H4941">
            <v>31102192</v>
          </cell>
          <cell r="I4941" t="str">
            <v/>
          </cell>
          <cell r="J4941" t="str">
            <v/>
          </cell>
          <cell r="K4941" t="str">
            <v/>
          </cell>
          <cell r="L4941" t="str">
            <v/>
          </cell>
          <cell r="M4941" t="str">
            <v/>
          </cell>
        </row>
        <row r="4942">
          <cell r="A4942">
            <v>31102192</v>
          </cell>
          <cell r="C4942">
            <v>31102192</v>
          </cell>
          <cell r="D4942">
            <v>31102192</v>
          </cell>
          <cell r="E4942">
            <v>31102192</v>
          </cell>
          <cell r="F4942">
            <v>31102192</v>
          </cell>
          <cell r="G4942">
            <v>31102192</v>
          </cell>
          <cell r="H4942">
            <v>31102192</v>
          </cell>
          <cell r="I4942" t="str">
            <v/>
          </cell>
          <cell r="J4942" t="str">
            <v/>
          </cell>
          <cell r="K4942" t="str">
            <v/>
          </cell>
          <cell r="L4942" t="str">
            <v/>
          </cell>
          <cell r="M4942" t="str">
            <v/>
          </cell>
        </row>
        <row r="4943">
          <cell r="A4943">
            <v>31102192</v>
          </cell>
          <cell r="C4943">
            <v>31102192</v>
          </cell>
          <cell r="D4943">
            <v>31102192</v>
          </cell>
          <cell r="E4943">
            <v>31102192</v>
          </cell>
          <cell r="F4943">
            <v>31102192</v>
          </cell>
          <cell r="G4943">
            <v>31102192</v>
          </cell>
          <cell r="H4943">
            <v>31102192</v>
          </cell>
          <cell r="I4943" t="str">
            <v/>
          </cell>
          <cell r="J4943" t="str">
            <v/>
          </cell>
          <cell r="K4943" t="str">
            <v/>
          </cell>
          <cell r="L4943" t="str">
            <v/>
          </cell>
          <cell r="M4943" t="str">
            <v/>
          </cell>
        </row>
        <row r="4944">
          <cell r="A4944">
            <v>31102192</v>
          </cell>
          <cell r="C4944">
            <v>31102192</v>
          </cell>
          <cell r="D4944">
            <v>31102192</v>
          </cell>
          <cell r="E4944">
            <v>31102192</v>
          </cell>
          <cell r="F4944">
            <v>31102192</v>
          </cell>
          <cell r="G4944">
            <v>31102192</v>
          </cell>
          <cell r="H4944">
            <v>31102192</v>
          </cell>
          <cell r="I4944" t="str">
            <v/>
          </cell>
          <cell r="J4944" t="str">
            <v/>
          </cell>
          <cell r="K4944" t="str">
            <v/>
          </cell>
          <cell r="L4944" t="str">
            <v/>
          </cell>
          <cell r="M4944" t="str">
            <v/>
          </cell>
        </row>
        <row r="4945">
          <cell r="A4945">
            <v>31102192</v>
          </cell>
          <cell r="C4945">
            <v>31102192</v>
          </cell>
          <cell r="D4945">
            <v>31102192</v>
          </cell>
          <cell r="E4945">
            <v>31102192</v>
          </cell>
          <cell r="F4945">
            <v>31102192</v>
          </cell>
          <cell r="G4945">
            <v>31102192</v>
          </cell>
          <cell r="H4945">
            <v>31102192</v>
          </cell>
          <cell r="I4945" t="str">
            <v/>
          </cell>
          <cell r="J4945" t="str">
            <v/>
          </cell>
          <cell r="K4945" t="str">
            <v/>
          </cell>
          <cell r="L4945" t="str">
            <v/>
          </cell>
          <cell r="M4945" t="str">
            <v/>
          </cell>
        </row>
        <row r="4946">
          <cell r="A4946">
            <v>31102192</v>
          </cell>
          <cell r="C4946">
            <v>31102192</v>
          </cell>
          <cell r="D4946">
            <v>31102192</v>
          </cell>
          <cell r="E4946">
            <v>31102192</v>
          </cell>
          <cell r="F4946">
            <v>31102192</v>
          </cell>
          <cell r="G4946">
            <v>31102192</v>
          </cell>
          <cell r="H4946">
            <v>31102192</v>
          </cell>
          <cell r="I4946" t="str">
            <v/>
          </cell>
          <cell r="J4946" t="str">
            <v/>
          </cell>
          <cell r="K4946" t="str">
            <v/>
          </cell>
          <cell r="L4946" t="str">
            <v/>
          </cell>
          <cell r="M4946" t="str">
            <v/>
          </cell>
        </row>
        <row r="4947">
          <cell r="A4947">
            <v>31102192</v>
          </cell>
          <cell r="C4947">
            <v>31102192</v>
          </cell>
          <cell r="D4947">
            <v>31102192</v>
          </cell>
          <cell r="E4947">
            <v>31102192</v>
          </cell>
          <cell r="F4947">
            <v>31102192</v>
          </cell>
          <cell r="G4947">
            <v>31102192</v>
          </cell>
          <cell r="H4947">
            <v>31102192</v>
          </cell>
          <cell r="I4947" t="str">
            <v/>
          </cell>
          <cell r="J4947" t="str">
            <v/>
          </cell>
          <cell r="K4947" t="str">
            <v/>
          </cell>
          <cell r="L4947" t="str">
            <v/>
          </cell>
          <cell r="M4947" t="str">
            <v/>
          </cell>
        </row>
        <row r="4948">
          <cell r="A4948">
            <v>31102192</v>
          </cell>
          <cell r="C4948">
            <v>31102192</v>
          </cell>
          <cell r="D4948">
            <v>31102192</v>
          </cell>
          <cell r="E4948">
            <v>31102192</v>
          </cell>
          <cell r="F4948">
            <v>31102192</v>
          </cell>
          <cell r="G4948">
            <v>31102192</v>
          </cell>
          <cell r="H4948">
            <v>31102192</v>
          </cell>
          <cell r="I4948" t="str">
            <v/>
          </cell>
          <cell r="J4948" t="str">
            <v/>
          </cell>
          <cell r="K4948" t="str">
            <v/>
          </cell>
          <cell r="L4948" t="str">
            <v/>
          </cell>
          <cell r="M4948" t="str">
            <v/>
          </cell>
        </row>
        <row r="4949">
          <cell r="A4949">
            <v>31102192</v>
          </cell>
          <cell r="C4949">
            <v>31102192</v>
          </cell>
          <cell r="D4949">
            <v>31102192</v>
          </cell>
          <cell r="E4949">
            <v>31102192</v>
          </cell>
          <cell r="F4949">
            <v>31102192</v>
          </cell>
          <cell r="G4949">
            <v>31102192</v>
          </cell>
          <cell r="H4949">
            <v>31102192</v>
          </cell>
          <cell r="I4949" t="str">
            <v/>
          </cell>
          <cell r="J4949" t="str">
            <v/>
          </cell>
          <cell r="K4949" t="str">
            <v/>
          </cell>
          <cell r="L4949" t="str">
            <v/>
          </cell>
          <cell r="M4949" t="str">
            <v/>
          </cell>
        </row>
        <row r="4950">
          <cell r="A4950">
            <v>31102192</v>
          </cell>
          <cell r="C4950">
            <v>31102192</v>
          </cell>
          <cell r="D4950">
            <v>31102192</v>
          </cell>
          <cell r="E4950">
            <v>31102192</v>
          </cell>
          <cell r="F4950">
            <v>31102192</v>
          </cell>
          <cell r="G4950">
            <v>31102192</v>
          </cell>
          <cell r="H4950">
            <v>31102192</v>
          </cell>
          <cell r="I4950" t="str">
            <v/>
          </cell>
          <cell r="J4950" t="str">
            <v/>
          </cell>
          <cell r="K4950" t="str">
            <v/>
          </cell>
          <cell r="L4950" t="str">
            <v/>
          </cell>
          <cell r="M4950" t="str">
            <v/>
          </cell>
        </row>
        <row r="4951">
          <cell r="A4951">
            <v>31102192</v>
          </cell>
          <cell r="C4951">
            <v>31102192</v>
          </cell>
          <cell r="D4951">
            <v>31102192</v>
          </cell>
          <cell r="E4951">
            <v>31102192</v>
          </cell>
          <cell r="F4951">
            <v>31102192</v>
          </cell>
          <cell r="G4951">
            <v>31102192</v>
          </cell>
          <cell r="H4951">
            <v>31102192</v>
          </cell>
          <cell r="I4951" t="str">
            <v/>
          </cell>
          <cell r="J4951" t="str">
            <v/>
          </cell>
          <cell r="K4951" t="str">
            <v/>
          </cell>
          <cell r="L4951" t="str">
            <v/>
          </cell>
          <cell r="M4951" t="str">
            <v/>
          </cell>
        </row>
        <row r="4952">
          <cell r="A4952">
            <v>31102192</v>
          </cell>
          <cell r="C4952">
            <v>31102192</v>
          </cell>
          <cell r="D4952">
            <v>31102192</v>
          </cell>
          <cell r="E4952">
            <v>31102192</v>
          </cell>
          <cell r="F4952">
            <v>31102192</v>
          </cell>
          <cell r="G4952">
            <v>31102192</v>
          </cell>
          <cell r="H4952">
            <v>31102192</v>
          </cell>
          <cell r="I4952" t="str">
            <v/>
          </cell>
          <cell r="J4952" t="str">
            <v/>
          </cell>
          <cell r="K4952" t="str">
            <v/>
          </cell>
          <cell r="L4952" t="str">
            <v/>
          </cell>
          <cell r="M4952" t="str">
            <v/>
          </cell>
        </row>
        <row r="4953">
          <cell r="A4953">
            <v>31102192</v>
          </cell>
          <cell r="C4953">
            <v>31102192</v>
          </cell>
          <cell r="D4953">
            <v>31102192</v>
          </cell>
          <cell r="E4953">
            <v>31102192</v>
          </cell>
          <cell r="F4953">
            <v>31102192</v>
          </cell>
          <cell r="G4953">
            <v>31102192</v>
          </cell>
          <cell r="H4953">
            <v>31102192</v>
          </cell>
          <cell r="I4953" t="str">
            <v/>
          </cell>
          <cell r="J4953" t="str">
            <v/>
          </cell>
          <cell r="K4953" t="str">
            <v/>
          </cell>
          <cell r="L4953" t="str">
            <v/>
          </cell>
          <cell r="M4953" t="str">
            <v/>
          </cell>
        </row>
        <row r="4954">
          <cell r="A4954">
            <v>31102192</v>
          </cell>
          <cell r="C4954">
            <v>31102192</v>
          </cell>
          <cell r="D4954">
            <v>31102192</v>
          </cell>
          <cell r="E4954">
            <v>31102192</v>
          </cell>
          <cell r="F4954">
            <v>31102192</v>
          </cell>
          <cell r="G4954">
            <v>31102192</v>
          </cell>
          <cell r="H4954">
            <v>31102192</v>
          </cell>
          <cell r="I4954" t="str">
            <v/>
          </cell>
          <cell r="J4954" t="str">
            <v/>
          </cell>
          <cell r="K4954" t="str">
            <v/>
          </cell>
          <cell r="L4954" t="str">
            <v/>
          </cell>
          <cell r="M4954" t="str">
            <v/>
          </cell>
        </row>
        <row r="4955">
          <cell r="A4955">
            <v>31102192</v>
          </cell>
          <cell r="C4955">
            <v>31102192</v>
          </cell>
          <cell r="D4955">
            <v>31102192</v>
          </cell>
          <cell r="E4955">
            <v>31102192</v>
          </cell>
          <cell r="F4955">
            <v>31102192</v>
          </cell>
          <cell r="G4955">
            <v>31102192</v>
          </cell>
          <cell r="H4955">
            <v>31102192</v>
          </cell>
          <cell r="I4955" t="str">
            <v/>
          </cell>
          <cell r="J4955" t="str">
            <v/>
          </cell>
          <cell r="K4955" t="str">
            <v/>
          </cell>
          <cell r="L4955" t="str">
            <v/>
          </cell>
          <cell r="M4955" t="str">
            <v/>
          </cell>
        </row>
        <row r="4956">
          <cell r="A4956">
            <v>31102192</v>
          </cell>
          <cell r="C4956">
            <v>31102192</v>
          </cell>
          <cell r="D4956">
            <v>31102192</v>
          </cell>
          <cell r="E4956">
            <v>31102192</v>
          </cell>
          <cell r="F4956">
            <v>31102192</v>
          </cell>
          <cell r="G4956">
            <v>31102192</v>
          </cell>
          <cell r="H4956">
            <v>31102192</v>
          </cell>
          <cell r="I4956" t="str">
            <v/>
          </cell>
          <cell r="J4956" t="str">
            <v/>
          </cell>
          <cell r="K4956" t="str">
            <v/>
          </cell>
          <cell r="L4956" t="str">
            <v/>
          </cell>
          <cell r="M4956" t="str">
            <v/>
          </cell>
        </row>
        <row r="4957">
          <cell r="A4957">
            <v>31102192</v>
          </cell>
          <cell r="C4957">
            <v>31102192</v>
          </cell>
          <cell r="D4957">
            <v>31102192</v>
          </cell>
          <cell r="E4957">
            <v>31102192</v>
          </cell>
          <cell r="F4957">
            <v>31102192</v>
          </cell>
          <cell r="G4957">
            <v>31102192</v>
          </cell>
          <cell r="H4957">
            <v>31102192</v>
          </cell>
          <cell r="I4957" t="str">
            <v/>
          </cell>
          <cell r="J4957" t="str">
            <v/>
          </cell>
          <cell r="K4957" t="str">
            <v/>
          </cell>
          <cell r="L4957" t="str">
            <v/>
          </cell>
          <cell r="M4957" t="str">
            <v/>
          </cell>
        </row>
        <row r="4958">
          <cell r="A4958">
            <v>31102192</v>
          </cell>
          <cell r="C4958">
            <v>31102192</v>
          </cell>
          <cell r="D4958">
            <v>31102192</v>
          </cell>
          <cell r="E4958">
            <v>31102192</v>
          </cell>
          <cell r="F4958">
            <v>31102192</v>
          </cell>
          <cell r="G4958">
            <v>31102192</v>
          </cell>
          <cell r="H4958">
            <v>31102192</v>
          </cell>
          <cell r="I4958" t="str">
            <v/>
          </cell>
          <cell r="J4958" t="str">
            <v/>
          </cell>
          <cell r="K4958" t="str">
            <v/>
          </cell>
          <cell r="L4958" t="str">
            <v/>
          </cell>
          <cell r="M4958" t="str">
            <v/>
          </cell>
        </row>
        <row r="4959">
          <cell r="A4959">
            <v>31102192</v>
          </cell>
          <cell r="C4959">
            <v>31102192</v>
          </cell>
          <cell r="D4959">
            <v>31102192</v>
          </cell>
          <cell r="E4959">
            <v>31102192</v>
          </cell>
          <cell r="F4959">
            <v>31102192</v>
          </cell>
          <cell r="G4959">
            <v>31102192</v>
          </cell>
          <cell r="H4959">
            <v>31102192</v>
          </cell>
          <cell r="I4959" t="str">
            <v/>
          </cell>
          <cell r="J4959" t="str">
            <v/>
          </cell>
          <cell r="K4959" t="str">
            <v/>
          </cell>
          <cell r="L4959" t="str">
            <v/>
          </cell>
          <cell r="M4959" t="str">
            <v/>
          </cell>
        </row>
        <row r="4960">
          <cell r="A4960">
            <v>31102192</v>
          </cell>
          <cell r="C4960">
            <v>31102192</v>
          </cell>
          <cell r="D4960">
            <v>31102192</v>
          </cell>
          <cell r="E4960">
            <v>31102192</v>
          </cell>
          <cell r="F4960">
            <v>31102192</v>
          </cell>
          <cell r="G4960">
            <v>31102192</v>
          </cell>
          <cell r="H4960">
            <v>31102192</v>
          </cell>
          <cell r="I4960" t="str">
            <v/>
          </cell>
          <cell r="J4960" t="str">
            <v/>
          </cell>
          <cell r="K4960" t="str">
            <v/>
          </cell>
          <cell r="L4960" t="str">
            <v/>
          </cell>
          <cell r="M4960" t="str">
            <v/>
          </cell>
        </row>
        <row r="4961">
          <cell r="A4961">
            <v>31102192</v>
          </cell>
          <cell r="C4961">
            <v>31102192</v>
          </cell>
          <cell r="D4961">
            <v>31102192</v>
          </cell>
          <cell r="E4961">
            <v>31102192</v>
          </cell>
          <cell r="F4961">
            <v>31102192</v>
          </cell>
          <cell r="G4961">
            <v>31102192</v>
          </cell>
          <cell r="H4961">
            <v>31102192</v>
          </cell>
          <cell r="I4961" t="str">
            <v/>
          </cell>
          <cell r="J4961" t="str">
            <v/>
          </cell>
          <cell r="K4961" t="str">
            <v/>
          </cell>
          <cell r="L4961" t="str">
            <v/>
          </cell>
          <cell r="M4961" t="str">
            <v/>
          </cell>
        </row>
        <row r="4962">
          <cell r="A4962">
            <v>31102192</v>
          </cell>
          <cell r="C4962">
            <v>31102192</v>
          </cell>
          <cell r="D4962">
            <v>31102192</v>
          </cell>
          <cell r="E4962">
            <v>31102192</v>
          </cell>
          <cell r="F4962">
            <v>31102192</v>
          </cell>
          <cell r="G4962">
            <v>31102192</v>
          </cell>
          <cell r="H4962">
            <v>31102192</v>
          </cell>
          <cell r="I4962" t="str">
            <v/>
          </cell>
          <cell r="J4962" t="str">
            <v/>
          </cell>
          <cell r="K4962" t="str">
            <v/>
          </cell>
          <cell r="L4962" t="str">
            <v/>
          </cell>
          <cell r="M4962" t="str">
            <v/>
          </cell>
        </row>
        <row r="4963">
          <cell r="A4963">
            <v>31102192</v>
          </cell>
          <cell r="C4963">
            <v>31102192</v>
          </cell>
          <cell r="D4963">
            <v>31102192</v>
          </cell>
          <cell r="E4963">
            <v>31102192</v>
          </cell>
          <cell r="F4963">
            <v>31102192</v>
          </cell>
          <cell r="G4963">
            <v>31102192</v>
          </cell>
          <cell r="H4963">
            <v>31102192</v>
          </cell>
          <cell r="I4963" t="str">
            <v/>
          </cell>
          <cell r="J4963" t="str">
            <v/>
          </cell>
          <cell r="K4963" t="str">
            <v/>
          </cell>
          <cell r="L4963" t="str">
            <v/>
          </cell>
          <cell r="M4963" t="str">
            <v/>
          </cell>
        </row>
        <row r="4964">
          <cell r="A4964">
            <v>31102192</v>
          </cell>
          <cell r="C4964">
            <v>31102192</v>
          </cell>
          <cell r="D4964">
            <v>31102192</v>
          </cell>
          <cell r="E4964">
            <v>31102192</v>
          </cell>
          <cell r="F4964">
            <v>31102192</v>
          </cell>
          <cell r="G4964">
            <v>31102192</v>
          </cell>
          <cell r="H4964">
            <v>31102192</v>
          </cell>
          <cell r="I4964" t="str">
            <v/>
          </cell>
          <cell r="J4964" t="str">
            <v/>
          </cell>
          <cell r="K4964" t="str">
            <v/>
          </cell>
          <cell r="L4964" t="str">
            <v/>
          </cell>
          <cell r="M4964" t="str">
            <v/>
          </cell>
        </row>
        <row r="4965">
          <cell r="A4965">
            <v>31102192</v>
          </cell>
          <cell r="C4965">
            <v>31102192</v>
          </cell>
          <cell r="D4965">
            <v>31102192</v>
          </cell>
          <cell r="E4965">
            <v>31102192</v>
          </cell>
          <cell r="F4965">
            <v>31102192</v>
          </cell>
          <cell r="G4965">
            <v>31102192</v>
          </cell>
          <cell r="H4965">
            <v>31102192</v>
          </cell>
          <cell r="I4965" t="str">
            <v/>
          </cell>
          <cell r="J4965" t="str">
            <v/>
          </cell>
          <cell r="K4965" t="str">
            <v/>
          </cell>
          <cell r="L4965" t="str">
            <v/>
          </cell>
          <cell r="M4965" t="str">
            <v/>
          </cell>
        </row>
        <row r="4966">
          <cell r="A4966">
            <v>31102192</v>
          </cell>
          <cell r="C4966">
            <v>31102192</v>
          </cell>
          <cell r="D4966">
            <v>31102192</v>
          </cell>
          <cell r="E4966">
            <v>31102192</v>
          </cell>
          <cell r="F4966">
            <v>31102192</v>
          </cell>
          <cell r="G4966">
            <v>31102192</v>
          </cell>
          <cell r="H4966">
            <v>31102192</v>
          </cell>
          <cell r="I4966" t="str">
            <v/>
          </cell>
          <cell r="J4966" t="str">
            <v/>
          </cell>
          <cell r="K4966" t="str">
            <v/>
          </cell>
          <cell r="L4966" t="str">
            <v/>
          </cell>
          <cell r="M4966" t="str">
            <v/>
          </cell>
        </row>
        <row r="4967">
          <cell r="A4967">
            <v>31102192</v>
          </cell>
          <cell r="C4967">
            <v>31102192</v>
          </cell>
          <cell r="D4967">
            <v>31102192</v>
          </cell>
          <cell r="E4967">
            <v>31102192</v>
          </cell>
          <cell r="F4967">
            <v>31102192</v>
          </cell>
          <cell r="G4967">
            <v>31102192</v>
          </cell>
          <cell r="H4967">
            <v>31102192</v>
          </cell>
          <cell r="I4967" t="str">
            <v/>
          </cell>
          <cell r="J4967" t="str">
            <v/>
          </cell>
          <cell r="K4967" t="str">
            <v/>
          </cell>
          <cell r="L4967" t="str">
            <v/>
          </cell>
          <cell r="M4967" t="str">
            <v/>
          </cell>
        </row>
        <row r="4968">
          <cell r="A4968">
            <v>31102192</v>
          </cell>
          <cell r="C4968">
            <v>31102192</v>
          </cell>
          <cell r="D4968">
            <v>31102192</v>
          </cell>
          <cell r="E4968">
            <v>31102192</v>
          </cell>
          <cell r="F4968">
            <v>31102192</v>
          </cell>
          <cell r="G4968">
            <v>31102192</v>
          </cell>
          <cell r="H4968">
            <v>31102192</v>
          </cell>
          <cell r="I4968" t="str">
            <v/>
          </cell>
          <cell r="J4968" t="str">
            <v/>
          </cell>
          <cell r="K4968" t="str">
            <v/>
          </cell>
          <cell r="L4968" t="str">
            <v/>
          </cell>
          <cell r="M4968" t="str">
            <v/>
          </cell>
        </row>
        <row r="4969">
          <cell r="A4969">
            <v>31102192</v>
          </cell>
          <cell r="C4969">
            <v>31102192</v>
          </cell>
          <cell r="D4969">
            <v>31102192</v>
          </cell>
          <cell r="E4969">
            <v>31102192</v>
          </cell>
          <cell r="F4969">
            <v>31102192</v>
          </cell>
          <cell r="G4969">
            <v>31102192</v>
          </cell>
          <cell r="H4969">
            <v>31102192</v>
          </cell>
          <cell r="I4969" t="str">
            <v/>
          </cell>
          <cell r="J4969" t="str">
            <v/>
          </cell>
          <cell r="K4969" t="str">
            <v/>
          </cell>
          <cell r="L4969" t="str">
            <v/>
          </cell>
          <cell r="M4969" t="str">
            <v/>
          </cell>
        </row>
        <row r="4970">
          <cell r="A4970">
            <v>31102192</v>
          </cell>
          <cell r="C4970">
            <v>31102192</v>
          </cell>
          <cell r="D4970">
            <v>31102192</v>
          </cell>
          <cell r="E4970">
            <v>31102192</v>
          </cell>
          <cell r="F4970">
            <v>31102192</v>
          </cell>
          <cell r="G4970">
            <v>31102192</v>
          </cell>
          <cell r="H4970">
            <v>31102192</v>
          </cell>
          <cell r="I4970" t="str">
            <v/>
          </cell>
          <cell r="J4970" t="str">
            <v/>
          </cell>
          <cell r="K4970" t="str">
            <v/>
          </cell>
          <cell r="L4970" t="str">
            <v/>
          </cell>
          <cell r="M4970" t="str">
            <v/>
          </cell>
        </row>
        <row r="4971">
          <cell r="A4971">
            <v>31102192</v>
          </cell>
          <cell r="C4971">
            <v>31102192</v>
          </cell>
          <cell r="D4971">
            <v>31102192</v>
          </cell>
          <cell r="E4971">
            <v>31102192</v>
          </cell>
          <cell r="F4971">
            <v>31102192</v>
          </cell>
          <cell r="G4971">
            <v>31102192</v>
          </cell>
          <cell r="H4971">
            <v>31102192</v>
          </cell>
          <cell r="I4971" t="str">
            <v/>
          </cell>
          <cell r="J4971" t="str">
            <v/>
          </cell>
          <cell r="K4971" t="str">
            <v/>
          </cell>
          <cell r="L4971" t="str">
            <v/>
          </cell>
          <cell r="M4971" t="str">
            <v/>
          </cell>
        </row>
        <row r="4972">
          <cell r="A4972">
            <v>31102192</v>
          </cell>
          <cell r="C4972">
            <v>31102192</v>
          </cell>
          <cell r="D4972">
            <v>31102192</v>
          </cell>
          <cell r="E4972">
            <v>31102192</v>
          </cell>
          <cell r="F4972">
            <v>31102192</v>
          </cell>
          <cell r="G4972">
            <v>31102192</v>
          </cell>
          <cell r="H4972">
            <v>31102192</v>
          </cell>
          <cell r="I4972" t="str">
            <v/>
          </cell>
          <cell r="J4972" t="str">
            <v/>
          </cell>
          <cell r="K4972" t="str">
            <v/>
          </cell>
          <cell r="L4972" t="str">
            <v/>
          </cell>
          <cell r="M4972" t="str">
            <v/>
          </cell>
        </row>
        <row r="4973">
          <cell r="A4973">
            <v>31102192</v>
          </cell>
          <cell r="C4973">
            <v>31102192</v>
          </cell>
          <cell r="D4973">
            <v>31102192</v>
          </cell>
          <cell r="E4973">
            <v>31102192</v>
          </cell>
          <cell r="F4973">
            <v>31102192</v>
          </cell>
          <cell r="G4973">
            <v>31102192</v>
          </cell>
          <cell r="H4973">
            <v>31102192</v>
          </cell>
          <cell r="I4973" t="str">
            <v/>
          </cell>
          <cell r="J4973" t="str">
            <v/>
          </cell>
          <cell r="K4973" t="str">
            <v/>
          </cell>
          <cell r="L4973" t="str">
            <v/>
          </cell>
          <cell r="M4973" t="str">
            <v/>
          </cell>
        </row>
        <row r="4974">
          <cell r="A4974">
            <v>31102192</v>
          </cell>
          <cell r="C4974">
            <v>31102192</v>
          </cell>
          <cell r="D4974">
            <v>31102192</v>
          </cell>
          <cell r="E4974">
            <v>31102192</v>
          </cell>
          <cell r="F4974">
            <v>31102192</v>
          </cell>
          <cell r="G4974">
            <v>31102192</v>
          </cell>
          <cell r="H4974">
            <v>31102192</v>
          </cell>
          <cell r="I4974" t="str">
            <v/>
          </cell>
          <cell r="J4974" t="str">
            <v/>
          </cell>
          <cell r="K4974" t="str">
            <v/>
          </cell>
          <cell r="L4974" t="str">
            <v/>
          </cell>
          <cell r="M4974" t="str">
            <v/>
          </cell>
        </row>
        <row r="4975">
          <cell r="A4975">
            <v>31102192</v>
          </cell>
          <cell r="C4975">
            <v>31102192</v>
          </cell>
          <cell r="D4975">
            <v>31102192</v>
          </cell>
          <cell r="E4975">
            <v>31102192</v>
          </cell>
          <cell r="F4975">
            <v>31102192</v>
          </cell>
          <cell r="G4975">
            <v>31102192</v>
          </cell>
          <cell r="H4975">
            <v>31102192</v>
          </cell>
          <cell r="I4975" t="str">
            <v/>
          </cell>
          <cell r="J4975" t="str">
            <v/>
          </cell>
          <cell r="K4975" t="str">
            <v/>
          </cell>
          <cell r="L4975" t="str">
            <v/>
          </cell>
          <cell r="M4975" t="str">
            <v/>
          </cell>
        </row>
        <row r="4976">
          <cell r="A4976">
            <v>31102192</v>
          </cell>
          <cell r="C4976">
            <v>31102192</v>
          </cell>
          <cell r="D4976">
            <v>31102192</v>
          </cell>
          <cell r="E4976">
            <v>31102192</v>
          </cell>
          <cell r="F4976">
            <v>31102192</v>
          </cell>
          <cell r="G4976">
            <v>31102192</v>
          </cell>
          <cell r="H4976">
            <v>31102192</v>
          </cell>
          <cell r="I4976" t="str">
            <v/>
          </cell>
          <cell r="J4976" t="str">
            <v/>
          </cell>
          <cell r="K4976" t="str">
            <v/>
          </cell>
          <cell r="L4976" t="str">
            <v/>
          </cell>
          <cell r="M4976" t="str">
            <v/>
          </cell>
        </row>
        <row r="4977">
          <cell r="A4977">
            <v>31102192</v>
          </cell>
          <cell r="C4977">
            <v>31102192</v>
          </cell>
          <cell r="D4977">
            <v>31102192</v>
          </cell>
          <cell r="E4977">
            <v>31102192</v>
          </cell>
          <cell r="F4977">
            <v>31102192</v>
          </cell>
          <cell r="G4977">
            <v>31102192</v>
          </cell>
          <cell r="H4977">
            <v>31102192</v>
          </cell>
          <cell r="I4977" t="str">
            <v/>
          </cell>
          <cell r="J4977" t="str">
            <v/>
          </cell>
          <cell r="K4977" t="str">
            <v/>
          </cell>
          <cell r="L4977" t="str">
            <v/>
          </cell>
          <cell r="M4977" t="str">
            <v/>
          </cell>
        </row>
        <row r="4978">
          <cell r="A4978">
            <v>31102192</v>
          </cell>
          <cell r="C4978">
            <v>31102192</v>
          </cell>
          <cell r="D4978">
            <v>31102192</v>
          </cell>
          <cell r="E4978">
            <v>31102192</v>
          </cell>
          <cell r="F4978">
            <v>31102192</v>
          </cell>
          <cell r="G4978">
            <v>31102192</v>
          </cell>
          <cell r="H4978">
            <v>31102192</v>
          </cell>
          <cell r="I4978" t="str">
            <v/>
          </cell>
          <cell r="J4978" t="str">
            <v/>
          </cell>
          <cell r="K4978" t="str">
            <v/>
          </cell>
          <cell r="L4978" t="str">
            <v/>
          </cell>
          <cell r="M4978" t="str">
            <v/>
          </cell>
        </row>
        <row r="4979">
          <cell r="A4979">
            <v>31102192</v>
          </cell>
          <cell r="C4979">
            <v>31102192</v>
          </cell>
          <cell r="D4979">
            <v>31102192</v>
          </cell>
          <cell r="E4979">
            <v>31102192</v>
          </cell>
          <cell r="F4979">
            <v>31102192</v>
          </cell>
          <cell r="G4979">
            <v>31102192</v>
          </cell>
          <cell r="H4979">
            <v>31102192</v>
          </cell>
          <cell r="I4979" t="str">
            <v/>
          </cell>
          <cell r="J4979" t="str">
            <v/>
          </cell>
          <cell r="K4979" t="str">
            <v/>
          </cell>
          <cell r="L4979" t="str">
            <v/>
          </cell>
          <cell r="M4979" t="str">
            <v/>
          </cell>
        </row>
        <row r="4980">
          <cell r="A4980">
            <v>31102192</v>
          </cell>
          <cell r="C4980">
            <v>31102192</v>
          </cell>
          <cell r="D4980">
            <v>31102192</v>
          </cell>
          <cell r="E4980">
            <v>31102192</v>
          </cell>
          <cell r="F4980">
            <v>31102192</v>
          </cell>
          <cell r="G4980">
            <v>31102192</v>
          </cell>
          <cell r="H4980">
            <v>31102192</v>
          </cell>
          <cell r="I4980" t="str">
            <v/>
          </cell>
          <cell r="J4980" t="str">
            <v/>
          </cell>
          <cell r="K4980" t="str">
            <v/>
          </cell>
          <cell r="L4980" t="str">
            <v/>
          </cell>
          <cell r="M4980" t="str">
            <v/>
          </cell>
        </row>
        <row r="4981">
          <cell r="A4981">
            <v>31102192</v>
          </cell>
          <cell r="C4981">
            <v>31102192</v>
          </cell>
          <cell r="D4981">
            <v>31102192</v>
          </cell>
          <cell r="E4981">
            <v>31102192</v>
          </cell>
          <cell r="F4981">
            <v>31102192</v>
          </cell>
          <cell r="G4981">
            <v>31102192</v>
          </cell>
          <cell r="H4981">
            <v>31102192</v>
          </cell>
          <cell r="I4981" t="str">
            <v/>
          </cell>
          <cell r="J4981" t="str">
            <v/>
          </cell>
          <cell r="K4981" t="str">
            <v/>
          </cell>
          <cell r="L4981" t="str">
            <v/>
          </cell>
          <cell r="M4981" t="str">
            <v/>
          </cell>
        </row>
        <row r="4982">
          <cell r="A4982">
            <v>31102192</v>
          </cell>
          <cell r="C4982">
            <v>31102192</v>
          </cell>
          <cell r="D4982">
            <v>31102192</v>
          </cell>
          <cell r="E4982">
            <v>31102192</v>
          </cell>
          <cell r="F4982">
            <v>31102192</v>
          </cell>
          <cell r="G4982">
            <v>31102192</v>
          </cell>
          <cell r="H4982">
            <v>31102192</v>
          </cell>
          <cell r="I4982" t="str">
            <v/>
          </cell>
          <cell r="J4982" t="str">
            <v/>
          </cell>
          <cell r="K4982" t="str">
            <v/>
          </cell>
          <cell r="L4982" t="str">
            <v/>
          </cell>
          <cell r="M4982" t="str">
            <v/>
          </cell>
        </row>
        <row r="4983">
          <cell r="A4983">
            <v>31102192</v>
          </cell>
          <cell r="C4983">
            <v>31102192</v>
          </cell>
          <cell r="D4983">
            <v>31102192</v>
          </cell>
          <cell r="E4983">
            <v>31102192</v>
          </cell>
          <cell r="F4983">
            <v>31102192</v>
          </cell>
          <cell r="G4983">
            <v>31102192</v>
          </cell>
          <cell r="H4983">
            <v>31102192</v>
          </cell>
          <cell r="I4983" t="str">
            <v/>
          </cell>
          <cell r="J4983" t="str">
            <v/>
          </cell>
          <cell r="K4983" t="str">
            <v/>
          </cell>
          <cell r="L4983" t="str">
            <v/>
          </cell>
          <cell r="M4983" t="str">
            <v/>
          </cell>
        </row>
        <row r="4984">
          <cell r="A4984">
            <v>31102192</v>
          </cell>
          <cell r="C4984">
            <v>31102192</v>
          </cell>
          <cell r="D4984">
            <v>31102192</v>
          </cell>
          <cell r="E4984">
            <v>31102192</v>
          </cell>
          <cell r="F4984">
            <v>31102192</v>
          </cell>
          <cell r="G4984">
            <v>31102192</v>
          </cell>
          <cell r="H4984">
            <v>31102192</v>
          </cell>
          <cell r="I4984" t="str">
            <v/>
          </cell>
          <cell r="J4984" t="str">
            <v/>
          </cell>
          <cell r="K4984" t="str">
            <v/>
          </cell>
          <cell r="L4984" t="str">
            <v/>
          </cell>
          <cell r="M4984" t="str">
            <v/>
          </cell>
        </row>
        <row r="4985">
          <cell r="A4985">
            <v>31102192</v>
          </cell>
          <cell r="C4985">
            <v>31102192</v>
          </cell>
          <cell r="D4985">
            <v>31102192</v>
          </cell>
          <cell r="E4985">
            <v>31102192</v>
          </cell>
          <cell r="F4985">
            <v>31102192</v>
          </cell>
          <cell r="G4985">
            <v>31102192</v>
          </cell>
          <cell r="H4985">
            <v>31102192</v>
          </cell>
          <cell r="I4985" t="str">
            <v/>
          </cell>
          <cell r="J4985" t="str">
            <v/>
          </cell>
          <cell r="K4985" t="str">
            <v/>
          </cell>
          <cell r="L4985" t="str">
            <v/>
          </cell>
          <cell r="M4985" t="str">
            <v/>
          </cell>
        </row>
        <row r="4986">
          <cell r="A4986">
            <v>31102192</v>
          </cell>
          <cell r="C4986">
            <v>31102192</v>
          </cell>
          <cell r="D4986">
            <v>31102192</v>
          </cell>
          <cell r="E4986">
            <v>31102192</v>
          </cell>
          <cell r="F4986">
            <v>31102192</v>
          </cell>
          <cell r="G4986">
            <v>31102192</v>
          </cell>
          <cell r="H4986">
            <v>31102192</v>
          </cell>
          <cell r="I4986" t="str">
            <v/>
          </cell>
          <cell r="J4986" t="str">
            <v/>
          </cell>
          <cell r="K4986" t="str">
            <v/>
          </cell>
          <cell r="L4986" t="str">
            <v/>
          </cell>
          <cell r="M4986" t="str">
            <v/>
          </cell>
        </row>
        <row r="4987">
          <cell r="A4987">
            <v>31102192</v>
          </cell>
          <cell r="C4987">
            <v>31102192</v>
          </cell>
          <cell r="D4987">
            <v>31102192</v>
          </cell>
          <cell r="E4987">
            <v>31102192</v>
          </cell>
          <cell r="F4987">
            <v>31102192</v>
          </cell>
          <cell r="G4987">
            <v>31102192</v>
          </cell>
          <cell r="H4987">
            <v>31102192</v>
          </cell>
          <cell r="I4987" t="str">
            <v/>
          </cell>
          <cell r="J4987" t="str">
            <v/>
          </cell>
          <cell r="K4987" t="str">
            <v/>
          </cell>
          <cell r="L4987" t="str">
            <v/>
          </cell>
          <cell r="M4987" t="str">
            <v/>
          </cell>
        </row>
        <row r="4988">
          <cell r="A4988">
            <v>31102192</v>
          </cell>
          <cell r="C4988">
            <v>31102192</v>
          </cell>
          <cell r="D4988">
            <v>31102192</v>
          </cell>
          <cell r="E4988">
            <v>31102192</v>
          </cell>
          <cell r="F4988">
            <v>31102192</v>
          </cell>
          <cell r="G4988">
            <v>31102192</v>
          </cell>
          <cell r="H4988">
            <v>31102192</v>
          </cell>
          <cell r="I4988" t="str">
            <v/>
          </cell>
          <cell r="J4988" t="str">
            <v/>
          </cell>
          <cell r="K4988" t="str">
            <v/>
          </cell>
          <cell r="L4988" t="str">
            <v/>
          </cell>
          <cell r="M4988" t="str">
            <v/>
          </cell>
        </row>
        <row r="4989">
          <cell r="A4989">
            <v>31102192</v>
          </cell>
          <cell r="C4989">
            <v>31102192</v>
          </cell>
          <cell r="D4989">
            <v>31102192</v>
          </cell>
          <cell r="E4989">
            <v>31102192</v>
          </cell>
          <cell r="F4989">
            <v>31102192</v>
          </cell>
          <cell r="G4989">
            <v>31102192</v>
          </cell>
          <cell r="H4989">
            <v>31102192</v>
          </cell>
          <cell r="I4989" t="str">
            <v/>
          </cell>
          <cell r="J4989" t="str">
            <v/>
          </cell>
          <cell r="K4989" t="str">
            <v/>
          </cell>
          <cell r="L4989" t="str">
            <v/>
          </cell>
          <cell r="M4989" t="str">
            <v/>
          </cell>
        </row>
        <row r="4990">
          <cell r="A4990">
            <v>31102192</v>
          </cell>
          <cell r="C4990">
            <v>31102192</v>
          </cell>
          <cell r="D4990">
            <v>31102192</v>
          </cell>
          <cell r="E4990">
            <v>31102192</v>
          </cell>
          <cell r="F4990">
            <v>31102192</v>
          </cell>
          <cell r="G4990">
            <v>31102192</v>
          </cell>
          <cell r="H4990">
            <v>31102192</v>
          </cell>
          <cell r="I4990" t="str">
            <v/>
          </cell>
          <cell r="J4990" t="str">
            <v/>
          </cell>
          <cell r="K4990" t="str">
            <v/>
          </cell>
          <cell r="L4990" t="str">
            <v/>
          </cell>
          <cell r="M4990" t="str">
            <v/>
          </cell>
        </row>
        <row r="4991">
          <cell r="A4991">
            <v>31102192</v>
          </cell>
          <cell r="C4991">
            <v>31102192</v>
          </cell>
          <cell r="D4991">
            <v>31102192</v>
          </cell>
          <cell r="E4991">
            <v>31102192</v>
          </cell>
          <cell r="F4991">
            <v>31102192</v>
          </cell>
          <cell r="G4991">
            <v>31102192</v>
          </cell>
          <cell r="H4991">
            <v>31102192</v>
          </cell>
          <cell r="I4991" t="str">
            <v/>
          </cell>
          <cell r="J4991" t="str">
            <v/>
          </cell>
          <cell r="K4991" t="str">
            <v/>
          </cell>
          <cell r="L4991" t="str">
            <v/>
          </cell>
          <cell r="M4991" t="str">
            <v/>
          </cell>
        </row>
        <row r="4992">
          <cell r="A4992">
            <v>31102192</v>
          </cell>
          <cell r="C4992">
            <v>31102192</v>
          </cell>
          <cell r="D4992">
            <v>31102192</v>
          </cell>
          <cell r="E4992">
            <v>31102192</v>
          </cell>
          <cell r="F4992">
            <v>31102192</v>
          </cell>
          <cell r="G4992">
            <v>31102192</v>
          </cell>
          <cell r="H4992">
            <v>31102192</v>
          </cell>
          <cell r="I4992" t="str">
            <v/>
          </cell>
          <cell r="J4992" t="str">
            <v/>
          </cell>
          <cell r="K4992" t="str">
            <v/>
          </cell>
          <cell r="L4992" t="str">
            <v/>
          </cell>
          <cell r="M4992" t="str">
            <v/>
          </cell>
        </row>
        <row r="4993">
          <cell r="A4993">
            <v>31102192</v>
          </cell>
          <cell r="C4993">
            <v>31102192</v>
          </cell>
          <cell r="D4993">
            <v>31102192</v>
          </cell>
          <cell r="E4993">
            <v>31102192</v>
          </cell>
          <cell r="F4993">
            <v>31102192</v>
          </cell>
          <cell r="G4993">
            <v>31102192</v>
          </cell>
          <cell r="H4993">
            <v>31102192</v>
          </cell>
          <cell r="I4993" t="str">
            <v/>
          </cell>
          <cell r="J4993" t="str">
            <v/>
          </cell>
          <cell r="K4993" t="str">
            <v/>
          </cell>
          <cell r="L4993" t="str">
            <v/>
          </cell>
          <cell r="M4993" t="str">
            <v/>
          </cell>
        </row>
        <row r="4994">
          <cell r="A4994">
            <v>31102192</v>
          </cell>
          <cell r="C4994">
            <v>31102192</v>
          </cell>
          <cell r="D4994">
            <v>31102192</v>
          </cell>
          <cell r="E4994">
            <v>31102192</v>
          </cell>
          <cell r="F4994">
            <v>31102192</v>
          </cell>
          <cell r="G4994">
            <v>31102192</v>
          </cell>
          <cell r="H4994">
            <v>31102192</v>
          </cell>
          <cell r="I4994" t="str">
            <v/>
          </cell>
          <cell r="J4994" t="str">
            <v/>
          </cell>
          <cell r="K4994" t="str">
            <v/>
          </cell>
          <cell r="L4994" t="str">
            <v/>
          </cell>
          <cell r="M4994" t="str">
            <v/>
          </cell>
        </row>
        <row r="4995">
          <cell r="A4995">
            <v>31102192</v>
          </cell>
          <cell r="C4995">
            <v>31102192</v>
          </cell>
          <cell r="D4995">
            <v>31102192</v>
          </cell>
          <cell r="E4995">
            <v>31102192</v>
          </cell>
          <cell r="F4995">
            <v>31102192</v>
          </cell>
          <cell r="G4995">
            <v>31102192</v>
          </cell>
          <cell r="H4995">
            <v>31102192</v>
          </cell>
          <cell r="I4995" t="str">
            <v/>
          </cell>
          <cell r="J4995" t="str">
            <v/>
          </cell>
          <cell r="K4995" t="str">
            <v/>
          </cell>
          <cell r="L4995" t="str">
            <v/>
          </cell>
          <cell r="M4995" t="str">
            <v/>
          </cell>
        </row>
        <row r="4996">
          <cell r="A4996">
            <v>31102192</v>
          </cell>
          <cell r="C4996">
            <v>31102192</v>
          </cell>
          <cell r="D4996">
            <v>31102192</v>
          </cell>
          <cell r="E4996">
            <v>31102192</v>
          </cell>
          <cell r="F4996">
            <v>31102192</v>
          </cell>
          <cell r="G4996">
            <v>31102192</v>
          </cell>
          <cell r="H4996">
            <v>31102192</v>
          </cell>
          <cell r="I4996" t="str">
            <v/>
          </cell>
          <cell r="J4996" t="str">
            <v/>
          </cell>
          <cell r="K4996" t="str">
            <v/>
          </cell>
          <cell r="L4996" t="str">
            <v/>
          </cell>
          <cell r="M4996" t="str">
            <v/>
          </cell>
        </row>
        <row r="4997">
          <cell r="A4997">
            <v>31102192</v>
          </cell>
          <cell r="C4997">
            <v>31102192</v>
          </cell>
          <cell r="D4997">
            <v>31102192</v>
          </cell>
          <cell r="E4997">
            <v>31102192</v>
          </cell>
          <cell r="F4997">
            <v>31102192</v>
          </cell>
          <cell r="G4997">
            <v>31102192</v>
          </cell>
          <cell r="H4997">
            <v>31102192</v>
          </cell>
          <cell r="I4997" t="str">
            <v/>
          </cell>
          <cell r="J4997" t="str">
            <v/>
          </cell>
          <cell r="K4997" t="str">
            <v/>
          </cell>
          <cell r="L4997" t="str">
            <v/>
          </cell>
          <cell r="M4997" t="str">
            <v/>
          </cell>
        </row>
        <row r="4998">
          <cell r="A4998">
            <v>31102192</v>
          </cell>
          <cell r="C4998">
            <v>31102192</v>
          </cell>
          <cell r="D4998">
            <v>31102192</v>
          </cell>
          <cell r="E4998">
            <v>31102192</v>
          </cell>
          <cell r="F4998">
            <v>31102192</v>
          </cell>
          <cell r="G4998">
            <v>31102192</v>
          </cell>
          <cell r="H4998">
            <v>31102192</v>
          </cell>
          <cell r="I4998" t="str">
            <v/>
          </cell>
          <cell r="J4998" t="str">
            <v/>
          </cell>
          <cell r="K4998" t="str">
            <v/>
          </cell>
          <cell r="L4998" t="str">
            <v/>
          </cell>
          <cell r="M4998" t="str">
            <v/>
          </cell>
        </row>
        <row r="4999">
          <cell r="A4999">
            <v>31102192</v>
          </cell>
          <cell r="C4999">
            <v>31102192</v>
          </cell>
          <cell r="D4999">
            <v>31102192</v>
          </cell>
          <cell r="E4999">
            <v>31102192</v>
          </cell>
          <cell r="F4999">
            <v>31102192</v>
          </cell>
          <cell r="G4999">
            <v>31102192</v>
          </cell>
          <cell r="H4999">
            <v>31102192</v>
          </cell>
          <cell r="I4999" t="str">
            <v/>
          </cell>
          <cell r="J4999" t="str">
            <v/>
          </cell>
          <cell r="K4999" t="str">
            <v/>
          </cell>
          <cell r="L4999" t="str">
            <v/>
          </cell>
          <cell r="M4999" t="str">
            <v/>
          </cell>
        </row>
        <row r="5000">
          <cell r="A5000">
            <v>31102192</v>
          </cell>
          <cell r="C5000">
            <v>31102192</v>
          </cell>
          <cell r="D5000">
            <v>31102192</v>
          </cell>
          <cell r="E5000">
            <v>31102192</v>
          </cell>
          <cell r="F5000">
            <v>31102192</v>
          </cell>
          <cell r="G5000">
            <v>31102192</v>
          </cell>
          <cell r="H5000">
            <v>31102192</v>
          </cell>
          <cell r="I5000" t="str">
            <v/>
          </cell>
          <cell r="J5000" t="str">
            <v/>
          </cell>
          <cell r="K5000" t="str">
            <v/>
          </cell>
          <cell r="L5000" t="str">
            <v/>
          </cell>
          <cell r="M5000" t="str">
            <v/>
          </cell>
        </row>
        <row r="5001">
          <cell r="A5001">
            <v>31102192</v>
          </cell>
          <cell r="C5001">
            <v>31102192</v>
          </cell>
          <cell r="D5001">
            <v>31102192</v>
          </cell>
          <cell r="E5001">
            <v>31102192</v>
          </cell>
          <cell r="F5001">
            <v>31102192</v>
          </cell>
          <cell r="G5001">
            <v>31102192</v>
          </cell>
          <cell r="H5001">
            <v>31102192</v>
          </cell>
          <cell r="I5001" t="str">
            <v/>
          </cell>
          <cell r="J5001" t="str">
            <v/>
          </cell>
          <cell r="K5001" t="str">
            <v/>
          </cell>
          <cell r="L5001" t="str">
            <v/>
          </cell>
          <cell r="M5001" t="str">
            <v/>
          </cell>
        </row>
        <row r="5002">
          <cell r="A5002">
            <v>31102192</v>
          </cell>
          <cell r="C5002">
            <v>31102192</v>
          </cell>
          <cell r="D5002">
            <v>31102192</v>
          </cell>
          <cell r="E5002">
            <v>31102192</v>
          </cell>
          <cell r="F5002">
            <v>31102192</v>
          </cell>
          <cell r="G5002">
            <v>31102192</v>
          </cell>
          <cell r="H5002">
            <v>31102192</v>
          </cell>
          <cell r="I5002" t="str">
            <v/>
          </cell>
          <cell r="J5002" t="str">
            <v/>
          </cell>
          <cell r="K5002" t="str">
            <v/>
          </cell>
          <cell r="L5002" t="str">
            <v/>
          </cell>
          <cell r="M5002" t="str">
            <v/>
          </cell>
        </row>
        <row r="5003">
          <cell r="A5003">
            <v>31102192</v>
          </cell>
          <cell r="C5003">
            <v>31102192</v>
          </cell>
          <cell r="D5003">
            <v>31102192</v>
          </cell>
          <cell r="E5003">
            <v>31102192</v>
          </cell>
          <cell r="F5003">
            <v>31102192</v>
          </cell>
          <cell r="G5003">
            <v>31102192</v>
          </cell>
          <cell r="H5003">
            <v>31102192</v>
          </cell>
          <cell r="I5003" t="str">
            <v/>
          </cell>
          <cell r="J5003" t="str">
            <v/>
          </cell>
          <cell r="K5003" t="str">
            <v/>
          </cell>
          <cell r="L5003" t="str">
            <v/>
          </cell>
          <cell r="M5003" t="str">
            <v/>
          </cell>
        </row>
        <row r="5004">
          <cell r="A5004">
            <v>31102192</v>
          </cell>
          <cell r="C5004">
            <v>31102192</v>
          </cell>
          <cell r="D5004">
            <v>31102192</v>
          </cell>
          <cell r="E5004">
            <v>31102192</v>
          </cell>
          <cell r="F5004">
            <v>31102192</v>
          </cell>
          <cell r="G5004">
            <v>31102192</v>
          </cell>
          <cell r="H5004">
            <v>31102192</v>
          </cell>
          <cell r="I5004" t="str">
            <v/>
          </cell>
          <cell r="J5004" t="str">
            <v/>
          </cell>
          <cell r="K5004" t="str">
            <v/>
          </cell>
          <cell r="L5004" t="str">
            <v/>
          </cell>
          <cell r="M5004" t="str">
            <v/>
          </cell>
        </row>
        <row r="5005">
          <cell r="A5005">
            <v>31102192</v>
          </cell>
          <cell r="C5005">
            <v>31102192</v>
          </cell>
          <cell r="D5005">
            <v>31102192</v>
          </cell>
          <cell r="E5005">
            <v>31102192</v>
          </cell>
          <cell r="F5005">
            <v>31102192</v>
          </cell>
          <cell r="G5005">
            <v>31102192</v>
          </cell>
          <cell r="H5005">
            <v>31102192</v>
          </cell>
          <cell r="I5005" t="str">
            <v/>
          </cell>
          <cell r="J5005" t="str">
            <v/>
          </cell>
          <cell r="K5005" t="str">
            <v/>
          </cell>
          <cell r="L5005" t="str">
            <v/>
          </cell>
          <cell r="M5005" t="str">
            <v/>
          </cell>
        </row>
        <row r="5006">
          <cell r="A5006">
            <v>31102192</v>
          </cell>
          <cell r="C5006">
            <v>31102192</v>
          </cell>
          <cell r="D5006">
            <v>31102192</v>
          </cell>
          <cell r="E5006">
            <v>31102192</v>
          </cell>
          <cell r="F5006">
            <v>31102192</v>
          </cell>
          <cell r="G5006">
            <v>31102192</v>
          </cell>
          <cell r="H5006">
            <v>31102192</v>
          </cell>
          <cell r="I5006" t="str">
            <v/>
          </cell>
          <cell r="J5006" t="str">
            <v/>
          </cell>
          <cell r="K5006" t="str">
            <v/>
          </cell>
          <cell r="L5006" t="str">
            <v/>
          </cell>
          <cell r="M5006" t="str">
            <v/>
          </cell>
        </row>
        <row r="5007">
          <cell r="A5007">
            <v>31102192</v>
          </cell>
          <cell r="C5007">
            <v>31102192</v>
          </cell>
          <cell r="D5007">
            <v>31102192</v>
          </cell>
          <cell r="E5007">
            <v>31102192</v>
          </cell>
          <cell r="F5007">
            <v>31102192</v>
          </cell>
          <cell r="G5007">
            <v>31102192</v>
          </cell>
          <cell r="H5007">
            <v>31102192</v>
          </cell>
          <cell r="I5007" t="str">
            <v/>
          </cell>
          <cell r="J5007" t="str">
            <v/>
          </cell>
          <cell r="K5007" t="str">
            <v/>
          </cell>
          <cell r="L5007" t="str">
            <v/>
          </cell>
          <cell r="M5007" t="str">
            <v/>
          </cell>
        </row>
        <row r="5008">
          <cell r="A5008">
            <v>31102192</v>
          </cell>
          <cell r="C5008">
            <v>31102192</v>
          </cell>
          <cell r="D5008">
            <v>31102192</v>
          </cell>
          <cell r="E5008">
            <v>31102192</v>
          </cell>
          <cell r="F5008">
            <v>31102192</v>
          </cell>
          <cell r="G5008">
            <v>31102192</v>
          </cell>
          <cell r="H5008">
            <v>31102192</v>
          </cell>
          <cell r="I5008" t="str">
            <v/>
          </cell>
          <cell r="J5008" t="str">
            <v/>
          </cell>
          <cell r="K5008" t="str">
            <v/>
          </cell>
          <cell r="L5008" t="str">
            <v/>
          </cell>
          <cell r="M5008" t="str">
            <v/>
          </cell>
        </row>
        <row r="5009">
          <cell r="A5009">
            <v>31102192</v>
          </cell>
          <cell r="C5009">
            <v>31102192</v>
          </cell>
          <cell r="D5009">
            <v>31102192</v>
          </cell>
          <cell r="E5009">
            <v>31102192</v>
          </cell>
          <cell r="F5009">
            <v>31102192</v>
          </cell>
          <cell r="G5009">
            <v>31102192</v>
          </cell>
          <cell r="H5009">
            <v>31102192</v>
          </cell>
          <cell r="I5009" t="str">
            <v/>
          </cell>
          <cell r="J5009" t="str">
            <v/>
          </cell>
          <cell r="K5009" t="str">
            <v/>
          </cell>
          <cell r="L5009" t="str">
            <v/>
          </cell>
          <cell r="M5009" t="str">
            <v/>
          </cell>
        </row>
        <row r="5010">
          <cell r="A5010">
            <v>31102192</v>
          </cell>
          <cell r="C5010">
            <v>31102192</v>
          </cell>
          <cell r="D5010">
            <v>31102192</v>
          </cell>
          <cell r="E5010">
            <v>31102192</v>
          </cell>
          <cell r="F5010">
            <v>31102192</v>
          </cell>
          <cell r="G5010">
            <v>31102192</v>
          </cell>
          <cell r="H5010">
            <v>31102192</v>
          </cell>
          <cell r="I5010" t="str">
            <v/>
          </cell>
          <cell r="J5010" t="str">
            <v/>
          </cell>
          <cell r="K5010" t="str">
            <v/>
          </cell>
          <cell r="L5010" t="str">
            <v/>
          </cell>
          <cell r="M5010" t="str">
            <v/>
          </cell>
        </row>
        <row r="5011">
          <cell r="A5011">
            <v>31102192</v>
          </cell>
          <cell r="C5011">
            <v>31102192</v>
          </cell>
          <cell r="D5011">
            <v>31102192</v>
          </cell>
          <cell r="E5011">
            <v>31102192</v>
          </cell>
          <cell r="F5011">
            <v>31102192</v>
          </cell>
          <cell r="G5011">
            <v>31102192</v>
          </cell>
          <cell r="H5011">
            <v>31102192</v>
          </cell>
          <cell r="I5011" t="str">
            <v/>
          </cell>
          <cell r="J5011" t="str">
            <v/>
          </cell>
          <cell r="K5011" t="str">
            <v/>
          </cell>
          <cell r="L5011" t="str">
            <v/>
          </cell>
          <cell r="M5011" t="str">
            <v/>
          </cell>
        </row>
        <row r="5012">
          <cell r="A5012">
            <v>31102192</v>
          </cell>
          <cell r="C5012">
            <v>31102192</v>
          </cell>
          <cell r="D5012">
            <v>31102192</v>
          </cell>
          <cell r="E5012">
            <v>31102192</v>
          </cell>
          <cell r="F5012">
            <v>31102192</v>
          </cell>
          <cell r="G5012">
            <v>31102192</v>
          </cell>
          <cell r="H5012">
            <v>31102192</v>
          </cell>
          <cell r="I5012" t="str">
            <v/>
          </cell>
          <cell r="J5012" t="str">
            <v/>
          </cell>
          <cell r="K5012" t="str">
            <v/>
          </cell>
          <cell r="L5012" t="str">
            <v/>
          </cell>
          <cell r="M5012" t="str">
            <v/>
          </cell>
        </row>
        <row r="5013">
          <cell r="A5013">
            <v>31102192</v>
          </cell>
          <cell r="C5013">
            <v>31102192</v>
          </cell>
          <cell r="D5013">
            <v>31102192</v>
          </cell>
          <cell r="E5013">
            <v>31102192</v>
          </cell>
          <cell r="F5013">
            <v>31102192</v>
          </cell>
          <cell r="G5013">
            <v>31102192</v>
          </cell>
          <cell r="H5013">
            <v>31102192</v>
          </cell>
          <cell r="I5013" t="str">
            <v/>
          </cell>
          <cell r="J5013" t="str">
            <v/>
          </cell>
          <cell r="K5013" t="str">
            <v/>
          </cell>
          <cell r="L5013" t="str">
            <v/>
          </cell>
          <cell r="M5013" t="str">
            <v/>
          </cell>
        </row>
        <row r="5014">
          <cell r="A5014">
            <v>31102192</v>
          </cell>
          <cell r="C5014">
            <v>31102192</v>
          </cell>
          <cell r="D5014">
            <v>31102192</v>
          </cell>
          <cell r="E5014">
            <v>31102192</v>
          </cell>
          <cell r="F5014">
            <v>31102192</v>
          </cell>
          <cell r="G5014">
            <v>31102192</v>
          </cell>
          <cell r="H5014">
            <v>31102192</v>
          </cell>
          <cell r="I5014" t="str">
            <v/>
          </cell>
          <cell r="J5014" t="str">
            <v/>
          </cell>
          <cell r="K5014" t="str">
            <v/>
          </cell>
          <cell r="L5014" t="str">
            <v/>
          </cell>
          <cell r="M5014" t="str">
            <v/>
          </cell>
        </row>
        <row r="5015">
          <cell r="A5015">
            <v>31102192</v>
          </cell>
          <cell r="C5015">
            <v>31102192</v>
          </cell>
          <cell r="D5015">
            <v>31102192</v>
          </cell>
          <cell r="E5015">
            <v>31102192</v>
          </cell>
          <cell r="F5015">
            <v>31102192</v>
          </cell>
          <cell r="G5015">
            <v>31102192</v>
          </cell>
          <cell r="H5015">
            <v>31102192</v>
          </cell>
          <cell r="I5015" t="str">
            <v/>
          </cell>
          <cell r="J5015" t="str">
            <v/>
          </cell>
          <cell r="K5015" t="str">
            <v/>
          </cell>
          <cell r="L5015" t="str">
            <v/>
          </cell>
          <cell r="M5015" t="str">
            <v/>
          </cell>
        </row>
        <row r="5016">
          <cell r="A5016">
            <v>31102192</v>
          </cell>
          <cell r="C5016">
            <v>31102192</v>
          </cell>
          <cell r="D5016">
            <v>31102192</v>
          </cell>
          <cell r="E5016">
            <v>31102192</v>
          </cell>
          <cell r="F5016">
            <v>31102192</v>
          </cell>
          <cell r="G5016">
            <v>31102192</v>
          </cell>
          <cell r="H5016">
            <v>31102192</v>
          </cell>
          <cell r="I5016" t="str">
            <v/>
          </cell>
          <cell r="J5016" t="str">
            <v/>
          </cell>
          <cell r="K5016" t="str">
            <v/>
          </cell>
          <cell r="L5016" t="str">
            <v/>
          </cell>
          <cell r="M5016" t="str">
            <v/>
          </cell>
        </row>
        <row r="5017">
          <cell r="A5017">
            <v>31102192</v>
          </cell>
          <cell r="C5017">
            <v>31102192</v>
          </cell>
          <cell r="D5017">
            <v>31102192</v>
          </cell>
          <cell r="E5017">
            <v>31102192</v>
          </cell>
          <cell r="F5017">
            <v>31102192</v>
          </cell>
          <cell r="G5017">
            <v>31102192</v>
          </cell>
          <cell r="H5017">
            <v>31102192</v>
          </cell>
          <cell r="I5017" t="str">
            <v/>
          </cell>
          <cell r="J5017" t="str">
            <v/>
          </cell>
          <cell r="K5017" t="str">
            <v/>
          </cell>
          <cell r="L5017" t="str">
            <v/>
          </cell>
          <cell r="M5017" t="str">
            <v/>
          </cell>
        </row>
        <row r="5018">
          <cell r="A5018">
            <v>31102192</v>
          </cell>
          <cell r="C5018">
            <v>31102192</v>
          </cell>
          <cell r="D5018">
            <v>31102192</v>
          </cell>
          <cell r="E5018">
            <v>31102192</v>
          </cell>
          <cell r="F5018">
            <v>31102192</v>
          </cell>
          <cell r="G5018">
            <v>31102192</v>
          </cell>
          <cell r="H5018">
            <v>31102192</v>
          </cell>
          <cell r="I5018" t="str">
            <v/>
          </cell>
          <cell r="J5018" t="str">
            <v/>
          </cell>
          <cell r="K5018" t="str">
            <v/>
          </cell>
          <cell r="L5018" t="str">
            <v/>
          </cell>
          <cell r="M5018" t="str">
            <v/>
          </cell>
        </row>
        <row r="5019">
          <cell r="A5019">
            <v>31102192</v>
          </cell>
          <cell r="C5019">
            <v>31102192</v>
          </cell>
          <cell r="D5019">
            <v>31102192</v>
          </cell>
          <cell r="E5019">
            <v>31102192</v>
          </cell>
          <cell r="F5019">
            <v>31102192</v>
          </cell>
          <cell r="G5019">
            <v>31102192</v>
          </cell>
          <cell r="H5019">
            <v>31102192</v>
          </cell>
          <cell r="I5019" t="str">
            <v/>
          </cell>
          <cell r="J5019" t="str">
            <v/>
          </cell>
          <cell r="K5019" t="str">
            <v/>
          </cell>
          <cell r="L5019" t="str">
            <v/>
          </cell>
          <cell r="M5019" t="str">
            <v/>
          </cell>
        </row>
        <row r="5020">
          <cell r="A5020">
            <v>31102192</v>
          </cell>
          <cell r="C5020">
            <v>31102192</v>
          </cell>
          <cell r="D5020">
            <v>31102192</v>
          </cell>
          <cell r="E5020">
            <v>31102192</v>
          </cell>
          <cell r="F5020">
            <v>31102192</v>
          </cell>
          <cell r="G5020">
            <v>31102192</v>
          </cell>
          <cell r="H5020">
            <v>31102192</v>
          </cell>
          <cell r="I5020" t="str">
            <v/>
          </cell>
          <cell r="J5020" t="str">
            <v/>
          </cell>
          <cell r="K5020" t="str">
            <v/>
          </cell>
          <cell r="L5020" t="str">
            <v/>
          </cell>
          <cell r="M5020" t="str">
            <v/>
          </cell>
        </row>
        <row r="5021">
          <cell r="A5021">
            <v>31102192</v>
          </cell>
          <cell r="C5021">
            <v>31102192</v>
          </cell>
          <cell r="D5021">
            <v>31102192</v>
          </cell>
          <cell r="E5021">
            <v>31102192</v>
          </cell>
          <cell r="F5021">
            <v>31102192</v>
          </cell>
          <cell r="G5021">
            <v>31102192</v>
          </cell>
          <cell r="H5021">
            <v>31102192</v>
          </cell>
          <cell r="I5021" t="str">
            <v/>
          </cell>
          <cell r="J5021" t="str">
            <v/>
          </cell>
          <cell r="K5021" t="str">
            <v/>
          </cell>
          <cell r="L5021" t="str">
            <v/>
          </cell>
          <cell r="M5021" t="str">
            <v/>
          </cell>
        </row>
        <row r="5022">
          <cell r="A5022">
            <v>31102192</v>
          </cell>
          <cell r="C5022">
            <v>31102192</v>
          </cell>
          <cell r="D5022">
            <v>31102192</v>
          </cell>
          <cell r="E5022">
            <v>31102192</v>
          </cell>
          <cell r="F5022">
            <v>31102192</v>
          </cell>
          <cell r="G5022">
            <v>31102192</v>
          </cell>
          <cell r="H5022">
            <v>31102192</v>
          </cell>
          <cell r="I5022" t="str">
            <v/>
          </cell>
          <cell r="J5022" t="str">
            <v/>
          </cell>
          <cell r="K5022" t="str">
            <v/>
          </cell>
          <cell r="L5022" t="str">
            <v/>
          </cell>
          <cell r="M5022" t="str">
            <v/>
          </cell>
        </row>
        <row r="5023">
          <cell r="A5023">
            <v>31102192</v>
          </cell>
          <cell r="C5023">
            <v>31102192</v>
          </cell>
          <cell r="D5023">
            <v>31102192</v>
          </cell>
          <cell r="E5023">
            <v>31102192</v>
          </cell>
          <cell r="F5023">
            <v>31102192</v>
          </cell>
          <cell r="G5023">
            <v>31102192</v>
          </cell>
          <cell r="H5023">
            <v>31102192</v>
          </cell>
          <cell r="I5023" t="str">
            <v/>
          </cell>
          <cell r="J5023" t="str">
            <v/>
          </cell>
          <cell r="K5023" t="str">
            <v/>
          </cell>
          <cell r="L5023" t="str">
            <v/>
          </cell>
          <cell r="M5023" t="str">
            <v/>
          </cell>
        </row>
        <row r="5024">
          <cell r="A5024">
            <v>31102192</v>
          </cell>
          <cell r="C5024">
            <v>31102192</v>
          </cell>
          <cell r="D5024">
            <v>31102192</v>
          </cell>
          <cell r="E5024">
            <v>31102192</v>
          </cell>
          <cell r="F5024">
            <v>31102192</v>
          </cell>
          <cell r="G5024">
            <v>31102192</v>
          </cell>
          <cell r="H5024">
            <v>31102192</v>
          </cell>
          <cell r="I5024" t="str">
            <v/>
          </cell>
          <cell r="J5024" t="str">
            <v/>
          </cell>
          <cell r="K5024" t="str">
            <v/>
          </cell>
          <cell r="L5024" t="str">
            <v/>
          </cell>
          <cell r="M5024" t="str">
            <v/>
          </cell>
        </row>
        <row r="5025">
          <cell r="A5025">
            <v>31102192</v>
          </cell>
          <cell r="C5025">
            <v>31102192</v>
          </cell>
          <cell r="D5025">
            <v>31102192</v>
          </cell>
          <cell r="E5025">
            <v>31102192</v>
          </cell>
          <cell r="F5025">
            <v>31102192</v>
          </cell>
          <cell r="G5025">
            <v>31102192</v>
          </cell>
          <cell r="H5025">
            <v>31102192</v>
          </cell>
          <cell r="I5025" t="str">
            <v/>
          </cell>
          <cell r="J5025" t="str">
            <v/>
          </cell>
          <cell r="K5025" t="str">
            <v/>
          </cell>
          <cell r="L5025" t="str">
            <v/>
          </cell>
          <cell r="M5025" t="str">
            <v/>
          </cell>
        </row>
        <row r="5026">
          <cell r="A5026">
            <v>31102192</v>
          </cell>
          <cell r="C5026">
            <v>31102192</v>
          </cell>
          <cell r="D5026">
            <v>31102192</v>
          </cell>
          <cell r="E5026">
            <v>31102192</v>
          </cell>
          <cell r="F5026">
            <v>31102192</v>
          </cell>
          <cell r="G5026">
            <v>31102192</v>
          </cell>
          <cell r="H5026">
            <v>31102192</v>
          </cell>
          <cell r="I5026" t="str">
            <v/>
          </cell>
          <cell r="J5026" t="str">
            <v/>
          </cell>
          <cell r="K5026" t="str">
            <v/>
          </cell>
          <cell r="L5026" t="str">
            <v/>
          </cell>
          <cell r="M5026" t="str">
            <v/>
          </cell>
        </row>
        <row r="5027">
          <cell r="A5027">
            <v>31102192</v>
          </cell>
          <cell r="C5027">
            <v>31102192</v>
          </cell>
          <cell r="D5027">
            <v>31102192</v>
          </cell>
          <cell r="E5027">
            <v>31102192</v>
          </cell>
          <cell r="F5027">
            <v>31102192</v>
          </cell>
          <cell r="G5027">
            <v>31102192</v>
          </cell>
          <cell r="H5027">
            <v>31102192</v>
          </cell>
          <cell r="I5027" t="str">
            <v/>
          </cell>
          <cell r="J5027" t="str">
            <v/>
          </cell>
          <cell r="K5027" t="str">
            <v/>
          </cell>
          <cell r="L5027" t="str">
            <v/>
          </cell>
          <cell r="M5027" t="str">
            <v/>
          </cell>
        </row>
        <row r="5028">
          <cell r="A5028">
            <v>31102192</v>
          </cell>
          <cell r="C5028">
            <v>31102192</v>
          </cell>
          <cell r="D5028">
            <v>31102192</v>
          </cell>
          <cell r="E5028">
            <v>31102192</v>
          </cell>
          <cell r="F5028">
            <v>31102192</v>
          </cell>
          <cell r="G5028">
            <v>31102192</v>
          </cell>
          <cell r="H5028">
            <v>31102192</v>
          </cell>
          <cell r="I5028" t="str">
            <v/>
          </cell>
          <cell r="J5028" t="str">
            <v/>
          </cell>
          <cell r="K5028" t="str">
            <v/>
          </cell>
          <cell r="L5028" t="str">
            <v/>
          </cell>
          <cell r="M5028" t="str">
            <v/>
          </cell>
        </row>
        <row r="5029">
          <cell r="A5029">
            <v>31102192</v>
          </cell>
          <cell r="C5029">
            <v>31102192</v>
          </cell>
          <cell r="D5029">
            <v>31102192</v>
          </cell>
          <cell r="E5029">
            <v>31102192</v>
          </cell>
          <cell r="F5029">
            <v>31102192</v>
          </cell>
          <cell r="G5029">
            <v>31102192</v>
          </cell>
          <cell r="H5029">
            <v>31102192</v>
          </cell>
          <cell r="I5029" t="str">
            <v/>
          </cell>
          <cell r="J5029" t="str">
            <v/>
          </cell>
          <cell r="K5029" t="str">
            <v/>
          </cell>
          <cell r="L5029" t="str">
            <v/>
          </cell>
          <cell r="M5029" t="str">
            <v/>
          </cell>
        </row>
        <row r="5030">
          <cell r="A5030">
            <v>31102192</v>
          </cell>
          <cell r="C5030">
            <v>31102192</v>
          </cell>
          <cell r="D5030">
            <v>31102192</v>
          </cell>
          <cell r="E5030">
            <v>31102192</v>
          </cell>
          <cell r="F5030">
            <v>31102192</v>
          </cell>
          <cell r="G5030">
            <v>31102192</v>
          </cell>
          <cell r="H5030">
            <v>31102192</v>
          </cell>
          <cell r="I5030" t="str">
            <v/>
          </cell>
          <cell r="J5030" t="str">
            <v/>
          </cell>
          <cell r="K5030" t="str">
            <v/>
          </cell>
          <cell r="L5030" t="str">
            <v/>
          </cell>
          <cell r="M5030" t="str">
            <v/>
          </cell>
        </row>
        <row r="5031">
          <cell r="A5031">
            <v>31102192</v>
          </cell>
          <cell r="C5031">
            <v>31102192</v>
          </cell>
          <cell r="D5031">
            <v>31102192</v>
          </cell>
          <cell r="E5031">
            <v>31102192</v>
          </cell>
          <cell r="F5031">
            <v>31102192</v>
          </cell>
          <cell r="G5031">
            <v>31102192</v>
          </cell>
          <cell r="H5031">
            <v>31102192</v>
          </cell>
          <cell r="I5031" t="str">
            <v/>
          </cell>
          <cell r="J5031" t="str">
            <v/>
          </cell>
          <cell r="K5031" t="str">
            <v/>
          </cell>
          <cell r="L5031" t="str">
            <v/>
          </cell>
          <cell r="M5031" t="str">
            <v/>
          </cell>
        </row>
        <row r="5032">
          <cell r="A5032">
            <v>31102192</v>
          </cell>
          <cell r="C5032">
            <v>31102192</v>
          </cell>
          <cell r="D5032">
            <v>31102192</v>
          </cell>
          <cell r="E5032">
            <v>31102192</v>
          </cell>
          <cell r="F5032">
            <v>31102192</v>
          </cell>
          <cell r="G5032">
            <v>31102192</v>
          </cell>
          <cell r="H5032">
            <v>31102192</v>
          </cell>
          <cell r="I5032" t="str">
            <v/>
          </cell>
          <cell r="J5032" t="str">
            <v/>
          </cell>
          <cell r="K5032" t="str">
            <v/>
          </cell>
          <cell r="L5032" t="str">
            <v/>
          </cell>
          <cell r="M5032" t="str">
            <v/>
          </cell>
        </row>
        <row r="5033">
          <cell r="A5033">
            <v>31102192</v>
          </cell>
          <cell r="C5033">
            <v>31102192</v>
          </cell>
          <cell r="D5033">
            <v>31102192</v>
          </cell>
          <cell r="E5033">
            <v>31102192</v>
          </cell>
          <cell r="F5033">
            <v>31102192</v>
          </cell>
          <cell r="G5033">
            <v>31102192</v>
          </cell>
          <cell r="H5033">
            <v>31102192</v>
          </cell>
          <cell r="I5033" t="str">
            <v/>
          </cell>
          <cell r="J5033" t="str">
            <v/>
          </cell>
          <cell r="K5033" t="str">
            <v/>
          </cell>
          <cell r="L5033" t="str">
            <v/>
          </cell>
          <cell r="M5033" t="str">
            <v/>
          </cell>
        </row>
        <row r="5034">
          <cell r="A5034">
            <v>31102192</v>
          </cell>
          <cell r="C5034">
            <v>31102192</v>
          </cell>
          <cell r="D5034">
            <v>31102192</v>
          </cell>
          <cell r="E5034">
            <v>31102192</v>
          </cell>
          <cell r="F5034">
            <v>31102192</v>
          </cell>
          <cell r="G5034">
            <v>31102192</v>
          </cell>
          <cell r="H5034">
            <v>31102192</v>
          </cell>
          <cell r="I5034" t="str">
            <v/>
          </cell>
          <cell r="J5034" t="str">
            <v/>
          </cell>
          <cell r="K5034" t="str">
            <v/>
          </cell>
          <cell r="L5034" t="str">
            <v/>
          </cell>
          <cell r="M5034" t="str">
            <v/>
          </cell>
        </row>
        <row r="5035">
          <cell r="A5035">
            <v>31102192</v>
          </cell>
          <cell r="C5035">
            <v>31102192</v>
          </cell>
          <cell r="D5035">
            <v>31102192</v>
          </cell>
          <cell r="E5035">
            <v>31102192</v>
          </cell>
          <cell r="F5035">
            <v>31102192</v>
          </cell>
          <cell r="G5035">
            <v>31102192</v>
          </cell>
          <cell r="H5035">
            <v>31102192</v>
          </cell>
          <cell r="I5035" t="str">
            <v/>
          </cell>
          <cell r="J5035" t="str">
            <v/>
          </cell>
          <cell r="K5035" t="str">
            <v/>
          </cell>
          <cell r="L5035" t="str">
            <v/>
          </cell>
          <cell r="M5035" t="str">
            <v/>
          </cell>
        </row>
        <row r="5036">
          <cell r="A5036">
            <v>31102192</v>
          </cell>
          <cell r="C5036">
            <v>31102192</v>
          </cell>
          <cell r="D5036">
            <v>31102192</v>
          </cell>
          <cell r="E5036">
            <v>31102192</v>
          </cell>
          <cell r="F5036">
            <v>31102192</v>
          </cell>
          <cell r="G5036">
            <v>31102192</v>
          </cell>
          <cell r="H5036">
            <v>31102192</v>
          </cell>
          <cell r="I5036" t="str">
            <v/>
          </cell>
          <cell r="J5036" t="str">
            <v/>
          </cell>
          <cell r="K5036" t="str">
            <v/>
          </cell>
          <cell r="L5036" t="str">
            <v/>
          </cell>
          <cell r="M5036" t="str">
            <v/>
          </cell>
        </row>
        <row r="5037">
          <cell r="A5037">
            <v>31102192</v>
          </cell>
          <cell r="C5037">
            <v>31102192</v>
          </cell>
          <cell r="D5037">
            <v>31102192</v>
          </cell>
          <cell r="E5037">
            <v>31102192</v>
          </cell>
          <cell r="F5037">
            <v>31102192</v>
          </cell>
          <cell r="G5037">
            <v>31102192</v>
          </cell>
          <cell r="H5037">
            <v>31102192</v>
          </cell>
          <cell r="I5037" t="str">
            <v/>
          </cell>
          <cell r="J5037" t="str">
            <v/>
          </cell>
          <cell r="K5037" t="str">
            <v/>
          </cell>
          <cell r="L5037" t="str">
            <v/>
          </cell>
          <cell r="M5037" t="str">
            <v/>
          </cell>
        </row>
        <row r="5038">
          <cell r="A5038">
            <v>31102192</v>
          </cell>
          <cell r="C5038">
            <v>31102192</v>
          </cell>
          <cell r="D5038">
            <v>31102192</v>
          </cell>
          <cell r="E5038">
            <v>31102192</v>
          </cell>
          <cell r="F5038">
            <v>31102192</v>
          </cell>
          <cell r="G5038">
            <v>31102192</v>
          </cell>
          <cell r="H5038">
            <v>31102192</v>
          </cell>
          <cell r="I5038" t="str">
            <v/>
          </cell>
          <cell r="J5038" t="str">
            <v/>
          </cell>
          <cell r="K5038" t="str">
            <v/>
          </cell>
          <cell r="L5038" t="str">
            <v/>
          </cell>
          <cell r="M5038" t="str">
            <v/>
          </cell>
        </row>
        <row r="5039">
          <cell r="A5039">
            <v>31102192</v>
          </cell>
          <cell r="C5039">
            <v>31102192</v>
          </cell>
          <cell r="D5039">
            <v>31102192</v>
          </cell>
          <cell r="E5039">
            <v>31102192</v>
          </cell>
          <cell r="F5039">
            <v>31102192</v>
          </cell>
          <cell r="G5039">
            <v>31102192</v>
          </cell>
          <cell r="H5039">
            <v>31102192</v>
          </cell>
          <cell r="I5039" t="str">
            <v/>
          </cell>
          <cell r="J5039" t="str">
            <v/>
          </cell>
          <cell r="K5039" t="str">
            <v/>
          </cell>
          <cell r="L5039" t="str">
            <v/>
          </cell>
          <cell r="M5039" t="str">
            <v/>
          </cell>
        </row>
        <row r="5040">
          <cell r="A5040">
            <v>31102192</v>
          </cell>
          <cell r="C5040">
            <v>31102192</v>
          </cell>
          <cell r="D5040">
            <v>31102192</v>
          </cell>
          <cell r="E5040">
            <v>31102192</v>
          </cell>
          <cell r="F5040">
            <v>31102192</v>
          </cell>
          <cell r="G5040">
            <v>31102192</v>
          </cell>
          <cell r="H5040">
            <v>31102192</v>
          </cell>
          <cell r="I5040" t="str">
            <v/>
          </cell>
          <cell r="J5040" t="str">
            <v/>
          </cell>
          <cell r="K5040" t="str">
            <v/>
          </cell>
          <cell r="L5040" t="str">
            <v/>
          </cell>
          <cell r="M5040" t="str">
            <v/>
          </cell>
        </row>
        <row r="5041">
          <cell r="A5041">
            <v>31102192</v>
          </cell>
          <cell r="C5041">
            <v>31102192</v>
          </cell>
          <cell r="D5041">
            <v>31102192</v>
          </cell>
          <cell r="E5041">
            <v>31102192</v>
          </cell>
          <cell r="F5041">
            <v>31102192</v>
          </cell>
          <cell r="G5041">
            <v>31102192</v>
          </cell>
          <cell r="H5041">
            <v>31102192</v>
          </cell>
          <cell r="I5041" t="str">
            <v/>
          </cell>
          <cell r="J5041" t="str">
            <v/>
          </cell>
          <cell r="K5041" t="str">
            <v/>
          </cell>
          <cell r="L5041" t="str">
            <v/>
          </cell>
          <cell r="M5041" t="str">
            <v/>
          </cell>
        </row>
        <row r="5042">
          <cell r="A5042">
            <v>31102192</v>
          </cell>
          <cell r="C5042">
            <v>31102192</v>
          </cell>
          <cell r="D5042">
            <v>31102192</v>
          </cell>
          <cell r="E5042">
            <v>31102192</v>
          </cell>
          <cell r="F5042">
            <v>31102192</v>
          </cell>
          <cell r="G5042">
            <v>31102192</v>
          </cell>
          <cell r="H5042">
            <v>31102192</v>
          </cell>
          <cell r="I5042" t="str">
            <v/>
          </cell>
          <cell r="J5042" t="str">
            <v/>
          </cell>
          <cell r="K5042" t="str">
            <v/>
          </cell>
          <cell r="L5042" t="str">
            <v/>
          </cell>
          <cell r="M5042" t="str">
            <v/>
          </cell>
        </row>
        <row r="5043">
          <cell r="A5043">
            <v>31102192</v>
          </cell>
          <cell r="C5043">
            <v>31102192</v>
          </cell>
          <cell r="D5043">
            <v>31102192</v>
          </cell>
          <cell r="E5043">
            <v>31102192</v>
          </cell>
          <cell r="F5043">
            <v>31102192</v>
          </cell>
          <cell r="G5043">
            <v>31102192</v>
          </cell>
          <cell r="H5043">
            <v>31102192</v>
          </cell>
          <cell r="I5043" t="str">
            <v/>
          </cell>
          <cell r="J5043" t="str">
            <v/>
          </cell>
          <cell r="K5043" t="str">
            <v/>
          </cell>
          <cell r="L5043" t="str">
            <v/>
          </cell>
          <cell r="M5043" t="str">
            <v/>
          </cell>
        </row>
        <row r="5044">
          <cell r="A5044">
            <v>31102192</v>
          </cell>
          <cell r="C5044">
            <v>31102192</v>
          </cell>
          <cell r="D5044">
            <v>31102192</v>
          </cell>
          <cell r="E5044">
            <v>31102192</v>
          </cell>
          <cell r="F5044">
            <v>31102192</v>
          </cell>
          <cell r="G5044">
            <v>31102192</v>
          </cell>
          <cell r="H5044">
            <v>31102192</v>
          </cell>
          <cell r="I5044" t="str">
            <v/>
          </cell>
          <cell r="J5044" t="str">
            <v/>
          </cell>
          <cell r="K5044" t="str">
            <v/>
          </cell>
          <cell r="L5044" t="str">
            <v/>
          </cell>
          <cell r="M5044" t="str">
            <v/>
          </cell>
        </row>
        <row r="5045">
          <cell r="A5045">
            <v>31102192</v>
          </cell>
          <cell r="C5045">
            <v>31102192</v>
          </cell>
          <cell r="D5045">
            <v>31102192</v>
          </cell>
          <cell r="E5045">
            <v>31102192</v>
          </cell>
          <cell r="F5045">
            <v>31102192</v>
          </cell>
          <cell r="G5045">
            <v>31102192</v>
          </cell>
          <cell r="H5045">
            <v>31102192</v>
          </cell>
          <cell r="I5045" t="str">
            <v/>
          </cell>
          <cell r="J5045" t="str">
            <v/>
          </cell>
          <cell r="K5045" t="str">
            <v/>
          </cell>
          <cell r="L5045" t="str">
            <v/>
          </cell>
          <cell r="M5045" t="str">
            <v/>
          </cell>
        </row>
        <row r="5046">
          <cell r="A5046">
            <v>31102192</v>
          </cell>
          <cell r="C5046">
            <v>31102192</v>
          </cell>
          <cell r="D5046">
            <v>31102192</v>
          </cell>
          <cell r="E5046">
            <v>31102192</v>
          </cell>
          <cell r="F5046">
            <v>31102192</v>
          </cell>
          <cell r="G5046">
            <v>31102192</v>
          </cell>
          <cell r="H5046">
            <v>31102192</v>
          </cell>
          <cell r="I5046" t="str">
            <v/>
          </cell>
          <cell r="J5046" t="str">
            <v/>
          </cell>
          <cell r="K5046" t="str">
            <v/>
          </cell>
          <cell r="L5046" t="str">
            <v/>
          </cell>
          <cell r="M5046" t="str">
            <v/>
          </cell>
        </row>
        <row r="5047">
          <cell r="A5047">
            <v>31102192</v>
          </cell>
          <cell r="C5047">
            <v>31102192</v>
          </cell>
          <cell r="D5047">
            <v>31102192</v>
          </cell>
          <cell r="E5047">
            <v>31102192</v>
          </cell>
          <cell r="F5047">
            <v>31102192</v>
          </cell>
          <cell r="G5047">
            <v>31102192</v>
          </cell>
          <cell r="H5047">
            <v>31102192</v>
          </cell>
          <cell r="I5047" t="str">
            <v/>
          </cell>
          <cell r="J5047" t="str">
            <v/>
          </cell>
          <cell r="K5047" t="str">
            <v/>
          </cell>
          <cell r="L5047" t="str">
            <v/>
          </cell>
          <cell r="M5047" t="str">
            <v/>
          </cell>
        </row>
        <row r="5048">
          <cell r="A5048">
            <v>31102192</v>
          </cell>
          <cell r="C5048">
            <v>31102192</v>
          </cell>
          <cell r="D5048">
            <v>31102192</v>
          </cell>
          <cell r="E5048">
            <v>31102192</v>
          </cell>
          <cell r="F5048">
            <v>31102192</v>
          </cell>
          <cell r="G5048">
            <v>31102192</v>
          </cell>
          <cell r="H5048">
            <v>31102192</v>
          </cell>
          <cell r="I5048" t="str">
            <v/>
          </cell>
          <cell r="J5048" t="str">
            <v/>
          </cell>
          <cell r="K5048" t="str">
            <v/>
          </cell>
          <cell r="L5048" t="str">
            <v/>
          </cell>
          <cell r="M5048" t="str">
            <v/>
          </cell>
        </row>
        <row r="5049">
          <cell r="A5049">
            <v>31102192</v>
          </cell>
          <cell r="C5049">
            <v>31102192</v>
          </cell>
          <cell r="D5049">
            <v>31102192</v>
          </cell>
          <cell r="E5049">
            <v>31102192</v>
          </cell>
          <cell r="F5049">
            <v>31102192</v>
          </cell>
          <cell r="G5049">
            <v>31102192</v>
          </cell>
          <cell r="H5049">
            <v>31102192</v>
          </cell>
          <cell r="I5049" t="str">
            <v/>
          </cell>
          <cell r="J5049" t="str">
            <v/>
          </cell>
          <cell r="K5049" t="str">
            <v/>
          </cell>
          <cell r="L5049" t="str">
            <v/>
          </cell>
          <cell r="M5049" t="str">
            <v/>
          </cell>
        </row>
        <row r="5050">
          <cell r="A5050">
            <v>31102192</v>
          </cell>
          <cell r="C5050">
            <v>31102192</v>
          </cell>
          <cell r="D5050">
            <v>31102192</v>
          </cell>
          <cell r="E5050">
            <v>31102192</v>
          </cell>
          <cell r="F5050">
            <v>31102192</v>
          </cell>
          <cell r="G5050">
            <v>31102192</v>
          </cell>
          <cell r="H5050">
            <v>31102192</v>
          </cell>
          <cell r="I5050" t="str">
            <v/>
          </cell>
          <cell r="J5050" t="str">
            <v/>
          </cell>
          <cell r="K5050" t="str">
            <v/>
          </cell>
          <cell r="L5050" t="str">
            <v/>
          </cell>
          <cell r="M5050" t="str">
            <v/>
          </cell>
        </row>
        <row r="5051">
          <cell r="A5051">
            <v>31102192</v>
          </cell>
          <cell r="C5051">
            <v>31102192</v>
          </cell>
          <cell r="D5051">
            <v>31102192</v>
          </cell>
          <cell r="E5051">
            <v>31102192</v>
          </cell>
          <cell r="F5051">
            <v>31102192</v>
          </cell>
          <cell r="G5051">
            <v>31102192</v>
          </cell>
          <cell r="H5051">
            <v>31102192</v>
          </cell>
          <cell r="I5051" t="str">
            <v/>
          </cell>
          <cell r="J5051" t="str">
            <v/>
          </cell>
          <cell r="K5051" t="str">
            <v/>
          </cell>
          <cell r="L5051" t="str">
            <v/>
          </cell>
          <cell r="M5051" t="str">
            <v/>
          </cell>
        </row>
        <row r="5052">
          <cell r="A5052">
            <v>31102192</v>
          </cell>
          <cell r="C5052">
            <v>31102192</v>
          </cell>
          <cell r="D5052">
            <v>31102192</v>
          </cell>
          <cell r="E5052">
            <v>31102192</v>
          </cell>
          <cell r="F5052">
            <v>31102192</v>
          </cell>
          <cell r="G5052">
            <v>31102192</v>
          </cell>
          <cell r="H5052">
            <v>31102192</v>
          </cell>
          <cell r="I5052" t="str">
            <v/>
          </cell>
          <cell r="J5052" t="str">
            <v/>
          </cell>
          <cell r="K5052" t="str">
            <v/>
          </cell>
          <cell r="L5052" t="str">
            <v/>
          </cell>
          <cell r="M5052" t="str">
            <v/>
          </cell>
        </row>
        <row r="5053">
          <cell r="A5053">
            <v>31102192</v>
          </cell>
          <cell r="C5053">
            <v>31102192</v>
          </cell>
          <cell r="D5053">
            <v>31102192</v>
          </cell>
          <cell r="E5053">
            <v>31102192</v>
          </cell>
          <cell r="F5053">
            <v>31102192</v>
          </cell>
          <cell r="G5053">
            <v>31102192</v>
          </cell>
          <cell r="H5053">
            <v>31102192</v>
          </cell>
          <cell r="I5053" t="str">
            <v/>
          </cell>
          <cell r="J5053" t="str">
            <v/>
          </cell>
          <cell r="K5053" t="str">
            <v/>
          </cell>
          <cell r="L5053" t="str">
            <v/>
          </cell>
          <cell r="M5053" t="str">
            <v/>
          </cell>
        </row>
        <row r="5054">
          <cell r="A5054">
            <v>31102192</v>
          </cell>
          <cell r="C5054">
            <v>31102192</v>
          </cell>
          <cell r="D5054">
            <v>31102192</v>
          </cell>
          <cell r="E5054">
            <v>31102192</v>
          </cell>
          <cell r="F5054">
            <v>31102192</v>
          </cell>
          <cell r="G5054">
            <v>31102192</v>
          </cell>
          <cell r="H5054">
            <v>31102192</v>
          </cell>
          <cell r="I5054" t="str">
            <v/>
          </cell>
          <cell r="J5054" t="str">
            <v/>
          </cell>
          <cell r="K5054" t="str">
            <v/>
          </cell>
          <cell r="L5054" t="str">
            <v/>
          </cell>
          <cell r="M5054" t="str">
            <v/>
          </cell>
        </row>
        <row r="5055">
          <cell r="A5055">
            <v>31102192</v>
          </cell>
          <cell r="C5055">
            <v>31102192</v>
          </cell>
          <cell r="D5055">
            <v>31102192</v>
          </cell>
          <cell r="E5055">
            <v>31102192</v>
          </cell>
          <cell r="F5055">
            <v>31102192</v>
          </cell>
          <cell r="G5055">
            <v>31102192</v>
          </cell>
          <cell r="H5055">
            <v>31102192</v>
          </cell>
          <cell r="I5055" t="str">
            <v/>
          </cell>
          <cell r="J5055" t="str">
            <v/>
          </cell>
          <cell r="K5055" t="str">
            <v/>
          </cell>
          <cell r="L5055" t="str">
            <v/>
          </cell>
          <cell r="M5055" t="str">
            <v/>
          </cell>
        </row>
        <row r="5056">
          <cell r="A5056">
            <v>31102192</v>
          </cell>
          <cell r="C5056">
            <v>31102192</v>
          </cell>
          <cell r="D5056">
            <v>31102192</v>
          </cell>
          <cell r="E5056">
            <v>31102192</v>
          </cell>
          <cell r="F5056">
            <v>31102192</v>
          </cell>
          <cell r="G5056">
            <v>31102192</v>
          </cell>
          <cell r="H5056">
            <v>31102192</v>
          </cell>
          <cell r="I5056" t="str">
            <v/>
          </cell>
          <cell r="J5056" t="str">
            <v/>
          </cell>
          <cell r="K5056" t="str">
            <v/>
          </cell>
          <cell r="L5056" t="str">
            <v/>
          </cell>
          <cell r="M5056" t="str">
            <v/>
          </cell>
        </row>
        <row r="5057">
          <cell r="A5057">
            <v>31102192</v>
          </cell>
          <cell r="C5057">
            <v>31102192</v>
          </cell>
          <cell r="D5057">
            <v>31102192</v>
          </cell>
          <cell r="E5057">
            <v>31102192</v>
          </cell>
          <cell r="F5057">
            <v>31102192</v>
          </cell>
          <cell r="G5057">
            <v>31102192</v>
          </cell>
          <cell r="H5057">
            <v>31102192</v>
          </cell>
          <cell r="I5057" t="str">
            <v/>
          </cell>
          <cell r="J5057" t="str">
            <v/>
          </cell>
          <cell r="K5057" t="str">
            <v/>
          </cell>
          <cell r="L5057" t="str">
            <v/>
          </cell>
          <cell r="M5057" t="str">
            <v/>
          </cell>
        </row>
        <row r="5058">
          <cell r="A5058">
            <v>31102192</v>
          </cell>
          <cell r="C5058">
            <v>31102192</v>
          </cell>
          <cell r="D5058">
            <v>31102192</v>
          </cell>
          <cell r="E5058">
            <v>31102192</v>
          </cell>
          <cell r="F5058">
            <v>31102192</v>
          </cell>
          <cell r="G5058">
            <v>31102192</v>
          </cell>
          <cell r="H5058">
            <v>31102192</v>
          </cell>
          <cell r="I5058" t="str">
            <v/>
          </cell>
          <cell r="J5058" t="str">
            <v/>
          </cell>
          <cell r="K5058" t="str">
            <v/>
          </cell>
          <cell r="L5058" t="str">
            <v/>
          </cell>
          <cell r="M5058" t="str">
            <v/>
          </cell>
        </row>
        <row r="5059">
          <cell r="A5059">
            <v>31102192</v>
          </cell>
          <cell r="C5059">
            <v>31102192</v>
          </cell>
          <cell r="D5059">
            <v>31102192</v>
          </cell>
          <cell r="E5059">
            <v>31102192</v>
          </cell>
          <cell r="F5059">
            <v>31102192</v>
          </cell>
          <cell r="G5059">
            <v>31102192</v>
          </cell>
          <cell r="H5059">
            <v>31102192</v>
          </cell>
          <cell r="I5059" t="str">
            <v/>
          </cell>
          <cell r="J5059" t="str">
            <v/>
          </cell>
          <cell r="K5059" t="str">
            <v/>
          </cell>
          <cell r="L5059" t="str">
            <v/>
          </cell>
          <cell r="M5059" t="str">
            <v/>
          </cell>
        </row>
        <row r="5060">
          <cell r="A5060">
            <v>31102192</v>
          </cell>
          <cell r="C5060">
            <v>31102192</v>
          </cell>
          <cell r="D5060">
            <v>31102192</v>
          </cell>
          <cell r="E5060">
            <v>31102192</v>
          </cell>
          <cell r="F5060">
            <v>31102192</v>
          </cell>
          <cell r="G5060">
            <v>31102192</v>
          </cell>
          <cell r="H5060">
            <v>31102192</v>
          </cell>
          <cell r="I5060" t="str">
            <v/>
          </cell>
          <cell r="J5060" t="str">
            <v/>
          </cell>
          <cell r="K5060" t="str">
            <v/>
          </cell>
          <cell r="L5060" t="str">
            <v/>
          </cell>
          <cell r="M5060" t="str">
            <v/>
          </cell>
        </row>
        <row r="5061">
          <cell r="A5061">
            <v>31102192</v>
          </cell>
          <cell r="C5061">
            <v>31102192</v>
          </cell>
          <cell r="D5061">
            <v>31102192</v>
          </cell>
          <cell r="E5061">
            <v>31102192</v>
          </cell>
          <cell r="F5061">
            <v>31102192</v>
          </cell>
          <cell r="G5061">
            <v>31102192</v>
          </cell>
          <cell r="H5061">
            <v>31102192</v>
          </cell>
          <cell r="I5061" t="str">
            <v/>
          </cell>
          <cell r="J5061" t="str">
            <v/>
          </cell>
          <cell r="K5061" t="str">
            <v/>
          </cell>
          <cell r="L5061" t="str">
            <v/>
          </cell>
          <cell r="M5061" t="str">
            <v/>
          </cell>
        </row>
        <row r="5062">
          <cell r="A5062">
            <v>31102192</v>
          </cell>
          <cell r="C5062">
            <v>31102192</v>
          </cell>
          <cell r="D5062">
            <v>31102192</v>
          </cell>
          <cell r="E5062">
            <v>31102192</v>
          </cell>
          <cell r="F5062">
            <v>31102192</v>
          </cell>
          <cell r="G5062">
            <v>31102192</v>
          </cell>
          <cell r="H5062">
            <v>31102192</v>
          </cell>
          <cell r="I5062" t="str">
            <v/>
          </cell>
          <cell r="J5062" t="str">
            <v/>
          </cell>
          <cell r="K5062" t="str">
            <v/>
          </cell>
          <cell r="L5062" t="str">
            <v/>
          </cell>
          <cell r="M5062" t="str">
            <v/>
          </cell>
        </row>
        <row r="5063">
          <cell r="A5063">
            <v>31102192</v>
          </cell>
          <cell r="C5063">
            <v>31102192</v>
          </cell>
          <cell r="D5063">
            <v>31102192</v>
          </cell>
          <cell r="E5063">
            <v>31102192</v>
          </cell>
          <cell r="F5063">
            <v>31102192</v>
          </cell>
          <cell r="G5063">
            <v>31102192</v>
          </cell>
          <cell r="H5063">
            <v>31102192</v>
          </cell>
          <cell r="I5063" t="str">
            <v/>
          </cell>
          <cell r="J5063" t="str">
            <v/>
          </cell>
          <cell r="K5063" t="str">
            <v/>
          </cell>
          <cell r="L5063" t="str">
            <v/>
          </cell>
          <cell r="M5063" t="str">
            <v/>
          </cell>
        </row>
        <row r="5064">
          <cell r="A5064">
            <v>31102192</v>
          </cell>
          <cell r="C5064">
            <v>31102192</v>
          </cell>
          <cell r="D5064">
            <v>31102192</v>
          </cell>
          <cell r="E5064">
            <v>31102192</v>
          </cell>
          <cell r="F5064">
            <v>31102192</v>
          </cell>
          <cell r="G5064">
            <v>31102192</v>
          </cell>
          <cell r="H5064">
            <v>31102192</v>
          </cell>
          <cell r="I5064" t="str">
            <v/>
          </cell>
          <cell r="J5064" t="str">
            <v/>
          </cell>
          <cell r="K5064" t="str">
            <v/>
          </cell>
          <cell r="L5064" t="str">
            <v/>
          </cell>
          <cell r="M5064" t="str">
            <v/>
          </cell>
        </row>
        <row r="5065">
          <cell r="A5065">
            <v>31102192</v>
          </cell>
          <cell r="C5065">
            <v>31102192</v>
          </cell>
          <cell r="D5065">
            <v>31102192</v>
          </cell>
          <cell r="E5065">
            <v>31102192</v>
          </cell>
          <cell r="F5065">
            <v>31102192</v>
          </cell>
          <cell r="G5065">
            <v>31102192</v>
          </cell>
          <cell r="H5065">
            <v>31102192</v>
          </cell>
          <cell r="I5065" t="str">
            <v/>
          </cell>
          <cell r="J5065" t="str">
            <v/>
          </cell>
          <cell r="K5065" t="str">
            <v/>
          </cell>
          <cell r="L5065" t="str">
            <v/>
          </cell>
          <cell r="M5065" t="str">
            <v/>
          </cell>
        </row>
        <row r="5066">
          <cell r="A5066">
            <v>31102192</v>
          </cell>
          <cell r="C5066">
            <v>31102192</v>
          </cell>
          <cell r="D5066">
            <v>31102192</v>
          </cell>
          <cell r="E5066">
            <v>31102192</v>
          </cell>
          <cell r="F5066">
            <v>31102192</v>
          </cell>
          <cell r="G5066">
            <v>31102192</v>
          </cell>
          <cell r="H5066">
            <v>31102192</v>
          </cell>
          <cell r="I5066" t="str">
            <v/>
          </cell>
          <cell r="J5066" t="str">
            <v/>
          </cell>
          <cell r="K5066" t="str">
            <v/>
          </cell>
          <cell r="L5066" t="str">
            <v/>
          </cell>
          <cell r="M5066" t="str">
            <v/>
          </cell>
        </row>
        <row r="5067">
          <cell r="A5067">
            <v>31102192</v>
          </cell>
          <cell r="C5067">
            <v>31102192</v>
          </cell>
          <cell r="D5067">
            <v>31102192</v>
          </cell>
          <cell r="E5067">
            <v>31102192</v>
          </cell>
          <cell r="F5067">
            <v>31102192</v>
          </cell>
          <cell r="G5067">
            <v>31102192</v>
          </cell>
          <cell r="H5067">
            <v>31102192</v>
          </cell>
          <cell r="I5067" t="str">
            <v/>
          </cell>
          <cell r="J5067" t="str">
            <v/>
          </cell>
          <cell r="K5067" t="str">
            <v/>
          </cell>
          <cell r="L5067" t="str">
            <v/>
          </cell>
          <cell r="M5067" t="str">
            <v/>
          </cell>
        </row>
        <row r="5068">
          <cell r="A5068">
            <v>31102192</v>
          </cell>
          <cell r="C5068">
            <v>31102192</v>
          </cell>
          <cell r="D5068">
            <v>31102192</v>
          </cell>
          <cell r="E5068">
            <v>31102192</v>
          </cell>
          <cell r="F5068">
            <v>31102192</v>
          </cell>
          <cell r="G5068">
            <v>31102192</v>
          </cell>
          <cell r="H5068">
            <v>31102192</v>
          </cell>
          <cell r="I5068" t="str">
            <v/>
          </cell>
          <cell r="J5068" t="str">
            <v/>
          </cell>
          <cell r="K5068" t="str">
            <v/>
          </cell>
          <cell r="L5068" t="str">
            <v/>
          </cell>
          <cell r="M5068" t="str">
            <v/>
          </cell>
        </row>
        <row r="5069">
          <cell r="A5069">
            <v>31102192</v>
          </cell>
          <cell r="C5069">
            <v>31102192</v>
          </cell>
          <cell r="D5069">
            <v>31102192</v>
          </cell>
          <cell r="E5069">
            <v>31102192</v>
          </cell>
          <cell r="F5069">
            <v>31102192</v>
          </cell>
          <cell r="G5069">
            <v>31102192</v>
          </cell>
          <cell r="H5069">
            <v>31102192</v>
          </cell>
          <cell r="I5069" t="str">
            <v/>
          </cell>
          <cell r="J5069" t="str">
            <v/>
          </cell>
          <cell r="K5069" t="str">
            <v/>
          </cell>
          <cell r="L5069" t="str">
            <v/>
          </cell>
          <cell r="M5069" t="str">
            <v/>
          </cell>
        </row>
        <row r="5070">
          <cell r="A5070">
            <v>31102192</v>
          </cell>
          <cell r="C5070">
            <v>31102192</v>
          </cell>
          <cell r="D5070">
            <v>31102192</v>
          </cell>
          <cell r="E5070">
            <v>31102192</v>
          </cell>
          <cell r="F5070">
            <v>31102192</v>
          </cell>
          <cell r="G5070">
            <v>31102192</v>
          </cell>
          <cell r="H5070">
            <v>31102192</v>
          </cell>
          <cell r="I5070" t="str">
            <v/>
          </cell>
          <cell r="J5070" t="str">
            <v/>
          </cell>
          <cell r="K5070" t="str">
            <v/>
          </cell>
          <cell r="L5070" t="str">
            <v/>
          </cell>
          <cell r="M5070" t="str">
            <v/>
          </cell>
        </row>
        <row r="5071">
          <cell r="A5071">
            <v>31102192</v>
          </cell>
          <cell r="C5071">
            <v>31102192</v>
          </cell>
          <cell r="D5071">
            <v>31102192</v>
          </cell>
          <cell r="E5071">
            <v>31102192</v>
          </cell>
          <cell r="F5071">
            <v>31102192</v>
          </cell>
          <cell r="G5071">
            <v>31102192</v>
          </cell>
          <cell r="H5071">
            <v>31102192</v>
          </cell>
          <cell r="I5071" t="str">
            <v/>
          </cell>
          <cell r="J5071" t="str">
            <v/>
          </cell>
          <cell r="K5071" t="str">
            <v/>
          </cell>
          <cell r="L5071" t="str">
            <v/>
          </cell>
          <cell r="M5071" t="str">
            <v/>
          </cell>
        </row>
        <row r="5072">
          <cell r="A5072">
            <v>31102192</v>
          </cell>
          <cell r="C5072">
            <v>31102192</v>
          </cell>
          <cell r="D5072">
            <v>31102192</v>
          </cell>
          <cell r="E5072">
            <v>31102192</v>
          </cell>
          <cell r="F5072">
            <v>31102192</v>
          </cell>
          <cell r="G5072">
            <v>31102192</v>
          </cell>
          <cell r="H5072">
            <v>31102192</v>
          </cell>
          <cell r="I5072" t="str">
            <v/>
          </cell>
          <cell r="J5072" t="str">
            <v/>
          </cell>
          <cell r="K5072" t="str">
            <v/>
          </cell>
          <cell r="L5072" t="str">
            <v/>
          </cell>
          <cell r="M5072" t="str">
            <v/>
          </cell>
        </row>
        <row r="5073">
          <cell r="A5073">
            <v>31102192</v>
          </cell>
          <cell r="C5073">
            <v>31102192</v>
          </cell>
          <cell r="D5073">
            <v>31102192</v>
          </cell>
          <cell r="E5073">
            <v>31102192</v>
          </cell>
          <cell r="F5073">
            <v>31102192</v>
          </cell>
          <cell r="G5073">
            <v>31102192</v>
          </cell>
          <cell r="H5073">
            <v>31102192</v>
          </cell>
          <cell r="I5073" t="str">
            <v/>
          </cell>
          <cell r="J5073" t="str">
            <v/>
          </cell>
          <cell r="K5073" t="str">
            <v/>
          </cell>
          <cell r="L5073" t="str">
            <v/>
          </cell>
          <cell r="M5073" t="str">
            <v/>
          </cell>
        </row>
        <row r="5074">
          <cell r="A5074">
            <v>31102192</v>
          </cell>
          <cell r="C5074">
            <v>31102192</v>
          </cell>
          <cell r="D5074">
            <v>31102192</v>
          </cell>
          <cell r="E5074">
            <v>31102192</v>
          </cell>
          <cell r="F5074">
            <v>31102192</v>
          </cell>
          <cell r="G5074">
            <v>31102192</v>
          </cell>
          <cell r="H5074">
            <v>31102192</v>
          </cell>
          <cell r="I5074" t="str">
            <v/>
          </cell>
          <cell r="J5074" t="str">
            <v/>
          </cell>
          <cell r="K5074" t="str">
            <v/>
          </cell>
          <cell r="L5074" t="str">
            <v/>
          </cell>
          <cell r="M5074" t="str">
            <v/>
          </cell>
        </row>
        <row r="5075">
          <cell r="A5075">
            <v>31102192</v>
          </cell>
          <cell r="C5075">
            <v>31102192</v>
          </cell>
          <cell r="D5075">
            <v>31102192</v>
          </cell>
          <cell r="E5075">
            <v>31102192</v>
          </cell>
          <cell r="F5075">
            <v>31102192</v>
          </cell>
          <cell r="G5075">
            <v>31102192</v>
          </cell>
          <cell r="H5075">
            <v>31102192</v>
          </cell>
          <cell r="I5075" t="str">
            <v/>
          </cell>
          <cell r="J5075" t="str">
            <v/>
          </cell>
          <cell r="K5075" t="str">
            <v/>
          </cell>
          <cell r="L5075" t="str">
            <v/>
          </cell>
          <cell r="M5075" t="str">
            <v/>
          </cell>
        </row>
        <row r="5076">
          <cell r="A5076">
            <v>31102192</v>
          </cell>
          <cell r="C5076">
            <v>31102192</v>
          </cell>
          <cell r="D5076">
            <v>31102192</v>
          </cell>
          <cell r="E5076">
            <v>31102192</v>
          </cell>
          <cell r="F5076">
            <v>31102192</v>
          </cell>
          <cell r="G5076">
            <v>31102192</v>
          </cell>
          <cell r="H5076">
            <v>31102192</v>
          </cell>
          <cell r="I5076" t="str">
            <v/>
          </cell>
          <cell r="J5076" t="str">
            <v/>
          </cell>
          <cell r="K5076" t="str">
            <v/>
          </cell>
          <cell r="L5076" t="str">
            <v/>
          </cell>
          <cell r="M5076" t="str">
            <v/>
          </cell>
        </row>
        <row r="5077">
          <cell r="A5077">
            <v>31102192</v>
          </cell>
          <cell r="C5077">
            <v>31102192</v>
          </cell>
          <cell r="D5077">
            <v>31102192</v>
          </cell>
          <cell r="E5077">
            <v>31102192</v>
          </cell>
          <cell r="F5077">
            <v>31102192</v>
          </cell>
          <cell r="G5077">
            <v>31102192</v>
          </cell>
          <cell r="H5077">
            <v>31102192</v>
          </cell>
          <cell r="I5077" t="str">
            <v/>
          </cell>
          <cell r="J5077" t="str">
            <v/>
          </cell>
          <cell r="K5077" t="str">
            <v/>
          </cell>
          <cell r="L5077" t="str">
            <v/>
          </cell>
          <cell r="M5077" t="str">
            <v/>
          </cell>
        </row>
        <row r="5078">
          <cell r="A5078">
            <v>31102192</v>
          </cell>
          <cell r="C5078">
            <v>31102192</v>
          </cell>
          <cell r="D5078">
            <v>31102192</v>
          </cell>
          <cell r="E5078">
            <v>31102192</v>
          </cell>
          <cell r="F5078">
            <v>31102192</v>
          </cell>
          <cell r="G5078">
            <v>31102192</v>
          </cell>
          <cell r="H5078">
            <v>31102192</v>
          </cell>
          <cell r="I5078" t="str">
            <v/>
          </cell>
          <cell r="J5078" t="str">
            <v/>
          </cell>
          <cell r="K5078" t="str">
            <v/>
          </cell>
          <cell r="L5078" t="str">
            <v/>
          </cell>
          <cell r="M5078" t="str">
            <v/>
          </cell>
        </row>
        <row r="5079">
          <cell r="A5079">
            <v>31102192</v>
          </cell>
          <cell r="C5079">
            <v>31102192</v>
          </cell>
          <cell r="D5079">
            <v>31102192</v>
          </cell>
          <cell r="E5079">
            <v>31102192</v>
          </cell>
          <cell r="F5079">
            <v>31102192</v>
          </cell>
          <cell r="G5079">
            <v>31102192</v>
          </cell>
          <cell r="H5079">
            <v>31102192</v>
          </cell>
          <cell r="I5079" t="str">
            <v/>
          </cell>
          <cell r="J5079" t="str">
            <v/>
          </cell>
          <cell r="K5079" t="str">
            <v/>
          </cell>
          <cell r="L5079" t="str">
            <v/>
          </cell>
          <cell r="M5079" t="str">
            <v/>
          </cell>
        </row>
        <row r="5080">
          <cell r="A5080">
            <v>31102192</v>
          </cell>
          <cell r="C5080">
            <v>31102192</v>
          </cell>
          <cell r="D5080">
            <v>31102192</v>
          </cell>
          <cell r="E5080">
            <v>31102192</v>
          </cell>
          <cell r="F5080">
            <v>31102192</v>
          </cell>
          <cell r="G5080">
            <v>31102192</v>
          </cell>
          <cell r="H5080">
            <v>31102192</v>
          </cell>
          <cell r="I5080" t="str">
            <v/>
          </cell>
          <cell r="J5080" t="str">
            <v/>
          </cell>
          <cell r="K5080" t="str">
            <v/>
          </cell>
          <cell r="L5080" t="str">
            <v/>
          </cell>
          <cell r="M5080" t="str">
            <v/>
          </cell>
        </row>
        <row r="5081">
          <cell r="A5081">
            <v>31102192</v>
          </cell>
          <cell r="C5081">
            <v>31102192</v>
          </cell>
          <cell r="D5081">
            <v>31102192</v>
          </cell>
          <cell r="E5081">
            <v>31102192</v>
          </cell>
          <cell r="F5081">
            <v>31102192</v>
          </cell>
          <cell r="G5081">
            <v>31102192</v>
          </cell>
          <cell r="H5081">
            <v>31102192</v>
          </cell>
          <cell r="I5081" t="str">
            <v/>
          </cell>
          <cell r="J5081" t="str">
            <v/>
          </cell>
          <cell r="K5081" t="str">
            <v/>
          </cell>
          <cell r="L5081" t="str">
            <v/>
          </cell>
          <cell r="M5081" t="str">
            <v/>
          </cell>
        </row>
        <row r="5082">
          <cell r="A5082">
            <v>31102192</v>
          </cell>
          <cell r="C5082">
            <v>31102192</v>
          </cell>
          <cell r="D5082">
            <v>31102192</v>
          </cell>
          <cell r="E5082">
            <v>31102192</v>
          </cell>
          <cell r="F5082">
            <v>31102192</v>
          </cell>
          <cell r="G5082">
            <v>31102192</v>
          </cell>
          <cell r="H5082">
            <v>31102192</v>
          </cell>
          <cell r="I5082" t="str">
            <v/>
          </cell>
          <cell r="J5082" t="str">
            <v/>
          </cell>
          <cell r="K5082" t="str">
            <v/>
          </cell>
          <cell r="L5082" t="str">
            <v/>
          </cell>
          <cell r="M5082" t="str">
            <v/>
          </cell>
        </row>
        <row r="5083">
          <cell r="A5083">
            <v>31102192</v>
          </cell>
          <cell r="C5083">
            <v>31102192</v>
          </cell>
          <cell r="D5083">
            <v>31102192</v>
          </cell>
          <cell r="E5083">
            <v>31102192</v>
          </cell>
          <cell r="F5083">
            <v>31102192</v>
          </cell>
          <cell r="G5083">
            <v>31102192</v>
          </cell>
          <cell r="H5083">
            <v>31102192</v>
          </cell>
          <cell r="I5083" t="str">
            <v/>
          </cell>
          <cell r="J5083" t="str">
            <v/>
          </cell>
          <cell r="K5083" t="str">
            <v/>
          </cell>
          <cell r="L5083" t="str">
            <v/>
          </cell>
          <cell r="M5083" t="str">
            <v/>
          </cell>
        </row>
        <row r="5084">
          <cell r="A5084">
            <v>31102192</v>
          </cell>
          <cell r="C5084">
            <v>31102192</v>
          </cell>
          <cell r="D5084">
            <v>31102192</v>
          </cell>
          <cell r="E5084">
            <v>31102192</v>
          </cell>
          <cell r="F5084">
            <v>31102192</v>
          </cell>
          <cell r="G5084">
            <v>31102192</v>
          </cell>
          <cell r="H5084">
            <v>31102192</v>
          </cell>
          <cell r="I5084" t="str">
            <v/>
          </cell>
          <cell r="J5084" t="str">
            <v/>
          </cell>
          <cell r="K5084" t="str">
            <v/>
          </cell>
          <cell r="L5084" t="str">
            <v/>
          </cell>
          <cell r="M5084" t="str">
            <v/>
          </cell>
        </row>
        <row r="5085">
          <cell r="A5085">
            <v>31102192</v>
          </cell>
          <cell r="C5085">
            <v>31102192</v>
          </cell>
          <cell r="D5085">
            <v>31102192</v>
          </cell>
          <cell r="E5085">
            <v>31102192</v>
          </cell>
          <cell r="F5085">
            <v>31102192</v>
          </cell>
          <cell r="G5085">
            <v>31102192</v>
          </cell>
          <cell r="H5085">
            <v>31102192</v>
          </cell>
          <cell r="I5085" t="str">
            <v/>
          </cell>
          <cell r="J5085" t="str">
            <v/>
          </cell>
          <cell r="K5085" t="str">
            <v/>
          </cell>
          <cell r="L5085" t="str">
            <v/>
          </cell>
          <cell r="M5085" t="str">
            <v/>
          </cell>
        </row>
        <row r="5086">
          <cell r="A5086">
            <v>31102192</v>
          </cell>
          <cell r="C5086">
            <v>31102192</v>
          </cell>
          <cell r="D5086">
            <v>31102192</v>
          </cell>
          <cell r="E5086">
            <v>31102192</v>
          </cell>
          <cell r="F5086">
            <v>31102192</v>
          </cell>
          <cell r="G5086">
            <v>31102192</v>
          </cell>
          <cell r="H5086">
            <v>31102192</v>
          </cell>
          <cell r="I5086" t="str">
            <v/>
          </cell>
          <cell r="J5086" t="str">
            <v/>
          </cell>
          <cell r="K5086" t="str">
            <v/>
          </cell>
          <cell r="L5086" t="str">
            <v/>
          </cell>
          <cell r="M5086" t="str">
            <v/>
          </cell>
        </row>
        <row r="5087">
          <cell r="A5087">
            <v>31102192</v>
          </cell>
          <cell r="C5087">
            <v>31102192</v>
          </cell>
          <cell r="D5087">
            <v>31102192</v>
          </cell>
          <cell r="E5087">
            <v>31102192</v>
          </cell>
          <cell r="F5087">
            <v>31102192</v>
          </cell>
          <cell r="G5087">
            <v>31102192</v>
          </cell>
          <cell r="H5087">
            <v>31102192</v>
          </cell>
          <cell r="I5087" t="str">
            <v/>
          </cell>
          <cell r="J5087" t="str">
            <v/>
          </cell>
          <cell r="K5087" t="str">
            <v/>
          </cell>
          <cell r="L5087" t="str">
            <v/>
          </cell>
          <cell r="M5087" t="str">
            <v/>
          </cell>
        </row>
        <row r="5088">
          <cell r="A5088">
            <v>31102192</v>
          </cell>
          <cell r="C5088">
            <v>31102192</v>
          </cell>
          <cell r="D5088">
            <v>31102192</v>
          </cell>
          <cell r="E5088">
            <v>31102192</v>
          </cell>
          <cell r="F5088">
            <v>31102192</v>
          </cell>
          <cell r="G5088">
            <v>31102192</v>
          </cell>
          <cell r="H5088">
            <v>31102192</v>
          </cell>
          <cell r="I5088" t="str">
            <v/>
          </cell>
          <cell r="J5088" t="str">
            <v/>
          </cell>
          <cell r="K5088" t="str">
            <v/>
          </cell>
          <cell r="L5088" t="str">
            <v/>
          </cell>
          <cell r="M5088" t="str">
            <v/>
          </cell>
        </row>
        <row r="5089">
          <cell r="A5089">
            <v>31102192</v>
          </cell>
          <cell r="C5089">
            <v>31102192</v>
          </cell>
          <cell r="D5089">
            <v>31102192</v>
          </cell>
          <cell r="E5089">
            <v>31102192</v>
          </cell>
          <cell r="F5089">
            <v>31102192</v>
          </cell>
          <cell r="G5089">
            <v>31102192</v>
          </cell>
          <cell r="H5089">
            <v>31102192</v>
          </cell>
          <cell r="I5089" t="str">
            <v/>
          </cell>
          <cell r="J5089" t="str">
            <v/>
          </cell>
          <cell r="K5089" t="str">
            <v/>
          </cell>
          <cell r="L5089" t="str">
            <v/>
          </cell>
          <cell r="M5089" t="str">
            <v/>
          </cell>
        </row>
        <row r="5090">
          <cell r="A5090">
            <v>31102192</v>
          </cell>
          <cell r="C5090">
            <v>31102192</v>
          </cell>
          <cell r="D5090">
            <v>31102192</v>
          </cell>
          <cell r="E5090">
            <v>31102192</v>
          </cell>
          <cell r="F5090">
            <v>31102192</v>
          </cell>
          <cell r="G5090">
            <v>31102192</v>
          </cell>
          <cell r="H5090">
            <v>31102192</v>
          </cell>
          <cell r="I5090" t="str">
            <v/>
          </cell>
          <cell r="J5090" t="str">
            <v/>
          </cell>
          <cell r="K5090" t="str">
            <v/>
          </cell>
          <cell r="L5090" t="str">
            <v/>
          </cell>
          <cell r="M5090" t="str">
            <v/>
          </cell>
        </row>
        <row r="5091">
          <cell r="A5091">
            <v>31102192</v>
          </cell>
          <cell r="C5091">
            <v>31102192</v>
          </cell>
          <cell r="D5091">
            <v>31102192</v>
          </cell>
          <cell r="E5091">
            <v>31102192</v>
          </cell>
          <cell r="F5091">
            <v>31102192</v>
          </cell>
          <cell r="G5091">
            <v>31102192</v>
          </cell>
          <cell r="H5091">
            <v>31102192</v>
          </cell>
          <cell r="I5091" t="str">
            <v/>
          </cell>
          <cell r="J5091" t="str">
            <v/>
          </cell>
          <cell r="K5091" t="str">
            <v/>
          </cell>
          <cell r="L5091" t="str">
            <v/>
          </cell>
          <cell r="M5091" t="str">
            <v/>
          </cell>
        </row>
        <row r="5092">
          <cell r="A5092">
            <v>31102192</v>
          </cell>
          <cell r="C5092">
            <v>31102192</v>
          </cell>
          <cell r="D5092">
            <v>31102192</v>
          </cell>
          <cell r="E5092">
            <v>31102192</v>
          </cell>
          <cell r="F5092">
            <v>31102192</v>
          </cell>
          <cell r="G5092">
            <v>31102192</v>
          </cell>
          <cell r="H5092">
            <v>31102192</v>
          </cell>
          <cell r="I5092" t="str">
            <v/>
          </cell>
          <cell r="J5092" t="str">
            <v/>
          </cell>
          <cell r="K5092" t="str">
            <v/>
          </cell>
          <cell r="L5092" t="str">
            <v/>
          </cell>
          <cell r="M5092" t="str">
            <v/>
          </cell>
        </row>
        <row r="5093">
          <cell r="A5093">
            <v>31102192</v>
          </cell>
          <cell r="C5093">
            <v>31102192</v>
          </cell>
          <cell r="D5093">
            <v>31102192</v>
          </cell>
          <cell r="E5093">
            <v>31102192</v>
          </cell>
          <cell r="F5093">
            <v>31102192</v>
          </cell>
          <cell r="G5093">
            <v>31102192</v>
          </cell>
          <cell r="H5093">
            <v>31102192</v>
          </cell>
          <cell r="I5093" t="str">
            <v/>
          </cell>
          <cell r="J5093" t="str">
            <v/>
          </cell>
          <cell r="K5093" t="str">
            <v/>
          </cell>
          <cell r="L5093" t="str">
            <v/>
          </cell>
          <cell r="M5093" t="str">
            <v/>
          </cell>
        </row>
        <row r="5094">
          <cell r="A5094">
            <v>31102192</v>
          </cell>
          <cell r="C5094">
            <v>31102192</v>
          </cell>
          <cell r="D5094">
            <v>31102192</v>
          </cell>
          <cell r="E5094">
            <v>31102192</v>
          </cell>
          <cell r="F5094">
            <v>31102192</v>
          </cell>
          <cell r="G5094">
            <v>31102192</v>
          </cell>
          <cell r="H5094">
            <v>31102192</v>
          </cell>
          <cell r="I5094" t="str">
            <v/>
          </cell>
          <cell r="J5094" t="str">
            <v/>
          </cell>
          <cell r="K5094" t="str">
            <v/>
          </cell>
          <cell r="L5094" t="str">
            <v/>
          </cell>
          <cell r="M5094" t="str">
            <v/>
          </cell>
        </row>
        <row r="5095">
          <cell r="A5095">
            <v>31102192</v>
          </cell>
          <cell r="C5095">
            <v>31102192</v>
          </cell>
          <cell r="D5095">
            <v>31102192</v>
          </cell>
          <cell r="E5095">
            <v>31102192</v>
          </cell>
          <cell r="F5095">
            <v>31102192</v>
          </cell>
          <cell r="G5095">
            <v>31102192</v>
          </cell>
          <cell r="H5095">
            <v>31102192</v>
          </cell>
          <cell r="I5095" t="str">
            <v/>
          </cell>
          <cell r="J5095" t="str">
            <v/>
          </cell>
          <cell r="K5095" t="str">
            <v/>
          </cell>
          <cell r="L5095" t="str">
            <v/>
          </cell>
          <cell r="M5095" t="str">
            <v/>
          </cell>
        </row>
        <row r="5096">
          <cell r="A5096">
            <v>31102192</v>
          </cell>
          <cell r="C5096">
            <v>31102192</v>
          </cell>
          <cell r="D5096">
            <v>31102192</v>
          </cell>
          <cell r="E5096">
            <v>31102192</v>
          </cell>
          <cell r="F5096">
            <v>31102192</v>
          </cell>
          <cell r="G5096">
            <v>31102192</v>
          </cell>
          <cell r="H5096">
            <v>31102192</v>
          </cell>
          <cell r="I5096" t="str">
            <v/>
          </cell>
          <cell r="J5096" t="str">
            <v/>
          </cell>
          <cell r="K5096" t="str">
            <v/>
          </cell>
          <cell r="L5096" t="str">
            <v/>
          </cell>
          <cell r="M5096" t="str">
            <v/>
          </cell>
        </row>
        <row r="5097">
          <cell r="A5097">
            <v>31102192</v>
          </cell>
          <cell r="C5097">
            <v>31102192</v>
          </cell>
          <cell r="D5097">
            <v>31102192</v>
          </cell>
          <cell r="E5097">
            <v>31102192</v>
          </cell>
          <cell r="F5097">
            <v>31102192</v>
          </cell>
          <cell r="G5097">
            <v>31102192</v>
          </cell>
          <cell r="H5097">
            <v>31102192</v>
          </cell>
          <cell r="I5097" t="str">
            <v/>
          </cell>
          <cell r="J5097" t="str">
            <v/>
          </cell>
          <cell r="K5097" t="str">
            <v/>
          </cell>
          <cell r="L5097" t="str">
            <v/>
          </cell>
          <cell r="M5097" t="str">
            <v/>
          </cell>
        </row>
        <row r="5098">
          <cell r="A5098">
            <v>31102192</v>
          </cell>
          <cell r="C5098">
            <v>31102192</v>
          </cell>
          <cell r="D5098">
            <v>31102192</v>
          </cell>
          <cell r="E5098">
            <v>31102192</v>
          </cell>
          <cell r="F5098">
            <v>31102192</v>
          </cell>
          <cell r="G5098">
            <v>31102192</v>
          </cell>
          <cell r="H5098">
            <v>31102192</v>
          </cell>
          <cell r="I5098" t="str">
            <v/>
          </cell>
          <cell r="J5098" t="str">
            <v/>
          </cell>
          <cell r="K5098" t="str">
            <v/>
          </cell>
          <cell r="L5098" t="str">
            <v/>
          </cell>
          <cell r="M5098" t="str">
            <v/>
          </cell>
        </row>
        <row r="5099">
          <cell r="A5099">
            <v>31102192</v>
          </cell>
          <cell r="C5099">
            <v>31102192</v>
          </cell>
          <cell r="D5099">
            <v>31102192</v>
          </cell>
          <cell r="E5099">
            <v>31102192</v>
          </cell>
          <cell r="F5099">
            <v>31102192</v>
          </cell>
          <cell r="G5099">
            <v>31102192</v>
          </cell>
          <cell r="H5099">
            <v>31102192</v>
          </cell>
          <cell r="I5099" t="str">
            <v/>
          </cell>
          <cell r="J5099" t="str">
            <v/>
          </cell>
          <cell r="K5099" t="str">
            <v/>
          </cell>
          <cell r="L5099" t="str">
            <v/>
          </cell>
          <cell r="M5099" t="str">
            <v/>
          </cell>
        </row>
        <row r="5100">
          <cell r="A5100">
            <v>31102192</v>
          </cell>
          <cell r="C5100">
            <v>31102192</v>
          </cell>
          <cell r="D5100">
            <v>31102192</v>
          </cell>
          <cell r="E5100">
            <v>31102192</v>
          </cell>
          <cell r="F5100">
            <v>31102192</v>
          </cell>
          <cell r="G5100">
            <v>31102192</v>
          </cell>
          <cell r="H5100">
            <v>31102192</v>
          </cell>
          <cell r="I5100" t="str">
            <v/>
          </cell>
          <cell r="J5100" t="str">
            <v/>
          </cell>
          <cell r="K5100" t="str">
            <v/>
          </cell>
          <cell r="L5100" t="str">
            <v/>
          </cell>
          <cell r="M5100" t="str">
            <v/>
          </cell>
        </row>
        <row r="5101">
          <cell r="A5101">
            <v>31102192</v>
          </cell>
          <cell r="C5101">
            <v>31102192</v>
          </cell>
          <cell r="D5101">
            <v>31102192</v>
          </cell>
          <cell r="E5101">
            <v>31102192</v>
          </cell>
          <cell r="F5101">
            <v>31102192</v>
          </cell>
          <cell r="G5101">
            <v>31102192</v>
          </cell>
          <cell r="H5101">
            <v>31102192</v>
          </cell>
          <cell r="I5101" t="str">
            <v/>
          </cell>
          <cell r="J5101" t="str">
            <v/>
          </cell>
          <cell r="K5101" t="str">
            <v/>
          </cell>
          <cell r="L5101" t="str">
            <v/>
          </cell>
          <cell r="M5101" t="str">
            <v/>
          </cell>
        </row>
        <row r="5102">
          <cell r="A5102">
            <v>31102192</v>
          </cell>
          <cell r="C5102">
            <v>31102192</v>
          </cell>
          <cell r="D5102">
            <v>31102192</v>
          </cell>
          <cell r="E5102">
            <v>31102192</v>
          </cell>
          <cell r="F5102">
            <v>31102192</v>
          </cell>
          <cell r="G5102">
            <v>31102192</v>
          </cell>
          <cell r="H5102">
            <v>31102192</v>
          </cell>
          <cell r="I5102" t="str">
            <v/>
          </cell>
          <cell r="J5102" t="str">
            <v/>
          </cell>
          <cell r="K5102" t="str">
            <v/>
          </cell>
          <cell r="L5102" t="str">
            <v/>
          </cell>
          <cell r="M5102" t="str">
            <v/>
          </cell>
        </row>
        <row r="5103">
          <cell r="A5103">
            <v>31102192</v>
          </cell>
          <cell r="C5103">
            <v>31102192</v>
          </cell>
          <cell r="D5103">
            <v>31102192</v>
          </cell>
          <cell r="E5103">
            <v>31102192</v>
          </cell>
          <cell r="F5103">
            <v>31102192</v>
          </cell>
          <cell r="G5103">
            <v>31102192</v>
          </cell>
          <cell r="H5103">
            <v>31102192</v>
          </cell>
          <cell r="I5103" t="str">
            <v/>
          </cell>
          <cell r="J5103" t="str">
            <v/>
          </cell>
          <cell r="K5103" t="str">
            <v/>
          </cell>
          <cell r="L5103" t="str">
            <v/>
          </cell>
          <cell r="M5103" t="str">
            <v/>
          </cell>
        </row>
        <row r="5104">
          <cell r="A5104">
            <v>31102192</v>
          </cell>
          <cell r="C5104">
            <v>31102192</v>
          </cell>
          <cell r="D5104">
            <v>31102192</v>
          </cell>
          <cell r="E5104">
            <v>31102192</v>
          </cell>
          <cell r="F5104">
            <v>31102192</v>
          </cell>
          <cell r="G5104">
            <v>31102192</v>
          </cell>
          <cell r="H5104">
            <v>31102192</v>
          </cell>
          <cell r="I5104" t="str">
            <v/>
          </cell>
          <cell r="J5104" t="str">
            <v/>
          </cell>
          <cell r="K5104" t="str">
            <v/>
          </cell>
          <cell r="L5104" t="str">
            <v/>
          </cell>
          <cell r="M5104" t="str">
            <v/>
          </cell>
        </row>
        <row r="5105">
          <cell r="A5105">
            <v>31102192</v>
          </cell>
          <cell r="C5105">
            <v>31102192</v>
          </cell>
          <cell r="D5105">
            <v>31102192</v>
          </cell>
          <cell r="E5105">
            <v>31102192</v>
          </cell>
          <cell r="F5105">
            <v>31102192</v>
          </cell>
          <cell r="G5105">
            <v>31102192</v>
          </cell>
          <cell r="H5105">
            <v>31102192</v>
          </cell>
          <cell r="I5105" t="str">
            <v/>
          </cell>
          <cell r="J5105" t="str">
            <v/>
          </cell>
          <cell r="K5105" t="str">
            <v/>
          </cell>
          <cell r="L5105" t="str">
            <v/>
          </cell>
          <cell r="M5105" t="str">
            <v/>
          </cell>
        </row>
        <row r="5106">
          <cell r="A5106">
            <v>31102192</v>
          </cell>
          <cell r="C5106">
            <v>31102192</v>
          </cell>
          <cell r="D5106">
            <v>31102192</v>
          </cell>
          <cell r="E5106">
            <v>31102192</v>
          </cell>
          <cell r="F5106">
            <v>31102192</v>
          </cell>
          <cell r="G5106">
            <v>31102192</v>
          </cell>
          <cell r="H5106">
            <v>31102192</v>
          </cell>
          <cell r="I5106" t="str">
            <v/>
          </cell>
          <cell r="J5106" t="str">
            <v/>
          </cell>
          <cell r="K5106" t="str">
            <v/>
          </cell>
          <cell r="L5106" t="str">
            <v/>
          </cell>
          <cell r="M5106" t="str">
            <v/>
          </cell>
        </row>
        <row r="5107">
          <cell r="A5107">
            <v>31102192</v>
          </cell>
          <cell r="C5107">
            <v>31102192</v>
          </cell>
          <cell r="D5107">
            <v>31102192</v>
          </cell>
          <cell r="E5107">
            <v>31102192</v>
          </cell>
          <cell r="F5107">
            <v>31102192</v>
          </cell>
          <cell r="G5107">
            <v>31102192</v>
          </cell>
          <cell r="H5107">
            <v>31102192</v>
          </cell>
          <cell r="I5107" t="str">
            <v/>
          </cell>
          <cell r="J5107" t="str">
            <v/>
          </cell>
          <cell r="K5107" t="str">
            <v/>
          </cell>
          <cell r="L5107" t="str">
            <v/>
          </cell>
          <cell r="M5107" t="str">
            <v/>
          </cell>
        </row>
        <row r="5108">
          <cell r="A5108">
            <v>31102192</v>
          </cell>
          <cell r="C5108">
            <v>31102192</v>
          </cell>
          <cell r="D5108">
            <v>31102192</v>
          </cell>
          <cell r="E5108">
            <v>31102192</v>
          </cell>
          <cell r="F5108">
            <v>31102192</v>
          </cell>
          <cell r="G5108">
            <v>31102192</v>
          </cell>
          <cell r="H5108">
            <v>31102192</v>
          </cell>
          <cell r="I5108" t="str">
            <v/>
          </cell>
          <cell r="J5108" t="str">
            <v/>
          </cell>
          <cell r="K5108" t="str">
            <v/>
          </cell>
          <cell r="L5108" t="str">
            <v/>
          </cell>
          <cell r="M5108" t="str">
            <v/>
          </cell>
        </row>
        <row r="5109">
          <cell r="A5109">
            <v>31102192</v>
          </cell>
          <cell r="C5109">
            <v>31102192</v>
          </cell>
          <cell r="D5109">
            <v>31102192</v>
          </cell>
          <cell r="E5109">
            <v>31102192</v>
          </cell>
          <cell r="F5109">
            <v>31102192</v>
          </cell>
          <cell r="G5109">
            <v>31102192</v>
          </cell>
          <cell r="H5109">
            <v>31102192</v>
          </cell>
          <cell r="I5109" t="str">
            <v/>
          </cell>
          <cell r="J5109" t="str">
            <v/>
          </cell>
          <cell r="K5109" t="str">
            <v/>
          </cell>
          <cell r="L5109" t="str">
            <v/>
          </cell>
          <cell r="M5109" t="str">
            <v/>
          </cell>
        </row>
        <row r="5110">
          <cell r="A5110">
            <v>31102192</v>
          </cell>
          <cell r="C5110">
            <v>31102192</v>
          </cell>
          <cell r="D5110">
            <v>31102192</v>
          </cell>
          <cell r="E5110">
            <v>31102192</v>
          </cell>
          <cell r="F5110">
            <v>31102192</v>
          </cell>
          <cell r="G5110">
            <v>31102192</v>
          </cell>
          <cell r="H5110">
            <v>31102192</v>
          </cell>
          <cell r="I5110" t="str">
            <v/>
          </cell>
          <cell r="J5110" t="str">
            <v/>
          </cell>
          <cell r="K5110" t="str">
            <v/>
          </cell>
          <cell r="L5110" t="str">
            <v/>
          </cell>
          <cell r="M5110" t="str">
            <v/>
          </cell>
        </row>
        <row r="5111">
          <cell r="A5111">
            <v>31102192</v>
          </cell>
          <cell r="C5111">
            <v>31102192</v>
          </cell>
          <cell r="D5111">
            <v>31102192</v>
          </cell>
          <cell r="E5111">
            <v>31102192</v>
          </cell>
          <cell r="F5111">
            <v>31102192</v>
          </cell>
          <cell r="G5111">
            <v>31102192</v>
          </cell>
          <cell r="H5111">
            <v>31102192</v>
          </cell>
          <cell r="I5111" t="str">
            <v/>
          </cell>
          <cell r="J5111" t="str">
            <v/>
          </cell>
          <cell r="K5111" t="str">
            <v/>
          </cell>
          <cell r="L5111" t="str">
            <v/>
          </cell>
          <cell r="M5111" t="str">
            <v/>
          </cell>
        </row>
        <row r="5112">
          <cell r="A5112">
            <v>31102192</v>
          </cell>
          <cell r="C5112">
            <v>31102192</v>
          </cell>
          <cell r="D5112">
            <v>31102192</v>
          </cell>
          <cell r="E5112">
            <v>31102192</v>
          </cell>
          <cell r="F5112">
            <v>31102192</v>
          </cell>
          <cell r="G5112">
            <v>31102192</v>
          </cell>
          <cell r="H5112">
            <v>31102192</v>
          </cell>
          <cell r="I5112" t="str">
            <v/>
          </cell>
          <cell r="J5112" t="str">
            <v/>
          </cell>
          <cell r="K5112" t="str">
            <v/>
          </cell>
          <cell r="L5112" t="str">
            <v/>
          </cell>
          <cell r="M5112" t="str">
            <v/>
          </cell>
        </row>
        <row r="5113">
          <cell r="A5113">
            <v>31102192</v>
          </cell>
          <cell r="C5113">
            <v>31102192</v>
          </cell>
          <cell r="D5113">
            <v>31102192</v>
          </cell>
          <cell r="E5113">
            <v>31102192</v>
          </cell>
          <cell r="F5113">
            <v>31102192</v>
          </cell>
          <cell r="G5113">
            <v>31102192</v>
          </cell>
          <cell r="H5113">
            <v>31102192</v>
          </cell>
          <cell r="I5113" t="str">
            <v/>
          </cell>
          <cell r="J5113" t="str">
            <v/>
          </cell>
          <cell r="K5113" t="str">
            <v/>
          </cell>
          <cell r="L5113" t="str">
            <v/>
          </cell>
          <cell r="M5113" t="str">
            <v/>
          </cell>
        </row>
        <row r="5114">
          <cell r="A5114">
            <v>31102192</v>
          </cell>
          <cell r="C5114">
            <v>31102192</v>
          </cell>
          <cell r="D5114">
            <v>31102192</v>
          </cell>
          <cell r="E5114">
            <v>31102192</v>
          </cell>
          <cell r="F5114">
            <v>31102192</v>
          </cell>
          <cell r="G5114">
            <v>31102192</v>
          </cell>
          <cell r="H5114">
            <v>31102192</v>
          </cell>
          <cell r="I5114" t="str">
            <v/>
          </cell>
          <cell r="J5114" t="str">
            <v/>
          </cell>
          <cell r="K5114" t="str">
            <v/>
          </cell>
          <cell r="L5114" t="str">
            <v/>
          </cell>
          <cell r="M5114" t="str">
            <v/>
          </cell>
        </row>
        <row r="5115">
          <cell r="A5115">
            <v>31102192</v>
          </cell>
          <cell r="C5115">
            <v>31102192</v>
          </cell>
          <cell r="D5115">
            <v>31102192</v>
          </cell>
          <cell r="E5115">
            <v>31102192</v>
          </cell>
          <cell r="F5115">
            <v>31102192</v>
          </cell>
          <cell r="G5115">
            <v>31102192</v>
          </cell>
          <cell r="H5115">
            <v>31102192</v>
          </cell>
          <cell r="I5115" t="str">
            <v/>
          </cell>
          <cell r="J5115" t="str">
            <v/>
          </cell>
          <cell r="K5115" t="str">
            <v/>
          </cell>
          <cell r="L5115" t="str">
            <v/>
          </cell>
          <cell r="M5115" t="str">
            <v/>
          </cell>
        </row>
        <row r="5116">
          <cell r="A5116">
            <v>31102192</v>
          </cell>
          <cell r="C5116">
            <v>31102192</v>
          </cell>
          <cell r="D5116">
            <v>31102192</v>
          </cell>
          <cell r="E5116">
            <v>31102192</v>
          </cell>
          <cell r="F5116">
            <v>31102192</v>
          </cell>
          <cell r="G5116">
            <v>31102192</v>
          </cell>
          <cell r="H5116">
            <v>31102192</v>
          </cell>
          <cell r="I5116" t="str">
            <v/>
          </cell>
          <cell r="J5116" t="str">
            <v/>
          </cell>
          <cell r="K5116" t="str">
            <v/>
          </cell>
          <cell r="L5116" t="str">
            <v/>
          </cell>
          <cell r="M5116" t="str">
            <v/>
          </cell>
        </row>
        <row r="5117">
          <cell r="A5117">
            <v>31102192</v>
          </cell>
          <cell r="C5117">
            <v>31102192</v>
          </cell>
          <cell r="D5117">
            <v>31102192</v>
          </cell>
          <cell r="E5117">
            <v>31102192</v>
          </cell>
          <cell r="F5117">
            <v>31102192</v>
          </cell>
          <cell r="G5117">
            <v>31102192</v>
          </cell>
          <cell r="H5117">
            <v>31102192</v>
          </cell>
          <cell r="I5117" t="str">
            <v/>
          </cell>
          <cell r="J5117" t="str">
            <v/>
          </cell>
          <cell r="K5117" t="str">
            <v/>
          </cell>
          <cell r="L5117" t="str">
            <v/>
          </cell>
          <cell r="M5117" t="str">
            <v/>
          </cell>
        </row>
        <row r="5118">
          <cell r="A5118">
            <v>31102192</v>
          </cell>
          <cell r="C5118">
            <v>31102192</v>
          </cell>
          <cell r="D5118">
            <v>31102192</v>
          </cell>
          <cell r="E5118">
            <v>31102192</v>
          </cell>
          <cell r="F5118">
            <v>31102192</v>
          </cell>
          <cell r="G5118">
            <v>31102192</v>
          </cell>
          <cell r="H5118">
            <v>31102192</v>
          </cell>
          <cell r="I5118" t="str">
            <v/>
          </cell>
          <cell r="J5118" t="str">
            <v/>
          </cell>
          <cell r="K5118" t="str">
            <v/>
          </cell>
          <cell r="L5118" t="str">
            <v/>
          </cell>
          <cell r="M5118" t="str">
            <v/>
          </cell>
        </row>
        <row r="5119">
          <cell r="A5119">
            <v>31102192</v>
          </cell>
          <cell r="C5119">
            <v>31102192</v>
          </cell>
          <cell r="D5119">
            <v>31102192</v>
          </cell>
          <cell r="E5119">
            <v>31102192</v>
          </cell>
          <cell r="F5119">
            <v>31102192</v>
          </cell>
          <cell r="G5119">
            <v>31102192</v>
          </cell>
          <cell r="H5119">
            <v>31102192</v>
          </cell>
          <cell r="I5119" t="str">
            <v/>
          </cell>
          <cell r="J5119" t="str">
            <v/>
          </cell>
          <cell r="K5119" t="str">
            <v/>
          </cell>
          <cell r="L5119" t="str">
            <v/>
          </cell>
          <cell r="M5119" t="str">
            <v/>
          </cell>
        </row>
        <row r="5120">
          <cell r="A5120">
            <v>31102192</v>
          </cell>
          <cell r="C5120">
            <v>31102192</v>
          </cell>
          <cell r="D5120">
            <v>31102192</v>
          </cell>
          <cell r="E5120">
            <v>31102192</v>
          </cell>
          <cell r="F5120">
            <v>31102192</v>
          </cell>
          <cell r="G5120">
            <v>31102192</v>
          </cell>
          <cell r="H5120">
            <v>31102192</v>
          </cell>
          <cell r="I5120" t="str">
            <v/>
          </cell>
          <cell r="J5120" t="str">
            <v/>
          </cell>
          <cell r="K5120" t="str">
            <v/>
          </cell>
          <cell r="L5120" t="str">
            <v/>
          </cell>
          <cell r="M5120" t="str">
            <v/>
          </cell>
        </row>
        <row r="5121">
          <cell r="A5121">
            <v>31102192</v>
          </cell>
          <cell r="C5121">
            <v>31102192</v>
          </cell>
          <cell r="D5121">
            <v>31102192</v>
          </cell>
          <cell r="E5121">
            <v>31102192</v>
          </cell>
          <cell r="F5121">
            <v>31102192</v>
          </cell>
          <cell r="G5121">
            <v>31102192</v>
          </cell>
          <cell r="H5121">
            <v>31102192</v>
          </cell>
          <cell r="I5121" t="str">
            <v/>
          </cell>
          <cell r="J5121" t="str">
            <v/>
          </cell>
          <cell r="K5121" t="str">
            <v/>
          </cell>
          <cell r="L5121" t="str">
            <v/>
          </cell>
          <cell r="M5121" t="str">
            <v/>
          </cell>
        </row>
        <row r="5122">
          <cell r="A5122">
            <v>31102192</v>
          </cell>
          <cell r="C5122">
            <v>31102192</v>
          </cell>
          <cell r="D5122">
            <v>31102192</v>
          </cell>
          <cell r="E5122">
            <v>31102192</v>
          </cell>
          <cell r="F5122">
            <v>31102192</v>
          </cell>
          <cell r="G5122">
            <v>31102192</v>
          </cell>
          <cell r="H5122">
            <v>31102192</v>
          </cell>
          <cell r="I5122" t="str">
            <v/>
          </cell>
          <cell r="J5122" t="str">
            <v/>
          </cell>
          <cell r="K5122" t="str">
            <v/>
          </cell>
          <cell r="L5122" t="str">
            <v/>
          </cell>
          <cell r="M5122" t="str">
            <v/>
          </cell>
        </row>
        <row r="5123">
          <cell r="A5123">
            <v>31102192</v>
          </cell>
          <cell r="C5123">
            <v>31102192</v>
          </cell>
          <cell r="D5123">
            <v>31102192</v>
          </cell>
          <cell r="E5123">
            <v>31102192</v>
          </cell>
          <cell r="F5123">
            <v>31102192</v>
          </cell>
          <cell r="G5123">
            <v>31102192</v>
          </cell>
          <cell r="H5123">
            <v>31102192</v>
          </cell>
          <cell r="I5123" t="str">
            <v/>
          </cell>
          <cell r="J5123" t="str">
            <v/>
          </cell>
          <cell r="K5123" t="str">
            <v/>
          </cell>
          <cell r="L5123" t="str">
            <v/>
          </cell>
          <cell r="M5123" t="str">
            <v/>
          </cell>
        </row>
        <row r="5124">
          <cell r="A5124">
            <v>31102192</v>
          </cell>
          <cell r="C5124">
            <v>31102192</v>
          </cell>
          <cell r="D5124">
            <v>31102192</v>
          </cell>
          <cell r="E5124">
            <v>31102192</v>
          </cell>
          <cell r="F5124">
            <v>31102192</v>
          </cell>
          <cell r="G5124">
            <v>31102192</v>
          </cell>
          <cell r="H5124">
            <v>31102192</v>
          </cell>
          <cell r="I5124" t="str">
            <v/>
          </cell>
          <cell r="J5124" t="str">
            <v/>
          </cell>
          <cell r="K5124" t="str">
            <v/>
          </cell>
          <cell r="L5124" t="str">
            <v/>
          </cell>
          <cell r="M5124" t="str">
            <v/>
          </cell>
        </row>
        <row r="5125">
          <cell r="A5125">
            <v>31102192</v>
          </cell>
          <cell r="C5125">
            <v>31102192</v>
          </cell>
          <cell r="D5125">
            <v>31102192</v>
          </cell>
          <cell r="E5125">
            <v>31102192</v>
          </cell>
          <cell r="F5125">
            <v>31102192</v>
          </cell>
          <cell r="G5125">
            <v>31102192</v>
          </cell>
          <cell r="H5125">
            <v>31102192</v>
          </cell>
          <cell r="I5125" t="str">
            <v/>
          </cell>
          <cell r="J5125" t="str">
            <v/>
          </cell>
          <cell r="K5125" t="str">
            <v/>
          </cell>
          <cell r="L5125" t="str">
            <v/>
          </cell>
          <cell r="M5125" t="str">
            <v/>
          </cell>
        </row>
        <row r="5126">
          <cell r="A5126">
            <v>31102192</v>
          </cell>
          <cell r="C5126">
            <v>31102192</v>
          </cell>
          <cell r="D5126">
            <v>31102192</v>
          </cell>
          <cell r="E5126">
            <v>31102192</v>
          </cell>
          <cell r="F5126">
            <v>31102192</v>
          </cell>
          <cell r="G5126">
            <v>31102192</v>
          </cell>
          <cell r="H5126">
            <v>31102192</v>
          </cell>
          <cell r="I5126" t="str">
            <v/>
          </cell>
          <cell r="J5126" t="str">
            <v/>
          </cell>
          <cell r="K5126" t="str">
            <v/>
          </cell>
          <cell r="L5126" t="str">
            <v/>
          </cell>
          <cell r="M5126" t="str">
            <v/>
          </cell>
        </row>
        <row r="5127">
          <cell r="A5127">
            <v>31102192</v>
          </cell>
          <cell r="C5127">
            <v>31102192</v>
          </cell>
          <cell r="D5127">
            <v>31102192</v>
          </cell>
          <cell r="E5127">
            <v>31102192</v>
          </cell>
          <cell r="F5127">
            <v>31102192</v>
          </cell>
          <cell r="G5127">
            <v>31102192</v>
          </cell>
          <cell r="H5127">
            <v>31102192</v>
          </cell>
          <cell r="I5127" t="str">
            <v/>
          </cell>
          <cell r="J5127" t="str">
            <v/>
          </cell>
          <cell r="K5127" t="str">
            <v/>
          </cell>
          <cell r="L5127" t="str">
            <v/>
          </cell>
          <cell r="M5127" t="str">
            <v/>
          </cell>
        </row>
        <row r="5128">
          <cell r="A5128">
            <v>31102192</v>
          </cell>
          <cell r="C5128">
            <v>31102192</v>
          </cell>
          <cell r="D5128">
            <v>31102192</v>
          </cell>
          <cell r="E5128">
            <v>31102192</v>
          </cell>
          <cell r="F5128">
            <v>31102192</v>
          </cell>
          <cell r="G5128">
            <v>31102192</v>
          </cell>
          <cell r="H5128">
            <v>31102192</v>
          </cell>
          <cell r="I5128" t="str">
            <v/>
          </cell>
          <cell r="J5128" t="str">
            <v/>
          </cell>
          <cell r="K5128" t="str">
            <v/>
          </cell>
          <cell r="L5128" t="str">
            <v/>
          </cell>
          <cell r="M5128" t="str">
            <v/>
          </cell>
        </row>
        <row r="5129">
          <cell r="A5129">
            <v>31102192</v>
          </cell>
          <cell r="C5129">
            <v>31102192</v>
          </cell>
          <cell r="D5129">
            <v>31102192</v>
          </cell>
          <cell r="E5129">
            <v>31102192</v>
          </cell>
          <cell r="F5129">
            <v>31102192</v>
          </cell>
          <cell r="G5129">
            <v>31102192</v>
          </cell>
          <cell r="H5129">
            <v>31102192</v>
          </cell>
          <cell r="I5129" t="str">
            <v/>
          </cell>
          <cell r="J5129" t="str">
            <v/>
          </cell>
          <cell r="K5129" t="str">
            <v/>
          </cell>
          <cell r="L5129" t="str">
            <v/>
          </cell>
          <cell r="M5129" t="str">
            <v/>
          </cell>
        </row>
        <row r="5130">
          <cell r="A5130">
            <v>31102192</v>
          </cell>
          <cell r="C5130">
            <v>31102192</v>
          </cell>
          <cell r="D5130">
            <v>31102192</v>
          </cell>
          <cell r="E5130">
            <v>31102192</v>
          </cell>
          <cell r="F5130">
            <v>31102192</v>
          </cell>
          <cell r="G5130">
            <v>31102192</v>
          </cell>
          <cell r="H5130">
            <v>31102192</v>
          </cell>
          <cell r="I5130" t="str">
            <v/>
          </cell>
          <cell r="J5130" t="str">
            <v/>
          </cell>
          <cell r="K5130" t="str">
            <v/>
          </cell>
          <cell r="L5130" t="str">
            <v/>
          </cell>
          <cell r="M5130" t="str">
            <v/>
          </cell>
        </row>
        <row r="5131">
          <cell r="A5131">
            <v>31102192</v>
          </cell>
          <cell r="C5131">
            <v>31102192</v>
          </cell>
          <cell r="D5131">
            <v>31102192</v>
          </cell>
          <cell r="E5131">
            <v>31102192</v>
          </cell>
          <cell r="F5131">
            <v>31102192</v>
          </cell>
          <cell r="G5131">
            <v>31102192</v>
          </cell>
          <cell r="H5131">
            <v>31102192</v>
          </cell>
          <cell r="I5131" t="str">
            <v/>
          </cell>
          <cell r="J5131" t="str">
            <v/>
          </cell>
          <cell r="K5131" t="str">
            <v/>
          </cell>
          <cell r="L5131" t="str">
            <v/>
          </cell>
          <cell r="M5131" t="str">
            <v/>
          </cell>
        </row>
        <row r="5132">
          <cell r="A5132">
            <v>31102192</v>
          </cell>
          <cell r="C5132">
            <v>31102192</v>
          </cell>
          <cell r="D5132">
            <v>31102192</v>
          </cell>
          <cell r="E5132">
            <v>31102192</v>
          </cell>
          <cell r="F5132">
            <v>31102192</v>
          </cell>
          <cell r="G5132">
            <v>31102192</v>
          </cell>
          <cell r="H5132">
            <v>31102192</v>
          </cell>
          <cell r="I5132" t="str">
            <v/>
          </cell>
          <cell r="J5132" t="str">
            <v/>
          </cell>
          <cell r="K5132" t="str">
            <v/>
          </cell>
          <cell r="L5132" t="str">
            <v/>
          </cell>
          <cell r="M5132" t="str">
            <v/>
          </cell>
        </row>
        <row r="5133">
          <cell r="A5133">
            <v>31102192</v>
          </cell>
          <cell r="C5133">
            <v>31102192</v>
          </cell>
          <cell r="D5133">
            <v>31102192</v>
          </cell>
          <cell r="E5133">
            <v>31102192</v>
          </cell>
          <cell r="F5133">
            <v>31102192</v>
          </cell>
          <cell r="G5133">
            <v>31102192</v>
          </cell>
          <cell r="H5133">
            <v>31102192</v>
          </cell>
          <cell r="I5133" t="str">
            <v/>
          </cell>
          <cell r="J5133" t="str">
            <v/>
          </cell>
          <cell r="K5133" t="str">
            <v/>
          </cell>
          <cell r="L5133" t="str">
            <v/>
          </cell>
          <cell r="M5133" t="str">
            <v/>
          </cell>
        </row>
        <row r="5134">
          <cell r="A5134">
            <v>31102192</v>
          </cell>
          <cell r="C5134">
            <v>31102192</v>
          </cell>
          <cell r="D5134">
            <v>31102192</v>
          </cell>
          <cell r="E5134">
            <v>31102192</v>
          </cell>
          <cell r="F5134">
            <v>31102192</v>
          </cell>
          <cell r="G5134">
            <v>31102192</v>
          </cell>
          <cell r="H5134">
            <v>31102192</v>
          </cell>
          <cell r="I5134" t="str">
            <v/>
          </cell>
          <cell r="J5134" t="str">
            <v/>
          </cell>
          <cell r="K5134" t="str">
            <v/>
          </cell>
          <cell r="L5134" t="str">
            <v/>
          </cell>
          <cell r="M5134" t="str">
            <v/>
          </cell>
        </row>
        <row r="5135">
          <cell r="A5135">
            <v>31102192</v>
          </cell>
          <cell r="C5135">
            <v>31102192</v>
          </cell>
          <cell r="D5135">
            <v>31102192</v>
          </cell>
          <cell r="E5135">
            <v>31102192</v>
          </cell>
          <cell r="F5135">
            <v>31102192</v>
          </cell>
          <cell r="G5135">
            <v>31102192</v>
          </cell>
          <cell r="H5135">
            <v>31102192</v>
          </cell>
          <cell r="I5135" t="str">
            <v/>
          </cell>
          <cell r="J5135" t="str">
            <v/>
          </cell>
          <cell r="K5135" t="str">
            <v/>
          </cell>
          <cell r="L5135" t="str">
            <v/>
          </cell>
          <cell r="M5135" t="str">
            <v/>
          </cell>
        </row>
        <row r="5136">
          <cell r="A5136">
            <v>31102192</v>
          </cell>
          <cell r="C5136">
            <v>31102192</v>
          </cell>
          <cell r="D5136">
            <v>31102192</v>
          </cell>
          <cell r="E5136">
            <v>31102192</v>
          </cell>
          <cell r="F5136">
            <v>31102192</v>
          </cell>
          <cell r="G5136">
            <v>31102192</v>
          </cell>
          <cell r="H5136">
            <v>31102192</v>
          </cell>
          <cell r="I5136" t="str">
            <v/>
          </cell>
          <cell r="J5136" t="str">
            <v/>
          </cell>
          <cell r="K5136" t="str">
            <v/>
          </cell>
          <cell r="L5136" t="str">
            <v/>
          </cell>
          <cell r="M5136" t="str">
            <v/>
          </cell>
        </row>
        <row r="5137">
          <cell r="A5137">
            <v>31102192</v>
          </cell>
          <cell r="C5137">
            <v>31102192</v>
          </cell>
          <cell r="D5137">
            <v>31102192</v>
          </cell>
          <cell r="E5137">
            <v>31102192</v>
          </cell>
          <cell r="F5137">
            <v>31102192</v>
          </cell>
          <cell r="G5137">
            <v>31102192</v>
          </cell>
          <cell r="H5137">
            <v>31102192</v>
          </cell>
          <cell r="I5137" t="str">
            <v/>
          </cell>
          <cell r="J5137" t="str">
            <v/>
          </cell>
          <cell r="K5137" t="str">
            <v/>
          </cell>
          <cell r="L5137" t="str">
            <v/>
          </cell>
          <cell r="M5137" t="str">
            <v/>
          </cell>
        </row>
        <row r="5138">
          <cell r="A5138">
            <v>31102192</v>
          </cell>
          <cell r="C5138">
            <v>31102192</v>
          </cell>
          <cell r="D5138">
            <v>31102192</v>
          </cell>
          <cell r="E5138">
            <v>31102192</v>
          </cell>
          <cell r="F5138">
            <v>31102192</v>
          </cell>
          <cell r="G5138">
            <v>31102192</v>
          </cell>
          <cell r="H5138">
            <v>31102192</v>
          </cell>
          <cell r="I5138" t="str">
            <v/>
          </cell>
          <cell r="J5138" t="str">
            <v/>
          </cell>
          <cell r="K5138" t="str">
            <v/>
          </cell>
          <cell r="L5138" t="str">
            <v/>
          </cell>
          <cell r="M5138" t="str">
            <v/>
          </cell>
        </row>
        <row r="5139">
          <cell r="A5139">
            <v>31102192</v>
          </cell>
          <cell r="C5139">
            <v>31102192</v>
          </cell>
          <cell r="D5139">
            <v>31102192</v>
          </cell>
          <cell r="E5139">
            <v>31102192</v>
          </cell>
          <cell r="F5139">
            <v>31102192</v>
          </cell>
          <cell r="G5139">
            <v>31102192</v>
          </cell>
          <cell r="H5139">
            <v>31102192</v>
          </cell>
          <cell r="I5139" t="str">
            <v/>
          </cell>
          <cell r="J5139" t="str">
            <v/>
          </cell>
          <cell r="K5139" t="str">
            <v/>
          </cell>
          <cell r="L5139" t="str">
            <v/>
          </cell>
          <cell r="M5139" t="str">
            <v/>
          </cell>
        </row>
        <row r="5140">
          <cell r="A5140">
            <v>31102192</v>
          </cell>
          <cell r="C5140">
            <v>31102192</v>
          </cell>
          <cell r="D5140">
            <v>31102192</v>
          </cell>
          <cell r="E5140">
            <v>31102192</v>
          </cell>
          <cell r="F5140">
            <v>31102192</v>
          </cell>
          <cell r="G5140">
            <v>31102192</v>
          </cell>
          <cell r="H5140">
            <v>31102192</v>
          </cell>
          <cell r="I5140" t="str">
            <v/>
          </cell>
          <cell r="J5140" t="str">
            <v/>
          </cell>
          <cell r="K5140" t="str">
            <v/>
          </cell>
          <cell r="L5140" t="str">
            <v/>
          </cell>
          <cell r="M5140" t="str">
            <v/>
          </cell>
        </row>
        <row r="5141">
          <cell r="A5141">
            <v>31102192</v>
          </cell>
          <cell r="C5141">
            <v>31102192</v>
          </cell>
          <cell r="D5141">
            <v>31102192</v>
          </cell>
          <cell r="E5141">
            <v>31102192</v>
          </cell>
          <cell r="F5141">
            <v>31102192</v>
          </cell>
          <cell r="G5141">
            <v>31102192</v>
          </cell>
          <cell r="H5141">
            <v>31102192</v>
          </cell>
          <cell r="I5141" t="str">
            <v/>
          </cell>
          <cell r="J5141" t="str">
            <v/>
          </cell>
          <cell r="K5141" t="str">
            <v/>
          </cell>
          <cell r="L5141" t="str">
            <v/>
          </cell>
          <cell r="M5141" t="str">
            <v/>
          </cell>
        </row>
        <row r="5142">
          <cell r="A5142">
            <v>31102192</v>
          </cell>
          <cell r="C5142">
            <v>31102192</v>
          </cell>
          <cell r="D5142">
            <v>31102192</v>
          </cell>
          <cell r="E5142">
            <v>31102192</v>
          </cell>
          <cell r="F5142">
            <v>31102192</v>
          </cell>
          <cell r="G5142">
            <v>31102192</v>
          </cell>
          <cell r="H5142">
            <v>31102192</v>
          </cell>
          <cell r="I5142" t="str">
            <v/>
          </cell>
          <cell r="J5142" t="str">
            <v/>
          </cell>
          <cell r="K5142" t="str">
            <v/>
          </cell>
          <cell r="L5142" t="str">
            <v/>
          </cell>
          <cell r="M5142" t="str">
            <v/>
          </cell>
        </row>
        <row r="5143">
          <cell r="A5143">
            <v>31102192</v>
          </cell>
          <cell r="C5143">
            <v>31102192</v>
          </cell>
          <cell r="D5143">
            <v>31102192</v>
          </cell>
          <cell r="E5143">
            <v>31102192</v>
          </cell>
          <cell r="F5143">
            <v>31102192</v>
          </cell>
          <cell r="G5143">
            <v>31102192</v>
          </cell>
          <cell r="H5143">
            <v>31102192</v>
          </cell>
          <cell r="I5143" t="str">
            <v/>
          </cell>
          <cell r="J5143" t="str">
            <v/>
          </cell>
          <cell r="K5143" t="str">
            <v/>
          </cell>
          <cell r="L5143" t="str">
            <v/>
          </cell>
          <cell r="M5143" t="str">
            <v/>
          </cell>
        </row>
        <row r="5144">
          <cell r="A5144">
            <v>31102192</v>
          </cell>
          <cell r="C5144">
            <v>31102192</v>
          </cell>
          <cell r="D5144">
            <v>31102192</v>
          </cell>
          <cell r="E5144">
            <v>31102192</v>
          </cell>
          <cell r="F5144">
            <v>31102192</v>
          </cell>
          <cell r="G5144">
            <v>31102192</v>
          </cell>
          <cell r="H5144">
            <v>31102192</v>
          </cell>
          <cell r="I5144" t="str">
            <v/>
          </cell>
          <cell r="J5144" t="str">
            <v/>
          </cell>
          <cell r="K5144" t="str">
            <v/>
          </cell>
          <cell r="L5144" t="str">
            <v/>
          </cell>
          <cell r="M5144" t="str">
            <v/>
          </cell>
        </row>
        <row r="5145">
          <cell r="A5145">
            <v>31102192</v>
          </cell>
          <cell r="C5145">
            <v>31102192</v>
          </cell>
          <cell r="D5145">
            <v>31102192</v>
          </cell>
          <cell r="E5145">
            <v>31102192</v>
          </cell>
          <cell r="F5145">
            <v>31102192</v>
          </cell>
          <cell r="G5145">
            <v>31102192</v>
          </cell>
          <cell r="H5145">
            <v>31102192</v>
          </cell>
          <cell r="I5145" t="str">
            <v/>
          </cell>
          <cell r="J5145" t="str">
            <v/>
          </cell>
          <cell r="K5145" t="str">
            <v/>
          </cell>
          <cell r="L5145" t="str">
            <v/>
          </cell>
          <cell r="M5145" t="str">
            <v/>
          </cell>
        </row>
        <row r="5146">
          <cell r="A5146">
            <v>31102192</v>
          </cell>
          <cell r="C5146">
            <v>31102192</v>
          </cell>
          <cell r="D5146">
            <v>31102192</v>
          </cell>
          <cell r="E5146">
            <v>31102192</v>
          </cell>
          <cell r="F5146">
            <v>31102192</v>
          </cell>
          <cell r="G5146">
            <v>31102192</v>
          </cell>
          <cell r="H5146">
            <v>31102192</v>
          </cell>
          <cell r="I5146" t="str">
            <v/>
          </cell>
          <cell r="J5146" t="str">
            <v/>
          </cell>
          <cell r="K5146" t="str">
            <v/>
          </cell>
          <cell r="L5146" t="str">
            <v/>
          </cell>
          <cell r="M5146" t="str">
            <v/>
          </cell>
        </row>
        <row r="5147">
          <cell r="A5147">
            <v>31102192</v>
          </cell>
          <cell r="C5147">
            <v>31102192</v>
          </cell>
          <cell r="D5147">
            <v>31102192</v>
          </cell>
          <cell r="E5147">
            <v>31102192</v>
          </cell>
          <cell r="F5147">
            <v>31102192</v>
          </cell>
          <cell r="G5147">
            <v>31102192</v>
          </cell>
          <cell r="H5147">
            <v>31102192</v>
          </cell>
          <cell r="I5147" t="str">
            <v/>
          </cell>
          <cell r="J5147" t="str">
            <v/>
          </cell>
          <cell r="K5147" t="str">
            <v/>
          </cell>
          <cell r="L5147" t="str">
            <v/>
          </cell>
          <cell r="M5147" t="str">
            <v/>
          </cell>
        </row>
        <row r="5148">
          <cell r="A5148">
            <v>31102192</v>
          </cell>
          <cell r="C5148">
            <v>31102192</v>
          </cell>
          <cell r="D5148">
            <v>31102192</v>
          </cell>
          <cell r="E5148">
            <v>31102192</v>
          </cell>
          <cell r="F5148">
            <v>31102192</v>
          </cell>
          <cell r="G5148">
            <v>31102192</v>
          </cell>
          <cell r="H5148">
            <v>31102192</v>
          </cell>
          <cell r="I5148" t="str">
            <v/>
          </cell>
          <cell r="J5148" t="str">
            <v/>
          </cell>
          <cell r="K5148" t="str">
            <v/>
          </cell>
          <cell r="L5148" t="str">
            <v/>
          </cell>
          <cell r="M5148" t="str">
            <v/>
          </cell>
        </row>
        <row r="5149">
          <cell r="A5149">
            <v>31102192</v>
          </cell>
          <cell r="C5149">
            <v>31102192</v>
          </cell>
          <cell r="D5149">
            <v>31102192</v>
          </cell>
          <cell r="E5149">
            <v>31102192</v>
          </cell>
          <cell r="F5149">
            <v>31102192</v>
          </cell>
          <cell r="G5149">
            <v>31102192</v>
          </cell>
          <cell r="H5149">
            <v>31102192</v>
          </cell>
          <cell r="I5149" t="str">
            <v/>
          </cell>
          <cell r="J5149" t="str">
            <v/>
          </cell>
          <cell r="K5149" t="str">
            <v/>
          </cell>
          <cell r="L5149" t="str">
            <v/>
          </cell>
          <cell r="M5149" t="str">
            <v/>
          </cell>
        </row>
        <row r="5150">
          <cell r="A5150">
            <v>31102192</v>
          </cell>
          <cell r="C5150">
            <v>31102192</v>
          </cell>
          <cell r="D5150">
            <v>31102192</v>
          </cell>
          <cell r="E5150">
            <v>31102192</v>
          </cell>
          <cell r="F5150">
            <v>31102192</v>
          </cell>
          <cell r="G5150">
            <v>31102192</v>
          </cell>
          <cell r="H5150">
            <v>31102192</v>
          </cell>
          <cell r="I5150" t="str">
            <v/>
          </cell>
          <cell r="J5150" t="str">
            <v/>
          </cell>
          <cell r="K5150" t="str">
            <v/>
          </cell>
          <cell r="L5150" t="str">
            <v/>
          </cell>
          <cell r="M5150" t="str">
            <v/>
          </cell>
        </row>
        <row r="5151">
          <cell r="A5151">
            <v>31102192</v>
          </cell>
          <cell r="C5151">
            <v>31102192</v>
          </cell>
          <cell r="D5151">
            <v>31102192</v>
          </cell>
          <cell r="E5151">
            <v>31102192</v>
          </cell>
          <cell r="F5151">
            <v>31102192</v>
          </cell>
          <cell r="G5151">
            <v>31102192</v>
          </cell>
          <cell r="H5151">
            <v>31102192</v>
          </cell>
          <cell r="I5151" t="str">
            <v/>
          </cell>
          <cell r="J5151" t="str">
            <v/>
          </cell>
          <cell r="K5151" t="str">
            <v/>
          </cell>
          <cell r="L5151" t="str">
            <v/>
          </cell>
          <cell r="M5151" t="str">
            <v/>
          </cell>
        </row>
        <row r="5152">
          <cell r="A5152">
            <v>31102192</v>
          </cell>
          <cell r="C5152">
            <v>31102192</v>
          </cell>
          <cell r="D5152">
            <v>31102192</v>
          </cell>
          <cell r="E5152">
            <v>31102192</v>
          </cell>
          <cell r="F5152">
            <v>31102192</v>
          </cell>
          <cell r="G5152">
            <v>31102192</v>
          </cell>
          <cell r="H5152">
            <v>31102192</v>
          </cell>
          <cell r="I5152" t="str">
            <v/>
          </cell>
          <cell r="J5152" t="str">
            <v/>
          </cell>
          <cell r="K5152" t="str">
            <v/>
          </cell>
          <cell r="L5152" t="str">
            <v/>
          </cell>
          <cell r="M5152" t="str">
            <v/>
          </cell>
        </row>
        <row r="5153">
          <cell r="A5153">
            <v>31102192</v>
          </cell>
          <cell r="C5153">
            <v>31102192</v>
          </cell>
          <cell r="D5153">
            <v>31102192</v>
          </cell>
          <cell r="E5153">
            <v>31102192</v>
          </cell>
          <cell r="F5153">
            <v>31102192</v>
          </cell>
          <cell r="G5153">
            <v>31102192</v>
          </cell>
          <cell r="H5153">
            <v>31102192</v>
          </cell>
          <cell r="I5153" t="str">
            <v/>
          </cell>
          <cell r="J5153" t="str">
            <v/>
          </cell>
          <cell r="K5153" t="str">
            <v/>
          </cell>
          <cell r="L5153" t="str">
            <v/>
          </cell>
          <cell r="M5153" t="str">
            <v/>
          </cell>
        </row>
        <row r="5154">
          <cell r="A5154">
            <v>31102192</v>
          </cell>
          <cell r="C5154">
            <v>31102192</v>
          </cell>
          <cell r="D5154">
            <v>31102192</v>
          </cell>
          <cell r="E5154">
            <v>31102192</v>
          </cell>
          <cell r="F5154">
            <v>31102192</v>
          </cell>
          <cell r="G5154">
            <v>31102192</v>
          </cell>
          <cell r="H5154">
            <v>31102192</v>
          </cell>
          <cell r="I5154" t="str">
            <v/>
          </cell>
          <cell r="J5154" t="str">
            <v/>
          </cell>
          <cell r="K5154" t="str">
            <v/>
          </cell>
          <cell r="L5154" t="str">
            <v/>
          </cell>
          <cell r="M5154" t="str">
            <v/>
          </cell>
        </row>
        <row r="5155">
          <cell r="A5155">
            <v>31102192</v>
          </cell>
          <cell r="C5155">
            <v>31102192</v>
          </cell>
          <cell r="D5155">
            <v>31102192</v>
          </cell>
          <cell r="E5155">
            <v>31102192</v>
          </cell>
          <cell r="F5155">
            <v>31102192</v>
          </cell>
          <cell r="G5155">
            <v>31102192</v>
          </cell>
          <cell r="H5155">
            <v>31102192</v>
          </cell>
          <cell r="I5155" t="str">
            <v/>
          </cell>
          <cell r="J5155" t="str">
            <v/>
          </cell>
          <cell r="K5155" t="str">
            <v/>
          </cell>
          <cell r="L5155" t="str">
            <v/>
          </cell>
          <cell r="M5155" t="str">
            <v/>
          </cell>
        </row>
        <row r="5156">
          <cell r="A5156">
            <v>31102192</v>
          </cell>
          <cell r="C5156">
            <v>31102192</v>
          </cell>
          <cell r="D5156">
            <v>31102192</v>
          </cell>
          <cell r="E5156">
            <v>31102192</v>
          </cell>
          <cell r="F5156">
            <v>31102192</v>
          </cell>
          <cell r="G5156">
            <v>31102192</v>
          </cell>
          <cell r="H5156">
            <v>31102192</v>
          </cell>
          <cell r="I5156" t="str">
            <v/>
          </cell>
          <cell r="J5156" t="str">
            <v/>
          </cell>
          <cell r="K5156" t="str">
            <v/>
          </cell>
          <cell r="L5156" t="str">
            <v/>
          </cell>
          <cell r="M5156" t="str">
            <v/>
          </cell>
        </row>
        <row r="5157">
          <cell r="A5157">
            <v>31102192</v>
          </cell>
          <cell r="C5157">
            <v>31102192</v>
          </cell>
          <cell r="D5157">
            <v>31102192</v>
          </cell>
          <cell r="E5157">
            <v>31102192</v>
          </cell>
          <cell r="F5157">
            <v>31102192</v>
          </cell>
          <cell r="G5157">
            <v>31102192</v>
          </cell>
          <cell r="H5157">
            <v>31102192</v>
          </cell>
          <cell r="I5157" t="str">
            <v/>
          </cell>
          <cell r="J5157" t="str">
            <v/>
          </cell>
          <cell r="K5157" t="str">
            <v/>
          </cell>
          <cell r="L5157" t="str">
            <v/>
          </cell>
          <cell r="M5157" t="str">
            <v/>
          </cell>
        </row>
        <row r="5158">
          <cell r="A5158">
            <v>31102192</v>
          </cell>
          <cell r="C5158">
            <v>31102192</v>
          </cell>
          <cell r="D5158">
            <v>31102192</v>
          </cell>
          <cell r="E5158">
            <v>31102192</v>
          </cell>
          <cell r="F5158">
            <v>31102192</v>
          </cell>
          <cell r="G5158">
            <v>31102192</v>
          </cell>
          <cell r="H5158">
            <v>31102192</v>
          </cell>
          <cell r="I5158" t="str">
            <v/>
          </cell>
          <cell r="J5158" t="str">
            <v/>
          </cell>
          <cell r="K5158" t="str">
            <v/>
          </cell>
          <cell r="L5158" t="str">
            <v/>
          </cell>
          <cell r="M5158" t="str">
            <v/>
          </cell>
        </row>
        <row r="5159">
          <cell r="A5159">
            <v>31102192</v>
          </cell>
          <cell r="C5159">
            <v>31102192</v>
          </cell>
          <cell r="D5159">
            <v>31102192</v>
          </cell>
          <cell r="E5159">
            <v>31102192</v>
          </cell>
          <cell r="F5159">
            <v>31102192</v>
          </cell>
          <cell r="G5159">
            <v>31102192</v>
          </cell>
          <cell r="H5159">
            <v>31102192</v>
          </cell>
          <cell r="I5159" t="str">
            <v/>
          </cell>
          <cell r="J5159" t="str">
            <v/>
          </cell>
          <cell r="K5159" t="str">
            <v/>
          </cell>
          <cell r="L5159" t="str">
            <v/>
          </cell>
          <cell r="M5159" t="str">
            <v/>
          </cell>
        </row>
        <row r="5160">
          <cell r="A5160">
            <v>31102192</v>
          </cell>
          <cell r="C5160">
            <v>31102192</v>
          </cell>
          <cell r="D5160">
            <v>31102192</v>
          </cell>
          <cell r="E5160">
            <v>31102192</v>
          </cell>
          <cell r="F5160">
            <v>31102192</v>
          </cell>
          <cell r="G5160">
            <v>31102192</v>
          </cell>
          <cell r="H5160">
            <v>31102192</v>
          </cell>
          <cell r="I5160" t="str">
            <v/>
          </cell>
          <cell r="J5160" t="str">
            <v/>
          </cell>
          <cell r="K5160" t="str">
            <v/>
          </cell>
          <cell r="L5160" t="str">
            <v/>
          </cell>
          <cell r="M5160" t="str">
            <v/>
          </cell>
        </row>
        <row r="5161">
          <cell r="A5161">
            <v>31102192</v>
          </cell>
          <cell r="C5161">
            <v>31102192</v>
          </cell>
          <cell r="D5161">
            <v>31102192</v>
          </cell>
          <cell r="E5161">
            <v>31102192</v>
          </cell>
          <cell r="F5161">
            <v>31102192</v>
          </cell>
          <cell r="G5161">
            <v>31102192</v>
          </cell>
          <cell r="H5161">
            <v>31102192</v>
          </cell>
          <cell r="I5161" t="str">
            <v/>
          </cell>
          <cell r="J5161" t="str">
            <v/>
          </cell>
          <cell r="K5161" t="str">
            <v/>
          </cell>
          <cell r="L5161" t="str">
            <v/>
          </cell>
          <cell r="M5161" t="str">
            <v/>
          </cell>
        </row>
        <row r="5162">
          <cell r="A5162">
            <v>31102192</v>
          </cell>
          <cell r="C5162">
            <v>31102192</v>
          </cell>
          <cell r="D5162">
            <v>31102192</v>
          </cell>
          <cell r="E5162">
            <v>31102192</v>
          </cell>
          <cell r="F5162">
            <v>31102192</v>
          </cell>
          <cell r="G5162">
            <v>31102192</v>
          </cell>
          <cell r="H5162">
            <v>31102192</v>
          </cell>
          <cell r="I5162" t="str">
            <v/>
          </cell>
          <cell r="J5162" t="str">
            <v/>
          </cell>
          <cell r="K5162" t="str">
            <v/>
          </cell>
          <cell r="L5162" t="str">
            <v/>
          </cell>
          <cell r="M5162" t="str">
            <v/>
          </cell>
        </row>
        <row r="5163">
          <cell r="A5163">
            <v>31102192</v>
          </cell>
          <cell r="C5163">
            <v>31102192</v>
          </cell>
          <cell r="D5163">
            <v>31102192</v>
          </cell>
          <cell r="E5163">
            <v>31102192</v>
          </cell>
          <cell r="F5163">
            <v>31102192</v>
          </cell>
          <cell r="G5163">
            <v>31102192</v>
          </cell>
          <cell r="H5163">
            <v>31102192</v>
          </cell>
          <cell r="I5163" t="str">
            <v/>
          </cell>
          <cell r="J5163" t="str">
            <v/>
          </cell>
          <cell r="K5163" t="str">
            <v/>
          </cell>
          <cell r="L5163" t="str">
            <v/>
          </cell>
          <cell r="M5163" t="str">
            <v/>
          </cell>
        </row>
        <row r="5164">
          <cell r="A5164">
            <v>31102192</v>
          </cell>
          <cell r="C5164">
            <v>31102192</v>
          </cell>
          <cell r="D5164">
            <v>31102192</v>
          </cell>
          <cell r="E5164">
            <v>31102192</v>
          </cell>
          <cell r="F5164">
            <v>31102192</v>
          </cell>
          <cell r="G5164">
            <v>31102192</v>
          </cell>
          <cell r="H5164">
            <v>31102192</v>
          </cell>
          <cell r="I5164" t="str">
            <v/>
          </cell>
          <cell r="J5164" t="str">
            <v/>
          </cell>
          <cell r="K5164" t="str">
            <v/>
          </cell>
          <cell r="L5164" t="str">
            <v/>
          </cell>
          <cell r="M5164" t="str">
            <v/>
          </cell>
        </row>
        <row r="5165">
          <cell r="A5165">
            <v>31102192</v>
          </cell>
          <cell r="C5165">
            <v>31102192</v>
          </cell>
          <cell r="D5165">
            <v>31102192</v>
          </cell>
          <cell r="E5165">
            <v>31102192</v>
          </cell>
          <cell r="F5165">
            <v>31102192</v>
          </cell>
          <cell r="G5165">
            <v>31102192</v>
          </cell>
          <cell r="H5165">
            <v>31102192</v>
          </cell>
          <cell r="I5165" t="str">
            <v/>
          </cell>
          <cell r="J5165" t="str">
            <v/>
          </cell>
          <cell r="K5165" t="str">
            <v/>
          </cell>
          <cell r="L5165" t="str">
            <v/>
          </cell>
          <cell r="M5165" t="str">
            <v/>
          </cell>
        </row>
        <row r="5166">
          <cell r="A5166">
            <v>31102192</v>
          </cell>
          <cell r="C5166">
            <v>31102192</v>
          </cell>
          <cell r="D5166">
            <v>31102192</v>
          </cell>
          <cell r="E5166">
            <v>31102192</v>
          </cell>
          <cell r="F5166">
            <v>31102192</v>
          </cell>
          <cell r="G5166">
            <v>31102192</v>
          </cell>
          <cell r="H5166">
            <v>31102192</v>
          </cell>
          <cell r="I5166" t="str">
            <v/>
          </cell>
          <cell r="J5166" t="str">
            <v/>
          </cell>
          <cell r="K5166" t="str">
            <v/>
          </cell>
          <cell r="L5166" t="str">
            <v/>
          </cell>
          <cell r="M5166" t="str">
            <v/>
          </cell>
        </row>
        <row r="5167">
          <cell r="A5167">
            <v>31102192</v>
          </cell>
          <cell r="C5167">
            <v>31102192</v>
          </cell>
          <cell r="D5167">
            <v>31102192</v>
          </cell>
          <cell r="E5167">
            <v>31102192</v>
          </cell>
          <cell r="F5167">
            <v>31102192</v>
          </cell>
          <cell r="G5167">
            <v>31102192</v>
          </cell>
          <cell r="H5167">
            <v>31102192</v>
          </cell>
          <cell r="I5167" t="str">
            <v/>
          </cell>
          <cell r="J5167" t="str">
            <v/>
          </cell>
          <cell r="K5167" t="str">
            <v/>
          </cell>
          <cell r="L5167" t="str">
            <v/>
          </cell>
          <cell r="M5167" t="str">
            <v/>
          </cell>
        </row>
        <row r="5168">
          <cell r="A5168">
            <v>31102192</v>
          </cell>
          <cell r="C5168">
            <v>31102192</v>
          </cell>
          <cell r="D5168">
            <v>31102192</v>
          </cell>
          <cell r="E5168">
            <v>31102192</v>
          </cell>
          <cell r="F5168">
            <v>31102192</v>
          </cell>
          <cell r="G5168">
            <v>31102192</v>
          </cell>
          <cell r="H5168">
            <v>31102192</v>
          </cell>
          <cell r="I5168" t="str">
            <v/>
          </cell>
          <cell r="J5168" t="str">
            <v/>
          </cell>
          <cell r="K5168" t="str">
            <v/>
          </cell>
          <cell r="L5168" t="str">
            <v/>
          </cell>
          <cell r="M5168" t="str">
            <v/>
          </cell>
        </row>
        <row r="5169">
          <cell r="A5169">
            <v>31102192</v>
          </cell>
          <cell r="C5169">
            <v>31102192</v>
          </cell>
          <cell r="D5169">
            <v>31102192</v>
          </cell>
          <cell r="E5169">
            <v>31102192</v>
          </cell>
          <cell r="F5169">
            <v>31102192</v>
          </cell>
          <cell r="G5169">
            <v>31102192</v>
          </cell>
          <cell r="H5169">
            <v>31102192</v>
          </cell>
          <cell r="I5169" t="str">
            <v/>
          </cell>
          <cell r="J5169" t="str">
            <v/>
          </cell>
          <cell r="K5169" t="str">
            <v/>
          </cell>
          <cell r="L5169" t="str">
            <v/>
          </cell>
          <cell r="M5169" t="str">
            <v/>
          </cell>
        </row>
        <row r="5170">
          <cell r="A5170">
            <v>31102192</v>
          </cell>
          <cell r="C5170">
            <v>31102192</v>
          </cell>
          <cell r="D5170">
            <v>31102192</v>
          </cell>
          <cell r="E5170">
            <v>31102192</v>
          </cell>
          <cell r="F5170">
            <v>31102192</v>
          </cell>
          <cell r="G5170">
            <v>31102192</v>
          </cell>
          <cell r="H5170">
            <v>31102192</v>
          </cell>
          <cell r="I5170" t="str">
            <v/>
          </cell>
          <cell r="J5170" t="str">
            <v/>
          </cell>
          <cell r="K5170" t="str">
            <v/>
          </cell>
          <cell r="L5170" t="str">
            <v/>
          </cell>
          <cell r="M5170" t="str">
            <v/>
          </cell>
        </row>
        <row r="5171">
          <cell r="A5171">
            <v>31102192</v>
          </cell>
          <cell r="C5171">
            <v>31102192</v>
          </cell>
          <cell r="D5171">
            <v>31102192</v>
          </cell>
          <cell r="E5171">
            <v>31102192</v>
          </cell>
          <cell r="F5171">
            <v>31102192</v>
          </cell>
          <cell r="G5171">
            <v>31102192</v>
          </cell>
          <cell r="H5171">
            <v>31102192</v>
          </cell>
          <cell r="I5171" t="str">
            <v/>
          </cell>
          <cell r="J5171" t="str">
            <v/>
          </cell>
          <cell r="K5171" t="str">
            <v/>
          </cell>
          <cell r="L5171" t="str">
            <v/>
          </cell>
          <cell r="M5171" t="str">
            <v/>
          </cell>
        </row>
        <row r="5172">
          <cell r="A5172">
            <v>31102192</v>
          </cell>
          <cell r="C5172">
            <v>31102192</v>
          </cell>
          <cell r="D5172">
            <v>31102192</v>
          </cell>
          <cell r="E5172">
            <v>31102192</v>
          </cell>
          <cell r="F5172">
            <v>31102192</v>
          </cell>
          <cell r="G5172">
            <v>31102192</v>
          </cell>
          <cell r="H5172">
            <v>31102192</v>
          </cell>
          <cell r="I5172" t="str">
            <v/>
          </cell>
          <cell r="J5172" t="str">
            <v/>
          </cell>
          <cell r="K5172" t="str">
            <v/>
          </cell>
          <cell r="L5172" t="str">
            <v/>
          </cell>
          <cell r="M5172" t="str">
            <v/>
          </cell>
        </row>
        <row r="5173">
          <cell r="A5173">
            <v>31102192</v>
          </cell>
          <cell r="C5173">
            <v>31102192</v>
          </cell>
          <cell r="D5173">
            <v>31102192</v>
          </cell>
          <cell r="E5173">
            <v>31102192</v>
          </cell>
          <cell r="F5173">
            <v>31102192</v>
          </cell>
          <cell r="G5173">
            <v>31102192</v>
          </cell>
          <cell r="H5173">
            <v>31102192</v>
          </cell>
          <cell r="I5173" t="str">
            <v/>
          </cell>
          <cell r="J5173" t="str">
            <v/>
          </cell>
          <cell r="K5173" t="str">
            <v/>
          </cell>
          <cell r="L5173" t="str">
            <v/>
          </cell>
          <cell r="M5173" t="str">
            <v/>
          </cell>
        </row>
        <row r="5174">
          <cell r="A5174">
            <v>31102192</v>
          </cell>
          <cell r="C5174">
            <v>31102192</v>
          </cell>
          <cell r="D5174">
            <v>31102192</v>
          </cell>
          <cell r="E5174">
            <v>31102192</v>
          </cell>
          <cell r="F5174">
            <v>31102192</v>
          </cell>
          <cell r="G5174">
            <v>31102192</v>
          </cell>
          <cell r="H5174">
            <v>31102192</v>
          </cell>
          <cell r="I5174" t="str">
            <v/>
          </cell>
          <cell r="J5174" t="str">
            <v/>
          </cell>
          <cell r="K5174" t="str">
            <v/>
          </cell>
          <cell r="L5174" t="str">
            <v/>
          </cell>
          <cell r="M5174" t="str">
            <v/>
          </cell>
        </row>
        <row r="5175">
          <cell r="A5175">
            <v>31102192</v>
          </cell>
          <cell r="C5175">
            <v>31102192</v>
          </cell>
          <cell r="D5175">
            <v>31102192</v>
          </cell>
          <cell r="E5175">
            <v>31102192</v>
          </cell>
          <cell r="F5175">
            <v>31102192</v>
          </cell>
          <cell r="G5175">
            <v>31102192</v>
          </cell>
          <cell r="H5175">
            <v>31102192</v>
          </cell>
          <cell r="I5175" t="str">
            <v/>
          </cell>
          <cell r="J5175" t="str">
            <v/>
          </cell>
          <cell r="K5175" t="str">
            <v/>
          </cell>
          <cell r="L5175" t="str">
            <v/>
          </cell>
          <cell r="M5175" t="str">
            <v/>
          </cell>
        </row>
        <row r="5176">
          <cell r="A5176">
            <v>31102192</v>
          </cell>
          <cell r="C5176">
            <v>31102192</v>
          </cell>
          <cell r="D5176">
            <v>31102192</v>
          </cell>
          <cell r="E5176">
            <v>31102192</v>
          </cell>
          <cell r="F5176">
            <v>31102192</v>
          </cell>
          <cell r="G5176">
            <v>31102192</v>
          </cell>
          <cell r="H5176">
            <v>31102192</v>
          </cell>
          <cell r="I5176" t="str">
            <v/>
          </cell>
          <cell r="J5176" t="str">
            <v/>
          </cell>
          <cell r="K5176" t="str">
            <v/>
          </cell>
          <cell r="L5176" t="str">
            <v/>
          </cell>
          <cell r="M5176" t="str">
            <v/>
          </cell>
        </row>
        <row r="5177">
          <cell r="A5177">
            <v>31102192</v>
          </cell>
          <cell r="C5177">
            <v>31102192</v>
          </cell>
          <cell r="D5177">
            <v>31102192</v>
          </cell>
          <cell r="E5177">
            <v>31102192</v>
          </cell>
          <cell r="F5177">
            <v>31102192</v>
          </cell>
          <cell r="G5177">
            <v>31102192</v>
          </cell>
          <cell r="H5177">
            <v>31102192</v>
          </cell>
          <cell r="I5177" t="str">
            <v/>
          </cell>
          <cell r="J5177" t="str">
            <v/>
          </cell>
          <cell r="K5177" t="str">
            <v/>
          </cell>
          <cell r="L5177" t="str">
            <v/>
          </cell>
          <cell r="M5177" t="str">
            <v/>
          </cell>
        </row>
        <row r="5178">
          <cell r="A5178">
            <v>31102192</v>
          </cell>
          <cell r="C5178">
            <v>31102192</v>
          </cell>
          <cell r="D5178">
            <v>31102192</v>
          </cell>
          <cell r="E5178">
            <v>31102192</v>
          </cell>
          <cell r="F5178">
            <v>31102192</v>
          </cell>
          <cell r="G5178">
            <v>31102192</v>
          </cell>
          <cell r="H5178">
            <v>31102192</v>
          </cell>
          <cell r="I5178" t="str">
            <v/>
          </cell>
          <cell r="J5178" t="str">
            <v/>
          </cell>
          <cell r="K5178" t="str">
            <v/>
          </cell>
          <cell r="L5178" t="str">
            <v/>
          </cell>
          <cell r="M5178" t="str">
            <v/>
          </cell>
        </row>
        <row r="5179">
          <cell r="A5179">
            <v>31102192</v>
          </cell>
          <cell r="C5179">
            <v>31102192</v>
          </cell>
          <cell r="D5179">
            <v>31102192</v>
          </cell>
          <cell r="E5179">
            <v>31102192</v>
          </cell>
          <cell r="F5179">
            <v>31102192</v>
          </cell>
          <cell r="G5179">
            <v>31102192</v>
          </cell>
          <cell r="H5179">
            <v>31102192</v>
          </cell>
          <cell r="I5179" t="str">
            <v/>
          </cell>
          <cell r="J5179" t="str">
            <v/>
          </cell>
          <cell r="K5179" t="str">
            <v/>
          </cell>
          <cell r="L5179" t="str">
            <v/>
          </cell>
          <cell r="M5179" t="str">
            <v/>
          </cell>
        </row>
        <row r="5180">
          <cell r="A5180">
            <v>31102192</v>
          </cell>
          <cell r="C5180">
            <v>31102192</v>
          </cell>
          <cell r="D5180">
            <v>31102192</v>
          </cell>
          <cell r="E5180">
            <v>31102192</v>
          </cell>
          <cell r="F5180">
            <v>31102192</v>
          </cell>
          <cell r="G5180">
            <v>31102192</v>
          </cell>
          <cell r="H5180">
            <v>31102192</v>
          </cell>
          <cell r="I5180" t="str">
            <v/>
          </cell>
          <cell r="J5180" t="str">
            <v/>
          </cell>
          <cell r="K5180" t="str">
            <v/>
          </cell>
          <cell r="L5180" t="str">
            <v/>
          </cell>
          <cell r="M5180" t="str">
            <v/>
          </cell>
        </row>
        <row r="5181">
          <cell r="A5181">
            <v>31102192</v>
          </cell>
          <cell r="C5181">
            <v>31102192</v>
          </cell>
          <cell r="D5181">
            <v>31102192</v>
          </cell>
          <cell r="E5181">
            <v>31102192</v>
          </cell>
          <cell r="F5181">
            <v>31102192</v>
          </cell>
          <cell r="G5181">
            <v>31102192</v>
          </cell>
          <cell r="H5181">
            <v>31102192</v>
          </cell>
          <cell r="I5181" t="str">
            <v/>
          </cell>
          <cell r="J5181" t="str">
            <v/>
          </cell>
          <cell r="K5181" t="str">
            <v/>
          </cell>
          <cell r="L5181" t="str">
            <v/>
          </cell>
          <cell r="M5181" t="str">
            <v/>
          </cell>
        </row>
        <row r="5182">
          <cell r="A5182">
            <v>31102192</v>
          </cell>
          <cell r="C5182">
            <v>31102192</v>
          </cell>
          <cell r="D5182">
            <v>31102192</v>
          </cell>
          <cell r="E5182">
            <v>31102192</v>
          </cell>
          <cell r="F5182">
            <v>31102192</v>
          </cell>
          <cell r="G5182">
            <v>31102192</v>
          </cell>
          <cell r="H5182">
            <v>31102192</v>
          </cell>
          <cell r="I5182" t="str">
            <v/>
          </cell>
          <cell r="J5182" t="str">
            <v/>
          </cell>
          <cell r="K5182" t="str">
            <v/>
          </cell>
          <cell r="L5182" t="str">
            <v/>
          </cell>
          <cell r="M5182" t="str">
            <v/>
          </cell>
        </row>
        <row r="5183">
          <cell r="A5183">
            <v>31102192</v>
          </cell>
          <cell r="C5183">
            <v>31102192</v>
          </cell>
          <cell r="D5183">
            <v>31102192</v>
          </cell>
          <cell r="E5183">
            <v>31102192</v>
          </cell>
          <cell r="F5183">
            <v>31102192</v>
          </cell>
          <cell r="G5183">
            <v>31102192</v>
          </cell>
          <cell r="H5183">
            <v>31102192</v>
          </cell>
          <cell r="I5183" t="str">
            <v/>
          </cell>
          <cell r="J5183" t="str">
            <v/>
          </cell>
          <cell r="K5183" t="str">
            <v/>
          </cell>
          <cell r="L5183" t="str">
            <v/>
          </cell>
          <cell r="M5183" t="str">
            <v/>
          </cell>
        </row>
        <row r="5184">
          <cell r="A5184">
            <v>31102192</v>
          </cell>
          <cell r="C5184">
            <v>31102192</v>
          </cell>
          <cell r="D5184">
            <v>31102192</v>
          </cell>
          <cell r="E5184">
            <v>31102192</v>
          </cell>
          <cell r="F5184">
            <v>31102192</v>
          </cell>
          <cell r="G5184">
            <v>31102192</v>
          </cell>
          <cell r="H5184">
            <v>31102192</v>
          </cell>
          <cell r="I5184" t="str">
            <v/>
          </cell>
          <cell r="J5184" t="str">
            <v/>
          </cell>
          <cell r="K5184" t="str">
            <v/>
          </cell>
          <cell r="L5184" t="str">
            <v/>
          </cell>
          <cell r="M5184" t="str">
            <v/>
          </cell>
        </row>
        <row r="5185">
          <cell r="A5185">
            <v>31102192</v>
          </cell>
          <cell r="C5185">
            <v>31102192</v>
          </cell>
          <cell r="D5185">
            <v>31102192</v>
          </cell>
          <cell r="E5185">
            <v>31102192</v>
          </cell>
          <cell r="F5185">
            <v>31102192</v>
          </cell>
          <cell r="G5185">
            <v>31102192</v>
          </cell>
          <cell r="H5185">
            <v>31102192</v>
          </cell>
          <cell r="I5185" t="str">
            <v/>
          </cell>
          <cell r="J5185" t="str">
            <v/>
          </cell>
          <cell r="K5185" t="str">
            <v/>
          </cell>
          <cell r="L5185" t="str">
            <v/>
          </cell>
          <cell r="M5185" t="str">
            <v/>
          </cell>
        </row>
        <row r="5186">
          <cell r="A5186">
            <v>31102192</v>
          </cell>
          <cell r="C5186">
            <v>31102192</v>
          </cell>
          <cell r="D5186">
            <v>31102192</v>
          </cell>
          <cell r="E5186">
            <v>31102192</v>
          </cell>
          <cell r="F5186">
            <v>31102192</v>
          </cell>
          <cell r="G5186">
            <v>31102192</v>
          </cell>
          <cell r="H5186">
            <v>31102192</v>
          </cell>
          <cell r="I5186" t="str">
            <v/>
          </cell>
          <cell r="J5186" t="str">
            <v/>
          </cell>
          <cell r="K5186" t="str">
            <v/>
          </cell>
          <cell r="L5186" t="str">
            <v/>
          </cell>
          <cell r="M5186" t="str">
            <v/>
          </cell>
        </row>
        <row r="5187">
          <cell r="A5187">
            <v>31102192</v>
          </cell>
          <cell r="C5187">
            <v>31102192</v>
          </cell>
          <cell r="D5187">
            <v>31102192</v>
          </cell>
          <cell r="E5187">
            <v>31102192</v>
          </cell>
          <cell r="F5187">
            <v>31102192</v>
          </cell>
          <cell r="G5187">
            <v>31102192</v>
          </cell>
          <cell r="H5187">
            <v>31102192</v>
          </cell>
          <cell r="I5187" t="str">
            <v/>
          </cell>
          <cell r="J5187" t="str">
            <v/>
          </cell>
          <cell r="K5187" t="str">
            <v/>
          </cell>
          <cell r="L5187" t="str">
            <v/>
          </cell>
          <cell r="M5187" t="str">
            <v/>
          </cell>
        </row>
        <row r="5188">
          <cell r="A5188">
            <v>31102192</v>
          </cell>
          <cell r="C5188">
            <v>31102192</v>
          </cell>
          <cell r="D5188">
            <v>31102192</v>
          </cell>
          <cell r="E5188">
            <v>31102192</v>
          </cell>
          <cell r="F5188">
            <v>31102192</v>
          </cell>
          <cell r="G5188">
            <v>31102192</v>
          </cell>
          <cell r="H5188">
            <v>31102192</v>
          </cell>
          <cell r="I5188" t="str">
            <v/>
          </cell>
          <cell r="J5188" t="str">
            <v/>
          </cell>
          <cell r="K5188" t="str">
            <v/>
          </cell>
          <cell r="L5188" t="str">
            <v/>
          </cell>
          <cell r="M5188" t="str">
            <v/>
          </cell>
        </row>
        <row r="5189">
          <cell r="A5189">
            <v>31102192</v>
          </cell>
          <cell r="C5189">
            <v>31102192</v>
          </cell>
          <cell r="D5189">
            <v>31102192</v>
          </cell>
          <cell r="E5189">
            <v>31102192</v>
          </cell>
          <cell r="F5189">
            <v>31102192</v>
          </cell>
          <cell r="G5189">
            <v>31102192</v>
          </cell>
          <cell r="H5189">
            <v>31102192</v>
          </cell>
          <cell r="I5189" t="str">
            <v/>
          </cell>
          <cell r="J5189" t="str">
            <v/>
          </cell>
          <cell r="K5189" t="str">
            <v/>
          </cell>
          <cell r="L5189" t="str">
            <v/>
          </cell>
          <cell r="M5189" t="str">
            <v/>
          </cell>
        </row>
        <row r="5190">
          <cell r="A5190">
            <v>31102192</v>
          </cell>
          <cell r="C5190">
            <v>31102192</v>
          </cell>
          <cell r="D5190">
            <v>31102192</v>
          </cell>
          <cell r="E5190">
            <v>31102192</v>
          </cell>
          <cell r="F5190">
            <v>31102192</v>
          </cell>
          <cell r="G5190">
            <v>31102192</v>
          </cell>
          <cell r="H5190">
            <v>31102192</v>
          </cell>
          <cell r="I5190" t="str">
            <v/>
          </cell>
          <cell r="J5190" t="str">
            <v/>
          </cell>
          <cell r="K5190" t="str">
            <v/>
          </cell>
          <cell r="L5190" t="str">
            <v/>
          </cell>
          <cell r="M5190" t="str">
            <v/>
          </cell>
        </row>
        <row r="5191">
          <cell r="A5191">
            <v>31102192</v>
          </cell>
          <cell r="C5191">
            <v>31102192</v>
          </cell>
          <cell r="D5191">
            <v>31102192</v>
          </cell>
          <cell r="E5191">
            <v>31102192</v>
          </cell>
          <cell r="F5191">
            <v>31102192</v>
          </cell>
          <cell r="G5191">
            <v>31102192</v>
          </cell>
          <cell r="H5191">
            <v>31102192</v>
          </cell>
          <cell r="I5191" t="str">
            <v/>
          </cell>
          <cell r="J5191" t="str">
            <v/>
          </cell>
          <cell r="K5191" t="str">
            <v/>
          </cell>
          <cell r="L5191" t="str">
            <v/>
          </cell>
          <cell r="M5191" t="str">
            <v/>
          </cell>
        </row>
        <row r="5192">
          <cell r="A5192">
            <v>31102192</v>
          </cell>
          <cell r="C5192">
            <v>31102192</v>
          </cell>
          <cell r="D5192">
            <v>31102192</v>
          </cell>
          <cell r="E5192">
            <v>31102192</v>
          </cell>
          <cell r="F5192">
            <v>31102192</v>
          </cell>
          <cell r="G5192">
            <v>31102192</v>
          </cell>
          <cell r="H5192">
            <v>31102192</v>
          </cell>
          <cell r="I5192" t="str">
            <v/>
          </cell>
          <cell r="J5192" t="str">
            <v/>
          </cell>
          <cell r="K5192" t="str">
            <v/>
          </cell>
          <cell r="L5192" t="str">
            <v/>
          </cell>
          <cell r="M5192" t="str">
            <v/>
          </cell>
        </row>
        <row r="5193">
          <cell r="A5193">
            <v>31102192</v>
          </cell>
          <cell r="C5193">
            <v>31102192</v>
          </cell>
          <cell r="D5193">
            <v>31102192</v>
          </cell>
          <cell r="E5193">
            <v>31102192</v>
          </cell>
          <cell r="F5193">
            <v>31102192</v>
          </cell>
          <cell r="G5193">
            <v>31102192</v>
          </cell>
          <cell r="H5193">
            <v>31102192</v>
          </cell>
          <cell r="I5193" t="str">
            <v/>
          </cell>
          <cell r="J5193" t="str">
            <v/>
          </cell>
          <cell r="K5193" t="str">
            <v/>
          </cell>
          <cell r="L5193" t="str">
            <v/>
          </cell>
          <cell r="M5193" t="str">
            <v/>
          </cell>
        </row>
        <row r="5194">
          <cell r="A5194">
            <v>31102192</v>
          </cell>
          <cell r="C5194">
            <v>31102192</v>
          </cell>
          <cell r="D5194">
            <v>31102192</v>
          </cell>
          <cell r="E5194">
            <v>31102192</v>
          </cell>
          <cell r="F5194">
            <v>31102192</v>
          </cell>
          <cell r="G5194">
            <v>31102192</v>
          </cell>
          <cell r="H5194">
            <v>31102192</v>
          </cell>
          <cell r="I5194" t="str">
            <v/>
          </cell>
          <cell r="J5194" t="str">
            <v/>
          </cell>
          <cell r="K5194" t="str">
            <v/>
          </cell>
          <cell r="L5194" t="str">
            <v/>
          </cell>
          <cell r="M5194" t="str">
            <v/>
          </cell>
        </row>
        <row r="5195">
          <cell r="A5195">
            <v>31102192</v>
          </cell>
          <cell r="C5195">
            <v>31102192</v>
          </cell>
          <cell r="D5195">
            <v>31102192</v>
          </cell>
          <cell r="E5195">
            <v>31102192</v>
          </cell>
          <cell r="F5195">
            <v>31102192</v>
          </cell>
          <cell r="G5195">
            <v>31102192</v>
          </cell>
          <cell r="H5195">
            <v>31102192</v>
          </cell>
          <cell r="I5195" t="str">
            <v/>
          </cell>
          <cell r="J5195" t="str">
            <v/>
          </cell>
          <cell r="K5195" t="str">
            <v/>
          </cell>
          <cell r="L5195" t="str">
            <v/>
          </cell>
          <cell r="M5195" t="str">
            <v/>
          </cell>
        </row>
        <row r="5196">
          <cell r="A5196">
            <v>31102192</v>
          </cell>
          <cell r="C5196">
            <v>31102192</v>
          </cell>
          <cell r="D5196">
            <v>31102192</v>
          </cell>
          <cell r="E5196">
            <v>31102192</v>
          </cell>
          <cell r="F5196">
            <v>31102192</v>
          </cell>
          <cell r="G5196">
            <v>31102192</v>
          </cell>
          <cell r="H5196">
            <v>31102192</v>
          </cell>
          <cell r="I5196" t="str">
            <v/>
          </cell>
          <cell r="J5196" t="str">
            <v/>
          </cell>
          <cell r="K5196" t="str">
            <v/>
          </cell>
          <cell r="L5196" t="str">
            <v/>
          </cell>
          <cell r="M5196" t="str">
            <v/>
          </cell>
        </row>
        <row r="5197">
          <cell r="A5197">
            <v>31102192</v>
          </cell>
          <cell r="C5197">
            <v>31102192</v>
          </cell>
          <cell r="D5197">
            <v>31102192</v>
          </cell>
          <cell r="E5197">
            <v>31102192</v>
          </cell>
          <cell r="F5197">
            <v>31102192</v>
          </cell>
          <cell r="G5197">
            <v>31102192</v>
          </cell>
          <cell r="H5197">
            <v>31102192</v>
          </cell>
          <cell r="I5197" t="str">
            <v/>
          </cell>
          <cell r="J5197" t="str">
            <v/>
          </cell>
          <cell r="K5197" t="str">
            <v/>
          </cell>
          <cell r="L5197" t="str">
            <v/>
          </cell>
          <cell r="M5197" t="str">
            <v/>
          </cell>
        </row>
        <row r="5198">
          <cell r="A5198">
            <v>31102192</v>
          </cell>
          <cell r="C5198">
            <v>31102192</v>
          </cell>
          <cell r="D5198">
            <v>31102192</v>
          </cell>
          <cell r="E5198">
            <v>31102192</v>
          </cell>
          <cell r="F5198">
            <v>31102192</v>
          </cell>
          <cell r="G5198">
            <v>31102192</v>
          </cell>
          <cell r="H5198">
            <v>31102192</v>
          </cell>
          <cell r="I5198" t="str">
            <v/>
          </cell>
          <cell r="J5198" t="str">
            <v/>
          </cell>
          <cell r="K5198" t="str">
            <v/>
          </cell>
          <cell r="L5198" t="str">
            <v/>
          </cell>
          <cell r="M5198" t="str">
            <v/>
          </cell>
        </row>
        <row r="5199">
          <cell r="A5199">
            <v>31102192</v>
          </cell>
          <cell r="C5199">
            <v>31102192</v>
          </cell>
          <cell r="D5199">
            <v>31102192</v>
          </cell>
          <cell r="E5199">
            <v>31102192</v>
          </cell>
          <cell r="F5199">
            <v>31102192</v>
          </cell>
          <cell r="G5199">
            <v>31102192</v>
          </cell>
          <cell r="H5199">
            <v>31102192</v>
          </cell>
          <cell r="I5199" t="str">
            <v/>
          </cell>
          <cell r="J5199" t="str">
            <v/>
          </cell>
          <cell r="K5199" t="str">
            <v/>
          </cell>
          <cell r="L5199" t="str">
            <v/>
          </cell>
          <cell r="M5199" t="str">
            <v/>
          </cell>
        </row>
        <row r="5200">
          <cell r="A5200">
            <v>31102192</v>
          </cell>
          <cell r="C5200">
            <v>31102192</v>
          </cell>
          <cell r="D5200">
            <v>31102192</v>
          </cell>
          <cell r="E5200">
            <v>31102192</v>
          </cell>
          <cell r="F5200">
            <v>31102192</v>
          </cell>
          <cell r="G5200">
            <v>31102192</v>
          </cell>
          <cell r="H5200">
            <v>31102192</v>
          </cell>
          <cell r="I5200" t="str">
            <v/>
          </cell>
          <cell r="J5200" t="str">
            <v/>
          </cell>
          <cell r="K5200" t="str">
            <v/>
          </cell>
          <cell r="L5200" t="str">
            <v/>
          </cell>
          <cell r="M5200" t="str">
            <v/>
          </cell>
        </row>
        <row r="5201">
          <cell r="A5201">
            <v>31102192</v>
          </cell>
          <cell r="C5201">
            <v>31102192</v>
          </cell>
          <cell r="D5201">
            <v>31102192</v>
          </cell>
          <cell r="E5201">
            <v>31102192</v>
          </cell>
          <cell r="F5201">
            <v>31102192</v>
          </cell>
          <cell r="G5201">
            <v>31102192</v>
          </cell>
          <cell r="H5201">
            <v>31102192</v>
          </cell>
          <cell r="I5201" t="str">
            <v/>
          </cell>
          <cell r="J5201" t="str">
            <v/>
          </cell>
          <cell r="K5201" t="str">
            <v/>
          </cell>
          <cell r="L5201" t="str">
            <v/>
          </cell>
          <cell r="M5201" t="str">
            <v/>
          </cell>
        </row>
        <row r="5202">
          <cell r="A5202">
            <v>31102192</v>
          </cell>
          <cell r="C5202">
            <v>31102192</v>
          </cell>
          <cell r="D5202">
            <v>31102192</v>
          </cell>
          <cell r="E5202">
            <v>31102192</v>
          </cell>
          <cell r="F5202">
            <v>31102192</v>
          </cell>
          <cell r="G5202">
            <v>31102192</v>
          </cell>
          <cell r="H5202">
            <v>31102192</v>
          </cell>
          <cell r="I5202" t="str">
            <v/>
          </cell>
          <cell r="J5202" t="str">
            <v/>
          </cell>
          <cell r="K5202" t="str">
            <v/>
          </cell>
          <cell r="L5202" t="str">
            <v/>
          </cell>
          <cell r="M5202" t="str">
            <v/>
          </cell>
        </row>
        <row r="5203">
          <cell r="A5203">
            <v>31102192</v>
          </cell>
          <cell r="C5203">
            <v>31102192</v>
          </cell>
          <cell r="D5203">
            <v>31102192</v>
          </cell>
          <cell r="E5203">
            <v>31102192</v>
          </cell>
          <cell r="F5203">
            <v>31102192</v>
          </cell>
          <cell r="G5203">
            <v>31102192</v>
          </cell>
          <cell r="H5203">
            <v>31102192</v>
          </cell>
          <cell r="I5203" t="str">
            <v/>
          </cell>
          <cell r="J5203" t="str">
            <v/>
          </cell>
          <cell r="K5203" t="str">
            <v/>
          </cell>
          <cell r="L5203" t="str">
            <v/>
          </cell>
          <cell r="M5203" t="str">
            <v/>
          </cell>
        </row>
        <row r="5204">
          <cell r="A5204">
            <v>31102192</v>
          </cell>
          <cell r="C5204">
            <v>31102192</v>
          </cell>
          <cell r="D5204">
            <v>31102192</v>
          </cell>
          <cell r="E5204">
            <v>31102192</v>
          </cell>
          <cell r="F5204">
            <v>31102192</v>
          </cell>
          <cell r="G5204">
            <v>31102192</v>
          </cell>
          <cell r="H5204">
            <v>31102192</v>
          </cell>
          <cell r="I5204" t="str">
            <v/>
          </cell>
          <cell r="J5204" t="str">
            <v/>
          </cell>
          <cell r="K5204" t="str">
            <v/>
          </cell>
          <cell r="L5204" t="str">
            <v/>
          </cell>
          <cell r="M5204" t="str">
            <v/>
          </cell>
        </row>
        <row r="5205">
          <cell r="A5205">
            <v>31102192</v>
          </cell>
          <cell r="C5205">
            <v>31102192</v>
          </cell>
          <cell r="D5205">
            <v>31102192</v>
          </cell>
          <cell r="E5205">
            <v>31102192</v>
          </cell>
          <cell r="F5205">
            <v>31102192</v>
          </cell>
          <cell r="G5205">
            <v>31102192</v>
          </cell>
          <cell r="H5205">
            <v>31102192</v>
          </cell>
          <cell r="I5205" t="str">
            <v/>
          </cell>
          <cell r="J5205" t="str">
            <v/>
          </cell>
          <cell r="K5205" t="str">
            <v/>
          </cell>
          <cell r="L5205" t="str">
            <v/>
          </cell>
          <cell r="M5205" t="str">
            <v/>
          </cell>
        </row>
        <row r="5206">
          <cell r="A5206">
            <v>31102192</v>
          </cell>
          <cell r="C5206">
            <v>31102192</v>
          </cell>
          <cell r="D5206">
            <v>31102192</v>
          </cell>
          <cell r="E5206">
            <v>31102192</v>
          </cell>
          <cell r="F5206">
            <v>31102192</v>
          </cell>
          <cell r="G5206">
            <v>31102192</v>
          </cell>
          <cell r="H5206">
            <v>31102192</v>
          </cell>
          <cell r="I5206" t="str">
            <v/>
          </cell>
          <cell r="J5206" t="str">
            <v/>
          </cell>
          <cell r="K5206" t="str">
            <v/>
          </cell>
          <cell r="L5206" t="str">
            <v/>
          </cell>
          <cell r="M5206" t="str">
            <v/>
          </cell>
        </row>
        <row r="5207">
          <cell r="A5207">
            <v>31102192</v>
          </cell>
          <cell r="C5207">
            <v>31102192</v>
          </cell>
          <cell r="D5207">
            <v>31102192</v>
          </cell>
          <cell r="E5207">
            <v>31102192</v>
          </cell>
          <cell r="F5207">
            <v>31102192</v>
          </cell>
          <cell r="G5207">
            <v>31102192</v>
          </cell>
          <cell r="H5207">
            <v>31102192</v>
          </cell>
          <cell r="I5207" t="str">
            <v/>
          </cell>
          <cell r="J5207" t="str">
            <v/>
          </cell>
          <cell r="K5207" t="str">
            <v/>
          </cell>
          <cell r="L5207" t="str">
            <v/>
          </cell>
          <cell r="M5207" t="str">
            <v/>
          </cell>
        </row>
        <row r="5208">
          <cell r="A5208">
            <v>31102192</v>
          </cell>
          <cell r="C5208">
            <v>31102192</v>
          </cell>
          <cell r="D5208">
            <v>31102192</v>
          </cell>
          <cell r="E5208">
            <v>31102192</v>
          </cell>
          <cell r="F5208">
            <v>31102192</v>
          </cell>
          <cell r="G5208">
            <v>31102192</v>
          </cell>
          <cell r="H5208">
            <v>31102192</v>
          </cell>
          <cell r="I5208" t="str">
            <v/>
          </cell>
          <cell r="J5208" t="str">
            <v/>
          </cell>
          <cell r="K5208" t="str">
            <v/>
          </cell>
          <cell r="L5208" t="str">
            <v/>
          </cell>
          <cell r="M5208" t="str">
            <v/>
          </cell>
        </row>
        <row r="5209">
          <cell r="A5209">
            <v>31102192</v>
          </cell>
          <cell r="C5209">
            <v>31102192</v>
          </cell>
          <cell r="D5209">
            <v>31102192</v>
          </cell>
          <cell r="E5209">
            <v>31102192</v>
          </cell>
          <cell r="F5209">
            <v>31102192</v>
          </cell>
          <cell r="G5209">
            <v>31102192</v>
          </cell>
          <cell r="H5209">
            <v>31102192</v>
          </cell>
          <cell r="I5209" t="str">
            <v/>
          </cell>
          <cell r="J5209" t="str">
            <v/>
          </cell>
          <cell r="K5209" t="str">
            <v/>
          </cell>
          <cell r="L5209" t="str">
            <v/>
          </cell>
          <cell r="M5209" t="str">
            <v/>
          </cell>
        </row>
        <row r="5210">
          <cell r="A5210">
            <v>31102192</v>
          </cell>
          <cell r="C5210">
            <v>31102192</v>
          </cell>
          <cell r="D5210">
            <v>31102192</v>
          </cell>
          <cell r="E5210">
            <v>31102192</v>
          </cell>
          <cell r="F5210">
            <v>31102192</v>
          </cell>
          <cell r="G5210">
            <v>31102192</v>
          </cell>
          <cell r="H5210">
            <v>31102192</v>
          </cell>
          <cell r="I5210" t="str">
            <v/>
          </cell>
          <cell r="J5210" t="str">
            <v/>
          </cell>
          <cell r="K5210" t="str">
            <v/>
          </cell>
          <cell r="L5210" t="str">
            <v/>
          </cell>
          <cell r="M5210" t="str">
            <v/>
          </cell>
        </row>
        <row r="5211">
          <cell r="A5211">
            <v>31102192</v>
          </cell>
          <cell r="C5211">
            <v>31102192</v>
          </cell>
          <cell r="D5211">
            <v>31102192</v>
          </cell>
          <cell r="E5211">
            <v>31102192</v>
          </cell>
          <cell r="F5211">
            <v>31102192</v>
          </cell>
          <cell r="G5211">
            <v>31102192</v>
          </cell>
          <cell r="H5211">
            <v>31102192</v>
          </cell>
          <cell r="I5211" t="str">
            <v/>
          </cell>
          <cell r="J5211" t="str">
            <v/>
          </cell>
          <cell r="K5211" t="str">
            <v/>
          </cell>
          <cell r="L5211" t="str">
            <v/>
          </cell>
          <cell r="M5211" t="str">
            <v/>
          </cell>
        </row>
        <row r="5212">
          <cell r="A5212">
            <v>31102192</v>
          </cell>
          <cell r="C5212">
            <v>31102192</v>
          </cell>
          <cell r="D5212">
            <v>31102192</v>
          </cell>
          <cell r="E5212">
            <v>31102192</v>
          </cell>
          <cell r="F5212">
            <v>31102192</v>
          </cell>
          <cell r="G5212">
            <v>31102192</v>
          </cell>
          <cell r="H5212">
            <v>31102192</v>
          </cell>
          <cell r="I5212" t="str">
            <v/>
          </cell>
          <cell r="J5212" t="str">
            <v/>
          </cell>
          <cell r="K5212" t="str">
            <v/>
          </cell>
          <cell r="L5212" t="str">
            <v/>
          </cell>
          <cell r="M5212" t="str">
            <v/>
          </cell>
        </row>
        <row r="5213">
          <cell r="A5213">
            <v>31102192</v>
          </cell>
          <cell r="C5213">
            <v>31102192</v>
          </cell>
          <cell r="D5213">
            <v>31102192</v>
          </cell>
          <cell r="E5213">
            <v>31102192</v>
          </cell>
          <cell r="F5213">
            <v>31102192</v>
          </cell>
          <cell r="G5213">
            <v>31102192</v>
          </cell>
          <cell r="H5213">
            <v>31102192</v>
          </cell>
          <cell r="I5213" t="str">
            <v/>
          </cell>
          <cell r="J5213" t="str">
            <v/>
          </cell>
          <cell r="K5213" t="str">
            <v/>
          </cell>
          <cell r="L5213" t="str">
            <v/>
          </cell>
          <cell r="M5213" t="str">
            <v/>
          </cell>
        </row>
        <row r="5214">
          <cell r="A5214">
            <v>31102192</v>
          </cell>
          <cell r="C5214">
            <v>31102192</v>
          </cell>
          <cell r="D5214">
            <v>31102192</v>
          </cell>
          <cell r="E5214">
            <v>31102192</v>
          </cell>
          <cell r="F5214">
            <v>31102192</v>
          </cell>
          <cell r="G5214">
            <v>31102192</v>
          </cell>
          <cell r="H5214">
            <v>31102192</v>
          </cell>
          <cell r="I5214" t="str">
            <v/>
          </cell>
          <cell r="J5214" t="str">
            <v/>
          </cell>
          <cell r="K5214" t="str">
            <v/>
          </cell>
          <cell r="L5214" t="str">
            <v/>
          </cell>
          <cell r="M5214" t="str">
            <v/>
          </cell>
        </row>
        <row r="5215">
          <cell r="A5215">
            <v>31102192</v>
          </cell>
          <cell r="C5215">
            <v>31102192</v>
          </cell>
          <cell r="D5215">
            <v>31102192</v>
          </cell>
          <cell r="E5215">
            <v>31102192</v>
          </cell>
          <cell r="F5215">
            <v>31102192</v>
          </cell>
          <cell r="G5215">
            <v>31102192</v>
          </cell>
          <cell r="H5215">
            <v>31102192</v>
          </cell>
          <cell r="I5215" t="str">
            <v/>
          </cell>
          <cell r="J5215" t="str">
            <v/>
          </cell>
          <cell r="K5215" t="str">
            <v/>
          </cell>
          <cell r="L5215" t="str">
            <v/>
          </cell>
          <cell r="M5215" t="str">
            <v/>
          </cell>
        </row>
        <row r="5216">
          <cell r="A5216">
            <v>31102192</v>
          </cell>
          <cell r="C5216">
            <v>31102192</v>
          </cell>
          <cell r="D5216">
            <v>31102192</v>
          </cell>
          <cell r="E5216">
            <v>31102192</v>
          </cell>
          <cell r="F5216">
            <v>31102192</v>
          </cell>
          <cell r="G5216">
            <v>31102192</v>
          </cell>
          <cell r="H5216">
            <v>31102192</v>
          </cell>
          <cell r="I5216" t="str">
            <v/>
          </cell>
          <cell r="J5216" t="str">
            <v/>
          </cell>
          <cell r="K5216" t="str">
            <v/>
          </cell>
          <cell r="L5216" t="str">
            <v/>
          </cell>
          <cell r="M5216" t="str">
            <v/>
          </cell>
        </row>
        <row r="5217">
          <cell r="A5217">
            <v>31102192</v>
          </cell>
          <cell r="C5217">
            <v>31102192</v>
          </cell>
          <cell r="D5217">
            <v>31102192</v>
          </cell>
          <cell r="E5217">
            <v>31102192</v>
          </cell>
          <cell r="F5217">
            <v>31102192</v>
          </cell>
          <cell r="G5217">
            <v>31102192</v>
          </cell>
          <cell r="H5217">
            <v>31102192</v>
          </cell>
          <cell r="I5217" t="str">
            <v/>
          </cell>
          <cell r="J5217" t="str">
            <v/>
          </cell>
          <cell r="K5217" t="str">
            <v/>
          </cell>
          <cell r="L5217" t="str">
            <v/>
          </cell>
          <cell r="M5217" t="str">
            <v/>
          </cell>
        </row>
        <row r="5218">
          <cell r="A5218">
            <v>31102192</v>
          </cell>
          <cell r="C5218">
            <v>31102192</v>
          </cell>
          <cell r="D5218">
            <v>31102192</v>
          </cell>
          <cell r="E5218">
            <v>31102192</v>
          </cell>
          <cell r="F5218">
            <v>31102192</v>
          </cell>
          <cell r="G5218">
            <v>31102192</v>
          </cell>
          <cell r="H5218">
            <v>31102192</v>
          </cell>
          <cell r="I5218" t="str">
            <v/>
          </cell>
          <cell r="J5218" t="str">
            <v/>
          </cell>
          <cell r="K5218" t="str">
            <v/>
          </cell>
          <cell r="L5218" t="str">
            <v/>
          </cell>
          <cell r="M5218" t="str">
            <v/>
          </cell>
        </row>
        <row r="5219">
          <cell r="A5219">
            <v>31102192</v>
          </cell>
          <cell r="C5219">
            <v>31102192</v>
          </cell>
          <cell r="D5219">
            <v>31102192</v>
          </cell>
          <cell r="E5219">
            <v>31102192</v>
          </cell>
          <cell r="F5219">
            <v>31102192</v>
          </cell>
          <cell r="G5219">
            <v>31102192</v>
          </cell>
          <cell r="H5219">
            <v>31102192</v>
          </cell>
          <cell r="I5219" t="str">
            <v/>
          </cell>
          <cell r="J5219" t="str">
            <v/>
          </cell>
          <cell r="K5219" t="str">
            <v/>
          </cell>
          <cell r="L5219" t="str">
            <v/>
          </cell>
          <cell r="M5219" t="str">
            <v/>
          </cell>
        </row>
        <row r="5220">
          <cell r="A5220">
            <v>31102192</v>
          </cell>
          <cell r="C5220">
            <v>31102192</v>
          </cell>
          <cell r="D5220">
            <v>31102192</v>
          </cell>
          <cell r="E5220">
            <v>31102192</v>
          </cell>
          <cell r="F5220">
            <v>31102192</v>
          </cell>
          <cell r="G5220">
            <v>31102192</v>
          </cell>
          <cell r="H5220">
            <v>31102192</v>
          </cell>
          <cell r="I5220" t="str">
            <v/>
          </cell>
          <cell r="J5220" t="str">
            <v/>
          </cell>
          <cell r="K5220" t="str">
            <v/>
          </cell>
          <cell r="L5220" t="str">
            <v/>
          </cell>
          <cell r="M5220" t="str">
            <v/>
          </cell>
        </row>
        <row r="5221">
          <cell r="A5221">
            <v>31102192</v>
          </cell>
          <cell r="C5221">
            <v>31102192</v>
          </cell>
          <cell r="D5221">
            <v>31102192</v>
          </cell>
          <cell r="E5221">
            <v>31102192</v>
          </cell>
          <cell r="F5221">
            <v>31102192</v>
          </cell>
          <cell r="G5221">
            <v>31102192</v>
          </cell>
          <cell r="H5221">
            <v>31102192</v>
          </cell>
          <cell r="I5221" t="str">
            <v/>
          </cell>
          <cell r="J5221" t="str">
            <v/>
          </cell>
          <cell r="K5221" t="str">
            <v/>
          </cell>
          <cell r="L5221" t="str">
            <v/>
          </cell>
          <cell r="M5221" t="str">
            <v/>
          </cell>
        </row>
        <row r="5222">
          <cell r="A5222">
            <v>31102192</v>
          </cell>
          <cell r="C5222">
            <v>31102192</v>
          </cell>
          <cell r="D5222">
            <v>31102192</v>
          </cell>
          <cell r="E5222">
            <v>31102192</v>
          </cell>
          <cell r="F5222">
            <v>31102192</v>
          </cell>
          <cell r="G5222">
            <v>31102192</v>
          </cell>
          <cell r="H5222">
            <v>31102192</v>
          </cell>
          <cell r="I5222" t="str">
            <v/>
          </cell>
          <cell r="J5222" t="str">
            <v/>
          </cell>
          <cell r="K5222" t="str">
            <v/>
          </cell>
          <cell r="L5222" t="str">
            <v/>
          </cell>
          <cell r="M5222" t="str">
            <v/>
          </cell>
        </row>
        <row r="5223">
          <cell r="A5223">
            <v>31102192</v>
          </cell>
          <cell r="C5223">
            <v>31102192</v>
          </cell>
          <cell r="D5223">
            <v>31102192</v>
          </cell>
          <cell r="E5223">
            <v>31102192</v>
          </cell>
          <cell r="F5223">
            <v>31102192</v>
          </cell>
          <cell r="G5223">
            <v>31102192</v>
          </cell>
          <cell r="H5223">
            <v>31102192</v>
          </cell>
          <cell r="I5223" t="str">
            <v/>
          </cell>
          <cell r="J5223" t="str">
            <v/>
          </cell>
          <cell r="K5223" t="str">
            <v/>
          </cell>
          <cell r="L5223" t="str">
            <v/>
          </cell>
          <cell r="M5223" t="str">
            <v/>
          </cell>
        </row>
        <row r="5224">
          <cell r="A5224">
            <v>31102192</v>
          </cell>
          <cell r="C5224">
            <v>31102192</v>
          </cell>
          <cell r="D5224">
            <v>31102192</v>
          </cell>
          <cell r="E5224">
            <v>31102192</v>
          </cell>
          <cell r="F5224">
            <v>31102192</v>
          </cell>
          <cell r="G5224">
            <v>31102192</v>
          </cell>
          <cell r="H5224">
            <v>31102192</v>
          </cell>
          <cell r="I5224" t="str">
            <v/>
          </cell>
          <cell r="J5224" t="str">
            <v/>
          </cell>
          <cell r="K5224" t="str">
            <v/>
          </cell>
          <cell r="L5224" t="str">
            <v/>
          </cell>
          <cell r="M5224" t="str">
            <v/>
          </cell>
        </row>
        <row r="5225">
          <cell r="A5225">
            <v>31102192</v>
          </cell>
          <cell r="C5225">
            <v>31102192</v>
          </cell>
          <cell r="D5225">
            <v>31102192</v>
          </cell>
          <cell r="E5225">
            <v>31102192</v>
          </cell>
          <cell r="F5225">
            <v>31102192</v>
          </cell>
          <cell r="G5225">
            <v>31102192</v>
          </cell>
          <cell r="H5225">
            <v>31102192</v>
          </cell>
          <cell r="I5225" t="str">
            <v/>
          </cell>
          <cell r="J5225" t="str">
            <v/>
          </cell>
          <cell r="K5225" t="str">
            <v/>
          </cell>
          <cell r="L5225" t="str">
            <v/>
          </cell>
          <cell r="M5225" t="str">
            <v/>
          </cell>
        </row>
        <row r="5226">
          <cell r="A5226">
            <v>31102192</v>
          </cell>
          <cell r="C5226">
            <v>31102192</v>
          </cell>
          <cell r="D5226">
            <v>31102192</v>
          </cell>
          <cell r="E5226">
            <v>31102192</v>
          </cell>
          <cell r="F5226">
            <v>31102192</v>
          </cell>
          <cell r="G5226">
            <v>31102192</v>
          </cell>
          <cell r="H5226">
            <v>31102192</v>
          </cell>
          <cell r="I5226" t="str">
            <v/>
          </cell>
          <cell r="J5226" t="str">
            <v/>
          </cell>
          <cell r="K5226" t="str">
            <v/>
          </cell>
          <cell r="L5226" t="str">
            <v/>
          </cell>
          <cell r="M5226" t="str">
            <v/>
          </cell>
        </row>
        <row r="5227">
          <cell r="A5227">
            <v>31102192</v>
          </cell>
          <cell r="C5227">
            <v>31102192</v>
          </cell>
          <cell r="D5227">
            <v>31102192</v>
          </cell>
          <cell r="E5227">
            <v>31102192</v>
          </cell>
          <cell r="F5227">
            <v>31102192</v>
          </cell>
          <cell r="G5227">
            <v>31102192</v>
          </cell>
          <cell r="H5227">
            <v>31102192</v>
          </cell>
          <cell r="I5227" t="str">
            <v/>
          </cell>
          <cell r="J5227" t="str">
            <v/>
          </cell>
          <cell r="K5227" t="str">
            <v/>
          </cell>
          <cell r="L5227" t="str">
            <v/>
          </cell>
          <cell r="M5227" t="str">
            <v/>
          </cell>
        </row>
        <row r="5228">
          <cell r="A5228">
            <v>31102192</v>
          </cell>
          <cell r="C5228">
            <v>31102192</v>
          </cell>
          <cell r="D5228">
            <v>31102192</v>
          </cell>
          <cell r="E5228">
            <v>31102192</v>
          </cell>
          <cell r="F5228">
            <v>31102192</v>
          </cell>
          <cell r="G5228">
            <v>31102192</v>
          </cell>
          <cell r="H5228">
            <v>31102192</v>
          </cell>
          <cell r="I5228" t="str">
            <v/>
          </cell>
          <cell r="J5228" t="str">
            <v/>
          </cell>
          <cell r="K5228" t="str">
            <v/>
          </cell>
          <cell r="L5228" t="str">
            <v/>
          </cell>
          <cell r="M5228" t="str">
            <v/>
          </cell>
        </row>
        <row r="5229">
          <cell r="A5229">
            <v>31102192</v>
          </cell>
          <cell r="C5229">
            <v>31102192</v>
          </cell>
          <cell r="D5229">
            <v>31102192</v>
          </cell>
          <cell r="E5229">
            <v>31102192</v>
          </cell>
          <cell r="F5229">
            <v>31102192</v>
          </cell>
          <cell r="G5229">
            <v>31102192</v>
          </cell>
          <cell r="H5229">
            <v>31102192</v>
          </cell>
          <cell r="I5229" t="str">
            <v/>
          </cell>
          <cell r="J5229" t="str">
            <v/>
          </cell>
          <cell r="K5229" t="str">
            <v/>
          </cell>
          <cell r="L5229" t="str">
            <v/>
          </cell>
          <cell r="M5229" t="str">
            <v/>
          </cell>
        </row>
        <row r="5230">
          <cell r="A5230">
            <v>31102192</v>
          </cell>
          <cell r="C5230">
            <v>31102192</v>
          </cell>
          <cell r="D5230">
            <v>31102192</v>
          </cell>
          <cell r="E5230">
            <v>31102192</v>
          </cell>
          <cell r="F5230">
            <v>31102192</v>
          </cell>
          <cell r="G5230">
            <v>31102192</v>
          </cell>
          <cell r="H5230">
            <v>31102192</v>
          </cell>
          <cell r="I5230" t="str">
            <v/>
          </cell>
          <cell r="J5230" t="str">
            <v/>
          </cell>
          <cell r="K5230" t="str">
            <v/>
          </cell>
          <cell r="L5230" t="str">
            <v/>
          </cell>
          <cell r="M5230" t="str">
            <v/>
          </cell>
        </row>
        <row r="5231">
          <cell r="A5231">
            <v>31102192</v>
          </cell>
          <cell r="C5231">
            <v>31102192</v>
          </cell>
          <cell r="D5231">
            <v>31102192</v>
          </cell>
          <cell r="E5231">
            <v>31102192</v>
          </cell>
          <cell r="F5231">
            <v>31102192</v>
          </cell>
          <cell r="G5231">
            <v>31102192</v>
          </cell>
          <cell r="H5231">
            <v>31102192</v>
          </cell>
          <cell r="I5231" t="str">
            <v/>
          </cell>
          <cell r="J5231" t="str">
            <v/>
          </cell>
          <cell r="K5231" t="str">
            <v/>
          </cell>
          <cell r="L5231" t="str">
            <v/>
          </cell>
          <cell r="M5231" t="str">
            <v/>
          </cell>
        </row>
        <row r="5232">
          <cell r="A5232">
            <v>31102192</v>
          </cell>
          <cell r="C5232">
            <v>31102192</v>
          </cell>
          <cell r="D5232">
            <v>31102192</v>
          </cell>
          <cell r="E5232">
            <v>31102192</v>
          </cell>
          <cell r="F5232">
            <v>31102192</v>
          </cell>
          <cell r="G5232">
            <v>31102192</v>
          </cell>
          <cell r="H5232">
            <v>31102192</v>
          </cell>
          <cell r="I5232" t="str">
            <v/>
          </cell>
          <cell r="J5232" t="str">
            <v/>
          </cell>
          <cell r="K5232" t="str">
            <v/>
          </cell>
          <cell r="L5232" t="str">
            <v/>
          </cell>
          <cell r="M5232" t="str">
            <v/>
          </cell>
        </row>
        <row r="5233">
          <cell r="A5233">
            <v>31102192</v>
          </cell>
          <cell r="C5233">
            <v>31102192</v>
          </cell>
          <cell r="D5233">
            <v>31102192</v>
          </cell>
          <cell r="E5233">
            <v>31102192</v>
          </cell>
          <cell r="F5233">
            <v>31102192</v>
          </cell>
          <cell r="G5233">
            <v>31102192</v>
          </cell>
          <cell r="H5233">
            <v>31102192</v>
          </cell>
          <cell r="I5233" t="str">
            <v/>
          </cell>
          <cell r="J5233" t="str">
            <v/>
          </cell>
          <cell r="K5233" t="str">
            <v/>
          </cell>
          <cell r="L5233" t="str">
            <v/>
          </cell>
          <cell r="M5233" t="str">
            <v/>
          </cell>
        </row>
        <row r="5234">
          <cell r="A5234">
            <v>31102192</v>
          </cell>
          <cell r="C5234">
            <v>31102192</v>
          </cell>
          <cell r="D5234">
            <v>31102192</v>
          </cell>
          <cell r="E5234">
            <v>31102192</v>
          </cell>
          <cell r="F5234">
            <v>31102192</v>
          </cell>
          <cell r="G5234">
            <v>31102192</v>
          </cell>
          <cell r="H5234">
            <v>31102192</v>
          </cell>
          <cell r="I5234" t="str">
            <v/>
          </cell>
          <cell r="J5234" t="str">
            <v/>
          </cell>
          <cell r="K5234" t="str">
            <v/>
          </cell>
          <cell r="L5234" t="str">
            <v/>
          </cell>
          <cell r="M5234" t="str">
            <v/>
          </cell>
        </row>
        <row r="5235">
          <cell r="A5235">
            <v>31102192</v>
          </cell>
          <cell r="C5235">
            <v>31102192</v>
          </cell>
          <cell r="D5235">
            <v>31102192</v>
          </cell>
          <cell r="E5235">
            <v>31102192</v>
          </cell>
          <cell r="F5235">
            <v>31102192</v>
          </cell>
          <cell r="G5235">
            <v>31102192</v>
          </cell>
          <cell r="H5235">
            <v>31102192</v>
          </cell>
          <cell r="I5235" t="str">
            <v/>
          </cell>
          <cell r="J5235" t="str">
            <v/>
          </cell>
          <cell r="K5235" t="str">
            <v/>
          </cell>
          <cell r="L5235" t="str">
            <v/>
          </cell>
          <cell r="M5235" t="str">
            <v/>
          </cell>
        </row>
        <row r="5236">
          <cell r="A5236">
            <v>31102192</v>
          </cell>
          <cell r="C5236">
            <v>31102192</v>
          </cell>
          <cell r="D5236">
            <v>31102192</v>
          </cell>
          <cell r="E5236">
            <v>31102192</v>
          </cell>
          <cell r="F5236">
            <v>31102192</v>
          </cell>
          <cell r="G5236">
            <v>31102192</v>
          </cell>
          <cell r="H5236">
            <v>31102192</v>
          </cell>
          <cell r="I5236" t="str">
            <v/>
          </cell>
          <cell r="J5236" t="str">
            <v/>
          </cell>
          <cell r="K5236" t="str">
            <v/>
          </cell>
          <cell r="L5236" t="str">
            <v/>
          </cell>
          <cell r="M5236" t="str">
            <v/>
          </cell>
        </row>
        <row r="5237">
          <cell r="A5237">
            <v>31102192</v>
          </cell>
          <cell r="C5237">
            <v>31102192</v>
          </cell>
          <cell r="D5237">
            <v>31102192</v>
          </cell>
          <cell r="E5237">
            <v>31102192</v>
          </cell>
          <cell r="F5237">
            <v>31102192</v>
          </cell>
          <cell r="G5237">
            <v>31102192</v>
          </cell>
          <cell r="H5237">
            <v>31102192</v>
          </cell>
          <cell r="I5237" t="str">
            <v/>
          </cell>
          <cell r="J5237" t="str">
            <v/>
          </cell>
          <cell r="K5237" t="str">
            <v/>
          </cell>
          <cell r="L5237" t="str">
            <v/>
          </cell>
          <cell r="M5237" t="str">
            <v/>
          </cell>
        </row>
        <row r="5238">
          <cell r="A5238">
            <v>31102192</v>
          </cell>
          <cell r="C5238">
            <v>31102192</v>
          </cell>
          <cell r="D5238">
            <v>31102192</v>
          </cell>
          <cell r="E5238">
            <v>31102192</v>
          </cell>
          <cell r="F5238">
            <v>31102192</v>
          </cell>
          <cell r="G5238">
            <v>31102192</v>
          </cell>
          <cell r="H5238">
            <v>31102192</v>
          </cell>
          <cell r="I5238" t="str">
            <v/>
          </cell>
          <cell r="J5238" t="str">
            <v/>
          </cell>
          <cell r="K5238" t="str">
            <v/>
          </cell>
          <cell r="L5238" t="str">
            <v/>
          </cell>
          <cell r="M5238" t="str">
            <v/>
          </cell>
        </row>
        <row r="5239">
          <cell r="A5239">
            <v>31102192</v>
          </cell>
          <cell r="C5239">
            <v>31102192</v>
          </cell>
          <cell r="D5239">
            <v>31102192</v>
          </cell>
          <cell r="E5239">
            <v>31102192</v>
          </cell>
          <cell r="F5239">
            <v>31102192</v>
          </cell>
          <cell r="G5239">
            <v>31102192</v>
          </cell>
          <cell r="H5239">
            <v>31102192</v>
          </cell>
          <cell r="I5239" t="str">
            <v/>
          </cell>
          <cell r="J5239" t="str">
            <v/>
          </cell>
          <cell r="K5239" t="str">
            <v/>
          </cell>
          <cell r="L5239" t="str">
            <v/>
          </cell>
          <cell r="M5239" t="str">
            <v/>
          </cell>
        </row>
        <row r="5240">
          <cell r="A5240">
            <v>31102192</v>
          </cell>
          <cell r="C5240">
            <v>31102192</v>
          </cell>
          <cell r="D5240">
            <v>31102192</v>
          </cell>
          <cell r="E5240">
            <v>31102192</v>
          </cell>
          <cell r="F5240">
            <v>31102192</v>
          </cell>
          <cell r="G5240">
            <v>31102192</v>
          </cell>
          <cell r="H5240">
            <v>31102192</v>
          </cell>
          <cell r="I5240" t="str">
            <v/>
          </cell>
          <cell r="J5240" t="str">
            <v/>
          </cell>
          <cell r="K5240" t="str">
            <v/>
          </cell>
          <cell r="L5240" t="str">
            <v/>
          </cell>
          <cell r="M5240" t="str">
            <v/>
          </cell>
        </row>
        <row r="5241">
          <cell r="A5241">
            <v>31102192</v>
          </cell>
          <cell r="C5241">
            <v>31102192</v>
          </cell>
          <cell r="D5241">
            <v>31102192</v>
          </cell>
          <cell r="E5241">
            <v>31102192</v>
          </cell>
          <cell r="F5241">
            <v>31102192</v>
          </cell>
          <cell r="G5241">
            <v>31102192</v>
          </cell>
          <cell r="H5241">
            <v>31102192</v>
          </cell>
          <cell r="I5241" t="str">
            <v/>
          </cell>
          <cell r="J5241" t="str">
            <v/>
          </cell>
          <cell r="K5241" t="str">
            <v/>
          </cell>
          <cell r="L5241" t="str">
            <v/>
          </cell>
          <cell r="M5241" t="str">
            <v/>
          </cell>
        </row>
        <row r="5242">
          <cell r="A5242">
            <v>31102192</v>
          </cell>
          <cell r="C5242">
            <v>31102192</v>
          </cell>
          <cell r="D5242">
            <v>31102192</v>
          </cell>
          <cell r="E5242">
            <v>31102192</v>
          </cell>
          <cell r="F5242">
            <v>31102192</v>
          </cell>
          <cell r="G5242">
            <v>31102192</v>
          </cell>
          <cell r="H5242">
            <v>31102192</v>
          </cell>
          <cell r="I5242" t="str">
            <v/>
          </cell>
          <cell r="J5242" t="str">
            <v/>
          </cell>
          <cell r="K5242" t="str">
            <v/>
          </cell>
          <cell r="L5242" t="str">
            <v/>
          </cell>
          <cell r="M5242" t="str">
            <v/>
          </cell>
        </row>
        <row r="5243">
          <cell r="A5243">
            <v>31102192</v>
          </cell>
          <cell r="C5243">
            <v>31102192</v>
          </cell>
          <cell r="D5243">
            <v>31102192</v>
          </cell>
          <cell r="E5243">
            <v>31102192</v>
          </cell>
          <cell r="F5243">
            <v>31102192</v>
          </cell>
          <cell r="G5243">
            <v>31102192</v>
          </cell>
          <cell r="H5243">
            <v>31102192</v>
          </cell>
          <cell r="I5243" t="str">
            <v/>
          </cell>
          <cell r="J5243" t="str">
            <v/>
          </cell>
          <cell r="K5243" t="str">
            <v/>
          </cell>
          <cell r="L5243" t="str">
            <v/>
          </cell>
          <cell r="M5243" t="str">
            <v/>
          </cell>
        </row>
        <row r="5244">
          <cell r="A5244">
            <v>31102192</v>
          </cell>
          <cell r="C5244">
            <v>31102192</v>
          </cell>
          <cell r="D5244">
            <v>31102192</v>
          </cell>
          <cell r="E5244">
            <v>31102192</v>
          </cell>
          <cell r="F5244">
            <v>31102192</v>
          </cell>
          <cell r="G5244">
            <v>31102192</v>
          </cell>
          <cell r="H5244">
            <v>31102192</v>
          </cell>
          <cell r="I5244" t="str">
            <v/>
          </cell>
          <cell r="J5244" t="str">
            <v/>
          </cell>
          <cell r="K5244" t="str">
            <v/>
          </cell>
          <cell r="L5244" t="str">
            <v/>
          </cell>
          <cell r="M5244" t="str">
            <v/>
          </cell>
        </row>
        <row r="5245">
          <cell r="A5245">
            <v>31102192</v>
          </cell>
          <cell r="C5245">
            <v>31102192</v>
          </cell>
          <cell r="D5245">
            <v>31102192</v>
          </cell>
          <cell r="E5245">
            <v>31102192</v>
          </cell>
          <cell r="F5245">
            <v>31102192</v>
          </cell>
          <cell r="G5245">
            <v>31102192</v>
          </cell>
          <cell r="H5245">
            <v>31102192</v>
          </cell>
          <cell r="I5245" t="str">
            <v/>
          </cell>
          <cell r="J5245" t="str">
            <v/>
          </cell>
          <cell r="K5245" t="str">
            <v/>
          </cell>
          <cell r="L5245" t="str">
            <v/>
          </cell>
          <cell r="M5245" t="str">
            <v/>
          </cell>
        </row>
        <row r="5246">
          <cell r="A5246">
            <v>31102192</v>
          </cell>
          <cell r="C5246">
            <v>31102192</v>
          </cell>
          <cell r="D5246">
            <v>31102192</v>
          </cell>
          <cell r="E5246">
            <v>31102192</v>
          </cell>
          <cell r="F5246">
            <v>31102192</v>
          </cell>
          <cell r="G5246">
            <v>31102192</v>
          </cell>
          <cell r="H5246">
            <v>31102192</v>
          </cell>
          <cell r="I5246" t="str">
            <v/>
          </cell>
          <cell r="J5246" t="str">
            <v/>
          </cell>
          <cell r="K5246" t="str">
            <v/>
          </cell>
          <cell r="L5246" t="str">
            <v/>
          </cell>
          <cell r="M5246" t="str">
            <v/>
          </cell>
        </row>
        <row r="5247">
          <cell r="A5247">
            <v>31102192</v>
          </cell>
          <cell r="C5247">
            <v>31102192</v>
          </cell>
          <cell r="D5247">
            <v>31102192</v>
          </cell>
          <cell r="E5247">
            <v>31102192</v>
          </cell>
          <cell r="F5247">
            <v>31102192</v>
          </cell>
          <cell r="G5247">
            <v>31102192</v>
          </cell>
          <cell r="H5247">
            <v>31102192</v>
          </cell>
          <cell r="I5247" t="str">
            <v/>
          </cell>
          <cell r="J5247" t="str">
            <v/>
          </cell>
          <cell r="K5247" t="str">
            <v/>
          </cell>
          <cell r="L5247" t="str">
            <v/>
          </cell>
          <cell r="M5247" t="str">
            <v/>
          </cell>
        </row>
        <row r="5248">
          <cell r="A5248">
            <v>31102192</v>
          </cell>
          <cell r="C5248">
            <v>31102192</v>
          </cell>
          <cell r="D5248">
            <v>31102192</v>
          </cell>
          <cell r="E5248">
            <v>31102192</v>
          </cell>
          <cell r="F5248">
            <v>31102192</v>
          </cell>
          <cell r="G5248">
            <v>31102192</v>
          </cell>
          <cell r="H5248">
            <v>31102192</v>
          </cell>
          <cell r="I5248" t="str">
            <v/>
          </cell>
          <cell r="J5248" t="str">
            <v/>
          </cell>
          <cell r="K5248" t="str">
            <v/>
          </cell>
          <cell r="L5248" t="str">
            <v/>
          </cell>
          <cell r="M5248" t="str">
            <v/>
          </cell>
        </row>
        <row r="5249">
          <cell r="A5249">
            <v>31102192</v>
          </cell>
          <cell r="C5249">
            <v>31102192</v>
          </cell>
          <cell r="D5249">
            <v>31102192</v>
          </cell>
          <cell r="E5249">
            <v>31102192</v>
          </cell>
          <cell r="F5249">
            <v>31102192</v>
          </cell>
          <cell r="G5249">
            <v>31102192</v>
          </cell>
          <cell r="H5249">
            <v>31102192</v>
          </cell>
          <cell r="I5249" t="str">
            <v/>
          </cell>
          <cell r="J5249" t="str">
            <v/>
          </cell>
          <cell r="K5249" t="str">
            <v/>
          </cell>
          <cell r="L5249" t="str">
            <v/>
          </cell>
          <cell r="M5249" t="str">
            <v/>
          </cell>
        </row>
        <row r="5250">
          <cell r="A5250">
            <v>31102192</v>
          </cell>
          <cell r="C5250">
            <v>31102192</v>
          </cell>
          <cell r="D5250">
            <v>31102192</v>
          </cell>
          <cell r="E5250">
            <v>31102192</v>
          </cell>
          <cell r="F5250">
            <v>31102192</v>
          </cell>
          <cell r="G5250">
            <v>31102192</v>
          </cell>
          <cell r="H5250">
            <v>31102192</v>
          </cell>
          <cell r="I5250" t="str">
            <v/>
          </cell>
          <cell r="J5250" t="str">
            <v/>
          </cell>
          <cell r="K5250" t="str">
            <v/>
          </cell>
          <cell r="L5250" t="str">
            <v/>
          </cell>
          <cell r="M5250" t="str">
            <v/>
          </cell>
        </row>
        <row r="5251">
          <cell r="A5251">
            <v>31102192</v>
          </cell>
          <cell r="C5251">
            <v>31102192</v>
          </cell>
          <cell r="D5251">
            <v>31102192</v>
          </cell>
          <cell r="E5251">
            <v>31102192</v>
          </cell>
          <cell r="F5251">
            <v>31102192</v>
          </cell>
          <cell r="G5251">
            <v>31102192</v>
          </cell>
          <cell r="H5251">
            <v>31102192</v>
          </cell>
          <cell r="I5251" t="str">
            <v/>
          </cell>
          <cell r="J5251" t="str">
            <v/>
          </cell>
          <cell r="K5251" t="str">
            <v/>
          </cell>
          <cell r="L5251" t="str">
            <v/>
          </cell>
          <cell r="M5251" t="str">
            <v/>
          </cell>
        </row>
        <row r="5252">
          <cell r="A5252">
            <v>31102192</v>
          </cell>
          <cell r="C5252">
            <v>31102192</v>
          </cell>
          <cell r="D5252">
            <v>31102192</v>
          </cell>
          <cell r="E5252">
            <v>31102192</v>
          </cell>
          <cell r="F5252">
            <v>31102192</v>
          </cell>
          <cell r="G5252">
            <v>31102192</v>
          </cell>
          <cell r="H5252">
            <v>31102192</v>
          </cell>
          <cell r="I5252" t="str">
            <v/>
          </cell>
          <cell r="J5252" t="str">
            <v/>
          </cell>
          <cell r="K5252" t="str">
            <v/>
          </cell>
          <cell r="L5252" t="str">
            <v/>
          </cell>
          <cell r="M5252" t="str">
            <v/>
          </cell>
        </row>
        <row r="5253">
          <cell r="A5253">
            <v>31102192</v>
          </cell>
          <cell r="C5253">
            <v>31102192</v>
          </cell>
          <cell r="D5253">
            <v>31102192</v>
          </cell>
          <cell r="E5253">
            <v>31102192</v>
          </cell>
          <cell r="F5253">
            <v>31102192</v>
          </cell>
          <cell r="G5253">
            <v>31102192</v>
          </cell>
          <cell r="H5253">
            <v>31102192</v>
          </cell>
          <cell r="I5253" t="str">
            <v/>
          </cell>
          <cell r="J5253" t="str">
            <v/>
          </cell>
          <cell r="K5253" t="str">
            <v/>
          </cell>
          <cell r="L5253" t="str">
            <v/>
          </cell>
          <cell r="M5253" t="str">
            <v/>
          </cell>
        </row>
        <row r="5254">
          <cell r="A5254">
            <v>31102192</v>
          </cell>
          <cell r="C5254">
            <v>31102192</v>
          </cell>
          <cell r="D5254">
            <v>31102192</v>
          </cell>
          <cell r="E5254">
            <v>31102192</v>
          </cell>
          <cell r="F5254">
            <v>31102192</v>
          </cell>
          <cell r="G5254">
            <v>31102192</v>
          </cell>
          <cell r="H5254">
            <v>31102192</v>
          </cell>
          <cell r="I5254" t="str">
            <v/>
          </cell>
          <cell r="J5254" t="str">
            <v/>
          </cell>
          <cell r="K5254" t="str">
            <v/>
          </cell>
          <cell r="L5254" t="str">
            <v/>
          </cell>
          <cell r="M5254" t="str">
            <v/>
          </cell>
        </row>
        <row r="5255">
          <cell r="A5255">
            <v>31102192</v>
          </cell>
          <cell r="C5255">
            <v>31102192</v>
          </cell>
          <cell r="D5255">
            <v>31102192</v>
          </cell>
          <cell r="E5255">
            <v>31102192</v>
          </cell>
          <cell r="F5255">
            <v>31102192</v>
          </cell>
          <cell r="G5255">
            <v>31102192</v>
          </cell>
          <cell r="H5255">
            <v>31102192</v>
          </cell>
          <cell r="I5255" t="str">
            <v/>
          </cell>
          <cell r="J5255" t="str">
            <v/>
          </cell>
          <cell r="K5255" t="str">
            <v/>
          </cell>
          <cell r="L5255" t="str">
            <v/>
          </cell>
          <cell r="M5255" t="str">
            <v/>
          </cell>
        </row>
        <row r="5256">
          <cell r="A5256">
            <v>31102192</v>
          </cell>
          <cell r="C5256">
            <v>31102192</v>
          </cell>
          <cell r="D5256">
            <v>31102192</v>
          </cell>
          <cell r="E5256">
            <v>31102192</v>
          </cell>
          <cell r="F5256">
            <v>31102192</v>
          </cell>
          <cell r="G5256">
            <v>31102192</v>
          </cell>
          <cell r="H5256">
            <v>31102192</v>
          </cell>
          <cell r="I5256" t="str">
            <v/>
          </cell>
          <cell r="J5256" t="str">
            <v/>
          </cell>
          <cell r="K5256" t="str">
            <v/>
          </cell>
          <cell r="L5256" t="str">
            <v/>
          </cell>
          <cell r="M5256" t="str">
            <v/>
          </cell>
        </row>
        <row r="5257">
          <cell r="A5257">
            <v>31102192</v>
          </cell>
          <cell r="C5257">
            <v>31102192</v>
          </cell>
          <cell r="D5257">
            <v>31102192</v>
          </cell>
          <cell r="E5257">
            <v>31102192</v>
          </cell>
          <cell r="F5257">
            <v>31102192</v>
          </cell>
          <cell r="G5257">
            <v>31102192</v>
          </cell>
          <cell r="H5257">
            <v>31102192</v>
          </cell>
          <cell r="I5257" t="str">
            <v/>
          </cell>
          <cell r="J5257" t="str">
            <v/>
          </cell>
          <cell r="K5257" t="str">
            <v/>
          </cell>
          <cell r="L5257" t="str">
            <v/>
          </cell>
          <cell r="M5257" t="str">
            <v/>
          </cell>
        </row>
        <row r="5258">
          <cell r="A5258">
            <v>31102192</v>
          </cell>
          <cell r="C5258">
            <v>31102192</v>
          </cell>
          <cell r="D5258">
            <v>31102192</v>
          </cell>
          <cell r="E5258">
            <v>31102192</v>
          </cell>
          <cell r="F5258">
            <v>31102192</v>
          </cell>
          <cell r="G5258">
            <v>31102192</v>
          </cell>
          <cell r="H5258">
            <v>31102192</v>
          </cell>
          <cell r="I5258" t="str">
            <v/>
          </cell>
          <cell r="J5258" t="str">
            <v/>
          </cell>
          <cell r="K5258" t="str">
            <v/>
          </cell>
          <cell r="L5258" t="str">
            <v/>
          </cell>
          <cell r="M5258" t="str">
            <v/>
          </cell>
        </row>
        <row r="5259">
          <cell r="A5259">
            <v>31102192</v>
          </cell>
          <cell r="C5259">
            <v>31102192</v>
          </cell>
          <cell r="D5259">
            <v>31102192</v>
          </cell>
          <cell r="E5259">
            <v>31102192</v>
          </cell>
          <cell r="F5259">
            <v>31102192</v>
          </cell>
          <cell r="G5259">
            <v>31102192</v>
          </cell>
          <cell r="H5259">
            <v>31102192</v>
          </cell>
          <cell r="I5259" t="str">
            <v/>
          </cell>
          <cell r="J5259" t="str">
            <v/>
          </cell>
          <cell r="K5259" t="str">
            <v/>
          </cell>
          <cell r="L5259" t="str">
            <v/>
          </cell>
          <cell r="M5259" t="str">
            <v/>
          </cell>
        </row>
        <row r="5260">
          <cell r="A5260">
            <v>31102192</v>
          </cell>
          <cell r="C5260">
            <v>31102192</v>
          </cell>
          <cell r="D5260">
            <v>31102192</v>
          </cell>
          <cell r="E5260">
            <v>31102192</v>
          </cell>
          <cell r="F5260">
            <v>31102192</v>
          </cell>
          <cell r="G5260">
            <v>31102192</v>
          </cell>
          <cell r="H5260">
            <v>31102192</v>
          </cell>
          <cell r="I5260" t="str">
            <v/>
          </cell>
          <cell r="J5260" t="str">
            <v/>
          </cell>
          <cell r="K5260" t="str">
            <v/>
          </cell>
          <cell r="L5260" t="str">
            <v/>
          </cell>
          <cell r="M5260" t="str">
            <v/>
          </cell>
        </row>
        <row r="5261">
          <cell r="A5261">
            <v>31102192</v>
          </cell>
          <cell r="C5261">
            <v>31102192</v>
          </cell>
          <cell r="D5261">
            <v>31102192</v>
          </cell>
          <cell r="E5261">
            <v>31102192</v>
          </cell>
          <cell r="F5261">
            <v>31102192</v>
          </cell>
          <cell r="G5261">
            <v>31102192</v>
          </cell>
          <cell r="H5261">
            <v>31102192</v>
          </cell>
          <cell r="I5261" t="str">
            <v/>
          </cell>
          <cell r="J5261" t="str">
            <v/>
          </cell>
          <cell r="K5261" t="str">
            <v/>
          </cell>
          <cell r="L5261" t="str">
            <v/>
          </cell>
          <cell r="M5261" t="str">
            <v/>
          </cell>
        </row>
        <row r="5262">
          <cell r="A5262">
            <v>31102192</v>
          </cell>
          <cell r="C5262">
            <v>31102192</v>
          </cell>
          <cell r="D5262">
            <v>31102192</v>
          </cell>
          <cell r="E5262">
            <v>31102192</v>
          </cell>
          <cell r="F5262">
            <v>31102192</v>
          </cell>
          <cell r="G5262">
            <v>31102192</v>
          </cell>
          <cell r="H5262">
            <v>31102192</v>
          </cell>
          <cell r="I5262" t="str">
            <v/>
          </cell>
          <cell r="J5262" t="str">
            <v/>
          </cell>
          <cell r="K5262" t="str">
            <v/>
          </cell>
          <cell r="L5262" t="str">
            <v/>
          </cell>
          <cell r="M5262" t="str">
            <v/>
          </cell>
        </row>
        <row r="5263">
          <cell r="A5263">
            <v>31102192</v>
          </cell>
          <cell r="C5263">
            <v>31102192</v>
          </cell>
          <cell r="D5263">
            <v>31102192</v>
          </cell>
          <cell r="E5263">
            <v>31102192</v>
          </cell>
          <cell r="F5263">
            <v>31102192</v>
          </cell>
          <cell r="G5263">
            <v>31102192</v>
          </cell>
          <cell r="H5263">
            <v>31102192</v>
          </cell>
          <cell r="I5263" t="str">
            <v/>
          </cell>
          <cell r="J5263" t="str">
            <v/>
          </cell>
          <cell r="K5263" t="str">
            <v/>
          </cell>
          <cell r="L5263" t="str">
            <v/>
          </cell>
          <cell r="M5263" t="str">
            <v/>
          </cell>
        </row>
        <row r="5264">
          <cell r="A5264">
            <v>31102192</v>
          </cell>
          <cell r="C5264">
            <v>31102192</v>
          </cell>
          <cell r="D5264">
            <v>31102192</v>
          </cell>
          <cell r="E5264">
            <v>31102192</v>
          </cell>
          <cell r="F5264">
            <v>31102192</v>
          </cell>
          <cell r="G5264">
            <v>31102192</v>
          </cell>
          <cell r="H5264">
            <v>31102192</v>
          </cell>
          <cell r="I5264" t="str">
            <v/>
          </cell>
          <cell r="J5264" t="str">
            <v/>
          </cell>
          <cell r="K5264" t="str">
            <v/>
          </cell>
          <cell r="L5264" t="str">
            <v/>
          </cell>
          <cell r="M5264" t="str">
            <v/>
          </cell>
        </row>
        <row r="5265">
          <cell r="A5265">
            <v>31102192</v>
          </cell>
          <cell r="C5265">
            <v>31102192</v>
          </cell>
          <cell r="D5265">
            <v>31102192</v>
          </cell>
          <cell r="E5265">
            <v>31102192</v>
          </cell>
          <cell r="F5265">
            <v>31102192</v>
          </cell>
          <cell r="G5265">
            <v>31102192</v>
          </cell>
          <cell r="H5265">
            <v>31102192</v>
          </cell>
          <cell r="I5265" t="str">
            <v/>
          </cell>
          <cell r="J5265" t="str">
            <v/>
          </cell>
          <cell r="K5265" t="str">
            <v/>
          </cell>
          <cell r="L5265" t="str">
            <v/>
          </cell>
          <cell r="M5265" t="str">
            <v/>
          </cell>
        </row>
        <row r="5266">
          <cell r="A5266">
            <v>31102192</v>
          </cell>
          <cell r="C5266">
            <v>31102192</v>
          </cell>
          <cell r="D5266">
            <v>31102192</v>
          </cell>
          <cell r="E5266">
            <v>31102192</v>
          </cell>
          <cell r="F5266">
            <v>31102192</v>
          </cell>
          <cell r="G5266">
            <v>31102192</v>
          </cell>
          <cell r="H5266">
            <v>31102192</v>
          </cell>
          <cell r="I5266" t="str">
            <v/>
          </cell>
          <cell r="J5266" t="str">
            <v/>
          </cell>
          <cell r="K5266" t="str">
            <v/>
          </cell>
          <cell r="L5266" t="str">
            <v/>
          </cell>
          <cell r="M5266" t="str">
            <v/>
          </cell>
        </row>
        <row r="5267">
          <cell r="A5267">
            <v>31102192</v>
          </cell>
          <cell r="C5267">
            <v>31102192</v>
          </cell>
          <cell r="D5267">
            <v>31102192</v>
          </cell>
          <cell r="E5267">
            <v>31102192</v>
          </cell>
          <cell r="F5267">
            <v>31102192</v>
          </cell>
          <cell r="G5267">
            <v>31102192</v>
          </cell>
          <cell r="H5267">
            <v>31102192</v>
          </cell>
          <cell r="I5267" t="str">
            <v/>
          </cell>
          <cell r="J5267" t="str">
            <v/>
          </cell>
          <cell r="K5267" t="str">
            <v/>
          </cell>
          <cell r="L5267" t="str">
            <v/>
          </cell>
          <cell r="M5267" t="str">
            <v/>
          </cell>
        </row>
        <row r="5268">
          <cell r="A5268">
            <v>31102192</v>
          </cell>
          <cell r="C5268">
            <v>31102192</v>
          </cell>
          <cell r="D5268">
            <v>31102192</v>
          </cell>
          <cell r="E5268">
            <v>31102192</v>
          </cell>
          <cell r="F5268">
            <v>31102192</v>
          </cell>
          <cell r="G5268">
            <v>31102192</v>
          </cell>
          <cell r="H5268">
            <v>31102192</v>
          </cell>
          <cell r="I5268" t="str">
            <v/>
          </cell>
          <cell r="J5268" t="str">
            <v/>
          </cell>
          <cell r="K5268" t="str">
            <v/>
          </cell>
          <cell r="L5268" t="str">
            <v/>
          </cell>
          <cell r="M5268" t="str">
            <v/>
          </cell>
        </row>
        <row r="5269">
          <cell r="A5269">
            <v>31102192</v>
          </cell>
          <cell r="C5269">
            <v>31102192</v>
          </cell>
          <cell r="D5269">
            <v>31102192</v>
          </cell>
          <cell r="E5269">
            <v>31102192</v>
          </cell>
          <cell r="F5269">
            <v>31102192</v>
          </cell>
          <cell r="G5269">
            <v>31102192</v>
          </cell>
          <cell r="H5269">
            <v>31102192</v>
          </cell>
          <cell r="I5269" t="str">
            <v/>
          </cell>
          <cell r="J5269" t="str">
            <v/>
          </cell>
          <cell r="K5269" t="str">
            <v/>
          </cell>
          <cell r="L5269" t="str">
            <v/>
          </cell>
          <cell r="M5269" t="str">
            <v/>
          </cell>
        </row>
        <row r="5270">
          <cell r="A5270">
            <v>31102192</v>
          </cell>
          <cell r="C5270">
            <v>31102192</v>
          </cell>
          <cell r="D5270">
            <v>31102192</v>
          </cell>
          <cell r="E5270">
            <v>31102192</v>
          </cell>
          <cell r="F5270">
            <v>31102192</v>
          </cell>
          <cell r="G5270">
            <v>31102192</v>
          </cell>
          <cell r="H5270">
            <v>31102192</v>
          </cell>
          <cell r="I5270" t="str">
            <v/>
          </cell>
          <cell r="J5270" t="str">
            <v/>
          </cell>
          <cell r="K5270" t="str">
            <v/>
          </cell>
          <cell r="L5270" t="str">
            <v/>
          </cell>
          <cell r="M5270" t="str">
            <v/>
          </cell>
        </row>
        <row r="5271">
          <cell r="A5271">
            <v>31102192</v>
          </cell>
          <cell r="C5271">
            <v>31102192</v>
          </cell>
          <cell r="D5271">
            <v>31102192</v>
          </cell>
          <cell r="E5271">
            <v>31102192</v>
          </cell>
          <cell r="F5271">
            <v>31102192</v>
          </cell>
          <cell r="G5271">
            <v>31102192</v>
          </cell>
          <cell r="H5271">
            <v>31102192</v>
          </cell>
          <cell r="I5271" t="str">
            <v/>
          </cell>
          <cell r="J5271" t="str">
            <v/>
          </cell>
          <cell r="K5271" t="str">
            <v/>
          </cell>
          <cell r="L5271" t="str">
            <v/>
          </cell>
          <cell r="M5271" t="str">
            <v/>
          </cell>
        </row>
        <row r="5272">
          <cell r="A5272">
            <v>31102192</v>
          </cell>
          <cell r="C5272">
            <v>31102192</v>
          </cell>
          <cell r="D5272">
            <v>31102192</v>
          </cell>
          <cell r="E5272">
            <v>31102192</v>
          </cell>
          <cell r="F5272">
            <v>31102192</v>
          </cell>
          <cell r="G5272">
            <v>31102192</v>
          </cell>
          <cell r="H5272">
            <v>31102192</v>
          </cell>
          <cell r="I5272" t="str">
            <v/>
          </cell>
          <cell r="J5272" t="str">
            <v/>
          </cell>
          <cell r="K5272" t="str">
            <v/>
          </cell>
          <cell r="L5272" t="str">
            <v/>
          </cell>
          <cell r="M5272" t="str">
            <v/>
          </cell>
        </row>
        <row r="5273">
          <cell r="A5273">
            <v>31102192</v>
          </cell>
          <cell r="C5273">
            <v>31102192</v>
          </cell>
          <cell r="D5273">
            <v>31102192</v>
          </cell>
          <cell r="E5273">
            <v>31102192</v>
          </cell>
          <cell r="F5273">
            <v>31102192</v>
          </cell>
          <cell r="G5273">
            <v>31102192</v>
          </cell>
          <cell r="H5273">
            <v>31102192</v>
          </cell>
          <cell r="I5273" t="str">
            <v/>
          </cell>
          <cell r="J5273" t="str">
            <v/>
          </cell>
          <cell r="K5273" t="str">
            <v/>
          </cell>
          <cell r="L5273" t="str">
            <v/>
          </cell>
          <cell r="M5273" t="str">
            <v/>
          </cell>
        </row>
        <row r="5274">
          <cell r="A5274">
            <v>31102192</v>
          </cell>
          <cell r="C5274">
            <v>31102192</v>
          </cell>
          <cell r="D5274">
            <v>31102192</v>
          </cell>
          <cell r="E5274">
            <v>31102192</v>
          </cell>
          <cell r="F5274">
            <v>31102192</v>
          </cell>
          <cell r="G5274">
            <v>31102192</v>
          </cell>
          <cell r="H5274">
            <v>31102192</v>
          </cell>
          <cell r="I5274" t="str">
            <v/>
          </cell>
          <cell r="J5274" t="str">
            <v/>
          </cell>
          <cell r="K5274" t="str">
            <v/>
          </cell>
          <cell r="L5274" t="str">
            <v/>
          </cell>
          <cell r="M5274" t="str">
            <v/>
          </cell>
        </row>
        <row r="5275">
          <cell r="A5275">
            <v>31102192</v>
          </cell>
          <cell r="C5275">
            <v>31102192</v>
          </cell>
          <cell r="D5275">
            <v>31102192</v>
          </cell>
          <cell r="E5275">
            <v>31102192</v>
          </cell>
          <cell r="F5275">
            <v>31102192</v>
          </cell>
          <cell r="G5275">
            <v>31102192</v>
          </cell>
          <cell r="H5275">
            <v>31102192</v>
          </cell>
          <cell r="I5275" t="str">
            <v/>
          </cell>
          <cell r="J5275" t="str">
            <v/>
          </cell>
          <cell r="K5275" t="str">
            <v/>
          </cell>
          <cell r="L5275" t="str">
            <v/>
          </cell>
          <cell r="M5275" t="str">
            <v/>
          </cell>
        </row>
        <row r="5276">
          <cell r="A5276">
            <v>31102192</v>
          </cell>
          <cell r="C5276">
            <v>31102192</v>
          </cell>
          <cell r="D5276">
            <v>31102192</v>
          </cell>
          <cell r="E5276">
            <v>31102192</v>
          </cell>
          <cell r="F5276">
            <v>31102192</v>
          </cell>
          <cell r="G5276">
            <v>31102192</v>
          </cell>
          <cell r="H5276">
            <v>31102192</v>
          </cell>
          <cell r="I5276" t="str">
            <v/>
          </cell>
          <cell r="J5276" t="str">
            <v/>
          </cell>
          <cell r="K5276" t="str">
            <v/>
          </cell>
          <cell r="L5276" t="str">
            <v/>
          </cell>
          <cell r="M5276" t="str">
            <v/>
          </cell>
        </row>
        <row r="5277">
          <cell r="A5277">
            <v>31102192</v>
          </cell>
          <cell r="C5277">
            <v>31102192</v>
          </cell>
          <cell r="D5277">
            <v>31102192</v>
          </cell>
          <cell r="E5277">
            <v>31102192</v>
          </cell>
          <cell r="F5277">
            <v>31102192</v>
          </cell>
          <cell r="G5277">
            <v>31102192</v>
          </cell>
          <cell r="H5277">
            <v>31102192</v>
          </cell>
          <cell r="I5277" t="str">
            <v/>
          </cell>
          <cell r="J5277" t="str">
            <v/>
          </cell>
          <cell r="K5277" t="str">
            <v/>
          </cell>
          <cell r="L5277" t="str">
            <v/>
          </cell>
          <cell r="M5277" t="str">
            <v/>
          </cell>
        </row>
        <row r="5278">
          <cell r="A5278">
            <v>31102192</v>
          </cell>
          <cell r="C5278">
            <v>31102192</v>
          </cell>
          <cell r="D5278">
            <v>31102192</v>
          </cell>
          <cell r="E5278">
            <v>31102192</v>
          </cell>
          <cell r="F5278">
            <v>31102192</v>
          </cell>
          <cell r="G5278">
            <v>31102192</v>
          </cell>
          <cell r="H5278">
            <v>31102192</v>
          </cell>
          <cell r="I5278" t="str">
            <v/>
          </cell>
          <cell r="J5278" t="str">
            <v/>
          </cell>
          <cell r="K5278" t="str">
            <v/>
          </cell>
          <cell r="L5278" t="str">
            <v/>
          </cell>
          <cell r="M5278" t="str">
            <v/>
          </cell>
        </row>
        <row r="5279">
          <cell r="A5279">
            <v>31102192</v>
          </cell>
          <cell r="C5279">
            <v>31102192</v>
          </cell>
          <cell r="D5279">
            <v>31102192</v>
          </cell>
          <cell r="E5279">
            <v>31102192</v>
          </cell>
          <cell r="F5279">
            <v>31102192</v>
          </cell>
          <cell r="G5279">
            <v>31102192</v>
          </cell>
          <cell r="H5279">
            <v>31102192</v>
          </cell>
          <cell r="I5279" t="str">
            <v/>
          </cell>
          <cell r="J5279" t="str">
            <v/>
          </cell>
          <cell r="K5279" t="str">
            <v/>
          </cell>
          <cell r="L5279" t="str">
            <v/>
          </cell>
          <cell r="M5279" t="str">
            <v/>
          </cell>
        </row>
        <row r="5280">
          <cell r="A5280">
            <v>31102192</v>
          </cell>
          <cell r="C5280">
            <v>31102192</v>
          </cell>
          <cell r="D5280">
            <v>31102192</v>
          </cell>
          <cell r="E5280">
            <v>31102192</v>
          </cell>
          <cell r="F5280">
            <v>31102192</v>
          </cell>
          <cell r="G5280">
            <v>31102192</v>
          </cell>
          <cell r="H5280">
            <v>31102192</v>
          </cell>
          <cell r="I5280" t="str">
            <v/>
          </cell>
          <cell r="J5280" t="str">
            <v/>
          </cell>
          <cell r="K5280" t="str">
            <v/>
          </cell>
          <cell r="L5280" t="str">
            <v/>
          </cell>
          <cell r="M5280" t="str">
            <v/>
          </cell>
        </row>
        <row r="5281">
          <cell r="A5281">
            <v>31102192</v>
          </cell>
          <cell r="C5281">
            <v>31102192</v>
          </cell>
          <cell r="D5281">
            <v>31102192</v>
          </cell>
          <cell r="E5281">
            <v>31102192</v>
          </cell>
          <cell r="F5281">
            <v>31102192</v>
          </cell>
          <cell r="G5281">
            <v>31102192</v>
          </cell>
          <cell r="H5281">
            <v>31102192</v>
          </cell>
          <cell r="I5281" t="str">
            <v/>
          </cell>
          <cell r="J5281" t="str">
            <v/>
          </cell>
          <cell r="K5281" t="str">
            <v/>
          </cell>
          <cell r="L5281" t="str">
            <v/>
          </cell>
          <cell r="M5281" t="str">
            <v/>
          </cell>
        </row>
        <row r="5282">
          <cell r="A5282">
            <v>31102192</v>
          </cell>
          <cell r="C5282">
            <v>31102192</v>
          </cell>
          <cell r="D5282">
            <v>31102192</v>
          </cell>
          <cell r="E5282">
            <v>31102192</v>
          </cell>
          <cell r="F5282">
            <v>31102192</v>
          </cell>
          <cell r="G5282">
            <v>31102192</v>
          </cell>
          <cell r="H5282">
            <v>31102192</v>
          </cell>
          <cell r="I5282" t="str">
            <v/>
          </cell>
          <cell r="J5282" t="str">
            <v/>
          </cell>
          <cell r="K5282" t="str">
            <v/>
          </cell>
          <cell r="L5282" t="str">
            <v/>
          </cell>
          <cell r="M5282" t="str">
            <v/>
          </cell>
        </row>
        <row r="5283">
          <cell r="A5283">
            <v>31102192</v>
          </cell>
          <cell r="C5283">
            <v>31102192</v>
          </cell>
          <cell r="D5283">
            <v>31102192</v>
          </cell>
          <cell r="E5283">
            <v>31102192</v>
          </cell>
          <cell r="F5283">
            <v>31102192</v>
          </cell>
          <cell r="G5283">
            <v>31102192</v>
          </cell>
          <cell r="H5283">
            <v>31102192</v>
          </cell>
          <cell r="I5283" t="str">
            <v/>
          </cell>
          <cell r="J5283" t="str">
            <v/>
          </cell>
          <cell r="K5283" t="str">
            <v/>
          </cell>
          <cell r="L5283" t="str">
            <v/>
          </cell>
          <cell r="M5283" t="str">
            <v/>
          </cell>
        </row>
        <row r="5284">
          <cell r="A5284">
            <v>31102192</v>
          </cell>
          <cell r="C5284">
            <v>31102192</v>
          </cell>
          <cell r="D5284">
            <v>31102192</v>
          </cell>
          <cell r="E5284">
            <v>31102192</v>
          </cell>
          <cell r="F5284">
            <v>31102192</v>
          </cell>
          <cell r="G5284">
            <v>31102192</v>
          </cell>
          <cell r="H5284">
            <v>31102192</v>
          </cell>
          <cell r="I5284" t="str">
            <v/>
          </cell>
          <cell r="J5284" t="str">
            <v/>
          </cell>
          <cell r="K5284" t="str">
            <v/>
          </cell>
          <cell r="L5284" t="str">
            <v/>
          </cell>
          <cell r="M5284" t="str">
            <v/>
          </cell>
        </row>
        <row r="5285">
          <cell r="A5285">
            <v>31102192</v>
          </cell>
          <cell r="C5285">
            <v>31102192</v>
          </cell>
          <cell r="D5285">
            <v>31102192</v>
          </cell>
          <cell r="E5285">
            <v>31102192</v>
          </cell>
          <cell r="F5285">
            <v>31102192</v>
          </cell>
          <cell r="G5285">
            <v>31102192</v>
          </cell>
          <cell r="H5285">
            <v>31102192</v>
          </cell>
          <cell r="I5285" t="str">
            <v/>
          </cell>
          <cell r="J5285" t="str">
            <v/>
          </cell>
          <cell r="K5285" t="str">
            <v/>
          </cell>
          <cell r="L5285" t="str">
            <v/>
          </cell>
          <cell r="M5285" t="str">
            <v/>
          </cell>
        </row>
        <row r="5286">
          <cell r="A5286">
            <v>31102192</v>
          </cell>
          <cell r="C5286">
            <v>31102192</v>
          </cell>
          <cell r="D5286">
            <v>31102192</v>
          </cell>
          <cell r="E5286">
            <v>31102192</v>
          </cell>
          <cell r="F5286">
            <v>31102192</v>
          </cell>
          <cell r="G5286">
            <v>31102192</v>
          </cell>
          <cell r="H5286">
            <v>31102192</v>
          </cell>
          <cell r="I5286" t="str">
            <v/>
          </cell>
          <cell r="J5286" t="str">
            <v/>
          </cell>
          <cell r="K5286" t="str">
            <v/>
          </cell>
          <cell r="L5286" t="str">
            <v/>
          </cell>
          <cell r="M5286" t="str">
            <v/>
          </cell>
        </row>
        <row r="5287">
          <cell r="A5287">
            <v>31102192</v>
          </cell>
          <cell r="C5287">
            <v>31102192</v>
          </cell>
          <cell r="D5287">
            <v>31102192</v>
          </cell>
          <cell r="E5287">
            <v>31102192</v>
          </cell>
          <cell r="F5287">
            <v>31102192</v>
          </cell>
          <cell r="G5287">
            <v>31102192</v>
          </cell>
          <cell r="H5287">
            <v>31102192</v>
          </cell>
          <cell r="I5287" t="str">
            <v/>
          </cell>
          <cell r="J5287" t="str">
            <v/>
          </cell>
          <cell r="K5287" t="str">
            <v/>
          </cell>
          <cell r="L5287" t="str">
            <v/>
          </cell>
          <cell r="M5287" t="str">
            <v/>
          </cell>
        </row>
        <row r="5288">
          <cell r="A5288">
            <v>31102192</v>
          </cell>
          <cell r="C5288">
            <v>31102192</v>
          </cell>
          <cell r="D5288">
            <v>31102192</v>
          </cell>
          <cell r="E5288">
            <v>31102192</v>
          </cell>
          <cell r="F5288">
            <v>31102192</v>
          </cell>
          <cell r="G5288">
            <v>31102192</v>
          </cell>
          <cell r="H5288">
            <v>31102192</v>
          </cell>
          <cell r="I5288" t="str">
            <v/>
          </cell>
          <cell r="J5288" t="str">
            <v/>
          </cell>
          <cell r="K5288" t="str">
            <v/>
          </cell>
          <cell r="L5288" t="str">
            <v/>
          </cell>
          <cell r="M5288" t="str">
            <v/>
          </cell>
        </row>
        <row r="5289">
          <cell r="A5289">
            <v>31102192</v>
          </cell>
          <cell r="C5289">
            <v>31102192</v>
          </cell>
          <cell r="D5289">
            <v>31102192</v>
          </cell>
          <cell r="E5289">
            <v>31102192</v>
          </cell>
          <cell r="F5289">
            <v>31102192</v>
          </cell>
          <cell r="G5289">
            <v>31102192</v>
          </cell>
          <cell r="H5289">
            <v>31102192</v>
          </cell>
          <cell r="I5289" t="str">
            <v/>
          </cell>
          <cell r="J5289" t="str">
            <v/>
          </cell>
          <cell r="K5289" t="str">
            <v/>
          </cell>
          <cell r="L5289" t="str">
            <v/>
          </cell>
          <cell r="M5289" t="str">
            <v/>
          </cell>
        </row>
        <row r="5290">
          <cell r="A5290">
            <v>31102192</v>
          </cell>
          <cell r="C5290">
            <v>31102192</v>
          </cell>
          <cell r="D5290">
            <v>31102192</v>
          </cell>
          <cell r="E5290">
            <v>31102192</v>
          </cell>
          <cell r="F5290">
            <v>31102192</v>
          </cell>
          <cell r="G5290">
            <v>31102192</v>
          </cell>
          <cell r="H5290">
            <v>31102192</v>
          </cell>
          <cell r="I5290" t="str">
            <v/>
          </cell>
          <cell r="J5290" t="str">
            <v/>
          </cell>
          <cell r="K5290" t="str">
            <v/>
          </cell>
          <cell r="L5290" t="str">
            <v/>
          </cell>
          <cell r="M5290" t="str">
            <v/>
          </cell>
        </row>
        <row r="5291">
          <cell r="A5291">
            <v>31102192</v>
          </cell>
          <cell r="C5291">
            <v>31102192</v>
          </cell>
          <cell r="D5291">
            <v>31102192</v>
          </cell>
          <cell r="E5291">
            <v>31102192</v>
          </cell>
          <cell r="F5291">
            <v>31102192</v>
          </cell>
          <cell r="G5291">
            <v>31102192</v>
          </cell>
          <cell r="H5291">
            <v>31102192</v>
          </cell>
          <cell r="I5291" t="str">
            <v/>
          </cell>
          <cell r="J5291" t="str">
            <v/>
          </cell>
          <cell r="K5291" t="str">
            <v/>
          </cell>
          <cell r="L5291" t="str">
            <v/>
          </cell>
          <cell r="M5291" t="str">
            <v/>
          </cell>
        </row>
        <row r="5292">
          <cell r="A5292">
            <v>31102192</v>
          </cell>
          <cell r="C5292">
            <v>31102192</v>
          </cell>
          <cell r="D5292">
            <v>31102192</v>
          </cell>
          <cell r="E5292">
            <v>31102192</v>
          </cell>
          <cell r="F5292">
            <v>31102192</v>
          </cell>
          <cell r="G5292">
            <v>31102192</v>
          </cell>
          <cell r="H5292">
            <v>31102192</v>
          </cell>
          <cell r="I5292" t="str">
            <v/>
          </cell>
          <cell r="J5292" t="str">
            <v/>
          </cell>
          <cell r="K5292" t="str">
            <v/>
          </cell>
          <cell r="L5292" t="str">
            <v/>
          </cell>
          <cell r="M5292" t="str">
            <v/>
          </cell>
        </row>
        <row r="5293">
          <cell r="A5293">
            <v>31102192</v>
          </cell>
          <cell r="C5293">
            <v>31102192</v>
          </cell>
          <cell r="D5293">
            <v>31102192</v>
          </cell>
          <cell r="E5293">
            <v>31102192</v>
          </cell>
          <cell r="F5293">
            <v>31102192</v>
          </cell>
          <cell r="G5293">
            <v>31102192</v>
          </cell>
          <cell r="H5293">
            <v>31102192</v>
          </cell>
          <cell r="I5293" t="str">
            <v/>
          </cell>
          <cell r="J5293" t="str">
            <v/>
          </cell>
          <cell r="K5293" t="str">
            <v/>
          </cell>
          <cell r="L5293" t="str">
            <v/>
          </cell>
          <cell r="M5293" t="str">
            <v/>
          </cell>
        </row>
        <row r="5294">
          <cell r="A5294">
            <v>31102192</v>
          </cell>
          <cell r="C5294">
            <v>31102192</v>
          </cell>
          <cell r="D5294">
            <v>31102192</v>
          </cell>
          <cell r="E5294">
            <v>31102192</v>
          </cell>
          <cell r="F5294">
            <v>31102192</v>
          </cell>
          <cell r="G5294">
            <v>31102192</v>
          </cell>
          <cell r="H5294">
            <v>31102192</v>
          </cell>
          <cell r="I5294" t="str">
            <v/>
          </cell>
          <cell r="J5294" t="str">
            <v/>
          </cell>
          <cell r="K5294" t="str">
            <v/>
          </cell>
          <cell r="L5294" t="str">
            <v/>
          </cell>
          <cell r="M5294" t="str">
            <v/>
          </cell>
        </row>
        <row r="5295">
          <cell r="A5295">
            <v>31102192</v>
          </cell>
          <cell r="C5295">
            <v>31102192</v>
          </cell>
          <cell r="D5295">
            <v>31102192</v>
          </cell>
          <cell r="E5295">
            <v>31102192</v>
          </cell>
          <cell r="F5295">
            <v>31102192</v>
          </cell>
          <cell r="G5295">
            <v>31102192</v>
          </cell>
          <cell r="H5295">
            <v>31102192</v>
          </cell>
          <cell r="I5295" t="str">
            <v/>
          </cell>
          <cell r="J5295" t="str">
            <v/>
          </cell>
          <cell r="K5295" t="str">
            <v/>
          </cell>
          <cell r="L5295" t="str">
            <v/>
          </cell>
          <cell r="M5295" t="str">
            <v/>
          </cell>
        </row>
        <row r="5296">
          <cell r="A5296">
            <v>31102192</v>
          </cell>
          <cell r="C5296">
            <v>31102192</v>
          </cell>
          <cell r="D5296">
            <v>31102192</v>
          </cell>
          <cell r="E5296">
            <v>31102192</v>
          </cell>
          <cell r="F5296">
            <v>31102192</v>
          </cell>
          <cell r="G5296">
            <v>31102192</v>
          </cell>
          <cell r="H5296">
            <v>31102192</v>
          </cell>
          <cell r="I5296" t="str">
            <v/>
          </cell>
          <cell r="J5296" t="str">
            <v/>
          </cell>
          <cell r="K5296" t="str">
            <v/>
          </cell>
          <cell r="L5296" t="str">
            <v/>
          </cell>
          <cell r="M5296" t="str">
            <v/>
          </cell>
        </row>
        <row r="5297">
          <cell r="A5297">
            <v>31102192</v>
          </cell>
          <cell r="C5297">
            <v>31102192</v>
          </cell>
          <cell r="D5297">
            <v>31102192</v>
          </cell>
          <cell r="E5297">
            <v>31102192</v>
          </cell>
          <cell r="F5297">
            <v>31102192</v>
          </cell>
          <cell r="G5297">
            <v>31102192</v>
          </cell>
          <cell r="H5297">
            <v>31102192</v>
          </cell>
          <cell r="I5297" t="str">
            <v/>
          </cell>
          <cell r="J5297" t="str">
            <v/>
          </cell>
          <cell r="K5297" t="str">
            <v/>
          </cell>
          <cell r="L5297" t="str">
            <v/>
          </cell>
          <cell r="M5297" t="str">
            <v/>
          </cell>
        </row>
        <row r="5298">
          <cell r="A5298">
            <v>31102192</v>
          </cell>
          <cell r="C5298">
            <v>31102192</v>
          </cell>
          <cell r="D5298">
            <v>31102192</v>
          </cell>
          <cell r="E5298">
            <v>31102192</v>
          </cell>
          <cell r="F5298">
            <v>31102192</v>
          </cell>
          <cell r="G5298">
            <v>31102192</v>
          </cell>
          <cell r="H5298">
            <v>31102192</v>
          </cell>
          <cell r="I5298" t="str">
            <v/>
          </cell>
          <cell r="J5298" t="str">
            <v/>
          </cell>
          <cell r="K5298" t="str">
            <v/>
          </cell>
          <cell r="L5298" t="str">
            <v/>
          </cell>
          <cell r="M5298" t="str">
            <v/>
          </cell>
        </row>
        <row r="5299">
          <cell r="A5299">
            <v>31102192</v>
          </cell>
          <cell r="C5299">
            <v>31102192</v>
          </cell>
          <cell r="D5299">
            <v>31102192</v>
          </cell>
          <cell r="E5299">
            <v>31102192</v>
          </cell>
          <cell r="F5299">
            <v>31102192</v>
          </cell>
          <cell r="G5299">
            <v>31102192</v>
          </cell>
          <cell r="H5299">
            <v>31102192</v>
          </cell>
          <cell r="I5299" t="str">
            <v/>
          </cell>
          <cell r="J5299" t="str">
            <v/>
          </cell>
          <cell r="K5299" t="str">
            <v/>
          </cell>
          <cell r="L5299" t="str">
            <v/>
          </cell>
          <cell r="M5299" t="str">
            <v/>
          </cell>
        </row>
        <row r="5300">
          <cell r="A5300">
            <v>31102192</v>
          </cell>
          <cell r="C5300">
            <v>31102192</v>
          </cell>
          <cell r="D5300">
            <v>31102192</v>
          </cell>
          <cell r="E5300">
            <v>31102192</v>
          </cell>
          <cell r="F5300">
            <v>31102192</v>
          </cell>
          <cell r="G5300">
            <v>31102192</v>
          </cell>
          <cell r="H5300">
            <v>31102192</v>
          </cell>
          <cell r="I5300" t="str">
            <v/>
          </cell>
          <cell r="J5300" t="str">
            <v/>
          </cell>
          <cell r="K5300" t="str">
            <v/>
          </cell>
          <cell r="L5300" t="str">
            <v/>
          </cell>
          <cell r="M5300" t="str">
            <v/>
          </cell>
        </row>
        <row r="5301">
          <cell r="A5301">
            <v>31102192</v>
          </cell>
          <cell r="C5301">
            <v>31102192</v>
          </cell>
          <cell r="D5301">
            <v>31102192</v>
          </cell>
          <cell r="E5301">
            <v>31102192</v>
          </cell>
          <cell r="F5301">
            <v>31102192</v>
          </cell>
          <cell r="G5301">
            <v>31102192</v>
          </cell>
          <cell r="H5301">
            <v>31102192</v>
          </cell>
          <cell r="I5301" t="str">
            <v/>
          </cell>
          <cell r="J5301" t="str">
            <v/>
          </cell>
          <cell r="K5301" t="str">
            <v/>
          </cell>
          <cell r="L5301" t="str">
            <v/>
          </cell>
          <cell r="M5301" t="str">
            <v/>
          </cell>
        </row>
        <row r="5302">
          <cell r="A5302">
            <v>31102192</v>
          </cell>
          <cell r="C5302">
            <v>31102192</v>
          </cell>
          <cell r="D5302">
            <v>31102192</v>
          </cell>
          <cell r="E5302">
            <v>31102192</v>
          </cell>
          <cell r="F5302">
            <v>31102192</v>
          </cell>
          <cell r="G5302">
            <v>31102192</v>
          </cell>
          <cell r="H5302">
            <v>31102192</v>
          </cell>
          <cell r="I5302" t="str">
            <v/>
          </cell>
          <cell r="J5302" t="str">
            <v/>
          </cell>
          <cell r="K5302" t="str">
            <v/>
          </cell>
          <cell r="L5302" t="str">
            <v/>
          </cell>
          <cell r="M5302" t="str">
            <v/>
          </cell>
        </row>
        <row r="5303">
          <cell r="A5303">
            <v>31102192</v>
          </cell>
          <cell r="C5303">
            <v>31102192</v>
          </cell>
          <cell r="D5303">
            <v>31102192</v>
          </cell>
          <cell r="E5303">
            <v>31102192</v>
          </cell>
          <cell r="F5303">
            <v>31102192</v>
          </cell>
          <cell r="G5303">
            <v>31102192</v>
          </cell>
          <cell r="H5303">
            <v>31102192</v>
          </cell>
          <cell r="I5303" t="str">
            <v/>
          </cell>
          <cell r="J5303" t="str">
            <v/>
          </cell>
          <cell r="K5303" t="str">
            <v/>
          </cell>
          <cell r="L5303" t="str">
            <v/>
          </cell>
          <cell r="M5303" t="str">
            <v/>
          </cell>
        </row>
        <row r="5304">
          <cell r="A5304">
            <v>31102192</v>
          </cell>
          <cell r="C5304">
            <v>31102192</v>
          </cell>
          <cell r="D5304">
            <v>31102192</v>
          </cell>
          <cell r="E5304">
            <v>31102192</v>
          </cell>
          <cell r="F5304">
            <v>31102192</v>
          </cell>
          <cell r="G5304">
            <v>31102192</v>
          </cell>
          <cell r="H5304">
            <v>31102192</v>
          </cell>
          <cell r="I5304" t="str">
            <v/>
          </cell>
          <cell r="J5304" t="str">
            <v/>
          </cell>
          <cell r="K5304" t="str">
            <v/>
          </cell>
          <cell r="L5304" t="str">
            <v/>
          </cell>
          <cell r="M5304" t="str">
            <v/>
          </cell>
        </row>
        <row r="5305">
          <cell r="A5305">
            <v>31102192</v>
          </cell>
          <cell r="C5305">
            <v>31102192</v>
          </cell>
          <cell r="D5305">
            <v>31102192</v>
          </cell>
          <cell r="E5305">
            <v>31102192</v>
          </cell>
          <cell r="F5305">
            <v>31102192</v>
          </cell>
          <cell r="G5305">
            <v>31102192</v>
          </cell>
          <cell r="H5305">
            <v>31102192</v>
          </cell>
          <cell r="I5305" t="str">
            <v/>
          </cell>
          <cell r="J5305" t="str">
            <v/>
          </cell>
          <cell r="K5305" t="str">
            <v/>
          </cell>
          <cell r="L5305" t="str">
            <v/>
          </cell>
          <cell r="M5305" t="str">
            <v/>
          </cell>
        </row>
        <row r="5306">
          <cell r="A5306">
            <v>31102192</v>
          </cell>
          <cell r="C5306">
            <v>31102192</v>
          </cell>
          <cell r="D5306">
            <v>31102192</v>
          </cell>
          <cell r="E5306">
            <v>31102192</v>
          </cell>
          <cell r="F5306">
            <v>31102192</v>
          </cell>
          <cell r="G5306">
            <v>31102192</v>
          </cell>
          <cell r="H5306">
            <v>31102192</v>
          </cell>
          <cell r="I5306" t="str">
            <v/>
          </cell>
          <cell r="J5306" t="str">
            <v/>
          </cell>
          <cell r="K5306" t="str">
            <v/>
          </cell>
          <cell r="L5306" t="str">
            <v/>
          </cell>
          <cell r="M5306" t="str">
            <v/>
          </cell>
        </row>
        <row r="5307">
          <cell r="A5307">
            <v>31102192</v>
          </cell>
          <cell r="C5307">
            <v>31102192</v>
          </cell>
          <cell r="D5307">
            <v>31102192</v>
          </cell>
          <cell r="E5307">
            <v>31102192</v>
          </cell>
          <cell r="F5307">
            <v>31102192</v>
          </cell>
          <cell r="G5307">
            <v>31102192</v>
          </cell>
          <cell r="H5307">
            <v>31102192</v>
          </cell>
          <cell r="I5307" t="str">
            <v/>
          </cell>
          <cell r="J5307" t="str">
            <v/>
          </cell>
          <cell r="K5307" t="str">
            <v/>
          </cell>
          <cell r="L5307" t="str">
            <v/>
          </cell>
          <cell r="M5307" t="str">
            <v/>
          </cell>
        </row>
        <row r="5308">
          <cell r="A5308">
            <v>31102192</v>
          </cell>
          <cell r="C5308">
            <v>31102192</v>
          </cell>
          <cell r="D5308">
            <v>31102192</v>
          </cell>
          <cell r="E5308">
            <v>31102192</v>
          </cell>
          <cell r="F5308">
            <v>31102192</v>
          </cell>
          <cell r="G5308">
            <v>31102192</v>
          </cell>
          <cell r="H5308">
            <v>31102192</v>
          </cell>
          <cell r="I5308" t="str">
            <v/>
          </cell>
          <cell r="J5308" t="str">
            <v/>
          </cell>
          <cell r="K5308" t="str">
            <v/>
          </cell>
          <cell r="L5308" t="str">
            <v/>
          </cell>
          <cell r="M5308" t="str">
            <v/>
          </cell>
        </row>
        <row r="5309">
          <cell r="A5309">
            <v>31102192</v>
          </cell>
          <cell r="C5309">
            <v>31102192</v>
          </cell>
          <cell r="D5309">
            <v>31102192</v>
          </cell>
          <cell r="E5309">
            <v>31102192</v>
          </cell>
          <cell r="F5309">
            <v>31102192</v>
          </cell>
          <cell r="G5309">
            <v>31102192</v>
          </cell>
          <cell r="H5309">
            <v>31102192</v>
          </cell>
          <cell r="I5309" t="str">
            <v/>
          </cell>
          <cell r="J5309" t="str">
            <v/>
          </cell>
          <cell r="K5309" t="str">
            <v/>
          </cell>
          <cell r="L5309" t="str">
            <v/>
          </cell>
          <cell r="M5309" t="str">
            <v/>
          </cell>
        </row>
        <row r="5310">
          <cell r="A5310">
            <v>31102192</v>
          </cell>
          <cell r="C5310">
            <v>31102192</v>
          </cell>
          <cell r="D5310">
            <v>31102192</v>
          </cell>
          <cell r="E5310">
            <v>31102192</v>
          </cell>
          <cell r="F5310">
            <v>31102192</v>
          </cell>
          <cell r="G5310">
            <v>31102192</v>
          </cell>
          <cell r="H5310">
            <v>31102192</v>
          </cell>
          <cell r="I5310" t="str">
            <v/>
          </cell>
          <cell r="J5310" t="str">
            <v/>
          </cell>
          <cell r="K5310" t="str">
            <v/>
          </cell>
          <cell r="L5310" t="str">
            <v/>
          </cell>
          <cell r="M5310" t="str">
            <v/>
          </cell>
        </row>
        <row r="5311">
          <cell r="A5311">
            <v>31102192</v>
          </cell>
          <cell r="C5311">
            <v>31102192</v>
          </cell>
          <cell r="D5311">
            <v>31102192</v>
          </cell>
          <cell r="E5311">
            <v>31102192</v>
          </cell>
          <cell r="F5311">
            <v>31102192</v>
          </cell>
          <cell r="G5311">
            <v>31102192</v>
          </cell>
          <cell r="H5311">
            <v>31102192</v>
          </cell>
          <cell r="I5311" t="str">
            <v/>
          </cell>
          <cell r="J5311" t="str">
            <v/>
          </cell>
          <cell r="K5311" t="str">
            <v/>
          </cell>
          <cell r="L5311" t="str">
            <v/>
          </cell>
          <cell r="M5311" t="str">
            <v/>
          </cell>
        </row>
        <row r="5312">
          <cell r="A5312">
            <v>31102192</v>
          </cell>
          <cell r="C5312">
            <v>31102192</v>
          </cell>
          <cell r="D5312">
            <v>31102192</v>
          </cell>
          <cell r="E5312">
            <v>31102192</v>
          </cell>
          <cell r="F5312">
            <v>31102192</v>
          </cell>
          <cell r="G5312">
            <v>31102192</v>
          </cell>
          <cell r="H5312">
            <v>31102192</v>
          </cell>
          <cell r="I5312" t="str">
            <v/>
          </cell>
          <cell r="J5312" t="str">
            <v/>
          </cell>
          <cell r="K5312" t="str">
            <v/>
          </cell>
          <cell r="L5312" t="str">
            <v/>
          </cell>
          <cell r="M5312" t="str">
            <v/>
          </cell>
        </row>
        <row r="5313">
          <cell r="A5313">
            <v>31102192</v>
          </cell>
          <cell r="C5313">
            <v>31102192</v>
          </cell>
          <cell r="D5313">
            <v>31102192</v>
          </cell>
          <cell r="E5313">
            <v>31102192</v>
          </cell>
          <cell r="F5313">
            <v>31102192</v>
          </cell>
          <cell r="G5313">
            <v>31102192</v>
          </cell>
          <cell r="H5313">
            <v>31102192</v>
          </cell>
          <cell r="I5313" t="str">
            <v/>
          </cell>
          <cell r="J5313" t="str">
            <v/>
          </cell>
          <cell r="K5313" t="str">
            <v/>
          </cell>
          <cell r="L5313" t="str">
            <v/>
          </cell>
          <cell r="M5313" t="str">
            <v/>
          </cell>
        </row>
        <row r="5314">
          <cell r="A5314">
            <v>31102192</v>
          </cell>
          <cell r="C5314">
            <v>31102192</v>
          </cell>
          <cell r="D5314">
            <v>31102192</v>
          </cell>
          <cell r="E5314">
            <v>31102192</v>
          </cell>
          <cell r="F5314">
            <v>31102192</v>
          </cell>
          <cell r="G5314">
            <v>31102192</v>
          </cell>
          <cell r="H5314">
            <v>31102192</v>
          </cell>
          <cell r="I5314" t="str">
            <v/>
          </cell>
          <cell r="J5314" t="str">
            <v/>
          </cell>
          <cell r="K5314" t="str">
            <v/>
          </cell>
          <cell r="L5314" t="str">
            <v/>
          </cell>
          <cell r="M5314" t="str">
            <v/>
          </cell>
        </row>
        <row r="5315">
          <cell r="A5315">
            <v>31102192</v>
          </cell>
          <cell r="C5315">
            <v>31102192</v>
          </cell>
          <cell r="D5315">
            <v>31102192</v>
          </cell>
          <cell r="E5315">
            <v>31102192</v>
          </cell>
          <cell r="F5315">
            <v>31102192</v>
          </cell>
          <cell r="G5315">
            <v>31102192</v>
          </cell>
          <cell r="H5315">
            <v>31102192</v>
          </cell>
          <cell r="I5315" t="str">
            <v/>
          </cell>
          <cell r="J5315" t="str">
            <v/>
          </cell>
          <cell r="K5315" t="str">
            <v/>
          </cell>
          <cell r="L5315" t="str">
            <v/>
          </cell>
          <cell r="M5315" t="str">
            <v/>
          </cell>
        </row>
        <row r="5316">
          <cell r="A5316">
            <v>31102192</v>
          </cell>
          <cell r="C5316">
            <v>31102192</v>
          </cell>
          <cell r="D5316">
            <v>31102192</v>
          </cell>
          <cell r="E5316">
            <v>31102192</v>
          </cell>
          <cell r="F5316">
            <v>31102192</v>
          </cell>
          <cell r="G5316">
            <v>31102192</v>
          </cell>
          <cell r="H5316">
            <v>31102192</v>
          </cell>
          <cell r="I5316" t="str">
            <v/>
          </cell>
          <cell r="J5316" t="str">
            <v/>
          </cell>
          <cell r="K5316" t="str">
            <v/>
          </cell>
          <cell r="L5316" t="str">
            <v/>
          </cell>
          <cell r="M5316" t="str">
            <v/>
          </cell>
        </row>
        <row r="5317">
          <cell r="A5317">
            <v>31102192</v>
          </cell>
          <cell r="C5317">
            <v>31102192</v>
          </cell>
          <cell r="D5317">
            <v>31102192</v>
          </cell>
          <cell r="E5317">
            <v>31102192</v>
          </cell>
          <cell r="F5317">
            <v>31102192</v>
          </cell>
          <cell r="G5317">
            <v>31102192</v>
          </cell>
          <cell r="H5317">
            <v>31102192</v>
          </cell>
          <cell r="I5317" t="str">
            <v/>
          </cell>
          <cell r="J5317" t="str">
            <v/>
          </cell>
          <cell r="K5317" t="str">
            <v/>
          </cell>
          <cell r="L5317" t="str">
            <v/>
          </cell>
          <cell r="M5317" t="str">
            <v/>
          </cell>
        </row>
        <row r="5318">
          <cell r="A5318">
            <v>31102192</v>
          </cell>
          <cell r="C5318">
            <v>31102192</v>
          </cell>
          <cell r="D5318">
            <v>31102192</v>
          </cell>
          <cell r="E5318">
            <v>31102192</v>
          </cell>
          <cell r="F5318">
            <v>31102192</v>
          </cell>
          <cell r="G5318">
            <v>31102192</v>
          </cell>
          <cell r="H5318">
            <v>31102192</v>
          </cell>
          <cell r="I5318" t="str">
            <v/>
          </cell>
          <cell r="J5318" t="str">
            <v/>
          </cell>
          <cell r="K5318" t="str">
            <v/>
          </cell>
          <cell r="L5318" t="str">
            <v/>
          </cell>
          <cell r="M5318" t="str">
            <v/>
          </cell>
        </row>
        <row r="5319">
          <cell r="A5319">
            <v>31102192</v>
          </cell>
          <cell r="C5319">
            <v>31102192</v>
          </cell>
          <cell r="D5319">
            <v>31102192</v>
          </cell>
          <cell r="E5319">
            <v>31102192</v>
          </cell>
          <cell r="F5319">
            <v>31102192</v>
          </cell>
          <cell r="G5319">
            <v>31102192</v>
          </cell>
          <cell r="H5319">
            <v>31102192</v>
          </cell>
          <cell r="I5319" t="str">
            <v/>
          </cell>
          <cell r="J5319" t="str">
            <v/>
          </cell>
          <cell r="K5319" t="str">
            <v/>
          </cell>
          <cell r="L5319" t="str">
            <v/>
          </cell>
          <cell r="M5319" t="str">
            <v/>
          </cell>
        </row>
        <row r="5320">
          <cell r="A5320">
            <v>31102192</v>
          </cell>
          <cell r="C5320">
            <v>31102192</v>
          </cell>
          <cell r="D5320">
            <v>31102192</v>
          </cell>
          <cell r="E5320">
            <v>31102192</v>
          </cell>
          <cell r="F5320">
            <v>31102192</v>
          </cell>
          <cell r="G5320">
            <v>31102192</v>
          </cell>
          <cell r="H5320">
            <v>31102192</v>
          </cell>
          <cell r="I5320" t="str">
            <v/>
          </cell>
          <cell r="J5320" t="str">
            <v/>
          </cell>
          <cell r="K5320" t="str">
            <v/>
          </cell>
          <cell r="L5320" t="str">
            <v/>
          </cell>
          <cell r="M5320" t="str">
            <v/>
          </cell>
        </row>
        <row r="5321">
          <cell r="A5321">
            <v>31102192</v>
          </cell>
          <cell r="C5321">
            <v>31102192</v>
          </cell>
          <cell r="D5321">
            <v>31102192</v>
          </cell>
          <cell r="E5321">
            <v>31102192</v>
          </cell>
          <cell r="F5321">
            <v>31102192</v>
          </cell>
          <cell r="G5321">
            <v>31102192</v>
          </cell>
          <cell r="H5321">
            <v>31102192</v>
          </cell>
          <cell r="I5321" t="str">
            <v/>
          </cell>
          <cell r="J5321" t="str">
            <v/>
          </cell>
          <cell r="K5321" t="str">
            <v/>
          </cell>
          <cell r="L5321" t="str">
            <v/>
          </cell>
          <cell r="M5321" t="str">
            <v/>
          </cell>
        </row>
        <row r="5322">
          <cell r="A5322">
            <v>31102192</v>
          </cell>
          <cell r="C5322">
            <v>31102192</v>
          </cell>
          <cell r="D5322">
            <v>31102192</v>
          </cell>
          <cell r="E5322">
            <v>31102192</v>
          </cell>
          <cell r="F5322">
            <v>31102192</v>
          </cell>
          <cell r="G5322">
            <v>31102192</v>
          </cell>
          <cell r="H5322">
            <v>31102192</v>
          </cell>
          <cell r="I5322" t="str">
            <v/>
          </cell>
          <cell r="J5322" t="str">
            <v/>
          </cell>
          <cell r="K5322" t="str">
            <v/>
          </cell>
          <cell r="L5322" t="str">
            <v/>
          </cell>
          <cell r="M5322" t="str">
            <v/>
          </cell>
        </row>
        <row r="5323">
          <cell r="A5323">
            <v>31102192</v>
          </cell>
          <cell r="C5323">
            <v>31102192</v>
          </cell>
          <cell r="D5323">
            <v>31102192</v>
          </cell>
          <cell r="E5323">
            <v>31102192</v>
          </cell>
          <cell r="F5323">
            <v>31102192</v>
          </cell>
          <cell r="G5323">
            <v>31102192</v>
          </cell>
          <cell r="H5323">
            <v>31102192</v>
          </cell>
          <cell r="I5323" t="str">
            <v/>
          </cell>
          <cell r="J5323" t="str">
            <v/>
          </cell>
          <cell r="K5323" t="str">
            <v/>
          </cell>
          <cell r="L5323" t="str">
            <v/>
          </cell>
          <cell r="M5323" t="str">
            <v/>
          </cell>
        </row>
        <row r="5324">
          <cell r="A5324">
            <v>31102192</v>
          </cell>
          <cell r="C5324">
            <v>31102192</v>
          </cell>
          <cell r="D5324">
            <v>31102192</v>
          </cell>
          <cell r="E5324">
            <v>31102192</v>
          </cell>
          <cell r="F5324">
            <v>31102192</v>
          </cell>
          <cell r="G5324">
            <v>31102192</v>
          </cell>
          <cell r="H5324">
            <v>31102192</v>
          </cell>
          <cell r="I5324" t="str">
            <v/>
          </cell>
          <cell r="J5324" t="str">
            <v/>
          </cell>
          <cell r="K5324" t="str">
            <v/>
          </cell>
          <cell r="L5324" t="str">
            <v/>
          </cell>
          <cell r="M5324" t="str">
            <v/>
          </cell>
        </row>
        <row r="5325">
          <cell r="A5325">
            <v>31102192</v>
          </cell>
          <cell r="C5325">
            <v>31102192</v>
          </cell>
          <cell r="D5325">
            <v>31102192</v>
          </cell>
          <cell r="E5325">
            <v>31102192</v>
          </cell>
          <cell r="F5325">
            <v>31102192</v>
          </cell>
          <cell r="G5325">
            <v>31102192</v>
          </cell>
          <cell r="H5325">
            <v>31102192</v>
          </cell>
          <cell r="I5325" t="str">
            <v/>
          </cell>
          <cell r="J5325" t="str">
            <v/>
          </cell>
          <cell r="K5325" t="str">
            <v/>
          </cell>
          <cell r="L5325" t="str">
            <v/>
          </cell>
          <cell r="M5325" t="str">
            <v/>
          </cell>
        </row>
        <row r="5326">
          <cell r="A5326">
            <v>31102192</v>
          </cell>
          <cell r="C5326">
            <v>31102192</v>
          </cell>
          <cell r="D5326">
            <v>31102192</v>
          </cell>
          <cell r="E5326">
            <v>31102192</v>
          </cell>
          <cell r="F5326">
            <v>31102192</v>
          </cell>
          <cell r="G5326">
            <v>31102192</v>
          </cell>
          <cell r="H5326">
            <v>31102192</v>
          </cell>
          <cell r="I5326" t="str">
            <v/>
          </cell>
          <cell r="J5326" t="str">
            <v/>
          </cell>
          <cell r="K5326" t="str">
            <v/>
          </cell>
          <cell r="L5326" t="str">
            <v/>
          </cell>
          <cell r="M5326" t="str">
            <v/>
          </cell>
        </row>
        <row r="5327">
          <cell r="A5327">
            <v>31102192</v>
          </cell>
          <cell r="C5327">
            <v>31102192</v>
          </cell>
          <cell r="D5327">
            <v>31102192</v>
          </cell>
          <cell r="E5327">
            <v>31102192</v>
          </cell>
          <cell r="F5327">
            <v>31102192</v>
          </cell>
          <cell r="G5327">
            <v>31102192</v>
          </cell>
          <cell r="H5327">
            <v>31102192</v>
          </cell>
          <cell r="I5327" t="str">
            <v/>
          </cell>
          <cell r="J5327" t="str">
            <v/>
          </cell>
          <cell r="K5327" t="str">
            <v/>
          </cell>
          <cell r="L5327" t="str">
            <v/>
          </cell>
          <cell r="M5327" t="str">
            <v/>
          </cell>
        </row>
        <row r="5328">
          <cell r="A5328">
            <v>31102192</v>
          </cell>
          <cell r="C5328">
            <v>31102192</v>
          </cell>
          <cell r="D5328">
            <v>31102192</v>
          </cell>
          <cell r="E5328">
            <v>31102192</v>
          </cell>
          <cell r="F5328">
            <v>31102192</v>
          </cell>
          <cell r="G5328">
            <v>31102192</v>
          </cell>
          <cell r="H5328">
            <v>31102192</v>
          </cell>
          <cell r="I5328" t="str">
            <v/>
          </cell>
          <cell r="J5328" t="str">
            <v/>
          </cell>
          <cell r="K5328" t="str">
            <v/>
          </cell>
          <cell r="L5328" t="str">
            <v/>
          </cell>
          <cell r="M5328" t="str">
            <v/>
          </cell>
        </row>
        <row r="5329">
          <cell r="A5329">
            <v>31102192</v>
          </cell>
          <cell r="C5329">
            <v>31102192</v>
          </cell>
          <cell r="D5329">
            <v>31102192</v>
          </cell>
          <cell r="E5329">
            <v>31102192</v>
          </cell>
          <cell r="F5329">
            <v>31102192</v>
          </cell>
          <cell r="G5329">
            <v>31102192</v>
          </cell>
          <cell r="H5329">
            <v>31102192</v>
          </cell>
          <cell r="I5329" t="str">
            <v/>
          </cell>
          <cell r="J5329" t="str">
            <v/>
          </cell>
          <cell r="K5329" t="str">
            <v/>
          </cell>
          <cell r="L5329" t="str">
            <v/>
          </cell>
          <cell r="M5329" t="str">
            <v/>
          </cell>
        </row>
        <row r="5330">
          <cell r="A5330">
            <v>31102192</v>
          </cell>
          <cell r="C5330">
            <v>31102192</v>
          </cell>
          <cell r="D5330">
            <v>31102192</v>
          </cell>
          <cell r="E5330">
            <v>31102192</v>
          </cell>
          <cell r="F5330">
            <v>31102192</v>
          </cell>
          <cell r="G5330">
            <v>31102192</v>
          </cell>
          <cell r="H5330">
            <v>31102192</v>
          </cell>
          <cell r="I5330" t="str">
            <v/>
          </cell>
          <cell r="J5330" t="str">
            <v/>
          </cell>
          <cell r="K5330" t="str">
            <v/>
          </cell>
          <cell r="L5330" t="str">
            <v/>
          </cell>
          <cell r="M5330" t="str">
            <v/>
          </cell>
        </row>
        <row r="5331">
          <cell r="A5331">
            <v>31102192</v>
          </cell>
          <cell r="C5331">
            <v>31102192</v>
          </cell>
          <cell r="D5331">
            <v>31102192</v>
          </cell>
          <cell r="E5331">
            <v>31102192</v>
          </cell>
          <cell r="F5331">
            <v>31102192</v>
          </cell>
          <cell r="G5331">
            <v>31102192</v>
          </cell>
          <cell r="H5331">
            <v>31102192</v>
          </cell>
          <cell r="I5331" t="str">
            <v/>
          </cell>
          <cell r="J5331" t="str">
            <v/>
          </cell>
          <cell r="K5331" t="str">
            <v/>
          </cell>
          <cell r="L5331" t="str">
            <v/>
          </cell>
          <cell r="M5331" t="str">
            <v/>
          </cell>
        </row>
        <row r="5332">
          <cell r="A5332">
            <v>31102192</v>
          </cell>
          <cell r="C5332">
            <v>31102192</v>
          </cell>
          <cell r="D5332">
            <v>31102192</v>
          </cell>
          <cell r="E5332">
            <v>31102192</v>
          </cell>
          <cell r="F5332">
            <v>31102192</v>
          </cell>
          <cell r="G5332">
            <v>31102192</v>
          </cell>
          <cell r="H5332">
            <v>31102192</v>
          </cell>
          <cell r="I5332" t="str">
            <v/>
          </cell>
          <cell r="J5332" t="str">
            <v/>
          </cell>
          <cell r="K5332" t="str">
            <v/>
          </cell>
          <cell r="L5332" t="str">
            <v/>
          </cell>
          <cell r="M5332" t="str">
            <v/>
          </cell>
        </row>
        <row r="5333">
          <cell r="A5333">
            <v>31102192</v>
          </cell>
          <cell r="C5333">
            <v>31102192</v>
          </cell>
          <cell r="D5333">
            <v>31102192</v>
          </cell>
          <cell r="E5333">
            <v>31102192</v>
          </cell>
          <cell r="F5333">
            <v>31102192</v>
          </cell>
          <cell r="G5333">
            <v>31102192</v>
          </cell>
          <cell r="H5333">
            <v>31102192</v>
          </cell>
          <cell r="I5333" t="str">
            <v/>
          </cell>
          <cell r="J5333" t="str">
            <v/>
          </cell>
          <cell r="K5333" t="str">
            <v/>
          </cell>
          <cell r="L5333" t="str">
            <v/>
          </cell>
          <cell r="M5333" t="str">
            <v/>
          </cell>
        </row>
        <row r="5334">
          <cell r="A5334">
            <v>31102192</v>
          </cell>
          <cell r="C5334">
            <v>31102192</v>
          </cell>
          <cell r="D5334">
            <v>31102192</v>
          </cell>
          <cell r="E5334">
            <v>31102192</v>
          </cell>
          <cell r="F5334">
            <v>31102192</v>
          </cell>
          <cell r="G5334">
            <v>31102192</v>
          </cell>
          <cell r="H5334">
            <v>31102192</v>
          </cell>
          <cell r="I5334" t="str">
            <v/>
          </cell>
          <cell r="J5334" t="str">
            <v/>
          </cell>
          <cell r="K5334" t="str">
            <v/>
          </cell>
          <cell r="L5334" t="str">
            <v/>
          </cell>
          <cell r="M5334" t="str">
            <v/>
          </cell>
        </row>
        <row r="5335">
          <cell r="A5335">
            <v>31102192</v>
          </cell>
          <cell r="C5335">
            <v>31102192</v>
          </cell>
          <cell r="D5335">
            <v>31102192</v>
          </cell>
          <cell r="E5335">
            <v>31102192</v>
          </cell>
          <cell r="F5335">
            <v>31102192</v>
          </cell>
          <cell r="G5335">
            <v>31102192</v>
          </cell>
          <cell r="H5335">
            <v>31102192</v>
          </cell>
          <cell r="I5335" t="str">
            <v/>
          </cell>
          <cell r="J5335" t="str">
            <v/>
          </cell>
          <cell r="K5335" t="str">
            <v/>
          </cell>
          <cell r="L5335" t="str">
            <v/>
          </cell>
          <cell r="M5335" t="str">
            <v/>
          </cell>
        </row>
        <row r="5336">
          <cell r="A5336">
            <v>31102192</v>
          </cell>
          <cell r="C5336">
            <v>31102192</v>
          </cell>
          <cell r="D5336">
            <v>31102192</v>
          </cell>
          <cell r="E5336">
            <v>31102192</v>
          </cell>
          <cell r="F5336">
            <v>31102192</v>
          </cell>
          <cell r="G5336">
            <v>31102192</v>
          </cell>
          <cell r="H5336">
            <v>31102192</v>
          </cell>
          <cell r="I5336" t="str">
            <v/>
          </cell>
          <cell r="J5336" t="str">
            <v/>
          </cell>
          <cell r="K5336" t="str">
            <v/>
          </cell>
          <cell r="L5336" t="str">
            <v/>
          </cell>
          <cell r="M5336" t="str">
            <v/>
          </cell>
        </row>
        <row r="5337">
          <cell r="A5337">
            <v>31102192</v>
          </cell>
          <cell r="C5337">
            <v>31102192</v>
          </cell>
          <cell r="D5337">
            <v>31102192</v>
          </cell>
          <cell r="E5337">
            <v>31102192</v>
          </cell>
          <cell r="F5337">
            <v>31102192</v>
          </cell>
          <cell r="G5337">
            <v>31102192</v>
          </cell>
          <cell r="H5337">
            <v>31102192</v>
          </cell>
          <cell r="I5337" t="str">
            <v/>
          </cell>
          <cell r="J5337" t="str">
            <v/>
          </cell>
          <cell r="K5337" t="str">
            <v/>
          </cell>
          <cell r="L5337" t="str">
            <v/>
          </cell>
          <cell r="M5337" t="str">
            <v/>
          </cell>
        </row>
        <row r="5338">
          <cell r="A5338">
            <v>31102192</v>
          </cell>
          <cell r="C5338">
            <v>31102192</v>
          </cell>
          <cell r="D5338">
            <v>31102192</v>
          </cell>
          <cell r="E5338">
            <v>31102192</v>
          </cell>
          <cell r="F5338">
            <v>31102192</v>
          </cell>
          <cell r="G5338">
            <v>31102192</v>
          </cell>
          <cell r="H5338">
            <v>31102192</v>
          </cell>
          <cell r="I5338" t="str">
            <v/>
          </cell>
          <cell r="J5338" t="str">
            <v/>
          </cell>
          <cell r="K5338" t="str">
            <v/>
          </cell>
          <cell r="L5338" t="str">
            <v/>
          </cell>
          <cell r="M5338" t="str">
            <v/>
          </cell>
        </row>
        <row r="5339">
          <cell r="A5339">
            <v>31102192</v>
          </cell>
          <cell r="C5339">
            <v>31102192</v>
          </cell>
          <cell r="D5339">
            <v>31102192</v>
          </cell>
          <cell r="E5339">
            <v>31102192</v>
          </cell>
          <cell r="F5339">
            <v>31102192</v>
          </cell>
          <cell r="G5339">
            <v>31102192</v>
          </cell>
          <cell r="H5339">
            <v>31102192</v>
          </cell>
          <cell r="I5339" t="str">
            <v/>
          </cell>
          <cell r="J5339" t="str">
            <v/>
          </cell>
          <cell r="K5339" t="str">
            <v/>
          </cell>
          <cell r="L5339" t="str">
            <v/>
          </cell>
          <cell r="M5339" t="str">
            <v/>
          </cell>
        </row>
        <row r="5340">
          <cell r="A5340">
            <v>31102192</v>
          </cell>
          <cell r="C5340">
            <v>31102192</v>
          </cell>
          <cell r="D5340">
            <v>31102192</v>
          </cell>
          <cell r="E5340">
            <v>31102192</v>
          </cell>
          <cell r="F5340">
            <v>31102192</v>
          </cell>
          <cell r="G5340">
            <v>31102192</v>
          </cell>
          <cell r="H5340">
            <v>31102192</v>
          </cell>
          <cell r="I5340" t="str">
            <v/>
          </cell>
          <cell r="J5340" t="str">
            <v/>
          </cell>
          <cell r="K5340" t="str">
            <v/>
          </cell>
          <cell r="L5340" t="str">
            <v/>
          </cell>
          <cell r="M5340" t="str">
            <v/>
          </cell>
        </row>
        <row r="5341">
          <cell r="A5341">
            <v>31102192</v>
          </cell>
          <cell r="C5341">
            <v>31102192</v>
          </cell>
          <cell r="D5341">
            <v>31102192</v>
          </cell>
          <cell r="E5341">
            <v>31102192</v>
          </cell>
          <cell r="F5341">
            <v>31102192</v>
          </cell>
          <cell r="G5341">
            <v>31102192</v>
          </cell>
          <cell r="H5341">
            <v>31102192</v>
          </cell>
          <cell r="I5341" t="str">
            <v/>
          </cell>
          <cell r="J5341" t="str">
            <v/>
          </cell>
          <cell r="K5341" t="str">
            <v/>
          </cell>
          <cell r="L5341" t="str">
            <v/>
          </cell>
          <cell r="M5341" t="str">
            <v/>
          </cell>
        </row>
        <row r="5342">
          <cell r="A5342">
            <v>31102192</v>
          </cell>
          <cell r="C5342">
            <v>31102192</v>
          </cell>
          <cell r="D5342">
            <v>31102192</v>
          </cell>
          <cell r="E5342">
            <v>31102192</v>
          </cell>
          <cell r="F5342">
            <v>31102192</v>
          </cell>
          <cell r="G5342">
            <v>31102192</v>
          </cell>
          <cell r="H5342">
            <v>31102192</v>
          </cell>
          <cell r="I5342" t="str">
            <v/>
          </cell>
          <cell r="J5342" t="str">
            <v/>
          </cell>
          <cell r="K5342" t="str">
            <v/>
          </cell>
          <cell r="L5342" t="str">
            <v/>
          </cell>
          <cell r="M5342" t="str">
            <v/>
          </cell>
        </row>
        <row r="5343">
          <cell r="A5343">
            <v>31102192</v>
          </cell>
          <cell r="C5343">
            <v>31102192</v>
          </cell>
          <cell r="D5343">
            <v>31102192</v>
          </cell>
          <cell r="E5343">
            <v>31102192</v>
          </cell>
          <cell r="F5343">
            <v>31102192</v>
          </cell>
          <cell r="G5343">
            <v>31102192</v>
          </cell>
          <cell r="H5343">
            <v>31102192</v>
          </cell>
          <cell r="I5343" t="str">
            <v/>
          </cell>
          <cell r="J5343" t="str">
            <v/>
          </cell>
          <cell r="K5343" t="str">
            <v/>
          </cell>
          <cell r="L5343" t="str">
            <v/>
          </cell>
          <cell r="M5343" t="str">
            <v/>
          </cell>
        </row>
        <row r="5344">
          <cell r="A5344">
            <v>31102192</v>
          </cell>
          <cell r="C5344">
            <v>31102192</v>
          </cell>
          <cell r="D5344">
            <v>31102192</v>
          </cell>
          <cell r="E5344">
            <v>31102192</v>
          </cell>
          <cell r="F5344">
            <v>31102192</v>
          </cell>
          <cell r="G5344">
            <v>31102192</v>
          </cell>
          <cell r="H5344">
            <v>31102192</v>
          </cell>
          <cell r="I5344" t="str">
            <v/>
          </cell>
          <cell r="J5344" t="str">
            <v/>
          </cell>
          <cell r="K5344" t="str">
            <v/>
          </cell>
          <cell r="L5344" t="str">
            <v/>
          </cell>
          <cell r="M5344" t="str">
            <v/>
          </cell>
        </row>
        <row r="5345">
          <cell r="A5345">
            <v>31102192</v>
          </cell>
          <cell r="C5345">
            <v>31102192</v>
          </cell>
          <cell r="D5345">
            <v>31102192</v>
          </cell>
          <cell r="E5345">
            <v>31102192</v>
          </cell>
          <cell r="F5345">
            <v>31102192</v>
          </cell>
          <cell r="G5345">
            <v>31102192</v>
          </cell>
          <cell r="H5345">
            <v>31102192</v>
          </cell>
          <cell r="I5345" t="str">
            <v/>
          </cell>
          <cell r="J5345" t="str">
            <v/>
          </cell>
          <cell r="K5345" t="str">
            <v/>
          </cell>
          <cell r="L5345" t="str">
            <v/>
          </cell>
          <cell r="M5345" t="str">
            <v/>
          </cell>
        </row>
        <row r="5346">
          <cell r="A5346">
            <v>31102192</v>
          </cell>
          <cell r="C5346">
            <v>31102192</v>
          </cell>
          <cell r="D5346">
            <v>31102192</v>
          </cell>
          <cell r="E5346">
            <v>31102192</v>
          </cell>
          <cell r="F5346">
            <v>31102192</v>
          </cell>
          <cell r="G5346">
            <v>31102192</v>
          </cell>
          <cell r="H5346">
            <v>31102192</v>
          </cell>
          <cell r="I5346" t="str">
            <v/>
          </cell>
          <cell r="J5346" t="str">
            <v/>
          </cell>
          <cell r="K5346" t="str">
            <v/>
          </cell>
          <cell r="L5346" t="str">
            <v/>
          </cell>
          <cell r="M5346" t="str">
            <v/>
          </cell>
        </row>
        <row r="5347">
          <cell r="A5347">
            <v>31102192</v>
          </cell>
          <cell r="C5347">
            <v>31102192</v>
          </cell>
          <cell r="D5347">
            <v>31102192</v>
          </cell>
          <cell r="E5347">
            <v>31102192</v>
          </cell>
          <cell r="F5347">
            <v>31102192</v>
          </cell>
          <cell r="G5347">
            <v>31102192</v>
          </cell>
          <cell r="H5347">
            <v>31102192</v>
          </cell>
          <cell r="I5347" t="str">
            <v/>
          </cell>
          <cell r="J5347" t="str">
            <v/>
          </cell>
          <cell r="K5347" t="str">
            <v/>
          </cell>
          <cell r="L5347" t="str">
            <v/>
          </cell>
          <cell r="M5347" t="str">
            <v/>
          </cell>
        </row>
        <row r="5348">
          <cell r="A5348">
            <v>31102192</v>
          </cell>
          <cell r="C5348">
            <v>31102192</v>
          </cell>
          <cell r="D5348">
            <v>31102192</v>
          </cell>
          <cell r="E5348">
            <v>31102192</v>
          </cell>
          <cell r="F5348">
            <v>31102192</v>
          </cell>
          <cell r="G5348">
            <v>31102192</v>
          </cell>
          <cell r="H5348">
            <v>31102192</v>
          </cell>
          <cell r="I5348" t="str">
            <v/>
          </cell>
          <cell r="J5348" t="str">
            <v/>
          </cell>
          <cell r="K5348" t="str">
            <v/>
          </cell>
          <cell r="L5348" t="str">
            <v/>
          </cell>
          <cell r="M5348" t="str">
            <v/>
          </cell>
        </row>
        <row r="5349">
          <cell r="A5349">
            <v>31102192</v>
          </cell>
          <cell r="C5349">
            <v>31102192</v>
          </cell>
          <cell r="D5349">
            <v>31102192</v>
          </cell>
          <cell r="E5349">
            <v>31102192</v>
          </cell>
          <cell r="F5349">
            <v>31102192</v>
          </cell>
          <cell r="G5349">
            <v>31102192</v>
          </cell>
          <cell r="H5349">
            <v>31102192</v>
          </cell>
          <cell r="I5349" t="str">
            <v/>
          </cell>
          <cell r="J5349" t="str">
            <v/>
          </cell>
          <cell r="K5349" t="str">
            <v/>
          </cell>
          <cell r="L5349" t="str">
            <v/>
          </cell>
          <cell r="M5349" t="str">
            <v/>
          </cell>
        </row>
        <row r="5350">
          <cell r="A5350">
            <v>31102192</v>
          </cell>
          <cell r="C5350">
            <v>31102192</v>
          </cell>
          <cell r="D5350">
            <v>31102192</v>
          </cell>
          <cell r="E5350">
            <v>31102192</v>
          </cell>
          <cell r="F5350">
            <v>31102192</v>
          </cell>
          <cell r="G5350">
            <v>31102192</v>
          </cell>
          <cell r="H5350">
            <v>31102192</v>
          </cell>
          <cell r="I5350" t="str">
            <v/>
          </cell>
          <cell r="J5350" t="str">
            <v/>
          </cell>
          <cell r="K5350" t="str">
            <v/>
          </cell>
          <cell r="L5350" t="str">
            <v/>
          </cell>
          <cell r="M5350" t="str">
            <v/>
          </cell>
        </row>
        <row r="5351">
          <cell r="A5351">
            <v>31102192</v>
          </cell>
          <cell r="C5351">
            <v>31102192</v>
          </cell>
          <cell r="D5351">
            <v>31102192</v>
          </cell>
          <cell r="E5351">
            <v>31102192</v>
          </cell>
          <cell r="F5351">
            <v>31102192</v>
          </cell>
          <cell r="G5351">
            <v>31102192</v>
          </cell>
          <cell r="H5351">
            <v>31102192</v>
          </cell>
          <cell r="I5351" t="str">
            <v/>
          </cell>
          <cell r="J5351" t="str">
            <v/>
          </cell>
          <cell r="K5351" t="str">
            <v/>
          </cell>
          <cell r="L5351" t="str">
            <v/>
          </cell>
          <cell r="M5351" t="str">
            <v/>
          </cell>
        </row>
        <row r="5352">
          <cell r="A5352">
            <v>31102192</v>
          </cell>
          <cell r="C5352">
            <v>31102192</v>
          </cell>
          <cell r="D5352">
            <v>31102192</v>
          </cell>
          <cell r="E5352">
            <v>31102192</v>
          </cell>
          <cell r="F5352">
            <v>31102192</v>
          </cell>
          <cell r="G5352">
            <v>31102192</v>
          </cell>
          <cell r="H5352">
            <v>31102192</v>
          </cell>
          <cell r="I5352" t="str">
            <v/>
          </cell>
          <cell r="J5352" t="str">
            <v/>
          </cell>
          <cell r="K5352" t="str">
            <v/>
          </cell>
          <cell r="L5352" t="str">
            <v/>
          </cell>
          <cell r="M5352" t="str">
            <v/>
          </cell>
        </row>
        <row r="5353">
          <cell r="A5353">
            <v>31102192</v>
          </cell>
          <cell r="C5353">
            <v>31102192</v>
          </cell>
          <cell r="D5353">
            <v>31102192</v>
          </cell>
          <cell r="E5353">
            <v>31102192</v>
          </cell>
          <cell r="F5353">
            <v>31102192</v>
          </cell>
          <cell r="G5353">
            <v>31102192</v>
          </cell>
          <cell r="H5353">
            <v>31102192</v>
          </cell>
          <cell r="I5353" t="str">
            <v/>
          </cell>
          <cell r="J5353" t="str">
            <v/>
          </cell>
          <cell r="K5353" t="str">
            <v/>
          </cell>
          <cell r="L5353" t="str">
            <v/>
          </cell>
          <cell r="M5353" t="str">
            <v/>
          </cell>
        </row>
        <row r="5354">
          <cell r="A5354">
            <v>31102192</v>
          </cell>
          <cell r="C5354">
            <v>31102192</v>
          </cell>
          <cell r="D5354">
            <v>31102192</v>
          </cell>
          <cell r="E5354">
            <v>31102192</v>
          </cell>
          <cell r="F5354">
            <v>31102192</v>
          </cell>
          <cell r="G5354">
            <v>31102192</v>
          </cell>
          <cell r="H5354">
            <v>31102192</v>
          </cell>
          <cell r="I5354" t="str">
            <v/>
          </cell>
          <cell r="J5354" t="str">
            <v/>
          </cell>
          <cell r="K5354" t="str">
            <v/>
          </cell>
          <cell r="L5354" t="str">
            <v/>
          </cell>
          <cell r="M5354" t="str">
            <v/>
          </cell>
        </row>
        <row r="5355">
          <cell r="A5355">
            <v>31102192</v>
          </cell>
          <cell r="C5355">
            <v>31102192</v>
          </cell>
          <cell r="D5355">
            <v>31102192</v>
          </cell>
          <cell r="E5355">
            <v>31102192</v>
          </cell>
          <cell r="F5355">
            <v>31102192</v>
          </cell>
          <cell r="G5355">
            <v>31102192</v>
          </cell>
          <cell r="H5355">
            <v>31102192</v>
          </cell>
          <cell r="I5355" t="str">
            <v/>
          </cell>
          <cell r="J5355" t="str">
            <v/>
          </cell>
          <cell r="K5355" t="str">
            <v/>
          </cell>
          <cell r="L5355" t="str">
            <v/>
          </cell>
          <cell r="M5355" t="str">
            <v/>
          </cell>
        </row>
        <row r="5356">
          <cell r="A5356">
            <v>31102192</v>
          </cell>
          <cell r="C5356">
            <v>31102192</v>
          </cell>
          <cell r="D5356">
            <v>31102192</v>
          </cell>
          <cell r="E5356">
            <v>31102192</v>
          </cell>
          <cell r="F5356">
            <v>31102192</v>
          </cell>
          <cell r="G5356">
            <v>31102192</v>
          </cell>
          <cell r="H5356">
            <v>31102192</v>
          </cell>
          <cell r="I5356" t="str">
            <v/>
          </cell>
          <cell r="J5356" t="str">
            <v/>
          </cell>
          <cell r="K5356" t="str">
            <v/>
          </cell>
          <cell r="L5356" t="str">
            <v/>
          </cell>
          <cell r="M5356" t="str">
            <v/>
          </cell>
        </row>
        <row r="5357">
          <cell r="A5357">
            <v>31102192</v>
          </cell>
          <cell r="C5357">
            <v>31102192</v>
          </cell>
          <cell r="D5357">
            <v>31102192</v>
          </cell>
          <cell r="E5357">
            <v>31102192</v>
          </cell>
          <cell r="F5357">
            <v>31102192</v>
          </cell>
          <cell r="G5357">
            <v>31102192</v>
          </cell>
          <cell r="H5357">
            <v>31102192</v>
          </cell>
          <cell r="I5357" t="str">
            <v/>
          </cell>
          <cell r="J5357" t="str">
            <v/>
          </cell>
          <cell r="K5357" t="str">
            <v/>
          </cell>
          <cell r="L5357" t="str">
            <v/>
          </cell>
          <cell r="M5357" t="str">
            <v/>
          </cell>
        </row>
        <row r="5358">
          <cell r="A5358">
            <v>31102192</v>
          </cell>
          <cell r="C5358">
            <v>31102192</v>
          </cell>
          <cell r="D5358">
            <v>31102192</v>
          </cell>
          <cell r="E5358">
            <v>31102192</v>
          </cell>
          <cell r="F5358">
            <v>31102192</v>
          </cell>
          <cell r="G5358">
            <v>31102192</v>
          </cell>
          <cell r="H5358">
            <v>31102192</v>
          </cell>
          <cell r="I5358" t="str">
            <v/>
          </cell>
          <cell r="J5358" t="str">
            <v/>
          </cell>
          <cell r="K5358" t="str">
            <v/>
          </cell>
          <cell r="L5358" t="str">
            <v/>
          </cell>
          <cell r="M5358" t="str">
            <v/>
          </cell>
        </row>
        <row r="5359">
          <cell r="A5359">
            <v>31102192</v>
          </cell>
          <cell r="C5359">
            <v>31102192</v>
          </cell>
          <cell r="D5359">
            <v>31102192</v>
          </cell>
          <cell r="E5359">
            <v>31102192</v>
          </cell>
          <cell r="F5359">
            <v>31102192</v>
          </cell>
          <cell r="G5359">
            <v>31102192</v>
          </cell>
          <cell r="H5359">
            <v>31102192</v>
          </cell>
          <cell r="I5359" t="str">
            <v/>
          </cell>
          <cell r="J5359" t="str">
            <v/>
          </cell>
          <cell r="K5359" t="str">
            <v/>
          </cell>
          <cell r="L5359" t="str">
            <v/>
          </cell>
          <cell r="M5359" t="str">
            <v/>
          </cell>
        </row>
        <row r="5360">
          <cell r="A5360">
            <v>31102192</v>
          </cell>
          <cell r="C5360">
            <v>31102192</v>
          </cell>
          <cell r="D5360">
            <v>31102192</v>
          </cell>
          <cell r="E5360">
            <v>31102192</v>
          </cell>
          <cell r="F5360">
            <v>31102192</v>
          </cell>
          <cell r="G5360">
            <v>31102192</v>
          </cell>
          <cell r="H5360">
            <v>31102192</v>
          </cell>
          <cell r="I5360" t="str">
            <v/>
          </cell>
          <cell r="J5360" t="str">
            <v/>
          </cell>
          <cell r="K5360" t="str">
            <v/>
          </cell>
          <cell r="L5360" t="str">
            <v/>
          </cell>
          <cell r="M5360" t="str">
            <v/>
          </cell>
        </row>
        <row r="5361">
          <cell r="A5361">
            <v>31102192</v>
          </cell>
          <cell r="C5361">
            <v>31102192</v>
          </cell>
          <cell r="D5361">
            <v>31102192</v>
          </cell>
          <cell r="E5361">
            <v>31102192</v>
          </cell>
          <cell r="F5361">
            <v>31102192</v>
          </cell>
          <cell r="G5361">
            <v>31102192</v>
          </cell>
          <cell r="H5361">
            <v>31102192</v>
          </cell>
          <cell r="I5361" t="str">
            <v/>
          </cell>
          <cell r="J5361" t="str">
            <v/>
          </cell>
          <cell r="K5361" t="str">
            <v/>
          </cell>
          <cell r="L5361" t="str">
            <v/>
          </cell>
          <cell r="M5361" t="str">
            <v/>
          </cell>
        </row>
        <row r="5362">
          <cell r="A5362">
            <v>31102192</v>
          </cell>
          <cell r="C5362">
            <v>31102192</v>
          </cell>
          <cell r="D5362">
            <v>31102192</v>
          </cell>
          <cell r="E5362">
            <v>31102192</v>
          </cell>
          <cell r="F5362">
            <v>31102192</v>
          </cell>
          <cell r="G5362">
            <v>31102192</v>
          </cell>
          <cell r="H5362">
            <v>31102192</v>
          </cell>
          <cell r="I5362" t="str">
            <v/>
          </cell>
          <cell r="J5362" t="str">
            <v/>
          </cell>
          <cell r="K5362" t="str">
            <v/>
          </cell>
          <cell r="L5362" t="str">
            <v/>
          </cell>
          <cell r="M5362" t="str">
            <v/>
          </cell>
        </row>
        <row r="5363">
          <cell r="A5363">
            <v>31102192</v>
          </cell>
          <cell r="C5363">
            <v>31102192</v>
          </cell>
          <cell r="D5363">
            <v>31102192</v>
          </cell>
          <cell r="E5363">
            <v>31102192</v>
          </cell>
          <cell r="F5363">
            <v>31102192</v>
          </cell>
          <cell r="G5363">
            <v>31102192</v>
          </cell>
          <cell r="H5363">
            <v>31102192</v>
          </cell>
          <cell r="I5363" t="str">
            <v/>
          </cell>
          <cell r="J5363" t="str">
            <v/>
          </cell>
          <cell r="K5363" t="str">
            <v/>
          </cell>
          <cell r="L5363" t="str">
            <v/>
          </cell>
          <cell r="M5363" t="str">
            <v/>
          </cell>
        </row>
        <row r="5364">
          <cell r="A5364">
            <v>31102192</v>
          </cell>
          <cell r="C5364">
            <v>31102192</v>
          </cell>
          <cell r="D5364">
            <v>31102192</v>
          </cell>
          <cell r="E5364">
            <v>31102192</v>
          </cell>
          <cell r="F5364">
            <v>31102192</v>
          </cell>
          <cell r="G5364">
            <v>31102192</v>
          </cell>
          <cell r="H5364">
            <v>31102192</v>
          </cell>
          <cell r="I5364" t="str">
            <v/>
          </cell>
          <cell r="J5364" t="str">
            <v/>
          </cell>
          <cell r="K5364" t="str">
            <v/>
          </cell>
          <cell r="L5364" t="str">
            <v/>
          </cell>
          <cell r="M5364" t="str">
            <v/>
          </cell>
        </row>
        <row r="5365">
          <cell r="A5365">
            <v>31102192</v>
          </cell>
          <cell r="C5365">
            <v>31102192</v>
          </cell>
          <cell r="D5365">
            <v>31102192</v>
          </cell>
          <cell r="E5365">
            <v>31102192</v>
          </cell>
          <cell r="F5365">
            <v>31102192</v>
          </cell>
          <cell r="G5365">
            <v>31102192</v>
          </cell>
          <cell r="H5365">
            <v>31102192</v>
          </cell>
          <cell r="I5365" t="str">
            <v/>
          </cell>
          <cell r="J5365" t="str">
            <v/>
          </cell>
          <cell r="K5365" t="str">
            <v/>
          </cell>
          <cell r="L5365" t="str">
            <v/>
          </cell>
          <cell r="M5365" t="str">
            <v/>
          </cell>
        </row>
        <row r="5366">
          <cell r="A5366">
            <v>31102192</v>
          </cell>
          <cell r="C5366">
            <v>31102192</v>
          </cell>
          <cell r="D5366">
            <v>31102192</v>
          </cell>
          <cell r="E5366">
            <v>31102192</v>
          </cell>
          <cell r="F5366">
            <v>31102192</v>
          </cell>
          <cell r="G5366">
            <v>31102192</v>
          </cell>
          <cell r="H5366">
            <v>31102192</v>
          </cell>
          <cell r="I5366" t="str">
            <v/>
          </cell>
          <cell r="J5366" t="str">
            <v/>
          </cell>
          <cell r="K5366" t="str">
            <v/>
          </cell>
          <cell r="L5366" t="str">
            <v/>
          </cell>
          <cell r="M5366" t="str">
            <v/>
          </cell>
        </row>
        <row r="5367">
          <cell r="A5367">
            <v>31102192</v>
          </cell>
          <cell r="C5367">
            <v>31102192</v>
          </cell>
          <cell r="D5367">
            <v>31102192</v>
          </cell>
          <cell r="E5367">
            <v>31102192</v>
          </cell>
          <cell r="F5367">
            <v>31102192</v>
          </cell>
          <cell r="G5367">
            <v>31102192</v>
          </cell>
          <cell r="H5367">
            <v>31102192</v>
          </cell>
          <cell r="I5367" t="str">
            <v/>
          </cell>
          <cell r="J5367" t="str">
            <v/>
          </cell>
          <cell r="K5367" t="str">
            <v/>
          </cell>
          <cell r="L5367" t="str">
            <v/>
          </cell>
          <cell r="M5367" t="str">
            <v/>
          </cell>
        </row>
        <row r="5368">
          <cell r="A5368">
            <v>31102192</v>
          </cell>
          <cell r="C5368">
            <v>31102192</v>
          </cell>
          <cell r="D5368">
            <v>31102192</v>
          </cell>
          <cell r="E5368">
            <v>31102192</v>
          </cell>
          <cell r="F5368">
            <v>31102192</v>
          </cell>
          <cell r="G5368">
            <v>31102192</v>
          </cell>
          <cell r="H5368">
            <v>31102192</v>
          </cell>
          <cell r="I5368" t="str">
            <v/>
          </cell>
          <cell r="J5368" t="str">
            <v/>
          </cell>
          <cell r="K5368" t="str">
            <v/>
          </cell>
          <cell r="L5368" t="str">
            <v/>
          </cell>
          <cell r="M5368" t="str">
            <v/>
          </cell>
        </row>
        <row r="5369">
          <cell r="A5369">
            <v>31102192</v>
          </cell>
          <cell r="C5369">
            <v>31102192</v>
          </cell>
          <cell r="D5369">
            <v>31102192</v>
          </cell>
          <cell r="E5369">
            <v>31102192</v>
          </cell>
          <cell r="F5369">
            <v>31102192</v>
          </cell>
          <cell r="G5369">
            <v>31102192</v>
          </cell>
          <cell r="H5369">
            <v>31102192</v>
          </cell>
          <cell r="I5369" t="str">
            <v/>
          </cell>
          <cell r="J5369" t="str">
            <v/>
          </cell>
          <cell r="K5369" t="str">
            <v/>
          </cell>
          <cell r="L5369" t="str">
            <v/>
          </cell>
          <cell r="M5369" t="str">
            <v/>
          </cell>
        </row>
        <row r="5370">
          <cell r="A5370">
            <v>31102192</v>
          </cell>
          <cell r="C5370">
            <v>31102192</v>
          </cell>
          <cell r="D5370">
            <v>31102192</v>
          </cell>
          <cell r="E5370">
            <v>31102192</v>
          </cell>
          <cell r="F5370">
            <v>31102192</v>
          </cell>
          <cell r="G5370">
            <v>31102192</v>
          </cell>
          <cell r="H5370">
            <v>31102192</v>
          </cell>
          <cell r="I5370" t="str">
            <v/>
          </cell>
          <cell r="J5370" t="str">
            <v/>
          </cell>
          <cell r="K5370" t="str">
            <v/>
          </cell>
          <cell r="L5370" t="str">
            <v/>
          </cell>
          <cell r="M5370" t="str">
            <v/>
          </cell>
        </row>
        <row r="5371">
          <cell r="A5371">
            <v>31102192</v>
          </cell>
          <cell r="C5371">
            <v>31102192</v>
          </cell>
          <cell r="D5371">
            <v>31102192</v>
          </cell>
          <cell r="E5371">
            <v>31102192</v>
          </cell>
          <cell r="F5371">
            <v>31102192</v>
          </cell>
          <cell r="G5371">
            <v>31102192</v>
          </cell>
          <cell r="H5371">
            <v>31102192</v>
          </cell>
          <cell r="I5371" t="str">
            <v/>
          </cell>
          <cell r="J5371" t="str">
            <v/>
          </cell>
          <cell r="K5371" t="str">
            <v/>
          </cell>
          <cell r="L5371" t="str">
            <v/>
          </cell>
          <cell r="M5371" t="str">
            <v/>
          </cell>
        </row>
        <row r="5372">
          <cell r="A5372">
            <v>31102192</v>
          </cell>
          <cell r="C5372">
            <v>31102192</v>
          </cell>
          <cell r="D5372">
            <v>31102192</v>
          </cell>
          <cell r="E5372">
            <v>31102192</v>
          </cell>
          <cell r="F5372">
            <v>31102192</v>
          </cell>
          <cell r="G5372">
            <v>31102192</v>
          </cell>
          <cell r="H5372">
            <v>31102192</v>
          </cell>
          <cell r="I5372" t="str">
            <v/>
          </cell>
          <cell r="J5372" t="str">
            <v/>
          </cell>
          <cell r="K5372" t="str">
            <v/>
          </cell>
          <cell r="L5372" t="str">
            <v/>
          </cell>
          <cell r="M5372" t="str">
            <v/>
          </cell>
        </row>
        <row r="5373">
          <cell r="A5373">
            <v>31102192</v>
          </cell>
          <cell r="C5373">
            <v>31102192</v>
          </cell>
          <cell r="D5373">
            <v>31102192</v>
          </cell>
          <cell r="E5373">
            <v>31102192</v>
          </cell>
          <cell r="F5373">
            <v>31102192</v>
          </cell>
          <cell r="G5373">
            <v>31102192</v>
          </cell>
          <cell r="H5373">
            <v>31102192</v>
          </cell>
          <cell r="I5373" t="str">
            <v/>
          </cell>
          <cell r="J5373" t="str">
            <v/>
          </cell>
          <cell r="K5373" t="str">
            <v/>
          </cell>
          <cell r="L5373" t="str">
            <v/>
          </cell>
          <cell r="M5373" t="str">
            <v/>
          </cell>
        </row>
        <row r="5374">
          <cell r="A5374">
            <v>31102192</v>
          </cell>
          <cell r="C5374">
            <v>31102192</v>
          </cell>
          <cell r="D5374">
            <v>31102192</v>
          </cell>
          <cell r="E5374">
            <v>31102192</v>
          </cell>
          <cell r="F5374">
            <v>31102192</v>
          </cell>
          <cell r="G5374">
            <v>31102192</v>
          </cell>
          <cell r="H5374">
            <v>31102192</v>
          </cell>
          <cell r="I5374" t="str">
            <v/>
          </cell>
          <cell r="J5374" t="str">
            <v/>
          </cell>
          <cell r="K5374" t="str">
            <v/>
          </cell>
          <cell r="L5374" t="str">
            <v/>
          </cell>
          <cell r="M5374" t="str">
            <v/>
          </cell>
        </row>
        <row r="5375">
          <cell r="A5375">
            <v>31102192</v>
          </cell>
          <cell r="C5375">
            <v>31102192</v>
          </cell>
          <cell r="D5375">
            <v>31102192</v>
          </cell>
          <cell r="E5375">
            <v>31102192</v>
          </cell>
          <cell r="F5375">
            <v>31102192</v>
          </cell>
          <cell r="G5375">
            <v>31102192</v>
          </cell>
          <cell r="H5375">
            <v>31102192</v>
          </cell>
          <cell r="I5375" t="str">
            <v/>
          </cell>
          <cell r="J5375" t="str">
            <v/>
          </cell>
          <cell r="K5375" t="str">
            <v/>
          </cell>
          <cell r="L5375" t="str">
            <v/>
          </cell>
          <cell r="M5375" t="str">
            <v/>
          </cell>
        </row>
        <row r="5376">
          <cell r="A5376">
            <v>31102192</v>
          </cell>
          <cell r="C5376">
            <v>31102192</v>
          </cell>
          <cell r="D5376">
            <v>31102192</v>
          </cell>
          <cell r="E5376">
            <v>31102192</v>
          </cell>
          <cell r="F5376">
            <v>31102192</v>
          </cell>
          <cell r="G5376">
            <v>31102192</v>
          </cell>
          <cell r="H5376">
            <v>31102192</v>
          </cell>
          <cell r="I5376" t="str">
            <v/>
          </cell>
          <cell r="J5376" t="str">
            <v/>
          </cell>
          <cell r="K5376" t="str">
            <v/>
          </cell>
          <cell r="L5376" t="str">
            <v/>
          </cell>
          <cell r="M5376" t="str">
            <v/>
          </cell>
        </row>
        <row r="5377">
          <cell r="A5377">
            <v>31102192</v>
          </cell>
          <cell r="C5377">
            <v>31102192</v>
          </cell>
          <cell r="D5377">
            <v>31102192</v>
          </cell>
          <cell r="E5377">
            <v>31102192</v>
          </cell>
          <cell r="F5377">
            <v>31102192</v>
          </cell>
          <cell r="G5377">
            <v>31102192</v>
          </cell>
          <cell r="H5377">
            <v>31102192</v>
          </cell>
          <cell r="I5377" t="str">
            <v/>
          </cell>
          <cell r="J5377" t="str">
            <v/>
          </cell>
          <cell r="K5377" t="str">
            <v/>
          </cell>
          <cell r="L5377" t="str">
            <v/>
          </cell>
          <cell r="M5377" t="str">
            <v/>
          </cell>
        </row>
        <row r="5378">
          <cell r="A5378">
            <v>31102192</v>
          </cell>
          <cell r="C5378">
            <v>31102192</v>
          </cell>
          <cell r="D5378">
            <v>31102192</v>
          </cell>
          <cell r="E5378">
            <v>31102192</v>
          </cell>
          <cell r="F5378">
            <v>31102192</v>
          </cell>
          <cell r="G5378">
            <v>31102192</v>
          </cell>
          <cell r="H5378">
            <v>31102192</v>
          </cell>
          <cell r="I5378" t="str">
            <v/>
          </cell>
          <cell r="J5378" t="str">
            <v/>
          </cell>
          <cell r="K5378" t="str">
            <v/>
          </cell>
          <cell r="L5378" t="str">
            <v/>
          </cell>
          <cell r="M5378" t="str">
            <v/>
          </cell>
        </row>
        <row r="5379">
          <cell r="A5379">
            <v>31102192</v>
          </cell>
          <cell r="C5379">
            <v>31102192</v>
          </cell>
          <cell r="D5379">
            <v>31102192</v>
          </cell>
          <cell r="E5379">
            <v>31102192</v>
          </cell>
          <cell r="F5379">
            <v>31102192</v>
          </cell>
          <cell r="G5379">
            <v>31102192</v>
          </cell>
          <cell r="H5379">
            <v>31102192</v>
          </cell>
          <cell r="I5379" t="str">
            <v/>
          </cell>
          <cell r="J5379" t="str">
            <v/>
          </cell>
          <cell r="K5379" t="str">
            <v/>
          </cell>
          <cell r="L5379" t="str">
            <v/>
          </cell>
          <cell r="M5379" t="str">
            <v/>
          </cell>
        </row>
        <row r="5380">
          <cell r="A5380">
            <v>31102192</v>
          </cell>
          <cell r="C5380">
            <v>31102192</v>
          </cell>
          <cell r="D5380">
            <v>31102192</v>
          </cell>
          <cell r="E5380">
            <v>31102192</v>
          </cell>
          <cell r="F5380">
            <v>31102192</v>
          </cell>
          <cell r="G5380">
            <v>31102192</v>
          </cell>
          <cell r="H5380">
            <v>31102192</v>
          </cell>
          <cell r="I5380" t="str">
            <v/>
          </cell>
          <cell r="J5380" t="str">
            <v/>
          </cell>
          <cell r="K5380" t="str">
            <v/>
          </cell>
          <cell r="L5380" t="str">
            <v/>
          </cell>
          <cell r="M5380" t="str">
            <v/>
          </cell>
        </row>
        <row r="5381">
          <cell r="A5381">
            <v>31102192</v>
          </cell>
          <cell r="C5381">
            <v>31102192</v>
          </cell>
          <cell r="D5381">
            <v>31102192</v>
          </cell>
          <cell r="E5381">
            <v>31102192</v>
          </cell>
          <cell r="F5381">
            <v>31102192</v>
          </cell>
          <cell r="G5381">
            <v>31102192</v>
          </cell>
          <cell r="H5381">
            <v>31102192</v>
          </cell>
          <cell r="I5381" t="str">
            <v/>
          </cell>
          <cell r="J5381" t="str">
            <v/>
          </cell>
          <cell r="K5381" t="str">
            <v/>
          </cell>
          <cell r="L5381" t="str">
            <v/>
          </cell>
          <cell r="M5381" t="str">
            <v/>
          </cell>
        </row>
        <row r="5382">
          <cell r="A5382">
            <v>31102192</v>
          </cell>
          <cell r="C5382">
            <v>31102192</v>
          </cell>
          <cell r="D5382">
            <v>31102192</v>
          </cell>
          <cell r="E5382">
            <v>31102192</v>
          </cell>
          <cell r="F5382">
            <v>31102192</v>
          </cell>
          <cell r="G5382">
            <v>31102192</v>
          </cell>
          <cell r="H5382">
            <v>31102192</v>
          </cell>
          <cell r="I5382" t="str">
            <v/>
          </cell>
          <cell r="J5382" t="str">
            <v/>
          </cell>
          <cell r="K5382" t="str">
            <v/>
          </cell>
          <cell r="L5382" t="str">
            <v/>
          </cell>
          <cell r="M5382" t="str">
            <v/>
          </cell>
        </row>
        <row r="5383">
          <cell r="A5383">
            <v>31102192</v>
          </cell>
          <cell r="C5383">
            <v>31102192</v>
          </cell>
          <cell r="D5383">
            <v>31102192</v>
          </cell>
          <cell r="E5383">
            <v>31102192</v>
          </cell>
          <cell r="F5383">
            <v>31102192</v>
          </cell>
          <cell r="G5383">
            <v>31102192</v>
          </cell>
          <cell r="H5383">
            <v>31102192</v>
          </cell>
          <cell r="I5383" t="str">
            <v/>
          </cell>
          <cell r="J5383" t="str">
            <v/>
          </cell>
          <cell r="K5383" t="str">
            <v/>
          </cell>
          <cell r="L5383" t="str">
            <v/>
          </cell>
          <cell r="M5383" t="str">
            <v/>
          </cell>
        </row>
        <row r="5384">
          <cell r="A5384">
            <v>31102192</v>
          </cell>
          <cell r="C5384">
            <v>31102192</v>
          </cell>
          <cell r="D5384">
            <v>31102192</v>
          </cell>
          <cell r="E5384">
            <v>31102192</v>
          </cell>
          <cell r="F5384">
            <v>31102192</v>
          </cell>
          <cell r="G5384">
            <v>31102192</v>
          </cell>
          <cell r="H5384">
            <v>31102192</v>
          </cell>
          <cell r="I5384" t="str">
            <v/>
          </cell>
          <cell r="J5384" t="str">
            <v/>
          </cell>
          <cell r="K5384" t="str">
            <v/>
          </cell>
          <cell r="L5384" t="str">
            <v/>
          </cell>
          <cell r="M5384" t="str">
            <v/>
          </cell>
        </row>
        <row r="5385">
          <cell r="A5385">
            <v>31102192</v>
          </cell>
          <cell r="C5385">
            <v>31102192</v>
          </cell>
          <cell r="D5385">
            <v>31102192</v>
          </cell>
          <cell r="E5385">
            <v>31102192</v>
          </cell>
          <cell r="F5385">
            <v>31102192</v>
          </cell>
          <cell r="G5385">
            <v>31102192</v>
          </cell>
          <cell r="H5385">
            <v>31102192</v>
          </cell>
          <cell r="I5385" t="str">
            <v/>
          </cell>
          <cell r="J5385" t="str">
            <v/>
          </cell>
          <cell r="K5385" t="str">
            <v/>
          </cell>
          <cell r="L5385" t="str">
            <v/>
          </cell>
          <cell r="M5385" t="str">
            <v/>
          </cell>
        </row>
        <row r="5386">
          <cell r="A5386">
            <v>31102192</v>
          </cell>
          <cell r="C5386">
            <v>31102192</v>
          </cell>
          <cell r="D5386">
            <v>31102192</v>
          </cell>
          <cell r="E5386">
            <v>31102192</v>
          </cell>
          <cell r="F5386">
            <v>31102192</v>
          </cell>
          <cell r="G5386">
            <v>31102192</v>
          </cell>
          <cell r="H5386">
            <v>31102192</v>
          </cell>
          <cell r="I5386" t="str">
            <v/>
          </cell>
          <cell r="J5386" t="str">
            <v/>
          </cell>
          <cell r="K5386" t="str">
            <v/>
          </cell>
          <cell r="L5386" t="str">
            <v/>
          </cell>
          <cell r="M5386" t="str">
            <v/>
          </cell>
        </row>
        <row r="5387">
          <cell r="A5387">
            <v>31102192</v>
          </cell>
          <cell r="C5387">
            <v>31102192</v>
          </cell>
          <cell r="D5387">
            <v>31102192</v>
          </cell>
          <cell r="E5387">
            <v>31102192</v>
          </cell>
          <cell r="F5387">
            <v>31102192</v>
          </cell>
          <cell r="G5387">
            <v>31102192</v>
          </cell>
          <cell r="H5387">
            <v>31102192</v>
          </cell>
          <cell r="I5387" t="str">
            <v/>
          </cell>
          <cell r="J5387" t="str">
            <v/>
          </cell>
          <cell r="K5387" t="str">
            <v/>
          </cell>
          <cell r="L5387" t="str">
            <v/>
          </cell>
          <cell r="M5387" t="str">
            <v/>
          </cell>
        </row>
        <row r="5388">
          <cell r="A5388">
            <v>31102192</v>
          </cell>
          <cell r="C5388">
            <v>31102192</v>
          </cell>
          <cell r="D5388">
            <v>31102192</v>
          </cell>
          <cell r="E5388">
            <v>31102192</v>
          </cell>
          <cell r="F5388">
            <v>31102192</v>
          </cell>
          <cell r="G5388">
            <v>31102192</v>
          </cell>
          <cell r="H5388">
            <v>31102192</v>
          </cell>
          <cell r="I5388" t="str">
            <v/>
          </cell>
          <cell r="J5388" t="str">
            <v/>
          </cell>
          <cell r="K5388" t="str">
            <v/>
          </cell>
          <cell r="L5388" t="str">
            <v/>
          </cell>
          <cell r="M5388" t="str">
            <v/>
          </cell>
        </row>
        <row r="5389">
          <cell r="A5389">
            <v>31102192</v>
          </cell>
          <cell r="C5389">
            <v>31102192</v>
          </cell>
          <cell r="D5389">
            <v>31102192</v>
          </cell>
          <cell r="E5389">
            <v>31102192</v>
          </cell>
          <cell r="F5389">
            <v>31102192</v>
          </cell>
          <cell r="G5389">
            <v>31102192</v>
          </cell>
          <cell r="H5389">
            <v>31102192</v>
          </cell>
          <cell r="I5389" t="str">
            <v/>
          </cell>
          <cell r="J5389" t="str">
            <v/>
          </cell>
          <cell r="K5389" t="str">
            <v/>
          </cell>
          <cell r="L5389" t="str">
            <v/>
          </cell>
          <cell r="M5389" t="str">
            <v/>
          </cell>
        </row>
        <row r="5390">
          <cell r="A5390">
            <v>31102192</v>
          </cell>
          <cell r="C5390">
            <v>31102192</v>
          </cell>
          <cell r="D5390">
            <v>31102192</v>
          </cell>
          <cell r="E5390">
            <v>31102192</v>
          </cell>
          <cell r="F5390">
            <v>31102192</v>
          </cell>
          <cell r="G5390">
            <v>31102192</v>
          </cell>
          <cell r="H5390">
            <v>31102192</v>
          </cell>
          <cell r="I5390" t="str">
            <v/>
          </cell>
          <cell r="J5390" t="str">
            <v/>
          </cell>
          <cell r="K5390" t="str">
            <v/>
          </cell>
          <cell r="L5390" t="str">
            <v/>
          </cell>
          <cell r="M5390" t="str">
            <v/>
          </cell>
        </row>
        <row r="5391">
          <cell r="A5391">
            <v>31102192</v>
          </cell>
          <cell r="C5391">
            <v>31102192</v>
          </cell>
          <cell r="D5391">
            <v>31102192</v>
          </cell>
          <cell r="E5391">
            <v>31102192</v>
          </cell>
          <cell r="F5391">
            <v>31102192</v>
          </cell>
          <cell r="G5391">
            <v>31102192</v>
          </cell>
          <cell r="H5391">
            <v>31102192</v>
          </cell>
          <cell r="I5391" t="str">
            <v/>
          </cell>
          <cell r="J5391" t="str">
            <v/>
          </cell>
          <cell r="K5391" t="str">
            <v/>
          </cell>
          <cell r="L5391" t="str">
            <v/>
          </cell>
          <cell r="M5391" t="str">
            <v/>
          </cell>
        </row>
        <row r="5392">
          <cell r="A5392">
            <v>31102192</v>
          </cell>
          <cell r="C5392">
            <v>31102192</v>
          </cell>
          <cell r="D5392">
            <v>31102192</v>
          </cell>
          <cell r="E5392">
            <v>31102192</v>
          </cell>
          <cell r="F5392">
            <v>31102192</v>
          </cell>
          <cell r="G5392">
            <v>31102192</v>
          </cell>
          <cell r="H5392">
            <v>31102192</v>
          </cell>
          <cell r="I5392" t="str">
            <v/>
          </cell>
          <cell r="J5392" t="str">
            <v/>
          </cell>
          <cell r="K5392" t="str">
            <v/>
          </cell>
          <cell r="L5392" t="str">
            <v/>
          </cell>
          <cell r="M5392" t="str">
            <v/>
          </cell>
        </row>
        <row r="5393">
          <cell r="A5393">
            <v>31102192</v>
          </cell>
          <cell r="C5393">
            <v>31102192</v>
          </cell>
          <cell r="D5393">
            <v>31102192</v>
          </cell>
          <cell r="E5393">
            <v>31102192</v>
          </cell>
          <cell r="F5393">
            <v>31102192</v>
          </cell>
          <cell r="G5393">
            <v>31102192</v>
          </cell>
          <cell r="H5393">
            <v>31102192</v>
          </cell>
          <cell r="I5393" t="str">
            <v/>
          </cell>
          <cell r="J5393" t="str">
            <v/>
          </cell>
          <cell r="K5393" t="str">
            <v/>
          </cell>
          <cell r="L5393" t="str">
            <v/>
          </cell>
          <cell r="M5393" t="str">
            <v/>
          </cell>
        </row>
        <row r="5394">
          <cell r="A5394">
            <v>31102192</v>
          </cell>
          <cell r="C5394">
            <v>31102192</v>
          </cell>
          <cell r="D5394">
            <v>31102192</v>
          </cell>
          <cell r="E5394">
            <v>31102192</v>
          </cell>
          <cell r="F5394">
            <v>31102192</v>
          </cell>
          <cell r="G5394">
            <v>31102192</v>
          </cell>
          <cell r="H5394">
            <v>31102192</v>
          </cell>
          <cell r="I5394" t="str">
            <v/>
          </cell>
          <cell r="J5394" t="str">
            <v/>
          </cell>
          <cell r="K5394" t="str">
            <v/>
          </cell>
          <cell r="L5394" t="str">
            <v/>
          </cell>
          <cell r="M5394" t="str">
            <v/>
          </cell>
        </row>
        <row r="5395">
          <cell r="A5395">
            <v>31102192</v>
          </cell>
          <cell r="C5395">
            <v>31102192</v>
          </cell>
          <cell r="D5395">
            <v>31102192</v>
          </cell>
          <cell r="E5395">
            <v>31102192</v>
          </cell>
          <cell r="F5395">
            <v>31102192</v>
          </cell>
          <cell r="G5395">
            <v>31102192</v>
          </cell>
          <cell r="H5395">
            <v>31102192</v>
          </cell>
          <cell r="I5395" t="str">
            <v/>
          </cell>
          <cell r="J5395" t="str">
            <v/>
          </cell>
          <cell r="K5395" t="str">
            <v/>
          </cell>
          <cell r="L5395" t="str">
            <v/>
          </cell>
          <cell r="M5395" t="str">
            <v/>
          </cell>
        </row>
        <row r="5396">
          <cell r="A5396">
            <v>31102192</v>
          </cell>
          <cell r="C5396">
            <v>31102192</v>
          </cell>
          <cell r="D5396">
            <v>31102192</v>
          </cell>
          <cell r="E5396">
            <v>31102192</v>
          </cell>
          <cell r="F5396">
            <v>31102192</v>
          </cell>
          <cell r="G5396">
            <v>31102192</v>
          </cell>
          <cell r="H5396">
            <v>31102192</v>
          </cell>
          <cell r="I5396" t="str">
            <v/>
          </cell>
          <cell r="J5396" t="str">
            <v/>
          </cell>
          <cell r="K5396" t="str">
            <v/>
          </cell>
          <cell r="L5396" t="str">
            <v/>
          </cell>
          <cell r="M5396" t="str">
            <v/>
          </cell>
        </row>
        <row r="5397">
          <cell r="A5397">
            <v>31102192</v>
          </cell>
          <cell r="C5397">
            <v>31102192</v>
          </cell>
          <cell r="D5397">
            <v>31102192</v>
          </cell>
          <cell r="E5397">
            <v>31102192</v>
          </cell>
          <cell r="F5397">
            <v>31102192</v>
          </cell>
          <cell r="G5397">
            <v>31102192</v>
          </cell>
          <cell r="H5397">
            <v>31102192</v>
          </cell>
          <cell r="I5397" t="str">
            <v/>
          </cell>
          <cell r="J5397" t="str">
            <v/>
          </cell>
          <cell r="K5397" t="str">
            <v/>
          </cell>
          <cell r="L5397" t="str">
            <v/>
          </cell>
          <cell r="M5397" t="str">
            <v/>
          </cell>
        </row>
        <row r="5398">
          <cell r="A5398">
            <v>31102192</v>
          </cell>
          <cell r="C5398">
            <v>31102192</v>
          </cell>
          <cell r="D5398">
            <v>31102192</v>
          </cell>
          <cell r="E5398">
            <v>31102192</v>
          </cell>
          <cell r="F5398">
            <v>31102192</v>
          </cell>
          <cell r="G5398">
            <v>31102192</v>
          </cell>
          <cell r="H5398">
            <v>31102192</v>
          </cell>
          <cell r="I5398" t="str">
            <v/>
          </cell>
          <cell r="J5398" t="str">
            <v/>
          </cell>
          <cell r="K5398" t="str">
            <v/>
          </cell>
          <cell r="L5398" t="str">
            <v/>
          </cell>
          <cell r="M5398" t="str">
            <v/>
          </cell>
        </row>
        <row r="5399">
          <cell r="A5399">
            <v>31102192</v>
          </cell>
          <cell r="C5399">
            <v>31102192</v>
          </cell>
          <cell r="D5399">
            <v>31102192</v>
          </cell>
          <cell r="E5399">
            <v>31102192</v>
          </cell>
          <cell r="F5399">
            <v>31102192</v>
          </cell>
          <cell r="G5399">
            <v>31102192</v>
          </cell>
          <cell r="H5399">
            <v>31102192</v>
          </cell>
          <cell r="I5399" t="str">
            <v/>
          </cell>
          <cell r="J5399" t="str">
            <v/>
          </cell>
          <cell r="K5399" t="str">
            <v/>
          </cell>
          <cell r="L5399" t="str">
            <v/>
          </cell>
          <cell r="M5399" t="str">
            <v/>
          </cell>
        </row>
        <row r="5400">
          <cell r="A5400">
            <v>31102192</v>
          </cell>
          <cell r="C5400">
            <v>31102192</v>
          </cell>
          <cell r="D5400">
            <v>31102192</v>
          </cell>
          <cell r="E5400">
            <v>31102192</v>
          </cell>
          <cell r="F5400">
            <v>31102192</v>
          </cell>
          <cell r="G5400">
            <v>31102192</v>
          </cell>
          <cell r="H5400">
            <v>31102192</v>
          </cell>
          <cell r="I5400" t="str">
            <v/>
          </cell>
          <cell r="J5400" t="str">
            <v/>
          </cell>
          <cell r="K5400" t="str">
            <v/>
          </cell>
          <cell r="L5400" t="str">
            <v/>
          </cell>
          <cell r="M5400" t="str">
            <v/>
          </cell>
        </row>
        <row r="5401">
          <cell r="A5401">
            <v>31102192</v>
          </cell>
          <cell r="C5401">
            <v>31102192</v>
          </cell>
          <cell r="D5401">
            <v>31102192</v>
          </cell>
          <cell r="E5401">
            <v>31102192</v>
          </cell>
          <cell r="F5401">
            <v>31102192</v>
          </cell>
          <cell r="G5401">
            <v>31102192</v>
          </cell>
          <cell r="H5401">
            <v>31102192</v>
          </cell>
          <cell r="I5401" t="str">
            <v/>
          </cell>
          <cell r="J5401" t="str">
            <v/>
          </cell>
          <cell r="K5401" t="str">
            <v/>
          </cell>
          <cell r="L5401" t="str">
            <v/>
          </cell>
          <cell r="M5401" t="str">
            <v/>
          </cell>
        </row>
        <row r="5402">
          <cell r="A5402">
            <v>31102192</v>
          </cell>
          <cell r="C5402">
            <v>31102192</v>
          </cell>
          <cell r="D5402">
            <v>31102192</v>
          </cell>
          <cell r="E5402">
            <v>31102192</v>
          </cell>
          <cell r="F5402">
            <v>31102192</v>
          </cell>
          <cell r="G5402">
            <v>31102192</v>
          </cell>
          <cell r="H5402">
            <v>31102192</v>
          </cell>
          <cell r="I5402" t="str">
            <v/>
          </cell>
          <cell r="J5402" t="str">
            <v/>
          </cell>
          <cell r="K5402" t="str">
            <v/>
          </cell>
          <cell r="L5402" t="str">
            <v/>
          </cell>
          <cell r="M5402" t="str">
            <v/>
          </cell>
        </row>
        <row r="5403">
          <cell r="A5403">
            <v>31102192</v>
          </cell>
          <cell r="C5403">
            <v>31102192</v>
          </cell>
          <cell r="D5403">
            <v>31102192</v>
          </cell>
          <cell r="E5403">
            <v>31102192</v>
          </cell>
          <cell r="F5403">
            <v>31102192</v>
          </cell>
          <cell r="G5403">
            <v>31102192</v>
          </cell>
          <cell r="H5403">
            <v>31102192</v>
          </cell>
          <cell r="I5403" t="str">
            <v/>
          </cell>
          <cell r="J5403" t="str">
            <v/>
          </cell>
          <cell r="K5403" t="str">
            <v/>
          </cell>
          <cell r="L5403" t="str">
            <v/>
          </cell>
          <cell r="M5403" t="str">
            <v/>
          </cell>
        </row>
        <row r="5404">
          <cell r="A5404">
            <v>31102192</v>
          </cell>
          <cell r="C5404">
            <v>31102192</v>
          </cell>
          <cell r="D5404">
            <v>31102192</v>
          </cell>
          <cell r="E5404">
            <v>31102192</v>
          </cell>
          <cell r="F5404">
            <v>31102192</v>
          </cell>
          <cell r="G5404">
            <v>31102192</v>
          </cell>
          <cell r="H5404">
            <v>31102192</v>
          </cell>
          <cell r="I5404" t="str">
            <v/>
          </cell>
          <cell r="J5404" t="str">
            <v/>
          </cell>
          <cell r="K5404" t="str">
            <v/>
          </cell>
          <cell r="L5404" t="str">
            <v/>
          </cell>
          <cell r="M5404" t="str">
            <v/>
          </cell>
        </row>
        <row r="5405">
          <cell r="A5405">
            <v>31102192</v>
          </cell>
          <cell r="C5405">
            <v>31102192</v>
          </cell>
          <cell r="D5405">
            <v>31102192</v>
          </cell>
          <cell r="E5405">
            <v>31102192</v>
          </cell>
          <cell r="F5405">
            <v>31102192</v>
          </cell>
          <cell r="G5405">
            <v>31102192</v>
          </cell>
          <cell r="H5405">
            <v>31102192</v>
          </cell>
          <cell r="I5405" t="str">
            <v/>
          </cell>
          <cell r="J5405" t="str">
            <v/>
          </cell>
          <cell r="K5405" t="str">
            <v/>
          </cell>
          <cell r="L5405" t="str">
            <v/>
          </cell>
          <cell r="M5405" t="str">
            <v/>
          </cell>
        </row>
        <row r="5406">
          <cell r="A5406">
            <v>31102192</v>
          </cell>
          <cell r="C5406">
            <v>31102192</v>
          </cell>
          <cell r="D5406">
            <v>31102192</v>
          </cell>
          <cell r="E5406">
            <v>31102192</v>
          </cell>
          <cell r="F5406">
            <v>31102192</v>
          </cell>
          <cell r="G5406">
            <v>31102192</v>
          </cell>
          <cell r="H5406">
            <v>31102192</v>
          </cell>
          <cell r="I5406" t="str">
            <v/>
          </cell>
          <cell r="J5406" t="str">
            <v/>
          </cell>
          <cell r="K5406" t="str">
            <v/>
          </cell>
          <cell r="L5406" t="str">
            <v/>
          </cell>
          <cell r="M5406" t="str">
            <v/>
          </cell>
        </row>
        <row r="5407">
          <cell r="A5407">
            <v>31102192</v>
          </cell>
          <cell r="C5407">
            <v>31102192</v>
          </cell>
          <cell r="D5407">
            <v>31102192</v>
          </cell>
          <cell r="E5407">
            <v>31102192</v>
          </cell>
          <cell r="F5407">
            <v>31102192</v>
          </cell>
          <cell r="G5407">
            <v>31102192</v>
          </cell>
          <cell r="H5407">
            <v>31102192</v>
          </cell>
          <cell r="I5407" t="str">
            <v/>
          </cell>
          <cell r="J5407" t="str">
            <v/>
          </cell>
          <cell r="K5407" t="str">
            <v/>
          </cell>
          <cell r="L5407" t="str">
            <v/>
          </cell>
          <cell r="M5407" t="str">
            <v/>
          </cell>
        </row>
        <row r="5408">
          <cell r="A5408">
            <v>31102192</v>
          </cell>
          <cell r="C5408">
            <v>31102192</v>
          </cell>
          <cell r="D5408">
            <v>31102192</v>
          </cell>
          <cell r="E5408">
            <v>31102192</v>
          </cell>
          <cell r="F5408">
            <v>31102192</v>
          </cell>
          <cell r="G5408">
            <v>31102192</v>
          </cell>
          <cell r="H5408">
            <v>31102192</v>
          </cell>
          <cell r="I5408" t="str">
            <v/>
          </cell>
          <cell r="J5408" t="str">
            <v/>
          </cell>
          <cell r="K5408" t="str">
            <v/>
          </cell>
          <cell r="L5408" t="str">
            <v/>
          </cell>
          <cell r="M5408" t="str">
            <v/>
          </cell>
        </row>
        <row r="5409">
          <cell r="A5409">
            <v>31102192</v>
          </cell>
          <cell r="C5409">
            <v>31102192</v>
          </cell>
          <cell r="D5409">
            <v>31102192</v>
          </cell>
          <cell r="E5409">
            <v>31102192</v>
          </cell>
          <cell r="F5409">
            <v>31102192</v>
          </cell>
          <cell r="G5409">
            <v>31102192</v>
          </cell>
          <cell r="H5409">
            <v>31102192</v>
          </cell>
          <cell r="I5409" t="str">
            <v/>
          </cell>
          <cell r="J5409" t="str">
            <v/>
          </cell>
          <cell r="K5409" t="str">
            <v/>
          </cell>
          <cell r="L5409" t="str">
            <v/>
          </cell>
          <cell r="M5409" t="str">
            <v/>
          </cell>
        </row>
        <row r="5410">
          <cell r="A5410">
            <v>31102192</v>
          </cell>
          <cell r="C5410">
            <v>31102192</v>
          </cell>
          <cell r="D5410">
            <v>31102192</v>
          </cell>
          <cell r="E5410">
            <v>31102192</v>
          </cell>
          <cell r="F5410">
            <v>31102192</v>
          </cell>
          <cell r="G5410">
            <v>31102192</v>
          </cell>
          <cell r="H5410">
            <v>31102192</v>
          </cell>
          <cell r="I5410" t="str">
            <v/>
          </cell>
          <cell r="J5410" t="str">
            <v/>
          </cell>
          <cell r="K5410" t="str">
            <v/>
          </cell>
          <cell r="L5410" t="str">
            <v/>
          </cell>
          <cell r="M5410" t="str">
            <v/>
          </cell>
        </row>
        <row r="5411">
          <cell r="A5411">
            <v>31102192</v>
          </cell>
          <cell r="C5411">
            <v>31102192</v>
          </cell>
          <cell r="D5411">
            <v>31102192</v>
          </cell>
          <cell r="E5411">
            <v>31102192</v>
          </cell>
          <cell r="F5411">
            <v>31102192</v>
          </cell>
          <cell r="G5411">
            <v>31102192</v>
          </cell>
          <cell r="H5411">
            <v>31102192</v>
          </cell>
          <cell r="I5411" t="str">
            <v/>
          </cell>
          <cell r="J5411" t="str">
            <v/>
          </cell>
          <cell r="K5411" t="str">
            <v/>
          </cell>
          <cell r="L5411" t="str">
            <v/>
          </cell>
          <cell r="M5411" t="str">
            <v/>
          </cell>
        </row>
        <row r="5412">
          <cell r="A5412">
            <v>31102192</v>
          </cell>
          <cell r="C5412">
            <v>31102192</v>
          </cell>
          <cell r="D5412">
            <v>31102192</v>
          </cell>
          <cell r="E5412">
            <v>31102192</v>
          </cell>
          <cell r="F5412">
            <v>31102192</v>
          </cell>
          <cell r="G5412">
            <v>31102192</v>
          </cell>
          <cell r="H5412">
            <v>31102192</v>
          </cell>
          <cell r="I5412" t="str">
            <v/>
          </cell>
          <cell r="J5412" t="str">
            <v/>
          </cell>
          <cell r="K5412" t="str">
            <v/>
          </cell>
          <cell r="L5412" t="str">
            <v/>
          </cell>
          <cell r="M5412" t="str">
            <v/>
          </cell>
        </row>
        <row r="5413">
          <cell r="A5413">
            <v>31102192</v>
          </cell>
          <cell r="C5413">
            <v>31102192</v>
          </cell>
          <cell r="D5413">
            <v>31102192</v>
          </cell>
          <cell r="E5413">
            <v>31102192</v>
          </cell>
          <cell r="F5413">
            <v>31102192</v>
          </cell>
          <cell r="G5413">
            <v>31102192</v>
          </cell>
          <cell r="H5413">
            <v>31102192</v>
          </cell>
          <cell r="I5413" t="str">
            <v/>
          </cell>
          <cell r="J5413" t="str">
            <v/>
          </cell>
          <cell r="K5413" t="str">
            <v/>
          </cell>
          <cell r="L5413" t="str">
            <v/>
          </cell>
          <cell r="M5413" t="str">
            <v/>
          </cell>
        </row>
        <row r="5414">
          <cell r="A5414">
            <v>31102192</v>
          </cell>
          <cell r="C5414">
            <v>31102192</v>
          </cell>
          <cell r="D5414">
            <v>31102192</v>
          </cell>
          <cell r="E5414">
            <v>31102192</v>
          </cell>
          <cell r="F5414">
            <v>31102192</v>
          </cell>
          <cell r="G5414">
            <v>31102192</v>
          </cell>
          <cell r="H5414">
            <v>31102192</v>
          </cell>
          <cell r="I5414" t="str">
            <v/>
          </cell>
          <cell r="J5414" t="str">
            <v/>
          </cell>
          <cell r="K5414" t="str">
            <v/>
          </cell>
          <cell r="L5414" t="str">
            <v/>
          </cell>
          <cell r="M5414" t="str">
            <v/>
          </cell>
        </row>
        <row r="5415">
          <cell r="A5415">
            <v>31102192</v>
          </cell>
          <cell r="C5415">
            <v>31102192</v>
          </cell>
          <cell r="D5415">
            <v>31102192</v>
          </cell>
          <cell r="E5415">
            <v>31102192</v>
          </cell>
          <cell r="F5415">
            <v>31102192</v>
          </cell>
          <cell r="G5415">
            <v>31102192</v>
          </cell>
          <cell r="H5415">
            <v>31102192</v>
          </cell>
          <cell r="I5415" t="str">
            <v/>
          </cell>
          <cell r="J5415" t="str">
            <v/>
          </cell>
          <cell r="K5415" t="str">
            <v/>
          </cell>
          <cell r="L5415" t="str">
            <v/>
          </cell>
          <cell r="M5415" t="str">
            <v/>
          </cell>
        </row>
        <row r="5416">
          <cell r="A5416">
            <v>31102192</v>
          </cell>
          <cell r="C5416">
            <v>31102192</v>
          </cell>
          <cell r="D5416">
            <v>31102192</v>
          </cell>
          <cell r="E5416">
            <v>31102192</v>
          </cell>
          <cell r="F5416">
            <v>31102192</v>
          </cell>
          <cell r="G5416">
            <v>31102192</v>
          </cell>
          <cell r="H5416">
            <v>31102192</v>
          </cell>
          <cell r="I5416" t="str">
            <v/>
          </cell>
          <cell r="J5416" t="str">
            <v/>
          </cell>
          <cell r="K5416" t="str">
            <v/>
          </cell>
          <cell r="L5416" t="str">
            <v/>
          </cell>
          <cell r="M5416" t="str">
            <v/>
          </cell>
        </row>
        <row r="5417">
          <cell r="A5417">
            <v>31102192</v>
          </cell>
          <cell r="C5417">
            <v>31102192</v>
          </cell>
          <cell r="D5417">
            <v>31102192</v>
          </cell>
          <cell r="E5417">
            <v>31102192</v>
          </cell>
          <cell r="F5417">
            <v>31102192</v>
          </cell>
          <cell r="G5417">
            <v>31102192</v>
          </cell>
          <cell r="H5417">
            <v>31102192</v>
          </cell>
          <cell r="I5417" t="str">
            <v/>
          </cell>
          <cell r="J5417" t="str">
            <v/>
          </cell>
          <cell r="K5417" t="str">
            <v/>
          </cell>
          <cell r="L5417" t="str">
            <v/>
          </cell>
          <cell r="M5417" t="str">
            <v/>
          </cell>
        </row>
        <row r="5418">
          <cell r="A5418">
            <v>31102192</v>
          </cell>
          <cell r="C5418">
            <v>31102192</v>
          </cell>
          <cell r="D5418">
            <v>31102192</v>
          </cell>
          <cell r="E5418">
            <v>31102192</v>
          </cell>
          <cell r="F5418">
            <v>31102192</v>
          </cell>
          <cell r="G5418">
            <v>31102192</v>
          </cell>
          <cell r="H5418">
            <v>31102192</v>
          </cell>
          <cell r="I5418" t="str">
            <v/>
          </cell>
          <cell r="J5418" t="str">
            <v/>
          </cell>
          <cell r="K5418" t="str">
            <v/>
          </cell>
          <cell r="L5418" t="str">
            <v/>
          </cell>
          <cell r="M5418" t="str">
            <v/>
          </cell>
        </row>
        <row r="5419">
          <cell r="A5419">
            <v>31102192</v>
          </cell>
          <cell r="C5419">
            <v>31102192</v>
          </cell>
          <cell r="D5419">
            <v>31102192</v>
          </cell>
          <cell r="E5419">
            <v>31102192</v>
          </cell>
          <cell r="F5419">
            <v>31102192</v>
          </cell>
          <cell r="G5419">
            <v>31102192</v>
          </cell>
          <cell r="H5419">
            <v>31102192</v>
          </cell>
          <cell r="I5419" t="str">
            <v/>
          </cell>
          <cell r="J5419" t="str">
            <v/>
          </cell>
          <cell r="K5419" t="str">
            <v/>
          </cell>
          <cell r="L5419" t="str">
            <v/>
          </cell>
          <cell r="M5419" t="str">
            <v/>
          </cell>
        </row>
        <row r="5420">
          <cell r="A5420">
            <v>31102192</v>
          </cell>
          <cell r="C5420">
            <v>31102192</v>
          </cell>
          <cell r="D5420">
            <v>31102192</v>
          </cell>
          <cell r="E5420">
            <v>31102192</v>
          </cell>
          <cell r="F5420">
            <v>31102192</v>
          </cell>
          <cell r="G5420">
            <v>31102192</v>
          </cell>
          <cell r="H5420">
            <v>31102192</v>
          </cell>
          <cell r="I5420" t="str">
            <v/>
          </cell>
          <cell r="J5420" t="str">
            <v/>
          </cell>
          <cell r="K5420" t="str">
            <v/>
          </cell>
          <cell r="L5420" t="str">
            <v/>
          </cell>
          <cell r="M5420" t="str">
            <v/>
          </cell>
        </row>
        <row r="5421">
          <cell r="A5421">
            <v>31102192</v>
          </cell>
          <cell r="C5421">
            <v>31102192</v>
          </cell>
          <cell r="D5421">
            <v>31102192</v>
          </cell>
          <cell r="E5421">
            <v>31102192</v>
          </cell>
          <cell r="F5421">
            <v>31102192</v>
          </cell>
          <cell r="G5421">
            <v>31102192</v>
          </cell>
          <cell r="H5421">
            <v>31102192</v>
          </cell>
          <cell r="I5421" t="str">
            <v/>
          </cell>
          <cell r="J5421" t="str">
            <v/>
          </cell>
          <cell r="K5421" t="str">
            <v/>
          </cell>
          <cell r="L5421" t="str">
            <v/>
          </cell>
          <cell r="M5421" t="str">
            <v/>
          </cell>
        </row>
        <row r="5422">
          <cell r="A5422">
            <v>31102192</v>
          </cell>
          <cell r="C5422">
            <v>31102192</v>
          </cell>
          <cell r="D5422">
            <v>31102192</v>
          </cell>
          <cell r="E5422">
            <v>31102192</v>
          </cell>
          <cell r="F5422">
            <v>31102192</v>
          </cell>
          <cell r="G5422">
            <v>31102192</v>
          </cell>
          <cell r="H5422">
            <v>31102192</v>
          </cell>
          <cell r="I5422" t="str">
            <v/>
          </cell>
          <cell r="J5422" t="str">
            <v/>
          </cell>
          <cell r="K5422" t="str">
            <v/>
          </cell>
          <cell r="L5422" t="str">
            <v/>
          </cell>
          <cell r="M5422" t="str">
            <v/>
          </cell>
        </row>
        <row r="5423">
          <cell r="A5423">
            <v>31102192</v>
          </cell>
          <cell r="C5423">
            <v>31102192</v>
          </cell>
          <cell r="D5423">
            <v>31102192</v>
          </cell>
          <cell r="E5423">
            <v>31102192</v>
          </cell>
          <cell r="F5423">
            <v>31102192</v>
          </cell>
          <cell r="G5423">
            <v>31102192</v>
          </cell>
          <cell r="H5423">
            <v>31102192</v>
          </cell>
          <cell r="I5423" t="str">
            <v/>
          </cell>
          <cell r="J5423" t="str">
            <v/>
          </cell>
          <cell r="K5423" t="str">
            <v/>
          </cell>
          <cell r="L5423" t="str">
            <v/>
          </cell>
          <cell r="M5423" t="str">
            <v/>
          </cell>
        </row>
        <row r="5424">
          <cell r="A5424">
            <v>31102192</v>
          </cell>
          <cell r="C5424">
            <v>31102192</v>
          </cell>
          <cell r="D5424">
            <v>31102192</v>
          </cell>
          <cell r="E5424">
            <v>31102192</v>
          </cell>
          <cell r="F5424">
            <v>31102192</v>
          </cell>
          <cell r="G5424">
            <v>31102192</v>
          </cell>
          <cell r="H5424">
            <v>31102192</v>
          </cell>
          <cell r="I5424" t="str">
            <v/>
          </cell>
          <cell r="J5424" t="str">
            <v/>
          </cell>
          <cell r="K5424" t="str">
            <v/>
          </cell>
          <cell r="L5424" t="str">
            <v/>
          </cell>
          <cell r="M5424" t="str">
            <v/>
          </cell>
        </row>
        <row r="5425">
          <cell r="A5425">
            <v>31102192</v>
          </cell>
          <cell r="C5425">
            <v>31102192</v>
          </cell>
          <cell r="D5425">
            <v>31102192</v>
          </cell>
          <cell r="E5425">
            <v>31102192</v>
          </cell>
          <cell r="F5425">
            <v>31102192</v>
          </cell>
          <cell r="G5425">
            <v>31102192</v>
          </cell>
          <cell r="H5425">
            <v>31102192</v>
          </cell>
          <cell r="I5425" t="str">
            <v/>
          </cell>
          <cell r="J5425" t="str">
            <v/>
          </cell>
          <cell r="K5425" t="str">
            <v/>
          </cell>
          <cell r="L5425" t="str">
            <v/>
          </cell>
          <cell r="M5425" t="str">
            <v/>
          </cell>
        </row>
        <row r="5426">
          <cell r="A5426">
            <v>31102192</v>
          </cell>
          <cell r="C5426">
            <v>31102192</v>
          </cell>
          <cell r="D5426">
            <v>31102192</v>
          </cell>
          <cell r="E5426">
            <v>31102192</v>
          </cell>
          <cell r="F5426">
            <v>31102192</v>
          </cell>
          <cell r="G5426">
            <v>31102192</v>
          </cell>
          <cell r="H5426">
            <v>31102192</v>
          </cell>
          <cell r="I5426" t="str">
            <v/>
          </cell>
          <cell r="J5426" t="str">
            <v/>
          </cell>
          <cell r="K5426" t="str">
            <v/>
          </cell>
          <cell r="L5426" t="str">
            <v/>
          </cell>
          <cell r="M5426" t="str">
            <v/>
          </cell>
        </row>
        <row r="5427">
          <cell r="A5427">
            <v>31102192</v>
          </cell>
          <cell r="C5427">
            <v>31102192</v>
          </cell>
          <cell r="D5427">
            <v>31102192</v>
          </cell>
          <cell r="E5427">
            <v>31102192</v>
          </cell>
          <cell r="F5427">
            <v>31102192</v>
          </cell>
          <cell r="G5427">
            <v>31102192</v>
          </cell>
          <cell r="H5427">
            <v>31102192</v>
          </cell>
          <cell r="I5427" t="str">
            <v/>
          </cell>
          <cell r="J5427" t="str">
            <v/>
          </cell>
          <cell r="K5427" t="str">
            <v/>
          </cell>
          <cell r="L5427" t="str">
            <v/>
          </cell>
          <cell r="M5427" t="str">
            <v/>
          </cell>
        </row>
        <row r="5428">
          <cell r="A5428">
            <v>31102192</v>
          </cell>
          <cell r="C5428">
            <v>31102192</v>
          </cell>
          <cell r="D5428">
            <v>31102192</v>
          </cell>
          <cell r="E5428">
            <v>31102192</v>
          </cell>
          <cell r="F5428">
            <v>31102192</v>
          </cell>
          <cell r="G5428">
            <v>31102192</v>
          </cell>
          <cell r="H5428">
            <v>31102192</v>
          </cell>
          <cell r="I5428" t="str">
            <v/>
          </cell>
          <cell r="J5428" t="str">
            <v/>
          </cell>
          <cell r="K5428" t="str">
            <v/>
          </cell>
          <cell r="L5428" t="str">
            <v/>
          </cell>
          <cell r="M5428" t="str">
            <v/>
          </cell>
        </row>
        <row r="5429">
          <cell r="A5429">
            <v>31102192</v>
          </cell>
          <cell r="C5429">
            <v>31102192</v>
          </cell>
          <cell r="D5429">
            <v>31102192</v>
          </cell>
          <cell r="E5429">
            <v>31102192</v>
          </cell>
          <cell r="F5429">
            <v>31102192</v>
          </cell>
          <cell r="G5429">
            <v>31102192</v>
          </cell>
          <cell r="H5429">
            <v>31102192</v>
          </cell>
          <cell r="I5429" t="str">
            <v/>
          </cell>
          <cell r="J5429" t="str">
            <v/>
          </cell>
          <cell r="K5429" t="str">
            <v/>
          </cell>
          <cell r="L5429" t="str">
            <v/>
          </cell>
          <cell r="M5429" t="str">
            <v/>
          </cell>
        </row>
        <row r="5430">
          <cell r="A5430">
            <v>31102192</v>
          </cell>
          <cell r="C5430">
            <v>31102192</v>
          </cell>
          <cell r="D5430">
            <v>31102192</v>
          </cell>
          <cell r="E5430">
            <v>31102192</v>
          </cell>
          <cell r="F5430">
            <v>31102192</v>
          </cell>
          <cell r="G5430">
            <v>31102192</v>
          </cell>
          <cell r="H5430">
            <v>31102192</v>
          </cell>
          <cell r="I5430" t="str">
            <v/>
          </cell>
          <cell r="J5430" t="str">
            <v/>
          </cell>
          <cell r="K5430" t="str">
            <v/>
          </cell>
          <cell r="L5430" t="str">
            <v/>
          </cell>
          <cell r="M5430" t="str">
            <v/>
          </cell>
        </row>
        <row r="5431">
          <cell r="A5431">
            <v>31102192</v>
          </cell>
          <cell r="C5431">
            <v>31102192</v>
          </cell>
          <cell r="D5431">
            <v>31102192</v>
          </cell>
          <cell r="E5431">
            <v>31102192</v>
          </cell>
          <cell r="F5431">
            <v>31102192</v>
          </cell>
          <cell r="G5431">
            <v>31102192</v>
          </cell>
          <cell r="H5431">
            <v>31102192</v>
          </cell>
          <cell r="I5431" t="str">
            <v/>
          </cell>
          <cell r="J5431" t="str">
            <v/>
          </cell>
          <cell r="K5431" t="str">
            <v/>
          </cell>
          <cell r="L5431" t="str">
            <v/>
          </cell>
          <cell r="M5431" t="str">
            <v/>
          </cell>
        </row>
        <row r="5432">
          <cell r="A5432">
            <v>31102192</v>
          </cell>
          <cell r="C5432">
            <v>31102192</v>
          </cell>
          <cell r="D5432">
            <v>31102192</v>
          </cell>
          <cell r="E5432">
            <v>31102192</v>
          </cell>
          <cell r="F5432">
            <v>31102192</v>
          </cell>
          <cell r="G5432">
            <v>31102192</v>
          </cell>
          <cell r="H5432">
            <v>31102192</v>
          </cell>
          <cell r="I5432" t="str">
            <v/>
          </cell>
          <cell r="J5432" t="str">
            <v/>
          </cell>
          <cell r="K5432" t="str">
            <v/>
          </cell>
          <cell r="L5432" t="str">
            <v/>
          </cell>
          <cell r="M5432" t="str">
            <v/>
          </cell>
        </row>
        <row r="5433">
          <cell r="A5433">
            <v>31102192</v>
          </cell>
          <cell r="C5433">
            <v>31102192</v>
          </cell>
          <cell r="D5433">
            <v>31102192</v>
          </cell>
          <cell r="E5433">
            <v>31102192</v>
          </cell>
          <cell r="F5433">
            <v>31102192</v>
          </cell>
          <cell r="G5433">
            <v>31102192</v>
          </cell>
          <cell r="H5433">
            <v>31102192</v>
          </cell>
          <cell r="I5433" t="str">
            <v/>
          </cell>
          <cell r="J5433" t="str">
            <v/>
          </cell>
          <cell r="K5433" t="str">
            <v/>
          </cell>
          <cell r="L5433" t="str">
            <v/>
          </cell>
          <cell r="M5433" t="str">
            <v/>
          </cell>
        </row>
        <row r="5434">
          <cell r="A5434">
            <v>31102192</v>
          </cell>
          <cell r="C5434">
            <v>31102192</v>
          </cell>
          <cell r="D5434">
            <v>31102192</v>
          </cell>
          <cell r="E5434">
            <v>31102192</v>
          </cell>
          <cell r="F5434">
            <v>31102192</v>
          </cell>
          <cell r="G5434">
            <v>31102192</v>
          </cell>
          <cell r="H5434">
            <v>31102192</v>
          </cell>
          <cell r="I5434" t="str">
            <v/>
          </cell>
          <cell r="J5434" t="str">
            <v/>
          </cell>
          <cell r="K5434" t="str">
            <v/>
          </cell>
          <cell r="L5434" t="str">
            <v/>
          </cell>
          <cell r="M5434" t="str">
            <v/>
          </cell>
        </row>
        <row r="5435">
          <cell r="A5435">
            <v>31102192</v>
          </cell>
          <cell r="C5435">
            <v>31102192</v>
          </cell>
          <cell r="D5435">
            <v>31102192</v>
          </cell>
          <cell r="E5435">
            <v>31102192</v>
          </cell>
          <cell r="F5435">
            <v>31102192</v>
          </cell>
          <cell r="G5435">
            <v>31102192</v>
          </cell>
          <cell r="H5435">
            <v>31102192</v>
          </cell>
          <cell r="I5435" t="str">
            <v/>
          </cell>
          <cell r="J5435" t="str">
            <v/>
          </cell>
          <cell r="K5435" t="str">
            <v/>
          </cell>
          <cell r="L5435" t="str">
            <v/>
          </cell>
          <cell r="M5435" t="str">
            <v/>
          </cell>
        </row>
        <row r="5436">
          <cell r="A5436">
            <v>31102192</v>
          </cell>
          <cell r="C5436">
            <v>31102192</v>
          </cell>
          <cell r="D5436">
            <v>31102192</v>
          </cell>
          <cell r="E5436">
            <v>31102192</v>
          </cell>
          <cell r="F5436">
            <v>31102192</v>
          </cell>
          <cell r="G5436">
            <v>31102192</v>
          </cell>
          <cell r="H5436">
            <v>31102192</v>
          </cell>
          <cell r="I5436" t="str">
            <v/>
          </cell>
          <cell r="J5436" t="str">
            <v/>
          </cell>
          <cell r="K5436" t="str">
            <v/>
          </cell>
          <cell r="L5436" t="str">
            <v/>
          </cell>
          <cell r="M5436" t="str">
            <v/>
          </cell>
        </row>
        <row r="5437">
          <cell r="A5437">
            <v>31102192</v>
          </cell>
          <cell r="C5437">
            <v>31102192</v>
          </cell>
          <cell r="D5437">
            <v>31102192</v>
          </cell>
          <cell r="E5437">
            <v>31102192</v>
          </cell>
          <cell r="F5437">
            <v>31102192</v>
          </cell>
          <cell r="G5437">
            <v>31102192</v>
          </cell>
          <cell r="H5437">
            <v>31102192</v>
          </cell>
          <cell r="I5437" t="str">
            <v/>
          </cell>
          <cell r="J5437" t="str">
            <v/>
          </cell>
          <cell r="K5437" t="str">
            <v/>
          </cell>
          <cell r="L5437" t="str">
            <v/>
          </cell>
          <cell r="M5437" t="str">
            <v/>
          </cell>
        </row>
        <row r="5438">
          <cell r="A5438">
            <v>31102192</v>
          </cell>
          <cell r="C5438">
            <v>31102192</v>
          </cell>
          <cell r="D5438">
            <v>31102192</v>
          </cell>
          <cell r="E5438">
            <v>31102192</v>
          </cell>
          <cell r="F5438">
            <v>31102192</v>
          </cell>
          <cell r="G5438">
            <v>31102192</v>
          </cell>
          <cell r="H5438">
            <v>31102192</v>
          </cell>
          <cell r="I5438" t="str">
            <v/>
          </cell>
          <cell r="J5438" t="str">
            <v/>
          </cell>
          <cell r="K5438" t="str">
            <v/>
          </cell>
          <cell r="L5438" t="str">
            <v/>
          </cell>
          <cell r="M5438" t="str">
            <v/>
          </cell>
        </row>
        <row r="5439">
          <cell r="A5439">
            <v>31102192</v>
          </cell>
          <cell r="C5439">
            <v>31102192</v>
          </cell>
          <cell r="D5439">
            <v>31102192</v>
          </cell>
          <cell r="E5439">
            <v>31102192</v>
          </cell>
          <cell r="F5439">
            <v>31102192</v>
          </cell>
          <cell r="G5439">
            <v>31102192</v>
          </cell>
          <cell r="H5439">
            <v>31102192</v>
          </cell>
          <cell r="I5439" t="str">
            <v/>
          </cell>
          <cell r="J5439" t="str">
            <v/>
          </cell>
          <cell r="K5439" t="str">
            <v/>
          </cell>
          <cell r="L5439" t="str">
            <v/>
          </cell>
          <cell r="M5439" t="str">
            <v/>
          </cell>
        </row>
        <row r="5440">
          <cell r="A5440">
            <v>31102192</v>
          </cell>
          <cell r="C5440">
            <v>31102192</v>
          </cell>
          <cell r="D5440">
            <v>31102192</v>
          </cell>
          <cell r="E5440">
            <v>31102192</v>
          </cell>
          <cell r="F5440">
            <v>31102192</v>
          </cell>
          <cell r="G5440">
            <v>31102192</v>
          </cell>
          <cell r="H5440">
            <v>31102192</v>
          </cell>
          <cell r="I5440" t="str">
            <v/>
          </cell>
          <cell r="J5440" t="str">
            <v/>
          </cell>
          <cell r="K5440" t="str">
            <v/>
          </cell>
          <cell r="L5440" t="str">
            <v/>
          </cell>
          <cell r="M5440" t="str">
            <v/>
          </cell>
        </row>
        <row r="5441">
          <cell r="A5441">
            <v>31102192</v>
          </cell>
          <cell r="C5441">
            <v>31102192</v>
          </cell>
          <cell r="D5441">
            <v>31102192</v>
          </cell>
          <cell r="E5441">
            <v>31102192</v>
          </cell>
          <cell r="F5441">
            <v>31102192</v>
          </cell>
          <cell r="G5441">
            <v>31102192</v>
          </cell>
          <cell r="H5441">
            <v>31102192</v>
          </cell>
          <cell r="I5441" t="str">
            <v/>
          </cell>
          <cell r="J5441" t="str">
            <v/>
          </cell>
          <cell r="K5441" t="str">
            <v/>
          </cell>
          <cell r="L5441" t="str">
            <v/>
          </cell>
          <cell r="M5441" t="str">
            <v/>
          </cell>
        </row>
        <row r="5442">
          <cell r="A5442">
            <v>31102192</v>
          </cell>
          <cell r="C5442">
            <v>31102192</v>
          </cell>
          <cell r="D5442">
            <v>31102192</v>
          </cell>
          <cell r="E5442">
            <v>31102192</v>
          </cell>
          <cell r="F5442">
            <v>31102192</v>
          </cell>
          <cell r="G5442">
            <v>31102192</v>
          </cell>
          <cell r="H5442">
            <v>31102192</v>
          </cell>
          <cell r="I5442" t="str">
            <v/>
          </cell>
          <cell r="J5442" t="str">
            <v/>
          </cell>
          <cell r="K5442" t="str">
            <v/>
          </cell>
          <cell r="L5442" t="str">
            <v/>
          </cell>
          <cell r="M5442" t="str">
            <v/>
          </cell>
        </row>
        <row r="5443">
          <cell r="A5443">
            <v>31102192</v>
          </cell>
          <cell r="C5443">
            <v>31102192</v>
          </cell>
          <cell r="D5443">
            <v>31102192</v>
          </cell>
          <cell r="E5443">
            <v>31102192</v>
          </cell>
          <cell r="F5443">
            <v>31102192</v>
          </cell>
          <cell r="G5443">
            <v>31102192</v>
          </cell>
          <cell r="H5443">
            <v>31102192</v>
          </cell>
          <cell r="I5443" t="str">
            <v/>
          </cell>
          <cell r="J5443" t="str">
            <v/>
          </cell>
          <cell r="K5443" t="str">
            <v/>
          </cell>
          <cell r="L5443" t="str">
            <v/>
          </cell>
          <cell r="M5443" t="str">
            <v/>
          </cell>
        </row>
        <row r="5444">
          <cell r="A5444">
            <v>31102192</v>
          </cell>
          <cell r="C5444">
            <v>31102192</v>
          </cell>
          <cell r="D5444">
            <v>31102192</v>
          </cell>
          <cell r="E5444">
            <v>31102192</v>
          </cell>
          <cell r="F5444">
            <v>31102192</v>
          </cell>
          <cell r="G5444">
            <v>31102192</v>
          </cell>
          <cell r="H5444">
            <v>31102192</v>
          </cell>
          <cell r="I5444" t="str">
            <v/>
          </cell>
          <cell r="J5444" t="str">
            <v/>
          </cell>
          <cell r="K5444" t="str">
            <v/>
          </cell>
          <cell r="L5444" t="str">
            <v/>
          </cell>
          <cell r="M5444" t="str">
            <v/>
          </cell>
        </row>
        <row r="5445">
          <cell r="A5445">
            <v>31102192</v>
          </cell>
          <cell r="C5445">
            <v>31102192</v>
          </cell>
          <cell r="D5445">
            <v>31102192</v>
          </cell>
          <cell r="E5445">
            <v>31102192</v>
          </cell>
          <cell r="F5445">
            <v>31102192</v>
          </cell>
          <cell r="G5445">
            <v>31102192</v>
          </cell>
          <cell r="H5445">
            <v>31102192</v>
          </cell>
          <cell r="I5445" t="str">
            <v/>
          </cell>
          <cell r="J5445" t="str">
            <v/>
          </cell>
          <cell r="K5445" t="str">
            <v/>
          </cell>
          <cell r="L5445" t="str">
            <v/>
          </cell>
          <cell r="M5445" t="str">
            <v/>
          </cell>
        </row>
        <row r="5446">
          <cell r="A5446">
            <v>31102192</v>
          </cell>
          <cell r="C5446">
            <v>31102192</v>
          </cell>
          <cell r="D5446">
            <v>31102192</v>
          </cell>
          <cell r="E5446">
            <v>31102192</v>
          </cell>
          <cell r="F5446">
            <v>31102192</v>
          </cell>
          <cell r="G5446">
            <v>31102192</v>
          </cell>
          <cell r="H5446">
            <v>31102192</v>
          </cell>
          <cell r="I5446" t="str">
            <v/>
          </cell>
          <cell r="J5446" t="str">
            <v/>
          </cell>
          <cell r="K5446" t="str">
            <v/>
          </cell>
          <cell r="L5446" t="str">
            <v/>
          </cell>
          <cell r="M5446" t="str">
            <v/>
          </cell>
        </row>
        <row r="5447">
          <cell r="A5447">
            <v>31102192</v>
          </cell>
          <cell r="C5447">
            <v>31102192</v>
          </cell>
          <cell r="D5447">
            <v>31102192</v>
          </cell>
          <cell r="E5447">
            <v>31102192</v>
          </cell>
          <cell r="F5447">
            <v>31102192</v>
          </cell>
          <cell r="G5447">
            <v>31102192</v>
          </cell>
          <cell r="H5447">
            <v>31102192</v>
          </cell>
          <cell r="I5447" t="str">
            <v/>
          </cell>
          <cell r="J5447" t="str">
            <v/>
          </cell>
          <cell r="K5447" t="str">
            <v/>
          </cell>
          <cell r="L5447" t="str">
            <v/>
          </cell>
          <cell r="M5447" t="str">
            <v/>
          </cell>
        </row>
        <row r="5448">
          <cell r="A5448">
            <v>31102192</v>
          </cell>
          <cell r="C5448">
            <v>31102192</v>
          </cell>
          <cell r="D5448">
            <v>31102192</v>
          </cell>
          <cell r="E5448">
            <v>31102192</v>
          </cell>
          <cell r="F5448">
            <v>31102192</v>
          </cell>
          <cell r="G5448">
            <v>31102192</v>
          </cell>
          <cell r="H5448">
            <v>31102192</v>
          </cell>
          <cell r="I5448" t="str">
            <v/>
          </cell>
          <cell r="J5448" t="str">
            <v/>
          </cell>
          <cell r="K5448" t="str">
            <v/>
          </cell>
          <cell r="L5448" t="str">
            <v/>
          </cell>
          <cell r="M5448" t="str">
            <v/>
          </cell>
        </row>
        <row r="5449">
          <cell r="A5449">
            <v>31102192</v>
          </cell>
          <cell r="C5449">
            <v>31102192</v>
          </cell>
          <cell r="D5449">
            <v>31102192</v>
          </cell>
          <cell r="E5449">
            <v>31102192</v>
          </cell>
          <cell r="F5449">
            <v>31102192</v>
          </cell>
          <cell r="G5449">
            <v>31102192</v>
          </cell>
          <cell r="H5449">
            <v>31102192</v>
          </cell>
          <cell r="I5449" t="str">
            <v/>
          </cell>
          <cell r="J5449" t="str">
            <v/>
          </cell>
          <cell r="K5449" t="str">
            <v/>
          </cell>
          <cell r="L5449" t="str">
            <v/>
          </cell>
          <cell r="M5449" t="str">
            <v/>
          </cell>
        </row>
        <row r="5450">
          <cell r="A5450">
            <v>31102192</v>
          </cell>
          <cell r="C5450">
            <v>31102192</v>
          </cell>
          <cell r="D5450">
            <v>31102192</v>
          </cell>
          <cell r="E5450">
            <v>31102192</v>
          </cell>
          <cell r="F5450">
            <v>31102192</v>
          </cell>
          <cell r="G5450">
            <v>31102192</v>
          </cell>
          <cell r="H5450">
            <v>31102192</v>
          </cell>
          <cell r="I5450" t="str">
            <v/>
          </cell>
          <cell r="J5450" t="str">
            <v/>
          </cell>
          <cell r="K5450" t="str">
            <v/>
          </cell>
          <cell r="L5450" t="str">
            <v/>
          </cell>
          <cell r="M5450" t="str">
            <v/>
          </cell>
        </row>
        <row r="5451">
          <cell r="A5451">
            <v>31102192</v>
          </cell>
          <cell r="C5451">
            <v>31102192</v>
          </cell>
          <cell r="D5451">
            <v>31102192</v>
          </cell>
          <cell r="E5451">
            <v>31102192</v>
          </cell>
          <cell r="F5451">
            <v>31102192</v>
          </cell>
          <cell r="G5451">
            <v>31102192</v>
          </cell>
          <cell r="H5451">
            <v>31102192</v>
          </cell>
          <cell r="I5451" t="str">
            <v/>
          </cell>
          <cell r="J5451" t="str">
            <v/>
          </cell>
          <cell r="K5451" t="str">
            <v/>
          </cell>
          <cell r="L5451" t="str">
            <v/>
          </cell>
          <cell r="M5451" t="str">
            <v/>
          </cell>
        </row>
        <row r="5452">
          <cell r="A5452">
            <v>31102192</v>
          </cell>
          <cell r="C5452">
            <v>31102192</v>
          </cell>
          <cell r="D5452">
            <v>31102192</v>
          </cell>
          <cell r="E5452">
            <v>31102192</v>
          </cell>
          <cell r="F5452">
            <v>31102192</v>
          </cell>
          <cell r="G5452">
            <v>31102192</v>
          </cell>
          <cell r="H5452">
            <v>31102192</v>
          </cell>
          <cell r="I5452" t="str">
            <v/>
          </cell>
          <cell r="J5452" t="str">
            <v/>
          </cell>
          <cell r="K5452" t="str">
            <v/>
          </cell>
          <cell r="L5452" t="str">
            <v/>
          </cell>
          <cell r="M5452" t="str">
            <v/>
          </cell>
        </row>
        <row r="5453">
          <cell r="A5453">
            <v>31102192</v>
          </cell>
          <cell r="C5453">
            <v>31102192</v>
          </cell>
          <cell r="D5453">
            <v>31102192</v>
          </cell>
          <cell r="E5453">
            <v>31102192</v>
          </cell>
          <cell r="F5453">
            <v>31102192</v>
          </cell>
          <cell r="G5453">
            <v>31102192</v>
          </cell>
          <cell r="H5453">
            <v>31102192</v>
          </cell>
          <cell r="I5453" t="str">
            <v/>
          </cell>
          <cell r="J5453" t="str">
            <v/>
          </cell>
          <cell r="K5453" t="str">
            <v/>
          </cell>
          <cell r="L5453" t="str">
            <v/>
          </cell>
          <cell r="M5453" t="str">
            <v/>
          </cell>
        </row>
        <row r="5454">
          <cell r="A5454">
            <v>31102192</v>
          </cell>
          <cell r="C5454">
            <v>31102192</v>
          </cell>
          <cell r="D5454">
            <v>31102192</v>
          </cell>
          <cell r="E5454">
            <v>31102192</v>
          </cell>
          <cell r="F5454">
            <v>31102192</v>
          </cell>
          <cell r="G5454">
            <v>31102192</v>
          </cell>
          <cell r="H5454">
            <v>31102192</v>
          </cell>
          <cell r="I5454" t="str">
            <v/>
          </cell>
          <cell r="J5454" t="str">
            <v/>
          </cell>
          <cell r="K5454" t="str">
            <v/>
          </cell>
          <cell r="L5454" t="str">
            <v/>
          </cell>
          <cell r="M5454" t="str">
            <v/>
          </cell>
        </row>
        <row r="5455">
          <cell r="A5455">
            <v>31102192</v>
          </cell>
          <cell r="C5455">
            <v>31102192</v>
          </cell>
          <cell r="D5455">
            <v>31102192</v>
          </cell>
          <cell r="E5455">
            <v>31102192</v>
          </cell>
          <cell r="F5455">
            <v>31102192</v>
          </cell>
          <cell r="G5455">
            <v>31102192</v>
          </cell>
          <cell r="H5455">
            <v>31102192</v>
          </cell>
          <cell r="I5455" t="str">
            <v/>
          </cell>
          <cell r="J5455" t="str">
            <v/>
          </cell>
          <cell r="K5455" t="str">
            <v/>
          </cell>
          <cell r="L5455" t="str">
            <v/>
          </cell>
          <cell r="M5455" t="str">
            <v/>
          </cell>
        </row>
        <row r="5456">
          <cell r="A5456">
            <v>31102192</v>
          </cell>
          <cell r="C5456">
            <v>31102192</v>
          </cell>
          <cell r="D5456">
            <v>31102192</v>
          </cell>
          <cell r="E5456">
            <v>31102192</v>
          </cell>
          <cell r="F5456">
            <v>31102192</v>
          </cell>
          <cell r="G5456">
            <v>31102192</v>
          </cell>
          <cell r="H5456">
            <v>31102192</v>
          </cell>
          <cell r="I5456" t="str">
            <v/>
          </cell>
          <cell r="J5456" t="str">
            <v/>
          </cell>
          <cell r="K5456" t="str">
            <v/>
          </cell>
          <cell r="L5456" t="str">
            <v/>
          </cell>
          <cell r="M5456" t="str">
            <v/>
          </cell>
        </row>
        <row r="5457">
          <cell r="A5457">
            <v>31102192</v>
          </cell>
          <cell r="C5457">
            <v>31102192</v>
          </cell>
          <cell r="D5457">
            <v>31102192</v>
          </cell>
          <cell r="E5457">
            <v>31102192</v>
          </cell>
          <cell r="F5457">
            <v>31102192</v>
          </cell>
          <cell r="G5457">
            <v>31102192</v>
          </cell>
          <cell r="H5457">
            <v>31102192</v>
          </cell>
          <cell r="I5457" t="str">
            <v/>
          </cell>
          <cell r="J5457" t="str">
            <v/>
          </cell>
          <cell r="K5457" t="str">
            <v/>
          </cell>
          <cell r="L5457" t="str">
            <v/>
          </cell>
          <cell r="M5457" t="str">
            <v/>
          </cell>
        </row>
        <row r="5458">
          <cell r="A5458">
            <v>31102192</v>
          </cell>
          <cell r="C5458">
            <v>31102192</v>
          </cell>
          <cell r="D5458">
            <v>31102192</v>
          </cell>
          <cell r="E5458">
            <v>31102192</v>
          </cell>
          <cell r="F5458">
            <v>31102192</v>
          </cell>
          <cell r="G5458">
            <v>31102192</v>
          </cell>
          <cell r="H5458">
            <v>31102192</v>
          </cell>
          <cell r="I5458" t="str">
            <v/>
          </cell>
          <cell r="J5458" t="str">
            <v/>
          </cell>
          <cell r="K5458" t="str">
            <v/>
          </cell>
          <cell r="L5458" t="str">
            <v/>
          </cell>
          <cell r="M5458" t="str">
            <v/>
          </cell>
        </row>
        <row r="5459">
          <cell r="A5459">
            <v>31102192</v>
          </cell>
          <cell r="C5459">
            <v>31102192</v>
          </cell>
          <cell r="D5459">
            <v>31102192</v>
          </cell>
          <cell r="E5459">
            <v>31102192</v>
          </cell>
          <cell r="F5459">
            <v>31102192</v>
          </cell>
          <cell r="G5459">
            <v>31102192</v>
          </cell>
          <cell r="H5459">
            <v>31102192</v>
          </cell>
          <cell r="I5459" t="str">
            <v/>
          </cell>
          <cell r="J5459" t="str">
            <v/>
          </cell>
          <cell r="K5459" t="str">
            <v/>
          </cell>
          <cell r="L5459" t="str">
            <v/>
          </cell>
          <cell r="M5459" t="str">
            <v/>
          </cell>
        </row>
        <row r="5460">
          <cell r="A5460">
            <v>31102192</v>
          </cell>
          <cell r="C5460">
            <v>31102192</v>
          </cell>
          <cell r="D5460">
            <v>31102192</v>
          </cell>
          <cell r="E5460">
            <v>31102192</v>
          </cell>
          <cell r="F5460">
            <v>31102192</v>
          </cell>
          <cell r="G5460">
            <v>31102192</v>
          </cell>
          <cell r="H5460">
            <v>31102192</v>
          </cell>
          <cell r="I5460" t="str">
            <v/>
          </cell>
          <cell r="J5460" t="str">
            <v/>
          </cell>
          <cell r="K5460" t="str">
            <v/>
          </cell>
          <cell r="L5460" t="str">
            <v/>
          </cell>
          <cell r="M5460" t="str">
            <v/>
          </cell>
        </row>
        <row r="5461">
          <cell r="A5461">
            <v>31102192</v>
          </cell>
          <cell r="C5461">
            <v>31102192</v>
          </cell>
          <cell r="D5461">
            <v>31102192</v>
          </cell>
          <cell r="E5461">
            <v>31102192</v>
          </cell>
          <cell r="F5461">
            <v>31102192</v>
          </cell>
          <cell r="G5461">
            <v>31102192</v>
          </cell>
          <cell r="H5461">
            <v>31102192</v>
          </cell>
          <cell r="I5461" t="str">
            <v/>
          </cell>
          <cell r="J5461" t="str">
            <v/>
          </cell>
          <cell r="K5461" t="str">
            <v/>
          </cell>
          <cell r="L5461" t="str">
            <v/>
          </cell>
          <cell r="M5461" t="str">
            <v/>
          </cell>
        </row>
        <row r="5462">
          <cell r="A5462">
            <v>31102192</v>
          </cell>
          <cell r="C5462">
            <v>31102192</v>
          </cell>
          <cell r="D5462">
            <v>31102192</v>
          </cell>
          <cell r="E5462">
            <v>31102192</v>
          </cell>
          <cell r="F5462">
            <v>31102192</v>
          </cell>
          <cell r="G5462">
            <v>31102192</v>
          </cell>
          <cell r="H5462">
            <v>31102192</v>
          </cell>
          <cell r="I5462" t="str">
            <v/>
          </cell>
          <cell r="J5462" t="str">
            <v/>
          </cell>
          <cell r="K5462" t="str">
            <v/>
          </cell>
          <cell r="L5462" t="str">
            <v/>
          </cell>
          <cell r="M5462" t="str">
            <v/>
          </cell>
        </row>
        <row r="5463">
          <cell r="A5463">
            <v>31102192</v>
          </cell>
          <cell r="C5463">
            <v>31102192</v>
          </cell>
          <cell r="D5463">
            <v>31102192</v>
          </cell>
          <cell r="E5463">
            <v>31102192</v>
          </cell>
          <cell r="F5463">
            <v>31102192</v>
          </cell>
          <cell r="G5463">
            <v>31102192</v>
          </cell>
          <cell r="H5463">
            <v>31102192</v>
          </cell>
          <cell r="I5463" t="str">
            <v/>
          </cell>
          <cell r="J5463" t="str">
            <v/>
          </cell>
          <cell r="K5463" t="str">
            <v/>
          </cell>
          <cell r="L5463" t="str">
            <v/>
          </cell>
          <cell r="M5463" t="str">
            <v/>
          </cell>
        </row>
        <row r="5464">
          <cell r="A5464">
            <v>31102192</v>
          </cell>
          <cell r="C5464">
            <v>31102192</v>
          </cell>
          <cell r="D5464">
            <v>31102192</v>
          </cell>
          <cell r="E5464">
            <v>31102192</v>
          </cell>
          <cell r="F5464">
            <v>31102192</v>
          </cell>
          <cell r="G5464">
            <v>31102192</v>
          </cell>
          <cell r="H5464">
            <v>31102192</v>
          </cell>
          <cell r="I5464" t="str">
            <v/>
          </cell>
          <cell r="J5464" t="str">
            <v/>
          </cell>
          <cell r="K5464" t="str">
            <v/>
          </cell>
          <cell r="L5464" t="str">
            <v/>
          </cell>
          <cell r="M5464" t="str">
            <v/>
          </cell>
        </row>
        <row r="5465">
          <cell r="A5465">
            <v>31102192</v>
          </cell>
          <cell r="C5465">
            <v>31102192</v>
          </cell>
          <cell r="D5465">
            <v>31102192</v>
          </cell>
          <cell r="E5465">
            <v>31102192</v>
          </cell>
          <cell r="F5465">
            <v>31102192</v>
          </cell>
          <cell r="G5465">
            <v>31102192</v>
          </cell>
          <cell r="H5465">
            <v>31102192</v>
          </cell>
          <cell r="I5465" t="str">
            <v/>
          </cell>
          <cell r="J5465" t="str">
            <v/>
          </cell>
          <cell r="K5465" t="str">
            <v/>
          </cell>
          <cell r="L5465" t="str">
            <v/>
          </cell>
          <cell r="M5465" t="str">
            <v/>
          </cell>
        </row>
        <row r="5466">
          <cell r="A5466">
            <v>31102192</v>
          </cell>
          <cell r="C5466">
            <v>31102192</v>
          </cell>
          <cell r="D5466">
            <v>31102192</v>
          </cell>
          <cell r="E5466">
            <v>31102192</v>
          </cell>
          <cell r="F5466">
            <v>31102192</v>
          </cell>
          <cell r="G5466">
            <v>31102192</v>
          </cell>
          <cell r="H5466">
            <v>31102192</v>
          </cell>
          <cell r="I5466" t="str">
            <v/>
          </cell>
          <cell r="J5466" t="str">
            <v/>
          </cell>
          <cell r="K5466" t="str">
            <v/>
          </cell>
          <cell r="L5466" t="str">
            <v/>
          </cell>
          <cell r="M5466" t="str">
            <v/>
          </cell>
        </row>
        <row r="5467">
          <cell r="A5467">
            <v>31102192</v>
          </cell>
          <cell r="C5467">
            <v>31102192</v>
          </cell>
          <cell r="D5467">
            <v>31102192</v>
          </cell>
          <cell r="E5467">
            <v>31102192</v>
          </cell>
          <cell r="F5467">
            <v>31102192</v>
          </cell>
          <cell r="G5467">
            <v>31102192</v>
          </cell>
          <cell r="H5467">
            <v>31102192</v>
          </cell>
          <cell r="I5467" t="str">
            <v/>
          </cell>
          <cell r="J5467" t="str">
            <v/>
          </cell>
          <cell r="K5467" t="str">
            <v/>
          </cell>
          <cell r="L5467" t="str">
            <v/>
          </cell>
          <cell r="M5467" t="str">
            <v/>
          </cell>
        </row>
        <row r="5468">
          <cell r="A5468">
            <v>31102192</v>
          </cell>
          <cell r="C5468">
            <v>31102192</v>
          </cell>
          <cell r="D5468">
            <v>31102192</v>
          </cell>
          <cell r="E5468">
            <v>31102192</v>
          </cell>
          <cell r="F5468">
            <v>31102192</v>
          </cell>
          <cell r="G5468">
            <v>31102192</v>
          </cell>
          <cell r="H5468">
            <v>31102192</v>
          </cell>
          <cell r="I5468" t="str">
            <v/>
          </cell>
          <cell r="J5468" t="str">
            <v/>
          </cell>
          <cell r="K5468" t="str">
            <v/>
          </cell>
          <cell r="L5468" t="str">
            <v/>
          </cell>
          <cell r="M5468" t="str">
            <v/>
          </cell>
        </row>
        <row r="5469">
          <cell r="A5469">
            <v>31102192</v>
          </cell>
          <cell r="C5469">
            <v>31102192</v>
          </cell>
          <cell r="D5469">
            <v>31102192</v>
          </cell>
          <cell r="E5469">
            <v>31102192</v>
          </cell>
          <cell r="F5469">
            <v>31102192</v>
          </cell>
          <cell r="G5469">
            <v>31102192</v>
          </cell>
          <cell r="H5469">
            <v>31102192</v>
          </cell>
          <cell r="I5469" t="str">
            <v/>
          </cell>
          <cell r="J5469" t="str">
            <v/>
          </cell>
          <cell r="K5469" t="str">
            <v/>
          </cell>
          <cell r="L5469" t="str">
            <v/>
          </cell>
          <cell r="M5469" t="str">
            <v/>
          </cell>
        </row>
        <row r="5470">
          <cell r="A5470">
            <v>31102192</v>
          </cell>
          <cell r="C5470">
            <v>31102192</v>
          </cell>
          <cell r="D5470">
            <v>31102192</v>
          </cell>
          <cell r="E5470">
            <v>31102192</v>
          </cell>
          <cell r="F5470">
            <v>31102192</v>
          </cell>
          <cell r="G5470">
            <v>31102192</v>
          </cell>
          <cell r="H5470">
            <v>31102192</v>
          </cell>
          <cell r="I5470" t="str">
            <v/>
          </cell>
          <cell r="J5470" t="str">
            <v/>
          </cell>
          <cell r="K5470" t="str">
            <v/>
          </cell>
          <cell r="L5470" t="str">
            <v/>
          </cell>
          <cell r="M5470" t="str">
            <v/>
          </cell>
        </row>
        <row r="5471">
          <cell r="A5471">
            <v>31102192</v>
          </cell>
          <cell r="C5471">
            <v>31102192</v>
          </cell>
          <cell r="D5471">
            <v>31102192</v>
          </cell>
          <cell r="E5471">
            <v>31102192</v>
          </cell>
          <cell r="F5471">
            <v>31102192</v>
          </cell>
          <cell r="G5471">
            <v>31102192</v>
          </cell>
          <cell r="H5471">
            <v>31102192</v>
          </cell>
          <cell r="I5471" t="str">
            <v/>
          </cell>
          <cell r="J5471" t="str">
            <v/>
          </cell>
          <cell r="K5471" t="str">
            <v/>
          </cell>
          <cell r="L5471" t="str">
            <v/>
          </cell>
          <cell r="M5471" t="str">
            <v/>
          </cell>
        </row>
        <row r="5472">
          <cell r="A5472">
            <v>31102192</v>
          </cell>
          <cell r="C5472">
            <v>31102192</v>
          </cell>
          <cell r="D5472">
            <v>31102192</v>
          </cell>
          <cell r="E5472">
            <v>31102192</v>
          </cell>
          <cell r="F5472">
            <v>31102192</v>
          </cell>
          <cell r="G5472">
            <v>31102192</v>
          </cell>
          <cell r="H5472">
            <v>31102192</v>
          </cell>
          <cell r="I5472" t="str">
            <v/>
          </cell>
          <cell r="J5472" t="str">
            <v/>
          </cell>
          <cell r="K5472" t="str">
            <v/>
          </cell>
          <cell r="L5472" t="str">
            <v/>
          </cell>
          <cell r="M5472" t="str">
            <v/>
          </cell>
        </row>
        <row r="5473">
          <cell r="A5473">
            <v>31102192</v>
          </cell>
          <cell r="C5473">
            <v>31102192</v>
          </cell>
          <cell r="D5473">
            <v>31102192</v>
          </cell>
          <cell r="E5473">
            <v>31102192</v>
          </cell>
          <cell r="F5473">
            <v>31102192</v>
          </cell>
          <cell r="G5473">
            <v>31102192</v>
          </cell>
          <cell r="H5473">
            <v>31102192</v>
          </cell>
          <cell r="I5473" t="str">
            <v/>
          </cell>
          <cell r="J5473" t="str">
            <v/>
          </cell>
          <cell r="K5473" t="str">
            <v/>
          </cell>
          <cell r="L5473" t="str">
            <v/>
          </cell>
          <cell r="M5473" t="str">
            <v/>
          </cell>
        </row>
        <row r="5474">
          <cell r="A5474">
            <v>31102192</v>
          </cell>
          <cell r="C5474">
            <v>31102192</v>
          </cell>
          <cell r="D5474">
            <v>31102192</v>
          </cell>
          <cell r="E5474">
            <v>31102192</v>
          </cell>
          <cell r="F5474">
            <v>31102192</v>
          </cell>
          <cell r="G5474">
            <v>31102192</v>
          </cell>
          <cell r="H5474">
            <v>31102192</v>
          </cell>
          <cell r="I5474" t="str">
            <v/>
          </cell>
          <cell r="J5474" t="str">
            <v/>
          </cell>
          <cell r="K5474" t="str">
            <v/>
          </cell>
          <cell r="L5474" t="str">
            <v/>
          </cell>
          <cell r="M5474" t="str">
            <v/>
          </cell>
        </row>
        <row r="5475">
          <cell r="A5475">
            <v>31102192</v>
          </cell>
          <cell r="C5475">
            <v>31102192</v>
          </cell>
          <cell r="D5475">
            <v>31102192</v>
          </cell>
          <cell r="E5475">
            <v>31102192</v>
          </cell>
          <cell r="F5475">
            <v>31102192</v>
          </cell>
          <cell r="G5475">
            <v>31102192</v>
          </cell>
          <cell r="H5475">
            <v>31102192</v>
          </cell>
          <cell r="I5475" t="str">
            <v/>
          </cell>
          <cell r="J5475" t="str">
            <v/>
          </cell>
          <cell r="K5475" t="str">
            <v/>
          </cell>
          <cell r="L5475" t="str">
            <v/>
          </cell>
          <cell r="M5475" t="str">
            <v/>
          </cell>
        </row>
        <row r="5476">
          <cell r="A5476">
            <v>31102192</v>
          </cell>
          <cell r="C5476">
            <v>31102192</v>
          </cell>
          <cell r="D5476">
            <v>31102192</v>
          </cell>
          <cell r="E5476">
            <v>31102192</v>
          </cell>
          <cell r="F5476">
            <v>31102192</v>
          </cell>
          <cell r="G5476">
            <v>31102192</v>
          </cell>
          <cell r="H5476">
            <v>31102192</v>
          </cell>
          <cell r="I5476" t="str">
            <v/>
          </cell>
          <cell r="J5476" t="str">
            <v/>
          </cell>
          <cell r="K5476" t="str">
            <v/>
          </cell>
          <cell r="L5476" t="str">
            <v/>
          </cell>
          <cell r="M5476" t="str">
            <v/>
          </cell>
        </row>
        <row r="5477">
          <cell r="A5477">
            <v>31102192</v>
          </cell>
          <cell r="C5477">
            <v>31102192</v>
          </cell>
          <cell r="D5477">
            <v>31102192</v>
          </cell>
          <cell r="E5477">
            <v>31102192</v>
          </cell>
          <cell r="F5477">
            <v>31102192</v>
          </cell>
          <cell r="G5477">
            <v>31102192</v>
          </cell>
          <cell r="H5477">
            <v>31102192</v>
          </cell>
          <cell r="I5477" t="str">
            <v/>
          </cell>
          <cell r="J5477" t="str">
            <v/>
          </cell>
          <cell r="K5477" t="str">
            <v/>
          </cell>
          <cell r="L5477" t="str">
            <v/>
          </cell>
          <cell r="M5477" t="str">
            <v/>
          </cell>
        </row>
        <row r="5478">
          <cell r="A5478">
            <v>31102192</v>
          </cell>
          <cell r="C5478">
            <v>31102192</v>
          </cell>
          <cell r="D5478">
            <v>31102192</v>
          </cell>
          <cell r="E5478">
            <v>31102192</v>
          </cell>
          <cell r="F5478">
            <v>31102192</v>
          </cell>
          <cell r="G5478">
            <v>31102192</v>
          </cell>
          <cell r="H5478">
            <v>31102192</v>
          </cell>
          <cell r="I5478" t="str">
            <v/>
          </cell>
          <cell r="J5478" t="str">
            <v/>
          </cell>
          <cell r="K5478" t="str">
            <v/>
          </cell>
          <cell r="L5478" t="str">
            <v/>
          </cell>
          <cell r="M5478" t="str">
            <v/>
          </cell>
        </row>
        <row r="5479">
          <cell r="A5479">
            <v>31102192</v>
          </cell>
          <cell r="C5479">
            <v>31102192</v>
          </cell>
          <cell r="D5479">
            <v>31102192</v>
          </cell>
          <cell r="E5479">
            <v>31102192</v>
          </cell>
          <cell r="F5479">
            <v>31102192</v>
          </cell>
          <cell r="G5479">
            <v>31102192</v>
          </cell>
          <cell r="H5479">
            <v>31102192</v>
          </cell>
          <cell r="I5479" t="str">
            <v/>
          </cell>
          <cell r="J5479" t="str">
            <v/>
          </cell>
          <cell r="K5479" t="str">
            <v/>
          </cell>
          <cell r="L5479" t="str">
            <v/>
          </cell>
          <cell r="M5479" t="str">
            <v/>
          </cell>
        </row>
        <row r="5480">
          <cell r="A5480">
            <v>31102192</v>
          </cell>
          <cell r="C5480">
            <v>31102192</v>
          </cell>
          <cell r="D5480">
            <v>31102192</v>
          </cell>
          <cell r="E5480">
            <v>31102192</v>
          </cell>
          <cell r="F5480">
            <v>31102192</v>
          </cell>
          <cell r="G5480">
            <v>31102192</v>
          </cell>
          <cell r="H5480">
            <v>31102192</v>
          </cell>
          <cell r="I5480" t="str">
            <v/>
          </cell>
          <cell r="J5480" t="str">
            <v/>
          </cell>
          <cell r="K5480" t="str">
            <v/>
          </cell>
          <cell r="L5480" t="str">
            <v/>
          </cell>
          <cell r="M5480" t="str">
            <v/>
          </cell>
        </row>
        <row r="5481">
          <cell r="A5481">
            <v>31102192</v>
          </cell>
          <cell r="C5481">
            <v>31102192</v>
          </cell>
          <cell r="D5481">
            <v>31102192</v>
          </cell>
          <cell r="E5481">
            <v>31102192</v>
          </cell>
          <cell r="F5481">
            <v>31102192</v>
          </cell>
          <cell r="G5481">
            <v>31102192</v>
          </cell>
          <cell r="H5481">
            <v>31102192</v>
          </cell>
          <cell r="I5481" t="str">
            <v/>
          </cell>
          <cell r="J5481" t="str">
            <v/>
          </cell>
          <cell r="K5481" t="str">
            <v/>
          </cell>
          <cell r="L5481" t="str">
            <v/>
          </cell>
          <cell r="M5481" t="str">
            <v/>
          </cell>
        </row>
        <row r="5482">
          <cell r="A5482">
            <v>31102192</v>
          </cell>
          <cell r="C5482">
            <v>31102192</v>
          </cell>
          <cell r="D5482">
            <v>31102192</v>
          </cell>
          <cell r="E5482">
            <v>31102192</v>
          </cell>
          <cell r="F5482">
            <v>31102192</v>
          </cell>
          <cell r="G5482">
            <v>31102192</v>
          </cell>
          <cell r="H5482">
            <v>31102192</v>
          </cell>
          <cell r="I5482" t="str">
            <v/>
          </cell>
          <cell r="J5482" t="str">
            <v/>
          </cell>
          <cell r="K5482" t="str">
            <v/>
          </cell>
          <cell r="L5482" t="str">
            <v/>
          </cell>
          <cell r="M5482" t="str">
            <v/>
          </cell>
        </row>
        <row r="5483">
          <cell r="A5483">
            <v>31102192</v>
          </cell>
          <cell r="C5483">
            <v>31102192</v>
          </cell>
          <cell r="D5483">
            <v>31102192</v>
          </cell>
          <cell r="E5483">
            <v>31102192</v>
          </cell>
          <cell r="F5483">
            <v>31102192</v>
          </cell>
          <cell r="G5483">
            <v>31102192</v>
          </cell>
          <cell r="H5483">
            <v>31102192</v>
          </cell>
          <cell r="I5483" t="str">
            <v/>
          </cell>
          <cell r="J5483" t="str">
            <v/>
          </cell>
          <cell r="K5483" t="str">
            <v/>
          </cell>
          <cell r="L5483" t="str">
            <v/>
          </cell>
          <cell r="M5483" t="str">
            <v/>
          </cell>
        </row>
        <row r="5484">
          <cell r="A5484">
            <v>31102192</v>
          </cell>
          <cell r="C5484">
            <v>31102192</v>
          </cell>
          <cell r="D5484">
            <v>31102192</v>
          </cell>
          <cell r="E5484">
            <v>31102192</v>
          </cell>
          <cell r="F5484">
            <v>31102192</v>
          </cell>
          <cell r="G5484">
            <v>31102192</v>
          </cell>
          <cell r="H5484">
            <v>31102192</v>
          </cell>
          <cell r="I5484" t="str">
            <v/>
          </cell>
          <cell r="J5484" t="str">
            <v/>
          </cell>
          <cell r="K5484" t="str">
            <v/>
          </cell>
          <cell r="L5484" t="str">
            <v/>
          </cell>
          <cell r="M5484" t="str">
            <v/>
          </cell>
        </row>
        <row r="5485">
          <cell r="A5485">
            <v>31102192</v>
          </cell>
          <cell r="C5485">
            <v>31102192</v>
          </cell>
          <cell r="D5485">
            <v>31102192</v>
          </cell>
          <cell r="E5485">
            <v>31102192</v>
          </cell>
          <cell r="F5485">
            <v>31102192</v>
          </cell>
          <cell r="G5485">
            <v>31102192</v>
          </cell>
          <cell r="H5485">
            <v>31102192</v>
          </cell>
          <cell r="I5485" t="str">
            <v/>
          </cell>
          <cell r="J5485" t="str">
            <v/>
          </cell>
          <cell r="K5485" t="str">
            <v/>
          </cell>
          <cell r="L5485" t="str">
            <v/>
          </cell>
          <cell r="M5485" t="str">
            <v/>
          </cell>
        </row>
        <row r="5486">
          <cell r="A5486">
            <v>31102192</v>
          </cell>
          <cell r="C5486">
            <v>31102192</v>
          </cell>
          <cell r="D5486">
            <v>31102192</v>
          </cell>
          <cell r="E5486">
            <v>31102192</v>
          </cell>
          <cell r="F5486">
            <v>31102192</v>
          </cell>
          <cell r="G5486">
            <v>31102192</v>
          </cell>
          <cell r="H5486">
            <v>31102192</v>
          </cell>
          <cell r="I5486" t="str">
            <v/>
          </cell>
          <cell r="J5486" t="str">
            <v/>
          </cell>
          <cell r="K5486" t="str">
            <v/>
          </cell>
          <cell r="L5486" t="str">
            <v/>
          </cell>
          <cell r="M5486" t="str">
            <v/>
          </cell>
        </row>
        <row r="5487">
          <cell r="A5487">
            <v>31102192</v>
          </cell>
          <cell r="C5487">
            <v>31102192</v>
          </cell>
          <cell r="D5487">
            <v>31102192</v>
          </cell>
          <cell r="E5487">
            <v>31102192</v>
          </cell>
          <cell r="F5487">
            <v>31102192</v>
          </cell>
          <cell r="G5487">
            <v>31102192</v>
          </cell>
          <cell r="H5487">
            <v>31102192</v>
          </cell>
          <cell r="I5487" t="str">
            <v/>
          </cell>
          <cell r="J5487" t="str">
            <v/>
          </cell>
          <cell r="K5487" t="str">
            <v/>
          </cell>
          <cell r="L5487" t="str">
            <v/>
          </cell>
          <cell r="M5487" t="str">
            <v/>
          </cell>
        </row>
        <row r="5488">
          <cell r="A5488">
            <v>31102192</v>
          </cell>
          <cell r="C5488">
            <v>31102192</v>
          </cell>
          <cell r="D5488">
            <v>31102192</v>
          </cell>
          <cell r="E5488">
            <v>31102192</v>
          </cell>
          <cell r="F5488">
            <v>31102192</v>
          </cell>
          <cell r="G5488">
            <v>31102192</v>
          </cell>
          <cell r="H5488">
            <v>31102192</v>
          </cell>
          <cell r="I5488" t="str">
            <v/>
          </cell>
          <cell r="J5488" t="str">
            <v/>
          </cell>
          <cell r="K5488" t="str">
            <v/>
          </cell>
          <cell r="L5488" t="str">
            <v/>
          </cell>
          <cell r="M5488" t="str">
            <v/>
          </cell>
        </row>
        <row r="5489">
          <cell r="A5489">
            <v>31102192</v>
          </cell>
          <cell r="C5489">
            <v>31102192</v>
          </cell>
          <cell r="D5489">
            <v>31102192</v>
          </cell>
          <cell r="E5489">
            <v>31102192</v>
          </cell>
          <cell r="F5489">
            <v>31102192</v>
          </cell>
          <cell r="G5489">
            <v>31102192</v>
          </cell>
          <cell r="H5489">
            <v>31102192</v>
          </cell>
          <cell r="I5489" t="str">
            <v/>
          </cell>
          <cell r="J5489" t="str">
            <v/>
          </cell>
          <cell r="K5489" t="str">
            <v/>
          </cell>
          <cell r="L5489" t="str">
            <v/>
          </cell>
          <cell r="M5489" t="str">
            <v/>
          </cell>
        </row>
        <row r="5490">
          <cell r="A5490">
            <v>31102192</v>
          </cell>
          <cell r="C5490">
            <v>31102192</v>
          </cell>
          <cell r="D5490">
            <v>31102192</v>
          </cell>
          <cell r="E5490">
            <v>31102192</v>
          </cell>
          <cell r="F5490">
            <v>31102192</v>
          </cell>
          <cell r="G5490">
            <v>31102192</v>
          </cell>
          <cell r="H5490">
            <v>31102192</v>
          </cell>
          <cell r="I5490" t="str">
            <v/>
          </cell>
          <cell r="J5490" t="str">
            <v/>
          </cell>
          <cell r="K5490" t="str">
            <v/>
          </cell>
          <cell r="L5490" t="str">
            <v/>
          </cell>
          <cell r="M5490" t="str">
            <v/>
          </cell>
        </row>
        <row r="5491">
          <cell r="A5491">
            <v>31102192</v>
          </cell>
          <cell r="C5491">
            <v>31102192</v>
          </cell>
          <cell r="D5491">
            <v>31102192</v>
          </cell>
          <cell r="E5491">
            <v>31102192</v>
          </cell>
          <cell r="F5491">
            <v>31102192</v>
          </cell>
          <cell r="G5491">
            <v>31102192</v>
          </cell>
          <cell r="H5491">
            <v>31102192</v>
          </cell>
          <cell r="I5491" t="str">
            <v/>
          </cell>
          <cell r="J5491" t="str">
            <v/>
          </cell>
          <cell r="K5491" t="str">
            <v/>
          </cell>
          <cell r="L5491" t="str">
            <v/>
          </cell>
          <cell r="M5491" t="str">
            <v/>
          </cell>
        </row>
        <row r="5492">
          <cell r="A5492">
            <v>31102192</v>
          </cell>
          <cell r="C5492">
            <v>31102192</v>
          </cell>
          <cell r="D5492">
            <v>31102192</v>
          </cell>
          <cell r="E5492">
            <v>31102192</v>
          </cell>
          <cell r="F5492">
            <v>31102192</v>
          </cell>
          <cell r="G5492">
            <v>31102192</v>
          </cell>
          <cell r="H5492">
            <v>31102192</v>
          </cell>
          <cell r="I5492" t="str">
            <v/>
          </cell>
          <cell r="J5492" t="str">
            <v/>
          </cell>
          <cell r="K5492" t="str">
            <v/>
          </cell>
          <cell r="L5492" t="str">
            <v/>
          </cell>
          <cell r="M5492" t="str">
            <v/>
          </cell>
        </row>
        <row r="5493">
          <cell r="A5493">
            <v>31102192</v>
          </cell>
          <cell r="C5493">
            <v>31102192</v>
          </cell>
          <cell r="D5493">
            <v>31102192</v>
          </cell>
          <cell r="E5493">
            <v>31102192</v>
          </cell>
          <cell r="F5493">
            <v>31102192</v>
          </cell>
          <cell r="G5493">
            <v>31102192</v>
          </cell>
          <cell r="H5493">
            <v>31102192</v>
          </cell>
          <cell r="I5493" t="str">
            <v/>
          </cell>
          <cell r="J5493" t="str">
            <v/>
          </cell>
          <cell r="K5493" t="str">
            <v/>
          </cell>
          <cell r="L5493" t="str">
            <v/>
          </cell>
          <cell r="M5493" t="str">
            <v/>
          </cell>
        </row>
        <row r="5494">
          <cell r="A5494">
            <v>31102192</v>
          </cell>
          <cell r="C5494">
            <v>31102192</v>
          </cell>
          <cell r="D5494">
            <v>31102192</v>
          </cell>
          <cell r="E5494">
            <v>31102192</v>
          </cell>
          <cell r="F5494">
            <v>31102192</v>
          </cell>
          <cell r="G5494">
            <v>31102192</v>
          </cell>
          <cell r="H5494">
            <v>31102192</v>
          </cell>
          <cell r="I5494" t="str">
            <v/>
          </cell>
          <cell r="J5494" t="str">
            <v/>
          </cell>
          <cell r="K5494" t="str">
            <v/>
          </cell>
          <cell r="L5494" t="str">
            <v/>
          </cell>
          <cell r="M5494" t="str">
            <v/>
          </cell>
        </row>
        <row r="5495">
          <cell r="A5495">
            <v>31102192</v>
          </cell>
          <cell r="C5495">
            <v>31102192</v>
          </cell>
          <cell r="D5495">
            <v>31102192</v>
          </cell>
          <cell r="E5495">
            <v>31102192</v>
          </cell>
          <cell r="F5495">
            <v>31102192</v>
          </cell>
          <cell r="G5495">
            <v>31102192</v>
          </cell>
          <cell r="H5495">
            <v>31102192</v>
          </cell>
          <cell r="I5495" t="str">
            <v/>
          </cell>
          <cell r="J5495" t="str">
            <v/>
          </cell>
          <cell r="K5495" t="str">
            <v/>
          </cell>
          <cell r="L5495" t="str">
            <v/>
          </cell>
          <cell r="M5495" t="str">
            <v/>
          </cell>
        </row>
        <row r="5496">
          <cell r="A5496">
            <v>31102192</v>
          </cell>
          <cell r="C5496">
            <v>31102192</v>
          </cell>
          <cell r="D5496">
            <v>31102192</v>
          </cell>
          <cell r="E5496">
            <v>31102192</v>
          </cell>
          <cell r="F5496">
            <v>31102192</v>
          </cell>
          <cell r="G5496">
            <v>31102192</v>
          </cell>
          <cell r="H5496">
            <v>31102192</v>
          </cell>
          <cell r="I5496" t="str">
            <v/>
          </cell>
          <cell r="J5496" t="str">
            <v/>
          </cell>
          <cell r="K5496" t="str">
            <v/>
          </cell>
          <cell r="L5496" t="str">
            <v/>
          </cell>
          <cell r="M5496" t="str">
            <v/>
          </cell>
        </row>
        <row r="5497">
          <cell r="A5497">
            <v>31102192</v>
          </cell>
          <cell r="C5497">
            <v>31102192</v>
          </cell>
          <cell r="D5497">
            <v>31102192</v>
          </cell>
          <cell r="E5497">
            <v>31102192</v>
          </cell>
          <cell r="F5497">
            <v>31102192</v>
          </cell>
          <cell r="G5497">
            <v>31102192</v>
          </cell>
          <cell r="H5497">
            <v>31102192</v>
          </cell>
          <cell r="I5497" t="str">
            <v/>
          </cell>
          <cell r="J5497" t="str">
            <v/>
          </cell>
          <cell r="K5497" t="str">
            <v/>
          </cell>
          <cell r="L5497" t="str">
            <v/>
          </cell>
          <cell r="M5497" t="str">
            <v/>
          </cell>
        </row>
        <row r="5498">
          <cell r="A5498">
            <v>31102192</v>
          </cell>
          <cell r="C5498">
            <v>31102192</v>
          </cell>
          <cell r="D5498">
            <v>31102192</v>
          </cell>
          <cell r="E5498">
            <v>31102192</v>
          </cell>
          <cell r="F5498">
            <v>31102192</v>
          </cell>
          <cell r="G5498">
            <v>31102192</v>
          </cell>
          <cell r="H5498">
            <v>31102192</v>
          </cell>
          <cell r="I5498" t="str">
            <v/>
          </cell>
          <cell r="J5498" t="str">
            <v/>
          </cell>
          <cell r="K5498" t="str">
            <v/>
          </cell>
          <cell r="L5498" t="str">
            <v/>
          </cell>
          <cell r="M5498" t="str">
            <v/>
          </cell>
        </row>
        <row r="5499">
          <cell r="A5499">
            <v>31102192</v>
          </cell>
          <cell r="C5499">
            <v>31102192</v>
          </cell>
          <cell r="D5499">
            <v>31102192</v>
          </cell>
          <cell r="E5499">
            <v>31102192</v>
          </cell>
          <cell r="F5499">
            <v>31102192</v>
          </cell>
          <cell r="G5499">
            <v>31102192</v>
          </cell>
          <cell r="H5499">
            <v>31102192</v>
          </cell>
          <cell r="I5499" t="str">
            <v/>
          </cell>
          <cell r="J5499" t="str">
            <v/>
          </cell>
          <cell r="K5499" t="str">
            <v/>
          </cell>
          <cell r="L5499" t="str">
            <v/>
          </cell>
          <cell r="M5499" t="str">
            <v/>
          </cell>
        </row>
        <row r="5500">
          <cell r="A5500">
            <v>31102192</v>
          </cell>
          <cell r="C5500">
            <v>31102192</v>
          </cell>
          <cell r="D5500">
            <v>31102192</v>
          </cell>
          <cell r="E5500">
            <v>31102192</v>
          </cell>
          <cell r="F5500">
            <v>31102192</v>
          </cell>
          <cell r="G5500">
            <v>31102192</v>
          </cell>
          <cell r="H5500">
            <v>31102192</v>
          </cell>
          <cell r="I5500" t="str">
            <v/>
          </cell>
          <cell r="J5500" t="str">
            <v/>
          </cell>
          <cell r="K5500" t="str">
            <v/>
          </cell>
          <cell r="L5500" t="str">
            <v/>
          </cell>
          <cell r="M5500" t="str">
            <v/>
          </cell>
        </row>
        <row r="5501">
          <cell r="A5501">
            <v>31102192</v>
          </cell>
          <cell r="C5501">
            <v>31102192</v>
          </cell>
          <cell r="D5501">
            <v>31102192</v>
          </cell>
          <cell r="E5501">
            <v>31102192</v>
          </cell>
          <cell r="F5501">
            <v>31102192</v>
          </cell>
          <cell r="G5501">
            <v>31102192</v>
          </cell>
          <cell r="H5501">
            <v>31102192</v>
          </cell>
          <cell r="I5501" t="str">
            <v/>
          </cell>
          <cell r="J5501" t="str">
            <v/>
          </cell>
          <cell r="K5501" t="str">
            <v/>
          </cell>
          <cell r="L5501" t="str">
            <v/>
          </cell>
          <cell r="M5501" t="str">
            <v/>
          </cell>
        </row>
        <row r="5502">
          <cell r="A5502">
            <v>31102192</v>
          </cell>
          <cell r="C5502">
            <v>31102192</v>
          </cell>
          <cell r="D5502">
            <v>31102192</v>
          </cell>
          <cell r="E5502">
            <v>31102192</v>
          </cell>
          <cell r="F5502">
            <v>31102192</v>
          </cell>
          <cell r="G5502">
            <v>31102192</v>
          </cell>
          <cell r="H5502">
            <v>31102192</v>
          </cell>
          <cell r="I5502" t="str">
            <v/>
          </cell>
          <cell r="J5502" t="str">
            <v/>
          </cell>
          <cell r="K5502" t="str">
            <v/>
          </cell>
          <cell r="L5502" t="str">
            <v/>
          </cell>
          <cell r="M5502" t="str">
            <v/>
          </cell>
        </row>
        <row r="5503">
          <cell r="A5503">
            <v>31102192</v>
          </cell>
          <cell r="C5503">
            <v>31102192</v>
          </cell>
          <cell r="D5503">
            <v>31102192</v>
          </cell>
          <cell r="E5503">
            <v>31102192</v>
          </cell>
          <cell r="F5503">
            <v>31102192</v>
          </cell>
          <cell r="G5503">
            <v>31102192</v>
          </cell>
          <cell r="H5503">
            <v>31102192</v>
          </cell>
          <cell r="I5503" t="str">
            <v/>
          </cell>
          <cell r="J5503" t="str">
            <v/>
          </cell>
          <cell r="K5503" t="str">
            <v/>
          </cell>
          <cell r="L5503" t="str">
            <v/>
          </cell>
          <cell r="M5503" t="str">
            <v/>
          </cell>
        </row>
        <row r="5504">
          <cell r="A5504">
            <v>31102192</v>
          </cell>
          <cell r="C5504">
            <v>31102192</v>
          </cell>
          <cell r="D5504">
            <v>31102192</v>
          </cell>
          <cell r="E5504">
            <v>31102192</v>
          </cell>
          <cell r="F5504">
            <v>31102192</v>
          </cell>
          <cell r="G5504">
            <v>31102192</v>
          </cell>
          <cell r="H5504">
            <v>31102192</v>
          </cell>
          <cell r="I5504" t="str">
            <v/>
          </cell>
          <cell r="J5504" t="str">
            <v/>
          </cell>
          <cell r="K5504" t="str">
            <v/>
          </cell>
          <cell r="L5504" t="str">
            <v/>
          </cell>
          <cell r="M5504" t="str">
            <v/>
          </cell>
        </row>
        <row r="5505">
          <cell r="A5505">
            <v>31102192</v>
          </cell>
          <cell r="C5505">
            <v>31102192</v>
          </cell>
          <cell r="D5505">
            <v>31102192</v>
          </cell>
          <cell r="E5505">
            <v>31102192</v>
          </cell>
          <cell r="F5505">
            <v>31102192</v>
          </cell>
          <cell r="G5505">
            <v>31102192</v>
          </cell>
          <cell r="H5505">
            <v>31102192</v>
          </cell>
          <cell r="I5505" t="str">
            <v/>
          </cell>
          <cell r="J5505" t="str">
            <v/>
          </cell>
          <cell r="K5505" t="str">
            <v/>
          </cell>
          <cell r="L5505" t="str">
            <v/>
          </cell>
          <cell r="M5505" t="str">
            <v/>
          </cell>
        </row>
        <row r="5506">
          <cell r="A5506">
            <v>31102192</v>
          </cell>
          <cell r="C5506">
            <v>31102192</v>
          </cell>
          <cell r="D5506">
            <v>31102192</v>
          </cell>
          <cell r="E5506">
            <v>31102192</v>
          </cell>
          <cell r="F5506">
            <v>31102192</v>
          </cell>
          <cell r="G5506">
            <v>31102192</v>
          </cell>
          <cell r="H5506">
            <v>31102192</v>
          </cell>
          <cell r="I5506" t="str">
            <v/>
          </cell>
          <cell r="J5506" t="str">
            <v/>
          </cell>
          <cell r="K5506" t="str">
            <v/>
          </cell>
          <cell r="L5506" t="str">
            <v/>
          </cell>
          <cell r="M5506" t="str">
            <v/>
          </cell>
        </row>
        <row r="5507">
          <cell r="A5507">
            <v>31102192</v>
          </cell>
          <cell r="C5507">
            <v>31102192</v>
          </cell>
          <cell r="D5507">
            <v>31102192</v>
          </cell>
          <cell r="E5507">
            <v>31102192</v>
          </cell>
          <cell r="F5507">
            <v>31102192</v>
          </cell>
          <cell r="G5507">
            <v>31102192</v>
          </cell>
          <cell r="H5507">
            <v>31102192</v>
          </cell>
          <cell r="I5507" t="str">
            <v/>
          </cell>
          <cell r="J5507" t="str">
            <v/>
          </cell>
          <cell r="K5507" t="str">
            <v/>
          </cell>
          <cell r="L5507" t="str">
            <v/>
          </cell>
          <cell r="M5507" t="str">
            <v/>
          </cell>
        </row>
        <row r="5508">
          <cell r="A5508">
            <v>31102192</v>
          </cell>
          <cell r="C5508">
            <v>31102192</v>
          </cell>
          <cell r="D5508">
            <v>31102192</v>
          </cell>
          <cell r="E5508">
            <v>31102192</v>
          </cell>
          <cell r="F5508">
            <v>31102192</v>
          </cell>
          <cell r="G5508">
            <v>31102192</v>
          </cell>
          <cell r="H5508">
            <v>31102192</v>
          </cell>
          <cell r="I5508" t="str">
            <v/>
          </cell>
          <cell r="J5508" t="str">
            <v/>
          </cell>
          <cell r="K5508" t="str">
            <v/>
          </cell>
          <cell r="L5508" t="str">
            <v/>
          </cell>
          <cell r="M5508" t="str">
            <v/>
          </cell>
        </row>
        <row r="5509">
          <cell r="A5509">
            <v>31102192</v>
          </cell>
          <cell r="C5509">
            <v>31102192</v>
          </cell>
          <cell r="D5509">
            <v>31102192</v>
          </cell>
          <cell r="E5509">
            <v>31102192</v>
          </cell>
          <cell r="F5509">
            <v>31102192</v>
          </cell>
          <cell r="G5509">
            <v>31102192</v>
          </cell>
          <cell r="H5509">
            <v>31102192</v>
          </cell>
          <cell r="I5509" t="str">
            <v/>
          </cell>
          <cell r="J5509" t="str">
            <v/>
          </cell>
          <cell r="K5509" t="str">
            <v/>
          </cell>
          <cell r="L5509" t="str">
            <v/>
          </cell>
          <cell r="M5509" t="str">
            <v/>
          </cell>
        </row>
        <row r="5510">
          <cell r="A5510">
            <v>31102192</v>
          </cell>
          <cell r="C5510">
            <v>31102192</v>
          </cell>
          <cell r="D5510">
            <v>31102192</v>
          </cell>
          <cell r="E5510">
            <v>31102192</v>
          </cell>
          <cell r="F5510">
            <v>31102192</v>
          </cell>
          <cell r="G5510">
            <v>31102192</v>
          </cell>
          <cell r="H5510">
            <v>31102192</v>
          </cell>
          <cell r="I5510" t="str">
            <v/>
          </cell>
          <cell r="J5510" t="str">
            <v/>
          </cell>
          <cell r="K5510" t="str">
            <v/>
          </cell>
          <cell r="L5510" t="str">
            <v/>
          </cell>
          <cell r="M5510" t="str">
            <v/>
          </cell>
        </row>
        <row r="5511">
          <cell r="A5511">
            <v>31102192</v>
          </cell>
          <cell r="C5511">
            <v>31102192</v>
          </cell>
          <cell r="D5511">
            <v>31102192</v>
          </cell>
          <cell r="E5511">
            <v>31102192</v>
          </cell>
          <cell r="F5511">
            <v>31102192</v>
          </cell>
          <cell r="G5511">
            <v>31102192</v>
          </cell>
          <cell r="H5511">
            <v>31102192</v>
          </cell>
          <cell r="I5511" t="str">
            <v/>
          </cell>
          <cell r="J5511" t="str">
            <v/>
          </cell>
          <cell r="K5511" t="str">
            <v/>
          </cell>
          <cell r="L5511" t="str">
            <v/>
          </cell>
          <cell r="M5511" t="str">
            <v/>
          </cell>
        </row>
        <row r="5512">
          <cell r="A5512">
            <v>31102192</v>
          </cell>
          <cell r="C5512">
            <v>31102192</v>
          </cell>
          <cell r="D5512">
            <v>31102192</v>
          </cell>
          <cell r="E5512">
            <v>31102192</v>
          </cell>
          <cell r="F5512">
            <v>31102192</v>
          </cell>
          <cell r="G5512">
            <v>31102192</v>
          </cell>
          <cell r="H5512">
            <v>31102192</v>
          </cell>
          <cell r="I5512" t="str">
            <v/>
          </cell>
          <cell r="J5512" t="str">
            <v/>
          </cell>
          <cell r="K5512" t="str">
            <v/>
          </cell>
          <cell r="L5512" t="str">
            <v/>
          </cell>
          <cell r="M5512" t="str">
            <v/>
          </cell>
        </row>
        <row r="5513">
          <cell r="A5513">
            <v>31102192</v>
          </cell>
          <cell r="C5513">
            <v>31102192</v>
          </cell>
          <cell r="D5513">
            <v>31102192</v>
          </cell>
          <cell r="E5513">
            <v>31102192</v>
          </cell>
          <cell r="F5513">
            <v>31102192</v>
          </cell>
          <cell r="G5513">
            <v>31102192</v>
          </cell>
          <cell r="H5513">
            <v>31102192</v>
          </cell>
          <cell r="I5513" t="str">
            <v/>
          </cell>
          <cell r="J5513" t="str">
            <v/>
          </cell>
          <cell r="K5513" t="str">
            <v/>
          </cell>
          <cell r="L5513" t="str">
            <v/>
          </cell>
          <cell r="M5513" t="str">
            <v/>
          </cell>
        </row>
        <row r="5514">
          <cell r="A5514">
            <v>31102192</v>
          </cell>
          <cell r="C5514">
            <v>31102192</v>
          </cell>
          <cell r="D5514">
            <v>31102192</v>
          </cell>
          <cell r="E5514">
            <v>31102192</v>
          </cell>
          <cell r="F5514">
            <v>31102192</v>
          </cell>
          <cell r="G5514">
            <v>31102192</v>
          </cell>
          <cell r="H5514">
            <v>31102192</v>
          </cell>
          <cell r="I5514" t="str">
            <v/>
          </cell>
          <cell r="J5514" t="str">
            <v/>
          </cell>
          <cell r="K5514" t="str">
            <v/>
          </cell>
          <cell r="L5514" t="str">
            <v/>
          </cell>
          <cell r="M5514" t="str">
            <v/>
          </cell>
        </row>
        <row r="5515">
          <cell r="A5515">
            <v>31102192</v>
          </cell>
          <cell r="C5515">
            <v>31102192</v>
          </cell>
          <cell r="D5515">
            <v>31102192</v>
          </cell>
          <cell r="E5515">
            <v>31102192</v>
          </cell>
          <cell r="F5515">
            <v>31102192</v>
          </cell>
          <cell r="G5515">
            <v>31102192</v>
          </cell>
          <cell r="H5515">
            <v>31102192</v>
          </cell>
          <cell r="I5515" t="str">
            <v/>
          </cell>
          <cell r="J5515" t="str">
            <v/>
          </cell>
          <cell r="K5515" t="str">
            <v/>
          </cell>
          <cell r="L5515" t="str">
            <v/>
          </cell>
          <cell r="M5515" t="str">
            <v/>
          </cell>
        </row>
        <row r="5516">
          <cell r="A5516">
            <v>31102192</v>
          </cell>
          <cell r="C5516">
            <v>31102192</v>
          </cell>
          <cell r="D5516">
            <v>31102192</v>
          </cell>
          <cell r="E5516">
            <v>31102192</v>
          </cell>
          <cell r="F5516">
            <v>31102192</v>
          </cell>
          <cell r="G5516">
            <v>31102192</v>
          </cell>
          <cell r="H5516">
            <v>31102192</v>
          </cell>
          <cell r="I5516" t="str">
            <v/>
          </cell>
          <cell r="J5516" t="str">
            <v/>
          </cell>
          <cell r="K5516" t="str">
            <v/>
          </cell>
          <cell r="L5516" t="str">
            <v/>
          </cell>
          <cell r="M5516" t="str">
            <v/>
          </cell>
        </row>
        <row r="5517">
          <cell r="A5517">
            <v>31102192</v>
          </cell>
          <cell r="C5517">
            <v>31102192</v>
          </cell>
          <cell r="D5517">
            <v>31102192</v>
          </cell>
          <cell r="E5517">
            <v>31102192</v>
          </cell>
          <cell r="F5517">
            <v>31102192</v>
          </cell>
          <cell r="G5517">
            <v>31102192</v>
          </cell>
          <cell r="H5517">
            <v>31102192</v>
          </cell>
          <cell r="I5517" t="str">
            <v/>
          </cell>
          <cell r="J5517" t="str">
            <v/>
          </cell>
          <cell r="K5517" t="str">
            <v/>
          </cell>
          <cell r="L5517" t="str">
            <v/>
          </cell>
          <cell r="M5517" t="str">
            <v/>
          </cell>
        </row>
        <row r="5518">
          <cell r="A5518">
            <v>31102192</v>
          </cell>
          <cell r="C5518">
            <v>31102192</v>
          </cell>
          <cell r="D5518">
            <v>31102192</v>
          </cell>
          <cell r="E5518">
            <v>31102192</v>
          </cell>
          <cell r="F5518">
            <v>31102192</v>
          </cell>
          <cell r="G5518">
            <v>31102192</v>
          </cell>
          <cell r="H5518">
            <v>31102192</v>
          </cell>
          <cell r="I5518" t="str">
            <v/>
          </cell>
          <cell r="J5518" t="str">
            <v/>
          </cell>
          <cell r="K5518" t="str">
            <v/>
          </cell>
          <cell r="L5518" t="str">
            <v/>
          </cell>
          <cell r="M5518" t="str">
            <v/>
          </cell>
        </row>
        <row r="5519">
          <cell r="A5519">
            <v>31102192</v>
          </cell>
          <cell r="C5519">
            <v>31102192</v>
          </cell>
          <cell r="D5519">
            <v>31102192</v>
          </cell>
          <cell r="E5519">
            <v>31102192</v>
          </cell>
          <cell r="F5519">
            <v>31102192</v>
          </cell>
          <cell r="G5519">
            <v>31102192</v>
          </cell>
          <cell r="H5519">
            <v>31102192</v>
          </cell>
          <cell r="I5519" t="str">
            <v/>
          </cell>
          <cell r="J5519" t="str">
            <v/>
          </cell>
          <cell r="K5519" t="str">
            <v/>
          </cell>
          <cell r="L5519" t="str">
            <v/>
          </cell>
          <cell r="M5519" t="str">
            <v/>
          </cell>
        </row>
        <row r="5520">
          <cell r="A5520">
            <v>31102192</v>
          </cell>
          <cell r="C5520">
            <v>31102192</v>
          </cell>
          <cell r="D5520">
            <v>31102192</v>
          </cell>
          <cell r="E5520">
            <v>31102192</v>
          </cell>
          <cell r="F5520">
            <v>31102192</v>
          </cell>
          <cell r="G5520">
            <v>31102192</v>
          </cell>
          <cell r="H5520">
            <v>31102192</v>
          </cell>
          <cell r="I5520" t="str">
            <v/>
          </cell>
          <cell r="J5520" t="str">
            <v/>
          </cell>
          <cell r="K5520" t="str">
            <v/>
          </cell>
          <cell r="L5520" t="str">
            <v/>
          </cell>
          <cell r="M5520" t="str">
            <v/>
          </cell>
        </row>
        <row r="5521">
          <cell r="A5521">
            <v>31102192</v>
          </cell>
          <cell r="C5521">
            <v>31102192</v>
          </cell>
          <cell r="D5521">
            <v>31102192</v>
          </cell>
          <cell r="E5521">
            <v>31102192</v>
          </cell>
          <cell r="F5521">
            <v>31102192</v>
          </cell>
          <cell r="G5521">
            <v>31102192</v>
          </cell>
          <cell r="H5521">
            <v>31102192</v>
          </cell>
          <cell r="I5521" t="str">
            <v/>
          </cell>
          <cell r="J5521" t="str">
            <v/>
          </cell>
          <cell r="K5521" t="str">
            <v/>
          </cell>
          <cell r="L5521" t="str">
            <v/>
          </cell>
          <cell r="M5521" t="str">
            <v/>
          </cell>
        </row>
        <row r="5522">
          <cell r="A5522">
            <v>31102192</v>
          </cell>
          <cell r="C5522">
            <v>31102192</v>
          </cell>
          <cell r="D5522">
            <v>31102192</v>
          </cell>
          <cell r="E5522">
            <v>31102192</v>
          </cell>
          <cell r="F5522">
            <v>31102192</v>
          </cell>
          <cell r="G5522">
            <v>31102192</v>
          </cell>
          <cell r="H5522">
            <v>31102192</v>
          </cell>
          <cell r="I5522" t="str">
            <v/>
          </cell>
          <cell r="J5522" t="str">
            <v/>
          </cell>
          <cell r="K5522" t="str">
            <v/>
          </cell>
          <cell r="L5522" t="str">
            <v/>
          </cell>
          <cell r="M5522" t="str">
            <v/>
          </cell>
        </row>
        <row r="5523">
          <cell r="A5523">
            <v>31102192</v>
          </cell>
          <cell r="C5523">
            <v>31102192</v>
          </cell>
          <cell r="D5523">
            <v>31102192</v>
          </cell>
          <cell r="E5523">
            <v>31102192</v>
          </cell>
          <cell r="F5523">
            <v>31102192</v>
          </cell>
          <cell r="G5523">
            <v>31102192</v>
          </cell>
          <cell r="H5523">
            <v>31102192</v>
          </cell>
          <cell r="I5523" t="str">
            <v/>
          </cell>
          <cell r="J5523" t="str">
            <v/>
          </cell>
          <cell r="K5523" t="str">
            <v/>
          </cell>
          <cell r="L5523" t="str">
            <v/>
          </cell>
          <cell r="M5523" t="str">
            <v/>
          </cell>
        </row>
        <row r="5524">
          <cell r="A5524">
            <v>31102192</v>
          </cell>
          <cell r="C5524">
            <v>31102192</v>
          </cell>
          <cell r="D5524">
            <v>31102192</v>
          </cell>
          <cell r="E5524">
            <v>31102192</v>
          </cell>
          <cell r="F5524">
            <v>31102192</v>
          </cell>
          <cell r="G5524">
            <v>31102192</v>
          </cell>
          <cell r="H5524">
            <v>31102192</v>
          </cell>
          <cell r="I5524" t="str">
            <v/>
          </cell>
          <cell r="J5524" t="str">
            <v/>
          </cell>
          <cell r="K5524" t="str">
            <v/>
          </cell>
          <cell r="L5524" t="str">
            <v/>
          </cell>
          <cell r="M5524" t="str">
            <v/>
          </cell>
        </row>
        <row r="5525">
          <cell r="A5525">
            <v>31102192</v>
          </cell>
          <cell r="C5525">
            <v>31102192</v>
          </cell>
          <cell r="D5525">
            <v>31102192</v>
          </cell>
          <cell r="E5525">
            <v>31102192</v>
          </cell>
          <cell r="F5525">
            <v>31102192</v>
          </cell>
          <cell r="G5525">
            <v>31102192</v>
          </cell>
          <cell r="H5525">
            <v>31102192</v>
          </cell>
          <cell r="I5525" t="str">
            <v/>
          </cell>
          <cell r="J5525" t="str">
            <v/>
          </cell>
          <cell r="K5525" t="str">
            <v/>
          </cell>
          <cell r="L5525" t="str">
            <v/>
          </cell>
          <cell r="M5525" t="str">
            <v/>
          </cell>
        </row>
        <row r="5526">
          <cell r="A5526">
            <v>31102192</v>
          </cell>
          <cell r="C5526">
            <v>31102192</v>
          </cell>
          <cell r="D5526">
            <v>31102192</v>
          </cell>
          <cell r="E5526">
            <v>31102192</v>
          </cell>
          <cell r="F5526">
            <v>31102192</v>
          </cell>
          <cell r="G5526">
            <v>31102192</v>
          </cell>
          <cell r="H5526">
            <v>31102192</v>
          </cell>
          <cell r="I5526" t="str">
            <v/>
          </cell>
          <cell r="J5526" t="str">
            <v/>
          </cell>
          <cell r="K5526" t="str">
            <v/>
          </cell>
          <cell r="L5526" t="str">
            <v/>
          </cell>
          <cell r="M5526" t="str">
            <v/>
          </cell>
        </row>
        <row r="5527">
          <cell r="A5527">
            <v>31102192</v>
          </cell>
          <cell r="C5527">
            <v>31102192</v>
          </cell>
          <cell r="D5527">
            <v>31102192</v>
          </cell>
          <cell r="E5527">
            <v>31102192</v>
          </cell>
          <cell r="F5527">
            <v>31102192</v>
          </cell>
          <cell r="G5527">
            <v>31102192</v>
          </cell>
          <cell r="H5527">
            <v>31102192</v>
          </cell>
          <cell r="I5527" t="str">
            <v/>
          </cell>
          <cell r="J5527" t="str">
            <v/>
          </cell>
          <cell r="K5527" t="str">
            <v/>
          </cell>
          <cell r="L5527" t="str">
            <v/>
          </cell>
          <cell r="M5527" t="str">
            <v/>
          </cell>
        </row>
        <row r="5528">
          <cell r="A5528">
            <v>31102192</v>
          </cell>
          <cell r="C5528">
            <v>31102192</v>
          </cell>
          <cell r="D5528">
            <v>31102192</v>
          </cell>
          <cell r="E5528">
            <v>31102192</v>
          </cell>
          <cell r="F5528">
            <v>31102192</v>
          </cell>
          <cell r="G5528">
            <v>31102192</v>
          </cell>
          <cell r="H5528">
            <v>31102192</v>
          </cell>
          <cell r="I5528" t="str">
            <v/>
          </cell>
          <cell r="J5528" t="str">
            <v/>
          </cell>
          <cell r="K5528" t="str">
            <v/>
          </cell>
          <cell r="L5528" t="str">
            <v/>
          </cell>
          <cell r="M5528" t="str">
            <v/>
          </cell>
        </row>
        <row r="5529">
          <cell r="A5529">
            <v>31102192</v>
          </cell>
          <cell r="C5529">
            <v>31102192</v>
          </cell>
          <cell r="D5529">
            <v>31102192</v>
          </cell>
          <cell r="E5529">
            <v>31102192</v>
          </cell>
          <cell r="F5529">
            <v>31102192</v>
          </cell>
          <cell r="G5529">
            <v>31102192</v>
          </cell>
          <cell r="H5529">
            <v>31102192</v>
          </cell>
          <cell r="I5529" t="str">
            <v/>
          </cell>
          <cell r="J5529" t="str">
            <v/>
          </cell>
          <cell r="K5529" t="str">
            <v/>
          </cell>
          <cell r="L5529" t="str">
            <v/>
          </cell>
          <cell r="M5529" t="str">
            <v/>
          </cell>
        </row>
        <row r="5530">
          <cell r="A5530">
            <v>31102192</v>
          </cell>
          <cell r="C5530">
            <v>31102192</v>
          </cell>
          <cell r="D5530">
            <v>31102192</v>
          </cell>
          <cell r="E5530">
            <v>31102192</v>
          </cell>
          <cell r="F5530">
            <v>31102192</v>
          </cell>
          <cell r="G5530">
            <v>31102192</v>
          </cell>
          <cell r="H5530">
            <v>31102192</v>
          </cell>
          <cell r="I5530" t="str">
            <v/>
          </cell>
          <cell r="J5530" t="str">
            <v/>
          </cell>
          <cell r="K5530" t="str">
            <v/>
          </cell>
          <cell r="L5530" t="str">
            <v/>
          </cell>
          <cell r="M5530" t="str">
            <v/>
          </cell>
        </row>
        <row r="5531">
          <cell r="A5531">
            <v>31102192</v>
          </cell>
          <cell r="C5531">
            <v>31102192</v>
          </cell>
          <cell r="D5531">
            <v>31102192</v>
          </cell>
          <cell r="E5531">
            <v>31102192</v>
          </cell>
          <cell r="F5531">
            <v>31102192</v>
          </cell>
          <cell r="G5531">
            <v>31102192</v>
          </cell>
          <cell r="H5531">
            <v>31102192</v>
          </cell>
          <cell r="I5531" t="str">
            <v/>
          </cell>
          <cell r="J5531" t="str">
            <v/>
          </cell>
          <cell r="K5531" t="str">
            <v/>
          </cell>
          <cell r="L5531" t="str">
            <v/>
          </cell>
          <cell r="M5531" t="str">
            <v/>
          </cell>
        </row>
        <row r="5532">
          <cell r="A5532">
            <v>31102192</v>
          </cell>
          <cell r="C5532">
            <v>31102192</v>
          </cell>
          <cell r="D5532">
            <v>31102192</v>
          </cell>
          <cell r="E5532">
            <v>31102192</v>
          </cell>
          <cell r="F5532">
            <v>31102192</v>
          </cell>
          <cell r="G5532">
            <v>31102192</v>
          </cell>
          <cell r="H5532">
            <v>31102192</v>
          </cell>
          <cell r="I5532" t="str">
            <v/>
          </cell>
          <cell r="J5532" t="str">
            <v/>
          </cell>
          <cell r="K5532" t="str">
            <v/>
          </cell>
          <cell r="L5532" t="str">
            <v/>
          </cell>
          <cell r="M5532" t="str">
            <v/>
          </cell>
        </row>
        <row r="5533">
          <cell r="A5533">
            <v>31102192</v>
          </cell>
          <cell r="C5533">
            <v>31102192</v>
          </cell>
          <cell r="D5533">
            <v>31102192</v>
          </cell>
          <cell r="E5533">
            <v>31102192</v>
          </cell>
          <cell r="F5533">
            <v>31102192</v>
          </cell>
          <cell r="G5533">
            <v>31102192</v>
          </cell>
          <cell r="H5533">
            <v>31102192</v>
          </cell>
          <cell r="I5533" t="str">
            <v/>
          </cell>
          <cell r="J5533" t="str">
            <v/>
          </cell>
          <cell r="K5533" t="str">
            <v/>
          </cell>
          <cell r="L5533" t="str">
            <v/>
          </cell>
          <cell r="M5533" t="str">
            <v/>
          </cell>
        </row>
        <row r="5534">
          <cell r="A5534">
            <v>31102192</v>
          </cell>
          <cell r="C5534">
            <v>31102192</v>
          </cell>
          <cell r="D5534">
            <v>31102192</v>
          </cell>
          <cell r="E5534">
            <v>31102192</v>
          </cell>
          <cell r="F5534">
            <v>31102192</v>
          </cell>
          <cell r="G5534">
            <v>31102192</v>
          </cell>
          <cell r="H5534">
            <v>31102192</v>
          </cell>
          <cell r="I5534" t="str">
            <v/>
          </cell>
          <cell r="J5534" t="str">
            <v/>
          </cell>
          <cell r="K5534" t="str">
            <v/>
          </cell>
          <cell r="L5534" t="str">
            <v/>
          </cell>
          <cell r="M5534" t="str">
            <v/>
          </cell>
        </row>
        <row r="5535">
          <cell r="A5535">
            <v>31102192</v>
          </cell>
          <cell r="C5535">
            <v>31102192</v>
          </cell>
          <cell r="D5535">
            <v>31102192</v>
          </cell>
          <cell r="E5535">
            <v>31102192</v>
          </cell>
          <cell r="F5535">
            <v>31102192</v>
          </cell>
          <cell r="G5535">
            <v>31102192</v>
          </cell>
          <cell r="H5535">
            <v>31102192</v>
          </cell>
          <cell r="I5535" t="str">
            <v/>
          </cell>
          <cell r="J5535" t="str">
            <v/>
          </cell>
          <cell r="K5535" t="str">
            <v/>
          </cell>
          <cell r="L5535" t="str">
            <v/>
          </cell>
          <cell r="M5535" t="str">
            <v/>
          </cell>
        </row>
        <row r="5536">
          <cell r="A5536">
            <v>31102192</v>
          </cell>
          <cell r="C5536">
            <v>31102192</v>
          </cell>
          <cell r="D5536">
            <v>31102192</v>
          </cell>
          <cell r="E5536">
            <v>31102192</v>
          </cell>
          <cell r="F5536">
            <v>31102192</v>
          </cell>
          <cell r="G5536">
            <v>31102192</v>
          </cell>
          <cell r="H5536">
            <v>31102192</v>
          </cell>
          <cell r="I5536" t="str">
            <v/>
          </cell>
          <cell r="J5536" t="str">
            <v/>
          </cell>
          <cell r="K5536" t="str">
            <v/>
          </cell>
          <cell r="L5536" t="str">
            <v/>
          </cell>
          <cell r="M5536" t="str">
            <v/>
          </cell>
        </row>
        <row r="5537">
          <cell r="A5537">
            <v>31102192</v>
          </cell>
          <cell r="C5537">
            <v>31102192</v>
          </cell>
          <cell r="D5537">
            <v>31102192</v>
          </cell>
          <cell r="E5537">
            <v>31102192</v>
          </cell>
          <cell r="F5537">
            <v>31102192</v>
          </cell>
          <cell r="G5537">
            <v>31102192</v>
          </cell>
          <cell r="H5537">
            <v>31102192</v>
          </cell>
          <cell r="I5537" t="str">
            <v/>
          </cell>
          <cell r="J5537" t="str">
            <v/>
          </cell>
          <cell r="K5537" t="str">
            <v/>
          </cell>
          <cell r="L5537" t="str">
            <v/>
          </cell>
          <cell r="M5537" t="str">
            <v/>
          </cell>
        </row>
        <row r="5538">
          <cell r="A5538">
            <v>31102192</v>
          </cell>
          <cell r="C5538">
            <v>31102192</v>
          </cell>
          <cell r="D5538">
            <v>31102192</v>
          </cell>
          <cell r="E5538">
            <v>31102192</v>
          </cell>
          <cell r="F5538">
            <v>31102192</v>
          </cell>
          <cell r="G5538">
            <v>31102192</v>
          </cell>
          <cell r="H5538">
            <v>31102192</v>
          </cell>
          <cell r="I5538" t="str">
            <v/>
          </cell>
          <cell r="J5538" t="str">
            <v/>
          </cell>
          <cell r="K5538" t="str">
            <v/>
          </cell>
          <cell r="L5538" t="str">
            <v/>
          </cell>
          <cell r="M5538" t="str">
            <v/>
          </cell>
        </row>
        <row r="5539">
          <cell r="A5539">
            <v>31102192</v>
          </cell>
          <cell r="C5539">
            <v>31102192</v>
          </cell>
          <cell r="D5539">
            <v>31102192</v>
          </cell>
          <cell r="E5539">
            <v>31102192</v>
          </cell>
          <cell r="F5539">
            <v>31102192</v>
          </cell>
          <cell r="G5539">
            <v>31102192</v>
          </cell>
          <cell r="H5539">
            <v>31102192</v>
          </cell>
          <cell r="I5539" t="str">
            <v/>
          </cell>
          <cell r="J5539" t="str">
            <v/>
          </cell>
          <cell r="K5539" t="str">
            <v/>
          </cell>
          <cell r="L5539" t="str">
            <v/>
          </cell>
          <cell r="M5539" t="str">
            <v/>
          </cell>
        </row>
        <row r="5540">
          <cell r="A5540">
            <v>31102192</v>
          </cell>
          <cell r="C5540">
            <v>31102192</v>
          </cell>
          <cell r="D5540">
            <v>31102192</v>
          </cell>
          <cell r="E5540">
            <v>31102192</v>
          </cell>
          <cell r="F5540">
            <v>31102192</v>
          </cell>
          <cell r="G5540">
            <v>31102192</v>
          </cell>
          <cell r="H5540">
            <v>31102192</v>
          </cell>
          <cell r="I5540" t="str">
            <v/>
          </cell>
          <cell r="J5540" t="str">
            <v/>
          </cell>
          <cell r="K5540" t="str">
            <v/>
          </cell>
          <cell r="L5540" t="str">
            <v/>
          </cell>
          <cell r="M5540" t="str">
            <v/>
          </cell>
        </row>
        <row r="5541">
          <cell r="A5541">
            <v>31102192</v>
          </cell>
          <cell r="C5541">
            <v>31102192</v>
          </cell>
          <cell r="D5541">
            <v>31102192</v>
          </cell>
          <cell r="E5541">
            <v>31102192</v>
          </cell>
          <cell r="F5541">
            <v>31102192</v>
          </cell>
          <cell r="G5541">
            <v>31102192</v>
          </cell>
          <cell r="H5541">
            <v>31102192</v>
          </cell>
          <cell r="I5541" t="str">
            <v/>
          </cell>
          <cell r="J5541" t="str">
            <v/>
          </cell>
          <cell r="K5541" t="str">
            <v/>
          </cell>
          <cell r="L5541" t="str">
            <v/>
          </cell>
          <cell r="M5541" t="str">
            <v/>
          </cell>
        </row>
        <row r="5542">
          <cell r="A5542">
            <v>31102192</v>
          </cell>
          <cell r="C5542">
            <v>31102192</v>
          </cell>
          <cell r="D5542">
            <v>31102192</v>
          </cell>
          <cell r="E5542">
            <v>31102192</v>
          </cell>
          <cell r="F5542">
            <v>31102192</v>
          </cell>
          <cell r="G5542">
            <v>31102192</v>
          </cell>
          <cell r="H5542">
            <v>31102192</v>
          </cell>
          <cell r="I5542" t="str">
            <v/>
          </cell>
          <cell r="J5542" t="str">
            <v/>
          </cell>
          <cell r="K5542" t="str">
            <v/>
          </cell>
          <cell r="L5542" t="str">
            <v/>
          </cell>
          <cell r="M5542" t="str">
            <v/>
          </cell>
        </row>
        <row r="5543">
          <cell r="A5543">
            <v>31102192</v>
          </cell>
          <cell r="C5543">
            <v>31102192</v>
          </cell>
          <cell r="D5543">
            <v>31102192</v>
          </cell>
          <cell r="E5543">
            <v>31102192</v>
          </cell>
          <cell r="F5543">
            <v>31102192</v>
          </cell>
          <cell r="G5543">
            <v>31102192</v>
          </cell>
          <cell r="H5543">
            <v>31102192</v>
          </cell>
          <cell r="I5543" t="str">
            <v/>
          </cell>
          <cell r="J5543" t="str">
            <v/>
          </cell>
          <cell r="K5543" t="str">
            <v/>
          </cell>
          <cell r="L5543" t="str">
            <v/>
          </cell>
          <cell r="M5543" t="str">
            <v/>
          </cell>
        </row>
        <row r="5544">
          <cell r="A5544">
            <v>31102192</v>
          </cell>
          <cell r="C5544">
            <v>31102192</v>
          </cell>
          <cell r="D5544">
            <v>31102192</v>
          </cell>
          <cell r="E5544">
            <v>31102192</v>
          </cell>
          <cell r="F5544">
            <v>31102192</v>
          </cell>
          <cell r="G5544">
            <v>31102192</v>
          </cell>
          <cell r="H5544">
            <v>31102192</v>
          </cell>
          <cell r="I5544" t="str">
            <v/>
          </cell>
          <cell r="J5544" t="str">
            <v/>
          </cell>
          <cell r="K5544" t="str">
            <v/>
          </cell>
          <cell r="L5544" t="str">
            <v/>
          </cell>
          <cell r="M5544" t="str">
            <v/>
          </cell>
        </row>
        <row r="5545">
          <cell r="A5545">
            <v>31102192</v>
          </cell>
          <cell r="C5545">
            <v>31102192</v>
          </cell>
          <cell r="D5545">
            <v>31102192</v>
          </cell>
          <cell r="E5545">
            <v>31102192</v>
          </cell>
          <cell r="F5545">
            <v>31102192</v>
          </cell>
          <cell r="G5545">
            <v>31102192</v>
          </cell>
          <cell r="H5545">
            <v>31102192</v>
          </cell>
          <cell r="I5545" t="str">
            <v/>
          </cell>
          <cell r="J5545" t="str">
            <v/>
          </cell>
          <cell r="K5545" t="str">
            <v/>
          </cell>
          <cell r="L5545" t="str">
            <v/>
          </cell>
          <cell r="M5545" t="str">
            <v/>
          </cell>
        </row>
        <row r="5546">
          <cell r="A5546">
            <v>31102192</v>
          </cell>
          <cell r="C5546">
            <v>31102192</v>
          </cell>
          <cell r="D5546">
            <v>31102192</v>
          </cell>
          <cell r="E5546">
            <v>31102192</v>
          </cell>
          <cell r="F5546">
            <v>31102192</v>
          </cell>
          <cell r="G5546">
            <v>31102192</v>
          </cell>
          <cell r="H5546">
            <v>31102192</v>
          </cell>
          <cell r="I5546" t="str">
            <v/>
          </cell>
          <cell r="J5546" t="str">
            <v/>
          </cell>
          <cell r="K5546" t="str">
            <v/>
          </cell>
          <cell r="L5546" t="str">
            <v/>
          </cell>
          <cell r="M5546" t="str">
            <v/>
          </cell>
        </row>
        <row r="5547">
          <cell r="A5547">
            <v>31102192</v>
          </cell>
          <cell r="C5547">
            <v>31102192</v>
          </cell>
          <cell r="D5547">
            <v>31102192</v>
          </cell>
          <cell r="E5547">
            <v>31102192</v>
          </cell>
          <cell r="F5547">
            <v>31102192</v>
          </cell>
          <cell r="G5547">
            <v>31102192</v>
          </cell>
          <cell r="H5547">
            <v>31102192</v>
          </cell>
          <cell r="I5547" t="str">
            <v/>
          </cell>
          <cell r="J5547" t="str">
            <v/>
          </cell>
          <cell r="K5547" t="str">
            <v/>
          </cell>
          <cell r="L5547" t="str">
            <v/>
          </cell>
          <cell r="M5547" t="str">
            <v/>
          </cell>
        </row>
        <row r="5548">
          <cell r="A5548">
            <v>31102192</v>
          </cell>
          <cell r="C5548">
            <v>31102192</v>
          </cell>
          <cell r="D5548">
            <v>31102192</v>
          </cell>
          <cell r="E5548">
            <v>31102192</v>
          </cell>
          <cell r="F5548">
            <v>31102192</v>
          </cell>
          <cell r="G5548">
            <v>31102192</v>
          </cell>
          <cell r="H5548">
            <v>31102192</v>
          </cell>
          <cell r="I5548" t="str">
            <v/>
          </cell>
          <cell r="J5548" t="str">
            <v/>
          </cell>
          <cell r="K5548" t="str">
            <v/>
          </cell>
          <cell r="L5548" t="str">
            <v/>
          </cell>
          <cell r="M5548" t="str">
            <v/>
          </cell>
        </row>
        <row r="5549">
          <cell r="A5549">
            <v>31102192</v>
          </cell>
          <cell r="C5549">
            <v>31102192</v>
          </cell>
          <cell r="D5549">
            <v>31102192</v>
          </cell>
          <cell r="E5549">
            <v>31102192</v>
          </cell>
          <cell r="F5549">
            <v>31102192</v>
          </cell>
          <cell r="G5549">
            <v>31102192</v>
          </cell>
          <cell r="H5549">
            <v>31102192</v>
          </cell>
          <cell r="I5549" t="str">
            <v/>
          </cell>
          <cell r="J5549" t="str">
            <v/>
          </cell>
          <cell r="K5549" t="str">
            <v/>
          </cell>
          <cell r="L5549" t="str">
            <v/>
          </cell>
          <cell r="M5549" t="str">
            <v/>
          </cell>
        </row>
        <row r="5550">
          <cell r="A5550">
            <v>31102192</v>
          </cell>
          <cell r="C5550">
            <v>31102192</v>
          </cell>
          <cell r="D5550">
            <v>31102192</v>
          </cell>
          <cell r="E5550">
            <v>31102192</v>
          </cell>
          <cell r="F5550">
            <v>31102192</v>
          </cell>
          <cell r="G5550">
            <v>31102192</v>
          </cell>
          <cell r="H5550">
            <v>31102192</v>
          </cell>
          <cell r="I5550" t="str">
            <v/>
          </cell>
          <cell r="J5550" t="str">
            <v/>
          </cell>
          <cell r="K5550" t="str">
            <v/>
          </cell>
          <cell r="L5550" t="str">
            <v/>
          </cell>
          <cell r="M5550" t="str">
            <v/>
          </cell>
        </row>
        <row r="5551">
          <cell r="A5551">
            <v>31102192</v>
          </cell>
          <cell r="C5551">
            <v>31102192</v>
          </cell>
          <cell r="D5551">
            <v>31102192</v>
          </cell>
          <cell r="E5551">
            <v>31102192</v>
          </cell>
          <cell r="F5551">
            <v>31102192</v>
          </cell>
          <cell r="G5551">
            <v>31102192</v>
          </cell>
          <cell r="H5551">
            <v>31102192</v>
          </cell>
          <cell r="I5551" t="str">
            <v/>
          </cell>
          <cell r="J5551" t="str">
            <v/>
          </cell>
          <cell r="K5551" t="str">
            <v/>
          </cell>
          <cell r="L5551" t="str">
            <v/>
          </cell>
          <cell r="M5551" t="str">
            <v/>
          </cell>
        </row>
        <row r="5552">
          <cell r="A5552">
            <v>31102192</v>
          </cell>
          <cell r="C5552">
            <v>31102192</v>
          </cell>
          <cell r="D5552">
            <v>31102192</v>
          </cell>
          <cell r="E5552">
            <v>31102192</v>
          </cell>
          <cell r="F5552">
            <v>31102192</v>
          </cell>
          <cell r="G5552">
            <v>31102192</v>
          </cell>
          <cell r="H5552">
            <v>31102192</v>
          </cell>
          <cell r="I5552" t="str">
            <v/>
          </cell>
          <cell r="J5552" t="str">
            <v/>
          </cell>
          <cell r="K5552" t="str">
            <v/>
          </cell>
          <cell r="L5552" t="str">
            <v/>
          </cell>
          <cell r="M5552" t="str">
            <v/>
          </cell>
        </row>
        <row r="5553">
          <cell r="A5553">
            <v>31102192</v>
          </cell>
          <cell r="C5553">
            <v>31102192</v>
          </cell>
          <cell r="D5553">
            <v>31102192</v>
          </cell>
          <cell r="E5553">
            <v>31102192</v>
          </cell>
          <cell r="F5553">
            <v>31102192</v>
          </cell>
          <cell r="G5553">
            <v>31102192</v>
          </cell>
          <cell r="H5553">
            <v>31102192</v>
          </cell>
          <cell r="I5553" t="str">
            <v/>
          </cell>
          <cell r="J5553" t="str">
            <v/>
          </cell>
          <cell r="K5553" t="str">
            <v/>
          </cell>
          <cell r="L5553" t="str">
            <v/>
          </cell>
          <cell r="M5553" t="str">
            <v/>
          </cell>
        </row>
        <row r="5554">
          <cell r="A5554">
            <v>31102192</v>
          </cell>
          <cell r="C5554">
            <v>31102192</v>
          </cell>
          <cell r="D5554">
            <v>31102192</v>
          </cell>
          <cell r="E5554">
            <v>31102192</v>
          </cell>
          <cell r="F5554">
            <v>31102192</v>
          </cell>
          <cell r="G5554">
            <v>31102192</v>
          </cell>
          <cell r="H5554">
            <v>31102192</v>
          </cell>
          <cell r="I5554" t="str">
            <v/>
          </cell>
          <cell r="J5554" t="str">
            <v/>
          </cell>
          <cell r="K5554" t="str">
            <v/>
          </cell>
          <cell r="L5554" t="str">
            <v/>
          </cell>
          <cell r="M5554" t="str">
            <v/>
          </cell>
        </row>
        <row r="5555">
          <cell r="A5555">
            <v>31102192</v>
          </cell>
          <cell r="C5555">
            <v>31102192</v>
          </cell>
          <cell r="D5555">
            <v>31102192</v>
          </cell>
          <cell r="E5555">
            <v>31102192</v>
          </cell>
          <cell r="F5555">
            <v>31102192</v>
          </cell>
          <cell r="G5555">
            <v>31102192</v>
          </cell>
          <cell r="H5555">
            <v>31102192</v>
          </cell>
          <cell r="I5555" t="str">
            <v/>
          </cell>
          <cell r="J5555" t="str">
            <v/>
          </cell>
          <cell r="K5555" t="str">
            <v/>
          </cell>
          <cell r="L5555" t="str">
            <v/>
          </cell>
          <cell r="M5555" t="str">
            <v/>
          </cell>
        </row>
        <row r="5556">
          <cell r="A5556">
            <v>31102192</v>
          </cell>
          <cell r="C5556">
            <v>31102192</v>
          </cell>
          <cell r="D5556">
            <v>31102192</v>
          </cell>
          <cell r="E5556">
            <v>31102192</v>
          </cell>
          <cell r="F5556">
            <v>31102192</v>
          </cell>
          <cell r="G5556">
            <v>31102192</v>
          </cell>
          <cell r="H5556">
            <v>31102192</v>
          </cell>
          <cell r="I5556" t="str">
            <v/>
          </cell>
          <cell r="J5556" t="str">
            <v/>
          </cell>
          <cell r="K5556" t="str">
            <v/>
          </cell>
          <cell r="L5556" t="str">
            <v/>
          </cell>
          <cell r="M5556" t="str">
            <v/>
          </cell>
        </row>
        <row r="5557">
          <cell r="A5557">
            <v>31102192</v>
          </cell>
          <cell r="C5557">
            <v>31102192</v>
          </cell>
          <cell r="D5557">
            <v>31102192</v>
          </cell>
          <cell r="E5557">
            <v>31102192</v>
          </cell>
          <cell r="F5557">
            <v>31102192</v>
          </cell>
          <cell r="G5557">
            <v>31102192</v>
          </cell>
          <cell r="H5557">
            <v>31102192</v>
          </cell>
          <cell r="I5557" t="str">
            <v/>
          </cell>
          <cell r="J5557" t="str">
            <v/>
          </cell>
          <cell r="K5557" t="str">
            <v/>
          </cell>
          <cell r="L5557" t="str">
            <v/>
          </cell>
          <cell r="M5557" t="str">
            <v/>
          </cell>
        </row>
        <row r="5558">
          <cell r="A5558">
            <v>31102192</v>
          </cell>
          <cell r="C5558">
            <v>31102192</v>
          </cell>
          <cell r="D5558">
            <v>31102192</v>
          </cell>
          <cell r="E5558">
            <v>31102192</v>
          </cell>
          <cell r="F5558">
            <v>31102192</v>
          </cell>
          <cell r="G5558">
            <v>31102192</v>
          </cell>
          <cell r="H5558">
            <v>31102192</v>
          </cell>
          <cell r="I5558" t="str">
            <v/>
          </cell>
          <cell r="J5558" t="str">
            <v/>
          </cell>
          <cell r="K5558" t="str">
            <v/>
          </cell>
          <cell r="L5558" t="str">
            <v/>
          </cell>
          <cell r="M5558" t="str">
            <v/>
          </cell>
        </row>
        <row r="5559">
          <cell r="A5559">
            <v>31102192</v>
          </cell>
          <cell r="C5559">
            <v>31102192</v>
          </cell>
          <cell r="D5559">
            <v>31102192</v>
          </cell>
          <cell r="E5559">
            <v>31102192</v>
          </cell>
          <cell r="F5559">
            <v>31102192</v>
          </cell>
          <cell r="G5559">
            <v>31102192</v>
          </cell>
          <cell r="H5559">
            <v>31102192</v>
          </cell>
          <cell r="I5559" t="str">
            <v/>
          </cell>
          <cell r="J5559" t="str">
            <v/>
          </cell>
          <cell r="K5559" t="str">
            <v/>
          </cell>
          <cell r="L5559" t="str">
            <v/>
          </cell>
          <cell r="M5559" t="str">
            <v/>
          </cell>
        </row>
        <row r="5560">
          <cell r="A5560">
            <v>31102192</v>
          </cell>
          <cell r="C5560">
            <v>31102192</v>
          </cell>
          <cell r="D5560">
            <v>31102192</v>
          </cell>
          <cell r="E5560">
            <v>31102192</v>
          </cell>
          <cell r="F5560">
            <v>31102192</v>
          </cell>
          <cell r="G5560">
            <v>31102192</v>
          </cell>
          <cell r="H5560">
            <v>31102192</v>
          </cell>
          <cell r="I5560" t="str">
            <v/>
          </cell>
          <cell r="J5560" t="str">
            <v/>
          </cell>
          <cell r="K5560" t="str">
            <v/>
          </cell>
          <cell r="L5560" t="str">
            <v/>
          </cell>
          <cell r="M5560" t="str">
            <v/>
          </cell>
        </row>
        <row r="5561">
          <cell r="A5561">
            <v>31102192</v>
          </cell>
          <cell r="C5561">
            <v>31102192</v>
          </cell>
          <cell r="D5561">
            <v>31102192</v>
          </cell>
          <cell r="E5561">
            <v>31102192</v>
          </cell>
          <cell r="F5561">
            <v>31102192</v>
          </cell>
          <cell r="G5561">
            <v>31102192</v>
          </cell>
          <cell r="H5561">
            <v>31102192</v>
          </cell>
          <cell r="I5561" t="str">
            <v/>
          </cell>
          <cell r="J5561" t="str">
            <v/>
          </cell>
          <cell r="K5561" t="str">
            <v/>
          </cell>
          <cell r="L5561" t="str">
            <v/>
          </cell>
          <cell r="M5561" t="str">
            <v/>
          </cell>
        </row>
        <row r="5562">
          <cell r="A5562">
            <v>31102192</v>
          </cell>
          <cell r="C5562">
            <v>31102192</v>
          </cell>
          <cell r="D5562">
            <v>31102192</v>
          </cell>
          <cell r="E5562">
            <v>31102192</v>
          </cell>
          <cell r="F5562">
            <v>31102192</v>
          </cell>
          <cell r="G5562">
            <v>31102192</v>
          </cell>
          <cell r="H5562">
            <v>31102192</v>
          </cell>
          <cell r="I5562" t="str">
            <v/>
          </cell>
          <cell r="J5562" t="str">
            <v/>
          </cell>
          <cell r="K5562" t="str">
            <v/>
          </cell>
          <cell r="L5562" t="str">
            <v/>
          </cell>
          <cell r="M5562" t="str">
            <v/>
          </cell>
        </row>
        <row r="5563">
          <cell r="A5563">
            <v>31102192</v>
          </cell>
          <cell r="C5563">
            <v>31102192</v>
          </cell>
          <cell r="D5563">
            <v>31102192</v>
          </cell>
          <cell r="E5563">
            <v>31102192</v>
          </cell>
          <cell r="F5563">
            <v>31102192</v>
          </cell>
          <cell r="G5563">
            <v>31102192</v>
          </cell>
          <cell r="H5563">
            <v>31102192</v>
          </cell>
          <cell r="I5563" t="str">
            <v/>
          </cell>
          <cell r="J5563" t="str">
            <v/>
          </cell>
          <cell r="K5563" t="str">
            <v/>
          </cell>
          <cell r="L5563" t="str">
            <v/>
          </cell>
          <cell r="M5563" t="str">
            <v/>
          </cell>
        </row>
        <row r="5564">
          <cell r="A5564">
            <v>31102192</v>
          </cell>
          <cell r="C5564">
            <v>31102192</v>
          </cell>
          <cell r="D5564">
            <v>31102192</v>
          </cell>
          <cell r="E5564">
            <v>31102192</v>
          </cell>
          <cell r="F5564">
            <v>31102192</v>
          </cell>
          <cell r="G5564">
            <v>31102192</v>
          </cell>
          <cell r="H5564">
            <v>31102192</v>
          </cell>
          <cell r="I5564" t="str">
            <v/>
          </cell>
          <cell r="J5564" t="str">
            <v/>
          </cell>
          <cell r="K5564" t="str">
            <v/>
          </cell>
          <cell r="L5564" t="str">
            <v/>
          </cell>
          <cell r="M5564" t="str">
            <v/>
          </cell>
        </row>
        <row r="5565">
          <cell r="A5565">
            <v>31102192</v>
          </cell>
          <cell r="C5565">
            <v>31102192</v>
          </cell>
          <cell r="D5565">
            <v>31102192</v>
          </cell>
          <cell r="E5565">
            <v>31102192</v>
          </cell>
          <cell r="F5565">
            <v>31102192</v>
          </cell>
          <cell r="G5565">
            <v>31102192</v>
          </cell>
          <cell r="H5565">
            <v>31102192</v>
          </cell>
          <cell r="I5565" t="str">
            <v/>
          </cell>
          <cell r="J5565" t="str">
            <v/>
          </cell>
          <cell r="K5565" t="str">
            <v/>
          </cell>
          <cell r="L5565" t="str">
            <v/>
          </cell>
          <cell r="M5565" t="str">
            <v/>
          </cell>
        </row>
        <row r="5566">
          <cell r="A5566">
            <v>31102192</v>
          </cell>
          <cell r="C5566">
            <v>31102192</v>
          </cell>
          <cell r="D5566">
            <v>31102192</v>
          </cell>
          <cell r="E5566">
            <v>31102192</v>
          </cell>
          <cell r="F5566">
            <v>31102192</v>
          </cell>
          <cell r="G5566">
            <v>31102192</v>
          </cell>
          <cell r="H5566">
            <v>31102192</v>
          </cell>
          <cell r="I5566" t="str">
            <v/>
          </cell>
          <cell r="J5566" t="str">
            <v/>
          </cell>
          <cell r="K5566" t="str">
            <v/>
          </cell>
          <cell r="L5566" t="str">
            <v/>
          </cell>
          <cell r="M5566" t="str">
            <v/>
          </cell>
        </row>
        <row r="5567">
          <cell r="A5567">
            <v>31102192</v>
          </cell>
          <cell r="C5567">
            <v>31102192</v>
          </cell>
          <cell r="D5567">
            <v>31102192</v>
          </cell>
          <cell r="E5567">
            <v>31102192</v>
          </cell>
          <cell r="F5567">
            <v>31102192</v>
          </cell>
          <cell r="G5567">
            <v>31102192</v>
          </cell>
          <cell r="H5567">
            <v>31102192</v>
          </cell>
          <cell r="I5567" t="str">
            <v/>
          </cell>
          <cell r="J5567" t="str">
            <v/>
          </cell>
          <cell r="K5567" t="str">
            <v/>
          </cell>
          <cell r="L5567" t="str">
            <v/>
          </cell>
          <cell r="M5567" t="str">
            <v/>
          </cell>
        </row>
        <row r="5568">
          <cell r="A5568">
            <v>31102192</v>
          </cell>
          <cell r="C5568">
            <v>31102192</v>
          </cell>
          <cell r="D5568">
            <v>31102192</v>
          </cell>
          <cell r="E5568">
            <v>31102192</v>
          </cell>
          <cell r="F5568">
            <v>31102192</v>
          </cell>
          <cell r="G5568">
            <v>31102192</v>
          </cell>
          <cell r="H5568">
            <v>31102192</v>
          </cell>
          <cell r="I5568" t="str">
            <v/>
          </cell>
          <cell r="J5568" t="str">
            <v/>
          </cell>
          <cell r="K5568" t="str">
            <v/>
          </cell>
          <cell r="L5568" t="str">
            <v/>
          </cell>
          <cell r="M5568" t="str">
            <v/>
          </cell>
        </row>
        <row r="5569">
          <cell r="A5569">
            <v>31102192</v>
          </cell>
          <cell r="C5569">
            <v>31102192</v>
          </cell>
          <cell r="D5569">
            <v>31102192</v>
          </cell>
          <cell r="E5569">
            <v>31102192</v>
          </cell>
          <cell r="F5569">
            <v>31102192</v>
          </cell>
          <cell r="G5569">
            <v>31102192</v>
          </cell>
          <cell r="H5569">
            <v>31102192</v>
          </cell>
          <cell r="I5569" t="str">
            <v/>
          </cell>
          <cell r="J5569" t="str">
            <v/>
          </cell>
          <cell r="K5569" t="str">
            <v/>
          </cell>
          <cell r="L5569" t="str">
            <v/>
          </cell>
          <cell r="M5569" t="str">
            <v/>
          </cell>
        </row>
        <row r="5570">
          <cell r="A5570">
            <v>31102192</v>
          </cell>
          <cell r="C5570">
            <v>31102192</v>
          </cell>
          <cell r="D5570">
            <v>31102192</v>
          </cell>
          <cell r="E5570">
            <v>31102192</v>
          </cell>
          <cell r="F5570">
            <v>31102192</v>
          </cell>
          <cell r="G5570">
            <v>31102192</v>
          </cell>
          <cell r="H5570">
            <v>31102192</v>
          </cell>
          <cell r="I5570" t="str">
            <v/>
          </cell>
          <cell r="J5570" t="str">
            <v/>
          </cell>
          <cell r="K5570" t="str">
            <v/>
          </cell>
          <cell r="L5570" t="str">
            <v/>
          </cell>
          <cell r="M5570" t="str">
            <v/>
          </cell>
        </row>
        <row r="5571">
          <cell r="A5571">
            <v>31102192</v>
          </cell>
          <cell r="C5571">
            <v>31102192</v>
          </cell>
          <cell r="D5571">
            <v>31102192</v>
          </cell>
          <cell r="E5571">
            <v>31102192</v>
          </cell>
          <cell r="F5571">
            <v>31102192</v>
          </cell>
          <cell r="G5571">
            <v>31102192</v>
          </cell>
          <cell r="H5571">
            <v>31102192</v>
          </cell>
          <cell r="I5571" t="str">
            <v/>
          </cell>
          <cell r="J5571" t="str">
            <v/>
          </cell>
          <cell r="K5571" t="str">
            <v/>
          </cell>
          <cell r="L5571" t="str">
            <v/>
          </cell>
          <cell r="M5571" t="str">
            <v/>
          </cell>
        </row>
        <row r="5572">
          <cell r="A5572">
            <v>31102192</v>
          </cell>
          <cell r="C5572">
            <v>31102192</v>
          </cell>
          <cell r="D5572">
            <v>31102192</v>
          </cell>
          <cell r="E5572">
            <v>31102192</v>
          </cell>
          <cell r="F5572">
            <v>31102192</v>
          </cell>
          <cell r="G5572">
            <v>31102192</v>
          </cell>
          <cell r="H5572">
            <v>31102192</v>
          </cell>
          <cell r="I5572" t="str">
            <v/>
          </cell>
          <cell r="J5572" t="str">
            <v/>
          </cell>
          <cell r="K5572" t="str">
            <v/>
          </cell>
          <cell r="L5572" t="str">
            <v/>
          </cell>
          <cell r="M5572" t="str">
            <v/>
          </cell>
        </row>
        <row r="5573">
          <cell r="A5573">
            <v>31102192</v>
          </cell>
          <cell r="C5573">
            <v>31102192</v>
          </cell>
          <cell r="D5573">
            <v>31102192</v>
          </cell>
          <cell r="E5573">
            <v>31102192</v>
          </cell>
          <cell r="F5573">
            <v>31102192</v>
          </cell>
          <cell r="G5573">
            <v>31102192</v>
          </cell>
          <cell r="H5573">
            <v>31102192</v>
          </cell>
          <cell r="I5573" t="str">
            <v/>
          </cell>
          <cell r="J5573" t="str">
            <v/>
          </cell>
          <cell r="K5573" t="str">
            <v/>
          </cell>
          <cell r="L5573" t="str">
            <v/>
          </cell>
          <cell r="M5573" t="str">
            <v/>
          </cell>
        </row>
        <row r="5574">
          <cell r="A5574">
            <v>31102192</v>
          </cell>
          <cell r="C5574">
            <v>31102192</v>
          </cell>
          <cell r="D5574">
            <v>31102192</v>
          </cell>
          <cell r="E5574">
            <v>31102192</v>
          </cell>
          <cell r="F5574">
            <v>31102192</v>
          </cell>
          <cell r="G5574">
            <v>31102192</v>
          </cell>
          <cell r="H5574">
            <v>31102192</v>
          </cell>
          <cell r="I5574" t="str">
            <v/>
          </cell>
          <cell r="J5574" t="str">
            <v/>
          </cell>
          <cell r="K5574" t="str">
            <v/>
          </cell>
          <cell r="L5574" t="str">
            <v/>
          </cell>
          <cell r="M5574" t="str">
            <v/>
          </cell>
        </row>
        <row r="5575">
          <cell r="A5575">
            <v>31102192</v>
          </cell>
          <cell r="C5575">
            <v>31102192</v>
          </cell>
          <cell r="D5575">
            <v>31102192</v>
          </cell>
          <cell r="E5575">
            <v>31102192</v>
          </cell>
          <cell r="F5575">
            <v>31102192</v>
          </cell>
          <cell r="G5575">
            <v>31102192</v>
          </cell>
          <cell r="H5575">
            <v>31102192</v>
          </cell>
          <cell r="I5575" t="str">
            <v/>
          </cell>
          <cell r="J5575" t="str">
            <v/>
          </cell>
          <cell r="K5575" t="str">
            <v/>
          </cell>
          <cell r="L5575" t="str">
            <v/>
          </cell>
          <cell r="M5575" t="str">
            <v/>
          </cell>
        </row>
        <row r="5576">
          <cell r="A5576">
            <v>31102192</v>
          </cell>
          <cell r="C5576">
            <v>31102192</v>
          </cell>
          <cell r="D5576">
            <v>31102192</v>
          </cell>
          <cell r="E5576">
            <v>31102192</v>
          </cell>
          <cell r="F5576">
            <v>31102192</v>
          </cell>
          <cell r="G5576">
            <v>31102192</v>
          </cell>
          <cell r="H5576">
            <v>31102192</v>
          </cell>
          <cell r="I5576" t="str">
            <v/>
          </cell>
          <cell r="J5576" t="str">
            <v/>
          </cell>
          <cell r="K5576" t="str">
            <v/>
          </cell>
          <cell r="L5576" t="str">
            <v/>
          </cell>
          <cell r="M5576" t="str">
            <v/>
          </cell>
        </row>
        <row r="5577">
          <cell r="A5577">
            <v>31102192</v>
          </cell>
          <cell r="C5577">
            <v>31102192</v>
          </cell>
          <cell r="D5577">
            <v>31102192</v>
          </cell>
          <cell r="E5577">
            <v>31102192</v>
          </cell>
          <cell r="F5577">
            <v>31102192</v>
          </cell>
          <cell r="G5577">
            <v>31102192</v>
          </cell>
          <cell r="H5577">
            <v>31102192</v>
          </cell>
          <cell r="I5577" t="str">
            <v/>
          </cell>
          <cell r="J5577" t="str">
            <v/>
          </cell>
          <cell r="K5577" t="str">
            <v/>
          </cell>
          <cell r="L5577" t="str">
            <v/>
          </cell>
          <cell r="M5577" t="str">
            <v/>
          </cell>
        </row>
        <row r="5578">
          <cell r="A5578">
            <v>31102192</v>
          </cell>
          <cell r="C5578">
            <v>31102192</v>
          </cell>
          <cell r="D5578">
            <v>31102192</v>
          </cell>
          <cell r="E5578">
            <v>31102192</v>
          </cell>
          <cell r="F5578">
            <v>31102192</v>
          </cell>
          <cell r="G5578">
            <v>31102192</v>
          </cell>
          <cell r="H5578">
            <v>31102192</v>
          </cell>
          <cell r="I5578" t="str">
            <v/>
          </cell>
          <cell r="J5578" t="str">
            <v/>
          </cell>
          <cell r="K5578" t="str">
            <v/>
          </cell>
          <cell r="L5578" t="str">
            <v/>
          </cell>
          <cell r="M5578" t="str">
            <v/>
          </cell>
        </row>
        <row r="5579">
          <cell r="A5579">
            <v>31102192</v>
          </cell>
          <cell r="C5579">
            <v>31102192</v>
          </cell>
          <cell r="D5579">
            <v>31102192</v>
          </cell>
          <cell r="E5579">
            <v>31102192</v>
          </cell>
          <cell r="F5579">
            <v>31102192</v>
          </cell>
          <cell r="G5579">
            <v>31102192</v>
          </cell>
          <cell r="H5579">
            <v>31102192</v>
          </cell>
          <cell r="I5579" t="str">
            <v/>
          </cell>
          <cell r="J5579" t="str">
            <v/>
          </cell>
          <cell r="K5579" t="str">
            <v/>
          </cell>
          <cell r="L5579" t="str">
            <v/>
          </cell>
          <cell r="M5579" t="str">
            <v/>
          </cell>
        </row>
        <row r="5580">
          <cell r="A5580">
            <v>31102192</v>
          </cell>
          <cell r="C5580">
            <v>31102192</v>
          </cell>
          <cell r="D5580">
            <v>31102192</v>
          </cell>
          <cell r="E5580">
            <v>31102192</v>
          </cell>
          <cell r="F5580">
            <v>31102192</v>
          </cell>
          <cell r="G5580">
            <v>31102192</v>
          </cell>
          <cell r="H5580">
            <v>31102192</v>
          </cell>
          <cell r="I5580" t="str">
            <v/>
          </cell>
          <cell r="J5580" t="str">
            <v/>
          </cell>
          <cell r="K5580" t="str">
            <v/>
          </cell>
          <cell r="L5580" t="str">
            <v/>
          </cell>
          <cell r="M5580" t="str">
            <v/>
          </cell>
        </row>
        <row r="5581">
          <cell r="A5581">
            <v>31102192</v>
          </cell>
          <cell r="C5581">
            <v>31102192</v>
          </cell>
          <cell r="D5581">
            <v>31102192</v>
          </cell>
          <cell r="E5581">
            <v>31102192</v>
          </cell>
          <cell r="F5581">
            <v>31102192</v>
          </cell>
          <cell r="G5581">
            <v>31102192</v>
          </cell>
          <cell r="H5581">
            <v>31102192</v>
          </cell>
          <cell r="I5581" t="str">
            <v/>
          </cell>
          <cell r="J5581" t="str">
            <v/>
          </cell>
          <cell r="K5581" t="str">
            <v/>
          </cell>
          <cell r="L5581" t="str">
            <v/>
          </cell>
          <cell r="M5581" t="str">
            <v/>
          </cell>
        </row>
        <row r="5582">
          <cell r="A5582">
            <v>31102192</v>
          </cell>
          <cell r="C5582">
            <v>31102192</v>
          </cell>
          <cell r="D5582">
            <v>31102192</v>
          </cell>
          <cell r="E5582">
            <v>31102192</v>
          </cell>
          <cell r="F5582">
            <v>31102192</v>
          </cell>
          <cell r="G5582">
            <v>31102192</v>
          </cell>
          <cell r="H5582">
            <v>31102192</v>
          </cell>
          <cell r="I5582" t="str">
            <v/>
          </cell>
          <cell r="J5582" t="str">
            <v/>
          </cell>
          <cell r="K5582" t="str">
            <v/>
          </cell>
          <cell r="L5582" t="str">
            <v/>
          </cell>
          <cell r="M5582" t="str">
            <v/>
          </cell>
        </row>
        <row r="5583">
          <cell r="A5583">
            <v>31102192</v>
          </cell>
          <cell r="C5583">
            <v>31102192</v>
          </cell>
          <cell r="D5583">
            <v>31102192</v>
          </cell>
          <cell r="E5583">
            <v>31102192</v>
          </cell>
          <cell r="F5583">
            <v>31102192</v>
          </cell>
          <cell r="G5583">
            <v>31102192</v>
          </cell>
          <cell r="H5583">
            <v>31102192</v>
          </cell>
          <cell r="I5583" t="str">
            <v/>
          </cell>
          <cell r="J5583" t="str">
            <v/>
          </cell>
          <cell r="K5583" t="str">
            <v/>
          </cell>
          <cell r="L5583" t="str">
            <v/>
          </cell>
          <cell r="M5583" t="str">
            <v/>
          </cell>
        </row>
        <row r="5584">
          <cell r="A5584">
            <v>31102192</v>
          </cell>
          <cell r="C5584">
            <v>31102192</v>
          </cell>
          <cell r="D5584">
            <v>31102192</v>
          </cell>
          <cell r="E5584">
            <v>31102192</v>
          </cell>
          <cell r="F5584">
            <v>31102192</v>
          </cell>
          <cell r="G5584">
            <v>31102192</v>
          </cell>
          <cell r="H5584">
            <v>31102192</v>
          </cell>
          <cell r="I5584" t="str">
            <v/>
          </cell>
          <cell r="J5584" t="str">
            <v/>
          </cell>
          <cell r="K5584" t="str">
            <v/>
          </cell>
          <cell r="L5584" t="str">
            <v/>
          </cell>
          <cell r="M5584" t="str">
            <v/>
          </cell>
        </row>
        <row r="5585">
          <cell r="A5585">
            <v>31102192</v>
          </cell>
          <cell r="C5585">
            <v>31102192</v>
          </cell>
          <cell r="D5585">
            <v>31102192</v>
          </cell>
          <cell r="E5585">
            <v>31102192</v>
          </cell>
          <cell r="F5585">
            <v>31102192</v>
          </cell>
          <cell r="G5585">
            <v>31102192</v>
          </cell>
          <cell r="H5585">
            <v>31102192</v>
          </cell>
          <cell r="I5585" t="str">
            <v/>
          </cell>
          <cell r="J5585" t="str">
            <v/>
          </cell>
          <cell r="K5585" t="str">
            <v/>
          </cell>
          <cell r="L5585" t="str">
            <v/>
          </cell>
          <cell r="M5585" t="str">
            <v/>
          </cell>
        </row>
        <row r="5586">
          <cell r="A5586">
            <v>31102192</v>
          </cell>
          <cell r="C5586">
            <v>31102192</v>
          </cell>
          <cell r="D5586">
            <v>31102192</v>
          </cell>
          <cell r="E5586">
            <v>31102192</v>
          </cell>
          <cell r="F5586">
            <v>31102192</v>
          </cell>
          <cell r="G5586">
            <v>31102192</v>
          </cell>
          <cell r="H5586">
            <v>31102192</v>
          </cell>
          <cell r="I5586" t="str">
            <v/>
          </cell>
          <cell r="J5586" t="str">
            <v/>
          </cell>
          <cell r="K5586" t="str">
            <v/>
          </cell>
          <cell r="L5586" t="str">
            <v/>
          </cell>
          <cell r="M5586" t="str">
            <v/>
          </cell>
        </row>
        <row r="5587">
          <cell r="A5587">
            <v>31102192</v>
          </cell>
          <cell r="C5587">
            <v>31102192</v>
          </cell>
          <cell r="D5587">
            <v>31102192</v>
          </cell>
          <cell r="E5587">
            <v>31102192</v>
          </cell>
          <cell r="F5587">
            <v>31102192</v>
          </cell>
          <cell r="G5587">
            <v>31102192</v>
          </cell>
          <cell r="H5587">
            <v>31102192</v>
          </cell>
          <cell r="I5587" t="str">
            <v/>
          </cell>
          <cell r="J5587" t="str">
            <v/>
          </cell>
          <cell r="K5587" t="str">
            <v/>
          </cell>
          <cell r="L5587" t="str">
            <v/>
          </cell>
          <cell r="M5587" t="str">
            <v/>
          </cell>
        </row>
        <row r="5588">
          <cell r="A5588">
            <v>31102192</v>
          </cell>
          <cell r="C5588">
            <v>31102192</v>
          </cell>
          <cell r="D5588">
            <v>31102192</v>
          </cell>
          <cell r="E5588">
            <v>31102192</v>
          </cell>
          <cell r="F5588">
            <v>31102192</v>
          </cell>
          <cell r="G5588">
            <v>31102192</v>
          </cell>
          <cell r="H5588">
            <v>31102192</v>
          </cell>
          <cell r="I5588" t="str">
            <v/>
          </cell>
          <cell r="J5588" t="str">
            <v/>
          </cell>
          <cell r="K5588" t="str">
            <v/>
          </cell>
          <cell r="L5588" t="str">
            <v/>
          </cell>
          <cell r="M5588" t="str">
            <v/>
          </cell>
        </row>
        <row r="5589">
          <cell r="A5589">
            <v>31102192</v>
          </cell>
          <cell r="C5589">
            <v>31102192</v>
          </cell>
          <cell r="D5589">
            <v>31102192</v>
          </cell>
          <cell r="E5589">
            <v>31102192</v>
          </cell>
          <cell r="F5589">
            <v>31102192</v>
          </cell>
          <cell r="G5589">
            <v>31102192</v>
          </cell>
          <cell r="H5589">
            <v>31102192</v>
          </cell>
          <cell r="I5589" t="str">
            <v/>
          </cell>
          <cell r="J5589" t="str">
            <v/>
          </cell>
          <cell r="K5589" t="str">
            <v/>
          </cell>
          <cell r="L5589" t="str">
            <v/>
          </cell>
          <cell r="M5589" t="str">
            <v/>
          </cell>
        </row>
        <row r="5590">
          <cell r="A5590">
            <v>31102192</v>
          </cell>
          <cell r="C5590">
            <v>31102192</v>
          </cell>
          <cell r="D5590">
            <v>31102192</v>
          </cell>
          <cell r="E5590">
            <v>31102192</v>
          </cell>
          <cell r="F5590">
            <v>31102192</v>
          </cell>
          <cell r="G5590">
            <v>31102192</v>
          </cell>
          <cell r="H5590">
            <v>31102192</v>
          </cell>
          <cell r="I5590" t="str">
            <v/>
          </cell>
          <cell r="J5590" t="str">
            <v/>
          </cell>
          <cell r="K5590" t="str">
            <v/>
          </cell>
          <cell r="L5590" t="str">
            <v/>
          </cell>
          <cell r="M5590" t="str">
            <v/>
          </cell>
        </row>
        <row r="5591">
          <cell r="A5591">
            <v>31102192</v>
          </cell>
          <cell r="C5591">
            <v>31102192</v>
          </cell>
          <cell r="D5591">
            <v>31102192</v>
          </cell>
          <cell r="E5591">
            <v>31102192</v>
          </cell>
          <cell r="F5591">
            <v>31102192</v>
          </cell>
          <cell r="G5591">
            <v>31102192</v>
          </cell>
          <cell r="H5591">
            <v>31102192</v>
          </cell>
          <cell r="I5591" t="str">
            <v/>
          </cell>
          <cell r="J5591" t="str">
            <v/>
          </cell>
          <cell r="K5591" t="str">
            <v/>
          </cell>
          <cell r="L5591" t="str">
            <v/>
          </cell>
          <cell r="M5591" t="str">
            <v/>
          </cell>
        </row>
        <row r="5592">
          <cell r="A5592">
            <v>31102192</v>
          </cell>
          <cell r="C5592">
            <v>31102192</v>
          </cell>
          <cell r="D5592">
            <v>31102192</v>
          </cell>
          <cell r="E5592">
            <v>31102192</v>
          </cell>
          <cell r="F5592">
            <v>31102192</v>
          </cell>
          <cell r="G5592">
            <v>31102192</v>
          </cell>
          <cell r="H5592">
            <v>31102192</v>
          </cell>
          <cell r="I5592" t="str">
            <v/>
          </cell>
          <cell r="J5592" t="str">
            <v/>
          </cell>
          <cell r="K5592" t="str">
            <v/>
          </cell>
          <cell r="L5592" t="str">
            <v/>
          </cell>
          <cell r="M5592" t="str">
            <v/>
          </cell>
        </row>
        <row r="5593">
          <cell r="A5593">
            <v>31102192</v>
          </cell>
          <cell r="C5593">
            <v>31102192</v>
          </cell>
          <cell r="D5593">
            <v>31102192</v>
          </cell>
          <cell r="E5593">
            <v>31102192</v>
          </cell>
          <cell r="F5593">
            <v>31102192</v>
          </cell>
          <cell r="G5593">
            <v>31102192</v>
          </cell>
          <cell r="H5593">
            <v>31102192</v>
          </cell>
          <cell r="I5593" t="str">
            <v/>
          </cell>
          <cell r="J5593" t="str">
            <v/>
          </cell>
          <cell r="K5593" t="str">
            <v/>
          </cell>
          <cell r="L5593" t="str">
            <v/>
          </cell>
          <cell r="M5593" t="str">
            <v/>
          </cell>
        </row>
        <row r="5594">
          <cell r="A5594">
            <v>31102192</v>
          </cell>
          <cell r="C5594">
            <v>31102192</v>
          </cell>
          <cell r="D5594">
            <v>31102192</v>
          </cell>
          <cell r="E5594">
            <v>31102192</v>
          </cell>
          <cell r="F5594">
            <v>31102192</v>
          </cell>
          <cell r="G5594">
            <v>31102192</v>
          </cell>
          <cell r="H5594">
            <v>31102192</v>
          </cell>
          <cell r="I5594" t="str">
            <v/>
          </cell>
          <cell r="J5594" t="str">
            <v/>
          </cell>
          <cell r="K5594" t="str">
            <v/>
          </cell>
          <cell r="L5594" t="str">
            <v/>
          </cell>
          <cell r="M5594" t="str">
            <v/>
          </cell>
        </row>
        <row r="5595">
          <cell r="A5595">
            <v>31102192</v>
          </cell>
          <cell r="C5595">
            <v>31102192</v>
          </cell>
          <cell r="D5595">
            <v>31102192</v>
          </cell>
          <cell r="E5595">
            <v>31102192</v>
          </cell>
          <cell r="F5595">
            <v>31102192</v>
          </cell>
          <cell r="G5595">
            <v>31102192</v>
          </cell>
          <cell r="H5595">
            <v>31102192</v>
          </cell>
          <cell r="I5595" t="str">
            <v/>
          </cell>
          <cell r="J5595" t="str">
            <v/>
          </cell>
          <cell r="K5595" t="str">
            <v/>
          </cell>
          <cell r="L5595" t="str">
            <v/>
          </cell>
          <cell r="M5595" t="str">
            <v/>
          </cell>
        </row>
        <row r="5596">
          <cell r="A5596">
            <v>31102192</v>
          </cell>
          <cell r="C5596">
            <v>31102192</v>
          </cell>
          <cell r="D5596">
            <v>31102192</v>
          </cell>
          <cell r="E5596">
            <v>31102192</v>
          </cell>
          <cell r="F5596">
            <v>31102192</v>
          </cell>
          <cell r="G5596">
            <v>31102192</v>
          </cell>
          <cell r="H5596">
            <v>31102192</v>
          </cell>
          <cell r="I5596" t="str">
            <v/>
          </cell>
          <cell r="J5596" t="str">
            <v/>
          </cell>
          <cell r="K5596" t="str">
            <v/>
          </cell>
          <cell r="L5596" t="str">
            <v/>
          </cell>
          <cell r="M5596" t="str">
            <v/>
          </cell>
        </row>
        <row r="5597">
          <cell r="A5597">
            <v>31102192</v>
          </cell>
          <cell r="C5597">
            <v>31102192</v>
          </cell>
          <cell r="D5597">
            <v>31102192</v>
          </cell>
          <cell r="E5597">
            <v>31102192</v>
          </cell>
          <cell r="F5597">
            <v>31102192</v>
          </cell>
          <cell r="G5597">
            <v>31102192</v>
          </cell>
          <cell r="H5597">
            <v>31102192</v>
          </cell>
          <cell r="I5597" t="str">
            <v/>
          </cell>
          <cell r="J5597" t="str">
            <v/>
          </cell>
          <cell r="K5597" t="str">
            <v/>
          </cell>
          <cell r="L5597" t="str">
            <v/>
          </cell>
          <cell r="M5597" t="str">
            <v/>
          </cell>
        </row>
        <row r="5598">
          <cell r="A5598">
            <v>31102192</v>
          </cell>
          <cell r="C5598">
            <v>31102192</v>
          </cell>
          <cell r="D5598">
            <v>31102192</v>
          </cell>
          <cell r="E5598">
            <v>31102192</v>
          </cell>
          <cell r="F5598">
            <v>31102192</v>
          </cell>
          <cell r="G5598">
            <v>31102192</v>
          </cell>
          <cell r="H5598">
            <v>31102192</v>
          </cell>
          <cell r="I5598" t="str">
            <v/>
          </cell>
          <cell r="J5598" t="str">
            <v/>
          </cell>
          <cell r="K5598" t="str">
            <v/>
          </cell>
          <cell r="L5598" t="str">
            <v/>
          </cell>
          <cell r="M5598" t="str">
            <v/>
          </cell>
        </row>
        <row r="5599">
          <cell r="A5599">
            <v>31102192</v>
          </cell>
          <cell r="C5599">
            <v>31102192</v>
          </cell>
          <cell r="D5599">
            <v>31102192</v>
          </cell>
          <cell r="E5599">
            <v>31102192</v>
          </cell>
          <cell r="F5599">
            <v>31102192</v>
          </cell>
          <cell r="G5599">
            <v>31102192</v>
          </cell>
          <cell r="H5599">
            <v>31102192</v>
          </cell>
          <cell r="I5599" t="str">
            <v/>
          </cell>
          <cell r="J5599" t="str">
            <v/>
          </cell>
          <cell r="K5599" t="str">
            <v/>
          </cell>
          <cell r="L5599" t="str">
            <v/>
          </cell>
          <cell r="M5599" t="str">
            <v/>
          </cell>
        </row>
        <row r="5600">
          <cell r="A5600">
            <v>31102192</v>
          </cell>
          <cell r="C5600">
            <v>31102192</v>
          </cell>
          <cell r="D5600">
            <v>31102192</v>
          </cell>
          <cell r="E5600">
            <v>31102192</v>
          </cell>
          <cell r="F5600">
            <v>31102192</v>
          </cell>
          <cell r="G5600">
            <v>31102192</v>
          </cell>
          <cell r="H5600">
            <v>31102192</v>
          </cell>
          <cell r="I5600" t="str">
            <v/>
          </cell>
          <cell r="J5600" t="str">
            <v/>
          </cell>
          <cell r="K5600" t="str">
            <v/>
          </cell>
          <cell r="L5600" t="str">
            <v/>
          </cell>
          <cell r="M5600" t="str">
            <v/>
          </cell>
        </row>
        <row r="5601">
          <cell r="A5601">
            <v>31102192</v>
          </cell>
          <cell r="C5601">
            <v>31102192</v>
          </cell>
          <cell r="D5601">
            <v>31102192</v>
          </cell>
          <cell r="E5601">
            <v>31102192</v>
          </cell>
          <cell r="F5601">
            <v>31102192</v>
          </cell>
          <cell r="G5601">
            <v>31102192</v>
          </cell>
          <cell r="H5601">
            <v>31102192</v>
          </cell>
          <cell r="I5601" t="str">
            <v/>
          </cell>
          <cell r="J5601" t="str">
            <v/>
          </cell>
          <cell r="K5601" t="str">
            <v/>
          </cell>
          <cell r="L5601" t="str">
            <v/>
          </cell>
          <cell r="M5601" t="str">
            <v/>
          </cell>
        </row>
        <row r="5602">
          <cell r="A5602">
            <v>31102192</v>
          </cell>
          <cell r="C5602">
            <v>31102192</v>
          </cell>
          <cell r="D5602">
            <v>31102192</v>
          </cell>
          <cell r="E5602">
            <v>31102192</v>
          </cell>
          <cell r="F5602">
            <v>31102192</v>
          </cell>
          <cell r="G5602">
            <v>31102192</v>
          </cell>
          <cell r="H5602">
            <v>31102192</v>
          </cell>
          <cell r="I5602" t="str">
            <v/>
          </cell>
          <cell r="J5602" t="str">
            <v/>
          </cell>
          <cell r="K5602" t="str">
            <v/>
          </cell>
          <cell r="L5602" t="str">
            <v/>
          </cell>
          <cell r="M5602" t="str">
            <v/>
          </cell>
        </row>
        <row r="5603">
          <cell r="A5603">
            <v>31102192</v>
          </cell>
          <cell r="C5603">
            <v>31102192</v>
          </cell>
          <cell r="D5603">
            <v>31102192</v>
          </cell>
          <cell r="E5603">
            <v>31102192</v>
          </cell>
          <cell r="F5603">
            <v>31102192</v>
          </cell>
          <cell r="G5603">
            <v>31102192</v>
          </cell>
          <cell r="H5603">
            <v>31102192</v>
          </cell>
          <cell r="I5603" t="str">
            <v/>
          </cell>
          <cell r="J5603" t="str">
            <v/>
          </cell>
          <cell r="K5603" t="str">
            <v/>
          </cell>
          <cell r="L5603" t="str">
            <v/>
          </cell>
          <cell r="M5603" t="str">
            <v/>
          </cell>
        </row>
        <row r="5604">
          <cell r="A5604">
            <v>31102192</v>
          </cell>
          <cell r="C5604">
            <v>31102192</v>
          </cell>
          <cell r="D5604">
            <v>31102192</v>
          </cell>
          <cell r="E5604">
            <v>31102192</v>
          </cell>
          <cell r="F5604">
            <v>31102192</v>
          </cell>
          <cell r="G5604">
            <v>31102192</v>
          </cell>
          <cell r="H5604">
            <v>31102192</v>
          </cell>
          <cell r="I5604" t="str">
            <v/>
          </cell>
          <cell r="J5604" t="str">
            <v/>
          </cell>
          <cell r="K5604" t="str">
            <v/>
          </cell>
          <cell r="L5604" t="str">
            <v/>
          </cell>
          <cell r="M5604" t="str">
            <v/>
          </cell>
        </row>
        <row r="5605">
          <cell r="A5605">
            <v>31102192</v>
          </cell>
          <cell r="C5605">
            <v>31102192</v>
          </cell>
          <cell r="D5605">
            <v>31102192</v>
          </cell>
          <cell r="E5605">
            <v>31102192</v>
          </cell>
          <cell r="F5605">
            <v>31102192</v>
          </cell>
          <cell r="G5605">
            <v>31102192</v>
          </cell>
          <cell r="H5605">
            <v>31102192</v>
          </cell>
          <cell r="I5605" t="str">
            <v/>
          </cell>
          <cell r="J5605" t="str">
            <v/>
          </cell>
          <cell r="K5605" t="str">
            <v/>
          </cell>
          <cell r="L5605" t="str">
            <v/>
          </cell>
          <cell r="M5605" t="str">
            <v/>
          </cell>
        </row>
        <row r="5606">
          <cell r="A5606">
            <v>31102192</v>
          </cell>
          <cell r="C5606">
            <v>31102192</v>
          </cell>
          <cell r="D5606">
            <v>31102192</v>
          </cell>
          <cell r="E5606">
            <v>31102192</v>
          </cell>
          <cell r="F5606">
            <v>31102192</v>
          </cell>
          <cell r="G5606">
            <v>31102192</v>
          </cell>
          <cell r="H5606">
            <v>31102192</v>
          </cell>
          <cell r="I5606" t="str">
            <v/>
          </cell>
          <cell r="J5606" t="str">
            <v/>
          </cell>
          <cell r="K5606" t="str">
            <v/>
          </cell>
          <cell r="L5606" t="str">
            <v/>
          </cell>
          <cell r="M5606" t="str">
            <v/>
          </cell>
        </row>
        <row r="5607">
          <cell r="A5607">
            <v>31102192</v>
          </cell>
          <cell r="C5607">
            <v>31102192</v>
          </cell>
          <cell r="D5607">
            <v>31102192</v>
          </cell>
          <cell r="E5607">
            <v>31102192</v>
          </cell>
          <cell r="F5607">
            <v>31102192</v>
          </cell>
          <cell r="G5607">
            <v>31102192</v>
          </cell>
          <cell r="H5607">
            <v>31102192</v>
          </cell>
          <cell r="I5607" t="str">
            <v/>
          </cell>
          <cell r="J5607" t="str">
            <v/>
          </cell>
          <cell r="K5607" t="str">
            <v/>
          </cell>
          <cell r="L5607" t="str">
            <v/>
          </cell>
          <cell r="M5607" t="str">
            <v/>
          </cell>
        </row>
        <row r="5608">
          <cell r="A5608">
            <v>31102192</v>
          </cell>
          <cell r="C5608">
            <v>31102192</v>
          </cell>
          <cell r="D5608">
            <v>31102192</v>
          </cell>
          <cell r="E5608">
            <v>31102192</v>
          </cell>
          <cell r="F5608">
            <v>31102192</v>
          </cell>
          <cell r="G5608">
            <v>31102192</v>
          </cell>
          <cell r="H5608">
            <v>31102192</v>
          </cell>
          <cell r="I5608" t="str">
            <v/>
          </cell>
          <cell r="J5608" t="str">
            <v/>
          </cell>
          <cell r="K5608" t="str">
            <v/>
          </cell>
          <cell r="L5608" t="str">
            <v/>
          </cell>
          <cell r="M5608" t="str">
            <v/>
          </cell>
        </row>
        <row r="5609">
          <cell r="A5609">
            <v>31102192</v>
          </cell>
          <cell r="C5609">
            <v>31102192</v>
          </cell>
          <cell r="D5609">
            <v>31102192</v>
          </cell>
          <cell r="E5609">
            <v>31102192</v>
          </cell>
          <cell r="F5609">
            <v>31102192</v>
          </cell>
          <cell r="G5609">
            <v>31102192</v>
          </cell>
          <cell r="H5609">
            <v>31102192</v>
          </cell>
          <cell r="I5609" t="str">
            <v/>
          </cell>
          <cell r="J5609" t="str">
            <v/>
          </cell>
          <cell r="K5609" t="str">
            <v/>
          </cell>
          <cell r="L5609" t="str">
            <v/>
          </cell>
          <cell r="M5609" t="str">
            <v/>
          </cell>
        </row>
        <row r="5610">
          <cell r="A5610">
            <v>31102192</v>
          </cell>
          <cell r="C5610">
            <v>31102192</v>
          </cell>
          <cell r="D5610">
            <v>31102192</v>
          </cell>
          <cell r="E5610">
            <v>31102192</v>
          </cell>
          <cell r="F5610">
            <v>31102192</v>
          </cell>
          <cell r="G5610">
            <v>31102192</v>
          </cell>
          <cell r="H5610">
            <v>31102192</v>
          </cell>
          <cell r="I5610" t="str">
            <v/>
          </cell>
          <cell r="J5610" t="str">
            <v/>
          </cell>
          <cell r="K5610" t="str">
            <v/>
          </cell>
          <cell r="L5610" t="str">
            <v/>
          </cell>
          <cell r="M5610" t="str">
            <v/>
          </cell>
        </row>
        <row r="5611">
          <cell r="A5611">
            <v>31102192</v>
          </cell>
          <cell r="C5611">
            <v>31102192</v>
          </cell>
          <cell r="D5611">
            <v>31102192</v>
          </cell>
          <cell r="E5611">
            <v>31102192</v>
          </cell>
          <cell r="F5611">
            <v>31102192</v>
          </cell>
          <cell r="G5611">
            <v>31102192</v>
          </cell>
          <cell r="H5611">
            <v>31102192</v>
          </cell>
          <cell r="I5611" t="str">
            <v/>
          </cell>
          <cell r="J5611" t="str">
            <v/>
          </cell>
          <cell r="K5611" t="str">
            <v/>
          </cell>
          <cell r="L5611" t="str">
            <v/>
          </cell>
          <cell r="M5611" t="str">
            <v/>
          </cell>
        </row>
        <row r="5612">
          <cell r="A5612">
            <v>31102192</v>
          </cell>
          <cell r="C5612">
            <v>31102192</v>
          </cell>
          <cell r="D5612">
            <v>31102192</v>
          </cell>
          <cell r="E5612">
            <v>31102192</v>
          </cell>
          <cell r="F5612">
            <v>31102192</v>
          </cell>
          <cell r="G5612">
            <v>31102192</v>
          </cell>
          <cell r="H5612">
            <v>31102192</v>
          </cell>
          <cell r="I5612" t="str">
            <v/>
          </cell>
          <cell r="J5612" t="str">
            <v/>
          </cell>
          <cell r="K5612" t="str">
            <v/>
          </cell>
          <cell r="L5612" t="str">
            <v/>
          </cell>
          <cell r="M5612" t="str">
            <v/>
          </cell>
        </row>
        <row r="5613">
          <cell r="A5613">
            <v>31102192</v>
          </cell>
          <cell r="C5613">
            <v>31102192</v>
          </cell>
          <cell r="D5613">
            <v>31102192</v>
          </cell>
          <cell r="E5613">
            <v>31102192</v>
          </cell>
          <cell r="F5613">
            <v>31102192</v>
          </cell>
          <cell r="G5613">
            <v>31102192</v>
          </cell>
          <cell r="H5613">
            <v>31102192</v>
          </cell>
          <cell r="I5613" t="str">
            <v/>
          </cell>
          <cell r="J5613" t="str">
            <v/>
          </cell>
          <cell r="K5613" t="str">
            <v/>
          </cell>
          <cell r="L5613" t="str">
            <v/>
          </cell>
          <cell r="M5613" t="str">
            <v/>
          </cell>
        </row>
        <row r="5614">
          <cell r="A5614">
            <v>31102192</v>
          </cell>
          <cell r="C5614">
            <v>31102192</v>
          </cell>
          <cell r="D5614">
            <v>31102192</v>
          </cell>
          <cell r="E5614">
            <v>31102192</v>
          </cell>
          <cell r="F5614">
            <v>31102192</v>
          </cell>
          <cell r="G5614">
            <v>31102192</v>
          </cell>
          <cell r="H5614">
            <v>31102192</v>
          </cell>
          <cell r="I5614" t="str">
            <v/>
          </cell>
          <cell r="J5614" t="str">
            <v/>
          </cell>
          <cell r="K5614" t="str">
            <v/>
          </cell>
          <cell r="L5614" t="str">
            <v/>
          </cell>
          <cell r="M5614" t="str">
            <v/>
          </cell>
        </row>
        <row r="5615">
          <cell r="A5615">
            <v>31102192</v>
          </cell>
          <cell r="C5615">
            <v>31102192</v>
          </cell>
          <cell r="D5615">
            <v>31102192</v>
          </cell>
          <cell r="E5615">
            <v>31102192</v>
          </cell>
          <cell r="F5615">
            <v>31102192</v>
          </cell>
          <cell r="G5615">
            <v>31102192</v>
          </cell>
          <cell r="H5615">
            <v>31102192</v>
          </cell>
          <cell r="I5615" t="str">
            <v/>
          </cell>
          <cell r="J5615" t="str">
            <v/>
          </cell>
          <cell r="K5615" t="str">
            <v/>
          </cell>
          <cell r="L5615" t="str">
            <v/>
          </cell>
          <cell r="M5615" t="str">
            <v/>
          </cell>
        </row>
        <row r="5616">
          <cell r="A5616">
            <v>31102192</v>
          </cell>
          <cell r="C5616">
            <v>31102192</v>
          </cell>
          <cell r="D5616">
            <v>31102192</v>
          </cell>
          <cell r="E5616">
            <v>31102192</v>
          </cell>
          <cell r="F5616">
            <v>31102192</v>
          </cell>
          <cell r="G5616">
            <v>31102192</v>
          </cell>
          <cell r="H5616">
            <v>31102192</v>
          </cell>
          <cell r="I5616" t="str">
            <v/>
          </cell>
          <cell r="J5616" t="str">
            <v/>
          </cell>
          <cell r="K5616" t="str">
            <v/>
          </cell>
          <cell r="L5616" t="str">
            <v/>
          </cell>
          <cell r="M5616" t="str">
            <v/>
          </cell>
        </row>
        <row r="5617">
          <cell r="A5617">
            <v>31102192</v>
          </cell>
          <cell r="C5617">
            <v>31102192</v>
          </cell>
          <cell r="D5617">
            <v>31102192</v>
          </cell>
          <cell r="E5617">
            <v>31102192</v>
          </cell>
          <cell r="F5617">
            <v>31102192</v>
          </cell>
          <cell r="G5617">
            <v>31102192</v>
          </cell>
          <cell r="H5617">
            <v>31102192</v>
          </cell>
          <cell r="I5617" t="str">
            <v/>
          </cell>
          <cell r="J5617" t="str">
            <v/>
          </cell>
          <cell r="K5617" t="str">
            <v/>
          </cell>
          <cell r="L5617" t="str">
            <v/>
          </cell>
          <cell r="M5617" t="str">
            <v/>
          </cell>
        </row>
        <row r="5618">
          <cell r="A5618">
            <v>31102192</v>
          </cell>
          <cell r="C5618">
            <v>31102192</v>
          </cell>
          <cell r="D5618">
            <v>31102192</v>
          </cell>
          <cell r="E5618">
            <v>31102192</v>
          </cell>
          <cell r="F5618">
            <v>31102192</v>
          </cell>
          <cell r="G5618">
            <v>31102192</v>
          </cell>
          <cell r="H5618">
            <v>31102192</v>
          </cell>
          <cell r="I5618" t="str">
            <v/>
          </cell>
          <cell r="J5618" t="str">
            <v/>
          </cell>
          <cell r="K5618" t="str">
            <v/>
          </cell>
          <cell r="L5618" t="str">
            <v/>
          </cell>
          <cell r="M5618" t="str">
            <v/>
          </cell>
        </row>
        <row r="5619">
          <cell r="A5619">
            <v>31102192</v>
          </cell>
          <cell r="C5619">
            <v>31102192</v>
          </cell>
          <cell r="D5619">
            <v>31102192</v>
          </cell>
          <cell r="E5619">
            <v>31102192</v>
          </cell>
          <cell r="F5619">
            <v>31102192</v>
          </cell>
          <cell r="G5619">
            <v>31102192</v>
          </cell>
          <cell r="H5619">
            <v>31102192</v>
          </cell>
          <cell r="I5619" t="str">
            <v/>
          </cell>
          <cell r="J5619" t="str">
            <v/>
          </cell>
          <cell r="K5619" t="str">
            <v/>
          </cell>
          <cell r="L5619" t="str">
            <v/>
          </cell>
          <cell r="M5619" t="str">
            <v/>
          </cell>
        </row>
        <row r="5620">
          <cell r="A5620">
            <v>31102192</v>
          </cell>
          <cell r="C5620">
            <v>31102192</v>
          </cell>
          <cell r="D5620">
            <v>31102192</v>
          </cell>
          <cell r="E5620">
            <v>31102192</v>
          </cell>
          <cell r="F5620">
            <v>31102192</v>
          </cell>
          <cell r="G5620">
            <v>31102192</v>
          </cell>
          <cell r="H5620">
            <v>31102192</v>
          </cell>
          <cell r="I5620" t="str">
            <v/>
          </cell>
          <cell r="J5620" t="str">
            <v/>
          </cell>
          <cell r="K5620" t="str">
            <v/>
          </cell>
          <cell r="L5620" t="str">
            <v/>
          </cell>
          <cell r="M5620" t="str">
            <v/>
          </cell>
        </row>
        <row r="5621">
          <cell r="A5621">
            <v>31102192</v>
          </cell>
          <cell r="C5621">
            <v>31102192</v>
          </cell>
          <cell r="D5621">
            <v>31102192</v>
          </cell>
          <cell r="E5621">
            <v>31102192</v>
          </cell>
          <cell r="F5621">
            <v>31102192</v>
          </cell>
          <cell r="G5621">
            <v>31102192</v>
          </cell>
          <cell r="H5621">
            <v>31102192</v>
          </cell>
          <cell r="I5621" t="str">
            <v/>
          </cell>
          <cell r="J5621" t="str">
            <v/>
          </cell>
          <cell r="K5621" t="str">
            <v/>
          </cell>
          <cell r="L5621" t="str">
            <v/>
          </cell>
          <cell r="M5621" t="str">
            <v/>
          </cell>
        </row>
        <row r="5622">
          <cell r="A5622">
            <v>31102192</v>
          </cell>
          <cell r="C5622">
            <v>31102192</v>
          </cell>
          <cell r="D5622">
            <v>31102192</v>
          </cell>
          <cell r="E5622">
            <v>31102192</v>
          </cell>
          <cell r="F5622">
            <v>31102192</v>
          </cell>
          <cell r="G5622">
            <v>31102192</v>
          </cell>
          <cell r="H5622">
            <v>31102192</v>
          </cell>
          <cell r="I5622" t="str">
            <v/>
          </cell>
          <cell r="J5622" t="str">
            <v/>
          </cell>
          <cell r="K5622" t="str">
            <v/>
          </cell>
          <cell r="L5622" t="str">
            <v/>
          </cell>
          <cell r="M5622" t="str">
            <v/>
          </cell>
        </row>
        <row r="5623">
          <cell r="A5623">
            <v>31102192</v>
          </cell>
          <cell r="C5623">
            <v>31102192</v>
          </cell>
          <cell r="D5623">
            <v>31102192</v>
          </cell>
          <cell r="E5623">
            <v>31102192</v>
          </cell>
          <cell r="F5623">
            <v>31102192</v>
          </cell>
          <cell r="G5623">
            <v>31102192</v>
          </cell>
          <cell r="H5623">
            <v>31102192</v>
          </cell>
          <cell r="I5623" t="str">
            <v/>
          </cell>
          <cell r="J5623" t="str">
            <v/>
          </cell>
          <cell r="K5623" t="str">
            <v/>
          </cell>
          <cell r="L5623" t="str">
            <v/>
          </cell>
          <cell r="M5623" t="str">
            <v/>
          </cell>
        </row>
        <row r="5624">
          <cell r="A5624">
            <v>31102192</v>
          </cell>
          <cell r="C5624">
            <v>31102192</v>
          </cell>
          <cell r="D5624">
            <v>31102192</v>
          </cell>
          <cell r="E5624">
            <v>31102192</v>
          </cell>
          <cell r="F5624">
            <v>31102192</v>
          </cell>
          <cell r="G5624">
            <v>31102192</v>
          </cell>
          <cell r="H5624">
            <v>31102192</v>
          </cell>
          <cell r="I5624" t="str">
            <v/>
          </cell>
          <cell r="J5624" t="str">
            <v/>
          </cell>
          <cell r="K5624" t="str">
            <v/>
          </cell>
          <cell r="L5624" t="str">
            <v/>
          </cell>
          <cell r="M5624" t="str">
            <v/>
          </cell>
        </row>
        <row r="5625">
          <cell r="A5625">
            <v>31102192</v>
          </cell>
          <cell r="C5625">
            <v>31102192</v>
          </cell>
          <cell r="D5625">
            <v>31102192</v>
          </cell>
          <cell r="E5625">
            <v>31102192</v>
          </cell>
          <cell r="F5625">
            <v>31102192</v>
          </cell>
          <cell r="G5625">
            <v>31102192</v>
          </cell>
          <cell r="H5625">
            <v>31102192</v>
          </cell>
          <cell r="I5625" t="str">
            <v/>
          </cell>
          <cell r="J5625" t="str">
            <v/>
          </cell>
          <cell r="K5625" t="str">
            <v/>
          </cell>
          <cell r="L5625" t="str">
            <v/>
          </cell>
          <cell r="M5625" t="str">
            <v/>
          </cell>
        </row>
        <row r="5626">
          <cell r="A5626">
            <v>31102192</v>
          </cell>
          <cell r="C5626">
            <v>31102192</v>
          </cell>
          <cell r="D5626">
            <v>31102192</v>
          </cell>
          <cell r="E5626">
            <v>31102192</v>
          </cell>
          <cell r="F5626">
            <v>31102192</v>
          </cell>
          <cell r="G5626">
            <v>31102192</v>
          </cell>
          <cell r="H5626">
            <v>31102192</v>
          </cell>
          <cell r="I5626" t="str">
            <v/>
          </cell>
          <cell r="J5626" t="str">
            <v/>
          </cell>
          <cell r="K5626" t="str">
            <v/>
          </cell>
          <cell r="L5626" t="str">
            <v/>
          </cell>
          <cell r="M5626" t="str">
            <v/>
          </cell>
        </row>
        <row r="5627">
          <cell r="A5627">
            <v>31102192</v>
          </cell>
          <cell r="C5627">
            <v>31102192</v>
          </cell>
          <cell r="D5627">
            <v>31102192</v>
          </cell>
          <cell r="E5627">
            <v>31102192</v>
          </cell>
          <cell r="F5627">
            <v>31102192</v>
          </cell>
          <cell r="G5627">
            <v>31102192</v>
          </cell>
          <cell r="H5627">
            <v>31102192</v>
          </cell>
          <cell r="I5627" t="str">
            <v/>
          </cell>
          <cell r="J5627" t="str">
            <v/>
          </cell>
          <cell r="K5627" t="str">
            <v/>
          </cell>
          <cell r="L5627" t="str">
            <v/>
          </cell>
          <cell r="M5627" t="str">
            <v/>
          </cell>
        </row>
        <row r="5628">
          <cell r="A5628">
            <v>31102192</v>
          </cell>
          <cell r="C5628">
            <v>31102192</v>
          </cell>
          <cell r="D5628">
            <v>31102192</v>
          </cell>
          <cell r="E5628">
            <v>31102192</v>
          </cell>
          <cell r="F5628">
            <v>31102192</v>
          </cell>
          <cell r="G5628">
            <v>31102192</v>
          </cell>
          <cell r="H5628">
            <v>31102192</v>
          </cell>
          <cell r="I5628" t="str">
            <v/>
          </cell>
          <cell r="J5628" t="str">
            <v/>
          </cell>
          <cell r="K5628" t="str">
            <v/>
          </cell>
          <cell r="L5628" t="str">
            <v/>
          </cell>
          <cell r="M5628" t="str">
            <v/>
          </cell>
        </row>
        <row r="5629">
          <cell r="A5629">
            <v>31102192</v>
          </cell>
          <cell r="C5629">
            <v>31102192</v>
          </cell>
          <cell r="D5629">
            <v>31102192</v>
          </cell>
          <cell r="E5629">
            <v>31102192</v>
          </cell>
          <cell r="F5629">
            <v>31102192</v>
          </cell>
          <cell r="G5629">
            <v>31102192</v>
          </cell>
          <cell r="H5629">
            <v>31102192</v>
          </cell>
          <cell r="I5629" t="str">
            <v/>
          </cell>
          <cell r="J5629" t="str">
            <v/>
          </cell>
          <cell r="K5629" t="str">
            <v/>
          </cell>
          <cell r="L5629" t="str">
            <v/>
          </cell>
          <cell r="M5629" t="str">
            <v/>
          </cell>
        </row>
        <row r="5630">
          <cell r="A5630">
            <v>31102192</v>
          </cell>
          <cell r="C5630">
            <v>31102192</v>
          </cell>
          <cell r="D5630">
            <v>31102192</v>
          </cell>
          <cell r="E5630">
            <v>31102192</v>
          </cell>
          <cell r="F5630">
            <v>31102192</v>
          </cell>
          <cell r="G5630">
            <v>31102192</v>
          </cell>
          <cell r="H5630">
            <v>31102192</v>
          </cell>
          <cell r="I5630" t="str">
            <v/>
          </cell>
          <cell r="J5630" t="str">
            <v/>
          </cell>
          <cell r="K5630" t="str">
            <v/>
          </cell>
          <cell r="L5630" t="str">
            <v/>
          </cell>
          <cell r="M5630" t="str">
            <v/>
          </cell>
        </row>
        <row r="5631">
          <cell r="A5631">
            <v>31102192</v>
          </cell>
          <cell r="C5631">
            <v>31102192</v>
          </cell>
          <cell r="D5631">
            <v>31102192</v>
          </cell>
          <cell r="E5631">
            <v>31102192</v>
          </cell>
          <cell r="F5631">
            <v>31102192</v>
          </cell>
          <cell r="G5631">
            <v>31102192</v>
          </cell>
          <cell r="H5631">
            <v>31102192</v>
          </cell>
          <cell r="I5631" t="str">
            <v/>
          </cell>
          <cell r="J5631" t="str">
            <v/>
          </cell>
          <cell r="K5631" t="str">
            <v/>
          </cell>
          <cell r="L5631" t="str">
            <v/>
          </cell>
          <cell r="M5631" t="str">
            <v/>
          </cell>
        </row>
        <row r="5632">
          <cell r="A5632">
            <v>31102192</v>
          </cell>
          <cell r="C5632">
            <v>31102192</v>
          </cell>
          <cell r="D5632">
            <v>31102192</v>
          </cell>
          <cell r="E5632">
            <v>31102192</v>
          </cell>
          <cell r="F5632">
            <v>31102192</v>
          </cell>
          <cell r="G5632">
            <v>31102192</v>
          </cell>
          <cell r="H5632">
            <v>31102192</v>
          </cell>
          <cell r="I5632" t="str">
            <v/>
          </cell>
          <cell r="J5632" t="str">
            <v/>
          </cell>
          <cell r="K5632" t="str">
            <v/>
          </cell>
          <cell r="L5632" t="str">
            <v/>
          </cell>
          <cell r="M5632" t="str">
            <v/>
          </cell>
        </row>
        <row r="5633">
          <cell r="A5633">
            <v>31102192</v>
          </cell>
          <cell r="C5633">
            <v>31102192</v>
          </cell>
          <cell r="D5633">
            <v>31102192</v>
          </cell>
          <cell r="E5633">
            <v>31102192</v>
          </cell>
          <cell r="F5633">
            <v>31102192</v>
          </cell>
          <cell r="G5633">
            <v>31102192</v>
          </cell>
          <cell r="H5633">
            <v>31102192</v>
          </cell>
          <cell r="I5633" t="str">
            <v/>
          </cell>
          <cell r="J5633" t="str">
            <v/>
          </cell>
          <cell r="K5633" t="str">
            <v/>
          </cell>
          <cell r="L5633" t="str">
            <v/>
          </cell>
          <cell r="M5633" t="str">
            <v/>
          </cell>
        </row>
        <row r="5634">
          <cell r="A5634">
            <v>31102192</v>
          </cell>
          <cell r="C5634">
            <v>31102192</v>
          </cell>
          <cell r="D5634">
            <v>31102192</v>
          </cell>
          <cell r="E5634">
            <v>31102192</v>
          </cell>
          <cell r="F5634">
            <v>31102192</v>
          </cell>
          <cell r="G5634">
            <v>31102192</v>
          </cell>
          <cell r="H5634">
            <v>31102192</v>
          </cell>
          <cell r="I5634" t="str">
            <v/>
          </cell>
          <cell r="J5634" t="str">
            <v/>
          </cell>
          <cell r="K5634" t="str">
            <v/>
          </cell>
          <cell r="L5634" t="str">
            <v/>
          </cell>
          <cell r="M5634" t="str">
            <v/>
          </cell>
        </row>
        <row r="5635">
          <cell r="A5635">
            <v>31102192</v>
          </cell>
          <cell r="C5635">
            <v>31102192</v>
          </cell>
          <cell r="D5635">
            <v>31102192</v>
          </cell>
          <cell r="E5635">
            <v>31102192</v>
          </cell>
          <cell r="F5635">
            <v>31102192</v>
          </cell>
          <cell r="G5635">
            <v>31102192</v>
          </cell>
          <cell r="H5635">
            <v>31102192</v>
          </cell>
          <cell r="I5635" t="str">
            <v/>
          </cell>
          <cell r="J5635" t="str">
            <v/>
          </cell>
          <cell r="K5635" t="str">
            <v/>
          </cell>
          <cell r="L5635" t="str">
            <v/>
          </cell>
          <cell r="M5635" t="str">
            <v/>
          </cell>
        </row>
        <row r="5636">
          <cell r="A5636">
            <v>31102192</v>
          </cell>
          <cell r="C5636">
            <v>31102192</v>
          </cell>
          <cell r="D5636">
            <v>31102192</v>
          </cell>
          <cell r="E5636">
            <v>31102192</v>
          </cell>
          <cell r="F5636">
            <v>31102192</v>
          </cell>
          <cell r="G5636">
            <v>31102192</v>
          </cell>
          <cell r="H5636">
            <v>31102192</v>
          </cell>
          <cell r="I5636" t="str">
            <v/>
          </cell>
          <cell r="J5636" t="str">
            <v/>
          </cell>
          <cell r="K5636" t="str">
            <v/>
          </cell>
          <cell r="L5636" t="str">
            <v/>
          </cell>
          <cell r="M5636" t="str">
            <v/>
          </cell>
        </row>
        <row r="5637">
          <cell r="A5637">
            <v>31102192</v>
          </cell>
          <cell r="C5637">
            <v>31102192</v>
          </cell>
          <cell r="D5637">
            <v>31102192</v>
          </cell>
          <cell r="E5637">
            <v>31102192</v>
          </cell>
          <cell r="F5637">
            <v>31102192</v>
          </cell>
          <cell r="G5637">
            <v>31102192</v>
          </cell>
          <cell r="H5637">
            <v>31102192</v>
          </cell>
          <cell r="I5637" t="str">
            <v/>
          </cell>
          <cell r="J5637" t="str">
            <v/>
          </cell>
          <cell r="K5637" t="str">
            <v/>
          </cell>
          <cell r="L5637" t="str">
            <v/>
          </cell>
          <cell r="M5637" t="str">
            <v/>
          </cell>
        </row>
        <row r="5638">
          <cell r="A5638">
            <v>31102192</v>
          </cell>
          <cell r="C5638">
            <v>31102192</v>
          </cell>
          <cell r="D5638">
            <v>31102192</v>
          </cell>
          <cell r="E5638">
            <v>31102192</v>
          </cell>
          <cell r="F5638">
            <v>31102192</v>
          </cell>
          <cell r="G5638">
            <v>31102192</v>
          </cell>
          <cell r="H5638">
            <v>31102192</v>
          </cell>
          <cell r="I5638" t="str">
            <v/>
          </cell>
          <cell r="J5638" t="str">
            <v/>
          </cell>
          <cell r="K5638" t="str">
            <v/>
          </cell>
          <cell r="L5638" t="str">
            <v/>
          </cell>
          <cell r="M5638" t="str">
            <v/>
          </cell>
        </row>
        <row r="5639">
          <cell r="A5639">
            <v>31102192</v>
          </cell>
          <cell r="C5639">
            <v>31102192</v>
          </cell>
          <cell r="D5639">
            <v>31102192</v>
          </cell>
          <cell r="E5639">
            <v>31102192</v>
          </cell>
          <cell r="F5639">
            <v>31102192</v>
          </cell>
          <cell r="G5639">
            <v>31102192</v>
          </cell>
          <cell r="H5639">
            <v>31102192</v>
          </cell>
          <cell r="I5639" t="str">
            <v/>
          </cell>
          <cell r="J5639" t="str">
            <v/>
          </cell>
          <cell r="K5639" t="str">
            <v/>
          </cell>
          <cell r="L5639" t="str">
            <v/>
          </cell>
          <cell r="M5639" t="str">
            <v/>
          </cell>
        </row>
        <row r="5640">
          <cell r="A5640">
            <v>31102192</v>
          </cell>
          <cell r="C5640">
            <v>31102192</v>
          </cell>
          <cell r="D5640">
            <v>31102192</v>
          </cell>
          <cell r="E5640">
            <v>31102192</v>
          </cell>
          <cell r="F5640">
            <v>31102192</v>
          </cell>
          <cell r="G5640">
            <v>31102192</v>
          </cell>
          <cell r="H5640">
            <v>31102192</v>
          </cell>
          <cell r="I5640" t="str">
            <v/>
          </cell>
          <cell r="J5640" t="str">
            <v/>
          </cell>
          <cell r="K5640" t="str">
            <v/>
          </cell>
          <cell r="L5640" t="str">
            <v/>
          </cell>
          <cell r="M5640" t="str">
            <v/>
          </cell>
        </row>
        <row r="5641">
          <cell r="A5641">
            <v>31102192</v>
          </cell>
          <cell r="C5641">
            <v>31102192</v>
          </cell>
          <cell r="D5641">
            <v>31102192</v>
          </cell>
          <cell r="E5641">
            <v>31102192</v>
          </cell>
          <cell r="F5641">
            <v>31102192</v>
          </cell>
          <cell r="G5641">
            <v>31102192</v>
          </cell>
          <cell r="H5641">
            <v>31102192</v>
          </cell>
          <cell r="I5641" t="str">
            <v/>
          </cell>
          <cell r="J5641" t="str">
            <v/>
          </cell>
          <cell r="K5641" t="str">
            <v/>
          </cell>
          <cell r="L5641" t="str">
            <v/>
          </cell>
          <cell r="M5641" t="str">
            <v/>
          </cell>
        </row>
        <row r="5642">
          <cell r="A5642">
            <v>31102192</v>
          </cell>
          <cell r="C5642">
            <v>31102192</v>
          </cell>
          <cell r="D5642">
            <v>31102192</v>
          </cell>
          <cell r="E5642">
            <v>31102192</v>
          </cell>
          <cell r="F5642">
            <v>31102192</v>
          </cell>
          <cell r="G5642">
            <v>31102192</v>
          </cell>
          <cell r="H5642">
            <v>31102192</v>
          </cell>
          <cell r="I5642" t="str">
            <v/>
          </cell>
          <cell r="J5642" t="str">
            <v/>
          </cell>
          <cell r="K5642" t="str">
            <v/>
          </cell>
          <cell r="L5642" t="str">
            <v/>
          </cell>
          <cell r="M5642" t="str">
            <v/>
          </cell>
        </row>
        <row r="5643">
          <cell r="A5643">
            <v>31102192</v>
          </cell>
          <cell r="C5643">
            <v>31102192</v>
          </cell>
          <cell r="D5643">
            <v>31102192</v>
          </cell>
          <cell r="E5643">
            <v>31102192</v>
          </cell>
          <cell r="F5643">
            <v>31102192</v>
          </cell>
          <cell r="G5643">
            <v>31102192</v>
          </cell>
          <cell r="H5643">
            <v>31102192</v>
          </cell>
          <cell r="I5643" t="str">
            <v/>
          </cell>
          <cell r="J5643" t="str">
            <v/>
          </cell>
          <cell r="K5643" t="str">
            <v/>
          </cell>
          <cell r="L5643" t="str">
            <v/>
          </cell>
          <cell r="M5643" t="str">
            <v/>
          </cell>
        </row>
        <row r="5644">
          <cell r="A5644">
            <v>31102192</v>
          </cell>
          <cell r="C5644">
            <v>31102192</v>
          </cell>
          <cell r="D5644">
            <v>31102192</v>
          </cell>
          <cell r="E5644">
            <v>31102192</v>
          </cell>
          <cell r="F5644">
            <v>31102192</v>
          </cell>
          <cell r="G5644">
            <v>31102192</v>
          </cell>
          <cell r="H5644">
            <v>31102192</v>
          </cell>
          <cell r="I5644" t="str">
            <v/>
          </cell>
          <cell r="J5644" t="str">
            <v/>
          </cell>
          <cell r="K5644" t="str">
            <v/>
          </cell>
          <cell r="L5644" t="str">
            <v/>
          </cell>
          <cell r="M5644" t="str">
            <v/>
          </cell>
        </row>
        <row r="5645">
          <cell r="A5645">
            <v>31102192</v>
          </cell>
          <cell r="C5645">
            <v>31102192</v>
          </cell>
          <cell r="D5645">
            <v>31102192</v>
          </cell>
          <cell r="E5645">
            <v>31102192</v>
          </cell>
          <cell r="F5645">
            <v>31102192</v>
          </cell>
          <cell r="G5645">
            <v>31102192</v>
          </cell>
          <cell r="H5645">
            <v>31102192</v>
          </cell>
          <cell r="I5645" t="str">
            <v/>
          </cell>
          <cell r="J5645" t="str">
            <v/>
          </cell>
          <cell r="K5645" t="str">
            <v/>
          </cell>
          <cell r="L5645" t="str">
            <v/>
          </cell>
          <cell r="M5645" t="str">
            <v/>
          </cell>
        </row>
        <row r="5646">
          <cell r="A5646">
            <v>31102192</v>
          </cell>
          <cell r="C5646">
            <v>31102192</v>
          </cell>
          <cell r="D5646">
            <v>31102192</v>
          </cell>
          <cell r="E5646">
            <v>31102192</v>
          </cell>
          <cell r="F5646">
            <v>31102192</v>
          </cell>
          <cell r="G5646">
            <v>31102192</v>
          </cell>
          <cell r="H5646">
            <v>31102192</v>
          </cell>
          <cell r="I5646" t="str">
            <v/>
          </cell>
          <cell r="J5646" t="str">
            <v/>
          </cell>
          <cell r="K5646" t="str">
            <v/>
          </cell>
          <cell r="L5646" t="str">
            <v/>
          </cell>
          <cell r="M5646" t="str">
            <v/>
          </cell>
        </row>
        <row r="5647">
          <cell r="A5647">
            <v>31102192</v>
          </cell>
          <cell r="C5647">
            <v>31102192</v>
          </cell>
          <cell r="D5647">
            <v>31102192</v>
          </cell>
          <cell r="E5647">
            <v>31102192</v>
          </cell>
          <cell r="F5647">
            <v>31102192</v>
          </cell>
          <cell r="G5647">
            <v>31102192</v>
          </cell>
          <cell r="H5647">
            <v>31102192</v>
          </cell>
          <cell r="I5647" t="str">
            <v/>
          </cell>
          <cell r="J5647" t="str">
            <v/>
          </cell>
          <cell r="K5647" t="str">
            <v/>
          </cell>
          <cell r="L5647" t="str">
            <v/>
          </cell>
          <cell r="M5647" t="str">
            <v/>
          </cell>
        </row>
        <row r="5648">
          <cell r="A5648">
            <v>31102192</v>
          </cell>
          <cell r="C5648">
            <v>31102192</v>
          </cell>
          <cell r="D5648">
            <v>31102192</v>
          </cell>
          <cell r="E5648">
            <v>31102192</v>
          </cell>
          <cell r="F5648">
            <v>31102192</v>
          </cell>
          <cell r="G5648">
            <v>31102192</v>
          </cell>
          <cell r="H5648">
            <v>31102192</v>
          </cell>
          <cell r="I5648" t="str">
            <v/>
          </cell>
          <cell r="J5648" t="str">
            <v/>
          </cell>
          <cell r="K5648" t="str">
            <v/>
          </cell>
          <cell r="L5648" t="str">
            <v/>
          </cell>
          <cell r="M5648" t="str">
            <v/>
          </cell>
        </row>
        <row r="5649">
          <cell r="A5649">
            <v>31102192</v>
          </cell>
          <cell r="C5649">
            <v>31102192</v>
          </cell>
          <cell r="D5649">
            <v>31102192</v>
          </cell>
          <cell r="E5649">
            <v>31102192</v>
          </cell>
          <cell r="F5649">
            <v>31102192</v>
          </cell>
          <cell r="G5649">
            <v>31102192</v>
          </cell>
          <cell r="H5649">
            <v>31102192</v>
          </cell>
          <cell r="I5649" t="str">
            <v/>
          </cell>
          <cell r="J5649" t="str">
            <v/>
          </cell>
          <cell r="K5649" t="str">
            <v/>
          </cell>
          <cell r="L5649" t="str">
            <v/>
          </cell>
          <cell r="M5649" t="str">
            <v/>
          </cell>
        </row>
        <row r="5650">
          <cell r="A5650">
            <v>31102192</v>
          </cell>
          <cell r="C5650">
            <v>31102192</v>
          </cell>
          <cell r="D5650">
            <v>31102192</v>
          </cell>
          <cell r="E5650">
            <v>31102192</v>
          </cell>
          <cell r="F5650">
            <v>31102192</v>
          </cell>
          <cell r="G5650">
            <v>31102192</v>
          </cell>
          <cell r="H5650">
            <v>31102192</v>
          </cell>
          <cell r="I5650" t="str">
            <v/>
          </cell>
          <cell r="J5650" t="str">
            <v/>
          </cell>
          <cell r="K5650" t="str">
            <v/>
          </cell>
          <cell r="L5650" t="str">
            <v/>
          </cell>
          <cell r="M5650" t="str">
            <v/>
          </cell>
        </row>
        <row r="5651">
          <cell r="A5651">
            <v>31102192</v>
          </cell>
          <cell r="C5651">
            <v>31102192</v>
          </cell>
          <cell r="D5651">
            <v>31102192</v>
          </cell>
          <cell r="E5651">
            <v>31102192</v>
          </cell>
          <cell r="F5651">
            <v>31102192</v>
          </cell>
          <cell r="G5651">
            <v>31102192</v>
          </cell>
          <cell r="H5651">
            <v>31102192</v>
          </cell>
          <cell r="I5651" t="str">
            <v/>
          </cell>
          <cell r="J5651" t="str">
            <v/>
          </cell>
          <cell r="K5651" t="str">
            <v/>
          </cell>
          <cell r="L5651" t="str">
            <v/>
          </cell>
          <cell r="M5651" t="str">
            <v/>
          </cell>
        </row>
        <row r="5652">
          <cell r="A5652">
            <v>31102192</v>
          </cell>
          <cell r="C5652">
            <v>31102192</v>
          </cell>
          <cell r="D5652">
            <v>31102192</v>
          </cell>
          <cell r="E5652">
            <v>31102192</v>
          </cell>
          <cell r="F5652">
            <v>31102192</v>
          </cell>
          <cell r="G5652">
            <v>31102192</v>
          </cell>
          <cell r="H5652">
            <v>31102192</v>
          </cell>
          <cell r="I5652" t="str">
            <v/>
          </cell>
          <cell r="J5652" t="str">
            <v/>
          </cell>
          <cell r="K5652" t="str">
            <v/>
          </cell>
          <cell r="L5652" t="str">
            <v/>
          </cell>
          <cell r="M5652" t="str">
            <v/>
          </cell>
        </row>
        <row r="5653">
          <cell r="A5653">
            <v>31102192</v>
          </cell>
          <cell r="C5653">
            <v>31102192</v>
          </cell>
          <cell r="D5653">
            <v>31102192</v>
          </cell>
          <cell r="E5653">
            <v>31102192</v>
          </cell>
          <cell r="F5653">
            <v>31102192</v>
          </cell>
          <cell r="G5653">
            <v>31102192</v>
          </cell>
          <cell r="H5653">
            <v>31102192</v>
          </cell>
          <cell r="I5653" t="str">
            <v/>
          </cell>
          <cell r="J5653" t="str">
            <v/>
          </cell>
          <cell r="K5653" t="str">
            <v/>
          </cell>
          <cell r="L5653" t="str">
            <v/>
          </cell>
          <cell r="M5653" t="str">
            <v/>
          </cell>
        </row>
        <row r="5654">
          <cell r="A5654">
            <v>31102192</v>
          </cell>
          <cell r="C5654">
            <v>31102192</v>
          </cell>
          <cell r="D5654">
            <v>31102192</v>
          </cell>
          <cell r="E5654">
            <v>31102192</v>
          </cell>
          <cell r="F5654">
            <v>31102192</v>
          </cell>
          <cell r="G5654">
            <v>31102192</v>
          </cell>
          <cell r="H5654">
            <v>31102192</v>
          </cell>
          <cell r="I5654" t="str">
            <v/>
          </cell>
          <cell r="J5654" t="str">
            <v/>
          </cell>
          <cell r="K5654" t="str">
            <v/>
          </cell>
          <cell r="L5654" t="str">
            <v/>
          </cell>
          <cell r="M5654" t="str">
            <v/>
          </cell>
        </row>
        <row r="5655">
          <cell r="A5655">
            <v>31102192</v>
          </cell>
          <cell r="C5655">
            <v>31102192</v>
          </cell>
          <cell r="D5655">
            <v>31102192</v>
          </cell>
          <cell r="E5655">
            <v>31102192</v>
          </cell>
          <cell r="F5655">
            <v>31102192</v>
          </cell>
          <cell r="G5655">
            <v>31102192</v>
          </cell>
          <cell r="H5655">
            <v>31102192</v>
          </cell>
          <cell r="I5655" t="str">
            <v/>
          </cell>
          <cell r="J5655" t="str">
            <v/>
          </cell>
          <cell r="K5655" t="str">
            <v/>
          </cell>
          <cell r="L5655" t="str">
            <v/>
          </cell>
          <cell r="M5655" t="str">
            <v/>
          </cell>
        </row>
        <row r="5656">
          <cell r="A5656">
            <v>31102192</v>
          </cell>
          <cell r="C5656">
            <v>31102192</v>
          </cell>
          <cell r="D5656">
            <v>31102192</v>
          </cell>
          <cell r="E5656">
            <v>31102192</v>
          </cell>
          <cell r="F5656">
            <v>31102192</v>
          </cell>
          <cell r="G5656">
            <v>31102192</v>
          </cell>
          <cell r="H5656">
            <v>31102192</v>
          </cell>
          <cell r="I5656" t="str">
            <v/>
          </cell>
          <cell r="J5656" t="str">
            <v/>
          </cell>
          <cell r="K5656" t="str">
            <v/>
          </cell>
          <cell r="L5656" t="str">
            <v/>
          </cell>
          <cell r="M5656" t="str">
            <v/>
          </cell>
        </row>
        <row r="5657">
          <cell r="A5657">
            <v>31102192</v>
          </cell>
          <cell r="C5657">
            <v>31102192</v>
          </cell>
          <cell r="D5657">
            <v>31102192</v>
          </cell>
          <cell r="E5657">
            <v>31102192</v>
          </cell>
          <cell r="F5657">
            <v>31102192</v>
          </cell>
          <cell r="G5657">
            <v>31102192</v>
          </cell>
          <cell r="H5657">
            <v>31102192</v>
          </cell>
          <cell r="I5657" t="str">
            <v/>
          </cell>
          <cell r="J5657" t="str">
            <v/>
          </cell>
          <cell r="K5657" t="str">
            <v/>
          </cell>
          <cell r="L5657" t="str">
            <v/>
          </cell>
          <cell r="M5657" t="str">
            <v/>
          </cell>
        </row>
        <row r="5658">
          <cell r="A5658">
            <v>31102192</v>
          </cell>
          <cell r="C5658">
            <v>31102192</v>
          </cell>
          <cell r="D5658">
            <v>31102192</v>
          </cell>
          <cell r="E5658">
            <v>31102192</v>
          </cell>
          <cell r="F5658">
            <v>31102192</v>
          </cell>
          <cell r="G5658">
            <v>31102192</v>
          </cell>
          <cell r="H5658">
            <v>31102192</v>
          </cell>
          <cell r="I5658" t="str">
            <v/>
          </cell>
          <cell r="J5658" t="str">
            <v/>
          </cell>
          <cell r="K5658" t="str">
            <v/>
          </cell>
          <cell r="L5658" t="str">
            <v/>
          </cell>
          <cell r="M5658" t="str">
            <v/>
          </cell>
        </row>
        <row r="5659">
          <cell r="A5659">
            <v>31102192</v>
          </cell>
          <cell r="C5659">
            <v>31102192</v>
          </cell>
          <cell r="D5659">
            <v>31102192</v>
          </cell>
          <cell r="E5659">
            <v>31102192</v>
          </cell>
          <cell r="F5659">
            <v>31102192</v>
          </cell>
          <cell r="G5659">
            <v>31102192</v>
          </cell>
          <cell r="H5659">
            <v>31102192</v>
          </cell>
          <cell r="I5659" t="str">
            <v/>
          </cell>
          <cell r="J5659" t="str">
            <v/>
          </cell>
          <cell r="K5659" t="str">
            <v/>
          </cell>
          <cell r="L5659" t="str">
            <v/>
          </cell>
          <cell r="M5659" t="str">
            <v/>
          </cell>
        </row>
        <row r="5660">
          <cell r="A5660">
            <v>31102192</v>
          </cell>
          <cell r="C5660">
            <v>31102192</v>
          </cell>
          <cell r="D5660">
            <v>31102192</v>
          </cell>
          <cell r="E5660">
            <v>31102192</v>
          </cell>
          <cell r="F5660">
            <v>31102192</v>
          </cell>
          <cell r="G5660">
            <v>31102192</v>
          </cell>
          <cell r="H5660">
            <v>31102192</v>
          </cell>
          <cell r="I5660" t="str">
            <v/>
          </cell>
          <cell r="J5660" t="str">
            <v/>
          </cell>
          <cell r="K5660" t="str">
            <v/>
          </cell>
          <cell r="L5660" t="str">
            <v/>
          </cell>
          <cell r="M5660" t="str">
            <v/>
          </cell>
        </row>
        <row r="5661">
          <cell r="A5661">
            <v>31102192</v>
          </cell>
          <cell r="C5661">
            <v>31102192</v>
          </cell>
          <cell r="D5661">
            <v>31102192</v>
          </cell>
          <cell r="E5661">
            <v>31102192</v>
          </cell>
          <cell r="F5661">
            <v>31102192</v>
          </cell>
          <cell r="G5661">
            <v>31102192</v>
          </cell>
          <cell r="H5661">
            <v>31102192</v>
          </cell>
          <cell r="I5661" t="str">
            <v/>
          </cell>
          <cell r="J5661" t="str">
            <v/>
          </cell>
          <cell r="K5661" t="str">
            <v/>
          </cell>
          <cell r="L5661" t="str">
            <v/>
          </cell>
          <cell r="M5661" t="str">
            <v/>
          </cell>
        </row>
        <row r="5662">
          <cell r="A5662">
            <v>31102192</v>
          </cell>
          <cell r="C5662">
            <v>31102192</v>
          </cell>
          <cell r="D5662">
            <v>31102192</v>
          </cell>
          <cell r="E5662">
            <v>31102192</v>
          </cell>
          <cell r="F5662">
            <v>31102192</v>
          </cell>
          <cell r="G5662">
            <v>31102192</v>
          </cell>
          <cell r="H5662">
            <v>31102192</v>
          </cell>
          <cell r="I5662" t="str">
            <v/>
          </cell>
          <cell r="J5662" t="str">
            <v/>
          </cell>
          <cell r="K5662" t="str">
            <v/>
          </cell>
          <cell r="L5662" t="str">
            <v/>
          </cell>
          <cell r="M5662" t="str">
            <v/>
          </cell>
        </row>
        <row r="5663">
          <cell r="A5663">
            <v>31102192</v>
          </cell>
          <cell r="C5663">
            <v>31102192</v>
          </cell>
          <cell r="D5663">
            <v>31102192</v>
          </cell>
          <cell r="E5663">
            <v>31102192</v>
          </cell>
          <cell r="F5663">
            <v>31102192</v>
          </cell>
          <cell r="G5663">
            <v>31102192</v>
          </cell>
          <cell r="H5663">
            <v>31102192</v>
          </cell>
          <cell r="I5663" t="str">
            <v/>
          </cell>
          <cell r="J5663" t="str">
            <v/>
          </cell>
          <cell r="K5663" t="str">
            <v/>
          </cell>
          <cell r="L5663" t="str">
            <v/>
          </cell>
          <cell r="M5663" t="str">
            <v/>
          </cell>
        </row>
        <row r="5664">
          <cell r="A5664">
            <v>31102192</v>
          </cell>
          <cell r="C5664">
            <v>31102192</v>
          </cell>
          <cell r="D5664">
            <v>31102192</v>
          </cell>
          <cell r="E5664">
            <v>31102192</v>
          </cell>
          <cell r="F5664">
            <v>31102192</v>
          </cell>
          <cell r="G5664">
            <v>31102192</v>
          </cell>
          <cell r="H5664">
            <v>31102192</v>
          </cell>
          <cell r="I5664" t="str">
            <v/>
          </cell>
          <cell r="J5664" t="str">
            <v/>
          </cell>
          <cell r="K5664" t="str">
            <v/>
          </cell>
          <cell r="L5664" t="str">
            <v/>
          </cell>
          <cell r="M5664" t="str">
            <v/>
          </cell>
        </row>
        <row r="5665">
          <cell r="A5665">
            <v>31102192</v>
          </cell>
          <cell r="C5665">
            <v>31102192</v>
          </cell>
          <cell r="D5665">
            <v>31102192</v>
          </cell>
          <cell r="E5665">
            <v>31102192</v>
          </cell>
          <cell r="F5665">
            <v>31102192</v>
          </cell>
          <cell r="G5665">
            <v>31102192</v>
          </cell>
          <cell r="H5665">
            <v>31102192</v>
          </cell>
          <cell r="I5665" t="str">
            <v/>
          </cell>
          <cell r="J5665" t="str">
            <v/>
          </cell>
          <cell r="K5665" t="str">
            <v/>
          </cell>
          <cell r="L5665" t="str">
            <v/>
          </cell>
          <cell r="M5665" t="str">
            <v/>
          </cell>
        </row>
        <row r="5666">
          <cell r="A5666">
            <v>31102192</v>
          </cell>
          <cell r="C5666">
            <v>31102192</v>
          </cell>
          <cell r="D5666">
            <v>31102192</v>
          </cell>
          <cell r="E5666">
            <v>31102192</v>
          </cell>
          <cell r="F5666">
            <v>31102192</v>
          </cell>
          <cell r="G5666">
            <v>31102192</v>
          </cell>
          <cell r="H5666">
            <v>31102192</v>
          </cell>
          <cell r="I5666" t="str">
            <v/>
          </cell>
          <cell r="J5666" t="str">
            <v/>
          </cell>
          <cell r="K5666" t="str">
            <v/>
          </cell>
          <cell r="L5666" t="str">
            <v/>
          </cell>
          <cell r="M5666" t="str">
            <v/>
          </cell>
        </row>
        <row r="5667">
          <cell r="A5667">
            <v>31102192</v>
          </cell>
          <cell r="C5667">
            <v>31102192</v>
          </cell>
          <cell r="D5667">
            <v>31102192</v>
          </cell>
          <cell r="E5667">
            <v>31102192</v>
          </cell>
          <cell r="F5667">
            <v>31102192</v>
          </cell>
          <cell r="G5667">
            <v>31102192</v>
          </cell>
          <cell r="H5667">
            <v>31102192</v>
          </cell>
          <cell r="I5667" t="str">
            <v/>
          </cell>
          <cell r="J5667" t="str">
            <v/>
          </cell>
          <cell r="K5667" t="str">
            <v/>
          </cell>
          <cell r="L5667" t="str">
            <v/>
          </cell>
          <cell r="M5667" t="str">
            <v/>
          </cell>
        </row>
        <row r="5668">
          <cell r="A5668">
            <v>31102192</v>
          </cell>
          <cell r="C5668">
            <v>31102192</v>
          </cell>
          <cell r="D5668">
            <v>31102192</v>
          </cell>
          <cell r="E5668">
            <v>31102192</v>
          </cell>
          <cell r="F5668">
            <v>31102192</v>
          </cell>
          <cell r="G5668">
            <v>31102192</v>
          </cell>
          <cell r="H5668">
            <v>31102192</v>
          </cell>
          <cell r="I5668" t="str">
            <v/>
          </cell>
          <cell r="J5668" t="str">
            <v/>
          </cell>
          <cell r="K5668" t="str">
            <v/>
          </cell>
          <cell r="L5668" t="str">
            <v/>
          </cell>
          <cell r="M5668" t="str">
            <v/>
          </cell>
        </row>
        <row r="5669">
          <cell r="A5669">
            <v>31102192</v>
          </cell>
          <cell r="C5669">
            <v>31102192</v>
          </cell>
          <cell r="D5669">
            <v>31102192</v>
          </cell>
          <cell r="E5669">
            <v>31102192</v>
          </cell>
          <cell r="F5669">
            <v>31102192</v>
          </cell>
          <cell r="G5669">
            <v>31102192</v>
          </cell>
          <cell r="H5669">
            <v>31102192</v>
          </cell>
          <cell r="I5669" t="str">
            <v/>
          </cell>
          <cell r="J5669" t="str">
            <v/>
          </cell>
          <cell r="K5669" t="str">
            <v/>
          </cell>
          <cell r="L5669" t="str">
            <v/>
          </cell>
          <cell r="M5669" t="str">
            <v/>
          </cell>
        </row>
        <row r="5670">
          <cell r="A5670">
            <v>31102192</v>
          </cell>
          <cell r="C5670">
            <v>31102192</v>
          </cell>
          <cell r="D5670">
            <v>31102192</v>
          </cell>
          <cell r="E5670">
            <v>31102192</v>
          </cell>
          <cell r="F5670">
            <v>31102192</v>
          </cell>
          <cell r="G5670">
            <v>31102192</v>
          </cell>
          <cell r="H5670">
            <v>31102192</v>
          </cell>
          <cell r="I5670" t="str">
            <v/>
          </cell>
          <cell r="J5670" t="str">
            <v/>
          </cell>
          <cell r="K5670" t="str">
            <v/>
          </cell>
          <cell r="L5670" t="str">
            <v/>
          </cell>
          <cell r="M5670" t="str">
            <v/>
          </cell>
        </row>
        <row r="5671">
          <cell r="A5671">
            <v>31102192</v>
          </cell>
          <cell r="C5671">
            <v>31102192</v>
          </cell>
          <cell r="D5671">
            <v>31102192</v>
          </cell>
          <cell r="E5671">
            <v>31102192</v>
          </cell>
          <cell r="F5671">
            <v>31102192</v>
          </cell>
          <cell r="G5671">
            <v>31102192</v>
          </cell>
          <cell r="H5671">
            <v>31102192</v>
          </cell>
          <cell r="I5671" t="str">
            <v/>
          </cell>
          <cell r="J5671" t="str">
            <v/>
          </cell>
          <cell r="K5671" t="str">
            <v/>
          </cell>
          <cell r="L5671" t="str">
            <v/>
          </cell>
          <cell r="M5671" t="str">
            <v/>
          </cell>
        </row>
        <row r="5672">
          <cell r="A5672">
            <v>31102192</v>
          </cell>
          <cell r="C5672">
            <v>31102192</v>
          </cell>
          <cell r="D5672">
            <v>31102192</v>
          </cell>
          <cell r="E5672">
            <v>31102192</v>
          </cell>
          <cell r="F5672">
            <v>31102192</v>
          </cell>
          <cell r="G5672">
            <v>31102192</v>
          </cell>
          <cell r="H5672">
            <v>31102192</v>
          </cell>
          <cell r="I5672" t="str">
            <v/>
          </cell>
          <cell r="J5672" t="str">
            <v/>
          </cell>
          <cell r="K5672" t="str">
            <v/>
          </cell>
          <cell r="L5672" t="str">
            <v/>
          </cell>
          <cell r="M5672" t="str">
            <v/>
          </cell>
        </row>
        <row r="5673">
          <cell r="A5673">
            <v>31102192</v>
          </cell>
          <cell r="C5673">
            <v>31102192</v>
          </cell>
          <cell r="D5673">
            <v>31102192</v>
          </cell>
          <cell r="E5673">
            <v>31102192</v>
          </cell>
          <cell r="F5673">
            <v>31102192</v>
          </cell>
          <cell r="G5673">
            <v>31102192</v>
          </cell>
          <cell r="H5673">
            <v>31102192</v>
          </cell>
          <cell r="I5673" t="str">
            <v/>
          </cell>
          <cell r="J5673" t="str">
            <v/>
          </cell>
          <cell r="K5673" t="str">
            <v/>
          </cell>
          <cell r="L5673" t="str">
            <v/>
          </cell>
          <cell r="M5673" t="str">
            <v/>
          </cell>
        </row>
        <row r="5674">
          <cell r="A5674">
            <v>31102192</v>
          </cell>
          <cell r="C5674">
            <v>31102192</v>
          </cell>
          <cell r="D5674">
            <v>31102192</v>
          </cell>
          <cell r="E5674">
            <v>31102192</v>
          </cell>
          <cell r="F5674">
            <v>31102192</v>
          </cell>
          <cell r="G5674">
            <v>31102192</v>
          </cell>
          <cell r="H5674">
            <v>31102192</v>
          </cell>
          <cell r="I5674" t="str">
            <v/>
          </cell>
          <cell r="J5674" t="str">
            <v/>
          </cell>
          <cell r="K5674" t="str">
            <v/>
          </cell>
          <cell r="L5674" t="str">
            <v/>
          </cell>
          <cell r="M5674" t="str">
            <v/>
          </cell>
        </row>
        <row r="5675">
          <cell r="A5675">
            <v>31102192</v>
          </cell>
          <cell r="C5675">
            <v>31102192</v>
          </cell>
          <cell r="D5675">
            <v>31102192</v>
          </cell>
          <cell r="E5675">
            <v>31102192</v>
          </cell>
          <cell r="F5675">
            <v>31102192</v>
          </cell>
          <cell r="G5675">
            <v>31102192</v>
          </cell>
          <cell r="H5675">
            <v>31102192</v>
          </cell>
          <cell r="I5675" t="str">
            <v/>
          </cell>
          <cell r="J5675" t="str">
            <v/>
          </cell>
          <cell r="K5675" t="str">
            <v/>
          </cell>
          <cell r="L5675" t="str">
            <v/>
          </cell>
          <cell r="M5675" t="str">
            <v/>
          </cell>
        </row>
        <row r="5676">
          <cell r="A5676">
            <v>31102192</v>
          </cell>
          <cell r="C5676">
            <v>31102192</v>
          </cell>
          <cell r="D5676">
            <v>31102192</v>
          </cell>
          <cell r="E5676">
            <v>31102192</v>
          </cell>
          <cell r="F5676">
            <v>31102192</v>
          </cell>
          <cell r="G5676">
            <v>31102192</v>
          </cell>
          <cell r="H5676">
            <v>31102192</v>
          </cell>
          <cell r="I5676" t="str">
            <v/>
          </cell>
          <cell r="J5676" t="str">
            <v/>
          </cell>
          <cell r="K5676" t="str">
            <v/>
          </cell>
          <cell r="L5676" t="str">
            <v/>
          </cell>
          <cell r="M5676" t="str">
            <v/>
          </cell>
        </row>
        <row r="5677">
          <cell r="A5677">
            <v>31102192</v>
          </cell>
          <cell r="C5677">
            <v>31102192</v>
          </cell>
          <cell r="D5677">
            <v>31102192</v>
          </cell>
          <cell r="E5677">
            <v>31102192</v>
          </cell>
          <cell r="F5677">
            <v>31102192</v>
          </cell>
          <cell r="G5677">
            <v>31102192</v>
          </cell>
          <cell r="H5677">
            <v>31102192</v>
          </cell>
          <cell r="I5677" t="str">
            <v/>
          </cell>
          <cell r="J5677" t="str">
            <v/>
          </cell>
          <cell r="K5677" t="str">
            <v/>
          </cell>
          <cell r="L5677" t="str">
            <v/>
          </cell>
          <cell r="M5677" t="str">
            <v/>
          </cell>
        </row>
        <row r="5678">
          <cell r="A5678">
            <v>31102192</v>
          </cell>
          <cell r="C5678">
            <v>31102192</v>
          </cell>
          <cell r="D5678">
            <v>31102192</v>
          </cell>
          <cell r="E5678">
            <v>31102192</v>
          </cell>
          <cell r="F5678">
            <v>31102192</v>
          </cell>
          <cell r="G5678">
            <v>31102192</v>
          </cell>
          <cell r="H5678">
            <v>31102192</v>
          </cell>
          <cell r="I5678" t="str">
            <v/>
          </cell>
          <cell r="J5678" t="str">
            <v/>
          </cell>
          <cell r="K5678" t="str">
            <v/>
          </cell>
          <cell r="L5678" t="str">
            <v/>
          </cell>
          <cell r="M5678" t="str">
            <v/>
          </cell>
        </row>
        <row r="5679">
          <cell r="A5679">
            <v>31102192</v>
          </cell>
          <cell r="C5679">
            <v>31102192</v>
          </cell>
          <cell r="D5679">
            <v>31102192</v>
          </cell>
          <cell r="E5679">
            <v>31102192</v>
          </cell>
          <cell r="F5679">
            <v>31102192</v>
          </cell>
          <cell r="G5679">
            <v>31102192</v>
          </cell>
          <cell r="H5679">
            <v>31102192</v>
          </cell>
          <cell r="I5679" t="str">
            <v/>
          </cell>
          <cell r="J5679" t="str">
            <v/>
          </cell>
          <cell r="K5679" t="str">
            <v/>
          </cell>
          <cell r="L5679" t="str">
            <v/>
          </cell>
          <cell r="M5679" t="str">
            <v/>
          </cell>
        </row>
        <row r="5680">
          <cell r="A5680">
            <v>31102192</v>
          </cell>
          <cell r="C5680">
            <v>31102192</v>
          </cell>
          <cell r="D5680">
            <v>31102192</v>
          </cell>
          <cell r="E5680">
            <v>31102192</v>
          </cell>
          <cell r="F5680">
            <v>31102192</v>
          </cell>
          <cell r="G5680">
            <v>31102192</v>
          </cell>
          <cell r="H5680">
            <v>31102192</v>
          </cell>
          <cell r="I5680" t="str">
            <v/>
          </cell>
          <cell r="J5680" t="str">
            <v/>
          </cell>
          <cell r="K5680" t="str">
            <v/>
          </cell>
          <cell r="L5680" t="str">
            <v/>
          </cell>
          <cell r="M5680" t="str">
            <v/>
          </cell>
        </row>
        <row r="5681">
          <cell r="A5681">
            <v>31102192</v>
          </cell>
          <cell r="C5681">
            <v>31102192</v>
          </cell>
          <cell r="D5681">
            <v>31102192</v>
          </cell>
          <cell r="E5681">
            <v>31102192</v>
          </cell>
          <cell r="F5681">
            <v>31102192</v>
          </cell>
          <cell r="G5681">
            <v>31102192</v>
          </cell>
          <cell r="H5681">
            <v>31102192</v>
          </cell>
          <cell r="I5681" t="str">
            <v/>
          </cell>
          <cell r="J5681" t="str">
            <v/>
          </cell>
          <cell r="K5681" t="str">
            <v/>
          </cell>
          <cell r="L5681" t="str">
            <v/>
          </cell>
          <cell r="M5681" t="str">
            <v/>
          </cell>
        </row>
        <row r="5682">
          <cell r="A5682">
            <v>31102192</v>
          </cell>
          <cell r="C5682">
            <v>31102192</v>
          </cell>
          <cell r="D5682">
            <v>31102192</v>
          </cell>
          <cell r="E5682">
            <v>31102192</v>
          </cell>
          <cell r="F5682">
            <v>31102192</v>
          </cell>
          <cell r="G5682">
            <v>31102192</v>
          </cell>
          <cell r="H5682">
            <v>31102192</v>
          </cell>
          <cell r="I5682" t="str">
            <v/>
          </cell>
          <cell r="J5682" t="str">
            <v/>
          </cell>
          <cell r="K5682" t="str">
            <v/>
          </cell>
          <cell r="L5682" t="str">
            <v/>
          </cell>
          <cell r="M5682" t="str">
            <v/>
          </cell>
        </row>
        <row r="5683">
          <cell r="A5683">
            <v>31102192</v>
          </cell>
          <cell r="C5683">
            <v>31102192</v>
          </cell>
          <cell r="D5683">
            <v>31102192</v>
          </cell>
          <cell r="E5683">
            <v>31102192</v>
          </cell>
          <cell r="F5683">
            <v>31102192</v>
          </cell>
          <cell r="G5683">
            <v>31102192</v>
          </cell>
          <cell r="H5683">
            <v>31102192</v>
          </cell>
          <cell r="I5683" t="str">
            <v/>
          </cell>
          <cell r="J5683" t="str">
            <v/>
          </cell>
          <cell r="K5683" t="str">
            <v/>
          </cell>
          <cell r="L5683" t="str">
            <v/>
          </cell>
          <cell r="M5683" t="str">
            <v/>
          </cell>
        </row>
        <row r="5684">
          <cell r="A5684">
            <v>31102192</v>
          </cell>
          <cell r="C5684">
            <v>31102192</v>
          </cell>
          <cell r="D5684">
            <v>31102192</v>
          </cell>
          <cell r="E5684">
            <v>31102192</v>
          </cell>
          <cell r="F5684">
            <v>31102192</v>
          </cell>
          <cell r="G5684">
            <v>31102192</v>
          </cell>
          <cell r="H5684">
            <v>31102192</v>
          </cell>
          <cell r="I5684" t="str">
            <v/>
          </cell>
          <cell r="J5684" t="str">
            <v/>
          </cell>
          <cell r="K5684" t="str">
            <v/>
          </cell>
          <cell r="L5684" t="str">
            <v/>
          </cell>
          <cell r="M5684" t="str">
            <v/>
          </cell>
        </row>
        <row r="5685">
          <cell r="A5685">
            <v>31102192</v>
          </cell>
          <cell r="C5685">
            <v>31102192</v>
          </cell>
          <cell r="D5685">
            <v>31102192</v>
          </cell>
          <cell r="E5685">
            <v>31102192</v>
          </cell>
          <cell r="F5685">
            <v>31102192</v>
          </cell>
          <cell r="G5685">
            <v>31102192</v>
          </cell>
          <cell r="H5685">
            <v>31102192</v>
          </cell>
          <cell r="I5685" t="str">
            <v/>
          </cell>
          <cell r="J5685" t="str">
            <v/>
          </cell>
          <cell r="K5685" t="str">
            <v/>
          </cell>
          <cell r="L5685" t="str">
            <v/>
          </cell>
          <cell r="M5685" t="str">
            <v/>
          </cell>
        </row>
        <row r="5686">
          <cell r="A5686">
            <v>31102192</v>
          </cell>
          <cell r="C5686">
            <v>31102192</v>
          </cell>
          <cell r="D5686">
            <v>31102192</v>
          </cell>
          <cell r="E5686">
            <v>31102192</v>
          </cell>
          <cell r="F5686">
            <v>31102192</v>
          </cell>
          <cell r="G5686">
            <v>31102192</v>
          </cell>
          <cell r="H5686">
            <v>31102192</v>
          </cell>
          <cell r="I5686" t="str">
            <v/>
          </cell>
          <cell r="J5686" t="str">
            <v/>
          </cell>
          <cell r="K5686" t="str">
            <v/>
          </cell>
          <cell r="L5686" t="str">
            <v/>
          </cell>
          <cell r="M5686" t="str">
            <v/>
          </cell>
        </row>
        <row r="5687">
          <cell r="A5687">
            <v>31102192</v>
          </cell>
          <cell r="C5687">
            <v>31102192</v>
          </cell>
          <cell r="D5687">
            <v>31102192</v>
          </cell>
          <cell r="E5687">
            <v>31102192</v>
          </cell>
          <cell r="F5687">
            <v>31102192</v>
          </cell>
          <cell r="G5687">
            <v>31102192</v>
          </cell>
          <cell r="H5687">
            <v>31102192</v>
          </cell>
          <cell r="I5687" t="str">
            <v/>
          </cell>
          <cell r="J5687" t="str">
            <v/>
          </cell>
          <cell r="K5687" t="str">
            <v/>
          </cell>
          <cell r="L5687" t="str">
            <v/>
          </cell>
          <cell r="M5687" t="str">
            <v/>
          </cell>
        </row>
        <row r="5688">
          <cell r="A5688">
            <v>31102192</v>
          </cell>
          <cell r="C5688">
            <v>31102192</v>
          </cell>
          <cell r="D5688">
            <v>31102192</v>
          </cell>
          <cell r="E5688">
            <v>31102192</v>
          </cell>
          <cell r="F5688">
            <v>31102192</v>
          </cell>
          <cell r="G5688">
            <v>31102192</v>
          </cell>
          <cell r="H5688">
            <v>31102192</v>
          </cell>
          <cell r="I5688" t="str">
            <v/>
          </cell>
          <cell r="J5688" t="str">
            <v/>
          </cell>
          <cell r="K5688" t="str">
            <v/>
          </cell>
          <cell r="L5688" t="str">
            <v/>
          </cell>
          <cell r="M5688" t="str">
            <v/>
          </cell>
        </row>
        <row r="5689">
          <cell r="A5689">
            <v>31102192</v>
          </cell>
          <cell r="C5689">
            <v>31102192</v>
          </cell>
          <cell r="D5689">
            <v>31102192</v>
          </cell>
          <cell r="E5689">
            <v>31102192</v>
          </cell>
          <cell r="F5689">
            <v>31102192</v>
          </cell>
          <cell r="G5689">
            <v>31102192</v>
          </cell>
          <cell r="H5689">
            <v>31102192</v>
          </cell>
          <cell r="I5689" t="str">
            <v/>
          </cell>
          <cell r="J5689" t="str">
            <v/>
          </cell>
          <cell r="K5689" t="str">
            <v/>
          </cell>
          <cell r="L5689" t="str">
            <v/>
          </cell>
          <cell r="M5689" t="str">
            <v/>
          </cell>
        </row>
        <row r="5690">
          <cell r="A5690">
            <v>31102192</v>
          </cell>
          <cell r="C5690">
            <v>31102192</v>
          </cell>
          <cell r="D5690">
            <v>31102192</v>
          </cell>
          <cell r="E5690">
            <v>31102192</v>
          </cell>
          <cell r="F5690">
            <v>31102192</v>
          </cell>
          <cell r="G5690">
            <v>31102192</v>
          </cell>
          <cell r="H5690">
            <v>31102192</v>
          </cell>
          <cell r="I5690" t="str">
            <v/>
          </cell>
          <cell r="J5690" t="str">
            <v/>
          </cell>
          <cell r="K5690" t="str">
            <v/>
          </cell>
          <cell r="L5690" t="str">
            <v/>
          </cell>
          <cell r="M5690" t="str">
            <v/>
          </cell>
        </row>
        <row r="5691">
          <cell r="A5691">
            <v>31102192</v>
          </cell>
          <cell r="C5691">
            <v>31102192</v>
          </cell>
          <cell r="D5691">
            <v>31102192</v>
          </cell>
          <cell r="E5691">
            <v>31102192</v>
          </cell>
          <cell r="F5691">
            <v>31102192</v>
          </cell>
          <cell r="G5691">
            <v>31102192</v>
          </cell>
          <cell r="H5691">
            <v>31102192</v>
          </cell>
          <cell r="I5691" t="str">
            <v/>
          </cell>
          <cell r="J5691" t="str">
            <v/>
          </cell>
          <cell r="K5691" t="str">
            <v/>
          </cell>
          <cell r="L5691" t="str">
            <v/>
          </cell>
          <cell r="M5691" t="str">
            <v/>
          </cell>
        </row>
        <row r="5692">
          <cell r="A5692">
            <v>31102192</v>
          </cell>
          <cell r="C5692">
            <v>31102192</v>
          </cell>
          <cell r="D5692">
            <v>31102192</v>
          </cell>
          <cell r="E5692">
            <v>31102192</v>
          </cell>
          <cell r="F5692">
            <v>31102192</v>
          </cell>
          <cell r="G5692">
            <v>31102192</v>
          </cell>
          <cell r="H5692">
            <v>31102192</v>
          </cell>
          <cell r="I5692" t="str">
            <v/>
          </cell>
          <cell r="J5692" t="str">
            <v/>
          </cell>
          <cell r="K5692" t="str">
            <v/>
          </cell>
          <cell r="L5692" t="str">
            <v/>
          </cell>
          <cell r="M5692" t="str">
            <v/>
          </cell>
        </row>
        <row r="5693">
          <cell r="A5693">
            <v>31102192</v>
          </cell>
          <cell r="C5693">
            <v>31102192</v>
          </cell>
          <cell r="D5693">
            <v>31102192</v>
          </cell>
          <cell r="E5693">
            <v>31102192</v>
          </cell>
          <cell r="F5693">
            <v>31102192</v>
          </cell>
          <cell r="G5693">
            <v>31102192</v>
          </cell>
          <cell r="H5693">
            <v>31102192</v>
          </cell>
          <cell r="I5693" t="str">
            <v/>
          </cell>
          <cell r="J5693" t="str">
            <v/>
          </cell>
          <cell r="K5693" t="str">
            <v/>
          </cell>
          <cell r="L5693" t="str">
            <v/>
          </cell>
          <cell r="M5693" t="str">
            <v/>
          </cell>
        </row>
        <row r="5694">
          <cell r="A5694">
            <v>31102192</v>
          </cell>
          <cell r="C5694">
            <v>31102192</v>
          </cell>
          <cell r="D5694">
            <v>31102192</v>
          </cell>
          <cell r="E5694">
            <v>31102192</v>
          </cell>
          <cell r="F5694">
            <v>31102192</v>
          </cell>
          <cell r="G5694">
            <v>31102192</v>
          </cell>
          <cell r="H5694">
            <v>31102192</v>
          </cell>
          <cell r="I5694" t="str">
            <v/>
          </cell>
          <cell r="J5694" t="str">
            <v/>
          </cell>
          <cell r="K5694" t="str">
            <v/>
          </cell>
          <cell r="L5694" t="str">
            <v/>
          </cell>
          <cell r="M5694" t="str">
            <v/>
          </cell>
        </row>
        <row r="5695">
          <cell r="A5695">
            <v>31102192</v>
          </cell>
          <cell r="C5695">
            <v>31102192</v>
          </cell>
          <cell r="D5695">
            <v>31102192</v>
          </cell>
          <cell r="E5695">
            <v>31102192</v>
          </cell>
          <cell r="F5695">
            <v>31102192</v>
          </cell>
          <cell r="G5695">
            <v>31102192</v>
          </cell>
          <cell r="H5695">
            <v>31102192</v>
          </cell>
          <cell r="I5695" t="str">
            <v/>
          </cell>
          <cell r="J5695" t="str">
            <v/>
          </cell>
          <cell r="K5695" t="str">
            <v/>
          </cell>
          <cell r="L5695" t="str">
            <v/>
          </cell>
          <cell r="M5695" t="str">
            <v/>
          </cell>
        </row>
        <row r="5696">
          <cell r="A5696">
            <v>31102192</v>
          </cell>
          <cell r="C5696">
            <v>31102192</v>
          </cell>
          <cell r="D5696">
            <v>31102192</v>
          </cell>
          <cell r="E5696">
            <v>31102192</v>
          </cell>
          <cell r="F5696">
            <v>31102192</v>
          </cell>
          <cell r="G5696">
            <v>31102192</v>
          </cell>
          <cell r="H5696">
            <v>31102192</v>
          </cell>
          <cell r="I5696" t="str">
            <v/>
          </cell>
          <cell r="J5696" t="str">
            <v/>
          </cell>
          <cell r="K5696" t="str">
            <v/>
          </cell>
          <cell r="L5696" t="str">
            <v/>
          </cell>
          <cell r="M5696" t="str">
            <v/>
          </cell>
        </row>
        <row r="5697">
          <cell r="A5697">
            <v>31102192</v>
          </cell>
          <cell r="C5697">
            <v>31102192</v>
          </cell>
          <cell r="D5697">
            <v>31102192</v>
          </cell>
          <cell r="E5697">
            <v>31102192</v>
          </cell>
          <cell r="F5697">
            <v>31102192</v>
          </cell>
          <cell r="G5697">
            <v>31102192</v>
          </cell>
          <cell r="H5697">
            <v>31102192</v>
          </cell>
          <cell r="I5697" t="str">
            <v/>
          </cell>
          <cell r="J5697" t="str">
            <v/>
          </cell>
          <cell r="K5697" t="str">
            <v/>
          </cell>
          <cell r="L5697" t="str">
            <v/>
          </cell>
          <cell r="M5697" t="str">
            <v/>
          </cell>
        </row>
        <row r="5698">
          <cell r="A5698">
            <v>31102192</v>
          </cell>
          <cell r="C5698">
            <v>31102192</v>
          </cell>
          <cell r="D5698">
            <v>31102192</v>
          </cell>
          <cell r="E5698">
            <v>31102192</v>
          </cell>
          <cell r="F5698">
            <v>31102192</v>
          </cell>
          <cell r="G5698">
            <v>31102192</v>
          </cell>
          <cell r="H5698">
            <v>31102192</v>
          </cell>
          <cell r="I5698" t="str">
            <v/>
          </cell>
          <cell r="J5698" t="str">
            <v/>
          </cell>
          <cell r="K5698" t="str">
            <v/>
          </cell>
          <cell r="L5698" t="str">
            <v/>
          </cell>
          <cell r="M5698" t="str">
            <v/>
          </cell>
        </row>
        <row r="5699">
          <cell r="A5699">
            <v>31102192</v>
          </cell>
          <cell r="C5699">
            <v>31102192</v>
          </cell>
          <cell r="D5699">
            <v>31102192</v>
          </cell>
          <cell r="E5699">
            <v>31102192</v>
          </cell>
          <cell r="F5699">
            <v>31102192</v>
          </cell>
          <cell r="G5699">
            <v>31102192</v>
          </cell>
          <cell r="H5699">
            <v>31102192</v>
          </cell>
          <cell r="I5699" t="str">
            <v/>
          </cell>
          <cell r="J5699" t="str">
            <v/>
          </cell>
          <cell r="K5699" t="str">
            <v/>
          </cell>
          <cell r="L5699" t="str">
            <v/>
          </cell>
          <cell r="M5699" t="str">
            <v/>
          </cell>
        </row>
        <row r="5700">
          <cell r="A5700">
            <v>31102192</v>
          </cell>
          <cell r="C5700">
            <v>31102192</v>
          </cell>
          <cell r="D5700">
            <v>31102192</v>
          </cell>
          <cell r="E5700">
            <v>31102192</v>
          </cell>
          <cell r="F5700">
            <v>31102192</v>
          </cell>
          <cell r="G5700">
            <v>31102192</v>
          </cell>
          <cell r="H5700">
            <v>31102192</v>
          </cell>
          <cell r="I5700" t="str">
            <v/>
          </cell>
          <cell r="J5700" t="str">
            <v/>
          </cell>
          <cell r="K5700" t="str">
            <v/>
          </cell>
          <cell r="L5700" t="str">
            <v/>
          </cell>
          <cell r="M5700" t="str">
            <v/>
          </cell>
        </row>
        <row r="5701">
          <cell r="A5701">
            <v>31102192</v>
          </cell>
          <cell r="C5701">
            <v>31102192</v>
          </cell>
          <cell r="D5701">
            <v>31102192</v>
          </cell>
          <cell r="E5701">
            <v>31102192</v>
          </cell>
          <cell r="F5701">
            <v>31102192</v>
          </cell>
          <cell r="G5701">
            <v>31102192</v>
          </cell>
          <cell r="H5701">
            <v>31102192</v>
          </cell>
          <cell r="I5701" t="str">
            <v/>
          </cell>
          <cell r="J5701" t="str">
            <v/>
          </cell>
          <cell r="K5701" t="str">
            <v/>
          </cell>
          <cell r="L5701" t="str">
            <v/>
          </cell>
          <cell r="M5701" t="str">
            <v/>
          </cell>
        </row>
        <row r="5702">
          <cell r="A5702">
            <v>31102192</v>
          </cell>
          <cell r="C5702">
            <v>31102192</v>
          </cell>
          <cell r="D5702">
            <v>31102192</v>
          </cell>
          <cell r="E5702">
            <v>31102192</v>
          </cell>
          <cell r="F5702">
            <v>31102192</v>
          </cell>
          <cell r="G5702">
            <v>31102192</v>
          </cell>
          <cell r="H5702">
            <v>31102192</v>
          </cell>
          <cell r="I5702" t="str">
            <v/>
          </cell>
          <cell r="J5702" t="str">
            <v/>
          </cell>
          <cell r="K5702" t="str">
            <v/>
          </cell>
          <cell r="L5702" t="str">
            <v/>
          </cell>
          <cell r="M5702" t="str">
            <v/>
          </cell>
        </row>
        <row r="5703">
          <cell r="A5703">
            <v>31102192</v>
          </cell>
          <cell r="C5703">
            <v>31102192</v>
          </cell>
          <cell r="D5703">
            <v>31102192</v>
          </cell>
          <cell r="E5703">
            <v>31102192</v>
          </cell>
          <cell r="F5703">
            <v>31102192</v>
          </cell>
          <cell r="G5703">
            <v>31102192</v>
          </cell>
          <cell r="H5703">
            <v>31102192</v>
          </cell>
          <cell r="I5703" t="str">
            <v/>
          </cell>
          <cell r="J5703" t="str">
            <v/>
          </cell>
          <cell r="K5703" t="str">
            <v/>
          </cell>
          <cell r="L5703" t="str">
            <v/>
          </cell>
          <cell r="M5703" t="str">
            <v/>
          </cell>
        </row>
        <row r="5704">
          <cell r="A5704">
            <v>31102192</v>
          </cell>
          <cell r="C5704">
            <v>31102192</v>
          </cell>
          <cell r="D5704">
            <v>31102192</v>
          </cell>
          <cell r="E5704">
            <v>31102192</v>
          </cell>
          <cell r="F5704">
            <v>31102192</v>
          </cell>
          <cell r="G5704">
            <v>31102192</v>
          </cell>
          <cell r="H5704">
            <v>31102192</v>
          </cell>
          <cell r="I5704" t="str">
            <v/>
          </cell>
          <cell r="J5704" t="str">
            <v/>
          </cell>
          <cell r="K5704" t="str">
            <v/>
          </cell>
          <cell r="L5704" t="str">
            <v/>
          </cell>
          <cell r="M5704" t="str">
            <v/>
          </cell>
        </row>
        <row r="5705">
          <cell r="A5705">
            <v>31102192</v>
          </cell>
          <cell r="C5705">
            <v>31102192</v>
          </cell>
          <cell r="D5705">
            <v>31102192</v>
          </cell>
          <cell r="E5705">
            <v>31102192</v>
          </cell>
          <cell r="F5705">
            <v>31102192</v>
          </cell>
          <cell r="G5705">
            <v>31102192</v>
          </cell>
          <cell r="H5705">
            <v>31102192</v>
          </cell>
          <cell r="I5705" t="str">
            <v/>
          </cell>
          <cell r="J5705" t="str">
            <v/>
          </cell>
          <cell r="K5705" t="str">
            <v/>
          </cell>
          <cell r="L5705" t="str">
            <v/>
          </cell>
          <cell r="M5705" t="str">
            <v/>
          </cell>
        </row>
        <row r="5706">
          <cell r="A5706">
            <v>31102192</v>
          </cell>
          <cell r="C5706">
            <v>31102192</v>
          </cell>
          <cell r="D5706">
            <v>31102192</v>
          </cell>
          <cell r="E5706">
            <v>31102192</v>
          </cell>
          <cell r="F5706">
            <v>31102192</v>
          </cell>
          <cell r="G5706">
            <v>31102192</v>
          </cell>
          <cell r="H5706">
            <v>31102192</v>
          </cell>
          <cell r="I5706" t="str">
            <v/>
          </cell>
          <cell r="J5706" t="str">
            <v/>
          </cell>
          <cell r="K5706" t="str">
            <v/>
          </cell>
          <cell r="L5706" t="str">
            <v/>
          </cell>
          <cell r="M5706" t="str">
            <v/>
          </cell>
        </row>
        <row r="5707">
          <cell r="A5707">
            <v>31102192</v>
          </cell>
          <cell r="C5707">
            <v>31102192</v>
          </cell>
          <cell r="D5707">
            <v>31102192</v>
          </cell>
          <cell r="E5707">
            <v>31102192</v>
          </cell>
          <cell r="F5707">
            <v>31102192</v>
          </cell>
          <cell r="G5707">
            <v>31102192</v>
          </cell>
          <cell r="H5707">
            <v>31102192</v>
          </cell>
          <cell r="I5707" t="str">
            <v/>
          </cell>
          <cell r="J5707" t="str">
            <v/>
          </cell>
          <cell r="K5707" t="str">
            <v/>
          </cell>
          <cell r="L5707" t="str">
            <v/>
          </cell>
          <cell r="M5707" t="str">
            <v/>
          </cell>
        </row>
        <row r="5708">
          <cell r="A5708">
            <v>31102192</v>
          </cell>
          <cell r="C5708">
            <v>31102192</v>
          </cell>
          <cell r="D5708">
            <v>31102192</v>
          </cell>
          <cell r="E5708">
            <v>31102192</v>
          </cell>
          <cell r="F5708">
            <v>31102192</v>
          </cell>
          <cell r="G5708">
            <v>31102192</v>
          </cell>
          <cell r="H5708">
            <v>31102192</v>
          </cell>
          <cell r="I5708" t="str">
            <v/>
          </cell>
          <cell r="J5708" t="str">
            <v/>
          </cell>
          <cell r="K5708" t="str">
            <v/>
          </cell>
          <cell r="L5708" t="str">
            <v/>
          </cell>
          <cell r="M5708" t="str">
            <v/>
          </cell>
        </row>
        <row r="5709">
          <cell r="A5709">
            <v>31102192</v>
          </cell>
          <cell r="C5709">
            <v>31102192</v>
          </cell>
          <cell r="D5709">
            <v>31102192</v>
          </cell>
          <cell r="E5709">
            <v>31102192</v>
          </cell>
          <cell r="F5709">
            <v>31102192</v>
          </cell>
          <cell r="G5709">
            <v>31102192</v>
          </cell>
          <cell r="H5709">
            <v>31102192</v>
          </cell>
          <cell r="I5709" t="str">
            <v/>
          </cell>
          <cell r="J5709" t="str">
            <v/>
          </cell>
          <cell r="K5709" t="str">
            <v/>
          </cell>
          <cell r="L5709" t="str">
            <v/>
          </cell>
          <cell r="M5709" t="str">
            <v/>
          </cell>
        </row>
        <row r="5710">
          <cell r="A5710">
            <v>31102192</v>
          </cell>
          <cell r="C5710">
            <v>31102192</v>
          </cell>
          <cell r="D5710">
            <v>31102192</v>
          </cell>
          <cell r="E5710">
            <v>31102192</v>
          </cell>
          <cell r="F5710">
            <v>31102192</v>
          </cell>
          <cell r="G5710">
            <v>31102192</v>
          </cell>
          <cell r="H5710">
            <v>31102192</v>
          </cell>
          <cell r="I5710" t="str">
            <v/>
          </cell>
          <cell r="J5710" t="str">
            <v/>
          </cell>
          <cell r="K5710" t="str">
            <v/>
          </cell>
          <cell r="L5710" t="str">
            <v/>
          </cell>
          <cell r="M5710" t="str">
            <v/>
          </cell>
        </row>
        <row r="5711">
          <cell r="A5711">
            <v>31102192</v>
          </cell>
          <cell r="C5711">
            <v>31102192</v>
          </cell>
          <cell r="D5711">
            <v>31102192</v>
          </cell>
          <cell r="E5711">
            <v>31102192</v>
          </cell>
          <cell r="F5711">
            <v>31102192</v>
          </cell>
          <cell r="G5711">
            <v>31102192</v>
          </cell>
          <cell r="H5711">
            <v>31102192</v>
          </cell>
          <cell r="I5711" t="str">
            <v/>
          </cell>
          <cell r="J5711" t="str">
            <v/>
          </cell>
          <cell r="K5711" t="str">
            <v/>
          </cell>
          <cell r="L5711" t="str">
            <v/>
          </cell>
          <cell r="M5711" t="str">
            <v/>
          </cell>
        </row>
        <row r="5712">
          <cell r="A5712">
            <v>31102192</v>
          </cell>
          <cell r="C5712">
            <v>31102192</v>
          </cell>
          <cell r="D5712">
            <v>31102192</v>
          </cell>
          <cell r="E5712">
            <v>31102192</v>
          </cell>
          <cell r="F5712">
            <v>31102192</v>
          </cell>
          <cell r="G5712">
            <v>31102192</v>
          </cell>
          <cell r="H5712">
            <v>31102192</v>
          </cell>
          <cell r="I5712" t="str">
            <v/>
          </cell>
          <cell r="J5712" t="str">
            <v/>
          </cell>
          <cell r="K5712" t="str">
            <v/>
          </cell>
          <cell r="L5712" t="str">
            <v/>
          </cell>
          <cell r="M5712" t="str">
            <v/>
          </cell>
        </row>
        <row r="5713">
          <cell r="A5713">
            <v>31102192</v>
          </cell>
          <cell r="C5713">
            <v>31102192</v>
          </cell>
          <cell r="D5713">
            <v>31102192</v>
          </cell>
          <cell r="E5713">
            <v>31102192</v>
          </cell>
          <cell r="F5713">
            <v>31102192</v>
          </cell>
          <cell r="G5713">
            <v>31102192</v>
          </cell>
          <cell r="H5713">
            <v>31102192</v>
          </cell>
          <cell r="I5713" t="str">
            <v/>
          </cell>
          <cell r="J5713" t="str">
            <v/>
          </cell>
          <cell r="K5713" t="str">
            <v/>
          </cell>
          <cell r="L5713" t="str">
            <v/>
          </cell>
          <cell r="M5713" t="str">
            <v/>
          </cell>
        </row>
        <row r="5714">
          <cell r="A5714">
            <v>31102192</v>
          </cell>
          <cell r="C5714">
            <v>31102192</v>
          </cell>
          <cell r="D5714">
            <v>31102192</v>
          </cell>
          <cell r="E5714">
            <v>31102192</v>
          </cell>
          <cell r="F5714">
            <v>31102192</v>
          </cell>
          <cell r="G5714">
            <v>31102192</v>
          </cell>
          <cell r="H5714">
            <v>31102192</v>
          </cell>
          <cell r="I5714" t="str">
            <v/>
          </cell>
          <cell r="J5714" t="str">
            <v/>
          </cell>
          <cell r="K5714" t="str">
            <v/>
          </cell>
          <cell r="L5714" t="str">
            <v/>
          </cell>
          <cell r="M5714" t="str">
            <v/>
          </cell>
        </row>
        <row r="5715">
          <cell r="A5715">
            <v>31102192</v>
          </cell>
          <cell r="C5715">
            <v>31102192</v>
          </cell>
          <cell r="D5715">
            <v>31102192</v>
          </cell>
          <cell r="E5715">
            <v>31102192</v>
          </cell>
          <cell r="F5715">
            <v>31102192</v>
          </cell>
          <cell r="G5715">
            <v>31102192</v>
          </cell>
          <cell r="H5715">
            <v>31102192</v>
          </cell>
          <cell r="I5715" t="str">
            <v/>
          </cell>
          <cell r="J5715" t="str">
            <v/>
          </cell>
          <cell r="K5715" t="str">
            <v/>
          </cell>
          <cell r="L5715" t="str">
            <v/>
          </cell>
          <cell r="M5715" t="str">
            <v/>
          </cell>
        </row>
        <row r="5716">
          <cell r="A5716">
            <v>31102192</v>
          </cell>
          <cell r="C5716">
            <v>31102192</v>
          </cell>
          <cell r="D5716">
            <v>31102192</v>
          </cell>
          <cell r="E5716">
            <v>31102192</v>
          </cell>
          <cell r="F5716">
            <v>31102192</v>
          </cell>
          <cell r="G5716">
            <v>31102192</v>
          </cell>
          <cell r="H5716">
            <v>31102192</v>
          </cell>
          <cell r="I5716" t="str">
            <v/>
          </cell>
          <cell r="J5716" t="str">
            <v/>
          </cell>
          <cell r="K5716" t="str">
            <v/>
          </cell>
          <cell r="L5716" t="str">
            <v/>
          </cell>
          <cell r="M5716" t="str">
            <v/>
          </cell>
        </row>
        <row r="5717">
          <cell r="A5717">
            <v>31102192</v>
          </cell>
          <cell r="C5717">
            <v>31102192</v>
          </cell>
          <cell r="D5717">
            <v>31102192</v>
          </cell>
          <cell r="E5717">
            <v>31102192</v>
          </cell>
          <cell r="F5717">
            <v>31102192</v>
          </cell>
          <cell r="G5717">
            <v>31102192</v>
          </cell>
          <cell r="H5717">
            <v>31102192</v>
          </cell>
          <cell r="I5717" t="str">
            <v/>
          </cell>
          <cell r="J5717" t="str">
            <v/>
          </cell>
          <cell r="K5717" t="str">
            <v/>
          </cell>
          <cell r="L5717" t="str">
            <v/>
          </cell>
          <cell r="M5717" t="str">
            <v/>
          </cell>
        </row>
        <row r="5718">
          <cell r="A5718">
            <v>31102192</v>
          </cell>
          <cell r="C5718">
            <v>31102192</v>
          </cell>
          <cell r="D5718">
            <v>31102192</v>
          </cell>
          <cell r="E5718">
            <v>31102192</v>
          </cell>
          <cell r="F5718">
            <v>31102192</v>
          </cell>
          <cell r="G5718">
            <v>31102192</v>
          </cell>
          <cell r="H5718">
            <v>31102192</v>
          </cell>
          <cell r="I5718" t="str">
            <v/>
          </cell>
          <cell r="J5718" t="str">
            <v/>
          </cell>
          <cell r="K5718" t="str">
            <v/>
          </cell>
          <cell r="L5718" t="str">
            <v/>
          </cell>
          <cell r="M5718" t="str">
            <v/>
          </cell>
        </row>
        <row r="5719">
          <cell r="A5719">
            <v>31102192</v>
          </cell>
          <cell r="C5719">
            <v>31102192</v>
          </cell>
          <cell r="D5719">
            <v>31102192</v>
          </cell>
          <cell r="E5719">
            <v>31102192</v>
          </cell>
          <cell r="F5719">
            <v>31102192</v>
          </cell>
          <cell r="G5719">
            <v>31102192</v>
          </cell>
          <cell r="H5719">
            <v>31102192</v>
          </cell>
          <cell r="I5719" t="str">
            <v/>
          </cell>
          <cell r="J5719" t="str">
            <v/>
          </cell>
          <cell r="K5719" t="str">
            <v/>
          </cell>
          <cell r="L5719" t="str">
            <v/>
          </cell>
          <cell r="M5719" t="str">
            <v/>
          </cell>
        </row>
        <row r="5720">
          <cell r="A5720">
            <v>31102192</v>
          </cell>
          <cell r="C5720">
            <v>31102192</v>
          </cell>
          <cell r="D5720">
            <v>31102192</v>
          </cell>
          <cell r="E5720">
            <v>31102192</v>
          </cell>
          <cell r="F5720">
            <v>31102192</v>
          </cell>
          <cell r="G5720">
            <v>31102192</v>
          </cell>
          <cell r="H5720">
            <v>31102192</v>
          </cell>
          <cell r="I5720" t="str">
            <v/>
          </cell>
          <cell r="J5720" t="str">
            <v/>
          </cell>
          <cell r="K5720" t="str">
            <v/>
          </cell>
          <cell r="L5720" t="str">
            <v/>
          </cell>
          <cell r="M5720" t="str">
            <v/>
          </cell>
        </row>
        <row r="5721">
          <cell r="A5721">
            <v>31102192</v>
          </cell>
          <cell r="C5721">
            <v>31102192</v>
          </cell>
          <cell r="D5721">
            <v>31102192</v>
          </cell>
          <cell r="E5721">
            <v>31102192</v>
          </cell>
          <cell r="F5721">
            <v>31102192</v>
          </cell>
          <cell r="G5721">
            <v>31102192</v>
          </cell>
          <cell r="H5721">
            <v>31102192</v>
          </cell>
          <cell r="I5721" t="str">
            <v/>
          </cell>
          <cell r="J5721" t="str">
            <v/>
          </cell>
          <cell r="K5721" t="str">
            <v/>
          </cell>
          <cell r="L5721" t="str">
            <v/>
          </cell>
          <cell r="M5721" t="str">
            <v/>
          </cell>
        </row>
        <row r="5722">
          <cell r="A5722">
            <v>31102192</v>
          </cell>
          <cell r="C5722">
            <v>31102192</v>
          </cell>
          <cell r="D5722">
            <v>31102192</v>
          </cell>
          <cell r="E5722">
            <v>31102192</v>
          </cell>
          <cell r="F5722">
            <v>31102192</v>
          </cell>
          <cell r="G5722">
            <v>31102192</v>
          </cell>
          <cell r="H5722">
            <v>31102192</v>
          </cell>
          <cell r="I5722" t="str">
            <v/>
          </cell>
          <cell r="J5722" t="str">
            <v/>
          </cell>
          <cell r="K5722" t="str">
            <v/>
          </cell>
          <cell r="L5722" t="str">
            <v/>
          </cell>
          <cell r="M5722" t="str">
            <v/>
          </cell>
        </row>
        <row r="5723">
          <cell r="A5723">
            <v>31102192</v>
          </cell>
          <cell r="C5723">
            <v>31102192</v>
          </cell>
          <cell r="D5723">
            <v>31102192</v>
          </cell>
          <cell r="E5723">
            <v>31102192</v>
          </cell>
          <cell r="F5723">
            <v>31102192</v>
          </cell>
          <cell r="G5723">
            <v>31102192</v>
          </cell>
          <cell r="H5723">
            <v>31102192</v>
          </cell>
          <cell r="I5723" t="str">
            <v/>
          </cell>
          <cell r="J5723" t="str">
            <v/>
          </cell>
          <cell r="K5723" t="str">
            <v/>
          </cell>
          <cell r="L5723" t="str">
            <v/>
          </cell>
          <cell r="M5723" t="str">
            <v/>
          </cell>
        </row>
        <row r="5724">
          <cell r="A5724">
            <v>31102192</v>
          </cell>
          <cell r="C5724">
            <v>31102192</v>
          </cell>
          <cell r="D5724">
            <v>31102192</v>
          </cell>
          <cell r="E5724">
            <v>31102192</v>
          </cell>
          <cell r="F5724">
            <v>31102192</v>
          </cell>
          <cell r="G5724">
            <v>31102192</v>
          </cell>
          <cell r="H5724">
            <v>31102192</v>
          </cell>
          <cell r="I5724" t="str">
            <v/>
          </cell>
          <cell r="J5724" t="str">
            <v/>
          </cell>
          <cell r="K5724" t="str">
            <v/>
          </cell>
          <cell r="L5724" t="str">
            <v/>
          </cell>
          <cell r="M5724" t="str">
            <v/>
          </cell>
        </row>
        <row r="5725">
          <cell r="A5725">
            <v>31102192</v>
          </cell>
          <cell r="C5725">
            <v>31102192</v>
          </cell>
          <cell r="D5725">
            <v>31102192</v>
          </cell>
          <cell r="E5725">
            <v>31102192</v>
          </cell>
          <cell r="F5725">
            <v>31102192</v>
          </cell>
          <cell r="G5725">
            <v>31102192</v>
          </cell>
          <cell r="H5725">
            <v>31102192</v>
          </cell>
          <cell r="I5725" t="str">
            <v/>
          </cell>
          <cell r="J5725" t="str">
            <v/>
          </cell>
          <cell r="K5725" t="str">
            <v/>
          </cell>
          <cell r="L5725" t="str">
            <v/>
          </cell>
          <cell r="M5725" t="str">
            <v/>
          </cell>
        </row>
        <row r="5726">
          <cell r="A5726">
            <v>31102192</v>
          </cell>
          <cell r="C5726">
            <v>31102192</v>
          </cell>
          <cell r="D5726">
            <v>31102192</v>
          </cell>
          <cell r="E5726">
            <v>31102192</v>
          </cell>
          <cell r="F5726">
            <v>31102192</v>
          </cell>
          <cell r="G5726">
            <v>31102192</v>
          </cell>
          <cell r="H5726">
            <v>31102192</v>
          </cell>
          <cell r="I5726" t="str">
            <v/>
          </cell>
          <cell r="J5726" t="str">
            <v/>
          </cell>
          <cell r="K5726" t="str">
            <v/>
          </cell>
          <cell r="L5726" t="str">
            <v/>
          </cell>
          <cell r="M5726" t="str">
            <v/>
          </cell>
        </row>
        <row r="5727">
          <cell r="A5727">
            <v>31102192</v>
          </cell>
          <cell r="C5727">
            <v>31102192</v>
          </cell>
          <cell r="D5727">
            <v>31102192</v>
          </cell>
          <cell r="E5727">
            <v>31102192</v>
          </cell>
          <cell r="F5727">
            <v>31102192</v>
          </cell>
          <cell r="G5727">
            <v>31102192</v>
          </cell>
          <cell r="H5727">
            <v>31102192</v>
          </cell>
          <cell r="I5727" t="str">
            <v/>
          </cell>
          <cell r="J5727" t="str">
            <v/>
          </cell>
          <cell r="K5727" t="str">
            <v/>
          </cell>
          <cell r="L5727" t="str">
            <v/>
          </cell>
          <cell r="M5727" t="str">
            <v/>
          </cell>
        </row>
        <row r="5728">
          <cell r="A5728">
            <v>31102192</v>
          </cell>
          <cell r="C5728">
            <v>31102192</v>
          </cell>
          <cell r="D5728">
            <v>31102192</v>
          </cell>
          <cell r="E5728">
            <v>31102192</v>
          </cell>
          <cell r="F5728">
            <v>31102192</v>
          </cell>
          <cell r="G5728">
            <v>31102192</v>
          </cell>
          <cell r="H5728">
            <v>31102192</v>
          </cell>
          <cell r="I5728" t="str">
            <v/>
          </cell>
          <cell r="J5728" t="str">
            <v/>
          </cell>
          <cell r="K5728" t="str">
            <v/>
          </cell>
          <cell r="L5728" t="str">
            <v/>
          </cell>
          <cell r="M5728" t="str">
            <v/>
          </cell>
        </row>
        <row r="5729">
          <cell r="A5729">
            <v>31102192</v>
          </cell>
          <cell r="C5729">
            <v>31102192</v>
          </cell>
          <cell r="D5729">
            <v>31102192</v>
          </cell>
          <cell r="E5729">
            <v>31102192</v>
          </cell>
          <cell r="F5729">
            <v>31102192</v>
          </cell>
          <cell r="G5729">
            <v>31102192</v>
          </cell>
          <cell r="H5729">
            <v>31102192</v>
          </cell>
          <cell r="I5729" t="str">
            <v/>
          </cell>
          <cell r="J5729" t="str">
            <v/>
          </cell>
          <cell r="K5729" t="str">
            <v/>
          </cell>
          <cell r="L5729" t="str">
            <v/>
          </cell>
          <cell r="M5729" t="str">
            <v/>
          </cell>
        </row>
        <row r="5730">
          <cell r="A5730">
            <v>31102192</v>
          </cell>
          <cell r="C5730">
            <v>31102192</v>
          </cell>
          <cell r="D5730">
            <v>31102192</v>
          </cell>
          <cell r="E5730">
            <v>31102192</v>
          </cell>
          <cell r="F5730">
            <v>31102192</v>
          </cell>
          <cell r="G5730">
            <v>31102192</v>
          </cell>
          <cell r="H5730">
            <v>31102192</v>
          </cell>
          <cell r="I5730" t="str">
            <v/>
          </cell>
          <cell r="J5730" t="str">
            <v/>
          </cell>
          <cell r="K5730" t="str">
            <v/>
          </cell>
          <cell r="L5730" t="str">
            <v/>
          </cell>
          <cell r="M5730" t="str">
            <v/>
          </cell>
        </row>
        <row r="5731">
          <cell r="A5731">
            <v>31102192</v>
          </cell>
          <cell r="C5731">
            <v>31102192</v>
          </cell>
          <cell r="D5731">
            <v>31102192</v>
          </cell>
          <cell r="E5731">
            <v>31102192</v>
          </cell>
          <cell r="F5731">
            <v>31102192</v>
          </cell>
          <cell r="G5731">
            <v>31102192</v>
          </cell>
          <cell r="H5731">
            <v>31102192</v>
          </cell>
          <cell r="I5731" t="str">
            <v/>
          </cell>
          <cell r="J5731" t="str">
            <v/>
          </cell>
          <cell r="K5731" t="str">
            <v/>
          </cell>
          <cell r="L5731" t="str">
            <v/>
          </cell>
          <cell r="M5731" t="str">
            <v/>
          </cell>
        </row>
        <row r="5732">
          <cell r="A5732">
            <v>31102192</v>
          </cell>
          <cell r="C5732">
            <v>31102192</v>
          </cell>
          <cell r="D5732">
            <v>31102192</v>
          </cell>
          <cell r="E5732">
            <v>31102192</v>
          </cell>
          <cell r="F5732">
            <v>31102192</v>
          </cell>
          <cell r="G5732">
            <v>31102192</v>
          </cell>
          <cell r="H5732">
            <v>31102192</v>
          </cell>
          <cell r="I5732" t="str">
            <v/>
          </cell>
          <cell r="J5732" t="str">
            <v/>
          </cell>
          <cell r="K5732" t="str">
            <v/>
          </cell>
          <cell r="L5732" t="str">
            <v/>
          </cell>
          <cell r="M5732" t="str">
            <v/>
          </cell>
        </row>
        <row r="5733">
          <cell r="A5733">
            <v>31102192</v>
          </cell>
          <cell r="C5733">
            <v>31102192</v>
          </cell>
          <cell r="D5733">
            <v>31102192</v>
          </cell>
          <cell r="E5733">
            <v>31102192</v>
          </cell>
          <cell r="F5733">
            <v>31102192</v>
          </cell>
          <cell r="G5733">
            <v>31102192</v>
          </cell>
          <cell r="H5733">
            <v>31102192</v>
          </cell>
          <cell r="I5733" t="str">
            <v/>
          </cell>
          <cell r="J5733" t="str">
            <v/>
          </cell>
          <cell r="K5733" t="str">
            <v/>
          </cell>
          <cell r="L5733" t="str">
            <v/>
          </cell>
          <cell r="M5733" t="str">
            <v/>
          </cell>
        </row>
        <row r="5734">
          <cell r="A5734">
            <v>31102192</v>
          </cell>
          <cell r="C5734">
            <v>31102192</v>
          </cell>
          <cell r="D5734">
            <v>31102192</v>
          </cell>
          <cell r="E5734">
            <v>31102192</v>
          </cell>
          <cell r="F5734">
            <v>31102192</v>
          </cell>
          <cell r="G5734">
            <v>31102192</v>
          </cell>
          <cell r="H5734">
            <v>31102192</v>
          </cell>
          <cell r="I5734" t="str">
            <v/>
          </cell>
          <cell r="J5734" t="str">
            <v/>
          </cell>
          <cell r="K5734" t="str">
            <v/>
          </cell>
          <cell r="L5734" t="str">
            <v/>
          </cell>
          <cell r="M5734" t="str">
            <v/>
          </cell>
        </row>
        <row r="5735">
          <cell r="A5735">
            <v>31102192</v>
          </cell>
          <cell r="C5735">
            <v>31102192</v>
          </cell>
          <cell r="D5735">
            <v>31102192</v>
          </cell>
          <cell r="E5735">
            <v>31102192</v>
          </cell>
          <cell r="F5735">
            <v>31102192</v>
          </cell>
          <cell r="G5735">
            <v>31102192</v>
          </cell>
          <cell r="H5735">
            <v>31102192</v>
          </cell>
          <cell r="I5735" t="str">
            <v/>
          </cell>
          <cell r="J5735" t="str">
            <v/>
          </cell>
          <cell r="K5735" t="str">
            <v/>
          </cell>
          <cell r="L5735" t="str">
            <v/>
          </cell>
          <cell r="M5735" t="str">
            <v/>
          </cell>
        </row>
        <row r="5736">
          <cell r="A5736">
            <v>31102192</v>
          </cell>
          <cell r="C5736">
            <v>31102192</v>
          </cell>
          <cell r="D5736">
            <v>31102192</v>
          </cell>
          <cell r="E5736">
            <v>31102192</v>
          </cell>
          <cell r="F5736">
            <v>31102192</v>
          </cell>
          <cell r="G5736">
            <v>31102192</v>
          </cell>
          <cell r="H5736">
            <v>31102192</v>
          </cell>
          <cell r="I5736" t="str">
            <v/>
          </cell>
          <cell r="J5736" t="str">
            <v/>
          </cell>
          <cell r="K5736" t="str">
            <v/>
          </cell>
          <cell r="L5736" t="str">
            <v/>
          </cell>
          <cell r="M5736" t="str">
            <v/>
          </cell>
        </row>
        <row r="5737">
          <cell r="A5737">
            <v>31102192</v>
          </cell>
          <cell r="C5737">
            <v>31102192</v>
          </cell>
          <cell r="D5737">
            <v>31102192</v>
          </cell>
          <cell r="E5737">
            <v>31102192</v>
          </cell>
          <cell r="F5737">
            <v>31102192</v>
          </cell>
          <cell r="G5737">
            <v>31102192</v>
          </cell>
          <cell r="H5737">
            <v>31102192</v>
          </cell>
          <cell r="I5737" t="str">
            <v/>
          </cell>
          <cell r="J5737" t="str">
            <v/>
          </cell>
          <cell r="K5737" t="str">
            <v/>
          </cell>
          <cell r="L5737" t="str">
            <v/>
          </cell>
          <cell r="M5737" t="str">
            <v/>
          </cell>
        </row>
        <row r="5738">
          <cell r="A5738">
            <v>31102192</v>
          </cell>
          <cell r="C5738">
            <v>31102192</v>
          </cell>
          <cell r="D5738">
            <v>31102192</v>
          </cell>
          <cell r="E5738">
            <v>31102192</v>
          </cell>
          <cell r="F5738">
            <v>31102192</v>
          </cell>
          <cell r="G5738">
            <v>31102192</v>
          </cell>
          <cell r="H5738">
            <v>31102192</v>
          </cell>
          <cell r="I5738" t="str">
            <v/>
          </cell>
          <cell r="J5738" t="str">
            <v/>
          </cell>
          <cell r="K5738" t="str">
            <v/>
          </cell>
          <cell r="L5738" t="str">
            <v/>
          </cell>
          <cell r="M5738" t="str">
            <v/>
          </cell>
        </row>
        <row r="5739">
          <cell r="A5739">
            <v>31102192</v>
          </cell>
          <cell r="C5739">
            <v>31102192</v>
          </cell>
          <cell r="D5739">
            <v>31102192</v>
          </cell>
          <cell r="E5739">
            <v>31102192</v>
          </cell>
          <cell r="F5739">
            <v>31102192</v>
          </cell>
          <cell r="G5739">
            <v>31102192</v>
          </cell>
          <cell r="H5739">
            <v>31102192</v>
          </cell>
          <cell r="I5739" t="str">
            <v/>
          </cell>
          <cell r="J5739" t="str">
            <v/>
          </cell>
          <cell r="K5739" t="str">
            <v/>
          </cell>
          <cell r="L5739" t="str">
            <v/>
          </cell>
          <cell r="M5739" t="str">
            <v/>
          </cell>
        </row>
        <row r="5740">
          <cell r="A5740">
            <v>31102192</v>
          </cell>
          <cell r="C5740">
            <v>31102192</v>
          </cell>
          <cell r="D5740">
            <v>31102192</v>
          </cell>
          <cell r="E5740">
            <v>31102192</v>
          </cell>
          <cell r="F5740">
            <v>31102192</v>
          </cell>
          <cell r="G5740">
            <v>31102192</v>
          </cell>
          <cell r="H5740">
            <v>31102192</v>
          </cell>
          <cell r="I5740" t="str">
            <v/>
          </cell>
          <cell r="J5740" t="str">
            <v/>
          </cell>
          <cell r="K5740" t="str">
            <v/>
          </cell>
          <cell r="L5740" t="str">
            <v/>
          </cell>
          <cell r="M5740" t="str">
            <v/>
          </cell>
        </row>
        <row r="5741">
          <cell r="A5741">
            <v>31102192</v>
          </cell>
          <cell r="C5741">
            <v>31102192</v>
          </cell>
          <cell r="D5741">
            <v>31102192</v>
          </cell>
          <cell r="E5741">
            <v>31102192</v>
          </cell>
          <cell r="F5741">
            <v>31102192</v>
          </cell>
          <cell r="G5741">
            <v>31102192</v>
          </cell>
          <cell r="H5741">
            <v>31102192</v>
          </cell>
          <cell r="I5741" t="str">
            <v/>
          </cell>
          <cell r="J5741" t="str">
            <v/>
          </cell>
          <cell r="K5741" t="str">
            <v/>
          </cell>
          <cell r="L5741" t="str">
            <v/>
          </cell>
          <cell r="M5741" t="str">
            <v/>
          </cell>
        </row>
        <row r="5742">
          <cell r="A5742">
            <v>31102192</v>
          </cell>
          <cell r="C5742">
            <v>31102192</v>
          </cell>
          <cell r="D5742">
            <v>31102192</v>
          </cell>
          <cell r="E5742">
            <v>31102192</v>
          </cell>
          <cell r="F5742">
            <v>31102192</v>
          </cell>
          <cell r="G5742">
            <v>31102192</v>
          </cell>
          <cell r="H5742">
            <v>31102192</v>
          </cell>
          <cell r="I5742" t="str">
            <v/>
          </cell>
          <cell r="J5742" t="str">
            <v/>
          </cell>
          <cell r="K5742" t="str">
            <v/>
          </cell>
          <cell r="L5742" t="str">
            <v/>
          </cell>
          <cell r="M5742" t="str">
            <v/>
          </cell>
        </row>
        <row r="5743">
          <cell r="A5743">
            <v>31102192</v>
          </cell>
          <cell r="C5743">
            <v>31102192</v>
          </cell>
          <cell r="D5743">
            <v>31102192</v>
          </cell>
          <cell r="E5743">
            <v>31102192</v>
          </cell>
          <cell r="F5743">
            <v>31102192</v>
          </cell>
          <cell r="G5743">
            <v>31102192</v>
          </cell>
          <cell r="H5743">
            <v>31102192</v>
          </cell>
          <cell r="I5743" t="str">
            <v/>
          </cell>
          <cell r="J5743" t="str">
            <v/>
          </cell>
          <cell r="K5743" t="str">
            <v/>
          </cell>
          <cell r="L5743" t="str">
            <v/>
          </cell>
          <cell r="M5743" t="str">
            <v/>
          </cell>
        </row>
        <row r="5744">
          <cell r="A5744">
            <v>31102192</v>
          </cell>
          <cell r="C5744">
            <v>31102192</v>
          </cell>
          <cell r="D5744">
            <v>31102192</v>
          </cell>
          <cell r="E5744">
            <v>31102192</v>
          </cell>
          <cell r="F5744">
            <v>31102192</v>
          </cell>
          <cell r="G5744">
            <v>31102192</v>
          </cell>
          <cell r="H5744">
            <v>31102192</v>
          </cell>
          <cell r="I5744" t="str">
            <v/>
          </cell>
          <cell r="J5744" t="str">
            <v/>
          </cell>
          <cell r="K5744" t="str">
            <v/>
          </cell>
          <cell r="L5744" t="str">
            <v/>
          </cell>
          <cell r="M5744" t="str">
            <v/>
          </cell>
        </row>
        <row r="5745">
          <cell r="A5745">
            <v>31102192</v>
          </cell>
          <cell r="C5745">
            <v>31102192</v>
          </cell>
          <cell r="D5745">
            <v>31102192</v>
          </cell>
          <cell r="E5745">
            <v>31102192</v>
          </cell>
          <cell r="F5745">
            <v>31102192</v>
          </cell>
          <cell r="G5745">
            <v>31102192</v>
          </cell>
          <cell r="H5745">
            <v>31102192</v>
          </cell>
          <cell r="I5745" t="str">
            <v/>
          </cell>
          <cell r="J5745" t="str">
            <v/>
          </cell>
          <cell r="K5745" t="str">
            <v/>
          </cell>
          <cell r="L5745" t="str">
            <v/>
          </cell>
          <cell r="M5745" t="str">
            <v/>
          </cell>
        </row>
        <row r="5746">
          <cell r="A5746">
            <v>31102192</v>
          </cell>
          <cell r="C5746">
            <v>31102192</v>
          </cell>
          <cell r="D5746">
            <v>31102192</v>
          </cell>
          <cell r="E5746">
            <v>31102192</v>
          </cell>
          <cell r="F5746">
            <v>31102192</v>
          </cell>
          <cell r="G5746">
            <v>31102192</v>
          </cell>
          <cell r="H5746">
            <v>31102192</v>
          </cell>
          <cell r="I5746" t="str">
            <v/>
          </cell>
          <cell r="J5746" t="str">
            <v/>
          </cell>
          <cell r="K5746" t="str">
            <v/>
          </cell>
          <cell r="L5746" t="str">
            <v/>
          </cell>
          <cell r="M5746" t="str">
            <v/>
          </cell>
        </row>
        <row r="5747">
          <cell r="A5747">
            <v>31102192</v>
          </cell>
          <cell r="C5747">
            <v>31102192</v>
          </cell>
          <cell r="D5747">
            <v>31102192</v>
          </cell>
          <cell r="E5747">
            <v>31102192</v>
          </cell>
          <cell r="F5747">
            <v>31102192</v>
          </cell>
          <cell r="G5747">
            <v>31102192</v>
          </cell>
          <cell r="H5747">
            <v>31102192</v>
          </cell>
          <cell r="I5747" t="str">
            <v/>
          </cell>
          <cell r="J5747" t="str">
            <v/>
          </cell>
          <cell r="K5747" t="str">
            <v/>
          </cell>
          <cell r="L5747" t="str">
            <v/>
          </cell>
          <cell r="M5747" t="str">
            <v/>
          </cell>
        </row>
        <row r="5748">
          <cell r="A5748">
            <v>31102192</v>
          </cell>
          <cell r="C5748">
            <v>31102192</v>
          </cell>
          <cell r="D5748">
            <v>31102192</v>
          </cell>
          <cell r="E5748">
            <v>31102192</v>
          </cell>
          <cell r="F5748">
            <v>31102192</v>
          </cell>
          <cell r="G5748">
            <v>31102192</v>
          </cell>
          <cell r="H5748">
            <v>31102192</v>
          </cell>
          <cell r="I5748" t="str">
            <v/>
          </cell>
          <cell r="J5748" t="str">
            <v/>
          </cell>
          <cell r="K5748" t="str">
            <v/>
          </cell>
          <cell r="L5748" t="str">
            <v/>
          </cell>
          <cell r="M5748" t="str">
            <v/>
          </cell>
        </row>
        <row r="5749">
          <cell r="A5749">
            <v>31102192</v>
          </cell>
          <cell r="C5749">
            <v>31102192</v>
          </cell>
          <cell r="D5749">
            <v>31102192</v>
          </cell>
          <cell r="E5749">
            <v>31102192</v>
          </cell>
          <cell r="F5749">
            <v>31102192</v>
          </cell>
          <cell r="G5749">
            <v>31102192</v>
          </cell>
          <cell r="H5749">
            <v>31102192</v>
          </cell>
          <cell r="I5749" t="str">
            <v/>
          </cell>
          <cell r="J5749" t="str">
            <v/>
          </cell>
          <cell r="K5749" t="str">
            <v/>
          </cell>
          <cell r="L5749" t="str">
            <v/>
          </cell>
          <cell r="M5749" t="str">
            <v/>
          </cell>
        </row>
        <row r="5750">
          <cell r="A5750">
            <v>31102192</v>
          </cell>
          <cell r="C5750">
            <v>31102192</v>
          </cell>
          <cell r="D5750">
            <v>31102192</v>
          </cell>
          <cell r="E5750">
            <v>31102192</v>
          </cell>
          <cell r="F5750">
            <v>31102192</v>
          </cell>
          <cell r="G5750">
            <v>31102192</v>
          </cell>
          <cell r="H5750">
            <v>31102192</v>
          </cell>
          <cell r="I5750" t="str">
            <v/>
          </cell>
          <cell r="J5750" t="str">
            <v/>
          </cell>
          <cell r="K5750" t="str">
            <v/>
          </cell>
          <cell r="L5750" t="str">
            <v/>
          </cell>
          <cell r="M5750" t="str">
            <v/>
          </cell>
        </row>
        <row r="5751">
          <cell r="A5751">
            <v>31102192</v>
          </cell>
          <cell r="C5751">
            <v>31102192</v>
          </cell>
          <cell r="D5751">
            <v>31102192</v>
          </cell>
          <cell r="E5751">
            <v>31102192</v>
          </cell>
          <cell r="F5751">
            <v>31102192</v>
          </cell>
          <cell r="G5751">
            <v>31102192</v>
          </cell>
          <cell r="H5751">
            <v>31102192</v>
          </cell>
          <cell r="I5751" t="str">
            <v/>
          </cell>
          <cell r="J5751" t="str">
            <v/>
          </cell>
          <cell r="K5751" t="str">
            <v/>
          </cell>
          <cell r="L5751" t="str">
            <v/>
          </cell>
          <cell r="M5751" t="str">
            <v/>
          </cell>
        </row>
        <row r="5752">
          <cell r="A5752">
            <v>31102192</v>
          </cell>
          <cell r="C5752">
            <v>31102192</v>
          </cell>
          <cell r="D5752">
            <v>31102192</v>
          </cell>
          <cell r="E5752">
            <v>31102192</v>
          </cell>
          <cell r="F5752">
            <v>31102192</v>
          </cell>
          <cell r="G5752">
            <v>31102192</v>
          </cell>
          <cell r="H5752">
            <v>31102192</v>
          </cell>
          <cell r="I5752" t="str">
            <v/>
          </cell>
          <cell r="J5752" t="str">
            <v/>
          </cell>
          <cell r="K5752" t="str">
            <v/>
          </cell>
          <cell r="L5752" t="str">
            <v/>
          </cell>
          <cell r="M5752" t="str">
            <v/>
          </cell>
        </row>
        <row r="5753">
          <cell r="A5753">
            <v>31102192</v>
          </cell>
          <cell r="C5753">
            <v>31102192</v>
          </cell>
          <cell r="D5753">
            <v>31102192</v>
          </cell>
          <cell r="E5753">
            <v>31102192</v>
          </cell>
          <cell r="F5753">
            <v>31102192</v>
          </cell>
          <cell r="G5753">
            <v>31102192</v>
          </cell>
          <cell r="H5753">
            <v>31102192</v>
          </cell>
          <cell r="I5753" t="str">
            <v/>
          </cell>
          <cell r="J5753" t="str">
            <v/>
          </cell>
          <cell r="K5753" t="str">
            <v/>
          </cell>
          <cell r="L5753" t="str">
            <v/>
          </cell>
          <cell r="M5753" t="str">
            <v/>
          </cell>
        </row>
        <row r="5754">
          <cell r="A5754">
            <v>31102192</v>
          </cell>
          <cell r="C5754">
            <v>31102192</v>
          </cell>
          <cell r="D5754">
            <v>31102192</v>
          </cell>
          <cell r="E5754">
            <v>31102192</v>
          </cell>
          <cell r="F5754">
            <v>31102192</v>
          </cell>
          <cell r="G5754">
            <v>31102192</v>
          </cell>
          <cell r="H5754">
            <v>31102192</v>
          </cell>
          <cell r="I5754" t="str">
            <v/>
          </cell>
          <cell r="J5754" t="str">
            <v/>
          </cell>
          <cell r="K5754" t="str">
            <v/>
          </cell>
          <cell r="L5754" t="str">
            <v/>
          </cell>
          <cell r="M5754" t="str">
            <v/>
          </cell>
        </row>
        <row r="5755">
          <cell r="A5755">
            <v>31102192</v>
          </cell>
          <cell r="C5755">
            <v>31102192</v>
          </cell>
          <cell r="D5755">
            <v>31102192</v>
          </cell>
          <cell r="E5755">
            <v>31102192</v>
          </cell>
          <cell r="F5755">
            <v>31102192</v>
          </cell>
          <cell r="G5755">
            <v>31102192</v>
          </cell>
          <cell r="H5755">
            <v>31102192</v>
          </cell>
          <cell r="I5755" t="str">
            <v/>
          </cell>
          <cell r="J5755" t="str">
            <v/>
          </cell>
          <cell r="K5755" t="str">
            <v/>
          </cell>
          <cell r="L5755" t="str">
            <v/>
          </cell>
          <cell r="M5755" t="str">
            <v/>
          </cell>
        </row>
        <row r="5756">
          <cell r="A5756">
            <v>31102192</v>
          </cell>
          <cell r="C5756">
            <v>31102192</v>
          </cell>
          <cell r="D5756">
            <v>31102192</v>
          </cell>
          <cell r="E5756">
            <v>31102192</v>
          </cell>
          <cell r="F5756">
            <v>31102192</v>
          </cell>
          <cell r="G5756">
            <v>31102192</v>
          </cell>
          <cell r="H5756">
            <v>31102192</v>
          </cell>
          <cell r="I5756" t="str">
            <v/>
          </cell>
          <cell r="J5756" t="str">
            <v/>
          </cell>
          <cell r="K5756" t="str">
            <v/>
          </cell>
          <cell r="L5756" t="str">
            <v/>
          </cell>
          <cell r="M5756" t="str">
            <v/>
          </cell>
        </row>
        <row r="5757">
          <cell r="A5757">
            <v>31102192</v>
          </cell>
          <cell r="C5757">
            <v>31102192</v>
          </cell>
          <cell r="D5757">
            <v>31102192</v>
          </cell>
          <cell r="E5757">
            <v>31102192</v>
          </cell>
          <cell r="F5757">
            <v>31102192</v>
          </cell>
          <cell r="G5757">
            <v>31102192</v>
          </cell>
          <cell r="H5757">
            <v>31102192</v>
          </cell>
          <cell r="I5757" t="str">
            <v/>
          </cell>
          <cell r="J5757" t="str">
            <v/>
          </cell>
          <cell r="K5757" t="str">
            <v/>
          </cell>
          <cell r="L5757" t="str">
            <v/>
          </cell>
          <cell r="M5757" t="str">
            <v/>
          </cell>
        </row>
        <row r="5758">
          <cell r="A5758">
            <v>31102192</v>
          </cell>
          <cell r="C5758">
            <v>31102192</v>
          </cell>
          <cell r="D5758">
            <v>31102192</v>
          </cell>
          <cell r="E5758">
            <v>31102192</v>
          </cell>
          <cell r="F5758">
            <v>31102192</v>
          </cell>
          <cell r="G5758">
            <v>31102192</v>
          </cell>
          <cell r="H5758">
            <v>31102192</v>
          </cell>
          <cell r="I5758" t="str">
            <v/>
          </cell>
          <cell r="J5758" t="str">
            <v/>
          </cell>
          <cell r="K5758" t="str">
            <v/>
          </cell>
          <cell r="L5758" t="str">
            <v/>
          </cell>
          <cell r="M5758" t="str">
            <v/>
          </cell>
        </row>
        <row r="5759">
          <cell r="A5759">
            <v>31102192</v>
          </cell>
          <cell r="C5759">
            <v>31102192</v>
          </cell>
          <cell r="D5759">
            <v>31102192</v>
          </cell>
          <cell r="E5759">
            <v>31102192</v>
          </cell>
          <cell r="F5759">
            <v>31102192</v>
          </cell>
          <cell r="G5759">
            <v>31102192</v>
          </cell>
          <cell r="H5759">
            <v>31102192</v>
          </cell>
          <cell r="I5759" t="str">
            <v/>
          </cell>
          <cell r="J5759" t="str">
            <v/>
          </cell>
          <cell r="K5759" t="str">
            <v/>
          </cell>
          <cell r="L5759" t="str">
            <v/>
          </cell>
          <cell r="M5759" t="str">
            <v/>
          </cell>
        </row>
        <row r="5760">
          <cell r="A5760">
            <v>31102192</v>
          </cell>
          <cell r="C5760">
            <v>31102192</v>
          </cell>
          <cell r="D5760">
            <v>31102192</v>
          </cell>
          <cell r="E5760">
            <v>31102192</v>
          </cell>
          <cell r="F5760">
            <v>31102192</v>
          </cell>
          <cell r="G5760">
            <v>31102192</v>
          </cell>
          <cell r="H5760">
            <v>31102192</v>
          </cell>
          <cell r="I5760" t="str">
            <v/>
          </cell>
          <cell r="J5760" t="str">
            <v/>
          </cell>
          <cell r="K5760" t="str">
            <v/>
          </cell>
          <cell r="L5760" t="str">
            <v/>
          </cell>
          <cell r="M5760" t="str">
            <v/>
          </cell>
        </row>
        <row r="5761">
          <cell r="A5761">
            <v>31102192</v>
          </cell>
          <cell r="C5761">
            <v>31102192</v>
          </cell>
          <cell r="D5761">
            <v>31102192</v>
          </cell>
          <cell r="E5761">
            <v>31102192</v>
          </cell>
          <cell r="F5761">
            <v>31102192</v>
          </cell>
          <cell r="G5761">
            <v>31102192</v>
          </cell>
          <cell r="H5761">
            <v>31102192</v>
          </cell>
          <cell r="I5761" t="str">
            <v/>
          </cell>
          <cell r="J5761" t="str">
            <v/>
          </cell>
          <cell r="K5761" t="str">
            <v/>
          </cell>
          <cell r="L5761" t="str">
            <v/>
          </cell>
          <cell r="M5761" t="str">
            <v/>
          </cell>
        </row>
        <row r="5762">
          <cell r="A5762">
            <v>31102192</v>
          </cell>
          <cell r="C5762">
            <v>31102192</v>
          </cell>
          <cell r="D5762">
            <v>31102192</v>
          </cell>
          <cell r="E5762">
            <v>31102192</v>
          </cell>
          <cell r="F5762">
            <v>31102192</v>
          </cell>
          <cell r="G5762">
            <v>31102192</v>
          </cell>
          <cell r="H5762">
            <v>31102192</v>
          </cell>
          <cell r="I5762" t="str">
            <v/>
          </cell>
          <cell r="J5762" t="str">
            <v/>
          </cell>
          <cell r="K5762" t="str">
            <v/>
          </cell>
          <cell r="L5762" t="str">
            <v/>
          </cell>
          <cell r="M5762" t="str">
            <v/>
          </cell>
        </row>
        <row r="5763">
          <cell r="A5763">
            <v>31102192</v>
          </cell>
          <cell r="C5763">
            <v>31102192</v>
          </cell>
          <cell r="D5763">
            <v>31102192</v>
          </cell>
          <cell r="E5763">
            <v>31102192</v>
          </cell>
          <cell r="F5763">
            <v>31102192</v>
          </cell>
          <cell r="G5763">
            <v>31102192</v>
          </cell>
          <cell r="H5763">
            <v>31102192</v>
          </cell>
          <cell r="I5763" t="str">
            <v/>
          </cell>
          <cell r="J5763" t="str">
            <v/>
          </cell>
          <cell r="K5763" t="str">
            <v/>
          </cell>
          <cell r="L5763" t="str">
            <v/>
          </cell>
          <cell r="M5763" t="str">
            <v/>
          </cell>
        </row>
        <row r="5764">
          <cell r="A5764">
            <v>31102192</v>
          </cell>
          <cell r="C5764">
            <v>31102192</v>
          </cell>
          <cell r="D5764">
            <v>31102192</v>
          </cell>
          <cell r="E5764">
            <v>31102192</v>
          </cell>
          <cell r="F5764">
            <v>31102192</v>
          </cell>
          <cell r="G5764">
            <v>31102192</v>
          </cell>
          <cell r="H5764">
            <v>31102192</v>
          </cell>
          <cell r="I5764" t="str">
            <v/>
          </cell>
          <cell r="J5764" t="str">
            <v/>
          </cell>
          <cell r="K5764" t="str">
            <v/>
          </cell>
          <cell r="L5764" t="str">
            <v/>
          </cell>
          <cell r="M5764" t="str">
            <v/>
          </cell>
        </row>
        <row r="5765">
          <cell r="A5765">
            <v>31102192</v>
          </cell>
          <cell r="C5765">
            <v>31102192</v>
          </cell>
          <cell r="D5765">
            <v>31102192</v>
          </cell>
          <cell r="E5765">
            <v>31102192</v>
          </cell>
          <cell r="F5765">
            <v>31102192</v>
          </cell>
          <cell r="G5765">
            <v>31102192</v>
          </cell>
          <cell r="H5765">
            <v>31102192</v>
          </cell>
          <cell r="I5765" t="str">
            <v/>
          </cell>
          <cell r="J5765" t="str">
            <v/>
          </cell>
          <cell r="K5765" t="str">
            <v/>
          </cell>
          <cell r="L5765" t="str">
            <v/>
          </cell>
          <cell r="M5765" t="str">
            <v/>
          </cell>
        </row>
        <row r="5766">
          <cell r="A5766">
            <v>31102192</v>
          </cell>
          <cell r="C5766">
            <v>31102192</v>
          </cell>
          <cell r="D5766">
            <v>31102192</v>
          </cell>
          <cell r="E5766">
            <v>31102192</v>
          </cell>
          <cell r="F5766">
            <v>31102192</v>
          </cell>
          <cell r="G5766">
            <v>31102192</v>
          </cell>
          <cell r="H5766">
            <v>31102192</v>
          </cell>
          <cell r="I5766" t="str">
            <v/>
          </cell>
          <cell r="J5766" t="str">
            <v/>
          </cell>
          <cell r="K5766" t="str">
            <v/>
          </cell>
          <cell r="L5766" t="str">
            <v/>
          </cell>
          <cell r="M5766" t="str">
            <v/>
          </cell>
        </row>
        <row r="5767">
          <cell r="A5767">
            <v>31102192</v>
          </cell>
          <cell r="C5767">
            <v>31102192</v>
          </cell>
          <cell r="D5767">
            <v>31102192</v>
          </cell>
          <cell r="E5767">
            <v>31102192</v>
          </cell>
          <cell r="F5767">
            <v>31102192</v>
          </cell>
          <cell r="G5767">
            <v>31102192</v>
          </cell>
          <cell r="H5767">
            <v>31102192</v>
          </cell>
          <cell r="I5767" t="str">
            <v/>
          </cell>
          <cell r="J5767" t="str">
            <v/>
          </cell>
          <cell r="K5767" t="str">
            <v/>
          </cell>
          <cell r="L5767" t="str">
            <v/>
          </cell>
          <cell r="M5767" t="str">
            <v/>
          </cell>
        </row>
        <row r="5768">
          <cell r="A5768">
            <v>31102192</v>
          </cell>
          <cell r="C5768">
            <v>31102192</v>
          </cell>
          <cell r="D5768">
            <v>31102192</v>
          </cell>
          <cell r="E5768">
            <v>31102192</v>
          </cell>
          <cell r="F5768">
            <v>31102192</v>
          </cell>
          <cell r="G5768">
            <v>31102192</v>
          </cell>
          <cell r="H5768">
            <v>31102192</v>
          </cell>
          <cell r="I5768" t="str">
            <v/>
          </cell>
          <cell r="J5768" t="str">
            <v/>
          </cell>
          <cell r="K5768" t="str">
            <v/>
          </cell>
          <cell r="L5768" t="str">
            <v/>
          </cell>
          <cell r="M5768" t="str">
            <v/>
          </cell>
        </row>
        <row r="5769">
          <cell r="A5769">
            <v>31102192</v>
          </cell>
          <cell r="C5769">
            <v>31102192</v>
          </cell>
          <cell r="D5769">
            <v>31102192</v>
          </cell>
          <cell r="E5769">
            <v>31102192</v>
          </cell>
          <cell r="F5769">
            <v>31102192</v>
          </cell>
          <cell r="G5769">
            <v>31102192</v>
          </cell>
          <cell r="H5769">
            <v>31102192</v>
          </cell>
          <cell r="I5769" t="str">
            <v/>
          </cell>
          <cell r="J5769" t="str">
            <v/>
          </cell>
          <cell r="K5769" t="str">
            <v/>
          </cell>
          <cell r="L5769" t="str">
            <v/>
          </cell>
          <cell r="M5769" t="str">
            <v/>
          </cell>
        </row>
        <row r="5770">
          <cell r="A5770">
            <v>31102192</v>
          </cell>
          <cell r="C5770">
            <v>31102192</v>
          </cell>
          <cell r="D5770">
            <v>31102192</v>
          </cell>
          <cell r="E5770">
            <v>31102192</v>
          </cell>
          <cell r="F5770">
            <v>31102192</v>
          </cell>
          <cell r="G5770">
            <v>31102192</v>
          </cell>
          <cell r="H5770">
            <v>31102192</v>
          </cell>
          <cell r="I5770" t="str">
            <v/>
          </cell>
          <cell r="J5770" t="str">
            <v/>
          </cell>
          <cell r="K5770" t="str">
            <v/>
          </cell>
          <cell r="L5770" t="str">
            <v/>
          </cell>
          <cell r="M5770" t="str">
            <v/>
          </cell>
        </row>
        <row r="5771">
          <cell r="A5771">
            <v>31102192</v>
          </cell>
          <cell r="C5771">
            <v>31102192</v>
          </cell>
          <cell r="D5771">
            <v>31102192</v>
          </cell>
          <cell r="E5771">
            <v>31102192</v>
          </cell>
          <cell r="F5771">
            <v>31102192</v>
          </cell>
          <cell r="G5771">
            <v>31102192</v>
          </cell>
          <cell r="H5771">
            <v>31102192</v>
          </cell>
          <cell r="I5771" t="str">
            <v/>
          </cell>
          <cell r="J5771" t="str">
            <v/>
          </cell>
          <cell r="K5771" t="str">
            <v/>
          </cell>
          <cell r="L5771" t="str">
            <v/>
          </cell>
          <cell r="M5771" t="str">
            <v/>
          </cell>
        </row>
        <row r="5772">
          <cell r="A5772">
            <v>31102192</v>
          </cell>
          <cell r="C5772">
            <v>31102192</v>
          </cell>
          <cell r="D5772">
            <v>31102192</v>
          </cell>
          <cell r="E5772">
            <v>31102192</v>
          </cell>
          <cell r="F5772">
            <v>31102192</v>
          </cell>
          <cell r="G5772">
            <v>31102192</v>
          </cell>
          <cell r="H5772">
            <v>31102192</v>
          </cell>
          <cell r="I5772" t="str">
            <v/>
          </cell>
          <cell r="J5772" t="str">
            <v/>
          </cell>
          <cell r="K5772" t="str">
            <v/>
          </cell>
          <cell r="L5772" t="str">
            <v/>
          </cell>
          <cell r="M5772" t="str">
            <v/>
          </cell>
        </row>
        <row r="5773">
          <cell r="A5773">
            <v>31102192</v>
          </cell>
          <cell r="C5773">
            <v>31102192</v>
          </cell>
          <cell r="D5773">
            <v>31102192</v>
          </cell>
          <cell r="E5773">
            <v>31102192</v>
          </cell>
          <cell r="F5773">
            <v>31102192</v>
          </cell>
          <cell r="G5773">
            <v>31102192</v>
          </cell>
          <cell r="H5773">
            <v>31102192</v>
          </cell>
          <cell r="I5773" t="str">
            <v/>
          </cell>
          <cell r="J5773" t="str">
            <v/>
          </cell>
          <cell r="K5773" t="str">
            <v/>
          </cell>
          <cell r="L5773" t="str">
            <v/>
          </cell>
          <cell r="M5773" t="str">
            <v/>
          </cell>
        </row>
        <row r="5774">
          <cell r="A5774">
            <v>31102192</v>
          </cell>
          <cell r="C5774">
            <v>31102192</v>
          </cell>
          <cell r="D5774">
            <v>31102192</v>
          </cell>
          <cell r="E5774">
            <v>31102192</v>
          </cell>
          <cell r="F5774">
            <v>31102192</v>
          </cell>
          <cell r="G5774">
            <v>31102192</v>
          </cell>
          <cell r="H5774">
            <v>31102192</v>
          </cell>
          <cell r="I5774" t="str">
            <v/>
          </cell>
          <cell r="J5774" t="str">
            <v/>
          </cell>
          <cell r="K5774" t="str">
            <v/>
          </cell>
          <cell r="L5774" t="str">
            <v/>
          </cell>
          <cell r="M5774" t="str">
            <v/>
          </cell>
        </row>
        <row r="5775">
          <cell r="A5775">
            <v>31102192</v>
          </cell>
          <cell r="C5775">
            <v>31102192</v>
          </cell>
          <cell r="D5775">
            <v>31102192</v>
          </cell>
          <cell r="E5775">
            <v>31102192</v>
          </cell>
          <cell r="F5775">
            <v>31102192</v>
          </cell>
          <cell r="G5775">
            <v>31102192</v>
          </cell>
          <cell r="H5775">
            <v>31102192</v>
          </cell>
          <cell r="I5775" t="str">
            <v/>
          </cell>
          <cell r="J5775" t="str">
            <v/>
          </cell>
          <cell r="K5775" t="str">
            <v/>
          </cell>
          <cell r="L5775" t="str">
            <v/>
          </cell>
          <cell r="M5775" t="str">
            <v/>
          </cell>
        </row>
        <row r="5776">
          <cell r="A5776">
            <v>31102192</v>
          </cell>
          <cell r="C5776">
            <v>31102192</v>
          </cell>
          <cell r="D5776">
            <v>31102192</v>
          </cell>
          <cell r="E5776">
            <v>31102192</v>
          </cell>
          <cell r="F5776">
            <v>31102192</v>
          </cell>
          <cell r="G5776">
            <v>31102192</v>
          </cell>
          <cell r="H5776">
            <v>31102192</v>
          </cell>
          <cell r="I5776" t="str">
            <v/>
          </cell>
          <cell r="J5776" t="str">
            <v/>
          </cell>
          <cell r="K5776" t="str">
            <v/>
          </cell>
          <cell r="L5776" t="str">
            <v/>
          </cell>
          <cell r="M5776" t="str">
            <v/>
          </cell>
        </row>
        <row r="5777">
          <cell r="A5777">
            <v>31102192</v>
          </cell>
          <cell r="C5777">
            <v>31102192</v>
          </cell>
          <cell r="D5777">
            <v>31102192</v>
          </cell>
          <cell r="E5777">
            <v>31102192</v>
          </cell>
          <cell r="F5777">
            <v>31102192</v>
          </cell>
          <cell r="G5777">
            <v>31102192</v>
          </cell>
          <cell r="H5777">
            <v>31102192</v>
          </cell>
          <cell r="I5777" t="str">
            <v/>
          </cell>
          <cell r="J5777" t="str">
            <v/>
          </cell>
          <cell r="K5777" t="str">
            <v/>
          </cell>
          <cell r="L5777" t="str">
            <v/>
          </cell>
          <cell r="M5777" t="str">
            <v/>
          </cell>
        </row>
        <row r="5778">
          <cell r="A5778">
            <v>31102192</v>
          </cell>
          <cell r="C5778">
            <v>31102192</v>
          </cell>
          <cell r="D5778">
            <v>31102192</v>
          </cell>
          <cell r="E5778">
            <v>31102192</v>
          </cell>
          <cell r="F5778">
            <v>31102192</v>
          </cell>
          <cell r="G5778">
            <v>31102192</v>
          </cell>
          <cell r="H5778">
            <v>31102192</v>
          </cell>
          <cell r="I5778" t="str">
            <v/>
          </cell>
          <cell r="J5778" t="str">
            <v/>
          </cell>
          <cell r="K5778" t="str">
            <v/>
          </cell>
          <cell r="L5778" t="str">
            <v/>
          </cell>
          <cell r="M5778" t="str">
            <v/>
          </cell>
        </row>
        <row r="5779">
          <cell r="A5779">
            <v>31102192</v>
          </cell>
          <cell r="C5779">
            <v>31102192</v>
          </cell>
          <cell r="D5779">
            <v>31102192</v>
          </cell>
          <cell r="E5779">
            <v>31102192</v>
          </cell>
          <cell r="F5779">
            <v>31102192</v>
          </cell>
          <cell r="G5779">
            <v>31102192</v>
          </cell>
          <cell r="H5779">
            <v>31102192</v>
          </cell>
          <cell r="I5779" t="str">
            <v/>
          </cell>
          <cell r="J5779" t="str">
            <v/>
          </cell>
          <cell r="K5779" t="str">
            <v/>
          </cell>
          <cell r="L5779" t="str">
            <v/>
          </cell>
          <cell r="M5779" t="str">
            <v/>
          </cell>
        </row>
        <row r="5780">
          <cell r="A5780">
            <v>31102192</v>
          </cell>
          <cell r="C5780">
            <v>31102192</v>
          </cell>
          <cell r="D5780">
            <v>31102192</v>
          </cell>
          <cell r="E5780">
            <v>31102192</v>
          </cell>
          <cell r="F5780">
            <v>31102192</v>
          </cell>
          <cell r="G5780">
            <v>31102192</v>
          </cell>
          <cell r="H5780">
            <v>31102192</v>
          </cell>
          <cell r="I5780" t="str">
            <v/>
          </cell>
          <cell r="J5780" t="str">
            <v/>
          </cell>
          <cell r="K5780" t="str">
            <v/>
          </cell>
          <cell r="L5780" t="str">
            <v/>
          </cell>
          <cell r="M5780" t="str">
            <v/>
          </cell>
        </row>
        <row r="5781">
          <cell r="A5781">
            <v>31102192</v>
          </cell>
          <cell r="C5781">
            <v>31102192</v>
          </cell>
          <cell r="D5781">
            <v>31102192</v>
          </cell>
          <cell r="E5781">
            <v>31102192</v>
          </cell>
          <cell r="F5781">
            <v>31102192</v>
          </cell>
          <cell r="G5781">
            <v>31102192</v>
          </cell>
          <cell r="H5781">
            <v>31102192</v>
          </cell>
          <cell r="I5781" t="str">
            <v/>
          </cell>
          <cell r="J5781" t="str">
            <v/>
          </cell>
          <cell r="K5781" t="str">
            <v/>
          </cell>
          <cell r="L5781" t="str">
            <v/>
          </cell>
          <cell r="M5781" t="str">
            <v/>
          </cell>
        </row>
        <row r="5782">
          <cell r="A5782">
            <v>31102192</v>
          </cell>
          <cell r="C5782">
            <v>31102192</v>
          </cell>
          <cell r="D5782">
            <v>31102192</v>
          </cell>
          <cell r="E5782">
            <v>31102192</v>
          </cell>
          <cell r="F5782">
            <v>31102192</v>
          </cell>
          <cell r="G5782">
            <v>31102192</v>
          </cell>
          <cell r="H5782">
            <v>31102192</v>
          </cell>
          <cell r="I5782" t="str">
            <v/>
          </cell>
          <cell r="J5782" t="str">
            <v/>
          </cell>
          <cell r="K5782" t="str">
            <v/>
          </cell>
          <cell r="L5782" t="str">
            <v/>
          </cell>
          <cell r="M5782" t="str">
            <v/>
          </cell>
        </row>
        <row r="5783">
          <cell r="A5783">
            <v>31102192</v>
          </cell>
          <cell r="C5783">
            <v>31102192</v>
          </cell>
          <cell r="D5783">
            <v>31102192</v>
          </cell>
          <cell r="E5783">
            <v>31102192</v>
          </cell>
          <cell r="F5783">
            <v>31102192</v>
          </cell>
          <cell r="G5783">
            <v>31102192</v>
          </cell>
          <cell r="H5783">
            <v>31102192</v>
          </cell>
          <cell r="I5783" t="str">
            <v/>
          </cell>
          <cell r="J5783" t="str">
            <v/>
          </cell>
          <cell r="K5783" t="str">
            <v/>
          </cell>
          <cell r="L5783" t="str">
            <v/>
          </cell>
          <cell r="M5783" t="str">
            <v/>
          </cell>
        </row>
        <row r="5784">
          <cell r="A5784">
            <v>31102192</v>
          </cell>
          <cell r="C5784">
            <v>31102192</v>
          </cell>
          <cell r="D5784">
            <v>31102192</v>
          </cell>
          <cell r="E5784">
            <v>31102192</v>
          </cell>
          <cell r="F5784">
            <v>31102192</v>
          </cell>
          <cell r="G5784">
            <v>31102192</v>
          </cell>
          <cell r="H5784">
            <v>31102192</v>
          </cell>
          <cell r="I5784" t="str">
            <v/>
          </cell>
          <cell r="J5784" t="str">
            <v/>
          </cell>
          <cell r="K5784" t="str">
            <v/>
          </cell>
          <cell r="L5784" t="str">
            <v/>
          </cell>
          <cell r="M5784" t="str">
            <v/>
          </cell>
        </row>
        <row r="5785">
          <cell r="A5785">
            <v>31102192</v>
          </cell>
          <cell r="C5785">
            <v>31102192</v>
          </cell>
          <cell r="D5785">
            <v>31102192</v>
          </cell>
          <cell r="E5785">
            <v>31102192</v>
          </cell>
          <cell r="F5785">
            <v>31102192</v>
          </cell>
          <cell r="G5785">
            <v>31102192</v>
          </cell>
          <cell r="H5785">
            <v>31102192</v>
          </cell>
          <cell r="I5785" t="str">
            <v/>
          </cell>
          <cell r="J5785" t="str">
            <v/>
          </cell>
          <cell r="K5785" t="str">
            <v/>
          </cell>
          <cell r="L5785" t="str">
            <v/>
          </cell>
          <cell r="M5785" t="str">
            <v/>
          </cell>
        </row>
        <row r="5786">
          <cell r="A5786">
            <v>31102192</v>
          </cell>
          <cell r="C5786">
            <v>31102192</v>
          </cell>
          <cell r="D5786">
            <v>31102192</v>
          </cell>
          <cell r="E5786">
            <v>31102192</v>
          </cell>
          <cell r="F5786">
            <v>31102192</v>
          </cell>
          <cell r="G5786">
            <v>31102192</v>
          </cell>
          <cell r="H5786">
            <v>31102192</v>
          </cell>
          <cell r="I5786" t="str">
            <v/>
          </cell>
          <cell r="J5786" t="str">
            <v/>
          </cell>
          <cell r="K5786" t="str">
            <v/>
          </cell>
          <cell r="L5786" t="str">
            <v/>
          </cell>
          <cell r="M5786" t="str">
            <v/>
          </cell>
        </row>
        <row r="5787">
          <cell r="A5787">
            <v>31102192</v>
          </cell>
          <cell r="C5787">
            <v>31102192</v>
          </cell>
          <cell r="D5787">
            <v>31102192</v>
          </cell>
          <cell r="E5787">
            <v>31102192</v>
          </cell>
          <cell r="F5787">
            <v>31102192</v>
          </cell>
          <cell r="G5787">
            <v>31102192</v>
          </cell>
          <cell r="H5787">
            <v>31102192</v>
          </cell>
          <cell r="I5787" t="str">
            <v/>
          </cell>
          <cell r="J5787" t="str">
            <v/>
          </cell>
          <cell r="K5787" t="str">
            <v/>
          </cell>
          <cell r="L5787" t="str">
            <v/>
          </cell>
          <cell r="M5787" t="str">
            <v/>
          </cell>
        </row>
        <row r="5788">
          <cell r="A5788">
            <v>31102192</v>
          </cell>
          <cell r="C5788">
            <v>31102192</v>
          </cell>
          <cell r="D5788">
            <v>31102192</v>
          </cell>
          <cell r="E5788">
            <v>31102192</v>
          </cell>
          <cell r="F5788">
            <v>31102192</v>
          </cell>
          <cell r="G5788">
            <v>31102192</v>
          </cell>
          <cell r="H5788">
            <v>31102192</v>
          </cell>
          <cell r="I5788" t="str">
            <v/>
          </cell>
          <cell r="J5788" t="str">
            <v/>
          </cell>
          <cell r="K5788" t="str">
            <v/>
          </cell>
          <cell r="L5788" t="str">
            <v/>
          </cell>
          <cell r="M5788" t="str">
            <v/>
          </cell>
        </row>
        <row r="5789">
          <cell r="A5789">
            <v>31102192</v>
          </cell>
          <cell r="C5789">
            <v>31102192</v>
          </cell>
          <cell r="D5789">
            <v>31102192</v>
          </cell>
          <cell r="E5789">
            <v>31102192</v>
          </cell>
          <cell r="F5789">
            <v>31102192</v>
          </cell>
          <cell r="G5789">
            <v>31102192</v>
          </cell>
          <cell r="H5789">
            <v>31102192</v>
          </cell>
          <cell r="I5789" t="str">
            <v/>
          </cell>
          <cell r="J5789" t="str">
            <v/>
          </cell>
          <cell r="K5789" t="str">
            <v/>
          </cell>
          <cell r="L5789" t="str">
            <v/>
          </cell>
          <cell r="M5789" t="str">
            <v/>
          </cell>
        </row>
        <row r="5790">
          <cell r="A5790">
            <v>31102192</v>
          </cell>
          <cell r="C5790">
            <v>31102192</v>
          </cell>
          <cell r="D5790">
            <v>31102192</v>
          </cell>
          <cell r="E5790">
            <v>31102192</v>
          </cell>
          <cell r="F5790">
            <v>31102192</v>
          </cell>
          <cell r="G5790">
            <v>31102192</v>
          </cell>
          <cell r="H5790">
            <v>31102192</v>
          </cell>
          <cell r="I5790" t="str">
            <v/>
          </cell>
          <cell r="J5790" t="str">
            <v/>
          </cell>
          <cell r="K5790" t="str">
            <v/>
          </cell>
          <cell r="L5790" t="str">
            <v/>
          </cell>
          <cell r="M5790" t="str">
            <v/>
          </cell>
        </row>
        <row r="5791">
          <cell r="A5791">
            <v>31102192</v>
          </cell>
          <cell r="C5791">
            <v>31102192</v>
          </cell>
          <cell r="D5791">
            <v>31102192</v>
          </cell>
          <cell r="E5791">
            <v>31102192</v>
          </cell>
          <cell r="F5791">
            <v>31102192</v>
          </cell>
          <cell r="G5791">
            <v>31102192</v>
          </cell>
          <cell r="H5791">
            <v>31102192</v>
          </cell>
          <cell r="I5791" t="str">
            <v/>
          </cell>
          <cell r="J5791" t="str">
            <v/>
          </cell>
          <cell r="K5791" t="str">
            <v/>
          </cell>
          <cell r="L5791" t="str">
            <v/>
          </cell>
          <cell r="M5791" t="str">
            <v/>
          </cell>
        </row>
        <row r="5792">
          <cell r="A5792">
            <v>31102192</v>
          </cell>
          <cell r="C5792">
            <v>31102192</v>
          </cell>
          <cell r="D5792">
            <v>31102192</v>
          </cell>
          <cell r="E5792">
            <v>31102192</v>
          </cell>
          <cell r="F5792">
            <v>31102192</v>
          </cell>
          <cell r="G5792">
            <v>31102192</v>
          </cell>
          <cell r="H5792">
            <v>31102192</v>
          </cell>
          <cell r="I5792" t="str">
            <v/>
          </cell>
          <cell r="J5792" t="str">
            <v/>
          </cell>
          <cell r="K5792" t="str">
            <v/>
          </cell>
          <cell r="L5792" t="str">
            <v/>
          </cell>
          <cell r="M5792" t="str">
            <v/>
          </cell>
        </row>
        <row r="5793">
          <cell r="A5793">
            <v>31102192</v>
          </cell>
          <cell r="C5793">
            <v>31102192</v>
          </cell>
          <cell r="D5793">
            <v>31102192</v>
          </cell>
          <cell r="E5793">
            <v>31102192</v>
          </cell>
          <cell r="F5793">
            <v>31102192</v>
          </cell>
          <cell r="G5793">
            <v>31102192</v>
          </cell>
          <cell r="H5793">
            <v>31102192</v>
          </cell>
          <cell r="I5793" t="str">
            <v/>
          </cell>
          <cell r="J5793" t="str">
            <v/>
          </cell>
          <cell r="K5793" t="str">
            <v/>
          </cell>
          <cell r="L5793" t="str">
            <v/>
          </cell>
          <cell r="M5793" t="str">
            <v/>
          </cell>
        </row>
        <row r="5794">
          <cell r="A5794">
            <v>31102192</v>
          </cell>
          <cell r="C5794">
            <v>31102192</v>
          </cell>
          <cell r="D5794">
            <v>31102192</v>
          </cell>
          <cell r="E5794">
            <v>31102192</v>
          </cell>
          <cell r="F5794">
            <v>31102192</v>
          </cell>
          <cell r="G5794">
            <v>31102192</v>
          </cell>
          <cell r="H5794">
            <v>31102192</v>
          </cell>
          <cell r="I5794" t="str">
            <v/>
          </cell>
          <cell r="J5794" t="str">
            <v/>
          </cell>
          <cell r="K5794" t="str">
            <v/>
          </cell>
          <cell r="L5794" t="str">
            <v/>
          </cell>
          <cell r="M5794" t="str">
            <v/>
          </cell>
        </row>
        <row r="5795">
          <cell r="A5795">
            <v>31102192</v>
          </cell>
          <cell r="C5795">
            <v>31102192</v>
          </cell>
          <cell r="D5795">
            <v>31102192</v>
          </cell>
          <cell r="E5795">
            <v>31102192</v>
          </cell>
          <cell r="F5795">
            <v>31102192</v>
          </cell>
          <cell r="G5795">
            <v>31102192</v>
          </cell>
          <cell r="H5795">
            <v>31102192</v>
          </cell>
          <cell r="I5795" t="str">
            <v/>
          </cell>
          <cell r="J5795" t="str">
            <v/>
          </cell>
          <cell r="K5795" t="str">
            <v/>
          </cell>
          <cell r="L5795" t="str">
            <v/>
          </cell>
          <cell r="M5795" t="str">
            <v/>
          </cell>
        </row>
        <row r="5796">
          <cell r="A5796">
            <v>31102192</v>
          </cell>
          <cell r="C5796">
            <v>31102192</v>
          </cell>
          <cell r="D5796">
            <v>31102192</v>
          </cell>
          <cell r="E5796">
            <v>31102192</v>
          </cell>
          <cell r="F5796">
            <v>31102192</v>
          </cell>
          <cell r="G5796">
            <v>31102192</v>
          </cell>
          <cell r="H5796">
            <v>31102192</v>
          </cell>
          <cell r="I5796" t="str">
            <v/>
          </cell>
          <cell r="J5796" t="str">
            <v/>
          </cell>
          <cell r="K5796" t="str">
            <v/>
          </cell>
          <cell r="L5796" t="str">
            <v/>
          </cell>
          <cell r="M5796" t="str">
            <v/>
          </cell>
        </row>
        <row r="5797">
          <cell r="A5797">
            <v>31102192</v>
          </cell>
          <cell r="C5797">
            <v>31102192</v>
          </cell>
          <cell r="D5797">
            <v>31102192</v>
          </cell>
          <cell r="E5797">
            <v>31102192</v>
          </cell>
          <cell r="F5797">
            <v>31102192</v>
          </cell>
          <cell r="G5797">
            <v>31102192</v>
          </cell>
          <cell r="H5797">
            <v>31102192</v>
          </cell>
          <cell r="I5797" t="str">
            <v/>
          </cell>
          <cell r="J5797" t="str">
            <v/>
          </cell>
          <cell r="K5797" t="str">
            <v/>
          </cell>
          <cell r="L5797" t="str">
            <v/>
          </cell>
          <cell r="M5797" t="str">
            <v/>
          </cell>
        </row>
        <row r="5798">
          <cell r="A5798">
            <v>31102192</v>
          </cell>
          <cell r="C5798">
            <v>31102192</v>
          </cell>
          <cell r="D5798">
            <v>31102192</v>
          </cell>
          <cell r="E5798">
            <v>31102192</v>
          </cell>
          <cell r="F5798">
            <v>31102192</v>
          </cell>
          <cell r="G5798">
            <v>31102192</v>
          </cell>
          <cell r="H5798">
            <v>31102192</v>
          </cell>
          <cell r="I5798" t="str">
            <v/>
          </cell>
          <cell r="J5798" t="str">
            <v/>
          </cell>
          <cell r="K5798" t="str">
            <v/>
          </cell>
          <cell r="L5798" t="str">
            <v/>
          </cell>
          <cell r="M5798" t="str">
            <v/>
          </cell>
        </row>
        <row r="5799">
          <cell r="A5799">
            <v>31102192</v>
          </cell>
          <cell r="C5799">
            <v>31102192</v>
          </cell>
          <cell r="D5799">
            <v>31102192</v>
          </cell>
          <cell r="E5799">
            <v>31102192</v>
          </cell>
          <cell r="F5799">
            <v>31102192</v>
          </cell>
          <cell r="G5799">
            <v>31102192</v>
          </cell>
          <cell r="H5799">
            <v>31102192</v>
          </cell>
          <cell r="I5799" t="str">
            <v/>
          </cell>
          <cell r="J5799" t="str">
            <v/>
          </cell>
          <cell r="K5799" t="str">
            <v/>
          </cell>
          <cell r="L5799" t="str">
            <v/>
          </cell>
          <cell r="M5799" t="str">
            <v/>
          </cell>
        </row>
        <row r="5800">
          <cell r="A5800">
            <v>31102192</v>
          </cell>
          <cell r="C5800">
            <v>31102192</v>
          </cell>
          <cell r="D5800">
            <v>31102192</v>
          </cell>
          <cell r="E5800">
            <v>31102192</v>
          </cell>
          <cell r="F5800">
            <v>31102192</v>
          </cell>
          <cell r="G5800">
            <v>31102192</v>
          </cell>
          <cell r="H5800">
            <v>31102192</v>
          </cell>
          <cell r="I5800" t="str">
            <v/>
          </cell>
          <cell r="J5800" t="str">
            <v/>
          </cell>
          <cell r="K5800" t="str">
            <v/>
          </cell>
          <cell r="L5800" t="str">
            <v/>
          </cell>
          <cell r="M5800" t="str">
            <v/>
          </cell>
        </row>
        <row r="5801">
          <cell r="A5801">
            <v>31102192</v>
          </cell>
          <cell r="C5801">
            <v>31102192</v>
          </cell>
          <cell r="D5801">
            <v>31102192</v>
          </cell>
          <cell r="E5801">
            <v>31102192</v>
          </cell>
          <cell r="F5801">
            <v>31102192</v>
          </cell>
          <cell r="G5801">
            <v>31102192</v>
          </cell>
          <cell r="H5801">
            <v>31102192</v>
          </cell>
          <cell r="I5801" t="str">
            <v/>
          </cell>
          <cell r="J5801" t="str">
            <v/>
          </cell>
          <cell r="K5801" t="str">
            <v/>
          </cell>
          <cell r="L5801" t="str">
            <v/>
          </cell>
          <cell r="M5801" t="str">
            <v/>
          </cell>
        </row>
        <row r="5802">
          <cell r="A5802">
            <v>31102192</v>
          </cell>
          <cell r="C5802">
            <v>31102192</v>
          </cell>
          <cell r="D5802">
            <v>31102192</v>
          </cell>
          <cell r="E5802">
            <v>31102192</v>
          </cell>
          <cell r="F5802">
            <v>31102192</v>
          </cell>
          <cell r="G5802">
            <v>31102192</v>
          </cell>
          <cell r="H5802">
            <v>31102192</v>
          </cell>
          <cell r="I5802" t="str">
            <v/>
          </cell>
          <cell r="J5802" t="str">
            <v/>
          </cell>
          <cell r="K5802" t="str">
            <v/>
          </cell>
          <cell r="L5802" t="str">
            <v/>
          </cell>
          <cell r="M5802" t="str">
            <v/>
          </cell>
        </row>
        <row r="5803">
          <cell r="A5803">
            <v>31102192</v>
          </cell>
          <cell r="C5803">
            <v>31102192</v>
          </cell>
          <cell r="D5803">
            <v>31102192</v>
          </cell>
          <cell r="E5803">
            <v>31102192</v>
          </cell>
          <cell r="F5803">
            <v>31102192</v>
          </cell>
          <cell r="G5803">
            <v>31102192</v>
          </cell>
          <cell r="H5803">
            <v>31102192</v>
          </cell>
          <cell r="I5803" t="str">
            <v/>
          </cell>
          <cell r="J5803" t="str">
            <v/>
          </cell>
          <cell r="K5803" t="str">
            <v/>
          </cell>
          <cell r="L5803" t="str">
            <v/>
          </cell>
          <cell r="M5803" t="str">
            <v/>
          </cell>
        </row>
        <row r="5804">
          <cell r="A5804">
            <v>31102192</v>
          </cell>
          <cell r="C5804">
            <v>31102192</v>
          </cell>
          <cell r="D5804">
            <v>31102192</v>
          </cell>
          <cell r="E5804">
            <v>31102192</v>
          </cell>
          <cell r="F5804">
            <v>31102192</v>
          </cell>
          <cell r="G5804">
            <v>31102192</v>
          </cell>
          <cell r="H5804">
            <v>31102192</v>
          </cell>
          <cell r="I5804" t="str">
            <v/>
          </cell>
          <cell r="J5804" t="str">
            <v/>
          </cell>
          <cell r="K5804" t="str">
            <v/>
          </cell>
          <cell r="L5804" t="str">
            <v/>
          </cell>
          <cell r="M5804" t="str">
            <v/>
          </cell>
        </row>
        <row r="5805">
          <cell r="A5805">
            <v>31102192</v>
          </cell>
          <cell r="C5805">
            <v>31102192</v>
          </cell>
          <cell r="D5805">
            <v>31102192</v>
          </cell>
          <cell r="E5805">
            <v>31102192</v>
          </cell>
          <cell r="F5805">
            <v>31102192</v>
          </cell>
          <cell r="G5805">
            <v>31102192</v>
          </cell>
          <cell r="H5805">
            <v>31102192</v>
          </cell>
          <cell r="I5805" t="str">
            <v/>
          </cell>
          <cell r="J5805" t="str">
            <v/>
          </cell>
          <cell r="K5805" t="str">
            <v/>
          </cell>
          <cell r="L5805" t="str">
            <v/>
          </cell>
          <cell r="M5805" t="str">
            <v/>
          </cell>
        </row>
        <row r="5806">
          <cell r="A5806">
            <v>31102192</v>
          </cell>
          <cell r="C5806">
            <v>31102192</v>
          </cell>
          <cell r="D5806">
            <v>31102192</v>
          </cell>
          <cell r="E5806">
            <v>31102192</v>
          </cell>
          <cell r="F5806">
            <v>31102192</v>
          </cell>
          <cell r="G5806">
            <v>31102192</v>
          </cell>
          <cell r="H5806">
            <v>31102192</v>
          </cell>
          <cell r="I5806" t="str">
            <v/>
          </cell>
          <cell r="J5806" t="str">
            <v/>
          </cell>
          <cell r="K5806" t="str">
            <v/>
          </cell>
          <cell r="L5806" t="str">
            <v/>
          </cell>
          <cell r="M5806" t="str">
            <v/>
          </cell>
        </row>
        <row r="5807">
          <cell r="A5807">
            <v>31102192</v>
          </cell>
          <cell r="C5807">
            <v>31102192</v>
          </cell>
          <cell r="D5807">
            <v>31102192</v>
          </cell>
          <cell r="E5807">
            <v>31102192</v>
          </cell>
          <cell r="F5807">
            <v>31102192</v>
          </cell>
          <cell r="G5807">
            <v>31102192</v>
          </cell>
          <cell r="H5807">
            <v>31102192</v>
          </cell>
          <cell r="I5807" t="str">
            <v/>
          </cell>
          <cell r="J5807" t="str">
            <v/>
          </cell>
          <cell r="K5807" t="str">
            <v/>
          </cell>
          <cell r="L5807" t="str">
            <v/>
          </cell>
          <cell r="M5807" t="str">
            <v/>
          </cell>
        </row>
        <row r="5808">
          <cell r="A5808">
            <v>31102192</v>
          </cell>
          <cell r="C5808">
            <v>31102192</v>
          </cell>
          <cell r="D5808">
            <v>31102192</v>
          </cell>
          <cell r="E5808">
            <v>31102192</v>
          </cell>
          <cell r="F5808">
            <v>31102192</v>
          </cell>
          <cell r="G5808">
            <v>31102192</v>
          </cell>
          <cell r="H5808">
            <v>31102192</v>
          </cell>
          <cell r="I5808" t="str">
            <v/>
          </cell>
          <cell r="J5808" t="str">
            <v/>
          </cell>
          <cell r="K5808" t="str">
            <v/>
          </cell>
          <cell r="L5808" t="str">
            <v/>
          </cell>
          <cell r="M5808" t="str">
            <v/>
          </cell>
        </row>
        <row r="5809">
          <cell r="A5809">
            <v>31102192</v>
          </cell>
          <cell r="C5809">
            <v>31102192</v>
          </cell>
          <cell r="D5809">
            <v>31102192</v>
          </cell>
          <cell r="E5809">
            <v>31102192</v>
          </cell>
          <cell r="F5809">
            <v>31102192</v>
          </cell>
          <cell r="G5809">
            <v>31102192</v>
          </cell>
          <cell r="H5809">
            <v>31102192</v>
          </cell>
          <cell r="I5809" t="str">
            <v/>
          </cell>
          <cell r="J5809" t="str">
            <v/>
          </cell>
          <cell r="K5809" t="str">
            <v/>
          </cell>
          <cell r="L5809" t="str">
            <v/>
          </cell>
          <cell r="M5809" t="str">
            <v/>
          </cell>
        </row>
        <row r="5810">
          <cell r="A5810">
            <v>31102192</v>
          </cell>
          <cell r="C5810">
            <v>31102192</v>
          </cell>
          <cell r="D5810">
            <v>31102192</v>
          </cell>
          <cell r="E5810">
            <v>31102192</v>
          </cell>
          <cell r="F5810">
            <v>31102192</v>
          </cell>
          <cell r="G5810">
            <v>31102192</v>
          </cell>
          <cell r="H5810">
            <v>31102192</v>
          </cell>
          <cell r="I5810" t="str">
            <v/>
          </cell>
          <cell r="J5810" t="str">
            <v/>
          </cell>
          <cell r="K5810" t="str">
            <v/>
          </cell>
          <cell r="L5810" t="str">
            <v/>
          </cell>
          <cell r="M5810" t="str">
            <v/>
          </cell>
        </row>
        <row r="5811">
          <cell r="A5811">
            <v>31102192</v>
          </cell>
          <cell r="C5811">
            <v>31102192</v>
          </cell>
          <cell r="D5811">
            <v>31102192</v>
          </cell>
          <cell r="E5811">
            <v>31102192</v>
          </cell>
          <cell r="F5811">
            <v>31102192</v>
          </cell>
          <cell r="G5811">
            <v>31102192</v>
          </cell>
          <cell r="H5811">
            <v>31102192</v>
          </cell>
          <cell r="I5811" t="str">
            <v/>
          </cell>
          <cell r="J5811" t="str">
            <v/>
          </cell>
          <cell r="K5811" t="str">
            <v/>
          </cell>
          <cell r="L5811" t="str">
            <v/>
          </cell>
          <cell r="M5811" t="str">
            <v/>
          </cell>
        </row>
        <row r="5812">
          <cell r="A5812">
            <v>31102192</v>
          </cell>
          <cell r="C5812">
            <v>31102192</v>
          </cell>
          <cell r="D5812">
            <v>31102192</v>
          </cell>
          <cell r="E5812">
            <v>31102192</v>
          </cell>
          <cell r="F5812">
            <v>31102192</v>
          </cell>
          <cell r="G5812">
            <v>31102192</v>
          </cell>
          <cell r="H5812">
            <v>31102192</v>
          </cell>
          <cell r="I5812" t="str">
            <v/>
          </cell>
          <cell r="J5812" t="str">
            <v/>
          </cell>
          <cell r="K5812" t="str">
            <v/>
          </cell>
          <cell r="L5812" t="str">
            <v/>
          </cell>
          <cell r="M5812" t="str">
            <v/>
          </cell>
        </row>
        <row r="5813">
          <cell r="A5813">
            <v>31102192</v>
          </cell>
          <cell r="C5813">
            <v>31102192</v>
          </cell>
          <cell r="D5813">
            <v>31102192</v>
          </cell>
          <cell r="E5813">
            <v>31102192</v>
          </cell>
          <cell r="F5813">
            <v>31102192</v>
          </cell>
          <cell r="G5813">
            <v>31102192</v>
          </cell>
          <cell r="H5813">
            <v>31102192</v>
          </cell>
          <cell r="I5813" t="str">
            <v/>
          </cell>
          <cell r="J5813" t="str">
            <v/>
          </cell>
          <cell r="K5813" t="str">
            <v/>
          </cell>
          <cell r="L5813" t="str">
            <v/>
          </cell>
          <cell r="M5813" t="str">
            <v/>
          </cell>
        </row>
        <row r="5814">
          <cell r="A5814">
            <v>31102192</v>
          </cell>
          <cell r="C5814">
            <v>31102192</v>
          </cell>
          <cell r="D5814">
            <v>31102192</v>
          </cell>
          <cell r="E5814">
            <v>31102192</v>
          </cell>
          <cell r="F5814">
            <v>31102192</v>
          </cell>
          <cell r="G5814">
            <v>31102192</v>
          </cell>
          <cell r="H5814">
            <v>31102192</v>
          </cell>
          <cell r="I5814" t="str">
            <v/>
          </cell>
          <cell r="J5814" t="str">
            <v/>
          </cell>
          <cell r="K5814" t="str">
            <v/>
          </cell>
          <cell r="L5814" t="str">
            <v/>
          </cell>
          <cell r="M5814" t="str">
            <v/>
          </cell>
        </row>
        <row r="5815">
          <cell r="A5815">
            <v>31102192</v>
          </cell>
          <cell r="C5815">
            <v>31102192</v>
          </cell>
          <cell r="D5815">
            <v>31102192</v>
          </cell>
          <cell r="E5815">
            <v>31102192</v>
          </cell>
          <cell r="F5815">
            <v>31102192</v>
          </cell>
          <cell r="G5815">
            <v>31102192</v>
          </cell>
          <cell r="H5815">
            <v>31102192</v>
          </cell>
          <cell r="I5815" t="str">
            <v/>
          </cell>
          <cell r="J5815" t="str">
            <v/>
          </cell>
          <cell r="K5815" t="str">
            <v/>
          </cell>
          <cell r="L5815" t="str">
            <v/>
          </cell>
          <cell r="M5815" t="str">
            <v/>
          </cell>
        </row>
        <row r="5816">
          <cell r="A5816">
            <v>31102192</v>
          </cell>
          <cell r="C5816">
            <v>31102192</v>
          </cell>
          <cell r="D5816">
            <v>31102192</v>
          </cell>
          <cell r="E5816">
            <v>31102192</v>
          </cell>
          <cell r="F5816">
            <v>31102192</v>
          </cell>
          <cell r="G5816">
            <v>31102192</v>
          </cell>
          <cell r="H5816">
            <v>31102192</v>
          </cell>
          <cell r="I5816" t="str">
            <v/>
          </cell>
          <cell r="J5816" t="str">
            <v/>
          </cell>
          <cell r="K5816" t="str">
            <v/>
          </cell>
          <cell r="L5816" t="str">
            <v/>
          </cell>
          <cell r="M5816" t="str">
            <v/>
          </cell>
        </row>
        <row r="5817">
          <cell r="A5817">
            <v>31102192</v>
          </cell>
          <cell r="C5817">
            <v>31102192</v>
          </cell>
          <cell r="D5817">
            <v>31102192</v>
          </cell>
          <cell r="E5817">
            <v>31102192</v>
          </cell>
          <cell r="F5817">
            <v>31102192</v>
          </cell>
          <cell r="G5817">
            <v>31102192</v>
          </cell>
          <cell r="H5817">
            <v>31102192</v>
          </cell>
          <cell r="I5817" t="str">
            <v/>
          </cell>
          <cell r="J5817" t="str">
            <v/>
          </cell>
          <cell r="K5817" t="str">
            <v/>
          </cell>
          <cell r="L5817" t="str">
            <v/>
          </cell>
          <cell r="M5817" t="str">
            <v/>
          </cell>
        </row>
        <row r="5818">
          <cell r="A5818">
            <v>31102192</v>
          </cell>
          <cell r="C5818">
            <v>31102192</v>
          </cell>
          <cell r="D5818">
            <v>31102192</v>
          </cell>
          <cell r="E5818">
            <v>31102192</v>
          </cell>
          <cell r="F5818">
            <v>31102192</v>
          </cell>
          <cell r="G5818">
            <v>31102192</v>
          </cell>
          <cell r="H5818">
            <v>31102192</v>
          </cell>
          <cell r="I5818" t="str">
            <v/>
          </cell>
          <cell r="J5818" t="str">
            <v/>
          </cell>
          <cell r="K5818" t="str">
            <v/>
          </cell>
          <cell r="L5818" t="str">
            <v/>
          </cell>
          <cell r="M5818" t="str">
            <v/>
          </cell>
        </row>
        <row r="5819">
          <cell r="A5819">
            <v>31102192</v>
          </cell>
          <cell r="C5819">
            <v>31102192</v>
          </cell>
          <cell r="D5819">
            <v>31102192</v>
          </cell>
          <cell r="E5819">
            <v>31102192</v>
          </cell>
          <cell r="F5819">
            <v>31102192</v>
          </cell>
          <cell r="G5819">
            <v>31102192</v>
          </cell>
          <cell r="H5819">
            <v>31102192</v>
          </cell>
          <cell r="I5819" t="str">
            <v/>
          </cell>
          <cell r="J5819" t="str">
            <v/>
          </cell>
          <cell r="K5819" t="str">
            <v/>
          </cell>
          <cell r="L5819" t="str">
            <v/>
          </cell>
          <cell r="M5819" t="str">
            <v/>
          </cell>
        </row>
        <row r="5820">
          <cell r="A5820">
            <v>31102192</v>
          </cell>
          <cell r="C5820">
            <v>31102192</v>
          </cell>
          <cell r="D5820">
            <v>31102192</v>
          </cell>
          <cell r="E5820">
            <v>31102192</v>
          </cell>
          <cell r="F5820">
            <v>31102192</v>
          </cell>
          <cell r="G5820">
            <v>31102192</v>
          </cell>
          <cell r="H5820">
            <v>31102192</v>
          </cell>
          <cell r="I5820" t="str">
            <v/>
          </cell>
          <cell r="J5820" t="str">
            <v/>
          </cell>
          <cell r="K5820" t="str">
            <v/>
          </cell>
          <cell r="L5820" t="str">
            <v/>
          </cell>
          <cell r="M5820" t="str">
            <v/>
          </cell>
        </row>
        <row r="5821">
          <cell r="A5821">
            <v>31102192</v>
          </cell>
          <cell r="C5821">
            <v>31102192</v>
          </cell>
          <cell r="D5821">
            <v>31102192</v>
          </cell>
          <cell r="E5821">
            <v>31102192</v>
          </cell>
          <cell r="F5821">
            <v>31102192</v>
          </cell>
          <cell r="G5821">
            <v>31102192</v>
          </cell>
          <cell r="H5821">
            <v>31102192</v>
          </cell>
          <cell r="I5821" t="str">
            <v/>
          </cell>
          <cell r="J5821" t="str">
            <v/>
          </cell>
          <cell r="K5821" t="str">
            <v/>
          </cell>
          <cell r="L5821" t="str">
            <v/>
          </cell>
          <cell r="M5821" t="str">
            <v/>
          </cell>
        </row>
        <row r="5822">
          <cell r="A5822">
            <v>31102192</v>
          </cell>
          <cell r="C5822">
            <v>31102192</v>
          </cell>
          <cell r="D5822">
            <v>31102192</v>
          </cell>
          <cell r="E5822">
            <v>31102192</v>
          </cell>
          <cell r="F5822">
            <v>31102192</v>
          </cell>
          <cell r="G5822">
            <v>31102192</v>
          </cell>
          <cell r="H5822">
            <v>31102192</v>
          </cell>
          <cell r="I5822" t="str">
            <v/>
          </cell>
          <cell r="J5822" t="str">
            <v/>
          </cell>
          <cell r="K5822" t="str">
            <v/>
          </cell>
          <cell r="L5822" t="str">
            <v/>
          </cell>
          <cell r="M5822" t="str">
            <v/>
          </cell>
        </row>
        <row r="5823">
          <cell r="A5823">
            <v>31102192</v>
          </cell>
          <cell r="C5823">
            <v>31102192</v>
          </cell>
          <cell r="D5823">
            <v>31102192</v>
          </cell>
          <cell r="E5823">
            <v>31102192</v>
          </cell>
          <cell r="F5823">
            <v>31102192</v>
          </cell>
          <cell r="G5823">
            <v>31102192</v>
          </cell>
          <cell r="H5823">
            <v>31102192</v>
          </cell>
          <cell r="I5823" t="str">
            <v/>
          </cell>
          <cell r="J5823" t="str">
            <v/>
          </cell>
          <cell r="K5823" t="str">
            <v/>
          </cell>
          <cell r="L5823" t="str">
            <v/>
          </cell>
          <cell r="M5823" t="str">
            <v/>
          </cell>
        </row>
        <row r="5824">
          <cell r="A5824">
            <v>31102192</v>
          </cell>
          <cell r="C5824">
            <v>31102192</v>
          </cell>
          <cell r="D5824">
            <v>31102192</v>
          </cell>
          <cell r="E5824">
            <v>31102192</v>
          </cell>
          <cell r="F5824">
            <v>31102192</v>
          </cell>
          <cell r="G5824">
            <v>31102192</v>
          </cell>
          <cell r="H5824">
            <v>31102192</v>
          </cell>
          <cell r="I5824" t="str">
            <v/>
          </cell>
          <cell r="J5824" t="str">
            <v/>
          </cell>
          <cell r="K5824" t="str">
            <v/>
          </cell>
          <cell r="L5824" t="str">
            <v/>
          </cell>
          <cell r="M5824" t="str">
            <v/>
          </cell>
        </row>
        <row r="5825">
          <cell r="A5825">
            <v>31102192</v>
          </cell>
          <cell r="C5825">
            <v>31102192</v>
          </cell>
          <cell r="D5825">
            <v>31102192</v>
          </cell>
          <cell r="E5825">
            <v>31102192</v>
          </cell>
          <cell r="F5825">
            <v>31102192</v>
          </cell>
          <cell r="G5825">
            <v>31102192</v>
          </cell>
          <cell r="H5825">
            <v>31102192</v>
          </cell>
          <cell r="I5825" t="str">
            <v/>
          </cell>
          <cell r="J5825" t="str">
            <v/>
          </cell>
          <cell r="K5825" t="str">
            <v/>
          </cell>
          <cell r="L5825" t="str">
            <v/>
          </cell>
          <cell r="M5825" t="str">
            <v/>
          </cell>
        </row>
        <row r="5826">
          <cell r="A5826">
            <v>31102192</v>
          </cell>
          <cell r="C5826">
            <v>31102192</v>
          </cell>
          <cell r="D5826">
            <v>31102192</v>
          </cell>
          <cell r="E5826">
            <v>31102192</v>
          </cell>
          <cell r="F5826">
            <v>31102192</v>
          </cell>
          <cell r="G5826">
            <v>31102192</v>
          </cell>
          <cell r="H5826">
            <v>31102192</v>
          </cell>
          <cell r="I5826" t="str">
            <v/>
          </cell>
          <cell r="J5826" t="str">
            <v/>
          </cell>
          <cell r="K5826" t="str">
            <v/>
          </cell>
          <cell r="L5826" t="str">
            <v/>
          </cell>
          <cell r="M5826" t="str">
            <v/>
          </cell>
        </row>
        <row r="5827">
          <cell r="A5827">
            <v>31102192</v>
          </cell>
          <cell r="C5827">
            <v>31102192</v>
          </cell>
          <cell r="D5827">
            <v>31102192</v>
          </cell>
          <cell r="E5827">
            <v>31102192</v>
          </cell>
          <cell r="F5827">
            <v>31102192</v>
          </cell>
          <cell r="G5827">
            <v>31102192</v>
          </cell>
          <cell r="H5827">
            <v>31102192</v>
          </cell>
          <cell r="I5827" t="str">
            <v/>
          </cell>
          <cell r="J5827" t="str">
            <v/>
          </cell>
          <cell r="K5827" t="str">
            <v/>
          </cell>
          <cell r="L5827" t="str">
            <v/>
          </cell>
          <cell r="M5827" t="str">
            <v/>
          </cell>
        </row>
        <row r="5828">
          <cell r="A5828">
            <v>31102192</v>
          </cell>
          <cell r="C5828">
            <v>31102192</v>
          </cell>
          <cell r="D5828">
            <v>31102192</v>
          </cell>
          <cell r="E5828">
            <v>31102192</v>
          </cell>
          <cell r="F5828">
            <v>31102192</v>
          </cell>
          <cell r="G5828">
            <v>31102192</v>
          </cell>
          <cell r="H5828">
            <v>31102192</v>
          </cell>
          <cell r="I5828" t="str">
            <v/>
          </cell>
          <cell r="J5828" t="str">
            <v/>
          </cell>
          <cell r="K5828" t="str">
            <v/>
          </cell>
          <cell r="L5828" t="str">
            <v/>
          </cell>
          <cell r="M5828" t="str">
            <v/>
          </cell>
        </row>
        <row r="5829">
          <cell r="A5829">
            <v>31102192</v>
          </cell>
          <cell r="C5829">
            <v>31102192</v>
          </cell>
          <cell r="D5829">
            <v>31102192</v>
          </cell>
          <cell r="E5829">
            <v>31102192</v>
          </cell>
          <cell r="F5829">
            <v>31102192</v>
          </cell>
          <cell r="G5829">
            <v>31102192</v>
          </cell>
          <cell r="H5829">
            <v>31102192</v>
          </cell>
          <cell r="I5829" t="str">
            <v/>
          </cell>
          <cell r="J5829" t="str">
            <v/>
          </cell>
          <cell r="K5829" t="str">
            <v/>
          </cell>
          <cell r="L5829" t="str">
            <v/>
          </cell>
          <cell r="M5829" t="str">
            <v/>
          </cell>
        </row>
        <row r="5830">
          <cell r="A5830">
            <v>31102192</v>
          </cell>
          <cell r="C5830">
            <v>31102192</v>
          </cell>
          <cell r="D5830">
            <v>31102192</v>
          </cell>
          <cell r="E5830">
            <v>31102192</v>
          </cell>
          <cell r="F5830">
            <v>31102192</v>
          </cell>
          <cell r="G5830">
            <v>31102192</v>
          </cell>
          <cell r="H5830">
            <v>31102192</v>
          </cell>
          <cell r="I5830" t="str">
            <v/>
          </cell>
          <cell r="J5830" t="str">
            <v/>
          </cell>
          <cell r="K5830" t="str">
            <v/>
          </cell>
          <cell r="L5830" t="str">
            <v/>
          </cell>
          <cell r="M5830" t="str">
            <v/>
          </cell>
        </row>
        <row r="5831">
          <cell r="A5831">
            <v>31102192</v>
          </cell>
          <cell r="C5831">
            <v>31102192</v>
          </cell>
          <cell r="D5831">
            <v>31102192</v>
          </cell>
          <cell r="E5831">
            <v>31102192</v>
          </cell>
          <cell r="F5831">
            <v>31102192</v>
          </cell>
          <cell r="G5831">
            <v>31102192</v>
          </cell>
          <cell r="H5831">
            <v>31102192</v>
          </cell>
          <cell r="I5831" t="str">
            <v/>
          </cell>
          <cell r="J5831" t="str">
            <v/>
          </cell>
          <cell r="K5831" t="str">
            <v/>
          </cell>
          <cell r="L5831" t="str">
            <v/>
          </cell>
          <cell r="M5831" t="str">
            <v/>
          </cell>
        </row>
        <row r="5832">
          <cell r="A5832">
            <v>31102192</v>
          </cell>
          <cell r="C5832">
            <v>31102192</v>
          </cell>
          <cell r="D5832">
            <v>31102192</v>
          </cell>
          <cell r="E5832">
            <v>31102192</v>
          </cell>
          <cell r="F5832">
            <v>31102192</v>
          </cell>
          <cell r="G5832">
            <v>31102192</v>
          </cell>
          <cell r="H5832">
            <v>31102192</v>
          </cell>
          <cell r="I5832" t="str">
            <v/>
          </cell>
          <cell r="J5832" t="str">
            <v/>
          </cell>
          <cell r="K5832" t="str">
            <v/>
          </cell>
          <cell r="L5832" t="str">
            <v/>
          </cell>
          <cell r="M5832" t="str">
            <v/>
          </cell>
        </row>
        <row r="5833">
          <cell r="A5833">
            <v>31102192</v>
          </cell>
          <cell r="C5833">
            <v>31102192</v>
          </cell>
          <cell r="D5833">
            <v>31102192</v>
          </cell>
          <cell r="E5833">
            <v>31102192</v>
          </cell>
          <cell r="F5833">
            <v>31102192</v>
          </cell>
          <cell r="G5833">
            <v>31102192</v>
          </cell>
          <cell r="H5833">
            <v>31102192</v>
          </cell>
          <cell r="I5833" t="str">
            <v/>
          </cell>
          <cell r="J5833" t="str">
            <v/>
          </cell>
          <cell r="K5833" t="str">
            <v/>
          </cell>
          <cell r="L5833" t="str">
            <v/>
          </cell>
          <cell r="M5833" t="str">
            <v/>
          </cell>
        </row>
        <row r="5834">
          <cell r="A5834">
            <v>31102192</v>
          </cell>
          <cell r="C5834">
            <v>31102192</v>
          </cell>
          <cell r="D5834">
            <v>31102192</v>
          </cell>
          <cell r="E5834">
            <v>31102192</v>
          </cell>
          <cell r="F5834">
            <v>31102192</v>
          </cell>
          <cell r="G5834">
            <v>31102192</v>
          </cell>
          <cell r="H5834">
            <v>31102192</v>
          </cell>
          <cell r="I5834" t="str">
            <v/>
          </cell>
          <cell r="J5834" t="str">
            <v/>
          </cell>
          <cell r="K5834" t="str">
            <v/>
          </cell>
          <cell r="L5834" t="str">
            <v/>
          </cell>
          <cell r="M5834" t="str">
            <v/>
          </cell>
        </row>
        <row r="5835">
          <cell r="A5835">
            <v>31102192</v>
          </cell>
          <cell r="C5835">
            <v>31102192</v>
          </cell>
          <cell r="D5835">
            <v>31102192</v>
          </cell>
          <cell r="E5835">
            <v>31102192</v>
          </cell>
          <cell r="F5835">
            <v>31102192</v>
          </cell>
          <cell r="G5835">
            <v>31102192</v>
          </cell>
          <cell r="H5835">
            <v>31102192</v>
          </cell>
          <cell r="I5835" t="str">
            <v/>
          </cell>
          <cell r="J5835" t="str">
            <v/>
          </cell>
          <cell r="K5835" t="str">
            <v/>
          </cell>
          <cell r="L5835" t="str">
            <v/>
          </cell>
          <cell r="M5835" t="str">
            <v/>
          </cell>
        </row>
        <row r="5836">
          <cell r="A5836">
            <v>31102192</v>
          </cell>
          <cell r="C5836">
            <v>31102192</v>
          </cell>
          <cell r="D5836">
            <v>31102192</v>
          </cell>
          <cell r="E5836">
            <v>31102192</v>
          </cell>
          <cell r="F5836">
            <v>31102192</v>
          </cell>
          <cell r="G5836">
            <v>31102192</v>
          </cell>
          <cell r="H5836">
            <v>31102192</v>
          </cell>
          <cell r="I5836" t="str">
            <v/>
          </cell>
          <cell r="J5836" t="str">
            <v/>
          </cell>
          <cell r="K5836" t="str">
            <v/>
          </cell>
          <cell r="L5836" t="str">
            <v/>
          </cell>
          <cell r="M5836" t="str">
            <v/>
          </cell>
        </row>
        <row r="5837">
          <cell r="A5837">
            <v>31102192</v>
          </cell>
          <cell r="C5837">
            <v>31102192</v>
          </cell>
          <cell r="D5837">
            <v>31102192</v>
          </cell>
          <cell r="E5837">
            <v>31102192</v>
          </cell>
          <cell r="F5837">
            <v>31102192</v>
          </cell>
          <cell r="G5837">
            <v>31102192</v>
          </cell>
          <cell r="H5837">
            <v>31102192</v>
          </cell>
          <cell r="I5837" t="str">
            <v/>
          </cell>
          <cell r="J5837" t="str">
            <v/>
          </cell>
          <cell r="K5837" t="str">
            <v/>
          </cell>
          <cell r="L5837" t="str">
            <v/>
          </cell>
          <cell r="M5837" t="str">
            <v/>
          </cell>
        </row>
        <row r="5838">
          <cell r="A5838">
            <v>31102192</v>
          </cell>
          <cell r="C5838">
            <v>31102192</v>
          </cell>
          <cell r="D5838">
            <v>31102192</v>
          </cell>
          <cell r="E5838">
            <v>31102192</v>
          </cell>
          <cell r="F5838">
            <v>31102192</v>
          </cell>
          <cell r="G5838">
            <v>31102192</v>
          </cell>
          <cell r="H5838">
            <v>31102192</v>
          </cell>
          <cell r="I5838" t="str">
            <v/>
          </cell>
          <cell r="J5838" t="str">
            <v/>
          </cell>
          <cell r="K5838" t="str">
            <v/>
          </cell>
          <cell r="L5838" t="str">
            <v/>
          </cell>
          <cell r="M5838" t="str">
            <v/>
          </cell>
        </row>
        <row r="5839">
          <cell r="A5839">
            <v>31102192</v>
          </cell>
          <cell r="C5839">
            <v>31102192</v>
          </cell>
          <cell r="D5839">
            <v>31102192</v>
          </cell>
          <cell r="E5839">
            <v>31102192</v>
          </cell>
          <cell r="F5839">
            <v>31102192</v>
          </cell>
          <cell r="G5839">
            <v>31102192</v>
          </cell>
          <cell r="H5839">
            <v>31102192</v>
          </cell>
          <cell r="I5839" t="str">
            <v/>
          </cell>
          <cell r="J5839" t="str">
            <v/>
          </cell>
          <cell r="K5839" t="str">
            <v/>
          </cell>
          <cell r="L5839" t="str">
            <v/>
          </cell>
          <cell r="M5839" t="str">
            <v/>
          </cell>
        </row>
        <row r="5840">
          <cell r="A5840">
            <v>31102192</v>
          </cell>
          <cell r="C5840">
            <v>31102192</v>
          </cell>
          <cell r="D5840">
            <v>31102192</v>
          </cell>
          <cell r="E5840">
            <v>31102192</v>
          </cell>
          <cell r="F5840">
            <v>31102192</v>
          </cell>
          <cell r="G5840">
            <v>31102192</v>
          </cell>
          <cell r="H5840">
            <v>31102192</v>
          </cell>
          <cell r="I5840" t="str">
            <v/>
          </cell>
          <cell r="J5840" t="str">
            <v/>
          </cell>
          <cell r="K5840" t="str">
            <v/>
          </cell>
          <cell r="L5840" t="str">
            <v/>
          </cell>
          <cell r="M5840" t="str">
            <v/>
          </cell>
        </row>
        <row r="5841">
          <cell r="A5841">
            <v>31102192</v>
          </cell>
          <cell r="C5841">
            <v>31102192</v>
          </cell>
          <cell r="D5841">
            <v>31102192</v>
          </cell>
          <cell r="E5841">
            <v>31102192</v>
          </cell>
          <cell r="F5841">
            <v>31102192</v>
          </cell>
          <cell r="G5841">
            <v>31102192</v>
          </cell>
          <cell r="H5841">
            <v>31102192</v>
          </cell>
          <cell r="I5841" t="str">
            <v/>
          </cell>
          <cell r="J5841" t="str">
            <v/>
          </cell>
          <cell r="K5841" t="str">
            <v/>
          </cell>
          <cell r="L5841" t="str">
            <v/>
          </cell>
          <cell r="M5841" t="str">
            <v/>
          </cell>
        </row>
        <row r="5842">
          <cell r="A5842">
            <v>31102192</v>
          </cell>
          <cell r="C5842">
            <v>31102192</v>
          </cell>
          <cell r="D5842">
            <v>31102192</v>
          </cell>
          <cell r="E5842">
            <v>31102192</v>
          </cell>
          <cell r="F5842">
            <v>31102192</v>
          </cell>
          <cell r="G5842">
            <v>31102192</v>
          </cell>
          <cell r="H5842">
            <v>31102192</v>
          </cell>
          <cell r="I5842" t="str">
            <v/>
          </cell>
          <cell r="J5842" t="str">
            <v/>
          </cell>
          <cell r="K5842" t="str">
            <v/>
          </cell>
          <cell r="L5842" t="str">
            <v/>
          </cell>
          <cell r="M5842" t="str">
            <v/>
          </cell>
        </row>
        <row r="5843">
          <cell r="A5843">
            <v>31102192</v>
          </cell>
          <cell r="C5843">
            <v>31102192</v>
          </cell>
          <cell r="D5843">
            <v>31102192</v>
          </cell>
          <cell r="E5843">
            <v>31102192</v>
          </cell>
          <cell r="F5843">
            <v>31102192</v>
          </cell>
          <cell r="G5843">
            <v>31102192</v>
          </cell>
          <cell r="H5843">
            <v>31102192</v>
          </cell>
          <cell r="I5843" t="str">
            <v/>
          </cell>
          <cell r="J5843" t="str">
            <v/>
          </cell>
          <cell r="K5843" t="str">
            <v/>
          </cell>
          <cell r="L5843" t="str">
            <v/>
          </cell>
          <cell r="M5843" t="str">
            <v/>
          </cell>
        </row>
        <row r="5844">
          <cell r="A5844">
            <v>31102192</v>
          </cell>
          <cell r="C5844">
            <v>31102192</v>
          </cell>
          <cell r="D5844">
            <v>31102192</v>
          </cell>
          <cell r="E5844">
            <v>31102192</v>
          </cell>
          <cell r="F5844">
            <v>31102192</v>
          </cell>
          <cell r="G5844">
            <v>31102192</v>
          </cell>
          <cell r="H5844">
            <v>31102192</v>
          </cell>
          <cell r="I5844" t="str">
            <v/>
          </cell>
          <cell r="J5844" t="str">
            <v/>
          </cell>
          <cell r="K5844" t="str">
            <v/>
          </cell>
          <cell r="L5844" t="str">
            <v/>
          </cell>
          <cell r="M5844" t="str">
            <v/>
          </cell>
        </row>
        <row r="5845">
          <cell r="A5845">
            <v>31102192</v>
          </cell>
          <cell r="C5845">
            <v>31102192</v>
          </cell>
          <cell r="D5845">
            <v>31102192</v>
          </cell>
          <cell r="E5845">
            <v>31102192</v>
          </cell>
          <cell r="F5845">
            <v>31102192</v>
          </cell>
          <cell r="G5845">
            <v>31102192</v>
          </cell>
          <cell r="H5845">
            <v>31102192</v>
          </cell>
          <cell r="I5845" t="str">
            <v/>
          </cell>
          <cell r="J5845" t="str">
            <v/>
          </cell>
          <cell r="K5845" t="str">
            <v/>
          </cell>
          <cell r="L5845" t="str">
            <v/>
          </cell>
          <cell r="M5845" t="str">
            <v/>
          </cell>
        </row>
        <row r="5846">
          <cell r="A5846">
            <v>31102192</v>
          </cell>
          <cell r="C5846">
            <v>31102192</v>
          </cell>
          <cell r="D5846">
            <v>31102192</v>
          </cell>
          <cell r="E5846">
            <v>31102192</v>
          </cell>
          <cell r="F5846">
            <v>31102192</v>
          </cell>
          <cell r="G5846">
            <v>31102192</v>
          </cell>
          <cell r="H5846">
            <v>31102192</v>
          </cell>
          <cell r="I5846" t="str">
            <v/>
          </cell>
          <cell r="J5846" t="str">
            <v/>
          </cell>
          <cell r="K5846" t="str">
            <v/>
          </cell>
          <cell r="L5846" t="str">
            <v/>
          </cell>
          <cell r="M5846" t="str">
            <v/>
          </cell>
        </row>
        <row r="5847">
          <cell r="A5847">
            <v>31102192</v>
          </cell>
          <cell r="C5847">
            <v>31102192</v>
          </cell>
          <cell r="D5847">
            <v>31102192</v>
          </cell>
          <cell r="E5847">
            <v>31102192</v>
          </cell>
          <cell r="F5847">
            <v>31102192</v>
          </cell>
          <cell r="G5847">
            <v>31102192</v>
          </cell>
          <cell r="H5847">
            <v>31102192</v>
          </cell>
          <cell r="I5847" t="str">
            <v/>
          </cell>
          <cell r="J5847" t="str">
            <v/>
          </cell>
          <cell r="K5847" t="str">
            <v/>
          </cell>
          <cell r="L5847" t="str">
            <v/>
          </cell>
          <cell r="M5847" t="str">
            <v/>
          </cell>
        </row>
        <row r="5848">
          <cell r="A5848">
            <v>31102192</v>
          </cell>
          <cell r="C5848">
            <v>31102192</v>
          </cell>
          <cell r="D5848">
            <v>31102192</v>
          </cell>
          <cell r="E5848">
            <v>31102192</v>
          </cell>
          <cell r="F5848">
            <v>31102192</v>
          </cell>
          <cell r="G5848">
            <v>31102192</v>
          </cell>
          <cell r="H5848">
            <v>31102192</v>
          </cell>
          <cell r="I5848" t="str">
            <v/>
          </cell>
          <cell r="J5848" t="str">
            <v/>
          </cell>
          <cell r="K5848" t="str">
            <v/>
          </cell>
          <cell r="L5848" t="str">
            <v/>
          </cell>
          <cell r="M5848" t="str">
            <v/>
          </cell>
        </row>
        <row r="5849">
          <cell r="A5849">
            <v>31102192</v>
          </cell>
          <cell r="C5849">
            <v>31102192</v>
          </cell>
          <cell r="D5849">
            <v>31102192</v>
          </cell>
          <cell r="E5849">
            <v>31102192</v>
          </cell>
          <cell r="F5849">
            <v>31102192</v>
          </cell>
          <cell r="G5849">
            <v>31102192</v>
          </cell>
          <cell r="H5849">
            <v>31102192</v>
          </cell>
          <cell r="I5849" t="str">
            <v/>
          </cell>
          <cell r="J5849" t="str">
            <v/>
          </cell>
          <cell r="K5849" t="str">
            <v/>
          </cell>
          <cell r="L5849" t="str">
            <v/>
          </cell>
          <cell r="M5849" t="str">
            <v/>
          </cell>
        </row>
        <row r="5850">
          <cell r="A5850">
            <v>31102192</v>
          </cell>
          <cell r="C5850">
            <v>31102192</v>
          </cell>
          <cell r="D5850">
            <v>31102192</v>
          </cell>
          <cell r="E5850">
            <v>31102192</v>
          </cell>
          <cell r="F5850">
            <v>31102192</v>
          </cell>
          <cell r="G5850">
            <v>31102192</v>
          </cell>
          <cell r="H5850">
            <v>31102192</v>
          </cell>
          <cell r="I5850" t="str">
            <v/>
          </cell>
          <cell r="J5850" t="str">
            <v/>
          </cell>
          <cell r="K5850" t="str">
            <v/>
          </cell>
          <cell r="L5850" t="str">
            <v/>
          </cell>
          <cell r="M5850" t="str">
            <v/>
          </cell>
        </row>
        <row r="5851">
          <cell r="A5851">
            <v>31102192</v>
          </cell>
          <cell r="C5851">
            <v>31102192</v>
          </cell>
          <cell r="D5851">
            <v>31102192</v>
          </cell>
          <cell r="E5851">
            <v>31102192</v>
          </cell>
          <cell r="F5851">
            <v>31102192</v>
          </cell>
          <cell r="G5851">
            <v>31102192</v>
          </cell>
          <cell r="H5851">
            <v>31102192</v>
          </cell>
          <cell r="I5851" t="str">
            <v/>
          </cell>
          <cell r="J5851" t="str">
            <v/>
          </cell>
          <cell r="K5851" t="str">
            <v/>
          </cell>
          <cell r="L5851" t="str">
            <v/>
          </cell>
          <cell r="M5851" t="str">
            <v/>
          </cell>
        </row>
        <row r="5852">
          <cell r="A5852">
            <v>31102192</v>
          </cell>
          <cell r="C5852">
            <v>31102192</v>
          </cell>
          <cell r="D5852">
            <v>31102192</v>
          </cell>
          <cell r="E5852">
            <v>31102192</v>
          </cell>
          <cell r="F5852">
            <v>31102192</v>
          </cell>
          <cell r="G5852">
            <v>31102192</v>
          </cell>
          <cell r="H5852">
            <v>31102192</v>
          </cell>
          <cell r="I5852" t="str">
            <v/>
          </cell>
          <cell r="J5852" t="str">
            <v/>
          </cell>
          <cell r="K5852" t="str">
            <v/>
          </cell>
          <cell r="L5852" t="str">
            <v/>
          </cell>
          <cell r="M5852" t="str">
            <v/>
          </cell>
        </row>
        <row r="5853">
          <cell r="A5853">
            <v>31102192</v>
          </cell>
          <cell r="C5853">
            <v>31102192</v>
          </cell>
          <cell r="D5853">
            <v>31102192</v>
          </cell>
          <cell r="E5853">
            <v>31102192</v>
          </cell>
          <cell r="F5853">
            <v>31102192</v>
          </cell>
          <cell r="G5853">
            <v>31102192</v>
          </cell>
          <cell r="H5853">
            <v>31102192</v>
          </cell>
          <cell r="I5853" t="str">
            <v/>
          </cell>
          <cell r="J5853" t="str">
            <v/>
          </cell>
          <cell r="K5853" t="str">
            <v/>
          </cell>
          <cell r="L5853" t="str">
            <v/>
          </cell>
          <cell r="M5853" t="str">
            <v/>
          </cell>
        </row>
        <row r="5854">
          <cell r="A5854">
            <v>31102192</v>
          </cell>
          <cell r="C5854">
            <v>31102192</v>
          </cell>
          <cell r="D5854">
            <v>31102192</v>
          </cell>
          <cell r="E5854">
            <v>31102192</v>
          </cell>
          <cell r="F5854">
            <v>31102192</v>
          </cell>
          <cell r="G5854">
            <v>31102192</v>
          </cell>
          <cell r="H5854">
            <v>31102192</v>
          </cell>
          <cell r="I5854" t="str">
            <v/>
          </cell>
          <cell r="J5854" t="str">
            <v/>
          </cell>
          <cell r="K5854" t="str">
            <v/>
          </cell>
          <cell r="L5854" t="str">
            <v/>
          </cell>
          <cell r="M5854" t="str">
            <v/>
          </cell>
        </row>
        <row r="5855">
          <cell r="A5855">
            <v>31102192</v>
          </cell>
          <cell r="C5855">
            <v>31102192</v>
          </cell>
          <cell r="D5855">
            <v>31102192</v>
          </cell>
          <cell r="E5855">
            <v>31102192</v>
          </cell>
          <cell r="F5855">
            <v>31102192</v>
          </cell>
          <cell r="G5855">
            <v>31102192</v>
          </cell>
          <cell r="H5855">
            <v>31102192</v>
          </cell>
          <cell r="I5855" t="str">
            <v/>
          </cell>
          <cell r="J5855" t="str">
            <v/>
          </cell>
          <cell r="K5855" t="str">
            <v/>
          </cell>
          <cell r="L5855" t="str">
            <v/>
          </cell>
          <cell r="M5855" t="str">
            <v/>
          </cell>
        </row>
        <row r="5856">
          <cell r="A5856">
            <v>31102192</v>
          </cell>
          <cell r="C5856">
            <v>31102192</v>
          </cell>
          <cell r="D5856">
            <v>31102192</v>
          </cell>
          <cell r="E5856">
            <v>31102192</v>
          </cell>
          <cell r="F5856">
            <v>31102192</v>
          </cell>
          <cell r="G5856">
            <v>31102192</v>
          </cell>
          <cell r="H5856">
            <v>31102192</v>
          </cell>
          <cell r="I5856" t="str">
            <v/>
          </cell>
          <cell r="J5856" t="str">
            <v/>
          </cell>
          <cell r="K5856" t="str">
            <v/>
          </cell>
          <cell r="L5856" t="str">
            <v/>
          </cell>
          <cell r="M5856" t="str">
            <v/>
          </cell>
        </row>
        <row r="5857">
          <cell r="A5857">
            <v>31102192</v>
          </cell>
          <cell r="C5857">
            <v>31102192</v>
          </cell>
          <cell r="D5857">
            <v>31102192</v>
          </cell>
          <cell r="E5857">
            <v>31102192</v>
          </cell>
          <cell r="F5857">
            <v>31102192</v>
          </cell>
          <cell r="G5857">
            <v>31102192</v>
          </cell>
          <cell r="H5857">
            <v>31102192</v>
          </cell>
          <cell r="I5857" t="str">
            <v/>
          </cell>
          <cell r="J5857" t="str">
            <v/>
          </cell>
          <cell r="K5857" t="str">
            <v/>
          </cell>
          <cell r="L5857" t="str">
            <v/>
          </cell>
          <cell r="M5857" t="str">
            <v/>
          </cell>
        </row>
        <row r="5858">
          <cell r="A5858">
            <v>31102192</v>
          </cell>
          <cell r="C5858">
            <v>31102192</v>
          </cell>
          <cell r="D5858">
            <v>31102192</v>
          </cell>
          <cell r="E5858">
            <v>31102192</v>
          </cell>
          <cell r="F5858">
            <v>31102192</v>
          </cell>
          <cell r="G5858">
            <v>31102192</v>
          </cell>
          <cell r="H5858">
            <v>31102192</v>
          </cell>
          <cell r="I5858" t="str">
            <v/>
          </cell>
          <cell r="J5858" t="str">
            <v/>
          </cell>
          <cell r="K5858" t="str">
            <v/>
          </cell>
          <cell r="L5858" t="str">
            <v/>
          </cell>
          <cell r="M5858" t="str">
            <v/>
          </cell>
        </row>
        <row r="5859">
          <cell r="A5859">
            <v>31102192</v>
          </cell>
          <cell r="C5859">
            <v>31102192</v>
          </cell>
          <cell r="D5859">
            <v>31102192</v>
          </cell>
          <cell r="E5859">
            <v>31102192</v>
          </cell>
          <cell r="F5859">
            <v>31102192</v>
          </cell>
          <cell r="G5859">
            <v>31102192</v>
          </cell>
          <cell r="H5859">
            <v>31102192</v>
          </cell>
          <cell r="I5859" t="str">
            <v/>
          </cell>
          <cell r="J5859" t="str">
            <v/>
          </cell>
          <cell r="K5859" t="str">
            <v/>
          </cell>
          <cell r="L5859" t="str">
            <v/>
          </cell>
          <cell r="M5859" t="str">
            <v/>
          </cell>
        </row>
        <row r="5860">
          <cell r="A5860">
            <v>31102192</v>
          </cell>
          <cell r="C5860">
            <v>31102192</v>
          </cell>
          <cell r="D5860">
            <v>31102192</v>
          </cell>
          <cell r="E5860">
            <v>31102192</v>
          </cell>
          <cell r="F5860">
            <v>31102192</v>
          </cell>
          <cell r="G5860">
            <v>31102192</v>
          </cell>
          <cell r="H5860">
            <v>31102192</v>
          </cell>
          <cell r="I5860" t="str">
            <v/>
          </cell>
          <cell r="J5860" t="str">
            <v/>
          </cell>
          <cell r="K5860" t="str">
            <v/>
          </cell>
          <cell r="L5860" t="str">
            <v/>
          </cell>
          <cell r="M5860" t="str">
            <v/>
          </cell>
        </row>
        <row r="5861">
          <cell r="A5861">
            <v>31102192</v>
          </cell>
          <cell r="C5861">
            <v>31102192</v>
          </cell>
          <cell r="D5861">
            <v>31102192</v>
          </cell>
          <cell r="E5861">
            <v>31102192</v>
          </cell>
          <cell r="F5861">
            <v>31102192</v>
          </cell>
          <cell r="G5861">
            <v>31102192</v>
          </cell>
          <cell r="H5861">
            <v>31102192</v>
          </cell>
          <cell r="I5861" t="str">
            <v/>
          </cell>
          <cell r="J5861" t="str">
            <v/>
          </cell>
          <cell r="K5861" t="str">
            <v/>
          </cell>
          <cell r="L5861" t="str">
            <v/>
          </cell>
          <cell r="M5861" t="str">
            <v/>
          </cell>
        </row>
        <row r="5862">
          <cell r="A5862">
            <v>31102192</v>
          </cell>
          <cell r="C5862">
            <v>31102192</v>
          </cell>
          <cell r="D5862">
            <v>31102192</v>
          </cell>
          <cell r="E5862">
            <v>31102192</v>
          </cell>
          <cell r="F5862">
            <v>31102192</v>
          </cell>
          <cell r="G5862">
            <v>31102192</v>
          </cell>
          <cell r="H5862">
            <v>31102192</v>
          </cell>
          <cell r="I5862" t="str">
            <v/>
          </cell>
          <cell r="J5862" t="str">
            <v/>
          </cell>
          <cell r="K5862" t="str">
            <v/>
          </cell>
          <cell r="L5862" t="str">
            <v/>
          </cell>
          <cell r="M5862" t="str">
            <v/>
          </cell>
        </row>
        <row r="5863">
          <cell r="A5863">
            <v>31102192</v>
          </cell>
          <cell r="C5863">
            <v>31102192</v>
          </cell>
          <cell r="D5863">
            <v>31102192</v>
          </cell>
          <cell r="E5863">
            <v>31102192</v>
          </cell>
          <cell r="F5863">
            <v>31102192</v>
          </cell>
          <cell r="G5863">
            <v>31102192</v>
          </cell>
          <cell r="H5863">
            <v>31102192</v>
          </cell>
          <cell r="I5863" t="str">
            <v/>
          </cell>
          <cell r="J5863" t="str">
            <v/>
          </cell>
          <cell r="K5863" t="str">
            <v/>
          </cell>
          <cell r="L5863" t="str">
            <v/>
          </cell>
          <cell r="M5863" t="str">
            <v/>
          </cell>
        </row>
        <row r="5864">
          <cell r="A5864">
            <v>31102192</v>
          </cell>
          <cell r="C5864">
            <v>31102192</v>
          </cell>
          <cell r="D5864">
            <v>31102192</v>
          </cell>
          <cell r="E5864">
            <v>31102192</v>
          </cell>
          <cell r="F5864">
            <v>31102192</v>
          </cell>
          <cell r="G5864">
            <v>31102192</v>
          </cell>
          <cell r="H5864">
            <v>31102192</v>
          </cell>
          <cell r="I5864" t="str">
            <v/>
          </cell>
          <cell r="J5864" t="str">
            <v/>
          </cell>
          <cell r="K5864" t="str">
            <v/>
          </cell>
          <cell r="L5864" t="str">
            <v/>
          </cell>
          <cell r="M5864" t="str">
            <v/>
          </cell>
        </row>
        <row r="5865">
          <cell r="A5865">
            <v>31102192</v>
          </cell>
          <cell r="C5865">
            <v>31102192</v>
          </cell>
          <cell r="D5865">
            <v>31102192</v>
          </cell>
          <cell r="E5865">
            <v>31102192</v>
          </cell>
          <cell r="F5865">
            <v>31102192</v>
          </cell>
          <cell r="G5865">
            <v>31102192</v>
          </cell>
          <cell r="H5865">
            <v>31102192</v>
          </cell>
          <cell r="I5865" t="str">
            <v/>
          </cell>
          <cell r="J5865" t="str">
            <v/>
          </cell>
          <cell r="K5865" t="str">
            <v/>
          </cell>
          <cell r="L5865" t="str">
            <v/>
          </cell>
          <cell r="M5865" t="str">
            <v/>
          </cell>
        </row>
        <row r="5866">
          <cell r="A5866">
            <v>31102192</v>
          </cell>
          <cell r="C5866">
            <v>31102192</v>
          </cell>
          <cell r="D5866">
            <v>31102192</v>
          </cell>
          <cell r="E5866">
            <v>31102192</v>
          </cell>
          <cell r="F5866">
            <v>31102192</v>
          </cell>
          <cell r="G5866">
            <v>31102192</v>
          </cell>
          <cell r="H5866">
            <v>31102192</v>
          </cell>
          <cell r="I5866" t="str">
            <v/>
          </cell>
          <cell r="J5866" t="str">
            <v/>
          </cell>
          <cell r="K5866" t="str">
            <v/>
          </cell>
          <cell r="L5866" t="str">
            <v/>
          </cell>
          <cell r="M5866" t="str">
            <v/>
          </cell>
        </row>
        <row r="5867">
          <cell r="A5867">
            <v>31102192</v>
          </cell>
          <cell r="C5867">
            <v>31102192</v>
          </cell>
          <cell r="D5867">
            <v>31102192</v>
          </cell>
          <cell r="E5867">
            <v>31102192</v>
          </cell>
          <cell r="F5867">
            <v>31102192</v>
          </cell>
          <cell r="G5867">
            <v>31102192</v>
          </cell>
          <cell r="H5867">
            <v>31102192</v>
          </cell>
          <cell r="I5867" t="str">
            <v/>
          </cell>
          <cell r="J5867" t="str">
            <v/>
          </cell>
          <cell r="K5867" t="str">
            <v/>
          </cell>
          <cell r="L5867" t="str">
            <v/>
          </cell>
          <cell r="M5867" t="str">
            <v/>
          </cell>
        </row>
        <row r="5868">
          <cell r="A5868">
            <v>31102192</v>
          </cell>
          <cell r="C5868">
            <v>31102192</v>
          </cell>
          <cell r="D5868">
            <v>31102192</v>
          </cell>
          <cell r="E5868">
            <v>31102192</v>
          </cell>
          <cell r="F5868">
            <v>31102192</v>
          </cell>
          <cell r="G5868">
            <v>31102192</v>
          </cell>
          <cell r="H5868">
            <v>31102192</v>
          </cell>
          <cell r="I5868" t="str">
            <v/>
          </cell>
          <cell r="J5868" t="str">
            <v/>
          </cell>
          <cell r="K5868" t="str">
            <v/>
          </cell>
          <cell r="L5868" t="str">
            <v/>
          </cell>
          <cell r="M5868" t="str">
            <v/>
          </cell>
        </row>
        <row r="5869">
          <cell r="A5869">
            <v>31102192</v>
          </cell>
          <cell r="C5869">
            <v>31102192</v>
          </cell>
          <cell r="D5869">
            <v>31102192</v>
          </cell>
          <cell r="E5869">
            <v>31102192</v>
          </cell>
          <cell r="F5869">
            <v>31102192</v>
          </cell>
          <cell r="G5869">
            <v>31102192</v>
          </cell>
          <cell r="H5869">
            <v>31102192</v>
          </cell>
          <cell r="I5869" t="str">
            <v/>
          </cell>
          <cell r="J5869" t="str">
            <v/>
          </cell>
          <cell r="K5869" t="str">
            <v/>
          </cell>
          <cell r="L5869" t="str">
            <v/>
          </cell>
          <cell r="M5869" t="str">
            <v/>
          </cell>
        </row>
        <row r="5870">
          <cell r="A5870">
            <v>31102192</v>
          </cell>
          <cell r="C5870">
            <v>31102192</v>
          </cell>
          <cell r="D5870">
            <v>31102192</v>
          </cell>
          <cell r="E5870">
            <v>31102192</v>
          </cell>
          <cell r="F5870">
            <v>31102192</v>
          </cell>
          <cell r="G5870">
            <v>31102192</v>
          </cell>
          <cell r="H5870">
            <v>31102192</v>
          </cell>
          <cell r="I5870" t="str">
            <v/>
          </cell>
          <cell r="J5870" t="str">
            <v/>
          </cell>
          <cell r="K5870" t="str">
            <v/>
          </cell>
          <cell r="L5870" t="str">
            <v/>
          </cell>
          <cell r="M5870" t="str">
            <v/>
          </cell>
        </row>
        <row r="5871">
          <cell r="A5871">
            <v>31102192</v>
          </cell>
          <cell r="C5871">
            <v>31102192</v>
          </cell>
          <cell r="D5871">
            <v>31102192</v>
          </cell>
          <cell r="E5871">
            <v>31102192</v>
          </cell>
          <cell r="F5871">
            <v>31102192</v>
          </cell>
          <cell r="G5871">
            <v>31102192</v>
          </cell>
          <cell r="H5871">
            <v>31102192</v>
          </cell>
          <cell r="I5871" t="str">
            <v/>
          </cell>
          <cell r="J5871" t="str">
            <v/>
          </cell>
          <cell r="K5871" t="str">
            <v/>
          </cell>
          <cell r="L5871" t="str">
            <v/>
          </cell>
          <cell r="M5871" t="str">
            <v/>
          </cell>
        </row>
        <row r="5872">
          <cell r="A5872">
            <v>31102192</v>
          </cell>
          <cell r="C5872">
            <v>31102192</v>
          </cell>
          <cell r="D5872">
            <v>31102192</v>
          </cell>
          <cell r="E5872">
            <v>31102192</v>
          </cell>
          <cell r="F5872">
            <v>31102192</v>
          </cell>
          <cell r="G5872">
            <v>31102192</v>
          </cell>
          <cell r="H5872">
            <v>31102192</v>
          </cell>
          <cell r="I5872" t="str">
            <v/>
          </cell>
          <cell r="J5872" t="str">
            <v/>
          </cell>
          <cell r="K5872" t="str">
            <v/>
          </cell>
          <cell r="L5872" t="str">
            <v/>
          </cell>
          <cell r="M5872" t="str">
            <v/>
          </cell>
        </row>
        <row r="5873">
          <cell r="A5873">
            <v>31102192</v>
          </cell>
          <cell r="C5873">
            <v>31102192</v>
          </cell>
          <cell r="D5873">
            <v>31102192</v>
          </cell>
          <cell r="E5873">
            <v>31102192</v>
          </cell>
          <cell r="F5873">
            <v>31102192</v>
          </cell>
          <cell r="G5873">
            <v>31102192</v>
          </cell>
          <cell r="H5873">
            <v>31102192</v>
          </cell>
          <cell r="I5873" t="str">
            <v/>
          </cell>
          <cell r="J5873" t="str">
            <v/>
          </cell>
          <cell r="K5873" t="str">
            <v/>
          </cell>
          <cell r="L5873" t="str">
            <v/>
          </cell>
          <cell r="M5873" t="str">
            <v/>
          </cell>
        </row>
        <row r="5874">
          <cell r="A5874">
            <v>31102192</v>
          </cell>
          <cell r="C5874">
            <v>31102192</v>
          </cell>
          <cell r="D5874">
            <v>31102192</v>
          </cell>
          <cell r="E5874">
            <v>31102192</v>
          </cell>
          <cell r="F5874">
            <v>31102192</v>
          </cell>
          <cell r="G5874">
            <v>31102192</v>
          </cell>
          <cell r="H5874">
            <v>31102192</v>
          </cell>
          <cell r="I5874" t="str">
            <v/>
          </cell>
          <cell r="J5874" t="str">
            <v/>
          </cell>
          <cell r="K5874" t="str">
            <v/>
          </cell>
          <cell r="L5874" t="str">
            <v/>
          </cell>
          <cell r="M5874" t="str">
            <v/>
          </cell>
        </row>
        <row r="5875">
          <cell r="A5875">
            <v>31102192</v>
          </cell>
          <cell r="C5875">
            <v>31102192</v>
          </cell>
          <cell r="D5875">
            <v>31102192</v>
          </cell>
          <cell r="E5875">
            <v>31102192</v>
          </cell>
          <cell r="F5875">
            <v>31102192</v>
          </cell>
          <cell r="G5875">
            <v>31102192</v>
          </cell>
          <cell r="H5875">
            <v>31102192</v>
          </cell>
          <cell r="I5875" t="str">
            <v/>
          </cell>
          <cell r="J5875" t="str">
            <v/>
          </cell>
          <cell r="K5875" t="str">
            <v/>
          </cell>
          <cell r="L5875" t="str">
            <v/>
          </cell>
          <cell r="M5875" t="str">
            <v/>
          </cell>
        </row>
        <row r="5876">
          <cell r="A5876">
            <v>31102192</v>
          </cell>
          <cell r="C5876">
            <v>31102192</v>
          </cell>
          <cell r="D5876">
            <v>31102192</v>
          </cell>
          <cell r="E5876">
            <v>31102192</v>
          </cell>
          <cell r="F5876">
            <v>31102192</v>
          </cell>
          <cell r="G5876">
            <v>31102192</v>
          </cell>
          <cell r="H5876">
            <v>31102192</v>
          </cell>
          <cell r="I5876" t="str">
            <v/>
          </cell>
          <cell r="J5876" t="str">
            <v/>
          </cell>
          <cell r="K5876" t="str">
            <v/>
          </cell>
          <cell r="L5876" t="str">
            <v/>
          </cell>
          <cell r="M5876" t="str">
            <v/>
          </cell>
        </row>
        <row r="5877">
          <cell r="A5877">
            <v>31102192</v>
          </cell>
          <cell r="C5877">
            <v>31102192</v>
          </cell>
          <cell r="D5877">
            <v>31102192</v>
          </cell>
          <cell r="E5877">
            <v>31102192</v>
          </cell>
          <cell r="F5877">
            <v>31102192</v>
          </cell>
          <cell r="G5877">
            <v>31102192</v>
          </cell>
          <cell r="H5877">
            <v>31102192</v>
          </cell>
          <cell r="I5877" t="str">
            <v/>
          </cell>
          <cell r="J5877" t="str">
            <v/>
          </cell>
          <cell r="K5877" t="str">
            <v/>
          </cell>
          <cell r="L5877" t="str">
            <v/>
          </cell>
          <cell r="M5877" t="str">
            <v/>
          </cell>
        </row>
        <row r="5878">
          <cell r="A5878">
            <v>31102192</v>
          </cell>
          <cell r="C5878">
            <v>31102192</v>
          </cell>
          <cell r="D5878">
            <v>31102192</v>
          </cell>
          <cell r="E5878">
            <v>31102192</v>
          </cell>
          <cell r="F5878">
            <v>31102192</v>
          </cell>
          <cell r="G5878">
            <v>31102192</v>
          </cell>
          <cell r="H5878">
            <v>31102192</v>
          </cell>
          <cell r="I5878" t="str">
            <v/>
          </cell>
          <cell r="J5878" t="str">
            <v/>
          </cell>
          <cell r="K5878" t="str">
            <v/>
          </cell>
          <cell r="L5878" t="str">
            <v/>
          </cell>
          <cell r="M5878" t="str">
            <v/>
          </cell>
        </row>
        <row r="5879">
          <cell r="A5879">
            <v>31102192</v>
          </cell>
          <cell r="C5879">
            <v>31102192</v>
          </cell>
          <cell r="D5879">
            <v>31102192</v>
          </cell>
          <cell r="E5879">
            <v>31102192</v>
          </cell>
          <cell r="F5879">
            <v>31102192</v>
          </cell>
          <cell r="G5879">
            <v>31102192</v>
          </cell>
          <cell r="H5879">
            <v>31102192</v>
          </cell>
          <cell r="I5879" t="str">
            <v/>
          </cell>
          <cell r="J5879" t="str">
            <v/>
          </cell>
          <cell r="K5879" t="str">
            <v/>
          </cell>
          <cell r="L5879" t="str">
            <v/>
          </cell>
          <cell r="M5879" t="str">
            <v/>
          </cell>
        </row>
        <row r="5880">
          <cell r="A5880">
            <v>31102192</v>
          </cell>
          <cell r="C5880">
            <v>31102192</v>
          </cell>
          <cell r="D5880">
            <v>31102192</v>
          </cell>
          <cell r="E5880">
            <v>31102192</v>
          </cell>
          <cell r="F5880">
            <v>31102192</v>
          </cell>
          <cell r="G5880">
            <v>31102192</v>
          </cell>
          <cell r="H5880">
            <v>31102192</v>
          </cell>
          <cell r="I5880" t="str">
            <v/>
          </cell>
          <cell r="J5880" t="str">
            <v/>
          </cell>
          <cell r="K5880" t="str">
            <v/>
          </cell>
          <cell r="L5880" t="str">
            <v/>
          </cell>
          <cell r="M5880" t="str">
            <v/>
          </cell>
        </row>
        <row r="5881">
          <cell r="A5881">
            <v>31102192</v>
          </cell>
          <cell r="C5881">
            <v>31102192</v>
          </cell>
          <cell r="D5881">
            <v>31102192</v>
          </cell>
          <cell r="E5881">
            <v>31102192</v>
          </cell>
          <cell r="F5881">
            <v>31102192</v>
          </cell>
          <cell r="G5881">
            <v>31102192</v>
          </cell>
          <cell r="H5881">
            <v>31102192</v>
          </cell>
          <cell r="I5881" t="str">
            <v/>
          </cell>
          <cell r="J5881" t="str">
            <v/>
          </cell>
          <cell r="K5881" t="str">
            <v/>
          </cell>
          <cell r="L5881" t="str">
            <v/>
          </cell>
          <cell r="M5881" t="str">
            <v/>
          </cell>
        </row>
        <row r="5882">
          <cell r="A5882">
            <v>31102192</v>
          </cell>
          <cell r="C5882">
            <v>31102192</v>
          </cell>
          <cell r="D5882">
            <v>31102192</v>
          </cell>
          <cell r="E5882">
            <v>31102192</v>
          </cell>
          <cell r="F5882">
            <v>31102192</v>
          </cell>
          <cell r="G5882">
            <v>31102192</v>
          </cell>
          <cell r="H5882">
            <v>31102192</v>
          </cell>
          <cell r="I5882" t="str">
            <v/>
          </cell>
          <cell r="J5882" t="str">
            <v/>
          </cell>
          <cell r="K5882" t="str">
            <v/>
          </cell>
          <cell r="L5882" t="str">
            <v/>
          </cell>
          <cell r="M5882" t="str">
            <v/>
          </cell>
        </row>
        <row r="5883">
          <cell r="A5883">
            <v>31102192</v>
          </cell>
          <cell r="C5883">
            <v>31102192</v>
          </cell>
          <cell r="D5883">
            <v>31102192</v>
          </cell>
          <cell r="E5883">
            <v>31102192</v>
          </cell>
          <cell r="F5883">
            <v>31102192</v>
          </cell>
          <cell r="G5883">
            <v>31102192</v>
          </cell>
          <cell r="H5883">
            <v>31102192</v>
          </cell>
          <cell r="I5883" t="str">
            <v/>
          </cell>
          <cell r="J5883" t="str">
            <v/>
          </cell>
          <cell r="K5883" t="str">
            <v/>
          </cell>
          <cell r="L5883" t="str">
            <v/>
          </cell>
          <cell r="M5883" t="str">
            <v/>
          </cell>
        </row>
        <row r="5884">
          <cell r="A5884">
            <v>31102192</v>
          </cell>
          <cell r="C5884">
            <v>31102192</v>
          </cell>
          <cell r="D5884">
            <v>31102192</v>
          </cell>
          <cell r="E5884">
            <v>31102192</v>
          </cell>
          <cell r="F5884">
            <v>31102192</v>
          </cell>
          <cell r="G5884">
            <v>31102192</v>
          </cell>
          <cell r="H5884">
            <v>31102192</v>
          </cell>
          <cell r="I5884" t="str">
            <v/>
          </cell>
          <cell r="J5884" t="str">
            <v/>
          </cell>
          <cell r="K5884" t="str">
            <v/>
          </cell>
          <cell r="L5884" t="str">
            <v/>
          </cell>
          <cell r="M5884" t="str">
            <v/>
          </cell>
        </row>
        <row r="5885">
          <cell r="A5885">
            <v>31102192</v>
          </cell>
          <cell r="C5885">
            <v>31102192</v>
          </cell>
          <cell r="D5885">
            <v>31102192</v>
          </cell>
          <cell r="E5885">
            <v>31102192</v>
          </cell>
          <cell r="F5885">
            <v>31102192</v>
          </cell>
          <cell r="G5885">
            <v>31102192</v>
          </cell>
          <cell r="H5885">
            <v>31102192</v>
          </cell>
          <cell r="I5885" t="str">
            <v/>
          </cell>
          <cell r="J5885" t="str">
            <v/>
          </cell>
          <cell r="K5885" t="str">
            <v/>
          </cell>
          <cell r="L5885" t="str">
            <v/>
          </cell>
          <cell r="M5885" t="str">
            <v/>
          </cell>
        </row>
        <row r="5886">
          <cell r="A5886">
            <v>31102192</v>
          </cell>
          <cell r="C5886">
            <v>31102192</v>
          </cell>
          <cell r="D5886">
            <v>31102192</v>
          </cell>
          <cell r="E5886">
            <v>31102192</v>
          </cell>
          <cell r="F5886">
            <v>31102192</v>
          </cell>
          <cell r="G5886">
            <v>31102192</v>
          </cell>
          <cell r="H5886">
            <v>31102192</v>
          </cell>
          <cell r="I5886" t="str">
            <v/>
          </cell>
          <cell r="J5886" t="str">
            <v/>
          </cell>
          <cell r="K5886" t="str">
            <v/>
          </cell>
          <cell r="L5886" t="str">
            <v/>
          </cell>
          <cell r="M5886" t="str">
            <v/>
          </cell>
        </row>
        <row r="5887">
          <cell r="A5887">
            <v>31102192</v>
          </cell>
          <cell r="C5887">
            <v>31102192</v>
          </cell>
          <cell r="D5887">
            <v>31102192</v>
          </cell>
          <cell r="E5887">
            <v>31102192</v>
          </cell>
          <cell r="F5887">
            <v>31102192</v>
          </cell>
          <cell r="G5887">
            <v>31102192</v>
          </cell>
          <cell r="H5887">
            <v>31102192</v>
          </cell>
          <cell r="I5887" t="str">
            <v/>
          </cell>
          <cell r="J5887" t="str">
            <v/>
          </cell>
          <cell r="K5887" t="str">
            <v/>
          </cell>
          <cell r="L5887" t="str">
            <v/>
          </cell>
          <cell r="M5887" t="str">
            <v/>
          </cell>
        </row>
        <row r="5888">
          <cell r="A5888">
            <v>31102192</v>
          </cell>
          <cell r="C5888">
            <v>31102192</v>
          </cell>
          <cell r="D5888">
            <v>31102192</v>
          </cell>
          <cell r="E5888">
            <v>31102192</v>
          </cell>
          <cell r="F5888">
            <v>31102192</v>
          </cell>
          <cell r="G5888">
            <v>31102192</v>
          </cell>
          <cell r="H5888">
            <v>31102192</v>
          </cell>
          <cell r="I5888" t="str">
            <v/>
          </cell>
          <cell r="J5888" t="str">
            <v/>
          </cell>
          <cell r="K5888" t="str">
            <v/>
          </cell>
          <cell r="L5888" t="str">
            <v/>
          </cell>
          <cell r="M5888" t="str">
            <v/>
          </cell>
        </row>
        <row r="5889">
          <cell r="A5889">
            <v>31102192</v>
          </cell>
          <cell r="C5889">
            <v>31102192</v>
          </cell>
          <cell r="D5889">
            <v>31102192</v>
          </cell>
          <cell r="E5889">
            <v>31102192</v>
          </cell>
          <cell r="F5889">
            <v>31102192</v>
          </cell>
          <cell r="G5889">
            <v>31102192</v>
          </cell>
          <cell r="H5889">
            <v>31102192</v>
          </cell>
          <cell r="I5889" t="str">
            <v/>
          </cell>
          <cell r="J5889" t="str">
            <v/>
          </cell>
          <cell r="K5889" t="str">
            <v/>
          </cell>
          <cell r="L5889" t="str">
            <v/>
          </cell>
          <cell r="M5889" t="str">
            <v/>
          </cell>
        </row>
        <row r="5890">
          <cell r="A5890">
            <v>31102192</v>
          </cell>
          <cell r="C5890">
            <v>31102192</v>
          </cell>
          <cell r="D5890">
            <v>31102192</v>
          </cell>
          <cell r="E5890">
            <v>31102192</v>
          </cell>
          <cell r="F5890">
            <v>31102192</v>
          </cell>
          <cell r="G5890">
            <v>31102192</v>
          </cell>
          <cell r="H5890">
            <v>31102192</v>
          </cell>
          <cell r="I5890" t="str">
            <v/>
          </cell>
          <cell r="J5890" t="str">
            <v/>
          </cell>
          <cell r="K5890" t="str">
            <v/>
          </cell>
          <cell r="L5890" t="str">
            <v/>
          </cell>
          <cell r="M5890" t="str">
            <v/>
          </cell>
        </row>
        <row r="5891">
          <cell r="A5891">
            <v>31102192</v>
          </cell>
          <cell r="C5891">
            <v>31102192</v>
          </cell>
          <cell r="D5891">
            <v>31102192</v>
          </cell>
          <cell r="E5891">
            <v>31102192</v>
          </cell>
          <cell r="F5891">
            <v>31102192</v>
          </cell>
          <cell r="G5891">
            <v>31102192</v>
          </cell>
          <cell r="H5891">
            <v>31102192</v>
          </cell>
          <cell r="I5891" t="str">
            <v/>
          </cell>
          <cell r="J5891" t="str">
            <v/>
          </cell>
          <cell r="K5891" t="str">
            <v/>
          </cell>
          <cell r="L5891" t="str">
            <v/>
          </cell>
          <cell r="M5891" t="str">
            <v/>
          </cell>
        </row>
        <row r="5892">
          <cell r="A5892">
            <v>31102192</v>
          </cell>
          <cell r="C5892">
            <v>31102192</v>
          </cell>
          <cell r="D5892">
            <v>31102192</v>
          </cell>
          <cell r="E5892">
            <v>31102192</v>
          </cell>
          <cell r="F5892">
            <v>31102192</v>
          </cell>
          <cell r="G5892">
            <v>31102192</v>
          </cell>
          <cell r="H5892">
            <v>31102192</v>
          </cell>
          <cell r="I5892" t="str">
            <v/>
          </cell>
          <cell r="J5892" t="str">
            <v/>
          </cell>
          <cell r="K5892" t="str">
            <v/>
          </cell>
          <cell r="L5892" t="str">
            <v/>
          </cell>
          <cell r="M5892" t="str">
            <v/>
          </cell>
        </row>
        <row r="5893">
          <cell r="A5893">
            <v>31102192</v>
          </cell>
          <cell r="C5893">
            <v>31102192</v>
          </cell>
          <cell r="D5893">
            <v>31102192</v>
          </cell>
          <cell r="E5893">
            <v>31102192</v>
          </cell>
          <cell r="F5893">
            <v>31102192</v>
          </cell>
          <cell r="G5893">
            <v>31102192</v>
          </cell>
          <cell r="H5893">
            <v>31102192</v>
          </cell>
          <cell r="I5893" t="str">
            <v/>
          </cell>
          <cell r="J5893" t="str">
            <v/>
          </cell>
          <cell r="K5893" t="str">
            <v/>
          </cell>
          <cell r="L5893" t="str">
            <v/>
          </cell>
          <cell r="M5893" t="str">
            <v/>
          </cell>
        </row>
        <row r="5894">
          <cell r="A5894">
            <v>31102192</v>
          </cell>
          <cell r="C5894">
            <v>31102192</v>
          </cell>
          <cell r="D5894">
            <v>31102192</v>
          </cell>
          <cell r="E5894">
            <v>31102192</v>
          </cell>
          <cell r="F5894">
            <v>31102192</v>
          </cell>
          <cell r="G5894">
            <v>31102192</v>
          </cell>
          <cell r="H5894">
            <v>31102192</v>
          </cell>
          <cell r="I5894" t="str">
            <v/>
          </cell>
          <cell r="J5894" t="str">
            <v/>
          </cell>
          <cell r="K5894" t="str">
            <v/>
          </cell>
          <cell r="L5894" t="str">
            <v/>
          </cell>
          <cell r="M5894" t="str">
            <v/>
          </cell>
        </row>
        <row r="5895">
          <cell r="A5895">
            <v>31102192</v>
          </cell>
          <cell r="C5895">
            <v>31102192</v>
          </cell>
          <cell r="D5895">
            <v>31102192</v>
          </cell>
          <cell r="E5895">
            <v>31102192</v>
          </cell>
          <cell r="F5895">
            <v>31102192</v>
          </cell>
          <cell r="G5895">
            <v>31102192</v>
          </cell>
          <cell r="H5895">
            <v>31102192</v>
          </cell>
          <cell r="I5895" t="str">
            <v/>
          </cell>
          <cell r="J5895" t="str">
            <v/>
          </cell>
          <cell r="K5895" t="str">
            <v/>
          </cell>
          <cell r="L5895" t="str">
            <v/>
          </cell>
          <cell r="M5895" t="str">
            <v/>
          </cell>
        </row>
        <row r="5896">
          <cell r="A5896">
            <v>31102192</v>
          </cell>
          <cell r="C5896">
            <v>31102192</v>
          </cell>
          <cell r="D5896">
            <v>31102192</v>
          </cell>
          <cell r="E5896">
            <v>31102192</v>
          </cell>
          <cell r="F5896">
            <v>31102192</v>
          </cell>
          <cell r="G5896">
            <v>31102192</v>
          </cell>
          <cell r="H5896">
            <v>31102192</v>
          </cell>
          <cell r="I5896" t="str">
            <v/>
          </cell>
          <cell r="J5896" t="str">
            <v/>
          </cell>
          <cell r="K5896" t="str">
            <v/>
          </cell>
          <cell r="L5896" t="str">
            <v/>
          </cell>
          <cell r="M5896" t="str">
            <v/>
          </cell>
        </row>
        <row r="5897">
          <cell r="A5897">
            <v>31102192</v>
          </cell>
          <cell r="C5897">
            <v>31102192</v>
          </cell>
          <cell r="D5897">
            <v>31102192</v>
          </cell>
          <cell r="E5897">
            <v>31102192</v>
          </cell>
          <cell r="F5897">
            <v>31102192</v>
          </cell>
          <cell r="G5897">
            <v>31102192</v>
          </cell>
          <cell r="H5897">
            <v>31102192</v>
          </cell>
          <cell r="I5897" t="str">
            <v/>
          </cell>
          <cell r="J5897" t="str">
            <v/>
          </cell>
          <cell r="K5897" t="str">
            <v/>
          </cell>
          <cell r="L5897" t="str">
            <v/>
          </cell>
          <cell r="M5897" t="str">
            <v/>
          </cell>
        </row>
        <row r="5898">
          <cell r="A5898">
            <v>31102192</v>
          </cell>
          <cell r="C5898">
            <v>31102192</v>
          </cell>
          <cell r="D5898">
            <v>31102192</v>
          </cell>
          <cell r="E5898">
            <v>31102192</v>
          </cell>
          <cell r="F5898">
            <v>31102192</v>
          </cell>
          <cell r="G5898">
            <v>31102192</v>
          </cell>
          <cell r="H5898">
            <v>31102192</v>
          </cell>
          <cell r="I5898" t="str">
            <v/>
          </cell>
          <cell r="J5898" t="str">
            <v/>
          </cell>
          <cell r="K5898" t="str">
            <v/>
          </cell>
          <cell r="L5898" t="str">
            <v/>
          </cell>
          <cell r="M5898" t="str">
            <v/>
          </cell>
        </row>
        <row r="5899">
          <cell r="A5899">
            <v>31102192</v>
          </cell>
          <cell r="C5899">
            <v>31102192</v>
          </cell>
          <cell r="D5899">
            <v>31102192</v>
          </cell>
          <cell r="E5899">
            <v>31102192</v>
          </cell>
          <cell r="F5899">
            <v>31102192</v>
          </cell>
          <cell r="G5899">
            <v>31102192</v>
          </cell>
          <cell r="H5899">
            <v>31102192</v>
          </cell>
          <cell r="I5899" t="str">
            <v/>
          </cell>
          <cell r="J5899" t="str">
            <v/>
          </cell>
          <cell r="K5899" t="str">
            <v/>
          </cell>
          <cell r="L5899" t="str">
            <v/>
          </cell>
          <cell r="M5899" t="str">
            <v/>
          </cell>
        </row>
        <row r="5900">
          <cell r="A5900">
            <v>31102192</v>
          </cell>
          <cell r="C5900">
            <v>31102192</v>
          </cell>
          <cell r="D5900">
            <v>31102192</v>
          </cell>
          <cell r="E5900">
            <v>31102192</v>
          </cell>
          <cell r="F5900">
            <v>31102192</v>
          </cell>
          <cell r="G5900">
            <v>31102192</v>
          </cell>
          <cell r="H5900">
            <v>31102192</v>
          </cell>
          <cell r="I5900" t="str">
            <v/>
          </cell>
          <cell r="J5900" t="str">
            <v/>
          </cell>
          <cell r="K5900" t="str">
            <v/>
          </cell>
          <cell r="L5900" t="str">
            <v/>
          </cell>
          <cell r="M5900" t="str">
            <v/>
          </cell>
        </row>
        <row r="5901">
          <cell r="A5901">
            <v>31102192</v>
          </cell>
          <cell r="C5901">
            <v>31102192</v>
          </cell>
          <cell r="D5901">
            <v>31102192</v>
          </cell>
          <cell r="E5901">
            <v>31102192</v>
          </cell>
          <cell r="F5901">
            <v>31102192</v>
          </cell>
          <cell r="G5901">
            <v>31102192</v>
          </cell>
          <cell r="H5901">
            <v>31102192</v>
          </cell>
          <cell r="I5901" t="str">
            <v/>
          </cell>
          <cell r="J5901" t="str">
            <v/>
          </cell>
          <cell r="K5901" t="str">
            <v/>
          </cell>
          <cell r="L5901" t="str">
            <v/>
          </cell>
          <cell r="M5901" t="str">
            <v/>
          </cell>
        </row>
        <row r="5902">
          <cell r="A5902">
            <v>31102192</v>
          </cell>
          <cell r="C5902">
            <v>31102192</v>
          </cell>
          <cell r="D5902">
            <v>31102192</v>
          </cell>
          <cell r="E5902">
            <v>31102192</v>
          </cell>
          <cell r="F5902">
            <v>31102192</v>
          </cell>
          <cell r="G5902">
            <v>31102192</v>
          </cell>
          <cell r="H5902">
            <v>31102192</v>
          </cell>
          <cell r="I5902" t="str">
            <v/>
          </cell>
          <cell r="J5902" t="str">
            <v/>
          </cell>
          <cell r="K5902" t="str">
            <v/>
          </cell>
          <cell r="L5902" t="str">
            <v/>
          </cell>
          <cell r="M5902" t="str">
            <v/>
          </cell>
        </row>
        <row r="5903">
          <cell r="A5903">
            <v>31102192</v>
          </cell>
          <cell r="C5903">
            <v>31102192</v>
          </cell>
          <cell r="D5903">
            <v>31102192</v>
          </cell>
          <cell r="E5903">
            <v>31102192</v>
          </cell>
          <cell r="F5903">
            <v>31102192</v>
          </cell>
          <cell r="G5903">
            <v>31102192</v>
          </cell>
          <cell r="H5903">
            <v>31102192</v>
          </cell>
          <cell r="I5903" t="str">
            <v/>
          </cell>
          <cell r="J5903" t="str">
            <v/>
          </cell>
          <cell r="K5903" t="str">
            <v/>
          </cell>
          <cell r="L5903" t="str">
            <v/>
          </cell>
          <cell r="M5903" t="str">
            <v/>
          </cell>
        </row>
        <row r="5904">
          <cell r="A5904">
            <v>31102192</v>
          </cell>
          <cell r="C5904">
            <v>31102192</v>
          </cell>
          <cell r="D5904">
            <v>31102192</v>
          </cell>
          <cell r="E5904">
            <v>31102192</v>
          </cell>
          <cell r="F5904">
            <v>31102192</v>
          </cell>
          <cell r="G5904">
            <v>31102192</v>
          </cell>
          <cell r="H5904">
            <v>31102192</v>
          </cell>
          <cell r="I5904" t="str">
            <v/>
          </cell>
          <cell r="J5904" t="str">
            <v/>
          </cell>
          <cell r="K5904" t="str">
            <v/>
          </cell>
          <cell r="L5904" t="str">
            <v/>
          </cell>
          <cell r="M5904" t="str">
            <v/>
          </cell>
        </row>
        <row r="5905">
          <cell r="A5905">
            <v>31102192</v>
          </cell>
          <cell r="C5905">
            <v>31102192</v>
          </cell>
          <cell r="D5905">
            <v>31102192</v>
          </cell>
          <cell r="E5905">
            <v>31102192</v>
          </cell>
          <cell r="F5905">
            <v>31102192</v>
          </cell>
          <cell r="G5905">
            <v>31102192</v>
          </cell>
          <cell r="H5905">
            <v>31102192</v>
          </cell>
          <cell r="I5905" t="str">
            <v/>
          </cell>
          <cell r="J5905" t="str">
            <v/>
          </cell>
          <cell r="K5905" t="str">
            <v/>
          </cell>
          <cell r="L5905" t="str">
            <v/>
          </cell>
          <cell r="M5905" t="str">
            <v/>
          </cell>
        </row>
        <row r="5906">
          <cell r="A5906">
            <v>31102192</v>
          </cell>
          <cell r="C5906">
            <v>31102192</v>
          </cell>
          <cell r="D5906">
            <v>31102192</v>
          </cell>
          <cell r="E5906">
            <v>31102192</v>
          </cell>
          <cell r="F5906">
            <v>31102192</v>
          </cell>
          <cell r="G5906">
            <v>31102192</v>
          </cell>
          <cell r="H5906">
            <v>31102192</v>
          </cell>
          <cell r="I5906" t="str">
            <v/>
          </cell>
          <cell r="J5906" t="str">
            <v/>
          </cell>
          <cell r="K5906" t="str">
            <v/>
          </cell>
          <cell r="L5906" t="str">
            <v/>
          </cell>
          <cell r="M5906" t="str">
            <v/>
          </cell>
        </row>
        <row r="5907">
          <cell r="A5907">
            <v>31102192</v>
          </cell>
          <cell r="C5907">
            <v>31102192</v>
          </cell>
          <cell r="D5907">
            <v>31102192</v>
          </cell>
          <cell r="E5907">
            <v>31102192</v>
          </cell>
          <cell r="F5907">
            <v>31102192</v>
          </cell>
          <cell r="G5907">
            <v>31102192</v>
          </cell>
          <cell r="H5907">
            <v>31102192</v>
          </cell>
          <cell r="I5907" t="str">
            <v/>
          </cell>
          <cell r="J5907" t="str">
            <v/>
          </cell>
          <cell r="K5907" t="str">
            <v/>
          </cell>
          <cell r="L5907" t="str">
            <v/>
          </cell>
          <cell r="M5907" t="str">
            <v/>
          </cell>
        </row>
        <row r="5908">
          <cell r="A5908">
            <v>31102192</v>
          </cell>
          <cell r="C5908">
            <v>31102192</v>
          </cell>
          <cell r="D5908">
            <v>31102192</v>
          </cell>
          <cell r="E5908">
            <v>31102192</v>
          </cell>
          <cell r="F5908">
            <v>31102192</v>
          </cell>
          <cell r="G5908">
            <v>31102192</v>
          </cell>
          <cell r="H5908">
            <v>31102192</v>
          </cell>
          <cell r="I5908" t="str">
            <v/>
          </cell>
          <cell r="J5908" t="str">
            <v/>
          </cell>
          <cell r="K5908" t="str">
            <v/>
          </cell>
          <cell r="L5908" t="str">
            <v/>
          </cell>
          <cell r="M5908" t="str">
            <v/>
          </cell>
        </row>
        <row r="5909">
          <cell r="A5909">
            <v>31102192</v>
          </cell>
          <cell r="C5909">
            <v>31102192</v>
          </cell>
          <cell r="D5909">
            <v>31102192</v>
          </cell>
          <cell r="E5909">
            <v>31102192</v>
          </cell>
          <cell r="F5909">
            <v>31102192</v>
          </cell>
          <cell r="G5909">
            <v>31102192</v>
          </cell>
          <cell r="H5909">
            <v>31102192</v>
          </cell>
          <cell r="I5909" t="str">
            <v/>
          </cell>
          <cell r="J5909" t="str">
            <v/>
          </cell>
          <cell r="K5909" t="str">
            <v/>
          </cell>
          <cell r="L5909" t="str">
            <v/>
          </cell>
          <cell r="M5909" t="str">
            <v/>
          </cell>
        </row>
        <row r="5910">
          <cell r="A5910">
            <v>31102192</v>
          </cell>
          <cell r="C5910">
            <v>31102192</v>
          </cell>
          <cell r="D5910">
            <v>31102192</v>
          </cell>
          <cell r="E5910">
            <v>31102192</v>
          </cell>
          <cell r="F5910">
            <v>31102192</v>
          </cell>
          <cell r="G5910">
            <v>31102192</v>
          </cell>
          <cell r="H5910">
            <v>31102192</v>
          </cell>
          <cell r="I5910" t="str">
            <v/>
          </cell>
          <cell r="J5910" t="str">
            <v/>
          </cell>
          <cell r="K5910" t="str">
            <v/>
          </cell>
          <cell r="L5910" t="str">
            <v/>
          </cell>
          <cell r="M5910" t="str">
            <v/>
          </cell>
        </row>
        <row r="5911">
          <cell r="A5911">
            <v>31102192</v>
          </cell>
          <cell r="C5911">
            <v>31102192</v>
          </cell>
          <cell r="D5911">
            <v>31102192</v>
          </cell>
          <cell r="E5911">
            <v>31102192</v>
          </cell>
          <cell r="F5911">
            <v>31102192</v>
          </cell>
          <cell r="G5911">
            <v>31102192</v>
          </cell>
          <cell r="H5911">
            <v>31102192</v>
          </cell>
          <cell r="I5911" t="str">
            <v/>
          </cell>
          <cell r="J5911" t="str">
            <v/>
          </cell>
          <cell r="K5911" t="str">
            <v/>
          </cell>
          <cell r="L5911" t="str">
            <v/>
          </cell>
          <cell r="M5911" t="str">
            <v/>
          </cell>
        </row>
        <row r="5912">
          <cell r="A5912">
            <v>31102192</v>
          </cell>
          <cell r="C5912">
            <v>31102192</v>
          </cell>
          <cell r="D5912">
            <v>31102192</v>
          </cell>
          <cell r="E5912">
            <v>31102192</v>
          </cell>
          <cell r="F5912">
            <v>31102192</v>
          </cell>
          <cell r="G5912">
            <v>31102192</v>
          </cell>
          <cell r="H5912">
            <v>31102192</v>
          </cell>
          <cell r="I5912" t="str">
            <v/>
          </cell>
          <cell r="J5912" t="str">
            <v/>
          </cell>
          <cell r="K5912" t="str">
            <v/>
          </cell>
          <cell r="L5912" t="str">
            <v/>
          </cell>
          <cell r="M5912" t="str">
            <v/>
          </cell>
        </row>
        <row r="5913">
          <cell r="A5913">
            <v>31102192</v>
          </cell>
          <cell r="C5913">
            <v>31102192</v>
          </cell>
          <cell r="D5913">
            <v>31102192</v>
          </cell>
          <cell r="E5913">
            <v>31102192</v>
          </cell>
          <cell r="F5913">
            <v>31102192</v>
          </cell>
          <cell r="G5913">
            <v>31102192</v>
          </cell>
          <cell r="H5913">
            <v>31102192</v>
          </cell>
          <cell r="I5913" t="str">
            <v/>
          </cell>
          <cell r="J5913" t="str">
            <v/>
          </cell>
          <cell r="K5913" t="str">
            <v/>
          </cell>
          <cell r="L5913" t="str">
            <v/>
          </cell>
          <cell r="M5913" t="str">
            <v/>
          </cell>
        </row>
        <row r="5914">
          <cell r="A5914">
            <v>31102192</v>
          </cell>
          <cell r="C5914">
            <v>31102192</v>
          </cell>
          <cell r="D5914">
            <v>31102192</v>
          </cell>
          <cell r="E5914">
            <v>31102192</v>
          </cell>
          <cell r="F5914">
            <v>31102192</v>
          </cell>
          <cell r="G5914">
            <v>31102192</v>
          </cell>
          <cell r="H5914">
            <v>31102192</v>
          </cell>
          <cell r="I5914" t="str">
            <v/>
          </cell>
          <cell r="J5914" t="str">
            <v/>
          </cell>
          <cell r="K5914" t="str">
            <v/>
          </cell>
          <cell r="L5914" t="str">
            <v/>
          </cell>
          <cell r="M5914" t="str">
            <v/>
          </cell>
        </row>
        <row r="5915">
          <cell r="A5915">
            <v>31102192</v>
          </cell>
          <cell r="C5915">
            <v>31102192</v>
          </cell>
          <cell r="D5915">
            <v>31102192</v>
          </cell>
          <cell r="E5915">
            <v>31102192</v>
          </cell>
          <cell r="F5915">
            <v>31102192</v>
          </cell>
          <cell r="G5915">
            <v>31102192</v>
          </cell>
          <cell r="H5915">
            <v>31102192</v>
          </cell>
          <cell r="I5915" t="str">
            <v/>
          </cell>
          <cell r="J5915" t="str">
            <v/>
          </cell>
          <cell r="K5915" t="str">
            <v/>
          </cell>
          <cell r="L5915" t="str">
            <v/>
          </cell>
          <cell r="M5915" t="str">
            <v/>
          </cell>
        </row>
        <row r="5916">
          <cell r="A5916">
            <v>31102192</v>
          </cell>
          <cell r="C5916">
            <v>31102192</v>
          </cell>
          <cell r="D5916">
            <v>31102192</v>
          </cell>
          <cell r="E5916">
            <v>31102192</v>
          </cell>
          <cell r="F5916">
            <v>31102192</v>
          </cell>
          <cell r="G5916">
            <v>31102192</v>
          </cell>
          <cell r="H5916">
            <v>31102192</v>
          </cell>
          <cell r="I5916" t="str">
            <v/>
          </cell>
          <cell r="J5916" t="str">
            <v/>
          </cell>
          <cell r="K5916" t="str">
            <v/>
          </cell>
          <cell r="L5916" t="str">
            <v/>
          </cell>
          <cell r="M5916" t="str">
            <v/>
          </cell>
        </row>
        <row r="5917">
          <cell r="A5917">
            <v>31102192</v>
          </cell>
          <cell r="C5917">
            <v>31102192</v>
          </cell>
          <cell r="D5917">
            <v>31102192</v>
          </cell>
          <cell r="E5917">
            <v>31102192</v>
          </cell>
          <cell r="F5917">
            <v>31102192</v>
          </cell>
          <cell r="G5917">
            <v>31102192</v>
          </cell>
          <cell r="H5917">
            <v>31102192</v>
          </cell>
          <cell r="I5917" t="str">
            <v/>
          </cell>
          <cell r="J5917" t="str">
            <v/>
          </cell>
          <cell r="K5917" t="str">
            <v/>
          </cell>
          <cell r="L5917" t="str">
            <v/>
          </cell>
          <cell r="M5917" t="str">
            <v/>
          </cell>
        </row>
        <row r="5918">
          <cell r="A5918">
            <v>31102192</v>
          </cell>
          <cell r="C5918">
            <v>31102192</v>
          </cell>
          <cell r="D5918">
            <v>31102192</v>
          </cell>
          <cell r="E5918">
            <v>31102192</v>
          </cell>
          <cell r="F5918">
            <v>31102192</v>
          </cell>
          <cell r="G5918">
            <v>31102192</v>
          </cell>
          <cell r="H5918">
            <v>31102192</v>
          </cell>
          <cell r="I5918" t="str">
            <v/>
          </cell>
          <cell r="J5918" t="str">
            <v/>
          </cell>
          <cell r="K5918" t="str">
            <v/>
          </cell>
          <cell r="L5918" t="str">
            <v/>
          </cell>
          <cell r="M5918" t="str">
            <v/>
          </cell>
        </row>
        <row r="5919">
          <cell r="A5919">
            <v>31102192</v>
          </cell>
          <cell r="C5919">
            <v>31102192</v>
          </cell>
          <cell r="D5919">
            <v>31102192</v>
          </cell>
          <cell r="E5919">
            <v>31102192</v>
          </cell>
          <cell r="F5919">
            <v>31102192</v>
          </cell>
          <cell r="G5919">
            <v>31102192</v>
          </cell>
          <cell r="H5919">
            <v>31102192</v>
          </cell>
          <cell r="I5919" t="str">
            <v/>
          </cell>
          <cell r="J5919" t="str">
            <v/>
          </cell>
          <cell r="K5919" t="str">
            <v/>
          </cell>
          <cell r="L5919" t="str">
            <v/>
          </cell>
          <cell r="M5919" t="str">
            <v/>
          </cell>
        </row>
        <row r="5920">
          <cell r="A5920">
            <v>31102192</v>
          </cell>
          <cell r="C5920">
            <v>31102192</v>
          </cell>
          <cell r="D5920">
            <v>31102192</v>
          </cell>
          <cell r="E5920">
            <v>31102192</v>
          </cell>
          <cell r="F5920">
            <v>31102192</v>
          </cell>
          <cell r="G5920">
            <v>31102192</v>
          </cell>
          <cell r="H5920">
            <v>31102192</v>
          </cell>
          <cell r="I5920" t="str">
            <v/>
          </cell>
          <cell r="J5920" t="str">
            <v/>
          </cell>
          <cell r="K5920" t="str">
            <v/>
          </cell>
          <cell r="L5920" t="str">
            <v/>
          </cell>
          <cell r="M5920" t="str">
            <v/>
          </cell>
        </row>
        <row r="5921">
          <cell r="A5921">
            <v>31102192</v>
          </cell>
          <cell r="C5921">
            <v>31102192</v>
          </cell>
          <cell r="D5921">
            <v>31102192</v>
          </cell>
          <cell r="E5921">
            <v>31102192</v>
          </cell>
          <cell r="F5921">
            <v>31102192</v>
          </cell>
          <cell r="G5921">
            <v>31102192</v>
          </cell>
          <cell r="H5921">
            <v>31102192</v>
          </cell>
          <cell r="I5921" t="str">
            <v/>
          </cell>
          <cell r="J5921" t="str">
            <v/>
          </cell>
          <cell r="K5921" t="str">
            <v/>
          </cell>
          <cell r="L5921" t="str">
            <v/>
          </cell>
          <cell r="M5921" t="str">
            <v/>
          </cell>
        </row>
        <row r="5922">
          <cell r="A5922">
            <v>31102192</v>
          </cell>
          <cell r="C5922">
            <v>31102192</v>
          </cell>
          <cell r="D5922">
            <v>31102192</v>
          </cell>
          <cell r="E5922">
            <v>31102192</v>
          </cell>
          <cell r="F5922">
            <v>31102192</v>
          </cell>
          <cell r="G5922">
            <v>31102192</v>
          </cell>
          <cell r="H5922">
            <v>31102192</v>
          </cell>
          <cell r="I5922" t="str">
            <v/>
          </cell>
          <cell r="J5922" t="str">
            <v/>
          </cell>
          <cell r="K5922" t="str">
            <v/>
          </cell>
          <cell r="L5922" t="str">
            <v/>
          </cell>
          <cell r="M5922" t="str">
            <v/>
          </cell>
        </row>
        <row r="5923">
          <cell r="A5923">
            <v>31102192</v>
          </cell>
          <cell r="C5923">
            <v>31102192</v>
          </cell>
          <cell r="D5923">
            <v>31102192</v>
          </cell>
          <cell r="E5923">
            <v>31102192</v>
          </cell>
          <cell r="F5923">
            <v>31102192</v>
          </cell>
          <cell r="G5923">
            <v>31102192</v>
          </cell>
          <cell r="H5923">
            <v>31102192</v>
          </cell>
          <cell r="I5923" t="str">
            <v/>
          </cell>
          <cell r="J5923" t="str">
            <v/>
          </cell>
          <cell r="K5923" t="str">
            <v/>
          </cell>
          <cell r="L5923" t="str">
            <v/>
          </cell>
          <cell r="M5923" t="str">
            <v/>
          </cell>
        </row>
        <row r="5924">
          <cell r="A5924">
            <v>31102192</v>
          </cell>
          <cell r="C5924">
            <v>31102192</v>
          </cell>
          <cell r="D5924">
            <v>31102192</v>
          </cell>
          <cell r="E5924">
            <v>31102192</v>
          </cell>
          <cell r="F5924">
            <v>31102192</v>
          </cell>
          <cell r="G5924">
            <v>31102192</v>
          </cell>
          <cell r="H5924">
            <v>31102192</v>
          </cell>
          <cell r="I5924" t="str">
            <v/>
          </cell>
          <cell r="J5924" t="str">
            <v/>
          </cell>
          <cell r="K5924" t="str">
            <v/>
          </cell>
          <cell r="L5924" t="str">
            <v/>
          </cell>
          <cell r="M5924" t="str">
            <v/>
          </cell>
        </row>
        <row r="5925">
          <cell r="A5925">
            <v>31102192</v>
          </cell>
          <cell r="C5925">
            <v>31102192</v>
          </cell>
          <cell r="D5925">
            <v>31102192</v>
          </cell>
          <cell r="E5925">
            <v>31102192</v>
          </cell>
          <cell r="F5925">
            <v>31102192</v>
          </cell>
          <cell r="G5925">
            <v>31102192</v>
          </cell>
          <cell r="H5925">
            <v>31102192</v>
          </cell>
          <cell r="I5925" t="str">
            <v/>
          </cell>
          <cell r="J5925" t="str">
            <v/>
          </cell>
          <cell r="K5925" t="str">
            <v/>
          </cell>
          <cell r="L5925" t="str">
            <v/>
          </cell>
          <cell r="M5925" t="str">
            <v/>
          </cell>
        </row>
        <row r="5926">
          <cell r="A5926">
            <v>31102192</v>
          </cell>
          <cell r="C5926">
            <v>31102192</v>
          </cell>
          <cell r="D5926">
            <v>31102192</v>
          </cell>
          <cell r="E5926">
            <v>31102192</v>
          </cell>
          <cell r="F5926">
            <v>31102192</v>
          </cell>
          <cell r="G5926">
            <v>31102192</v>
          </cell>
          <cell r="H5926">
            <v>31102192</v>
          </cell>
          <cell r="I5926" t="str">
            <v/>
          </cell>
          <cell r="J5926" t="str">
            <v/>
          </cell>
          <cell r="K5926" t="str">
            <v/>
          </cell>
          <cell r="L5926" t="str">
            <v/>
          </cell>
          <cell r="M5926" t="str">
            <v/>
          </cell>
        </row>
        <row r="5927">
          <cell r="A5927">
            <v>31102192</v>
          </cell>
          <cell r="C5927">
            <v>31102192</v>
          </cell>
          <cell r="D5927">
            <v>31102192</v>
          </cell>
          <cell r="E5927">
            <v>31102192</v>
          </cell>
          <cell r="F5927">
            <v>31102192</v>
          </cell>
          <cell r="G5927">
            <v>31102192</v>
          </cell>
          <cell r="H5927">
            <v>31102192</v>
          </cell>
          <cell r="I5927" t="str">
            <v/>
          </cell>
          <cell r="J5927" t="str">
            <v/>
          </cell>
          <cell r="K5927" t="str">
            <v/>
          </cell>
          <cell r="L5927" t="str">
            <v/>
          </cell>
          <cell r="M5927" t="str">
            <v/>
          </cell>
        </row>
        <row r="5928">
          <cell r="A5928">
            <v>31102192</v>
          </cell>
          <cell r="C5928">
            <v>31102192</v>
          </cell>
          <cell r="D5928">
            <v>31102192</v>
          </cell>
          <cell r="E5928">
            <v>31102192</v>
          </cell>
          <cell r="F5928">
            <v>31102192</v>
          </cell>
          <cell r="G5928">
            <v>31102192</v>
          </cell>
          <cell r="H5928">
            <v>31102192</v>
          </cell>
          <cell r="I5928" t="str">
            <v/>
          </cell>
          <cell r="J5928" t="str">
            <v/>
          </cell>
          <cell r="K5928" t="str">
            <v/>
          </cell>
          <cell r="L5928" t="str">
            <v/>
          </cell>
          <cell r="M5928" t="str">
            <v/>
          </cell>
        </row>
        <row r="5929">
          <cell r="A5929">
            <v>31102192</v>
          </cell>
          <cell r="C5929">
            <v>31102192</v>
          </cell>
          <cell r="D5929">
            <v>31102192</v>
          </cell>
          <cell r="E5929">
            <v>31102192</v>
          </cell>
          <cell r="F5929">
            <v>31102192</v>
          </cell>
          <cell r="G5929">
            <v>31102192</v>
          </cell>
          <cell r="H5929">
            <v>31102192</v>
          </cell>
          <cell r="I5929" t="str">
            <v/>
          </cell>
          <cell r="J5929" t="str">
            <v/>
          </cell>
          <cell r="K5929" t="str">
            <v/>
          </cell>
          <cell r="L5929" t="str">
            <v/>
          </cell>
          <cell r="M5929" t="str">
            <v/>
          </cell>
        </row>
        <row r="5930">
          <cell r="A5930">
            <v>31102192</v>
          </cell>
          <cell r="C5930">
            <v>31102192</v>
          </cell>
          <cell r="D5930">
            <v>31102192</v>
          </cell>
          <cell r="E5930">
            <v>31102192</v>
          </cell>
          <cell r="F5930">
            <v>31102192</v>
          </cell>
          <cell r="G5930">
            <v>31102192</v>
          </cell>
          <cell r="H5930">
            <v>31102192</v>
          </cell>
          <cell r="I5930" t="str">
            <v/>
          </cell>
          <cell r="J5930" t="str">
            <v/>
          </cell>
          <cell r="K5930" t="str">
            <v/>
          </cell>
          <cell r="L5930" t="str">
            <v/>
          </cell>
          <cell r="M5930" t="str">
            <v/>
          </cell>
        </row>
        <row r="5931">
          <cell r="A5931">
            <v>31102192</v>
          </cell>
          <cell r="C5931">
            <v>31102192</v>
          </cell>
          <cell r="D5931">
            <v>31102192</v>
          </cell>
          <cell r="E5931">
            <v>31102192</v>
          </cell>
          <cell r="F5931">
            <v>31102192</v>
          </cell>
          <cell r="G5931">
            <v>31102192</v>
          </cell>
          <cell r="H5931">
            <v>31102192</v>
          </cell>
          <cell r="I5931" t="str">
            <v/>
          </cell>
          <cell r="J5931" t="str">
            <v/>
          </cell>
          <cell r="K5931" t="str">
            <v/>
          </cell>
          <cell r="L5931" t="str">
            <v/>
          </cell>
          <cell r="M5931" t="str">
            <v/>
          </cell>
        </row>
        <row r="5932">
          <cell r="A5932">
            <v>31102192</v>
          </cell>
          <cell r="C5932">
            <v>31102192</v>
          </cell>
          <cell r="D5932">
            <v>31102192</v>
          </cell>
          <cell r="E5932">
            <v>31102192</v>
          </cell>
          <cell r="F5932">
            <v>31102192</v>
          </cell>
          <cell r="G5932">
            <v>31102192</v>
          </cell>
          <cell r="H5932">
            <v>31102192</v>
          </cell>
          <cell r="I5932" t="str">
            <v/>
          </cell>
          <cell r="J5932" t="str">
            <v/>
          </cell>
          <cell r="K5932" t="str">
            <v/>
          </cell>
          <cell r="L5932" t="str">
            <v/>
          </cell>
          <cell r="M5932" t="str">
            <v/>
          </cell>
        </row>
        <row r="5933">
          <cell r="A5933">
            <v>31102192</v>
          </cell>
          <cell r="C5933">
            <v>31102192</v>
          </cell>
          <cell r="D5933">
            <v>31102192</v>
          </cell>
          <cell r="E5933">
            <v>31102192</v>
          </cell>
          <cell r="F5933">
            <v>31102192</v>
          </cell>
          <cell r="G5933">
            <v>31102192</v>
          </cell>
          <cell r="H5933">
            <v>31102192</v>
          </cell>
          <cell r="I5933" t="str">
            <v/>
          </cell>
          <cell r="J5933" t="str">
            <v/>
          </cell>
          <cell r="K5933" t="str">
            <v/>
          </cell>
          <cell r="L5933" t="str">
            <v/>
          </cell>
          <cell r="M5933" t="str">
            <v/>
          </cell>
        </row>
        <row r="5934">
          <cell r="A5934">
            <v>31102192</v>
          </cell>
          <cell r="C5934">
            <v>31102192</v>
          </cell>
          <cell r="D5934">
            <v>31102192</v>
          </cell>
          <cell r="E5934">
            <v>31102192</v>
          </cell>
          <cell r="F5934">
            <v>31102192</v>
          </cell>
          <cell r="G5934">
            <v>31102192</v>
          </cell>
          <cell r="H5934">
            <v>31102192</v>
          </cell>
          <cell r="I5934" t="str">
            <v/>
          </cell>
          <cell r="J5934" t="str">
            <v/>
          </cell>
          <cell r="K5934" t="str">
            <v/>
          </cell>
          <cell r="L5934" t="str">
            <v/>
          </cell>
          <cell r="M5934" t="str">
            <v/>
          </cell>
        </row>
        <row r="5935">
          <cell r="A5935">
            <v>31102192</v>
          </cell>
          <cell r="C5935">
            <v>31102192</v>
          </cell>
          <cell r="D5935">
            <v>31102192</v>
          </cell>
          <cell r="E5935">
            <v>31102192</v>
          </cell>
          <cell r="F5935">
            <v>31102192</v>
          </cell>
          <cell r="G5935">
            <v>31102192</v>
          </cell>
          <cell r="H5935">
            <v>31102192</v>
          </cell>
          <cell r="I5935" t="str">
            <v/>
          </cell>
          <cell r="J5935" t="str">
            <v/>
          </cell>
          <cell r="K5935" t="str">
            <v/>
          </cell>
          <cell r="L5935" t="str">
            <v/>
          </cell>
          <cell r="M5935" t="str">
            <v/>
          </cell>
        </row>
        <row r="5936">
          <cell r="A5936">
            <v>31102192</v>
          </cell>
          <cell r="C5936">
            <v>31102192</v>
          </cell>
          <cell r="D5936">
            <v>31102192</v>
          </cell>
          <cell r="E5936">
            <v>31102192</v>
          </cell>
          <cell r="F5936">
            <v>31102192</v>
          </cell>
          <cell r="G5936">
            <v>31102192</v>
          </cell>
          <cell r="H5936">
            <v>31102192</v>
          </cell>
          <cell r="I5936" t="str">
            <v/>
          </cell>
          <cell r="J5936" t="str">
            <v/>
          </cell>
          <cell r="K5936" t="str">
            <v/>
          </cell>
          <cell r="L5936" t="str">
            <v/>
          </cell>
          <cell r="M5936" t="str">
            <v/>
          </cell>
        </row>
        <row r="5937">
          <cell r="A5937">
            <v>31102192</v>
          </cell>
          <cell r="C5937">
            <v>31102192</v>
          </cell>
          <cell r="D5937">
            <v>31102192</v>
          </cell>
          <cell r="E5937">
            <v>31102192</v>
          </cell>
          <cell r="F5937">
            <v>31102192</v>
          </cell>
          <cell r="G5937">
            <v>31102192</v>
          </cell>
          <cell r="H5937">
            <v>31102192</v>
          </cell>
          <cell r="I5937" t="str">
            <v/>
          </cell>
          <cell r="J5937" t="str">
            <v/>
          </cell>
          <cell r="K5937" t="str">
            <v/>
          </cell>
          <cell r="L5937" t="str">
            <v/>
          </cell>
          <cell r="M5937" t="str">
            <v/>
          </cell>
        </row>
        <row r="5938">
          <cell r="A5938">
            <v>31102192</v>
          </cell>
          <cell r="C5938">
            <v>31102192</v>
          </cell>
          <cell r="D5938">
            <v>31102192</v>
          </cell>
          <cell r="E5938">
            <v>31102192</v>
          </cell>
          <cell r="F5938">
            <v>31102192</v>
          </cell>
          <cell r="G5938">
            <v>31102192</v>
          </cell>
          <cell r="H5938">
            <v>31102192</v>
          </cell>
          <cell r="I5938" t="str">
            <v/>
          </cell>
          <cell r="J5938" t="str">
            <v/>
          </cell>
          <cell r="K5938" t="str">
            <v/>
          </cell>
          <cell r="L5938" t="str">
            <v/>
          </cell>
          <cell r="M5938" t="str">
            <v/>
          </cell>
        </row>
        <row r="5939">
          <cell r="A5939">
            <v>31102192</v>
          </cell>
          <cell r="C5939">
            <v>31102192</v>
          </cell>
          <cell r="D5939">
            <v>31102192</v>
          </cell>
          <cell r="E5939">
            <v>31102192</v>
          </cell>
          <cell r="F5939">
            <v>31102192</v>
          </cell>
          <cell r="G5939">
            <v>31102192</v>
          </cell>
          <cell r="H5939">
            <v>31102192</v>
          </cell>
          <cell r="I5939" t="str">
            <v/>
          </cell>
          <cell r="J5939" t="str">
            <v/>
          </cell>
          <cell r="K5939" t="str">
            <v/>
          </cell>
          <cell r="L5939" t="str">
            <v/>
          </cell>
          <cell r="M5939" t="str">
            <v/>
          </cell>
        </row>
        <row r="5940">
          <cell r="A5940">
            <v>31102192</v>
          </cell>
          <cell r="C5940">
            <v>31102192</v>
          </cell>
          <cell r="D5940">
            <v>31102192</v>
          </cell>
          <cell r="E5940">
            <v>31102192</v>
          </cell>
          <cell r="F5940">
            <v>31102192</v>
          </cell>
          <cell r="G5940">
            <v>31102192</v>
          </cell>
          <cell r="H5940">
            <v>31102192</v>
          </cell>
          <cell r="I5940" t="str">
            <v/>
          </cell>
          <cell r="J5940" t="str">
            <v/>
          </cell>
          <cell r="K5940" t="str">
            <v/>
          </cell>
          <cell r="L5940" t="str">
            <v/>
          </cell>
          <cell r="M5940" t="str">
            <v/>
          </cell>
        </row>
        <row r="5941">
          <cell r="A5941">
            <v>31102192</v>
          </cell>
          <cell r="C5941">
            <v>31102192</v>
          </cell>
          <cell r="D5941">
            <v>31102192</v>
          </cell>
          <cell r="E5941">
            <v>31102192</v>
          </cell>
          <cell r="F5941">
            <v>31102192</v>
          </cell>
          <cell r="G5941">
            <v>31102192</v>
          </cell>
          <cell r="H5941">
            <v>31102192</v>
          </cell>
          <cell r="I5941" t="str">
            <v/>
          </cell>
          <cell r="J5941" t="str">
            <v/>
          </cell>
          <cell r="K5941" t="str">
            <v/>
          </cell>
          <cell r="L5941" t="str">
            <v/>
          </cell>
          <cell r="M5941" t="str">
            <v/>
          </cell>
        </row>
        <row r="5942">
          <cell r="A5942">
            <v>31102192</v>
          </cell>
          <cell r="C5942">
            <v>31102192</v>
          </cell>
          <cell r="D5942">
            <v>31102192</v>
          </cell>
          <cell r="E5942">
            <v>31102192</v>
          </cell>
          <cell r="F5942">
            <v>31102192</v>
          </cell>
          <cell r="G5942">
            <v>31102192</v>
          </cell>
          <cell r="H5942">
            <v>31102192</v>
          </cell>
          <cell r="I5942" t="str">
            <v/>
          </cell>
          <cell r="J5942" t="str">
            <v/>
          </cell>
          <cell r="K5942" t="str">
            <v/>
          </cell>
          <cell r="L5942" t="str">
            <v/>
          </cell>
          <cell r="M5942" t="str">
            <v/>
          </cell>
        </row>
        <row r="5943">
          <cell r="A5943">
            <v>31102192</v>
          </cell>
          <cell r="C5943">
            <v>31102192</v>
          </cell>
          <cell r="D5943">
            <v>31102192</v>
          </cell>
          <cell r="E5943">
            <v>31102192</v>
          </cell>
          <cell r="F5943">
            <v>31102192</v>
          </cell>
          <cell r="G5943">
            <v>31102192</v>
          </cell>
          <cell r="H5943">
            <v>31102192</v>
          </cell>
          <cell r="I5943" t="str">
            <v/>
          </cell>
          <cell r="J5943" t="str">
            <v/>
          </cell>
          <cell r="K5943" t="str">
            <v/>
          </cell>
          <cell r="L5943" t="str">
            <v/>
          </cell>
          <cell r="M5943" t="str">
            <v/>
          </cell>
        </row>
        <row r="5944">
          <cell r="A5944">
            <v>31102192</v>
          </cell>
          <cell r="C5944">
            <v>31102192</v>
          </cell>
          <cell r="D5944">
            <v>31102192</v>
          </cell>
          <cell r="E5944">
            <v>31102192</v>
          </cell>
          <cell r="F5944">
            <v>31102192</v>
          </cell>
          <cell r="G5944">
            <v>31102192</v>
          </cell>
          <cell r="H5944">
            <v>31102192</v>
          </cell>
          <cell r="I5944" t="str">
            <v/>
          </cell>
          <cell r="J5944" t="str">
            <v/>
          </cell>
          <cell r="K5944" t="str">
            <v/>
          </cell>
          <cell r="L5944" t="str">
            <v/>
          </cell>
          <cell r="M5944" t="str">
            <v/>
          </cell>
        </row>
        <row r="5945">
          <cell r="A5945">
            <v>31102192</v>
          </cell>
          <cell r="C5945">
            <v>31102192</v>
          </cell>
          <cell r="D5945">
            <v>31102192</v>
          </cell>
          <cell r="E5945">
            <v>31102192</v>
          </cell>
          <cell r="F5945">
            <v>31102192</v>
          </cell>
          <cell r="G5945">
            <v>31102192</v>
          </cell>
          <cell r="H5945">
            <v>31102192</v>
          </cell>
          <cell r="I5945" t="str">
            <v/>
          </cell>
          <cell r="J5945" t="str">
            <v/>
          </cell>
          <cell r="K5945" t="str">
            <v/>
          </cell>
          <cell r="L5945" t="str">
            <v/>
          </cell>
          <cell r="M5945" t="str">
            <v/>
          </cell>
        </row>
        <row r="5946">
          <cell r="A5946">
            <v>31102192</v>
          </cell>
          <cell r="C5946">
            <v>31102192</v>
          </cell>
          <cell r="D5946">
            <v>31102192</v>
          </cell>
          <cell r="E5946">
            <v>31102192</v>
          </cell>
          <cell r="F5946">
            <v>31102192</v>
          </cell>
          <cell r="G5946">
            <v>31102192</v>
          </cell>
          <cell r="H5946">
            <v>31102192</v>
          </cell>
          <cell r="I5946" t="str">
            <v/>
          </cell>
          <cell r="J5946" t="str">
            <v/>
          </cell>
          <cell r="K5946" t="str">
            <v/>
          </cell>
          <cell r="L5946" t="str">
            <v/>
          </cell>
          <cell r="M5946" t="str">
            <v/>
          </cell>
        </row>
        <row r="5947">
          <cell r="A5947">
            <v>31102192</v>
          </cell>
          <cell r="C5947">
            <v>31102192</v>
          </cell>
          <cell r="D5947">
            <v>31102192</v>
          </cell>
          <cell r="E5947">
            <v>31102192</v>
          </cell>
          <cell r="F5947">
            <v>31102192</v>
          </cell>
          <cell r="G5947">
            <v>31102192</v>
          </cell>
          <cell r="H5947">
            <v>31102192</v>
          </cell>
          <cell r="I5947" t="str">
            <v/>
          </cell>
          <cell r="J5947" t="str">
            <v/>
          </cell>
          <cell r="K5947" t="str">
            <v/>
          </cell>
          <cell r="L5947" t="str">
            <v/>
          </cell>
          <cell r="M5947" t="str">
            <v/>
          </cell>
        </row>
        <row r="5948">
          <cell r="A5948">
            <v>31102192</v>
          </cell>
          <cell r="C5948">
            <v>31102192</v>
          </cell>
          <cell r="D5948">
            <v>31102192</v>
          </cell>
          <cell r="E5948">
            <v>31102192</v>
          </cell>
          <cell r="F5948">
            <v>31102192</v>
          </cell>
          <cell r="G5948">
            <v>31102192</v>
          </cell>
          <cell r="H5948">
            <v>31102192</v>
          </cell>
          <cell r="I5948" t="str">
            <v/>
          </cell>
          <cell r="J5948" t="str">
            <v/>
          </cell>
          <cell r="K5948" t="str">
            <v/>
          </cell>
          <cell r="L5948" t="str">
            <v/>
          </cell>
          <cell r="M5948" t="str">
            <v/>
          </cell>
        </row>
        <row r="5949">
          <cell r="A5949">
            <v>31102192</v>
          </cell>
          <cell r="C5949">
            <v>31102192</v>
          </cell>
          <cell r="D5949">
            <v>31102192</v>
          </cell>
          <cell r="E5949">
            <v>31102192</v>
          </cell>
          <cell r="F5949">
            <v>31102192</v>
          </cell>
          <cell r="G5949">
            <v>31102192</v>
          </cell>
          <cell r="H5949">
            <v>31102192</v>
          </cell>
          <cell r="I5949" t="str">
            <v/>
          </cell>
          <cell r="J5949" t="str">
            <v/>
          </cell>
          <cell r="K5949" t="str">
            <v/>
          </cell>
          <cell r="L5949" t="str">
            <v/>
          </cell>
          <cell r="M5949" t="str">
            <v/>
          </cell>
        </row>
        <row r="5950">
          <cell r="A5950">
            <v>31102192</v>
          </cell>
          <cell r="C5950">
            <v>31102192</v>
          </cell>
          <cell r="D5950">
            <v>31102192</v>
          </cell>
          <cell r="E5950">
            <v>31102192</v>
          </cell>
          <cell r="F5950">
            <v>31102192</v>
          </cell>
          <cell r="G5950">
            <v>31102192</v>
          </cell>
          <cell r="H5950">
            <v>31102192</v>
          </cell>
          <cell r="I5950" t="str">
            <v/>
          </cell>
          <cell r="J5950" t="str">
            <v/>
          </cell>
          <cell r="K5950" t="str">
            <v/>
          </cell>
          <cell r="L5950" t="str">
            <v/>
          </cell>
          <cell r="M5950" t="str">
            <v/>
          </cell>
        </row>
        <row r="5951">
          <cell r="A5951">
            <v>31102192</v>
          </cell>
          <cell r="C5951">
            <v>31102192</v>
          </cell>
          <cell r="D5951">
            <v>31102192</v>
          </cell>
          <cell r="E5951">
            <v>31102192</v>
          </cell>
          <cell r="F5951">
            <v>31102192</v>
          </cell>
          <cell r="G5951">
            <v>31102192</v>
          </cell>
          <cell r="H5951">
            <v>31102192</v>
          </cell>
          <cell r="I5951" t="str">
            <v/>
          </cell>
          <cell r="J5951" t="str">
            <v/>
          </cell>
          <cell r="K5951" t="str">
            <v/>
          </cell>
          <cell r="L5951" t="str">
            <v/>
          </cell>
          <cell r="M5951" t="str">
            <v/>
          </cell>
        </row>
        <row r="5952">
          <cell r="A5952">
            <v>31102192</v>
          </cell>
          <cell r="C5952">
            <v>31102192</v>
          </cell>
          <cell r="D5952">
            <v>31102192</v>
          </cell>
          <cell r="E5952">
            <v>31102192</v>
          </cell>
          <cell r="F5952">
            <v>31102192</v>
          </cell>
          <cell r="G5952">
            <v>31102192</v>
          </cell>
          <cell r="H5952">
            <v>31102192</v>
          </cell>
          <cell r="I5952" t="str">
            <v/>
          </cell>
          <cell r="J5952" t="str">
            <v/>
          </cell>
          <cell r="K5952" t="str">
            <v/>
          </cell>
          <cell r="L5952" t="str">
            <v/>
          </cell>
          <cell r="M5952" t="str">
            <v/>
          </cell>
        </row>
        <row r="5953">
          <cell r="A5953">
            <v>31102192</v>
          </cell>
          <cell r="C5953">
            <v>31102192</v>
          </cell>
          <cell r="D5953">
            <v>31102192</v>
          </cell>
          <cell r="E5953">
            <v>31102192</v>
          </cell>
          <cell r="F5953">
            <v>31102192</v>
          </cell>
          <cell r="G5953">
            <v>31102192</v>
          </cell>
          <cell r="H5953">
            <v>31102192</v>
          </cell>
          <cell r="I5953" t="str">
            <v/>
          </cell>
          <cell r="J5953" t="str">
            <v/>
          </cell>
          <cell r="K5953" t="str">
            <v/>
          </cell>
          <cell r="L5953" t="str">
            <v/>
          </cell>
          <cell r="M5953" t="str">
            <v/>
          </cell>
        </row>
        <row r="5954">
          <cell r="A5954">
            <v>31102192</v>
          </cell>
          <cell r="C5954">
            <v>31102192</v>
          </cell>
          <cell r="D5954">
            <v>31102192</v>
          </cell>
          <cell r="E5954">
            <v>31102192</v>
          </cell>
          <cell r="F5954">
            <v>31102192</v>
          </cell>
          <cell r="G5954">
            <v>31102192</v>
          </cell>
          <cell r="H5954">
            <v>31102192</v>
          </cell>
          <cell r="I5954" t="str">
            <v/>
          </cell>
          <cell r="J5954" t="str">
            <v/>
          </cell>
          <cell r="K5954" t="str">
            <v/>
          </cell>
          <cell r="L5954" t="str">
            <v/>
          </cell>
          <cell r="M5954" t="str">
            <v/>
          </cell>
        </row>
        <row r="5955">
          <cell r="A5955">
            <v>31102192</v>
          </cell>
          <cell r="C5955">
            <v>31102192</v>
          </cell>
          <cell r="D5955">
            <v>31102192</v>
          </cell>
          <cell r="E5955">
            <v>31102192</v>
          </cell>
          <cell r="F5955">
            <v>31102192</v>
          </cell>
          <cell r="G5955">
            <v>31102192</v>
          </cell>
          <cell r="H5955">
            <v>31102192</v>
          </cell>
          <cell r="I5955" t="str">
            <v/>
          </cell>
          <cell r="J5955" t="str">
            <v/>
          </cell>
          <cell r="K5955" t="str">
            <v/>
          </cell>
          <cell r="L5955" t="str">
            <v/>
          </cell>
          <cell r="M5955" t="str">
            <v/>
          </cell>
        </row>
        <row r="5956">
          <cell r="A5956">
            <v>31102192</v>
          </cell>
          <cell r="C5956">
            <v>31102192</v>
          </cell>
          <cell r="D5956">
            <v>31102192</v>
          </cell>
          <cell r="E5956">
            <v>31102192</v>
          </cell>
          <cell r="F5956">
            <v>31102192</v>
          </cell>
          <cell r="G5956">
            <v>31102192</v>
          </cell>
          <cell r="H5956">
            <v>31102192</v>
          </cell>
          <cell r="I5956" t="str">
            <v/>
          </cell>
          <cell r="J5956" t="str">
            <v/>
          </cell>
          <cell r="K5956" t="str">
            <v/>
          </cell>
          <cell r="L5956" t="str">
            <v/>
          </cell>
          <cell r="M5956" t="str">
            <v/>
          </cell>
        </row>
        <row r="5957">
          <cell r="A5957">
            <v>31102192</v>
          </cell>
          <cell r="C5957">
            <v>31102192</v>
          </cell>
          <cell r="D5957">
            <v>31102192</v>
          </cell>
          <cell r="E5957">
            <v>31102192</v>
          </cell>
          <cell r="F5957">
            <v>31102192</v>
          </cell>
          <cell r="G5957">
            <v>31102192</v>
          </cell>
          <cell r="H5957">
            <v>31102192</v>
          </cell>
          <cell r="I5957" t="str">
            <v/>
          </cell>
          <cell r="J5957" t="str">
            <v/>
          </cell>
          <cell r="K5957" t="str">
            <v/>
          </cell>
          <cell r="L5957" t="str">
            <v/>
          </cell>
          <cell r="M5957" t="str">
            <v/>
          </cell>
        </row>
        <row r="5958">
          <cell r="A5958">
            <v>31102192</v>
          </cell>
          <cell r="C5958">
            <v>31102192</v>
          </cell>
          <cell r="D5958">
            <v>31102192</v>
          </cell>
          <cell r="E5958">
            <v>31102192</v>
          </cell>
          <cell r="F5958">
            <v>31102192</v>
          </cell>
          <cell r="G5958">
            <v>31102192</v>
          </cell>
          <cell r="H5958">
            <v>31102192</v>
          </cell>
          <cell r="I5958" t="str">
            <v/>
          </cell>
          <cell r="J5958" t="str">
            <v/>
          </cell>
          <cell r="K5958" t="str">
            <v/>
          </cell>
          <cell r="L5958" t="str">
            <v/>
          </cell>
          <cell r="M5958" t="str">
            <v/>
          </cell>
        </row>
        <row r="5959">
          <cell r="A5959">
            <v>31102192</v>
          </cell>
          <cell r="C5959">
            <v>31102192</v>
          </cell>
          <cell r="D5959">
            <v>31102192</v>
          </cell>
          <cell r="E5959">
            <v>31102192</v>
          </cell>
          <cell r="F5959">
            <v>31102192</v>
          </cell>
          <cell r="G5959">
            <v>31102192</v>
          </cell>
          <cell r="H5959">
            <v>31102192</v>
          </cell>
          <cell r="I5959" t="str">
            <v/>
          </cell>
          <cell r="J5959" t="str">
            <v/>
          </cell>
          <cell r="K5959" t="str">
            <v/>
          </cell>
          <cell r="L5959" t="str">
            <v/>
          </cell>
          <cell r="M5959" t="str">
            <v/>
          </cell>
        </row>
        <row r="5960">
          <cell r="A5960">
            <v>31102192</v>
          </cell>
          <cell r="C5960">
            <v>31102192</v>
          </cell>
          <cell r="D5960">
            <v>31102192</v>
          </cell>
          <cell r="E5960">
            <v>31102192</v>
          </cell>
          <cell r="F5960">
            <v>31102192</v>
          </cell>
          <cell r="G5960">
            <v>31102192</v>
          </cell>
          <cell r="H5960">
            <v>31102192</v>
          </cell>
          <cell r="I5960" t="str">
            <v/>
          </cell>
          <cell r="J5960" t="str">
            <v/>
          </cell>
          <cell r="K5960" t="str">
            <v/>
          </cell>
          <cell r="L5960" t="str">
            <v/>
          </cell>
          <cell r="M5960" t="str">
            <v/>
          </cell>
        </row>
        <row r="5961">
          <cell r="A5961">
            <v>31102192</v>
          </cell>
          <cell r="C5961">
            <v>31102192</v>
          </cell>
          <cell r="D5961">
            <v>31102192</v>
          </cell>
          <cell r="E5961">
            <v>31102192</v>
          </cell>
          <cell r="F5961">
            <v>31102192</v>
          </cell>
          <cell r="G5961">
            <v>31102192</v>
          </cell>
          <cell r="H5961">
            <v>31102192</v>
          </cell>
          <cell r="I5961" t="str">
            <v/>
          </cell>
          <cell r="J5961" t="str">
            <v/>
          </cell>
          <cell r="K5961" t="str">
            <v/>
          </cell>
          <cell r="L5961" t="str">
            <v/>
          </cell>
          <cell r="M5961" t="str">
            <v/>
          </cell>
        </row>
        <row r="5962">
          <cell r="A5962">
            <v>31102192</v>
          </cell>
          <cell r="C5962">
            <v>31102192</v>
          </cell>
          <cell r="D5962">
            <v>31102192</v>
          </cell>
          <cell r="E5962">
            <v>31102192</v>
          </cell>
          <cell r="F5962">
            <v>31102192</v>
          </cell>
          <cell r="G5962">
            <v>31102192</v>
          </cell>
          <cell r="H5962">
            <v>31102192</v>
          </cell>
          <cell r="I5962" t="str">
            <v/>
          </cell>
          <cell r="J5962" t="str">
            <v/>
          </cell>
          <cell r="K5962" t="str">
            <v/>
          </cell>
          <cell r="L5962" t="str">
            <v/>
          </cell>
          <cell r="M5962" t="str">
            <v/>
          </cell>
        </row>
        <row r="5963">
          <cell r="A5963">
            <v>31102192</v>
          </cell>
          <cell r="C5963">
            <v>31102192</v>
          </cell>
          <cell r="D5963">
            <v>31102192</v>
          </cell>
          <cell r="E5963">
            <v>31102192</v>
          </cell>
          <cell r="F5963">
            <v>31102192</v>
          </cell>
          <cell r="G5963">
            <v>31102192</v>
          </cell>
          <cell r="H5963">
            <v>31102192</v>
          </cell>
          <cell r="I5963" t="str">
            <v/>
          </cell>
          <cell r="J5963" t="str">
            <v/>
          </cell>
          <cell r="K5963" t="str">
            <v/>
          </cell>
          <cell r="L5963" t="str">
            <v/>
          </cell>
          <cell r="M5963" t="str">
            <v/>
          </cell>
        </row>
        <row r="5964">
          <cell r="A5964">
            <v>31102192</v>
          </cell>
          <cell r="C5964">
            <v>31102192</v>
          </cell>
          <cell r="D5964">
            <v>31102192</v>
          </cell>
          <cell r="E5964">
            <v>31102192</v>
          </cell>
          <cell r="F5964">
            <v>31102192</v>
          </cell>
          <cell r="G5964">
            <v>31102192</v>
          </cell>
          <cell r="H5964">
            <v>31102192</v>
          </cell>
          <cell r="I5964" t="str">
            <v/>
          </cell>
          <cell r="J5964" t="str">
            <v/>
          </cell>
          <cell r="K5964" t="str">
            <v/>
          </cell>
          <cell r="L5964" t="str">
            <v/>
          </cell>
          <cell r="M5964" t="str">
            <v/>
          </cell>
        </row>
        <row r="5965">
          <cell r="A5965">
            <v>31102192</v>
          </cell>
          <cell r="C5965">
            <v>31102192</v>
          </cell>
          <cell r="D5965">
            <v>31102192</v>
          </cell>
          <cell r="E5965">
            <v>31102192</v>
          </cell>
          <cell r="F5965">
            <v>31102192</v>
          </cell>
          <cell r="G5965">
            <v>31102192</v>
          </cell>
          <cell r="H5965">
            <v>31102192</v>
          </cell>
          <cell r="I5965" t="str">
            <v/>
          </cell>
          <cell r="J5965" t="str">
            <v/>
          </cell>
          <cell r="K5965" t="str">
            <v/>
          </cell>
          <cell r="L5965" t="str">
            <v/>
          </cell>
          <cell r="M5965" t="str">
            <v/>
          </cell>
        </row>
        <row r="5966">
          <cell r="A5966">
            <v>31102192</v>
          </cell>
          <cell r="C5966">
            <v>31102192</v>
          </cell>
          <cell r="D5966">
            <v>31102192</v>
          </cell>
          <cell r="E5966">
            <v>31102192</v>
          </cell>
          <cell r="F5966">
            <v>31102192</v>
          </cell>
          <cell r="G5966">
            <v>31102192</v>
          </cell>
          <cell r="H5966">
            <v>31102192</v>
          </cell>
          <cell r="I5966" t="str">
            <v/>
          </cell>
          <cell r="J5966" t="str">
            <v/>
          </cell>
          <cell r="K5966" t="str">
            <v/>
          </cell>
          <cell r="L5966" t="str">
            <v/>
          </cell>
          <cell r="M5966" t="str">
            <v/>
          </cell>
        </row>
        <row r="5967">
          <cell r="A5967">
            <v>31102192</v>
          </cell>
          <cell r="C5967">
            <v>31102192</v>
          </cell>
          <cell r="D5967">
            <v>31102192</v>
          </cell>
          <cell r="E5967">
            <v>31102192</v>
          </cell>
          <cell r="F5967">
            <v>31102192</v>
          </cell>
          <cell r="G5967">
            <v>31102192</v>
          </cell>
          <cell r="H5967">
            <v>31102192</v>
          </cell>
          <cell r="I5967" t="str">
            <v/>
          </cell>
          <cell r="J5967" t="str">
            <v/>
          </cell>
          <cell r="K5967" t="str">
            <v/>
          </cell>
          <cell r="L5967" t="str">
            <v/>
          </cell>
          <cell r="M5967" t="str">
            <v/>
          </cell>
        </row>
        <row r="5968">
          <cell r="A5968">
            <v>31102192</v>
          </cell>
          <cell r="C5968">
            <v>31102192</v>
          </cell>
          <cell r="D5968">
            <v>31102192</v>
          </cell>
          <cell r="E5968">
            <v>31102192</v>
          </cell>
          <cell r="F5968">
            <v>31102192</v>
          </cell>
          <cell r="G5968">
            <v>31102192</v>
          </cell>
          <cell r="H5968">
            <v>31102192</v>
          </cell>
          <cell r="I5968" t="str">
            <v/>
          </cell>
          <cell r="J5968" t="str">
            <v/>
          </cell>
          <cell r="K5968" t="str">
            <v/>
          </cell>
          <cell r="L5968" t="str">
            <v/>
          </cell>
          <cell r="M5968" t="str">
            <v/>
          </cell>
        </row>
        <row r="5969">
          <cell r="A5969">
            <v>31102192</v>
          </cell>
          <cell r="C5969">
            <v>31102192</v>
          </cell>
          <cell r="D5969">
            <v>31102192</v>
          </cell>
          <cell r="E5969">
            <v>31102192</v>
          </cell>
          <cell r="F5969">
            <v>31102192</v>
          </cell>
          <cell r="G5969">
            <v>31102192</v>
          </cell>
          <cell r="H5969">
            <v>31102192</v>
          </cell>
          <cell r="I5969" t="str">
            <v/>
          </cell>
          <cell r="J5969" t="str">
            <v/>
          </cell>
          <cell r="K5969" t="str">
            <v/>
          </cell>
          <cell r="L5969" t="str">
            <v/>
          </cell>
          <cell r="M5969" t="str">
            <v/>
          </cell>
        </row>
        <row r="5970">
          <cell r="A5970">
            <v>31102192</v>
          </cell>
          <cell r="C5970">
            <v>31102192</v>
          </cell>
          <cell r="D5970">
            <v>31102192</v>
          </cell>
          <cell r="E5970">
            <v>31102192</v>
          </cell>
          <cell r="F5970">
            <v>31102192</v>
          </cell>
          <cell r="G5970">
            <v>31102192</v>
          </cell>
          <cell r="H5970">
            <v>31102192</v>
          </cell>
          <cell r="I5970" t="str">
            <v/>
          </cell>
          <cell r="J5970" t="str">
            <v/>
          </cell>
          <cell r="K5970" t="str">
            <v/>
          </cell>
          <cell r="L5970" t="str">
            <v/>
          </cell>
          <cell r="M5970" t="str">
            <v/>
          </cell>
        </row>
        <row r="5971">
          <cell r="A5971">
            <v>31102192</v>
          </cell>
          <cell r="C5971">
            <v>31102192</v>
          </cell>
          <cell r="D5971">
            <v>31102192</v>
          </cell>
          <cell r="E5971">
            <v>31102192</v>
          </cell>
          <cell r="F5971">
            <v>31102192</v>
          </cell>
          <cell r="G5971">
            <v>31102192</v>
          </cell>
          <cell r="H5971">
            <v>31102192</v>
          </cell>
          <cell r="I5971" t="str">
            <v/>
          </cell>
          <cell r="J5971" t="str">
            <v/>
          </cell>
          <cell r="K5971" t="str">
            <v/>
          </cell>
          <cell r="L5971" t="str">
            <v/>
          </cell>
          <cell r="M5971" t="str">
            <v/>
          </cell>
        </row>
        <row r="5972">
          <cell r="A5972">
            <v>31102192</v>
          </cell>
          <cell r="C5972">
            <v>31102192</v>
          </cell>
          <cell r="D5972">
            <v>31102192</v>
          </cell>
          <cell r="E5972">
            <v>31102192</v>
          </cell>
          <cell r="F5972">
            <v>31102192</v>
          </cell>
          <cell r="G5972">
            <v>31102192</v>
          </cell>
          <cell r="H5972">
            <v>31102192</v>
          </cell>
          <cell r="I5972" t="str">
            <v/>
          </cell>
          <cell r="J5972" t="str">
            <v/>
          </cell>
          <cell r="K5972" t="str">
            <v/>
          </cell>
          <cell r="L5972" t="str">
            <v/>
          </cell>
          <cell r="M5972" t="str">
            <v/>
          </cell>
        </row>
        <row r="5973">
          <cell r="A5973">
            <v>31102192</v>
          </cell>
          <cell r="C5973">
            <v>31102192</v>
          </cell>
          <cell r="D5973">
            <v>31102192</v>
          </cell>
          <cell r="E5973">
            <v>31102192</v>
          </cell>
          <cell r="F5973">
            <v>31102192</v>
          </cell>
          <cell r="G5973">
            <v>31102192</v>
          </cell>
          <cell r="H5973">
            <v>31102192</v>
          </cell>
          <cell r="I5973" t="str">
            <v/>
          </cell>
          <cell r="J5973" t="str">
            <v/>
          </cell>
          <cell r="K5973" t="str">
            <v/>
          </cell>
          <cell r="L5973" t="str">
            <v/>
          </cell>
          <cell r="M5973" t="str">
            <v/>
          </cell>
        </row>
        <row r="5974">
          <cell r="A5974">
            <v>31102192</v>
          </cell>
          <cell r="C5974">
            <v>31102192</v>
          </cell>
          <cell r="D5974">
            <v>31102192</v>
          </cell>
          <cell r="E5974">
            <v>31102192</v>
          </cell>
          <cell r="F5974">
            <v>31102192</v>
          </cell>
          <cell r="G5974">
            <v>31102192</v>
          </cell>
          <cell r="H5974">
            <v>31102192</v>
          </cell>
          <cell r="I5974" t="str">
            <v/>
          </cell>
          <cell r="J5974" t="str">
            <v/>
          </cell>
          <cell r="K5974" t="str">
            <v/>
          </cell>
          <cell r="L5974" t="str">
            <v/>
          </cell>
          <cell r="M5974" t="str">
            <v/>
          </cell>
        </row>
        <row r="5975">
          <cell r="A5975">
            <v>31102192</v>
          </cell>
          <cell r="C5975">
            <v>31102192</v>
          </cell>
          <cell r="D5975">
            <v>31102192</v>
          </cell>
          <cell r="E5975">
            <v>31102192</v>
          </cell>
          <cell r="F5975">
            <v>31102192</v>
          </cell>
          <cell r="G5975">
            <v>31102192</v>
          </cell>
          <cell r="H5975">
            <v>31102192</v>
          </cell>
          <cell r="I5975" t="str">
            <v/>
          </cell>
          <cell r="J5975" t="str">
            <v/>
          </cell>
          <cell r="K5975" t="str">
            <v/>
          </cell>
          <cell r="L5975" t="str">
            <v/>
          </cell>
          <cell r="M5975" t="str">
            <v/>
          </cell>
        </row>
        <row r="5976">
          <cell r="A5976">
            <v>31102192</v>
          </cell>
          <cell r="C5976">
            <v>31102192</v>
          </cell>
          <cell r="D5976">
            <v>31102192</v>
          </cell>
          <cell r="E5976">
            <v>31102192</v>
          </cell>
          <cell r="F5976">
            <v>31102192</v>
          </cell>
          <cell r="G5976">
            <v>31102192</v>
          </cell>
          <cell r="H5976">
            <v>31102192</v>
          </cell>
          <cell r="I5976" t="str">
            <v/>
          </cell>
          <cell r="J5976" t="str">
            <v/>
          </cell>
          <cell r="K5976" t="str">
            <v/>
          </cell>
          <cell r="L5976" t="str">
            <v/>
          </cell>
          <cell r="M5976" t="str">
            <v/>
          </cell>
        </row>
        <row r="5977">
          <cell r="A5977">
            <v>31102192</v>
          </cell>
          <cell r="C5977">
            <v>31102192</v>
          </cell>
          <cell r="D5977">
            <v>31102192</v>
          </cell>
          <cell r="E5977">
            <v>31102192</v>
          </cell>
          <cell r="F5977">
            <v>31102192</v>
          </cell>
          <cell r="G5977">
            <v>31102192</v>
          </cell>
          <cell r="H5977">
            <v>31102192</v>
          </cell>
          <cell r="I5977" t="str">
            <v/>
          </cell>
          <cell r="J5977" t="str">
            <v/>
          </cell>
          <cell r="K5977" t="str">
            <v/>
          </cell>
          <cell r="L5977" t="str">
            <v/>
          </cell>
          <cell r="M5977" t="str">
            <v/>
          </cell>
        </row>
        <row r="5978">
          <cell r="A5978">
            <v>31102192</v>
          </cell>
          <cell r="C5978">
            <v>31102192</v>
          </cell>
          <cell r="D5978">
            <v>31102192</v>
          </cell>
          <cell r="E5978">
            <v>31102192</v>
          </cell>
          <cell r="F5978">
            <v>31102192</v>
          </cell>
          <cell r="G5978">
            <v>31102192</v>
          </cell>
          <cell r="H5978">
            <v>31102192</v>
          </cell>
          <cell r="I5978" t="str">
            <v/>
          </cell>
          <cell r="J5978" t="str">
            <v/>
          </cell>
          <cell r="K5978" t="str">
            <v/>
          </cell>
          <cell r="L5978" t="str">
            <v/>
          </cell>
          <cell r="M5978" t="str">
            <v/>
          </cell>
        </row>
        <row r="5979">
          <cell r="A5979">
            <v>31102192</v>
          </cell>
          <cell r="C5979">
            <v>31102192</v>
          </cell>
          <cell r="D5979">
            <v>31102192</v>
          </cell>
          <cell r="E5979">
            <v>31102192</v>
          </cell>
          <cell r="F5979">
            <v>31102192</v>
          </cell>
          <cell r="G5979">
            <v>31102192</v>
          </cell>
          <cell r="H5979">
            <v>31102192</v>
          </cell>
          <cell r="I5979" t="str">
            <v/>
          </cell>
          <cell r="J5979" t="str">
            <v/>
          </cell>
          <cell r="K5979" t="str">
            <v/>
          </cell>
          <cell r="L5979" t="str">
            <v/>
          </cell>
          <cell r="M5979" t="str">
            <v/>
          </cell>
        </row>
        <row r="5980">
          <cell r="A5980">
            <v>31102192</v>
          </cell>
          <cell r="C5980">
            <v>31102192</v>
          </cell>
          <cell r="D5980">
            <v>31102192</v>
          </cell>
          <cell r="E5980">
            <v>31102192</v>
          </cell>
          <cell r="F5980">
            <v>31102192</v>
          </cell>
          <cell r="G5980">
            <v>31102192</v>
          </cell>
          <cell r="H5980">
            <v>31102192</v>
          </cell>
          <cell r="I5980" t="str">
            <v/>
          </cell>
          <cell r="J5980" t="str">
            <v/>
          </cell>
          <cell r="K5980" t="str">
            <v/>
          </cell>
          <cell r="L5980" t="str">
            <v/>
          </cell>
          <cell r="M5980" t="str">
            <v/>
          </cell>
        </row>
        <row r="5981">
          <cell r="A5981">
            <v>31102192</v>
          </cell>
          <cell r="C5981">
            <v>31102192</v>
          </cell>
          <cell r="D5981">
            <v>31102192</v>
          </cell>
          <cell r="E5981">
            <v>31102192</v>
          </cell>
          <cell r="F5981">
            <v>31102192</v>
          </cell>
          <cell r="G5981">
            <v>31102192</v>
          </cell>
          <cell r="H5981">
            <v>31102192</v>
          </cell>
          <cell r="I5981" t="str">
            <v/>
          </cell>
          <cell r="J5981" t="str">
            <v/>
          </cell>
          <cell r="K5981" t="str">
            <v/>
          </cell>
          <cell r="L5981" t="str">
            <v/>
          </cell>
          <cell r="M5981" t="str">
            <v/>
          </cell>
        </row>
        <row r="5982">
          <cell r="A5982">
            <v>31102192</v>
          </cell>
          <cell r="C5982">
            <v>31102192</v>
          </cell>
          <cell r="D5982">
            <v>31102192</v>
          </cell>
          <cell r="E5982">
            <v>31102192</v>
          </cell>
          <cell r="F5982">
            <v>31102192</v>
          </cell>
          <cell r="G5982">
            <v>31102192</v>
          </cell>
          <cell r="H5982">
            <v>31102192</v>
          </cell>
          <cell r="I5982" t="str">
            <v/>
          </cell>
          <cell r="J5982" t="str">
            <v/>
          </cell>
          <cell r="K5982" t="str">
            <v/>
          </cell>
          <cell r="L5982" t="str">
            <v/>
          </cell>
          <cell r="M5982" t="str">
            <v/>
          </cell>
        </row>
        <row r="5983">
          <cell r="A5983">
            <v>31102192</v>
          </cell>
          <cell r="C5983">
            <v>31102192</v>
          </cell>
          <cell r="D5983">
            <v>31102192</v>
          </cell>
          <cell r="E5983">
            <v>31102192</v>
          </cell>
          <cell r="F5983">
            <v>31102192</v>
          </cell>
          <cell r="G5983">
            <v>31102192</v>
          </cell>
          <cell r="H5983">
            <v>31102192</v>
          </cell>
          <cell r="I5983" t="str">
            <v/>
          </cell>
          <cell r="J5983" t="str">
            <v/>
          </cell>
          <cell r="K5983" t="str">
            <v/>
          </cell>
          <cell r="L5983" t="str">
            <v/>
          </cell>
          <cell r="M5983" t="str">
            <v/>
          </cell>
        </row>
        <row r="5984">
          <cell r="A5984">
            <v>31102192</v>
          </cell>
          <cell r="C5984">
            <v>31102192</v>
          </cell>
          <cell r="D5984">
            <v>31102192</v>
          </cell>
          <cell r="E5984">
            <v>31102192</v>
          </cell>
          <cell r="F5984">
            <v>31102192</v>
          </cell>
          <cell r="G5984">
            <v>31102192</v>
          </cell>
          <cell r="H5984">
            <v>31102192</v>
          </cell>
          <cell r="I5984" t="str">
            <v/>
          </cell>
          <cell r="J5984" t="str">
            <v/>
          </cell>
          <cell r="K5984" t="str">
            <v/>
          </cell>
          <cell r="L5984" t="str">
            <v/>
          </cell>
          <cell r="M5984" t="str">
            <v/>
          </cell>
        </row>
        <row r="5985">
          <cell r="A5985">
            <v>31102192</v>
          </cell>
          <cell r="C5985">
            <v>31102192</v>
          </cell>
          <cell r="D5985">
            <v>31102192</v>
          </cell>
          <cell r="E5985">
            <v>31102192</v>
          </cell>
          <cell r="F5985">
            <v>31102192</v>
          </cell>
          <cell r="G5985">
            <v>31102192</v>
          </cell>
          <cell r="H5985">
            <v>31102192</v>
          </cell>
          <cell r="I5985" t="str">
            <v/>
          </cell>
          <cell r="J5985" t="str">
            <v/>
          </cell>
          <cell r="K5985" t="str">
            <v/>
          </cell>
          <cell r="L5985" t="str">
            <v/>
          </cell>
          <cell r="M5985" t="str">
            <v/>
          </cell>
        </row>
        <row r="5986">
          <cell r="A5986">
            <v>31102192</v>
          </cell>
          <cell r="C5986">
            <v>31102192</v>
          </cell>
          <cell r="D5986">
            <v>31102192</v>
          </cell>
          <cell r="E5986">
            <v>31102192</v>
          </cell>
          <cell r="F5986">
            <v>31102192</v>
          </cell>
          <cell r="G5986">
            <v>31102192</v>
          </cell>
          <cell r="H5986">
            <v>31102192</v>
          </cell>
          <cell r="I5986" t="str">
            <v/>
          </cell>
          <cell r="J5986" t="str">
            <v/>
          </cell>
          <cell r="K5986" t="str">
            <v/>
          </cell>
          <cell r="L5986" t="str">
            <v/>
          </cell>
          <cell r="M5986" t="str">
            <v/>
          </cell>
        </row>
        <row r="5987">
          <cell r="A5987">
            <v>31102192</v>
          </cell>
          <cell r="C5987">
            <v>31102192</v>
          </cell>
          <cell r="D5987">
            <v>31102192</v>
          </cell>
          <cell r="E5987">
            <v>31102192</v>
          </cell>
          <cell r="F5987">
            <v>31102192</v>
          </cell>
          <cell r="G5987">
            <v>31102192</v>
          </cell>
          <cell r="H5987">
            <v>31102192</v>
          </cell>
          <cell r="I5987" t="str">
            <v/>
          </cell>
          <cell r="J5987" t="str">
            <v/>
          </cell>
          <cell r="K5987" t="str">
            <v/>
          </cell>
          <cell r="L5987" t="str">
            <v/>
          </cell>
          <cell r="M5987" t="str">
            <v/>
          </cell>
        </row>
        <row r="5988">
          <cell r="A5988">
            <v>31102192</v>
          </cell>
          <cell r="C5988">
            <v>31102192</v>
          </cell>
          <cell r="D5988">
            <v>31102192</v>
          </cell>
          <cell r="E5988">
            <v>31102192</v>
          </cell>
          <cell r="F5988">
            <v>31102192</v>
          </cell>
          <cell r="G5988">
            <v>31102192</v>
          </cell>
          <cell r="H5988">
            <v>31102192</v>
          </cell>
          <cell r="I5988" t="str">
            <v/>
          </cell>
          <cell r="J5988" t="str">
            <v/>
          </cell>
          <cell r="K5988" t="str">
            <v/>
          </cell>
          <cell r="L5988" t="str">
            <v/>
          </cell>
          <cell r="M5988" t="str">
            <v/>
          </cell>
        </row>
        <row r="5989">
          <cell r="A5989">
            <v>31102192</v>
          </cell>
          <cell r="C5989">
            <v>31102192</v>
          </cell>
          <cell r="D5989">
            <v>31102192</v>
          </cell>
          <cell r="E5989">
            <v>31102192</v>
          </cell>
          <cell r="F5989">
            <v>31102192</v>
          </cell>
          <cell r="G5989">
            <v>31102192</v>
          </cell>
          <cell r="H5989">
            <v>31102192</v>
          </cell>
          <cell r="I5989" t="str">
            <v/>
          </cell>
          <cell r="J5989" t="str">
            <v/>
          </cell>
          <cell r="K5989" t="str">
            <v/>
          </cell>
          <cell r="L5989" t="str">
            <v/>
          </cell>
          <cell r="M5989" t="str">
            <v/>
          </cell>
        </row>
        <row r="5990">
          <cell r="A5990">
            <v>31102192</v>
          </cell>
          <cell r="C5990">
            <v>31102192</v>
          </cell>
          <cell r="D5990">
            <v>31102192</v>
          </cell>
          <cell r="E5990">
            <v>31102192</v>
          </cell>
          <cell r="F5990">
            <v>31102192</v>
          </cell>
          <cell r="G5990">
            <v>31102192</v>
          </cell>
          <cell r="H5990">
            <v>31102192</v>
          </cell>
          <cell r="I5990" t="str">
            <v/>
          </cell>
          <cell r="J5990" t="str">
            <v/>
          </cell>
          <cell r="K5990" t="str">
            <v/>
          </cell>
          <cell r="L5990" t="str">
            <v/>
          </cell>
          <cell r="M5990" t="str">
            <v/>
          </cell>
        </row>
        <row r="5991">
          <cell r="A5991">
            <v>31102192</v>
          </cell>
          <cell r="C5991">
            <v>31102192</v>
          </cell>
          <cell r="D5991">
            <v>31102192</v>
          </cell>
          <cell r="E5991">
            <v>31102192</v>
          </cell>
          <cell r="F5991">
            <v>31102192</v>
          </cell>
          <cell r="G5991">
            <v>31102192</v>
          </cell>
          <cell r="H5991">
            <v>31102192</v>
          </cell>
          <cell r="I5991" t="str">
            <v/>
          </cell>
          <cell r="J5991" t="str">
            <v/>
          </cell>
          <cell r="K5991" t="str">
            <v/>
          </cell>
          <cell r="L5991" t="str">
            <v/>
          </cell>
          <cell r="M5991" t="str">
            <v/>
          </cell>
        </row>
        <row r="5992">
          <cell r="A5992">
            <v>31102192</v>
          </cell>
          <cell r="C5992">
            <v>31102192</v>
          </cell>
          <cell r="D5992">
            <v>31102192</v>
          </cell>
          <cell r="E5992">
            <v>31102192</v>
          </cell>
          <cell r="F5992">
            <v>31102192</v>
          </cell>
          <cell r="G5992">
            <v>31102192</v>
          </cell>
          <cell r="H5992">
            <v>31102192</v>
          </cell>
          <cell r="I5992" t="str">
            <v/>
          </cell>
          <cell r="J5992" t="str">
            <v/>
          </cell>
          <cell r="K5992" t="str">
            <v/>
          </cell>
          <cell r="L5992" t="str">
            <v/>
          </cell>
          <cell r="M5992" t="str">
            <v/>
          </cell>
        </row>
        <row r="5993">
          <cell r="A5993">
            <v>31102192</v>
          </cell>
          <cell r="C5993">
            <v>31102192</v>
          </cell>
          <cell r="D5993">
            <v>31102192</v>
          </cell>
          <cell r="E5993">
            <v>31102192</v>
          </cell>
          <cell r="F5993">
            <v>31102192</v>
          </cell>
          <cell r="G5993">
            <v>31102192</v>
          </cell>
          <cell r="H5993">
            <v>31102192</v>
          </cell>
          <cell r="I5993" t="str">
            <v/>
          </cell>
          <cell r="J5993" t="str">
            <v/>
          </cell>
          <cell r="K5993" t="str">
            <v/>
          </cell>
          <cell r="L5993" t="str">
            <v/>
          </cell>
          <cell r="M5993" t="str">
            <v/>
          </cell>
        </row>
        <row r="5994">
          <cell r="A5994">
            <v>31102192</v>
          </cell>
          <cell r="C5994">
            <v>31102192</v>
          </cell>
          <cell r="D5994">
            <v>31102192</v>
          </cell>
          <cell r="E5994">
            <v>31102192</v>
          </cell>
          <cell r="F5994">
            <v>31102192</v>
          </cell>
          <cell r="G5994">
            <v>31102192</v>
          </cell>
          <cell r="H5994">
            <v>31102192</v>
          </cell>
          <cell r="I5994" t="str">
            <v/>
          </cell>
          <cell r="J5994" t="str">
            <v/>
          </cell>
          <cell r="K5994" t="str">
            <v/>
          </cell>
          <cell r="L5994" t="str">
            <v/>
          </cell>
          <cell r="M5994" t="str">
            <v/>
          </cell>
        </row>
        <row r="5995">
          <cell r="A5995">
            <v>31102192</v>
          </cell>
          <cell r="C5995">
            <v>31102192</v>
          </cell>
          <cell r="D5995">
            <v>31102192</v>
          </cell>
          <cell r="E5995">
            <v>31102192</v>
          </cell>
          <cell r="F5995">
            <v>31102192</v>
          </cell>
          <cell r="G5995">
            <v>31102192</v>
          </cell>
          <cell r="H5995">
            <v>31102192</v>
          </cell>
          <cell r="I5995" t="str">
            <v/>
          </cell>
          <cell r="J5995" t="str">
            <v/>
          </cell>
          <cell r="K5995" t="str">
            <v/>
          </cell>
          <cell r="L5995" t="str">
            <v/>
          </cell>
          <cell r="M5995" t="str">
            <v/>
          </cell>
        </row>
        <row r="5996">
          <cell r="A5996">
            <v>31102192</v>
          </cell>
          <cell r="C5996">
            <v>31102192</v>
          </cell>
          <cell r="D5996">
            <v>31102192</v>
          </cell>
          <cell r="E5996">
            <v>31102192</v>
          </cell>
          <cell r="F5996">
            <v>31102192</v>
          </cell>
          <cell r="G5996">
            <v>31102192</v>
          </cell>
          <cell r="H5996">
            <v>31102192</v>
          </cell>
          <cell r="I5996" t="str">
            <v/>
          </cell>
          <cell r="J5996" t="str">
            <v/>
          </cell>
          <cell r="K5996" t="str">
            <v/>
          </cell>
          <cell r="L5996" t="str">
            <v/>
          </cell>
          <cell r="M5996" t="str">
            <v/>
          </cell>
        </row>
        <row r="5997">
          <cell r="A5997">
            <v>31102192</v>
          </cell>
          <cell r="C5997">
            <v>31102192</v>
          </cell>
          <cell r="D5997">
            <v>31102192</v>
          </cell>
          <cell r="E5997">
            <v>31102192</v>
          </cell>
          <cell r="F5997">
            <v>31102192</v>
          </cell>
          <cell r="G5997">
            <v>31102192</v>
          </cell>
          <cell r="H5997">
            <v>31102192</v>
          </cell>
          <cell r="I5997" t="str">
            <v/>
          </cell>
          <cell r="J5997" t="str">
            <v/>
          </cell>
          <cell r="K5997" t="str">
            <v/>
          </cell>
          <cell r="L5997" t="str">
            <v/>
          </cell>
          <cell r="M5997" t="str">
            <v/>
          </cell>
        </row>
        <row r="5998">
          <cell r="A5998">
            <v>31102192</v>
          </cell>
          <cell r="C5998">
            <v>31102192</v>
          </cell>
          <cell r="D5998">
            <v>31102192</v>
          </cell>
          <cell r="E5998">
            <v>31102192</v>
          </cell>
          <cell r="F5998">
            <v>31102192</v>
          </cell>
          <cell r="G5998">
            <v>31102192</v>
          </cell>
          <cell r="H5998">
            <v>31102192</v>
          </cell>
          <cell r="I5998" t="str">
            <v/>
          </cell>
          <cell r="J5998" t="str">
            <v/>
          </cell>
          <cell r="K5998" t="str">
            <v/>
          </cell>
          <cell r="L5998" t="str">
            <v/>
          </cell>
          <cell r="M5998" t="str">
            <v/>
          </cell>
        </row>
        <row r="5999">
          <cell r="A5999">
            <v>31102192</v>
          </cell>
          <cell r="C5999">
            <v>31102192</v>
          </cell>
          <cell r="D5999">
            <v>31102192</v>
          </cell>
          <cell r="E5999">
            <v>31102192</v>
          </cell>
          <cell r="F5999">
            <v>31102192</v>
          </cell>
          <cell r="G5999">
            <v>31102192</v>
          </cell>
          <cell r="H5999">
            <v>31102192</v>
          </cell>
          <cell r="I5999" t="str">
            <v/>
          </cell>
          <cell r="J5999" t="str">
            <v/>
          </cell>
          <cell r="K5999" t="str">
            <v/>
          </cell>
          <cell r="L5999" t="str">
            <v/>
          </cell>
          <cell r="M5999" t="str">
            <v/>
          </cell>
        </row>
        <row r="6000">
          <cell r="A6000">
            <v>31102192</v>
          </cell>
          <cell r="C6000">
            <v>31102192</v>
          </cell>
          <cell r="D6000">
            <v>31102192</v>
          </cell>
          <cell r="E6000">
            <v>31102192</v>
          </cell>
          <cell r="F6000">
            <v>31102192</v>
          </cell>
          <cell r="G6000">
            <v>31102192</v>
          </cell>
          <cell r="H6000">
            <v>31102192</v>
          </cell>
          <cell r="I6000" t="str">
            <v/>
          </cell>
          <cell r="J6000" t="str">
            <v/>
          </cell>
          <cell r="K6000" t="str">
            <v/>
          </cell>
          <cell r="L6000" t="str">
            <v/>
          </cell>
          <cell r="M6000" t="str">
            <v/>
          </cell>
        </row>
        <row r="6001">
          <cell r="A6001">
            <v>31102192</v>
          </cell>
          <cell r="C6001">
            <v>31102192</v>
          </cell>
          <cell r="D6001">
            <v>31102192</v>
          </cell>
          <cell r="E6001">
            <v>31102192</v>
          </cell>
          <cell r="F6001">
            <v>31102192</v>
          </cell>
          <cell r="G6001">
            <v>31102192</v>
          </cell>
          <cell r="H6001">
            <v>31102192</v>
          </cell>
          <cell r="I6001" t="str">
            <v/>
          </cell>
          <cell r="J6001" t="str">
            <v/>
          </cell>
          <cell r="K6001" t="str">
            <v/>
          </cell>
          <cell r="L6001" t="str">
            <v/>
          </cell>
          <cell r="M6001" t="str">
            <v/>
          </cell>
        </row>
        <row r="6002">
          <cell r="A6002">
            <v>31102192</v>
          </cell>
          <cell r="C6002">
            <v>31102192</v>
          </cell>
          <cell r="D6002">
            <v>31102192</v>
          </cell>
          <cell r="E6002">
            <v>31102192</v>
          </cell>
          <cell r="F6002">
            <v>31102192</v>
          </cell>
          <cell r="G6002">
            <v>31102192</v>
          </cell>
          <cell r="H6002">
            <v>31102192</v>
          </cell>
          <cell r="I6002" t="str">
            <v/>
          </cell>
          <cell r="J6002" t="str">
            <v/>
          </cell>
          <cell r="K6002" t="str">
            <v/>
          </cell>
          <cell r="L6002" t="str">
            <v/>
          </cell>
          <cell r="M6002" t="str">
            <v/>
          </cell>
        </row>
        <row r="6003">
          <cell r="A6003">
            <v>31102192</v>
          </cell>
          <cell r="C6003">
            <v>31102192</v>
          </cell>
          <cell r="D6003">
            <v>31102192</v>
          </cell>
          <cell r="E6003">
            <v>31102192</v>
          </cell>
          <cell r="F6003">
            <v>31102192</v>
          </cell>
          <cell r="G6003">
            <v>31102192</v>
          </cell>
          <cell r="H6003">
            <v>31102192</v>
          </cell>
          <cell r="I6003" t="str">
            <v/>
          </cell>
          <cell r="J6003" t="str">
            <v/>
          </cell>
          <cell r="K6003" t="str">
            <v/>
          </cell>
          <cell r="L6003" t="str">
            <v/>
          </cell>
          <cell r="M6003" t="str">
            <v/>
          </cell>
        </row>
        <row r="6004">
          <cell r="A6004">
            <v>31102192</v>
          </cell>
          <cell r="C6004">
            <v>31102192</v>
          </cell>
          <cell r="D6004">
            <v>31102192</v>
          </cell>
          <cell r="E6004">
            <v>31102192</v>
          </cell>
          <cell r="F6004">
            <v>31102192</v>
          </cell>
          <cell r="G6004">
            <v>31102192</v>
          </cell>
          <cell r="H6004">
            <v>31102192</v>
          </cell>
          <cell r="I6004" t="str">
            <v/>
          </cell>
          <cell r="J6004" t="str">
            <v/>
          </cell>
          <cell r="K6004" t="str">
            <v/>
          </cell>
          <cell r="L6004" t="str">
            <v/>
          </cell>
          <cell r="M6004" t="str">
            <v/>
          </cell>
        </row>
        <row r="6005">
          <cell r="A6005">
            <v>31102192</v>
          </cell>
          <cell r="C6005">
            <v>31102192</v>
          </cell>
          <cell r="D6005">
            <v>31102192</v>
          </cell>
          <cell r="E6005">
            <v>31102192</v>
          </cell>
          <cell r="F6005">
            <v>31102192</v>
          </cell>
          <cell r="G6005">
            <v>31102192</v>
          </cell>
          <cell r="H6005">
            <v>31102192</v>
          </cell>
          <cell r="I6005" t="str">
            <v/>
          </cell>
          <cell r="J6005" t="str">
            <v/>
          </cell>
          <cell r="K6005" t="str">
            <v/>
          </cell>
          <cell r="L6005" t="str">
            <v/>
          </cell>
          <cell r="M6005" t="str">
            <v/>
          </cell>
        </row>
        <row r="6006">
          <cell r="A6006">
            <v>31102192</v>
          </cell>
          <cell r="C6006">
            <v>31102192</v>
          </cell>
          <cell r="D6006">
            <v>31102192</v>
          </cell>
          <cell r="E6006">
            <v>31102192</v>
          </cell>
          <cell r="F6006">
            <v>31102192</v>
          </cell>
          <cell r="G6006">
            <v>31102192</v>
          </cell>
          <cell r="H6006">
            <v>31102192</v>
          </cell>
          <cell r="I6006" t="str">
            <v/>
          </cell>
          <cell r="J6006" t="str">
            <v/>
          </cell>
          <cell r="K6006" t="str">
            <v/>
          </cell>
          <cell r="L6006" t="str">
            <v/>
          </cell>
          <cell r="M6006" t="str">
            <v/>
          </cell>
        </row>
        <row r="6007">
          <cell r="A6007">
            <v>31102192</v>
          </cell>
          <cell r="C6007">
            <v>31102192</v>
          </cell>
          <cell r="D6007">
            <v>31102192</v>
          </cell>
          <cell r="E6007">
            <v>31102192</v>
          </cell>
          <cell r="F6007">
            <v>31102192</v>
          </cell>
          <cell r="G6007">
            <v>31102192</v>
          </cell>
          <cell r="H6007">
            <v>31102192</v>
          </cell>
          <cell r="I6007" t="str">
            <v/>
          </cell>
          <cell r="J6007" t="str">
            <v/>
          </cell>
          <cell r="K6007" t="str">
            <v/>
          </cell>
          <cell r="L6007" t="str">
            <v/>
          </cell>
          <cell r="M6007" t="str">
            <v/>
          </cell>
        </row>
        <row r="6008">
          <cell r="A6008">
            <v>31102192</v>
          </cell>
          <cell r="C6008">
            <v>31102192</v>
          </cell>
          <cell r="D6008">
            <v>31102192</v>
          </cell>
          <cell r="E6008">
            <v>31102192</v>
          </cell>
          <cell r="F6008">
            <v>31102192</v>
          </cell>
          <cell r="G6008">
            <v>31102192</v>
          </cell>
          <cell r="H6008">
            <v>31102192</v>
          </cell>
          <cell r="I6008" t="str">
            <v/>
          </cell>
          <cell r="J6008" t="str">
            <v/>
          </cell>
          <cell r="K6008" t="str">
            <v/>
          </cell>
          <cell r="L6008" t="str">
            <v/>
          </cell>
          <cell r="M6008" t="str">
            <v/>
          </cell>
        </row>
        <row r="6009">
          <cell r="A6009">
            <v>31102192</v>
          </cell>
          <cell r="C6009">
            <v>31102192</v>
          </cell>
          <cell r="D6009">
            <v>31102192</v>
          </cell>
          <cell r="E6009">
            <v>31102192</v>
          </cell>
          <cell r="F6009">
            <v>31102192</v>
          </cell>
          <cell r="G6009">
            <v>31102192</v>
          </cell>
          <cell r="H6009">
            <v>31102192</v>
          </cell>
          <cell r="I6009" t="str">
            <v/>
          </cell>
          <cell r="J6009" t="str">
            <v/>
          </cell>
          <cell r="K6009" t="str">
            <v/>
          </cell>
          <cell r="L6009" t="str">
            <v/>
          </cell>
          <cell r="M6009" t="str">
            <v/>
          </cell>
        </row>
        <row r="6010">
          <cell r="A6010">
            <v>31102192</v>
          </cell>
          <cell r="C6010">
            <v>31102192</v>
          </cell>
          <cell r="D6010">
            <v>31102192</v>
          </cell>
          <cell r="E6010">
            <v>31102192</v>
          </cell>
          <cell r="F6010">
            <v>31102192</v>
          </cell>
          <cell r="G6010">
            <v>31102192</v>
          </cell>
          <cell r="H6010">
            <v>31102192</v>
          </cell>
          <cell r="I6010" t="str">
            <v/>
          </cell>
          <cell r="J6010" t="str">
            <v/>
          </cell>
          <cell r="K6010" t="str">
            <v/>
          </cell>
          <cell r="L6010" t="str">
            <v/>
          </cell>
          <cell r="M6010" t="str">
            <v/>
          </cell>
        </row>
        <row r="6011">
          <cell r="A6011">
            <v>31102192</v>
          </cell>
          <cell r="C6011">
            <v>31102192</v>
          </cell>
          <cell r="D6011">
            <v>31102192</v>
          </cell>
          <cell r="E6011">
            <v>31102192</v>
          </cell>
          <cell r="F6011">
            <v>31102192</v>
          </cell>
          <cell r="G6011">
            <v>31102192</v>
          </cell>
          <cell r="H6011">
            <v>31102192</v>
          </cell>
          <cell r="I6011" t="str">
            <v/>
          </cell>
          <cell r="J6011" t="str">
            <v/>
          </cell>
          <cell r="K6011" t="str">
            <v/>
          </cell>
          <cell r="L6011" t="str">
            <v/>
          </cell>
          <cell r="M6011" t="str">
            <v/>
          </cell>
        </row>
        <row r="6012">
          <cell r="A6012">
            <v>31102192</v>
          </cell>
          <cell r="C6012">
            <v>31102192</v>
          </cell>
          <cell r="D6012">
            <v>31102192</v>
          </cell>
          <cell r="E6012">
            <v>31102192</v>
          </cell>
          <cell r="F6012">
            <v>31102192</v>
          </cell>
          <cell r="G6012">
            <v>31102192</v>
          </cell>
          <cell r="H6012">
            <v>31102192</v>
          </cell>
          <cell r="I6012" t="str">
            <v/>
          </cell>
          <cell r="J6012" t="str">
            <v/>
          </cell>
          <cell r="K6012" t="str">
            <v/>
          </cell>
          <cell r="L6012" t="str">
            <v/>
          </cell>
          <cell r="M6012" t="str">
            <v/>
          </cell>
        </row>
        <row r="6013">
          <cell r="A6013">
            <v>31102192</v>
          </cell>
          <cell r="C6013">
            <v>31102192</v>
          </cell>
          <cell r="D6013">
            <v>31102192</v>
          </cell>
          <cell r="E6013">
            <v>31102192</v>
          </cell>
          <cell r="F6013">
            <v>31102192</v>
          </cell>
          <cell r="G6013">
            <v>31102192</v>
          </cell>
          <cell r="H6013">
            <v>31102192</v>
          </cell>
          <cell r="I6013" t="str">
            <v/>
          </cell>
          <cell r="J6013" t="str">
            <v/>
          </cell>
          <cell r="K6013" t="str">
            <v/>
          </cell>
          <cell r="L6013" t="str">
            <v/>
          </cell>
          <cell r="M6013" t="str">
            <v/>
          </cell>
        </row>
        <row r="6014">
          <cell r="A6014">
            <v>31102192</v>
          </cell>
          <cell r="C6014">
            <v>31102192</v>
          </cell>
          <cell r="D6014">
            <v>31102192</v>
          </cell>
          <cell r="E6014">
            <v>31102192</v>
          </cell>
          <cell r="F6014">
            <v>31102192</v>
          </cell>
          <cell r="G6014">
            <v>31102192</v>
          </cell>
          <cell r="H6014">
            <v>31102192</v>
          </cell>
          <cell r="I6014" t="str">
            <v/>
          </cell>
          <cell r="J6014" t="str">
            <v/>
          </cell>
          <cell r="K6014" t="str">
            <v/>
          </cell>
          <cell r="L6014" t="str">
            <v/>
          </cell>
          <cell r="M6014" t="str">
            <v/>
          </cell>
        </row>
        <row r="6015">
          <cell r="A6015">
            <v>31102192</v>
          </cell>
          <cell r="C6015">
            <v>31102192</v>
          </cell>
          <cell r="D6015">
            <v>31102192</v>
          </cell>
          <cell r="E6015">
            <v>31102192</v>
          </cell>
          <cell r="F6015">
            <v>31102192</v>
          </cell>
          <cell r="G6015">
            <v>31102192</v>
          </cell>
          <cell r="H6015">
            <v>31102192</v>
          </cell>
          <cell r="I6015" t="str">
            <v/>
          </cell>
          <cell r="J6015" t="str">
            <v/>
          </cell>
          <cell r="K6015" t="str">
            <v/>
          </cell>
          <cell r="L6015" t="str">
            <v/>
          </cell>
          <cell r="M6015" t="str">
            <v/>
          </cell>
        </row>
        <row r="6016">
          <cell r="A6016">
            <v>31102192</v>
          </cell>
          <cell r="C6016">
            <v>31102192</v>
          </cell>
          <cell r="D6016">
            <v>31102192</v>
          </cell>
          <cell r="E6016">
            <v>31102192</v>
          </cell>
          <cell r="F6016">
            <v>31102192</v>
          </cell>
          <cell r="G6016">
            <v>31102192</v>
          </cell>
          <cell r="H6016">
            <v>31102192</v>
          </cell>
          <cell r="I6016" t="str">
            <v/>
          </cell>
          <cell r="J6016" t="str">
            <v/>
          </cell>
          <cell r="K6016" t="str">
            <v/>
          </cell>
          <cell r="L6016" t="str">
            <v/>
          </cell>
          <cell r="M6016" t="str">
            <v/>
          </cell>
        </row>
        <row r="6017">
          <cell r="A6017">
            <v>31102192</v>
          </cell>
          <cell r="C6017">
            <v>31102192</v>
          </cell>
          <cell r="D6017">
            <v>31102192</v>
          </cell>
          <cell r="E6017">
            <v>31102192</v>
          </cell>
          <cell r="F6017">
            <v>31102192</v>
          </cell>
          <cell r="G6017">
            <v>31102192</v>
          </cell>
          <cell r="H6017">
            <v>31102192</v>
          </cell>
          <cell r="I6017" t="str">
            <v/>
          </cell>
          <cell r="J6017" t="str">
            <v/>
          </cell>
          <cell r="K6017" t="str">
            <v/>
          </cell>
          <cell r="L6017" t="str">
            <v/>
          </cell>
          <cell r="M6017" t="str">
            <v/>
          </cell>
        </row>
        <row r="6018">
          <cell r="A6018">
            <v>31102192</v>
          </cell>
          <cell r="C6018">
            <v>31102192</v>
          </cell>
          <cell r="D6018">
            <v>31102192</v>
          </cell>
          <cell r="E6018">
            <v>31102192</v>
          </cell>
          <cell r="F6018">
            <v>31102192</v>
          </cell>
          <cell r="G6018">
            <v>31102192</v>
          </cell>
          <cell r="H6018">
            <v>31102192</v>
          </cell>
          <cell r="I6018" t="str">
            <v/>
          </cell>
          <cell r="J6018" t="str">
            <v/>
          </cell>
          <cell r="K6018" t="str">
            <v/>
          </cell>
          <cell r="L6018" t="str">
            <v/>
          </cell>
          <cell r="M6018" t="str">
            <v/>
          </cell>
        </row>
        <row r="6019">
          <cell r="A6019">
            <v>31102192</v>
          </cell>
          <cell r="C6019">
            <v>31102192</v>
          </cell>
          <cell r="D6019">
            <v>31102192</v>
          </cell>
          <cell r="E6019">
            <v>31102192</v>
          </cell>
          <cell r="F6019">
            <v>31102192</v>
          </cell>
          <cell r="G6019">
            <v>31102192</v>
          </cell>
          <cell r="H6019">
            <v>31102192</v>
          </cell>
          <cell r="I6019" t="str">
            <v/>
          </cell>
          <cell r="J6019" t="str">
            <v/>
          </cell>
          <cell r="K6019" t="str">
            <v/>
          </cell>
          <cell r="L6019" t="str">
            <v/>
          </cell>
          <cell r="M6019" t="str">
            <v/>
          </cell>
        </row>
        <row r="6020">
          <cell r="A6020">
            <v>31102192</v>
          </cell>
          <cell r="C6020">
            <v>31102192</v>
          </cell>
          <cell r="D6020">
            <v>31102192</v>
          </cell>
          <cell r="E6020">
            <v>31102192</v>
          </cell>
          <cell r="F6020">
            <v>31102192</v>
          </cell>
          <cell r="G6020">
            <v>31102192</v>
          </cell>
          <cell r="H6020">
            <v>31102192</v>
          </cell>
          <cell r="I6020" t="str">
            <v/>
          </cell>
          <cell r="J6020" t="str">
            <v/>
          </cell>
          <cell r="K6020" t="str">
            <v/>
          </cell>
          <cell r="L6020" t="str">
            <v/>
          </cell>
          <cell r="M6020" t="str">
            <v/>
          </cell>
        </row>
        <row r="6021">
          <cell r="A6021">
            <v>31102192</v>
          </cell>
          <cell r="C6021">
            <v>31102192</v>
          </cell>
          <cell r="D6021">
            <v>31102192</v>
          </cell>
          <cell r="E6021">
            <v>31102192</v>
          </cell>
          <cell r="F6021">
            <v>31102192</v>
          </cell>
          <cell r="G6021">
            <v>31102192</v>
          </cell>
          <cell r="H6021">
            <v>31102192</v>
          </cell>
          <cell r="I6021" t="str">
            <v/>
          </cell>
          <cell r="J6021" t="str">
            <v/>
          </cell>
          <cell r="K6021" t="str">
            <v/>
          </cell>
          <cell r="L6021" t="str">
            <v/>
          </cell>
          <cell r="M6021" t="str">
            <v/>
          </cell>
        </row>
        <row r="6022">
          <cell r="A6022">
            <v>31102192</v>
          </cell>
          <cell r="C6022">
            <v>31102192</v>
          </cell>
          <cell r="D6022">
            <v>31102192</v>
          </cell>
          <cell r="E6022">
            <v>31102192</v>
          </cell>
          <cell r="F6022">
            <v>31102192</v>
          </cell>
          <cell r="G6022">
            <v>31102192</v>
          </cell>
          <cell r="H6022">
            <v>31102192</v>
          </cell>
          <cell r="I6022" t="str">
            <v/>
          </cell>
          <cell r="J6022" t="str">
            <v/>
          </cell>
          <cell r="K6022" t="str">
            <v/>
          </cell>
          <cell r="L6022" t="str">
            <v/>
          </cell>
          <cell r="M6022" t="str">
            <v/>
          </cell>
        </row>
        <row r="6023">
          <cell r="A6023">
            <v>31102192</v>
          </cell>
          <cell r="C6023">
            <v>31102192</v>
          </cell>
          <cell r="D6023">
            <v>31102192</v>
          </cell>
          <cell r="E6023">
            <v>31102192</v>
          </cell>
          <cell r="F6023">
            <v>31102192</v>
          </cell>
          <cell r="G6023">
            <v>31102192</v>
          </cell>
          <cell r="H6023">
            <v>31102192</v>
          </cell>
          <cell r="I6023" t="str">
            <v/>
          </cell>
          <cell r="J6023" t="str">
            <v/>
          </cell>
          <cell r="K6023" t="str">
            <v/>
          </cell>
          <cell r="L6023" t="str">
            <v/>
          </cell>
          <cell r="M6023" t="str">
            <v/>
          </cell>
        </row>
        <row r="6024">
          <cell r="A6024">
            <v>31102192</v>
          </cell>
          <cell r="C6024">
            <v>31102192</v>
          </cell>
          <cell r="D6024">
            <v>31102192</v>
          </cell>
          <cell r="E6024">
            <v>31102192</v>
          </cell>
          <cell r="F6024">
            <v>31102192</v>
          </cell>
          <cell r="G6024">
            <v>31102192</v>
          </cell>
          <cell r="H6024">
            <v>31102192</v>
          </cell>
          <cell r="I6024" t="str">
            <v/>
          </cell>
          <cell r="J6024" t="str">
            <v/>
          </cell>
          <cell r="K6024" t="str">
            <v/>
          </cell>
          <cell r="L6024" t="str">
            <v/>
          </cell>
          <cell r="M6024" t="str">
            <v/>
          </cell>
        </row>
        <row r="6025">
          <cell r="A6025">
            <v>31102192</v>
          </cell>
          <cell r="C6025">
            <v>31102192</v>
          </cell>
          <cell r="D6025">
            <v>31102192</v>
          </cell>
          <cell r="E6025">
            <v>31102192</v>
          </cell>
          <cell r="F6025">
            <v>31102192</v>
          </cell>
          <cell r="G6025">
            <v>31102192</v>
          </cell>
          <cell r="H6025">
            <v>31102192</v>
          </cell>
          <cell r="I6025" t="str">
            <v/>
          </cell>
          <cell r="J6025" t="str">
            <v/>
          </cell>
          <cell r="K6025" t="str">
            <v/>
          </cell>
          <cell r="L6025" t="str">
            <v/>
          </cell>
          <cell r="M6025" t="str">
            <v/>
          </cell>
        </row>
        <row r="6026">
          <cell r="A6026">
            <v>31102192</v>
          </cell>
          <cell r="C6026">
            <v>31102192</v>
          </cell>
          <cell r="D6026">
            <v>31102192</v>
          </cell>
          <cell r="E6026">
            <v>31102192</v>
          </cell>
          <cell r="F6026">
            <v>31102192</v>
          </cell>
          <cell r="G6026">
            <v>31102192</v>
          </cell>
          <cell r="H6026">
            <v>31102192</v>
          </cell>
          <cell r="I6026" t="str">
            <v/>
          </cell>
          <cell r="J6026" t="str">
            <v/>
          </cell>
          <cell r="K6026" t="str">
            <v/>
          </cell>
          <cell r="L6026" t="str">
            <v/>
          </cell>
          <cell r="M6026" t="str">
            <v/>
          </cell>
        </row>
        <row r="6027">
          <cell r="A6027">
            <v>31102192</v>
          </cell>
          <cell r="C6027">
            <v>31102192</v>
          </cell>
          <cell r="D6027">
            <v>31102192</v>
          </cell>
          <cell r="E6027">
            <v>31102192</v>
          </cell>
          <cell r="F6027">
            <v>31102192</v>
          </cell>
          <cell r="G6027">
            <v>31102192</v>
          </cell>
          <cell r="H6027">
            <v>31102192</v>
          </cell>
          <cell r="I6027" t="str">
            <v/>
          </cell>
          <cell r="J6027" t="str">
            <v/>
          </cell>
          <cell r="K6027" t="str">
            <v/>
          </cell>
          <cell r="L6027" t="str">
            <v/>
          </cell>
          <cell r="M6027" t="str">
            <v/>
          </cell>
        </row>
        <row r="6028">
          <cell r="A6028">
            <v>31102192</v>
          </cell>
          <cell r="C6028">
            <v>31102192</v>
          </cell>
          <cell r="D6028">
            <v>31102192</v>
          </cell>
          <cell r="E6028">
            <v>31102192</v>
          </cell>
          <cell r="F6028">
            <v>31102192</v>
          </cell>
          <cell r="G6028">
            <v>31102192</v>
          </cell>
          <cell r="H6028">
            <v>31102192</v>
          </cell>
          <cell r="I6028" t="str">
            <v/>
          </cell>
          <cell r="J6028" t="str">
            <v/>
          </cell>
          <cell r="K6028" t="str">
            <v/>
          </cell>
          <cell r="L6028" t="str">
            <v/>
          </cell>
          <cell r="M6028" t="str">
            <v/>
          </cell>
        </row>
        <row r="6029">
          <cell r="A6029">
            <v>31102192</v>
          </cell>
          <cell r="C6029">
            <v>31102192</v>
          </cell>
          <cell r="D6029">
            <v>31102192</v>
          </cell>
          <cell r="E6029">
            <v>31102192</v>
          </cell>
          <cell r="F6029">
            <v>31102192</v>
          </cell>
          <cell r="G6029">
            <v>31102192</v>
          </cell>
          <cell r="H6029">
            <v>31102192</v>
          </cell>
          <cell r="I6029" t="str">
            <v/>
          </cell>
          <cell r="J6029" t="str">
            <v/>
          </cell>
          <cell r="K6029" t="str">
            <v/>
          </cell>
          <cell r="L6029" t="str">
            <v/>
          </cell>
          <cell r="M6029" t="str">
            <v/>
          </cell>
        </row>
        <row r="6030">
          <cell r="A6030">
            <v>31102192</v>
          </cell>
          <cell r="C6030">
            <v>31102192</v>
          </cell>
          <cell r="D6030">
            <v>31102192</v>
          </cell>
          <cell r="E6030">
            <v>31102192</v>
          </cell>
          <cell r="F6030">
            <v>31102192</v>
          </cell>
          <cell r="G6030">
            <v>31102192</v>
          </cell>
          <cell r="H6030">
            <v>31102192</v>
          </cell>
          <cell r="I6030" t="str">
            <v/>
          </cell>
          <cell r="J6030" t="str">
            <v/>
          </cell>
          <cell r="K6030" t="str">
            <v/>
          </cell>
          <cell r="L6030" t="str">
            <v/>
          </cell>
          <cell r="M6030" t="str">
            <v/>
          </cell>
        </row>
        <row r="6031">
          <cell r="A6031">
            <v>31102192</v>
          </cell>
          <cell r="C6031">
            <v>31102192</v>
          </cell>
          <cell r="D6031">
            <v>31102192</v>
          </cell>
          <cell r="E6031">
            <v>31102192</v>
          </cell>
          <cell r="F6031">
            <v>31102192</v>
          </cell>
          <cell r="G6031">
            <v>31102192</v>
          </cell>
          <cell r="H6031">
            <v>31102192</v>
          </cell>
          <cell r="I6031" t="str">
            <v/>
          </cell>
          <cell r="J6031" t="str">
            <v/>
          </cell>
          <cell r="K6031" t="str">
            <v/>
          </cell>
          <cell r="L6031" t="str">
            <v/>
          </cell>
          <cell r="M6031" t="str">
            <v/>
          </cell>
        </row>
        <row r="6032">
          <cell r="A6032">
            <v>31102192</v>
          </cell>
          <cell r="C6032">
            <v>31102192</v>
          </cell>
          <cell r="D6032">
            <v>31102192</v>
          </cell>
          <cell r="E6032">
            <v>31102192</v>
          </cell>
          <cell r="F6032">
            <v>31102192</v>
          </cell>
          <cell r="G6032">
            <v>31102192</v>
          </cell>
          <cell r="H6032">
            <v>31102192</v>
          </cell>
          <cell r="I6032" t="str">
            <v/>
          </cell>
          <cell r="J6032" t="str">
            <v/>
          </cell>
          <cell r="K6032" t="str">
            <v/>
          </cell>
          <cell r="L6032" t="str">
            <v/>
          </cell>
          <cell r="M6032" t="str">
            <v/>
          </cell>
        </row>
        <row r="6033">
          <cell r="A6033">
            <v>31102192</v>
          </cell>
          <cell r="C6033">
            <v>31102192</v>
          </cell>
          <cell r="D6033">
            <v>31102192</v>
          </cell>
          <cell r="E6033">
            <v>31102192</v>
          </cell>
          <cell r="F6033">
            <v>31102192</v>
          </cell>
          <cell r="G6033">
            <v>31102192</v>
          </cell>
          <cell r="H6033">
            <v>31102192</v>
          </cell>
          <cell r="I6033" t="str">
            <v/>
          </cell>
          <cell r="J6033" t="str">
            <v/>
          </cell>
          <cell r="K6033" t="str">
            <v/>
          </cell>
          <cell r="L6033" t="str">
            <v/>
          </cell>
          <cell r="M6033" t="str">
            <v/>
          </cell>
        </row>
        <row r="6034">
          <cell r="A6034">
            <v>31102192</v>
          </cell>
          <cell r="C6034">
            <v>31102192</v>
          </cell>
          <cell r="D6034">
            <v>31102192</v>
          </cell>
          <cell r="E6034">
            <v>31102192</v>
          </cell>
          <cell r="F6034">
            <v>31102192</v>
          </cell>
          <cell r="G6034">
            <v>31102192</v>
          </cell>
          <cell r="H6034">
            <v>31102192</v>
          </cell>
          <cell r="I6034" t="str">
            <v/>
          </cell>
          <cell r="J6034" t="str">
            <v/>
          </cell>
          <cell r="K6034" t="str">
            <v/>
          </cell>
          <cell r="L6034" t="str">
            <v/>
          </cell>
          <cell r="M6034" t="str">
            <v/>
          </cell>
        </row>
        <row r="6035">
          <cell r="A6035">
            <v>31102192</v>
          </cell>
          <cell r="C6035">
            <v>31102192</v>
          </cell>
          <cell r="D6035">
            <v>31102192</v>
          </cell>
          <cell r="E6035">
            <v>31102192</v>
          </cell>
          <cell r="F6035">
            <v>31102192</v>
          </cell>
          <cell r="G6035">
            <v>31102192</v>
          </cell>
          <cell r="H6035">
            <v>31102192</v>
          </cell>
          <cell r="I6035" t="str">
            <v/>
          </cell>
          <cell r="J6035" t="str">
            <v/>
          </cell>
          <cell r="K6035" t="str">
            <v/>
          </cell>
          <cell r="L6035" t="str">
            <v/>
          </cell>
          <cell r="M6035" t="str">
            <v/>
          </cell>
        </row>
        <row r="6036">
          <cell r="A6036">
            <v>31102192</v>
          </cell>
          <cell r="C6036">
            <v>31102192</v>
          </cell>
          <cell r="D6036">
            <v>31102192</v>
          </cell>
          <cell r="E6036">
            <v>31102192</v>
          </cell>
          <cell r="F6036">
            <v>31102192</v>
          </cell>
          <cell r="G6036">
            <v>31102192</v>
          </cell>
          <cell r="H6036">
            <v>31102192</v>
          </cell>
          <cell r="I6036" t="str">
            <v/>
          </cell>
          <cell r="J6036" t="str">
            <v/>
          </cell>
          <cell r="K6036" t="str">
            <v/>
          </cell>
          <cell r="L6036" t="str">
            <v/>
          </cell>
          <cell r="M6036" t="str">
            <v/>
          </cell>
        </row>
        <row r="6037">
          <cell r="A6037">
            <v>31102192</v>
          </cell>
          <cell r="C6037">
            <v>31102192</v>
          </cell>
          <cell r="D6037">
            <v>31102192</v>
          </cell>
          <cell r="E6037">
            <v>31102192</v>
          </cell>
          <cell r="F6037">
            <v>31102192</v>
          </cell>
          <cell r="G6037">
            <v>31102192</v>
          </cell>
          <cell r="H6037">
            <v>31102192</v>
          </cell>
          <cell r="I6037" t="str">
            <v/>
          </cell>
          <cell r="J6037" t="str">
            <v/>
          </cell>
          <cell r="K6037" t="str">
            <v/>
          </cell>
          <cell r="L6037" t="str">
            <v/>
          </cell>
          <cell r="M6037" t="str">
            <v/>
          </cell>
        </row>
        <row r="6038">
          <cell r="A6038">
            <v>31102192</v>
          </cell>
          <cell r="C6038">
            <v>31102192</v>
          </cell>
          <cell r="D6038">
            <v>31102192</v>
          </cell>
          <cell r="E6038">
            <v>31102192</v>
          </cell>
          <cell r="F6038">
            <v>31102192</v>
          </cell>
          <cell r="G6038">
            <v>31102192</v>
          </cell>
          <cell r="H6038">
            <v>31102192</v>
          </cell>
          <cell r="I6038" t="str">
            <v/>
          </cell>
          <cell r="J6038" t="str">
            <v/>
          </cell>
          <cell r="K6038" t="str">
            <v/>
          </cell>
          <cell r="L6038" t="str">
            <v/>
          </cell>
          <cell r="M6038" t="str">
            <v/>
          </cell>
        </row>
        <row r="6039">
          <cell r="A6039">
            <v>31102192</v>
          </cell>
          <cell r="C6039">
            <v>31102192</v>
          </cell>
          <cell r="D6039">
            <v>31102192</v>
          </cell>
          <cell r="E6039">
            <v>31102192</v>
          </cell>
          <cell r="F6039">
            <v>31102192</v>
          </cell>
          <cell r="G6039">
            <v>31102192</v>
          </cell>
          <cell r="H6039">
            <v>31102192</v>
          </cell>
          <cell r="I6039" t="str">
            <v/>
          </cell>
          <cell r="J6039" t="str">
            <v/>
          </cell>
          <cell r="K6039" t="str">
            <v/>
          </cell>
          <cell r="L6039" t="str">
            <v/>
          </cell>
          <cell r="M6039" t="str">
            <v/>
          </cell>
        </row>
        <row r="6040">
          <cell r="A6040">
            <v>31102192</v>
          </cell>
          <cell r="C6040">
            <v>31102192</v>
          </cell>
          <cell r="D6040">
            <v>31102192</v>
          </cell>
          <cell r="E6040">
            <v>31102192</v>
          </cell>
          <cell r="F6040">
            <v>31102192</v>
          </cell>
          <cell r="G6040">
            <v>31102192</v>
          </cell>
          <cell r="H6040">
            <v>31102192</v>
          </cell>
          <cell r="I6040" t="str">
            <v/>
          </cell>
          <cell r="J6040" t="str">
            <v/>
          </cell>
          <cell r="K6040" t="str">
            <v/>
          </cell>
          <cell r="L6040" t="str">
            <v/>
          </cell>
          <cell r="M6040" t="str">
            <v/>
          </cell>
        </row>
        <row r="6041">
          <cell r="A6041">
            <v>31102192</v>
          </cell>
          <cell r="C6041">
            <v>31102192</v>
          </cell>
          <cell r="D6041">
            <v>31102192</v>
          </cell>
          <cell r="E6041">
            <v>31102192</v>
          </cell>
          <cell r="F6041">
            <v>31102192</v>
          </cell>
          <cell r="G6041">
            <v>31102192</v>
          </cell>
          <cell r="H6041">
            <v>31102192</v>
          </cell>
          <cell r="I6041" t="str">
            <v/>
          </cell>
          <cell r="J6041" t="str">
            <v/>
          </cell>
          <cell r="K6041" t="str">
            <v/>
          </cell>
          <cell r="L6041" t="str">
            <v/>
          </cell>
          <cell r="M6041" t="str">
            <v/>
          </cell>
        </row>
        <row r="6042">
          <cell r="A6042">
            <v>31102192</v>
          </cell>
          <cell r="C6042">
            <v>31102192</v>
          </cell>
          <cell r="D6042">
            <v>31102192</v>
          </cell>
          <cell r="E6042">
            <v>31102192</v>
          </cell>
          <cell r="F6042">
            <v>31102192</v>
          </cell>
          <cell r="G6042">
            <v>31102192</v>
          </cell>
          <cell r="H6042">
            <v>31102192</v>
          </cell>
          <cell r="I6042" t="str">
            <v/>
          </cell>
          <cell r="J6042" t="str">
            <v/>
          </cell>
          <cell r="K6042" t="str">
            <v/>
          </cell>
          <cell r="L6042" t="str">
            <v/>
          </cell>
          <cell r="M6042" t="str">
            <v/>
          </cell>
        </row>
        <row r="6043">
          <cell r="A6043">
            <v>31102192</v>
          </cell>
          <cell r="C6043">
            <v>31102192</v>
          </cell>
          <cell r="D6043">
            <v>31102192</v>
          </cell>
          <cell r="E6043">
            <v>31102192</v>
          </cell>
          <cell r="F6043">
            <v>31102192</v>
          </cell>
          <cell r="G6043">
            <v>31102192</v>
          </cell>
          <cell r="H6043">
            <v>31102192</v>
          </cell>
          <cell r="I6043" t="str">
            <v/>
          </cell>
          <cell r="J6043" t="str">
            <v/>
          </cell>
          <cell r="K6043" t="str">
            <v/>
          </cell>
          <cell r="L6043" t="str">
            <v/>
          </cell>
          <cell r="M6043" t="str">
            <v/>
          </cell>
        </row>
        <row r="6044">
          <cell r="A6044">
            <v>31102192</v>
          </cell>
          <cell r="C6044">
            <v>31102192</v>
          </cell>
          <cell r="D6044">
            <v>31102192</v>
          </cell>
          <cell r="E6044">
            <v>31102192</v>
          </cell>
          <cell r="F6044">
            <v>31102192</v>
          </cell>
          <cell r="G6044">
            <v>31102192</v>
          </cell>
          <cell r="H6044">
            <v>31102192</v>
          </cell>
          <cell r="I6044" t="str">
            <v/>
          </cell>
          <cell r="J6044" t="str">
            <v/>
          </cell>
          <cell r="K6044" t="str">
            <v/>
          </cell>
          <cell r="L6044" t="str">
            <v/>
          </cell>
          <cell r="M6044" t="str">
            <v/>
          </cell>
        </row>
        <row r="6045">
          <cell r="A6045">
            <v>31102192</v>
          </cell>
          <cell r="C6045">
            <v>31102192</v>
          </cell>
          <cell r="D6045">
            <v>31102192</v>
          </cell>
          <cell r="E6045">
            <v>31102192</v>
          </cell>
          <cell r="F6045">
            <v>31102192</v>
          </cell>
          <cell r="G6045">
            <v>31102192</v>
          </cell>
          <cell r="H6045">
            <v>31102192</v>
          </cell>
          <cell r="I6045" t="str">
            <v/>
          </cell>
          <cell r="J6045" t="str">
            <v/>
          </cell>
          <cell r="K6045" t="str">
            <v/>
          </cell>
          <cell r="L6045" t="str">
            <v/>
          </cell>
          <cell r="M6045" t="str">
            <v/>
          </cell>
        </row>
        <row r="6046">
          <cell r="A6046">
            <v>31102192</v>
          </cell>
          <cell r="C6046">
            <v>31102192</v>
          </cell>
          <cell r="D6046">
            <v>31102192</v>
          </cell>
          <cell r="E6046">
            <v>31102192</v>
          </cell>
          <cell r="F6046">
            <v>31102192</v>
          </cell>
          <cell r="G6046">
            <v>31102192</v>
          </cell>
          <cell r="H6046">
            <v>31102192</v>
          </cell>
          <cell r="I6046" t="str">
            <v/>
          </cell>
          <cell r="J6046" t="str">
            <v/>
          </cell>
          <cell r="K6046" t="str">
            <v/>
          </cell>
          <cell r="L6046" t="str">
            <v/>
          </cell>
          <cell r="M6046" t="str">
            <v/>
          </cell>
        </row>
        <row r="6047">
          <cell r="A6047">
            <v>31102192</v>
          </cell>
          <cell r="C6047">
            <v>31102192</v>
          </cell>
          <cell r="D6047">
            <v>31102192</v>
          </cell>
          <cell r="E6047">
            <v>31102192</v>
          </cell>
          <cell r="F6047">
            <v>31102192</v>
          </cell>
          <cell r="G6047">
            <v>31102192</v>
          </cell>
          <cell r="H6047">
            <v>31102192</v>
          </cell>
          <cell r="I6047" t="str">
            <v/>
          </cell>
          <cell r="J6047" t="str">
            <v/>
          </cell>
          <cell r="K6047" t="str">
            <v/>
          </cell>
          <cell r="L6047" t="str">
            <v/>
          </cell>
          <cell r="M6047" t="str">
            <v/>
          </cell>
        </row>
        <row r="6048">
          <cell r="A6048">
            <v>31102192</v>
          </cell>
          <cell r="C6048">
            <v>31102192</v>
          </cell>
          <cell r="D6048">
            <v>31102192</v>
          </cell>
          <cell r="E6048">
            <v>31102192</v>
          </cell>
          <cell r="F6048">
            <v>31102192</v>
          </cell>
          <cell r="G6048">
            <v>31102192</v>
          </cell>
          <cell r="H6048">
            <v>31102192</v>
          </cell>
          <cell r="I6048" t="str">
            <v/>
          </cell>
          <cell r="J6048" t="str">
            <v/>
          </cell>
          <cell r="K6048" t="str">
            <v/>
          </cell>
          <cell r="L6048" t="str">
            <v/>
          </cell>
          <cell r="M6048" t="str">
            <v/>
          </cell>
        </row>
        <row r="6049">
          <cell r="A6049">
            <v>31102192</v>
          </cell>
          <cell r="C6049">
            <v>31102192</v>
          </cell>
          <cell r="D6049">
            <v>31102192</v>
          </cell>
          <cell r="E6049">
            <v>31102192</v>
          </cell>
          <cell r="F6049">
            <v>31102192</v>
          </cell>
          <cell r="G6049">
            <v>31102192</v>
          </cell>
          <cell r="H6049">
            <v>31102192</v>
          </cell>
          <cell r="I6049" t="str">
            <v/>
          </cell>
          <cell r="J6049" t="str">
            <v/>
          </cell>
          <cell r="K6049" t="str">
            <v/>
          </cell>
          <cell r="L6049" t="str">
            <v/>
          </cell>
          <cell r="M6049" t="str">
            <v/>
          </cell>
        </row>
        <row r="6050">
          <cell r="A6050">
            <v>31102192</v>
          </cell>
          <cell r="C6050">
            <v>31102192</v>
          </cell>
          <cell r="D6050">
            <v>31102192</v>
          </cell>
          <cell r="E6050">
            <v>31102192</v>
          </cell>
          <cell r="F6050">
            <v>31102192</v>
          </cell>
          <cell r="G6050">
            <v>31102192</v>
          </cell>
          <cell r="H6050">
            <v>31102192</v>
          </cell>
          <cell r="I6050" t="str">
            <v/>
          </cell>
          <cell r="J6050" t="str">
            <v/>
          </cell>
          <cell r="K6050" t="str">
            <v/>
          </cell>
          <cell r="L6050" t="str">
            <v/>
          </cell>
          <cell r="M6050" t="str">
            <v/>
          </cell>
        </row>
        <row r="6051">
          <cell r="A6051">
            <v>31102192</v>
          </cell>
          <cell r="C6051">
            <v>31102192</v>
          </cell>
          <cell r="D6051">
            <v>31102192</v>
          </cell>
          <cell r="E6051">
            <v>31102192</v>
          </cell>
          <cell r="F6051">
            <v>31102192</v>
          </cell>
          <cell r="G6051">
            <v>31102192</v>
          </cell>
          <cell r="H6051">
            <v>31102192</v>
          </cell>
          <cell r="I6051" t="str">
            <v/>
          </cell>
          <cell r="J6051" t="str">
            <v/>
          </cell>
          <cell r="K6051" t="str">
            <v/>
          </cell>
          <cell r="L6051" t="str">
            <v/>
          </cell>
          <cell r="M6051" t="str">
            <v/>
          </cell>
        </row>
        <row r="6052">
          <cell r="A6052">
            <v>31102192</v>
          </cell>
          <cell r="C6052">
            <v>31102192</v>
          </cell>
          <cell r="D6052">
            <v>31102192</v>
          </cell>
          <cell r="E6052">
            <v>31102192</v>
          </cell>
          <cell r="F6052">
            <v>31102192</v>
          </cell>
          <cell r="G6052">
            <v>31102192</v>
          </cell>
          <cell r="H6052">
            <v>31102192</v>
          </cell>
          <cell r="I6052" t="str">
            <v/>
          </cell>
          <cell r="J6052" t="str">
            <v/>
          </cell>
          <cell r="K6052" t="str">
            <v/>
          </cell>
          <cell r="L6052" t="str">
            <v/>
          </cell>
          <cell r="M6052" t="str">
            <v/>
          </cell>
        </row>
        <row r="6053">
          <cell r="A6053">
            <v>31102192</v>
          </cell>
          <cell r="C6053">
            <v>31102192</v>
          </cell>
          <cell r="D6053">
            <v>31102192</v>
          </cell>
          <cell r="E6053">
            <v>31102192</v>
          </cell>
          <cell r="F6053">
            <v>31102192</v>
          </cell>
          <cell r="G6053">
            <v>31102192</v>
          </cell>
          <cell r="H6053">
            <v>31102192</v>
          </cell>
          <cell r="I6053" t="str">
            <v/>
          </cell>
          <cell r="J6053" t="str">
            <v/>
          </cell>
          <cell r="K6053" t="str">
            <v/>
          </cell>
          <cell r="L6053" t="str">
            <v/>
          </cell>
          <cell r="M6053" t="str">
            <v/>
          </cell>
        </row>
        <row r="6054">
          <cell r="A6054">
            <v>31102192</v>
          </cell>
          <cell r="C6054">
            <v>31102192</v>
          </cell>
          <cell r="D6054">
            <v>31102192</v>
          </cell>
          <cell r="E6054">
            <v>31102192</v>
          </cell>
          <cell r="F6054">
            <v>31102192</v>
          </cell>
          <cell r="G6054">
            <v>31102192</v>
          </cell>
          <cell r="H6054">
            <v>31102192</v>
          </cell>
          <cell r="I6054" t="str">
            <v/>
          </cell>
          <cell r="J6054" t="str">
            <v/>
          </cell>
          <cell r="K6054" t="str">
            <v/>
          </cell>
          <cell r="L6054" t="str">
            <v/>
          </cell>
          <cell r="M6054" t="str">
            <v/>
          </cell>
        </row>
        <row r="6055">
          <cell r="A6055">
            <v>31102192</v>
          </cell>
          <cell r="C6055">
            <v>31102192</v>
          </cell>
          <cell r="D6055">
            <v>31102192</v>
          </cell>
          <cell r="E6055">
            <v>31102192</v>
          </cell>
          <cell r="F6055">
            <v>31102192</v>
          </cell>
          <cell r="G6055">
            <v>31102192</v>
          </cell>
          <cell r="H6055">
            <v>31102192</v>
          </cell>
          <cell r="I6055" t="str">
            <v/>
          </cell>
          <cell r="J6055" t="str">
            <v/>
          </cell>
          <cell r="K6055" t="str">
            <v/>
          </cell>
          <cell r="L6055" t="str">
            <v/>
          </cell>
          <cell r="M6055" t="str">
            <v/>
          </cell>
        </row>
        <row r="6056">
          <cell r="A6056">
            <v>31102192</v>
          </cell>
          <cell r="C6056">
            <v>31102192</v>
          </cell>
          <cell r="D6056">
            <v>31102192</v>
          </cell>
          <cell r="E6056">
            <v>31102192</v>
          </cell>
          <cell r="F6056">
            <v>31102192</v>
          </cell>
          <cell r="G6056">
            <v>31102192</v>
          </cell>
          <cell r="H6056">
            <v>31102192</v>
          </cell>
          <cell r="I6056" t="str">
            <v/>
          </cell>
          <cell r="J6056" t="str">
            <v/>
          </cell>
          <cell r="K6056" t="str">
            <v/>
          </cell>
          <cell r="L6056" t="str">
            <v/>
          </cell>
          <cell r="M6056" t="str">
            <v/>
          </cell>
        </row>
        <row r="6057">
          <cell r="A6057">
            <v>31102192</v>
          </cell>
          <cell r="C6057">
            <v>31102192</v>
          </cell>
          <cell r="D6057">
            <v>31102192</v>
          </cell>
          <cell r="E6057">
            <v>31102192</v>
          </cell>
          <cell r="F6057">
            <v>31102192</v>
          </cell>
          <cell r="G6057">
            <v>31102192</v>
          </cell>
          <cell r="H6057">
            <v>31102192</v>
          </cell>
          <cell r="I6057" t="str">
            <v/>
          </cell>
          <cell r="J6057" t="str">
            <v/>
          </cell>
          <cell r="K6057" t="str">
            <v/>
          </cell>
          <cell r="L6057" t="str">
            <v/>
          </cell>
          <cell r="M6057" t="str">
            <v/>
          </cell>
        </row>
        <row r="6058">
          <cell r="A6058">
            <v>31102192</v>
          </cell>
          <cell r="C6058">
            <v>31102192</v>
          </cell>
          <cell r="D6058">
            <v>31102192</v>
          </cell>
          <cell r="E6058">
            <v>31102192</v>
          </cell>
          <cell r="F6058">
            <v>31102192</v>
          </cell>
          <cell r="G6058">
            <v>31102192</v>
          </cell>
          <cell r="H6058">
            <v>31102192</v>
          </cell>
          <cell r="I6058" t="str">
            <v/>
          </cell>
          <cell r="J6058" t="str">
            <v/>
          </cell>
          <cell r="K6058" t="str">
            <v/>
          </cell>
          <cell r="L6058" t="str">
            <v/>
          </cell>
          <cell r="M6058" t="str">
            <v/>
          </cell>
        </row>
        <row r="6059">
          <cell r="A6059">
            <v>31102192</v>
          </cell>
          <cell r="C6059">
            <v>31102192</v>
          </cell>
          <cell r="D6059">
            <v>31102192</v>
          </cell>
          <cell r="E6059">
            <v>31102192</v>
          </cell>
          <cell r="F6059">
            <v>31102192</v>
          </cell>
          <cell r="G6059">
            <v>31102192</v>
          </cell>
          <cell r="H6059">
            <v>31102192</v>
          </cell>
          <cell r="I6059" t="str">
            <v/>
          </cell>
          <cell r="J6059" t="str">
            <v/>
          </cell>
          <cell r="K6059" t="str">
            <v/>
          </cell>
          <cell r="L6059" t="str">
            <v/>
          </cell>
          <cell r="M6059" t="str">
            <v/>
          </cell>
        </row>
        <row r="6060">
          <cell r="A6060">
            <v>31102192</v>
          </cell>
          <cell r="C6060">
            <v>31102192</v>
          </cell>
          <cell r="D6060">
            <v>31102192</v>
          </cell>
          <cell r="E6060">
            <v>31102192</v>
          </cell>
          <cell r="F6060">
            <v>31102192</v>
          </cell>
          <cell r="G6060">
            <v>31102192</v>
          </cell>
          <cell r="H6060">
            <v>31102192</v>
          </cell>
          <cell r="I6060" t="str">
            <v/>
          </cell>
          <cell r="J6060" t="str">
            <v/>
          </cell>
          <cell r="K6060" t="str">
            <v/>
          </cell>
          <cell r="L6060" t="str">
            <v/>
          </cell>
          <cell r="M6060" t="str">
            <v/>
          </cell>
        </row>
        <row r="6061">
          <cell r="A6061">
            <v>31102192</v>
          </cell>
          <cell r="C6061">
            <v>31102192</v>
          </cell>
          <cell r="D6061">
            <v>31102192</v>
          </cell>
          <cell r="E6061">
            <v>31102192</v>
          </cell>
          <cell r="F6061">
            <v>31102192</v>
          </cell>
          <cell r="G6061">
            <v>31102192</v>
          </cell>
          <cell r="H6061">
            <v>31102192</v>
          </cell>
          <cell r="I6061" t="str">
            <v/>
          </cell>
          <cell r="J6061" t="str">
            <v/>
          </cell>
          <cell r="K6061" t="str">
            <v/>
          </cell>
          <cell r="L6061" t="str">
            <v/>
          </cell>
          <cell r="M6061" t="str">
            <v/>
          </cell>
        </row>
        <row r="6062">
          <cell r="A6062">
            <v>31102192</v>
          </cell>
          <cell r="C6062">
            <v>31102192</v>
          </cell>
          <cell r="D6062">
            <v>31102192</v>
          </cell>
          <cell r="E6062">
            <v>31102192</v>
          </cell>
          <cell r="F6062">
            <v>31102192</v>
          </cell>
          <cell r="G6062">
            <v>31102192</v>
          </cell>
          <cell r="H6062">
            <v>31102192</v>
          </cell>
          <cell r="I6062" t="str">
            <v/>
          </cell>
          <cell r="J6062" t="str">
            <v/>
          </cell>
          <cell r="K6062" t="str">
            <v/>
          </cell>
          <cell r="L6062" t="str">
            <v/>
          </cell>
          <cell r="M6062" t="str">
            <v/>
          </cell>
        </row>
        <row r="6063">
          <cell r="A6063">
            <v>31102192</v>
          </cell>
          <cell r="C6063">
            <v>31102192</v>
          </cell>
          <cell r="D6063">
            <v>31102192</v>
          </cell>
          <cell r="E6063">
            <v>31102192</v>
          </cell>
          <cell r="F6063">
            <v>31102192</v>
          </cell>
          <cell r="G6063">
            <v>31102192</v>
          </cell>
          <cell r="H6063">
            <v>31102192</v>
          </cell>
          <cell r="I6063" t="str">
            <v/>
          </cell>
          <cell r="J6063" t="str">
            <v/>
          </cell>
          <cell r="K6063" t="str">
            <v/>
          </cell>
          <cell r="L6063" t="str">
            <v/>
          </cell>
          <cell r="M6063" t="str">
            <v/>
          </cell>
        </row>
        <row r="6064">
          <cell r="A6064">
            <v>31102192</v>
          </cell>
          <cell r="C6064">
            <v>31102192</v>
          </cell>
          <cell r="D6064">
            <v>31102192</v>
          </cell>
          <cell r="E6064">
            <v>31102192</v>
          </cell>
          <cell r="F6064">
            <v>31102192</v>
          </cell>
          <cell r="G6064">
            <v>31102192</v>
          </cell>
          <cell r="H6064">
            <v>31102192</v>
          </cell>
          <cell r="I6064" t="str">
            <v/>
          </cell>
          <cell r="J6064" t="str">
            <v/>
          </cell>
          <cell r="K6064" t="str">
            <v/>
          </cell>
          <cell r="L6064" t="str">
            <v/>
          </cell>
          <cell r="M6064" t="str">
            <v/>
          </cell>
        </row>
        <row r="6065">
          <cell r="A6065">
            <v>31102192</v>
          </cell>
          <cell r="C6065">
            <v>31102192</v>
          </cell>
          <cell r="D6065">
            <v>31102192</v>
          </cell>
          <cell r="E6065">
            <v>31102192</v>
          </cell>
          <cell r="F6065">
            <v>31102192</v>
          </cell>
          <cell r="G6065">
            <v>31102192</v>
          </cell>
          <cell r="H6065">
            <v>31102192</v>
          </cell>
          <cell r="I6065" t="str">
            <v/>
          </cell>
          <cell r="J6065" t="str">
            <v/>
          </cell>
          <cell r="K6065" t="str">
            <v/>
          </cell>
          <cell r="L6065" t="str">
            <v/>
          </cell>
          <cell r="M6065" t="str">
            <v/>
          </cell>
        </row>
        <row r="6066">
          <cell r="A6066">
            <v>31102192</v>
          </cell>
          <cell r="C6066">
            <v>31102192</v>
          </cell>
          <cell r="D6066">
            <v>31102192</v>
          </cell>
          <cell r="E6066">
            <v>31102192</v>
          </cell>
          <cell r="F6066">
            <v>31102192</v>
          </cell>
          <cell r="G6066">
            <v>31102192</v>
          </cell>
          <cell r="H6066">
            <v>31102192</v>
          </cell>
          <cell r="I6066" t="str">
            <v/>
          </cell>
          <cell r="J6066" t="str">
            <v/>
          </cell>
          <cell r="K6066" t="str">
            <v/>
          </cell>
          <cell r="L6066" t="str">
            <v/>
          </cell>
          <cell r="M6066" t="str">
            <v/>
          </cell>
        </row>
        <row r="6067">
          <cell r="A6067">
            <v>31102192</v>
          </cell>
          <cell r="C6067">
            <v>31102192</v>
          </cell>
          <cell r="D6067">
            <v>31102192</v>
          </cell>
          <cell r="E6067">
            <v>31102192</v>
          </cell>
          <cell r="F6067">
            <v>31102192</v>
          </cell>
          <cell r="G6067">
            <v>31102192</v>
          </cell>
          <cell r="H6067">
            <v>31102192</v>
          </cell>
          <cell r="I6067" t="str">
            <v/>
          </cell>
          <cell r="J6067" t="str">
            <v/>
          </cell>
          <cell r="K6067" t="str">
            <v/>
          </cell>
          <cell r="L6067" t="str">
            <v/>
          </cell>
          <cell r="M6067" t="str">
            <v/>
          </cell>
        </row>
        <row r="6068">
          <cell r="A6068">
            <v>31102192</v>
          </cell>
          <cell r="C6068">
            <v>31102192</v>
          </cell>
          <cell r="D6068">
            <v>31102192</v>
          </cell>
          <cell r="E6068">
            <v>31102192</v>
          </cell>
          <cell r="F6068">
            <v>31102192</v>
          </cell>
          <cell r="G6068">
            <v>31102192</v>
          </cell>
          <cell r="H6068">
            <v>31102192</v>
          </cell>
          <cell r="I6068" t="str">
            <v/>
          </cell>
          <cell r="J6068" t="str">
            <v/>
          </cell>
          <cell r="K6068" t="str">
            <v/>
          </cell>
          <cell r="L6068" t="str">
            <v/>
          </cell>
          <cell r="M6068" t="str">
            <v/>
          </cell>
        </row>
        <row r="6069">
          <cell r="A6069">
            <v>31102192</v>
          </cell>
          <cell r="C6069">
            <v>31102192</v>
          </cell>
          <cell r="D6069">
            <v>31102192</v>
          </cell>
          <cell r="E6069">
            <v>31102192</v>
          </cell>
          <cell r="F6069">
            <v>31102192</v>
          </cell>
          <cell r="G6069">
            <v>31102192</v>
          </cell>
          <cell r="H6069">
            <v>31102192</v>
          </cell>
          <cell r="I6069" t="str">
            <v/>
          </cell>
          <cell r="J6069" t="str">
            <v/>
          </cell>
          <cell r="K6069" t="str">
            <v/>
          </cell>
          <cell r="L6069" t="str">
            <v/>
          </cell>
          <cell r="M6069" t="str">
            <v/>
          </cell>
        </row>
        <row r="6070">
          <cell r="A6070">
            <v>31102192</v>
          </cell>
          <cell r="C6070">
            <v>31102192</v>
          </cell>
          <cell r="D6070">
            <v>31102192</v>
          </cell>
          <cell r="E6070">
            <v>31102192</v>
          </cell>
          <cell r="F6070">
            <v>31102192</v>
          </cell>
          <cell r="G6070">
            <v>31102192</v>
          </cell>
          <cell r="H6070">
            <v>31102192</v>
          </cell>
          <cell r="I6070" t="str">
            <v/>
          </cell>
          <cell r="J6070" t="str">
            <v/>
          </cell>
          <cell r="K6070" t="str">
            <v/>
          </cell>
          <cell r="L6070" t="str">
            <v/>
          </cell>
          <cell r="M6070" t="str">
            <v/>
          </cell>
        </row>
        <row r="6071">
          <cell r="A6071">
            <v>31102192</v>
          </cell>
          <cell r="C6071">
            <v>31102192</v>
          </cell>
          <cell r="D6071">
            <v>31102192</v>
          </cell>
          <cell r="E6071">
            <v>31102192</v>
          </cell>
          <cell r="F6071">
            <v>31102192</v>
          </cell>
          <cell r="G6071">
            <v>31102192</v>
          </cell>
          <cell r="H6071">
            <v>31102192</v>
          </cell>
          <cell r="I6071" t="str">
            <v/>
          </cell>
          <cell r="J6071" t="str">
            <v/>
          </cell>
          <cell r="K6071" t="str">
            <v/>
          </cell>
          <cell r="L6071" t="str">
            <v/>
          </cell>
          <cell r="M6071" t="str">
            <v/>
          </cell>
        </row>
        <row r="6072">
          <cell r="A6072">
            <v>31102192</v>
          </cell>
          <cell r="C6072">
            <v>31102192</v>
          </cell>
          <cell r="D6072">
            <v>31102192</v>
          </cell>
          <cell r="E6072">
            <v>31102192</v>
          </cell>
          <cell r="F6072">
            <v>31102192</v>
          </cell>
          <cell r="G6072">
            <v>31102192</v>
          </cell>
          <cell r="H6072">
            <v>31102192</v>
          </cell>
          <cell r="I6072" t="str">
            <v/>
          </cell>
          <cell r="J6072" t="str">
            <v/>
          </cell>
          <cell r="K6072" t="str">
            <v/>
          </cell>
          <cell r="L6072" t="str">
            <v/>
          </cell>
          <cell r="M6072" t="str">
            <v/>
          </cell>
        </row>
        <row r="6073">
          <cell r="A6073">
            <v>31102192</v>
          </cell>
          <cell r="C6073">
            <v>31102192</v>
          </cell>
          <cell r="D6073">
            <v>31102192</v>
          </cell>
          <cell r="E6073">
            <v>31102192</v>
          </cell>
          <cell r="F6073">
            <v>31102192</v>
          </cell>
          <cell r="G6073">
            <v>31102192</v>
          </cell>
          <cell r="H6073">
            <v>31102192</v>
          </cell>
          <cell r="I6073" t="str">
            <v/>
          </cell>
          <cell r="J6073" t="str">
            <v/>
          </cell>
          <cell r="K6073" t="str">
            <v/>
          </cell>
          <cell r="L6073" t="str">
            <v/>
          </cell>
          <cell r="M6073" t="str">
            <v/>
          </cell>
        </row>
        <row r="6074">
          <cell r="A6074">
            <v>31102192</v>
          </cell>
          <cell r="C6074">
            <v>31102192</v>
          </cell>
          <cell r="D6074">
            <v>31102192</v>
          </cell>
          <cell r="E6074">
            <v>31102192</v>
          </cell>
          <cell r="F6074">
            <v>31102192</v>
          </cell>
          <cell r="G6074">
            <v>31102192</v>
          </cell>
          <cell r="H6074">
            <v>31102192</v>
          </cell>
          <cell r="I6074" t="str">
            <v/>
          </cell>
          <cell r="J6074" t="str">
            <v/>
          </cell>
          <cell r="K6074" t="str">
            <v/>
          </cell>
          <cell r="L6074" t="str">
            <v/>
          </cell>
          <cell r="M6074" t="str">
            <v/>
          </cell>
        </row>
        <row r="6075">
          <cell r="A6075">
            <v>31102192</v>
          </cell>
          <cell r="C6075">
            <v>31102192</v>
          </cell>
          <cell r="D6075">
            <v>31102192</v>
          </cell>
          <cell r="E6075">
            <v>31102192</v>
          </cell>
          <cell r="F6075">
            <v>31102192</v>
          </cell>
          <cell r="G6075">
            <v>31102192</v>
          </cell>
          <cell r="H6075">
            <v>31102192</v>
          </cell>
          <cell r="I6075" t="str">
            <v/>
          </cell>
          <cell r="J6075" t="str">
            <v/>
          </cell>
          <cell r="K6075" t="str">
            <v/>
          </cell>
          <cell r="L6075" t="str">
            <v/>
          </cell>
          <cell r="M6075" t="str">
            <v/>
          </cell>
        </row>
        <row r="6076">
          <cell r="A6076">
            <v>31102192</v>
          </cell>
          <cell r="C6076">
            <v>31102192</v>
          </cell>
          <cell r="D6076">
            <v>31102192</v>
          </cell>
          <cell r="E6076">
            <v>31102192</v>
          </cell>
          <cell r="F6076">
            <v>31102192</v>
          </cell>
          <cell r="G6076">
            <v>31102192</v>
          </cell>
          <cell r="H6076">
            <v>31102192</v>
          </cell>
          <cell r="I6076" t="str">
            <v/>
          </cell>
          <cell r="J6076" t="str">
            <v/>
          </cell>
          <cell r="K6076" t="str">
            <v/>
          </cell>
          <cell r="L6076" t="str">
            <v/>
          </cell>
          <cell r="M6076" t="str">
            <v/>
          </cell>
        </row>
        <row r="6077">
          <cell r="A6077">
            <v>31102192</v>
          </cell>
          <cell r="C6077">
            <v>31102192</v>
          </cell>
          <cell r="D6077">
            <v>31102192</v>
          </cell>
          <cell r="E6077">
            <v>31102192</v>
          </cell>
          <cell r="F6077">
            <v>31102192</v>
          </cell>
          <cell r="G6077">
            <v>31102192</v>
          </cell>
          <cell r="H6077">
            <v>31102192</v>
          </cell>
          <cell r="I6077" t="str">
            <v/>
          </cell>
          <cell r="J6077" t="str">
            <v/>
          </cell>
          <cell r="K6077" t="str">
            <v/>
          </cell>
          <cell r="L6077" t="str">
            <v/>
          </cell>
          <cell r="M6077" t="str">
            <v/>
          </cell>
        </row>
        <row r="6078">
          <cell r="A6078">
            <v>31102192</v>
          </cell>
          <cell r="C6078">
            <v>31102192</v>
          </cell>
          <cell r="D6078">
            <v>31102192</v>
          </cell>
          <cell r="E6078">
            <v>31102192</v>
          </cell>
          <cell r="F6078">
            <v>31102192</v>
          </cell>
          <cell r="G6078">
            <v>31102192</v>
          </cell>
          <cell r="H6078">
            <v>31102192</v>
          </cell>
          <cell r="I6078" t="str">
            <v/>
          </cell>
          <cell r="J6078" t="str">
            <v/>
          </cell>
          <cell r="K6078" t="str">
            <v/>
          </cell>
          <cell r="L6078" t="str">
            <v/>
          </cell>
          <cell r="M6078" t="str">
            <v/>
          </cell>
        </row>
        <row r="6079">
          <cell r="A6079">
            <v>31102192</v>
          </cell>
          <cell r="C6079">
            <v>31102192</v>
          </cell>
          <cell r="D6079">
            <v>31102192</v>
          </cell>
          <cell r="E6079">
            <v>31102192</v>
          </cell>
          <cell r="F6079">
            <v>31102192</v>
          </cell>
          <cell r="G6079">
            <v>31102192</v>
          </cell>
          <cell r="H6079">
            <v>31102192</v>
          </cell>
          <cell r="I6079" t="str">
            <v/>
          </cell>
          <cell r="J6079" t="str">
            <v/>
          </cell>
          <cell r="K6079" t="str">
            <v/>
          </cell>
          <cell r="L6079" t="str">
            <v/>
          </cell>
          <cell r="M6079" t="str">
            <v/>
          </cell>
        </row>
        <row r="6080">
          <cell r="A6080">
            <v>31102192</v>
          </cell>
          <cell r="C6080">
            <v>31102192</v>
          </cell>
          <cell r="D6080">
            <v>31102192</v>
          </cell>
          <cell r="E6080">
            <v>31102192</v>
          </cell>
          <cell r="F6080">
            <v>31102192</v>
          </cell>
          <cell r="G6080">
            <v>31102192</v>
          </cell>
          <cell r="H6080">
            <v>31102192</v>
          </cell>
          <cell r="I6080" t="str">
            <v/>
          </cell>
          <cell r="J6080" t="str">
            <v/>
          </cell>
          <cell r="K6080" t="str">
            <v/>
          </cell>
          <cell r="L6080" t="str">
            <v/>
          </cell>
          <cell r="M6080" t="str">
            <v/>
          </cell>
        </row>
        <row r="6081">
          <cell r="A6081">
            <v>31102192</v>
          </cell>
          <cell r="C6081">
            <v>31102192</v>
          </cell>
          <cell r="D6081">
            <v>31102192</v>
          </cell>
          <cell r="E6081">
            <v>31102192</v>
          </cell>
          <cell r="F6081">
            <v>31102192</v>
          </cell>
          <cell r="G6081">
            <v>31102192</v>
          </cell>
          <cell r="H6081">
            <v>31102192</v>
          </cell>
          <cell r="I6081" t="str">
            <v/>
          </cell>
          <cell r="J6081" t="str">
            <v/>
          </cell>
          <cell r="K6081" t="str">
            <v/>
          </cell>
          <cell r="L6081" t="str">
            <v/>
          </cell>
          <cell r="M6081" t="str">
            <v/>
          </cell>
        </row>
        <row r="6082">
          <cell r="A6082">
            <v>31102192</v>
          </cell>
          <cell r="C6082">
            <v>31102192</v>
          </cell>
          <cell r="D6082">
            <v>31102192</v>
          </cell>
          <cell r="E6082">
            <v>31102192</v>
          </cell>
          <cell r="F6082">
            <v>31102192</v>
          </cell>
          <cell r="G6082">
            <v>31102192</v>
          </cell>
          <cell r="H6082">
            <v>31102192</v>
          </cell>
          <cell r="I6082" t="str">
            <v/>
          </cell>
          <cell r="J6082" t="str">
            <v/>
          </cell>
          <cell r="K6082" t="str">
            <v/>
          </cell>
          <cell r="L6082" t="str">
            <v/>
          </cell>
          <cell r="M6082" t="str">
            <v/>
          </cell>
        </row>
        <row r="6083">
          <cell r="A6083">
            <v>31102192</v>
          </cell>
          <cell r="C6083">
            <v>31102192</v>
          </cell>
          <cell r="D6083">
            <v>31102192</v>
          </cell>
          <cell r="E6083">
            <v>31102192</v>
          </cell>
          <cell r="F6083">
            <v>31102192</v>
          </cell>
          <cell r="G6083">
            <v>31102192</v>
          </cell>
          <cell r="H6083">
            <v>31102192</v>
          </cell>
          <cell r="I6083" t="str">
            <v/>
          </cell>
          <cell r="J6083" t="str">
            <v/>
          </cell>
          <cell r="K6083" t="str">
            <v/>
          </cell>
          <cell r="L6083" t="str">
            <v/>
          </cell>
          <cell r="M6083" t="str">
            <v/>
          </cell>
        </row>
        <row r="6084">
          <cell r="A6084">
            <v>31102192</v>
          </cell>
          <cell r="C6084">
            <v>31102192</v>
          </cell>
          <cell r="D6084">
            <v>31102192</v>
          </cell>
          <cell r="E6084">
            <v>31102192</v>
          </cell>
          <cell r="F6084">
            <v>31102192</v>
          </cell>
          <cell r="G6084">
            <v>31102192</v>
          </cell>
          <cell r="H6084">
            <v>31102192</v>
          </cell>
          <cell r="I6084" t="str">
            <v/>
          </cell>
          <cell r="J6084" t="str">
            <v/>
          </cell>
          <cell r="K6084" t="str">
            <v/>
          </cell>
          <cell r="L6084" t="str">
            <v/>
          </cell>
          <cell r="M6084" t="str">
            <v/>
          </cell>
        </row>
        <row r="6085">
          <cell r="A6085">
            <v>31102192</v>
          </cell>
          <cell r="C6085">
            <v>31102192</v>
          </cell>
          <cell r="D6085">
            <v>31102192</v>
          </cell>
          <cell r="E6085">
            <v>31102192</v>
          </cell>
          <cell r="F6085">
            <v>31102192</v>
          </cell>
          <cell r="G6085">
            <v>31102192</v>
          </cell>
          <cell r="H6085">
            <v>31102192</v>
          </cell>
          <cell r="I6085" t="str">
            <v/>
          </cell>
          <cell r="J6085" t="str">
            <v/>
          </cell>
          <cell r="K6085" t="str">
            <v/>
          </cell>
          <cell r="L6085" t="str">
            <v/>
          </cell>
          <cell r="M6085" t="str">
            <v/>
          </cell>
        </row>
        <row r="6086">
          <cell r="A6086">
            <v>31102192</v>
          </cell>
          <cell r="C6086">
            <v>31102192</v>
          </cell>
          <cell r="D6086">
            <v>31102192</v>
          </cell>
          <cell r="E6086">
            <v>31102192</v>
          </cell>
          <cell r="F6086">
            <v>31102192</v>
          </cell>
          <cell r="G6086">
            <v>31102192</v>
          </cell>
          <cell r="H6086">
            <v>31102192</v>
          </cell>
          <cell r="I6086" t="str">
            <v/>
          </cell>
          <cell r="J6086" t="str">
            <v/>
          </cell>
          <cell r="K6086" t="str">
            <v/>
          </cell>
          <cell r="L6086" t="str">
            <v/>
          </cell>
          <cell r="M6086" t="str">
            <v/>
          </cell>
        </row>
        <row r="6087">
          <cell r="A6087">
            <v>31102192</v>
          </cell>
          <cell r="C6087">
            <v>31102192</v>
          </cell>
          <cell r="D6087">
            <v>31102192</v>
          </cell>
          <cell r="E6087">
            <v>31102192</v>
          </cell>
          <cell r="F6087">
            <v>31102192</v>
          </cell>
          <cell r="G6087">
            <v>31102192</v>
          </cell>
          <cell r="H6087">
            <v>31102192</v>
          </cell>
          <cell r="I6087" t="str">
            <v/>
          </cell>
          <cell r="J6087" t="str">
            <v/>
          </cell>
          <cell r="K6087" t="str">
            <v/>
          </cell>
          <cell r="L6087" t="str">
            <v/>
          </cell>
          <cell r="M6087" t="str">
            <v/>
          </cell>
        </row>
        <row r="6088">
          <cell r="A6088">
            <v>31102192</v>
          </cell>
          <cell r="C6088">
            <v>31102192</v>
          </cell>
          <cell r="D6088">
            <v>31102192</v>
          </cell>
          <cell r="E6088">
            <v>31102192</v>
          </cell>
          <cell r="F6088">
            <v>31102192</v>
          </cell>
          <cell r="G6088">
            <v>31102192</v>
          </cell>
          <cell r="H6088">
            <v>31102192</v>
          </cell>
          <cell r="I6088" t="str">
            <v/>
          </cell>
          <cell r="J6088" t="str">
            <v/>
          </cell>
          <cell r="K6088" t="str">
            <v/>
          </cell>
          <cell r="L6088" t="str">
            <v/>
          </cell>
          <cell r="M6088" t="str">
            <v/>
          </cell>
        </row>
        <row r="6089">
          <cell r="A6089">
            <v>31102192</v>
          </cell>
          <cell r="C6089">
            <v>31102192</v>
          </cell>
          <cell r="D6089">
            <v>31102192</v>
          </cell>
          <cell r="E6089">
            <v>31102192</v>
          </cell>
          <cell r="F6089">
            <v>31102192</v>
          </cell>
          <cell r="G6089">
            <v>31102192</v>
          </cell>
          <cell r="H6089">
            <v>31102192</v>
          </cell>
          <cell r="I6089" t="str">
            <v/>
          </cell>
          <cell r="J6089" t="str">
            <v/>
          </cell>
          <cell r="K6089" t="str">
            <v/>
          </cell>
          <cell r="L6089" t="str">
            <v/>
          </cell>
          <cell r="M6089" t="str">
            <v/>
          </cell>
        </row>
        <row r="6090">
          <cell r="A6090">
            <v>31102192</v>
          </cell>
          <cell r="C6090">
            <v>31102192</v>
          </cell>
          <cell r="D6090">
            <v>31102192</v>
          </cell>
          <cell r="E6090">
            <v>31102192</v>
          </cell>
          <cell r="F6090">
            <v>31102192</v>
          </cell>
          <cell r="G6090">
            <v>31102192</v>
          </cell>
          <cell r="H6090">
            <v>31102192</v>
          </cell>
          <cell r="I6090" t="str">
            <v/>
          </cell>
          <cell r="J6090" t="str">
            <v/>
          </cell>
          <cell r="K6090" t="str">
            <v/>
          </cell>
          <cell r="L6090" t="str">
            <v/>
          </cell>
          <cell r="M6090" t="str">
            <v/>
          </cell>
        </row>
        <row r="6091">
          <cell r="A6091">
            <v>31102192</v>
          </cell>
          <cell r="C6091">
            <v>31102192</v>
          </cell>
          <cell r="D6091">
            <v>31102192</v>
          </cell>
          <cell r="E6091">
            <v>31102192</v>
          </cell>
          <cell r="F6091">
            <v>31102192</v>
          </cell>
          <cell r="G6091">
            <v>31102192</v>
          </cell>
          <cell r="H6091">
            <v>31102192</v>
          </cell>
          <cell r="I6091" t="str">
            <v/>
          </cell>
          <cell r="J6091" t="str">
            <v/>
          </cell>
          <cell r="K6091" t="str">
            <v/>
          </cell>
          <cell r="L6091" t="str">
            <v/>
          </cell>
          <cell r="M6091" t="str">
            <v/>
          </cell>
        </row>
        <row r="6092">
          <cell r="A6092">
            <v>31102192</v>
          </cell>
          <cell r="C6092">
            <v>31102192</v>
          </cell>
          <cell r="D6092">
            <v>31102192</v>
          </cell>
          <cell r="E6092">
            <v>31102192</v>
          </cell>
          <cell r="F6092">
            <v>31102192</v>
          </cell>
          <cell r="G6092">
            <v>31102192</v>
          </cell>
          <cell r="H6092">
            <v>31102192</v>
          </cell>
          <cell r="I6092" t="str">
            <v/>
          </cell>
          <cell r="J6092" t="str">
            <v/>
          </cell>
          <cell r="K6092" t="str">
            <v/>
          </cell>
          <cell r="L6092" t="str">
            <v/>
          </cell>
          <cell r="M6092" t="str">
            <v/>
          </cell>
        </row>
        <row r="6093">
          <cell r="A6093">
            <v>31102192</v>
          </cell>
          <cell r="C6093">
            <v>31102192</v>
          </cell>
          <cell r="D6093">
            <v>31102192</v>
          </cell>
          <cell r="E6093">
            <v>31102192</v>
          </cell>
          <cell r="F6093">
            <v>31102192</v>
          </cell>
          <cell r="G6093">
            <v>31102192</v>
          </cell>
          <cell r="H6093">
            <v>31102192</v>
          </cell>
          <cell r="I6093" t="str">
            <v/>
          </cell>
          <cell r="J6093" t="str">
            <v/>
          </cell>
          <cell r="K6093" t="str">
            <v/>
          </cell>
          <cell r="L6093" t="str">
            <v/>
          </cell>
          <cell r="M6093" t="str">
            <v/>
          </cell>
        </row>
        <row r="6094">
          <cell r="A6094">
            <v>31102192</v>
          </cell>
          <cell r="C6094">
            <v>31102192</v>
          </cell>
          <cell r="D6094">
            <v>31102192</v>
          </cell>
          <cell r="E6094">
            <v>31102192</v>
          </cell>
          <cell r="F6094">
            <v>31102192</v>
          </cell>
          <cell r="G6094">
            <v>31102192</v>
          </cell>
          <cell r="H6094">
            <v>31102192</v>
          </cell>
          <cell r="I6094" t="str">
            <v/>
          </cell>
          <cell r="J6094" t="str">
            <v/>
          </cell>
          <cell r="K6094" t="str">
            <v/>
          </cell>
          <cell r="L6094" t="str">
            <v/>
          </cell>
          <cell r="M6094" t="str">
            <v/>
          </cell>
        </row>
        <row r="6095">
          <cell r="A6095">
            <v>31102192</v>
          </cell>
          <cell r="C6095">
            <v>31102192</v>
          </cell>
          <cell r="D6095">
            <v>31102192</v>
          </cell>
          <cell r="E6095">
            <v>31102192</v>
          </cell>
          <cell r="F6095">
            <v>31102192</v>
          </cell>
          <cell r="G6095">
            <v>31102192</v>
          </cell>
          <cell r="H6095">
            <v>31102192</v>
          </cell>
          <cell r="I6095" t="str">
            <v/>
          </cell>
          <cell r="J6095" t="str">
            <v/>
          </cell>
          <cell r="K6095" t="str">
            <v/>
          </cell>
          <cell r="L6095" t="str">
            <v/>
          </cell>
          <cell r="M6095" t="str">
            <v/>
          </cell>
        </row>
        <row r="6096">
          <cell r="A6096">
            <v>31102192</v>
          </cell>
          <cell r="C6096">
            <v>31102192</v>
          </cell>
          <cell r="D6096">
            <v>31102192</v>
          </cell>
          <cell r="E6096">
            <v>31102192</v>
          </cell>
          <cell r="F6096">
            <v>31102192</v>
          </cell>
          <cell r="G6096">
            <v>31102192</v>
          </cell>
          <cell r="H6096">
            <v>31102192</v>
          </cell>
          <cell r="I6096" t="str">
            <v/>
          </cell>
          <cell r="J6096" t="str">
            <v/>
          </cell>
          <cell r="K6096" t="str">
            <v/>
          </cell>
          <cell r="L6096" t="str">
            <v/>
          </cell>
          <cell r="M6096" t="str">
            <v/>
          </cell>
        </row>
        <row r="6097">
          <cell r="A6097">
            <v>31102192</v>
          </cell>
          <cell r="C6097">
            <v>31102192</v>
          </cell>
          <cell r="D6097">
            <v>31102192</v>
          </cell>
          <cell r="E6097">
            <v>31102192</v>
          </cell>
          <cell r="F6097">
            <v>31102192</v>
          </cell>
          <cell r="G6097">
            <v>31102192</v>
          </cell>
          <cell r="H6097">
            <v>31102192</v>
          </cell>
          <cell r="I6097" t="str">
            <v/>
          </cell>
          <cell r="J6097" t="str">
            <v/>
          </cell>
          <cell r="K6097" t="str">
            <v/>
          </cell>
          <cell r="L6097" t="str">
            <v/>
          </cell>
          <cell r="M6097" t="str">
            <v/>
          </cell>
        </row>
        <row r="6098">
          <cell r="A6098">
            <v>31102192</v>
          </cell>
          <cell r="C6098">
            <v>31102192</v>
          </cell>
          <cell r="D6098">
            <v>31102192</v>
          </cell>
          <cell r="E6098">
            <v>31102192</v>
          </cell>
          <cell r="F6098">
            <v>31102192</v>
          </cell>
          <cell r="G6098">
            <v>31102192</v>
          </cell>
          <cell r="H6098">
            <v>31102192</v>
          </cell>
          <cell r="I6098" t="str">
            <v/>
          </cell>
          <cell r="J6098" t="str">
            <v/>
          </cell>
          <cell r="K6098" t="str">
            <v/>
          </cell>
          <cell r="L6098" t="str">
            <v/>
          </cell>
          <cell r="M6098" t="str">
            <v/>
          </cell>
        </row>
        <row r="6099">
          <cell r="A6099">
            <v>31102192</v>
          </cell>
          <cell r="C6099">
            <v>31102192</v>
          </cell>
          <cell r="D6099">
            <v>31102192</v>
          </cell>
          <cell r="E6099">
            <v>31102192</v>
          </cell>
          <cell r="F6099">
            <v>31102192</v>
          </cell>
          <cell r="G6099">
            <v>31102192</v>
          </cell>
          <cell r="H6099">
            <v>31102192</v>
          </cell>
          <cell r="I6099" t="str">
            <v/>
          </cell>
          <cell r="J6099" t="str">
            <v/>
          </cell>
          <cell r="K6099" t="str">
            <v/>
          </cell>
          <cell r="L6099" t="str">
            <v/>
          </cell>
          <cell r="M6099" t="str">
            <v/>
          </cell>
        </row>
        <row r="6100">
          <cell r="A6100">
            <v>31102192</v>
          </cell>
          <cell r="C6100">
            <v>31102192</v>
          </cell>
          <cell r="D6100">
            <v>31102192</v>
          </cell>
          <cell r="E6100">
            <v>31102192</v>
          </cell>
          <cell r="F6100">
            <v>31102192</v>
          </cell>
          <cell r="G6100">
            <v>31102192</v>
          </cell>
          <cell r="H6100">
            <v>31102192</v>
          </cell>
          <cell r="I6100" t="str">
            <v/>
          </cell>
          <cell r="J6100" t="str">
            <v/>
          </cell>
          <cell r="K6100" t="str">
            <v/>
          </cell>
          <cell r="L6100" t="str">
            <v/>
          </cell>
          <cell r="M6100" t="str">
            <v/>
          </cell>
        </row>
        <row r="6101">
          <cell r="A6101">
            <v>31102192</v>
          </cell>
          <cell r="C6101">
            <v>31102192</v>
          </cell>
          <cell r="D6101">
            <v>31102192</v>
          </cell>
          <cell r="E6101">
            <v>31102192</v>
          </cell>
          <cell r="F6101">
            <v>31102192</v>
          </cell>
          <cell r="G6101">
            <v>31102192</v>
          </cell>
          <cell r="H6101">
            <v>31102192</v>
          </cell>
          <cell r="I6101" t="str">
            <v/>
          </cell>
          <cell r="J6101" t="str">
            <v/>
          </cell>
          <cell r="K6101" t="str">
            <v/>
          </cell>
          <cell r="L6101" t="str">
            <v/>
          </cell>
          <cell r="M6101" t="str">
            <v/>
          </cell>
        </row>
        <row r="6102">
          <cell r="A6102">
            <v>31102192</v>
          </cell>
          <cell r="C6102">
            <v>31102192</v>
          </cell>
          <cell r="D6102">
            <v>31102192</v>
          </cell>
          <cell r="E6102">
            <v>31102192</v>
          </cell>
          <cell r="F6102">
            <v>31102192</v>
          </cell>
          <cell r="G6102">
            <v>31102192</v>
          </cell>
          <cell r="H6102">
            <v>31102192</v>
          </cell>
          <cell r="I6102" t="str">
            <v/>
          </cell>
          <cell r="J6102" t="str">
            <v/>
          </cell>
          <cell r="K6102" t="str">
            <v/>
          </cell>
          <cell r="L6102" t="str">
            <v/>
          </cell>
          <cell r="M6102" t="str">
            <v/>
          </cell>
        </row>
        <row r="6103">
          <cell r="A6103">
            <v>31102192</v>
          </cell>
          <cell r="C6103">
            <v>31102192</v>
          </cell>
          <cell r="D6103">
            <v>31102192</v>
          </cell>
          <cell r="E6103">
            <v>31102192</v>
          </cell>
          <cell r="F6103">
            <v>31102192</v>
          </cell>
          <cell r="G6103">
            <v>31102192</v>
          </cell>
          <cell r="H6103">
            <v>31102192</v>
          </cell>
          <cell r="I6103" t="str">
            <v/>
          </cell>
          <cell r="J6103" t="str">
            <v/>
          </cell>
          <cell r="K6103" t="str">
            <v/>
          </cell>
          <cell r="L6103" t="str">
            <v/>
          </cell>
          <cell r="M6103" t="str">
            <v/>
          </cell>
        </row>
        <row r="6104">
          <cell r="A6104">
            <v>31102192</v>
          </cell>
          <cell r="C6104">
            <v>31102192</v>
          </cell>
          <cell r="D6104">
            <v>31102192</v>
          </cell>
          <cell r="E6104">
            <v>31102192</v>
          </cell>
          <cell r="F6104">
            <v>31102192</v>
          </cell>
          <cell r="G6104">
            <v>31102192</v>
          </cell>
          <cell r="H6104">
            <v>31102192</v>
          </cell>
          <cell r="I6104" t="str">
            <v/>
          </cell>
          <cell r="J6104" t="str">
            <v/>
          </cell>
          <cell r="K6104" t="str">
            <v/>
          </cell>
          <cell r="L6104" t="str">
            <v/>
          </cell>
          <cell r="M6104" t="str">
            <v/>
          </cell>
        </row>
        <row r="6105">
          <cell r="A6105">
            <v>31102192</v>
          </cell>
          <cell r="C6105">
            <v>31102192</v>
          </cell>
          <cell r="D6105">
            <v>31102192</v>
          </cell>
          <cell r="E6105">
            <v>31102192</v>
          </cell>
          <cell r="F6105">
            <v>31102192</v>
          </cell>
          <cell r="G6105">
            <v>31102192</v>
          </cell>
          <cell r="H6105">
            <v>31102192</v>
          </cell>
          <cell r="I6105" t="str">
            <v/>
          </cell>
          <cell r="J6105" t="str">
            <v/>
          </cell>
          <cell r="K6105" t="str">
            <v/>
          </cell>
          <cell r="L6105" t="str">
            <v/>
          </cell>
          <cell r="M6105" t="str">
            <v/>
          </cell>
        </row>
        <row r="6106">
          <cell r="A6106">
            <v>31102192</v>
          </cell>
          <cell r="C6106">
            <v>31102192</v>
          </cell>
          <cell r="D6106">
            <v>31102192</v>
          </cell>
          <cell r="E6106">
            <v>31102192</v>
          </cell>
          <cell r="F6106">
            <v>31102192</v>
          </cell>
          <cell r="G6106">
            <v>31102192</v>
          </cell>
          <cell r="H6106">
            <v>31102192</v>
          </cell>
          <cell r="I6106" t="str">
            <v/>
          </cell>
          <cell r="J6106" t="str">
            <v/>
          </cell>
          <cell r="K6106" t="str">
            <v/>
          </cell>
          <cell r="L6106" t="str">
            <v/>
          </cell>
          <cell r="M6106" t="str">
            <v/>
          </cell>
        </row>
        <row r="6107">
          <cell r="A6107">
            <v>31102192</v>
          </cell>
          <cell r="C6107">
            <v>31102192</v>
          </cell>
          <cell r="D6107">
            <v>31102192</v>
          </cell>
          <cell r="E6107">
            <v>31102192</v>
          </cell>
          <cell r="F6107">
            <v>31102192</v>
          </cell>
          <cell r="G6107">
            <v>31102192</v>
          </cell>
          <cell r="H6107">
            <v>31102192</v>
          </cell>
          <cell r="I6107" t="str">
            <v/>
          </cell>
          <cell r="J6107" t="str">
            <v/>
          </cell>
          <cell r="K6107" t="str">
            <v/>
          </cell>
          <cell r="L6107" t="str">
            <v/>
          </cell>
          <cell r="M6107" t="str">
            <v/>
          </cell>
        </row>
        <row r="6108">
          <cell r="A6108">
            <v>31102192</v>
          </cell>
          <cell r="C6108">
            <v>31102192</v>
          </cell>
          <cell r="D6108">
            <v>31102192</v>
          </cell>
          <cell r="E6108">
            <v>31102192</v>
          </cell>
          <cell r="F6108">
            <v>31102192</v>
          </cell>
          <cell r="G6108">
            <v>31102192</v>
          </cell>
          <cell r="H6108">
            <v>31102192</v>
          </cell>
          <cell r="I6108" t="str">
            <v/>
          </cell>
          <cell r="J6108" t="str">
            <v/>
          </cell>
          <cell r="K6108" t="str">
            <v/>
          </cell>
          <cell r="L6108" t="str">
            <v/>
          </cell>
          <cell r="M6108" t="str">
            <v/>
          </cell>
        </row>
        <row r="6109">
          <cell r="A6109">
            <v>31102192</v>
          </cell>
          <cell r="C6109">
            <v>31102192</v>
          </cell>
          <cell r="D6109">
            <v>31102192</v>
          </cell>
          <cell r="E6109">
            <v>31102192</v>
          </cell>
          <cell r="F6109">
            <v>31102192</v>
          </cell>
          <cell r="G6109">
            <v>31102192</v>
          </cell>
          <cell r="H6109">
            <v>31102192</v>
          </cell>
          <cell r="I6109" t="str">
            <v/>
          </cell>
          <cell r="J6109" t="str">
            <v/>
          </cell>
          <cell r="K6109" t="str">
            <v/>
          </cell>
          <cell r="L6109" t="str">
            <v/>
          </cell>
          <cell r="M6109" t="str">
            <v/>
          </cell>
        </row>
        <row r="6110">
          <cell r="A6110">
            <v>31102192</v>
          </cell>
          <cell r="C6110">
            <v>31102192</v>
          </cell>
          <cell r="D6110">
            <v>31102192</v>
          </cell>
          <cell r="E6110">
            <v>31102192</v>
          </cell>
          <cell r="F6110">
            <v>31102192</v>
          </cell>
          <cell r="G6110">
            <v>31102192</v>
          </cell>
          <cell r="H6110">
            <v>31102192</v>
          </cell>
          <cell r="I6110" t="str">
            <v/>
          </cell>
          <cell r="J6110" t="str">
            <v/>
          </cell>
          <cell r="K6110" t="str">
            <v/>
          </cell>
          <cell r="L6110" t="str">
            <v/>
          </cell>
          <cell r="M6110" t="str">
            <v/>
          </cell>
        </row>
        <row r="6111">
          <cell r="A6111">
            <v>31102192</v>
          </cell>
          <cell r="C6111">
            <v>31102192</v>
          </cell>
          <cell r="D6111">
            <v>31102192</v>
          </cell>
          <cell r="E6111">
            <v>31102192</v>
          </cell>
          <cell r="F6111">
            <v>31102192</v>
          </cell>
          <cell r="G6111">
            <v>31102192</v>
          </cell>
          <cell r="H6111">
            <v>31102192</v>
          </cell>
          <cell r="I6111" t="str">
            <v/>
          </cell>
          <cell r="J6111" t="str">
            <v/>
          </cell>
          <cell r="K6111" t="str">
            <v/>
          </cell>
          <cell r="L6111" t="str">
            <v/>
          </cell>
          <cell r="M6111" t="str">
            <v/>
          </cell>
        </row>
        <row r="6112">
          <cell r="A6112">
            <v>31102192</v>
          </cell>
          <cell r="C6112">
            <v>31102192</v>
          </cell>
          <cell r="D6112">
            <v>31102192</v>
          </cell>
          <cell r="E6112">
            <v>31102192</v>
          </cell>
          <cell r="F6112">
            <v>31102192</v>
          </cell>
          <cell r="G6112">
            <v>31102192</v>
          </cell>
          <cell r="H6112">
            <v>31102192</v>
          </cell>
          <cell r="I6112" t="str">
            <v/>
          </cell>
          <cell r="J6112" t="str">
            <v/>
          </cell>
          <cell r="K6112" t="str">
            <v/>
          </cell>
          <cell r="L6112" t="str">
            <v/>
          </cell>
          <cell r="M6112" t="str">
            <v/>
          </cell>
        </row>
        <row r="6113">
          <cell r="A6113">
            <v>31102192</v>
          </cell>
          <cell r="C6113">
            <v>31102192</v>
          </cell>
          <cell r="D6113">
            <v>31102192</v>
          </cell>
          <cell r="E6113">
            <v>31102192</v>
          </cell>
          <cell r="F6113">
            <v>31102192</v>
          </cell>
          <cell r="G6113">
            <v>31102192</v>
          </cell>
          <cell r="H6113">
            <v>31102192</v>
          </cell>
          <cell r="I6113" t="str">
            <v/>
          </cell>
          <cell r="J6113" t="str">
            <v/>
          </cell>
          <cell r="K6113" t="str">
            <v/>
          </cell>
          <cell r="L6113" t="str">
            <v/>
          </cell>
          <cell r="M6113" t="str">
            <v/>
          </cell>
        </row>
        <row r="6114">
          <cell r="A6114">
            <v>31102192</v>
          </cell>
          <cell r="C6114">
            <v>31102192</v>
          </cell>
          <cell r="D6114">
            <v>31102192</v>
          </cell>
          <cell r="E6114">
            <v>31102192</v>
          </cell>
          <cell r="F6114">
            <v>31102192</v>
          </cell>
          <cell r="G6114">
            <v>31102192</v>
          </cell>
          <cell r="H6114">
            <v>31102192</v>
          </cell>
          <cell r="I6114" t="str">
            <v/>
          </cell>
          <cell r="J6114" t="str">
            <v/>
          </cell>
          <cell r="K6114" t="str">
            <v/>
          </cell>
          <cell r="L6114" t="str">
            <v/>
          </cell>
          <cell r="M6114" t="str">
            <v/>
          </cell>
        </row>
        <row r="6115">
          <cell r="A6115">
            <v>31102192</v>
          </cell>
          <cell r="C6115">
            <v>31102192</v>
          </cell>
          <cell r="D6115">
            <v>31102192</v>
          </cell>
          <cell r="E6115">
            <v>31102192</v>
          </cell>
          <cell r="F6115">
            <v>31102192</v>
          </cell>
          <cell r="G6115">
            <v>31102192</v>
          </cell>
          <cell r="H6115">
            <v>31102192</v>
          </cell>
          <cell r="I6115" t="str">
            <v/>
          </cell>
          <cell r="J6115" t="str">
            <v/>
          </cell>
          <cell r="K6115" t="str">
            <v/>
          </cell>
          <cell r="L6115" t="str">
            <v/>
          </cell>
          <cell r="M6115" t="str">
            <v/>
          </cell>
        </row>
        <row r="6116">
          <cell r="A6116">
            <v>31102192</v>
          </cell>
          <cell r="C6116">
            <v>31102192</v>
          </cell>
          <cell r="D6116">
            <v>31102192</v>
          </cell>
          <cell r="E6116">
            <v>31102192</v>
          </cell>
          <cell r="F6116">
            <v>31102192</v>
          </cell>
          <cell r="G6116">
            <v>31102192</v>
          </cell>
          <cell r="H6116">
            <v>31102192</v>
          </cell>
          <cell r="I6116" t="str">
            <v/>
          </cell>
          <cell r="J6116" t="str">
            <v/>
          </cell>
          <cell r="K6116" t="str">
            <v/>
          </cell>
          <cell r="L6116" t="str">
            <v/>
          </cell>
          <cell r="M6116" t="str">
            <v/>
          </cell>
        </row>
        <row r="6117">
          <cell r="A6117">
            <v>31102192</v>
          </cell>
          <cell r="C6117">
            <v>31102192</v>
          </cell>
          <cell r="D6117">
            <v>31102192</v>
          </cell>
          <cell r="E6117">
            <v>31102192</v>
          </cell>
          <cell r="F6117">
            <v>31102192</v>
          </cell>
          <cell r="G6117">
            <v>31102192</v>
          </cell>
          <cell r="H6117">
            <v>31102192</v>
          </cell>
          <cell r="I6117" t="str">
            <v/>
          </cell>
          <cell r="J6117" t="str">
            <v/>
          </cell>
          <cell r="K6117" t="str">
            <v/>
          </cell>
          <cell r="L6117" t="str">
            <v/>
          </cell>
          <cell r="M6117" t="str">
            <v/>
          </cell>
        </row>
        <row r="6118">
          <cell r="A6118">
            <v>31102192</v>
          </cell>
          <cell r="C6118">
            <v>31102192</v>
          </cell>
          <cell r="D6118">
            <v>31102192</v>
          </cell>
          <cell r="E6118">
            <v>31102192</v>
          </cell>
          <cell r="F6118">
            <v>31102192</v>
          </cell>
          <cell r="G6118">
            <v>31102192</v>
          </cell>
          <cell r="H6118">
            <v>31102192</v>
          </cell>
          <cell r="I6118" t="str">
            <v/>
          </cell>
          <cell r="J6118" t="str">
            <v/>
          </cell>
          <cell r="K6118" t="str">
            <v/>
          </cell>
          <cell r="L6118" t="str">
            <v/>
          </cell>
          <cell r="M6118" t="str">
            <v/>
          </cell>
        </row>
        <row r="6119">
          <cell r="A6119">
            <v>31102192</v>
          </cell>
          <cell r="C6119">
            <v>31102192</v>
          </cell>
          <cell r="D6119">
            <v>31102192</v>
          </cell>
          <cell r="E6119">
            <v>31102192</v>
          </cell>
          <cell r="F6119">
            <v>31102192</v>
          </cell>
          <cell r="G6119">
            <v>31102192</v>
          </cell>
          <cell r="H6119">
            <v>31102192</v>
          </cell>
          <cell r="I6119" t="str">
            <v/>
          </cell>
          <cell r="J6119" t="str">
            <v/>
          </cell>
          <cell r="K6119" t="str">
            <v/>
          </cell>
          <cell r="L6119" t="str">
            <v/>
          </cell>
          <cell r="M6119" t="str">
            <v/>
          </cell>
        </row>
        <row r="6120">
          <cell r="A6120">
            <v>31102192</v>
          </cell>
          <cell r="C6120">
            <v>31102192</v>
          </cell>
          <cell r="D6120">
            <v>31102192</v>
          </cell>
          <cell r="E6120">
            <v>31102192</v>
          </cell>
          <cell r="F6120">
            <v>31102192</v>
          </cell>
          <cell r="G6120">
            <v>31102192</v>
          </cell>
          <cell r="H6120">
            <v>31102192</v>
          </cell>
          <cell r="I6120" t="str">
            <v/>
          </cell>
          <cell r="J6120" t="str">
            <v/>
          </cell>
          <cell r="K6120" t="str">
            <v/>
          </cell>
          <cell r="L6120" t="str">
            <v/>
          </cell>
          <cell r="M6120" t="str">
            <v/>
          </cell>
        </row>
        <row r="6121">
          <cell r="A6121">
            <v>31102192</v>
          </cell>
          <cell r="C6121">
            <v>31102192</v>
          </cell>
          <cell r="D6121">
            <v>31102192</v>
          </cell>
          <cell r="E6121">
            <v>31102192</v>
          </cell>
          <cell r="F6121">
            <v>31102192</v>
          </cell>
          <cell r="G6121">
            <v>31102192</v>
          </cell>
          <cell r="H6121">
            <v>31102192</v>
          </cell>
          <cell r="I6121" t="str">
            <v/>
          </cell>
          <cell r="J6121" t="str">
            <v/>
          </cell>
          <cell r="K6121" t="str">
            <v/>
          </cell>
          <cell r="L6121" t="str">
            <v/>
          </cell>
          <cell r="M6121" t="str">
            <v/>
          </cell>
        </row>
        <row r="6122">
          <cell r="A6122">
            <v>31102192</v>
          </cell>
          <cell r="C6122">
            <v>31102192</v>
          </cell>
          <cell r="D6122">
            <v>31102192</v>
          </cell>
          <cell r="E6122">
            <v>31102192</v>
          </cell>
          <cell r="F6122">
            <v>31102192</v>
          </cell>
          <cell r="G6122">
            <v>31102192</v>
          </cell>
          <cell r="H6122">
            <v>31102192</v>
          </cell>
          <cell r="I6122" t="str">
            <v/>
          </cell>
          <cell r="J6122" t="str">
            <v/>
          </cell>
          <cell r="K6122" t="str">
            <v/>
          </cell>
          <cell r="L6122" t="str">
            <v/>
          </cell>
          <cell r="M6122" t="str">
            <v/>
          </cell>
        </row>
        <row r="6123">
          <cell r="A6123">
            <v>31102192</v>
          </cell>
          <cell r="C6123">
            <v>31102192</v>
          </cell>
          <cell r="D6123">
            <v>31102192</v>
          </cell>
          <cell r="E6123">
            <v>31102192</v>
          </cell>
          <cell r="F6123">
            <v>31102192</v>
          </cell>
          <cell r="G6123">
            <v>31102192</v>
          </cell>
          <cell r="H6123">
            <v>31102192</v>
          </cell>
          <cell r="I6123" t="str">
            <v/>
          </cell>
          <cell r="J6123" t="str">
            <v/>
          </cell>
          <cell r="K6123" t="str">
            <v/>
          </cell>
          <cell r="L6123" t="str">
            <v/>
          </cell>
          <cell r="M6123" t="str">
            <v/>
          </cell>
        </row>
        <row r="6124">
          <cell r="A6124">
            <v>31102192</v>
          </cell>
          <cell r="C6124">
            <v>31102192</v>
          </cell>
          <cell r="D6124">
            <v>31102192</v>
          </cell>
          <cell r="E6124">
            <v>31102192</v>
          </cell>
          <cell r="F6124">
            <v>31102192</v>
          </cell>
          <cell r="G6124">
            <v>31102192</v>
          </cell>
          <cell r="H6124">
            <v>31102192</v>
          </cell>
          <cell r="I6124" t="str">
            <v/>
          </cell>
          <cell r="J6124" t="str">
            <v/>
          </cell>
          <cell r="K6124" t="str">
            <v/>
          </cell>
          <cell r="L6124" t="str">
            <v/>
          </cell>
          <cell r="M6124" t="str">
            <v/>
          </cell>
        </row>
        <row r="6125">
          <cell r="A6125">
            <v>31102192</v>
          </cell>
          <cell r="C6125">
            <v>31102192</v>
          </cell>
          <cell r="D6125">
            <v>31102192</v>
          </cell>
          <cell r="E6125">
            <v>31102192</v>
          </cell>
          <cell r="F6125">
            <v>31102192</v>
          </cell>
          <cell r="G6125">
            <v>31102192</v>
          </cell>
          <cell r="H6125">
            <v>31102192</v>
          </cell>
          <cell r="I6125" t="str">
            <v/>
          </cell>
          <cell r="J6125" t="str">
            <v/>
          </cell>
          <cell r="K6125" t="str">
            <v/>
          </cell>
          <cell r="L6125" t="str">
            <v/>
          </cell>
          <cell r="M6125" t="str">
            <v/>
          </cell>
        </row>
        <row r="6126">
          <cell r="A6126">
            <v>31102192</v>
          </cell>
          <cell r="C6126">
            <v>31102192</v>
          </cell>
          <cell r="D6126">
            <v>31102192</v>
          </cell>
          <cell r="E6126">
            <v>31102192</v>
          </cell>
          <cell r="F6126">
            <v>31102192</v>
          </cell>
          <cell r="G6126">
            <v>31102192</v>
          </cell>
          <cell r="H6126">
            <v>31102192</v>
          </cell>
          <cell r="I6126" t="str">
            <v/>
          </cell>
          <cell r="J6126" t="str">
            <v/>
          </cell>
          <cell r="K6126" t="str">
            <v/>
          </cell>
          <cell r="L6126" t="str">
            <v/>
          </cell>
          <cell r="M6126" t="str">
            <v/>
          </cell>
        </row>
        <row r="6127">
          <cell r="A6127">
            <v>31102192</v>
          </cell>
          <cell r="C6127">
            <v>31102192</v>
          </cell>
          <cell r="D6127">
            <v>31102192</v>
          </cell>
          <cell r="E6127">
            <v>31102192</v>
          </cell>
          <cell r="F6127">
            <v>31102192</v>
          </cell>
          <cell r="G6127">
            <v>31102192</v>
          </cell>
          <cell r="H6127">
            <v>31102192</v>
          </cell>
          <cell r="I6127" t="str">
            <v/>
          </cell>
          <cell r="J6127" t="str">
            <v/>
          </cell>
          <cell r="K6127" t="str">
            <v/>
          </cell>
          <cell r="L6127" t="str">
            <v/>
          </cell>
          <cell r="M6127" t="str">
            <v/>
          </cell>
        </row>
        <row r="6128">
          <cell r="A6128">
            <v>31102192</v>
          </cell>
          <cell r="C6128">
            <v>31102192</v>
          </cell>
          <cell r="D6128">
            <v>31102192</v>
          </cell>
          <cell r="E6128">
            <v>31102192</v>
          </cell>
          <cell r="F6128">
            <v>31102192</v>
          </cell>
          <cell r="G6128">
            <v>31102192</v>
          </cell>
          <cell r="H6128">
            <v>31102192</v>
          </cell>
          <cell r="I6128" t="str">
            <v/>
          </cell>
          <cell r="J6128" t="str">
            <v/>
          </cell>
          <cell r="K6128" t="str">
            <v/>
          </cell>
          <cell r="L6128" t="str">
            <v/>
          </cell>
          <cell r="M6128" t="str">
            <v/>
          </cell>
        </row>
        <row r="6129">
          <cell r="A6129">
            <v>31102192</v>
          </cell>
          <cell r="C6129">
            <v>31102192</v>
          </cell>
          <cell r="D6129">
            <v>31102192</v>
          </cell>
          <cell r="E6129">
            <v>31102192</v>
          </cell>
          <cell r="F6129">
            <v>31102192</v>
          </cell>
          <cell r="G6129">
            <v>31102192</v>
          </cell>
          <cell r="H6129">
            <v>31102192</v>
          </cell>
          <cell r="I6129" t="str">
            <v/>
          </cell>
          <cell r="J6129" t="str">
            <v/>
          </cell>
          <cell r="K6129" t="str">
            <v/>
          </cell>
          <cell r="L6129" t="str">
            <v/>
          </cell>
          <cell r="M6129" t="str">
            <v/>
          </cell>
        </row>
        <row r="6130">
          <cell r="A6130">
            <v>31102192</v>
          </cell>
          <cell r="C6130">
            <v>31102192</v>
          </cell>
          <cell r="D6130">
            <v>31102192</v>
          </cell>
          <cell r="E6130">
            <v>31102192</v>
          </cell>
          <cell r="F6130">
            <v>31102192</v>
          </cell>
          <cell r="G6130">
            <v>31102192</v>
          </cell>
          <cell r="H6130">
            <v>31102192</v>
          </cell>
          <cell r="I6130" t="str">
            <v/>
          </cell>
          <cell r="J6130" t="str">
            <v/>
          </cell>
          <cell r="K6130" t="str">
            <v/>
          </cell>
          <cell r="L6130" t="str">
            <v/>
          </cell>
          <cell r="M6130" t="str">
            <v/>
          </cell>
        </row>
        <row r="6131">
          <cell r="A6131">
            <v>31102192</v>
          </cell>
          <cell r="C6131">
            <v>31102192</v>
          </cell>
          <cell r="D6131">
            <v>31102192</v>
          </cell>
          <cell r="E6131">
            <v>31102192</v>
          </cell>
          <cell r="F6131">
            <v>31102192</v>
          </cell>
          <cell r="G6131">
            <v>31102192</v>
          </cell>
          <cell r="H6131">
            <v>31102192</v>
          </cell>
          <cell r="I6131" t="str">
            <v/>
          </cell>
          <cell r="J6131" t="str">
            <v/>
          </cell>
          <cell r="K6131" t="str">
            <v/>
          </cell>
          <cell r="L6131" t="str">
            <v/>
          </cell>
          <cell r="M6131" t="str">
            <v/>
          </cell>
        </row>
        <row r="6132">
          <cell r="A6132">
            <v>31102192</v>
          </cell>
          <cell r="C6132">
            <v>31102192</v>
          </cell>
          <cell r="D6132">
            <v>31102192</v>
          </cell>
          <cell r="E6132">
            <v>31102192</v>
          </cell>
          <cell r="F6132">
            <v>31102192</v>
          </cell>
          <cell r="G6132">
            <v>31102192</v>
          </cell>
          <cell r="H6132">
            <v>31102192</v>
          </cell>
          <cell r="I6132" t="str">
            <v/>
          </cell>
          <cell r="J6132" t="str">
            <v/>
          </cell>
          <cell r="K6132" t="str">
            <v/>
          </cell>
          <cell r="L6132" t="str">
            <v/>
          </cell>
          <cell r="M6132" t="str">
            <v/>
          </cell>
        </row>
        <row r="6133">
          <cell r="A6133">
            <v>31102192</v>
          </cell>
          <cell r="C6133">
            <v>31102192</v>
          </cell>
          <cell r="D6133">
            <v>31102192</v>
          </cell>
          <cell r="E6133">
            <v>31102192</v>
          </cell>
          <cell r="F6133">
            <v>31102192</v>
          </cell>
          <cell r="G6133">
            <v>31102192</v>
          </cell>
          <cell r="H6133">
            <v>31102192</v>
          </cell>
          <cell r="I6133" t="str">
            <v/>
          </cell>
          <cell r="J6133" t="str">
            <v/>
          </cell>
          <cell r="K6133" t="str">
            <v/>
          </cell>
          <cell r="L6133" t="str">
            <v/>
          </cell>
          <cell r="M6133" t="str">
            <v/>
          </cell>
        </row>
        <row r="6134">
          <cell r="A6134">
            <v>31102192</v>
          </cell>
          <cell r="C6134">
            <v>31102192</v>
          </cell>
          <cell r="D6134">
            <v>31102192</v>
          </cell>
          <cell r="E6134">
            <v>31102192</v>
          </cell>
          <cell r="F6134">
            <v>31102192</v>
          </cell>
          <cell r="G6134">
            <v>31102192</v>
          </cell>
          <cell r="H6134">
            <v>31102192</v>
          </cell>
          <cell r="I6134" t="str">
            <v/>
          </cell>
          <cell r="J6134" t="str">
            <v/>
          </cell>
          <cell r="K6134" t="str">
            <v/>
          </cell>
          <cell r="L6134" t="str">
            <v/>
          </cell>
          <cell r="M6134" t="str">
            <v/>
          </cell>
        </row>
        <row r="6135">
          <cell r="A6135">
            <v>31102192</v>
          </cell>
          <cell r="C6135">
            <v>31102192</v>
          </cell>
          <cell r="D6135">
            <v>31102192</v>
          </cell>
          <cell r="E6135">
            <v>31102192</v>
          </cell>
          <cell r="F6135">
            <v>31102192</v>
          </cell>
          <cell r="G6135">
            <v>31102192</v>
          </cell>
          <cell r="H6135">
            <v>31102192</v>
          </cell>
          <cell r="I6135" t="str">
            <v/>
          </cell>
          <cell r="J6135" t="str">
            <v/>
          </cell>
          <cell r="K6135" t="str">
            <v/>
          </cell>
          <cell r="L6135" t="str">
            <v/>
          </cell>
          <cell r="M6135" t="str">
            <v/>
          </cell>
        </row>
        <row r="6136">
          <cell r="A6136">
            <v>31102192</v>
          </cell>
          <cell r="C6136">
            <v>31102192</v>
          </cell>
          <cell r="D6136">
            <v>31102192</v>
          </cell>
          <cell r="E6136">
            <v>31102192</v>
          </cell>
          <cell r="F6136">
            <v>31102192</v>
          </cell>
          <cell r="G6136">
            <v>31102192</v>
          </cell>
          <cell r="H6136">
            <v>31102192</v>
          </cell>
          <cell r="I6136" t="str">
            <v/>
          </cell>
          <cell r="J6136" t="str">
            <v/>
          </cell>
          <cell r="K6136" t="str">
            <v/>
          </cell>
          <cell r="L6136" t="str">
            <v/>
          </cell>
          <cell r="M6136" t="str">
            <v/>
          </cell>
        </row>
        <row r="6137">
          <cell r="A6137">
            <v>31102192</v>
          </cell>
          <cell r="C6137">
            <v>31102192</v>
          </cell>
          <cell r="D6137">
            <v>31102192</v>
          </cell>
          <cell r="E6137">
            <v>31102192</v>
          </cell>
          <cell r="F6137">
            <v>31102192</v>
          </cell>
          <cell r="G6137">
            <v>31102192</v>
          </cell>
          <cell r="H6137">
            <v>31102192</v>
          </cell>
          <cell r="I6137" t="str">
            <v/>
          </cell>
          <cell r="J6137" t="str">
            <v/>
          </cell>
          <cell r="K6137" t="str">
            <v/>
          </cell>
          <cell r="L6137" t="str">
            <v/>
          </cell>
          <cell r="M6137" t="str">
            <v/>
          </cell>
        </row>
        <row r="6138">
          <cell r="A6138">
            <v>31102192</v>
          </cell>
          <cell r="C6138">
            <v>31102192</v>
          </cell>
          <cell r="D6138">
            <v>31102192</v>
          </cell>
          <cell r="E6138">
            <v>31102192</v>
          </cell>
          <cell r="F6138">
            <v>31102192</v>
          </cell>
          <cell r="G6138">
            <v>31102192</v>
          </cell>
          <cell r="H6138">
            <v>31102192</v>
          </cell>
          <cell r="I6138" t="str">
            <v/>
          </cell>
          <cell r="J6138" t="str">
            <v/>
          </cell>
          <cell r="K6138" t="str">
            <v/>
          </cell>
          <cell r="L6138" t="str">
            <v/>
          </cell>
          <cell r="M6138" t="str">
            <v/>
          </cell>
        </row>
        <row r="6139">
          <cell r="A6139">
            <v>31102192</v>
          </cell>
          <cell r="C6139">
            <v>31102192</v>
          </cell>
          <cell r="D6139">
            <v>31102192</v>
          </cell>
          <cell r="E6139">
            <v>31102192</v>
          </cell>
          <cell r="F6139">
            <v>31102192</v>
          </cell>
          <cell r="G6139">
            <v>31102192</v>
          </cell>
          <cell r="H6139">
            <v>31102192</v>
          </cell>
          <cell r="I6139" t="str">
            <v/>
          </cell>
          <cell r="J6139" t="str">
            <v/>
          </cell>
          <cell r="K6139" t="str">
            <v/>
          </cell>
          <cell r="L6139" t="str">
            <v/>
          </cell>
          <cell r="M6139" t="str">
            <v/>
          </cell>
        </row>
        <row r="6140">
          <cell r="A6140">
            <v>31102192</v>
          </cell>
          <cell r="C6140">
            <v>31102192</v>
          </cell>
          <cell r="D6140">
            <v>31102192</v>
          </cell>
          <cell r="E6140">
            <v>31102192</v>
          </cell>
          <cell r="F6140">
            <v>31102192</v>
          </cell>
          <cell r="G6140">
            <v>31102192</v>
          </cell>
          <cell r="H6140">
            <v>31102192</v>
          </cell>
          <cell r="I6140" t="str">
            <v/>
          </cell>
          <cell r="J6140" t="str">
            <v/>
          </cell>
          <cell r="K6140" t="str">
            <v/>
          </cell>
          <cell r="L6140" t="str">
            <v/>
          </cell>
          <cell r="M6140" t="str">
            <v/>
          </cell>
        </row>
        <row r="6141">
          <cell r="A6141">
            <v>31102192</v>
          </cell>
          <cell r="C6141">
            <v>31102192</v>
          </cell>
          <cell r="D6141">
            <v>31102192</v>
          </cell>
          <cell r="E6141">
            <v>31102192</v>
          </cell>
          <cell r="F6141">
            <v>31102192</v>
          </cell>
          <cell r="G6141">
            <v>31102192</v>
          </cell>
          <cell r="H6141">
            <v>31102192</v>
          </cell>
          <cell r="I6141" t="str">
            <v/>
          </cell>
          <cell r="J6141" t="str">
            <v/>
          </cell>
          <cell r="K6141" t="str">
            <v/>
          </cell>
          <cell r="L6141" t="str">
            <v/>
          </cell>
          <cell r="M6141" t="str">
            <v/>
          </cell>
        </row>
        <row r="6142">
          <cell r="A6142">
            <v>31102192</v>
          </cell>
          <cell r="C6142">
            <v>31102192</v>
          </cell>
          <cell r="D6142">
            <v>31102192</v>
          </cell>
          <cell r="E6142">
            <v>31102192</v>
          </cell>
          <cell r="F6142">
            <v>31102192</v>
          </cell>
          <cell r="G6142">
            <v>31102192</v>
          </cell>
          <cell r="H6142">
            <v>31102192</v>
          </cell>
          <cell r="I6142" t="str">
            <v/>
          </cell>
          <cell r="J6142" t="str">
            <v/>
          </cell>
          <cell r="K6142" t="str">
            <v/>
          </cell>
          <cell r="L6142" t="str">
            <v/>
          </cell>
          <cell r="M6142" t="str">
            <v/>
          </cell>
        </row>
        <row r="6143">
          <cell r="A6143">
            <v>31102192</v>
          </cell>
          <cell r="C6143">
            <v>31102192</v>
          </cell>
          <cell r="D6143">
            <v>31102192</v>
          </cell>
          <cell r="E6143">
            <v>31102192</v>
          </cell>
          <cell r="F6143">
            <v>31102192</v>
          </cell>
          <cell r="G6143">
            <v>31102192</v>
          </cell>
          <cell r="H6143">
            <v>31102192</v>
          </cell>
          <cell r="I6143" t="str">
            <v/>
          </cell>
          <cell r="J6143" t="str">
            <v/>
          </cell>
          <cell r="K6143" t="str">
            <v/>
          </cell>
          <cell r="L6143" t="str">
            <v/>
          </cell>
          <cell r="M6143" t="str">
            <v/>
          </cell>
        </row>
        <row r="6144">
          <cell r="A6144">
            <v>31102192</v>
          </cell>
          <cell r="C6144">
            <v>31102192</v>
          </cell>
          <cell r="D6144">
            <v>31102192</v>
          </cell>
          <cell r="E6144">
            <v>31102192</v>
          </cell>
          <cell r="F6144">
            <v>31102192</v>
          </cell>
          <cell r="G6144">
            <v>31102192</v>
          </cell>
          <cell r="H6144">
            <v>31102192</v>
          </cell>
          <cell r="I6144" t="str">
            <v/>
          </cell>
          <cell r="J6144" t="str">
            <v/>
          </cell>
          <cell r="K6144" t="str">
            <v/>
          </cell>
          <cell r="L6144" t="str">
            <v/>
          </cell>
          <cell r="M6144" t="str">
            <v/>
          </cell>
        </row>
        <row r="6145">
          <cell r="A6145">
            <v>31102192</v>
          </cell>
          <cell r="C6145">
            <v>31102192</v>
          </cell>
          <cell r="D6145">
            <v>31102192</v>
          </cell>
          <cell r="E6145">
            <v>31102192</v>
          </cell>
          <cell r="F6145">
            <v>31102192</v>
          </cell>
          <cell r="G6145">
            <v>31102192</v>
          </cell>
          <cell r="H6145">
            <v>31102192</v>
          </cell>
          <cell r="I6145" t="str">
            <v/>
          </cell>
          <cell r="J6145" t="str">
            <v/>
          </cell>
          <cell r="K6145" t="str">
            <v/>
          </cell>
          <cell r="L6145" t="str">
            <v/>
          </cell>
          <cell r="M6145" t="str">
            <v/>
          </cell>
        </row>
        <row r="6146">
          <cell r="A6146">
            <v>31102192</v>
          </cell>
          <cell r="C6146">
            <v>31102192</v>
          </cell>
          <cell r="D6146">
            <v>31102192</v>
          </cell>
          <cell r="E6146">
            <v>31102192</v>
          </cell>
          <cell r="F6146">
            <v>31102192</v>
          </cell>
          <cell r="G6146">
            <v>31102192</v>
          </cell>
          <cell r="H6146">
            <v>31102192</v>
          </cell>
          <cell r="I6146" t="str">
            <v/>
          </cell>
          <cell r="J6146" t="str">
            <v/>
          </cell>
          <cell r="K6146" t="str">
            <v/>
          </cell>
          <cell r="L6146" t="str">
            <v/>
          </cell>
          <cell r="M6146" t="str">
            <v/>
          </cell>
        </row>
        <row r="6147">
          <cell r="A6147">
            <v>31102192</v>
          </cell>
          <cell r="C6147">
            <v>31102192</v>
          </cell>
          <cell r="D6147">
            <v>31102192</v>
          </cell>
          <cell r="E6147">
            <v>31102192</v>
          </cell>
          <cell r="F6147">
            <v>31102192</v>
          </cell>
          <cell r="G6147">
            <v>31102192</v>
          </cell>
          <cell r="H6147">
            <v>31102192</v>
          </cell>
          <cell r="I6147" t="str">
            <v/>
          </cell>
          <cell r="J6147" t="str">
            <v/>
          </cell>
          <cell r="K6147" t="str">
            <v/>
          </cell>
          <cell r="L6147" t="str">
            <v/>
          </cell>
          <cell r="M6147" t="str">
            <v/>
          </cell>
        </row>
        <row r="6148">
          <cell r="A6148">
            <v>31102192</v>
          </cell>
          <cell r="C6148">
            <v>31102192</v>
          </cell>
          <cell r="D6148">
            <v>31102192</v>
          </cell>
          <cell r="E6148">
            <v>31102192</v>
          </cell>
          <cell r="F6148">
            <v>31102192</v>
          </cell>
          <cell r="G6148">
            <v>31102192</v>
          </cell>
          <cell r="H6148">
            <v>31102192</v>
          </cell>
          <cell r="I6148" t="str">
            <v/>
          </cell>
          <cell r="J6148" t="str">
            <v/>
          </cell>
          <cell r="K6148" t="str">
            <v/>
          </cell>
          <cell r="L6148" t="str">
            <v/>
          </cell>
          <cell r="M6148" t="str">
            <v/>
          </cell>
        </row>
        <row r="6149">
          <cell r="A6149">
            <v>31102192</v>
          </cell>
          <cell r="C6149">
            <v>31102192</v>
          </cell>
          <cell r="D6149">
            <v>31102192</v>
          </cell>
          <cell r="E6149">
            <v>31102192</v>
          </cell>
          <cell r="F6149">
            <v>31102192</v>
          </cell>
          <cell r="G6149">
            <v>31102192</v>
          </cell>
          <cell r="H6149">
            <v>31102192</v>
          </cell>
          <cell r="I6149" t="str">
            <v/>
          </cell>
          <cell r="J6149" t="str">
            <v/>
          </cell>
          <cell r="K6149" t="str">
            <v/>
          </cell>
          <cell r="L6149" t="str">
            <v/>
          </cell>
          <cell r="M6149" t="str">
            <v/>
          </cell>
        </row>
        <row r="6150">
          <cell r="A6150">
            <v>31102192</v>
          </cell>
          <cell r="C6150">
            <v>31102192</v>
          </cell>
          <cell r="D6150">
            <v>31102192</v>
          </cell>
          <cell r="E6150">
            <v>31102192</v>
          </cell>
          <cell r="F6150">
            <v>31102192</v>
          </cell>
          <cell r="G6150">
            <v>31102192</v>
          </cell>
          <cell r="H6150">
            <v>31102192</v>
          </cell>
          <cell r="I6150" t="str">
            <v/>
          </cell>
          <cell r="J6150" t="str">
            <v/>
          </cell>
          <cell r="K6150" t="str">
            <v/>
          </cell>
          <cell r="L6150" t="str">
            <v/>
          </cell>
          <cell r="M6150" t="str">
            <v/>
          </cell>
        </row>
        <row r="6151">
          <cell r="A6151">
            <v>31102192</v>
          </cell>
          <cell r="C6151">
            <v>31102192</v>
          </cell>
          <cell r="D6151">
            <v>31102192</v>
          </cell>
          <cell r="E6151">
            <v>31102192</v>
          </cell>
          <cell r="F6151">
            <v>31102192</v>
          </cell>
          <cell r="G6151">
            <v>31102192</v>
          </cell>
          <cell r="H6151">
            <v>31102192</v>
          </cell>
          <cell r="I6151" t="str">
            <v/>
          </cell>
          <cell r="J6151" t="str">
            <v/>
          </cell>
          <cell r="K6151" t="str">
            <v/>
          </cell>
          <cell r="L6151" t="str">
            <v/>
          </cell>
          <cell r="M6151" t="str">
            <v/>
          </cell>
        </row>
        <row r="6152">
          <cell r="A6152">
            <v>31102192</v>
          </cell>
          <cell r="C6152">
            <v>31102192</v>
          </cell>
          <cell r="D6152">
            <v>31102192</v>
          </cell>
          <cell r="E6152">
            <v>31102192</v>
          </cell>
          <cell r="F6152">
            <v>31102192</v>
          </cell>
          <cell r="G6152">
            <v>31102192</v>
          </cell>
          <cell r="H6152">
            <v>31102192</v>
          </cell>
          <cell r="I6152" t="str">
            <v/>
          </cell>
          <cell r="J6152" t="str">
            <v/>
          </cell>
          <cell r="K6152" t="str">
            <v/>
          </cell>
          <cell r="L6152" t="str">
            <v/>
          </cell>
          <cell r="M6152" t="str">
            <v/>
          </cell>
        </row>
        <row r="6153">
          <cell r="A6153">
            <v>31102192</v>
          </cell>
          <cell r="C6153">
            <v>31102192</v>
          </cell>
          <cell r="D6153">
            <v>31102192</v>
          </cell>
          <cell r="E6153">
            <v>31102192</v>
          </cell>
          <cell r="F6153">
            <v>31102192</v>
          </cell>
          <cell r="G6153">
            <v>31102192</v>
          </cell>
          <cell r="H6153">
            <v>31102192</v>
          </cell>
          <cell r="I6153" t="str">
            <v/>
          </cell>
          <cell r="J6153" t="str">
            <v/>
          </cell>
          <cell r="K6153" t="str">
            <v/>
          </cell>
          <cell r="L6153" t="str">
            <v/>
          </cell>
          <cell r="M6153" t="str">
            <v/>
          </cell>
        </row>
        <row r="6154">
          <cell r="A6154">
            <v>31102192</v>
          </cell>
          <cell r="C6154">
            <v>31102192</v>
          </cell>
          <cell r="D6154">
            <v>31102192</v>
          </cell>
          <cell r="E6154">
            <v>31102192</v>
          </cell>
          <cell r="F6154">
            <v>31102192</v>
          </cell>
          <cell r="G6154">
            <v>31102192</v>
          </cell>
          <cell r="H6154">
            <v>31102192</v>
          </cell>
          <cell r="I6154" t="str">
            <v/>
          </cell>
          <cell r="J6154" t="str">
            <v/>
          </cell>
          <cell r="K6154" t="str">
            <v/>
          </cell>
          <cell r="L6154" t="str">
            <v/>
          </cell>
          <cell r="M6154" t="str">
            <v/>
          </cell>
        </row>
        <row r="6155">
          <cell r="A6155">
            <v>31102192</v>
          </cell>
          <cell r="C6155">
            <v>31102192</v>
          </cell>
          <cell r="D6155">
            <v>31102192</v>
          </cell>
          <cell r="E6155">
            <v>31102192</v>
          </cell>
          <cell r="F6155">
            <v>31102192</v>
          </cell>
          <cell r="G6155">
            <v>31102192</v>
          </cell>
          <cell r="H6155">
            <v>31102192</v>
          </cell>
          <cell r="I6155" t="str">
            <v/>
          </cell>
          <cell r="J6155" t="str">
            <v/>
          </cell>
          <cell r="K6155" t="str">
            <v/>
          </cell>
          <cell r="L6155" t="str">
            <v/>
          </cell>
          <cell r="M6155" t="str">
            <v/>
          </cell>
        </row>
        <row r="6156">
          <cell r="A6156">
            <v>31102192</v>
          </cell>
          <cell r="C6156">
            <v>31102192</v>
          </cell>
          <cell r="D6156">
            <v>31102192</v>
          </cell>
          <cell r="E6156">
            <v>31102192</v>
          </cell>
          <cell r="F6156">
            <v>31102192</v>
          </cell>
          <cell r="G6156">
            <v>31102192</v>
          </cell>
          <cell r="H6156">
            <v>31102192</v>
          </cell>
          <cell r="I6156" t="str">
            <v/>
          </cell>
          <cell r="J6156" t="str">
            <v/>
          </cell>
          <cell r="K6156" t="str">
            <v/>
          </cell>
          <cell r="L6156" t="str">
            <v/>
          </cell>
          <cell r="M6156" t="str">
            <v/>
          </cell>
        </row>
        <row r="6157">
          <cell r="A6157">
            <v>31102192</v>
          </cell>
          <cell r="C6157">
            <v>31102192</v>
          </cell>
          <cell r="D6157">
            <v>31102192</v>
          </cell>
          <cell r="E6157">
            <v>31102192</v>
          </cell>
          <cell r="F6157">
            <v>31102192</v>
          </cell>
          <cell r="G6157">
            <v>31102192</v>
          </cell>
          <cell r="H6157">
            <v>31102192</v>
          </cell>
          <cell r="I6157" t="str">
            <v/>
          </cell>
          <cell r="J6157" t="str">
            <v/>
          </cell>
          <cell r="K6157" t="str">
            <v/>
          </cell>
          <cell r="L6157" t="str">
            <v/>
          </cell>
          <cell r="M6157" t="str">
            <v/>
          </cell>
        </row>
        <row r="6158">
          <cell r="A6158">
            <v>31102192</v>
          </cell>
          <cell r="C6158">
            <v>31102192</v>
          </cell>
          <cell r="D6158">
            <v>31102192</v>
          </cell>
          <cell r="E6158">
            <v>31102192</v>
          </cell>
          <cell r="F6158">
            <v>31102192</v>
          </cell>
          <cell r="G6158">
            <v>31102192</v>
          </cell>
          <cell r="H6158">
            <v>31102192</v>
          </cell>
          <cell r="I6158" t="str">
            <v/>
          </cell>
          <cell r="J6158" t="str">
            <v/>
          </cell>
          <cell r="K6158" t="str">
            <v/>
          </cell>
          <cell r="L6158" t="str">
            <v/>
          </cell>
          <cell r="M6158" t="str">
            <v/>
          </cell>
        </row>
        <row r="6159">
          <cell r="A6159">
            <v>31102192</v>
          </cell>
          <cell r="C6159">
            <v>31102192</v>
          </cell>
          <cell r="D6159">
            <v>31102192</v>
          </cell>
          <cell r="E6159">
            <v>31102192</v>
          </cell>
          <cell r="F6159">
            <v>31102192</v>
          </cell>
          <cell r="G6159">
            <v>31102192</v>
          </cell>
          <cell r="H6159">
            <v>31102192</v>
          </cell>
          <cell r="I6159" t="str">
            <v/>
          </cell>
          <cell r="J6159" t="str">
            <v/>
          </cell>
          <cell r="K6159" t="str">
            <v/>
          </cell>
          <cell r="L6159" t="str">
            <v/>
          </cell>
          <cell r="M6159" t="str">
            <v/>
          </cell>
        </row>
        <row r="6160">
          <cell r="A6160">
            <v>31102192</v>
          </cell>
          <cell r="C6160">
            <v>31102192</v>
          </cell>
          <cell r="D6160">
            <v>31102192</v>
          </cell>
          <cell r="E6160">
            <v>31102192</v>
          </cell>
          <cell r="F6160">
            <v>31102192</v>
          </cell>
          <cell r="G6160">
            <v>31102192</v>
          </cell>
          <cell r="H6160">
            <v>31102192</v>
          </cell>
          <cell r="I6160" t="str">
            <v/>
          </cell>
          <cell r="J6160" t="str">
            <v/>
          </cell>
          <cell r="K6160" t="str">
            <v/>
          </cell>
          <cell r="L6160" t="str">
            <v/>
          </cell>
          <cell r="M6160" t="str">
            <v/>
          </cell>
        </row>
        <row r="6161">
          <cell r="A6161">
            <v>31102192</v>
          </cell>
          <cell r="C6161">
            <v>31102192</v>
          </cell>
          <cell r="D6161">
            <v>31102192</v>
          </cell>
          <cell r="E6161">
            <v>31102192</v>
          </cell>
          <cell r="F6161">
            <v>31102192</v>
          </cell>
          <cell r="G6161">
            <v>31102192</v>
          </cell>
          <cell r="H6161">
            <v>31102192</v>
          </cell>
          <cell r="I6161" t="str">
            <v/>
          </cell>
          <cell r="J6161" t="str">
            <v/>
          </cell>
          <cell r="K6161" t="str">
            <v/>
          </cell>
          <cell r="L6161" t="str">
            <v/>
          </cell>
          <cell r="M6161" t="str">
            <v/>
          </cell>
        </row>
        <row r="6162">
          <cell r="A6162">
            <v>31102192</v>
          </cell>
          <cell r="C6162">
            <v>31102192</v>
          </cell>
          <cell r="D6162">
            <v>31102192</v>
          </cell>
          <cell r="E6162">
            <v>31102192</v>
          </cell>
          <cell r="F6162">
            <v>31102192</v>
          </cell>
          <cell r="G6162">
            <v>31102192</v>
          </cell>
          <cell r="H6162">
            <v>31102192</v>
          </cell>
          <cell r="I6162" t="str">
            <v/>
          </cell>
          <cell r="J6162" t="str">
            <v/>
          </cell>
          <cell r="K6162" t="str">
            <v/>
          </cell>
          <cell r="L6162" t="str">
            <v/>
          </cell>
          <cell r="M6162" t="str">
            <v/>
          </cell>
        </row>
        <row r="6163">
          <cell r="A6163">
            <v>31102192</v>
          </cell>
          <cell r="C6163">
            <v>31102192</v>
          </cell>
          <cell r="D6163">
            <v>31102192</v>
          </cell>
          <cell r="E6163">
            <v>31102192</v>
          </cell>
          <cell r="F6163">
            <v>31102192</v>
          </cell>
          <cell r="G6163">
            <v>31102192</v>
          </cell>
          <cell r="H6163">
            <v>31102192</v>
          </cell>
          <cell r="I6163" t="str">
            <v/>
          </cell>
          <cell r="J6163" t="str">
            <v/>
          </cell>
          <cell r="K6163" t="str">
            <v/>
          </cell>
          <cell r="L6163" t="str">
            <v/>
          </cell>
          <cell r="M6163" t="str">
            <v/>
          </cell>
        </row>
        <row r="6164">
          <cell r="A6164">
            <v>31102192</v>
          </cell>
          <cell r="C6164">
            <v>31102192</v>
          </cell>
          <cell r="D6164">
            <v>31102192</v>
          </cell>
          <cell r="E6164">
            <v>31102192</v>
          </cell>
          <cell r="F6164">
            <v>31102192</v>
          </cell>
          <cell r="G6164">
            <v>31102192</v>
          </cell>
          <cell r="H6164">
            <v>31102192</v>
          </cell>
          <cell r="I6164" t="str">
            <v/>
          </cell>
          <cell r="J6164" t="str">
            <v/>
          </cell>
          <cell r="K6164" t="str">
            <v/>
          </cell>
          <cell r="L6164" t="str">
            <v/>
          </cell>
          <cell r="M6164" t="str">
            <v/>
          </cell>
        </row>
        <row r="6165">
          <cell r="A6165">
            <v>31102192</v>
          </cell>
          <cell r="C6165">
            <v>31102192</v>
          </cell>
          <cell r="D6165">
            <v>31102192</v>
          </cell>
          <cell r="E6165">
            <v>31102192</v>
          </cell>
          <cell r="F6165">
            <v>31102192</v>
          </cell>
          <cell r="G6165">
            <v>31102192</v>
          </cell>
          <cell r="H6165">
            <v>31102192</v>
          </cell>
          <cell r="I6165" t="str">
            <v/>
          </cell>
          <cell r="J6165" t="str">
            <v/>
          </cell>
          <cell r="K6165" t="str">
            <v/>
          </cell>
          <cell r="L6165" t="str">
            <v/>
          </cell>
          <cell r="M6165" t="str">
            <v/>
          </cell>
        </row>
        <row r="6166">
          <cell r="A6166">
            <v>31102192</v>
          </cell>
          <cell r="C6166">
            <v>31102192</v>
          </cell>
          <cell r="D6166">
            <v>31102192</v>
          </cell>
          <cell r="E6166">
            <v>31102192</v>
          </cell>
          <cell r="F6166">
            <v>31102192</v>
          </cell>
          <cell r="G6166">
            <v>31102192</v>
          </cell>
          <cell r="H6166">
            <v>31102192</v>
          </cell>
          <cell r="I6166" t="str">
            <v/>
          </cell>
          <cell r="J6166" t="str">
            <v/>
          </cell>
          <cell r="K6166" t="str">
            <v/>
          </cell>
          <cell r="L6166" t="str">
            <v/>
          </cell>
          <cell r="M6166" t="str">
            <v/>
          </cell>
        </row>
        <row r="6167">
          <cell r="A6167">
            <v>31102192</v>
          </cell>
          <cell r="C6167">
            <v>31102192</v>
          </cell>
          <cell r="D6167">
            <v>31102192</v>
          </cell>
          <cell r="E6167">
            <v>31102192</v>
          </cell>
          <cell r="F6167">
            <v>31102192</v>
          </cell>
          <cell r="G6167">
            <v>31102192</v>
          </cell>
          <cell r="H6167">
            <v>31102192</v>
          </cell>
          <cell r="I6167" t="str">
            <v/>
          </cell>
          <cell r="J6167" t="str">
            <v/>
          </cell>
          <cell r="K6167" t="str">
            <v/>
          </cell>
          <cell r="L6167" t="str">
            <v/>
          </cell>
          <cell r="M6167" t="str">
            <v/>
          </cell>
        </row>
        <row r="6168">
          <cell r="A6168">
            <v>31102192</v>
          </cell>
          <cell r="C6168">
            <v>31102192</v>
          </cell>
          <cell r="D6168">
            <v>31102192</v>
          </cell>
          <cell r="E6168">
            <v>31102192</v>
          </cell>
          <cell r="F6168">
            <v>31102192</v>
          </cell>
          <cell r="G6168">
            <v>31102192</v>
          </cell>
          <cell r="H6168">
            <v>31102192</v>
          </cell>
          <cell r="I6168" t="str">
            <v/>
          </cell>
          <cell r="J6168" t="str">
            <v/>
          </cell>
          <cell r="K6168" t="str">
            <v/>
          </cell>
          <cell r="L6168" t="str">
            <v/>
          </cell>
          <cell r="M6168" t="str">
            <v/>
          </cell>
        </row>
        <row r="6169">
          <cell r="A6169">
            <v>31102192</v>
          </cell>
          <cell r="C6169">
            <v>31102192</v>
          </cell>
          <cell r="D6169">
            <v>31102192</v>
          </cell>
          <cell r="E6169">
            <v>31102192</v>
          </cell>
          <cell r="F6169">
            <v>31102192</v>
          </cell>
          <cell r="G6169">
            <v>31102192</v>
          </cell>
          <cell r="H6169">
            <v>31102192</v>
          </cell>
          <cell r="I6169" t="str">
            <v/>
          </cell>
          <cell r="J6169" t="str">
            <v/>
          </cell>
          <cell r="K6169" t="str">
            <v/>
          </cell>
          <cell r="L6169" t="str">
            <v/>
          </cell>
          <cell r="M6169" t="str">
            <v/>
          </cell>
        </row>
        <row r="6170">
          <cell r="A6170">
            <v>31102192</v>
          </cell>
          <cell r="C6170">
            <v>31102192</v>
          </cell>
          <cell r="D6170">
            <v>31102192</v>
          </cell>
          <cell r="E6170">
            <v>31102192</v>
          </cell>
          <cell r="F6170">
            <v>31102192</v>
          </cell>
          <cell r="G6170">
            <v>31102192</v>
          </cell>
          <cell r="H6170">
            <v>31102192</v>
          </cell>
          <cell r="I6170" t="str">
            <v/>
          </cell>
          <cell r="J6170" t="str">
            <v/>
          </cell>
          <cell r="K6170" t="str">
            <v/>
          </cell>
          <cell r="L6170" t="str">
            <v/>
          </cell>
          <cell r="M6170" t="str">
            <v/>
          </cell>
        </row>
        <row r="6171">
          <cell r="A6171">
            <v>31102192</v>
          </cell>
          <cell r="C6171">
            <v>31102192</v>
          </cell>
          <cell r="D6171">
            <v>31102192</v>
          </cell>
          <cell r="E6171">
            <v>31102192</v>
          </cell>
          <cell r="F6171">
            <v>31102192</v>
          </cell>
          <cell r="G6171">
            <v>31102192</v>
          </cell>
          <cell r="H6171">
            <v>31102192</v>
          </cell>
          <cell r="I6171" t="str">
            <v/>
          </cell>
          <cell r="J6171" t="str">
            <v/>
          </cell>
          <cell r="K6171" t="str">
            <v/>
          </cell>
          <cell r="L6171" t="str">
            <v/>
          </cell>
          <cell r="M6171" t="str">
            <v/>
          </cell>
        </row>
        <row r="6172">
          <cell r="A6172">
            <v>31102192</v>
          </cell>
          <cell r="C6172">
            <v>31102192</v>
          </cell>
          <cell r="D6172">
            <v>31102192</v>
          </cell>
          <cell r="E6172">
            <v>31102192</v>
          </cell>
          <cell r="F6172">
            <v>31102192</v>
          </cell>
          <cell r="G6172">
            <v>31102192</v>
          </cell>
          <cell r="H6172">
            <v>31102192</v>
          </cell>
          <cell r="I6172" t="str">
            <v/>
          </cell>
          <cell r="J6172" t="str">
            <v/>
          </cell>
          <cell r="K6172" t="str">
            <v/>
          </cell>
          <cell r="L6172" t="str">
            <v/>
          </cell>
          <cell r="M6172" t="str">
            <v/>
          </cell>
        </row>
        <row r="6173">
          <cell r="A6173">
            <v>31102192</v>
          </cell>
          <cell r="C6173">
            <v>31102192</v>
          </cell>
          <cell r="D6173">
            <v>31102192</v>
          </cell>
          <cell r="E6173">
            <v>31102192</v>
          </cell>
          <cell r="F6173">
            <v>31102192</v>
          </cell>
          <cell r="G6173">
            <v>31102192</v>
          </cell>
          <cell r="H6173">
            <v>31102192</v>
          </cell>
          <cell r="I6173" t="str">
            <v/>
          </cell>
          <cell r="J6173" t="str">
            <v/>
          </cell>
          <cell r="K6173" t="str">
            <v/>
          </cell>
          <cell r="L6173" t="str">
            <v/>
          </cell>
          <cell r="M6173" t="str">
            <v/>
          </cell>
        </row>
        <row r="6174">
          <cell r="A6174">
            <v>31102192</v>
          </cell>
          <cell r="C6174">
            <v>31102192</v>
          </cell>
          <cell r="D6174">
            <v>31102192</v>
          </cell>
          <cell r="E6174">
            <v>31102192</v>
          </cell>
          <cell r="F6174">
            <v>31102192</v>
          </cell>
          <cell r="G6174">
            <v>31102192</v>
          </cell>
          <cell r="H6174">
            <v>31102192</v>
          </cell>
          <cell r="I6174" t="str">
            <v/>
          </cell>
          <cell r="J6174" t="str">
            <v/>
          </cell>
          <cell r="K6174" t="str">
            <v/>
          </cell>
          <cell r="L6174" t="str">
            <v/>
          </cell>
          <cell r="M6174" t="str">
            <v/>
          </cell>
        </row>
        <row r="6175">
          <cell r="A6175">
            <v>31102192</v>
          </cell>
          <cell r="C6175">
            <v>31102192</v>
          </cell>
          <cell r="D6175">
            <v>31102192</v>
          </cell>
          <cell r="E6175">
            <v>31102192</v>
          </cell>
          <cell r="F6175">
            <v>31102192</v>
          </cell>
          <cell r="G6175">
            <v>31102192</v>
          </cell>
          <cell r="H6175">
            <v>31102192</v>
          </cell>
          <cell r="I6175" t="str">
            <v/>
          </cell>
          <cell r="J6175" t="str">
            <v/>
          </cell>
          <cell r="K6175" t="str">
            <v/>
          </cell>
          <cell r="L6175" t="str">
            <v/>
          </cell>
          <cell r="M6175" t="str">
            <v/>
          </cell>
        </row>
        <row r="6176">
          <cell r="A6176">
            <v>31102192</v>
          </cell>
          <cell r="C6176">
            <v>31102192</v>
          </cell>
          <cell r="D6176">
            <v>31102192</v>
          </cell>
          <cell r="E6176">
            <v>31102192</v>
          </cell>
          <cell r="F6176">
            <v>31102192</v>
          </cell>
          <cell r="G6176">
            <v>31102192</v>
          </cell>
          <cell r="H6176">
            <v>31102192</v>
          </cell>
          <cell r="I6176" t="str">
            <v/>
          </cell>
          <cell r="J6176" t="str">
            <v/>
          </cell>
          <cell r="K6176" t="str">
            <v/>
          </cell>
          <cell r="L6176" t="str">
            <v/>
          </cell>
          <cell r="M6176" t="str">
            <v/>
          </cell>
        </row>
        <row r="6177">
          <cell r="A6177">
            <v>31102192</v>
          </cell>
          <cell r="C6177">
            <v>31102192</v>
          </cell>
          <cell r="D6177">
            <v>31102192</v>
          </cell>
          <cell r="E6177">
            <v>31102192</v>
          </cell>
          <cell r="F6177">
            <v>31102192</v>
          </cell>
          <cell r="G6177">
            <v>31102192</v>
          </cell>
          <cell r="H6177">
            <v>31102192</v>
          </cell>
          <cell r="I6177" t="str">
            <v/>
          </cell>
          <cell r="J6177" t="str">
            <v/>
          </cell>
          <cell r="K6177" t="str">
            <v/>
          </cell>
          <cell r="L6177" t="str">
            <v/>
          </cell>
          <cell r="M6177" t="str">
            <v/>
          </cell>
        </row>
        <row r="6178">
          <cell r="A6178">
            <v>31102192</v>
          </cell>
          <cell r="C6178">
            <v>31102192</v>
          </cell>
          <cell r="D6178">
            <v>31102192</v>
          </cell>
          <cell r="E6178">
            <v>31102192</v>
          </cell>
          <cell r="F6178">
            <v>31102192</v>
          </cell>
          <cell r="G6178">
            <v>31102192</v>
          </cell>
          <cell r="H6178">
            <v>31102192</v>
          </cell>
          <cell r="I6178" t="str">
            <v/>
          </cell>
          <cell r="J6178" t="str">
            <v/>
          </cell>
          <cell r="K6178" t="str">
            <v/>
          </cell>
          <cell r="L6178" t="str">
            <v/>
          </cell>
          <cell r="M6178" t="str">
            <v/>
          </cell>
        </row>
        <row r="6179">
          <cell r="A6179">
            <v>31102192</v>
          </cell>
          <cell r="C6179">
            <v>31102192</v>
          </cell>
          <cell r="D6179">
            <v>31102192</v>
          </cell>
          <cell r="E6179">
            <v>31102192</v>
          </cell>
          <cell r="F6179">
            <v>31102192</v>
          </cell>
          <cell r="G6179">
            <v>31102192</v>
          </cell>
          <cell r="H6179">
            <v>31102192</v>
          </cell>
          <cell r="I6179" t="str">
            <v/>
          </cell>
          <cell r="J6179" t="str">
            <v/>
          </cell>
          <cell r="K6179" t="str">
            <v/>
          </cell>
          <cell r="L6179" t="str">
            <v/>
          </cell>
          <cell r="M6179" t="str">
            <v/>
          </cell>
        </row>
        <row r="6180">
          <cell r="A6180">
            <v>31102192</v>
          </cell>
          <cell r="C6180">
            <v>31102192</v>
          </cell>
          <cell r="D6180">
            <v>31102192</v>
          </cell>
          <cell r="E6180">
            <v>31102192</v>
          </cell>
          <cell r="F6180">
            <v>31102192</v>
          </cell>
          <cell r="G6180">
            <v>31102192</v>
          </cell>
          <cell r="H6180">
            <v>31102192</v>
          </cell>
          <cell r="I6180" t="str">
            <v/>
          </cell>
          <cell r="J6180" t="str">
            <v/>
          </cell>
          <cell r="K6180" t="str">
            <v/>
          </cell>
          <cell r="L6180" t="str">
            <v/>
          </cell>
          <cell r="M6180" t="str">
            <v/>
          </cell>
        </row>
        <row r="6181">
          <cell r="A6181">
            <v>31102192</v>
          </cell>
          <cell r="C6181">
            <v>31102192</v>
          </cell>
          <cell r="D6181">
            <v>31102192</v>
          </cell>
          <cell r="E6181">
            <v>31102192</v>
          </cell>
          <cell r="F6181">
            <v>31102192</v>
          </cell>
          <cell r="G6181">
            <v>31102192</v>
          </cell>
          <cell r="H6181">
            <v>31102192</v>
          </cell>
          <cell r="I6181" t="str">
            <v/>
          </cell>
          <cell r="J6181" t="str">
            <v/>
          </cell>
          <cell r="K6181" t="str">
            <v/>
          </cell>
          <cell r="L6181" t="str">
            <v/>
          </cell>
          <cell r="M6181" t="str">
            <v/>
          </cell>
        </row>
        <row r="6182">
          <cell r="A6182">
            <v>31102192</v>
          </cell>
          <cell r="C6182">
            <v>31102192</v>
          </cell>
          <cell r="D6182">
            <v>31102192</v>
          </cell>
          <cell r="E6182">
            <v>31102192</v>
          </cell>
          <cell r="F6182">
            <v>31102192</v>
          </cell>
          <cell r="G6182">
            <v>31102192</v>
          </cell>
          <cell r="H6182">
            <v>31102192</v>
          </cell>
          <cell r="I6182" t="str">
            <v/>
          </cell>
          <cell r="J6182" t="str">
            <v/>
          </cell>
          <cell r="K6182" t="str">
            <v/>
          </cell>
          <cell r="L6182" t="str">
            <v/>
          </cell>
          <cell r="M6182" t="str">
            <v/>
          </cell>
        </row>
        <row r="6183">
          <cell r="A6183">
            <v>31102192</v>
          </cell>
          <cell r="C6183">
            <v>31102192</v>
          </cell>
          <cell r="D6183">
            <v>31102192</v>
          </cell>
          <cell r="E6183">
            <v>31102192</v>
          </cell>
          <cell r="F6183">
            <v>31102192</v>
          </cell>
          <cell r="G6183">
            <v>31102192</v>
          </cell>
          <cell r="H6183">
            <v>31102192</v>
          </cell>
          <cell r="I6183" t="str">
            <v/>
          </cell>
          <cell r="J6183" t="str">
            <v/>
          </cell>
          <cell r="K6183" t="str">
            <v/>
          </cell>
          <cell r="L6183" t="str">
            <v/>
          </cell>
          <cell r="M6183" t="str">
            <v/>
          </cell>
        </row>
        <row r="6184">
          <cell r="A6184">
            <v>31102192</v>
          </cell>
          <cell r="C6184">
            <v>31102192</v>
          </cell>
          <cell r="D6184">
            <v>31102192</v>
          </cell>
          <cell r="E6184">
            <v>31102192</v>
          </cell>
          <cell r="F6184">
            <v>31102192</v>
          </cell>
          <cell r="G6184">
            <v>31102192</v>
          </cell>
          <cell r="H6184">
            <v>31102192</v>
          </cell>
          <cell r="I6184" t="str">
            <v/>
          </cell>
          <cell r="J6184" t="str">
            <v/>
          </cell>
          <cell r="K6184" t="str">
            <v/>
          </cell>
          <cell r="L6184" t="str">
            <v/>
          </cell>
          <cell r="M6184" t="str">
            <v/>
          </cell>
        </row>
        <row r="6185">
          <cell r="A6185">
            <v>31102192</v>
          </cell>
          <cell r="C6185">
            <v>31102192</v>
          </cell>
          <cell r="D6185">
            <v>31102192</v>
          </cell>
          <cell r="E6185">
            <v>31102192</v>
          </cell>
          <cell r="F6185">
            <v>31102192</v>
          </cell>
          <cell r="G6185">
            <v>31102192</v>
          </cell>
          <cell r="H6185">
            <v>31102192</v>
          </cell>
          <cell r="I6185" t="str">
            <v/>
          </cell>
          <cell r="J6185" t="str">
            <v/>
          </cell>
          <cell r="K6185" t="str">
            <v/>
          </cell>
          <cell r="L6185" t="str">
            <v/>
          </cell>
          <cell r="M6185" t="str">
            <v/>
          </cell>
        </row>
        <row r="6186">
          <cell r="A6186">
            <v>31102192</v>
          </cell>
          <cell r="C6186">
            <v>31102192</v>
          </cell>
          <cell r="D6186">
            <v>31102192</v>
          </cell>
          <cell r="E6186">
            <v>31102192</v>
          </cell>
          <cell r="F6186">
            <v>31102192</v>
          </cell>
          <cell r="G6186">
            <v>31102192</v>
          </cell>
          <cell r="H6186">
            <v>31102192</v>
          </cell>
          <cell r="I6186" t="str">
            <v/>
          </cell>
          <cell r="J6186" t="str">
            <v/>
          </cell>
          <cell r="K6186" t="str">
            <v/>
          </cell>
          <cell r="L6186" t="str">
            <v/>
          </cell>
          <cell r="M6186" t="str">
            <v/>
          </cell>
        </row>
        <row r="6187">
          <cell r="A6187">
            <v>31102192</v>
          </cell>
          <cell r="C6187">
            <v>31102192</v>
          </cell>
          <cell r="D6187">
            <v>31102192</v>
          </cell>
          <cell r="E6187">
            <v>31102192</v>
          </cell>
          <cell r="F6187">
            <v>31102192</v>
          </cell>
          <cell r="G6187">
            <v>31102192</v>
          </cell>
          <cell r="H6187">
            <v>31102192</v>
          </cell>
          <cell r="I6187" t="str">
            <v/>
          </cell>
          <cell r="J6187" t="str">
            <v/>
          </cell>
          <cell r="K6187" t="str">
            <v/>
          </cell>
          <cell r="L6187" t="str">
            <v/>
          </cell>
          <cell r="M6187" t="str">
            <v/>
          </cell>
        </row>
        <row r="6188">
          <cell r="A6188">
            <v>31102192</v>
          </cell>
          <cell r="C6188">
            <v>31102192</v>
          </cell>
          <cell r="D6188">
            <v>31102192</v>
          </cell>
          <cell r="E6188">
            <v>31102192</v>
          </cell>
          <cell r="F6188">
            <v>31102192</v>
          </cell>
          <cell r="G6188">
            <v>31102192</v>
          </cell>
          <cell r="H6188">
            <v>31102192</v>
          </cell>
          <cell r="I6188" t="str">
            <v/>
          </cell>
          <cell r="J6188" t="str">
            <v/>
          </cell>
          <cell r="K6188" t="str">
            <v/>
          </cell>
          <cell r="L6188" t="str">
            <v/>
          </cell>
          <cell r="M6188" t="str">
            <v/>
          </cell>
        </row>
        <row r="6189">
          <cell r="A6189">
            <v>31102192</v>
          </cell>
          <cell r="C6189">
            <v>31102192</v>
          </cell>
          <cell r="D6189">
            <v>31102192</v>
          </cell>
          <cell r="E6189">
            <v>31102192</v>
          </cell>
          <cell r="F6189">
            <v>31102192</v>
          </cell>
          <cell r="G6189">
            <v>31102192</v>
          </cell>
          <cell r="H6189">
            <v>31102192</v>
          </cell>
          <cell r="I6189" t="str">
            <v/>
          </cell>
          <cell r="J6189" t="str">
            <v/>
          </cell>
          <cell r="K6189" t="str">
            <v/>
          </cell>
          <cell r="L6189" t="str">
            <v/>
          </cell>
          <cell r="M6189" t="str">
            <v/>
          </cell>
        </row>
        <row r="6190">
          <cell r="A6190">
            <v>31102192</v>
          </cell>
          <cell r="C6190">
            <v>31102192</v>
          </cell>
          <cell r="D6190">
            <v>31102192</v>
          </cell>
          <cell r="E6190">
            <v>31102192</v>
          </cell>
          <cell r="F6190">
            <v>31102192</v>
          </cell>
          <cell r="G6190">
            <v>31102192</v>
          </cell>
          <cell r="H6190">
            <v>31102192</v>
          </cell>
          <cell r="I6190" t="str">
            <v/>
          </cell>
          <cell r="J6190" t="str">
            <v/>
          </cell>
          <cell r="K6190" t="str">
            <v/>
          </cell>
          <cell r="L6190" t="str">
            <v/>
          </cell>
          <cell r="M6190" t="str">
            <v/>
          </cell>
        </row>
        <row r="6191">
          <cell r="A6191">
            <v>31102192</v>
          </cell>
          <cell r="C6191">
            <v>31102192</v>
          </cell>
          <cell r="D6191">
            <v>31102192</v>
          </cell>
          <cell r="E6191">
            <v>31102192</v>
          </cell>
          <cell r="F6191">
            <v>31102192</v>
          </cell>
          <cell r="G6191">
            <v>31102192</v>
          </cell>
          <cell r="H6191">
            <v>31102192</v>
          </cell>
          <cell r="I6191" t="str">
            <v/>
          </cell>
          <cell r="J6191" t="str">
            <v/>
          </cell>
          <cell r="K6191" t="str">
            <v/>
          </cell>
          <cell r="L6191" t="str">
            <v/>
          </cell>
          <cell r="M6191" t="str">
            <v/>
          </cell>
        </row>
        <row r="6192">
          <cell r="A6192">
            <v>31102192</v>
          </cell>
          <cell r="C6192">
            <v>31102192</v>
          </cell>
          <cell r="D6192">
            <v>31102192</v>
          </cell>
          <cell r="E6192">
            <v>31102192</v>
          </cell>
          <cell r="F6192">
            <v>31102192</v>
          </cell>
          <cell r="G6192">
            <v>31102192</v>
          </cell>
          <cell r="H6192">
            <v>31102192</v>
          </cell>
          <cell r="I6192" t="str">
            <v/>
          </cell>
          <cell r="J6192" t="str">
            <v/>
          </cell>
          <cell r="K6192" t="str">
            <v/>
          </cell>
          <cell r="L6192" t="str">
            <v/>
          </cell>
          <cell r="M6192" t="str">
            <v/>
          </cell>
        </row>
        <row r="6193">
          <cell r="A6193">
            <v>31102192</v>
          </cell>
          <cell r="C6193">
            <v>31102192</v>
          </cell>
          <cell r="D6193">
            <v>31102192</v>
          </cell>
          <cell r="E6193">
            <v>31102192</v>
          </cell>
          <cell r="F6193">
            <v>31102192</v>
          </cell>
          <cell r="G6193">
            <v>31102192</v>
          </cell>
          <cell r="H6193">
            <v>31102192</v>
          </cell>
          <cell r="I6193" t="str">
            <v/>
          </cell>
          <cell r="J6193" t="str">
            <v/>
          </cell>
          <cell r="K6193" t="str">
            <v/>
          </cell>
          <cell r="L6193" t="str">
            <v/>
          </cell>
          <cell r="M6193" t="str">
            <v/>
          </cell>
        </row>
        <row r="6194">
          <cell r="A6194">
            <v>31102192</v>
          </cell>
          <cell r="C6194">
            <v>31102192</v>
          </cell>
          <cell r="D6194">
            <v>31102192</v>
          </cell>
          <cell r="E6194">
            <v>31102192</v>
          </cell>
          <cell r="F6194">
            <v>31102192</v>
          </cell>
          <cell r="G6194">
            <v>31102192</v>
          </cell>
          <cell r="H6194">
            <v>31102192</v>
          </cell>
          <cell r="I6194" t="str">
            <v/>
          </cell>
          <cell r="J6194" t="str">
            <v/>
          </cell>
          <cell r="K6194" t="str">
            <v/>
          </cell>
          <cell r="L6194" t="str">
            <v/>
          </cell>
          <cell r="M6194" t="str">
            <v/>
          </cell>
        </row>
        <row r="6195">
          <cell r="A6195">
            <v>31102192</v>
          </cell>
          <cell r="C6195">
            <v>31102192</v>
          </cell>
          <cell r="D6195">
            <v>31102192</v>
          </cell>
          <cell r="E6195">
            <v>31102192</v>
          </cell>
          <cell r="F6195">
            <v>31102192</v>
          </cell>
          <cell r="G6195">
            <v>31102192</v>
          </cell>
          <cell r="H6195">
            <v>31102192</v>
          </cell>
          <cell r="I6195" t="str">
            <v/>
          </cell>
          <cell r="J6195" t="str">
            <v/>
          </cell>
          <cell r="K6195" t="str">
            <v/>
          </cell>
          <cell r="L6195" t="str">
            <v/>
          </cell>
          <cell r="M6195" t="str">
            <v/>
          </cell>
        </row>
        <row r="6196">
          <cell r="A6196">
            <v>31102192</v>
          </cell>
          <cell r="C6196">
            <v>31102192</v>
          </cell>
          <cell r="D6196">
            <v>31102192</v>
          </cell>
          <cell r="E6196">
            <v>31102192</v>
          </cell>
          <cell r="F6196">
            <v>31102192</v>
          </cell>
          <cell r="G6196">
            <v>31102192</v>
          </cell>
          <cell r="H6196">
            <v>31102192</v>
          </cell>
          <cell r="I6196" t="str">
            <v/>
          </cell>
          <cell r="J6196" t="str">
            <v/>
          </cell>
          <cell r="K6196" t="str">
            <v/>
          </cell>
          <cell r="L6196" t="str">
            <v/>
          </cell>
          <cell r="M6196" t="str">
            <v/>
          </cell>
        </row>
        <row r="6197">
          <cell r="A6197">
            <v>31102192</v>
          </cell>
          <cell r="C6197">
            <v>31102192</v>
          </cell>
          <cell r="D6197">
            <v>31102192</v>
          </cell>
          <cell r="E6197">
            <v>31102192</v>
          </cell>
          <cell r="F6197">
            <v>31102192</v>
          </cell>
          <cell r="G6197">
            <v>31102192</v>
          </cell>
          <cell r="H6197">
            <v>31102192</v>
          </cell>
          <cell r="I6197" t="str">
            <v/>
          </cell>
          <cell r="J6197" t="str">
            <v/>
          </cell>
          <cell r="K6197" t="str">
            <v/>
          </cell>
          <cell r="L6197" t="str">
            <v/>
          </cell>
          <cell r="M6197" t="str">
            <v/>
          </cell>
        </row>
        <row r="6198">
          <cell r="A6198">
            <v>31102192</v>
          </cell>
          <cell r="C6198">
            <v>31102192</v>
          </cell>
          <cell r="D6198">
            <v>31102192</v>
          </cell>
          <cell r="E6198">
            <v>31102192</v>
          </cell>
          <cell r="F6198">
            <v>31102192</v>
          </cell>
          <cell r="G6198">
            <v>31102192</v>
          </cell>
          <cell r="H6198">
            <v>31102192</v>
          </cell>
          <cell r="I6198" t="str">
            <v/>
          </cell>
          <cell r="J6198" t="str">
            <v/>
          </cell>
          <cell r="K6198" t="str">
            <v/>
          </cell>
          <cell r="L6198" t="str">
            <v/>
          </cell>
          <cell r="M6198" t="str">
            <v/>
          </cell>
        </row>
        <row r="6199">
          <cell r="A6199">
            <v>31102192</v>
          </cell>
          <cell r="C6199">
            <v>31102192</v>
          </cell>
          <cell r="D6199">
            <v>31102192</v>
          </cell>
          <cell r="E6199">
            <v>31102192</v>
          </cell>
          <cell r="F6199">
            <v>31102192</v>
          </cell>
          <cell r="G6199">
            <v>31102192</v>
          </cell>
          <cell r="H6199">
            <v>31102192</v>
          </cell>
          <cell r="I6199" t="str">
            <v/>
          </cell>
          <cell r="J6199" t="str">
            <v/>
          </cell>
          <cell r="K6199" t="str">
            <v/>
          </cell>
          <cell r="L6199" t="str">
            <v/>
          </cell>
          <cell r="M6199" t="str">
            <v/>
          </cell>
        </row>
        <row r="6200">
          <cell r="A6200">
            <v>31102192</v>
          </cell>
          <cell r="C6200">
            <v>31102192</v>
          </cell>
          <cell r="D6200">
            <v>31102192</v>
          </cell>
          <cell r="E6200">
            <v>31102192</v>
          </cell>
          <cell r="F6200">
            <v>31102192</v>
          </cell>
          <cell r="G6200">
            <v>31102192</v>
          </cell>
          <cell r="H6200">
            <v>31102192</v>
          </cell>
          <cell r="I6200" t="str">
            <v/>
          </cell>
          <cell r="J6200" t="str">
            <v/>
          </cell>
          <cell r="K6200" t="str">
            <v/>
          </cell>
          <cell r="L6200" t="str">
            <v/>
          </cell>
          <cell r="M6200" t="str">
            <v/>
          </cell>
        </row>
        <row r="6201">
          <cell r="A6201">
            <v>31102192</v>
          </cell>
          <cell r="C6201">
            <v>31102192</v>
          </cell>
          <cell r="D6201">
            <v>31102192</v>
          </cell>
          <cell r="E6201">
            <v>31102192</v>
          </cell>
          <cell r="F6201">
            <v>31102192</v>
          </cell>
          <cell r="G6201">
            <v>31102192</v>
          </cell>
          <cell r="H6201">
            <v>31102192</v>
          </cell>
          <cell r="I6201" t="str">
            <v/>
          </cell>
          <cell r="J6201" t="str">
            <v/>
          </cell>
          <cell r="K6201" t="str">
            <v/>
          </cell>
          <cell r="L6201" t="str">
            <v/>
          </cell>
          <cell r="M6201" t="str">
            <v/>
          </cell>
        </row>
        <row r="6202">
          <cell r="A6202">
            <v>31102192</v>
          </cell>
          <cell r="C6202">
            <v>31102192</v>
          </cell>
          <cell r="D6202">
            <v>31102192</v>
          </cell>
          <cell r="E6202">
            <v>31102192</v>
          </cell>
          <cell r="F6202">
            <v>31102192</v>
          </cell>
          <cell r="G6202">
            <v>31102192</v>
          </cell>
          <cell r="H6202">
            <v>31102192</v>
          </cell>
          <cell r="I6202" t="str">
            <v/>
          </cell>
          <cell r="J6202" t="str">
            <v/>
          </cell>
          <cell r="K6202" t="str">
            <v/>
          </cell>
          <cell r="L6202" t="str">
            <v/>
          </cell>
          <cell r="M6202" t="str">
            <v/>
          </cell>
        </row>
        <row r="6203">
          <cell r="A6203">
            <v>31102192</v>
          </cell>
          <cell r="C6203">
            <v>31102192</v>
          </cell>
          <cell r="D6203">
            <v>31102192</v>
          </cell>
          <cell r="E6203">
            <v>31102192</v>
          </cell>
          <cell r="F6203">
            <v>31102192</v>
          </cell>
          <cell r="G6203">
            <v>31102192</v>
          </cell>
          <cell r="H6203">
            <v>31102192</v>
          </cell>
          <cell r="I6203" t="str">
            <v/>
          </cell>
          <cell r="J6203" t="str">
            <v/>
          </cell>
          <cell r="K6203" t="str">
            <v/>
          </cell>
          <cell r="L6203" t="str">
            <v/>
          </cell>
          <cell r="M6203" t="str">
            <v/>
          </cell>
        </row>
        <row r="6204">
          <cell r="A6204">
            <v>31102192</v>
          </cell>
          <cell r="C6204">
            <v>31102192</v>
          </cell>
          <cell r="D6204">
            <v>31102192</v>
          </cell>
          <cell r="E6204">
            <v>31102192</v>
          </cell>
          <cell r="F6204">
            <v>31102192</v>
          </cell>
          <cell r="G6204">
            <v>31102192</v>
          </cell>
          <cell r="H6204">
            <v>31102192</v>
          </cell>
          <cell r="I6204" t="str">
            <v/>
          </cell>
          <cell r="J6204" t="str">
            <v/>
          </cell>
          <cell r="K6204" t="str">
            <v/>
          </cell>
          <cell r="L6204" t="str">
            <v/>
          </cell>
          <cell r="M6204" t="str">
            <v/>
          </cell>
        </row>
        <row r="6205">
          <cell r="A6205">
            <v>31102192</v>
          </cell>
          <cell r="C6205">
            <v>31102192</v>
          </cell>
          <cell r="D6205">
            <v>31102192</v>
          </cell>
          <cell r="E6205">
            <v>31102192</v>
          </cell>
          <cell r="F6205">
            <v>31102192</v>
          </cell>
          <cell r="G6205">
            <v>31102192</v>
          </cell>
          <cell r="H6205">
            <v>31102192</v>
          </cell>
          <cell r="I6205" t="str">
            <v/>
          </cell>
          <cell r="J6205" t="str">
            <v/>
          </cell>
          <cell r="K6205" t="str">
            <v/>
          </cell>
          <cell r="L6205" t="str">
            <v/>
          </cell>
          <cell r="M6205" t="str">
            <v/>
          </cell>
        </row>
        <row r="6206">
          <cell r="A6206">
            <v>31102192</v>
          </cell>
          <cell r="C6206">
            <v>31102192</v>
          </cell>
          <cell r="D6206">
            <v>31102192</v>
          </cell>
          <cell r="E6206">
            <v>31102192</v>
          </cell>
          <cell r="F6206">
            <v>31102192</v>
          </cell>
          <cell r="G6206">
            <v>31102192</v>
          </cell>
          <cell r="H6206">
            <v>31102192</v>
          </cell>
          <cell r="I6206" t="str">
            <v/>
          </cell>
          <cell r="J6206" t="str">
            <v/>
          </cell>
          <cell r="K6206" t="str">
            <v/>
          </cell>
          <cell r="L6206" t="str">
            <v/>
          </cell>
          <cell r="M6206" t="str">
            <v/>
          </cell>
        </row>
        <row r="6207">
          <cell r="A6207">
            <v>31102192</v>
          </cell>
          <cell r="C6207">
            <v>31102192</v>
          </cell>
          <cell r="D6207">
            <v>31102192</v>
          </cell>
          <cell r="E6207">
            <v>31102192</v>
          </cell>
          <cell r="F6207">
            <v>31102192</v>
          </cell>
          <cell r="G6207">
            <v>31102192</v>
          </cell>
          <cell r="H6207">
            <v>31102192</v>
          </cell>
          <cell r="I6207" t="str">
            <v/>
          </cell>
          <cell r="J6207" t="str">
            <v/>
          </cell>
          <cell r="K6207" t="str">
            <v/>
          </cell>
          <cell r="L6207" t="str">
            <v/>
          </cell>
          <cell r="M6207" t="str">
            <v/>
          </cell>
        </row>
        <row r="6208">
          <cell r="A6208">
            <v>31102192</v>
          </cell>
          <cell r="C6208">
            <v>31102192</v>
          </cell>
          <cell r="D6208">
            <v>31102192</v>
          </cell>
          <cell r="E6208">
            <v>31102192</v>
          </cell>
          <cell r="F6208">
            <v>31102192</v>
          </cell>
          <cell r="G6208">
            <v>31102192</v>
          </cell>
          <cell r="H6208">
            <v>31102192</v>
          </cell>
          <cell r="I6208" t="str">
            <v/>
          </cell>
          <cell r="J6208" t="str">
            <v/>
          </cell>
          <cell r="K6208" t="str">
            <v/>
          </cell>
          <cell r="L6208" t="str">
            <v/>
          </cell>
          <cell r="M6208" t="str">
            <v/>
          </cell>
        </row>
        <row r="6209">
          <cell r="A6209">
            <v>31102192</v>
          </cell>
          <cell r="C6209">
            <v>31102192</v>
          </cell>
          <cell r="D6209">
            <v>31102192</v>
          </cell>
          <cell r="E6209">
            <v>31102192</v>
          </cell>
          <cell r="F6209">
            <v>31102192</v>
          </cell>
          <cell r="G6209">
            <v>31102192</v>
          </cell>
          <cell r="H6209">
            <v>31102192</v>
          </cell>
          <cell r="I6209" t="str">
            <v/>
          </cell>
          <cell r="J6209" t="str">
            <v/>
          </cell>
          <cell r="K6209" t="str">
            <v/>
          </cell>
          <cell r="L6209" t="str">
            <v/>
          </cell>
          <cell r="M6209" t="str">
            <v/>
          </cell>
        </row>
        <row r="6210">
          <cell r="A6210">
            <v>31102192</v>
          </cell>
          <cell r="C6210">
            <v>31102192</v>
          </cell>
          <cell r="D6210">
            <v>31102192</v>
          </cell>
          <cell r="E6210">
            <v>31102192</v>
          </cell>
          <cell r="F6210">
            <v>31102192</v>
          </cell>
          <cell r="G6210">
            <v>31102192</v>
          </cell>
          <cell r="H6210">
            <v>31102192</v>
          </cell>
          <cell r="I6210" t="str">
            <v/>
          </cell>
          <cell r="J6210" t="str">
            <v/>
          </cell>
          <cell r="K6210" t="str">
            <v/>
          </cell>
          <cell r="L6210" t="str">
            <v/>
          </cell>
          <cell r="M6210" t="str">
            <v/>
          </cell>
        </row>
        <row r="6211">
          <cell r="A6211">
            <v>31102192</v>
          </cell>
          <cell r="C6211">
            <v>31102192</v>
          </cell>
          <cell r="D6211">
            <v>31102192</v>
          </cell>
          <cell r="E6211">
            <v>31102192</v>
          </cell>
          <cell r="F6211">
            <v>31102192</v>
          </cell>
          <cell r="G6211">
            <v>31102192</v>
          </cell>
          <cell r="H6211">
            <v>31102192</v>
          </cell>
          <cell r="I6211" t="str">
            <v/>
          </cell>
          <cell r="J6211" t="str">
            <v/>
          </cell>
          <cell r="K6211" t="str">
            <v/>
          </cell>
          <cell r="L6211" t="str">
            <v/>
          </cell>
          <cell r="M6211" t="str">
            <v/>
          </cell>
        </row>
        <row r="6212">
          <cell r="A6212">
            <v>31102192</v>
          </cell>
          <cell r="C6212">
            <v>31102192</v>
          </cell>
          <cell r="D6212">
            <v>31102192</v>
          </cell>
          <cell r="E6212">
            <v>31102192</v>
          </cell>
          <cell r="F6212">
            <v>31102192</v>
          </cell>
          <cell r="G6212">
            <v>31102192</v>
          </cell>
          <cell r="H6212">
            <v>31102192</v>
          </cell>
          <cell r="I6212" t="str">
            <v/>
          </cell>
          <cell r="J6212" t="str">
            <v/>
          </cell>
          <cell r="K6212" t="str">
            <v/>
          </cell>
          <cell r="L6212" t="str">
            <v/>
          </cell>
          <cell r="M6212" t="str">
            <v/>
          </cell>
        </row>
        <row r="6213">
          <cell r="A6213">
            <v>31102192</v>
          </cell>
          <cell r="C6213">
            <v>31102192</v>
          </cell>
          <cell r="D6213">
            <v>31102192</v>
          </cell>
          <cell r="E6213">
            <v>31102192</v>
          </cell>
          <cell r="F6213">
            <v>31102192</v>
          </cell>
          <cell r="G6213">
            <v>31102192</v>
          </cell>
          <cell r="H6213">
            <v>31102192</v>
          </cell>
          <cell r="I6213" t="str">
            <v/>
          </cell>
          <cell r="J6213" t="str">
            <v/>
          </cell>
          <cell r="K6213" t="str">
            <v/>
          </cell>
          <cell r="L6213" t="str">
            <v/>
          </cell>
          <cell r="M6213" t="str">
            <v/>
          </cell>
        </row>
        <row r="6214">
          <cell r="A6214">
            <v>31102192</v>
          </cell>
          <cell r="C6214">
            <v>31102192</v>
          </cell>
          <cell r="D6214">
            <v>31102192</v>
          </cell>
          <cell r="E6214">
            <v>31102192</v>
          </cell>
          <cell r="F6214">
            <v>31102192</v>
          </cell>
          <cell r="G6214">
            <v>31102192</v>
          </cell>
          <cell r="H6214">
            <v>31102192</v>
          </cell>
          <cell r="I6214" t="str">
            <v/>
          </cell>
          <cell r="J6214" t="str">
            <v/>
          </cell>
          <cell r="K6214" t="str">
            <v/>
          </cell>
          <cell r="L6214" t="str">
            <v/>
          </cell>
          <cell r="M6214" t="str">
            <v/>
          </cell>
        </row>
        <row r="6215">
          <cell r="A6215">
            <v>31102192</v>
          </cell>
          <cell r="C6215">
            <v>31102192</v>
          </cell>
          <cell r="D6215">
            <v>31102192</v>
          </cell>
          <cell r="E6215">
            <v>31102192</v>
          </cell>
          <cell r="F6215">
            <v>31102192</v>
          </cell>
          <cell r="G6215">
            <v>31102192</v>
          </cell>
          <cell r="H6215">
            <v>31102192</v>
          </cell>
          <cell r="I6215" t="str">
            <v/>
          </cell>
          <cell r="J6215" t="str">
            <v/>
          </cell>
          <cell r="K6215" t="str">
            <v/>
          </cell>
          <cell r="L6215" t="str">
            <v/>
          </cell>
          <cell r="M6215" t="str">
            <v/>
          </cell>
        </row>
        <row r="6216">
          <cell r="A6216">
            <v>31102192</v>
          </cell>
          <cell r="C6216">
            <v>31102192</v>
          </cell>
          <cell r="D6216">
            <v>31102192</v>
          </cell>
          <cell r="E6216">
            <v>31102192</v>
          </cell>
          <cell r="F6216">
            <v>31102192</v>
          </cell>
          <cell r="G6216">
            <v>31102192</v>
          </cell>
          <cell r="H6216">
            <v>31102192</v>
          </cell>
          <cell r="I6216" t="str">
            <v/>
          </cell>
          <cell r="J6216" t="str">
            <v/>
          </cell>
          <cell r="K6216" t="str">
            <v/>
          </cell>
          <cell r="L6216" t="str">
            <v/>
          </cell>
          <cell r="M6216" t="str">
            <v/>
          </cell>
        </row>
        <row r="6217">
          <cell r="A6217">
            <v>31102192</v>
          </cell>
          <cell r="C6217">
            <v>31102192</v>
          </cell>
          <cell r="D6217">
            <v>31102192</v>
          </cell>
          <cell r="E6217">
            <v>31102192</v>
          </cell>
          <cell r="F6217">
            <v>31102192</v>
          </cell>
          <cell r="G6217">
            <v>31102192</v>
          </cell>
          <cell r="H6217">
            <v>31102192</v>
          </cell>
          <cell r="I6217" t="str">
            <v/>
          </cell>
          <cell r="J6217" t="str">
            <v/>
          </cell>
          <cell r="K6217" t="str">
            <v/>
          </cell>
          <cell r="L6217" t="str">
            <v/>
          </cell>
          <cell r="M6217" t="str">
            <v/>
          </cell>
        </row>
        <row r="6218">
          <cell r="A6218">
            <v>31102192</v>
          </cell>
          <cell r="C6218">
            <v>31102192</v>
          </cell>
          <cell r="D6218">
            <v>31102192</v>
          </cell>
          <cell r="E6218">
            <v>31102192</v>
          </cell>
          <cell r="F6218">
            <v>31102192</v>
          </cell>
          <cell r="G6218">
            <v>31102192</v>
          </cell>
          <cell r="H6218">
            <v>31102192</v>
          </cell>
          <cell r="I6218" t="str">
            <v/>
          </cell>
          <cell r="J6218" t="str">
            <v/>
          </cell>
          <cell r="K6218" t="str">
            <v/>
          </cell>
          <cell r="L6218" t="str">
            <v/>
          </cell>
          <cell r="M6218" t="str">
            <v/>
          </cell>
        </row>
        <row r="6219">
          <cell r="A6219">
            <v>31102192</v>
          </cell>
          <cell r="C6219">
            <v>31102192</v>
          </cell>
          <cell r="D6219">
            <v>31102192</v>
          </cell>
          <cell r="E6219">
            <v>31102192</v>
          </cell>
          <cell r="F6219">
            <v>31102192</v>
          </cell>
          <cell r="G6219">
            <v>31102192</v>
          </cell>
          <cell r="H6219">
            <v>31102192</v>
          </cell>
          <cell r="I6219" t="str">
            <v/>
          </cell>
          <cell r="J6219" t="str">
            <v/>
          </cell>
          <cell r="K6219" t="str">
            <v/>
          </cell>
          <cell r="L6219" t="str">
            <v/>
          </cell>
          <cell r="M6219" t="str">
            <v/>
          </cell>
        </row>
        <row r="6220">
          <cell r="A6220">
            <v>31102192</v>
          </cell>
          <cell r="C6220">
            <v>31102192</v>
          </cell>
          <cell r="D6220">
            <v>31102192</v>
          </cell>
          <cell r="E6220">
            <v>31102192</v>
          </cell>
          <cell r="F6220">
            <v>31102192</v>
          </cell>
          <cell r="G6220">
            <v>31102192</v>
          </cell>
          <cell r="H6220">
            <v>31102192</v>
          </cell>
          <cell r="I6220" t="str">
            <v/>
          </cell>
          <cell r="J6220" t="str">
            <v/>
          </cell>
          <cell r="K6220" t="str">
            <v/>
          </cell>
          <cell r="L6220" t="str">
            <v/>
          </cell>
          <cell r="M6220" t="str">
            <v/>
          </cell>
        </row>
        <row r="6221">
          <cell r="A6221">
            <v>31102192</v>
          </cell>
          <cell r="C6221">
            <v>31102192</v>
          </cell>
          <cell r="D6221">
            <v>31102192</v>
          </cell>
          <cell r="E6221">
            <v>31102192</v>
          </cell>
          <cell r="F6221">
            <v>31102192</v>
          </cell>
          <cell r="G6221">
            <v>31102192</v>
          </cell>
          <cell r="H6221">
            <v>31102192</v>
          </cell>
          <cell r="I6221" t="str">
            <v/>
          </cell>
          <cell r="J6221" t="str">
            <v/>
          </cell>
          <cell r="K6221" t="str">
            <v/>
          </cell>
          <cell r="L6221" t="str">
            <v/>
          </cell>
          <cell r="M6221" t="str">
            <v/>
          </cell>
        </row>
        <row r="6222">
          <cell r="A6222">
            <v>31102192</v>
          </cell>
          <cell r="C6222">
            <v>31102192</v>
          </cell>
          <cell r="D6222">
            <v>31102192</v>
          </cell>
          <cell r="E6222">
            <v>31102192</v>
          </cell>
          <cell r="F6222">
            <v>31102192</v>
          </cell>
          <cell r="G6222">
            <v>31102192</v>
          </cell>
          <cell r="H6222">
            <v>31102192</v>
          </cell>
          <cell r="I6222" t="str">
            <v/>
          </cell>
          <cell r="J6222" t="str">
            <v/>
          </cell>
          <cell r="K6222" t="str">
            <v/>
          </cell>
          <cell r="L6222" t="str">
            <v/>
          </cell>
          <cell r="M6222" t="str">
            <v/>
          </cell>
        </row>
        <row r="6223">
          <cell r="A6223">
            <v>31102192</v>
          </cell>
          <cell r="C6223">
            <v>31102192</v>
          </cell>
          <cell r="D6223">
            <v>31102192</v>
          </cell>
          <cell r="E6223">
            <v>31102192</v>
          </cell>
          <cell r="F6223">
            <v>31102192</v>
          </cell>
          <cell r="G6223">
            <v>31102192</v>
          </cell>
          <cell r="H6223">
            <v>31102192</v>
          </cell>
          <cell r="I6223" t="str">
            <v/>
          </cell>
          <cell r="J6223" t="str">
            <v/>
          </cell>
          <cell r="K6223" t="str">
            <v/>
          </cell>
          <cell r="L6223" t="str">
            <v/>
          </cell>
          <cell r="M6223" t="str">
            <v/>
          </cell>
        </row>
        <row r="6224">
          <cell r="A6224">
            <v>31102192</v>
          </cell>
          <cell r="C6224">
            <v>31102192</v>
          </cell>
          <cell r="D6224">
            <v>31102192</v>
          </cell>
          <cell r="E6224">
            <v>31102192</v>
          </cell>
          <cell r="F6224">
            <v>31102192</v>
          </cell>
          <cell r="G6224">
            <v>31102192</v>
          </cell>
          <cell r="H6224">
            <v>31102192</v>
          </cell>
          <cell r="I6224" t="str">
            <v/>
          </cell>
          <cell r="J6224" t="str">
            <v/>
          </cell>
          <cell r="K6224" t="str">
            <v/>
          </cell>
          <cell r="L6224" t="str">
            <v/>
          </cell>
          <cell r="M6224" t="str">
            <v/>
          </cell>
        </row>
        <row r="6225">
          <cell r="A6225">
            <v>31102192</v>
          </cell>
          <cell r="C6225">
            <v>31102192</v>
          </cell>
          <cell r="D6225">
            <v>31102192</v>
          </cell>
          <cell r="E6225">
            <v>31102192</v>
          </cell>
          <cell r="F6225">
            <v>31102192</v>
          </cell>
          <cell r="G6225">
            <v>31102192</v>
          </cell>
          <cell r="H6225">
            <v>31102192</v>
          </cell>
          <cell r="I6225" t="str">
            <v/>
          </cell>
          <cell r="J6225" t="str">
            <v/>
          </cell>
          <cell r="K6225" t="str">
            <v/>
          </cell>
          <cell r="L6225" t="str">
            <v/>
          </cell>
          <cell r="M6225" t="str">
            <v/>
          </cell>
        </row>
        <row r="6226">
          <cell r="A6226">
            <v>31102192</v>
          </cell>
          <cell r="C6226">
            <v>31102192</v>
          </cell>
          <cell r="D6226">
            <v>31102192</v>
          </cell>
          <cell r="E6226">
            <v>31102192</v>
          </cell>
          <cell r="F6226">
            <v>31102192</v>
          </cell>
          <cell r="G6226">
            <v>31102192</v>
          </cell>
          <cell r="H6226">
            <v>31102192</v>
          </cell>
          <cell r="I6226" t="str">
            <v/>
          </cell>
          <cell r="J6226" t="str">
            <v/>
          </cell>
          <cell r="K6226" t="str">
            <v/>
          </cell>
          <cell r="L6226" t="str">
            <v/>
          </cell>
          <cell r="M6226" t="str">
            <v/>
          </cell>
        </row>
        <row r="6227">
          <cell r="A6227">
            <v>31102192</v>
          </cell>
          <cell r="C6227">
            <v>31102192</v>
          </cell>
          <cell r="D6227">
            <v>31102192</v>
          </cell>
          <cell r="E6227">
            <v>31102192</v>
          </cell>
          <cell r="F6227">
            <v>31102192</v>
          </cell>
          <cell r="G6227">
            <v>31102192</v>
          </cell>
          <cell r="H6227">
            <v>31102192</v>
          </cell>
          <cell r="I6227" t="str">
            <v/>
          </cell>
          <cell r="J6227" t="str">
            <v/>
          </cell>
          <cell r="K6227" t="str">
            <v/>
          </cell>
          <cell r="L6227" t="str">
            <v/>
          </cell>
          <cell r="M6227" t="str">
            <v/>
          </cell>
        </row>
        <row r="6228">
          <cell r="A6228">
            <v>31102192</v>
          </cell>
          <cell r="C6228">
            <v>31102192</v>
          </cell>
          <cell r="D6228">
            <v>31102192</v>
          </cell>
          <cell r="E6228">
            <v>31102192</v>
          </cell>
          <cell r="F6228">
            <v>31102192</v>
          </cell>
          <cell r="G6228">
            <v>31102192</v>
          </cell>
          <cell r="H6228">
            <v>31102192</v>
          </cell>
          <cell r="I6228" t="str">
            <v/>
          </cell>
          <cell r="J6228" t="str">
            <v/>
          </cell>
          <cell r="K6228" t="str">
            <v/>
          </cell>
          <cell r="L6228" t="str">
            <v/>
          </cell>
          <cell r="M6228" t="str">
            <v/>
          </cell>
        </row>
        <row r="6229">
          <cell r="A6229">
            <v>31102192</v>
          </cell>
          <cell r="C6229">
            <v>31102192</v>
          </cell>
          <cell r="D6229">
            <v>31102192</v>
          </cell>
          <cell r="E6229">
            <v>31102192</v>
          </cell>
          <cell r="F6229">
            <v>31102192</v>
          </cell>
          <cell r="G6229">
            <v>31102192</v>
          </cell>
          <cell r="H6229">
            <v>31102192</v>
          </cell>
          <cell r="I6229" t="str">
            <v/>
          </cell>
          <cell r="J6229" t="str">
            <v/>
          </cell>
          <cell r="K6229" t="str">
            <v/>
          </cell>
          <cell r="L6229" t="str">
            <v/>
          </cell>
          <cell r="M6229" t="str">
            <v/>
          </cell>
        </row>
        <row r="6230">
          <cell r="A6230">
            <v>31102192</v>
          </cell>
          <cell r="C6230">
            <v>31102192</v>
          </cell>
          <cell r="D6230">
            <v>31102192</v>
          </cell>
          <cell r="E6230">
            <v>31102192</v>
          </cell>
          <cell r="F6230">
            <v>31102192</v>
          </cell>
          <cell r="G6230">
            <v>31102192</v>
          </cell>
          <cell r="H6230">
            <v>31102192</v>
          </cell>
          <cell r="I6230" t="str">
            <v/>
          </cell>
          <cell r="J6230" t="str">
            <v/>
          </cell>
          <cell r="K6230" t="str">
            <v/>
          </cell>
          <cell r="L6230" t="str">
            <v/>
          </cell>
          <cell r="M6230" t="str">
            <v/>
          </cell>
        </row>
        <row r="6231">
          <cell r="A6231">
            <v>31102192</v>
          </cell>
          <cell r="C6231">
            <v>31102192</v>
          </cell>
          <cell r="D6231">
            <v>31102192</v>
          </cell>
          <cell r="E6231">
            <v>31102192</v>
          </cell>
          <cell r="F6231">
            <v>31102192</v>
          </cell>
          <cell r="G6231">
            <v>31102192</v>
          </cell>
          <cell r="H6231">
            <v>31102192</v>
          </cell>
          <cell r="I6231" t="str">
            <v/>
          </cell>
          <cell r="J6231" t="str">
            <v/>
          </cell>
          <cell r="K6231" t="str">
            <v/>
          </cell>
          <cell r="L6231" t="str">
            <v/>
          </cell>
          <cell r="M6231" t="str">
            <v/>
          </cell>
        </row>
        <row r="6232">
          <cell r="A6232">
            <v>31102192</v>
          </cell>
          <cell r="C6232">
            <v>31102192</v>
          </cell>
          <cell r="D6232">
            <v>31102192</v>
          </cell>
          <cell r="E6232">
            <v>31102192</v>
          </cell>
          <cell r="F6232">
            <v>31102192</v>
          </cell>
          <cell r="G6232">
            <v>31102192</v>
          </cell>
          <cell r="H6232">
            <v>31102192</v>
          </cell>
          <cell r="I6232" t="str">
            <v/>
          </cell>
          <cell r="J6232" t="str">
            <v/>
          </cell>
          <cell r="K6232" t="str">
            <v/>
          </cell>
          <cell r="L6232" t="str">
            <v/>
          </cell>
          <cell r="M6232" t="str">
            <v/>
          </cell>
        </row>
        <row r="6233">
          <cell r="A6233">
            <v>31102192</v>
          </cell>
          <cell r="C6233">
            <v>31102192</v>
          </cell>
          <cell r="D6233">
            <v>31102192</v>
          </cell>
          <cell r="E6233">
            <v>31102192</v>
          </cell>
          <cell r="F6233">
            <v>31102192</v>
          </cell>
          <cell r="G6233">
            <v>31102192</v>
          </cell>
          <cell r="H6233">
            <v>31102192</v>
          </cell>
          <cell r="I6233" t="str">
            <v/>
          </cell>
          <cell r="J6233" t="str">
            <v/>
          </cell>
          <cell r="K6233" t="str">
            <v/>
          </cell>
          <cell r="L6233" t="str">
            <v/>
          </cell>
          <cell r="M6233" t="str">
            <v/>
          </cell>
        </row>
        <row r="6234">
          <cell r="A6234">
            <v>31102192</v>
          </cell>
          <cell r="C6234">
            <v>31102192</v>
          </cell>
          <cell r="D6234">
            <v>31102192</v>
          </cell>
          <cell r="E6234">
            <v>31102192</v>
          </cell>
          <cell r="F6234">
            <v>31102192</v>
          </cell>
          <cell r="G6234">
            <v>31102192</v>
          </cell>
          <cell r="H6234">
            <v>31102192</v>
          </cell>
          <cell r="I6234" t="str">
            <v/>
          </cell>
          <cell r="J6234" t="str">
            <v/>
          </cell>
          <cell r="K6234" t="str">
            <v/>
          </cell>
          <cell r="L6234" t="str">
            <v/>
          </cell>
          <cell r="M6234" t="str">
            <v/>
          </cell>
        </row>
        <row r="6235">
          <cell r="A6235">
            <v>31102192</v>
          </cell>
          <cell r="C6235">
            <v>31102192</v>
          </cell>
          <cell r="D6235">
            <v>31102192</v>
          </cell>
          <cell r="E6235">
            <v>31102192</v>
          </cell>
          <cell r="F6235">
            <v>31102192</v>
          </cell>
          <cell r="G6235">
            <v>31102192</v>
          </cell>
          <cell r="H6235">
            <v>31102192</v>
          </cell>
          <cell r="I6235" t="str">
            <v/>
          </cell>
          <cell r="J6235" t="str">
            <v/>
          </cell>
          <cell r="K6235" t="str">
            <v/>
          </cell>
          <cell r="L6235" t="str">
            <v/>
          </cell>
          <cell r="M6235" t="str">
            <v/>
          </cell>
        </row>
        <row r="6236">
          <cell r="A6236">
            <v>31102192</v>
          </cell>
          <cell r="C6236">
            <v>31102192</v>
          </cell>
          <cell r="D6236">
            <v>31102192</v>
          </cell>
          <cell r="E6236">
            <v>31102192</v>
          </cell>
          <cell r="F6236">
            <v>31102192</v>
          </cell>
          <cell r="G6236">
            <v>31102192</v>
          </cell>
          <cell r="H6236">
            <v>31102192</v>
          </cell>
          <cell r="I6236" t="str">
            <v/>
          </cell>
          <cell r="J6236" t="str">
            <v/>
          </cell>
          <cell r="K6236" t="str">
            <v/>
          </cell>
          <cell r="L6236" t="str">
            <v/>
          </cell>
          <cell r="M6236" t="str">
            <v/>
          </cell>
        </row>
        <row r="6237">
          <cell r="A6237">
            <v>31102192</v>
          </cell>
          <cell r="C6237">
            <v>31102192</v>
          </cell>
          <cell r="D6237">
            <v>31102192</v>
          </cell>
          <cell r="E6237">
            <v>31102192</v>
          </cell>
          <cell r="F6237">
            <v>31102192</v>
          </cell>
          <cell r="G6237">
            <v>31102192</v>
          </cell>
          <cell r="H6237">
            <v>31102192</v>
          </cell>
          <cell r="I6237" t="str">
            <v/>
          </cell>
          <cell r="J6237" t="str">
            <v/>
          </cell>
          <cell r="K6237" t="str">
            <v/>
          </cell>
          <cell r="L6237" t="str">
            <v/>
          </cell>
          <cell r="M6237" t="str">
            <v/>
          </cell>
        </row>
        <row r="6238">
          <cell r="A6238">
            <v>31102192</v>
          </cell>
          <cell r="C6238">
            <v>31102192</v>
          </cell>
          <cell r="D6238">
            <v>31102192</v>
          </cell>
          <cell r="E6238">
            <v>31102192</v>
          </cell>
          <cell r="F6238">
            <v>31102192</v>
          </cell>
          <cell r="G6238">
            <v>31102192</v>
          </cell>
          <cell r="H6238">
            <v>31102192</v>
          </cell>
          <cell r="I6238" t="str">
            <v/>
          </cell>
          <cell r="J6238" t="str">
            <v/>
          </cell>
          <cell r="K6238" t="str">
            <v/>
          </cell>
          <cell r="L6238" t="str">
            <v/>
          </cell>
          <cell r="M6238" t="str">
            <v/>
          </cell>
        </row>
        <row r="6239">
          <cell r="A6239">
            <v>31102192</v>
          </cell>
          <cell r="C6239">
            <v>31102192</v>
          </cell>
          <cell r="D6239">
            <v>31102192</v>
          </cell>
          <cell r="E6239">
            <v>31102192</v>
          </cell>
          <cell r="F6239">
            <v>31102192</v>
          </cell>
          <cell r="G6239">
            <v>31102192</v>
          </cell>
          <cell r="H6239">
            <v>31102192</v>
          </cell>
          <cell r="I6239" t="str">
            <v/>
          </cell>
          <cell r="J6239" t="str">
            <v/>
          </cell>
          <cell r="K6239" t="str">
            <v/>
          </cell>
          <cell r="L6239" t="str">
            <v/>
          </cell>
          <cell r="M6239" t="str">
            <v/>
          </cell>
        </row>
        <row r="6240">
          <cell r="A6240">
            <v>31102192</v>
          </cell>
          <cell r="C6240">
            <v>31102192</v>
          </cell>
          <cell r="D6240">
            <v>31102192</v>
          </cell>
          <cell r="E6240">
            <v>31102192</v>
          </cell>
          <cell r="F6240">
            <v>31102192</v>
          </cell>
          <cell r="G6240">
            <v>31102192</v>
          </cell>
          <cell r="H6240">
            <v>31102192</v>
          </cell>
          <cell r="I6240" t="str">
            <v/>
          </cell>
          <cell r="J6240" t="str">
            <v/>
          </cell>
          <cell r="K6240" t="str">
            <v/>
          </cell>
          <cell r="L6240" t="str">
            <v/>
          </cell>
          <cell r="M6240" t="str">
            <v/>
          </cell>
        </row>
        <row r="6241">
          <cell r="A6241">
            <v>31102192</v>
          </cell>
          <cell r="C6241">
            <v>31102192</v>
          </cell>
          <cell r="D6241">
            <v>31102192</v>
          </cell>
          <cell r="E6241">
            <v>31102192</v>
          </cell>
          <cell r="F6241">
            <v>31102192</v>
          </cell>
          <cell r="G6241">
            <v>31102192</v>
          </cell>
          <cell r="H6241">
            <v>31102192</v>
          </cell>
          <cell r="I6241" t="str">
            <v/>
          </cell>
          <cell r="J6241" t="str">
            <v/>
          </cell>
          <cell r="K6241" t="str">
            <v/>
          </cell>
          <cell r="L6241" t="str">
            <v/>
          </cell>
          <cell r="M6241" t="str">
            <v/>
          </cell>
        </row>
        <row r="6242">
          <cell r="A6242">
            <v>31102192</v>
          </cell>
          <cell r="C6242">
            <v>31102192</v>
          </cell>
          <cell r="D6242">
            <v>31102192</v>
          </cell>
          <cell r="E6242">
            <v>31102192</v>
          </cell>
          <cell r="F6242">
            <v>31102192</v>
          </cell>
          <cell r="G6242">
            <v>31102192</v>
          </cell>
          <cell r="H6242">
            <v>31102192</v>
          </cell>
          <cell r="I6242" t="str">
            <v/>
          </cell>
          <cell r="J6242" t="str">
            <v/>
          </cell>
          <cell r="K6242" t="str">
            <v/>
          </cell>
          <cell r="L6242" t="str">
            <v/>
          </cell>
          <cell r="M6242" t="str">
            <v/>
          </cell>
        </row>
        <row r="6243">
          <cell r="A6243">
            <v>31102192</v>
          </cell>
          <cell r="C6243">
            <v>31102192</v>
          </cell>
          <cell r="D6243">
            <v>31102192</v>
          </cell>
          <cell r="E6243">
            <v>31102192</v>
          </cell>
          <cell r="F6243">
            <v>31102192</v>
          </cell>
          <cell r="G6243">
            <v>31102192</v>
          </cell>
          <cell r="H6243">
            <v>31102192</v>
          </cell>
          <cell r="I6243" t="str">
            <v/>
          </cell>
          <cell r="J6243" t="str">
            <v/>
          </cell>
          <cell r="K6243" t="str">
            <v/>
          </cell>
          <cell r="L6243" t="str">
            <v/>
          </cell>
          <cell r="M6243" t="str">
            <v/>
          </cell>
        </row>
        <row r="6244">
          <cell r="A6244">
            <v>31102192</v>
          </cell>
          <cell r="C6244">
            <v>31102192</v>
          </cell>
          <cell r="D6244">
            <v>31102192</v>
          </cell>
          <cell r="E6244">
            <v>31102192</v>
          </cell>
          <cell r="F6244">
            <v>31102192</v>
          </cell>
          <cell r="G6244">
            <v>31102192</v>
          </cell>
          <cell r="H6244">
            <v>31102192</v>
          </cell>
          <cell r="I6244" t="str">
            <v/>
          </cell>
          <cell r="J6244" t="str">
            <v/>
          </cell>
          <cell r="K6244" t="str">
            <v/>
          </cell>
          <cell r="L6244" t="str">
            <v/>
          </cell>
          <cell r="M6244" t="str">
            <v/>
          </cell>
        </row>
        <row r="6245">
          <cell r="A6245">
            <v>31102192</v>
          </cell>
          <cell r="C6245">
            <v>31102192</v>
          </cell>
          <cell r="D6245">
            <v>31102192</v>
          </cell>
          <cell r="E6245">
            <v>31102192</v>
          </cell>
          <cell r="F6245">
            <v>31102192</v>
          </cell>
          <cell r="G6245">
            <v>31102192</v>
          </cell>
          <cell r="H6245">
            <v>31102192</v>
          </cell>
          <cell r="I6245" t="str">
            <v/>
          </cell>
          <cell r="J6245" t="str">
            <v/>
          </cell>
          <cell r="K6245" t="str">
            <v/>
          </cell>
          <cell r="L6245" t="str">
            <v/>
          </cell>
          <cell r="M6245" t="str">
            <v/>
          </cell>
        </row>
        <row r="6246">
          <cell r="A6246">
            <v>31102192</v>
          </cell>
          <cell r="C6246">
            <v>31102192</v>
          </cell>
          <cell r="D6246">
            <v>31102192</v>
          </cell>
          <cell r="E6246">
            <v>31102192</v>
          </cell>
          <cell r="F6246">
            <v>31102192</v>
          </cell>
          <cell r="G6246">
            <v>31102192</v>
          </cell>
          <cell r="H6246">
            <v>31102192</v>
          </cell>
          <cell r="I6246" t="str">
            <v/>
          </cell>
          <cell r="J6246" t="str">
            <v/>
          </cell>
          <cell r="K6246" t="str">
            <v/>
          </cell>
          <cell r="L6246" t="str">
            <v/>
          </cell>
          <cell r="M6246" t="str">
            <v/>
          </cell>
        </row>
        <row r="6247">
          <cell r="A6247">
            <v>31102192</v>
          </cell>
          <cell r="C6247">
            <v>31102192</v>
          </cell>
          <cell r="D6247">
            <v>31102192</v>
          </cell>
          <cell r="E6247">
            <v>31102192</v>
          </cell>
          <cell r="F6247">
            <v>31102192</v>
          </cell>
          <cell r="G6247">
            <v>31102192</v>
          </cell>
          <cell r="H6247">
            <v>31102192</v>
          </cell>
          <cell r="I6247" t="str">
            <v/>
          </cell>
          <cell r="J6247" t="str">
            <v/>
          </cell>
          <cell r="K6247" t="str">
            <v/>
          </cell>
          <cell r="L6247" t="str">
            <v/>
          </cell>
          <cell r="M6247" t="str">
            <v/>
          </cell>
        </row>
        <row r="6248">
          <cell r="A6248">
            <v>31102192</v>
          </cell>
          <cell r="C6248">
            <v>31102192</v>
          </cell>
          <cell r="D6248">
            <v>31102192</v>
          </cell>
          <cell r="E6248">
            <v>31102192</v>
          </cell>
          <cell r="F6248">
            <v>31102192</v>
          </cell>
          <cell r="G6248">
            <v>31102192</v>
          </cell>
          <cell r="H6248">
            <v>31102192</v>
          </cell>
          <cell r="I6248" t="str">
            <v/>
          </cell>
          <cell r="J6248" t="str">
            <v/>
          </cell>
          <cell r="K6248" t="str">
            <v/>
          </cell>
          <cell r="L6248" t="str">
            <v/>
          </cell>
          <cell r="M6248" t="str">
            <v/>
          </cell>
        </row>
        <row r="6249">
          <cell r="A6249">
            <v>31102192</v>
          </cell>
          <cell r="C6249">
            <v>31102192</v>
          </cell>
          <cell r="D6249">
            <v>31102192</v>
          </cell>
          <cell r="E6249">
            <v>31102192</v>
          </cell>
          <cell r="F6249">
            <v>31102192</v>
          </cell>
          <cell r="G6249">
            <v>31102192</v>
          </cell>
          <cell r="H6249">
            <v>31102192</v>
          </cell>
          <cell r="I6249" t="str">
            <v/>
          </cell>
          <cell r="J6249" t="str">
            <v/>
          </cell>
          <cell r="K6249" t="str">
            <v/>
          </cell>
          <cell r="L6249" t="str">
            <v/>
          </cell>
          <cell r="M6249" t="str">
            <v/>
          </cell>
        </row>
        <row r="6250">
          <cell r="A6250">
            <v>31102192</v>
          </cell>
          <cell r="C6250">
            <v>31102192</v>
          </cell>
          <cell r="D6250">
            <v>31102192</v>
          </cell>
          <cell r="E6250">
            <v>31102192</v>
          </cell>
          <cell r="F6250">
            <v>31102192</v>
          </cell>
          <cell r="G6250">
            <v>31102192</v>
          </cell>
          <cell r="H6250">
            <v>31102192</v>
          </cell>
          <cell r="I6250" t="str">
            <v/>
          </cell>
          <cell r="J6250" t="str">
            <v/>
          </cell>
          <cell r="K6250" t="str">
            <v/>
          </cell>
          <cell r="L6250" t="str">
            <v/>
          </cell>
          <cell r="M6250" t="str">
            <v/>
          </cell>
        </row>
        <row r="6251">
          <cell r="A6251">
            <v>31102192</v>
          </cell>
          <cell r="C6251">
            <v>31102192</v>
          </cell>
          <cell r="D6251">
            <v>31102192</v>
          </cell>
          <cell r="E6251">
            <v>31102192</v>
          </cell>
          <cell r="F6251">
            <v>31102192</v>
          </cell>
          <cell r="G6251">
            <v>31102192</v>
          </cell>
          <cell r="H6251">
            <v>31102192</v>
          </cell>
          <cell r="I6251" t="str">
            <v/>
          </cell>
          <cell r="J6251" t="str">
            <v/>
          </cell>
          <cell r="K6251" t="str">
            <v/>
          </cell>
          <cell r="L6251" t="str">
            <v/>
          </cell>
          <cell r="M6251" t="str">
            <v/>
          </cell>
        </row>
        <row r="6252">
          <cell r="A6252">
            <v>31102192</v>
          </cell>
          <cell r="C6252">
            <v>31102192</v>
          </cell>
          <cell r="D6252">
            <v>31102192</v>
          </cell>
          <cell r="E6252">
            <v>31102192</v>
          </cell>
          <cell r="F6252">
            <v>31102192</v>
          </cell>
          <cell r="G6252">
            <v>31102192</v>
          </cell>
          <cell r="H6252">
            <v>31102192</v>
          </cell>
          <cell r="I6252" t="str">
            <v/>
          </cell>
          <cell r="J6252" t="str">
            <v/>
          </cell>
          <cell r="K6252" t="str">
            <v/>
          </cell>
          <cell r="L6252" t="str">
            <v/>
          </cell>
          <cell r="M6252" t="str">
            <v/>
          </cell>
        </row>
        <row r="6253">
          <cell r="A6253">
            <v>31102192</v>
          </cell>
          <cell r="C6253">
            <v>31102192</v>
          </cell>
          <cell r="D6253">
            <v>31102192</v>
          </cell>
          <cell r="E6253">
            <v>31102192</v>
          </cell>
          <cell r="F6253">
            <v>31102192</v>
          </cell>
          <cell r="G6253">
            <v>31102192</v>
          </cell>
          <cell r="H6253">
            <v>31102192</v>
          </cell>
          <cell r="I6253" t="str">
            <v/>
          </cell>
          <cell r="J6253" t="str">
            <v/>
          </cell>
          <cell r="K6253" t="str">
            <v/>
          </cell>
          <cell r="L6253" t="str">
            <v/>
          </cell>
          <cell r="M6253" t="str">
            <v/>
          </cell>
        </row>
        <row r="6254">
          <cell r="A6254">
            <v>31102192</v>
          </cell>
          <cell r="C6254">
            <v>31102192</v>
          </cell>
          <cell r="D6254">
            <v>31102192</v>
          </cell>
          <cell r="E6254">
            <v>31102192</v>
          </cell>
          <cell r="F6254">
            <v>31102192</v>
          </cell>
          <cell r="G6254">
            <v>31102192</v>
          </cell>
          <cell r="H6254">
            <v>31102192</v>
          </cell>
          <cell r="I6254" t="str">
            <v/>
          </cell>
          <cell r="J6254" t="str">
            <v/>
          </cell>
          <cell r="K6254" t="str">
            <v/>
          </cell>
          <cell r="L6254" t="str">
            <v/>
          </cell>
          <cell r="M6254" t="str">
            <v/>
          </cell>
        </row>
        <row r="6255">
          <cell r="A6255">
            <v>31102192</v>
          </cell>
          <cell r="C6255">
            <v>31102192</v>
          </cell>
          <cell r="D6255">
            <v>31102192</v>
          </cell>
          <cell r="E6255">
            <v>31102192</v>
          </cell>
          <cell r="F6255">
            <v>31102192</v>
          </cell>
          <cell r="G6255">
            <v>31102192</v>
          </cell>
          <cell r="H6255">
            <v>31102192</v>
          </cell>
          <cell r="I6255" t="str">
            <v/>
          </cell>
          <cell r="J6255" t="str">
            <v/>
          </cell>
          <cell r="K6255" t="str">
            <v/>
          </cell>
          <cell r="L6255" t="str">
            <v/>
          </cell>
          <cell r="M6255" t="str">
            <v/>
          </cell>
        </row>
        <row r="6256">
          <cell r="A6256">
            <v>31102192</v>
          </cell>
          <cell r="C6256">
            <v>31102192</v>
          </cell>
          <cell r="D6256">
            <v>31102192</v>
          </cell>
          <cell r="E6256">
            <v>31102192</v>
          </cell>
          <cell r="F6256">
            <v>31102192</v>
          </cell>
          <cell r="G6256">
            <v>31102192</v>
          </cell>
          <cell r="H6256">
            <v>31102192</v>
          </cell>
          <cell r="I6256" t="str">
            <v/>
          </cell>
          <cell r="J6256" t="str">
            <v/>
          </cell>
          <cell r="K6256" t="str">
            <v/>
          </cell>
          <cell r="L6256" t="str">
            <v/>
          </cell>
          <cell r="M6256" t="str">
            <v/>
          </cell>
        </row>
        <row r="6257">
          <cell r="A6257">
            <v>31102192</v>
          </cell>
          <cell r="C6257">
            <v>31102192</v>
          </cell>
          <cell r="D6257">
            <v>31102192</v>
          </cell>
          <cell r="E6257">
            <v>31102192</v>
          </cell>
          <cell r="F6257">
            <v>31102192</v>
          </cell>
          <cell r="G6257">
            <v>31102192</v>
          </cell>
          <cell r="H6257">
            <v>31102192</v>
          </cell>
          <cell r="I6257" t="str">
            <v/>
          </cell>
          <cell r="J6257" t="str">
            <v/>
          </cell>
          <cell r="K6257" t="str">
            <v/>
          </cell>
          <cell r="L6257" t="str">
            <v/>
          </cell>
          <cell r="M6257" t="str">
            <v/>
          </cell>
        </row>
        <row r="6258">
          <cell r="A6258">
            <v>31102192</v>
          </cell>
          <cell r="C6258">
            <v>31102192</v>
          </cell>
          <cell r="D6258">
            <v>31102192</v>
          </cell>
          <cell r="E6258">
            <v>31102192</v>
          </cell>
          <cell r="F6258">
            <v>31102192</v>
          </cell>
          <cell r="G6258">
            <v>31102192</v>
          </cell>
          <cell r="H6258">
            <v>31102192</v>
          </cell>
          <cell r="I6258" t="str">
            <v/>
          </cell>
          <cell r="J6258" t="str">
            <v/>
          </cell>
          <cell r="K6258" t="str">
            <v/>
          </cell>
          <cell r="L6258" t="str">
            <v/>
          </cell>
          <cell r="M6258" t="str">
            <v/>
          </cell>
        </row>
        <row r="6259">
          <cell r="A6259">
            <v>31102192</v>
          </cell>
          <cell r="C6259">
            <v>31102192</v>
          </cell>
          <cell r="D6259">
            <v>31102192</v>
          </cell>
          <cell r="E6259">
            <v>31102192</v>
          </cell>
          <cell r="F6259">
            <v>31102192</v>
          </cell>
          <cell r="G6259">
            <v>31102192</v>
          </cell>
          <cell r="H6259">
            <v>31102192</v>
          </cell>
          <cell r="I6259" t="str">
            <v/>
          </cell>
          <cell r="J6259" t="str">
            <v/>
          </cell>
          <cell r="K6259" t="str">
            <v/>
          </cell>
          <cell r="L6259" t="str">
            <v/>
          </cell>
          <cell r="M6259" t="str">
            <v/>
          </cell>
        </row>
        <row r="6260">
          <cell r="A6260">
            <v>31102192</v>
          </cell>
          <cell r="C6260">
            <v>31102192</v>
          </cell>
          <cell r="D6260">
            <v>31102192</v>
          </cell>
          <cell r="E6260">
            <v>31102192</v>
          </cell>
          <cell r="F6260">
            <v>31102192</v>
          </cell>
          <cell r="G6260">
            <v>31102192</v>
          </cell>
          <cell r="H6260">
            <v>31102192</v>
          </cell>
          <cell r="I6260" t="str">
            <v/>
          </cell>
          <cell r="J6260" t="str">
            <v/>
          </cell>
          <cell r="K6260" t="str">
            <v/>
          </cell>
          <cell r="L6260" t="str">
            <v/>
          </cell>
          <cell r="M6260" t="str">
            <v/>
          </cell>
        </row>
        <row r="6261">
          <cell r="A6261">
            <v>31102192</v>
          </cell>
          <cell r="C6261">
            <v>31102192</v>
          </cell>
          <cell r="D6261">
            <v>31102192</v>
          </cell>
          <cell r="E6261">
            <v>31102192</v>
          </cell>
          <cell r="F6261">
            <v>31102192</v>
          </cell>
          <cell r="G6261">
            <v>31102192</v>
          </cell>
          <cell r="H6261">
            <v>31102192</v>
          </cell>
          <cell r="I6261" t="str">
            <v/>
          </cell>
          <cell r="J6261" t="str">
            <v/>
          </cell>
          <cell r="K6261" t="str">
            <v/>
          </cell>
          <cell r="L6261" t="str">
            <v/>
          </cell>
          <cell r="M6261" t="str">
            <v/>
          </cell>
        </row>
        <row r="6262">
          <cell r="A6262">
            <v>31102192</v>
          </cell>
          <cell r="C6262">
            <v>31102192</v>
          </cell>
          <cell r="D6262">
            <v>31102192</v>
          </cell>
          <cell r="E6262">
            <v>31102192</v>
          </cell>
          <cell r="F6262">
            <v>31102192</v>
          </cell>
          <cell r="G6262">
            <v>31102192</v>
          </cell>
          <cell r="H6262">
            <v>31102192</v>
          </cell>
          <cell r="I6262" t="str">
            <v/>
          </cell>
          <cell r="J6262" t="str">
            <v/>
          </cell>
          <cell r="K6262" t="str">
            <v/>
          </cell>
          <cell r="L6262" t="str">
            <v/>
          </cell>
          <cell r="M6262" t="str">
            <v/>
          </cell>
        </row>
        <row r="6263">
          <cell r="A6263">
            <v>31102192</v>
          </cell>
          <cell r="C6263">
            <v>31102192</v>
          </cell>
          <cell r="D6263">
            <v>31102192</v>
          </cell>
          <cell r="E6263">
            <v>31102192</v>
          </cell>
          <cell r="F6263">
            <v>31102192</v>
          </cell>
          <cell r="G6263">
            <v>31102192</v>
          </cell>
          <cell r="H6263">
            <v>31102192</v>
          </cell>
          <cell r="I6263" t="str">
            <v/>
          </cell>
          <cell r="J6263" t="str">
            <v/>
          </cell>
          <cell r="K6263" t="str">
            <v/>
          </cell>
          <cell r="L6263" t="str">
            <v/>
          </cell>
          <cell r="M6263" t="str">
            <v/>
          </cell>
        </row>
        <row r="6264">
          <cell r="A6264">
            <v>31102192</v>
          </cell>
          <cell r="C6264">
            <v>31102192</v>
          </cell>
          <cell r="D6264">
            <v>31102192</v>
          </cell>
          <cell r="E6264">
            <v>31102192</v>
          </cell>
          <cell r="F6264">
            <v>31102192</v>
          </cell>
          <cell r="G6264">
            <v>31102192</v>
          </cell>
          <cell r="H6264">
            <v>31102192</v>
          </cell>
          <cell r="I6264" t="str">
            <v/>
          </cell>
          <cell r="J6264" t="str">
            <v/>
          </cell>
          <cell r="K6264" t="str">
            <v/>
          </cell>
          <cell r="L6264" t="str">
            <v/>
          </cell>
          <cell r="M6264" t="str">
            <v/>
          </cell>
        </row>
        <row r="6265">
          <cell r="A6265">
            <v>31102192</v>
          </cell>
          <cell r="C6265">
            <v>31102192</v>
          </cell>
          <cell r="D6265">
            <v>31102192</v>
          </cell>
          <cell r="E6265">
            <v>31102192</v>
          </cell>
          <cell r="F6265">
            <v>31102192</v>
          </cell>
          <cell r="G6265">
            <v>31102192</v>
          </cell>
          <cell r="H6265">
            <v>31102192</v>
          </cell>
          <cell r="I6265" t="str">
            <v/>
          </cell>
          <cell r="J6265" t="str">
            <v/>
          </cell>
          <cell r="K6265" t="str">
            <v/>
          </cell>
          <cell r="L6265" t="str">
            <v/>
          </cell>
          <cell r="M6265" t="str">
            <v/>
          </cell>
        </row>
        <row r="6266">
          <cell r="A6266">
            <v>31102192</v>
          </cell>
          <cell r="C6266">
            <v>31102192</v>
          </cell>
          <cell r="D6266">
            <v>31102192</v>
          </cell>
          <cell r="E6266">
            <v>31102192</v>
          </cell>
          <cell r="F6266">
            <v>31102192</v>
          </cell>
          <cell r="G6266">
            <v>31102192</v>
          </cell>
          <cell r="H6266">
            <v>31102192</v>
          </cell>
          <cell r="I6266" t="str">
            <v/>
          </cell>
          <cell r="J6266" t="str">
            <v/>
          </cell>
          <cell r="K6266" t="str">
            <v/>
          </cell>
          <cell r="L6266" t="str">
            <v/>
          </cell>
          <cell r="M6266" t="str">
            <v/>
          </cell>
        </row>
        <row r="6267">
          <cell r="A6267">
            <v>31102192</v>
          </cell>
          <cell r="C6267">
            <v>31102192</v>
          </cell>
          <cell r="D6267">
            <v>31102192</v>
          </cell>
          <cell r="E6267">
            <v>31102192</v>
          </cell>
          <cell r="F6267">
            <v>31102192</v>
          </cell>
          <cell r="G6267">
            <v>31102192</v>
          </cell>
          <cell r="H6267">
            <v>31102192</v>
          </cell>
          <cell r="I6267" t="str">
            <v/>
          </cell>
          <cell r="J6267" t="str">
            <v/>
          </cell>
          <cell r="K6267" t="str">
            <v/>
          </cell>
          <cell r="L6267" t="str">
            <v/>
          </cell>
          <cell r="M6267" t="str">
            <v/>
          </cell>
        </row>
        <row r="6268">
          <cell r="A6268">
            <v>31102192</v>
          </cell>
          <cell r="C6268">
            <v>31102192</v>
          </cell>
          <cell r="D6268">
            <v>31102192</v>
          </cell>
          <cell r="E6268">
            <v>31102192</v>
          </cell>
          <cell r="F6268">
            <v>31102192</v>
          </cell>
          <cell r="G6268">
            <v>31102192</v>
          </cell>
          <cell r="H6268">
            <v>31102192</v>
          </cell>
          <cell r="I6268" t="str">
            <v/>
          </cell>
          <cell r="J6268" t="str">
            <v/>
          </cell>
          <cell r="K6268" t="str">
            <v/>
          </cell>
          <cell r="L6268" t="str">
            <v/>
          </cell>
          <cell r="M6268" t="str">
            <v/>
          </cell>
        </row>
        <row r="6269">
          <cell r="A6269">
            <v>31102192</v>
          </cell>
          <cell r="C6269">
            <v>31102192</v>
          </cell>
          <cell r="D6269">
            <v>31102192</v>
          </cell>
          <cell r="E6269">
            <v>31102192</v>
          </cell>
          <cell r="F6269">
            <v>31102192</v>
          </cell>
          <cell r="G6269">
            <v>31102192</v>
          </cell>
          <cell r="H6269">
            <v>31102192</v>
          </cell>
          <cell r="I6269" t="str">
            <v/>
          </cell>
          <cell r="J6269" t="str">
            <v/>
          </cell>
          <cell r="K6269" t="str">
            <v/>
          </cell>
          <cell r="L6269" t="str">
            <v/>
          </cell>
          <cell r="M6269" t="str">
            <v/>
          </cell>
        </row>
        <row r="6270">
          <cell r="A6270">
            <v>31102192</v>
          </cell>
          <cell r="C6270">
            <v>31102192</v>
          </cell>
          <cell r="D6270">
            <v>31102192</v>
          </cell>
          <cell r="E6270">
            <v>31102192</v>
          </cell>
          <cell r="F6270">
            <v>31102192</v>
          </cell>
          <cell r="G6270">
            <v>31102192</v>
          </cell>
          <cell r="H6270">
            <v>31102192</v>
          </cell>
          <cell r="I6270" t="str">
            <v/>
          </cell>
          <cell r="J6270" t="str">
            <v/>
          </cell>
          <cell r="K6270" t="str">
            <v/>
          </cell>
          <cell r="L6270" t="str">
            <v/>
          </cell>
          <cell r="M6270" t="str">
            <v/>
          </cell>
        </row>
        <row r="6271">
          <cell r="A6271">
            <v>31102192</v>
          </cell>
          <cell r="C6271">
            <v>31102192</v>
          </cell>
          <cell r="D6271">
            <v>31102192</v>
          </cell>
          <cell r="E6271">
            <v>31102192</v>
          </cell>
          <cell r="F6271">
            <v>31102192</v>
          </cell>
          <cell r="G6271">
            <v>31102192</v>
          </cell>
          <cell r="H6271">
            <v>31102192</v>
          </cell>
          <cell r="I6271" t="str">
            <v/>
          </cell>
          <cell r="J6271" t="str">
            <v/>
          </cell>
          <cell r="K6271" t="str">
            <v/>
          </cell>
          <cell r="L6271" t="str">
            <v/>
          </cell>
          <cell r="M6271" t="str">
            <v/>
          </cell>
        </row>
        <row r="6272">
          <cell r="A6272">
            <v>31102192</v>
          </cell>
          <cell r="C6272">
            <v>31102192</v>
          </cell>
          <cell r="D6272">
            <v>31102192</v>
          </cell>
          <cell r="E6272">
            <v>31102192</v>
          </cell>
          <cell r="F6272">
            <v>31102192</v>
          </cell>
          <cell r="G6272">
            <v>31102192</v>
          </cell>
          <cell r="H6272">
            <v>31102192</v>
          </cell>
          <cell r="I6272" t="str">
            <v/>
          </cell>
          <cell r="J6272" t="str">
            <v/>
          </cell>
          <cell r="K6272" t="str">
            <v/>
          </cell>
          <cell r="L6272" t="str">
            <v/>
          </cell>
          <cell r="M6272" t="str">
            <v/>
          </cell>
        </row>
        <row r="6273">
          <cell r="A6273">
            <v>31102192</v>
          </cell>
          <cell r="C6273">
            <v>31102192</v>
          </cell>
          <cell r="D6273">
            <v>31102192</v>
          </cell>
          <cell r="E6273">
            <v>31102192</v>
          </cell>
          <cell r="F6273">
            <v>31102192</v>
          </cell>
          <cell r="G6273">
            <v>31102192</v>
          </cell>
          <cell r="H6273">
            <v>31102192</v>
          </cell>
          <cell r="I6273" t="str">
            <v/>
          </cell>
          <cell r="J6273" t="str">
            <v/>
          </cell>
          <cell r="K6273" t="str">
            <v/>
          </cell>
          <cell r="L6273" t="str">
            <v/>
          </cell>
          <cell r="M6273" t="str">
            <v/>
          </cell>
        </row>
        <row r="6274">
          <cell r="A6274">
            <v>31102192</v>
          </cell>
          <cell r="C6274">
            <v>31102192</v>
          </cell>
          <cell r="D6274">
            <v>31102192</v>
          </cell>
          <cell r="E6274">
            <v>31102192</v>
          </cell>
          <cell r="F6274">
            <v>31102192</v>
          </cell>
          <cell r="G6274">
            <v>31102192</v>
          </cell>
          <cell r="H6274">
            <v>31102192</v>
          </cell>
          <cell r="I6274" t="str">
            <v/>
          </cell>
          <cell r="J6274" t="str">
            <v/>
          </cell>
          <cell r="K6274" t="str">
            <v/>
          </cell>
          <cell r="L6274" t="str">
            <v/>
          </cell>
          <cell r="M6274" t="str">
            <v/>
          </cell>
        </row>
        <row r="6275">
          <cell r="A6275">
            <v>31102192</v>
          </cell>
          <cell r="C6275">
            <v>31102192</v>
          </cell>
          <cell r="D6275">
            <v>31102192</v>
          </cell>
          <cell r="E6275">
            <v>31102192</v>
          </cell>
          <cell r="F6275">
            <v>31102192</v>
          </cell>
          <cell r="G6275">
            <v>31102192</v>
          </cell>
          <cell r="H6275">
            <v>31102192</v>
          </cell>
          <cell r="I6275" t="str">
            <v/>
          </cell>
          <cell r="J6275" t="str">
            <v/>
          </cell>
          <cell r="K6275" t="str">
            <v/>
          </cell>
          <cell r="L6275" t="str">
            <v/>
          </cell>
          <cell r="M6275" t="str">
            <v/>
          </cell>
        </row>
        <row r="6276">
          <cell r="A6276">
            <v>31102192</v>
          </cell>
          <cell r="C6276">
            <v>31102192</v>
          </cell>
          <cell r="D6276">
            <v>31102192</v>
          </cell>
          <cell r="E6276">
            <v>31102192</v>
          </cell>
          <cell r="F6276">
            <v>31102192</v>
          </cell>
          <cell r="G6276">
            <v>31102192</v>
          </cell>
          <cell r="H6276">
            <v>31102192</v>
          </cell>
          <cell r="I6276" t="str">
            <v/>
          </cell>
          <cell r="J6276" t="str">
            <v/>
          </cell>
          <cell r="K6276" t="str">
            <v/>
          </cell>
          <cell r="L6276" t="str">
            <v/>
          </cell>
          <cell r="M6276" t="str">
            <v/>
          </cell>
        </row>
        <row r="6277">
          <cell r="A6277">
            <v>31102192</v>
          </cell>
          <cell r="C6277">
            <v>31102192</v>
          </cell>
          <cell r="D6277">
            <v>31102192</v>
          </cell>
          <cell r="E6277">
            <v>31102192</v>
          </cell>
          <cell r="F6277">
            <v>31102192</v>
          </cell>
          <cell r="G6277">
            <v>31102192</v>
          </cell>
          <cell r="H6277">
            <v>31102192</v>
          </cell>
          <cell r="I6277" t="str">
            <v/>
          </cell>
          <cell r="J6277" t="str">
            <v/>
          </cell>
          <cell r="K6277" t="str">
            <v/>
          </cell>
          <cell r="L6277" t="str">
            <v/>
          </cell>
          <cell r="M6277" t="str">
            <v/>
          </cell>
        </row>
        <row r="6278">
          <cell r="A6278">
            <v>31102192</v>
          </cell>
          <cell r="C6278">
            <v>31102192</v>
          </cell>
          <cell r="D6278">
            <v>31102192</v>
          </cell>
          <cell r="E6278">
            <v>31102192</v>
          </cell>
          <cell r="F6278">
            <v>31102192</v>
          </cell>
          <cell r="G6278">
            <v>31102192</v>
          </cell>
          <cell r="H6278">
            <v>31102192</v>
          </cell>
          <cell r="I6278" t="str">
            <v/>
          </cell>
          <cell r="J6278" t="str">
            <v/>
          </cell>
          <cell r="K6278" t="str">
            <v/>
          </cell>
          <cell r="L6278" t="str">
            <v/>
          </cell>
          <cell r="M6278" t="str">
            <v/>
          </cell>
        </row>
        <row r="6279">
          <cell r="A6279">
            <v>31102192</v>
          </cell>
          <cell r="C6279">
            <v>31102192</v>
          </cell>
          <cell r="D6279">
            <v>31102192</v>
          </cell>
          <cell r="E6279">
            <v>31102192</v>
          </cell>
          <cell r="F6279">
            <v>31102192</v>
          </cell>
          <cell r="G6279">
            <v>31102192</v>
          </cell>
          <cell r="H6279">
            <v>31102192</v>
          </cell>
          <cell r="I6279" t="str">
            <v/>
          </cell>
          <cell r="J6279" t="str">
            <v/>
          </cell>
          <cell r="K6279" t="str">
            <v/>
          </cell>
          <cell r="L6279" t="str">
            <v/>
          </cell>
          <cell r="M6279" t="str">
            <v/>
          </cell>
        </row>
        <row r="6280">
          <cell r="A6280">
            <v>31102192</v>
          </cell>
          <cell r="C6280">
            <v>31102192</v>
          </cell>
          <cell r="D6280">
            <v>31102192</v>
          </cell>
          <cell r="E6280">
            <v>31102192</v>
          </cell>
          <cell r="F6280">
            <v>31102192</v>
          </cell>
          <cell r="G6280">
            <v>31102192</v>
          </cell>
          <cell r="H6280">
            <v>31102192</v>
          </cell>
          <cell r="I6280" t="str">
            <v/>
          </cell>
          <cell r="J6280" t="str">
            <v/>
          </cell>
          <cell r="K6280" t="str">
            <v/>
          </cell>
          <cell r="L6280" t="str">
            <v/>
          </cell>
          <cell r="M6280" t="str">
            <v/>
          </cell>
        </row>
        <row r="6281">
          <cell r="A6281">
            <v>31102192</v>
          </cell>
          <cell r="C6281">
            <v>31102192</v>
          </cell>
          <cell r="D6281">
            <v>31102192</v>
          </cell>
          <cell r="E6281">
            <v>31102192</v>
          </cell>
          <cell r="F6281">
            <v>31102192</v>
          </cell>
          <cell r="G6281">
            <v>31102192</v>
          </cell>
          <cell r="H6281">
            <v>31102192</v>
          </cell>
          <cell r="I6281" t="str">
            <v/>
          </cell>
          <cell r="J6281" t="str">
            <v/>
          </cell>
          <cell r="K6281" t="str">
            <v/>
          </cell>
          <cell r="L6281" t="str">
            <v/>
          </cell>
          <cell r="M6281" t="str">
            <v/>
          </cell>
        </row>
        <row r="6282">
          <cell r="A6282">
            <v>31102192</v>
          </cell>
          <cell r="C6282">
            <v>31102192</v>
          </cell>
          <cell r="D6282">
            <v>31102192</v>
          </cell>
          <cell r="E6282">
            <v>31102192</v>
          </cell>
          <cell r="F6282">
            <v>31102192</v>
          </cell>
          <cell r="G6282">
            <v>31102192</v>
          </cell>
          <cell r="H6282">
            <v>31102192</v>
          </cell>
          <cell r="I6282" t="str">
            <v/>
          </cell>
          <cell r="J6282" t="str">
            <v/>
          </cell>
          <cell r="K6282" t="str">
            <v/>
          </cell>
          <cell r="L6282" t="str">
            <v/>
          </cell>
          <cell r="M6282" t="str">
            <v/>
          </cell>
        </row>
        <row r="6283">
          <cell r="A6283">
            <v>31102192</v>
          </cell>
          <cell r="C6283">
            <v>31102192</v>
          </cell>
          <cell r="D6283">
            <v>31102192</v>
          </cell>
          <cell r="E6283">
            <v>31102192</v>
          </cell>
          <cell r="F6283">
            <v>31102192</v>
          </cell>
          <cell r="G6283">
            <v>31102192</v>
          </cell>
          <cell r="H6283">
            <v>31102192</v>
          </cell>
          <cell r="I6283" t="str">
            <v/>
          </cell>
          <cell r="J6283" t="str">
            <v/>
          </cell>
          <cell r="K6283" t="str">
            <v/>
          </cell>
          <cell r="L6283" t="str">
            <v/>
          </cell>
          <cell r="M6283" t="str">
            <v/>
          </cell>
        </row>
        <row r="6284">
          <cell r="A6284">
            <v>31102192</v>
          </cell>
          <cell r="C6284">
            <v>31102192</v>
          </cell>
          <cell r="D6284">
            <v>31102192</v>
          </cell>
          <cell r="E6284">
            <v>31102192</v>
          </cell>
          <cell r="F6284">
            <v>31102192</v>
          </cell>
          <cell r="G6284">
            <v>31102192</v>
          </cell>
          <cell r="H6284">
            <v>31102192</v>
          </cell>
          <cell r="I6284" t="str">
            <v/>
          </cell>
          <cell r="J6284" t="str">
            <v/>
          </cell>
          <cell r="K6284" t="str">
            <v/>
          </cell>
          <cell r="L6284" t="str">
            <v/>
          </cell>
          <cell r="M6284" t="str">
            <v/>
          </cell>
        </row>
        <row r="6285">
          <cell r="A6285">
            <v>31102192</v>
          </cell>
          <cell r="C6285">
            <v>31102192</v>
          </cell>
          <cell r="D6285">
            <v>31102192</v>
          </cell>
          <cell r="E6285">
            <v>31102192</v>
          </cell>
          <cell r="F6285">
            <v>31102192</v>
          </cell>
          <cell r="G6285">
            <v>31102192</v>
          </cell>
          <cell r="H6285">
            <v>31102192</v>
          </cell>
          <cell r="I6285" t="str">
            <v/>
          </cell>
          <cell r="J6285" t="str">
            <v/>
          </cell>
          <cell r="K6285" t="str">
            <v/>
          </cell>
          <cell r="L6285" t="str">
            <v/>
          </cell>
          <cell r="M6285" t="str">
            <v/>
          </cell>
        </row>
        <row r="6286">
          <cell r="A6286">
            <v>31102192</v>
          </cell>
          <cell r="C6286">
            <v>31102192</v>
          </cell>
          <cell r="D6286">
            <v>31102192</v>
          </cell>
          <cell r="E6286">
            <v>31102192</v>
          </cell>
          <cell r="F6286">
            <v>31102192</v>
          </cell>
          <cell r="G6286">
            <v>31102192</v>
          </cell>
          <cell r="H6286">
            <v>31102192</v>
          </cell>
          <cell r="I6286" t="str">
            <v/>
          </cell>
          <cell r="J6286" t="str">
            <v/>
          </cell>
          <cell r="K6286" t="str">
            <v/>
          </cell>
          <cell r="L6286" t="str">
            <v/>
          </cell>
          <cell r="M6286" t="str">
            <v/>
          </cell>
        </row>
        <row r="6287">
          <cell r="A6287">
            <v>31102192</v>
          </cell>
          <cell r="C6287">
            <v>31102192</v>
          </cell>
          <cell r="D6287">
            <v>31102192</v>
          </cell>
          <cell r="E6287">
            <v>31102192</v>
          </cell>
          <cell r="F6287">
            <v>31102192</v>
          </cell>
          <cell r="G6287">
            <v>31102192</v>
          </cell>
          <cell r="H6287">
            <v>31102192</v>
          </cell>
          <cell r="I6287" t="str">
            <v/>
          </cell>
          <cell r="J6287" t="str">
            <v/>
          </cell>
          <cell r="K6287" t="str">
            <v/>
          </cell>
          <cell r="L6287" t="str">
            <v/>
          </cell>
          <cell r="M6287" t="str">
            <v/>
          </cell>
        </row>
        <row r="6288">
          <cell r="A6288">
            <v>31102192</v>
          </cell>
          <cell r="C6288">
            <v>31102192</v>
          </cell>
          <cell r="D6288">
            <v>31102192</v>
          </cell>
          <cell r="E6288">
            <v>31102192</v>
          </cell>
          <cell r="F6288">
            <v>31102192</v>
          </cell>
          <cell r="G6288">
            <v>31102192</v>
          </cell>
          <cell r="H6288">
            <v>31102192</v>
          </cell>
          <cell r="I6288" t="str">
            <v/>
          </cell>
          <cell r="J6288" t="str">
            <v/>
          </cell>
          <cell r="K6288" t="str">
            <v/>
          </cell>
          <cell r="L6288" t="str">
            <v/>
          </cell>
          <cell r="M6288" t="str">
            <v/>
          </cell>
        </row>
        <row r="6289">
          <cell r="A6289">
            <v>31102192</v>
          </cell>
          <cell r="C6289">
            <v>31102192</v>
          </cell>
          <cell r="D6289">
            <v>31102192</v>
          </cell>
          <cell r="E6289">
            <v>31102192</v>
          </cell>
          <cell r="F6289">
            <v>31102192</v>
          </cell>
          <cell r="G6289">
            <v>31102192</v>
          </cell>
          <cell r="H6289">
            <v>31102192</v>
          </cell>
          <cell r="I6289" t="str">
            <v/>
          </cell>
          <cell r="J6289" t="str">
            <v/>
          </cell>
          <cell r="K6289" t="str">
            <v/>
          </cell>
          <cell r="L6289" t="str">
            <v/>
          </cell>
          <cell r="M6289" t="str">
            <v/>
          </cell>
        </row>
        <row r="6290">
          <cell r="A6290">
            <v>31102192</v>
          </cell>
          <cell r="C6290">
            <v>31102192</v>
          </cell>
          <cell r="D6290">
            <v>31102192</v>
          </cell>
          <cell r="E6290">
            <v>31102192</v>
          </cell>
          <cell r="F6290">
            <v>31102192</v>
          </cell>
          <cell r="G6290">
            <v>31102192</v>
          </cell>
          <cell r="H6290">
            <v>31102192</v>
          </cell>
          <cell r="I6290" t="str">
            <v/>
          </cell>
          <cell r="J6290" t="str">
            <v/>
          </cell>
          <cell r="K6290" t="str">
            <v/>
          </cell>
          <cell r="L6290" t="str">
            <v/>
          </cell>
          <cell r="M6290" t="str">
            <v/>
          </cell>
        </row>
        <row r="6291">
          <cell r="A6291">
            <v>31102192</v>
          </cell>
          <cell r="C6291">
            <v>31102192</v>
          </cell>
          <cell r="D6291">
            <v>31102192</v>
          </cell>
          <cell r="E6291">
            <v>31102192</v>
          </cell>
          <cell r="F6291">
            <v>31102192</v>
          </cell>
          <cell r="G6291">
            <v>31102192</v>
          </cell>
          <cell r="H6291">
            <v>31102192</v>
          </cell>
          <cell r="I6291" t="str">
            <v/>
          </cell>
          <cell r="J6291" t="str">
            <v/>
          </cell>
          <cell r="K6291" t="str">
            <v/>
          </cell>
          <cell r="L6291" t="str">
            <v/>
          </cell>
          <cell r="M6291" t="str">
            <v/>
          </cell>
        </row>
        <row r="6292">
          <cell r="A6292">
            <v>31102192</v>
          </cell>
          <cell r="C6292">
            <v>31102192</v>
          </cell>
          <cell r="D6292">
            <v>31102192</v>
          </cell>
          <cell r="E6292">
            <v>31102192</v>
          </cell>
          <cell r="F6292">
            <v>31102192</v>
          </cell>
          <cell r="G6292">
            <v>31102192</v>
          </cell>
          <cell r="H6292">
            <v>31102192</v>
          </cell>
          <cell r="I6292" t="str">
            <v/>
          </cell>
          <cell r="J6292" t="str">
            <v/>
          </cell>
          <cell r="K6292" t="str">
            <v/>
          </cell>
          <cell r="L6292" t="str">
            <v/>
          </cell>
          <cell r="M6292" t="str">
            <v/>
          </cell>
        </row>
        <row r="6293">
          <cell r="A6293">
            <v>31102192</v>
          </cell>
          <cell r="C6293">
            <v>31102192</v>
          </cell>
          <cell r="D6293">
            <v>31102192</v>
          </cell>
          <cell r="E6293">
            <v>31102192</v>
          </cell>
          <cell r="F6293">
            <v>31102192</v>
          </cell>
          <cell r="G6293">
            <v>31102192</v>
          </cell>
          <cell r="H6293">
            <v>31102192</v>
          </cell>
          <cell r="I6293" t="str">
            <v/>
          </cell>
          <cell r="J6293" t="str">
            <v/>
          </cell>
          <cell r="K6293" t="str">
            <v/>
          </cell>
          <cell r="L6293" t="str">
            <v/>
          </cell>
          <cell r="M6293" t="str">
            <v/>
          </cell>
        </row>
        <row r="6294">
          <cell r="A6294">
            <v>31102192</v>
          </cell>
          <cell r="C6294">
            <v>31102192</v>
          </cell>
          <cell r="D6294">
            <v>31102192</v>
          </cell>
          <cell r="E6294">
            <v>31102192</v>
          </cell>
          <cell r="F6294">
            <v>31102192</v>
          </cell>
          <cell r="G6294">
            <v>31102192</v>
          </cell>
          <cell r="H6294">
            <v>31102192</v>
          </cell>
          <cell r="I6294" t="str">
            <v/>
          </cell>
          <cell r="J6294" t="str">
            <v/>
          </cell>
          <cell r="K6294" t="str">
            <v/>
          </cell>
          <cell r="L6294" t="str">
            <v/>
          </cell>
          <cell r="M6294" t="str">
            <v/>
          </cell>
        </row>
        <row r="6295">
          <cell r="A6295">
            <v>31102192</v>
          </cell>
          <cell r="C6295">
            <v>31102192</v>
          </cell>
          <cell r="D6295">
            <v>31102192</v>
          </cell>
          <cell r="E6295">
            <v>31102192</v>
          </cell>
          <cell r="F6295">
            <v>31102192</v>
          </cell>
          <cell r="G6295">
            <v>31102192</v>
          </cell>
          <cell r="H6295">
            <v>31102192</v>
          </cell>
          <cell r="I6295" t="str">
            <v/>
          </cell>
          <cell r="J6295" t="str">
            <v/>
          </cell>
          <cell r="K6295" t="str">
            <v/>
          </cell>
          <cell r="L6295" t="str">
            <v/>
          </cell>
          <cell r="M6295" t="str">
            <v/>
          </cell>
        </row>
        <row r="6296">
          <cell r="A6296">
            <v>31102192</v>
          </cell>
          <cell r="C6296">
            <v>31102192</v>
          </cell>
          <cell r="D6296">
            <v>31102192</v>
          </cell>
          <cell r="E6296">
            <v>31102192</v>
          </cell>
          <cell r="F6296">
            <v>31102192</v>
          </cell>
          <cell r="G6296">
            <v>31102192</v>
          </cell>
          <cell r="H6296">
            <v>31102192</v>
          </cell>
          <cell r="I6296" t="str">
            <v/>
          </cell>
          <cell r="J6296" t="str">
            <v/>
          </cell>
          <cell r="K6296" t="str">
            <v/>
          </cell>
          <cell r="L6296" t="str">
            <v/>
          </cell>
          <cell r="M6296" t="str">
            <v/>
          </cell>
        </row>
        <row r="6297">
          <cell r="A6297">
            <v>31102192</v>
          </cell>
          <cell r="C6297">
            <v>31102192</v>
          </cell>
          <cell r="D6297">
            <v>31102192</v>
          </cell>
          <cell r="E6297">
            <v>31102192</v>
          </cell>
          <cell r="F6297">
            <v>31102192</v>
          </cell>
          <cell r="G6297">
            <v>31102192</v>
          </cell>
          <cell r="H6297">
            <v>31102192</v>
          </cell>
          <cell r="I6297" t="str">
            <v/>
          </cell>
          <cell r="J6297" t="str">
            <v/>
          </cell>
          <cell r="K6297" t="str">
            <v/>
          </cell>
          <cell r="L6297" t="str">
            <v/>
          </cell>
          <cell r="M6297" t="str">
            <v/>
          </cell>
        </row>
        <row r="6298">
          <cell r="A6298">
            <v>31102192</v>
          </cell>
          <cell r="C6298">
            <v>31102192</v>
          </cell>
          <cell r="D6298">
            <v>31102192</v>
          </cell>
          <cell r="E6298">
            <v>31102192</v>
          </cell>
          <cell r="F6298">
            <v>31102192</v>
          </cell>
          <cell r="G6298">
            <v>31102192</v>
          </cell>
          <cell r="H6298">
            <v>31102192</v>
          </cell>
          <cell r="I6298" t="str">
            <v/>
          </cell>
          <cell r="J6298" t="str">
            <v/>
          </cell>
          <cell r="K6298" t="str">
            <v/>
          </cell>
          <cell r="L6298" t="str">
            <v/>
          </cell>
          <cell r="M6298" t="str">
            <v/>
          </cell>
        </row>
        <row r="6299">
          <cell r="A6299">
            <v>31102192</v>
          </cell>
          <cell r="C6299">
            <v>31102192</v>
          </cell>
          <cell r="D6299">
            <v>31102192</v>
          </cell>
          <cell r="E6299">
            <v>31102192</v>
          </cell>
          <cell r="F6299">
            <v>31102192</v>
          </cell>
          <cell r="G6299">
            <v>31102192</v>
          </cell>
          <cell r="H6299">
            <v>31102192</v>
          </cell>
          <cell r="I6299" t="str">
            <v/>
          </cell>
          <cell r="J6299" t="str">
            <v/>
          </cell>
          <cell r="K6299" t="str">
            <v/>
          </cell>
          <cell r="L6299" t="str">
            <v/>
          </cell>
          <cell r="M6299" t="str">
            <v/>
          </cell>
        </row>
        <row r="6300">
          <cell r="A6300">
            <v>31102192</v>
          </cell>
          <cell r="C6300">
            <v>31102192</v>
          </cell>
          <cell r="D6300">
            <v>31102192</v>
          </cell>
          <cell r="E6300">
            <v>31102192</v>
          </cell>
          <cell r="F6300">
            <v>31102192</v>
          </cell>
          <cell r="G6300">
            <v>31102192</v>
          </cell>
          <cell r="H6300">
            <v>31102192</v>
          </cell>
          <cell r="I6300" t="str">
            <v/>
          </cell>
          <cell r="J6300" t="str">
            <v/>
          </cell>
          <cell r="K6300" t="str">
            <v/>
          </cell>
          <cell r="L6300" t="str">
            <v/>
          </cell>
          <cell r="M6300" t="str">
            <v/>
          </cell>
        </row>
        <row r="6301">
          <cell r="A6301">
            <v>31102192</v>
          </cell>
          <cell r="C6301">
            <v>31102192</v>
          </cell>
          <cell r="D6301">
            <v>31102192</v>
          </cell>
          <cell r="E6301">
            <v>31102192</v>
          </cell>
          <cell r="F6301">
            <v>31102192</v>
          </cell>
          <cell r="G6301">
            <v>31102192</v>
          </cell>
          <cell r="H6301">
            <v>31102192</v>
          </cell>
          <cell r="I6301" t="str">
            <v/>
          </cell>
          <cell r="J6301" t="str">
            <v/>
          </cell>
          <cell r="K6301" t="str">
            <v/>
          </cell>
          <cell r="L6301" t="str">
            <v/>
          </cell>
          <cell r="M6301" t="str">
            <v/>
          </cell>
        </row>
        <row r="6302">
          <cell r="A6302">
            <v>31102192</v>
          </cell>
          <cell r="C6302">
            <v>31102192</v>
          </cell>
          <cell r="D6302">
            <v>31102192</v>
          </cell>
          <cell r="E6302">
            <v>31102192</v>
          </cell>
          <cell r="F6302">
            <v>31102192</v>
          </cell>
          <cell r="G6302">
            <v>31102192</v>
          </cell>
          <cell r="H6302">
            <v>31102192</v>
          </cell>
          <cell r="I6302" t="str">
            <v/>
          </cell>
          <cell r="J6302" t="str">
            <v/>
          </cell>
          <cell r="K6302" t="str">
            <v/>
          </cell>
          <cell r="L6302" t="str">
            <v/>
          </cell>
          <cell r="M6302" t="str">
            <v/>
          </cell>
        </row>
        <row r="6303">
          <cell r="A6303">
            <v>31102192</v>
          </cell>
          <cell r="C6303">
            <v>31102192</v>
          </cell>
          <cell r="D6303">
            <v>31102192</v>
          </cell>
          <cell r="E6303">
            <v>31102192</v>
          </cell>
          <cell r="F6303">
            <v>31102192</v>
          </cell>
          <cell r="G6303">
            <v>31102192</v>
          </cell>
          <cell r="H6303">
            <v>31102192</v>
          </cell>
          <cell r="I6303" t="str">
            <v/>
          </cell>
          <cell r="J6303" t="str">
            <v/>
          </cell>
          <cell r="K6303" t="str">
            <v/>
          </cell>
          <cell r="L6303" t="str">
            <v/>
          </cell>
          <cell r="M6303" t="str">
            <v/>
          </cell>
        </row>
        <row r="6304">
          <cell r="A6304">
            <v>31102192</v>
          </cell>
          <cell r="C6304">
            <v>31102192</v>
          </cell>
          <cell r="D6304">
            <v>31102192</v>
          </cell>
          <cell r="E6304">
            <v>31102192</v>
          </cell>
          <cell r="F6304">
            <v>31102192</v>
          </cell>
          <cell r="G6304">
            <v>31102192</v>
          </cell>
          <cell r="H6304">
            <v>31102192</v>
          </cell>
          <cell r="I6304" t="str">
            <v/>
          </cell>
          <cell r="J6304" t="str">
            <v/>
          </cell>
          <cell r="K6304" t="str">
            <v/>
          </cell>
          <cell r="L6304" t="str">
            <v/>
          </cell>
          <cell r="M6304" t="str">
            <v/>
          </cell>
        </row>
        <row r="6305">
          <cell r="A6305">
            <v>31102192</v>
          </cell>
          <cell r="C6305">
            <v>31102192</v>
          </cell>
          <cell r="D6305">
            <v>31102192</v>
          </cell>
          <cell r="E6305">
            <v>31102192</v>
          </cell>
          <cell r="F6305">
            <v>31102192</v>
          </cell>
          <cell r="G6305">
            <v>31102192</v>
          </cell>
          <cell r="H6305">
            <v>31102192</v>
          </cell>
          <cell r="I6305" t="str">
            <v/>
          </cell>
          <cell r="J6305" t="str">
            <v/>
          </cell>
          <cell r="K6305" t="str">
            <v/>
          </cell>
          <cell r="L6305" t="str">
            <v/>
          </cell>
          <cell r="M6305" t="str">
            <v/>
          </cell>
        </row>
        <row r="6306">
          <cell r="A6306">
            <v>31102192</v>
          </cell>
          <cell r="C6306">
            <v>31102192</v>
          </cell>
          <cell r="D6306">
            <v>31102192</v>
          </cell>
          <cell r="E6306">
            <v>31102192</v>
          </cell>
          <cell r="F6306">
            <v>31102192</v>
          </cell>
          <cell r="G6306">
            <v>31102192</v>
          </cell>
          <cell r="H6306">
            <v>31102192</v>
          </cell>
          <cell r="I6306" t="str">
            <v/>
          </cell>
          <cell r="J6306" t="str">
            <v/>
          </cell>
          <cell r="K6306" t="str">
            <v/>
          </cell>
          <cell r="L6306" t="str">
            <v/>
          </cell>
          <cell r="M6306" t="str">
            <v/>
          </cell>
        </row>
        <row r="6307">
          <cell r="A6307">
            <v>31102192</v>
          </cell>
          <cell r="C6307">
            <v>31102192</v>
          </cell>
          <cell r="D6307">
            <v>31102192</v>
          </cell>
          <cell r="E6307">
            <v>31102192</v>
          </cell>
          <cell r="F6307">
            <v>31102192</v>
          </cell>
          <cell r="G6307">
            <v>31102192</v>
          </cell>
          <cell r="H6307">
            <v>31102192</v>
          </cell>
          <cell r="I6307" t="str">
            <v/>
          </cell>
          <cell r="J6307" t="str">
            <v/>
          </cell>
          <cell r="K6307" t="str">
            <v/>
          </cell>
          <cell r="L6307" t="str">
            <v/>
          </cell>
          <cell r="M6307" t="str">
            <v/>
          </cell>
        </row>
        <row r="6308">
          <cell r="A6308">
            <v>31102192</v>
          </cell>
          <cell r="C6308">
            <v>31102192</v>
          </cell>
          <cell r="D6308">
            <v>31102192</v>
          </cell>
          <cell r="E6308">
            <v>31102192</v>
          </cell>
          <cell r="F6308">
            <v>31102192</v>
          </cell>
          <cell r="G6308">
            <v>31102192</v>
          </cell>
          <cell r="H6308">
            <v>31102192</v>
          </cell>
          <cell r="I6308" t="str">
            <v/>
          </cell>
          <cell r="J6308" t="str">
            <v/>
          </cell>
          <cell r="K6308" t="str">
            <v/>
          </cell>
          <cell r="L6308" t="str">
            <v/>
          </cell>
          <cell r="M6308" t="str">
            <v/>
          </cell>
        </row>
        <row r="6309">
          <cell r="A6309">
            <v>31102192</v>
          </cell>
          <cell r="C6309">
            <v>31102192</v>
          </cell>
          <cell r="D6309">
            <v>31102192</v>
          </cell>
          <cell r="E6309">
            <v>31102192</v>
          </cell>
          <cell r="F6309">
            <v>31102192</v>
          </cell>
          <cell r="G6309">
            <v>31102192</v>
          </cell>
          <cell r="H6309">
            <v>31102192</v>
          </cell>
          <cell r="I6309" t="str">
            <v/>
          </cell>
          <cell r="J6309" t="str">
            <v/>
          </cell>
          <cell r="K6309" t="str">
            <v/>
          </cell>
          <cell r="L6309" t="str">
            <v/>
          </cell>
          <cell r="M6309" t="str">
            <v/>
          </cell>
        </row>
        <row r="6310">
          <cell r="A6310">
            <v>31102192</v>
          </cell>
          <cell r="C6310">
            <v>31102192</v>
          </cell>
          <cell r="D6310">
            <v>31102192</v>
          </cell>
          <cell r="E6310">
            <v>31102192</v>
          </cell>
          <cell r="F6310">
            <v>31102192</v>
          </cell>
          <cell r="G6310">
            <v>31102192</v>
          </cell>
          <cell r="H6310">
            <v>31102192</v>
          </cell>
          <cell r="I6310" t="str">
            <v/>
          </cell>
          <cell r="J6310" t="str">
            <v/>
          </cell>
          <cell r="K6310" t="str">
            <v/>
          </cell>
          <cell r="L6310" t="str">
            <v/>
          </cell>
          <cell r="M6310" t="str">
            <v/>
          </cell>
        </row>
        <row r="6311">
          <cell r="A6311">
            <v>31102192</v>
          </cell>
          <cell r="C6311">
            <v>31102192</v>
          </cell>
          <cell r="D6311">
            <v>31102192</v>
          </cell>
          <cell r="E6311">
            <v>31102192</v>
          </cell>
          <cell r="F6311">
            <v>31102192</v>
          </cell>
          <cell r="G6311">
            <v>31102192</v>
          </cell>
          <cell r="H6311">
            <v>31102192</v>
          </cell>
          <cell r="I6311" t="str">
            <v/>
          </cell>
          <cell r="J6311" t="str">
            <v/>
          </cell>
          <cell r="K6311" t="str">
            <v/>
          </cell>
          <cell r="L6311" t="str">
            <v/>
          </cell>
          <cell r="M6311" t="str">
            <v/>
          </cell>
        </row>
        <row r="6312">
          <cell r="A6312">
            <v>31102192</v>
          </cell>
          <cell r="C6312">
            <v>31102192</v>
          </cell>
          <cell r="D6312">
            <v>31102192</v>
          </cell>
          <cell r="E6312">
            <v>31102192</v>
          </cell>
          <cell r="F6312">
            <v>31102192</v>
          </cell>
          <cell r="G6312">
            <v>31102192</v>
          </cell>
          <cell r="H6312">
            <v>31102192</v>
          </cell>
          <cell r="I6312" t="str">
            <v/>
          </cell>
          <cell r="J6312" t="str">
            <v/>
          </cell>
          <cell r="K6312" t="str">
            <v/>
          </cell>
          <cell r="L6312" t="str">
            <v/>
          </cell>
          <cell r="M6312" t="str">
            <v/>
          </cell>
        </row>
        <row r="6313">
          <cell r="A6313">
            <v>31102192</v>
          </cell>
          <cell r="C6313">
            <v>31102192</v>
          </cell>
          <cell r="D6313">
            <v>31102192</v>
          </cell>
          <cell r="E6313">
            <v>31102192</v>
          </cell>
          <cell r="F6313">
            <v>31102192</v>
          </cell>
          <cell r="G6313">
            <v>31102192</v>
          </cell>
          <cell r="H6313">
            <v>31102192</v>
          </cell>
          <cell r="I6313" t="str">
            <v/>
          </cell>
          <cell r="J6313" t="str">
            <v/>
          </cell>
          <cell r="K6313" t="str">
            <v/>
          </cell>
          <cell r="L6313" t="str">
            <v/>
          </cell>
          <cell r="M6313" t="str">
            <v/>
          </cell>
        </row>
        <row r="6314">
          <cell r="A6314">
            <v>31102192</v>
          </cell>
          <cell r="C6314">
            <v>31102192</v>
          </cell>
          <cell r="D6314">
            <v>31102192</v>
          </cell>
          <cell r="E6314">
            <v>31102192</v>
          </cell>
          <cell r="F6314">
            <v>31102192</v>
          </cell>
          <cell r="G6314">
            <v>31102192</v>
          </cell>
          <cell r="H6314">
            <v>31102192</v>
          </cell>
          <cell r="I6314" t="str">
            <v/>
          </cell>
          <cell r="J6314" t="str">
            <v/>
          </cell>
          <cell r="K6314" t="str">
            <v/>
          </cell>
          <cell r="L6314" t="str">
            <v/>
          </cell>
          <cell r="M6314" t="str">
            <v/>
          </cell>
        </row>
        <row r="6315">
          <cell r="A6315">
            <v>31102192</v>
          </cell>
          <cell r="C6315">
            <v>31102192</v>
          </cell>
          <cell r="D6315">
            <v>31102192</v>
          </cell>
          <cell r="E6315">
            <v>31102192</v>
          </cell>
          <cell r="F6315">
            <v>31102192</v>
          </cell>
          <cell r="G6315">
            <v>31102192</v>
          </cell>
          <cell r="H6315">
            <v>31102192</v>
          </cell>
          <cell r="I6315" t="str">
            <v/>
          </cell>
          <cell r="J6315" t="str">
            <v/>
          </cell>
          <cell r="K6315" t="str">
            <v/>
          </cell>
          <cell r="L6315" t="str">
            <v/>
          </cell>
          <cell r="M6315" t="str">
            <v/>
          </cell>
        </row>
        <row r="6316">
          <cell r="A6316">
            <v>31102192</v>
          </cell>
          <cell r="C6316">
            <v>31102192</v>
          </cell>
          <cell r="D6316">
            <v>31102192</v>
          </cell>
          <cell r="E6316">
            <v>31102192</v>
          </cell>
          <cell r="F6316">
            <v>31102192</v>
          </cell>
          <cell r="G6316">
            <v>31102192</v>
          </cell>
          <cell r="H6316">
            <v>31102192</v>
          </cell>
          <cell r="I6316" t="str">
            <v/>
          </cell>
          <cell r="J6316" t="str">
            <v/>
          </cell>
          <cell r="K6316" t="str">
            <v/>
          </cell>
          <cell r="L6316" t="str">
            <v/>
          </cell>
          <cell r="M6316" t="str">
            <v/>
          </cell>
        </row>
        <row r="6317">
          <cell r="A6317">
            <v>31102192</v>
          </cell>
          <cell r="C6317">
            <v>31102192</v>
          </cell>
          <cell r="D6317">
            <v>31102192</v>
          </cell>
          <cell r="E6317">
            <v>31102192</v>
          </cell>
          <cell r="F6317">
            <v>31102192</v>
          </cell>
          <cell r="G6317">
            <v>31102192</v>
          </cell>
          <cell r="H6317">
            <v>31102192</v>
          </cell>
          <cell r="I6317" t="str">
            <v/>
          </cell>
          <cell r="J6317" t="str">
            <v/>
          </cell>
          <cell r="K6317" t="str">
            <v/>
          </cell>
          <cell r="L6317" t="str">
            <v/>
          </cell>
          <cell r="M6317" t="str">
            <v/>
          </cell>
        </row>
        <row r="6318">
          <cell r="A6318">
            <v>31102192</v>
          </cell>
          <cell r="C6318">
            <v>31102192</v>
          </cell>
          <cell r="D6318">
            <v>31102192</v>
          </cell>
          <cell r="E6318">
            <v>31102192</v>
          </cell>
          <cell r="F6318">
            <v>31102192</v>
          </cell>
          <cell r="G6318">
            <v>31102192</v>
          </cell>
          <cell r="H6318">
            <v>31102192</v>
          </cell>
          <cell r="I6318" t="str">
            <v/>
          </cell>
          <cell r="J6318" t="str">
            <v/>
          </cell>
          <cell r="K6318" t="str">
            <v/>
          </cell>
          <cell r="L6318" t="str">
            <v/>
          </cell>
          <cell r="M6318" t="str">
            <v/>
          </cell>
        </row>
        <row r="6319">
          <cell r="A6319">
            <v>31102192</v>
          </cell>
          <cell r="C6319">
            <v>31102192</v>
          </cell>
          <cell r="D6319">
            <v>31102192</v>
          </cell>
          <cell r="E6319">
            <v>31102192</v>
          </cell>
          <cell r="F6319">
            <v>31102192</v>
          </cell>
          <cell r="G6319">
            <v>31102192</v>
          </cell>
          <cell r="H6319">
            <v>31102192</v>
          </cell>
          <cell r="I6319" t="str">
            <v/>
          </cell>
          <cell r="J6319" t="str">
            <v/>
          </cell>
          <cell r="K6319" t="str">
            <v/>
          </cell>
          <cell r="L6319" t="str">
            <v/>
          </cell>
          <cell r="M6319" t="str">
            <v/>
          </cell>
        </row>
        <row r="6320">
          <cell r="A6320">
            <v>31102192</v>
          </cell>
          <cell r="C6320">
            <v>31102192</v>
          </cell>
          <cell r="D6320">
            <v>31102192</v>
          </cell>
          <cell r="E6320">
            <v>31102192</v>
          </cell>
          <cell r="F6320">
            <v>31102192</v>
          </cell>
          <cell r="G6320">
            <v>31102192</v>
          </cell>
          <cell r="H6320">
            <v>31102192</v>
          </cell>
          <cell r="I6320" t="str">
            <v/>
          </cell>
          <cell r="J6320" t="str">
            <v/>
          </cell>
          <cell r="K6320" t="str">
            <v/>
          </cell>
          <cell r="L6320" t="str">
            <v/>
          </cell>
          <cell r="M6320" t="str">
            <v/>
          </cell>
        </row>
        <row r="6321">
          <cell r="A6321">
            <v>31102192</v>
          </cell>
          <cell r="C6321">
            <v>31102192</v>
          </cell>
          <cell r="D6321">
            <v>31102192</v>
          </cell>
          <cell r="E6321">
            <v>31102192</v>
          </cell>
          <cell r="F6321">
            <v>31102192</v>
          </cell>
          <cell r="G6321">
            <v>31102192</v>
          </cell>
          <cell r="H6321">
            <v>31102192</v>
          </cell>
          <cell r="I6321" t="str">
            <v/>
          </cell>
          <cell r="J6321" t="str">
            <v/>
          </cell>
          <cell r="K6321" t="str">
            <v/>
          </cell>
          <cell r="L6321" t="str">
            <v/>
          </cell>
          <cell r="M6321" t="str">
            <v/>
          </cell>
        </row>
        <row r="6322">
          <cell r="A6322">
            <v>31102192</v>
          </cell>
          <cell r="C6322">
            <v>31102192</v>
          </cell>
          <cell r="D6322">
            <v>31102192</v>
          </cell>
          <cell r="E6322">
            <v>31102192</v>
          </cell>
          <cell r="F6322">
            <v>31102192</v>
          </cell>
          <cell r="G6322">
            <v>31102192</v>
          </cell>
          <cell r="H6322">
            <v>31102192</v>
          </cell>
          <cell r="I6322" t="str">
            <v/>
          </cell>
          <cell r="J6322" t="str">
            <v/>
          </cell>
          <cell r="K6322" t="str">
            <v/>
          </cell>
          <cell r="L6322" t="str">
            <v/>
          </cell>
          <cell r="M6322" t="str">
            <v/>
          </cell>
        </row>
        <row r="6323">
          <cell r="A6323">
            <v>31102192</v>
          </cell>
          <cell r="C6323">
            <v>31102192</v>
          </cell>
          <cell r="D6323">
            <v>31102192</v>
          </cell>
          <cell r="E6323">
            <v>31102192</v>
          </cell>
          <cell r="F6323">
            <v>31102192</v>
          </cell>
          <cell r="G6323">
            <v>31102192</v>
          </cell>
          <cell r="H6323">
            <v>31102192</v>
          </cell>
          <cell r="I6323" t="str">
            <v/>
          </cell>
          <cell r="J6323" t="str">
            <v/>
          </cell>
          <cell r="K6323" t="str">
            <v/>
          </cell>
          <cell r="L6323" t="str">
            <v/>
          </cell>
          <cell r="M6323" t="str">
            <v/>
          </cell>
        </row>
        <row r="6324">
          <cell r="A6324">
            <v>31102192</v>
          </cell>
          <cell r="C6324">
            <v>31102192</v>
          </cell>
          <cell r="D6324">
            <v>31102192</v>
          </cell>
          <cell r="E6324">
            <v>31102192</v>
          </cell>
          <cell r="F6324">
            <v>31102192</v>
          </cell>
          <cell r="G6324">
            <v>31102192</v>
          </cell>
          <cell r="H6324">
            <v>31102192</v>
          </cell>
          <cell r="I6324" t="str">
            <v/>
          </cell>
          <cell r="J6324" t="str">
            <v/>
          </cell>
          <cell r="K6324" t="str">
            <v/>
          </cell>
          <cell r="L6324" t="str">
            <v/>
          </cell>
          <cell r="M6324" t="str">
            <v/>
          </cell>
        </row>
        <row r="6325">
          <cell r="A6325">
            <v>31102192</v>
          </cell>
          <cell r="C6325">
            <v>31102192</v>
          </cell>
          <cell r="D6325">
            <v>31102192</v>
          </cell>
          <cell r="E6325">
            <v>31102192</v>
          </cell>
          <cell r="F6325">
            <v>31102192</v>
          </cell>
          <cell r="G6325">
            <v>31102192</v>
          </cell>
          <cell r="H6325">
            <v>31102192</v>
          </cell>
          <cell r="I6325" t="str">
            <v/>
          </cell>
          <cell r="J6325" t="str">
            <v/>
          </cell>
          <cell r="K6325" t="str">
            <v/>
          </cell>
          <cell r="L6325" t="str">
            <v/>
          </cell>
          <cell r="M6325" t="str">
            <v/>
          </cell>
        </row>
        <row r="6326">
          <cell r="A6326">
            <v>31102192</v>
          </cell>
          <cell r="C6326">
            <v>31102192</v>
          </cell>
          <cell r="D6326">
            <v>31102192</v>
          </cell>
          <cell r="E6326">
            <v>31102192</v>
          </cell>
          <cell r="F6326">
            <v>31102192</v>
          </cell>
          <cell r="G6326">
            <v>31102192</v>
          </cell>
          <cell r="H6326">
            <v>31102192</v>
          </cell>
          <cell r="I6326" t="str">
            <v/>
          </cell>
          <cell r="J6326" t="str">
            <v/>
          </cell>
          <cell r="K6326" t="str">
            <v/>
          </cell>
          <cell r="L6326" t="str">
            <v/>
          </cell>
          <cell r="M6326" t="str">
            <v/>
          </cell>
        </row>
        <row r="6327">
          <cell r="A6327">
            <v>31102192</v>
          </cell>
          <cell r="C6327">
            <v>31102192</v>
          </cell>
          <cell r="D6327">
            <v>31102192</v>
          </cell>
          <cell r="E6327">
            <v>31102192</v>
          </cell>
          <cell r="F6327">
            <v>31102192</v>
          </cell>
          <cell r="G6327">
            <v>31102192</v>
          </cell>
          <cell r="H6327">
            <v>31102192</v>
          </cell>
          <cell r="I6327" t="str">
            <v/>
          </cell>
          <cell r="J6327" t="str">
            <v/>
          </cell>
          <cell r="K6327" t="str">
            <v/>
          </cell>
          <cell r="L6327" t="str">
            <v/>
          </cell>
          <cell r="M6327" t="str">
            <v/>
          </cell>
        </row>
        <row r="6328">
          <cell r="A6328">
            <v>31102192</v>
          </cell>
          <cell r="C6328">
            <v>31102192</v>
          </cell>
          <cell r="D6328">
            <v>31102192</v>
          </cell>
          <cell r="E6328">
            <v>31102192</v>
          </cell>
          <cell r="F6328">
            <v>31102192</v>
          </cell>
          <cell r="G6328">
            <v>31102192</v>
          </cell>
          <cell r="H6328">
            <v>31102192</v>
          </cell>
          <cell r="I6328" t="str">
            <v/>
          </cell>
          <cell r="J6328" t="str">
            <v/>
          </cell>
          <cell r="K6328" t="str">
            <v/>
          </cell>
          <cell r="L6328" t="str">
            <v/>
          </cell>
          <cell r="M6328" t="str">
            <v/>
          </cell>
        </row>
        <row r="6329">
          <cell r="A6329">
            <v>31102192</v>
          </cell>
          <cell r="C6329">
            <v>31102192</v>
          </cell>
          <cell r="D6329">
            <v>31102192</v>
          </cell>
          <cell r="E6329">
            <v>31102192</v>
          </cell>
          <cell r="F6329">
            <v>31102192</v>
          </cell>
          <cell r="G6329">
            <v>31102192</v>
          </cell>
          <cell r="H6329">
            <v>31102192</v>
          </cell>
          <cell r="I6329" t="str">
            <v/>
          </cell>
          <cell r="J6329" t="str">
            <v/>
          </cell>
          <cell r="K6329" t="str">
            <v/>
          </cell>
          <cell r="L6329" t="str">
            <v/>
          </cell>
          <cell r="M6329" t="str">
            <v/>
          </cell>
        </row>
        <row r="6330">
          <cell r="A6330">
            <v>31102192</v>
          </cell>
          <cell r="C6330">
            <v>31102192</v>
          </cell>
          <cell r="D6330">
            <v>31102192</v>
          </cell>
          <cell r="E6330">
            <v>31102192</v>
          </cell>
          <cell r="F6330">
            <v>31102192</v>
          </cell>
          <cell r="G6330">
            <v>31102192</v>
          </cell>
          <cell r="H6330">
            <v>31102192</v>
          </cell>
          <cell r="I6330" t="str">
            <v/>
          </cell>
          <cell r="J6330" t="str">
            <v/>
          </cell>
          <cell r="K6330" t="str">
            <v/>
          </cell>
          <cell r="L6330" t="str">
            <v/>
          </cell>
          <cell r="M6330" t="str">
            <v/>
          </cell>
        </row>
        <row r="6331">
          <cell r="A6331">
            <v>31102192</v>
          </cell>
          <cell r="C6331">
            <v>31102192</v>
          </cell>
          <cell r="D6331">
            <v>31102192</v>
          </cell>
          <cell r="E6331">
            <v>31102192</v>
          </cell>
          <cell r="F6331">
            <v>31102192</v>
          </cell>
          <cell r="G6331">
            <v>31102192</v>
          </cell>
          <cell r="H6331">
            <v>31102192</v>
          </cell>
          <cell r="I6331" t="str">
            <v/>
          </cell>
          <cell r="J6331" t="str">
            <v/>
          </cell>
          <cell r="K6331" t="str">
            <v/>
          </cell>
          <cell r="L6331" t="str">
            <v/>
          </cell>
          <cell r="M6331" t="str">
            <v/>
          </cell>
        </row>
        <row r="6332">
          <cell r="A6332">
            <v>31102192</v>
          </cell>
          <cell r="C6332">
            <v>31102192</v>
          </cell>
          <cell r="D6332">
            <v>31102192</v>
          </cell>
          <cell r="E6332">
            <v>31102192</v>
          </cell>
          <cell r="F6332">
            <v>31102192</v>
          </cell>
          <cell r="G6332">
            <v>31102192</v>
          </cell>
          <cell r="H6332">
            <v>31102192</v>
          </cell>
          <cell r="I6332" t="str">
            <v/>
          </cell>
          <cell r="J6332" t="str">
            <v/>
          </cell>
          <cell r="K6332" t="str">
            <v/>
          </cell>
          <cell r="L6332" t="str">
            <v/>
          </cell>
          <cell r="M6332" t="str">
            <v/>
          </cell>
        </row>
        <row r="6333">
          <cell r="A6333">
            <v>31102192</v>
          </cell>
          <cell r="C6333">
            <v>31102192</v>
          </cell>
          <cell r="D6333">
            <v>31102192</v>
          </cell>
          <cell r="E6333">
            <v>31102192</v>
          </cell>
          <cell r="F6333">
            <v>31102192</v>
          </cell>
          <cell r="G6333">
            <v>31102192</v>
          </cell>
          <cell r="H6333">
            <v>31102192</v>
          </cell>
          <cell r="I6333" t="str">
            <v/>
          </cell>
          <cell r="J6333" t="str">
            <v/>
          </cell>
          <cell r="K6333" t="str">
            <v/>
          </cell>
          <cell r="L6333" t="str">
            <v/>
          </cell>
          <cell r="M6333" t="str">
            <v/>
          </cell>
        </row>
        <row r="6334">
          <cell r="A6334">
            <v>31102192</v>
          </cell>
          <cell r="C6334">
            <v>31102192</v>
          </cell>
          <cell r="D6334">
            <v>31102192</v>
          </cell>
          <cell r="E6334">
            <v>31102192</v>
          </cell>
          <cell r="F6334">
            <v>31102192</v>
          </cell>
          <cell r="G6334">
            <v>31102192</v>
          </cell>
          <cell r="H6334">
            <v>31102192</v>
          </cell>
          <cell r="I6334" t="str">
            <v/>
          </cell>
          <cell r="J6334" t="str">
            <v/>
          </cell>
          <cell r="K6334" t="str">
            <v/>
          </cell>
          <cell r="L6334" t="str">
            <v/>
          </cell>
          <cell r="M6334" t="str">
            <v/>
          </cell>
        </row>
        <row r="6335">
          <cell r="A6335">
            <v>31102192</v>
          </cell>
          <cell r="C6335">
            <v>31102192</v>
          </cell>
          <cell r="D6335">
            <v>31102192</v>
          </cell>
          <cell r="E6335">
            <v>31102192</v>
          </cell>
          <cell r="F6335">
            <v>31102192</v>
          </cell>
          <cell r="G6335">
            <v>31102192</v>
          </cell>
          <cell r="H6335">
            <v>31102192</v>
          </cell>
          <cell r="I6335" t="str">
            <v/>
          </cell>
          <cell r="J6335" t="str">
            <v/>
          </cell>
          <cell r="K6335" t="str">
            <v/>
          </cell>
          <cell r="L6335" t="str">
            <v/>
          </cell>
          <cell r="M6335" t="str">
            <v/>
          </cell>
        </row>
        <row r="6336">
          <cell r="A6336">
            <v>31102192</v>
          </cell>
          <cell r="C6336">
            <v>31102192</v>
          </cell>
          <cell r="D6336">
            <v>31102192</v>
          </cell>
          <cell r="E6336">
            <v>31102192</v>
          </cell>
          <cell r="F6336">
            <v>31102192</v>
          </cell>
          <cell r="G6336">
            <v>31102192</v>
          </cell>
          <cell r="H6336">
            <v>31102192</v>
          </cell>
          <cell r="I6336" t="str">
            <v/>
          </cell>
          <cell r="J6336" t="str">
            <v/>
          </cell>
          <cell r="K6336" t="str">
            <v/>
          </cell>
          <cell r="L6336" t="str">
            <v/>
          </cell>
          <cell r="M6336" t="str">
            <v/>
          </cell>
        </row>
        <row r="6337">
          <cell r="A6337">
            <v>31102192</v>
          </cell>
          <cell r="C6337">
            <v>31102192</v>
          </cell>
          <cell r="D6337">
            <v>31102192</v>
          </cell>
          <cell r="E6337">
            <v>31102192</v>
          </cell>
          <cell r="F6337">
            <v>31102192</v>
          </cell>
          <cell r="G6337">
            <v>31102192</v>
          </cell>
          <cell r="H6337">
            <v>31102192</v>
          </cell>
          <cell r="I6337" t="str">
            <v/>
          </cell>
          <cell r="J6337" t="str">
            <v/>
          </cell>
          <cell r="K6337" t="str">
            <v/>
          </cell>
          <cell r="L6337" t="str">
            <v/>
          </cell>
          <cell r="M6337" t="str">
            <v/>
          </cell>
        </row>
        <row r="6338">
          <cell r="A6338">
            <v>31102192</v>
          </cell>
          <cell r="C6338">
            <v>31102192</v>
          </cell>
          <cell r="D6338">
            <v>31102192</v>
          </cell>
          <cell r="E6338">
            <v>31102192</v>
          </cell>
          <cell r="F6338">
            <v>31102192</v>
          </cell>
          <cell r="G6338">
            <v>31102192</v>
          </cell>
          <cell r="H6338">
            <v>31102192</v>
          </cell>
          <cell r="I6338" t="str">
            <v/>
          </cell>
          <cell r="J6338" t="str">
            <v/>
          </cell>
          <cell r="K6338" t="str">
            <v/>
          </cell>
          <cell r="L6338" t="str">
            <v/>
          </cell>
          <cell r="M6338" t="str">
            <v/>
          </cell>
        </row>
        <row r="6339">
          <cell r="A6339">
            <v>31102192</v>
          </cell>
          <cell r="C6339">
            <v>31102192</v>
          </cell>
          <cell r="D6339">
            <v>31102192</v>
          </cell>
          <cell r="E6339">
            <v>31102192</v>
          </cell>
          <cell r="F6339">
            <v>31102192</v>
          </cell>
          <cell r="G6339">
            <v>31102192</v>
          </cell>
          <cell r="H6339">
            <v>31102192</v>
          </cell>
          <cell r="I6339" t="str">
            <v/>
          </cell>
          <cell r="J6339" t="str">
            <v/>
          </cell>
          <cell r="K6339" t="str">
            <v/>
          </cell>
          <cell r="L6339" t="str">
            <v/>
          </cell>
          <cell r="M6339" t="str">
            <v/>
          </cell>
        </row>
        <row r="6340">
          <cell r="A6340">
            <v>31102192</v>
          </cell>
          <cell r="C6340">
            <v>31102192</v>
          </cell>
          <cell r="D6340">
            <v>31102192</v>
          </cell>
          <cell r="E6340">
            <v>31102192</v>
          </cell>
          <cell r="F6340">
            <v>31102192</v>
          </cell>
          <cell r="G6340">
            <v>31102192</v>
          </cell>
          <cell r="H6340">
            <v>31102192</v>
          </cell>
          <cell r="I6340" t="str">
            <v/>
          </cell>
          <cell r="J6340" t="str">
            <v/>
          </cell>
          <cell r="K6340" t="str">
            <v/>
          </cell>
          <cell r="L6340" t="str">
            <v/>
          </cell>
          <cell r="M6340" t="str">
            <v/>
          </cell>
        </row>
        <row r="6341">
          <cell r="A6341">
            <v>31102192</v>
          </cell>
          <cell r="C6341">
            <v>31102192</v>
          </cell>
          <cell r="D6341">
            <v>31102192</v>
          </cell>
          <cell r="E6341">
            <v>31102192</v>
          </cell>
          <cell r="F6341">
            <v>31102192</v>
          </cell>
          <cell r="G6341">
            <v>31102192</v>
          </cell>
          <cell r="H6341">
            <v>31102192</v>
          </cell>
          <cell r="I6341" t="str">
            <v/>
          </cell>
          <cell r="J6341" t="str">
            <v/>
          </cell>
          <cell r="K6341" t="str">
            <v/>
          </cell>
          <cell r="L6341" t="str">
            <v/>
          </cell>
          <cell r="M6341" t="str">
            <v/>
          </cell>
        </row>
        <row r="6342">
          <cell r="A6342">
            <v>31102192</v>
          </cell>
          <cell r="C6342">
            <v>31102192</v>
          </cell>
          <cell r="D6342">
            <v>31102192</v>
          </cell>
          <cell r="E6342">
            <v>31102192</v>
          </cell>
          <cell r="F6342">
            <v>31102192</v>
          </cell>
          <cell r="G6342">
            <v>31102192</v>
          </cell>
          <cell r="H6342">
            <v>31102192</v>
          </cell>
          <cell r="I6342" t="str">
            <v/>
          </cell>
          <cell r="J6342" t="str">
            <v/>
          </cell>
          <cell r="K6342" t="str">
            <v/>
          </cell>
          <cell r="L6342" t="str">
            <v/>
          </cell>
          <cell r="M6342" t="str">
            <v/>
          </cell>
        </row>
        <row r="6343">
          <cell r="A6343">
            <v>31102192</v>
          </cell>
          <cell r="C6343">
            <v>31102192</v>
          </cell>
          <cell r="D6343">
            <v>31102192</v>
          </cell>
          <cell r="E6343">
            <v>31102192</v>
          </cell>
          <cell r="F6343">
            <v>31102192</v>
          </cell>
          <cell r="G6343">
            <v>31102192</v>
          </cell>
          <cell r="H6343">
            <v>31102192</v>
          </cell>
          <cell r="I6343" t="str">
            <v/>
          </cell>
          <cell r="J6343" t="str">
            <v/>
          </cell>
          <cell r="K6343" t="str">
            <v/>
          </cell>
          <cell r="L6343" t="str">
            <v/>
          </cell>
          <cell r="M6343" t="str">
            <v/>
          </cell>
        </row>
        <row r="6344">
          <cell r="A6344">
            <v>31102192</v>
          </cell>
          <cell r="C6344">
            <v>31102192</v>
          </cell>
          <cell r="D6344">
            <v>31102192</v>
          </cell>
          <cell r="E6344">
            <v>31102192</v>
          </cell>
          <cell r="F6344">
            <v>31102192</v>
          </cell>
          <cell r="G6344">
            <v>31102192</v>
          </cell>
          <cell r="H6344">
            <v>31102192</v>
          </cell>
          <cell r="I6344" t="str">
            <v/>
          </cell>
          <cell r="J6344" t="str">
            <v/>
          </cell>
          <cell r="K6344" t="str">
            <v/>
          </cell>
          <cell r="L6344" t="str">
            <v/>
          </cell>
          <cell r="M6344" t="str">
            <v/>
          </cell>
        </row>
        <row r="6345">
          <cell r="A6345">
            <v>31102192</v>
          </cell>
          <cell r="C6345">
            <v>31102192</v>
          </cell>
          <cell r="D6345">
            <v>31102192</v>
          </cell>
          <cell r="E6345">
            <v>31102192</v>
          </cell>
          <cell r="F6345">
            <v>31102192</v>
          </cell>
          <cell r="G6345">
            <v>31102192</v>
          </cell>
          <cell r="H6345">
            <v>31102192</v>
          </cell>
          <cell r="I6345" t="str">
            <v/>
          </cell>
          <cell r="J6345" t="str">
            <v/>
          </cell>
          <cell r="K6345" t="str">
            <v/>
          </cell>
          <cell r="L6345" t="str">
            <v/>
          </cell>
          <cell r="M6345" t="str">
            <v/>
          </cell>
        </row>
        <row r="6346">
          <cell r="A6346">
            <v>31102192</v>
          </cell>
          <cell r="C6346">
            <v>31102192</v>
          </cell>
          <cell r="D6346">
            <v>31102192</v>
          </cell>
          <cell r="E6346">
            <v>31102192</v>
          </cell>
          <cell r="F6346">
            <v>31102192</v>
          </cell>
          <cell r="G6346">
            <v>31102192</v>
          </cell>
          <cell r="H6346">
            <v>31102192</v>
          </cell>
          <cell r="I6346" t="str">
            <v/>
          </cell>
          <cell r="J6346" t="str">
            <v/>
          </cell>
          <cell r="K6346" t="str">
            <v/>
          </cell>
          <cell r="L6346" t="str">
            <v/>
          </cell>
          <cell r="M6346" t="str">
            <v/>
          </cell>
        </row>
        <row r="6347">
          <cell r="A6347">
            <v>31102192</v>
          </cell>
          <cell r="C6347">
            <v>31102192</v>
          </cell>
          <cell r="D6347">
            <v>31102192</v>
          </cell>
          <cell r="E6347">
            <v>31102192</v>
          </cell>
          <cell r="F6347">
            <v>31102192</v>
          </cell>
          <cell r="G6347">
            <v>31102192</v>
          </cell>
          <cell r="H6347">
            <v>31102192</v>
          </cell>
          <cell r="I6347" t="str">
            <v/>
          </cell>
          <cell r="J6347" t="str">
            <v/>
          </cell>
          <cell r="K6347" t="str">
            <v/>
          </cell>
          <cell r="L6347" t="str">
            <v/>
          </cell>
          <cell r="M6347" t="str">
            <v/>
          </cell>
        </row>
        <row r="6348">
          <cell r="A6348">
            <v>31102192</v>
          </cell>
          <cell r="C6348">
            <v>31102192</v>
          </cell>
          <cell r="D6348">
            <v>31102192</v>
          </cell>
          <cell r="E6348">
            <v>31102192</v>
          </cell>
          <cell r="F6348">
            <v>31102192</v>
          </cell>
          <cell r="G6348">
            <v>31102192</v>
          </cell>
          <cell r="H6348">
            <v>31102192</v>
          </cell>
          <cell r="I6348" t="str">
            <v/>
          </cell>
          <cell r="J6348" t="str">
            <v/>
          </cell>
          <cell r="K6348" t="str">
            <v/>
          </cell>
          <cell r="L6348" t="str">
            <v/>
          </cell>
          <cell r="M6348" t="str">
            <v/>
          </cell>
        </row>
        <row r="6349">
          <cell r="A6349">
            <v>31102192</v>
          </cell>
          <cell r="C6349">
            <v>31102192</v>
          </cell>
          <cell r="D6349">
            <v>31102192</v>
          </cell>
          <cell r="E6349">
            <v>31102192</v>
          </cell>
          <cell r="F6349">
            <v>31102192</v>
          </cell>
          <cell r="G6349">
            <v>31102192</v>
          </cell>
          <cell r="H6349">
            <v>31102192</v>
          </cell>
          <cell r="I6349" t="str">
            <v/>
          </cell>
          <cell r="J6349" t="str">
            <v/>
          </cell>
          <cell r="K6349" t="str">
            <v/>
          </cell>
          <cell r="L6349" t="str">
            <v/>
          </cell>
          <cell r="M6349" t="str">
            <v/>
          </cell>
        </row>
        <row r="6350">
          <cell r="A6350">
            <v>31102192</v>
          </cell>
          <cell r="C6350">
            <v>31102192</v>
          </cell>
          <cell r="D6350">
            <v>31102192</v>
          </cell>
          <cell r="E6350">
            <v>31102192</v>
          </cell>
          <cell r="F6350">
            <v>31102192</v>
          </cell>
          <cell r="G6350">
            <v>31102192</v>
          </cell>
          <cell r="H6350">
            <v>31102192</v>
          </cell>
          <cell r="I6350" t="str">
            <v/>
          </cell>
          <cell r="J6350" t="str">
            <v/>
          </cell>
          <cell r="K6350" t="str">
            <v/>
          </cell>
          <cell r="L6350" t="str">
            <v/>
          </cell>
          <cell r="M6350" t="str">
            <v/>
          </cell>
        </row>
        <row r="6351">
          <cell r="A6351">
            <v>31102192</v>
          </cell>
          <cell r="C6351">
            <v>31102192</v>
          </cell>
          <cell r="D6351">
            <v>31102192</v>
          </cell>
          <cell r="E6351">
            <v>31102192</v>
          </cell>
          <cell r="F6351">
            <v>31102192</v>
          </cell>
          <cell r="G6351">
            <v>31102192</v>
          </cell>
          <cell r="H6351">
            <v>31102192</v>
          </cell>
          <cell r="I6351" t="str">
            <v/>
          </cell>
          <cell r="J6351" t="str">
            <v/>
          </cell>
          <cell r="K6351" t="str">
            <v/>
          </cell>
          <cell r="L6351" t="str">
            <v/>
          </cell>
          <cell r="M6351" t="str">
            <v/>
          </cell>
        </row>
        <row r="6352">
          <cell r="A6352">
            <v>31102192</v>
          </cell>
          <cell r="C6352">
            <v>31102192</v>
          </cell>
          <cell r="D6352">
            <v>31102192</v>
          </cell>
          <cell r="E6352">
            <v>31102192</v>
          </cell>
          <cell r="F6352">
            <v>31102192</v>
          </cell>
          <cell r="G6352">
            <v>31102192</v>
          </cell>
          <cell r="H6352">
            <v>31102192</v>
          </cell>
          <cell r="I6352" t="str">
            <v/>
          </cell>
          <cell r="J6352" t="str">
            <v/>
          </cell>
          <cell r="K6352" t="str">
            <v/>
          </cell>
          <cell r="L6352" t="str">
            <v/>
          </cell>
          <cell r="M6352" t="str">
            <v/>
          </cell>
        </row>
        <row r="6353">
          <cell r="A6353">
            <v>31102192</v>
          </cell>
          <cell r="C6353">
            <v>31102192</v>
          </cell>
          <cell r="D6353">
            <v>31102192</v>
          </cell>
          <cell r="E6353">
            <v>31102192</v>
          </cell>
          <cell r="F6353">
            <v>31102192</v>
          </cell>
          <cell r="G6353">
            <v>31102192</v>
          </cell>
          <cell r="H6353">
            <v>31102192</v>
          </cell>
          <cell r="I6353" t="str">
            <v/>
          </cell>
          <cell r="J6353" t="str">
            <v/>
          </cell>
          <cell r="K6353" t="str">
            <v/>
          </cell>
          <cell r="L6353" t="str">
            <v/>
          </cell>
          <cell r="M6353" t="str">
            <v/>
          </cell>
        </row>
        <row r="6354">
          <cell r="A6354">
            <v>31102192</v>
          </cell>
          <cell r="C6354">
            <v>31102192</v>
          </cell>
          <cell r="D6354">
            <v>31102192</v>
          </cell>
          <cell r="E6354">
            <v>31102192</v>
          </cell>
          <cell r="F6354">
            <v>31102192</v>
          </cell>
          <cell r="G6354">
            <v>31102192</v>
          </cell>
          <cell r="H6354">
            <v>31102192</v>
          </cell>
          <cell r="I6354" t="str">
            <v/>
          </cell>
          <cell r="J6354" t="str">
            <v/>
          </cell>
          <cell r="K6354" t="str">
            <v/>
          </cell>
          <cell r="L6354" t="str">
            <v/>
          </cell>
          <cell r="M6354" t="str">
            <v/>
          </cell>
        </row>
        <row r="6355">
          <cell r="A6355">
            <v>31102192</v>
          </cell>
          <cell r="C6355">
            <v>31102192</v>
          </cell>
          <cell r="D6355">
            <v>31102192</v>
          </cell>
          <cell r="E6355">
            <v>31102192</v>
          </cell>
          <cell r="F6355">
            <v>31102192</v>
          </cell>
          <cell r="G6355">
            <v>31102192</v>
          </cell>
          <cell r="H6355">
            <v>31102192</v>
          </cell>
          <cell r="I6355" t="str">
            <v/>
          </cell>
          <cell r="J6355" t="str">
            <v/>
          </cell>
          <cell r="K6355" t="str">
            <v/>
          </cell>
          <cell r="L6355" t="str">
            <v/>
          </cell>
          <cell r="M6355" t="str">
            <v/>
          </cell>
        </row>
        <row r="6356">
          <cell r="A6356">
            <v>31102192</v>
          </cell>
          <cell r="C6356">
            <v>31102192</v>
          </cell>
          <cell r="D6356">
            <v>31102192</v>
          </cell>
          <cell r="E6356">
            <v>31102192</v>
          </cell>
          <cell r="F6356">
            <v>31102192</v>
          </cell>
          <cell r="G6356">
            <v>31102192</v>
          </cell>
          <cell r="H6356">
            <v>31102192</v>
          </cell>
          <cell r="I6356" t="str">
            <v/>
          </cell>
          <cell r="J6356" t="str">
            <v/>
          </cell>
          <cell r="K6356" t="str">
            <v/>
          </cell>
          <cell r="L6356" t="str">
            <v/>
          </cell>
          <cell r="M6356" t="str">
            <v/>
          </cell>
        </row>
        <row r="6357">
          <cell r="A6357">
            <v>31102192</v>
          </cell>
          <cell r="C6357">
            <v>31102192</v>
          </cell>
          <cell r="D6357">
            <v>31102192</v>
          </cell>
          <cell r="E6357">
            <v>31102192</v>
          </cell>
          <cell r="F6357">
            <v>31102192</v>
          </cell>
          <cell r="G6357">
            <v>31102192</v>
          </cell>
          <cell r="H6357">
            <v>31102192</v>
          </cell>
          <cell r="I6357" t="str">
            <v/>
          </cell>
          <cell r="J6357" t="str">
            <v/>
          </cell>
          <cell r="K6357" t="str">
            <v/>
          </cell>
          <cell r="L6357" t="str">
            <v/>
          </cell>
          <cell r="M6357" t="str">
            <v/>
          </cell>
        </row>
        <row r="6358">
          <cell r="A6358">
            <v>31102192</v>
          </cell>
          <cell r="C6358">
            <v>31102192</v>
          </cell>
          <cell r="D6358">
            <v>31102192</v>
          </cell>
          <cell r="E6358">
            <v>31102192</v>
          </cell>
          <cell r="F6358">
            <v>31102192</v>
          </cell>
          <cell r="G6358">
            <v>31102192</v>
          </cell>
          <cell r="H6358">
            <v>31102192</v>
          </cell>
          <cell r="I6358" t="str">
            <v/>
          </cell>
          <cell r="J6358" t="str">
            <v/>
          </cell>
          <cell r="K6358" t="str">
            <v/>
          </cell>
          <cell r="L6358" t="str">
            <v/>
          </cell>
          <cell r="M6358" t="str">
            <v/>
          </cell>
        </row>
        <row r="6359">
          <cell r="A6359">
            <v>31102192</v>
          </cell>
          <cell r="C6359">
            <v>31102192</v>
          </cell>
          <cell r="D6359">
            <v>31102192</v>
          </cell>
          <cell r="E6359">
            <v>31102192</v>
          </cell>
          <cell r="F6359">
            <v>31102192</v>
          </cell>
          <cell r="G6359">
            <v>31102192</v>
          </cell>
          <cell r="H6359">
            <v>31102192</v>
          </cell>
          <cell r="I6359" t="str">
            <v/>
          </cell>
          <cell r="J6359" t="str">
            <v/>
          </cell>
          <cell r="K6359" t="str">
            <v/>
          </cell>
          <cell r="L6359" t="str">
            <v/>
          </cell>
          <cell r="M6359" t="str">
            <v/>
          </cell>
        </row>
        <row r="6360">
          <cell r="A6360">
            <v>31102192</v>
          </cell>
          <cell r="C6360">
            <v>31102192</v>
          </cell>
          <cell r="D6360">
            <v>31102192</v>
          </cell>
          <cell r="E6360">
            <v>31102192</v>
          </cell>
          <cell r="F6360">
            <v>31102192</v>
          </cell>
          <cell r="G6360">
            <v>31102192</v>
          </cell>
          <cell r="H6360">
            <v>31102192</v>
          </cell>
          <cell r="I6360" t="str">
            <v/>
          </cell>
          <cell r="J6360" t="str">
            <v/>
          </cell>
          <cell r="K6360" t="str">
            <v/>
          </cell>
          <cell r="L6360" t="str">
            <v/>
          </cell>
          <cell r="M6360" t="str">
            <v/>
          </cell>
        </row>
        <row r="6361">
          <cell r="A6361">
            <v>31102192</v>
          </cell>
          <cell r="C6361">
            <v>31102192</v>
          </cell>
          <cell r="D6361">
            <v>31102192</v>
          </cell>
          <cell r="E6361">
            <v>31102192</v>
          </cell>
          <cell r="F6361">
            <v>31102192</v>
          </cell>
          <cell r="G6361">
            <v>31102192</v>
          </cell>
          <cell r="H6361">
            <v>31102192</v>
          </cell>
          <cell r="I6361" t="str">
            <v/>
          </cell>
          <cell r="J6361" t="str">
            <v/>
          </cell>
          <cell r="K6361" t="str">
            <v/>
          </cell>
          <cell r="L6361" t="str">
            <v/>
          </cell>
          <cell r="M6361" t="str">
            <v/>
          </cell>
        </row>
        <row r="6362">
          <cell r="A6362">
            <v>31102192</v>
          </cell>
          <cell r="C6362">
            <v>31102192</v>
          </cell>
          <cell r="D6362">
            <v>31102192</v>
          </cell>
          <cell r="E6362">
            <v>31102192</v>
          </cell>
          <cell r="F6362">
            <v>31102192</v>
          </cell>
          <cell r="G6362">
            <v>31102192</v>
          </cell>
          <cell r="H6362">
            <v>31102192</v>
          </cell>
          <cell r="I6362" t="str">
            <v/>
          </cell>
          <cell r="J6362" t="str">
            <v/>
          </cell>
          <cell r="K6362" t="str">
            <v/>
          </cell>
          <cell r="L6362" t="str">
            <v/>
          </cell>
          <cell r="M6362" t="str">
            <v/>
          </cell>
        </row>
        <row r="6363">
          <cell r="A6363">
            <v>31102192</v>
          </cell>
          <cell r="C6363">
            <v>31102192</v>
          </cell>
          <cell r="D6363">
            <v>31102192</v>
          </cell>
          <cell r="E6363">
            <v>31102192</v>
          </cell>
          <cell r="F6363">
            <v>31102192</v>
          </cell>
          <cell r="G6363">
            <v>31102192</v>
          </cell>
          <cell r="H6363">
            <v>31102192</v>
          </cell>
          <cell r="I6363" t="str">
            <v/>
          </cell>
          <cell r="J6363" t="str">
            <v/>
          </cell>
          <cell r="K6363" t="str">
            <v/>
          </cell>
          <cell r="L6363" t="str">
            <v/>
          </cell>
          <cell r="M6363" t="str">
            <v/>
          </cell>
        </row>
        <row r="6364">
          <cell r="A6364">
            <v>31102192</v>
          </cell>
          <cell r="C6364">
            <v>31102192</v>
          </cell>
          <cell r="D6364">
            <v>31102192</v>
          </cell>
          <cell r="E6364">
            <v>31102192</v>
          </cell>
          <cell r="F6364">
            <v>31102192</v>
          </cell>
          <cell r="G6364">
            <v>31102192</v>
          </cell>
          <cell r="H6364">
            <v>31102192</v>
          </cell>
          <cell r="I6364" t="str">
            <v/>
          </cell>
          <cell r="J6364" t="str">
            <v/>
          </cell>
          <cell r="K6364" t="str">
            <v/>
          </cell>
          <cell r="L6364" t="str">
            <v/>
          </cell>
          <cell r="M6364" t="str">
            <v/>
          </cell>
        </row>
        <row r="6365">
          <cell r="A6365">
            <v>31102192</v>
          </cell>
          <cell r="C6365">
            <v>31102192</v>
          </cell>
          <cell r="D6365">
            <v>31102192</v>
          </cell>
          <cell r="E6365">
            <v>31102192</v>
          </cell>
          <cell r="F6365">
            <v>31102192</v>
          </cell>
          <cell r="G6365">
            <v>31102192</v>
          </cell>
          <cell r="H6365">
            <v>31102192</v>
          </cell>
          <cell r="I6365" t="str">
            <v/>
          </cell>
          <cell r="J6365" t="str">
            <v/>
          </cell>
          <cell r="K6365" t="str">
            <v/>
          </cell>
          <cell r="L6365" t="str">
            <v/>
          </cell>
          <cell r="M6365" t="str">
            <v/>
          </cell>
        </row>
        <row r="6366">
          <cell r="A6366">
            <v>31102192</v>
          </cell>
          <cell r="C6366">
            <v>31102192</v>
          </cell>
          <cell r="D6366">
            <v>31102192</v>
          </cell>
          <cell r="E6366">
            <v>31102192</v>
          </cell>
          <cell r="F6366">
            <v>31102192</v>
          </cell>
          <cell r="G6366">
            <v>31102192</v>
          </cell>
          <cell r="H6366">
            <v>31102192</v>
          </cell>
          <cell r="I6366" t="str">
            <v/>
          </cell>
          <cell r="J6366" t="str">
            <v/>
          </cell>
          <cell r="K6366" t="str">
            <v/>
          </cell>
          <cell r="L6366" t="str">
            <v/>
          </cell>
          <cell r="M6366" t="str">
            <v/>
          </cell>
        </row>
        <row r="6367">
          <cell r="A6367">
            <v>31102192</v>
          </cell>
          <cell r="C6367">
            <v>31102192</v>
          </cell>
          <cell r="D6367">
            <v>31102192</v>
          </cell>
          <cell r="E6367">
            <v>31102192</v>
          </cell>
          <cell r="F6367">
            <v>31102192</v>
          </cell>
          <cell r="G6367">
            <v>31102192</v>
          </cell>
          <cell r="H6367">
            <v>31102192</v>
          </cell>
          <cell r="I6367" t="str">
            <v/>
          </cell>
          <cell r="J6367" t="str">
            <v/>
          </cell>
          <cell r="K6367" t="str">
            <v/>
          </cell>
          <cell r="L6367" t="str">
            <v/>
          </cell>
          <cell r="M6367" t="str">
            <v/>
          </cell>
        </row>
        <row r="6368">
          <cell r="A6368">
            <v>31102192</v>
          </cell>
          <cell r="C6368">
            <v>31102192</v>
          </cell>
          <cell r="D6368">
            <v>31102192</v>
          </cell>
          <cell r="E6368">
            <v>31102192</v>
          </cell>
          <cell r="F6368">
            <v>31102192</v>
          </cell>
          <cell r="G6368">
            <v>31102192</v>
          </cell>
          <cell r="H6368">
            <v>31102192</v>
          </cell>
          <cell r="I6368" t="str">
            <v/>
          </cell>
          <cell r="J6368" t="str">
            <v/>
          </cell>
          <cell r="K6368" t="str">
            <v/>
          </cell>
          <cell r="L6368" t="str">
            <v/>
          </cell>
          <cell r="M6368" t="str">
            <v/>
          </cell>
        </row>
        <row r="6369">
          <cell r="A6369">
            <v>31102192</v>
          </cell>
          <cell r="C6369">
            <v>31102192</v>
          </cell>
          <cell r="D6369">
            <v>31102192</v>
          </cell>
          <cell r="E6369">
            <v>31102192</v>
          </cell>
          <cell r="F6369">
            <v>31102192</v>
          </cell>
          <cell r="G6369">
            <v>31102192</v>
          </cell>
          <cell r="H6369">
            <v>31102192</v>
          </cell>
          <cell r="I6369" t="str">
            <v/>
          </cell>
          <cell r="J6369" t="str">
            <v/>
          </cell>
          <cell r="K6369" t="str">
            <v/>
          </cell>
          <cell r="L6369" t="str">
            <v/>
          </cell>
          <cell r="M6369" t="str">
            <v/>
          </cell>
        </row>
        <row r="6370">
          <cell r="A6370">
            <v>31102192</v>
          </cell>
          <cell r="C6370">
            <v>31102192</v>
          </cell>
          <cell r="D6370">
            <v>31102192</v>
          </cell>
          <cell r="E6370">
            <v>31102192</v>
          </cell>
          <cell r="F6370">
            <v>31102192</v>
          </cell>
          <cell r="G6370">
            <v>31102192</v>
          </cell>
          <cell r="H6370">
            <v>31102192</v>
          </cell>
          <cell r="I6370" t="str">
            <v/>
          </cell>
          <cell r="J6370" t="str">
            <v/>
          </cell>
          <cell r="K6370" t="str">
            <v/>
          </cell>
          <cell r="L6370" t="str">
            <v/>
          </cell>
          <cell r="M6370" t="str">
            <v/>
          </cell>
        </row>
        <row r="6371">
          <cell r="A6371">
            <v>31102192</v>
          </cell>
          <cell r="C6371">
            <v>31102192</v>
          </cell>
          <cell r="D6371">
            <v>31102192</v>
          </cell>
          <cell r="E6371">
            <v>31102192</v>
          </cell>
          <cell r="F6371">
            <v>31102192</v>
          </cell>
          <cell r="G6371">
            <v>31102192</v>
          </cell>
          <cell r="H6371">
            <v>31102192</v>
          </cell>
          <cell r="I6371" t="str">
            <v/>
          </cell>
          <cell r="J6371" t="str">
            <v/>
          </cell>
          <cell r="K6371" t="str">
            <v/>
          </cell>
          <cell r="L6371" t="str">
            <v/>
          </cell>
          <cell r="M6371" t="str">
            <v/>
          </cell>
        </row>
        <row r="6372">
          <cell r="A6372">
            <v>31102192</v>
          </cell>
          <cell r="C6372">
            <v>31102192</v>
          </cell>
          <cell r="D6372">
            <v>31102192</v>
          </cell>
          <cell r="E6372">
            <v>31102192</v>
          </cell>
          <cell r="F6372">
            <v>31102192</v>
          </cell>
          <cell r="G6372">
            <v>31102192</v>
          </cell>
          <cell r="H6372">
            <v>31102192</v>
          </cell>
          <cell r="I6372" t="str">
            <v/>
          </cell>
          <cell r="J6372" t="str">
            <v/>
          </cell>
          <cell r="K6372" t="str">
            <v/>
          </cell>
          <cell r="L6372" t="str">
            <v/>
          </cell>
          <cell r="M6372" t="str">
            <v/>
          </cell>
        </row>
        <row r="6373">
          <cell r="A6373">
            <v>31102192</v>
          </cell>
          <cell r="C6373">
            <v>31102192</v>
          </cell>
          <cell r="D6373">
            <v>31102192</v>
          </cell>
          <cell r="E6373">
            <v>31102192</v>
          </cell>
          <cell r="F6373">
            <v>31102192</v>
          </cell>
          <cell r="G6373">
            <v>31102192</v>
          </cell>
          <cell r="H6373">
            <v>31102192</v>
          </cell>
          <cell r="I6373" t="str">
            <v/>
          </cell>
          <cell r="J6373" t="str">
            <v/>
          </cell>
          <cell r="K6373" t="str">
            <v/>
          </cell>
          <cell r="L6373" t="str">
            <v/>
          </cell>
          <cell r="M6373" t="str">
            <v/>
          </cell>
        </row>
        <row r="6374">
          <cell r="A6374">
            <v>31102192</v>
          </cell>
          <cell r="C6374">
            <v>31102192</v>
          </cell>
          <cell r="D6374">
            <v>31102192</v>
          </cell>
          <cell r="E6374">
            <v>31102192</v>
          </cell>
          <cell r="F6374">
            <v>31102192</v>
          </cell>
          <cell r="G6374">
            <v>31102192</v>
          </cell>
          <cell r="H6374">
            <v>31102192</v>
          </cell>
          <cell r="I6374" t="str">
            <v/>
          </cell>
          <cell r="J6374" t="str">
            <v/>
          </cell>
          <cell r="K6374" t="str">
            <v/>
          </cell>
          <cell r="L6374" t="str">
            <v/>
          </cell>
          <cell r="M6374" t="str">
            <v/>
          </cell>
        </row>
        <row r="6375">
          <cell r="A6375">
            <v>31102192</v>
          </cell>
          <cell r="C6375">
            <v>31102192</v>
          </cell>
          <cell r="D6375">
            <v>31102192</v>
          </cell>
          <cell r="E6375">
            <v>31102192</v>
          </cell>
          <cell r="F6375">
            <v>31102192</v>
          </cell>
          <cell r="G6375">
            <v>31102192</v>
          </cell>
          <cell r="H6375">
            <v>31102192</v>
          </cell>
          <cell r="I6375" t="str">
            <v/>
          </cell>
          <cell r="J6375" t="str">
            <v/>
          </cell>
          <cell r="K6375" t="str">
            <v/>
          </cell>
          <cell r="L6375" t="str">
            <v/>
          </cell>
          <cell r="M6375" t="str">
            <v/>
          </cell>
        </row>
        <row r="6376">
          <cell r="A6376">
            <v>31102192</v>
          </cell>
          <cell r="C6376">
            <v>31102192</v>
          </cell>
          <cell r="D6376">
            <v>31102192</v>
          </cell>
          <cell r="E6376">
            <v>31102192</v>
          </cell>
          <cell r="F6376">
            <v>31102192</v>
          </cell>
          <cell r="G6376">
            <v>31102192</v>
          </cell>
          <cell r="H6376">
            <v>31102192</v>
          </cell>
          <cell r="I6376" t="str">
            <v/>
          </cell>
          <cell r="J6376" t="str">
            <v/>
          </cell>
          <cell r="K6376" t="str">
            <v/>
          </cell>
          <cell r="L6376" t="str">
            <v/>
          </cell>
          <cell r="M6376" t="str">
            <v/>
          </cell>
        </row>
        <row r="6377">
          <cell r="A6377">
            <v>31102192</v>
          </cell>
          <cell r="C6377">
            <v>31102192</v>
          </cell>
          <cell r="D6377">
            <v>31102192</v>
          </cell>
          <cell r="E6377">
            <v>31102192</v>
          </cell>
          <cell r="F6377">
            <v>31102192</v>
          </cell>
          <cell r="G6377">
            <v>31102192</v>
          </cell>
          <cell r="H6377">
            <v>31102192</v>
          </cell>
          <cell r="I6377" t="str">
            <v/>
          </cell>
          <cell r="J6377" t="str">
            <v/>
          </cell>
          <cell r="K6377" t="str">
            <v/>
          </cell>
          <cell r="L6377" t="str">
            <v/>
          </cell>
          <cell r="M6377" t="str">
            <v/>
          </cell>
        </row>
        <row r="6378">
          <cell r="A6378">
            <v>31102192</v>
          </cell>
          <cell r="C6378">
            <v>31102192</v>
          </cell>
          <cell r="D6378">
            <v>31102192</v>
          </cell>
          <cell r="E6378">
            <v>31102192</v>
          </cell>
          <cell r="F6378">
            <v>31102192</v>
          </cell>
          <cell r="G6378">
            <v>31102192</v>
          </cell>
          <cell r="H6378">
            <v>31102192</v>
          </cell>
          <cell r="I6378" t="str">
            <v/>
          </cell>
          <cell r="J6378" t="str">
            <v/>
          </cell>
          <cell r="K6378" t="str">
            <v/>
          </cell>
          <cell r="L6378" t="str">
            <v/>
          </cell>
          <cell r="M6378" t="str">
            <v/>
          </cell>
        </row>
        <row r="6379">
          <cell r="A6379">
            <v>31102192</v>
          </cell>
          <cell r="C6379">
            <v>31102192</v>
          </cell>
          <cell r="D6379">
            <v>31102192</v>
          </cell>
          <cell r="E6379">
            <v>31102192</v>
          </cell>
          <cell r="F6379">
            <v>31102192</v>
          </cell>
          <cell r="G6379">
            <v>31102192</v>
          </cell>
          <cell r="H6379">
            <v>31102192</v>
          </cell>
          <cell r="I6379" t="str">
            <v/>
          </cell>
          <cell r="J6379" t="str">
            <v/>
          </cell>
          <cell r="K6379" t="str">
            <v/>
          </cell>
          <cell r="L6379" t="str">
            <v/>
          </cell>
          <cell r="M6379" t="str">
            <v/>
          </cell>
        </row>
        <row r="6380">
          <cell r="A6380">
            <v>31102192</v>
          </cell>
          <cell r="C6380">
            <v>31102192</v>
          </cell>
          <cell r="D6380">
            <v>31102192</v>
          </cell>
          <cell r="E6380">
            <v>31102192</v>
          </cell>
          <cell r="F6380">
            <v>31102192</v>
          </cell>
          <cell r="G6380">
            <v>31102192</v>
          </cell>
          <cell r="H6380">
            <v>31102192</v>
          </cell>
          <cell r="I6380" t="str">
            <v/>
          </cell>
          <cell r="J6380" t="str">
            <v/>
          </cell>
          <cell r="K6380" t="str">
            <v/>
          </cell>
          <cell r="L6380" t="str">
            <v/>
          </cell>
          <cell r="M6380" t="str">
            <v/>
          </cell>
        </row>
        <row r="6381">
          <cell r="A6381">
            <v>31102192</v>
          </cell>
          <cell r="C6381">
            <v>31102192</v>
          </cell>
          <cell r="D6381">
            <v>31102192</v>
          </cell>
          <cell r="E6381">
            <v>31102192</v>
          </cell>
          <cell r="F6381">
            <v>31102192</v>
          </cell>
          <cell r="G6381">
            <v>31102192</v>
          </cell>
          <cell r="H6381">
            <v>31102192</v>
          </cell>
          <cell r="I6381" t="str">
            <v/>
          </cell>
          <cell r="J6381" t="str">
            <v/>
          </cell>
          <cell r="K6381" t="str">
            <v/>
          </cell>
          <cell r="L6381" t="str">
            <v/>
          </cell>
          <cell r="M6381" t="str">
            <v/>
          </cell>
        </row>
        <row r="6382">
          <cell r="A6382">
            <v>31102192</v>
          </cell>
          <cell r="C6382">
            <v>31102192</v>
          </cell>
          <cell r="D6382">
            <v>31102192</v>
          </cell>
          <cell r="E6382">
            <v>31102192</v>
          </cell>
          <cell r="F6382">
            <v>31102192</v>
          </cell>
          <cell r="G6382">
            <v>31102192</v>
          </cell>
          <cell r="H6382">
            <v>31102192</v>
          </cell>
          <cell r="I6382" t="str">
            <v/>
          </cell>
          <cell r="J6382" t="str">
            <v/>
          </cell>
          <cell r="K6382" t="str">
            <v/>
          </cell>
          <cell r="L6382" t="str">
            <v/>
          </cell>
          <cell r="M6382" t="str">
            <v/>
          </cell>
        </row>
        <row r="6383">
          <cell r="A6383">
            <v>31102192</v>
          </cell>
          <cell r="C6383">
            <v>31102192</v>
          </cell>
          <cell r="D6383">
            <v>31102192</v>
          </cell>
          <cell r="E6383">
            <v>31102192</v>
          </cell>
          <cell r="F6383">
            <v>31102192</v>
          </cell>
          <cell r="G6383">
            <v>31102192</v>
          </cell>
          <cell r="H6383">
            <v>31102192</v>
          </cell>
          <cell r="I6383" t="str">
            <v/>
          </cell>
          <cell r="J6383" t="str">
            <v/>
          </cell>
          <cell r="K6383" t="str">
            <v/>
          </cell>
          <cell r="L6383" t="str">
            <v/>
          </cell>
          <cell r="M6383" t="str">
            <v/>
          </cell>
        </row>
        <row r="6384">
          <cell r="A6384">
            <v>31102192</v>
          </cell>
          <cell r="C6384">
            <v>31102192</v>
          </cell>
          <cell r="D6384">
            <v>31102192</v>
          </cell>
          <cell r="E6384">
            <v>31102192</v>
          </cell>
          <cell r="F6384">
            <v>31102192</v>
          </cell>
          <cell r="G6384">
            <v>31102192</v>
          </cell>
          <cell r="H6384">
            <v>31102192</v>
          </cell>
          <cell r="I6384" t="str">
            <v/>
          </cell>
          <cell r="J6384" t="str">
            <v/>
          </cell>
          <cell r="K6384" t="str">
            <v/>
          </cell>
          <cell r="L6384" t="str">
            <v/>
          </cell>
          <cell r="M6384" t="str">
            <v/>
          </cell>
        </row>
        <row r="6385">
          <cell r="A6385">
            <v>31102192</v>
          </cell>
          <cell r="C6385">
            <v>31102192</v>
          </cell>
          <cell r="D6385">
            <v>31102192</v>
          </cell>
          <cell r="E6385">
            <v>31102192</v>
          </cell>
          <cell r="F6385">
            <v>31102192</v>
          </cell>
          <cell r="G6385">
            <v>31102192</v>
          </cell>
          <cell r="H6385">
            <v>31102192</v>
          </cell>
          <cell r="I6385" t="str">
            <v/>
          </cell>
          <cell r="J6385" t="str">
            <v/>
          </cell>
          <cell r="K6385" t="str">
            <v/>
          </cell>
          <cell r="L6385" t="str">
            <v/>
          </cell>
          <cell r="M6385" t="str">
            <v/>
          </cell>
        </row>
        <row r="6386">
          <cell r="A6386">
            <v>31102192</v>
          </cell>
          <cell r="C6386">
            <v>31102192</v>
          </cell>
          <cell r="D6386">
            <v>31102192</v>
          </cell>
          <cell r="E6386">
            <v>31102192</v>
          </cell>
          <cell r="F6386">
            <v>31102192</v>
          </cell>
          <cell r="G6386">
            <v>31102192</v>
          </cell>
          <cell r="H6386">
            <v>31102192</v>
          </cell>
          <cell r="I6386" t="str">
            <v/>
          </cell>
          <cell r="J6386" t="str">
            <v/>
          </cell>
          <cell r="K6386" t="str">
            <v/>
          </cell>
          <cell r="L6386" t="str">
            <v/>
          </cell>
          <cell r="M6386" t="str">
            <v/>
          </cell>
        </row>
        <row r="6387">
          <cell r="A6387">
            <v>31102192</v>
          </cell>
          <cell r="C6387">
            <v>31102192</v>
          </cell>
          <cell r="D6387">
            <v>31102192</v>
          </cell>
          <cell r="E6387">
            <v>31102192</v>
          </cell>
          <cell r="F6387">
            <v>31102192</v>
          </cell>
          <cell r="G6387">
            <v>31102192</v>
          </cell>
          <cell r="H6387">
            <v>31102192</v>
          </cell>
          <cell r="I6387" t="str">
            <v/>
          </cell>
          <cell r="J6387" t="str">
            <v/>
          </cell>
          <cell r="K6387" t="str">
            <v/>
          </cell>
          <cell r="L6387" t="str">
            <v/>
          </cell>
          <cell r="M6387" t="str">
            <v/>
          </cell>
        </row>
        <row r="6388">
          <cell r="A6388">
            <v>31102192</v>
          </cell>
          <cell r="C6388">
            <v>31102192</v>
          </cell>
          <cell r="D6388">
            <v>31102192</v>
          </cell>
          <cell r="E6388">
            <v>31102192</v>
          </cell>
          <cell r="F6388">
            <v>31102192</v>
          </cell>
          <cell r="G6388">
            <v>31102192</v>
          </cell>
          <cell r="H6388">
            <v>31102192</v>
          </cell>
          <cell r="I6388" t="str">
            <v/>
          </cell>
          <cell r="J6388" t="str">
            <v/>
          </cell>
          <cell r="K6388" t="str">
            <v/>
          </cell>
          <cell r="L6388" t="str">
            <v/>
          </cell>
          <cell r="M6388" t="str">
            <v/>
          </cell>
        </row>
        <row r="6389">
          <cell r="A6389">
            <v>31102192</v>
          </cell>
          <cell r="C6389">
            <v>31102192</v>
          </cell>
          <cell r="D6389">
            <v>31102192</v>
          </cell>
          <cell r="E6389">
            <v>31102192</v>
          </cell>
          <cell r="F6389">
            <v>31102192</v>
          </cell>
          <cell r="G6389">
            <v>31102192</v>
          </cell>
          <cell r="H6389">
            <v>31102192</v>
          </cell>
          <cell r="I6389" t="str">
            <v/>
          </cell>
          <cell r="J6389" t="str">
            <v/>
          </cell>
          <cell r="K6389" t="str">
            <v/>
          </cell>
          <cell r="L6389" t="str">
            <v/>
          </cell>
          <cell r="M6389" t="str">
            <v/>
          </cell>
        </row>
        <row r="6390">
          <cell r="A6390">
            <v>31102192</v>
          </cell>
          <cell r="C6390">
            <v>31102192</v>
          </cell>
          <cell r="D6390">
            <v>31102192</v>
          </cell>
          <cell r="E6390">
            <v>31102192</v>
          </cell>
          <cell r="F6390">
            <v>31102192</v>
          </cell>
          <cell r="G6390">
            <v>31102192</v>
          </cell>
          <cell r="H6390">
            <v>31102192</v>
          </cell>
          <cell r="I6390" t="str">
            <v/>
          </cell>
          <cell r="J6390" t="str">
            <v/>
          </cell>
          <cell r="K6390" t="str">
            <v/>
          </cell>
          <cell r="L6390" t="str">
            <v/>
          </cell>
          <cell r="M6390" t="str">
            <v/>
          </cell>
        </row>
        <row r="6391">
          <cell r="A6391">
            <v>31102192</v>
          </cell>
          <cell r="C6391">
            <v>31102192</v>
          </cell>
          <cell r="D6391">
            <v>31102192</v>
          </cell>
          <cell r="E6391">
            <v>31102192</v>
          </cell>
          <cell r="F6391">
            <v>31102192</v>
          </cell>
          <cell r="G6391">
            <v>31102192</v>
          </cell>
          <cell r="H6391">
            <v>31102192</v>
          </cell>
          <cell r="I6391" t="str">
            <v/>
          </cell>
          <cell r="J6391" t="str">
            <v/>
          </cell>
          <cell r="K6391" t="str">
            <v/>
          </cell>
          <cell r="L6391" t="str">
            <v/>
          </cell>
          <cell r="M6391" t="str">
            <v/>
          </cell>
        </row>
        <row r="6392">
          <cell r="A6392">
            <v>31102192</v>
          </cell>
          <cell r="C6392">
            <v>31102192</v>
          </cell>
          <cell r="D6392">
            <v>31102192</v>
          </cell>
          <cell r="E6392">
            <v>31102192</v>
          </cell>
          <cell r="F6392">
            <v>31102192</v>
          </cell>
          <cell r="G6392">
            <v>31102192</v>
          </cell>
          <cell r="H6392">
            <v>31102192</v>
          </cell>
          <cell r="I6392" t="str">
            <v/>
          </cell>
          <cell r="J6392" t="str">
            <v/>
          </cell>
          <cell r="K6392" t="str">
            <v/>
          </cell>
          <cell r="L6392" t="str">
            <v/>
          </cell>
          <cell r="M6392" t="str">
            <v/>
          </cell>
        </row>
        <row r="6393">
          <cell r="A6393">
            <v>31102192</v>
          </cell>
          <cell r="C6393">
            <v>31102192</v>
          </cell>
          <cell r="D6393">
            <v>31102192</v>
          </cell>
          <cell r="E6393">
            <v>31102192</v>
          </cell>
          <cell r="F6393">
            <v>31102192</v>
          </cell>
          <cell r="G6393">
            <v>31102192</v>
          </cell>
          <cell r="H6393">
            <v>31102192</v>
          </cell>
          <cell r="I6393" t="str">
            <v/>
          </cell>
          <cell r="J6393" t="str">
            <v/>
          </cell>
          <cell r="K6393" t="str">
            <v/>
          </cell>
          <cell r="L6393" t="str">
            <v/>
          </cell>
          <cell r="M6393" t="str">
            <v/>
          </cell>
        </row>
        <row r="6394">
          <cell r="A6394">
            <v>31102192</v>
          </cell>
          <cell r="C6394">
            <v>31102192</v>
          </cell>
          <cell r="D6394">
            <v>31102192</v>
          </cell>
          <cell r="E6394">
            <v>31102192</v>
          </cell>
          <cell r="F6394">
            <v>31102192</v>
          </cell>
          <cell r="G6394">
            <v>31102192</v>
          </cell>
          <cell r="H6394">
            <v>31102192</v>
          </cell>
          <cell r="I6394" t="str">
            <v/>
          </cell>
          <cell r="J6394" t="str">
            <v/>
          </cell>
          <cell r="K6394" t="str">
            <v/>
          </cell>
          <cell r="L6394" t="str">
            <v/>
          </cell>
          <cell r="M6394" t="str">
            <v/>
          </cell>
        </row>
        <row r="6395">
          <cell r="A6395">
            <v>31102192</v>
          </cell>
          <cell r="C6395">
            <v>31102192</v>
          </cell>
          <cell r="D6395">
            <v>31102192</v>
          </cell>
          <cell r="E6395">
            <v>31102192</v>
          </cell>
          <cell r="F6395">
            <v>31102192</v>
          </cell>
          <cell r="G6395">
            <v>31102192</v>
          </cell>
          <cell r="H6395">
            <v>31102192</v>
          </cell>
          <cell r="I6395" t="str">
            <v/>
          </cell>
          <cell r="J6395" t="str">
            <v/>
          </cell>
          <cell r="K6395" t="str">
            <v/>
          </cell>
          <cell r="L6395" t="str">
            <v/>
          </cell>
          <cell r="M6395" t="str">
            <v/>
          </cell>
        </row>
        <row r="6396">
          <cell r="A6396">
            <v>31102192</v>
          </cell>
          <cell r="C6396">
            <v>31102192</v>
          </cell>
          <cell r="D6396">
            <v>31102192</v>
          </cell>
          <cell r="E6396">
            <v>31102192</v>
          </cell>
          <cell r="F6396">
            <v>31102192</v>
          </cell>
          <cell r="G6396">
            <v>31102192</v>
          </cell>
          <cell r="H6396">
            <v>31102192</v>
          </cell>
          <cell r="I6396" t="str">
            <v/>
          </cell>
          <cell r="J6396" t="str">
            <v/>
          </cell>
          <cell r="K6396" t="str">
            <v/>
          </cell>
          <cell r="L6396" t="str">
            <v/>
          </cell>
          <cell r="M6396" t="str">
            <v/>
          </cell>
        </row>
        <row r="6397">
          <cell r="A6397">
            <v>31102192</v>
          </cell>
          <cell r="C6397">
            <v>31102192</v>
          </cell>
          <cell r="D6397">
            <v>31102192</v>
          </cell>
          <cell r="E6397">
            <v>31102192</v>
          </cell>
          <cell r="F6397">
            <v>31102192</v>
          </cell>
          <cell r="G6397">
            <v>31102192</v>
          </cell>
          <cell r="H6397">
            <v>31102192</v>
          </cell>
          <cell r="I6397" t="str">
            <v/>
          </cell>
          <cell r="J6397" t="str">
            <v/>
          </cell>
          <cell r="K6397" t="str">
            <v/>
          </cell>
          <cell r="L6397" t="str">
            <v/>
          </cell>
          <cell r="M6397" t="str">
            <v/>
          </cell>
        </row>
        <row r="6398">
          <cell r="A6398">
            <v>31102192</v>
          </cell>
          <cell r="C6398">
            <v>31102192</v>
          </cell>
          <cell r="D6398">
            <v>31102192</v>
          </cell>
          <cell r="E6398">
            <v>31102192</v>
          </cell>
          <cell r="F6398">
            <v>31102192</v>
          </cell>
          <cell r="G6398">
            <v>31102192</v>
          </cell>
          <cell r="H6398">
            <v>31102192</v>
          </cell>
          <cell r="I6398" t="str">
            <v/>
          </cell>
          <cell r="J6398" t="str">
            <v/>
          </cell>
          <cell r="K6398" t="str">
            <v/>
          </cell>
          <cell r="L6398" t="str">
            <v/>
          </cell>
          <cell r="M6398" t="str">
            <v/>
          </cell>
        </row>
        <row r="6399">
          <cell r="A6399">
            <v>31102192</v>
          </cell>
          <cell r="C6399">
            <v>31102192</v>
          </cell>
          <cell r="D6399">
            <v>31102192</v>
          </cell>
          <cell r="E6399">
            <v>31102192</v>
          </cell>
          <cell r="F6399">
            <v>31102192</v>
          </cell>
          <cell r="G6399">
            <v>31102192</v>
          </cell>
          <cell r="H6399">
            <v>31102192</v>
          </cell>
          <cell r="I6399" t="str">
            <v/>
          </cell>
          <cell r="J6399" t="str">
            <v/>
          </cell>
          <cell r="K6399" t="str">
            <v/>
          </cell>
          <cell r="L6399" t="str">
            <v/>
          </cell>
          <cell r="M6399" t="str">
            <v/>
          </cell>
        </row>
        <row r="6400">
          <cell r="A6400">
            <v>31102192</v>
          </cell>
          <cell r="C6400">
            <v>31102192</v>
          </cell>
          <cell r="D6400">
            <v>31102192</v>
          </cell>
          <cell r="E6400">
            <v>31102192</v>
          </cell>
          <cell r="F6400">
            <v>31102192</v>
          </cell>
          <cell r="G6400">
            <v>31102192</v>
          </cell>
          <cell r="H6400">
            <v>31102192</v>
          </cell>
          <cell r="I6400" t="str">
            <v/>
          </cell>
          <cell r="J6400" t="str">
            <v/>
          </cell>
          <cell r="K6400" t="str">
            <v/>
          </cell>
          <cell r="L6400" t="str">
            <v/>
          </cell>
          <cell r="M6400" t="str">
            <v/>
          </cell>
        </row>
        <row r="6401">
          <cell r="A6401">
            <v>31102192</v>
          </cell>
          <cell r="C6401">
            <v>31102192</v>
          </cell>
          <cell r="D6401">
            <v>31102192</v>
          </cell>
          <cell r="E6401">
            <v>31102192</v>
          </cell>
          <cell r="F6401">
            <v>31102192</v>
          </cell>
          <cell r="G6401">
            <v>31102192</v>
          </cell>
          <cell r="H6401">
            <v>31102192</v>
          </cell>
          <cell r="I6401" t="str">
            <v/>
          </cell>
          <cell r="J6401" t="str">
            <v/>
          </cell>
          <cell r="K6401" t="str">
            <v/>
          </cell>
          <cell r="L6401" t="str">
            <v/>
          </cell>
          <cell r="M6401" t="str">
            <v/>
          </cell>
        </row>
        <row r="6402">
          <cell r="A6402">
            <v>31102192</v>
          </cell>
          <cell r="C6402">
            <v>31102192</v>
          </cell>
          <cell r="D6402">
            <v>31102192</v>
          </cell>
          <cell r="E6402">
            <v>31102192</v>
          </cell>
          <cell r="F6402">
            <v>31102192</v>
          </cell>
          <cell r="G6402">
            <v>31102192</v>
          </cell>
          <cell r="H6402">
            <v>31102192</v>
          </cell>
          <cell r="I6402" t="str">
            <v/>
          </cell>
          <cell r="J6402" t="str">
            <v/>
          </cell>
          <cell r="K6402" t="str">
            <v/>
          </cell>
          <cell r="L6402" t="str">
            <v/>
          </cell>
          <cell r="M6402" t="str">
            <v/>
          </cell>
        </row>
        <row r="6403">
          <cell r="A6403">
            <v>31102192</v>
          </cell>
          <cell r="C6403">
            <v>31102192</v>
          </cell>
          <cell r="D6403">
            <v>31102192</v>
          </cell>
          <cell r="E6403">
            <v>31102192</v>
          </cell>
          <cell r="F6403">
            <v>31102192</v>
          </cell>
          <cell r="G6403">
            <v>31102192</v>
          </cell>
          <cell r="H6403">
            <v>31102192</v>
          </cell>
          <cell r="I6403" t="str">
            <v/>
          </cell>
          <cell r="J6403" t="str">
            <v/>
          </cell>
          <cell r="K6403" t="str">
            <v/>
          </cell>
          <cell r="L6403" t="str">
            <v/>
          </cell>
          <cell r="M6403" t="str">
            <v/>
          </cell>
        </row>
        <row r="6404">
          <cell r="A6404">
            <v>31102192</v>
          </cell>
          <cell r="C6404">
            <v>31102192</v>
          </cell>
          <cell r="D6404">
            <v>31102192</v>
          </cell>
          <cell r="E6404">
            <v>31102192</v>
          </cell>
          <cell r="F6404">
            <v>31102192</v>
          </cell>
          <cell r="G6404">
            <v>31102192</v>
          </cell>
          <cell r="H6404">
            <v>31102192</v>
          </cell>
          <cell r="I6404" t="str">
            <v/>
          </cell>
          <cell r="J6404" t="str">
            <v/>
          </cell>
          <cell r="K6404" t="str">
            <v/>
          </cell>
          <cell r="L6404" t="str">
            <v/>
          </cell>
          <cell r="M6404" t="str">
            <v/>
          </cell>
        </row>
        <row r="6405">
          <cell r="A6405">
            <v>31102192</v>
          </cell>
          <cell r="C6405">
            <v>31102192</v>
          </cell>
          <cell r="D6405">
            <v>31102192</v>
          </cell>
          <cell r="E6405">
            <v>31102192</v>
          </cell>
          <cell r="F6405">
            <v>31102192</v>
          </cell>
          <cell r="G6405">
            <v>31102192</v>
          </cell>
          <cell r="H6405">
            <v>31102192</v>
          </cell>
          <cell r="I6405" t="str">
            <v/>
          </cell>
          <cell r="J6405" t="str">
            <v/>
          </cell>
          <cell r="K6405" t="str">
            <v/>
          </cell>
          <cell r="L6405" t="str">
            <v/>
          </cell>
          <cell r="M6405" t="str">
            <v/>
          </cell>
        </row>
        <row r="6406">
          <cell r="A6406">
            <v>31102192</v>
          </cell>
          <cell r="C6406">
            <v>31102192</v>
          </cell>
          <cell r="D6406">
            <v>31102192</v>
          </cell>
          <cell r="E6406">
            <v>31102192</v>
          </cell>
          <cell r="F6406">
            <v>31102192</v>
          </cell>
          <cell r="G6406">
            <v>31102192</v>
          </cell>
          <cell r="H6406">
            <v>31102192</v>
          </cell>
          <cell r="I6406" t="str">
            <v/>
          </cell>
          <cell r="J6406" t="str">
            <v/>
          </cell>
          <cell r="K6406" t="str">
            <v/>
          </cell>
          <cell r="L6406" t="str">
            <v/>
          </cell>
          <cell r="M6406" t="str">
            <v/>
          </cell>
        </row>
        <row r="6407">
          <cell r="A6407">
            <v>31102192</v>
          </cell>
          <cell r="C6407">
            <v>31102192</v>
          </cell>
          <cell r="D6407">
            <v>31102192</v>
          </cell>
          <cell r="E6407">
            <v>31102192</v>
          </cell>
          <cell r="F6407">
            <v>31102192</v>
          </cell>
          <cell r="G6407">
            <v>31102192</v>
          </cell>
          <cell r="H6407">
            <v>31102192</v>
          </cell>
          <cell r="I6407" t="str">
            <v/>
          </cell>
          <cell r="J6407" t="str">
            <v/>
          </cell>
          <cell r="K6407" t="str">
            <v/>
          </cell>
          <cell r="L6407" t="str">
            <v/>
          </cell>
          <cell r="M6407" t="str">
            <v/>
          </cell>
        </row>
        <row r="6408">
          <cell r="A6408">
            <v>31102192</v>
          </cell>
          <cell r="C6408">
            <v>31102192</v>
          </cell>
          <cell r="D6408">
            <v>31102192</v>
          </cell>
          <cell r="E6408">
            <v>31102192</v>
          </cell>
          <cell r="F6408">
            <v>31102192</v>
          </cell>
          <cell r="G6408">
            <v>31102192</v>
          </cell>
          <cell r="H6408">
            <v>31102192</v>
          </cell>
          <cell r="I6408" t="str">
            <v/>
          </cell>
          <cell r="J6408" t="str">
            <v/>
          </cell>
          <cell r="K6408" t="str">
            <v/>
          </cell>
          <cell r="L6408" t="str">
            <v/>
          </cell>
          <cell r="M6408" t="str">
            <v/>
          </cell>
        </row>
        <row r="6409">
          <cell r="A6409">
            <v>31102192</v>
          </cell>
          <cell r="C6409">
            <v>31102192</v>
          </cell>
          <cell r="D6409">
            <v>31102192</v>
          </cell>
          <cell r="E6409">
            <v>31102192</v>
          </cell>
          <cell r="F6409">
            <v>31102192</v>
          </cell>
          <cell r="G6409">
            <v>31102192</v>
          </cell>
          <cell r="H6409">
            <v>31102192</v>
          </cell>
          <cell r="I6409" t="str">
            <v/>
          </cell>
          <cell r="J6409" t="str">
            <v/>
          </cell>
          <cell r="K6409" t="str">
            <v/>
          </cell>
          <cell r="L6409" t="str">
            <v/>
          </cell>
          <cell r="M6409" t="str">
            <v/>
          </cell>
        </row>
        <row r="6410">
          <cell r="A6410">
            <v>31102192</v>
          </cell>
          <cell r="C6410">
            <v>31102192</v>
          </cell>
          <cell r="D6410">
            <v>31102192</v>
          </cell>
          <cell r="E6410">
            <v>31102192</v>
          </cell>
          <cell r="F6410">
            <v>31102192</v>
          </cell>
          <cell r="G6410">
            <v>31102192</v>
          </cell>
          <cell r="H6410">
            <v>31102192</v>
          </cell>
          <cell r="I6410" t="str">
            <v/>
          </cell>
          <cell r="J6410" t="str">
            <v/>
          </cell>
          <cell r="K6410" t="str">
            <v/>
          </cell>
          <cell r="L6410" t="str">
            <v/>
          </cell>
          <cell r="M6410" t="str">
            <v/>
          </cell>
        </row>
        <row r="6411">
          <cell r="A6411">
            <v>31102192</v>
          </cell>
          <cell r="C6411">
            <v>31102192</v>
          </cell>
          <cell r="D6411">
            <v>31102192</v>
          </cell>
          <cell r="E6411">
            <v>31102192</v>
          </cell>
          <cell r="F6411">
            <v>31102192</v>
          </cell>
          <cell r="G6411">
            <v>31102192</v>
          </cell>
          <cell r="H6411">
            <v>31102192</v>
          </cell>
          <cell r="I6411" t="str">
            <v/>
          </cell>
          <cell r="J6411" t="str">
            <v/>
          </cell>
          <cell r="K6411" t="str">
            <v/>
          </cell>
          <cell r="L6411" t="str">
            <v/>
          </cell>
          <cell r="M6411" t="str">
            <v/>
          </cell>
        </row>
        <row r="6412">
          <cell r="A6412">
            <v>31102192</v>
          </cell>
          <cell r="C6412">
            <v>31102192</v>
          </cell>
          <cell r="D6412">
            <v>31102192</v>
          </cell>
          <cell r="E6412">
            <v>31102192</v>
          </cell>
          <cell r="F6412">
            <v>31102192</v>
          </cell>
          <cell r="G6412">
            <v>31102192</v>
          </cell>
          <cell r="H6412">
            <v>31102192</v>
          </cell>
          <cell r="I6412" t="str">
            <v/>
          </cell>
          <cell r="J6412" t="str">
            <v/>
          </cell>
          <cell r="K6412" t="str">
            <v/>
          </cell>
          <cell r="L6412" t="str">
            <v/>
          </cell>
          <cell r="M6412" t="str">
            <v/>
          </cell>
        </row>
        <row r="6413">
          <cell r="A6413">
            <v>31102192</v>
          </cell>
          <cell r="C6413">
            <v>31102192</v>
          </cell>
          <cell r="D6413">
            <v>31102192</v>
          </cell>
          <cell r="E6413">
            <v>31102192</v>
          </cell>
          <cell r="F6413">
            <v>31102192</v>
          </cell>
          <cell r="G6413">
            <v>31102192</v>
          </cell>
          <cell r="H6413">
            <v>31102192</v>
          </cell>
          <cell r="I6413" t="str">
            <v/>
          </cell>
          <cell r="J6413" t="str">
            <v/>
          </cell>
          <cell r="K6413" t="str">
            <v/>
          </cell>
          <cell r="L6413" t="str">
            <v/>
          </cell>
          <cell r="M6413" t="str">
            <v/>
          </cell>
        </row>
        <row r="6414">
          <cell r="A6414">
            <v>31102192</v>
          </cell>
          <cell r="C6414">
            <v>31102192</v>
          </cell>
          <cell r="D6414">
            <v>31102192</v>
          </cell>
          <cell r="E6414">
            <v>31102192</v>
          </cell>
          <cell r="F6414">
            <v>31102192</v>
          </cell>
          <cell r="G6414">
            <v>31102192</v>
          </cell>
          <cell r="H6414">
            <v>31102192</v>
          </cell>
          <cell r="I6414" t="str">
            <v/>
          </cell>
          <cell r="J6414" t="str">
            <v/>
          </cell>
          <cell r="K6414" t="str">
            <v/>
          </cell>
          <cell r="L6414" t="str">
            <v/>
          </cell>
          <cell r="M6414" t="str">
            <v/>
          </cell>
        </row>
        <row r="6415">
          <cell r="A6415">
            <v>31102192</v>
          </cell>
          <cell r="C6415">
            <v>31102192</v>
          </cell>
          <cell r="D6415">
            <v>31102192</v>
          </cell>
          <cell r="E6415">
            <v>31102192</v>
          </cell>
          <cell r="F6415">
            <v>31102192</v>
          </cell>
          <cell r="G6415">
            <v>31102192</v>
          </cell>
          <cell r="H6415">
            <v>31102192</v>
          </cell>
          <cell r="I6415" t="str">
            <v/>
          </cell>
          <cell r="J6415" t="str">
            <v/>
          </cell>
          <cell r="K6415" t="str">
            <v/>
          </cell>
          <cell r="L6415" t="str">
            <v/>
          </cell>
          <cell r="M6415" t="str">
            <v/>
          </cell>
        </row>
        <row r="6416">
          <cell r="A6416">
            <v>31102192</v>
          </cell>
          <cell r="C6416">
            <v>31102192</v>
          </cell>
          <cell r="D6416">
            <v>31102192</v>
          </cell>
          <cell r="E6416">
            <v>31102192</v>
          </cell>
          <cell r="F6416">
            <v>31102192</v>
          </cell>
          <cell r="G6416">
            <v>31102192</v>
          </cell>
          <cell r="H6416">
            <v>31102192</v>
          </cell>
          <cell r="I6416" t="str">
            <v/>
          </cell>
          <cell r="J6416" t="str">
            <v/>
          </cell>
          <cell r="K6416" t="str">
            <v/>
          </cell>
          <cell r="L6416" t="str">
            <v/>
          </cell>
          <cell r="M6416" t="str">
            <v/>
          </cell>
        </row>
        <row r="6417">
          <cell r="A6417">
            <v>31102192</v>
          </cell>
          <cell r="C6417">
            <v>31102192</v>
          </cell>
          <cell r="D6417">
            <v>31102192</v>
          </cell>
          <cell r="E6417">
            <v>31102192</v>
          </cell>
          <cell r="F6417">
            <v>31102192</v>
          </cell>
          <cell r="G6417">
            <v>31102192</v>
          </cell>
          <cell r="H6417">
            <v>31102192</v>
          </cell>
          <cell r="I6417" t="str">
            <v/>
          </cell>
          <cell r="J6417" t="str">
            <v/>
          </cell>
          <cell r="K6417" t="str">
            <v/>
          </cell>
          <cell r="L6417" t="str">
            <v/>
          </cell>
          <cell r="M6417" t="str">
            <v/>
          </cell>
        </row>
        <row r="6418">
          <cell r="A6418">
            <v>31102192</v>
          </cell>
          <cell r="C6418">
            <v>31102192</v>
          </cell>
          <cell r="D6418">
            <v>31102192</v>
          </cell>
          <cell r="E6418">
            <v>31102192</v>
          </cell>
          <cell r="F6418">
            <v>31102192</v>
          </cell>
          <cell r="G6418">
            <v>31102192</v>
          </cell>
          <cell r="H6418">
            <v>31102192</v>
          </cell>
          <cell r="I6418" t="str">
            <v/>
          </cell>
          <cell r="J6418" t="str">
            <v/>
          </cell>
          <cell r="K6418" t="str">
            <v/>
          </cell>
          <cell r="L6418" t="str">
            <v/>
          </cell>
          <cell r="M6418" t="str">
            <v/>
          </cell>
        </row>
        <row r="6419">
          <cell r="A6419">
            <v>31102192</v>
          </cell>
          <cell r="C6419">
            <v>31102192</v>
          </cell>
          <cell r="D6419">
            <v>31102192</v>
          </cell>
          <cell r="E6419">
            <v>31102192</v>
          </cell>
          <cell r="F6419">
            <v>31102192</v>
          </cell>
          <cell r="G6419">
            <v>31102192</v>
          </cell>
          <cell r="H6419">
            <v>31102192</v>
          </cell>
          <cell r="I6419" t="str">
            <v/>
          </cell>
          <cell r="J6419" t="str">
            <v/>
          </cell>
          <cell r="K6419" t="str">
            <v/>
          </cell>
          <cell r="L6419" t="str">
            <v/>
          </cell>
          <cell r="M6419" t="str">
            <v/>
          </cell>
        </row>
        <row r="6420">
          <cell r="A6420">
            <v>31102192</v>
          </cell>
          <cell r="C6420">
            <v>31102192</v>
          </cell>
          <cell r="D6420">
            <v>31102192</v>
          </cell>
          <cell r="E6420">
            <v>31102192</v>
          </cell>
          <cell r="F6420">
            <v>31102192</v>
          </cell>
          <cell r="G6420">
            <v>31102192</v>
          </cell>
          <cell r="H6420">
            <v>31102192</v>
          </cell>
          <cell r="I6420" t="str">
            <v/>
          </cell>
          <cell r="J6420" t="str">
            <v/>
          </cell>
          <cell r="K6420" t="str">
            <v/>
          </cell>
          <cell r="L6420" t="str">
            <v/>
          </cell>
          <cell r="M6420" t="str">
            <v/>
          </cell>
        </row>
        <row r="6421">
          <cell r="A6421">
            <v>31102192</v>
          </cell>
          <cell r="C6421">
            <v>31102192</v>
          </cell>
          <cell r="D6421">
            <v>31102192</v>
          </cell>
          <cell r="E6421">
            <v>31102192</v>
          </cell>
          <cell r="F6421">
            <v>31102192</v>
          </cell>
          <cell r="G6421">
            <v>31102192</v>
          </cell>
          <cell r="H6421">
            <v>31102192</v>
          </cell>
          <cell r="I6421" t="str">
            <v/>
          </cell>
          <cell r="J6421" t="str">
            <v/>
          </cell>
          <cell r="K6421" t="str">
            <v/>
          </cell>
          <cell r="L6421" t="str">
            <v/>
          </cell>
          <cell r="M6421" t="str">
            <v/>
          </cell>
        </row>
        <row r="6422">
          <cell r="A6422">
            <v>31102192</v>
          </cell>
          <cell r="C6422">
            <v>31102192</v>
          </cell>
          <cell r="D6422">
            <v>31102192</v>
          </cell>
          <cell r="E6422">
            <v>31102192</v>
          </cell>
          <cell r="F6422">
            <v>31102192</v>
          </cell>
          <cell r="G6422">
            <v>31102192</v>
          </cell>
          <cell r="H6422">
            <v>31102192</v>
          </cell>
          <cell r="I6422" t="str">
            <v/>
          </cell>
          <cell r="J6422" t="str">
            <v/>
          </cell>
          <cell r="K6422" t="str">
            <v/>
          </cell>
          <cell r="L6422" t="str">
            <v/>
          </cell>
          <cell r="M6422" t="str">
            <v/>
          </cell>
        </row>
        <row r="6423">
          <cell r="A6423">
            <v>31102192</v>
          </cell>
          <cell r="C6423">
            <v>31102192</v>
          </cell>
          <cell r="D6423">
            <v>31102192</v>
          </cell>
          <cell r="E6423">
            <v>31102192</v>
          </cell>
          <cell r="F6423">
            <v>31102192</v>
          </cell>
          <cell r="G6423">
            <v>31102192</v>
          </cell>
          <cell r="H6423">
            <v>31102192</v>
          </cell>
          <cell r="I6423" t="str">
            <v/>
          </cell>
          <cell r="J6423" t="str">
            <v/>
          </cell>
          <cell r="K6423" t="str">
            <v/>
          </cell>
          <cell r="L6423" t="str">
            <v/>
          </cell>
          <cell r="M6423" t="str">
            <v/>
          </cell>
        </row>
        <row r="6424">
          <cell r="A6424">
            <v>31102192</v>
          </cell>
          <cell r="C6424">
            <v>31102192</v>
          </cell>
          <cell r="D6424">
            <v>31102192</v>
          </cell>
          <cell r="E6424">
            <v>31102192</v>
          </cell>
          <cell r="F6424">
            <v>31102192</v>
          </cell>
          <cell r="G6424">
            <v>31102192</v>
          </cell>
          <cell r="H6424">
            <v>31102192</v>
          </cell>
          <cell r="I6424" t="str">
            <v/>
          </cell>
          <cell r="J6424" t="str">
            <v/>
          </cell>
          <cell r="K6424" t="str">
            <v/>
          </cell>
          <cell r="L6424" t="str">
            <v/>
          </cell>
          <cell r="M6424" t="str">
            <v/>
          </cell>
        </row>
        <row r="6425">
          <cell r="A6425">
            <v>31102192</v>
          </cell>
          <cell r="C6425">
            <v>31102192</v>
          </cell>
          <cell r="D6425">
            <v>31102192</v>
          </cell>
          <cell r="E6425">
            <v>31102192</v>
          </cell>
          <cell r="F6425">
            <v>31102192</v>
          </cell>
          <cell r="G6425">
            <v>31102192</v>
          </cell>
          <cell r="H6425">
            <v>31102192</v>
          </cell>
          <cell r="I6425" t="str">
            <v/>
          </cell>
          <cell r="J6425" t="str">
            <v/>
          </cell>
          <cell r="K6425" t="str">
            <v/>
          </cell>
          <cell r="L6425" t="str">
            <v/>
          </cell>
          <cell r="M6425" t="str">
            <v/>
          </cell>
        </row>
        <row r="6426">
          <cell r="A6426">
            <v>31102192</v>
          </cell>
          <cell r="C6426">
            <v>31102192</v>
          </cell>
          <cell r="D6426">
            <v>31102192</v>
          </cell>
          <cell r="E6426">
            <v>31102192</v>
          </cell>
          <cell r="F6426">
            <v>31102192</v>
          </cell>
          <cell r="G6426">
            <v>31102192</v>
          </cell>
          <cell r="H6426">
            <v>31102192</v>
          </cell>
          <cell r="I6426" t="str">
            <v/>
          </cell>
          <cell r="J6426" t="str">
            <v/>
          </cell>
          <cell r="K6426" t="str">
            <v/>
          </cell>
          <cell r="L6426" t="str">
            <v/>
          </cell>
          <cell r="M6426" t="str">
            <v/>
          </cell>
        </row>
        <row r="6427">
          <cell r="A6427">
            <v>31102192</v>
          </cell>
          <cell r="C6427">
            <v>31102192</v>
          </cell>
          <cell r="D6427">
            <v>31102192</v>
          </cell>
          <cell r="E6427">
            <v>31102192</v>
          </cell>
          <cell r="F6427">
            <v>31102192</v>
          </cell>
          <cell r="G6427">
            <v>31102192</v>
          </cell>
          <cell r="H6427">
            <v>31102192</v>
          </cell>
          <cell r="I6427" t="str">
            <v/>
          </cell>
          <cell r="J6427" t="str">
            <v/>
          </cell>
          <cell r="K6427" t="str">
            <v/>
          </cell>
          <cell r="L6427" t="str">
            <v/>
          </cell>
          <cell r="M6427" t="str">
            <v/>
          </cell>
        </row>
        <row r="6428">
          <cell r="A6428">
            <v>31102192</v>
          </cell>
          <cell r="C6428">
            <v>31102192</v>
          </cell>
          <cell r="D6428">
            <v>31102192</v>
          </cell>
          <cell r="E6428">
            <v>31102192</v>
          </cell>
          <cell r="F6428">
            <v>31102192</v>
          </cell>
          <cell r="G6428">
            <v>31102192</v>
          </cell>
          <cell r="H6428">
            <v>31102192</v>
          </cell>
          <cell r="I6428" t="str">
            <v/>
          </cell>
          <cell r="J6428" t="str">
            <v/>
          </cell>
          <cell r="K6428" t="str">
            <v/>
          </cell>
          <cell r="L6428" t="str">
            <v/>
          </cell>
          <cell r="M6428" t="str">
            <v/>
          </cell>
        </row>
        <row r="6429">
          <cell r="A6429">
            <v>31102192</v>
          </cell>
          <cell r="C6429">
            <v>31102192</v>
          </cell>
          <cell r="D6429">
            <v>31102192</v>
          </cell>
          <cell r="E6429">
            <v>31102192</v>
          </cell>
          <cell r="F6429">
            <v>31102192</v>
          </cell>
          <cell r="G6429">
            <v>31102192</v>
          </cell>
          <cell r="H6429">
            <v>31102192</v>
          </cell>
          <cell r="I6429" t="str">
            <v/>
          </cell>
          <cell r="J6429" t="str">
            <v/>
          </cell>
          <cell r="K6429" t="str">
            <v/>
          </cell>
          <cell r="L6429" t="str">
            <v/>
          </cell>
          <cell r="M6429" t="str">
            <v/>
          </cell>
        </row>
        <row r="6430">
          <cell r="A6430">
            <v>31102192</v>
          </cell>
          <cell r="C6430">
            <v>31102192</v>
          </cell>
          <cell r="D6430">
            <v>31102192</v>
          </cell>
          <cell r="E6430">
            <v>31102192</v>
          </cell>
          <cell r="F6430">
            <v>31102192</v>
          </cell>
          <cell r="G6430">
            <v>31102192</v>
          </cell>
          <cell r="H6430">
            <v>31102192</v>
          </cell>
          <cell r="I6430" t="str">
            <v/>
          </cell>
          <cell r="J6430" t="str">
            <v/>
          </cell>
          <cell r="K6430" t="str">
            <v/>
          </cell>
          <cell r="L6430" t="str">
            <v/>
          </cell>
          <cell r="M6430" t="str">
            <v/>
          </cell>
        </row>
        <row r="6431">
          <cell r="A6431">
            <v>31102192</v>
          </cell>
          <cell r="C6431">
            <v>31102192</v>
          </cell>
          <cell r="D6431">
            <v>31102192</v>
          </cell>
          <cell r="E6431">
            <v>31102192</v>
          </cell>
          <cell r="F6431">
            <v>31102192</v>
          </cell>
          <cell r="G6431">
            <v>31102192</v>
          </cell>
          <cell r="H6431">
            <v>31102192</v>
          </cell>
          <cell r="I6431" t="str">
            <v/>
          </cell>
          <cell r="J6431" t="str">
            <v/>
          </cell>
          <cell r="K6431" t="str">
            <v/>
          </cell>
          <cell r="L6431" t="str">
            <v/>
          </cell>
          <cell r="M6431" t="str">
            <v/>
          </cell>
        </row>
        <row r="6432">
          <cell r="A6432">
            <v>31102192</v>
          </cell>
          <cell r="C6432">
            <v>31102192</v>
          </cell>
          <cell r="D6432">
            <v>31102192</v>
          </cell>
          <cell r="E6432">
            <v>31102192</v>
          </cell>
          <cell r="F6432">
            <v>31102192</v>
          </cell>
          <cell r="G6432">
            <v>31102192</v>
          </cell>
          <cell r="H6432">
            <v>31102192</v>
          </cell>
          <cell r="I6432" t="str">
            <v/>
          </cell>
          <cell r="J6432" t="str">
            <v/>
          </cell>
          <cell r="K6432" t="str">
            <v/>
          </cell>
          <cell r="L6432" t="str">
            <v/>
          </cell>
          <cell r="M6432" t="str">
            <v/>
          </cell>
        </row>
        <row r="6433">
          <cell r="A6433">
            <v>31102192</v>
          </cell>
          <cell r="C6433">
            <v>31102192</v>
          </cell>
          <cell r="D6433">
            <v>31102192</v>
          </cell>
          <cell r="E6433">
            <v>31102192</v>
          </cell>
          <cell r="F6433">
            <v>31102192</v>
          </cell>
          <cell r="G6433">
            <v>31102192</v>
          </cell>
          <cell r="H6433">
            <v>31102192</v>
          </cell>
          <cell r="I6433" t="str">
            <v/>
          </cell>
          <cell r="J6433" t="str">
            <v/>
          </cell>
          <cell r="K6433" t="str">
            <v/>
          </cell>
          <cell r="L6433" t="str">
            <v/>
          </cell>
          <cell r="M6433" t="str">
            <v/>
          </cell>
        </row>
        <row r="6434">
          <cell r="A6434">
            <v>31102192</v>
          </cell>
          <cell r="C6434">
            <v>31102192</v>
          </cell>
          <cell r="D6434">
            <v>31102192</v>
          </cell>
          <cell r="E6434">
            <v>31102192</v>
          </cell>
          <cell r="F6434">
            <v>31102192</v>
          </cell>
          <cell r="G6434">
            <v>31102192</v>
          </cell>
          <cell r="H6434">
            <v>31102192</v>
          </cell>
          <cell r="I6434" t="str">
            <v/>
          </cell>
          <cell r="J6434" t="str">
            <v/>
          </cell>
          <cell r="K6434" t="str">
            <v/>
          </cell>
          <cell r="L6434" t="str">
            <v/>
          </cell>
          <cell r="M6434" t="str">
            <v/>
          </cell>
        </row>
        <row r="6435">
          <cell r="A6435">
            <v>31102192</v>
          </cell>
          <cell r="C6435">
            <v>31102192</v>
          </cell>
          <cell r="D6435">
            <v>31102192</v>
          </cell>
          <cell r="E6435">
            <v>31102192</v>
          </cell>
          <cell r="F6435">
            <v>31102192</v>
          </cell>
          <cell r="G6435">
            <v>31102192</v>
          </cell>
          <cell r="H6435">
            <v>31102192</v>
          </cell>
          <cell r="I6435" t="str">
            <v/>
          </cell>
          <cell r="J6435" t="str">
            <v/>
          </cell>
          <cell r="K6435" t="str">
            <v/>
          </cell>
          <cell r="L6435" t="str">
            <v/>
          </cell>
          <cell r="M6435" t="str">
            <v/>
          </cell>
        </row>
        <row r="6436">
          <cell r="A6436">
            <v>31102192</v>
          </cell>
          <cell r="C6436">
            <v>31102192</v>
          </cell>
          <cell r="D6436">
            <v>31102192</v>
          </cell>
          <cell r="E6436">
            <v>31102192</v>
          </cell>
          <cell r="F6436">
            <v>31102192</v>
          </cell>
          <cell r="G6436">
            <v>31102192</v>
          </cell>
          <cell r="H6436">
            <v>31102192</v>
          </cell>
          <cell r="I6436" t="str">
            <v/>
          </cell>
          <cell r="J6436" t="str">
            <v/>
          </cell>
          <cell r="K6436" t="str">
            <v/>
          </cell>
          <cell r="L6436" t="str">
            <v/>
          </cell>
          <cell r="M6436" t="str">
            <v/>
          </cell>
        </row>
        <row r="6437">
          <cell r="A6437">
            <v>31102192</v>
          </cell>
          <cell r="C6437">
            <v>31102192</v>
          </cell>
          <cell r="D6437">
            <v>31102192</v>
          </cell>
          <cell r="E6437">
            <v>31102192</v>
          </cell>
          <cell r="F6437">
            <v>31102192</v>
          </cell>
          <cell r="G6437">
            <v>31102192</v>
          </cell>
          <cell r="H6437">
            <v>31102192</v>
          </cell>
          <cell r="I6437" t="str">
            <v/>
          </cell>
          <cell r="J6437" t="str">
            <v/>
          </cell>
          <cell r="K6437" t="str">
            <v/>
          </cell>
          <cell r="L6437" t="str">
            <v/>
          </cell>
          <cell r="M6437" t="str">
            <v/>
          </cell>
        </row>
        <row r="6438">
          <cell r="A6438">
            <v>31102192</v>
          </cell>
          <cell r="C6438">
            <v>31102192</v>
          </cell>
          <cell r="D6438">
            <v>31102192</v>
          </cell>
          <cell r="E6438">
            <v>31102192</v>
          </cell>
          <cell r="F6438">
            <v>31102192</v>
          </cell>
          <cell r="G6438">
            <v>31102192</v>
          </cell>
          <cell r="H6438">
            <v>31102192</v>
          </cell>
          <cell r="I6438" t="str">
            <v/>
          </cell>
          <cell r="J6438" t="str">
            <v/>
          </cell>
          <cell r="K6438" t="str">
            <v/>
          </cell>
          <cell r="L6438" t="str">
            <v/>
          </cell>
          <cell r="M6438" t="str">
            <v/>
          </cell>
        </row>
        <row r="6439">
          <cell r="A6439">
            <v>31102192</v>
          </cell>
          <cell r="C6439">
            <v>31102192</v>
          </cell>
          <cell r="D6439">
            <v>31102192</v>
          </cell>
          <cell r="E6439">
            <v>31102192</v>
          </cell>
          <cell r="F6439">
            <v>31102192</v>
          </cell>
          <cell r="G6439">
            <v>31102192</v>
          </cell>
          <cell r="H6439">
            <v>31102192</v>
          </cell>
          <cell r="I6439" t="str">
            <v/>
          </cell>
          <cell r="J6439" t="str">
            <v/>
          </cell>
          <cell r="K6439" t="str">
            <v/>
          </cell>
          <cell r="L6439" t="str">
            <v/>
          </cell>
          <cell r="M6439" t="str">
            <v/>
          </cell>
        </row>
        <row r="6440">
          <cell r="A6440">
            <v>31102192</v>
          </cell>
          <cell r="C6440">
            <v>31102192</v>
          </cell>
          <cell r="D6440">
            <v>31102192</v>
          </cell>
          <cell r="E6440">
            <v>31102192</v>
          </cell>
          <cell r="F6440">
            <v>31102192</v>
          </cell>
          <cell r="G6440">
            <v>31102192</v>
          </cell>
          <cell r="H6440">
            <v>31102192</v>
          </cell>
          <cell r="I6440" t="str">
            <v/>
          </cell>
          <cell r="J6440" t="str">
            <v/>
          </cell>
          <cell r="K6440" t="str">
            <v/>
          </cell>
          <cell r="L6440" t="str">
            <v/>
          </cell>
          <cell r="M6440" t="str">
            <v/>
          </cell>
        </row>
        <row r="6441">
          <cell r="A6441">
            <v>31102192</v>
          </cell>
          <cell r="C6441">
            <v>31102192</v>
          </cell>
          <cell r="D6441">
            <v>31102192</v>
          </cell>
          <cell r="E6441">
            <v>31102192</v>
          </cell>
          <cell r="F6441">
            <v>31102192</v>
          </cell>
          <cell r="G6441">
            <v>31102192</v>
          </cell>
          <cell r="H6441">
            <v>31102192</v>
          </cell>
          <cell r="I6441" t="str">
            <v/>
          </cell>
          <cell r="J6441" t="str">
            <v/>
          </cell>
          <cell r="K6441" t="str">
            <v/>
          </cell>
          <cell r="L6441" t="str">
            <v/>
          </cell>
          <cell r="M6441" t="str">
            <v/>
          </cell>
        </row>
        <row r="6442">
          <cell r="A6442">
            <v>31102192</v>
          </cell>
          <cell r="C6442">
            <v>31102192</v>
          </cell>
          <cell r="D6442">
            <v>31102192</v>
          </cell>
          <cell r="E6442">
            <v>31102192</v>
          </cell>
          <cell r="F6442">
            <v>31102192</v>
          </cell>
          <cell r="G6442">
            <v>31102192</v>
          </cell>
          <cell r="H6442">
            <v>31102192</v>
          </cell>
          <cell r="I6442" t="str">
            <v/>
          </cell>
          <cell r="J6442" t="str">
            <v/>
          </cell>
          <cell r="K6442" t="str">
            <v/>
          </cell>
          <cell r="L6442" t="str">
            <v/>
          </cell>
          <cell r="M6442" t="str">
            <v/>
          </cell>
        </row>
        <row r="6443">
          <cell r="A6443">
            <v>31102192</v>
          </cell>
          <cell r="C6443">
            <v>31102192</v>
          </cell>
          <cell r="D6443">
            <v>31102192</v>
          </cell>
          <cell r="E6443">
            <v>31102192</v>
          </cell>
          <cell r="F6443">
            <v>31102192</v>
          </cell>
          <cell r="G6443">
            <v>31102192</v>
          </cell>
          <cell r="H6443">
            <v>31102192</v>
          </cell>
          <cell r="I6443" t="str">
            <v/>
          </cell>
          <cell r="J6443" t="str">
            <v/>
          </cell>
          <cell r="K6443" t="str">
            <v/>
          </cell>
          <cell r="L6443" t="str">
            <v/>
          </cell>
          <cell r="M6443" t="str">
            <v/>
          </cell>
        </row>
        <row r="6444">
          <cell r="A6444">
            <v>31102192</v>
          </cell>
          <cell r="C6444">
            <v>31102192</v>
          </cell>
          <cell r="D6444">
            <v>31102192</v>
          </cell>
          <cell r="E6444">
            <v>31102192</v>
          </cell>
          <cell r="F6444">
            <v>31102192</v>
          </cell>
          <cell r="G6444">
            <v>31102192</v>
          </cell>
          <cell r="H6444">
            <v>31102192</v>
          </cell>
          <cell r="I6444" t="str">
            <v/>
          </cell>
          <cell r="J6444" t="str">
            <v/>
          </cell>
          <cell r="K6444" t="str">
            <v/>
          </cell>
          <cell r="L6444" t="str">
            <v/>
          </cell>
          <cell r="M6444" t="str">
            <v/>
          </cell>
        </row>
        <row r="6445">
          <cell r="A6445">
            <v>31102192</v>
          </cell>
          <cell r="C6445">
            <v>31102192</v>
          </cell>
          <cell r="D6445">
            <v>31102192</v>
          </cell>
          <cell r="E6445">
            <v>31102192</v>
          </cell>
          <cell r="F6445">
            <v>31102192</v>
          </cell>
          <cell r="G6445">
            <v>31102192</v>
          </cell>
          <cell r="H6445">
            <v>31102192</v>
          </cell>
          <cell r="I6445" t="str">
            <v/>
          </cell>
          <cell r="J6445" t="str">
            <v/>
          </cell>
          <cell r="K6445" t="str">
            <v/>
          </cell>
          <cell r="L6445" t="str">
            <v/>
          </cell>
          <cell r="M6445" t="str">
            <v/>
          </cell>
        </row>
        <row r="6446">
          <cell r="A6446">
            <v>31102192</v>
          </cell>
          <cell r="C6446">
            <v>31102192</v>
          </cell>
          <cell r="D6446">
            <v>31102192</v>
          </cell>
          <cell r="E6446">
            <v>31102192</v>
          </cell>
          <cell r="F6446">
            <v>31102192</v>
          </cell>
          <cell r="G6446">
            <v>31102192</v>
          </cell>
          <cell r="H6446">
            <v>31102192</v>
          </cell>
          <cell r="I6446" t="str">
            <v/>
          </cell>
          <cell r="J6446" t="str">
            <v/>
          </cell>
          <cell r="K6446" t="str">
            <v/>
          </cell>
          <cell r="L6446" t="str">
            <v/>
          </cell>
          <cell r="M6446" t="str">
            <v/>
          </cell>
        </row>
        <row r="6447">
          <cell r="A6447">
            <v>31102192</v>
          </cell>
          <cell r="C6447">
            <v>31102192</v>
          </cell>
          <cell r="D6447">
            <v>31102192</v>
          </cell>
          <cell r="E6447">
            <v>31102192</v>
          </cell>
          <cell r="F6447">
            <v>31102192</v>
          </cell>
          <cell r="G6447">
            <v>31102192</v>
          </cell>
          <cell r="H6447">
            <v>31102192</v>
          </cell>
          <cell r="I6447" t="str">
            <v/>
          </cell>
          <cell r="J6447" t="str">
            <v/>
          </cell>
          <cell r="K6447" t="str">
            <v/>
          </cell>
          <cell r="L6447" t="str">
            <v/>
          </cell>
          <cell r="M6447" t="str">
            <v/>
          </cell>
        </row>
        <row r="6448">
          <cell r="A6448">
            <v>31102192</v>
          </cell>
          <cell r="C6448">
            <v>31102192</v>
          </cell>
          <cell r="D6448">
            <v>31102192</v>
          </cell>
          <cell r="E6448">
            <v>31102192</v>
          </cell>
          <cell r="F6448">
            <v>31102192</v>
          </cell>
          <cell r="G6448">
            <v>31102192</v>
          </cell>
          <cell r="H6448">
            <v>31102192</v>
          </cell>
          <cell r="I6448" t="str">
            <v/>
          </cell>
          <cell r="J6448" t="str">
            <v/>
          </cell>
          <cell r="K6448" t="str">
            <v/>
          </cell>
          <cell r="L6448" t="str">
            <v/>
          </cell>
          <cell r="M6448" t="str">
            <v/>
          </cell>
        </row>
        <row r="6449">
          <cell r="A6449">
            <v>31102192</v>
          </cell>
          <cell r="C6449">
            <v>31102192</v>
          </cell>
          <cell r="D6449">
            <v>31102192</v>
          </cell>
          <cell r="E6449">
            <v>31102192</v>
          </cell>
          <cell r="F6449">
            <v>31102192</v>
          </cell>
          <cell r="G6449">
            <v>31102192</v>
          </cell>
          <cell r="H6449">
            <v>31102192</v>
          </cell>
          <cell r="I6449" t="str">
            <v/>
          </cell>
          <cell r="J6449" t="str">
            <v/>
          </cell>
          <cell r="K6449" t="str">
            <v/>
          </cell>
          <cell r="L6449" t="str">
            <v/>
          </cell>
          <cell r="M6449" t="str">
            <v/>
          </cell>
        </row>
        <row r="6450">
          <cell r="A6450">
            <v>31102192</v>
          </cell>
          <cell r="C6450">
            <v>31102192</v>
          </cell>
          <cell r="D6450">
            <v>31102192</v>
          </cell>
          <cell r="E6450">
            <v>31102192</v>
          </cell>
          <cell r="F6450">
            <v>31102192</v>
          </cell>
          <cell r="G6450">
            <v>31102192</v>
          </cell>
          <cell r="H6450">
            <v>31102192</v>
          </cell>
          <cell r="I6450" t="str">
            <v/>
          </cell>
          <cell r="J6450" t="str">
            <v/>
          </cell>
          <cell r="K6450" t="str">
            <v/>
          </cell>
          <cell r="L6450" t="str">
            <v/>
          </cell>
          <cell r="M6450" t="str">
            <v/>
          </cell>
        </row>
        <row r="6451">
          <cell r="A6451">
            <v>31102192</v>
          </cell>
          <cell r="C6451">
            <v>31102192</v>
          </cell>
          <cell r="D6451">
            <v>31102192</v>
          </cell>
          <cell r="E6451">
            <v>31102192</v>
          </cell>
          <cell r="F6451">
            <v>31102192</v>
          </cell>
          <cell r="G6451">
            <v>31102192</v>
          </cell>
          <cell r="H6451">
            <v>31102192</v>
          </cell>
          <cell r="I6451" t="str">
            <v/>
          </cell>
          <cell r="J6451" t="str">
            <v/>
          </cell>
          <cell r="K6451" t="str">
            <v/>
          </cell>
          <cell r="L6451" t="str">
            <v/>
          </cell>
          <cell r="M6451" t="str">
            <v/>
          </cell>
        </row>
        <row r="6452">
          <cell r="A6452">
            <v>31102192</v>
          </cell>
          <cell r="C6452">
            <v>31102192</v>
          </cell>
          <cell r="D6452">
            <v>31102192</v>
          </cell>
          <cell r="E6452">
            <v>31102192</v>
          </cell>
          <cell r="F6452">
            <v>31102192</v>
          </cell>
          <cell r="G6452">
            <v>31102192</v>
          </cell>
          <cell r="H6452">
            <v>31102192</v>
          </cell>
          <cell r="I6452" t="str">
            <v/>
          </cell>
          <cell r="J6452" t="str">
            <v/>
          </cell>
          <cell r="K6452" t="str">
            <v/>
          </cell>
          <cell r="L6452" t="str">
            <v/>
          </cell>
          <cell r="M6452" t="str">
            <v/>
          </cell>
        </row>
        <row r="6453">
          <cell r="A6453">
            <v>31102192</v>
          </cell>
          <cell r="C6453">
            <v>31102192</v>
          </cell>
          <cell r="D6453">
            <v>31102192</v>
          </cell>
          <cell r="E6453">
            <v>31102192</v>
          </cell>
          <cell r="F6453">
            <v>31102192</v>
          </cell>
          <cell r="G6453">
            <v>31102192</v>
          </cell>
          <cell r="H6453">
            <v>31102192</v>
          </cell>
          <cell r="I6453" t="str">
            <v/>
          </cell>
          <cell r="J6453" t="str">
            <v/>
          </cell>
          <cell r="K6453" t="str">
            <v/>
          </cell>
          <cell r="L6453" t="str">
            <v/>
          </cell>
          <cell r="M6453" t="str">
            <v/>
          </cell>
        </row>
        <row r="6454">
          <cell r="A6454">
            <v>31102192</v>
          </cell>
          <cell r="C6454">
            <v>31102192</v>
          </cell>
          <cell r="D6454">
            <v>31102192</v>
          </cell>
          <cell r="E6454">
            <v>31102192</v>
          </cell>
          <cell r="F6454">
            <v>31102192</v>
          </cell>
          <cell r="G6454">
            <v>31102192</v>
          </cell>
          <cell r="H6454">
            <v>31102192</v>
          </cell>
          <cell r="I6454" t="str">
            <v/>
          </cell>
          <cell r="J6454" t="str">
            <v/>
          </cell>
          <cell r="K6454" t="str">
            <v/>
          </cell>
          <cell r="L6454" t="str">
            <v/>
          </cell>
          <cell r="M6454" t="str">
            <v/>
          </cell>
        </row>
        <row r="6455">
          <cell r="A6455">
            <v>31102192</v>
          </cell>
          <cell r="C6455">
            <v>31102192</v>
          </cell>
          <cell r="D6455">
            <v>31102192</v>
          </cell>
          <cell r="E6455">
            <v>31102192</v>
          </cell>
          <cell r="F6455">
            <v>31102192</v>
          </cell>
          <cell r="G6455">
            <v>31102192</v>
          </cell>
          <cell r="H6455">
            <v>31102192</v>
          </cell>
          <cell r="I6455" t="str">
            <v/>
          </cell>
          <cell r="J6455" t="str">
            <v/>
          </cell>
          <cell r="K6455" t="str">
            <v/>
          </cell>
          <cell r="L6455" t="str">
            <v/>
          </cell>
          <cell r="M6455" t="str">
            <v/>
          </cell>
        </row>
        <row r="6456">
          <cell r="A6456">
            <v>31102192</v>
          </cell>
          <cell r="C6456">
            <v>31102192</v>
          </cell>
          <cell r="D6456">
            <v>31102192</v>
          </cell>
          <cell r="E6456">
            <v>31102192</v>
          </cell>
          <cell r="F6456">
            <v>31102192</v>
          </cell>
          <cell r="G6456">
            <v>31102192</v>
          </cell>
          <cell r="H6456">
            <v>31102192</v>
          </cell>
          <cell r="I6456" t="str">
            <v/>
          </cell>
          <cell r="J6456" t="str">
            <v/>
          </cell>
          <cell r="K6456" t="str">
            <v/>
          </cell>
          <cell r="L6456" t="str">
            <v/>
          </cell>
          <cell r="M6456" t="str">
            <v/>
          </cell>
        </row>
        <row r="6457">
          <cell r="A6457">
            <v>31102192</v>
          </cell>
          <cell r="C6457">
            <v>31102192</v>
          </cell>
          <cell r="D6457">
            <v>31102192</v>
          </cell>
          <cell r="E6457">
            <v>31102192</v>
          </cell>
          <cell r="F6457">
            <v>31102192</v>
          </cell>
          <cell r="G6457">
            <v>31102192</v>
          </cell>
          <cell r="H6457">
            <v>31102192</v>
          </cell>
          <cell r="I6457" t="str">
            <v/>
          </cell>
          <cell r="J6457" t="str">
            <v/>
          </cell>
          <cell r="K6457" t="str">
            <v/>
          </cell>
          <cell r="L6457" t="str">
            <v/>
          </cell>
          <cell r="M6457" t="str">
            <v/>
          </cell>
        </row>
        <row r="6458">
          <cell r="A6458">
            <v>31102192</v>
          </cell>
          <cell r="C6458">
            <v>31102192</v>
          </cell>
          <cell r="D6458">
            <v>31102192</v>
          </cell>
          <cell r="E6458">
            <v>31102192</v>
          </cell>
          <cell r="F6458">
            <v>31102192</v>
          </cell>
          <cell r="G6458">
            <v>31102192</v>
          </cell>
          <cell r="H6458">
            <v>31102192</v>
          </cell>
          <cell r="I6458" t="str">
            <v/>
          </cell>
          <cell r="J6458" t="str">
            <v/>
          </cell>
          <cell r="K6458" t="str">
            <v/>
          </cell>
          <cell r="L6458" t="str">
            <v/>
          </cell>
          <cell r="M6458" t="str">
            <v/>
          </cell>
        </row>
        <row r="6459">
          <cell r="A6459">
            <v>31102192</v>
          </cell>
          <cell r="C6459">
            <v>31102192</v>
          </cell>
          <cell r="D6459">
            <v>31102192</v>
          </cell>
          <cell r="E6459">
            <v>31102192</v>
          </cell>
          <cell r="F6459">
            <v>31102192</v>
          </cell>
          <cell r="G6459">
            <v>31102192</v>
          </cell>
          <cell r="H6459">
            <v>31102192</v>
          </cell>
          <cell r="I6459" t="str">
            <v/>
          </cell>
          <cell r="J6459" t="str">
            <v/>
          </cell>
          <cell r="K6459" t="str">
            <v/>
          </cell>
          <cell r="L6459" t="str">
            <v/>
          </cell>
          <cell r="M6459" t="str">
            <v/>
          </cell>
        </row>
        <row r="6460">
          <cell r="A6460">
            <v>31102192</v>
          </cell>
          <cell r="C6460">
            <v>31102192</v>
          </cell>
          <cell r="D6460">
            <v>31102192</v>
          </cell>
          <cell r="E6460">
            <v>31102192</v>
          </cell>
          <cell r="F6460">
            <v>31102192</v>
          </cell>
          <cell r="G6460">
            <v>31102192</v>
          </cell>
          <cell r="H6460">
            <v>31102192</v>
          </cell>
          <cell r="I6460" t="str">
            <v/>
          </cell>
          <cell r="J6460" t="str">
            <v/>
          </cell>
          <cell r="K6460" t="str">
            <v/>
          </cell>
          <cell r="L6460" t="str">
            <v/>
          </cell>
          <cell r="M6460" t="str">
            <v/>
          </cell>
        </row>
        <row r="6461">
          <cell r="A6461">
            <v>31102192</v>
          </cell>
          <cell r="C6461">
            <v>31102192</v>
          </cell>
          <cell r="D6461">
            <v>31102192</v>
          </cell>
          <cell r="E6461">
            <v>31102192</v>
          </cell>
          <cell r="F6461">
            <v>31102192</v>
          </cell>
          <cell r="G6461">
            <v>31102192</v>
          </cell>
          <cell r="H6461">
            <v>31102192</v>
          </cell>
          <cell r="I6461" t="str">
            <v/>
          </cell>
          <cell r="J6461" t="str">
            <v/>
          </cell>
          <cell r="K6461" t="str">
            <v/>
          </cell>
          <cell r="L6461" t="str">
            <v/>
          </cell>
          <cell r="M6461" t="str">
            <v/>
          </cell>
        </row>
        <row r="6462">
          <cell r="A6462">
            <v>31102192</v>
          </cell>
          <cell r="C6462">
            <v>31102192</v>
          </cell>
          <cell r="D6462">
            <v>31102192</v>
          </cell>
          <cell r="E6462">
            <v>31102192</v>
          </cell>
          <cell r="F6462">
            <v>31102192</v>
          </cell>
          <cell r="G6462">
            <v>31102192</v>
          </cell>
          <cell r="H6462">
            <v>31102192</v>
          </cell>
          <cell r="I6462" t="str">
            <v/>
          </cell>
          <cell r="J6462" t="str">
            <v/>
          </cell>
          <cell r="K6462" t="str">
            <v/>
          </cell>
          <cell r="L6462" t="str">
            <v/>
          </cell>
          <cell r="M6462" t="str">
            <v/>
          </cell>
        </row>
        <row r="6463">
          <cell r="A6463">
            <v>31102192</v>
          </cell>
          <cell r="C6463">
            <v>31102192</v>
          </cell>
          <cell r="D6463">
            <v>31102192</v>
          </cell>
          <cell r="E6463">
            <v>31102192</v>
          </cell>
          <cell r="F6463">
            <v>31102192</v>
          </cell>
          <cell r="G6463">
            <v>31102192</v>
          </cell>
          <cell r="H6463">
            <v>31102192</v>
          </cell>
          <cell r="I6463" t="str">
            <v/>
          </cell>
          <cell r="J6463" t="str">
            <v/>
          </cell>
          <cell r="K6463" t="str">
            <v/>
          </cell>
          <cell r="L6463" t="str">
            <v/>
          </cell>
          <cell r="M6463" t="str">
            <v/>
          </cell>
        </row>
        <row r="6464">
          <cell r="A6464">
            <v>31102192</v>
          </cell>
          <cell r="C6464">
            <v>31102192</v>
          </cell>
          <cell r="D6464">
            <v>31102192</v>
          </cell>
          <cell r="E6464">
            <v>31102192</v>
          </cell>
          <cell r="F6464">
            <v>31102192</v>
          </cell>
          <cell r="G6464">
            <v>31102192</v>
          </cell>
          <cell r="H6464">
            <v>31102192</v>
          </cell>
          <cell r="I6464" t="str">
            <v/>
          </cell>
          <cell r="J6464" t="str">
            <v/>
          </cell>
          <cell r="K6464" t="str">
            <v/>
          </cell>
          <cell r="L6464" t="str">
            <v/>
          </cell>
          <cell r="M6464" t="str">
            <v/>
          </cell>
        </row>
        <row r="6465">
          <cell r="A6465">
            <v>31102192</v>
          </cell>
          <cell r="C6465">
            <v>31102192</v>
          </cell>
          <cell r="D6465">
            <v>31102192</v>
          </cell>
          <cell r="E6465">
            <v>31102192</v>
          </cell>
          <cell r="F6465">
            <v>31102192</v>
          </cell>
          <cell r="G6465">
            <v>31102192</v>
          </cell>
          <cell r="H6465">
            <v>31102192</v>
          </cell>
          <cell r="I6465" t="str">
            <v/>
          </cell>
          <cell r="J6465" t="str">
            <v/>
          </cell>
          <cell r="K6465" t="str">
            <v/>
          </cell>
          <cell r="L6465" t="str">
            <v/>
          </cell>
          <cell r="M6465" t="str">
            <v/>
          </cell>
        </row>
        <row r="6466">
          <cell r="A6466">
            <v>31102192</v>
          </cell>
          <cell r="C6466">
            <v>31102192</v>
          </cell>
          <cell r="D6466">
            <v>31102192</v>
          </cell>
          <cell r="E6466">
            <v>31102192</v>
          </cell>
          <cell r="F6466">
            <v>31102192</v>
          </cell>
          <cell r="G6466">
            <v>31102192</v>
          </cell>
          <cell r="H6466">
            <v>31102192</v>
          </cell>
          <cell r="I6466" t="str">
            <v/>
          </cell>
          <cell r="J6466" t="str">
            <v/>
          </cell>
          <cell r="K6466" t="str">
            <v/>
          </cell>
          <cell r="L6466" t="str">
            <v/>
          </cell>
          <cell r="M6466" t="str">
            <v/>
          </cell>
        </row>
        <row r="6467">
          <cell r="A6467">
            <v>31102192</v>
          </cell>
          <cell r="C6467">
            <v>31102192</v>
          </cell>
          <cell r="D6467">
            <v>31102192</v>
          </cell>
          <cell r="E6467">
            <v>31102192</v>
          </cell>
          <cell r="F6467">
            <v>31102192</v>
          </cell>
          <cell r="G6467">
            <v>31102192</v>
          </cell>
          <cell r="H6467">
            <v>31102192</v>
          </cell>
          <cell r="I6467" t="str">
            <v/>
          </cell>
          <cell r="J6467" t="str">
            <v/>
          </cell>
          <cell r="K6467" t="str">
            <v/>
          </cell>
          <cell r="L6467" t="str">
            <v/>
          </cell>
          <cell r="M6467" t="str">
            <v/>
          </cell>
        </row>
        <row r="6468">
          <cell r="A6468">
            <v>31102192</v>
          </cell>
          <cell r="C6468">
            <v>31102192</v>
          </cell>
          <cell r="D6468">
            <v>31102192</v>
          </cell>
          <cell r="E6468">
            <v>31102192</v>
          </cell>
          <cell r="F6468">
            <v>31102192</v>
          </cell>
          <cell r="G6468">
            <v>31102192</v>
          </cell>
          <cell r="H6468">
            <v>31102192</v>
          </cell>
          <cell r="I6468" t="str">
            <v/>
          </cell>
          <cell r="J6468" t="str">
            <v/>
          </cell>
          <cell r="K6468" t="str">
            <v/>
          </cell>
          <cell r="L6468" t="str">
            <v/>
          </cell>
          <cell r="M6468" t="str">
            <v/>
          </cell>
        </row>
        <row r="6469">
          <cell r="A6469">
            <v>31102192</v>
          </cell>
          <cell r="C6469">
            <v>31102192</v>
          </cell>
          <cell r="D6469">
            <v>31102192</v>
          </cell>
          <cell r="E6469">
            <v>31102192</v>
          </cell>
          <cell r="F6469">
            <v>31102192</v>
          </cell>
          <cell r="G6469">
            <v>31102192</v>
          </cell>
          <cell r="H6469">
            <v>31102192</v>
          </cell>
          <cell r="I6469" t="str">
            <v/>
          </cell>
          <cell r="J6469" t="str">
            <v/>
          </cell>
          <cell r="K6469" t="str">
            <v/>
          </cell>
          <cell r="L6469" t="str">
            <v/>
          </cell>
          <cell r="M6469" t="str">
            <v/>
          </cell>
        </row>
        <row r="6470">
          <cell r="A6470">
            <v>31102192</v>
          </cell>
          <cell r="C6470">
            <v>31102192</v>
          </cell>
          <cell r="D6470">
            <v>31102192</v>
          </cell>
          <cell r="E6470">
            <v>31102192</v>
          </cell>
          <cell r="F6470">
            <v>31102192</v>
          </cell>
          <cell r="G6470">
            <v>31102192</v>
          </cell>
          <cell r="H6470">
            <v>31102192</v>
          </cell>
          <cell r="I6470" t="str">
            <v/>
          </cell>
          <cell r="J6470" t="str">
            <v/>
          </cell>
          <cell r="K6470" t="str">
            <v/>
          </cell>
          <cell r="L6470" t="str">
            <v/>
          </cell>
          <cell r="M6470" t="str">
            <v/>
          </cell>
        </row>
        <row r="6471">
          <cell r="A6471">
            <v>31102192</v>
          </cell>
          <cell r="C6471">
            <v>31102192</v>
          </cell>
          <cell r="D6471">
            <v>31102192</v>
          </cell>
          <cell r="E6471">
            <v>31102192</v>
          </cell>
          <cell r="F6471">
            <v>31102192</v>
          </cell>
          <cell r="G6471">
            <v>31102192</v>
          </cell>
          <cell r="H6471">
            <v>31102192</v>
          </cell>
          <cell r="I6471" t="str">
            <v/>
          </cell>
          <cell r="J6471" t="str">
            <v/>
          </cell>
          <cell r="K6471" t="str">
            <v/>
          </cell>
          <cell r="L6471" t="str">
            <v/>
          </cell>
          <cell r="M6471" t="str">
            <v/>
          </cell>
        </row>
        <row r="6472">
          <cell r="A6472">
            <v>31102192</v>
          </cell>
          <cell r="C6472">
            <v>31102192</v>
          </cell>
          <cell r="D6472">
            <v>31102192</v>
          </cell>
          <cell r="E6472">
            <v>31102192</v>
          </cell>
          <cell r="F6472">
            <v>31102192</v>
          </cell>
          <cell r="G6472">
            <v>31102192</v>
          </cell>
          <cell r="H6472">
            <v>31102192</v>
          </cell>
          <cell r="I6472" t="str">
            <v/>
          </cell>
          <cell r="J6472" t="str">
            <v/>
          </cell>
          <cell r="K6472" t="str">
            <v/>
          </cell>
          <cell r="L6472" t="str">
            <v/>
          </cell>
          <cell r="M6472" t="str">
            <v/>
          </cell>
        </row>
        <row r="6473">
          <cell r="A6473">
            <v>31102192</v>
          </cell>
          <cell r="C6473">
            <v>31102192</v>
          </cell>
          <cell r="D6473">
            <v>31102192</v>
          </cell>
          <cell r="E6473">
            <v>31102192</v>
          </cell>
          <cell r="F6473">
            <v>31102192</v>
          </cell>
          <cell r="G6473">
            <v>31102192</v>
          </cell>
          <cell r="H6473">
            <v>31102192</v>
          </cell>
          <cell r="I6473" t="str">
            <v/>
          </cell>
          <cell r="J6473" t="str">
            <v/>
          </cell>
          <cell r="K6473" t="str">
            <v/>
          </cell>
          <cell r="L6473" t="str">
            <v/>
          </cell>
          <cell r="M6473" t="str">
            <v/>
          </cell>
        </row>
        <row r="6474">
          <cell r="A6474">
            <v>31102192</v>
          </cell>
          <cell r="C6474">
            <v>31102192</v>
          </cell>
          <cell r="D6474">
            <v>31102192</v>
          </cell>
          <cell r="E6474">
            <v>31102192</v>
          </cell>
          <cell r="F6474">
            <v>31102192</v>
          </cell>
          <cell r="G6474">
            <v>31102192</v>
          </cell>
          <cell r="H6474">
            <v>31102192</v>
          </cell>
          <cell r="I6474" t="str">
            <v/>
          </cell>
          <cell r="J6474" t="str">
            <v/>
          </cell>
          <cell r="K6474" t="str">
            <v/>
          </cell>
          <cell r="L6474" t="str">
            <v/>
          </cell>
          <cell r="M6474" t="str">
            <v/>
          </cell>
        </row>
        <row r="6475">
          <cell r="A6475">
            <v>31102192</v>
          </cell>
          <cell r="C6475">
            <v>31102192</v>
          </cell>
          <cell r="D6475">
            <v>31102192</v>
          </cell>
          <cell r="E6475">
            <v>31102192</v>
          </cell>
          <cell r="F6475">
            <v>31102192</v>
          </cell>
          <cell r="G6475">
            <v>31102192</v>
          </cell>
          <cell r="H6475">
            <v>31102192</v>
          </cell>
          <cell r="I6475" t="str">
            <v/>
          </cell>
          <cell r="J6475" t="str">
            <v/>
          </cell>
          <cell r="K6475" t="str">
            <v/>
          </cell>
          <cell r="L6475" t="str">
            <v/>
          </cell>
          <cell r="M6475" t="str">
            <v/>
          </cell>
        </row>
        <row r="6476">
          <cell r="A6476">
            <v>31102192</v>
          </cell>
          <cell r="C6476">
            <v>31102192</v>
          </cell>
          <cell r="D6476">
            <v>31102192</v>
          </cell>
          <cell r="E6476">
            <v>31102192</v>
          </cell>
          <cell r="F6476">
            <v>31102192</v>
          </cell>
          <cell r="G6476">
            <v>31102192</v>
          </cell>
          <cell r="H6476">
            <v>31102192</v>
          </cell>
          <cell r="I6476" t="str">
            <v/>
          </cell>
          <cell r="J6476" t="str">
            <v/>
          </cell>
          <cell r="K6476" t="str">
            <v/>
          </cell>
          <cell r="L6476" t="str">
            <v/>
          </cell>
          <cell r="M6476" t="str">
            <v/>
          </cell>
        </row>
        <row r="6477">
          <cell r="A6477">
            <v>31102192</v>
          </cell>
          <cell r="C6477">
            <v>31102192</v>
          </cell>
          <cell r="D6477">
            <v>31102192</v>
          </cell>
          <cell r="E6477">
            <v>31102192</v>
          </cell>
          <cell r="F6477">
            <v>31102192</v>
          </cell>
          <cell r="G6477">
            <v>31102192</v>
          </cell>
          <cell r="H6477">
            <v>31102192</v>
          </cell>
          <cell r="I6477" t="str">
            <v/>
          </cell>
          <cell r="J6477" t="str">
            <v/>
          </cell>
          <cell r="K6477" t="str">
            <v/>
          </cell>
          <cell r="L6477" t="str">
            <v/>
          </cell>
          <cell r="M6477" t="str">
            <v/>
          </cell>
        </row>
        <row r="6478">
          <cell r="A6478">
            <v>31102192</v>
          </cell>
          <cell r="C6478">
            <v>31102192</v>
          </cell>
          <cell r="D6478">
            <v>31102192</v>
          </cell>
          <cell r="E6478">
            <v>31102192</v>
          </cell>
          <cell r="F6478">
            <v>31102192</v>
          </cell>
          <cell r="G6478">
            <v>31102192</v>
          </cell>
          <cell r="H6478">
            <v>31102192</v>
          </cell>
          <cell r="I6478" t="str">
            <v/>
          </cell>
          <cell r="J6478" t="str">
            <v/>
          </cell>
          <cell r="K6478" t="str">
            <v/>
          </cell>
          <cell r="L6478" t="str">
            <v/>
          </cell>
          <cell r="M6478" t="str">
            <v/>
          </cell>
        </row>
        <row r="6479">
          <cell r="A6479">
            <v>31102192</v>
          </cell>
          <cell r="C6479">
            <v>31102192</v>
          </cell>
          <cell r="D6479">
            <v>31102192</v>
          </cell>
          <cell r="E6479">
            <v>31102192</v>
          </cell>
          <cell r="F6479">
            <v>31102192</v>
          </cell>
          <cell r="G6479">
            <v>31102192</v>
          </cell>
          <cell r="H6479">
            <v>31102192</v>
          </cell>
          <cell r="I6479" t="str">
            <v/>
          </cell>
          <cell r="J6479" t="str">
            <v/>
          </cell>
          <cell r="K6479" t="str">
            <v/>
          </cell>
          <cell r="L6479" t="str">
            <v/>
          </cell>
          <cell r="M6479" t="str">
            <v/>
          </cell>
        </row>
        <row r="6480">
          <cell r="A6480">
            <v>31102192</v>
          </cell>
          <cell r="C6480">
            <v>31102192</v>
          </cell>
          <cell r="D6480">
            <v>31102192</v>
          </cell>
          <cell r="E6480">
            <v>31102192</v>
          </cell>
          <cell r="F6480">
            <v>31102192</v>
          </cell>
          <cell r="G6480">
            <v>31102192</v>
          </cell>
          <cell r="H6480">
            <v>31102192</v>
          </cell>
          <cell r="I6480" t="str">
            <v/>
          </cell>
          <cell r="J6480" t="str">
            <v/>
          </cell>
          <cell r="K6480" t="str">
            <v/>
          </cell>
          <cell r="L6480" t="str">
            <v/>
          </cell>
          <cell r="M6480" t="str">
            <v/>
          </cell>
        </row>
        <row r="6481">
          <cell r="A6481">
            <v>31102192</v>
          </cell>
          <cell r="C6481">
            <v>31102192</v>
          </cell>
          <cell r="D6481">
            <v>31102192</v>
          </cell>
          <cell r="E6481">
            <v>31102192</v>
          </cell>
          <cell r="F6481">
            <v>31102192</v>
          </cell>
          <cell r="G6481">
            <v>31102192</v>
          </cell>
          <cell r="H6481">
            <v>31102192</v>
          </cell>
          <cell r="I6481" t="str">
            <v/>
          </cell>
          <cell r="J6481" t="str">
            <v/>
          </cell>
          <cell r="K6481" t="str">
            <v/>
          </cell>
          <cell r="L6481" t="str">
            <v/>
          </cell>
          <cell r="M6481" t="str">
            <v/>
          </cell>
        </row>
        <row r="6482">
          <cell r="A6482">
            <v>31102192</v>
          </cell>
          <cell r="C6482">
            <v>31102192</v>
          </cell>
          <cell r="D6482">
            <v>31102192</v>
          </cell>
          <cell r="E6482">
            <v>31102192</v>
          </cell>
          <cell r="F6482">
            <v>31102192</v>
          </cell>
          <cell r="G6482">
            <v>31102192</v>
          </cell>
          <cell r="H6482">
            <v>31102192</v>
          </cell>
          <cell r="I6482" t="str">
            <v/>
          </cell>
          <cell r="J6482" t="str">
            <v/>
          </cell>
          <cell r="K6482" t="str">
            <v/>
          </cell>
          <cell r="L6482" t="str">
            <v/>
          </cell>
          <cell r="M6482" t="str">
            <v/>
          </cell>
        </row>
        <row r="6483">
          <cell r="A6483">
            <v>31102192</v>
          </cell>
          <cell r="C6483">
            <v>31102192</v>
          </cell>
          <cell r="D6483">
            <v>31102192</v>
          </cell>
          <cell r="E6483">
            <v>31102192</v>
          </cell>
          <cell r="F6483">
            <v>31102192</v>
          </cell>
          <cell r="G6483">
            <v>31102192</v>
          </cell>
          <cell r="H6483">
            <v>31102192</v>
          </cell>
          <cell r="I6483" t="str">
            <v/>
          </cell>
          <cell r="J6483" t="str">
            <v/>
          </cell>
          <cell r="K6483" t="str">
            <v/>
          </cell>
          <cell r="L6483" t="str">
            <v/>
          </cell>
          <cell r="M6483" t="str">
            <v/>
          </cell>
        </row>
        <row r="6484">
          <cell r="A6484">
            <v>31102192</v>
          </cell>
          <cell r="C6484">
            <v>31102192</v>
          </cell>
          <cell r="D6484">
            <v>31102192</v>
          </cell>
          <cell r="E6484">
            <v>31102192</v>
          </cell>
          <cell r="F6484">
            <v>31102192</v>
          </cell>
          <cell r="G6484">
            <v>31102192</v>
          </cell>
          <cell r="H6484">
            <v>31102192</v>
          </cell>
          <cell r="I6484" t="str">
            <v/>
          </cell>
          <cell r="J6484" t="str">
            <v/>
          </cell>
          <cell r="K6484" t="str">
            <v/>
          </cell>
          <cell r="L6484" t="str">
            <v/>
          </cell>
          <cell r="M6484" t="str">
            <v/>
          </cell>
        </row>
        <row r="6485">
          <cell r="A6485">
            <v>31102192</v>
          </cell>
          <cell r="C6485">
            <v>31102192</v>
          </cell>
          <cell r="D6485">
            <v>31102192</v>
          </cell>
          <cell r="E6485">
            <v>31102192</v>
          </cell>
          <cell r="F6485">
            <v>31102192</v>
          </cell>
          <cell r="G6485">
            <v>31102192</v>
          </cell>
          <cell r="H6485">
            <v>31102192</v>
          </cell>
          <cell r="I6485" t="str">
            <v/>
          </cell>
          <cell r="J6485" t="str">
            <v/>
          </cell>
          <cell r="K6485" t="str">
            <v/>
          </cell>
          <cell r="L6485" t="str">
            <v/>
          </cell>
          <cell r="M6485" t="str">
            <v/>
          </cell>
        </row>
        <row r="6486">
          <cell r="A6486">
            <v>31102192</v>
          </cell>
          <cell r="C6486">
            <v>31102192</v>
          </cell>
          <cell r="D6486">
            <v>31102192</v>
          </cell>
          <cell r="E6486">
            <v>31102192</v>
          </cell>
          <cell r="F6486">
            <v>31102192</v>
          </cell>
          <cell r="G6486">
            <v>31102192</v>
          </cell>
          <cell r="H6486">
            <v>31102192</v>
          </cell>
          <cell r="I6486" t="str">
            <v/>
          </cell>
          <cell r="J6486" t="str">
            <v/>
          </cell>
          <cell r="K6486" t="str">
            <v/>
          </cell>
          <cell r="L6486" t="str">
            <v/>
          </cell>
          <cell r="M6486" t="str">
            <v/>
          </cell>
        </row>
        <row r="6487">
          <cell r="A6487">
            <v>31102192</v>
          </cell>
          <cell r="C6487">
            <v>31102192</v>
          </cell>
          <cell r="D6487">
            <v>31102192</v>
          </cell>
          <cell r="E6487">
            <v>31102192</v>
          </cell>
          <cell r="F6487">
            <v>31102192</v>
          </cell>
          <cell r="G6487">
            <v>31102192</v>
          </cell>
          <cell r="H6487">
            <v>31102192</v>
          </cell>
          <cell r="I6487" t="str">
            <v/>
          </cell>
          <cell r="J6487" t="str">
            <v/>
          </cell>
          <cell r="K6487" t="str">
            <v/>
          </cell>
          <cell r="L6487" t="str">
            <v/>
          </cell>
          <cell r="M6487" t="str">
            <v/>
          </cell>
        </row>
        <row r="6488">
          <cell r="A6488">
            <v>31102192</v>
          </cell>
          <cell r="C6488">
            <v>31102192</v>
          </cell>
          <cell r="D6488">
            <v>31102192</v>
          </cell>
          <cell r="E6488">
            <v>31102192</v>
          </cell>
          <cell r="F6488">
            <v>31102192</v>
          </cell>
          <cell r="G6488">
            <v>31102192</v>
          </cell>
          <cell r="H6488">
            <v>31102192</v>
          </cell>
          <cell r="I6488" t="str">
            <v/>
          </cell>
          <cell r="J6488" t="str">
            <v/>
          </cell>
          <cell r="K6488" t="str">
            <v/>
          </cell>
          <cell r="L6488" t="str">
            <v/>
          </cell>
          <cell r="M6488" t="str">
            <v/>
          </cell>
        </row>
        <row r="6489">
          <cell r="A6489">
            <v>31102192</v>
          </cell>
          <cell r="C6489">
            <v>31102192</v>
          </cell>
          <cell r="D6489">
            <v>31102192</v>
          </cell>
          <cell r="E6489">
            <v>31102192</v>
          </cell>
          <cell r="F6489">
            <v>31102192</v>
          </cell>
          <cell r="G6489">
            <v>31102192</v>
          </cell>
          <cell r="H6489">
            <v>31102192</v>
          </cell>
          <cell r="I6489" t="str">
            <v/>
          </cell>
          <cell r="J6489" t="str">
            <v/>
          </cell>
          <cell r="K6489" t="str">
            <v/>
          </cell>
          <cell r="L6489" t="str">
            <v/>
          </cell>
          <cell r="M6489" t="str">
            <v/>
          </cell>
        </row>
        <row r="6490">
          <cell r="A6490">
            <v>31102192</v>
          </cell>
          <cell r="C6490">
            <v>31102192</v>
          </cell>
          <cell r="D6490">
            <v>31102192</v>
          </cell>
          <cell r="E6490">
            <v>31102192</v>
          </cell>
          <cell r="F6490">
            <v>31102192</v>
          </cell>
          <cell r="G6490">
            <v>31102192</v>
          </cell>
          <cell r="H6490">
            <v>31102192</v>
          </cell>
          <cell r="I6490" t="str">
            <v/>
          </cell>
          <cell r="J6490" t="str">
            <v/>
          </cell>
          <cell r="K6490" t="str">
            <v/>
          </cell>
          <cell r="L6490" t="str">
            <v/>
          </cell>
          <cell r="M6490" t="str">
            <v/>
          </cell>
        </row>
        <row r="6491">
          <cell r="A6491">
            <v>31102192</v>
          </cell>
          <cell r="C6491">
            <v>31102192</v>
          </cell>
          <cell r="D6491">
            <v>31102192</v>
          </cell>
          <cell r="E6491">
            <v>31102192</v>
          </cell>
          <cell r="F6491">
            <v>31102192</v>
          </cell>
          <cell r="G6491">
            <v>31102192</v>
          </cell>
          <cell r="H6491">
            <v>31102192</v>
          </cell>
          <cell r="I6491" t="str">
            <v/>
          </cell>
          <cell r="J6491" t="str">
            <v/>
          </cell>
          <cell r="K6491" t="str">
            <v/>
          </cell>
          <cell r="L6491" t="str">
            <v/>
          </cell>
          <cell r="M6491" t="str">
            <v/>
          </cell>
        </row>
        <row r="6492">
          <cell r="A6492">
            <v>31102192</v>
          </cell>
          <cell r="C6492">
            <v>31102192</v>
          </cell>
          <cell r="D6492">
            <v>31102192</v>
          </cell>
          <cell r="E6492">
            <v>31102192</v>
          </cell>
          <cell r="F6492">
            <v>31102192</v>
          </cell>
          <cell r="G6492">
            <v>31102192</v>
          </cell>
          <cell r="H6492">
            <v>31102192</v>
          </cell>
          <cell r="I6492" t="str">
            <v/>
          </cell>
          <cell r="J6492" t="str">
            <v/>
          </cell>
          <cell r="K6492" t="str">
            <v/>
          </cell>
          <cell r="L6492" t="str">
            <v/>
          </cell>
          <cell r="M6492" t="str">
            <v/>
          </cell>
        </row>
        <row r="6493">
          <cell r="A6493">
            <v>31102192</v>
          </cell>
          <cell r="C6493">
            <v>31102192</v>
          </cell>
          <cell r="D6493">
            <v>31102192</v>
          </cell>
          <cell r="E6493">
            <v>31102192</v>
          </cell>
          <cell r="F6493">
            <v>31102192</v>
          </cell>
          <cell r="G6493">
            <v>31102192</v>
          </cell>
          <cell r="H6493">
            <v>31102192</v>
          </cell>
          <cell r="I6493" t="str">
            <v/>
          </cell>
          <cell r="J6493" t="str">
            <v/>
          </cell>
          <cell r="K6493" t="str">
            <v/>
          </cell>
          <cell r="L6493" t="str">
            <v/>
          </cell>
          <cell r="M6493" t="str">
            <v/>
          </cell>
        </row>
        <row r="6494">
          <cell r="A6494">
            <v>31102192</v>
          </cell>
          <cell r="C6494">
            <v>31102192</v>
          </cell>
          <cell r="D6494">
            <v>31102192</v>
          </cell>
          <cell r="E6494">
            <v>31102192</v>
          </cell>
          <cell r="F6494">
            <v>31102192</v>
          </cell>
          <cell r="G6494">
            <v>31102192</v>
          </cell>
          <cell r="H6494">
            <v>31102192</v>
          </cell>
          <cell r="I6494" t="str">
            <v/>
          </cell>
          <cell r="J6494" t="str">
            <v/>
          </cell>
          <cell r="K6494" t="str">
            <v/>
          </cell>
          <cell r="L6494" t="str">
            <v/>
          </cell>
          <cell r="M6494" t="str">
            <v/>
          </cell>
        </row>
        <row r="6495">
          <cell r="A6495">
            <v>31102192</v>
          </cell>
          <cell r="C6495">
            <v>31102192</v>
          </cell>
          <cell r="D6495">
            <v>31102192</v>
          </cell>
          <cell r="E6495">
            <v>31102192</v>
          </cell>
          <cell r="F6495">
            <v>31102192</v>
          </cell>
          <cell r="G6495">
            <v>31102192</v>
          </cell>
          <cell r="H6495">
            <v>31102192</v>
          </cell>
          <cell r="I6495" t="str">
            <v/>
          </cell>
          <cell r="J6495" t="str">
            <v/>
          </cell>
          <cell r="K6495" t="str">
            <v/>
          </cell>
          <cell r="L6495" t="str">
            <v/>
          </cell>
          <cell r="M6495" t="str">
            <v/>
          </cell>
        </row>
        <row r="6496">
          <cell r="A6496">
            <v>31102192</v>
          </cell>
          <cell r="C6496">
            <v>31102192</v>
          </cell>
          <cell r="D6496">
            <v>31102192</v>
          </cell>
          <cell r="E6496">
            <v>31102192</v>
          </cell>
          <cell r="F6496">
            <v>31102192</v>
          </cell>
          <cell r="G6496">
            <v>31102192</v>
          </cell>
          <cell r="H6496">
            <v>31102192</v>
          </cell>
          <cell r="I6496" t="str">
            <v/>
          </cell>
          <cell r="J6496" t="str">
            <v/>
          </cell>
          <cell r="K6496" t="str">
            <v/>
          </cell>
          <cell r="L6496" t="str">
            <v/>
          </cell>
          <cell r="M6496" t="str">
            <v/>
          </cell>
        </row>
        <row r="6497">
          <cell r="A6497">
            <v>31102192</v>
          </cell>
          <cell r="C6497">
            <v>31102192</v>
          </cell>
          <cell r="D6497">
            <v>31102192</v>
          </cell>
          <cell r="E6497">
            <v>31102192</v>
          </cell>
          <cell r="F6497">
            <v>31102192</v>
          </cell>
          <cell r="G6497">
            <v>31102192</v>
          </cell>
          <cell r="H6497">
            <v>31102192</v>
          </cell>
          <cell r="I6497" t="str">
            <v/>
          </cell>
          <cell r="J6497" t="str">
            <v/>
          </cell>
          <cell r="K6497" t="str">
            <v/>
          </cell>
          <cell r="L6497" t="str">
            <v/>
          </cell>
          <cell r="M6497" t="str">
            <v/>
          </cell>
        </row>
        <row r="6498">
          <cell r="A6498">
            <v>31102192</v>
          </cell>
          <cell r="C6498">
            <v>31102192</v>
          </cell>
          <cell r="D6498">
            <v>31102192</v>
          </cell>
          <cell r="E6498">
            <v>31102192</v>
          </cell>
          <cell r="F6498">
            <v>31102192</v>
          </cell>
          <cell r="G6498">
            <v>31102192</v>
          </cell>
          <cell r="H6498">
            <v>31102192</v>
          </cell>
          <cell r="I6498" t="str">
            <v/>
          </cell>
          <cell r="J6498" t="str">
            <v/>
          </cell>
          <cell r="K6498" t="str">
            <v/>
          </cell>
          <cell r="L6498" t="str">
            <v/>
          </cell>
          <cell r="M6498" t="str">
            <v/>
          </cell>
        </row>
        <row r="6499">
          <cell r="A6499">
            <v>31102192</v>
          </cell>
          <cell r="C6499">
            <v>31102192</v>
          </cell>
          <cell r="D6499">
            <v>31102192</v>
          </cell>
          <cell r="E6499">
            <v>31102192</v>
          </cell>
          <cell r="F6499">
            <v>31102192</v>
          </cell>
          <cell r="G6499">
            <v>31102192</v>
          </cell>
          <cell r="H6499">
            <v>31102192</v>
          </cell>
          <cell r="I6499" t="str">
            <v/>
          </cell>
          <cell r="J6499" t="str">
            <v/>
          </cell>
          <cell r="K6499" t="str">
            <v/>
          </cell>
          <cell r="L6499" t="str">
            <v/>
          </cell>
          <cell r="M6499" t="str">
            <v/>
          </cell>
        </row>
        <row r="6500">
          <cell r="A6500">
            <v>31102192</v>
          </cell>
          <cell r="C6500">
            <v>31102192</v>
          </cell>
          <cell r="D6500">
            <v>31102192</v>
          </cell>
          <cell r="E6500">
            <v>31102192</v>
          </cell>
          <cell r="F6500">
            <v>31102192</v>
          </cell>
          <cell r="G6500">
            <v>31102192</v>
          </cell>
          <cell r="H6500">
            <v>31102192</v>
          </cell>
          <cell r="I6500" t="str">
            <v/>
          </cell>
          <cell r="J6500" t="str">
            <v/>
          </cell>
          <cell r="K6500" t="str">
            <v/>
          </cell>
          <cell r="L6500" t="str">
            <v/>
          </cell>
          <cell r="M6500" t="str">
            <v/>
          </cell>
        </row>
        <row r="6501">
          <cell r="A6501">
            <v>31102192</v>
          </cell>
          <cell r="C6501">
            <v>31102192</v>
          </cell>
          <cell r="D6501">
            <v>31102192</v>
          </cell>
          <cell r="E6501">
            <v>31102192</v>
          </cell>
          <cell r="F6501">
            <v>31102192</v>
          </cell>
          <cell r="G6501">
            <v>31102192</v>
          </cell>
          <cell r="H6501">
            <v>31102192</v>
          </cell>
          <cell r="I6501" t="str">
            <v/>
          </cell>
          <cell r="J6501" t="str">
            <v/>
          </cell>
          <cell r="K6501" t="str">
            <v/>
          </cell>
          <cell r="L6501" t="str">
            <v/>
          </cell>
          <cell r="M6501" t="str">
            <v/>
          </cell>
        </row>
        <row r="6502">
          <cell r="A6502">
            <v>31102192</v>
          </cell>
          <cell r="C6502">
            <v>31102192</v>
          </cell>
          <cell r="D6502">
            <v>31102192</v>
          </cell>
          <cell r="E6502">
            <v>31102192</v>
          </cell>
          <cell r="F6502">
            <v>31102192</v>
          </cell>
          <cell r="G6502">
            <v>31102192</v>
          </cell>
          <cell r="H6502">
            <v>31102192</v>
          </cell>
          <cell r="I6502" t="str">
            <v/>
          </cell>
          <cell r="J6502" t="str">
            <v/>
          </cell>
          <cell r="K6502" t="str">
            <v/>
          </cell>
          <cell r="L6502" t="str">
            <v/>
          </cell>
          <cell r="M6502" t="str">
            <v/>
          </cell>
        </row>
        <row r="6503">
          <cell r="A6503">
            <v>31102192</v>
          </cell>
          <cell r="C6503">
            <v>31102192</v>
          </cell>
          <cell r="D6503">
            <v>31102192</v>
          </cell>
          <cell r="E6503">
            <v>31102192</v>
          </cell>
          <cell r="F6503">
            <v>31102192</v>
          </cell>
          <cell r="G6503">
            <v>31102192</v>
          </cell>
          <cell r="H6503">
            <v>31102192</v>
          </cell>
          <cell r="I6503" t="str">
            <v/>
          </cell>
          <cell r="J6503" t="str">
            <v/>
          </cell>
          <cell r="K6503" t="str">
            <v/>
          </cell>
          <cell r="L6503" t="str">
            <v/>
          </cell>
          <cell r="M6503" t="str">
            <v/>
          </cell>
        </row>
        <row r="6504">
          <cell r="A6504">
            <v>31102192</v>
          </cell>
          <cell r="C6504">
            <v>31102192</v>
          </cell>
          <cell r="D6504">
            <v>31102192</v>
          </cell>
          <cell r="E6504">
            <v>31102192</v>
          </cell>
          <cell r="F6504">
            <v>31102192</v>
          </cell>
          <cell r="G6504">
            <v>31102192</v>
          </cell>
          <cell r="H6504">
            <v>31102192</v>
          </cell>
          <cell r="I6504" t="str">
            <v/>
          </cell>
          <cell r="J6504" t="str">
            <v/>
          </cell>
          <cell r="K6504" t="str">
            <v/>
          </cell>
          <cell r="L6504" t="str">
            <v/>
          </cell>
          <cell r="M6504" t="str">
            <v/>
          </cell>
        </row>
        <row r="6505">
          <cell r="A6505">
            <v>31102192</v>
          </cell>
          <cell r="C6505">
            <v>31102192</v>
          </cell>
          <cell r="D6505">
            <v>31102192</v>
          </cell>
          <cell r="E6505">
            <v>31102192</v>
          </cell>
          <cell r="F6505">
            <v>31102192</v>
          </cell>
          <cell r="G6505">
            <v>31102192</v>
          </cell>
          <cell r="H6505">
            <v>31102192</v>
          </cell>
          <cell r="I6505" t="str">
            <v/>
          </cell>
          <cell r="J6505" t="str">
            <v/>
          </cell>
          <cell r="K6505" t="str">
            <v/>
          </cell>
          <cell r="L6505" t="str">
            <v/>
          </cell>
          <cell r="M6505" t="str">
            <v/>
          </cell>
        </row>
        <row r="6506">
          <cell r="A6506">
            <v>31102192</v>
          </cell>
          <cell r="C6506">
            <v>31102192</v>
          </cell>
          <cell r="D6506">
            <v>31102192</v>
          </cell>
          <cell r="E6506">
            <v>31102192</v>
          </cell>
          <cell r="F6506">
            <v>31102192</v>
          </cell>
          <cell r="G6506">
            <v>31102192</v>
          </cell>
          <cell r="H6506">
            <v>31102192</v>
          </cell>
          <cell r="I6506" t="str">
            <v/>
          </cell>
          <cell r="J6506" t="str">
            <v/>
          </cell>
          <cell r="K6506" t="str">
            <v/>
          </cell>
          <cell r="L6506" t="str">
            <v/>
          </cell>
          <cell r="M6506" t="str">
            <v/>
          </cell>
        </row>
        <row r="6507">
          <cell r="A6507">
            <v>31102192</v>
          </cell>
          <cell r="C6507">
            <v>31102192</v>
          </cell>
          <cell r="D6507">
            <v>31102192</v>
          </cell>
          <cell r="E6507">
            <v>31102192</v>
          </cell>
          <cell r="F6507">
            <v>31102192</v>
          </cell>
          <cell r="G6507">
            <v>31102192</v>
          </cell>
          <cell r="H6507">
            <v>31102192</v>
          </cell>
          <cell r="I6507" t="str">
            <v/>
          </cell>
          <cell r="J6507" t="str">
            <v/>
          </cell>
          <cell r="K6507" t="str">
            <v/>
          </cell>
          <cell r="L6507" t="str">
            <v/>
          </cell>
          <cell r="M6507" t="str">
            <v/>
          </cell>
        </row>
        <row r="6508">
          <cell r="A6508">
            <v>31102192</v>
          </cell>
          <cell r="C6508">
            <v>31102192</v>
          </cell>
          <cell r="D6508">
            <v>31102192</v>
          </cell>
          <cell r="E6508">
            <v>31102192</v>
          </cell>
          <cell r="F6508">
            <v>31102192</v>
          </cell>
          <cell r="G6508">
            <v>31102192</v>
          </cell>
          <cell r="H6508">
            <v>31102192</v>
          </cell>
          <cell r="I6508" t="str">
            <v/>
          </cell>
          <cell r="J6508" t="str">
            <v/>
          </cell>
          <cell r="K6508" t="str">
            <v/>
          </cell>
          <cell r="L6508" t="str">
            <v/>
          </cell>
          <cell r="M6508" t="str">
            <v/>
          </cell>
        </row>
        <row r="6509">
          <cell r="A6509">
            <v>31102192</v>
          </cell>
          <cell r="C6509">
            <v>31102192</v>
          </cell>
          <cell r="D6509">
            <v>31102192</v>
          </cell>
          <cell r="E6509">
            <v>31102192</v>
          </cell>
          <cell r="F6509">
            <v>31102192</v>
          </cell>
          <cell r="G6509">
            <v>31102192</v>
          </cell>
          <cell r="H6509">
            <v>31102192</v>
          </cell>
          <cell r="I6509" t="str">
            <v/>
          </cell>
          <cell r="J6509" t="str">
            <v/>
          </cell>
          <cell r="K6509" t="str">
            <v/>
          </cell>
          <cell r="L6509" t="str">
            <v/>
          </cell>
          <cell r="M6509" t="str">
            <v/>
          </cell>
        </row>
        <row r="6510">
          <cell r="A6510">
            <v>31102192</v>
          </cell>
          <cell r="C6510">
            <v>31102192</v>
          </cell>
          <cell r="D6510">
            <v>31102192</v>
          </cell>
          <cell r="E6510">
            <v>31102192</v>
          </cell>
          <cell r="F6510">
            <v>31102192</v>
          </cell>
          <cell r="G6510">
            <v>31102192</v>
          </cell>
          <cell r="H6510">
            <v>31102192</v>
          </cell>
          <cell r="I6510" t="str">
            <v/>
          </cell>
          <cell r="J6510" t="str">
            <v/>
          </cell>
          <cell r="K6510" t="str">
            <v/>
          </cell>
          <cell r="L6510" t="str">
            <v/>
          </cell>
          <cell r="M6510" t="str">
            <v/>
          </cell>
        </row>
        <row r="6511">
          <cell r="A6511">
            <v>31102192</v>
          </cell>
          <cell r="C6511">
            <v>31102192</v>
          </cell>
          <cell r="D6511">
            <v>31102192</v>
          </cell>
          <cell r="E6511">
            <v>31102192</v>
          </cell>
          <cell r="F6511">
            <v>31102192</v>
          </cell>
          <cell r="G6511">
            <v>31102192</v>
          </cell>
          <cell r="H6511">
            <v>31102192</v>
          </cell>
          <cell r="I6511" t="str">
            <v/>
          </cell>
          <cell r="J6511" t="str">
            <v/>
          </cell>
          <cell r="K6511" t="str">
            <v/>
          </cell>
          <cell r="L6511" t="str">
            <v/>
          </cell>
          <cell r="M6511" t="str">
            <v/>
          </cell>
        </row>
        <row r="6512">
          <cell r="A6512">
            <v>31102192</v>
          </cell>
          <cell r="C6512">
            <v>31102192</v>
          </cell>
          <cell r="D6512">
            <v>31102192</v>
          </cell>
          <cell r="E6512">
            <v>31102192</v>
          </cell>
          <cell r="F6512">
            <v>31102192</v>
          </cell>
          <cell r="G6512">
            <v>31102192</v>
          </cell>
          <cell r="H6512">
            <v>31102192</v>
          </cell>
          <cell r="I6512" t="str">
            <v/>
          </cell>
          <cell r="J6512" t="str">
            <v/>
          </cell>
          <cell r="K6512" t="str">
            <v/>
          </cell>
          <cell r="L6512" t="str">
            <v/>
          </cell>
          <cell r="M6512" t="str">
            <v/>
          </cell>
        </row>
        <row r="6513">
          <cell r="A6513">
            <v>31102192</v>
          </cell>
          <cell r="C6513">
            <v>31102192</v>
          </cell>
          <cell r="D6513">
            <v>31102192</v>
          </cell>
          <cell r="E6513">
            <v>31102192</v>
          </cell>
          <cell r="F6513">
            <v>31102192</v>
          </cell>
          <cell r="G6513">
            <v>31102192</v>
          </cell>
          <cell r="H6513">
            <v>31102192</v>
          </cell>
          <cell r="I6513" t="str">
            <v/>
          </cell>
          <cell r="J6513" t="str">
            <v/>
          </cell>
          <cell r="K6513" t="str">
            <v/>
          </cell>
          <cell r="L6513" t="str">
            <v/>
          </cell>
          <cell r="M6513" t="str">
            <v/>
          </cell>
        </row>
        <row r="6514">
          <cell r="A6514">
            <v>31102192</v>
          </cell>
          <cell r="C6514">
            <v>31102192</v>
          </cell>
          <cell r="D6514">
            <v>31102192</v>
          </cell>
          <cell r="E6514">
            <v>31102192</v>
          </cell>
          <cell r="F6514">
            <v>31102192</v>
          </cell>
          <cell r="G6514">
            <v>31102192</v>
          </cell>
          <cell r="H6514">
            <v>31102192</v>
          </cell>
          <cell r="I6514" t="str">
            <v/>
          </cell>
          <cell r="J6514" t="str">
            <v/>
          </cell>
          <cell r="K6514" t="str">
            <v/>
          </cell>
          <cell r="L6514" t="str">
            <v/>
          </cell>
          <cell r="M6514" t="str">
            <v/>
          </cell>
        </row>
        <row r="6515">
          <cell r="A6515">
            <v>31102192</v>
          </cell>
          <cell r="C6515">
            <v>31102192</v>
          </cell>
          <cell r="D6515">
            <v>31102192</v>
          </cell>
          <cell r="E6515">
            <v>31102192</v>
          </cell>
          <cell r="F6515">
            <v>31102192</v>
          </cell>
          <cell r="G6515">
            <v>31102192</v>
          </cell>
          <cell r="H6515">
            <v>31102192</v>
          </cell>
          <cell r="I6515" t="str">
            <v/>
          </cell>
          <cell r="J6515" t="str">
            <v/>
          </cell>
          <cell r="K6515" t="str">
            <v/>
          </cell>
          <cell r="L6515" t="str">
            <v/>
          </cell>
          <cell r="M6515" t="str">
            <v/>
          </cell>
        </row>
        <row r="6516">
          <cell r="A6516">
            <v>31102192</v>
          </cell>
          <cell r="C6516">
            <v>31102192</v>
          </cell>
          <cell r="D6516">
            <v>31102192</v>
          </cell>
          <cell r="E6516">
            <v>31102192</v>
          </cell>
          <cell r="F6516">
            <v>31102192</v>
          </cell>
          <cell r="G6516">
            <v>31102192</v>
          </cell>
          <cell r="H6516">
            <v>31102192</v>
          </cell>
          <cell r="I6516" t="str">
            <v/>
          </cell>
          <cell r="J6516" t="str">
            <v/>
          </cell>
          <cell r="K6516" t="str">
            <v/>
          </cell>
          <cell r="L6516" t="str">
            <v/>
          </cell>
          <cell r="M6516" t="str">
            <v/>
          </cell>
        </row>
        <row r="6517">
          <cell r="A6517">
            <v>31102192</v>
          </cell>
          <cell r="C6517">
            <v>31102192</v>
          </cell>
          <cell r="D6517">
            <v>31102192</v>
          </cell>
          <cell r="E6517">
            <v>31102192</v>
          </cell>
          <cell r="F6517">
            <v>31102192</v>
          </cell>
          <cell r="G6517">
            <v>31102192</v>
          </cell>
          <cell r="H6517">
            <v>31102192</v>
          </cell>
          <cell r="I6517" t="str">
            <v/>
          </cell>
          <cell r="J6517" t="str">
            <v/>
          </cell>
          <cell r="K6517" t="str">
            <v/>
          </cell>
          <cell r="L6517" t="str">
            <v/>
          </cell>
          <cell r="M6517" t="str">
            <v/>
          </cell>
        </row>
        <row r="6518">
          <cell r="A6518">
            <v>31102192</v>
          </cell>
          <cell r="C6518">
            <v>31102192</v>
          </cell>
          <cell r="D6518">
            <v>31102192</v>
          </cell>
          <cell r="E6518">
            <v>31102192</v>
          </cell>
          <cell r="F6518">
            <v>31102192</v>
          </cell>
          <cell r="G6518">
            <v>31102192</v>
          </cell>
          <cell r="H6518">
            <v>31102192</v>
          </cell>
          <cell r="I6518" t="str">
            <v/>
          </cell>
          <cell r="J6518" t="str">
            <v/>
          </cell>
          <cell r="K6518" t="str">
            <v/>
          </cell>
          <cell r="L6518" t="str">
            <v/>
          </cell>
          <cell r="M6518" t="str">
            <v/>
          </cell>
        </row>
        <row r="6519">
          <cell r="A6519">
            <v>31102192</v>
          </cell>
          <cell r="C6519">
            <v>31102192</v>
          </cell>
          <cell r="D6519">
            <v>31102192</v>
          </cell>
          <cell r="E6519">
            <v>31102192</v>
          </cell>
          <cell r="F6519">
            <v>31102192</v>
          </cell>
          <cell r="G6519">
            <v>31102192</v>
          </cell>
          <cell r="H6519">
            <v>31102192</v>
          </cell>
          <cell r="I6519" t="str">
            <v/>
          </cell>
          <cell r="J6519" t="str">
            <v/>
          </cell>
          <cell r="K6519" t="str">
            <v/>
          </cell>
          <cell r="L6519" t="str">
            <v/>
          </cell>
          <cell r="M6519" t="str">
            <v/>
          </cell>
        </row>
        <row r="6520">
          <cell r="A6520">
            <v>31102192</v>
          </cell>
          <cell r="C6520">
            <v>31102192</v>
          </cell>
          <cell r="D6520">
            <v>31102192</v>
          </cell>
          <cell r="E6520">
            <v>31102192</v>
          </cell>
          <cell r="F6520">
            <v>31102192</v>
          </cell>
          <cell r="G6520">
            <v>31102192</v>
          </cell>
          <cell r="H6520">
            <v>31102192</v>
          </cell>
          <cell r="I6520" t="str">
            <v/>
          </cell>
          <cell r="J6520" t="str">
            <v/>
          </cell>
          <cell r="K6520" t="str">
            <v/>
          </cell>
          <cell r="L6520" t="str">
            <v/>
          </cell>
          <cell r="M6520" t="str">
            <v/>
          </cell>
        </row>
        <row r="6521">
          <cell r="A6521">
            <v>31102192</v>
          </cell>
          <cell r="C6521">
            <v>31102192</v>
          </cell>
          <cell r="D6521">
            <v>31102192</v>
          </cell>
          <cell r="E6521">
            <v>31102192</v>
          </cell>
          <cell r="F6521">
            <v>31102192</v>
          </cell>
          <cell r="G6521">
            <v>31102192</v>
          </cell>
          <cell r="H6521">
            <v>31102192</v>
          </cell>
          <cell r="I6521" t="str">
            <v/>
          </cell>
          <cell r="J6521" t="str">
            <v/>
          </cell>
          <cell r="K6521" t="str">
            <v/>
          </cell>
          <cell r="L6521" t="str">
            <v/>
          </cell>
          <cell r="M6521" t="str">
            <v/>
          </cell>
        </row>
        <row r="6522">
          <cell r="A6522">
            <v>31102192</v>
          </cell>
          <cell r="C6522">
            <v>31102192</v>
          </cell>
          <cell r="D6522">
            <v>31102192</v>
          </cell>
          <cell r="E6522">
            <v>31102192</v>
          </cell>
          <cell r="F6522">
            <v>31102192</v>
          </cell>
          <cell r="G6522">
            <v>31102192</v>
          </cell>
          <cell r="H6522">
            <v>31102192</v>
          </cell>
          <cell r="I6522" t="str">
            <v/>
          </cell>
          <cell r="J6522" t="str">
            <v/>
          </cell>
          <cell r="K6522" t="str">
            <v/>
          </cell>
          <cell r="L6522" t="str">
            <v/>
          </cell>
          <cell r="M6522" t="str">
            <v/>
          </cell>
        </row>
        <row r="6523">
          <cell r="A6523">
            <v>31102192</v>
          </cell>
          <cell r="C6523">
            <v>31102192</v>
          </cell>
          <cell r="D6523">
            <v>31102192</v>
          </cell>
          <cell r="E6523">
            <v>31102192</v>
          </cell>
          <cell r="F6523">
            <v>31102192</v>
          </cell>
          <cell r="G6523">
            <v>31102192</v>
          </cell>
          <cell r="H6523">
            <v>31102192</v>
          </cell>
          <cell r="I6523" t="str">
            <v/>
          </cell>
          <cell r="J6523" t="str">
            <v/>
          </cell>
          <cell r="K6523" t="str">
            <v/>
          </cell>
          <cell r="L6523" t="str">
            <v/>
          </cell>
          <cell r="M6523" t="str">
            <v/>
          </cell>
        </row>
        <row r="6524">
          <cell r="A6524">
            <v>31102192</v>
          </cell>
          <cell r="C6524">
            <v>31102192</v>
          </cell>
          <cell r="D6524">
            <v>31102192</v>
          </cell>
          <cell r="E6524">
            <v>31102192</v>
          </cell>
          <cell r="F6524">
            <v>31102192</v>
          </cell>
          <cell r="G6524">
            <v>31102192</v>
          </cell>
          <cell r="H6524">
            <v>31102192</v>
          </cell>
          <cell r="I6524" t="str">
            <v/>
          </cell>
          <cell r="J6524" t="str">
            <v/>
          </cell>
          <cell r="K6524" t="str">
            <v/>
          </cell>
          <cell r="L6524" t="str">
            <v/>
          </cell>
          <cell r="M6524" t="str">
            <v/>
          </cell>
        </row>
        <row r="6525">
          <cell r="A6525">
            <v>31102192</v>
          </cell>
          <cell r="C6525">
            <v>31102192</v>
          </cell>
          <cell r="D6525">
            <v>31102192</v>
          </cell>
          <cell r="E6525">
            <v>31102192</v>
          </cell>
          <cell r="F6525">
            <v>31102192</v>
          </cell>
          <cell r="G6525">
            <v>31102192</v>
          </cell>
          <cell r="H6525">
            <v>31102192</v>
          </cell>
          <cell r="I6525" t="str">
            <v/>
          </cell>
          <cell r="J6525" t="str">
            <v/>
          </cell>
          <cell r="K6525" t="str">
            <v/>
          </cell>
          <cell r="L6525" t="str">
            <v/>
          </cell>
          <cell r="M6525" t="str">
            <v/>
          </cell>
        </row>
        <row r="6526">
          <cell r="A6526">
            <v>31102192</v>
          </cell>
          <cell r="C6526">
            <v>31102192</v>
          </cell>
          <cell r="D6526">
            <v>31102192</v>
          </cell>
          <cell r="E6526">
            <v>31102192</v>
          </cell>
          <cell r="F6526">
            <v>31102192</v>
          </cell>
          <cell r="G6526">
            <v>31102192</v>
          </cell>
          <cell r="H6526">
            <v>31102192</v>
          </cell>
          <cell r="I6526" t="str">
            <v/>
          </cell>
          <cell r="J6526" t="str">
            <v/>
          </cell>
          <cell r="K6526" t="str">
            <v/>
          </cell>
          <cell r="L6526" t="str">
            <v/>
          </cell>
          <cell r="M6526" t="str">
            <v/>
          </cell>
        </row>
        <row r="6527">
          <cell r="A6527">
            <v>31102192</v>
          </cell>
          <cell r="C6527">
            <v>31102192</v>
          </cell>
          <cell r="D6527">
            <v>31102192</v>
          </cell>
          <cell r="E6527">
            <v>31102192</v>
          </cell>
          <cell r="F6527">
            <v>31102192</v>
          </cell>
          <cell r="G6527">
            <v>31102192</v>
          </cell>
          <cell r="H6527">
            <v>31102192</v>
          </cell>
          <cell r="I6527" t="str">
            <v/>
          </cell>
          <cell r="J6527" t="str">
            <v/>
          </cell>
          <cell r="K6527" t="str">
            <v/>
          </cell>
          <cell r="L6527" t="str">
            <v/>
          </cell>
          <cell r="M6527" t="str">
            <v/>
          </cell>
        </row>
        <row r="6528">
          <cell r="A6528">
            <v>31102192</v>
          </cell>
          <cell r="C6528">
            <v>31102192</v>
          </cell>
          <cell r="D6528">
            <v>31102192</v>
          </cell>
          <cell r="E6528">
            <v>31102192</v>
          </cell>
          <cell r="F6528">
            <v>31102192</v>
          </cell>
          <cell r="G6528">
            <v>31102192</v>
          </cell>
          <cell r="H6528">
            <v>31102192</v>
          </cell>
          <cell r="I6528" t="str">
            <v/>
          </cell>
          <cell r="J6528" t="str">
            <v/>
          </cell>
          <cell r="K6528" t="str">
            <v/>
          </cell>
          <cell r="L6528" t="str">
            <v/>
          </cell>
          <cell r="M6528" t="str">
            <v/>
          </cell>
        </row>
        <row r="6529">
          <cell r="A6529">
            <v>31102192</v>
          </cell>
          <cell r="C6529">
            <v>31102192</v>
          </cell>
          <cell r="D6529">
            <v>31102192</v>
          </cell>
          <cell r="E6529">
            <v>31102192</v>
          </cell>
          <cell r="F6529">
            <v>31102192</v>
          </cell>
          <cell r="G6529">
            <v>31102192</v>
          </cell>
          <cell r="H6529">
            <v>31102192</v>
          </cell>
          <cell r="I6529" t="str">
            <v/>
          </cell>
          <cell r="J6529" t="str">
            <v/>
          </cell>
          <cell r="K6529" t="str">
            <v/>
          </cell>
          <cell r="L6529" t="str">
            <v/>
          </cell>
          <cell r="M6529" t="str">
            <v/>
          </cell>
        </row>
        <row r="6530">
          <cell r="A6530">
            <v>31102192</v>
          </cell>
          <cell r="C6530">
            <v>31102192</v>
          </cell>
          <cell r="D6530">
            <v>31102192</v>
          </cell>
          <cell r="E6530">
            <v>31102192</v>
          </cell>
          <cell r="F6530">
            <v>31102192</v>
          </cell>
          <cell r="G6530">
            <v>31102192</v>
          </cell>
          <cell r="H6530">
            <v>31102192</v>
          </cell>
          <cell r="I6530" t="str">
            <v/>
          </cell>
          <cell r="J6530" t="str">
            <v/>
          </cell>
          <cell r="K6530" t="str">
            <v/>
          </cell>
          <cell r="L6530" t="str">
            <v/>
          </cell>
          <cell r="M6530" t="str">
            <v/>
          </cell>
        </row>
        <row r="6531">
          <cell r="A6531">
            <v>31102192</v>
          </cell>
          <cell r="C6531">
            <v>31102192</v>
          </cell>
          <cell r="D6531">
            <v>31102192</v>
          </cell>
          <cell r="E6531">
            <v>31102192</v>
          </cell>
          <cell r="F6531">
            <v>31102192</v>
          </cell>
          <cell r="G6531">
            <v>31102192</v>
          </cell>
          <cell r="H6531">
            <v>31102192</v>
          </cell>
          <cell r="I6531" t="str">
            <v/>
          </cell>
          <cell r="J6531" t="str">
            <v/>
          </cell>
          <cell r="K6531" t="str">
            <v/>
          </cell>
          <cell r="L6531" t="str">
            <v/>
          </cell>
          <cell r="M6531" t="str">
            <v/>
          </cell>
        </row>
        <row r="6532">
          <cell r="A6532">
            <v>31102192</v>
          </cell>
          <cell r="C6532">
            <v>31102192</v>
          </cell>
          <cell r="D6532">
            <v>31102192</v>
          </cell>
          <cell r="E6532">
            <v>31102192</v>
          </cell>
          <cell r="F6532">
            <v>31102192</v>
          </cell>
          <cell r="G6532">
            <v>31102192</v>
          </cell>
          <cell r="H6532">
            <v>31102192</v>
          </cell>
          <cell r="I6532" t="str">
            <v/>
          </cell>
          <cell r="J6532" t="str">
            <v/>
          </cell>
          <cell r="K6532" t="str">
            <v/>
          </cell>
          <cell r="L6532" t="str">
            <v/>
          </cell>
          <cell r="M6532" t="str">
            <v/>
          </cell>
        </row>
        <row r="6533">
          <cell r="A6533">
            <v>31102192</v>
          </cell>
          <cell r="C6533">
            <v>31102192</v>
          </cell>
          <cell r="D6533">
            <v>31102192</v>
          </cell>
          <cell r="E6533">
            <v>31102192</v>
          </cell>
          <cell r="F6533">
            <v>31102192</v>
          </cell>
          <cell r="G6533">
            <v>31102192</v>
          </cell>
          <cell r="H6533">
            <v>31102192</v>
          </cell>
          <cell r="I6533" t="str">
            <v/>
          </cell>
          <cell r="J6533" t="str">
            <v/>
          </cell>
          <cell r="K6533" t="str">
            <v/>
          </cell>
          <cell r="L6533" t="str">
            <v/>
          </cell>
          <cell r="M6533" t="str">
            <v/>
          </cell>
        </row>
        <row r="6534">
          <cell r="A6534">
            <v>31102192</v>
          </cell>
          <cell r="C6534">
            <v>31102192</v>
          </cell>
          <cell r="D6534">
            <v>31102192</v>
          </cell>
          <cell r="E6534">
            <v>31102192</v>
          </cell>
          <cell r="F6534">
            <v>31102192</v>
          </cell>
          <cell r="G6534">
            <v>31102192</v>
          </cell>
          <cell r="H6534">
            <v>31102192</v>
          </cell>
          <cell r="I6534" t="str">
            <v/>
          </cell>
          <cell r="J6534" t="str">
            <v/>
          </cell>
          <cell r="K6534" t="str">
            <v/>
          </cell>
          <cell r="L6534" t="str">
            <v/>
          </cell>
          <cell r="M6534" t="str">
            <v/>
          </cell>
        </row>
        <row r="6535">
          <cell r="A6535">
            <v>31102192</v>
          </cell>
          <cell r="C6535">
            <v>31102192</v>
          </cell>
          <cell r="D6535">
            <v>31102192</v>
          </cell>
          <cell r="E6535">
            <v>31102192</v>
          </cell>
          <cell r="F6535">
            <v>31102192</v>
          </cell>
          <cell r="G6535">
            <v>31102192</v>
          </cell>
          <cell r="H6535">
            <v>31102192</v>
          </cell>
          <cell r="I6535" t="str">
            <v/>
          </cell>
          <cell r="J6535" t="str">
            <v/>
          </cell>
          <cell r="K6535" t="str">
            <v/>
          </cell>
          <cell r="L6535" t="str">
            <v/>
          </cell>
          <cell r="M6535" t="str">
            <v/>
          </cell>
        </row>
        <row r="6536">
          <cell r="A6536">
            <v>31102192</v>
          </cell>
          <cell r="C6536">
            <v>31102192</v>
          </cell>
          <cell r="D6536">
            <v>31102192</v>
          </cell>
          <cell r="E6536">
            <v>31102192</v>
          </cell>
          <cell r="F6536">
            <v>31102192</v>
          </cell>
          <cell r="G6536">
            <v>31102192</v>
          </cell>
          <cell r="H6536">
            <v>31102192</v>
          </cell>
          <cell r="I6536" t="str">
            <v/>
          </cell>
          <cell r="J6536" t="str">
            <v/>
          </cell>
          <cell r="K6536" t="str">
            <v/>
          </cell>
          <cell r="L6536" t="str">
            <v/>
          </cell>
          <cell r="M6536" t="str">
            <v/>
          </cell>
        </row>
        <row r="6537">
          <cell r="A6537">
            <v>31102192</v>
          </cell>
          <cell r="C6537">
            <v>31102192</v>
          </cell>
          <cell r="D6537">
            <v>31102192</v>
          </cell>
          <cell r="E6537">
            <v>31102192</v>
          </cell>
          <cell r="F6537">
            <v>31102192</v>
          </cell>
          <cell r="G6537">
            <v>31102192</v>
          </cell>
          <cell r="H6537">
            <v>31102192</v>
          </cell>
          <cell r="I6537" t="str">
            <v/>
          </cell>
          <cell r="J6537" t="str">
            <v/>
          </cell>
          <cell r="K6537" t="str">
            <v/>
          </cell>
          <cell r="L6537" t="str">
            <v/>
          </cell>
          <cell r="M6537" t="str">
            <v/>
          </cell>
        </row>
        <row r="6538">
          <cell r="A6538">
            <v>31102192</v>
          </cell>
          <cell r="C6538">
            <v>31102192</v>
          </cell>
          <cell r="D6538">
            <v>31102192</v>
          </cell>
          <cell r="E6538">
            <v>31102192</v>
          </cell>
          <cell r="F6538">
            <v>31102192</v>
          </cell>
          <cell r="G6538">
            <v>31102192</v>
          </cell>
          <cell r="H6538">
            <v>31102192</v>
          </cell>
          <cell r="I6538" t="str">
            <v/>
          </cell>
          <cell r="J6538" t="str">
            <v/>
          </cell>
          <cell r="K6538" t="str">
            <v/>
          </cell>
          <cell r="L6538" t="str">
            <v/>
          </cell>
          <cell r="M6538" t="str">
            <v/>
          </cell>
        </row>
        <row r="6539">
          <cell r="A6539">
            <v>31102192</v>
          </cell>
          <cell r="C6539">
            <v>31102192</v>
          </cell>
          <cell r="D6539">
            <v>31102192</v>
          </cell>
          <cell r="E6539">
            <v>31102192</v>
          </cell>
          <cell r="F6539">
            <v>31102192</v>
          </cell>
          <cell r="G6539">
            <v>31102192</v>
          </cell>
          <cell r="H6539">
            <v>31102192</v>
          </cell>
          <cell r="I6539" t="str">
            <v/>
          </cell>
          <cell r="J6539" t="str">
            <v/>
          </cell>
          <cell r="K6539" t="str">
            <v/>
          </cell>
          <cell r="L6539" t="str">
            <v/>
          </cell>
          <cell r="M6539" t="str">
            <v/>
          </cell>
        </row>
        <row r="6540">
          <cell r="A6540">
            <v>31102192</v>
          </cell>
          <cell r="C6540">
            <v>31102192</v>
          </cell>
          <cell r="D6540">
            <v>31102192</v>
          </cell>
          <cell r="E6540">
            <v>31102192</v>
          </cell>
          <cell r="F6540">
            <v>31102192</v>
          </cell>
          <cell r="G6540">
            <v>31102192</v>
          </cell>
          <cell r="H6540">
            <v>31102192</v>
          </cell>
          <cell r="I6540" t="str">
            <v/>
          </cell>
          <cell r="J6540" t="str">
            <v/>
          </cell>
          <cell r="K6540" t="str">
            <v/>
          </cell>
          <cell r="L6540" t="str">
            <v/>
          </cell>
          <cell r="M6540" t="str">
            <v/>
          </cell>
        </row>
        <row r="6541">
          <cell r="A6541">
            <v>31102192</v>
          </cell>
          <cell r="C6541">
            <v>31102192</v>
          </cell>
          <cell r="D6541">
            <v>31102192</v>
          </cell>
          <cell r="E6541">
            <v>31102192</v>
          </cell>
          <cell r="F6541">
            <v>31102192</v>
          </cell>
          <cell r="G6541">
            <v>31102192</v>
          </cell>
          <cell r="H6541">
            <v>31102192</v>
          </cell>
          <cell r="I6541" t="str">
            <v/>
          </cell>
          <cell r="J6541" t="str">
            <v/>
          </cell>
          <cell r="K6541" t="str">
            <v/>
          </cell>
          <cell r="L6541" t="str">
            <v/>
          </cell>
          <cell r="M6541" t="str">
            <v/>
          </cell>
        </row>
        <row r="6542">
          <cell r="A6542">
            <v>31102192</v>
          </cell>
          <cell r="C6542">
            <v>31102192</v>
          </cell>
          <cell r="D6542">
            <v>31102192</v>
          </cell>
          <cell r="E6542">
            <v>31102192</v>
          </cell>
          <cell r="F6542">
            <v>31102192</v>
          </cell>
          <cell r="G6542">
            <v>31102192</v>
          </cell>
          <cell r="H6542">
            <v>31102192</v>
          </cell>
          <cell r="I6542" t="str">
            <v/>
          </cell>
          <cell r="J6542" t="str">
            <v/>
          </cell>
          <cell r="K6542" t="str">
            <v/>
          </cell>
          <cell r="L6542" t="str">
            <v/>
          </cell>
          <cell r="M6542" t="str">
            <v/>
          </cell>
        </row>
        <row r="6543">
          <cell r="A6543">
            <v>31102192</v>
          </cell>
          <cell r="C6543">
            <v>31102192</v>
          </cell>
          <cell r="D6543">
            <v>31102192</v>
          </cell>
          <cell r="E6543">
            <v>31102192</v>
          </cell>
          <cell r="F6543">
            <v>31102192</v>
          </cell>
          <cell r="G6543">
            <v>31102192</v>
          </cell>
          <cell r="H6543">
            <v>31102192</v>
          </cell>
          <cell r="I6543" t="str">
            <v/>
          </cell>
          <cell r="J6543" t="str">
            <v/>
          </cell>
          <cell r="K6543" t="str">
            <v/>
          </cell>
          <cell r="L6543" t="str">
            <v/>
          </cell>
          <cell r="M6543" t="str">
            <v/>
          </cell>
        </row>
        <row r="6544">
          <cell r="A6544">
            <v>31102192</v>
          </cell>
          <cell r="C6544">
            <v>31102192</v>
          </cell>
          <cell r="D6544">
            <v>31102192</v>
          </cell>
          <cell r="E6544">
            <v>31102192</v>
          </cell>
          <cell r="F6544">
            <v>31102192</v>
          </cell>
          <cell r="G6544">
            <v>31102192</v>
          </cell>
          <cell r="H6544">
            <v>31102192</v>
          </cell>
          <cell r="I6544" t="str">
            <v/>
          </cell>
          <cell r="J6544" t="str">
            <v/>
          </cell>
          <cell r="K6544" t="str">
            <v/>
          </cell>
          <cell r="L6544" t="str">
            <v/>
          </cell>
          <cell r="M6544" t="str">
            <v/>
          </cell>
        </row>
        <row r="6545">
          <cell r="A6545">
            <v>31102192</v>
          </cell>
          <cell r="C6545">
            <v>31102192</v>
          </cell>
          <cell r="D6545">
            <v>31102192</v>
          </cell>
          <cell r="E6545">
            <v>31102192</v>
          </cell>
          <cell r="F6545">
            <v>31102192</v>
          </cell>
          <cell r="G6545">
            <v>31102192</v>
          </cell>
          <cell r="H6545">
            <v>31102192</v>
          </cell>
          <cell r="I6545" t="str">
            <v/>
          </cell>
          <cell r="J6545" t="str">
            <v/>
          </cell>
          <cell r="K6545" t="str">
            <v/>
          </cell>
          <cell r="L6545" t="str">
            <v/>
          </cell>
          <cell r="M6545" t="str">
            <v/>
          </cell>
        </row>
        <row r="6546">
          <cell r="A6546">
            <v>31102192</v>
          </cell>
          <cell r="C6546">
            <v>31102192</v>
          </cell>
          <cell r="D6546">
            <v>31102192</v>
          </cell>
          <cell r="E6546">
            <v>31102192</v>
          </cell>
          <cell r="F6546">
            <v>31102192</v>
          </cell>
          <cell r="G6546">
            <v>31102192</v>
          </cell>
          <cell r="H6546">
            <v>31102192</v>
          </cell>
          <cell r="I6546" t="str">
            <v/>
          </cell>
          <cell r="J6546" t="str">
            <v/>
          </cell>
          <cell r="K6546" t="str">
            <v/>
          </cell>
          <cell r="L6546" t="str">
            <v/>
          </cell>
          <cell r="M6546" t="str">
            <v/>
          </cell>
        </row>
        <row r="6547">
          <cell r="A6547">
            <v>31102192</v>
          </cell>
          <cell r="C6547">
            <v>31102192</v>
          </cell>
          <cell r="D6547">
            <v>31102192</v>
          </cell>
          <cell r="E6547">
            <v>31102192</v>
          </cell>
          <cell r="F6547">
            <v>31102192</v>
          </cell>
          <cell r="G6547">
            <v>31102192</v>
          </cell>
          <cell r="H6547">
            <v>31102192</v>
          </cell>
          <cell r="I6547" t="str">
            <v/>
          </cell>
          <cell r="J6547" t="str">
            <v/>
          </cell>
          <cell r="K6547" t="str">
            <v/>
          </cell>
          <cell r="L6547" t="str">
            <v/>
          </cell>
          <cell r="M6547" t="str">
            <v/>
          </cell>
        </row>
        <row r="6548">
          <cell r="A6548">
            <v>31102192</v>
          </cell>
          <cell r="C6548">
            <v>31102192</v>
          </cell>
          <cell r="D6548">
            <v>31102192</v>
          </cell>
          <cell r="E6548">
            <v>31102192</v>
          </cell>
          <cell r="F6548">
            <v>31102192</v>
          </cell>
          <cell r="G6548">
            <v>31102192</v>
          </cell>
          <cell r="H6548">
            <v>31102192</v>
          </cell>
          <cell r="I6548" t="str">
            <v/>
          </cell>
          <cell r="J6548" t="str">
            <v/>
          </cell>
          <cell r="K6548" t="str">
            <v/>
          </cell>
          <cell r="L6548" t="str">
            <v/>
          </cell>
          <cell r="M6548" t="str">
            <v/>
          </cell>
        </row>
        <row r="6549">
          <cell r="A6549">
            <v>31102192</v>
          </cell>
          <cell r="C6549">
            <v>31102192</v>
          </cell>
          <cell r="D6549">
            <v>31102192</v>
          </cell>
          <cell r="E6549">
            <v>31102192</v>
          </cell>
          <cell r="F6549">
            <v>31102192</v>
          </cell>
          <cell r="G6549">
            <v>31102192</v>
          </cell>
          <cell r="H6549">
            <v>31102192</v>
          </cell>
          <cell r="I6549" t="str">
            <v/>
          </cell>
          <cell r="J6549" t="str">
            <v/>
          </cell>
          <cell r="K6549" t="str">
            <v/>
          </cell>
          <cell r="L6549" t="str">
            <v/>
          </cell>
          <cell r="M6549" t="str">
            <v/>
          </cell>
        </row>
        <row r="6550">
          <cell r="A6550">
            <v>31102192</v>
          </cell>
          <cell r="C6550">
            <v>31102192</v>
          </cell>
          <cell r="D6550">
            <v>31102192</v>
          </cell>
          <cell r="E6550">
            <v>31102192</v>
          </cell>
          <cell r="F6550">
            <v>31102192</v>
          </cell>
          <cell r="G6550">
            <v>31102192</v>
          </cell>
          <cell r="H6550">
            <v>31102192</v>
          </cell>
          <cell r="I6550" t="str">
            <v/>
          </cell>
          <cell r="J6550" t="str">
            <v/>
          </cell>
          <cell r="K6550" t="str">
            <v/>
          </cell>
          <cell r="L6550" t="str">
            <v/>
          </cell>
          <cell r="M6550" t="str">
            <v/>
          </cell>
        </row>
        <row r="6551">
          <cell r="A6551">
            <v>31102192</v>
          </cell>
          <cell r="C6551">
            <v>31102192</v>
          </cell>
          <cell r="D6551">
            <v>31102192</v>
          </cell>
          <cell r="E6551">
            <v>31102192</v>
          </cell>
          <cell r="F6551">
            <v>31102192</v>
          </cell>
          <cell r="G6551">
            <v>31102192</v>
          </cell>
          <cell r="H6551">
            <v>31102192</v>
          </cell>
          <cell r="I6551" t="str">
            <v/>
          </cell>
          <cell r="J6551" t="str">
            <v/>
          </cell>
          <cell r="K6551" t="str">
            <v/>
          </cell>
          <cell r="L6551" t="str">
            <v/>
          </cell>
          <cell r="M6551" t="str">
            <v/>
          </cell>
        </row>
        <row r="6552">
          <cell r="A6552">
            <v>31102192</v>
          </cell>
          <cell r="C6552">
            <v>31102192</v>
          </cell>
          <cell r="D6552">
            <v>31102192</v>
          </cell>
          <cell r="E6552">
            <v>31102192</v>
          </cell>
          <cell r="F6552">
            <v>31102192</v>
          </cell>
          <cell r="G6552">
            <v>31102192</v>
          </cell>
          <cell r="H6552">
            <v>31102192</v>
          </cell>
          <cell r="I6552" t="str">
            <v/>
          </cell>
          <cell r="J6552" t="str">
            <v/>
          </cell>
          <cell r="K6552" t="str">
            <v/>
          </cell>
          <cell r="L6552" t="str">
            <v/>
          </cell>
          <cell r="M6552" t="str">
            <v/>
          </cell>
        </row>
        <row r="6553">
          <cell r="A6553">
            <v>31102192</v>
          </cell>
          <cell r="C6553">
            <v>31102192</v>
          </cell>
          <cell r="D6553">
            <v>31102192</v>
          </cell>
          <cell r="E6553">
            <v>31102192</v>
          </cell>
          <cell r="F6553">
            <v>31102192</v>
          </cell>
          <cell r="G6553">
            <v>31102192</v>
          </cell>
          <cell r="H6553">
            <v>31102192</v>
          </cell>
          <cell r="I6553" t="str">
            <v/>
          </cell>
          <cell r="J6553" t="str">
            <v/>
          </cell>
          <cell r="K6553" t="str">
            <v/>
          </cell>
          <cell r="L6553" t="str">
            <v/>
          </cell>
          <cell r="M6553" t="str">
            <v/>
          </cell>
        </row>
        <row r="6554">
          <cell r="A6554">
            <v>31102192</v>
          </cell>
          <cell r="C6554">
            <v>31102192</v>
          </cell>
          <cell r="D6554">
            <v>31102192</v>
          </cell>
          <cell r="E6554">
            <v>31102192</v>
          </cell>
          <cell r="F6554">
            <v>31102192</v>
          </cell>
          <cell r="G6554">
            <v>31102192</v>
          </cell>
          <cell r="H6554">
            <v>31102192</v>
          </cell>
          <cell r="I6554" t="str">
            <v/>
          </cell>
          <cell r="J6554" t="str">
            <v/>
          </cell>
          <cell r="K6554" t="str">
            <v/>
          </cell>
          <cell r="L6554" t="str">
            <v/>
          </cell>
          <cell r="M6554" t="str">
            <v/>
          </cell>
        </row>
        <row r="6555">
          <cell r="A6555">
            <v>31102192</v>
          </cell>
          <cell r="C6555">
            <v>31102192</v>
          </cell>
          <cell r="D6555">
            <v>31102192</v>
          </cell>
          <cell r="E6555">
            <v>31102192</v>
          </cell>
          <cell r="F6555">
            <v>31102192</v>
          </cell>
          <cell r="G6555">
            <v>31102192</v>
          </cell>
          <cell r="H6555">
            <v>31102192</v>
          </cell>
          <cell r="I6555" t="str">
            <v/>
          </cell>
          <cell r="J6555" t="str">
            <v/>
          </cell>
          <cell r="K6555" t="str">
            <v/>
          </cell>
          <cell r="L6555" t="str">
            <v/>
          </cell>
          <cell r="M6555" t="str">
            <v/>
          </cell>
        </row>
        <row r="6556">
          <cell r="A6556">
            <v>31102192</v>
          </cell>
          <cell r="C6556">
            <v>31102192</v>
          </cell>
          <cell r="D6556">
            <v>31102192</v>
          </cell>
          <cell r="E6556">
            <v>31102192</v>
          </cell>
          <cell r="F6556">
            <v>31102192</v>
          </cell>
          <cell r="G6556">
            <v>31102192</v>
          </cell>
          <cell r="H6556">
            <v>31102192</v>
          </cell>
          <cell r="I6556" t="str">
            <v/>
          </cell>
          <cell r="J6556" t="str">
            <v/>
          </cell>
          <cell r="K6556" t="str">
            <v/>
          </cell>
          <cell r="L6556" t="str">
            <v/>
          </cell>
          <cell r="M6556" t="str">
            <v/>
          </cell>
        </row>
        <row r="6557">
          <cell r="A6557">
            <v>31102192</v>
          </cell>
          <cell r="C6557">
            <v>31102192</v>
          </cell>
          <cell r="D6557">
            <v>31102192</v>
          </cell>
          <cell r="E6557">
            <v>31102192</v>
          </cell>
          <cell r="F6557">
            <v>31102192</v>
          </cell>
          <cell r="G6557">
            <v>31102192</v>
          </cell>
          <cell r="H6557">
            <v>31102192</v>
          </cell>
          <cell r="I6557" t="str">
            <v/>
          </cell>
          <cell r="J6557" t="str">
            <v/>
          </cell>
          <cell r="K6557" t="str">
            <v/>
          </cell>
          <cell r="L6557" t="str">
            <v/>
          </cell>
          <cell r="M6557" t="str">
            <v/>
          </cell>
        </row>
        <row r="6558">
          <cell r="A6558">
            <v>31102192</v>
          </cell>
          <cell r="C6558">
            <v>31102192</v>
          </cell>
          <cell r="D6558">
            <v>31102192</v>
          </cell>
          <cell r="E6558">
            <v>31102192</v>
          </cell>
          <cell r="F6558">
            <v>31102192</v>
          </cell>
          <cell r="G6558">
            <v>31102192</v>
          </cell>
          <cell r="H6558">
            <v>31102192</v>
          </cell>
          <cell r="I6558" t="str">
            <v/>
          </cell>
          <cell r="J6558" t="str">
            <v/>
          </cell>
          <cell r="K6558" t="str">
            <v/>
          </cell>
          <cell r="L6558" t="str">
            <v/>
          </cell>
          <cell r="M6558" t="str">
            <v/>
          </cell>
        </row>
        <row r="6559">
          <cell r="A6559">
            <v>31102192</v>
          </cell>
          <cell r="C6559">
            <v>31102192</v>
          </cell>
          <cell r="D6559">
            <v>31102192</v>
          </cell>
          <cell r="E6559">
            <v>31102192</v>
          </cell>
          <cell r="F6559">
            <v>31102192</v>
          </cell>
          <cell r="G6559">
            <v>31102192</v>
          </cell>
          <cell r="H6559">
            <v>31102192</v>
          </cell>
          <cell r="I6559" t="str">
            <v/>
          </cell>
          <cell r="J6559" t="str">
            <v/>
          </cell>
          <cell r="K6559" t="str">
            <v/>
          </cell>
          <cell r="L6559" t="str">
            <v/>
          </cell>
          <cell r="M6559" t="str">
            <v/>
          </cell>
        </row>
        <row r="6560">
          <cell r="A6560">
            <v>31102192</v>
          </cell>
          <cell r="C6560">
            <v>31102192</v>
          </cell>
          <cell r="D6560">
            <v>31102192</v>
          </cell>
          <cell r="E6560">
            <v>31102192</v>
          </cell>
          <cell r="F6560">
            <v>31102192</v>
          </cell>
          <cell r="G6560">
            <v>31102192</v>
          </cell>
          <cell r="H6560">
            <v>31102192</v>
          </cell>
          <cell r="I6560" t="str">
            <v/>
          </cell>
          <cell r="J6560" t="str">
            <v/>
          </cell>
          <cell r="K6560" t="str">
            <v/>
          </cell>
          <cell r="L6560" t="str">
            <v/>
          </cell>
          <cell r="M6560" t="str">
            <v/>
          </cell>
        </row>
        <row r="6561">
          <cell r="A6561">
            <v>31102192</v>
          </cell>
          <cell r="C6561">
            <v>31102192</v>
          </cell>
          <cell r="D6561">
            <v>31102192</v>
          </cell>
          <cell r="E6561">
            <v>31102192</v>
          </cell>
          <cell r="F6561">
            <v>31102192</v>
          </cell>
          <cell r="G6561">
            <v>31102192</v>
          </cell>
          <cell r="H6561">
            <v>31102192</v>
          </cell>
          <cell r="I6561" t="str">
            <v/>
          </cell>
          <cell r="J6561" t="str">
            <v/>
          </cell>
          <cell r="K6561" t="str">
            <v/>
          </cell>
          <cell r="L6561" t="str">
            <v/>
          </cell>
          <cell r="M6561" t="str">
            <v/>
          </cell>
        </row>
        <row r="6562">
          <cell r="A6562">
            <v>31102192</v>
          </cell>
          <cell r="C6562">
            <v>31102192</v>
          </cell>
          <cell r="D6562">
            <v>31102192</v>
          </cell>
          <cell r="E6562">
            <v>31102192</v>
          </cell>
          <cell r="F6562">
            <v>31102192</v>
          </cell>
          <cell r="G6562">
            <v>31102192</v>
          </cell>
          <cell r="H6562">
            <v>31102192</v>
          </cell>
          <cell r="I6562" t="str">
            <v/>
          </cell>
          <cell r="J6562" t="str">
            <v/>
          </cell>
          <cell r="K6562" t="str">
            <v/>
          </cell>
          <cell r="L6562" t="str">
            <v/>
          </cell>
          <cell r="M6562" t="str">
            <v/>
          </cell>
        </row>
        <row r="6563">
          <cell r="A6563">
            <v>31102192</v>
          </cell>
          <cell r="C6563">
            <v>31102192</v>
          </cell>
          <cell r="D6563">
            <v>31102192</v>
          </cell>
          <cell r="E6563">
            <v>31102192</v>
          </cell>
          <cell r="F6563">
            <v>31102192</v>
          </cell>
          <cell r="G6563">
            <v>31102192</v>
          </cell>
          <cell r="H6563">
            <v>31102192</v>
          </cell>
          <cell r="I6563" t="str">
            <v/>
          </cell>
          <cell r="J6563" t="str">
            <v/>
          </cell>
          <cell r="K6563" t="str">
            <v/>
          </cell>
          <cell r="L6563" t="str">
            <v/>
          </cell>
          <cell r="M6563" t="str">
            <v/>
          </cell>
        </row>
        <row r="6564">
          <cell r="A6564">
            <v>31102192</v>
          </cell>
          <cell r="C6564">
            <v>31102192</v>
          </cell>
          <cell r="D6564">
            <v>31102192</v>
          </cell>
          <cell r="E6564">
            <v>31102192</v>
          </cell>
          <cell r="F6564">
            <v>31102192</v>
          </cell>
          <cell r="G6564">
            <v>31102192</v>
          </cell>
          <cell r="H6564">
            <v>31102192</v>
          </cell>
          <cell r="I6564" t="str">
            <v/>
          </cell>
          <cell r="J6564" t="str">
            <v/>
          </cell>
          <cell r="K6564" t="str">
            <v/>
          </cell>
          <cell r="L6564" t="str">
            <v/>
          </cell>
          <cell r="M6564" t="str">
            <v/>
          </cell>
        </row>
        <row r="6565">
          <cell r="A6565">
            <v>31102192</v>
          </cell>
          <cell r="C6565">
            <v>31102192</v>
          </cell>
          <cell r="D6565">
            <v>31102192</v>
          </cell>
          <cell r="E6565">
            <v>31102192</v>
          </cell>
          <cell r="F6565">
            <v>31102192</v>
          </cell>
          <cell r="G6565">
            <v>31102192</v>
          </cell>
          <cell r="H6565">
            <v>31102192</v>
          </cell>
          <cell r="I6565" t="str">
            <v/>
          </cell>
          <cell r="J6565" t="str">
            <v/>
          </cell>
          <cell r="K6565" t="str">
            <v/>
          </cell>
          <cell r="L6565" t="str">
            <v/>
          </cell>
          <cell r="M6565" t="str">
            <v/>
          </cell>
        </row>
        <row r="6566">
          <cell r="A6566">
            <v>31102192</v>
          </cell>
          <cell r="C6566">
            <v>31102192</v>
          </cell>
          <cell r="D6566">
            <v>31102192</v>
          </cell>
          <cell r="E6566">
            <v>31102192</v>
          </cell>
          <cell r="F6566">
            <v>31102192</v>
          </cell>
          <cell r="G6566">
            <v>31102192</v>
          </cell>
          <cell r="H6566">
            <v>31102192</v>
          </cell>
          <cell r="I6566" t="str">
            <v/>
          </cell>
          <cell r="J6566" t="str">
            <v/>
          </cell>
          <cell r="K6566" t="str">
            <v/>
          </cell>
          <cell r="L6566" t="str">
            <v/>
          </cell>
          <cell r="M6566" t="str">
            <v/>
          </cell>
        </row>
        <row r="6567">
          <cell r="A6567">
            <v>31102192</v>
          </cell>
          <cell r="C6567">
            <v>31102192</v>
          </cell>
          <cell r="D6567">
            <v>31102192</v>
          </cell>
          <cell r="E6567">
            <v>31102192</v>
          </cell>
          <cell r="F6567">
            <v>31102192</v>
          </cell>
          <cell r="G6567">
            <v>31102192</v>
          </cell>
          <cell r="H6567">
            <v>31102192</v>
          </cell>
          <cell r="I6567" t="str">
            <v/>
          </cell>
          <cell r="J6567" t="str">
            <v/>
          </cell>
          <cell r="K6567" t="str">
            <v/>
          </cell>
          <cell r="L6567" t="str">
            <v/>
          </cell>
          <cell r="M6567" t="str">
            <v/>
          </cell>
        </row>
        <row r="6568">
          <cell r="A6568">
            <v>31102192</v>
          </cell>
          <cell r="C6568">
            <v>31102192</v>
          </cell>
          <cell r="D6568">
            <v>31102192</v>
          </cell>
          <cell r="E6568">
            <v>31102192</v>
          </cell>
          <cell r="F6568">
            <v>31102192</v>
          </cell>
          <cell r="G6568">
            <v>31102192</v>
          </cell>
          <cell r="H6568">
            <v>31102192</v>
          </cell>
          <cell r="I6568" t="str">
            <v/>
          </cell>
          <cell r="J6568" t="str">
            <v/>
          </cell>
          <cell r="K6568" t="str">
            <v/>
          </cell>
          <cell r="L6568" t="str">
            <v/>
          </cell>
          <cell r="M6568" t="str">
            <v/>
          </cell>
        </row>
        <row r="6569">
          <cell r="A6569">
            <v>31102192</v>
          </cell>
          <cell r="C6569">
            <v>31102192</v>
          </cell>
          <cell r="D6569">
            <v>31102192</v>
          </cell>
          <cell r="E6569">
            <v>31102192</v>
          </cell>
          <cell r="F6569">
            <v>31102192</v>
          </cell>
          <cell r="G6569">
            <v>31102192</v>
          </cell>
          <cell r="H6569">
            <v>31102192</v>
          </cell>
          <cell r="I6569" t="str">
            <v/>
          </cell>
          <cell r="J6569" t="str">
            <v/>
          </cell>
          <cell r="K6569" t="str">
            <v/>
          </cell>
          <cell r="L6569" t="str">
            <v/>
          </cell>
          <cell r="M6569" t="str">
            <v/>
          </cell>
        </row>
        <row r="6570">
          <cell r="A6570">
            <v>31102192</v>
          </cell>
          <cell r="C6570">
            <v>31102192</v>
          </cell>
          <cell r="D6570">
            <v>31102192</v>
          </cell>
          <cell r="E6570">
            <v>31102192</v>
          </cell>
          <cell r="F6570">
            <v>31102192</v>
          </cell>
          <cell r="G6570">
            <v>31102192</v>
          </cell>
          <cell r="H6570">
            <v>31102192</v>
          </cell>
          <cell r="I6570" t="str">
            <v/>
          </cell>
          <cell r="J6570" t="str">
            <v/>
          </cell>
          <cell r="K6570" t="str">
            <v/>
          </cell>
          <cell r="L6570" t="str">
            <v/>
          </cell>
          <cell r="M6570" t="str">
            <v/>
          </cell>
        </row>
        <row r="6571">
          <cell r="A6571">
            <v>31102192</v>
          </cell>
          <cell r="C6571">
            <v>31102192</v>
          </cell>
          <cell r="D6571">
            <v>31102192</v>
          </cell>
          <cell r="E6571">
            <v>31102192</v>
          </cell>
          <cell r="F6571">
            <v>31102192</v>
          </cell>
          <cell r="G6571">
            <v>31102192</v>
          </cell>
          <cell r="H6571">
            <v>31102192</v>
          </cell>
          <cell r="I6571" t="str">
            <v/>
          </cell>
          <cell r="J6571" t="str">
            <v/>
          </cell>
          <cell r="K6571" t="str">
            <v/>
          </cell>
          <cell r="L6571" t="str">
            <v/>
          </cell>
          <cell r="M6571" t="str">
            <v/>
          </cell>
        </row>
        <row r="6572">
          <cell r="A6572">
            <v>31102192</v>
          </cell>
          <cell r="C6572">
            <v>31102192</v>
          </cell>
          <cell r="D6572">
            <v>31102192</v>
          </cell>
          <cell r="E6572">
            <v>31102192</v>
          </cell>
          <cell r="F6572">
            <v>31102192</v>
          </cell>
          <cell r="G6572">
            <v>31102192</v>
          </cell>
          <cell r="H6572">
            <v>31102192</v>
          </cell>
          <cell r="I6572" t="str">
            <v/>
          </cell>
          <cell r="J6572" t="str">
            <v/>
          </cell>
          <cell r="K6572" t="str">
            <v/>
          </cell>
          <cell r="L6572" t="str">
            <v/>
          </cell>
          <cell r="M6572" t="str">
            <v/>
          </cell>
        </row>
        <row r="6573">
          <cell r="A6573">
            <v>31102192</v>
          </cell>
          <cell r="C6573">
            <v>31102192</v>
          </cell>
          <cell r="D6573">
            <v>31102192</v>
          </cell>
          <cell r="E6573">
            <v>31102192</v>
          </cell>
          <cell r="F6573">
            <v>31102192</v>
          </cell>
          <cell r="G6573">
            <v>31102192</v>
          </cell>
          <cell r="H6573">
            <v>31102192</v>
          </cell>
          <cell r="I6573" t="str">
            <v/>
          </cell>
          <cell r="J6573" t="str">
            <v/>
          </cell>
          <cell r="K6573" t="str">
            <v/>
          </cell>
          <cell r="L6573" t="str">
            <v/>
          </cell>
          <cell r="M6573" t="str">
            <v/>
          </cell>
        </row>
        <row r="6574">
          <cell r="A6574">
            <v>31102192</v>
          </cell>
          <cell r="C6574">
            <v>31102192</v>
          </cell>
          <cell r="D6574">
            <v>31102192</v>
          </cell>
          <cell r="E6574">
            <v>31102192</v>
          </cell>
          <cell r="F6574">
            <v>31102192</v>
          </cell>
          <cell r="G6574">
            <v>31102192</v>
          </cell>
          <cell r="H6574">
            <v>31102192</v>
          </cell>
          <cell r="I6574" t="str">
            <v/>
          </cell>
          <cell r="J6574" t="str">
            <v/>
          </cell>
          <cell r="K6574" t="str">
            <v/>
          </cell>
          <cell r="L6574" t="str">
            <v/>
          </cell>
          <cell r="M6574" t="str">
            <v/>
          </cell>
        </row>
        <row r="6575">
          <cell r="A6575">
            <v>31102192</v>
          </cell>
          <cell r="C6575">
            <v>31102192</v>
          </cell>
          <cell r="D6575">
            <v>31102192</v>
          </cell>
          <cell r="E6575">
            <v>31102192</v>
          </cell>
          <cell r="F6575">
            <v>31102192</v>
          </cell>
          <cell r="G6575">
            <v>31102192</v>
          </cell>
          <cell r="H6575">
            <v>31102192</v>
          </cell>
          <cell r="I6575" t="str">
            <v/>
          </cell>
          <cell r="J6575" t="str">
            <v/>
          </cell>
          <cell r="K6575" t="str">
            <v/>
          </cell>
          <cell r="L6575" t="str">
            <v/>
          </cell>
          <cell r="M6575" t="str">
            <v/>
          </cell>
        </row>
        <row r="6576">
          <cell r="A6576">
            <v>31102192</v>
          </cell>
          <cell r="C6576">
            <v>31102192</v>
          </cell>
          <cell r="D6576">
            <v>31102192</v>
          </cell>
          <cell r="E6576">
            <v>31102192</v>
          </cell>
          <cell r="F6576">
            <v>31102192</v>
          </cell>
          <cell r="G6576">
            <v>31102192</v>
          </cell>
          <cell r="H6576">
            <v>31102192</v>
          </cell>
          <cell r="I6576" t="str">
            <v/>
          </cell>
          <cell r="J6576" t="str">
            <v/>
          </cell>
          <cell r="K6576" t="str">
            <v/>
          </cell>
          <cell r="L6576" t="str">
            <v/>
          </cell>
          <cell r="M6576" t="str">
            <v/>
          </cell>
        </row>
        <row r="6577">
          <cell r="A6577">
            <v>31102192</v>
          </cell>
          <cell r="C6577">
            <v>31102192</v>
          </cell>
          <cell r="D6577">
            <v>31102192</v>
          </cell>
          <cell r="E6577">
            <v>31102192</v>
          </cell>
          <cell r="F6577">
            <v>31102192</v>
          </cell>
          <cell r="G6577">
            <v>31102192</v>
          </cell>
          <cell r="H6577">
            <v>31102192</v>
          </cell>
          <cell r="I6577" t="str">
            <v/>
          </cell>
          <cell r="J6577" t="str">
            <v/>
          </cell>
          <cell r="K6577" t="str">
            <v/>
          </cell>
          <cell r="L6577" t="str">
            <v/>
          </cell>
          <cell r="M6577" t="str">
            <v/>
          </cell>
        </row>
        <row r="6578">
          <cell r="A6578">
            <v>31102192</v>
          </cell>
          <cell r="C6578">
            <v>31102192</v>
          </cell>
          <cell r="D6578">
            <v>31102192</v>
          </cell>
          <cell r="E6578">
            <v>31102192</v>
          </cell>
          <cell r="F6578">
            <v>31102192</v>
          </cell>
          <cell r="G6578">
            <v>31102192</v>
          </cell>
          <cell r="H6578">
            <v>31102192</v>
          </cell>
          <cell r="I6578" t="str">
            <v/>
          </cell>
          <cell r="J6578" t="str">
            <v/>
          </cell>
          <cell r="K6578" t="str">
            <v/>
          </cell>
          <cell r="L6578" t="str">
            <v/>
          </cell>
          <cell r="M6578" t="str">
            <v/>
          </cell>
        </row>
        <row r="6579">
          <cell r="A6579">
            <v>31102192</v>
          </cell>
          <cell r="C6579">
            <v>31102192</v>
          </cell>
          <cell r="D6579">
            <v>31102192</v>
          </cell>
          <cell r="E6579">
            <v>31102192</v>
          </cell>
          <cell r="F6579">
            <v>31102192</v>
          </cell>
          <cell r="G6579">
            <v>31102192</v>
          </cell>
          <cell r="H6579">
            <v>31102192</v>
          </cell>
          <cell r="I6579" t="str">
            <v/>
          </cell>
          <cell r="J6579" t="str">
            <v/>
          </cell>
          <cell r="K6579" t="str">
            <v/>
          </cell>
          <cell r="L6579" t="str">
            <v/>
          </cell>
          <cell r="M6579" t="str">
            <v/>
          </cell>
        </row>
        <row r="6580">
          <cell r="A6580">
            <v>31102192</v>
          </cell>
          <cell r="C6580">
            <v>31102192</v>
          </cell>
          <cell r="D6580">
            <v>31102192</v>
          </cell>
          <cell r="E6580">
            <v>31102192</v>
          </cell>
          <cell r="F6580">
            <v>31102192</v>
          </cell>
          <cell r="G6580">
            <v>31102192</v>
          </cell>
          <cell r="H6580">
            <v>31102192</v>
          </cell>
          <cell r="I6580" t="str">
            <v/>
          </cell>
          <cell r="J6580" t="str">
            <v/>
          </cell>
          <cell r="K6580" t="str">
            <v/>
          </cell>
          <cell r="L6580" t="str">
            <v/>
          </cell>
          <cell r="M6580" t="str">
            <v/>
          </cell>
        </row>
        <row r="6581">
          <cell r="A6581">
            <v>31102192</v>
          </cell>
          <cell r="C6581">
            <v>31102192</v>
          </cell>
          <cell r="D6581">
            <v>31102192</v>
          </cell>
          <cell r="E6581">
            <v>31102192</v>
          </cell>
          <cell r="F6581">
            <v>31102192</v>
          </cell>
          <cell r="G6581">
            <v>31102192</v>
          </cell>
          <cell r="H6581">
            <v>31102192</v>
          </cell>
          <cell r="I6581" t="str">
            <v/>
          </cell>
          <cell r="J6581" t="str">
            <v/>
          </cell>
          <cell r="K6581" t="str">
            <v/>
          </cell>
          <cell r="L6581" t="str">
            <v/>
          </cell>
          <cell r="M6581" t="str">
            <v/>
          </cell>
        </row>
        <row r="6582">
          <cell r="A6582">
            <v>31102192</v>
          </cell>
          <cell r="C6582">
            <v>31102192</v>
          </cell>
          <cell r="D6582">
            <v>31102192</v>
          </cell>
          <cell r="E6582">
            <v>31102192</v>
          </cell>
          <cell r="F6582">
            <v>31102192</v>
          </cell>
          <cell r="G6582">
            <v>31102192</v>
          </cell>
          <cell r="H6582">
            <v>31102192</v>
          </cell>
          <cell r="I6582" t="str">
            <v/>
          </cell>
          <cell r="J6582" t="str">
            <v/>
          </cell>
          <cell r="K6582" t="str">
            <v/>
          </cell>
          <cell r="L6582" t="str">
            <v/>
          </cell>
          <cell r="M6582" t="str">
            <v/>
          </cell>
        </row>
        <row r="6583">
          <cell r="A6583">
            <v>31102192</v>
          </cell>
          <cell r="C6583">
            <v>31102192</v>
          </cell>
          <cell r="D6583">
            <v>31102192</v>
          </cell>
          <cell r="E6583">
            <v>31102192</v>
          </cell>
          <cell r="F6583">
            <v>31102192</v>
          </cell>
          <cell r="G6583">
            <v>31102192</v>
          </cell>
          <cell r="H6583">
            <v>31102192</v>
          </cell>
          <cell r="I6583" t="str">
            <v/>
          </cell>
          <cell r="J6583" t="str">
            <v/>
          </cell>
          <cell r="K6583" t="str">
            <v/>
          </cell>
          <cell r="L6583" t="str">
            <v/>
          </cell>
          <cell r="M6583" t="str">
            <v/>
          </cell>
        </row>
        <row r="6584">
          <cell r="A6584">
            <v>31102192</v>
          </cell>
          <cell r="C6584">
            <v>31102192</v>
          </cell>
          <cell r="D6584">
            <v>31102192</v>
          </cell>
          <cell r="E6584">
            <v>31102192</v>
          </cell>
          <cell r="F6584">
            <v>31102192</v>
          </cell>
          <cell r="G6584">
            <v>31102192</v>
          </cell>
          <cell r="H6584">
            <v>31102192</v>
          </cell>
          <cell r="I6584" t="str">
            <v/>
          </cell>
          <cell r="J6584" t="str">
            <v/>
          </cell>
          <cell r="K6584" t="str">
            <v/>
          </cell>
          <cell r="L6584" t="str">
            <v/>
          </cell>
          <cell r="M6584" t="str">
            <v/>
          </cell>
        </row>
        <row r="6585">
          <cell r="A6585">
            <v>31102192</v>
          </cell>
          <cell r="C6585">
            <v>31102192</v>
          </cell>
          <cell r="D6585">
            <v>31102192</v>
          </cell>
          <cell r="E6585">
            <v>31102192</v>
          </cell>
          <cell r="F6585">
            <v>31102192</v>
          </cell>
          <cell r="G6585">
            <v>31102192</v>
          </cell>
          <cell r="H6585">
            <v>31102192</v>
          </cell>
          <cell r="I6585" t="str">
            <v/>
          </cell>
          <cell r="J6585" t="str">
            <v/>
          </cell>
          <cell r="K6585" t="str">
            <v/>
          </cell>
          <cell r="L6585" t="str">
            <v/>
          </cell>
          <cell r="M6585" t="str">
            <v/>
          </cell>
        </row>
        <row r="6586">
          <cell r="A6586">
            <v>31102192</v>
          </cell>
          <cell r="C6586">
            <v>31102192</v>
          </cell>
          <cell r="D6586">
            <v>31102192</v>
          </cell>
          <cell r="E6586">
            <v>31102192</v>
          </cell>
          <cell r="F6586">
            <v>31102192</v>
          </cell>
          <cell r="G6586">
            <v>31102192</v>
          </cell>
          <cell r="H6586">
            <v>31102192</v>
          </cell>
          <cell r="I6586" t="str">
            <v/>
          </cell>
          <cell r="J6586" t="str">
            <v/>
          </cell>
          <cell r="K6586" t="str">
            <v/>
          </cell>
          <cell r="L6586" t="str">
            <v/>
          </cell>
          <cell r="M6586" t="str">
            <v/>
          </cell>
        </row>
        <row r="6587">
          <cell r="A6587">
            <v>31102192</v>
          </cell>
          <cell r="C6587">
            <v>31102192</v>
          </cell>
          <cell r="D6587">
            <v>31102192</v>
          </cell>
          <cell r="E6587">
            <v>31102192</v>
          </cell>
          <cell r="F6587">
            <v>31102192</v>
          </cell>
          <cell r="G6587">
            <v>31102192</v>
          </cell>
          <cell r="H6587">
            <v>31102192</v>
          </cell>
          <cell r="I6587" t="str">
            <v/>
          </cell>
          <cell r="J6587" t="str">
            <v/>
          </cell>
          <cell r="K6587" t="str">
            <v/>
          </cell>
          <cell r="L6587" t="str">
            <v/>
          </cell>
          <cell r="M6587" t="str">
            <v/>
          </cell>
        </row>
        <row r="6588">
          <cell r="A6588">
            <v>31102192</v>
          </cell>
          <cell r="C6588">
            <v>31102192</v>
          </cell>
          <cell r="D6588">
            <v>31102192</v>
          </cell>
          <cell r="E6588">
            <v>31102192</v>
          </cell>
          <cell r="F6588">
            <v>31102192</v>
          </cell>
          <cell r="G6588">
            <v>31102192</v>
          </cell>
          <cell r="H6588">
            <v>31102192</v>
          </cell>
          <cell r="I6588" t="str">
            <v/>
          </cell>
          <cell r="J6588" t="str">
            <v/>
          </cell>
          <cell r="K6588" t="str">
            <v/>
          </cell>
          <cell r="L6588" t="str">
            <v/>
          </cell>
          <cell r="M6588" t="str">
            <v/>
          </cell>
        </row>
        <row r="6589">
          <cell r="A6589">
            <v>31102192</v>
          </cell>
          <cell r="C6589">
            <v>31102192</v>
          </cell>
          <cell r="D6589">
            <v>31102192</v>
          </cell>
          <cell r="E6589">
            <v>31102192</v>
          </cell>
          <cell r="F6589">
            <v>31102192</v>
          </cell>
          <cell r="G6589">
            <v>31102192</v>
          </cell>
          <cell r="H6589">
            <v>31102192</v>
          </cell>
          <cell r="I6589" t="str">
            <v/>
          </cell>
          <cell r="J6589" t="str">
            <v/>
          </cell>
          <cell r="K6589" t="str">
            <v/>
          </cell>
          <cell r="L6589" t="str">
            <v/>
          </cell>
          <cell r="M6589" t="str">
            <v/>
          </cell>
        </row>
        <row r="6590">
          <cell r="A6590">
            <v>31102192</v>
          </cell>
          <cell r="C6590">
            <v>31102192</v>
          </cell>
          <cell r="D6590">
            <v>31102192</v>
          </cell>
          <cell r="E6590">
            <v>31102192</v>
          </cell>
          <cell r="F6590">
            <v>31102192</v>
          </cell>
          <cell r="G6590">
            <v>31102192</v>
          </cell>
          <cell r="H6590">
            <v>31102192</v>
          </cell>
          <cell r="I6590" t="str">
            <v/>
          </cell>
          <cell r="J6590" t="str">
            <v/>
          </cell>
          <cell r="K6590" t="str">
            <v/>
          </cell>
          <cell r="L6590" t="str">
            <v/>
          </cell>
          <cell r="M6590" t="str">
            <v/>
          </cell>
        </row>
        <row r="6591">
          <cell r="A6591">
            <v>31102192</v>
          </cell>
          <cell r="C6591">
            <v>31102192</v>
          </cell>
          <cell r="D6591">
            <v>31102192</v>
          </cell>
          <cell r="E6591">
            <v>31102192</v>
          </cell>
          <cell r="F6591">
            <v>31102192</v>
          </cell>
          <cell r="G6591">
            <v>31102192</v>
          </cell>
          <cell r="H6591">
            <v>31102192</v>
          </cell>
          <cell r="I6591" t="str">
            <v/>
          </cell>
          <cell r="J6591" t="str">
            <v/>
          </cell>
          <cell r="K6591" t="str">
            <v/>
          </cell>
          <cell r="L6591" t="str">
            <v/>
          </cell>
          <cell r="M6591" t="str">
            <v/>
          </cell>
        </row>
        <row r="6592">
          <cell r="A6592">
            <v>31102192</v>
          </cell>
          <cell r="C6592">
            <v>31102192</v>
          </cell>
          <cell r="D6592">
            <v>31102192</v>
          </cell>
          <cell r="E6592">
            <v>31102192</v>
          </cell>
          <cell r="F6592">
            <v>31102192</v>
          </cell>
          <cell r="G6592">
            <v>31102192</v>
          </cell>
          <cell r="H6592">
            <v>31102192</v>
          </cell>
          <cell r="I6592" t="str">
            <v/>
          </cell>
          <cell r="J6592" t="str">
            <v/>
          </cell>
          <cell r="K6592" t="str">
            <v/>
          </cell>
          <cell r="L6592" t="str">
            <v/>
          </cell>
          <cell r="M6592" t="str">
            <v/>
          </cell>
        </row>
        <row r="6593">
          <cell r="A6593">
            <v>31102192</v>
          </cell>
          <cell r="C6593">
            <v>31102192</v>
          </cell>
          <cell r="D6593">
            <v>31102192</v>
          </cell>
          <cell r="E6593">
            <v>31102192</v>
          </cell>
          <cell r="F6593">
            <v>31102192</v>
          </cell>
          <cell r="G6593">
            <v>31102192</v>
          </cell>
          <cell r="H6593">
            <v>31102192</v>
          </cell>
          <cell r="I6593" t="str">
            <v/>
          </cell>
          <cell r="J6593" t="str">
            <v/>
          </cell>
          <cell r="K6593" t="str">
            <v/>
          </cell>
          <cell r="L6593" t="str">
            <v/>
          </cell>
          <cell r="M6593" t="str">
            <v/>
          </cell>
        </row>
        <row r="6594">
          <cell r="A6594">
            <v>31102192</v>
          </cell>
          <cell r="C6594">
            <v>31102192</v>
          </cell>
          <cell r="D6594">
            <v>31102192</v>
          </cell>
          <cell r="E6594">
            <v>31102192</v>
          </cell>
          <cell r="F6594">
            <v>31102192</v>
          </cell>
          <cell r="G6594">
            <v>31102192</v>
          </cell>
          <cell r="H6594">
            <v>31102192</v>
          </cell>
          <cell r="I6594" t="str">
            <v/>
          </cell>
          <cell r="J6594" t="str">
            <v/>
          </cell>
          <cell r="K6594" t="str">
            <v/>
          </cell>
          <cell r="L6594" t="str">
            <v/>
          </cell>
          <cell r="M6594" t="str">
            <v/>
          </cell>
        </row>
        <row r="6595">
          <cell r="A6595">
            <v>31102192</v>
          </cell>
          <cell r="C6595">
            <v>31102192</v>
          </cell>
          <cell r="D6595">
            <v>31102192</v>
          </cell>
          <cell r="E6595">
            <v>31102192</v>
          </cell>
          <cell r="F6595">
            <v>31102192</v>
          </cell>
          <cell r="G6595">
            <v>31102192</v>
          </cell>
          <cell r="H6595">
            <v>31102192</v>
          </cell>
          <cell r="I6595" t="str">
            <v/>
          </cell>
          <cell r="J6595" t="str">
            <v/>
          </cell>
          <cell r="K6595" t="str">
            <v/>
          </cell>
          <cell r="L6595" t="str">
            <v/>
          </cell>
          <cell r="M6595" t="str">
            <v/>
          </cell>
        </row>
        <row r="6596">
          <cell r="A6596">
            <v>31102192</v>
          </cell>
          <cell r="C6596">
            <v>31102192</v>
          </cell>
          <cell r="D6596">
            <v>31102192</v>
          </cell>
          <cell r="E6596">
            <v>31102192</v>
          </cell>
          <cell r="F6596">
            <v>31102192</v>
          </cell>
          <cell r="G6596">
            <v>31102192</v>
          </cell>
          <cell r="H6596">
            <v>31102192</v>
          </cell>
          <cell r="I6596" t="str">
            <v/>
          </cell>
          <cell r="J6596" t="str">
            <v/>
          </cell>
          <cell r="K6596" t="str">
            <v/>
          </cell>
          <cell r="L6596" t="str">
            <v/>
          </cell>
          <cell r="M6596" t="str">
            <v/>
          </cell>
        </row>
        <row r="6597">
          <cell r="A6597">
            <v>31102192</v>
          </cell>
          <cell r="C6597">
            <v>31102192</v>
          </cell>
          <cell r="D6597">
            <v>31102192</v>
          </cell>
          <cell r="E6597">
            <v>31102192</v>
          </cell>
          <cell r="F6597">
            <v>31102192</v>
          </cell>
          <cell r="G6597">
            <v>31102192</v>
          </cell>
          <cell r="H6597">
            <v>31102192</v>
          </cell>
          <cell r="I6597" t="str">
            <v/>
          </cell>
          <cell r="J6597" t="str">
            <v/>
          </cell>
          <cell r="K6597" t="str">
            <v/>
          </cell>
          <cell r="L6597" t="str">
            <v/>
          </cell>
          <cell r="M6597" t="str">
            <v/>
          </cell>
        </row>
        <row r="6598">
          <cell r="A6598">
            <v>31102192</v>
          </cell>
          <cell r="C6598">
            <v>31102192</v>
          </cell>
          <cell r="D6598">
            <v>31102192</v>
          </cell>
          <cell r="E6598">
            <v>31102192</v>
          </cell>
          <cell r="F6598">
            <v>31102192</v>
          </cell>
          <cell r="G6598">
            <v>31102192</v>
          </cell>
          <cell r="H6598">
            <v>31102192</v>
          </cell>
          <cell r="I6598" t="str">
            <v/>
          </cell>
          <cell r="J6598" t="str">
            <v/>
          </cell>
          <cell r="K6598" t="str">
            <v/>
          </cell>
          <cell r="L6598" t="str">
            <v/>
          </cell>
          <cell r="M6598" t="str">
            <v/>
          </cell>
        </row>
        <row r="6599">
          <cell r="A6599">
            <v>31102192</v>
          </cell>
          <cell r="C6599">
            <v>31102192</v>
          </cell>
          <cell r="D6599">
            <v>31102192</v>
          </cell>
          <cell r="E6599">
            <v>31102192</v>
          </cell>
          <cell r="F6599">
            <v>31102192</v>
          </cell>
          <cell r="G6599">
            <v>31102192</v>
          </cell>
          <cell r="H6599">
            <v>31102192</v>
          </cell>
          <cell r="I6599" t="str">
            <v/>
          </cell>
          <cell r="J6599" t="str">
            <v/>
          </cell>
          <cell r="K6599" t="str">
            <v/>
          </cell>
          <cell r="L6599" t="str">
            <v/>
          </cell>
          <cell r="M6599" t="str">
            <v/>
          </cell>
        </row>
        <row r="6600">
          <cell r="A6600">
            <v>31102192</v>
          </cell>
          <cell r="C6600">
            <v>31102192</v>
          </cell>
          <cell r="D6600">
            <v>31102192</v>
          </cell>
          <cell r="E6600">
            <v>31102192</v>
          </cell>
          <cell r="F6600">
            <v>31102192</v>
          </cell>
          <cell r="G6600">
            <v>31102192</v>
          </cell>
          <cell r="H6600">
            <v>31102192</v>
          </cell>
          <cell r="I6600" t="str">
            <v/>
          </cell>
          <cell r="J6600" t="str">
            <v/>
          </cell>
          <cell r="K6600" t="str">
            <v/>
          </cell>
          <cell r="L6600" t="str">
            <v/>
          </cell>
          <cell r="M6600" t="str">
            <v/>
          </cell>
        </row>
        <row r="6601">
          <cell r="A6601">
            <v>31102192</v>
          </cell>
          <cell r="C6601">
            <v>31102192</v>
          </cell>
          <cell r="D6601">
            <v>31102192</v>
          </cell>
          <cell r="E6601">
            <v>31102192</v>
          </cell>
          <cell r="F6601">
            <v>31102192</v>
          </cell>
          <cell r="G6601">
            <v>31102192</v>
          </cell>
          <cell r="H6601">
            <v>31102192</v>
          </cell>
          <cell r="I6601" t="str">
            <v/>
          </cell>
          <cell r="J6601" t="str">
            <v/>
          </cell>
          <cell r="K6601" t="str">
            <v/>
          </cell>
          <cell r="L6601" t="str">
            <v/>
          </cell>
          <cell r="M6601" t="str">
            <v/>
          </cell>
        </row>
        <row r="6602">
          <cell r="A6602">
            <v>31102192</v>
          </cell>
          <cell r="C6602">
            <v>31102192</v>
          </cell>
          <cell r="D6602">
            <v>31102192</v>
          </cell>
          <cell r="E6602">
            <v>31102192</v>
          </cell>
          <cell r="F6602">
            <v>31102192</v>
          </cell>
          <cell r="G6602">
            <v>31102192</v>
          </cell>
          <cell r="H6602">
            <v>31102192</v>
          </cell>
          <cell r="I6602" t="str">
            <v/>
          </cell>
          <cell r="J6602" t="str">
            <v/>
          </cell>
          <cell r="K6602" t="str">
            <v/>
          </cell>
          <cell r="L6602" t="str">
            <v/>
          </cell>
          <cell r="M6602" t="str">
            <v/>
          </cell>
        </row>
        <row r="6603">
          <cell r="A6603">
            <v>31102192</v>
          </cell>
          <cell r="C6603">
            <v>31102192</v>
          </cell>
          <cell r="D6603">
            <v>31102192</v>
          </cell>
          <cell r="E6603">
            <v>31102192</v>
          </cell>
          <cell r="F6603">
            <v>31102192</v>
          </cell>
          <cell r="G6603">
            <v>31102192</v>
          </cell>
          <cell r="H6603">
            <v>31102192</v>
          </cell>
          <cell r="I6603" t="str">
            <v/>
          </cell>
          <cell r="J6603" t="str">
            <v/>
          </cell>
          <cell r="K6603" t="str">
            <v/>
          </cell>
          <cell r="L6603" t="str">
            <v/>
          </cell>
          <cell r="M6603" t="str">
            <v/>
          </cell>
        </row>
        <row r="6604">
          <cell r="A6604">
            <v>31102192</v>
          </cell>
          <cell r="C6604">
            <v>31102192</v>
          </cell>
          <cell r="D6604">
            <v>31102192</v>
          </cell>
          <cell r="E6604">
            <v>31102192</v>
          </cell>
          <cell r="F6604">
            <v>31102192</v>
          </cell>
          <cell r="G6604">
            <v>31102192</v>
          </cell>
          <cell r="H6604">
            <v>31102192</v>
          </cell>
          <cell r="I6604" t="str">
            <v/>
          </cell>
          <cell r="J6604" t="str">
            <v/>
          </cell>
          <cell r="K6604" t="str">
            <v/>
          </cell>
          <cell r="L6604" t="str">
            <v/>
          </cell>
          <cell r="M6604" t="str">
            <v/>
          </cell>
        </row>
        <row r="6605">
          <cell r="A6605">
            <v>31102192</v>
          </cell>
          <cell r="C6605">
            <v>31102192</v>
          </cell>
          <cell r="D6605">
            <v>31102192</v>
          </cell>
          <cell r="E6605">
            <v>31102192</v>
          </cell>
          <cell r="F6605">
            <v>31102192</v>
          </cell>
          <cell r="G6605">
            <v>31102192</v>
          </cell>
          <cell r="H6605">
            <v>31102192</v>
          </cell>
          <cell r="I6605" t="str">
            <v/>
          </cell>
          <cell r="J6605" t="str">
            <v/>
          </cell>
          <cell r="K6605" t="str">
            <v/>
          </cell>
          <cell r="L6605" t="str">
            <v/>
          </cell>
          <cell r="M6605" t="str">
            <v/>
          </cell>
        </row>
        <row r="6606">
          <cell r="A6606">
            <v>31102192</v>
          </cell>
          <cell r="C6606">
            <v>31102192</v>
          </cell>
          <cell r="D6606">
            <v>31102192</v>
          </cell>
          <cell r="E6606">
            <v>31102192</v>
          </cell>
          <cell r="F6606">
            <v>31102192</v>
          </cell>
          <cell r="G6606">
            <v>31102192</v>
          </cell>
          <cell r="H6606">
            <v>31102192</v>
          </cell>
          <cell r="I6606" t="str">
            <v/>
          </cell>
          <cell r="J6606" t="str">
            <v/>
          </cell>
          <cell r="K6606" t="str">
            <v/>
          </cell>
          <cell r="L6606" t="str">
            <v/>
          </cell>
          <cell r="M6606" t="str">
            <v/>
          </cell>
        </row>
        <row r="6607">
          <cell r="A6607">
            <v>31102192</v>
          </cell>
          <cell r="C6607">
            <v>31102192</v>
          </cell>
          <cell r="D6607">
            <v>31102192</v>
          </cell>
          <cell r="E6607">
            <v>31102192</v>
          </cell>
          <cell r="F6607">
            <v>31102192</v>
          </cell>
          <cell r="G6607">
            <v>31102192</v>
          </cell>
          <cell r="H6607">
            <v>31102192</v>
          </cell>
          <cell r="I6607" t="str">
            <v/>
          </cell>
          <cell r="J6607" t="str">
            <v/>
          </cell>
          <cell r="K6607" t="str">
            <v/>
          </cell>
          <cell r="L6607" t="str">
            <v/>
          </cell>
          <cell r="M6607" t="str">
            <v/>
          </cell>
        </row>
        <row r="6608">
          <cell r="A6608">
            <v>31102192</v>
          </cell>
          <cell r="C6608">
            <v>31102192</v>
          </cell>
          <cell r="D6608">
            <v>31102192</v>
          </cell>
          <cell r="E6608">
            <v>31102192</v>
          </cell>
          <cell r="F6608">
            <v>31102192</v>
          </cell>
          <cell r="G6608">
            <v>31102192</v>
          </cell>
          <cell r="H6608">
            <v>31102192</v>
          </cell>
          <cell r="I6608" t="str">
            <v/>
          </cell>
          <cell r="J6608" t="str">
            <v/>
          </cell>
          <cell r="K6608" t="str">
            <v/>
          </cell>
          <cell r="L6608" t="str">
            <v/>
          </cell>
          <cell r="M6608" t="str">
            <v/>
          </cell>
        </row>
        <row r="6609">
          <cell r="A6609">
            <v>31102192</v>
          </cell>
          <cell r="C6609">
            <v>31102192</v>
          </cell>
          <cell r="D6609">
            <v>31102192</v>
          </cell>
          <cell r="E6609">
            <v>31102192</v>
          </cell>
          <cell r="F6609">
            <v>31102192</v>
          </cell>
          <cell r="G6609">
            <v>31102192</v>
          </cell>
          <cell r="H6609">
            <v>31102192</v>
          </cell>
          <cell r="I6609" t="str">
            <v/>
          </cell>
          <cell r="J6609" t="str">
            <v/>
          </cell>
          <cell r="K6609" t="str">
            <v/>
          </cell>
          <cell r="L6609" t="str">
            <v/>
          </cell>
          <cell r="M6609" t="str">
            <v/>
          </cell>
        </row>
        <row r="6610">
          <cell r="A6610">
            <v>31102192</v>
          </cell>
          <cell r="C6610">
            <v>31102192</v>
          </cell>
          <cell r="D6610">
            <v>31102192</v>
          </cell>
          <cell r="E6610">
            <v>31102192</v>
          </cell>
          <cell r="F6610">
            <v>31102192</v>
          </cell>
          <cell r="G6610">
            <v>31102192</v>
          </cell>
          <cell r="H6610">
            <v>31102192</v>
          </cell>
          <cell r="I6610" t="str">
            <v/>
          </cell>
          <cell r="J6610" t="str">
            <v/>
          </cell>
          <cell r="K6610" t="str">
            <v/>
          </cell>
          <cell r="L6610" t="str">
            <v/>
          </cell>
          <cell r="M6610" t="str">
            <v/>
          </cell>
        </row>
        <row r="6611">
          <cell r="A6611">
            <v>31102192</v>
          </cell>
          <cell r="C6611">
            <v>31102192</v>
          </cell>
          <cell r="D6611">
            <v>31102192</v>
          </cell>
          <cell r="E6611">
            <v>31102192</v>
          </cell>
          <cell r="F6611">
            <v>31102192</v>
          </cell>
          <cell r="G6611">
            <v>31102192</v>
          </cell>
          <cell r="H6611">
            <v>31102192</v>
          </cell>
          <cell r="I6611" t="str">
            <v/>
          </cell>
          <cell r="J6611" t="str">
            <v/>
          </cell>
          <cell r="K6611" t="str">
            <v/>
          </cell>
          <cell r="L6611" t="str">
            <v/>
          </cell>
          <cell r="M6611" t="str">
            <v/>
          </cell>
        </row>
        <row r="6612">
          <cell r="A6612">
            <v>31102192</v>
          </cell>
          <cell r="C6612">
            <v>31102192</v>
          </cell>
          <cell r="D6612">
            <v>31102192</v>
          </cell>
          <cell r="E6612">
            <v>31102192</v>
          </cell>
          <cell r="F6612">
            <v>31102192</v>
          </cell>
          <cell r="G6612">
            <v>31102192</v>
          </cell>
          <cell r="H6612">
            <v>31102192</v>
          </cell>
          <cell r="I6612" t="str">
            <v/>
          </cell>
          <cell r="J6612" t="str">
            <v/>
          </cell>
          <cell r="K6612" t="str">
            <v/>
          </cell>
          <cell r="L6612" t="str">
            <v/>
          </cell>
          <cell r="M6612" t="str">
            <v/>
          </cell>
        </row>
        <row r="6613">
          <cell r="A6613">
            <v>31102192</v>
          </cell>
          <cell r="C6613">
            <v>31102192</v>
          </cell>
          <cell r="D6613">
            <v>31102192</v>
          </cell>
          <cell r="E6613">
            <v>31102192</v>
          </cell>
          <cell r="F6613">
            <v>31102192</v>
          </cell>
          <cell r="G6613">
            <v>31102192</v>
          </cell>
          <cell r="H6613">
            <v>31102192</v>
          </cell>
          <cell r="I6613" t="str">
            <v/>
          </cell>
          <cell r="J6613" t="str">
            <v/>
          </cell>
          <cell r="K6613" t="str">
            <v/>
          </cell>
          <cell r="L6613" t="str">
            <v/>
          </cell>
          <cell r="M6613" t="str">
            <v/>
          </cell>
        </row>
        <row r="6614">
          <cell r="A6614">
            <v>31102192</v>
          </cell>
          <cell r="C6614">
            <v>31102192</v>
          </cell>
          <cell r="D6614">
            <v>31102192</v>
          </cell>
          <cell r="E6614">
            <v>31102192</v>
          </cell>
          <cell r="F6614">
            <v>31102192</v>
          </cell>
          <cell r="G6614">
            <v>31102192</v>
          </cell>
          <cell r="H6614">
            <v>31102192</v>
          </cell>
          <cell r="I6614" t="str">
            <v/>
          </cell>
          <cell r="J6614" t="str">
            <v/>
          </cell>
          <cell r="K6614" t="str">
            <v/>
          </cell>
          <cell r="L6614" t="str">
            <v/>
          </cell>
          <cell r="M6614" t="str">
            <v/>
          </cell>
        </row>
        <row r="6615">
          <cell r="A6615">
            <v>31102192</v>
          </cell>
          <cell r="C6615">
            <v>31102192</v>
          </cell>
          <cell r="D6615">
            <v>31102192</v>
          </cell>
          <cell r="E6615">
            <v>31102192</v>
          </cell>
          <cell r="F6615">
            <v>31102192</v>
          </cell>
          <cell r="G6615">
            <v>31102192</v>
          </cell>
          <cell r="H6615">
            <v>31102192</v>
          </cell>
          <cell r="I6615" t="str">
            <v/>
          </cell>
          <cell r="J6615" t="str">
            <v/>
          </cell>
          <cell r="K6615" t="str">
            <v/>
          </cell>
          <cell r="L6615" t="str">
            <v/>
          </cell>
          <cell r="M6615" t="str">
            <v/>
          </cell>
        </row>
        <row r="6616">
          <cell r="A6616">
            <v>31102192</v>
          </cell>
          <cell r="C6616">
            <v>31102192</v>
          </cell>
          <cell r="D6616">
            <v>31102192</v>
          </cell>
          <cell r="E6616">
            <v>31102192</v>
          </cell>
          <cell r="F6616">
            <v>31102192</v>
          </cell>
          <cell r="G6616">
            <v>31102192</v>
          </cell>
          <cell r="H6616">
            <v>31102192</v>
          </cell>
          <cell r="I6616" t="str">
            <v/>
          </cell>
          <cell r="J6616" t="str">
            <v/>
          </cell>
          <cell r="K6616" t="str">
            <v/>
          </cell>
          <cell r="L6616" t="str">
            <v/>
          </cell>
          <cell r="M6616" t="str">
            <v/>
          </cell>
        </row>
        <row r="6617">
          <cell r="A6617">
            <v>31102192</v>
          </cell>
          <cell r="C6617">
            <v>31102192</v>
          </cell>
          <cell r="D6617">
            <v>31102192</v>
          </cell>
          <cell r="E6617">
            <v>31102192</v>
          </cell>
          <cell r="F6617">
            <v>31102192</v>
          </cell>
          <cell r="G6617">
            <v>31102192</v>
          </cell>
          <cell r="H6617">
            <v>31102192</v>
          </cell>
          <cell r="I6617" t="str">
            <v/>
          </cell>
          <cell r="J6617" t="str">
            <v/>
          </cell>
          <cell r="K6617" t="str">
            <v/>
          </cell>
          <cell r="L6617" t="str">
            <v/>
          </cell>
          <cell r="M6617" t="str">
            <v/>
          </cell>
        </row>
        <row r="6618">
          <cell r="A6618">
            <v>31102192</v>
          </cell>
          <cell r="C6618">
            <v>31102192</v>
          </cell>
          <cell r="D6618">
            <v>31102192</v>
          </cell>
          <cell r="E6618">
            <v>31102192</v>
          </cell>
          <cell r="F6618">
            <v>31102192</v>
          </cell>
          <cell r="G6618">
            <v>31102192</v>
          </cell>
          <cell r="H6618">
            <v>31102192</v>
          </cell>
          <cell r="I6618" t="str">
            <v/>
          </cell>
          <cell r="J6618" t="str">
            <v/>
          </cell>
          <cell r="K6618" t="str">
            <v/>
          </cell>
          <cell r="L6618" t="str">
            <v/>
          </cell>
          <cell r="M6618" t="str">
            <v/>
          </cell>
        </row>
        <row r="6619">
          <cell r="A6619">
            <v>31102192</v>
          </cell>
          <cell r="C6619">
            <v>31102192</v>
          </cell>
          <cell r="D6619">
            <v>31102192</v>
          </cell>
          <cell r="E6619">
            <v>31102192</v>
          </cell>
          <cell r="F6619">
            <v>31102192</v>
          </cell>
          <cell r="G6619">
            <v>31102192</v>
          </cell>
          <cell r="H6619">
            <v>31102192</v>
          </cell>
          <cell r="I6619" t="str">
            <v/>
          </cell>
          <cell r="J6619" t="str">
            <v/>
          </cell>
          <cell r="K6619" t="str">
            <v/>
          </cell>
          <cell r="L6619" t="str">
            <v/>
          </cell>
          <cell r="M6619" t="str">
            <v/>
          </cell>
        </row>
        <row r="6620">
          <cell r="A6620">
            <v>31102192</v>
          </cell>
          <cell r="C6620">
            <v>31102192</v>
          </cell>
          <cell r="D6620">
            <v>31102192</v>
          </cell>
          <cell r="E6620">
            <v>31102192</v>
          </cell>
          <cell r="F6620">
            <v>31102192</v>
          </cell>
          <cell r="G6620">
            <v>31102192</v>
          </cell>
          <cell r="H6620">
            <v>31102192</v>
          </cell>
          <cell r="I6620" t="str">
            <v/>
          </cell>
          <cell r="J6620" t="str">
            <v/>
          </cell>
          <cell r="K6620" t="str">
            <v/>
          </cell>
          <cell r="L6620" t="str">
            <v/>
          </cell>
          <cell r="M6620" t="str">
            <v/>
          </cell>
        </row>
        <row r="6621">
          <cell r="A6621">
            <v>31102192</v>
          </cell>
          <cell r="C6621">
            <v>31102192</v>
          </cell>
          <cell r="D6621">
            <v>31102192</v>
          </cell>
          <cell r="E6621">
            <v>31102192</v>
          </cell>
          <cell r="F6621">
            <v>31102192</v>
          </cell>
          <cell r="G6621">
            <v>31102192</v>
          </cell>
          <cell r="H6621">
            <v>31102192</v>
          </cell>
          <cell r="I6621" t="str">
            <v/>
          </cell>
          <cell r="J6621" t="str">
            <v/>
          </cell>
          <cell r="K6621" t="str">
            <v/>
          </cell>
          <cell r="L6621" t="str">
            <v/>
          </cell>
          <cell r="M6621" t="str">
            <v/>
          </cell>
        </row>
        <row r="6622">
          <cell r="A6622">
            <v>31102192</v>
          </cell>
          <cell r="C6622">
            <v>31102192</v>
          </cell>
          <cell r="D6622">
            <v>31102192</v>
          </cell>
          <cell r="E6622">
            <v>31102192</v>
          </cell>
          <cell r="F6622">
            <v>31102192</v>
          </cell>
          <cell r="G6622">
            <v>31102192</v>
          </cell>
          <cell r="H6622">
            <v>31102192</v>
          </cell>
          <cell r="I6622" t="str">
            <v/>
          </cell>
          <cell r="J6622" t="str">
            <v/>
          </cell>
          <cell r="K6622" t="str">
            <v/>
          </cell>
          <cell r="L6622" t="str">
            <v/>
          </cell>
          <cell r="M6622" t="str">
            <v/>
          </cell>
        </row>
        <row r="6623">
          <cell r="A6623">
            <v>31102192</v>
          </cell>
          <cell r="C6623">
            <v>31102192</v>
          </cell>
          <cell r="D6623">
            <v>31102192</v>
          </cell>
          <cell r="E6623">
            <v>31102192</v>
          </cell>
          <cell r="F6623">
            <v>31102192</v>
          </cell>
          <cell r="G6623">
            <v>31102192</v>
          </cell>
          <cell r="H6623">
            <v>31102192</v>
          </cell>
          <cell r="I6623" t="str">
            <v/>
          </cell>
          <cell r="J6623" t="str">
            <v/>
          </cell>
          <cell r="K6623" t="str">
            <v/>
          </cell>
          <cell r="L6623" t="str">
            <v/>
          </cell>
          <cell r="M6623" t="str">
            <v/>
          </cell>
        </row>
        <row r="6624">
          <cell r="A6624">
            <v>31102192</v>
          </cell>
          <cell r="C6624">
            <v>31102192</v>
          </cell>
          <cell r="D6624">
            <v>31102192</v>
          </cell>
          <cell r="E6624">
            <v>31102192</v>
          </cell>
          <cell r="F6624">
            <v>31102192</v>
          </cell>
          <cell r="G6624">
            <v>31102192</v>
          </cell>
          <cell r="H6624">
            <v>31102192</v>
          </cell>
          <cell r="I6624" t="str">
            <v/>
          </cell>
          <cell r="J6624" t="str">
            <v/>
          </cell>
          <cell r="K6624" t="str">
            <v/>
          </cell>
          <cell r="L6624" t="str">
            <v/>
          </cell>
          <cell r="M6624" t="str">
            <v/>
          </cell>
        </row>
        <row r="6625">
          <cell r="A6625">
            <v>31102192</v>
          </cell>
          <cell r="C6625">
            <v>31102192</v>
          </cell>
          <cell r="D6625">
            <v>31102192</v>
          </cell>
          <cell r="E6625">
            <v>31102192</v>
          </cell>
          <cell r="F6625">
            <v>31102192</v>
          </cell>
          <cell r="G6625">
            <v>31102192</v>
          </cell>
          <cell r="H6625">
            <v>31102192</v>
          </cell>
          <cell r="I6625" t="str">
            <v/>
          </cell>
          <cell r="J6625" t="str">
            <v/>
          </cell>
          <cell r="K6625" t="str">
            <v/>
          </cell>
          <cell r="L6625" t="str">
            <v/>
          </cell>
          <cell r="M6625" t="str">
            <v/>
          </cell>
        </row>
        <row r="6626">
          <cell r="A6626">
            <v>31102192</v>
          </cell>
          <cell r="C6626">
            <v>31102192</v>
          </cell>
          <cell r="D6626">
            <v>31102192</v>
          </cell>
          <cell r="E6626">
            <v>31102192</v>
          </cell>
          <cell r="F6626">
            <v>31102192</v>
          </cell>
          <cell r="G6626">
            <v>31102192</v>
          </cell>
          <cell r="H6626">
            <v>31102192</v>
          </cell>
          <cell r="I6626" t="str">
            <v/>
          </cell>
          <cell r="J6626" t="str">
            <v/>
          </cell>
          <cell r="K6626" t="str">
            <v/>
          </cell>
          <cell r="L6626" t="str">
            <v/>
          </cell>
          <cell r="M6626" t="str">
            <v/>
          </cell>
        </row>
        <row r="6627">
          <cell r="A6627">
            <v>31102192</v>
          </cell>
          <cell r="C6627">
            <v>31102192</v>
          </cell>
          <cell r="D6627">
            <v>31102192</v>
          </cell>
          <cell r="E6627">
            <v>31102192</v>
          </cell>
          <cell r="F6627">
            <v>31102192</v>
          </cell>
          <cell r="G6627">
            <v>31102192</v>
          </cell>
          <cell r="H6627">
            <v>31102192</v>
          </cell>
          <cell r="I6627" t="str">
            <v/>
          </cell>
          <cell r="J6627" t="str">
            <v/>
          </cell>
          <cell r="K6627" t="str">
            <v/>
          </cell>
          <cell r="L6627" t="str">
            <v/>
          </cell>
          <cell r="M6627" t="str">
            <v/>
          </cell>
        </row>
        <row r="6628">
          <cell r="A6628">
            <v>31102192</v>
          </cell>
          <cell r="C6628">
            <v>31102192</v>
          </cell>
          <cell r="D6628">
            <v>31102192</v>
          </cell>
          <cell r="E6628">
            <v>31102192</v>
          </cell>
          <cell r="F6628">
            <v>31102192</v>
          </cell>
          <cell r="G6628">
            <v>31102192</v>
          </cell>
          <cell r="H6628">
            <v>31102192</v>
          </cell>
          <cell r="I6628" t="str">
            <v/>
          </cell>
          <cell r="J6628" t="str">
            <v/>
          </cell>
          <cell r="K6628" t="str">
            <v/>
          </cell>
          <cell r="L6628" t="str">
            <v/>
          </cell>
          <cell r="M6628" t="str">
            <v/>
          </cell>
        </row>
        <row r="6629">
          <cell r="A6629">
            <v>31102192</v>
          </cell>
          <cell r="C6629">
            <v>31102192</v>
          </cell>
          <cell r="D6629">
            <v>31102192</v>
          </cell>
          <cell r="E6629">
            <v>31102192</v>
          </cell>
          <cell r="F6629">
            <v>31102192</v>
          </cell>
          <cell r="G6629">
            <v>31102192</v>
          </cell>
          <cell r="H6629">
            <v>31102192</v>
          </cell>
          <cell r="I6629" t="str">
            <v/>
          </cell>
          <cell r="J6629" t="str">
            <v/>
          </cell>
          <cell r="K6629" t="str">
            <v/>
          </cell>
          <cell r="L6629" t="str">
            <v/>
          </cell>
          <cell r="M6629" t="str">
            <v/>
          </cell>
        </row>
        <row r="6630">
          <cell r="A6630">
            <v>31102192</v>
          </cell>
          <cell r="C6630">
            <v>31102192</v>
          </cell>
          <cell r="D6630">
            <v>31102192</v>
          </cell>
          <cell r="E6630">
            <v>31102192</v>
          </cell>
          <cell r="F6630">
            <v>31102192</v>
          </cell>
          <cell r="G6630">
            <v>31102192</v>
          </cell>
          <cell r="H6630">
            <v>31102192</v>
          </cell>
          <cell r="I6630" t="str">
            <v/>
          </cell>
          <cell r="J6630" t="str">
            <v/>
          </cell>
          <cell r="K6630" t="str">
            <v/>
          </cell>
          <cell r="L6630" t="str">
            <v/>
          </cell>
          <cell r="M6630" t="str">
            <v/>
          </cell>
        </row>
        <row r="6631">
          <cell r="A6631">
            <v>31102192</v>
          </cell>
          <cell r="C6631">
            <v>31102192</v>
          </cell>
          <cell r="D6631">
            <v>31102192</v>
          </cell>
          <cell r="E6631">
            <v>31102192</v>
          </cell>
          <cell r="F6631">
            <v>31102192</v>
          </cell>
          <cell r="G6631">
            <v>31102192</v>
          </cell>
          <cell r="H6631">
            <v>31102192</v>
          </cell>
          <cell r="I6631" t="str">
            <v/>
          </cell>
          <cell r="J6631" t="str">
            <v/>
          </cell>
          <cell r="K6631" t="str">
            <v/>
          </cell>
          <cell r="L6631" t="str">
            <v/>
          </cell>
          <cell r="M6631" t="str">
            <v/>
          </cell>
        </row>
        <row r="6632">
          <cell r="A6632">
            <v>31102192</v>
          </cell>
          <cell r="C6632">
            <v>31102192</v>
          </cell>
          <cell r="D6632">
            <v>31102192</v>
          </cell>
          <cell r="E6632">
            <v>31102192</v>
          </cell>
          <cell r="F6632">
            <v>31102192</v>
          </cell>
          <cell r="G6632">
            <v>31102192</v>
          </cell>
          <cell r="H6632">
            <v>31102192</v>
          </cell>
          <cell r="I6632" t="str">
            <v/>
          </cell>
          <cell r="J6632" t="str">
            <v/>
          </cell>
          <cell r="K6632" t="str">
            <v/>
          </cell>
          <cell r="L6632" t="str">
            <v/>
          </cell>
          <cell r="M6632" t="str">
            <v/>
          </cell>
        </row>
        <row r="6633">
          <cell r="A6633">
            <v>31102192</v>
          </cell>
          <cell r="C6633">
            <v>31102192</v>
          </cell>
          <cell r="D6633">
            <v>31102192</v>
          </cell>
          <cell r="E6633">
            <v>31102192</v>
          </cell>
          <cell r="F6633">
            <v>31102192</v>
          </cell>
          <cell r="G6633">
            <v>31102192</v>
          </cell>
          <cell r="H6633">
            <v>31102192</v>
          </cell>
          <cell r="I6633" t="str">
            <v/>
          </cell>
          <cell r="J6633" t="str">
            <v/>
          </cell>
          <cell r="K6633" t="str">
            <v/>
          </cell>
          <cell r="L6633" t="str">
            <v/>
          </cell>
          <cell r="M6633" t="str">
            <v/>
          </cell>
        </row>
        <row r="6634">
          <cell r="A6634">
            <v>31102192</v>
          </cell>
          <cell r="C6634">
            <v>31102192</v>
          </cell>
          <cell r="D6634">
            <v>31102192</v>
          </cell>
          <cell r="E6634">
            <v>31102192</v>
          </cell>
          <cell r="F6634">
            <v>31102192</v>
          </cell>
          <cell r="G6634">
            <v>31102192</v>
          </cell>
          <cell r="H6634">
            <v>31102192</v>
          </cell>
          <cell r="I6634" t="str">
            <v/>
          </cell>
          <cell r="J6634" t="str">
            <v/>
          </cell>
          <cell r="K6634" t="str">
            <v/>
          </cell>
          <cell r="L6634" t="str">
            <v/>
          </cell>
          <cell r="M6634" t="str">
            <v/>
          </cell>
        </row>
        <row r="6635">
          <cell r="A6635">
            <v>31102192</v>
          </cell>
          <cell r="C6635">
            <v>31102192</v>
          </cell>
          <cell r="D6635">
            <v>31102192</v>
          </cell>
          <cell r="E6635">
            <v>31102192</v>
          </cell>
          <cell r="F6635">
            <v>31102192</v>
          </cell>
          <cell r="G6635">
            <v>31102192</v>
          </cell>
          <cell r="H6635">
            <v>31102192</v>
          </cell>
          <cell r="I6635" t="str">
            <v/>
          </cell>
          <cell r="J6635" t="str">
            <v/>
          </cell>
          <cell r="K6635" t="str">
            <v/>
          </cell>
          <cell r="L6635" t="str">
            <v/>
          </cell>
          <cell r="M6635" t="str">
            <v/>
          </cell>
        </row>
        <row r="6636">
          <cell r="A6636">
            <v>31102192</v>
          </cell>
          <cell r="C6636">
            <v>31102192</v>
          </cell>
          <cell r="D6636">
            <v>31102192</v>
          </cell>
          <cell r="E6636">
            <v>31102192</v>
          </cell>
          <cell r="F6636">
            <v>31102192</v>
          </cell>
          <cell r="G6636">
            <v>31102192</v>
          </cell>
          <cell r="H6636">
            <v>31102192</v>
          </cell>
          <cell r="I6636" t="str">
            <v/>
          </cell>
          <cell r="J6636" t="str">
            <v/>
          </cell>
          <cell r="K6636" t="str">
            <v/>
          </cell>
          <cell r="L6636" t="str">
            <v/>
          </cell>
          <cell r="M6636" t="str">
            <v/>
          </cell>
        </row>
        <row r="6637">
          <cell r="A6637">
            <v>31102192</v>
          </cell>
          <cell r="C6637">
            <v>31102192</v>
          </cell>
          <cell r="D6637">
            <v>31102192</v>
          </cell>
          <cell r="E6637">
            <v>31102192</v>
          </cell>
          <cell r="F6637">
            <v>31102192</v>
          </cell>
          <cell r="G6637">
            <v>31102192</v>
          </cell>
          <cell r="H6637">
            <v>31102192</v>
          </cell>
          <cell r="I6637" t="str">
            <v/>
          </cell>
          <cell r="J6637" t="str">
            <v/>
          </cell>
          <cell r="K6637" t="str">
            <v/>
          </cell>
          <cell r="L6637" t="str">
            <v/>
          </cell>
          <cell r="M6637" t="str">
            <v/>
          </cell>
        </row>
        <row r="6638">
          <cell r="A6638">
            <v>31102192</v>
          </cell>
          <cell r="C6638">
            <v>31102192</v>
          </cell>
          <cell r="D6638">
            <v>31102192</v>
          </cell>
          <cell r="E6638">
            <v>31102192</v>
          </cell>
          <cell r="F6638">
            <v>31102192</v>
          </cell>
          <cell r="G6638">
            <v>31102192</v>
          </cell>
          <cell r="H6638">
            <v>31102192</v>
          </cell>
          <cell r="I6638" t="str">
            <v/>
          </cell>
          <cell r="J6638" t="str">
            <v/>
          </cell>
          <cell r="K6638" t="str">
            <v/>
          </cell>
          <cell r="L6638" t="str">
            <v/>
          </cell>
          <cell r="M6638" t="str">
            <v/>
          </cell>
        </row>
        <row r="6639">
          <cell r="A6639">
            <v>31102192</v>
          </cell>
          <cell r="C6639">
            <v>31102192</v>
          </cell>
          <cell r="D6639">
            <v>31102192</v>
          </cell>
          <cell r="E6639">
            <v>31102192</v>
          </cell>
          <cell r="F6639">
            <v>31102192</v>
          </cell>
          <cell r="G6639">
            <v>31102192</v>
          </cell>
          <cell r="H6639">
            <v>31102192</v>
          </cell>
          <cell r="I6639" t="str">
            <v/>
          </cell>
          <cell r="J6639" t="str">
            <v/>
          </cell>
          <cell r="K6639" t="str">
            <v/>
          </cell>
          <cell r="L6639" t="str">
            <v/>
          </cell>
          <cell r="M6639" t="str">
            <v/>
          </cell>
        </row>
        <row r="6640">
          <cell r="A6640">
            <v>31102192</v>
          </cell>
          <cell r="C6640">
            <v>31102192</v>
          </cell>
          <cell r="D6640">
            <v>31102192</v>
          </cell>
          <cell r="E6640">
            <v>31102192</v>
          </cell>
          <cell r="F6640">
            <v>31102192</v>
          </cell>
          <cell r="G6640">
            <v>31102192</v>
          </cell>
          <cell r="H6640">
            <v>31102192</v>
          </cell>
          <cell r="I6640" t="str">
            <v/>
          </cell>
          <cell r="J6640" t="str">
            <v/>
          </cell>
          <cell r="K6640" t="str">
            <v/>
          </cell>
          <cell r="L6640" t="str">
            <v/>
          </cell>
          <cell r="M6640" t="str">
            <v/>
          </cell>
        </row>
        <row r="6641">
          <cell r="A6641">
            <v>31102192</v>
          </cell>
          <cell r="C6641">
            <v>31102192</v>
          </cell>
          <cell r="D6641">
            <v>31102192</v>
          </cell>
          <cell r="E6641">
            <v>31102192</v>
          </cell>
          <cell r="F6641">
            <v>31102192</v>
          </cell>
          <cell r="G6641">
            <v>31102192</v>
          </cell>
          <cell r="H6641">
            <v>31102192</v>
          </cell>
          <cell r="I6641" t="str">
            <v/>
          </cell>
          <cell r="J6641" t="str">
            <v/>
          </cell>
          <cell r="K6641" t="str">
            <v/>
          </cell>
          <cell r="L6641" t="str">
            <v/>
          </cell>
          <cell r="M6641" t="str">
            <v/>
          </cell>
        </row>
        <row r="6642">
          <cell r="A6642">
            <v>31102192</v>
          </cell>
          <cell r="C6642">
            <v>31102192</v>
          </cell>
          <cell r="D6642">
            <v>31102192</v>
          </cell>
          <cell r="E6642">
            <v>31102192</v>
          </cell>
          <cell r="F6642">
            <v>31102192</v>
          </cell>
          <cell r="G6642">
            <v>31102192</v>
          </cell>
          <cell r="H6642">
            <v>31102192</v>
          </cell>
          <cell r="I6642" t="str">
            <v/>
          </cell>
          <cell r="J6642" t="str">
            <v/>
          </cell>
          <cell r="K6642" t="str">
            <v/>
          </cell>
          <cell r="L6642" t="str">
            <v/>
          </cell>
          <cell r="M6642" t="str">
            <v/>
          </cell>
        </row>
        <row r="6643">
          <cell r="A6643">
            <v>31102192</v>
          </cell>
          <cell r="C6643">
            <v>31102192</v>
          </cell>
          <cell r="D6643">
            <v>31102192</v>
          </cell>
          <cell r="E6643">
            <v>31102192</v>
          </cell>
          <cell r="F6643">
            <v>31102192</v>
          </cell>
          <cell r="G6643">
            <v>31102192</v>
          </cell>
          <cell r="H6643">
            <v>31102192</v>
          </cell>
          <cell r="I6643" t="str">
            <v/>
          </cell>
          <cell r="J6643" t="str">
            <v/>
          </cell>
          <cell r="K6643" t="str">
            <v/>
          </cell>
          <cell r="L6643" t="str">
            <v/>
          </cell>
          <cell r="M6643" t="str">
            <v/>
          </cell>
        </row>
        <row r="6644">
          <cell r="A6644">
            <v>31102192</v>
          </cell>
          <cell r="C6644">
            <v>31102192</v>
          </cell>
          <cell r="D6644">
            <v>31102192</v>
          </cell>
          <cell r="E6644">
            <v>31102192</v>
          </cell>
          <cell r="F6644">
            <v>31102192</v>
          </cell>
          <cell r="G6644">
            <v>31102192</v>
          </cell>
          <cell r="H6644">
            <v>31102192</v>
          </cell>
          <cell r="I6644" t="str">
            <v/>
          </cell>
          <cell r="J6644" t="str">
            <v/>
          </cell>
          <cell r="K6644" t="str">
            <v/>
          </cell>
          <cell r="L6644" t="str">
            <v/>
          </cell>
          <cell r="M6644" t="str">
            <v/>
          </cell>
        </row>
        <row r="6645">
          <cell r="A6645">
            <v>31102192</v>
          </cell>
          <cell r="C6645">
            <v>31102192</v>
          </cell>
          <cell r="D6645">
            <v>31102192</v>
          </cell>
          <cell r="E6645">
            <v>31102192</v>
          </cell>
          <cell r="F6645">
            <v>31102192</v>
          </cell>
          <cell r="G6645">
            <v>31102192</v>
          </cell>
          <cell r="H6645">
            <v>31102192</v>
          </cell>
          <cell r="I6645" t="str">
            <v/>
          </cell>
          <cell r="J6645" t="str">
            <v/>
          </cell>
          <cell r="K6645" t="str">
            <v/>
          </cell>
          <cell r="L6645" t="str">
            <v/>
          </cell>
          <cell r="M6645" t="str">
            <v/>
          </cell>
        </row>
        <row r="6646">
          <cell r="A6646">
            <v>31102192</v>
          </cell>
          <cell r="C6646">
            <v>31102192</v>
          </cell>
          <cell r="D6646">
            <v>31102192</v>
          </cell>
          <cell r="E6646">
            <v>31102192</v>
          </cell>
          <cell r="F6646">
            <v>31102192</v>
          </cell>
          <cell r="G6646">
            <v>31102192</v>
          </cell>
          <cell r="H6646">
            <v>31102192</v>
          </cell>
          <cell r="I6646" t="str">
            <v/>
          </cell>
          <cell r="J6646" t="str">
            <v/>
          </cell>
          <cell r="K6646" t="str">
            <v/>
          </cell>
          <cell r="L6646" t="str">
            <v/>
          </cell>
          <cell r="M6646" t="str">
            <v/>
          </cell>
        </row>
        <row r="6647">
          <cell r="A6647">
            <v>31102192</v>
          </cell>
          <cell r="C6647">
            <v>31102192</v>
          </cell>
          <cell r="D6647">
            <v>31102192</v>
          </cell>
          <cell r="E6647">
            <v>31102192</v>
          </cell>
          <cell r="F6647">
            <v>31102192</v>
          </cell>
          <cell r="G6647">
            <v>31102192</v>
          </cell>
          <cell r="H6647">
            <v>31102192</v>
          </cell>
          <cell r="I6647" t="str">
            <v/>
          </cell>
          <cell r="J6647" t="str">
            <v/>
          </cell>
          <cell r="K6647" t="str">
            <v/>
          </cell>
          <cell r="L6647" t="str">
            <v/>
          </cell>
          <cell r="M6647" t="str">
            <v/>
          </cell>
        </row>
        <row r="6648">
          <cell r="A6648">
            <v>31102192</v>
          </cell>
          <cell r="C6648">
            <v>31102192</v>
          </cell>
          <cell r="D6648">
            <v>31102192</v>
          </cell>
          <cell r="E6648">
            <v>31102192</v>
          </cell>
          <cell r="F6648">
            <v>31102192</v>
          </cell>
          <cell r="G6648">
            <v>31102192</v>
          </cell>
          <cell r="H6648">
            <v>31102192</v>
          </cell>
          <cell r="I6648" t="str">
            <v/>
          </cell>
          <cell r="J6648" t="str">
            <v/>
          </cell>
          <cell r="K6648" t="str">
            <v/>
          </cell>
          <cell r="L6648" t="str">
            <v/>
          </cell>
          <cell r="M6648" t="str">
            <v/>
          </cell>
        </row>
        <row r="6649">
          <cell r="A6649">
            <v>31102192</v>
          </cell>
          <cell r="C6649">
            <v>31102192</v>
          </cell>
          <cell r="D6649">
            <v>31102192</v>
          </cell>
          <cell r="E6649">
            <v>31102192</v>
          </cell>
          <cell r="F6649">
            <v>31102192</v>
          </cell>
          <cell r="G6649">
            <v>31102192</v>
          </cell>
          <cell r="H6649">
            <v>31102192</v>
          </cell>
          <cell r="I6649" t="str">
            <v/>
          </cell>
          <cell r="J6649" t="str">
            <v/>
          </cell>
          <cell r="K6649" t="str">
            <v/>
          </cell>
          <cell r="L6649" t="str">
            <v/>
          </cell>
          <cell r="M6649" t="str">
            <v/>
          </cell>
        </row>
        <row r="6650">
          <cell r="A6650">
            <v>31102192</v>
          </cell>
          <cell r="C6650">
            <v>31102192</v>
          </cell>
          <cell r="D6650">
            <v>31102192</v>
          </cell>
          <cell r="E6650">
            <v>31102192</v>
          </cell>
          <cell r="F6650">
            <v>31102192</v>
          </cell>
          <cell r="G6650">
            <v>31102192</v>
          </cell>
          <cell r="H6650">
            <v>31102192</v>
          </cell>
          <cell r="I6650" t="str">
            <v/>
          </cell>
          <cell r="J6650" t="str">
            <v/>
          </cell>
          <cell r="K6650" t="str">
            <v/>
          </cell>
          <cell r="L6650" t="str">
            <v/>
          </cell>
          <cell r="M6650" t="str">
            <v/>
          </cell>
        </row>
        <row r="6651">
          <cell r="A6651">
            <v>31102192</v>
          </cell>
          <cell r="C6651">
            <v>31102192</v>
          </cell>
          <cell r="D6651">
            <v>31102192</v>
          </cell>
          <cell r="E6651">
            <v>31102192</v>
          </cell>
          <cell r="F6651">
            <v>31102192</v>
          </cell>
          <cell r="G6651">
            <v>31102192</v>
          </cell>
          <cell r="H6651">
            <v>31102192</v>
          </cell>
          <cell r="I6651" t="str">
            <v/>
          </cell>
          <cell r="J6651" t="str">
            <v/>
          </cell>
          <cell r="K6651" t="str">
            <v/>
          </cell>
          <cell r="L6651" t="str">
            <v/>
          </cell>
          <cell r="M6651" t="str">
            <v/>
          </cell>
        </row>
        <row r="6652">
          <cell r="A6652">
            <v>31102192</v>
          </cell>
          <cell r="C6652">
            <v>31102192</v>
          </cell>
          <cell r="D6652">
            <v>31102192</v>
          </cell>
          <cell r="E6652">
            <v>31102192</v>
          </cell>
          <cell r="F6652">
            <v>31102192</v>
          </cell>
          <cell r="G6652">
            <v>31102192</v>
          </cell>
          <cell r="H6652">
            <v>31102192</v>
          </cell>
          <cell r="I6652" t="str">
            <v/>
          </cell>
          <cell r="J6652" t="str">
            <v/>
          </cell>
          <cell r="K6652" t="str">
            <v/>
          </cell>
          <cell r="L6652" t="str">
            <v/>
          </cell>
          <cell r="M6652" t="str">
            <v/>
          </cell>
        </row>
        <row r="6653">
          <cell r="A6653">
            <v>31102192</v>
          </cell>
          <cell r="C6653">
            <v>31102192</v>
          </cell>
          <cell r="D6653">
            <v>31102192</v>
          </cell>
          <cell r="E6653">
            <v>31102192</v>
          </cell>
          <cell r="F6653">
            <v>31102192</v>
          </cell>
          <cell r="G6653">
            <v>31102192</v>
          </cell>
          <cell r="H6653">
            <v>31102192</v>
          </cell>
          <cell r="I6653" t="str">
            <v/>
          </cell>
          <cell r="J6653" t="str">
            <v/>
          </cell>
          <cell r="K6653" t="str">
            <v/>
          </cell>
          <cell r="L6653" t="str">
            <v/>
          </cell>
          <cell r="M6653" t="str">
            <v/>
          </cell>
        </row>
        <row r="6654">
          <cell r="A6654">
            <v>31102192</v>
          </cell>
          <cell r="C6654">
            <v>31102192</v>
          </cell>
          <cell r="D6654">
            <v>31102192</v>
          </cell>
          <cell r="E6654">
            <v>31102192</v>
          </cell>
          <cell r="F6654">
            <v>31102192</v>
          </cell>
          <cell r="G6654">
            <v>31102192</v>
          </cell>
          <cell r="H6654">
            <v>31102192</v>
          </cell>
          <cell r="I6654" t="str">
            <v/>
          </cell>
          <cell r="J6654" t="str">
            <v/>
          </cell>
          <cell r="K6654" t="str">
            <v/>
          </cell>
          <cell r="L6654" t="str">
            <v/>
          </cell>
          <cell r="M6654" t="str">
            <v/>
          </cell>
        </row>
        <row r="6655">
          <cell r="A6655">
            <v>31102192</v>
          </cell>
          <cell r="C6655">
            <v>31102192</v>
          </cell>
          <cell r="D6655">
            <v>31102192</v>
          </cell>
          <cell r="E6655">
            <v>31102192</v>
          </cell>
          <cell r="F6655">
            <v>31102192</v>
          </cell>
          <cell r="G6655">
            <v>31102192</v>
          </cell>
          <cell r="H6655">
            <v>31102192</v>
          </cell>
          <cell r="I6655" t="str">
            <v/>
          </cell>
          <cell r="J6655" t="str">
            <v/>
          </cell>
          <cell r="K6655" t="str">
            <v/>
          </cell>
          <cell r="L6655" t="str">
            <v/>
          </cell>
          <cell r="M6655" t="str">
            <v/>
          </cell>
        </row>
        <row r="6656">
          <cell r="A6656">
            <v>31102192</v>
          </cell>
          <cell r="C6656">
            <v>31102192</v>
          </cell>
          <cell r="D6656">
            <v>31102192</v>
          </cell>
          <cell r="E6656">
            <v>31102192</v>
          </cell>
          <cell r="F6656">
            <v>31102192</v>
          </cell>
          <cell r="G6656">
            <v>31102192</v>
          </cell>
          <cell r="H6656">
            <v>31102192</v>
          </cell>
          <cell r="I6656" t="str">
            <v/>
          </cell>
          <cell r="J6656" t="str">
            <v/>
          </cell>
          <cell r="K6656" t="str">
            <v/>
          </cell>
          <cell r="L6656" t="str">
            <v/>
          </cell>
          <cell r="M6656" t="str">
            <v/>
          </cell>
        </row>
        <row r="6657">
          <cell r="A6657">
            <v>31102192</v>
          </cell>
          <cell r="C6657">
            <v>31102192</v>
          </cell>
          <cell r="D6657">
            <v>31102192</v>
          </cell>
          <cell r="E6657">
            <v>31102192</v>
          </cell>
          <cell r="F6657">
            <v>31102192</v>
          </cell>
          <cell r="G6657">
            <v>31102192</v>
          </cell>
          <cell r="H6657">
            <v>31102192</v>
          </cell>
          <cell r="I6657" t="str">
            <v/>
          </cell>
          <cell r="J6657" t="str">
            <v/>
          </cell>
          <cell r="K6657" t="str">
            <v/>
          </cell>
          <cell r="L6657" t="str">
            <v/>
          </cell>
          <cell r="M6657" t="str">
            <v/>
          </cell>
        </row>
        <row r="6658">
          <cell r="A6658">
            <v>31102192</v>
          </cell>
          <cell r="C6658">
            <v>31102192</v>
          </cell>
          <cell r="D6658">
            <v>31102192</v>
          </cell>
          <cell r="E6658">
            <v>31102192</v>
          </cell>
          <cell r="F6658">
            <v>31102192</v>
          </cell>
          <cell r="G6658">
            <v>31102192</v>
          </cell>
          <cell r="H6658">
            <v>31102192</v>
          </cell>
          <cell r="I6658" t="str">
            <v/>
          </cell>
          <cell r="J6658" t="str">
            <v/>
          </cell>
          <cell r="K6658" t="str">
            <v/>
          </cell>
          <cell r="L6658" t="str">
            <v/>
          </cell>
          <cell r="M6658" t="str">
            <v/>
          </cell>
        </row>
        <row r="6659">
          <cell r="A6659">
            <v>31102192</v>
          </cell>
          <cell r="C6659">
            <v>31102192</v>
          </cell>
          <cell r="D6659">
            <v>31102192</v>
          </cell>
          <cell r="E6659">
            <v>31102192</v>
          </cell>
          <cell r="F6659">
            <v>31102192</v>
          </cell>
          <cell r="G6659">
            <v>31102192</v>
          </cell>
          <cell r="H6659">
            <v>31102192</v>
          </cell>
          <cell r="I6659" t="str">
            <v/>
          </cell>
          <cell r="J6659" t="str">
            <v/>
          </cell>
          <cell r="K6659" t="str">
            <v/>
          </cell>
          <cell r="L6659" t="str">
            <v/>
          </cell>
          <cell r="M6659" t="str">
            <v/>
          </cell>
        </row>
        <row r="6660">
          <cell r="A6660">
            <v>31102192</v>
          </cell>
          <cell r="C6660">
            <v>31102192</v>
          </cell>
          <cell r="D6660">
            <v>31102192</v>
          </cell>
          <cell r="E6660">
            <v>31102192</v>
          </cell>
          <cell r="F6660">
            <v>31102192</v>
          </cell>
          <cell r="G6660">
            <v>31102192</v>
          </cell>
          <cell r="H6660">
            <v>31102192</v>
          </cell>
          <cell r="I6660" t="str">
            <v/>
          </cell>
          <cell r="J6660" t="str">
            <v/>
          </cell>
          <cell r="K6660" t="str">
            <v/>
          </cell>
          <cell r="L6660" t="str">
            <v/>
          </cell>
          <cell r="M6660" t="str">
            <v/>
          </cell>
        </row>
        <row r="6661">
          <cell r="A6661">
            <v>31102192</v>
          </cell>
          <cell r="C6661">
            <v>31102192</v>
          </cell>
          <cell r="D6661">
            <v>31102192</v>
          </cell>
          <cell r="E6661">
            <v>31102192</v>
          </cell>
          <cell r="F6661">
            <v>31102192</v>
          </cell>
          <cell r="G6661">
            <v>31102192</v>
          </cell>
          <cell r="H6661">
            <v>31102192</v>
          </cell>
          <cell r="I6661" t="str">
            <v/>
          </cell>
          <cell r="J6661" t="str">
            <v/>
          </cell>
          <cell r="K6661" t="str">
            <v/>
          </cell>
          <cell r="L6661" t="str">
            <v/>
          </cell>
          <cell r="M6661" t="str">
            <v/>
          </cell>
        </row>
        <row r="6662">
          <cell r="A6662">
            <v>31102192</v>
          </cell>
          <cell r="C6662">
            <v>31102192</v>
          </cell>
          <cell r="D6662">
            <v>31102192</v>
          </cell>
          <cell r="E6662">
            <v>31102192</v>
          </cell>
          <cell r="F6662">
            <v>31102192</v>
          </cell>
          <cell r="G6662">
            <v>31102192</v>
          </cell>
          <cell r="H6662">
            <v>31102192</v>
          </cell>
          <cell r="I6662" t="str">
            <v/>
          </cell>
          <cell r="J6662" t="str">
            <v/>
          </cell>
          <cell r="K6662" t="str">
            <v/>
          </cell>
          <cell r="L6662" t="str">
            <v/>
          </cell>
          <cell r="M6662" t="str">
            <v/>
          </cell>
        </row>
        <row r="6663">
          <cell r="A6663">
            <v>31102192</v>
          </cell>
          <cell r="C6663">
            <v>31102192</v>
          </cell>
          <cell r="D6663">
            <v>31102192</v>
          </cell>
          <cell r="E6663">
            <v>31102192</v>
          </cell>
          <cell r="F6663">
            <v>31102192</v>
          </cell>
          <cell r="G6663">
            <v>31102192</v>
          </cell>
          <cell r="H6663">
            <v>31102192</v>
          </cell>
          <cell r="I6663" t="str">
            <v/>
          </cell>
          <cell r="J6663" t="str">
            <v/>
          </cell>
          <cell r="K6663" t="str">
            <v/>
          </cell>
          <cell r="L6663" t="str">
            <v/>
          </cell>
          <cell r="M6663" t="str">
            <v/>
          </cell>
        </row>
        <row r="6664">
          <cell r="A6664">
            <v>31102192</v>
          </cell>
          <cell r="C6664">
            <v>31102192</v>
          </cell>
          <cell r="D6664">
            <v>31102192</v>
          </cell>
          <cell r="E6664">
            <v>31102192</v>
          </cell>
          <cell r="F6664">
            <v>31102192</v>
          </cell>
          <cell r="G6664">
            <v>31102192</v>
          </cell>
          <cell r="H6664">
            <v>31102192</v>
          </cell>
          <cell r="I6664" t="str">
            <v/>
          </cell>
          <cell r="J6664" t="str">
            <v/>
          </cell>
          <cell r="K6664" t="str">
            <v/>
          </cell>
          <cell r="L6664" t="str">
            <v/>
          </cell>
          <cell r="M6664" t="str">
            <v/>
          </cell>
        </row>
        <row r="6665">
          <cell r="A6665">
            <v>31102192</v>
          </cell>
          <cell r="C6665">
            <v>31102192</v>
          </cell>
          <cell r="D6665">
            <v>31102192</v>
          </cell>
          <cell r="E6665">
            <v>31102192</v>
          </cell>
          <cell r="F6665">
            <v>31102192</v>
          </cell>
          <cell r="G6665">
            <v>31102192</v>
          </cell>
          <cell r="H6665">
            <v>31102192</v>
          </cell>
          <cell r="I6665" t="str">
            <v/>
          </cell>
          <cell r="J6665" t="str">
            <v/>
          </cell>
          <cell r="K6665" t="str">
            <v/>
          </cell>
          <cell r="L6665" t="str">
            <v/>
          </cell>
          <cell r="M6665" t="str">
            <v/>
          </cell>
        </row>
        <row r="6666">
          <cell r="A6666">
            <v>31102192</v>
          </cell>
          <cell r="C6666">
            <v>31102192</v>
          </cell>
          <cell r="D6666">
            <v>31102192</v>
          </cell>
          <cell r="E6666">
            <v>31102192</v>
          </cell>
          <cell r="F6666">
            <v>31102192</v>
          </cell>
          <cell r="G6666">
            <v>31102192</v>
          </cell>
          <cell r="H6666">
            <v>31102192</v>
          </cell>
          <cell r="I6666" t="str">
            <v/>
          </cell>
          <cell r="J6666" t="str">
            <v/>
          </cell>
          <cell r="K6666" t="str">
            <v/>
          </cell>
          <cell r="L6666" t="str">
            <v/>
          </cell>
          <cell r="M6666" t="str">
            <v/>
          </cell>
        </row>
        <row r="6667">
          <cell r="A6667">
            <v>31102192</v>
          </cell>
          <cell r="C6667">
            <v>31102192</v>
          </cell>
          <cell r="D6667">
            <v>31102192</v>
          </cell>
          <cell r="E6667">
            <v>31102192</v>
          </cell>
          <cell r="F6667">
            <v>31102192</v>
          </cell>
          <cell r="G6667">
            <v>31102192</v>
          </cell>
          <cell r="H6667">
            <v>31102192</v>
          </cell>
          <cell r="I6667" t="str">
            <v/>
          </cell>
          <cell r="J6667" t="str">
            <v/>
          </cell>
          <cell r="K6667" t="str">
            <v/>
          </cell>
          <cell r="L6667" t="str">
            <v/>
          </cell>
          <cell r="M6667" t="str">
            <v/>
          </cell>
        </row>
        <row r="6668">
          <cell r="A6668">
            <v>31102192</v>
          </cell>
          <cell r="C6668">
            <v>31102192</v>
          </cell>
          <cell r="D6668">
            <v>31102192</v>
          </cell>
          <cell r="E6668">
            <v>31102192</v>
          </cell>
          <cell r="F6668">
            <v>31102192</v>
          </cell>
          <cell r="G6668">
            <v>31102192</v>
          </cell>
          <cell r="H6668">
            <v>31102192</v>
          </cell>
          <cell r="I6668" t="str">
            <v/>
          </cell>
          <cell r="J6668" t="str">
            <v/>
          </cell>
          <cell r="K6668" t="str">
            <v/>
          </cell>
          <cell r="L6668" t="str">
            <v/>
          </cell>
          <cell r="M6668" t="str">
            <v/>
          </cell>
        </row>
        <row r="6669">
          <cell r="A6669">
            <v>31102192</v>
          </cell>
          <cell r="C6669">
            <v>31102192</v>
          </cell>
          <cell r="D6669">
            <v>31102192</v>
          </cell>
          <cell r="E6669">
            <v>31102192</v>
          </cell>
          <cell r="F6669">
            <v>31102192</v>
          </cell>
          <cell r="G6669">
            <v>31102192</v>
          </cell>
          <cell r="H6669">
            <v>31102192</v>
          </cell>
          <cell r="I6669" t="str">
            <v/>
          </cell>
          <cell r="J6669" t="str">
            <v/>
          </cell>
          <cell r="K6669" t="str">
            <v/>
          </cell>
          <cell r="L6669" t="str">
            <v/>
          </cell>
          <cell r="M6669" t="str">
            <v/>
          </cell>
        </row>
        <row r="6670">
          <cell r="A6670">
            <v>31102192</v>
          </cell>
          <cell r="C6670">
            <v>31102192</v>
          </cell>
          <cell r="D6670">
            <v>31102192</v>
          </cell>
          <cell r="E6670">
            <v>31102192</v>
          </cell>
          <cell r="F6670">
            <v>31102192</v>
          </cell>
          <cell r="G6670">
            <v>31102192</v>
          </cell>
          <cell r="H6670">
            <v>31102192</v>
          </cell>
          <cell r="I6670" t="str">
            <v/>
          </cell>
          <cell r="J6670" t="str">
            <v/>
          </cell>
          <cell r="K6670" t="str">
            <v/>
          </cell>
          <cell r="L6670" t="str">
            <v/>
          </cell>
          <cell r="M6670" t="str">
            <v/>
          </cell>
        </row>
        <row r="6671">
          <cell r="A6671">
            <v>31102192</v>
          </cell>
          <cell r="C6671">
            <v>31102192</v>
          </cell>
          <cell r="D6671">
            <v>31102192</v>
          </cell>
          <cell r="E6671">
            <v>31102192</v>
          </cell>
          <cell r="F6671">
            <v>31102192</v>
          </cell>
          <cell r="G6671">
            <v>31102192</v>
          </cell>
          <cell r="H6671">
            <v>31102192</v>
          </cell>
          <cell r="I6671" t="str">
            <v/>
          </cell>
          <cell r="J6671" t="str">
            <v/>
          </cell>
          <cell r="K6671" t="str">
            <v/>
          </cell>
          <cell r="L6671" t="str">
            <v/>
          </cell>
          <cell r="M6671" t="str">
            <v/>
          </cell>
        </row>
        <row r="6672">
          <cell r="A6672">
            <v>31102192</v>
          </cell>
          <cell r="C6672">
            <v>31102192</v>
          </cell>
          <cell r="D6672">
            <v>31102192</v>
          </cell>
          <cell r="E6672">
            <v>31102192</v>
          </cell>
          <cell r="F6672">
            <v>31102192</v>
          </cell>
          <cell r="G6672">
            <v>31102192</v>
          </cell>
          <cell r="H6672">
            <v>31102192</v>
          </cell>
          <cell r="I6672" t="str">
            <v/>
          </cell>
          <cell r="J6672" t="str">
            <v/>
          </cell>
          <cell r="K6672" t="str">
            <v/>
          </cell>
          <cell r="L6672" t="str">
            <v/>
          </cell>
          <cell r="M6672" t="str">
            <v/>
          </cell>
        </row>
        <row r="6673">
          <cell r="A6673">
            <v>31102192</v>
          </cell>
          <cell r="C6673">
            <v>31102192</v>
          </cell>
          <cell r="D6673">
            <v>31102192</v>
          </cell>
          <cell r="E6673">
            <v>31102192</v>
          </cell>
          <cell r="F6673">
            <v>31102192</v>
          </cell>
          <cell r="G6673">
            <v>31102192</v>
          </cell>
          <cell r="H6673">
            <v>31102192</v>
          </cell>
          <cell r="I6673" t="str">
            <v/>
          </cell>
          <cell r="J6673" t="str">
            <v/>
          </cell>
          <cell r="K6673" t="str">
            <v/>
          </cell>
          <cell r="L6673" t="str">
            <v/>
          </cell>
          <cell r="M6673" t="str">
            <v/>
          </cell>
        </row>
        <row r="6674">
          <cell r="A6674">
            <v>31102192</v>
          </cell>
          <cell r="C6674">
            <v>31102192</v>
          </cell>
          <cell r="D6674">
            <v>31102192</v>
          </cell>
          <cell r="E6674">
            <v>31102192</v>
          </cell>
          <cell r="F6674">
            <v>31102192</v>
          </cell>
          <cell r="G6674">
            <v>31102192</v>
          </cell>
          <cell r="H6674">
            <v>31102192</v>
          </cell>
          <cell r="I6674" t="str">
            <v/>
          </cell>
          <cell r="J6674" t="str">
            <v/>
          </cell>
          <cell r="K6674" t="str">
            <v/>
          </cell>
          <cell r="L6674" t="str">
            <v/>
          </cell>
          <cell r="M6674" t="str">
            <v/>
          </cell>
        </row>
        <row r="6675">
          <cell r="A6675">
            <v>31102192</v>
          </cell>
          <cell r="C6675">
            <v>31102192</v>
          </cell>
          <cell r="D6675">
            <v>31102192</v>
          </cell>
          <cell r="E6675">
            <v>31102192</v>
          </cell>
          <cell r="F6675">
            <v>31102192</v>
          </cell>
          <cell r="G6675">
            <v>31102192</v>
          </cell>
          <cell r="H6675">
            <v>31102192</v>
          </cell>
          <cell r="I6675" t="str">
            <v/>
          </cell>
          <cell r="J6675" t="str">
            <v/>
          </cell>
          <cell r="K6675" t="str">
            <v/>
          </cell>
          <cell r="L6675" t="str">
            <v/>
          </cell>
          <cell r="M6675" t="str">
            <v/>
          </cell>
        </row>
        <row r="6676">
          <cell r="A6676">
            <v>31102192</v>
          </cell>
          <cell r="C6676">
            <v>31102192</v>
          </cell>
          <cell r="D6676">
            <v>31102192</v>
          </cell>
          <cell r="E6676">
            <v>31102192</v>
          </cell>
          <cell r="F6676">
            <v>31102192</v>
          </cell>
          <cell r="G6676">
            <v>31102192</v>
          </cell>
          <cell r="H6676">
            <v>31102192</v>
          </cell>
          <cell r="I6676" t="str">
            <v/>
          </cell>
          <cell r="J6676" t="str">
            <v/>
          </cell>
          <cell r="K6676" t="str">
            <v/>
          </cell>
          <cell r="L6676" t="str">
            <v/>
          </cell>
          <cell r="M6676" t="str">
            <v/>
          </cell>
        </row>
        <row r="6677">
          <cell r="A6677">
            <v>31102192</v>
          </cell>
          <cell r="C6677">
            <v>31102192</v>
          </cell>
          <cell r="D6677">
            <v>31102192</v>
          </cell>
          <cell r="E6677">
            <v>31102192</v>
          </cell>
          <cell r="F6677">
            <v>31102192</v>
          </cell>
          <cell r="G6677">
            <v>31102192</v>
          </cell>
          <cell r="H6677">
            <v>31102192</v>
          </cell>
          <cell r="I6677" t="str">
            <v/>
          </cell>
          <cell r="J6677" t="str">
            <v/>
          </cell>
          <cell r="K6677" t="str">
            <v/>
          </cell>
          <cell r="L6677" t="str">
            <v/>
          </cell>
          <cell r="M6677" t="str">
            <v/>
          </cell>
        </row>
        <row r="6678">
          <cell r="A6678">
            <v>31102192</v>
          </cell>
          <cell r="C6678">
            <v>31102192</v>
          </cell>
          <cell r="D6678">
            <v>31102192</v>
          </cell>
          <cell r="E6678">
            <v>31102192</v>
          </cell>
          <cell r="F6678">
            <v>31102192</v>
          </cell>
          <cell r="G6678">
            <v>31102192</v>
          </cell>
          <cell r="H6678">
            <v>31102192</v>
          </cell>
          <cell r="I6678" t="str">
            <v/>
          </cell>
          <cell r="J6678" t="str">
            <v/>
          </cell>
          <cell r="K6678" t="str">
            <v/>
          </cell>
          <cell r="L6678" t="str">
            <v/>
          </cell>
          <cell r="M6678" t="str">
            <v/>
          </cell>
        </row>
        <row r="6679">
          <cell r="A6679">
            <v>31102192</v>
          </cell>
          <cell r="C6679">
            <v>31102192</v>
          </cell>
          <cell r="D6679">
            <v>31102192</v>
          </cell>
          <cell r="E6679">
            <v>31102192</v>
          </cell>
          <cell r="F6679">
            <v>31102192</v>
          </cell>
          <cell r="G6679">
            <v>31102192</v>
          </cell>
          <cell r="H6679">
            <v>31102192</v>
          </cell>
          <cell r="I6679" t="str">
            <v/>
          </cell>
          <cell r="J6679" t="str">
            <v/>
          </cell>
          <cell r="K6679" t="str">
            <v/>
          </cell>
          <cell r="L6679" t="str">
            <v/>
          </cell>
          <cell r="M6679" t="str">
            <v/>
          </cell>
        </row>
        <row r="6680">
          <cell r="A6680">
            <v>31102192</v>
          </cell>
          <cell r="C6680">
            <v>31102192</v>
          </cell>
          <cell r="D6680">
            <v>31102192</v>
          </cell>
          <cell r="E6680">
            <v>31102192</v>
          </cell>
          <cell r="F6680">
            <v>31102192</v>
          </cell>
          <cell r="G6680">
            <v>31102192</v>
          </cell>
          <cell r="H6680">
            <v>31102192</v>
          </cell>
          <cell r="I6680" t="str">
            <v/>
          </cell>
          <cell r="J6680" t="str">
            <v/>
          </cell>
          <cell r="K6680" t="str">
            <v/>
          </cell>
          <cell r="L6680" t="str">
            <v/>
          </cell>
          <cell r="M6680" t="str">
            <v/>
          </cell>
        </row>
        <row r="6681">
          <cell r="A6681">
            <v>31102192</v>
          </cell>
          <cell r="C6681">
            <v>31102192</v>
          </cell>
          <cell r="D6681">
            <v>31102192</v>
          </cell>
          <cell r="E6681">
            <v>31102192</v>
          </cell>
          <cell r="F6681">
            <v>31102192</v>
          </cell>
          <cell r="G6681">
            <v>31102192</v>
          </cell>
          <cell r="H6681">
            <v>31102192</v>
          </cell>
          <cell r="I6681" t="str">
            <v/>
          </cell>
          <cell r="J6681" t="str">
            <v/>
          </cell>
          <cell r="K6681" t="str">
            <v/>
          </cell>
          <cell r="L6681" t="str">
            <v/>
          </cell>
          <cell r="M6681" t="str">
            <v/>
          </cell>
        </row>
        <row r="6682">
          <cell r="A6682">
            <v>31102192</v>
          </cell>
          <cell r="C6682">
            <v>31102192</v>
          </cell>
          <cell r="D6682">
            <v>31102192</v>
          </cell>
          <cell r="E6682">
            <v>31102192</v>
          </cell>
          <cell r="F6682">
            <v>31102192</v>
          </cell>
          <cell r="G6682">
            <v>31102192</v>
          </cell>
          <cell r="H6682">
            <v>31102192</v>
          </cell>
          <cell r="I6682" t="str">
            <v/>
          </cell>
          <cell r="J6682" t="str">
            <v/>
          </cell>
          <cell r="K6682" t="str">
            <v/>
          </cell>
          <cell r="L6682" t="str">
            <v/>
          </cell>
          <cell r="M6682" t="str">
            <v/>
          </cell>
        </row>
        <row r="6683">
          <cell r="A6683">
            <v>31102192</v>
          </cell>
          <cell r="C6683">
            <v>31102192</v>
          </cell>
          <cell r="D6683">
            <v>31102192</v>
          </cell>
          <cell r="E6683">
            <v>31102192</v>
          </cell>
          <cell r="F6683">
            <v>31102192</v>
          </cell>
          <cell r="G6683">
            <v>31102192</v>
          </cell>
          <cell r="H6683">
            <v>31102192</v>
          </cell>
          <cell r="I6683" t="str">
            <v/>
          </cell>
          <cell r="J6683" t="str">
            <v/>
          </cell>
          <cell r="K6683" t="str">
            <v/>
          </cell>
          <cell r="L6683" t="str">
            <v/>
          </cell>
          <cell r="M6683" t="str">
            <v/>
          </cell>
        </row>
        <row r="6684">
          <cell r="A6684">
            <v>31102192</v>
          </cell>
          <cell r="C6684">
            <v>31102192</v>
          </cell>
          <cell r="D6684">
            <v>31102192</v>
          </cell>
          <cell r="E6684">
            <v>31102192</v>
          </cell>
          <cell r="F6684">
            <v>31102192</v>
          </cell>
          <cell r="G6684">
            <v>31102192</v>
          </cell>
          <cell r="H6684">
            <v>31102192</v>
          </cell>
          <cell r="I6684" t="str">
            <v/>
          </cell>
          <cell r="J6684" t="str">
            <v/>
          </cell>
          <cell r="K6684" t="str">
            <v/>
          </cell>
          <cell r="L6684" t="str">
            <v/>
          </cell>
          <cell r="M6684" t="str">
            <v/>
          </cell>
        </row>
        <row r="6685">
          <cell r="A6685">
            <v>31102192</v>
          </cell>
          <cell r="C6685">
            <v>31102192</v>
          </cell>
          <cell r="D6685">
            <v>31102192</v>
          </cell>
          <cell r="E6685">
            <v>31102192</v>
          </cell>
          <cell r="F6685">
            <v>31102192</v>
          </cell>
          <cell r="G6685">
            <v>31102192</v>
          </cell>
          <cell r="H6685">
            <v>31102192</v>
          </cell>
          <cell r="I6685" t="str">
            <v/>
          </cell>
          <cell r="J6685" t="str">
            <v/>
          </cell>
          <cell r="K6685" t="str">
            <v/>
          </cell>
          <cell r="L6685" t="str">
            <v/>
          </cell>
          <cell r="M6685" t="str">
            <v/>
          </cell>
        </row>
        <row r="6686">
          <cell r="A6686">
            <v>31102192</v>
          </cell>
          <cell r="C6686">
            <v>31102192</v>
          </cell>
          <cell r="D6686">
            <v>31102192</v>
          </cell>
          <cell r="E6686">
            <v>31102192</v>
          </cell>
          <cell r="F6686">
            <v>31102192</v>
          </cell>
          <cell r="G6686">
            <v>31102192</v>
          </cell>
          <cell r="H6686">
            <v>31102192</v>
          </cell>
          <cell r="I6686" t="str">
            <v/>
          </cell>
          <cell r="J6686" t="str">
            <v/>
          </cell>
          <cell r="K6686" t="str">
            <v/>
          </cell>
          <cell r="L6686" t="str">
            <v/>
          </cell>
          <cell r="M6686" t="str">
            <v/>
          </cell>
        </row>
        <row r="6687">
          <cell r="A6687">
            <v>31102192</v>
          </cell>
          <cell r="C6687">
            <v>31102192</v>
          </cell>
          <cell r="D6687">
            <v>31102192</v>
          </cell>
          <cell r="E6687">
            <v>31102192</v>
          </cell>
          <cell r="F6687">
            <v>31102192</v>
          </cell>
          <cell r="G6687">
            <v>31102192</v>
          </cell>
          <cell r="H6687">
            <v>31102192</v>
          </cell>
          <cell r="I6687" t="str">
            <v/>
          </cell>
          <cell r="J6687" t="str">
            <v/>
          </cell>
          <cell r="K6687" t="str">
            <v/>
          </cell>
          <cell r="L6687" t="str">
            <v/>
          </cell>
          <cell r="M6687" t="str">
            <v/>
          </cell>
        </row>
        <row r="6688">
          <cell r="A6688">
            <v>31102192</v>
          </cell>
          <cell r="C6688">
            <v>31102192</v>
          </cell>
          <cell r="D6688">
            <v>31102192</v>
          </cell>
          <cell r="E6688">
            <v>31102192</v>
          </cell>
          <cell r="F6688">
            <v>31102192</v>
          </cell>
          <cell r="G6688">
            <v>31102192</v>
          </cell>
          <cell r="H6688">
            <v>31102192</v>
          </cell>
          <cell r="I6688" t="str">
            <v/>
          </cell>
          <cell r="J6688" t="str">
            <v/>
          </cell>
          <cell r="K6688" t="str">
            <v/>
          </cell>
          <cell r="L6688" t="str">
            <v/>
          </cell>
          <cell r="M6688" t="str">
            <v/>
          </cell>
        </row>
        <row r="6689">
          <cell r="A6689">
            <v>31102192</v>
          </cell>
          <cell r="C6689">
            <v>31102192</v>
          </cell>
          <cell r="D6689">
            <v>31102192</v>
          </cell>
          <cell r="E6689">
            <v>31102192</v>
          </cell>
          <cell r="F6689">
            <v>31102192</v>
          </cell>
          <cell r="G6689">
            <v>31102192</v>
          </cell>
          <cell r="H6689">
            <v>31102192</v>
          </cell>
          <cell r="I6689" t="str">
            <v/>
          </cell>
          <cell r="J6689" t="str">
            <v/>
          </cell>
          <cell r="K6689" t="str">
            <v/>
          </cell>
          <cell r="L6689" t="str">
            <v/>
          </cell>
          <cell r="M6689" t="str">
            <v/>
          </cell>
        </row>
        <row r="6690">
          <cell r="A6690">
            <v>31102192</v>
          </cell>
          <cell r="C6690">
            <v>31102192</v>
          </cell>
          <cell r="D6690">
            <v>31102192</v>
          </cell>
          <cell r="E6690">
            <v>31102192</v>
          </cell>
          <cell r="F6690">
            <v>31102192</v>
          </cell>
          <cell r="G6690">
            <v>31102192</v>
          </cell>
          <cell r="H6690">
            <v>31102192</v>
          </cell>
          <cell r="I6690" t="str">
            <v/>
          </cell>
          <cell r="J6690" t="str">
            <v/>
          </cell>
          <cell r="K6690" t="str">
            <v/>
          </cell>
          <cell r="L6690" t="str">
            <v/>
          </cell>
          <cell r="M6690" t="str">
            <v/>
          </cell>
        </row>
        <row r="6691">
          <cell r="A6691">
            <v>31102192</v>
          </cell>
          <cell r="C6691">
            <v>31102192</v>
          </cell>
          <cell r="D6691">
            <v>31102192</v>
          </cell>
          <cell r="E6691">
            <v>31102192</v>
          </cell>
          <cell r="F6691">
            <v>31102192</v>
          </cell>
          <cell r="G6691">
            <v>31102192</v>
          </cell>
          <cell r="H6691">
            <v>31102192</v>
          </cell>
          <cell r="I6691" t="str">
            <v/>
          </cell>
          <cell r="J6691" t="str">
            <v/>
          </cell>
          <cell r="K6691" t="str">
            <v/>
          </cell>
          <cell r="L6691" t="str">
            <v/>
          </cell>
          <cell r="M6691" t="str">
            <v/>
          </cell>
        </row>
        <row r="6692">
          <cell r="A6692">
            <v>31102192</v>
          </cell>
          <cell r="C6692">
            <v>31102192</v>
          </cell>
          <cell r="D6692">
            <v>31102192</v>
          </cell>
          <cell r="E6692">
            <v>31102192</v>
          </cell>
          <cell r="F6692">
            <v>31102192</v>
          </cell>
          <cell r="G6692">
            <v>31102192</v>
          </cell>
          <cell r="H6692">
            <v>31102192</v>
          </cell>
          <cell r="I6692" t="str">
            <v/>
          </cell>
          <cell r="J6692" t="str">
            <v/>
          </cell>
          <cell r="K6692" t="str">
            <v/>
          </cell>
          <cell r="L6692" t="str">
            <v/>
          </cell>
          <cell r="M6692" t="str">
            <v/>
          </cell>
        </row>
        <row r="6693">
          <cell r="A6693">
            <v>31102192</v>
          </cell>
          <cell r="C6693">
            <v>31102192</v>
          </cell>
          <cell r="D6693">
            <v>31102192</v>
          </cell>
          <cell r="E6693">
            <v>31102192</v>
          </cell>
          <cell r="F6693">
            <v>31102192</v>
          </cell>
          <cell r="G6693">
            <v>31102192</v>
          </cell>
          <cell r="H6693">
            <v>31102192</v>
          </cell>
          <cell r="I6693" t="str">
            <v/>
          </cell>
          <cell r="J6693" t="str">
            <v/>
          </cell>
          <cell r="K6693" t="str">
            <v/>
          </cell>
          <cell r="L6693" t="str">
            <v/>
          </cell>
          <cell r="M6693" t="str">
            <v/>
          </cell>
        </row>
        <row r="6694">
          <cell r="A6694">
            <v>31102192</v>
          </cell>
          <cell r="C6694">
            <v>31102192</v>
          </cell>
          <cell r="D6694">
            <v>31102192</v>
          </cell>
          <cell r="E6694">
            <v>31102192</v>
          </cell>
          <cell r="F6694">
            <v>31102192</v>
          </cell>
          <cell r="G6694">
            <v>31102192</v>
          </cell>
          <cell r="H6694">
            <v>31102192</v>
          </cell>
          <cell r="I6694" t="str">
            <v/>
          </cell>
          <cell r="J6694" t="str">
            <v/>
          </cell>
          <cell r="K6694" t="str">
            <v/>
          </cell>
          <cell r="L6694" t="str">
            <v/>
          </cell>
          <cell r="M6694" t="str">
            <v/>
          </cell>
        </row>
        <row r="6695">
          <cell r="A6695">
            <v>31102192</v>
          </cell>
          <cell r="C6695">
            <v>31102192</v>
          </cell>
          <cell r="D6695">
            <v>31102192</v>
          </cell>
          <cell r="E6695">
            <v>31102192</v>
          </cell>
          <cell r="F6695">
            <v>31102192</v>
          </cell>
          <cell r="G6695">
            <v>31102192</v>
          </cell>
          <cell r="H6695">
            <v>31102192</v>
          </cell>
          <cell r="I6695" t="str">
            <v/>
          </cell>
          <cell r="J6695" t="str">
            <v/>
          </cell>
          <cell r="K6695" t="str">
            <v/>
          </cell>
          <cell r="L6695" t="str">
            <v/>
          </cell>
          <cell r="M6695" t="str">
            <v/>
          </cell>
        </row>
        <row r="6696">
          <cell r="A6696">
            <v>31102192</v>
          </cell>
          <cell r="C6696">
            <v>31102192</v>
          </cell>
          <cell r="D6696">
            <v>31102192</v>
          </cell>
          <cell r="E6696">
            <v>31102192</v>
          </cell>
          <cell r="F6696">
            <v>31102192</v>
          </cell>
          <cell r="G6696">
            <v>31102192</v>
          </cell>
          <cell r="H6696">
            <v>31102192</v>
          </cell>
          <cell r="I6696" t="str">
            <v/>
          </cell>
          <cell r="J6696" t="str">
            <v/>
          </cell>
          <cell r="K6696" t="str">
            <v/>
          </cell>
          <cell r="L6696" t="str">
            <v/>
          </cell>
          <cell r="M6696" t="str">
            <v/>
          </cell>
        </row>
        <row r="6697">
          <cell r="A6697">
            <v>31102192</v>
          </cell>
          <cell r="C6697">
            <v>31102192</v>
          </cell>
          <cell r="D6697">
            <v>31102192</v>
          </cell>
          <cell r="E6697">
            <v>31102192</v>
          </cell>
          <cell r="F6697">
            <v>31102192</v>
          </cell>
          <cell r="G6697">
            <v>31102192</v>
          </cell>
          <cell r="H6697">
            <v>31102192</v>
          </cell>
          <cell r="I6697" t="str">
            <v/>
          </cell>
          <cell r="J6697" t="str">
            <v/>
          </cell>
          <cell r="K6697" t="str">
            <v/>
          </cell>
          <cell r="L6697" t="str">
            <v/>
          </cell>
          <cell r="M6697" t="str">
            <v/>
          </cell>
        </row>
        <row r="6698">
          <cell r="A6698">
            <v>31102192</v>
          </cell>
          <cell r="C6698">
            <v>31102192</v>
          </cell>
          <cell r="D6698">
            <v>31102192</v>
          </cell>
          <cell r="E6698">
            <v>31102192</v>
          </cell>
          <cell r="F6698">
            <v>31102192</v>
          </cell>
          <cell r="G6698">
            <v>31102192</v>
          </cell>
          <cell r="H6698">
            <v>31102192</v>
          </cell>
          <cell r="I6698" t="str">
            <v/>
          </cell>
          <cell r="J6698" t="str">
            <v/>
          </cell>
          <cell r="K6698" t="str">
            <v/>
          </cell>
          <cell r="L6698" t="str">
            <v/>
          </cell>
          <cell r="M6698" t="str">
            <v/>
          </cell>
        </row>
        <row r="6699">
          <cell r="A6699">
            <v>31102192</v>
          </cell>
          <cell r="C6699">
            <v>31102192</v>
          </cell>
          <cell r="D6699">
            <v>31102192</v>
          </cell>
          <cell r="E6699">
            <v>31102192</v>
          </cell>
          <cell r="F6699">
            <v>31102192</v>
          </cell>
          <cell r="G6699">
            <v>31102192</v>
          </cell>
          <cell r="H6699">
            <v>31102192</v>
          </cell>
          <cell r="I6699" t="str">
            <v/>
          </cell>
          <cell r="J6699" t="str">
            <v/>
          </cell>
          <cell r="K6699" t="str">
            <v/>
          </cell>
          <cell r="L6699" t="str">
            <v/>
          </cell>
          <cell r="M6699" t="str">
            <v/>
          </cell>
        </row>
        <row r="6700">
          <cell r="A6700">
            <v>31102192</v>
          </cell>
          <cell r="C6700">
            <v>31102192</v>
          </cell>
          <cell r="D6700">
            <v>31102192</v>
          </cell>
          <cell r="E6700">
            <v>31102192</v>
          </cell>
          <cell r="F6700">
            <v>31102192</v>
          </cell>
          <cell r="G6700">
            <v>31102192</v>
          </cell>
          <cell r="H6700">
            <v>31102192</v>
          </cell>
          <cell r="I6700" t="str">
            <v/>
          </cell>
          <cell r="J6700" t="str">
            <v/>
          </cell>
          <cell r="K6700" t="str">
            <v/>
          </cell>
          <cell r="L6700" t="str">
            <v/>
          </cell>
          <cell r="M6700" t="str">
            <v/>
          </cell>
        </row>
        <row r="6701">
          <cell r="A6701">
            <v>31102192</v>
          </cell>
          <cell r="C6701">
            <v>31102192</v>
          </cell>
          <cell r="D6701">
            <v>31102192</v>
          </cell>
          <cell r="E6701">
            <v>31102192</v>
          </cell>
          <cell r="F6701">
            <v>31102192</v>
          </cell>
          <cell r="G6701">
            <v>31102192</v>
          </cell>
          <cell r="H6701">
            <v>31102192</v>
          </cell>
          <cell r="I6701" t="str">
            <v/>
          </cell>
          <cell r="J6701" t="str">
            <v/>
          </cell>
          <cell r="K6701" t="str">
            <v/>
          </cell>
          <cell r="L6701" t="str">
            <v/>
          </cell>
          <cell r="M6701" t="str">
            <v/>
          </cell>
        </row>
        <row r="6702">
          <cell r="A6702">
            <v>31102192</v>
          </cell>
          <cell r="C6702">
            <v>31102192</v>
          </cell>
          <cell r="D6702">
            <v>31102192</v>
          </cell>
          <cell r="E6702">
            <v>31102192</v>
          </cell>
          <cell r="F6702">
            <v>31102192</v>
          </cell>
          <cell r="G6702">
            <v>31102192</v>
          </cell>
          <cell r="H6702">
            <v>31102192</v>
          </cell>
          <cell r="I6702" t="str">
            <v/>
          </cell>
          <cell r="J6702" t="str">
            <v/>
          </cell>
          <cell r="K6702" t="str">
            <v/>
          </cell>
          <cell r="L6702" t="str">
            <v/>
          </cell>
          <cell r="M6702" t="str">
            <v/>
          </cell>
        </row>
        <row r="6703">
          <cell r="A6703">
            <v>31102192</v>
          </cell>
          <cell r="C6703">
            <v>31102192</v>
          </cell>
          <cell r="D6703">
            <v>31102192</v>
          </cell>
          <cell r="E6703">
            <v>31102192</v>
          </cell>
          <cell r="F6703">
            <v>31102192</v>
          </cell>
          <cell r="G6703">
            <v>31102192</v>
          </cell>
          <cell r="H6703">
            <v>31102192</v>
          </cell>
          <cell r="I6703" t="str">
            <v/>
          </cell>
          <cell r="J6703" t="str">
            <v/>
          </cell>
          <cell r="K6703" t="str">
            <v/>
          </cell>
          <cell r="L6703" t="str">
            <v/>
          </cell>
          <cell r="M6703" t="str">
            <v/>
          </cell>
        </row>
        <row r="6704">
          <cell r="A6704">
            <v>31102192</v>
          </cell>
          <cell r="C6704">
            <v>31102192</v>
          </cell>
          <cell r="D6704">
            <v>31102192</v>
          </cell>
          <cell r="E6704">
            <v>31102192</v>
          </cell>
          <cell r="F6704">
            <v>31102192</v>
          </cell>
          <cell r="G6704">
            <v>31102192</v>
          </cell>
          <cell r="H6704">
            <v>31102192</v>
          </cell>
          <cell r="I6704" t="str">
            <v/>
          </cell>
          <cell r="J6704" t="str">
            <v/>
          </cell>
          <cell r="K6704" t="str">
            <v/>
          </cell>
          <cell r="L6704" t="str">
            <v/>
          </cell>
          <cell r="M6704" t="str">
            <v/>
          </cell>
        </row>
        <row r="6705">
          <cell r="A6705">
            <v>31102192</v>
          </cell>
          <cell r="C6705">
            <v>31102192</v>
          </cell>
          <cell r="D6705">
            <v>31102192</v>
          </cell>
          <cell r="E6705">
            <v>31102192</v>
          </cell>
          <cell r="F6705">
            <v>31102192</v>
          </cell>
          <cell r="G6705">
            <v>31102192</v>
          </cell>
          <cell r="H6705">
            <v>31102192</v>
          </cell>
          <cell r="I6705" t="str">
            <v/>
          </cell>
          <cell r="J6705" t="str">
            <v/>
          </cell>
          <cell r="K6705" t="str">
            <v/>
          </cell>
          <cell r="L6705" t="str">
            <v/>
          </cell>
          <cell r="M6705" t="str">
            <v/>
          </cell>
        </row>
        <row r="6706">
          <cell r="A6706">
            <v>31102192</v>
          </cell>
          <cell r="C6706">
            <v>31102192</v>
          </cell>
          <cell r="D6706">
            <v>31102192</v>
          </cell>
          <cell r="E6706">
            <v>31102192</v>
          </cell>
          <cell r="F6706">
            <v>31102192</v>
          </cell>
          <cell r="G6706">
            <v>31102192</v>
          </cell>
          <cell r="H6706">
            <v>31102192</v>
          </cell>
          <cell r="I6706" t="str">
            <v/>
          </cell>
          <cell r="J6706" t="str">
            <v/>
          </cell>
          <cell r="K6706" t="str">
            <v/>
          </cell>
          <cell r="L6706" t="str">
            <v/>
          </cell>
          <cell r="M6706" t="str">
            <v/>
          </cell>
        </row>
        <row r="6707">
          <cell r="A6707">
            <v>31102192</v>
          </cell>
          <cell r="C6707">
            <v>31102192</v>
          </cell>
          <cell r="D6707">
            <v>31102192</v>
          </cell>
          <cell r="E6707">
            <v>31102192</v>
          </cell>
          <cell r="F6707">
            <v>31102192</v>
          </cell>
          <cell r="G6707">
            <v>31102192</v>
          </cell>
          <cell r="H6707">
            <v>31102192</v>
          </cell>
          <cell r="I6707" t="str">
            <v/>
          </cell>
          <cell r="J6707" t="str">
            <v/>
          </cell>
          <cell r="K6707" t="str">
            <v/>
          </cell>
          <cell r="L6707" t="str">
            <v/>
          </cell>
          <cell r="M6707" t="str">
            <v/>
          </cell>
        </row>
        <row r="6708">
          <cell r="A6708">
            <v>31102192</v>
          </cell>
          <cell r="C6708">
            <v>31102192</v>
          </cell>
          <cell r="D6708">
            <v>31102192</v>
          </cell>
          <cell r="E6708">
            <v>31102192</v>
          </cell>
          <cell r="F6708">
            <v>31102192</v>
          </cell>
          <cell r="G6708">
            <v>31102192</v>
          </cell>
          <cell r="H6708">
            <v>31102192</v>
          </cell>
          <cell r="I6708" t="str">
            <v/>
          </cell>
          <cell r="J6708" t="str">
            <v/>
          </cell>
          <cell r="K6708" t="str">
            <v/>
          </cell>
          <cell r="L6708" t="str">
            <v/>
          </cell>
          <cell r="M6708" t="str">
            <v/>
          </cell>
        </row>
        <row r="6709">
          <cell r="A6709">
            <v>31102192</v>
          </cell>
          <cell r="C6709">
            <v>31102192</v>
          </cell>
          <cell r="D6709">
            <v>31102192</v>
          </cell>
          <cell r="E6709">
            <v>31102192</v>
          </cell>
          <cell r="F6709">
            <v>31102192</v>
          </cell>
          <cell r="G6709">
            <v>31102192</v>
          </cell>
          <cell r="H6709">
            <v>31102192</v>
          </cell>
          <cell r="I6709" t="str">
            <v/>
          </cell>
          <cell r="J6709" t="str">
            <v/>
          </cell>
          <cell r="K6709" t="str">
            <v/>
          </cell>
          <cell r="L6709" t="str">
            <v/>
          </cell>
          <cell r="M6709" t="str">
            <v/>
          </cell>
        </row>
        <row r="6710">
          <cell r="A6710">
            <v>31102192</v>
          </cell>
          <cell r="C6710">
            <v>31102192</v>
          </cell>
          <cell r="D6710">
            <v>31102192</v>
          </cell>
          <cell r="E6710">
            <v>31102192</v>
          </cell>
          <cell r="F6710">
            <v>31102192</v>
          </cell>
          <cell r="G6710">
            <v>31102192</v>
          </cell>
          <cell r="H6710">
            <v>31102192</v>
          </cell>
          <cell r="I6710" t="str">
            <v/>
          </cell>
          <cell r="J6710" t="str">
            <v/>
          </cell>
          <cell r="K6710" t="str">
            <v/>
          </cell>
          <cell r="L6710" t="str">
            <v/>
          </cell>
          <cell r="M6710" t="str">
            <v/>
          </cell>
        </row>
        <row r="6711">
          <cell r="A6711">
            <v>31102192</v>
          </cell>
          <cell r="C6711">
            <v>31102192</v>
          </cell>
          <cell r="D6711">
            <v>31102192</v>
          </cell>
          <cell r="E6711">
            <v>31102192</v>
          </cell>
          <cell r="F6711">
            <v>31102192</v>
          </cell>
          <cell r="G6711">
            <v>31102192</v>
          </cell>
          <cell r="H6711">
            <v>31102192</v>
          </cell>
          <cell r="I6711" t="str">
            <v/>
          </cell>
          <cell r="J6711" t="str">
            <v/>
          </cell>
          <cell r="K6711" t="str">
            <v/>
          </cell>
          <cell r="L6711" t="str">
            <v/>
          </cell>
          <cell r="M6711" t="str">
            <v/>
          </cell>
        </row>
        <row r="6712">
          <cell r="A6712">
            <v>31102192</v>
          </cell>
          <cell r="C6712">
            <v>31102192</v>
          </cell>
          <cell r="D6712">
            <v>31102192</v>
          </cell>
          <cell r="E6712">
            <v>31102192</v>
          </cell>
          <cell r="F6712">
            <v>31102192</v>
          </cell>
          <cell r="G6712">
            <v>31102192</v>
          </cell>
          <cell r="H6712">
            <v>31102192</v>
          </cell>
          <cell r="I6712" t="str">
            <v/>
          </cell>
          <cell r="J6712" t="str">
            <v/>
          </cell>
          <cell r="K6712" t="str">
            <v/>
          </cell>
          <cell r="L6712" t="str">
            <v/>
          </cell>
          <cell r="M6712" t="str">
            <v/>
          </cell>
        </row>
        <row r="6713">
          <cell r="A6713">
            <v>31102192</v>
          </cell>
          <cell r="C6713">
            <v>31102192</v>
          </cell>
          <cell r="D6713">
            <v>31102192</v>
          </cell>
          <cell r="E6713">
            <v>31102192</v>
          </cell>
          <cell r="F6713">
            <v>31102192</v>
          </cell>
          <cell r="G6713">
            <v>31102192</v>
          </cell>
          <cell r="H6713">
            <v>31102192</v>
          </cell>
          <cell r="I6713" t="str">
            <v/>
          </cell>
          <cell r="J6713" t="str">
            <v/>
          </cell>
          <cell r="K6713" t="str">
            <v/>
          </cell>
          <cell r="L6713" t="str">
            <v/>
          </cell>
          <cell r="M6713" t="str">
            <v/>
          </cell>
        </row>
        <row r="6714">
          <cell r="A6714">
            <v>31102192</v>
          </cell>
          <cell r="C6714">
            <v>31102192</v>
          </cell>
          <cell r="D6714">
            <v>31102192</v>
          </cell>
          <cell r="E6714">
            <v>31102192</v>
          </cell>
          <cell r="F6714">
            <v>31102192</v>
          </cell>
          <cell r="G6714">
            <v>31102192</v>
          </cell>
          <cell r="H6714">
            <v>31102192</v>
          </cell>
          <cell r="I6714" t="str">
            <v/>
          </cell>
          <cell r="J6714" t="str">
            <v/>
          </cell>
          <cell r="K6714" t="str">
            <v/>
          </cell>
          <cell r="L6714" t="str">
            <v/>
          </cell>
          <cell r="M6714" t="str">
            <v/>
          </cell>
        </row>
        <row r="6715">
          <cell r="A6715">
            <v>31102192</v>
          </cell>
          <cell r="C6715">
            <v>31102192</v>
          </cell>
          <cell r="D6715">
            <v>31102192</v>
          </cell>
          <cell r="E6715">
            <v>31102192</v>
          </cell>
          <cell r="F6715">
            <v>31102192</v>
          </cell>
          <cell r="G6715">
            <v>31102192</v>
          </cell>
          <cell r="H6715">
            <v>31102192</v>
          </cell>
          <cell r="I6715" t="str">
            <v/>
          </cell>
          <cell r="J6715" t="str">
            <v/>
          </cell>
          <cell r="K6715" t="str">
            <v/>
          </cell>
          <cell r="L6715" t="str">
            <v/>
          </cell>
          <cell r="M6715" t="str">
            <v/>
          </cell>
        </row>
        <row r="6716">
          <cell r="A6716">
            <v>31102192</v>
          </cell>
          <cell r="C6716">
            <v>31102192</v>
          </cell>
          <cell r="D6716">
            <v>31102192</v>
          </cell>
          <cell r="E6716">
            <v>31102192</v>
          </cell>
          <cell r="F6716">
            <v>31102192</v>
          </cell>
          <cell r="G6716">
            <v>31102192</v>
          </cell>
          <cell r="H6716">
            <v>31102192</v>
          </cell>
          <cell r="I6716" t="str">
            <v/>
          </cell>
          <cell r="J6716" t="str">
            <v/>
          </cell>
          <cell r="K6716" t="str">
            <v/>
          </cell>
          <cell r="L6716" t="str">
            <v/>
          </cell>
          <cell r="M6716" t="str">
            <v/>
          </cell>
        </row>
        <row r="6717">
          <cell r="A6717">
            <v>31102192</v>
          </cell>
          <cell r="C6717">
            <v>31102192</v>
          </cell>
          <cell r="D6717">
            <v>31102192</v>
          </cell>
          <cell r="E6717">
            <v>31102192</v>
          </cell>
          <cell r="F6717">
            <v>31102192</v>
          </cell>
          <cell r="G6717">
            <v>31102192</v>
          </cell>
          <cell r="H6717">
            <v>31102192</v>
          </cell>
          <cell r="I6717" t="str">
            <v/>
          </cell>
          <cell r="J6717" t="str">
            <v/>
          </cell>
          <cell r="K6717" t="str">
            <v/>
          </cell>
          <cell r="L6717" t="str">
            <v/>
          </cell>
          <cell r="M6717" t="str">
            <v/>
          </cell>
        </row>
        <row r="6718">
          <cell r="A6718">
            <v>31102192</v>
          </cell>
          <cell r="C6718">
            <v>31102192</v>
          </cell>
          <cell r="D6718">
            <v>31102192</v>
          </cell>
          <cell r="E6718">
            <v>31102192</v>
          </cell>
          <cell r="F6718">
            <v>31102192</v>
          </cell>
          <cell r="G6718">
            <v>31102192</v>
          </cell>
          <cell r="H6718">
            <v>31102192</v>
          </cell>
          <cell r="I6718" t="str">
            <v/>
          </cell>
          <cell r="J6718" t="str">
            <v/>
          </cell>
          <cell r="K6718" t="str">
            <v/>
          </cell>
          <cell r="L6718" t="str">
            <v/>
          </cell>
          <cell r="M6718" t="str">
            <v/>
          </cell>
        </row>
        <row r="6719">
          <cell r="A6719">
            <v>31102192</v>
          </cell>
          <cell r="C6719">
            <v>31102192</v>
          </cell>
          <cell r="D6719">
            <v>31102192</v>
          </cell>
          <cell r="E6719">
            <v>31102192</v>
          </cell>
          <cell r="F6719">
            <v>31102192</v>
          </cell>
          <cell r="G6719">
            <v>31102192</v>
          </cell>
          <cell r="H6719">
            <v>31102192</v>
          </cell>
          <cell r="I6719" t="str">
            <v/>
          </cell>
          <cell r="J6719" t="str">
            <v/>
          </cell>
          <cell r="K6719" t="str">
            <v/>
          </cell>
          <cell r="L6719" t="str">
            <v/>
          </cell>
          <cell r="M6719" t="str">
            <v/>
          </cell>
        </row>
        <row r="6720">
          <cell r="A6720">
            <v>31102192</v>
          </cell>
          <cell r="C6720">
            <v>31102192</v>
          </cell>
          <cell r="D6720">
            <v>31102192</v>
          </cell>
          <cell r="E6720">
            <v>31102192</v>
          </cell>
          <cell r="F6720">
            <v>31102192</v>
          </cell>
          <cell r="G6720">
            <v>31102192</v>
          </cell>
          <cell r="H6720">
            <v>31102192</v>
          </cell>
          <cell r="I6720" t="str">
            <v/>
          </cell>
          <cell r="J6720" t="str">
            <v/>
          </cell>
          <cell r="K6720" t="str">
            <v/>
          </cell>
          <cell r="L6720" t="str">
            <v/>
          </cell>
          <cell r="M6720" t="str">
            <v/>
          </cell>
        </row>
        <row r="6721">
          <cell r="A6721">
            <v>31102192</v>
          </cell>
          <cell r="C6721">
            <v>31102192</v>
          </cell>
          <cell r="D6721">
            <v>31102192</v>
          </cell>
          <cell r="E6721">
            <v>31102192</v>
          </cell>
          <cell r="F6721">
            <v>31102192</v>
          </cell>
          <cell r="G6721">
            <v>31102192</v>
          </cell>
          <cell r="H6721">
            <v>31102192</v>
          </cell>
          <cell r="I6721" t="str">
            <v/>
          </cell>
          <cell r="J6721" t="str">
            <v/>
          </cell>
          <cell r="K6721" t="str">
            <v/>
          </cell>
          <cell r="L6721" t="str">
            <v/>
          </cell>
          <cell r="M6721" t="str">
            <v/>
          </cell>
        </row>
        <row r="6722">
          <cell r="A6722">
            <v>31102192</v>
          </cell>
          <cell r="C6722">
            <v>31102192</v>
          </cell>
          <cell r="D6722">
            <v>31102192</v>
          </cell>
          <cell r="E6722">
            <v>31102192</v>
          </cell>
          <cell r="F6722">
            <v>31102192</v>
          </cell>
          <cell r="G6722">
            <v>31102192</v>
          </cell>
          <cell r="H6722">
            <v>31102192</v>
          </cell>
          <cell r="I6722" t="str">
            <v/>
          </cell>
          <cell r="J6722" t="str">
            <v/>
          </cell>
          <cell r="K6722" t="str">
            <v/>
          </cell>
          <cell r="L6722" t="str">
            <v/>
          </cell>
          <cell r="M6722" t="str">
            <v/>
          </cell>
        </row>
        <row r="6723">
          <cell r="A6723">
            <v>31102192</v>
          </cell>
          <cell r="C6723">
            <v>31102192</v>
          </cell>
          <cell r="D6723">
            <v>31102192</v>
          </cell>
          <cell r="E6723">
            <v>31102192</v>
          </cell>
          <cell r="F6723">
            <v>31102192</v>
          </cell>
          <cell r="G6723">
            <v>31102192</v>
          </cell>
          <cell r="H6723">
            <v>31102192</v>
          </cell>
          <cell r="I6723" t="str">
            <v/>
          </cell>
          <cell r="J6723" t="str">
            <v/>
          </cell>
          <cell r="K6723" t="str">
            <v/>
          </cell>
          <cell r="L6723" t="str">
            <v/>
          </cell>
          <cell r="M6723" t="str">
            <v/>
          </cell>
        </row>
        <row r="6724">
          <cell r="A6724">
            <v>31102192</v>
          </cell>
          <cell r="C6724">
            <v>31102192</v>
          </cell>
          <cell r="D6724">
            <v>31102192</v>
          </cell>
          <cell r="E6724">
            <v>31102192</v>
          </cell>
          <cell r="F6724">
            <v>31102192</v>
          </cell>
          <cell r="G6724">
            <v>31102192</v>
          </cell>
          <cell r="H6724">
            <v>31102192</v>
          </cell>
          <cell r="I6724" t="str">
            <v/>
          </cell>
          <cell r="J6724" t="str">
            <v/>
          </cell>
          <cell r="K6724" t="str">
            <v/>
          </cell>
          <cell r="L6724" t="str">
            <v/>
          </cell>
          <cell r="M6724" t="str">
            <v/>
          </cell>
        </row>
        <row r="6725">
          <cell r="A6725">
            <v>31102192</v>
          </cell>
          <cell r="C6725">
            <v>31102192</v>
          </cell>
          <cell r="D6725">
            <v>31102192</v>
          </cell>
          <cell r="E6725">
            <v>31102192</v>
          </cell>
          <cell r="F6725">
            <v>31102192</v>
          </cell>
          <cell r="G6725">
            <v>31102192</v>
          </cell>
          <cell r="H6725">
            <v>31102192</v>
          </cell>
          <cell r="I6725" t="str">
            <v/>
          </cell>
          <cell r="J6725" t="str">
            <v/>
          </cell>
          <cell r="K6725" t="str">
            <v/>
          </cell>
          <cell r="L6725" t="str">
            <v/>
          </cell>
          <cell r="M6725" t="str">
            <v/>
          </cell>
        </row>
        <row r="6726">
          <cell r="A6726">
            <v>31102192</v>
          </cell>
          <cell r="C6726">
            <v>31102192</v>
          </cell>
          <cell r="D6726">
            <v>31102192</v>
          </cell>
          <cell r="E6726">
            <v>31102192</v>
          </cell>
          <cell r="F6726">
            <v>31102192</v>
          </cell>
          <cell r="G6726">
            <v>31102192</v>
          </cell>
          <cell r="H6726">
            <v>31102192</v>
          </cell>
          <cell r="I6726" t="str">
            <v/>
          </cell>
          <cell r="J6726" t="str">
            <v/>
          </cell>
          <cell r="K6726" t="str">
            <v/>
          </cell>
          <cell r="L6726" t="str">
            <v/>
          </cell>
          <cell r="M6726" t="str">
            <v/>
          </cell>
        </row>
        <row r="6727">
          <cell r="A6727">
            <v>31102192</v>
          </cell>
          <cell r="C6727">
            <v>31102192</v>
          </cell>
          <cell r="D6727">
            <v>31102192</v>
          </cell>
          <cell r="E6727">
            <v>31102192</v>
          </cell>
          <cell r="F6727">
            <v>31102192</v>
          </cell>
          <cell r="G6727">
            <v>31102192</v>
          </cell>
          <cell r="H6727">
            <v>31102192</v>
          </cell>
          <cell r="I6727" t="str">
            <v/>
          </cell>
          <cell r="J6727" t="str">
            <v/>
          </cell>
          <cell r="K6727" t="str">
            <v/>
          </cell>
          <cell r="L6727" t="str">
            <v/>
          </cell>
          <cell r="M6727" t="str">
            <v/>
          </cell>
        </row>
        <row r="6728">
          <cell r="A6728">
            <v>31102192</v>
          </cell>
          <cell r="C6728">
            <v>31102192</v>
          </cell>
          <cell r="D6728">
            <v>31102192</v>
          </cell>
          <cell r="E6728">
            <v>31102192</v>
          </cell>
          <cell r="F6728">
            <v>31102192</v>
          </cell>
          <cell r="G6728">
            <v>31102192</v>
          </cell>
          <cell r="H6728">
            <v>31102192</v>
          </cell>
          <cell r="I6728" t="str">
            <v/>
          </cell>
          <cell r="J6728" t="str">
            <v/>
          </cell>
          <cell r="K6728" t="str">
            <v/>
          </cell>
          <cell r="L6728" t="str">
            <v/>
          </cell>
          <cell r="M6728" t="str">
            <v/>
          </cell>
        </row>
        <row r="6729">
          <cell r="A6729">
            <v>31102192</v>
          </cell>
          <cell r="C6729">
            <v>31102192</v>
          </cell>
          <cell r="D6729">
            <v>31102192</v>
          </cell>
          <cell r="E6729">
            <v>31102192</v>
          </cell>
          <cell r="F6729">
            <v>31102192</v>
          </cell>
          <cell r="G6729">
            <v>31102192</v>
          </cell>
          <cell r="H6729">
            <v>31102192</v>
          </cell>
          <cell r="I6729" t="str">
            <v/>
          </cell>
          <cell r="J6729" t="str">
            <v/>
          </cell>
          <cell r="K6729" t="str">
            <v/>
          </cell>
          <cell r="L6729" t="str">
            <v/>
          </cell>
          <cell r="M6729" t="str">
            <v/>
          </cell>
        </row>
        <row r="6730">
          <cell r="A6730">
            <v>31102192</v>
          </cell>
          <cell r="C6730">
            <v>31102192</v>
          </cell>
          <cell r="D6730">
            <v>31102192</v>
          </cell>
          <cell r="E6730">
            <v>31102192</v>
          </cell>
          <cell r="F6730">
            <v>31102192</v>
          </cell>
          <cell r="G6730">
            <v>31102192</v>
          </cell>
          <cell r="H6730">
            <v>31102192</v>
          </cell>
          <cell r="I6730" t="str">
            <v/>
          </cell>
          <cell r="J6730" t="str">
            <v/>
          </cell>
          <cell r="K6730" t="str">
            <v/>
          </cell>
          <cell r="L6730" t="str">
            <v/>
          </cell>
          <cell r="M6730" t="str">
            <v/>
          </cell>
        </row>
        <row r="6731">
          <cell r="A6731">
            <v>31102192</v>
          </cell>
          <cell r="C6731">
            <v>31102192</v>
          </cell>
          <cell r="D6731">
            <v>31102192</v>
          </cell>
          <cell r="E6731">
            <v>31102192</v>
          </cell>
          <cell r="F6731">
            <v>31102192</v>
          </cell>
          <cell r="G6731">
            <v>31102192</v>
          </cell>
          <cell r="H6731">
            <v>31102192</v>
          </cell>
          <cell r="I6731" t="str">
            <v/>
          </cell>
          <cell r="J6731" t="str">
            <v/>
          </cell>
          <cell r="K6731" t="str">
            <v/>
          </cell>
          <cell r="L6731" t="str">
            <v/>
          </cell>
          <cell r="M6731" t="str">
            <v/>
          </cell>
        </row>
        <row r="6732">
          <cell r="A6732">
            <v>31102192</v>
          </cell>
          <cell r="C6732">
            <v>31102192</v>
          </cell>
          <cell r="D6732">
            <v>31102192</v>
          </cell>
          <cell r="E6732">
            <v>31102192</v>
          </cell>
          <cell r="F6732">
            <v>31102192</v>
          </cell>
          <cell r="G6732">
            <v>31102192</v>
          </cell>
          <cell r="H6732">
            <v>31102192</v>
          </cell>
          <cell r="I6732" t="str">
            <v/>
          </cell>
          <cell r="J6732" t="str">
            <v/>
          </cell>
          <cell r="K6732" t="str">
            <v/>
          </cell>
          <cell r="L6732" t="str">
            <v/>
          </cell>
          <cell r="M6732" t="str">
            <v/>
          </cell>
        </row>
        <row r="6733">
          <cell r="A6733">
            <v>31102192</v>
          </cell>
          <cell r="C6733">
            <v>31102192</v>
          </cell>
          <cell r="D6733">
            <v>31102192</v>
          </cell>
          <cell r="E6733">
            <v>31102192</v>
          </cell>
          <cell r="F6733">
            <v>31102192</v>
          </cell>
          <cell r="G6733">
            <v>31102192</v>
          </cell>
          <cell r="H6733">
            <v>31102192</v>
          </cell>
          <cell r="I6733" t="str">
            <v/>
          </cell>
          <cell r="J6733" t="str">
            <v/>
          </cell>
          <cell r="K6733" t="str">
            <v/>
          </cell>
          <cell r="L6733" t="str">
            <v/>
          </cell>
          <cell r="M6733" t="str">
            <v/>
          </cell>
        </row>
        <row r="6734">
          <cell r="A6734">
            <v>31102192</v>
          </cell>
          <cell r="C6734">
            <v>31102192</v>
          </cell>
          <cell r="D6734">
            <v>31102192</v>
          </cell>
          <cell r="E6734">
            <v>31102192</v>
          </cell>
          <cell r="F6734">
            <v>31102192</v>
          </cell>
          <cell r="G6734">
            <v>31102192</v>
          </cell>
          <cell r="H6734">
            <v>31102192</v>
          </cell>
          <cell r="I6734" t="str">
            <v/>
          </cell>
          <cell r="J6734" t="str">
            <v/>
          </cell>
          <cell r="K6734" t="str">
            <v/>
          </cell>
          <cell r="L6734" t="str">
            <v/>
          </cell>
          <cell r="M6734" t="str">
            <v/>
          </cell>
        </row>
        <row r="6735">
          <cell r="A6735">
            <v>31102192</v>
          </cell>
          <cell r="C6735">
            <v>31102192</v>
          </cell>
          <cell r="D6735">
            <v>31102192</v>
          </cell>
          <cell r="E6735">
            <v>31102192</v>
          </cell>
          <cell r="F6735">
            <v>31102192</v>
          </cell>
          <cell r="G6735">
            <v>31102192</v>
          </cell>
          <cell r="H6735">
            <v>31102192</v>
          </cell>
          <cell r="I6735" t="str">
            <v/>
          </cell>
          <cell r="J6735" t="str">
            <v/>
          </cell>
          <cell r="K6735" t="str">
            <v/>
          </cell>
          <cell r="L6735" t="str">
            <v/>
          </cell>
          <cell r="M6735" t="str">
            <v/>
          </cell>
        </row>
        <row r="6736">
          <cell r="A6736">
            <v>31102192</v>
          </cell>
          <cell r="C6736">
            <v>31102192</v>
          </cell>
          <cell r="D6736">
            <v>31102192</v>
          </cell>
          <cell r="E6736">
            <v>31102192</v>
          </cell>
          <cell r="F6736">
            <v>31102192</v>
          </cell>
          <cell r="G6736">
            <v>31102192</v>
          </cell>
          <cell r="H6736">
            <v>31102192</v>
          </cell>
          <cell r="I6736" t="str">
            <v/>
          </cell>
          <cell r="J6736" t="str">
            <v/>
          </cell>
          <cell r="K6736" t="str">
            <v/>
          </cell>
          <cell r="L6736" t="str">
            <v/>
          </cell>
          <cell r="M6736" t="str">
            <v/>
          </cell>
        </row>
        <row r="6737">
          <cell r="A6737">
            <v>31102192</v>
          </cell>
          <cell r="C6737">
            <v>31102192</v>
          </cell>
          <cell r="D6737">
            <v>31102192</v>
          </cell>
          <cell r="E6737">
            <v>31102192</v>
          </cell>
          <cell r="F6737">
            <v>31102192</v>
          </cell>
          <cell r="G6737">
            <v>31102192</v>
          </cell>
          <cell r="H6737">
            <v>31102192</v>
          </cell>
          <cell r="I6737" t="str">
            <v/>
          </cell>
          <cell r="J6737" t="str">
            <v/>
          </cell>
          <cell r="K6737" t="str">
            <v/>
          </cell>
          <cell r="L6737" t="str">
            <v/>
          </cell>
          <cell r="M6737" t="str">
            <v/>
          </cell>
        </row>
        <row r="6738">
          <cell r="A6738">
            <v>31102192</v>
          </cell>
          <cell r="C6738">
            <v>31102192</v>
          </cell>
          <cell r="D6738">
            <v>31102192</v>
          </cell>
          <cell r="E6738">
            <v>31102192</v>
          </cell>
          <cell r="F6738">
            <v>31102192</v>
          </cell>
          <cell r="G6738">
            <v>31102192</v>
          </cell>
          <cell r="H6738">
            <v>31102192</v>
          </cell>
          <cell r="I6738" t="str">
            <v/>
          </cell>
          <cell r="J6738" t="str">
            <v/>
          </cell>
          <cell r="K6738" t="str">
            <v/>
          </cell>
          <cell r="L6738" t="str">
            <v/>
          </cell>
          <cell r="M6738" t="str">
            <v/>
          </cell>
        </row>
        <row r="6739">
          <cell r="A6739">
            <v>31102192</v>
          </cell>
          <cell r="C6739">
            <v>31102192</v>
          </cell>
          <cell r="D6739">
            <v>31102192</v>
          </cell>
          <cell r="E6739">
            <v>31102192</v>
          </cell>
          <cell r="F6739">
            <v>31102192</v>
          </cell>
          <cell r="G6739">
            <v>31102192</v>
          </cell>
          <cell r="H6739">
            <v>31102192</v>
          </cell>
          <cell r="I6739" t="str">
            <v/>
          </cell>
          <cell r="J6739" t="str">
            <v/>
          </cell>
          <cell r="K6739" t="str">
            <v/>
          </cell>
          <cell r="L6739" t="str">
            <v/>
          </cell>
          <cell r="M6739" t="str">
            <v/>
          </cell>
        </row>
        <row r="6740">
          <cell r="A6740">
            <v>31102192</v>
          </cell>
          <cell r="C6740">
            <v>31102192</v>
          </cell>
          <cell r="D6740">
            <v>31102192</v>
          </cell>
          <cell r="E6740">
            <v>31102192</v>
          </cell>
          <cell r="F6740">
            <v>31102192</v>
          </cell>
          <cell r="G6740">
            <v>31102192</v>
          </cell>
          <cell r="H6740">
            <v>31102192</v>
          </cell>
          <cell r="I6740" t="str">
            <v/>
          </cell>
          <cell r="J6740" t="str">
            <v/>
          </cell>
          <cell r="K6740" t="str">
            <v/>
          </cell>
          <cell r="L6740" t="str">
            <v/>
          </cell>
          <cell r="M6740" t="str">
            <v/>
          </cell>
        </row>
        <row r="6741">
          <cell r="A6741">
            <v>31102192</v>
          </cell>
          <cell r="C6741">
            <v>31102192</v>
          </cell>
          <cell r="D6741">
            <v>31102192</v>
          </cell>
          <cell r="E6741">
            <v>31102192</v>
          </cell>
          <cell r="F6741">
            <v>31102192</v>
          </cell>
          <cell r="G6741">
            <v>31102192</v>
          </cell>
          <cell r="H6741">
            <v>31102192</v>
          </cell>
          <cell r="I6741" t="str">
            <v/>
          </cell>
          <cell r="J6741" t="str">
            <v/>
          </cell>
          <cell r="K6741" t="str">
            <v/>
          </cell>
          <cell r="L6741" t="str">
            <v/>
          </cell>
          <cell r="M6741" t="str">
            <v/>
          </cell>
        </row>
        <row r="6742">
          <cell r="A6742">
            <v>31102192</v>
          </cell>
          <cell r="C6742">
            <v>31102192</v>
          </cell>
          <cell r="D6742">
            <v>31102192</v>
          </cell>
          <cell r="E6742">
            <v>31102192</v>
          </cell>
          <cell r="F6742">
            <v>31102192</v>
          </cell>
          <cell r="G6742">
            <v>31102192</v>
          </cell>
          <cell r="H6742">
            <v>31102192</v>
          </cell>
          <cell r="I6742" t="str">
            <v/>
          </cell>
          <cell r="J6742" t="str">
            <v/>
          </cell>
          <cell r="K6742" t="str">
            <v/>
          </cell>
          <cell r="L6742" t="str">
            <v/>
          </cell>
          <cell r="M6742" t="str">
            <v/>
          </cell>
        </row>
        <row r="6743">
          <cell r="A6743">
            <v>31102192</v>
          </cell>
          <cell r="C6743">
            <v>31102192</v>
          </cell>
          <cell r="D6743">
            <v>31102192</v>
          </cell>
          <cell r="E6743">
            <v>31102192</v>
          </cell>
          <cell r="F6743">
            <v>31102192</v>
          </cell>
          <cell r="G6743">
            <v>31102192</v>
          </cell>
          <cell r="H6743">
            <v>31102192</v>
          </cell>
          <cell r="I6743" t="str">
            <v/>
          </cell>
          <cell r="J6743" t="str">
            <v/>
          </cell>
          <cell r="K6743" t="str">
            <v/>
          </cell>
          <cell r="L6743" t="str">
            <v/>
          </cell>
          <cell r="M6743" t="str">
            <v/>
          </cell>
        </row>
        <row r="6744">
          <cell r="A6744">
            <v>31102192</v>
          </cell>
          <cell r="C6744">
            <v>31102192</v>
          </cell>
          <cell r="D6744">
            <v>31102192</v>
          </cell>
          <cell r="E6744">
            <v>31102192</v>
          </cell>
          <cell r="F6744">
            <v>31102192</v>
          </cell>
          <cell r="G6744">
            <v>31102192</v>
          </cell>
          <cell r="H6744">
            <v>31102192</v>
          </cell>
          <cell r="I6744" t="str">
            <v/>
          </cell>
          <cell r="J6744" t="str">
            <v/>
          </cell>
          <cell r="K6744" t="str">
            <v/>
          </cell>
          <cell r="L6744" t="str">
            <v/>
          </cell>
          <cell r="M6744" t="str">
            <v/>
          </cell>
        </row>
        <row r="6745">
          <cell r="A6745">
            <v>31102192</v>
          </cell>
          <cell r="C6745">
            <v>31102192</v>
          </cell>
          <cell r="D6745">
            <v>31102192</v>
          </cell>
          <cell r="E6745">
            <v>31102192</v>
          </cell>
          <cell r="F6745">
            <v>31102192</v>
          </cell>
          <cell r="G6745">
            <v>31102192</v>
          </cell>
          <cell r="H6745">
            <v>31102192</v>
          </cell>
          <cell r="I6745" t="str">
            <v/>
          </cell>
          <cell r="J6745" t="str">
            <v/>
          </cell>
          <cell r="K6745" t="str">
            <v/>
          </cell>
          <cell r="L6745" t="str">
            <v/>
          </cell>
          <cell r="M6745" t="str">
            <v/>
          </cell>
        </row>
        <row r="6746">
          <cell r="A6746">
            <v>31102192</v>
          </cell>
          <cell r="C6746">
            <v>31102192</v>
          </cell>
          <cell r="D6746">
            <v>31102192</v>
          </cell>
          <cell r="E6746">
            <v>31102192</v>
          </cell>
          <cell r="F6746">
            <v>31102192</v>
          </cell>
          <cell r="G6746">
            <v>31102192</v>
          </cell>
          <cell r="H6746">
            <v>31102192</v>
          </cell>
          <cell r="I6746" t="str">
            <v/>
          </cell>
          <cell r="J6746" t="str">
            <v/>
          </cell>
          <cell r="K6746" t="str">
            <v/>
          </cell>
          <cell r="L6746" t="str">
            <v/>
          </cell>
          <cell r="M6746" t="str">
            <v/>
          </cell>
        </row>
        <row r="6747">
          <cell r="A6747">
            <v>31102192</v>
          </cell>
          <cell r="C6747">
            <v>31102192</v>
          </cell>
          <cell r="D6747">
            <v>31102192</v>
          </cell>
          <cell r="E6747">
            <v>31102192</v>
          </cell>
          <cell r="F6747">
            <v>31102192</v>
          </cell>
          <cell r="G6747">
            <v>31102192</v>
          </cell>
          <cell r="H6747">
            <v>31102192</v>
          </cell>
          <cell r="I6747" t="str">
            <v/>
          </cell>
          <cell r="J6747" t="str">
            <v/>
          </cell>
          <cell r="K6747" t="str">
            <v/>
          </cell>
          <cell r="L6747" t="str">
            <v/>
          </cell>
          <cell r="M6747" t="str">
            <v/>
          </cell>
        </row>
        <row r="6748">
          <cell r="A6748">
            <v>31102192</v>
          </cell>
          <cell r="C6748">
            <v>31102192</v>
          </cell>
          <cell r="D6748">
            <v>31102192</v>
          </cell>
          <cell r="E6748">
            <v>31102192</v>
          </cell>
          <cell r="F6748">
            <v>31102192</v>
          </cell>
          <cell r="G6748">
            <v>31102192</v>
          </cell>
          <cell r="H6748">
            <v>31102192</v>
          </cell>
          <cell r="I6748" t="str">
            <v/>
          </cell>
          <cell r="J6748" t="str">
            <v/>
          </cell>
          <cell r="K6748" t="str">
            <v/>
          </cell>
          <cell r="L6748" t="str">
            <v/>
          </cell>
          <cell r="M6748" t="str">
            <v/>
          </cell>
        </row>
        <row r="6749">
          <cell r="A6749">
            <v>31102192</v>
          </cell>
          <cell r="C6749">
            <v>31102192</v>
          </cell>
          <cell r="D6749">
            <v>31102192</v>
          </cell>
          <cell r="E6749">
            <v>31102192</v>
          </cell>
          <cell r="F6749">
            <v>31102192</v>
          </cell>
          <cell r="G6749">
            <v>31102192</v>
          </cell>
          <cell r="H6749">
            <v>31102192</v>
          </cell>
          <cell r="I6749" t="str">
            <v/>
          </cell>
          <cell r="J6749" t="str">
            <v/>
          </cell>
          <cell r="K6749" t="str">
            <v/>
          </cell>
          <cell r="L6749" t="str">
            <v/>
          </cell>
          <cell r="M6749" t="str">
            <v/>
          </cell>
        </row>
        <row r="6750">
          <cell r="A6750">
            <v>31102192</v>
          </cell>
          <cell r="C6750">
            <v>31102192</v>
          </cell>
          <cell r="D6750">
            <v>31102192</v>
          </cell>
          <cell r="E6750">
            <v>31102192</v>
          </cell>
          <cell r="F6750">
            <v>31102192</v>
          </cell>
          <cell r="G6750">
            <v>31102192</v>
          </cell>
          <cell r="H6750">
            <v>31102192</v>
          </cell>
          <cell r="I6750" t="str">
            <v/>
          </cell>
          <cell r="J6750" t="str">
            <v/>
          </cell>
          <cell r="K6750" t="str">
            <v/>
          </cell>
          <cell r="L6750" t="str">
            <v/>
          </cell>
          <cell r="M6750" t="str">
            <v/>
          </cell>
        </row>
        <row r="6751">
          <cell r="A6751">
            <v>31102192</v>
          </cell>
          <cell r="C6751">
            <v>31102192</v>
          </cell>
          <cell r="D6751">
            <v>31102192</v>
          </cell>
          <cell r="E6751">
            <v>31102192</v>
          </cell>
          <cell r="F6751">
            <v>31102192</v>
          </cell>
          <cell r="G6751">
            <v>31102192</v>
          </cell>
          <cell r="H6751">
            <v>31102192</v>
          </cell>
          <cell r="I6751" t="str">
            <v/>
          </cell>
          <cell r="J6751" t="str">
            <v/>
          </cell>
          <cell r="K6751" t="str">
            <v/>
          </cell>
          <cell r="L6751" t="str">
            <v/>
          </cell>
          <cell r="M6751" t="str">
            <v/>
          </cell>
        </row>
        <row r="6752">
          <cell r="A6752">
            <v>31102192</v>
          </cell>
          <cell r="C6752">
            <v>31102192</v>
          </cell>
          <cell r="D6752">
            <v>31102192</v>
          </cell>
          <cell r="E6752">
            <v>31102192</v>
          </cell>
          <cell r="F6752">
            <v>31102192</v>
          </cell>
          <cell r="G6752">
            <v>31102192</v>
          </cell>
          <cell r="H6752">
            <v>31102192</v>
          </cell>
          <cell r="I6752" t="str">
            <v/>
          </cell>
          <cell r="J6752" t="str">
            <v/>
          </cell>
          <cell r="K6752" t="str">
            <v/>
          </cell>
          <cell r="L6752" t="str">
            <v/>
          </cell>
          <cell r="M6752" t="str">
            <v/>
          </cell>
        </row>
        <row r="6753">
          <cell r="A6753">
            <v>31102192</v>
          </cell>
          <cell r="C6753">
            <v>31102192</v>
          </cell>
          <cell r="D6753">
            <v>31102192</v>
          </cell>
          <cell r="E6753">
            <v>31102192</v>
          </cell>
          <cell r="F6753">
            <v>31102192</v>
          </cell>
          <cell r="G6753">
            <v>31102192</v>
          </cell>
          <cell r="H6753">
            <v>31102192</v>
          </cell>
          <cell r="I6753" t="str">
            <v/>
          </cell>
          <cell r="J6753" t="str">
            <v/>
          </cell>
          <cell r="K6753" t="str">
            <v/>
          </cell>
          <cell r="L6753" t="str">
            <v/>
          </cell>
          <cell r="M6753" t="str">
            <v/>
          </cell>
        </row>
        <row r="6754">
          <cell r="A6754">
            <v>31102192</v>
          </cell>
          <cell r="C6754">
            <v>31102192</v>
          </cell>
          <cell r="D6754">
            <v>31102192</v>
          </cell>
          <cell r="E6754">
            <v>31102192</v>
          </cell>
          <cell r="F6754">
            <v>31102192</v>
          </cell>
          <cell r="G6754">
            <v>31102192</v>
          </cell>
          <cell r="H6754">
            <v>31102192</v>
          </cell>
          <cell r="I6754" t="str">
            <v/>
          </cell>
          <cell r="J6754" t="str">
            <v/>
          </cell>
          <cell r="K6754" t="str">
            <v/>
          </cell>
          <cell r="L6754" t="str">
            <v/>
          </cell>
          <cell r="M6754" t="str">
            <v/>
          </cell>
        </row>
        <row r="6755">
          <cell r="A6755">
            <v>31102192</v>
          </cell>
          <cell r="C6755">
            <v>31102192</v>
          </cell>
          <cell r="D6755">
            <v>31102192</v>
          </cell>
          <cell r="E6755">
            <v>31102192</v>
          </cell>
          <cell r="F6755">
            <v>31102192</v>
          </cell>
          <cell r="G6755">
            <v>31102192</v>
          </cell>
          <cell r="H6755">
            <v>31102192</v>
          </cell>
          <cell r="I6755" t="str">
            <v/>
          </cell>
          <cell r="J6755" t="str">
            <v/>
          </cell>
          <cell r="K6755" t="str">
            <v/>
          </cell>
          <cell r="L6755" t="str">
            <v/>
          </cell>
          <cell r="M6755" t="str">
            <v/>
          </cell>
        </row>
        <row r="6756">
          <cell r="A6756">
            <v>31102192</v>
          </cell>
          <cell r="C6756">
            <v>31102192</v>
          </cell>
          <cell r="D6756">
            <v>31102192</v>
          </cell>
          <cell r="E6756">
            <v>31102192</v>
          </cell>
          <cell r="F6756">
            <v>31102192</v>
          </cell>
          <cell r="G6756">
            <v>31102192</v>
          </cell>
          <cell r="H6756">
            <v>31102192</v>
          </cell>
          <cell r="I6756" t="str">
            <v/>
          </cell>
          <cell r="J6756" t="str">
            <v/>
          </cell>
          <cell r="K6756" t="str">
            <v/>
          </cell>
          <cell r="L6756" t="str">
            <v/>
          </cell>
          <cell r="M6756" t="str">
            <v/>
          </cell>
        </row>
        <row r="6757">
          <cell r="A6757">
            <v>31102192</v>
          </cell>
          <cell r="C6757">
            <v>31102192</v>
          </cell>
          <cell r="D6757">
            <v>31102192</v>
          </cell>
          <cell r="E6757">
            <v>31102192</v>
          </cell>
          <cell r="F6757">
            <v>31102192</v>
          </cell>
          <cell r="G6757">
            <v>31102192</v>
          </cell>
          <cell r="H6757">
            <v>31102192</v>
          </cell>
          <cell r="I6757" t="str">
            <v/>
          </cell>
          <cell r="J6757" t="str">
            <v/>
          </cell>
          <cell r="K6757" t="str">
            <v/>
          </cell>
          <cell r="L6757" t="str">
            <v/>
          </cell>
          <cell r="M6757" t="str">
            <v/>
          </cell>
        </row>
        <row r="6758">
          <cell r="A6758">
            <v>31102192</v>
          </cell>
          <cell r="C6758">
            <v>31102192</v>
          </cell>
          <cell r="D6758">
            <v>31102192</v>
          </cell>
          <cell r="E6758">
            <v>31102192</v>
          </cell>
          <cell r="F6758">
            <v>31102192</v>
          </cell>
          <cell r="G6758">
            <v>31102192</v>
          </cell>
          <cell r="H6758">
            <v>31102192</v>
          </cell>
          <cell r="I6758" t="str">
            <v/>
          </cell>
          <cell r="J6758" t="str">
            <v/>
          </cell>
          <cell r="K6758" t="str">
            <v/>
          </cell>
          <cell r="L6758" t="str">
            <v/>
          </cell>
          <cell r="M6758" t="str">
            <v/>
          </cell>
        </row>
        <row r="6759">
          <cell r="A6759">
            <v>31102192</v>
          </cell>
          <cell r="C6759">
            <v>31102192</v>
          </cell>
          <cell r="D6759">
            <v>31102192</v>
          </cell>
          <cell r="E6759">
            <v>31102192</v>
          </cell>
          <cell r="F6759">
            <v>31102192</v>
          </cell>
          <cell r="G6759">
            <v>31102192</v>
          </cell>
          <cell r="H6759">
            <v>31102192</v>
          </cell>
          <cell r="I6759" t="str">
            <v/>
          </cell>
          <cell r="J6759" t="str">
            <v/>
          </cell>
          <cell r="K6759" t="str">
            <v/>
          </cell>
          <cell r="L6759" t="str">
            <v/>
          </cell>
          <cell r="M6759" t="str">
            <v/>
          </cell>
        </row>
        <row r="6760">
          <cell r="A6760">
            <v>31102192</v>
          </cell>
          <cell r="C6760">
            <v>31102192</v>
          </cell>
          <cell r="D6760">
            <v>31102192</v>
          </cell>
          <cell r="E6760">
            <v>31102192</v>
          </cell>
          <cell r="F6760">
            <v>31102192</v>
          </cell>
          <cell r="G6760">
            <v>31102192</v>
          </cell>
          <cell r="H6760">
            <v>31102192</v>
          </cell>
          <cell r="I6760" t="str">
            <v/>
          </cell>
          <cell r="J6760" t="str">
            <v/>
          </cell>
          <cell r="K6760" t="str">
            <v/>
          </cell>
          <cell r="L6760" t="str">
            <v/>
          </cell>
          <cell r="M6760" t="str">
            <v/>
          </cell>
        </row>
        <row r="6761">
          <cell r="A6761">
            <v>31102192</v>
          </cell>
          <cell r="C6761">
            <v>31102192</v>
          </cell>
          <cell r="D6761">
            <v>31102192</v>
          </cell>
          <cell r="E6761">
            <v>31102192</v>
          </cell>
          <cell r="F6761">
            <v>31102192</v>
          </cell>
          <cell r="G6761">
            <v>31102192</v>
          </cell>
          <cell r="H6761">
            <v>31102192</v>
          </cell>
          <cell r="I6761" t="str">
            <v/>
          </cell>
          <cell r="J6761" t="str">
            <v/>
          </cell>
          <cell r="K6761" t="str">
            <v/>
          </cell>
          <cell r="L6761" t="str">
            <v/>
          </cell>
          <cell r="M6761" t="str">
            <v/>
          </cell>
        </row>
        <row r="6762">
          <cell r="A6762">
            <v>31102192</v>
          </cell>
          <cell r="C6762">
            <v>31102192</v>
          </cell>
          <cell r="D6762">
            <v>31102192</v>
          </cell>
          <cell r="E6762">
            <v>31102192</v>
          </cell>
          <cell r="F6762">
            <v>31102192</v>
          </cell>
          <cell r="G6762">
            <v>31102192</v>
          </cell>
          <cell r="H6762">
            <v>31102192</v>
          </cell>
          <cell r="I6762" t="str">
            <v/>
          </cell>
          <cell r="J6762" t="str">
            <v/>
          </cell>
          <cell r="K6762" t="str">
            <v/>
          </cell>
          <cell r="L6762" t="str">
            <v/>
          </cell>
          <cell r="M6762" t="str">
            <v/>
          </cell>
        </row>
        <row r="6763">
          <cell r="A6763">
            <v>31102192</v>
          </cell>
          <cell r="C6763">
            <v>31102192</v>
          </cell>
          <cell r="D6763">
            <v>31102192</v>
          </cell>
          <cell r="E6763">
            <v>31102192</v>
          </cell>
          <cell r="F6763">
            <v>31102192</v>
          </cell>
          <cell r="G6763">
            <v>31102192</v>
          </cell>
          <cell r="H6763">
            <v>31102192</v>
          </cell>
          <cell r="I6763" t="str">
            <v/>
          </cell>
          <cell r="J6763" t="str">
            <v/>
          </cell>
          <cell r="K6763" t="str">
            <v/>
          </cell>
          <cell r="L6763" t="str">
            <v/>
          </cell>
          <cell r="M6763" t="str">
            <v/>
          </cell>
        </row>
        <row r="6764">
          <cell r="A6764">
            <v>31102192</v>
          </cell>
          <cell r="C6764">
            <v>31102192</v>
          </cell>
          <cell r="D6764">
            <v>31102192</v>
          </cell>
          <cell r="E6764">
            <v>31102192</v>
          </cell>
          <cell r="F6764">
            <v>31102192</v>
          </cell>
          <cell r="G6764">
            <v>31102192</v>
          </cell>
          <cell r="H6764">
            <v>31102192</v>
          </cell>
          <cell r="I6764" t="str">
            <v/>
          </cell>
          <cell r="J6764" t="str">
            <v/>
          </cell>
          <cell r="K6764" t="str">
            <v/>
          </cell>
          <cell r="L6764" t="str">
            <v/>
          </cell>
          <cell r="M6764" t="str">
            <v/>
          </cell>
        </row>
        <row r="6765">
          <cell r="A6765">
            <v>31102192</v>
          </cell>
          <cell r="C6765">
            <v>31102192</v>
          </cell>
          <cell r="D6765">
            <v>31102192</v>
          </cell>
          <cell r="E6765">
            <v>31102192</v>
          </cell>
          <cell r="F6765">
            <v>31102192</v>
          </cell>
          <cell r="G6765">
            <v>31102192</v>
          </cell>
          <cell r="H6765">
            <v>31102192</v>
          </cell>
          <cell r="I6765" t="str">
            <v/>
          </cell>
          <cell r="J6765" t="str">
            <v/>
          </cell>
          <cell r="K6765" t="str">
            <v/>
          </cell>
          <cell r="L6765" t="str">
            <v/>
          </cell>
          <cell r="M6765" t="str">
            <v/>
          </cell>
        </row>
        <row r="6766">
          <cell r="A6766">
            <v>31102192</v>
          </cell>
          <cell r="C6766">
            <v>31102192</v>
          </cell>
          <cell r="D6766">
            <v>31102192</v>
          </cell>
          <cell r="E6766">
            <v>31102192</v>
          </cell>
          <cell r="F6766">
            <v>31102192</v>
          </cell>
          <cell r="G6766">
            <v>31102192</v>
          </cell>
          <cell r="H6766">
            <v>31102192</v>
          </cell>
          <cell r="I6766" t="str">
            <v/>
          </cell>
          <cell r="J6766" t="str">
            <v/>
          </cell>
          <cell r="K6766" t="str">
            <v/>
          </cell>
          <cell r="L6766" t="str">
            <v/>
          </cell>
          <cell r="M6766" t="str">
            <v/>
          </cell>
        </row>
        <row r="6767">
          <cell r="A6767">
            <v>31102192</v>
          </cell>
          <cell r="C6767">
            <v>31102192</v>
          </cell>
          <cell r="D6767">
            <v>31102192</v>
          </cell>
          <cell r="E6767">
            <v>31102192</v>
          </cell>
          <cell r="F6767">
            <v>31102192</v>
          </cell>
          <cell r="G6767">
            <v>31102192</v>
          </cell>
          <cell r="H6767">
            <v>31102192</v>
          </cell>
          <cell r="I6767" t="str">
            <v/>
          </cell>
          <cell r="J6767" t="str">
            <v/>
          </cell>
          <cell r="K6767" t="str">
            <v/>
          </cell>
          <cell r="L6767" t="str">
            <v/>
          </cell>
          <cell r="M6767" t="str">
            <v/>
          </cell>
        </row>
        <row r="6768">
          <cell r="A6768">
            <v>31102192</v>
          </cell>
          <cell r="C6768">
            <v>31102192</v>
          </cell>
          <cell r="D6768">
            <v>31102192</v>
          </cell>
          <cell r="E6768">
            <v>31102192</v>
          </cell>
          <cell r="F6768">
            <v>31102192</v>
          </cell>
          <cell r="G6768">
            <v>31102192</v>
          </cell>
          <cell r="H6768">
            <v>31102192</v>
          </cell>
          <cell r="I6768" t="str">
            <v/>
          </cell>
          <cell r="J6768" t="str">
            <v/>
          </cell>
          <cell r="K6768" t="str">
            <v/>
          </cell>
          <cell r="L6768" t="str">
            <v/>
          </cell>
          <cell r="M6768" t="str">
            <v/>
          </cell>
        </row>
        <row r="6769">
          <cell r="A6769">
            <v>31102192</v>
          </cell>
          <cell r="C6769">
            <v>31102192</v>
          </cell>
          <cell r="D6769">
            <v>31102192</v>
          </cell>
          <cell r="E6769">
            <v>31102192</v>
          </cell>
          <cell r="F6769">
            <v>31102192</v>
          </cell>
          <cell r="G6769">
            <v>31102192</v>
          </cell>
          <cell r="H6769">
            <v>31102192</v>
          </cell>
          <cell r="I6769" t="str">
            <v/>
          </cell>
          <cell r="J6769" t="str">
            <v/>
          </cell>
          <cell r="K6769" t="str">
            <v/>
          </cell>
          <cell r="L6769" t="str">
            <v/>
          </cell>
          <cell r="M6769" t="str">
            <v/>
          </cell>
        </row>
        <row r="6770">
          <cell r="A6770">
            <v>31102192</v>
          </cell>
          <cell r="C6770">
            <v>31102192</v>
          </cell>
          <cell r="D6770">
            <v>31102192</v>
          </cell>
          <cell r="E6770">
            <v>31102192</v>
          </cell>
          <cell r="F6770">
            <v>31102192</v>
          </cell>
          <cell r="G6770">
            <v>31102192</v>
          </cell>
          <cell r="H6770">
            <v>31102192</v>
          </cell>
          <cell r="I6770" t="str">
            <v/>
          </cell>
          <cell r="J6770" t="str">
            <v/>
          </cell>
          <cell r="K6770" t="str">
            <v/>
          </cell>
          <cell r="L6770" t="str">
            <v/>
          </cell>
          <cell r="M6770" t="str">
            <v/>
          </cell>
        </row>
        <row r="6771">
          <cell r="A6771">
            <v>31102192</v>
          </cell>
          <cell r="C6771">
            <v>31102192</v>
          </cell>
          <cell r="D6771">
            <v>31102192</v>
          </cell>
          <cell r="E6771">
            <v>31102192</v>
          </cell>
          <cell r="F6771">
            <v>31102192</v>
          </cell>
          <cell r="G6771">
            <v>31102192</v>
          </cell>
          <cell r="H6771">
            <v>31102192</v>
          </cell>
          <cell r="I6771" t="str">
            <v/>
          </cell>
          <cell r="J6771" t="str">
            <v/>
          </cell>
          <cell r="K6771" t="str">
            <v/>
          </cell>
          <cell r="L6771" t="str">
            <v/>
          </cell>
          <cell r="M6771" t="str">
            <v/>
          </cell>
        </row>
        <row r="6772">
          <cell r="A6772">
            <v>31102192</v>
          </cell>
          <cell r="C6772">
            <v>31102192</v>
          </cell>
          <cell r="D6772">
            <v>31102192</v>
          </cell>
          <cell r="E6772">
            <v>31102192</v>
          </cell>
          <cell r="F6772">
            <v>31102192</v>
          </cell>
          <cell r="G6772">
            <v>31102192</v>
          </cell>
          <cell r="H6772">
            <v>31102192</v>
          </cell>
          <cell r="I6772" t="str">
            <v/>
          </cell>
          <cell r="J6772" t="str">
            <v/>
          </cell>
          <cell r="K6772" t="str">
            <v/>
          </cell>
          <cell r="L6772" t="str">
            <v/>
          </cell>
          <cell r="M6772" t="str">
            <v/>
          </cell>
        </row>
        <row r="6773">
          <cell r="A6773">
            <v>31102192</v>
          </cell>
          <cell r="C6773">
            <v>31102192</v>
          </cell>
          <cell r="D6773">
            <v>31102192</v>
          </cell>
          <cell r="E6773">
            <v>31102192</v>
          </cell>
          <cell r="F6773">
            <v>31102192</v>
          </cell>
          <cell r="G6773">
            <v>31102192</v>
          </cell>
          <cell r="H6773">
            <v>31102192</v>
          </cell>
          <cell r="I6773" t="str">
            <v/>
          </cell>
          <cell r="J6773" t="str">
            <v/>
          </cell>
          <cell r="K6773" t="str">
            <v/>
          </cell>
          <cell r="L6773" t="str">
            <v/>
          </cell>
          <cell r="M6773" t="str">
            <v/>
          </cell>
        </row>
        <row r="6774">
          <cell r="A6774">
            <v>31102192</v>
          </cell>
          <cell r="C6774">
            <v>31102192</v>
          </cell>
          <cell r="D6774">
            <v>31102192</v>
          </cell>
          <cell r="E6774">
            <v>31102192</v>
          </cell>
          <cell r="F6774">
            <v>31102192</v>
          </cell>
          <cell r="G6774">
            <v>31102192</v>
          </cell>
          <cell r="H6774">
            <v>31102192</v>
          </cell>
          <cell r="I6774" t="str">
            <v/>
          </cell>
          <cell r="J6774" t="str">
            <v/>
          </cell>
          <cell r="K6774" t="str">
            <v/>
          </cell>
          <cell r="L6774" t="str">
            <v/>
          </cell>
          <cell r="M6774" t="str">
            <v/>
          </cell>
        </row>
        <row r="6775">
          <cell r="A6775">
            <v>31102192</v>
          </cell>
          <cell r="C6775">
            <v>31102192</v>
          </cell>
          <cell r="D6775">
            <v>31102192</v>
          </cell>
          <cell r="E6775">
            <v>31102192</v>
          </cell>
          <cell r="F6775">
            <v>31102192</v>
          </cell>
          <cell r="G6775">
            <v>31102192</v>
          </cell>
          <cell r="H6775">
            <v>31102192</v>
          </cell>
          <cell r="I6775" t="str">
            <v/>
          </cell>
          <cell r="J6775" t="str">
            <v/>
          </cell>
          <cell r="K6775" t="str">
            <v/>
          </cell>
          <cell r="L6775" t="str">
            <v/>
          </cell>
          <cell r="M6775" t="str">
            <v/>
          </cell>
        </row>
        <row r="6776">
          <cell r="A6776">
            <v>31102192</v>
          </cell>
          <cell r="C6776">
            <v>31102192</v>
          </cell>
          <cell r="D6776">
            <v>31102192</v>
          </cell>
          <cell r="E6776">
            <v>31102192</v>
          </cell>
          <cell r="F6776">
            <v>31102192</v>
          </cell>
          <cell r="G6776">
            <v>31102192</v>
          </cell>
          <cell r="H6776">
            <v>31102192</v>
          </cell>
          <cell r="I6776" t="str">
            <v/>
          </cell>
          <cell r="J6776" t="str">
            <v/>
          </cell>
          <cell r="K6776" t="str">
            <v/>
          </cell>
          <cell r="L6776" t="str">
            <v/>
          </cell>
          <cell r="M6776" t="str">
            <v/>
          </cell>
        </row>
        <row r="6777">
          <cell r="A6777">
            <v>31102192</v>
          </cell>
          <cell r="C6777">
            <v>31102192</v>
          </cell>
          <cell r="D6777">
            <v>31102192</v>
          </cell>
          <cell r="E6777">
            <v>31102192</v>
          </cell>
          <cell r="F6777">
            <v>31102192</v>
          </cell>
          <cell r="G6777">
            <v>31102192</v>
          </cell>
          <cell r="H6777">
            <v>31102192</v>
          </cell>
          <cell r="I6777" t="str">
            <v/>
          </cell>
          <cell r="J6777" t="str">
            <v/>
          </cell>
          <cell r="K6777" t="str">
            <v/>
          </cell>
          <cell r="L6777" t="str">
            <v/>
          </cell>
          <cell r="M6777" t="str">
            <v/>
          </cell>
        </row>
        <row r="6778">
          <cell r="A6778">
            <v>31102192</v>
          </cell>
          <cell r="C6778">
            <v>31102192</v>
          </cell>
          <cell r="D6778">
            <v>31102192</v>
          </cell>
          <cell r="E6778">
            <v>31102192</v>
          </cell>
          <cell r="F6778">
            <v>31102192</v>
          </cell>
          <cell r="G6778">
            <v>31102192</v>
          </cell>
          <cell r="H6778">
            <v>31102192</v>
          </cell>
          <cell r="I6778" t="str">
            <v/>
          </cell>
          <cell r="J6778" t="str">
            <v/>
          </cell>
          <cell r="K6778" t="str">
            <v/>
          </cell>
          <cell r="L6778" t="str">
            <v/>
          </cell>
          <cell r="M6778" t="str">
            <v/>
          </cell>
        </row>
        <row r="6779">
          <cell r="A6779">
            <v>31102192</v>
          </cell>
          <cell r="C6779">
            <v>31102192</v>
          </cell>
          <cell r="D6779">
            <v>31102192</v>
          </cell>
          <cell r="E6779">
            <v>31102192</v>
          </cell>
          <cell r="F6779">
            <v>31102192</v>
          </cell>
          <cell r="G6779">
            <v>31102192</v>
          </cell>
          <cell r="H6779">
            <v>31102192</v>
          </cell>
          <cell r="I6779" t="str">
            <v/>
          </cell>
          <cell r="J6779" t="str">
            <v/>
          </cell>
          <cell r="K6779" t="str">
            <v/>
          </cell>
          <cell r="L6779" t="str">
            <v/>
          </cell>
          <cell r="M6779" t="str">
            <v/>
          </cell>
        </row>
        <row r="6780">
          <cell r="A6780">
            <v>31102192</v>
          </cell>
          <cell r="C6780">
            <v>31102192</v>
          </cell>
          <cell r="D6780">
            <v>31102192</v>
          </cell>
          <cell r="E6780">
            <v>31102192</v>
          </cell>
          <cell r="F6780">
            <v>31102192</v>
          </cell>
          <cell r="G6780">
            <v>31102192</v>
          </cell>
          <cell r="H6780">
            <v>31102192</v>
          </cell>
          <cell r="I6780" t="str">
            <v/>
          </cell>
          <cell r="J6780" t="str">
            <v/>
          </cell>
          <cell r="K6780" t="str">
            <v/>
          </cell>
          <cell r="L6780" t="str">
            <v/>
          </cell>
          <cell r="M6780" t="str">
            <v/>
          </cell>
        </row>
        <row r="6781">
          <cell r="A6781">
            <v>31102192</v>
          </cell>
          <cell r="C6781">
            <v>31102192</v>
          </cell>
          <cell r="D6781">
            <v>31102192</v>
          </cell>
          <cell r="E6781">
            <v>31102192</v>
          </cell>
          <cell r="F6781">
            <v>31102192</v>
          </cell>
          <cell r="G6781">
            <v>31102192</v>
          </cell>
          <cell r="H6781">
            <v>31102192</v>
          </cell>
          <cell r="I6781" t="str">
            <v/>
          </cell>
          <cell r="J6781" t="str">
            <v/>
          </cell>
          <cell r="K6781" t="str">
            <v/>
          </cell>
          <cell r="L6781" t="str">
            <v/>
          </cell>
          <cell r="M6781" t="str">
            <v/>
          </cell>
        </row>
        <row r="6782">
          <cell r="A6782">
            <v>31102192</v>
          </cell>
          <cell r="C6782">
            <v>31102192</v>
          </cell>
          <cell r="D6782">
            <v>31102192</v>
          </cell>
          <cell r="E6782">
            <v>31102192</v>
          </cell>
          <cell r="F6782">
            <v>31102192</v>
          </cell>
          <cell r="G6782">
            <v>31102192</v>
          </cell>
          <cell r="H6782">
            <v>31102192</v>
          </cell>
          <cell r="I6782" t="str">
            <v/>
          </cell>
          <cell r="J6782" t="str">
            <v/>
          </cell>
          <cell r="K6782" t="str">
            <v/>
          </cell>
          <cell r="L6782" t="str">
            <v/>
          </cell>
          <cell r="M6782" t="str">
            <v/>
          </cell>
        </row>
        <row r="6783">
          <cell r="A6783">
            <v>31102192</v>
          </cell>
          <cell r="C6783">
            <v>31102192</v>
          </cell>
          <cell r="D6783">
            <v>31102192</v>
          </cell>
          <cell r="E6783">
            <v>31102192</v>
          </cell>
          <cell r="F6783">
            <v>31102192</v>
          </cell>
          <cell r="G6783">
            <v>31102192</v>
          </cell>
          <cell r="H6783">
            <v>31102192</v>
          </cell>
          <cell r="I6783" t="str">
            <v/>
          </cell>
          <cell r="J6783" t="str">
            <v/>
          </cell>
          <cell r="K6783" t="str">
            <v/>
          </cell>
          <cell r="L6783" t="str">
            <v/>
          </cell>
          <cell r="M6783" t="str">
            <v/>
          </cell>
        </row>
        <row r="6784">
          <cell r="A6784">
            <v>31102192</v>
          </cell>
          <cell r="C6784">
            <v>31102192</v>
          </cell>
          <cell r="D6784">
            <v>31102192</v>
          </cell>
          <cell r="E6784">
            <v>31102192</v>
          </cell>
          <cell r="F6784">
            <v>31102192</v>
          </cell>
          <cell r="G6784">
            <v>31102192</v>
          </cell>
          <cell r="H6784">
            <v>31102192</v>
          </cell>
          <cell r="I6784" t="str">
            <v/>
          </cell>
          <cell r="J6784" t="str">
            <v/>
          </cell>
          <cell r="K6784" t="str">
            <v/>
          </cell>
          <cell r="L6784" t="str">
            <v/>
          </cell>
          <cell r="M6784" t="str">
            <v/>
          </cell>
        </row>
        <row r="6785">
          <cell r="A6785">
            <v>31102192</v>
          </cell>
          <cell r="C6785">
            <v>31102192</v>
          </cell>
          <cell r="D6785">
            <v>31102192</v>
          </cell>
          <cell r="E6785">
            <v>31102192</v>
          </cell>
          <cell r="F6785">
            <v>31102192</v>
          </cell>
          <cell r="G6785">
            <v>31102192</v>
          </cell>
          <cell r="H6785">
            <v>31102192</v>
          </cell>
          <cell r="I6785" t="str">
            <v/>
          </cell>
          <cell r="J6785" t="str">
            <v/>
          </cell>
          <cell r="K6785" t="str">
            <v/>
          </cell>
          <cell r="L6785" t="str">
            <v/>
          </cell>
          <cell r="M6785" t="str">
            <v/>
          </cell>
        </row>
        <row r="6786">
          <cell r="A6786">
            <v>31102192</v>
          </cell>
          <cell r="C6786">
            <v>31102192</v>
          </cell>
          <cell r="D6786">
            <v>31102192</v>
          </cell>
          <cell r="E6786">
            <v>31102192</v>
          </cell>
          <cell r="F6786">
            <v>31102192</v>
          </cell>
          <cell r="G6786">
            <v>31102192</v>
          </cell>
          <cell r="H6786">
            <v>31102192</v>
          </cell>
          <cell r="I6786" t="str">
            <v/>
          </cell>
          <cell r="J6786" t="str">
            <v/>
          </cell>
          <cell r="K6786" t="str">
            <v/>
          </cell>
          <cell r="L6786" t="str">
            <v/>
          </cell>
          <cell r="M6786" t="str">
            <v/>
          </cell>
        </row>
        <row r="6787">
          <cell r="A6787">
            <v>31102192</v>
          </cell>
          <cell r="C6787">
            <v>31102192</v>
          </cell>
          <cell r="D6787">
            <v>31102192</v>
          </cell>
          <cell r="E6787">
            <v>31102192</v>
          </cell>
          <cell r="F6787">
            <v>31102192</v>
          </cell>
          <cell r="G6787">
            <v>31102192</v>
          </cell>
          <cell r="H6787">
            <v>31102192</v>
          </cell>
          <cell r="I6787" t="str">
            <v/>
          </cell>
          <cell r="J6787" t="str">
            <v/>
          </cell>
          <cell r="K6787" t="str">
            <v/>
          </cell>
          <cell r="L6787" t="str">
            <v/>
          </cell>
          <cell r="M6787" t="str">
            <v/>
          </cell>
        </row>
        <row r="6788">
          <cell r="A6788">
            <v>31102192</v>
          </cell>
          <cell r="C6788">
            <v>31102192</v>
          </cell>
          <cell r="D6788">
            <v>31102192</v>
          </cell>
          <cell r="E6788">
            <v>31102192</v>
          </cell>
          <cell r="F6788">
            <v>31102192</v>
          </cell>
          <cell r="G6788">
            <v>31102192</v>
          </cell>
          <cell r="H6788">
            <v>31102192</v>
          </cell>
          <cell r="I6788" t="str">
            <v/>
          </cell>
          <cell r="J6788" t="str">
            <v/>
          </cell>
          <cell r="K6788" t="str">
            <v/>
          </cell>
          <cell r="L6788" t="str">
            <v/>
          </cell>
          <cell r="M6788" t="str">
            <v/>
          </cell>
        </row>
        <row r="6789">
          <cell r="A6789">
            <v>31102192</v>
          </cell>
          <cell r="C6789">
            <v>31102192</v>
          </cell>
          <cell r="D6789">
            <v>31102192</v>
          </cell>
          <cell r="E6789">
            <v>31102192</v>
          </cell>
          <cell r="F6789">
            <v>31102192</v>
          </cell>
          <cell r="G6789">
            <v>31102192</v>
          </cell>
          <cell r="H6789">
            <v>31102192</v>
          </cell>
          <cell r="I6789" t="str">
            <v/>
          </cell>
          <cell r="J6789" t="str">
            <v/>
          </cell>
          <cell r="K6789" t="str">
            <v/>
          </cell>
          <cell r="L6789" t="str">
            <v/>
          </cell>
          <cell r="M6789" t="str">
            <v/>
          </cell>
        </row>
        <row r="6790">
          <cell r="A6790">
            <v>31102192</v>
          </cell>
          <cell r="C6790">
            <v>31102192</v>
          </cell>
          <cell r="D6790">
            <v>31102192</v>
          </cell>
          <cell r="E6790">
            <v>31102192</v>
          </cell>
          <cell r="F6790">
            <v>31102192</v>
          </cell>
          <cell r="G6790">
            <v>31102192</v>
          </cell>
          <cell r="H6790">
            <v>31102192</v>
          </cell>
          <cell r="I6790" t="str">
            <v/>
          </cell>
          <cell r="J6790" t="str">
            <v/>
          </cell>
          <cell r="K6790" t="str">
            <v/>
          </cell>
          <cell r="L6790" t="str">
            <v/>
          </cell>
          <cell r="M6790" t="str">
            <v/>
          </cell>
        </row>
        <row r="6791">
          <cell r="A6791">
            <v>31102192</v>
          </cell>
          <cell r="C6791">
            <v>31102192</v>
          </cell>
          <cell r="D6791">
            <v>31102192</v>
          </cell>
          <cell r="E6791">
            <v>31102192</v>
          </cell>
          <cell r="F6791">
            <v>31102192</v>
          </cell>
          <cell r="G6791">
            <v>31102192</v>
          </cell>
          <cell r="H6791">
            <v>31102192</v>
          </cell>
          <cell r="I6791" t="str">
            <v/>
          </cell>
          <cell r="J6791" t="str">
            <v/>
          </cell>
          <cell r="K6791" t="str">
            <v/>
          </cell>
          <cell r="L6791" t="str">
            <v/>
          </cell>
          <cell r="M6791" t="str">
            <v/>
          </cell>
        </row>
        <row r="6792">
          <cell r="A6792">
            <v>31102192</v>
          </cell>
          <cell r="C6792">
            <v>31102192</v>
          </cell>
          <cell r="D6792">
            <v>31102192</v>
          </cell>
          <cell r="E6792">
            <v>31102192</v>
          </cell>
          <cell r="F6792">
            <v>31102192</v>
          </cell>
          <cell r="G6792">
            <v>31102192</v>
          </cell>
          <cell r="H6792">
            <v>31102192</v>
          </cell>
          <cell r="I6792" t="str">
            <v/>
          </cell>
          <cell r="J6792" t="str">
            <v/>
          </cell>
          <cell r="K6792" t="str">
            <v/>
          </cell>
          <cell r="L6792" t="str">
            <v/>
          </cell>
          <cell r="M6792" t="str">
            <v/>
          </cell>
        </row>
        <row r="6793">
          <cell r="A6793">
            <v>31102192</v>
          </cell>
          <cell r="C6793">
            <v>31102192</v>
          </cell>
          <cell r="D6793">
            <v>31102192</v>
          </cell>
          <cell r="E6793">
            <v>31102192</v>
          </cell>
          <cell r="F6793">
            <v>31102192</v>
          </cell>
          <cell r="G6793">
            <v>31102192</v>
          </cell>
          <cell r="H6793">
            <v>31102192</v>
          </cell>
          <cell r="I6793" t="str">
            <v/>
          </cell>
          <cell r="J6793" t="str">
            <v/>
          </cell>
          <cell r="K6793" t="str">
            <v/>
          </cell>
          <cell r="L6793" t="str">
            <v/>
          </cell>
          <cell r="M6793" t="str">
            <v/>
          </cell>
        </row>
        <row r="6794">
          <cell r="A6794">
            <v>31102192</v>
          </cell>
          <cell r="C6794">
            <v>31102192</v>
          </cell>
          <cell r="D6794">
            <v>31102192</v>
          </cell>
          <cell r="E6794">
            <v>31102192</v>
          </cell>
          <cell r="F6794">
            <v>31102192</v>
          </cell>
          <cell r="G6794">
            <v>31102192</v>
          </cell>
          <cell r="H6794">
            <v>31102192</v>
          </cell>
          <cell r="I6794" t="str">
            <v/>
          </cell>
          <cell r="J6794" t="str">
            <v/>
          </cell>
          <cell r="K6794" t="str">
            <v/>
          </cell>
          <cell r="L6794" t="str">
            <v/>
          </cell>
          <cell r="M6794" t="str">
            <v/>
          </cell>
        </row>
        <row r="6795">
          <cell r="A6795">
            <v>31102192</v>
          </cell>
          <cell r="C6795">
            <v>31102192</v>
          </cell>
          <cell r="D6795">
            <v>31102192</v>
          </cell>
          <cell r="E6795">
            <v>31102192</v>
          </cell>
          <cell r="F6795">
            <v>31102192</v>
          </cell>
          <cell r="G6795">
            <v>31102192</v>
          </cell>
          <cell r="H6795">
            <v>31102192</v>
          </cell>
          <cell r="I6795" t="str">
            <v/>
          </cell>
          <cell r="J6795" t="str">
            <v/>
          </cell>
          <cell r="K6795" t="str">
            <v/>
          </cell>
          <cell r="L6795" t="str">
            <v/>
          </cell>
          <cell r="M6795" t="str">
            <v/>
          </cell>
        </row>
        <row r="6796">
          <cell r="A6796">
            <v>31102192</v>
          </cell>
          <cell r="C6796">
            <v>31102192</v>
          </cell>
          <cell r="D6796">
            <v>31102192</v>
          </cell>
          <cell r="E6796">
            <v>31102192</v>
          </cell>
          <cell r="F6796">
            <v>31102192</v>
          </cell>
          <cell r="G6796">
            <v>31102192</v>
          </cell>
          <cell r="H6796">
            <v>31102192</v>
          </cell>
          <cell r="I6796" t="str">
            <v/>
          </cell>
          <cell r="J6796" t="str">
            <v/>
          </cell>
          <cell r="K6796" t="str">
            <v/>
          </cell>
          <cell r="L6796" t="str">
            <v/>
          </cell>
          <cell r="M6796" t="str">
            <v/>
          </cell>
        </row>
        <row r="6797">
          <cell r="A6797">
            <v>31102192</v>
          </cell>
          <cell r="C6797">
            <v>31102192</v>
          </cell>
          <cell r="D6797">
            <v>31102192</v>
          </cell>
          <cell r="E6797">
            <v>31102192</v>
          </cell>
          <cell r="F6797">
            <v>31102192</v>
          </cell>
          <cell r="G6797">
            <v>31102192</v>
          </cell>
          <cell r="H6797">
            <v>31102192</v>
          </cell>
          <cell r="I6797" t="str">
            <v/>
          </cell>
          <cell r="J6797" t="str">
            <v/>
          </cell>
          <cell r="K6797" t="str">
            <v/>
          </cell>
          <cell r="L6797" t="str">
            <v/>
          </cell>
          <cell r="M6797" t="str">
            <v/>
          </cell>
        </row>
        <row r="6798">
          <cell r="A6798">
            <v>31102192</v>
          </cell>
          <cell r="C6798">
            <v>31102192</v>
          </cell>
          <cell r="D6798">
            <v>31102192</v>
          </cell>
          <cell r="E6798">
            <v>31102192</v>
          </cell>
          <cell r="F6798">
            <v>31102192</v>
          </cell>
          <cell r="G6798">
            <v>31102192</v>
          </cell>
          <cell r="H6798">
            <v>31102192</v>
          </cell>
          <cell r="I6798" t="str">
            <v/>
          </cell>
          <cell r="J6798" t="str">
            <v/>
          </cell>
          <cell r="K6798" t="str">
            <v/>
          </cell>
          <cell r="L6798" t="str">
            <v/>
          </cell>
          <cell r="M6798" t="str">
            <v/>
          </cell>
        </row>
        <row r="6799">
          <cell r="A6799">
            <v>31102192</v>
          </cell>
          <cell r="C6799">
            <v>31102192</v>
          </cell>
          <cell r="D6799">
            <v>31102192</v>
          </cell>
          <cell r="E6799">
            <v>31102192</v>
          </cell>
          <cell r="F6799">
            <v>31102192</v>
          </cell>
          <cell r="G6799">
            <v>31102192</v>
          </cell>
          <cell r="H6799">
            <v>31102192</v>
          </cell>
          <cell r="I6799" t="str">
            <v/>
          </cell>
          <cell r="J6799" t="str">
            <v/>
          </cell>
          <cell r="K6799" t="str">
            <v/>
          </cell>
          <cell r="L6799" t="str">
            <v/>
          </cell>
          <cell r="M6799" t="str">
            <v/>
          </cell>
        </row>
        <row r="6800">
          <cell r="A6800">
            <v>31102192</v>
          </cell>
          <cell r="C6800">
            <v>31102192</v>
          </cell>
          <cell r="D6800">
            <v>31102192</v>
          </cell>
          <cell r="E6800">
            <v>31102192</v>
          </cell>
          <cell r="F6800">
            <v>31102192</v>
          </cell>
          <cell r="G6800">
            <v>31102192</v>
          </cell>
          <cell r="H6800">
            <v>31102192</v>
          </cell>
          <cell r="I6800" t="str">
            <v/>
          </cell>
          <cell r="J6800" t="str">
            <v/>
          </cell>
          <cell r="K6800" t="str">
            <v/>
          </cell>
          <cell r="L6800" t="str">
            <v/>
          </cell>
          <cell r="M6800" t="str">
            <v/>
          </cell>
        </row>
        <row r="6801">
          <cell r="A6801">
            <v>31102192</v>
          </cell>
          <cell r="C6801">
            <v>31102192</v>
          </cell>
          <cell r="D6801">
            <v>31102192</v>
          </cell>
          <cell r="E6801">
            <v>31102192</v>
          </cell>
          <cell r="F6801">
            <v>31102192</v>
          </cell>
          <cell r="G6801">
            <v>31102192</v>
          </cell>
          <cell r="H6801">
            <v>31102192</v>
          </cell>
          <cell r="I6801" t="str">
            <v/>
          </cell>
          <cell r="J6801" t="str">
            <v/>
          </cell>
          <cell r="K6801" t="str">
            <v/>
          </cell>
          <cell r="L6801" t="str">
            <v/>
          </cell>
          <cell r="M6801" t="str">
            <v/>
          </cell>
        </row>
        <row r="6802">
          <cell r="A6802">
            <v>31102192</v>
          </cell>
          <cell r="C6802">
            <v>31102192</v>
          </cell>
          <cell r="D6802">
            <v>31102192</v>
          </cell>
          <cell r="E6802">
            <v>31102192</v>
          </cell>
          <cell r="F6802">
            <v>31102192</v>
          </cell>
          <cell r="G6802">
            <v>31102192</v>
          </cell>
          <cell r="H6802">
            <v>31102192</v>
          </cell>
          <cell r="I6802" t="str">
            <v/>
          </cell>
          <cell r="J6802" t="str">
            <v/>
          </cell>
          <cell r="K6802" t="str">
            <v/>
          </cell>
          <cell r="L6802" t="str">
            <v/>
          </cell>
          <cell r="M6802" t="str">
            <v/>
          </cell>
        </row>
        <row r="6803">
          <cell r="A6803">
            <v>31102192</v>
          </cell>
          <cell r="C6803">
            <v>31102192</v>
          </cell>
          <cell r="D6803">
            <v>31102192</v>
          </cell>
          <cell r="E6803">
            <v>31102192</v>
          </cell>
          <cell r="F6803">
            <v>31102192</v>
          </cell>
          <cell r="G6803">
            <v>31102192</v>
          </cell>
          <cell r="H6803">
            <v>31102192</v>
          </cell>
          <cell r="I6803" t="str">
            <v/>
          </cell>
          <cell r="J6803" t="str">
            <v/>
          </cell>
          <cell r="K6803" t="str">
            <v/>
          </cell>
          <cell r="L6803" t="str">
            <v/>
          </cell>
          <cell r="M6803" t="str">
            <v/>
          </cell>
        </row>
        <row r="6804">
          <cell r="A6804">
            <v>31102192</v>
          </cell>
          <cell r="C6804">
            <v>31102192</v>
          </cell>
          <cell r="D6804">
            <v>31102192</v>
          </cell>
          <cell r="E6804">
            <v>31102192</v>
          </cell>
          <cell r="F6804">
            <v>31102192</v>
          </cell>
          <cell r="G6804">
            <v>31102192</v>
          </cell>
          <cell r="H6804">
            <v>31102192</v>
          </cell>
          <cell r="I6804" t="str">
            <v/>
          </cell>
          <cell r="J6804" t="str">
            <v/>
          </cell>
          <cell r="K6804" t="str">
            <v/>
          </cell>
          <cell r="L6804" t="str">
            <v/>
          </cell>
          <cell r="M6804" t="str">
            <v/>
          </cell>
        </row>
        <row r="6805">
          <cell r="A6805">
            <v>31102192</v>
          </cell>
          <cell r="C6805">
            <v>31102192</v>
          </cell>
          <cell r="D6805">
            <v>31102192</v>
          </cell>
          <cell r="E6805">
            <v>31102192</v>
          </cell>
          <cell r="F6805">
            <v>31102192</v>
          </cell>
          <cell r="G6805">
            <v>31102192</v>
          </cell>
          <cell r="H6805">
            <v>31102192</v>
          </cell>
          <cell r="I6805" t="str">
            <v/>
          </cell>
          <cell r="J6805" t="str">
            <v/>
          </cell>
          <cell r="K6805" t="str">
            <v/>
          </cell>
          <cell r="L6805" t="str">
            <v/>
          </cell>
          <cell r="M6805" t="str">
            <v/>
          </cell>
        </row>
        <row r="6806">
          <cell r="A6806">
            <v>31102192</v>
          </cell>
          <cell r="C6806">
            <v>31102192</v>
          </cell>
          <cell r="D6806">
            <v>31102192</v>
          </cell>
          <cell r="E6806">
            <v>31102192</v>
          </cell>
          <cell r="F6806">
            <v>31102192</v>
          </cell>
          <cell r="G6806">
            <v>31102192</v>
          </cell>
          <cell r="H6806">
            <v>31102192</v>
          </cell>
          <cell r="I6806" t="str">
            <v/>
          </cell>
          <cell r="J6806" t="str">
            <v/>
          </cell>
          <cell r="K6806" t="str">
            <v/>
          </cell>
          <cell r="L6806" t="str">
            <v/>
          </cell>
          <cell r="M6806" t="str">
            <v/>
          </cell>
        </row>
        <row r="6807">
          <cell r="A6807">
            <v>31102192</v>
          </cell>
          <cell r="C6807">
            <v>31102192</v>
          </cell>
          <cell r="D6807">
            <v>31102192</v>
          </cell>
          <cell r="E6807">
            <v>31102192</v>
          </cell>
          <cell r="F6807">
            <v>31102192</v>
          </cell>
          <cell r="G6807">
            <v>31102192</v>
          </cell>
          <cell r="H6807">
            <v>31102192</v>
          </cell>
          <cell r="I6807" t="str">
            <v/>
          </cell>
          <cell r="J6807" t="str">
            <v/>
          </cell>
          <cell r="K6807" t="str">
            <v/>
          </cell>
          <cell r="L6807" t="str">
            <v/>
          </cell>
          <cell r="M6807" t="str">
            <v/>
          </cell>
        </row>
        <row r="6808">
          <cell r="A6808">
            <v>31102192</v>
          </cell>
          <cell r="C6808">
            <v>31102192</v>
          </cell>
          <cell r="D6808">
            <v>31102192</v>
          </cell>
          <cell r="E6808">
            <v>31102192</v>
          </cell>
          <cell r="F6808">
            <v>31102192</v>
          </cell>
          <cell r="G6808">
            <v>31102192</v>
          </cell>
          <cell r="H6808">
            <v>31102192</v>
          </cell>
          <cell r="I6808" t="str">
            <v/>
          </cell>
          <cell r="J6808" t="str">
            <v/>
          </cell>
          <cell r="K6808" t="str">
            <v/>
          </cell>
          <cell r="L6808" t="str">
            <v/>
          </cell>
          <cell r="M6808" t="str">
            <v/>
          </cell>
        </row>
        <row r="6809">
          <cell r="A6809">
            <v>31102192</v>
          </cell>
          <cell r="C6809">
            <v>31102192</v>
          </cell>
          <cell r="D6809">
            <v>31102192</v>
          </cell>
          <cell r="E6809">
            <v>31102192</v>
          </cell>
          <cell r="F6809">
            <v>31102192</v>
          </cell>
          <cell r="G6809">
            <v>31102192</v>
          </cell>
          <cell r="H6809">
            <v>31102192</v>
          </cell>
          <cell r="I6809" t="str">
            <v/>
          </cell>
          <cell r="J6809" t="str">
            <v/>
          </cell>
          <cell r="K6809" t="str">
            <v/>
          </cell>
          <cell r="L6809" t="str">
            <v/>
          </cell>
          <cell r="M6809" t="str">
            <v/>
          </cell>
        </row>
        <row r="6810">
          <cell r="A6810">
            <v>31102192</v>
          </cell>
          <cell r="C6810">
            <v>31102192</v>
          </cell>
          <cell r="D6810">
            <v>31102192</v>
          </cell>
          <cell r="E6810">
            <v>31102192</v>
          </cell>
          <cell r="F6810">
            <v>31102192</v>
          </cell>
          <cell r="G6810">
            <v>31102192</v>
          </cell>
          <cell r="H6810">
            <v>31102192</v>
          </cell>
          <cell r="I6810" t="str">
            <v/>
          </cell>
          <cell r="J6810" t="str">
            <v/>
          </cell>
          <cell r="K6810" t="str">
            <v/>
          </cell>
          <cell r="L6810" t="str">
            <v/>
          </cell>
          <cell r="M6810" t="str">
            <v/>
          </cell>
        </row>
        <row r="6811">
          <cell r="A6811">
            <v>31102192</v>
          </cell>
          <cell r="C6811">
            <v>31102192</v>
          </cell>
          <cell r="D6811">
            <v>31102192</v>
          </cell>
          <cell r="E6811">
            <v>31102192</v>
          </cell>
          <cell r="F6811">
            <v>31102192</v>
          </cell>
          <cell r="G6811">
            <v>31102192</v>
          </cell>
          <cell r="H6811">
            <v>31102192</v>
          </cell>
          <cell r="I6811" t="str">
            <v/>
          </cell>
          <cell r="J6811" t="str">
            <v/>
          </cell>
          <cell r="K6811" t="str">
            <v/>
          </cell>
          <cell r="L6811" t="str">
            <v/>
          </cell>
          <cell r="M6811" t="str">
            <v/>
          </cell>
        </row>
        <row r="6812">
          <cell r="A6812">
            <v>31102192</v>
          </cell>
          <cell r="C6812">
            <v>31102192</v>
          </cell>
          <cell r="D6812">
            <v>31102192</v>
          </cell>
          <cell r="E6812">
            <v>31102192</v>
          </cell>
          <cell r="F6812">
            <v>31102192</v>
          </cell>
          <cell r="G6812">
            <v>31102192</v>
          </cell>
          <cell r="H6812">
            <v>31102192</v>
          </cell>
          <cell r="I6812" t="str">
            <v/>
          </cell>
          <cell r="J6812" t="str">
            <v/>
          </cell>
          <cell r="K6812" t="str">
            <v/>
          </cell>
          <cell r="L6812" t="str">
            <v/>
          </cell>
          <cell r="M6812" t="str">
            <v/>
          </cell>
        </row>
        <row r="6813">
          <cell r="A6813">
            <v>31102192</v>
          </cell>
          <cell r="C6813">
            <v>31102192</v>
          </cell>
          <cell r="D6813">
            <v>31102192</v>
          </cell>
          <cell r="E6813">
            <v>31102192</v>
          </cell>
          <cell r="F6813">
            <v>31102192</v>
          </cell>
          <cell r="G6813">
            <v>31102192</v>
          </cell>
          <cell r="H6813">
            <v>31102192</v>
          </cell>
          <cell r="I6813" t="str">
            <v/>
          </cell>
          <cell r="J6813" t="str">
            <v/>
          </cell>
          <cell r="K6813" t="str">
            <v/>
          </cell>
          <cell r="L6813" t="str">
            <v/>
          </cell>
          <cell r="M6813" t="str">
            <v/>
          </cell>
        </row>
        <row r="6814">
          <cell r="A6814">
            <v>31102192</v>
          </cell>
          <cell r="C6814">
            <v>31102192</v>
          </cell>
          <cell r="D6814">
            <v>31102192</v>
          </cell>
          <cell r="E6814">
            <v>31102192</v>
          </cell>
          <cell r="F6814">
            <v>31102192</v>
          </cell>
          <cell r="G6814">
            <v>31102192</v>
          </cell>
          <cell r="H6814">
            <v>31102192</v>
          </cell>
          <cell r="I6814" t="str">
            <v/>
          </cell>
          <cell r="J6814" t="str">
            <v/>
          </cell>
          <cell r="K6814" t="str">
            <v/>
          </cell>
          <cell r="L6814" t="str">
            <v/>
          </cell>
          <cell r="M6814" t="str">
            <v/>
          </cell>
        </row>
        <row r="6815">
          <cell r="A6815">
            <v>31102192</v>
          </cell>
          <cell r="C6815">
            <v>31102192</v>
          </cell>
          <cell r="D6815">
            <v>31102192</v>
          </cell>
          <cell r="E6815">
            <v>31102192</v>
          </cell>
          <cell r="F6815">
            <v>31102192</v>
          </cell>
          <cell r="G6815">
            <v>31102192</v>
          </cell>
          <cell r="H6815">
            <v>31102192</v>
          </cell>
          <cell r="I6815" t="str">
            <v/>
          </cell>
          <cell r="J6815" t="str">
            <v/>
          </cell>
          <cell r="K6815" t="str">
            <v/>
          </cell>
          <cell r="L6815" t="str">
            <v/>
          </cell>
          <cell r="M6815" t="str">
            <v/>
          </cell>
        </row>
        <row r="6816">
          <cell r="A6816">
            <v>31102192</v>
          </cell>
          <cell r="C6816">
            <v>31102192</v>
          </cell>
          <cell r="D6816">
            <v>31102192</v>
          </cell>
          <cell r="E6816">
            <v>31102192</v>
          </cell>
          <cell r="F6816">
            <v>31102192</v>
          </cell>
          <cell r="G6816">
            <v>31102192</v>
          </cell>
          <cell r="H6816">
            <v>31102192</v>
          </cell>
          <cell r="I6816" t="str">
            <v/>
          </cell>
          <cell r="J6816" t="str">
            <v/>
          </cell>
          <cell r="K6816" t="str">
            <v/>
          </cell>
          <cell r="L6816" t="str">
            <v/>
          </cell>
          <cell r="M6816" t="str">
            <v/>
          </cell>
        </row>
        <row r="6817">
          <cell r="A6817">
            <v>31102192</v>
          </cell>
          <cell r="C6817">
            <v>31102192</v>
          </cell>
          <cell r="D6817">
            <v>31102192</v>
          </cell>
          <cell r="E6817">
            <v>31102192</v>
          </cell>
          <cell r="F6817">
            <v>31102192</v>
          </cell>
          <cell r="G6817">
            <v>31102192</v>
          </cell>
          <cell r="H6817">
            <v>31102192</v>
          </cell>
          <cell r="I6817" t="str">
            <v/>
          </cell>
          <cell r="J6817" t="str">
            <v/>
          </cell>
          <cell r="K6817" t="str">
            <v/>
          </cell>
          <cell r="L6817" t="str">
            <v/>
          </cell>
          <cell r="M6817" t="str">
            <v/>
          </cell>
        </row>
        <row r="6818">
          <cell r="A6818">
            <v>31102192</v>
          </cell>
          <cell r="C6818">
            <v>31102192</v>
          </cell>
          <cell r="D6818">
            <v>31102192</v>
          </cell>
          <cell r="E6818">
            <v>31102192</v>
          </cell>
          <cell r="F6818">
            <v>31102192</v>
          </cell>
          <cell r="G6818">
            <v>31102192</v>
          </cell>
          <cell r="H6818">
            <v>31102192</v>
          </cell>
          <cell r="I6818" t="str">
            <v/>
          </cell>
          <cell r="J6818" t="str">
            <v/>
          </cell>
          <cell r="K6818" t="str">
            <v/>
          </cell>
          <cell r="L6818" t="str">
            <v/>
          </cell>
          <cell r="M6818" t="str">
            <v/>
          </cell>
        </row>
        <row r="6819">
          <cell r="A6819">
            <v>31102192</v>
          </cell>
          <cell r="C6819">
            <v>31102192</v>
          </cell>
          <cell r="D6819">
            <v>31102192</v>
          </cell>
          <cell r="E6819">
            <v>31102192</v>
          </cell>
          <cell r="F6819">
            <v>31102192</v>
          </cell>
          <cell r="G6819">
            <v>31102192</v>
          </cell>
          <cell r="H6819">
            <v>31102192</v>
          </cell>
          <cell r="I6819" t="str">
            <v/>
          </cell>
          <cell r="J6819" t="str">
            <v/>
          </cell>
          <cell r="K6819" t="str">
            <v/>
          </cell>
          <cell r="L6819" t="str">
            <v/>
          </cell>
          <cell r="M6819" t="str">
            <v/>
          </cell>
        </row>
        <row r="6820">
          <cell r="A6820">
            <v>31102192</v>
          </cell>
          <cell r="C6820">
            <v>31102192</v>
          </cell>
          <cell r="D6820">
            <v>31102192</v>
          </cell>
          <cell r="E6820">
            <v>31102192</v>
          </cell>
          <cell r="F6820">
            <v>31102192</v>
          </cell>
          <cell r="G6820">
            <v>31102192</v>
          </cell>
          <cell r="H6820">
            <v>31102192</v>
          </cell>
          <cell r="I6820" t="str">
            <v/>
          </cell>
          <cell r="J6820" t="str">
            <v/>
          </cell>
          <cell r="K6820" t="str">
            <v/>
          </cell>
          <cell r="L6820" t="str">
            <v/>
          </cell>
          <cell r="M6820" t="str">
            <v/>
          </cell>
        </row>
        <row r="6821">
          <cell r="A6821">
            <v>31102192</v>
          </cell>
          <cell r="C6821">
            <v>31102192</v>
          </cell>
          <cell r="D6821">
            <v>31102192</v>
          </cell>
          <cell r="E6821">
            <v>31102192</v>
          </cell>
          <cell r="F6821">
            <v>31102192</v>
          </cell>
          <cell r="G6821">
            <v>31102192</v>
          </cell>
          <cell r="H6821">
            <v>31102192</v>
          </cell>
          <cell r="I6821" t="str">
            <v/>
          </cell>
          <cell r="J6821" t="str">
            <v/>
          </cell>
          <cell r="K6821" t="str">
            <v/>
          </cell>
          <cell r="L6821" t="str">
            <v/>
          </cell>
          <cell r="M6821" t="str">
            <v/>
          </cell>
        </row>
        <row r="6822">
          <cell r="A6822">
            <v>31102192</v>
          </cell>
          <cell r="C6822">
            <v>31102192</v>
          </cell>
          <cell r="D6822">
            <v>31102192</v>
          </cell>
          <cell r="E6822">
            <v>31102192</v>
          </cell>
          <cell r="F6822">
            <v>31102192</v>
          </cell>
          <cell r="G6822">
            <v>31102192</v>
          </cell>
          <cell r="H6822">
            <v>31102192</v>
          </cell>
          <cell r="I6822" t="str">
            <v/>
          </cell>
          <cell r="J6822" t="str">
            <v/>
          </cell>
          <cell r="K6822" t="str">
            <v/>
          </cell>
          <cell r="L6822" t="str">
            <v/>
          </cell>
          <cell r="M6822" t="str">
            <v/>
          </cell>
        </row>
        <row r="6823">
          <cell r="A6823">
            <v>31102192</v>
          </cell>
          <cell r="C6823">
            <v>31102192</v>
          </cell>
          <cell r="D6823">
            <v>31102192</v>
          </cell>
          <cell r="E6823">
            <v>31102192</v>
          </cell>
          <cell r="F6823">
            <v>31102192</v>
          </cell>
          <cell r="G6823">
            <v>31102192</v>
          </cell>
          <cell r="H6823">
            <v>31102192</v>
          </cell>
          <cell r="I6823" t="str">
            <v/>
          </cell>
          <cell r="J6823" t="str">
            <v/>
          </cell>
          <cell r="K6823" t="str">
            <v/>
          </cell>
          <cell r="L6823" t="str">
            <v/>
          </cell>
          <cell r="M6823" t="str">
            <v/>
          </cell>
        </row>
        <row r="6824">
          <cell r="A6824">
            <v>31102192</v>
          </cell>
          <cell r="C6824">
            <v>31102192</v>
          </cell>
          <cell r="D6824">
            <v>31102192</v>
          </cell>
          <cell r="E6824">
            <v>31102192</v>
          </cell>
          <cell r="F6824">
            <v>31102192</v>
          </cell>
          <cell r="G6824">
            <v>31102192</v>
          </cell>
          <cell r="H6824">
            <v>31102192</v>
          </cell>
          <cell r="I6824" t="str">
            <v/>
          </cell>
          <cell r="J6824" t="str">
            <v/>
          </cell>
          <cell r="K6824" t="str">
            <v/>
          </cell>
          <cell r="L6824" t="str">
            <v/>
          </cell>
          <cell r="M6824" t="str">
            <v/>
          </cell>
        </row>
        <row r="6825">
          <cell r="A6825">
            <v>31102192</v>
          </cell>
          <cell r="C6825">
            <v>31102192</v>
          </cell>
          <cell r="D6825">
            <v>31102192</v>
          </cell>
          <cell r="E6825">
            <v>31102192</v>
          </cell>
          <cell r="F6825">
            <v>31102192</v>
          </cell>
          <cell r="G6825">
            <v>31102192</v>
          </cell>
          <cell r="H6825">
            <v>31102192</v>
          </cell>
          <cell r="I6825" t="str">
            <v/>
          </cell>
          <cell r="J6825" t="str">
            <v/>
          </cell>
          <cell r="K6825" t="str">
            <v/>
          </cell>
          <cell r="L6825" t="str">
            <v/>
          </cell>
          <cell r="M6825" t="str">
            <v/>
          </cell>
        </row>
        <row r="6826">
          <cell r="A6826">
            <v>31102192</v>
          </cell>
          <cell r="C6826">
            <v>31102192</v>
          </cell>
          <cell r="D6826">
            <v>31102192</v>
          </cell>
          <cell r="E6826">
            <v>31102192</v>
          </cell>
          <cell r="F6826">
            <v>31102192</v>
          </cell>
          <cell r="G6826">
            <v>31102192</v>
          </cell>
          <cell r="H6826">
            <v>31102192</v>
          </cell>
          <cell r="I6826" t="str">
            <v/>
          </cell>
          <cell r="J6826" t="str">
            <v/>
          </cell>
          <cell r="K6826" t="str">
            <v/>
          </cell>
          <cell r="L6826" t="str">
            <v/>
          </cell>
          <cell r="M6826" t="str">
            <v/>
          </cell>
        </row>
        <row r="6827">
          <cell r="A6827">
            <v>31102192</v>
          </cell>
          <cell r="C6827">
            <v>31102192</v>
          </cell>
          <cell r="D6827">
            <v>31102192</v>
          </cell>
          <cell r="E6827">
            <v>31102192</v>
          </cell>
          <cell r="F6827">
            <v>31102192</v>
          </cell>
          <cell r="G6827">
            <v>31102192</v>
          </cell>
          <cell r="H6827">
            <v>31102192</v>
          </cell>
          <cell r="I6827" t="str">
            <v/>
          </cell>
          <cell r="J6827" t="str">
            <v/>
          </cell>
          <cell r="K6827" t="str">
            <v/>
          </cell>
          <cell r="L6827" t="str">
            <v/>
          </cell>
          <cell r="M6827" t="str">
            <v/>
          </cell>
        </row>
        <row r="6828">
          <cell r="A6828">
            <v>31102192</v>
          </cell>
          <cell r="C6828">
            <v>31102192</v>
          </cell>
          <cell r="D6828">
            <v>31102192</v>
          </cell>
          <cell r="E6828">
            <v>31102192</v>
          </cell>
          <cell r="F6828">
            <v>31102192</v>
          </cell>
          <cell r="G6828">
            <v>31102192</v>
          </cell>
          <cell r="H6828">
            <v>31102192</v>
          </cell>
          <cell r="I6828" t="str">
            <v/>
          </cell>
          <cell r="J6828" t="str">
            <v/>
          </cell>
          <cell r="K6828" t="str">
            <v/>
          </cell>
          <cell r="L6828" t="str">
            <v/>
          </cell>
          <cell r="M6828" t="str">
            <v/>
          </cell>
        </row>
        <row r="6829">
          <cell r="A6829">
            <v>31102192</v>
          </cell>
          <cell r="C6829">
            <v>31102192</v>
          </cell>
          <cell r="D6829">
            <v>31102192</v>
          </cell>
          <cell r="E6829">
            <v>31102192</v>
          </cell>
          <cell r="F6829">
            <v>31102192</v>
          </cell>
          <cell r="G6829">
            <v>31102192</v>
          </cell>
          <cell r="H6829">
            <v>31102192</v>
          </cell>
          <cell r="I6829" t="str">
            <v/>
          </cell>
          <cell r="J6829" t="str">
            <v/>
          </cell>
          <cell r="K6829" t="str">
            <v/>
          </cell>
          <cell r="L6829" t="str">
            <v/>
          </cell>
          <cell r="M6829" t="str">
            <v/>
          </cell>
        </row>
        <row r="6830">
          <cell r="A6830">
            <v>31102192</v>
          </cell>
          <cell r="C6830">
            <v>31102192</v>
          </cell>
          <cell r="D6830">
            <v>31102192</v>
          </cell>
          <cell r="E6830">
            <v>31102192</v>
          </cell>
          <cell r="F6830">
            <v>31102192</v>
          </cell>
          <cell r="G6830">
            <v>31102192</v>
          </cell>
          <cell r="H6830">
            <v>31102192</v>
          </cell>
          <cell r="I6830" t="str">
            <v/>
          </cell>
          <cell r="J6830" t="str">
            <v/>
          </cell>
          <cell r="K6830" t="str">
            <v/>
          </cell>
          <cell r="L6830" t="str">
            <v/>
          </cell>
          <cell r="M6830" t="str">
            <v/>
          </cell>
        </row>
        <row r="6831">
          <cell r="A6831">
            <v>31102192</v>
          </cell>
          <cell r="C6831">
            <v>31102192</v>
          </cell>
          <cell r="D6831">
            <v>31102192</v>
          </cell>
          <cell r="E6831">
            <v>31102192</v>
          </cell>
          <cell r="F6831">
            <v>31102192</v>
          </cell>
          <cell r="G6831">
            <v>31102192</v>
          </cell>
          <cell r="H6831">
            <v>31102192</v>
          </cell>
          <cell r="I6831" t="str">
            <v/>
          </cell>
          <cell r="J6831" t="str">
            <v/>
          </cell>
          <cell r="K6831" t="str">
            <v/>
          </cell>
          <cell r="L6831" t="str">
            <v/>
          </cell>
          <cell r="M6831" t="str">
            <v/>
          </cell>
        </row>
        <row r="6832">
          <cell r="A6832">
            <v>31102192</v>
          </cell>
          <cell r="C6832">
            <v>31102192</v>
          </cell>
          <cell r="D6832">
            <v>31102192</v>
          </cell>
          <cell r="E6832">
            <v>31102192</v>
          </cell>
          <cell r="F6832">
            <v>31102192</v>
          </cell>
          <cell r="G6832">
            <v>31102192</v>
          </cell>
          <cell r="H6832">
            <v>31102192</v>
          </cell>
          <cell r="I6832" t="str">
            <v/>
          </cell>
          <cell r="J6832" t="str">
            <v/>
          </cell>
          <cell r="K6832" t="str">
            <v/>
          </cell>
          <cell r="L6832" t="str">
            <v/>
          </cell>
          <cell r="M6832" t="str">
            <v/>
          </cell>
        </row>
        <row r="6833">
          <cell r="A6833">
            <v>31102192</v>
          </cell>
          <cell r="C6833">
            <v>31102192</v>
          </cell>
          <cell r="D6833">
            <v>31102192</v>
          </cell>
          <cell r="E6833">
            <v>31102192</v>
          </cell>
          <cell r="F6833">
            <v>31102192</v>
          </cell>
          <cell r="G6833">
            <v>31102192</v>
          </cell>
          <cell r="H6833">
            <v>31102192</v>
          </cell>
          <cell r="I6833" t="str">
            <v/>
          </cell>
          <cell r="J6833" t="str">
            <v/>
          </cell>
          <cell r="K6833" t="str">
            <v/>
          </cell>
          <cell r="L6833" t="str">
            <v/>
          </cell>
          <cell r="M6833" t="str">
            <v/>
          </cell>
        </row>
        <row r="6834">
          <cell r="A6834">
            <v>31102192</v>
          </cell>
          <cell r="C6834">
            <v>31102192</v>
          </cell>
          <cell r="D6834">
            <v>31102192</v>
          </cell>
          <cell r="E6834">
            <v>31102192</v>
          </cell>
          <cell r="F6834">
            <v>31102192</v>
          </cell>
          <cell r="G6834">
            <v>31102192</v>
          </cell>
          <cell r="H6834">
            <v>31102192</v>
          </cell>
          <cell r="I6834" t="str">
            <v/>
          </cell>
          <cell r="J6834" t="str">
            <v/>
          </cell>
          <cell r="K6834" t="str">
            <v/>
          </cell>
          <cell r="L6834" t="str">
            <v/>
          </cell>
          <cell r="M6834" t="str">
            <v/>
          </cell>
        </row>
        <row r="6835">
          <cell r="A6835">
            <v>31102192</v>
          </cell>
          <cell r="C6835">
            <v>31102192</v>
          </cell>
          <cell r="D6835">
            <v>31102192</v>
          </cell>
          <cell r="E6835">
            <v>31102192</v>
          </cell>
          <cell r="F6835">
            <v>31102192</v>
          </cell>
          <cell r="G6835">
            <v>31102192</v>
          </cell>
          <cell r="H6835">
            <v>31102192</v>
          </cell>
          <cell r="I6835" t="str">
            <v/>
          </cell>
          <cell r="J6835" t="str">
            <v/>
          </cell>
          <cell r="K6835" t="str">
            <v/>
          </cell>
          <cell r="L6835" t="str">
            <v/>
          </cell>
          <cell r="M6835" t="str">
            <v/>
          </cell>
        </row>
        <row r="6836">
          <cell r="A6836">
            <v>31102192</v>
          </cell>
          <cell r="C6836">
            <v>31102192</v>
          </cell>
          <cell r="D6836">
            <v>31102192</v>
          </cell>
          <cell r="E6836">
            <v>31102192</v>
          </cell>
          <cell r="F6836">
            <v>31102192</v>
          </cell>
          <cell r="G6836">
            <v>31102192</v>
          </cell>
          <cell r="H6836">
            <v>31102192</v>
          </cell>
          <cell r="I6836" t="str">
            <v/>
          </cell>
          <cell r="J6836" t="str">
            <v/>
          </cell>
          <cell r="K6836" t="str">
            <v/>
          </cell>
          <cell r="L6836" t="str">
            <v/>
          </cell>
          <cell r="M6836" t="str">
            <v/>
          </cell>
        </row>
        <row r="6837">
          <cell r="A6837">
            <v>31102192</v>
          </cell>
          <cell r="C6837">
            <v>31102192</v>
          </cell>
          <cell r="D6837">
            <v>31102192</v>
          </cell>
          <cell r="E6837">
            <v>31102192</v>
          </cell>
          <cell r="F6837">
            <v>31102192</v>
          </cell>
          <cell r="G6837">
            <v>31102192</v>
          </cell>
          <cell r="H6837">
            <v>31102192</v>
          </cell>
          <cell r="I6837" t="str">
            <v/>
          </cell>
          <cell r="J6837" t="str">
            <v/>
          </cell>
          <cell r="K6837" t="str">
            <v/>
          </cell>
          <cell r="L6837" t="str">
            <v/>
          </cell>
          <cell r="M6837" t="str">
            <v/>
          </cell>
        </row>
        <row r="6838">
          <cell r="A6838">
            <v>31102192</v>
          </cell>
          <cell r="C6838">
            <v>31102192</v>
          </cell>
          <cell r="D6838">
            <v>31102192</v>
          </cell>
          <cell r="E6838">
            <v>31102192</v>
          </cell>
          <cell r="F6838">
            <v>31102192</v>
          </cell>
          <cell r="G6838">
            <v>31102192</v>
          </cell>
          <cell r="H6838">
            <v>31102192</v>
          </cell>
          <cell r="I6838" t="str">
            <v/>
          </cell>
          <cell r="J6838" t="str">
            <v/>
          </cell>
          <cell r="K6838" t="str">
            <v/>
          </cell>
          <cell r="L6838" t="str">
            <v/>
          </cell>
          <cell r="M6838" t="str">
            <v/>
          </cell>
        </row>
        <row r="6839">
          <cell r="A6839">
            <v>31102192</v>
          </cell>
          <cell r="C6839">
            <v>31102192</v>
          </cell>
          <cell r="D6839">
            <v>31102192</v>
          </cell>
          <cell r="E6839">
            <v>31102192</v>
          </cell>
          <cell r="F6839">
            <v>31102192</v>
          </cell>
          <cell r="G6839">
            <v>31102192</v>
          </cell>
          <cell r="H6839">
            <v>31102192</v>
          </cell>
          <cell r="I6839" t="str">
            <v/>
          </cell>
          <cell r="J6839" t="str">
            <v/>
          </cell>
          <cell r="K6839" t="str">
            <v/>
          </cell>
          <cell r="L6839" t="str">
            <v/>
          </cell>
          <cell r="M6839" t="str">
            <v/>
          </cell>
        </row>
        <row r="6840">
          <cell r="A6840">
            <v>31102192</v>
          </cell>
          <cell r="C6840">
            <v>31102192</v>
          </cell>
          <cell r="D6840">
            <v>31102192</v>
          </cell>
          <cell r="E6840">
            <v>31102192</v>
          </cell>
          <cell r="F6840">
            <v>31102192</v>
          </cell>
          <cell r="G6840">
            <v>31102192</v>
          </cell>
          <cell r="H6840">
            <v>31102192</v>
          </cell>
          <cell r="I6840" t="str">
            <v/>
          </cell>
          <cell r="J6840" t="str">
            <v/>
          </cell>
          <cell r="K6840" t="str">
            <v/>
          </cell>
          <cell r="L6840" t="str">
            <v/>
          </cell>
          <cell r="M6840" t="str">
            <v/>
          </cell>
        </row>
        <row r="6841">
          <cell r="A6841">
            <v>31102192</v>
          </cell>
          <cell r="C6841">
            <v>31102192</v>
          </cell>
          <cell r="D6841">
            <v>31102192</v>
          </cell>
          <cell r="E6841">
            <v>31102192</v>
          </cell>
          <cell r="F6841">
            <v>31102192</v>
          </cell>
          <cell r="G6841">
            <v>31102192</v>
          </cell>
          <cell r="H6841">
            <v>31102192</v>
          </cell>
          <cell r="I6841" t="str">
            <v/>
          </cell>
          <cell r="J6841" t="str">
            <v/>
          </cell>
          <cell r="K6841" t="str">
            <v/>
          </cell>
          <cell r="L6841" t="str">
            <v/>
          </cell>
          <cell r="M6841" t="str">
            <v/>
          </cell>
        </row>
        <row r="6842">
          <cell r="A6842">
            <v>31102192</v>
          </cell>
          <cell r="C6842">
            <v>31102192</v>
          </cell>
          <cell r="D6842">
            <v>31102192</v>
          </cell>
          <cell r="E6842">
            <v>31102192</v>
          </cell>
          <cell r="F6842">
            <v>31102192</v>
          </cell>
          <cell r="G6842">
            <v>31102192</v>
          </cell>
          <cell r="H6842">
            <v>31102192</v>
          </cell>
          <cell r="I6842" t="str">
            <v/>
          </cell>
          <cell r="J6842" t="str">
            <v/>
          </cell>
          <cell r="K6842" t="str">
            <v/>
          </cell>
          <cell r="L6842" t="str">
            <v/>
          </cell>
          <cell r="M6842" t="str">
            <v/>
          </cell>
        </row>
        <row r="6843">
          <cell r="A6843">
            <v>31102192</v>
          </cell>
          <cell r="C6843">
            <v>31102192</v>
          </cell>
          <cell r="D6843">
            <v>31102192</v>
          </cell>
          <cell r="E6843">
            <v>31102192</v>
          </cell>
          <cell r="F6843">
            <v>31102192</v>
          </cell>
          <cell r="G6843">
            <v>31102192</v>
          </cell>
          <cell r="H6843">
            <v>31102192</v>
          </cell>
          <cell r="I6843" t="str">
            <v/>
          </cell>
          <cell r="J6843" t="str">
            <v/>
          </cell>
          <cell r="K6843" t="str">
            <v/>
          </cell>
          <cell r="L6843" t="str">
            <v/>
          </cell>
          <cell r="M6843" t="str">
            <v/>
          </cell>
        </row>
        <row r="6844">
          <cell r="A6844">
            <v>31102192</v>
          </cell>
          <cell r="C6844">
            <v>31102192</v>
          </cell>
          <cell r="D6844">
            <v>31102192</v>
          </cell>
          <cell r="E6844">
            <v>31102192</v>
          </cell>
          <cell r="F6844">
            <v>31102192</v>
          </cell>
          <cell r="G6844">
            <v>31102192</v>
          </cell>
          <cell r="H6844">
            <v>31102192</v>
          </cell>
          <cell r="I6844" t="str">
            <v/>
          </cell>
          <cell r="J6844" t="str">
            <v/>
          </cell>
          <cell r="K6844" t="str">
            <v/>
          </cell>
          <cell r="L6844" t="str">
            <v/>
          </cell>
          <cell r="M6844" t="str">
            <v/>
          </cell>
        </row>
        <row r="6845">
          <cell r="A6845">
            <v>31102192</v>
          </cell>
          <cell r="C6845">
            <v>31102192</v>
          </cell>
          <cell r="D6845">
            <v>31102192</v>
          </cell>
          <cell r="E6845">
            <v>31102192</v>
          </cell>
          <cell r="F6845">
            <v>31102192</v>
          </cell>
          <cell r="G6845">
            <v>31102192</v>
          </cell>
          <cell r="H6845">
            <v>31102192</v>
          </cell>
          <cell r="I6845" t="str">
            <v/>
          </cell>
          <cell r="J6845" t="str">
            <v/>
          </cell>
          <cell r="K6845" t="str">
            <v/>
          </cell>
          <cell r="L6845" t="str">
            <v/>
          </cell>
          <cell r="M6845" t="str">
            <v/>
          </cell>
        </row>
        <row r="6846">
          <cell r="A6846">
            <v>31102192</v>
          </cell>
          <cell r="C6846">
            <v>31102192</v>
          </cell>
          <cell r="D6846">
            <v>31102192</v>
          </cell>
          <cell r="E6846">
            <v>31102192</v>
          </cell>
          <cell r="F6846">
            <v>31102192</v>
          </cell>
          <cell r="G6846">
            <v>31102192</v>
          </cell>
          <cell r="H6846">
            <v>31102192</v>
          </cell>
          <cell r="I6846" t="str">
            <v/>
          </cell>
          <cell r="J6846" t="str">
            <v/>
          </cell>
          <cell r="K6846" t="str">
            <v/>
          </cell>
          <cell r="L6846" t="str">
            <v/>
          </cell>
          <cell r="M6846" t="str">
            <v/>
          </cell>
        </row>
        <row r="6847">
          <cell r="A6847">
            <v>31102192</v>
          </cell>
          <cell r="C6847">
            <v>31102192</v>
          </cell>
          <cell r="D6847">
            <v>31102192</v>
          </cell>
          <cell r="E6847">
            <v>31102192</v>
          </cell>
          <cell r="F6847">
            <v>31102192</v>
          </cell>
          <cell r="G6847">
            <v>31102192</v>
          </cell>
          <cell r="H6847">
            <v>31102192</v>
          </cell>
          <cell r="I6847" t="str">
            <v/>
          </cell>
          <cell r="J6847" t="str">
            <v/>
          </cell>
          <cell r="K6847" t="str">
            <v/>
          </cell>
          <cell r="L6847" t="str">
            <v/>
          </cell>
          <cell r="M6847" t="str">
            <v/>
          </cell>
        </row>
        <row r="6848">
          <cell r="A6848">
            <v>31102192</v>
          </cell>
          <cell r="C6848">
            <v>31102192</v>
          </cell>
          <cell r="D6848">
            <v>31102192</v>
          </cell>
          <cell r="E6848">
            <v>31102192</v>
          </cell>
          <cell r="F6848">
            <v>31102192</v>
          </cell>
          <cell r="G6848">
            <v>31102192</v>
          </cell>
          <cell r="H6848">
            <v>31102192</v>
          </cell>
          <cell r="I6848" t="str">
            <v/>
          </cell>
          <cell r="J6848" t="str">
            <v/>
          </cell>
          <cell r="K6848" t="str">
            <v/>
          </cell>
          <cell r="L6848" t="str">
            <v/>
          </cell>
          <cell r="M6848" t="str">
            <v/>
          </cell>
        </row>
        <row r="6849">
          <cell r="A6849">
            <v>31102192</v>
          </cell>
          <cell r="C6849">
            <v>31102192</v>
          </cell>
          <cell r="D6849">
            <v>31102192</v>
          </cell>
          <cell r="E6849">
            <v>31102192</v>
          </cell>
          <cell r="F6849">
            <v>31102192</v>
          </cell>
          <cell r="G6849">
            <v>31102192</v>
          </cell>
          <cell r="H6849">
            <v>31102192</v>
          </cell>
          <cell r="I6849" t="str">
            <v/>
          </cell>
          <cell r="J6849" t="str">
            <v/>
          </cell>
          <cell r="K6849" t="str">
            <v/>
          </cell>
          <cell r="L6849" t="str">
            <v/>
          </cell>
          <cell r="M6849" t="str">
            <v/>
          </cell>
        </row>
        <row r="6850">
          <cell r="A6850">
            <v>31102192</v>
          </cell>
          <cell r="C6850">
            <v>31102192</v>
          </cell>
          <cell r="D6850">
            <v>31102192</v>
          </cell>
          <cell r="E6850">
            <v>31102192</v>
          </cell>
          <cell r="F6850">
            <v>31102192</v>
          </cell>
          <cell r="G6850">
            <v>31102192</v>
          </cell>
          <cell r="H6850">
            <v>31102192</v>
          </cell>
          <cell r="I6850" t="str">
            <v/>
          </cell>
          <cell r="J6850" t="str">
            <v/>
          </cell>
          <cell r="K6850" t="str">
            <v/>
          </cell>
          <cell r="L6850" t="str">
            <v/>
          </cell>
          <cell r="M6850" t="str">
            <v/>
          </cell>
        </row>
        <row r="6851">
          <cell r="A6851">
            <v>31102192</v>
          </cell>
          <cell r="C6851">
            <v>31102192</v>
          </cell>
          <cell r="D6851">
            <v>31102192</v>
          </cell>
          <cell r="E6851">
            <v>31102192</v>
          </cell>
          <cell r="F6851">
            <v>31102192</v>
          </cell>
          <cell r="G6851">
            <v>31102192</v>
          </cell>
          <cell r="H6851">
            <v>31102192</v>
          </cell>
          <cell r="I6851" t="str">
            <v/>
          </cell>
          <cell r="J6851" t="str">
            <v/>
          </cell>
          <cell r="K6851" t="str">
            <v/>
          </cell>
          <cell r="L6851" t="str">
            <v/>
          </cell>
          <cell r="M6851" t="str">
            <v/>
          </cell>
        </row>
        <row r="6852">
          <cell r="A6852">
            <v>31102192</v>
          </cell>
          <cell r="C6852">
            <v>31102192</v>
          </cell>
          <cell r="D6852">
            <v>31102192</v>
          </cell>
          <cell r="E6852">
            <v>31102192</v>
          </cell>
          <cell r="F6852">
            <v>31102192</v>
          </cell>
          <cell r="G6852">
            <v>31102192</v>
          </cell>
          <cell r="H6852">
            <v>31102192</v>
          </cell>
          <cell r="I6852" t="str">
            <v/>
          </cell>
          <cell r="J6852" t="str">
            <v/>
          </cell>
          <cell r="K6852" t="str">
            <v/>
          </cell>
          <cell r="L6852" t="str">
            <v/>
          </cell>
          <cell r="M6852" t="str">
            <v/>
          </cell>
        </row>
        <row r="6853">
          <cell r="A6853">
            <v>31102192</v>
          </cell>
          <cell r="C6853">
            <v>31102192</v>
          </cell>
          <cell r="D6853">
            <v>31102192</v>
          </cell>
          <cell r="E6853">
            <v>31102192</v>
          </cell>
          <cell r="F6853">
            <v>31102192</v>
          </cell>
          <cell r="G6853">
            <v>31102192</v>
          </cell>
          <cell r="H6853">
            <v>31102192</v>
          </cell>
          <cell r="I6853" t="str">
            <v/>
          </cell>
          <cell r="J6853" t="str">
            <v/>
          </cell>
          <cell r="K6853" t="str">
            <v/>
          </cell>
          <cell r="L6853" t="str">
            <v/>
          </cell>
          <cell r="M6853" t="str">
            <v/>
          </cell>
        </row>
        <row r="6854">
          <cell r="A6854">
            <v>31102192</v>
          </cell>
          <cell r="C6854">
            <v>31102192</v>
          </cell>
          <cell r="D6854">
            <v>31102192</v>
          </cell>
          <cell r="E6854">
            <v>31102192</v>
          </cell>
          <cell r="F6854">
            <v>31102192</v>
          </cell>
          <cell r="G6854">
            <v>31102192</v>
          </cell>
          <cell r="H6854">
            <v>31102192</v>
          </cell>
          <cell r="I6854" t="str">
            <v/>
          </cell>
          <cell r="J6854" t="str">
            <v/>
          </cell>
          <cell r="K6854" t="str">
            <v/>
          </cell>
          <cell r="L6854" t="str">
            <v/>
          </cell>
          <cell r="M6854" t="str">
            <v/>
          </cell>
        </row>
        <row r="6855">
          <cell r="A6855">
            <v>31102192</v>
          </cell>
          <cell r="C6855">
            <v>31102192</v>
          </cell>
          <cell r="D6855">
            <v>31102192</v>
          </cell>
          <cell r="E6855">
            <v>31102192</v>
          </cell>
          <cell r="F6855">
            <v>31102192</v>
          </cell>
          <cell r="G6855">
            <v>31102192</v>
          </cell>
          <cell r="H6855">
            <v>31102192</v>
          </cell>
          <cell r="I6855" t="str">
            <v/>
          </cell>
          <cell r="J6855" t="str">
            <v/>
          </cell>
          <cell r="K6855" t="str">
            <v/>
          </cell>
          <cell r="L6855" t="str">
            <v/>
          </cell>
          <cell r="M6855" t="str">
            <v/>
          </cell>
        </row>
        <row r="6856">
          <cell r="A6856">
            <v>31102192</v>
          </cell>
          <cell r="C6856">
            <v>31102192</v>
          </cell>
          <cell r="D6856">
            <v>31102192</v>
          </cell>
          <cell r="E6856">
            <v>31102192</v>
          </cell>
          <cell r="F6856">
            <v>31102192</v>
          </cell>
          <cell r="G6856">
            <v>31102192</v>
          </cell>
          <cell r="H6856">
            <v>31102192</v>
          </cell>
          <cell r="I6856" t="str">
            <v/>
          </cell>
          <cell r="J6856" t="str">
            <v/>
          </cell>
          <cell r="K6856" t="str">
            <v/>
          </cell>
          <cell r="L6856" t="str">
            <v/>
          </cell>
          <cell r="M6856" t="str">
            <v/>
          </cell>
        </row>
        <row r="6857">
          <cell r="A6857">
            <v>31102192</v>
          </cell>
          <cell r="C6857">
            <v>31102192</v>
          </cell>
          <cell r="D6857">
            <v>31102192</v>
          </cell>
          <cell r="E6857">
            <v>31102192</v>
          </cell>
          <cell r="F6857">
            <v>31102192</v>
          </cell>
          <cell r="G6857">
            <v>31102192</v>
          </cell>
          <cell r="H6857">
            <v>31102192</v>
          </cell>
          <cell r="I6857" t="str">
            <v/>
          </cell>
          <cell r="J6857" t="str">
            <v/>
          </cell>
          <cell r="K6857" t="str">
            <v/>
          </cell>
          <cell r="L6857" t="str">
            <v/>
          </cell>
          <cell r="M6857" t="str">
            <v/>
          </cell>
        </row>
        <row r="6858">
          <cell r="A6858">
            <v>31102192</v>
          </cell>
          <cell r="C6858">
            <v>31102192</v>
          </cell>
          <cell r="D6858">
            <v>31102192</v>
          </cell>
          <cell r="E6858">
            <v>31102192</v>
          </cell>
          <cell r="F6858">
            <v>31102192</v>
          </cell>
          <cell r="G6858">
            <v>31102192</v>
          </cell>
          <cell r="H6858">
            <v>31102192</v>
          </cell>
          <cell r="I6858" t="str">
            <v/>
          </cell>
          <cell r="J6858" t="str">
            <v/>
          </cell>
          <cell r="K6858" t="str">
            <v/>
          </cell>
          <cell r="L6858" t="str">
            <v/>
          </cell>
          <cell r="M6858" t="str">
            <v/>
          </cell>
        </row>
        <row r="6859">
          <cell r="A6859">
            <v>31102192</v>
          </cell>
          <cell r="C6859">
            <v>31102192</v>
          </cell>
          <cell r="D6859">
            <v>31102192</v>
          </cell>
          <cell r="E6859">
            <v>31102192</v>
          </cell>
          <cell r="F6859">
            <v>31102192</v>
          </cell>
          <cell r="G6859">
            <v>31102192</v>
          </cell>
          <cell r="H6859">
            <v>31102192</v>
          </cell>
          <cell r="I6859" t="str">
            <v/>
          </cell>
          <cell r="J6859" t="str">
            <v/>
          </cell>
          <cell r="K6859" t="str">
            <v/>
          </cell>
          <cell r="L6859" t="str">
            <v/>
          </cell>
          <cell r="M6859" t="str">
            <v/>
          </cell>
        </row>
        <row r="6860">
          <cell r="A6860">
            <v>31102192</v>
          </cell>
          <cell r="C6860">
            <v>31102192</v>
          </cell>
          <cell r="D6860">
            <v>31102192</v>
          </cell>
          <cell r="E6860">
            <v>31102192</v>
          </cell>
          <cell r="F6860">
            <v>31102192</v>
          </cell>
          <cell r="G6860">
            <v>31102192</v>
          </cell>
          <cell r="H6860">
            <v>31102192</v>
          </cell>
          <cell r="I6860" t="str">
            <v/>
          </cell>
          <cell r="J6860" t="str">
            <v/>
          </cell>
          <cell r="K6860" t="str">
            <v/>
          </cell>
          <cell r="L6860" t="str">
            <v/>
          </cell>
          <cell r="M6860" t="str">
            <v/>
          </cell>
        </row>
        <row r="6861">
          <cell r="A6861">
            <v>31102192</v>
          </cell>
          <cell r="C6861">
            <v>31102192</v>
          </cell>
          <cell r="D6861">
            <v>31102192</v>
          </cell>
          <cell r="E6861">
            <v>31102192</v>
          </cell>
          <cell r="F6861">
            <v>31102192</v>
          </cell>
          <cell r="G6861">
            <v>31102192</v>
          </cell>
          <cell r="H6861">
            <v>31102192</v>
          </cell>
          <cell r="I6861" t="str">
            <v/>
          </cell>
          <cell r="J6861" t="str">
            <v/>
          </cell>
          <cell r="K6861" t="str">
            <v/>
          </cell>
          <cell r="L6861" t="str">
            <v/>
          </cell>
          <cell r="M6861" t="str">
            <v/>
          </cell>
        </row>
        <row r="6862">
          <cell r="A6862">
            <v>31102192</v>
          </cell>
          <cell r="C6862">
            <v>31102192</v>
          </cell>
          <cell r="D6862">
            <v>31102192</v>
          </cell>
          <cell r="E6862">
            <v>31102192</v>
          </cell>
          <cell r="F6862">
            <v>31102192</v>
          </cell>
          <cell r="G6862">
            <v>31102192</v>
          </cell>
          <cell r="H6862">
            <v>31102192</v>
          </cell>
          <cell r="I6862" t="str">
            <v/>
          </cell>
          <cell r="J6862" t="str">
            <v/>
          </cell>
          <cell r="K6862" t="str">
            <v/>
          </cell>
          <cell r="L6862" t="str">
            <v/>
          </cell>
          <cell r="M6862" t="str">
            <v/>
          </cell>
        </row>
        <row r="6863">
          <cell r="A6863">
            <v>31102192</v>
          </cell>
          <cell r="C6863">
            <v>31102192</v>
          </cell>
          <cell r="D6863">
            <v>31102192</v>
          </cell>
          <cell r="E6863">
            <v>31102192</v>
          </cell>
          <cell r="F6863">
            <v>31102192</v>
          </cell>
          <cell r="G6863">
            <v>31102192</v>
          </cell>
          <cell r="H6863">
            <v>31102192</v>
          </cell>
          <cell r="I6863" t="str">
            <v/>
          </cell>
          <cell r="J6863" t="str">
            <v/>
          </cell>
          <cell r="K6863" t="str">
            <v/>
          </cell>
          <cell r="L6863" t="str">
            <v/>
          </cell>
          <cell r="M6863" t="str">
            <v/>
          </cell>
        </row>
        <row r="6864">
          <cell r="A6864">
            <v>31102192</v>
          </cell>
          <cell r="C6864">
            <v>31102192</v>
          </cell>
          <cell r="D6864">
            <v>31102192</v>
          </cell>
          <cell r="E6864">
            <v>31102192</v>
          </cell>
          <cell r="F6864">
            <v>31102192</v>
          </cell>
          <cell r="G6864">
            <v>31102192</v>
          </cell>
          <cell r="H6864">
            <v>31102192</v>
          </cell>
          <cell r="I6864" t="str">
            <v/>
          </cell>
          <cell r="J6864" t="str">
            <v/>
          </cell>
          <cell r="K6864" t="str">
            <v/>
          </cell>
          <cell r="L6864" t="str">
            <v/>
          </cell>
          <cell r="M6864" t="str">
            <v/>
          </cell>
        </row>
        <row r="6865">
          <cell r="A6865">
            <v>31102192</v>
          </cell>
          <cell r="C6865">
            <v>31102192</v>
          </cell>
          <cell r="D6865">
            <v>31102192</v>
          </cell>
          <cell r="E6865">
            <v>31102192</v>
          </cell>
          <cell r="F6865">
            <v>31102192</v>
          </cell>
          <cell r="G6865">
            <v>31102192</v>
          </cell>
          <cell r="H6865">
            <v>31102192</v>
          </cell>
          <cell r="I6865" t="str">
            <v/>
          </cell>
          <cell r="J6865" t="str">
            <v/>
          </cell>
          <cell r="K6865" t="str">
            <v/>
          </cell>
          <cell r="L6865" t="str">
            <v/>
          </cell>
          <cell r="M6865" t="str">
            <v/>
          </cell>
        </row>
        <row r="6866">
          <cell r="A6866">
            <v>31102192</v>
          </cell>
          <cell r="C6866">
            <v>31102192</v>
          </cell>
          <cell r="D6866">
            <v>31102192</v>
          </cell>
          <cell r="E6866">
            <v>31102192</v>
          </cell>
          <cell r="F6866">
            <v>31102192</v>
          </cell>
          <cell r="G6866">
            <v>31102192</v>
          </cell>
          <cell r="H6866">
            <v>31102192</v>
          </cell>
          <cell r="I6866" t="str">
            <v/>
          </cell>
          <cell r="J6866" t="str">
            <v/>
          </cell>
          <cell r="K6866" t="str">
            <v/>
          </cell>
          <cell r="L6866" t="str">
            <v/>
          </cell>
          <cell r="M6866" t="str">
            <v/>
          </cell>
        </row>
        <row r="6867">
          <cell r="A6867">
            <v>31102192</v>
          </cell>
          <cell r="C6867">
            <v>31102192</v>
          </cell>
          <cell r="D6867">
            <v>31102192</v>
          </cell>
          <cell r="E6867">
            <v>31102192</v>
          </cell>
          <cell r="F6867">
            <v>31102192</v>
          </cell>
          <cell r="G6867">
            <v>31102192</v>
          </cell>
          <cell r="H6867">
            <v>31102192</v>
          </cell>
          <cell r="I6867" t="str">
            <v/>
          </cell>
          <cell r="J6867" t="str">
            <v/>
          </cell>
          <cell r="K6867" t="str">
            <v/>
          </cell>
          <cell r="L6867" t="str">
            <v/>
          </cell>
          <cell r="M6867" t="str">
            <v/>
          </cell>
        </row>
        <row r="6868">
          <cell r="A6868">
            <v>31102192</v>
          </cell>
          <cell r="C6868">
            <v>31102192</v>
          </cell>
          <cell r="D6868">
            <v>31102192</v>
          </cell>
          <cell r="E6868">
            <v>31102192</v>
          </cell>
          <cell r="F6868">
            <v>31102192</v>
          </cell>
          <cell r="G6868">
            <v>31102192</v>
          </cell>
          <cell r="H6868">
            <v>31102192</v>
          </cell>
          <cell r="I6868" t="str">
            <v/>
          </cell>
          <cell r="J6868" t="str">
            <v/>
          </cell>
          <cell r="K6868" t="str">
            <v/>
          </cell>
          <cell r="L6868" t="str">
            <v/>
          </cell>
          <cell r="M6868" t="str">
            <v/>
          </cell>
        </row>
        <row r="6869">
          <cell r="A6869">
            <v>31102192</v>
          </cell>
          <cell r="C6869">
            <v>31102192</v>
          </cell>
          <cell r="D6869">
            <v>31102192</v>
          </cell>
          <cell r="E6869">
            <v>31102192</v>
          </cell>
          <cell r="F6869">
            <v>31102192</v>
          </cell>
          <cell r="G6869">
            <v>31102192</v>
          </cell>
          <cell r="H6869">
            <v>31102192</v>
          </cell>
          <cell r="I6869" t="str">
            <v/>
          </cell>
          <cell r="J6869" t="str">
            <v/>
          </cell>
          <cell r="K6869" t="str">
            <v/>
          </cell>
          <cell r="L6869" t="str">
            <v/>
          </cell>
          <cell r="M6869" t="str">
            <v/>
          </cell>
        </row>
        <row r="6870">
          <cell r="A6870">
            <v>31102192</v>
          </cell>
          <cell r="C6870">
            <v>31102192</v>
          </cell>
          <cell r="D6870">
            <v>31102192</v>
          </cell>
          <cell r="E6870">
            <v>31102192</v>
          </cell>
          <cell r="F6870">
            <v>31102192</v>
          </cell>
          <cell r="G6870">
            <v>31102192</v>
          </cell>
          <cell r="H6870">
            <v>31102192</v>
          </cell>
          <cell r="I6870" t="str">
            <v/>
          </cell>
          <cell r="J6870" t="str">
            <v/>
          </cell>
          <cell r="K6870" t="str">
            <v/>
          </cell>
          <cell r="L6870" t="str">
            <v/>
          </cell>
          <cell r="M6870" t="str">
            <v/>
          </cell>
        </row>
        <row r="6871">
          <cell r="A6871">
            <v>31102192</v>
          </cell>
          <cell r="C6871">
            <v>31102192</v>
          </cell>
          <cell r="D6871">
            <v>31102192</v>
          </cell>
          <cell r="E6871">
            <v>31102192</v>
          </cell>
          <cell r="F6871">
            <v>31102192</v>
          </cell>
          <cell r="G6871">
            <v>31102192</v>
          </cell>
          <cell r="H6871">
            <v>31102192</v>
          </cell>
          <cell r="I6871" t="str">
            <v/>
          </cell>
          <cell r="J6871" t="str">
            <v/>
          </cell>
          <cell r="K6871" t="str">
            <v/>
          </cell>
          <cell r="L6871" t="str">
            <v/>
          </cell>
          <cell r="M6871" t="str">
            <v/>
          </cell>
        </row>
        <row r="6872">
          <cell r="A6872">
            <v>31102192</v>
          </cell>
          <cell r="C6872">
            <v>31102192</v>
          </cell>
          <cell r="D6872">
            <v>31102192</v>
          </cell>
          <cell r="E6872">
            <v>31102192</v>
          </cell>
          <cell r="F6872">
            <v>31102192</v>
          </cell>
          <cell r="G6872">
            <v>31102192</v>
          </cell>
          <cell r="H6872">
            <v>31102192</v>
          </cell>
          <cell r="I6872" t="str">
            <v/>
          </cell>
          <cell r="J6872" t="str">
            <v/>
          </cell>
          <cell r="K6872" t="str">
            <v/>
          </cell>
          <cell r="L6872" t="str">
            <v/>
          </cell>
          <cell r="M6872" t="str">
            <v/>
          </cell>
        </row>
        <row r="6873">
          <cell r="A6873">
            <v>31102192</v>
          </cell>
          <cell r="C6873">
            <v>31102192</v>
          </cell>
          <cell r="D6873">
            <v>31102192</v>
          </cell>
          <cell r="E6873">
            <v>31102192</v>
          </cell>
          <cell r="F6873">
            <v>31102192</v>
          </cell>
          <cell r="G6873">
            <v>31102192</v>
          </cell>
          <cell r="H6873">
            <v>31102192</v>
          </cell>
          <cell r="I6873" t="str">
            <v/>
          </cell>
          <cell r="J6873" t="str">
            <v/>
          </cell>
          <cell r="K6873" t="str">
            <v/>
          </cell>
          <cell r="L6873" t="str">
            <v/>
          </cell>
          <cell r="M6873" t="str">
            <v/>
          </cell>
        </row>
        <row r="6874">
          <cell r="A6874">
            <v>31102192</v>
          </cell>
          <cell r="C6874">
            <v>31102192</v>
          </cell>
          <cell r="D6874">
            <v>31102192</v>
          </cell>
          <cell r="E6874">
            <v>31102192</v>
          </cell>
          <cell r="F6874">
            <v>31102192</v>
          </cell>
          <cell r="G6874">
            <v>31102192</v>
          </cell>
          <cell r="H6874">
            <v>31102192</v>
          </cell>
          <cell r="I6874" t="str">
            <v/>
          </cell>
          <cell r="J6874" t="str">
            <v/>
          </cell>
          <cell r="K6874" t="str">
            <v/>
          </cell>
          <cell r="L6874" t="str">
            <v/>
          </cell>
          <cell r="M6874" t="str">
            <v/>
          </cell>
        </row>
        <row r="6875">
          <cell r="A6875">
            <v>31102192</v>
          </cell>
          <cell r="C6875">
            <v>31102192</v>
          </cell>
          <cell r="D6875">
            <v>31102192</v>
          </cell>
          <cell r="E6875">
            <v>31102192</v>
          </cell>
          <cell r="F6875">
            <v>31102192</v>
          </cell>
          <cell r="G6875">
            <v>31102192</v>
          </cell>
          <cell r="H6875">
            <v>31102192</v>
          </cell>
          <cell r="I6875" t="str">
            <v/>
          </cell>
          <cell r="J6875" t="str">
            <v/>
          </cell>
          <cell r="K6875" t="str">
            <v/>
          </cell>
          <cell r="L6875" t="str">
            <v/>
          </cell>
          <cell r="M6875" t="str">
            <v/>
          </cell>
        </row>
        <row r="6876">
          <cell r="A6876">
            <v>31102192</v>
          </cell>
          <cell r="C6876">
            <v>31102192</v>
          </cell>
          <cell r="D6876">
            <v>31102192</v>
          </cell>
          <cell r="E6876">
            <v>31102192</v>
          </cell>
          <cell r="F6876">
            <v>31102192</v>
          </cell>
          <cell r="G6876">
            <v>31102192</v>
          </cell>
          <cell r="H6876">
            <v>31102192</v>
          </cell>
          <cell r="I6876" t="str">
            <v/>
          </cell>
          <cell r="J6876" t="str">
            <v/>
          </cell>
          <cell r="K6876" t="str">
            <v/>
          </cell>
          <cell r="L6876" t="str">
            <v/>
          </cell>
          <cell r="M6876" t="str">
            <v/>
          </cell>
        </row>
        <row r="6877">
          <cell r="A6877">
            <v>31102192</v>
          </cell>
          <cell r="C6877">
            <v>31102192</v>
          </cell>
          <cell r="D6877">
            <v>31102192</v>
          </cell>
          <cell r="E6877">
            <v>31102192</v>
          </cell>
          <cell r="F6877">
            <v>31102192</v>
          </cell>
          <cell r="G6877">
            <v>31102192</v>
          </cell>
          <cell r="H6877">
            <v>31102192</v>
          </cell>
          <cell r="I6877" t="str">
            <v/>
          </cell>
          <cell r="J6877" t="str">
            <v/>
          </cell>
          <cell r="K6877" t="str">
            <v/>
          </cell>
          <cell r="L6877" t="str">
            <v/>
          </cell>
          <cell r="M6877" t="str">
            <v/>
          </cell>
        </row>
        <row r="6878">
          <cell r="A6878">
            <v>31102192</v>
          </cell>
          <cell r="C6878">
            <v>31102192</v>
          </cell>
          <cell r="D6878">
            <v>31102192</v>
          </cell>
          <cell r="E6878">
            <v>31102192</v>
          </cell>
          <cell r="F6878">
            <v>31102192</v>
          </cell>
          <cell r="G6878">
            <v>31102192</v>
          </cell>
          <cell r="H6878">
            <v>31102192</v>
          </cell>
          <cell r="I6878" t="str">
            <v/>
          </cell>
          <cell r="J6878" t="str">
            <v/>
          </cell>
          <cell r="K6878" t="str">
            <v/>
          </cell>
          <cell r="L6878" t="str">
            <v/>
          </cell>
          <cell r="M6878" t="str">
            <v/>
          </cell>
        </row>
        <row r="6879">
          <cell r="A6879">
            <v>31102192</v>
          </cell>
          <cell r="C6879">
            <v>31102192</v>
          </cell>
          <cell r="D6879">
            <v>31102192</v>
          </cell>
          <cell r="E6879">
            <v>31102192</v>
          </cell>
          <cell r="F6879">
            <v>31102192</v>
          </cell>
          <cell r="G6879">
            <v>31102192</v>
          </cell>
          <cell r="H6879">
            <v>31102192</v>
          </cell>
          <cell r="I6879" t="str">
            <v/>
          </cell>
          <cell r="J6879" t="str">
            <v/>
          </cell>
          <cell r="K6879" t="str">
            <v/>
          </cell>
          <cell r="L6879" t="str">
            <v/>
          </cell>
          <cell r="M6879" t="str">
            <v/>
          </cell>
        </row>
        <row r="6880">
          <cell r="A6880">
            <v>31102192</v>
          </cell>
          <cell r="C6880">
            <v>31102192</v>
          </cell>
          <cell r="D6880">
            <v>31102192</v>
          </cell>
          <cell r="E6880">
            <v>31102192</v>
          </cell>
          <cell r="F6880">
            <v>31102192</v>
          </cell>
          <cell r="G6880">
            <v>31102192</v>
          </cell>
          <cell r="H6880">
            <v>31102192</v>
          </cell>
          <cell r="I6880" t="str">
            <v/>
          </cell>
          <cell r="J6880" t="str">
            <v/>
          </cell>
          <cell r="K6880" t="str">
            <v/>
          </cell>
          <cell r="L6880" t="str">
            <v/>
          </cell>
          <cell r="M6880" t="str">
            <v/>
          </cell>
        </row>
        <row r="6881">
          <cell r="A6881">
            <v>31102192</v>
          </cell>
          <cell r="C6881">
            <v>31102192</v>
          </cell>
          <cell r="D6881">
            <v>31102192</v>
          </cell>
          <cell r="E6881">
            <v>31102192</v>
          </cell>
          <cell r="F6881">
            <v>31102192</v>
          </cell>
          <cell r="G6881">
            <v>31102192</v>
          </cell>
          <cell r="H6881">
            <v>31102192</v>
          </cell>
          <cell r="I6881" t="str">
            <v/>
          </cell>
          <cell r="J6881" t="str">
            <v/>
          </cell>
          <cell r="K6881" t="str">
            <v/>
          </cell>
          <cell r="L6881" t="str">
            <v/>
          </cell>
          <cell r="M6881" t="str">
            <v/>
          </cell>
        </row>
        <row r="6882">
          <cell r="A6882">
            <v>31102192</v>
          </cell>
          <cell r="C6882">
            <v>31102192</v>
          </cell>
          <cell r="D6882">
            <v>31102192</v>
          </cell>
          <cell r="E6882">
            <v>31102192</v>
          </cell>
          <cell r="F6882">
            <v>31102192</v>
          </cell>
          <cell r="G6882">
            <v>31102192</v>
          </cell>
          <cell r="H6882">
            <v>31102192</v>
          </cell>
          <cell r="I6882" t="str">
            <v/>
          </cell>
          <cell r="J6882" t="str">
            <v/>
          </cell>
          <cell r="K6882" t="str">
            <v/>
          </cell>
          <cell r="L6882" t="str">
            <v/>
          </cell>
          <cell r="M6882" t="str">
            <v/>
          </cell>
        </row>
        <row r="6883">
          <cell r="A6883">
            <v>31102192</v>
          </cell>
          <cell r="C6883">
            <v>31102192</v>
          </cell>
          <cell r="D6883">
            <v>31102192</v>
          </cell>
          <cell r="E6883">
            <v>31102192</v>
          </cell>
          <cell r="F6883">
            <v>31102192</v>
          </cell>
          <cell r="G6883">
            <v>31102192</v>
          </cell>
          <cell r="H6883">
            <v>31102192</v>
          </cell>
          <cell r="I6883" t="str">
            <v/>
          </cell>
          <cell r="J6883" t="str">
            <v/>
          </cell>
          <cell r="K6883" t="str">
            <v/>
          </cell>
          <cell r="L6883" t="str">
            <v/>
          </cell>
          <cell r="M6883" t="str">
            <v/>
          </cell>
        </row>
        <row r="6884">
          <cell r="A6884">
            <v>31102192</v>
          </cell>
          <cell r="C6884">
            <v>31102192</v>
          </cell>
          <cell r="D6884">
            <v>31102192</v>
          </cell>
          <cell r="E6884">
            <v>31102192</v>
          </cell>
          <cell r="F6884">
            <v>31102192</v>
          </cell>
          <cell r="G6884">
            <v>31102192</v>
          </cell>
          <cell r="H6884">
            <v>31102192</v>
          </cell>
          <cell r="I6884" t="str">
            <v/>
          </cell>
          <cell r="J6884" t="str">
            <v/>
          </cell>
          <cell r="K6884" t="str">
            <v/>
          </cell>
          <cell r="L6884" t="str">
            <v/>
          </cell>
          <cell r="M6884" t="str">
            <v/>
          </cell>
        </row>
        <row r="6885">
          <cell r="A6885">
            <v>31102192</v>
          </cell>
          <cell r="C6885">
            <v>31102192</v>
          </cell>
          <cell r="D6885">
            <v>31102192</v>
          </cell>
          <cell r="E6885">
            <v>31102192</v>
          </cell>
          <cell r="F6885">
            <v>31102192</v>
          </cell>
          <cell r="G6885">
            <v>31102192</v>
          </cell>
          <cell r="H6885">
            <v>31102192</v>
          </cell>
          <cell r="I6885" t="str">
            <v/>
          </cell>
          <cell r="J6885" t="str">
            <v/>
          </cell>
          <cell r="K6885" t="str">
            <v/>
          </cell>
          <cell r="L6885" t="str">
            <v/>
          </cell>
          <cell r="M6885" t="str">
            <v/>
          </cell>
        </row>
        <row r="6886">
          <cell r="A6886">
            <v>31102192</v>
          </cell>
          <cell r="C6886">
            <v>31102192</v>
          </cell>
          <cell r="D6886">
            <v>31102192</v>
          </cell>
          <cell r="E6886">
            <v>31102192</v>
          </cell>
          <cell r="F6886">
            <v>31102192</v>
          </cell>
          <cell r="G6886">
            <v>31102192</v>
          </cell>
          <cell r="H6886">
            <v>31102192</v>
          </cell>
          <cell r="I6886" t="str">
            <v/>
          </cell>
          <cell r="J6886" t="str">
            <v/>
          </cell>
          <cell r="K6886" t="str">
            <v/>
          </cell>
          <cell r="L6886" t="str">
            <v/>
          </cell>
          <cell r="M6886" t="str">
            <v/>
          </cell>
        </row>
        <row r="6887">
          <cell r="A6887">
            <v>31102192</v>
          </cell>
          <cell r="C6887">
            <v>31102192</v>
          </cell>
          <cell r="D6887">
            <v>31102192</v>
          </cell>
          <cell r="E6887">
            <v>31102192</v>
          </cell>
          <cell r="F6887">
            <v>31102192</v>
          </cell>
          <cell r="G6887">
            <v>31102192</v>
          </cell>
          <cell r="H6887">
            <v>31102192</v>
          </cell>
          <cell r="I6887" t="str">
            <v/>
          </cell>
          <cell r="J6887" t="str">
            <v/>
          </cell>
          <cell r="K6887" t="str">
            <v/>
          </cell>
          <cell r="L6887" t="str">
            <v/>
          </cell>
          <cell r="M6887" t="str">
            <v/>
          </cell>
        </row>
        <row r="6888">
          <cell r="A6888">
            <v>31102192</v>
          </cell>
          <cell r="C6888">
            <v>31102192</v>
          </cell>
          <cell r="D6888">
            <v>31102192</v>
          </cell>
          <cell r="E6888">
            <v>31102192</v>
          </cell>
          <cell r="F6888">
            <v>31102192</v>
          </cell>
          <cell r="G6888">
            <v>31102192</v>
          </cell>
          <cell r="H6888">
            <v>31102192</v>
          </cell>
          <cell r="I6888" t="str">
            <v/>
          </cell>
          <cell r="J6888" t="str">
            <v/>
          </cell>
          <cell r="K6888" t="str">
            <v/>
          </cell>
          <cell r="L6888" t="str">
            <v/>
          </cell>
          <cell r="M6888" t="str">
            <v/>
          </cell>
        </row>
        <row r="6889">
          <cell r="A6889">
            <v>31102192</v>
          </cell>
          <cell r="C6889">
            <v>31102192</v>
          </cell>
          <cell r="D6889">
            <v>31102192</v>
          </cell>
          <cell r="E6889">
            <v>31102192</v>
          </cell>
          <cell r="F6889">
            <v>31102192</v>
          </cell>
          <cell r="G6889">
            <v>31102192</v>
          </cell>
          <cell r="H6889">
            <v>31102192</v>
          </cell>
          <cell r="I6889" t="str">
            <v/>
          </cell>
          <cell r="J6889" t="str">
            <v/>
          </cell>
          <cell r="K6889" t="str">
            <v/>
          </cell>
          <cell r="L6889" t="str">
            <v/>
          </cell>
          <cell r="M6889" t="str">
            <v/>
          </cell>
        </row>
        <row r="6890">
          <cell r="A6890">
            <v>31102192</v>
          </cell>
          <cell r="C6890">
            <v>31102192</v>
          </cell>
          <cell r="D6890">
            <v>31102192</v>
          </cell>
          <cell r="E6890">
            <v>31102192</v>
          </cell>
          <cell r="F6890">
            <v>31102192</v>
          </cell>
          <cell r="G6890">
            <v>31102192</v>
          </cell>
          <cell r="H6890">
            <v>31102192</v>
          </cell>
          <cell r="I6890" t="str">
            <v/>
          </cell>
          <cell r="J6890" t="str">
            <v/>
          </cell>
          <cell r="K6890" t="str">
            <v/>
          </cell>
          <cell r="L6890" t="str">
            <v/>
          </cell>
          <cell r="M6890" t="str">
            <v/>
          </cell>
        </row>
        <row r="6891">
          <cell r="A6891">
            <v>31102192</v>
          </cell>
          <cell r="C6891">
            <v>31102192</v>
          </cell>
          <cell r="D6891">
            <v>31102192</v>
          </cell>
          <cell r="E6891">
            <v>31102192</v>
          </cell>
          <cell r="F6891">
            <v>31102192</v>
          </cell>
          <cell r="G6891">
            <v>31102192</v>
          </cell>
          <cell r="H6891">
            <v>31102192</v>
          </cell>
          <cell r="I6891" t="str">
            <v/>
          </cell>
          <cell r="J6891" t="str">
            <v/>
          </cell>
          <cell r="K6891" t="str">
            <v/>
          </cell>
          <cell r="L6891" t="str">
            <v/>
          </cell>
          <cell r="M6891" t="str">
            <v/>
          </cell>
        </row>
        <row r="6892">
          <cell r="A6892">
            <v>31102192</v>
          </cell>
          <cell r="C6892">
            <v>31102192</v>
          </cell>
          <cell r="D6892">
            <v>31102192</v>
          </cell>
          <cell r="E6892">
            <v>31102192</v>
          </cell>
          <cell r="F6892">
            <v>31102192</v>
          </cell>
          <cell r="G6892">
            <v>31102192</v>
          </cell>
          <cell r="H6892">
            <v>31102192</v>
          </cell>
          <cell r="I6892" t="str">
            <v/>
          </cell>
          <cell r="J6892" t="str">
            <v/>
          </cell>
          <cell r="K6892" t="str">
            <v/>
          </cell>
          <cell r="L6892" t="str">
            <v/>
          </cell>
          <cell r="M6892" t="str">
            <v/>
          </cell>
        </row>
        <row r="6893">
          <cell r="A6893">
            <v>31102192</v>
          </cell>
          <cell r="C6893">
            <v>31102192</v>
          </cell>
          <cell r="D6893">
            <v>31102192</v>
          </cell>
          <cell r="E6893">
            <v>31102192</v>
          </cell>
          <cell r="F6893">
            <v>31102192</v>
          </cell>
          <cell r="G6893">
            <v>31102192</v>
          </cell>
          <cell r="H6893">
            <v>31102192</v>
          </cell>
          <cell r="I6893" t="str">
            <v/>
          </cell>
          <cell r="J6893" t="str">
            <v/>
          </cell>
          <cell r="K6893" t="str">
            <v/>
          </cell>
          <cell r="L6893" t="str">
            <v/>
          </cell>
          <cell r="M6893" t="str">
            <v/>
          </cell>
        </row>
        <row r="6894">
          <cell r="A6894">
            <v>31102192</v>
          </cell>
          <cell r="C6894">
            <v>31102192</v>
          </cell>
          <cell r="D6894">
            <v>31102192</v>
          </cell>
          <cell r="E6894">
            <v>31102192</v>
          </cell>
          <cell r="F6894">
            <v>31102192</v>
          </cell>
          <cell r="G6894">
            <v>31102192</v>
          </cell>
          <cell r="H6894">
            <v>31102192</v>
          </cell>
          <cell r="I6894" t="str">
            <v/>
          </cell>
          <cell r="J6894" t="str">
            <v/>
          </cell>
          <cell r="K6894" t="str">
            <v/>
          </cell>
          <cell r="L6894" t="str">
            <v/>
          </cell>
          <cell r="M6894" t="str">
            <v/>
          </cell>
        </row>
        <row r="6895">
          <cell r="A6895">
            <v>31102192</v>
          </cell>
          <cell r="C6895">
            <v>31102192</v>
          </cell>
          <cell r="D6895">
            <v>31102192</v>
          </cell>
          <cell r="E6895">
            <v>31102192</v>
          </cell>
          <cell r="F6895">
            <v>31102192</v>
          </cell>
          <cell r="G6895">
            <v>31102192</v>
          </cell>
          <cell r="H6895">
            <v>31102192</v>
          </cell>
          <cell r="I6895" t="str">
            <v/>
          </cell>
          <cell r="J6895" t="str">
            <v/>
          </cell>
          <cell r="K6895" t="str">
            <v/>
          </cell>
          <cell r="L6895" t="str">
            <v/>
          </cell>
          <cell r="M6895" t="str">
            <v/>
          </cell>
        </row>
        <row r="6896">
          <cell r="A6896">
            <v>31102192</v>
          </cell>
          <cell r="C6896">
            <v>31102192</v>
          </cell>
          <cell r="D6896">
            <v>31102192</v>
          </cell>
          <cell r="E6896">
            <v>31102192</v>
          </cell>
          <cell r="F6896">
            <v>31102192</v>
          </cell>
          <cell r="G6896">
            <v>31102192</v>
          </cell>
          <cell r="H6896">
            <v>31102192</v>
          </cell>
          <cell r="I6896" t="str">
            <v/>
          </cell>
          <cell r="J6896" t="str">
            <v/>
          </cell>
          <cell r="K6896" t="str">
            <v/>
          </cell>
          <cell r="L6896" t="str">
            <v/>
          </cell>
          <cell r="M6896" t="str">
            <v/>
          </cell>
        </row>
        <row r="6897">
          <cell r="A6897">
            <v>31102192</v>
          </cell>
          <cell r="C6897">
            <v>31102192</v>
          </cell>
          <cell r="D6897">
            <v>31102192</v>
          </cell>
          <cell r="E6897">
            <v>31102192</v>
          </cell>
          <cell r="F6897">
            <v>31102192</v>
          </cell>
          <cell r="G6897">
            <v>31102192</v>
          </cell>
          <cell r="H6897">
            <v>31102192</v>
          </cell>
          <cell r="I6897" t="str">
            <v/>
          </cell>
          <cell r="J6897" t="str">
            <v/>
          </cell>
          <cell r="K6897" t="str">
            <v/>
          </cell>
          <cell r="L6897" t="str">
            <v/>
          </cell>
          <cell r="M6897" t="str">
            <v/>
          </cell>
        </row>
        <row r="6898">
          <cell r="A6898">
            <v>31102192</v>
          </cell>
          <cell r="C6898">
            <v>31102192</v>
          </cell>
          <cell r="D6898">
            <v>31102192</v>
          </cell>
          <cell r="E6898">
            <v>31102192</v>
          </cell>
          <cell r="F6898">
            <v>31102192</v>
          </cell>
          <cell r="G6898">
            <v>31102192</v>
          </cell>
          <cell r="H6898">
            <v>31102192</v>
          </cell>
          <cell r="I6898" t="str">
            <v/>
          </cell>
          <cell r="J6898" t="str">
            <v/>
          </cell>
          <cell r="K6898" t="str">
            <v/>
          </cell>
          <cell r="L6898" t="str">
            <v/>
          </cell>
          <cell r="M6898" t="str">
            <v/>
          </cell>
        </row>
        <row r="6899">
          <cell r="A6899">
            <v>31102192</v>
          </cell>
          <cell r="C6899">
            <v>31102192</v>
          </cell>
          <cell r="D6899">
            <v>31102192</v>
          </cell>
          <cell r="E6899">
            <v>31102192</v>
          </cell>
          <cell r="F6899">
            <v>31102192</v>
          </cell>
          <cell r="G6899">
            <v>31102192</v>
          </cell>
          <cell r="H6899">
            <v>31102192</v>
          </cell>
          <cell r="I6899" t="str">
            <v/>
          </cell>
          <cell r="J6899" t="str">
            <v/>
          </cell>
          <cell r="K6899" t="str">
            <v/>
          </cell>
          <cell r="L6899" t="str">
            <v/>
          </cell>
          <cell r="M6899" t="str">
            <v/>
          </cell>
        </row>
        <row r="6900">
          <cell r="A6900">
            <v>31102192</v>
          </cell>
          <cell r="C6900">
            <v>31102192</v>
          </cell>
          <cell r="D6900">
            <v>31102192</v>
          </cell>
          <cell r="E6900">
            <v>31102192</v>
          </cell>
          <cell r="F6900">
            <v>31102192</v>
          </cell>
          <cell r="G6900">
            <v>31102192</v>
          </cell>
          <cell r="H6900">
            <v>31102192</v>
          </cell>
          <cell r="I6900" t="str">
            <v/>
          </cell>
          <cell r="J6900" t="str">
            <v/>
          </cell>
          <cell r="K6900" t="str">
            <v/>
          </cell>
          <cell r="L6900" t="str">
            <v/>
          </cell>
          <cell r="M6900" t="str">
            <v/>
          </cell>
        </row>
        <row r="6901">
          <cell r="A6901">
            <v>31102192</v>
          </cell>
          <cell r="C6901">
            <v>31102192</v>
          </cell>
          <cell r="D6901">
            <v>31102192</v>
          </cell>
          <cell r="E6901">
            <v>31102192</v>
          </cell>
          <cell r="F6901">
            <v>31102192</v>
          </cell>
          <cell r="G6901">
            <v>31102192</v>
          </cell>
          <cell r="H6901">
            <v>31102192</v>
          </cell>
          <cell r="I6901" t="str">
            <v/>
          </cell>
          <cell r="J6901" t="str">
            <v/>
          </cell>
          <cell r="K6901" t="str">
            <v/>
          </cell>
          <cell r="L6901" t="str">
            <v/>
          </cell>
          <cell r="M6901" t="str">
            <v/>
          </cell>
        </row>
        <row r="6902">
          <cell r="A6902">
            <v>31102192</v>
          </cell>
          <cell r="C6902">
            <v>31102192</v>
          </cell>
          <cell r="D6902">
            <v>31102192</v>
          </cell>
          <cell r="E6902">
            <v>31102192</v>
          </cell>
          <cell r="F6902">
            <v>31102192</v>
          </cell>
          <cell r="G6902">
            <v>31102192</v>
          </cell>
          <cell r="H6902">
            <v>31102192</v>
          </cell>
          <cell r="I6902" t="str">
            <v/>
          </cell>
          <cell r="J6902" t="str">
            <v/>
          </cell>
          <cell r="K6902" t="str">
            <v/>
          </cell>
          <cell r="L6902" t="str">
            <v/>
          </cell>
          <cell r="M6902" t="str">
            <v/>
          </cell>
        </row>
        <row r="6903">
          <cell r="A6903">
            <v>31102192</v>
          </cell>
          <cell r="C6903">
            <v>31102192</v>
          </cell>
          <cell r="D6903">
            <v>31102192</v>
          </cell>
          <cell r="E6903">
            <v>31102192</v>
          </cell>
          <cell r="F6903">
            <v>31102192</v>
          </cell>
          <cell r="G6903">
            <v>31102192</v>
          </cell>
          <cell r="H6903">
            <v>31102192</v>
          </cell>
          <cell r="I6903" t="str">
            <v/>
          </cell>
          <cell r="J6903" t="str">
            <v/>
          </cell>
          <cell r="K6903" t="str">
            <v/>
          </cell>
          <cell r="L6903" t="str">
            <v/>
          </cell>
          <cell r="M6903" t="str">
            <v/>
          </cell>
        </row>
        <row r="6904">
          <cell r="A6904">
            <v>31102192</v>
          </cell>
          <cell r="C6904">
            <v>31102192</v>
          </cell>
          <cell r="D6904">
            <v>31102192</v>
          </cell>
          <cell r="E6904">
            <v>31102192</v>
          </cell>
          <cell r="F6904">
            <v>31102192</v>
          </cell>
          <cell r="G6904">
            <v>31102192</v>
          </cell>
          <cell r="H6904">
            <v>31102192</v>
          </cell>
          <cell r="I6904" t="str">
            <v/>
          </cell>
          <cell r="J6904" t="str">
            <v/>
          </cell>
          <cell r="K6904" t="str">
            <v/>
          </cell>
          <cell r="L6904" t="str">
            <v/>
          </cell>
          <cell r="M6904" t="str">
            <v/>
          </cell>
        </row>
        <row r="6905">
          <cell r="A6905">
            <v>31102192</v>
          </cell>
          <cell r="C6905">
            <v>31102192</v>
          </cell>
          <cell r="D6905">
            <v>31102192</v>
          </cell>
          <cell r="E6905">
            <v>31102192</v>
          </cell>
          <cell r="F6905">
            <v>31102192</v>
          </cell>
          <cell r="G6905">
            <v>31102192</v>
          </cell>
          <cell r="H6905">
            <v>31102192</v>
          </cell>
          <cell r="I6905" t="str">
            <v/>
          </cell>
          <cell r="J6905" t="str">
            <v/>
          </cell>
          <cell r="K6905" t="str">
            <v/>
          </cell>
          <cell r="L6905" t="str">
            <v/>
          </cell>
          <cell r="M6905" t="str">
            <v/>
          </cell>
        </row>
        <row r="6906">
          <cell r="A6906">
            <v>31102192</v>
          </cell>
          <cell r="C6906">
            <v>31102192</v>
          </cell>
          <cell r="D6906">
            <v>31102192</v>
          </cell>
          <cell r="E6906">
            <v>31102192</v>
          </cell>
          <cell r="F6906">
            <v>31102192</v>
          </cell>
          <cell r="G6906">
            <v>31102192</v>
          </cell>
          <cell r="H6906">
            <v>31102192</v>
          </cell>
          <cell r="I6906" t="str">
            <v/>
          </cell>
          <cell r="J6906" t="str">
            <v/>
          </cell>
          <cell r="K6906" t="str">
            <v/>
          </cell>
          <cell r="L6906" t="str">
            <v/>
          </cell>
          <cell r="M6906" t="str">
            <v/>
          </cell>
        </row>
        <row r="6907">
          <cell r="A6907">
            <v>31102192</v>
          </cell>
          <cell r="C6907">
            <v>31102192</v>
          </cell>
          <cell r="D6907">
            <v>31102192</v>
          </cell>
          <cell r="E6907">
            <v>31102192</v>
          </cell>
          <cell r="F6907">
            <v>31102192</v>
          </cell>
          <cell r="G6907">
            <v>31102192</v>
          </cell>
          <cell r="H6907">
            <v>31102192</v>
          </cell>
          <cell r="I6907" t="str">
            <v/>
          </cell>
          <cell r="J6907" t="str">
            <v/>
          </cell>
          <cell r="K6907" t="str">
            <v/>
          </cell>
          <cell r="L6907" t="str">
            <v/>
          </cell>
          <cell r="M6907" t="str">
            <v/>
          </cell>
        </row>
        <row r="6908">
          <cell r="A6908">
            <v>31102192</v>
          </cell>
          <cell r="C6908">
            <v>31102192</v>
          </cell>
          <cell r="D6908">
            <v>31102192</v>
          </cell>
          <cell r="E6908">
            <v>31102192</v>
          </cell>
          <cell r="F6908">
            <v>31102192</v>
          </cell>
          <cell r="G6908">
            <v>31102192</v>
          </cell>
          <cell r="H6908">
            <v>31102192</v>
          </cell>
          <cell r="I6908" t="str">
            <v/>
          </cell>
          <cell r="J6908" t="str">
            <v/>
          </cell>
          <cell r="K6908" t="str">
            <v/>
          </cell>
          <cell r="L6908" t="str">
            <v/>
          </cell>
          <cell r="M6908" t="str">
            <v/>
          </cell>
        </row>
        <row r="6909">
          <cell r="A6909">
            <v>31102192</v>
          </cell>
          <cell r="C6909">
            <v>31102192</v>
          </cell>
          <cell r="D6909">
            <v>31102192</v>
          </cell>
          <cell r="E6909">
            <v>31102192</v>
          </cell>
          <cell r="F6909">
            <v>31102192</v>
          </cell>
          <cell r="G6909">
            <v>31102192</v>
          </cell>
          <cell r="H6909">
            <v>31102192</v>
          </cell>
          <cell r="I6909" t="str">
            <v/>
          </cell>
          <cell r="J6909" t="str">
            <v/>
          </cell>
          <cell r="K6909" t="str">
            <v/>
          </cell>
          <cell r="L6909" t="str">
            <v/>
          </cell>
          <cell r="M6909" t="str">
            <v/>
          </cell>
        </row>
        <row r="6910">
          <cell r="A6910">
            <v>31102192</v>
          </cell>
          <cell r="C6910">
            <v>31102192</v>
          </cell>
          <cell r="D6910">
            <v>31102192</v>
          </cell>
          <cell r="E6910">
            <v>31102192</v>
          </cell>
          <cell r="F6910">
            <v>31102192</v>
          </cell>
          <cell r="G6910">
            <v>31102192</v>
          </cell>
          <cell r="H6910">
            <v>31102192</v>
          </cell>
          <cell r="I6910" t="str">
            <v/>
          </cell>
          <cell r="J6910" t="str">
            <v/>
          </cell>
          <cell r="K6910" t="str">
            <v/>
          </cell>
          <cell r="L6910" t="str">
            <v/>
          </cell>
          <cell r="M6910" t="str">
            <v/>
          </cell>
        </row>
        <row r="6911">
          <cell r="A6911">
            <v>31102192</v>
          </cell>
          <cell r="C6911">
            <v>31102192</v>
          </cell>
          <cell r="D6911">
            <v>31102192</v>
          </cell>
          <cell r="E6911">
            <v>31102192</v>
          </cell>
          <cell r="F6911">
            <v>31102192</v>
          </cell>
          <cell r="G6911">
            <v>31102192</v>
          </cell>
          <cell r="H6911">
            <v>31102192</v>
          </cell>
          <cell r="I6911" t="str">
            <v/>
          </cell>
          <cell r="J6911" t="str">
            <v/>
          </cell>
          <cell r="K6911" t="str">
            <v/>
          </cell>
          <cell r="L6911" t="str">
            <v/>
          </cell>
          <cell r="M6911" t="str">
            <v/>
          </cell>
        </row>
        <row r="6912">
          <cell r="A6912">
            <v>31102192</v>
          </cell>
          <cell r="C6912">
            <v>31102192</v>
          </cell>
          <cell r="D6912">
            <v>31102192</v>
          </cell>
          <cell r="E6912">
            <v>31102192</v>
          </cell>
          <cell r="F6912">
            <v>31102192</v>
          </cell>
          <cell r="G6912">
            <v>31102192</v>
          </cell>
          <cell r="H6912">
            <v>31102192</v>
          </cell>
          <cell r="I6912" t="str">
            <v/>
          </cell>
          <cell r="J6912" t="str">
            <v/>
          </cell>
          <cell r="K6912" t="str">
            <v/>
          </cell>
          <cell r="L6912" t="str">
            <v/>
          </cell>
          <cell r="M6912" t="str">
            <v/>
          </cell>
        </row>
        <row r="6913">
          <cell r="A6913">
            <v>31102192</v>
          </cell>
          <cell r="C6913">
            <v>31102192</v>
          </cell>
          <cell r="D6913">
            <v>31102192</v>
          </cell>
          <cell r="E6913">
            <v>31102192</v>
          </cell>
          <cell r="F6913">
            <v>31102192</v>
          </cell>
          <cell r="G6913">
            <v>31102192</v>
          </cell>
          <cell r="H6913">
            <v>31102192</v>
          </cell>
          <cell r="I6913" t="str">
            <v/>
          </cell>
          <cell r="J6913" t="str">
            <v/>
          </cell>
          <cell r="K6913" t="str">
            <v/>
          </cell>
          <cell r="L6913" t="str">
            <v/>
          </cell>
          <cell r="M6913" t="str">
            <v/>
          </cell>
        </row>
        <row r="6914">
          <cell r="A6914">
            <v>31102192</v>
          </cell>
          <cell r="C6914">
            <v>31102192</v>
          </cell>
          <cell r="D6914">
            <v>31102192</v>
          </cell>
          <cell r="E6914">
            <v>31102192</v>
          </cell>
          <cell r="F6914">
            <v>31102192</v>
          </cell>
          <cell r="G6914">
            <v>31102192</v>
          </cell>
          <cell r="H6914">
            <v>31102192</v>
          </cell>
          <cell r="I6914" t="str">
            <v/>
          </cell>
          <cell r="J6914" t="str">
            <v/>
          </cell>
          <cell r="K6914" t="str">
            <v/>
          </cell>
          <cell r="L6914" t="str">
            <v/>
          </cell>
          <cell r="M6914" t="str">
            <v/>
          </cell>
        </row>
        <row r="6915">
          <cell r="A6915">
            <v>31102192</v>
          </cell>
          <cell r="C6915">
            <v>31102192</v>
          </cell>
          <cell r="D6915">
            <v>31102192</v>
          </cell>
          <cell r="E6915">
            <v>31102192</v>
          </cell>
          <cell r="F6915">
            <v>31102192</v>
          </cell>
          <cell r="G6915">
            <v>31102192</v>
          </cell>
          <cell r="H6915">
            <v>31102192</v>
          </cell>
          <cell r="I6915" t="str">
            <v/>
          </cell>
          <cell r="J6915" t="str">
            <v/>
          </cell>
          <cell r="K6915" t="str">
            <v/>
          </cell>
          <cell r="L6915" t="str">
            <v/>
          </cell>
          <cell r="M6915" t="str">
            <v/>
          </cell>
        </row>
        <row r="6916">
          <cell r="A6916">
            <v>31102192</v>
          </cell>
          <cell r="C6916">
            <v>31102192</v>
          </cell>
          <cell r="D6916">
            <v>31102192</v>
          </cell>
          <cell r="E6916">
            <v>31102192</v>
          </cell>
          <cell r="F6916">
            <v>31102192</v>
          </cell>
          <cell r="G6916">
            <v>31102192</v>
          </cell>
          <cell r="H6916">
            <v>31102192</v>
          </cell>
          <cell r="I6916" t="str">
            <v/>
          </cell>
          <cell r="J6916" t="str">
            <v/>
          </cell>
          <cell r="K6916" t="str">
            <v/>
          </cell>
          <cell r="L6916" t="str">
            <v/>
          </cell>
          <cell r="M6916" t="str">
            <v/>
          </cell>
        </row>
        <row r="6917">
          <cell r="A6917">
            <v>31102192</v>
          </cell>
          <cell r="C6917">
            <v>31102192</v>
          </cell>
          <cell r="D6917">
            <v>31102192</v>
          </cell>
          <cell r="E6917">
            <v>31102192</v>
          </cell>
          <cell r="F6917">
            <v>31102192</v>
          </cell>
          <cell r="G6917">
            <v>31102192</v>
          </cell>
          <cell r="H6917">
            <v>31102192</v>
          </cell>
          <cell r="I6917" t="str">
            <v/>
          </cell>
          <cell r="J6917" t="str">
            <v/>
          </cell>
          <cell r="K6917" t="str">
            <v/>
          </cell>
          <cell r="L6917" t="str">
            <v/>
          </cell>
          <cell r="M6917" t="str">
            <v/>
          </cell>
        </row>
        <row r="6918">
          <cell r="A6918">
            <v>31102192</v>
          </cell>
          <cell r="C6918">
            <v>31102192</v>
          </cell>
          <cell r="D6918">
            <v>31102192</v>
          </cell>
          <cell r="E6918">
            <v>31102192</v>
          </cell>
          <cell r="F6918">
            <v>31102192</v>
          </cell>
          <cell r="G6918">
            <v>31102192</v>
          </cell>
          <cell r="H6918">
            <v>31102192</v>
          </cell>
          <cell r="I6918" t="str">
            <v/>
          </cell>
          <cell r="J6918" t="str">
            <v/>
          </cell>
          <cell r="K6918" t="str">
            <v/>
          </cell>
          <cell r="L6918" t="str">
            <v/>
          </cell>
          <cell r="M6918" t="str">
            <v/>
          </cell>
        </row>
        <row r="6919">
          <cell r="A6919">
            <v>31102192</v>
          </cell>
          <cell r="C6919">
            <v>31102192</v>
          </cell>
          <cell r="D6919">
            <v>31102192</v>
          </cell>
          <cell r="E6919">
            <v>31102192</v>
          </cell>
          <cell r="F6919">
            <v>31102192</v>
          </cell>
          <cell r="G6919">
            <v>31102192</v>
          </cell>
          <cell r="H6919">
            <v>31102192</v>
          </cell>
          <cell r="I6919" t="str">
            <v/>
          </cell>
          <cell r="J6919" t="str">
            <v/>
          </cell>
          <cell r="K6919" t="str">
            <v/>
          </cell>
          <cell r="L6919" t="str">
            <v/>
          </cell>
          <cell r="M6919" t="str">
            <v/>
          </cell>
        </row>
        <row r="6920">
          <cell r="A6920">
            <v>31102192</v>
          </cell>
          <cell r="C6920">
            <v>31102192</v>
          </cell>
          <cell r="D6920">
            <v>31102192</v>
          </cell>
          <cell r="E6920">
            <v>31102192</v>
          </cell>
          <cell r="F6920">
            <v>31102192</v>
          </cell>
          <cell r="G6920">
            <v>31102192</v>
          </cell>
          <cell r="H6920">
            <v>31102192</v>
          </cell>
          <cell r="I6920" t="str">
            <v/>
          </cell>
          <cell r="J6920" t="str">
            <v/>
          </cell>
          <cell r="K6920" t="str">
            <v/>
          </cell>
          <cell r="L6920" t="str">
            <v/>
          </cell>
          <cell r="M6920" t="str">
            <v/>
          </cell>
        </row>
        <row r="6921">
          <cell r="A6921">
            <v>31102192</v>
          </cell>
          <cell r="C6921">
            <v>31102192</v>
          </cell>
          <cell r="D6921">
            <v>31102192</v>
          </cell>
          <cell r="E6921">
            <v>31102192</v>
          </cell>
          <cell r="F6921">
            <v>31102192</v>
          </cell>
          <cell r="G6921">
            <v>31102192</v>
          </cell>
          <cell r="H6921">
            <v>31102192</v>
          </cell>
          <cell r="I6921" t="str">
            <v/>
          </cell>
          <cell r="J6921" t="str">
            <v/>
          </cell>
          <cell r="K6921" t="str">
            <v/>
          </cell>
          <cell r="L6921" t="str">
            <v/>
          </cell>
          <cell r="M6921" t="str">
            <v/>
          </cell>
        </row>
        <row r="6922">
          <cell r="A6922">
            <v>31102192</v>
          </cell>
          <cell r="C6922">
            <v>31102192</v>
          </cell>
          <cell r="D6922">
            <v>31102192</v>
          </cell>
          <cell r="E6922">
            <v>31102192</v>
          </cell>
          <cell r="F6922">
            <v>31102192</v>
          </cell>
          <cell r="G6922">
            <v>31102192</v>
          </cell>
          <cell r="H6922">
            <v>31102192</v>
          </cell>
          <cell r="I6922" t="str">
            <v/>
          </cell>
          <cell r="J6922" t="str">
            <v/>
          </cell>
          <cell r="K6922" t="str">
            <v/>
          </cell>
          <cell r="L6922" t="str">
            <v/>
          </cell>
          <cell r="M6922" t="str">
            <v/>
          </cell>
        </row>
        <row r="6923">
          <cell r="A6923">
            <v>31102192</v>
          </cell>
          <cell r="C6923">
            <v>31102192</v>
          </cell>
          <cell r="D6923">
            <v>31102192</v>
          </cell>
          <cell r="E6923">
            <v>31102192</v>
          </cell>
          <cell r="F6923">
            <v>31102192</v>
          </cell>
          <cell r="G6923">
            <v>31102192</v>
          </cell>
          <cell r="H6923">
            <v>31102192</v>
          </cell>
          <cell r="I6923" t="str">
            <v/>
          </cell>
          <cell r="J6923" t="str">
            <v/>
          </cell>
          <cell r="K6923" t="str">
            <v/>
          </cell>
          <cell r="L6923" t="str">
            <v/>
          </cell>
          <cell r="M6923" t="str">
            <v/>
          </cell>
        </row>
        <row r="6924">
          <cell r="A6924">
            <v>31102192</v>
          </cell>
          <cell r="C6924">
            <v>31102192</v>
          </cell>
          <cell r="D6924">
            <v>31102192</v>
          </cell>
          <cell r="E6924">
            <v>31102192</v>
          </cell>
          <cell r="F6924">
            <v>31102192</v>
          </cell>
          <cell r="G6924">
            <v>31102192</v>
          </cell>
          <cell r="H6924">
            <v>31102192</v>
          </cell>
          <cell r="I6924" t="str">
            <v/>
          </cell>
          <cell r="J6924" t="str">
            <v/>
          </cell>
          <cell r="K6924" t="str">
            <v/>
          </cell>
          <cell r="L6924" t="str">
            <v/>
          </cell>
          <cell r="M6924" t="str">
            <v/>
          </cell>
        </row>
        <row r="6925">
          <cell r="A6925">
            <v>31102192</v>
          </cell>
          <cell r="C6925">
            <v>31102192</v>
          </cell>
          <cell r="D6925">
            <v>31102192</v>
          </cell>
          <cell r="E6925">
            <v>31102192</v>
          </cell>
          <cell r="F6925">
            <v>31102192</v>
          </cell>
          <cell r="G6925">
            <v>31102192</v>
          </cell>
          <cell r="H6925">
            <v>31102192</v>
          </cell>
          <cell r="I6925" t="str">
            <v/>
          </cell>
          <cell r="J6925" t="str">
            <v/>
          </cell>
          <cell r="K6925" t="str">
            <v/>
          </cell>
          <cell r="L6925" t="str">
            <v/>
          </cell>
          <cell r="M6925" t="str">
            <v/>
          </cell>
        </row>
        <row r="6926">
          <cell r="A6926">
            <v>31102192</v>
          </cell>
          <cell r="C6926">
            <v>31102192</v>
          </cell>
          <cell r="D6926">
            <v>31102192</v>
          </cell>
          <cell r="E6926">
            <v>31102192</v>
          </cell>
          <cell r="F6926">
            <v>31102192</v>
          </cell>
          <cell r="G6926">
            <v>31102192</v>
          </cell>
          <cell r="H6926">
            <v>31102192</v>
          </cell>
          <cell r="I6926" t="str">
            <v/>
          </cell>
          <cell r="J6926" t="str">
            <v/>
          </cell>
          <cell r="K6926" t="str">
            <v/>
          </cell>
          <cell r="L6926" t="str">
            <v/>
          </cell>
          <cell r="M6926" t="str">
            <v/>
          </cell>
        </row>
        <row r="6927">
          <cell r="A6927">
            <v>31102192</v>
          </cell>
          <cell r="C6927">
            <v>31102192</v>
          </cell>
          <cell r="D6927">
            <v>31102192</v>
          </cell>
          <cell r="E6927">
            <v>31102192</v>
          </cell>
          <cell r="F6927">
            <v>31102192</v>
          </cell>
          <cell r="G6927">
            <v>31102192</v>
          </cell>
          <cell r="H6927">
            <v>31102192</v>
          </cell>
          <cell r="I6927" t="str">
            <v/>
          </cell>
          <cell r="J6927" t="str">
            <v/>
          </cell>
          <cell r="K6927" t="str">
            <v/>
          </cell>
          <cell r="L6927" t="str">
            <v/>
          </cell>
          <cell r="M6927" t="str">
            <v/>
          </cell>
        </row>
        <row r="6928">
          <cell r="A6928">
            <v>31102192</v>
          </cell>
          <cell r="C6928">
            <v>31102192</v>
          </cell>
          <cell r="D6928">
            <v>31102192</v>
          </cell>
          <cell r="E6928">
            <v>31102192</v>
          </cell>
          <cell r="F6928">
            <v>31102192</v>
          </cell>
          <cell r="G6928">
            <v>31102192</v>
          </cell>
          <cell r="H6928">
            <v>31102192</v>
          </cell>
          <cell r="I6928" t="str">
            <v/>
          </cell>
          <cell r="J6928" t="str">
            <v/>
          </cell>
          <cell r="K6928" t="str">
            <v/>
          </cell>
          <cell r="L6928" t="str">
            <v/>
          </cell>
          <cell r="M6928" t="str">
            <v/>
          </cell>
        </row>
        <row r="6929">
          <cell r="A6929">
            <v>31102192</v>
          </cell>
          <cell r="C6929">
            <v>31102192</v>
          </cell>
          <cell r="D6929">
            <v>31102192</v>
          </cell>
          <cell r="E6929">
            <v>31102192</v>
          </cell>
          <cell r="F6929">
            <v>31102192</v>
          </cell>
          <cell r="G6929">
            <v>31102192</v>
          </cell>
          <cell r="H6929">
            <v>31102192</v>
          </cell>
          <cell r="I6929" t="str">
            <v/>
          </cell>
          <cell r="J6929" t="str">
            <v/>
          </cell>
          <cell r="K6929" t="str">
            <v/>
          </cell>
          <cell r="L6929" t="str">
            <v/>
          </cell>
          <cell r="M6929" t="str">
            <v/>
          </cell>
        </row>
        <row r="6930">
          <cell r="A6930">
            <v>31102192</v>
          </cell>
          <cell r="C6930">
            <v>31102192</v>
          </cell>
          <cell r="D6930">
            <v>31102192</v>
          </cell>
          <cell r="E6930">
            <v>31102192</v>
          </cell>
          <cell r="F6930">
            <v>31102192</v>
          </cell>
          <cell r="G6930">
            <v>31102192</v>
          </cell>
          <cell r="H6930">
            <v>31102192</v>
          </cell>
          <cell r="I6930" t="str">
            <v/>
          </cell>
          <cell r="J6930" t="str">
            <v/>
          </cell>
          <cell r="K6930" t="str">
            <v/>
          </cell>
          <cell r="L6930" t="str">
            <v/>
          </cell>
          <cell r="M6930" t="str">
            <v/>
          </cell>
        </row>
        <row r="6931">
          <cell r="A6931">
            <v>31102192</v>
          </cell>
          <cell r="C6931">
            <v>31102192</v>
          </cell>
          <cell r="D6931">
            <v>31102192</v>
          </cell>
          <cell r="E6931">
            <v>31102192</v>
          </cell>
          <cell r="F6931">
            <v>31102192</v>
          </cell>
          <cell r="G6931">
            <v>31102192</v>
          </cell>
          <cell r="H6931">
            <v>31102192</v>
          </cell>
          <cell r="I6931" t="str">
            <v/>
          </cell>
          <cell r="J6931" t="str">
            <v/>
          </cell>
          <cell r="K6931" t="str">
            <v/>
          </cell>
          <cell r="L6931" t="str">
            <v/>
          </cell>
          <cell r="M6931" t="str">
            <v/>
          </cell>
        </row>
        <row r="6932">
          <cell r="A6932">
            <v>31102192</v>
          </cell>
          <cell r="C6932">
            <v>31102192</v>
          </cell>
          <cell r="D6932">
            <v>31102192</v>
          </cell>
          <cell r="E6932">
            <v>31102192</v>
          </cell>
          <cell r="F6932">
            <v>31102192</v>
          </cell>
          <cell r="G6932">
            <v>31102192</v>
          </cell>
          <cell r="H6932">
            <v>31102192</v>
          </cell>
          <cell r="I6932" t="str">
            <v/>
          </cell>
          <cell r="J6932" t="str">
            <v/>
          </cell>
          <cell r="K6932" t="str">
            <v/>
          </cell>
          <cell r="L6932" t="str">
            <v/>
          </cell>
          <cell r="M6932" t="str">
            <v/>
          </cell>
        </row>
        <row r="6933">
          <cell r="A6933">
            <v>31102192</v>
          </cell>
          <cell r="C6933">
            <v>31102192</v>
          </cell>
          <cell r="D6933">
            <v>31102192</v>
          </cell>
          <cell r="E6933">
            <v>31102192</v>
          </cell>
          <cell r="F6933">
            <v>31102192</v>
          </cell>
          <cell r="G6933">
            <v>31102192</v>
          </cell>
          <cell r="H6933">
            <v>31102192</v>
          </cell>
          <cell r="I6933" t="str">
            <v/>
          </cell>
          <cell r="J6933" t="str">
            <v/>
          </cell>
          <cell r="K6933" t="str">
            <v/>
          </cell>
          <cell r="L6933" t="str">
            <v/>
          </cell>
          <cell r="M6933" t="str">
            <v/>
          </cell>
        </row>
        <row r="6934">
          <cell r="A6934">
            <v>31102192</v>
          </cell>
          <cell r="C6934">
            <v>31102192</v>
          </cell>
          <cell r="D6934">
            <v>31102192</v>
          </cell>
          <cell r="E6934">
            <v>31102192</v>
          </cell>
          <cell r="F6934">
            <v>31102192</v>
          </cell>
          <cell r="G6934">
            <v>31102192</v>
          </cell>
          <cell r="H6934">
            <v>31102192</v>
          </cell>
          <cell r="I6934" t="str">
            <v/>
          </cell>
          <cell r="J6934" t="str">
            <v/>
          </cell>
          <cell r="K6934" t="str">
            <v/>
          </cell>
          <cell r="L6934" t="str">
            <v/>
          </cell>
          <cell r="M6934" t="str">
            <v/>
          </cell>
        </row>
        <row r="6935">
          <cell r="A6935">
            <v>31102192</v>
          </cell>
          <cell r="C6935">
            <v>31102192</v>
          </cell>
          <cell r="D6935">
            <v>31102192</v>
          </cell>
          <cell r="E6935">
            <v>31102192</v>
          </cell>
          <cell r="F6935">
            <v>31102192</v>
          </cell>
          <cell r="G6935">
            <v>31102192</v>
          </cell>
          <cell r="H6935">
            <v>31102192</v>
          </cell>
          <cell r="I6935" t="str">
            <v/>
          </cell>
          <cell r="J6935" t="str">
            <v/>
          </cell>
          <cell r="K6935" t="str">
            <v/>
          </cell>
          <cell r="L6935" t="str">
            <v/>
          </cell>
          <cell r="M6935" t="str">
            <v/>
          </cell>
        </row>
        <row r="6936">
          <cell r="A6936">
            <v>31102192</v>
          </cell>
          <cell r="C6936">
            <v>31102192</v>
          </cell>
          <cell r="D6936">
            <v>31102192</v>
          </cell>
          <cell r="E6936">
            <v>31102192</v>
          </cell>
          <cell r="F6936">
            <v>31102192</v>
          </cell>
          <cell r="G6936">
            <v>31102192</v>
          </cell>
          <cell r="H6936">
            <v>31102192</v>
          </cell>
          <cell r="I6936" t="str">
            <v/>
          </cell>
          <cell r="J6936" t="str">
            <v/>
          </cell>
          <cell r="K6936" t="str">
            <v/>
          </cell>
          <cell r="L6936" t="str">
            <v/>
          </cell>
          <cell r="M6936" t="str">
            <v/>
          </cell>
        </row>
        <row r="6937">
          <cell r="A6937">
            <v>31102192</v>
          </cell>
          <cell r="C6937">
            <v>31102192</v>
          </cell>
          <cell r="D6937">
            <v>31102192</v>
          </cell>
          <cell r="E6937">
            <v>31102192</v>
          </cell>
          <cell r="F6937">
            <v>31102192</v>
          </cell>
          <cell r="G6937">
            <v>31102192</v>
          </cell>
          <cell r="H6937">
            <v>31102192</v>
          </cell>
          <cell r="I6937" t="str">
            <v/>
          </cell>
          <cell r="J6937" t="str">
            <v/>
          </cell>
          <cell r="K6937" t="str">
            <v/>
          </cell>
          <cell r="L6937" t="str">
            <v/>
          </cell>
          <cell r="M6937" t="str">
            <v/>
          </cell>
        </row>
        <row r="6938">
          <cell r="A6938">
            <v>31102192</v>
          </cell>
          <cell r="C6938">
            <v>31102192</v>
          </cell>
          <cell r="D6938">
            <v>31102192</v>
          </cell>
          <cell r="E6938">
            <v>31102192</v>
          </cell>
          <cell r="F6938">
            <v>31102192</v>
          </cell>
          <cell r="G6938">
            <v>31102192</v>
          </cell>
          <cell r="H6938">
            <v>31102192</v>
          </cell>
          <cell r="I6938" t="str">
            <v/>
          </cell>
          <cell r="J6938" t="str">
            <v/>
          </cell>
          <cell r="K6938" t="str">
            <v/>
          </cell>
          <cell r="L6938" t="str">
            <v/>
          </cell>
          <cell r="M6938" t="str">
            <v/>
          </cell>
        </row>
        <row r="6939">
          <cell r="A6939">
            <v>31102192</v>
          </cell>
          <cell r="C6939">
            <v>31102192</v>
          </cell>
          <cell r="D6939">
            <v>31102192</v>
          </cell>
          <cell r="E6939">
            <v>31102192</v>
          </cell>
          <cell r="F6939">
            <v>31102192</v>
          </cell>
          <cell r="G6939">
            <v>31102192</v>
          </cell>
          <cell r="H6939">
            <v>31102192</v>
          </cell>
          <cell r="I6939" t="str">
            <v/>
          </cell>
          <cell r="J6939" t="str">
            <v/>
          </cell>
          <cell r="K6939" t="str">
            <v/>
          </cell>
          <cell r="L6939" t="str">
            <v/>
          </cell>
          <cell r="M6939" t="str">
            <v/>
          </cell>
        </row>
        <row r="6940">
          <cell r="A6940">
            <v>31102192</v>
          </cell>
          <cell r="C6940">
            <v>31102192</v>
          </cell>
          <cell r="D6940">
            <v>31102192</v>
          </cell>
          <cell r="E6940">
            <v>31102192</v>
          </cell>
          <cell r="F6940">
            <v>31102192</v>
          </cell>
          <cell r="G6940">
            <v>31102192</v>
          </cell>
          <cell r="H6940">
            <v>31102192</v>
          </cell>
          <cell r="I6940" t="str">
            <v/>
          </cell>
          <cell r="J6940" t="str">
            <v/>
          </cell>
          <cell r="K6940" t="str">
            <v/>
          </cell>
          <cell r="L6940" t="str">
            <v/>
          </cell>
          <cell r="M6940" t="str">
            <v/>
          </cell>
        </row>
        <row r="6941">
          <cell r="A6941">
            <v>31102192</v>
          </cell>
          <cell r="C6941">
            <v>31102192</v>
          </cell>
          <cell r="D6941">
            <v>31102192</v>
          </cell>
          <cell r="E6941">
            <v>31102192</v>
          </cell>
          <cell r="F6941">
            <v>31102192</v>
          </cell>
          <cell r="G6941">
            <v>31102192</v>
          </cell>
          <cell r="H6941">
            <v>31102192</v>
          </cell>
          <cell r="I6941" t="str">
            <v/>
          </cell>
          <cell r="J6941" t="str">
            <v/>
          </cell>
          <cell r="K6941" t="str">
            <v/>
          </cell>
          <cell r="L6941" t="str">
            <v/>
          </cell>
          <cell r="M6941" t="str">
            <v/>
          </cell>
        </row>
        <row r="6942">
          <cell r="A6942">
            <v>31102192</v>
          </cell>
          <cell r="C6942">
            <v>31102192</v>
          </cell>
          <cell r="D6942">
            <v>31102192</v>
          </cell>
          <cell r="E6942">
            <v>31102192</v>
          </cell>
          <cell r="F6942">
            <v>31102192</v>
          </cell>
          <cell r="G6942">
            <v>31102192</v>
          </cell>
          <cell r="H6942">
            <v>31102192</v>
          </cell>
          <cell r="I6942" t="str">
            <v/>
          </cell>
          <cell r="J6942" t="str">
            <v/>
          </cell>
          <cell r="K6942" t="str">
            <v/>
          </cell>
          <cell r="L6942" t="str">
            <v/>
          </cell>
          <cell r="M6942" t="str">
            <v/>
          </cell>
        </row>
        <row r="6943">
          <cell r="A6943">
            <v>31102192</v>
          </cell>
          <cell r="C6943">
            <v>31102192</v>
          </cell>
          <cell r="D6943">
            <v>31102192</v>
          </cell>
          <cell r="E6943">
            <v>31102192</v>
          </cell>
          <cell r="F6943">
            <v>31102192</v>
          </cell>
          <cell r="G6943">
            <v>31102192</v>
          </cell>
          <cell r="H6943">
            <v>31102192</v>
          </cell>
          <cell r="I6943" t="str">
            <v/>
          </cell>
          <cell r="J6943" t="str">
            <v/>
          </cell>
          <cell r="K6943" t="str">
            <v/>
          </cell>
          <cell r="L6943" t="str">
            <v/>
          </cell>
          <cell r="M6943" t="str">
            <v/>
          </cell>
        </row>
        <row r="6944">
          <cell r="A6944">
            <v>31102192</v>
          </cell>
          <cell r="C6944">
            <v>31102192</v>
          </cell>
          <cell r="D6944">
            <v>31102192</v>
          </cell>
          <cell r="E6944">
            <v>31102192</v>
          </cell>
          <cell r="F6944">
            <v>31102192</v>
          </cell>
          <cell r="G6944">
            <v>31102192</v>
          </cell>
          <cell r="H6944">
            <v>31102192</v>
          </cell>
          <cell r="I6944" t="str">
            <v/>
          </cell>
          <cell r="J6944" t="str">
            <v/>
          </cell>
          <cell r="K6944" t="str">
            <v/>
          </cell>
          <cell r="L6944" t="str">
            <v/>
          </cell>
          <cell r="M6944" t="str">
            <v/>
          </cell>
        </row>
        <row r="6945">
          <cell r="A6945">
            <v>31102192</v>
          </cell>
          <cell r="C6945">
            <v>31102192</v>
          </cell>
          <cell r="D6945">
            <v>31102192</v>
          </cell>
          <cell r="E6945">
            <v>31102192</v>
          </cell>
          <cell r="F6945">
            <v>31102192</v>
          </cell>
          <cell r="G6945">
            <v>31102192</v>
          </cell>
          <cell r="H6945">
            <v>31102192</v>
          </cell>
          <cell r="I6945" t="str">
            <v/>
          </cell>
          <cell r="J6945" t="str">
            <v/>
          </cell>
          <cell r="K6945" t="str">
            <v/>
          </cell>
          <cell r="L6945" t="str">
            <v/>
          </cell>
          <cell r="M6945" t="str">
            <v/>
          </cell>
        </row>
        <row r="6946">
          <cell r="A6946">
            <v>31102192</v>
          </cell>
          <cell r="C6946">
            <v>31102192</v>
          </cell>
          <cell r="D6946">
            <v>31102192</v>
          </cell>
          <cell r="E6946">
            <v>31102192</v>
          </cell>
          <cell r="F6946">
            <v>31102192</v>
          </cell>
          <cell r="G6946">
            <v>31102192</v>
          </cell>
          <cell r="H6946">
            <v>31102192</v>
          </cell>
          <cell r="I6946" t="str">
            <v/>
          </cell>
          <cell r="J6946" t="str">
            <v/>
          </cell>
          <cell r="K6946" t="str">
            <v/>
          </cell>
          <cell r="L6946" t="str">
            <v/>
          </cell>
          <cell r="M6946" t="str">
            <v/>
          </cell>
        </row>
        <row r="6947">
          <cell r="A6947">
            <v>31102192</v>
          </cell>
          <cell r="C6947">
            <v>31102192</v>
          </cell>
          <cell r="D6947">
            <v>31102192</v>
          </cell>
          <cell r="E6947">
            <v>31102192</v>
          </cell>
          <cell r="F6947">
            <v>31102192</v>
          </cell>
          <cell r="G6947">
            <v>31102192</v>
          </cell>
          <cell r="H6947">
            <v>31102192</v>
          </cell>
          <cell r="I6947" t="str">
            <v/>
          </cell>
          <cell r="J6947" t="str">
            <v/>
          </cell>
          <cell r="K6947" t="str">
            <v/>
          </cell>
          <cell r="L6947" t="str">
            <v/>
          </cell>
          <cell r="M6947" t="str">
            <v/>
          </cell>
        </row>
        <row r="6948">
          <cell r="A6948">
            <v>31102192</v>
          </cell>
          <cell r="C6948">
            <v>31102192</v>
          </cell>
          <cell r="D6948">
            <v>31102192</v>
          </cell>
          <cell r="E6948">
            <v>31102192</v>
          </cell>
          <cell r="F6948">
            <v>31102192</v>
          </cell>
          <cell r="G6948">
            <v>31102192</v>
          </cell>
          <cell r="H6948">
            <v>31102192</v>
          </cell>
          <cell r="I6948" t="str">
            <v/>
          </cell>
          <cell r="J6948" t="str">
            <v/>
          </cell>
          <cell r="K6948" t="str">
            <v/>
          </cell>
          <cell r="L6948" t="str">
            <v/>
          </cell>
          <cell r="M6948" t="str">
            <v/>
          </cell>
        </row>
        <row r="6949">
          <cell r="A6949">
            <v>31102192</v>
          </cell>
          <cell r="C6949">
            <v>31102192</v>
          </cell>
          <cell r="D6949">
            <v>31102192</v>
          </cell>
          <cell r="E6949">
            <v>31102192</v>
          </cell>
          <cell r="F6949">
            <v>31102192</v>
          </cell>
          <cell r="G6949">
            <v>31102192</v>
          </cell>
          <cell r="H6949">
            <v>31102192</v>
          </cell>
          <cell r="I6949" t="str">
            <v/>
          </cell>
          <cell r="J6949" t="str">
            <v/>
          </cell>
          <cell r="K6949" t="str">
            <v/>
          </cell>
          <cell r="L6949" t="str">
            <v/>
          </cell>
          <cell r="M6949" t="str">
            <v/>
          </cell>
        </row>
        <row r="6950">
          <cell r="A6950">
            <v>31102192</v>
          </cell>
          <cell r="C6950">
            <v>31102192</v>
          </cell>
          <cell r="D6950">
            <v>31102192</v>
          </cell>
          <cell r="E6950">
            <v>31102192</v>
          </cell>
          <cell r="F6950">
            <v>31102192</v>
          </cell>
          <cell r="G6950">
            <v>31102192</v>
          </cell>
          <cell r="H6950">
            <v>31102192</v>
          </cell>
          <cell r="I6950" t="str">
            <v/>
          </cell>
          <cell r="J6950" t="str">
            <v/>
          </cell>
          <cell r="K6950" t="str">
            <v/>
          </cell>
          <cell r="L6950" t="str">
            <v/>
          </cell>
          <cell r="M6950" t="str">
            <v/>
          </cell>
        </row>
        <row r="6951">
          <cell r="A6951">
            <v>31102192</v>
          </cell>
          <cell r="C6951">
            <v>31102192</v>
          </cell>
          <cell r="D6951">
            <v>31102192</v>
          </cell>
          <cell r="E6951">
            <v>31102192</v>
          </cell>
          <cell r="F6951">
            <v>31102192</v>
          </cell>
          <cell r="G6951">
            <v>31102192</v>
          </cell>
          <cell r="H6951">
            <v>31102192</v>
          </cell>
          <cell r="I6951" t="str">
            <v/>
          </cell>
          <cell r="J6951" t="str">
            <v/>
          </cell>
          <cell r="K6951" t="str">
            <v/>
          </cell>
          <cell r="L6951" t="str">
            <v/>
          </cell>
          <cell r="M6951" t="str">
            <v/>
          </cell>
        </row>
        <row r="6952">
          <cell r="A6952">
            <v>31102192</v>
          </cell>
          <cell r="C6952">
            <v>31102192</v>
          </cell>
          <cell r="D6952">
            <v>31102192</v>
          </cell>
          <cell r="E6952">
            <v>31102192</v>
          </cell>
          <cell r="F6952">
            <v>31102192</v>
          </cell>
          <cell r="G6952">
            <v>31102192</v>
          </cell>
          <cell r="H6952">
            <v>31102192</v>
          </cell>
          <cell r="I6952" t="str">
            <v/>
          </cell>
          <cell r="J6952" t="str">
            <v/>
          </cell>
          <cell r="K6952" t="str">
            <v/>
          </cell>
          <cell r="L6952" t="str">
            <v/>
          </cell>
          <cell r="M6952" t="str">
            <v/>
          </cell>
        </row>
        <row r="6953">
          <cell r="A6953">
            <v>31102192</v>
          </cell>
          <cell r="C6953">
            <v>31102192</v>
          </cell>
          <cell r="D6953">
            <v>31102192</v>
          </cell>
          <cell r="E6953">
            <v>31102192</v>
          </cell>
          <cell r="F6953">
            <v>31102192</v>
          </cell>
          <cell r="G6953">
            <v>31102192</v>
          </cell>
          <cell r="H6953">
            <v>31102192</v>
          </cell>
          <cell r="I6953" t="str">
            <v/>
          </cell>
          <cell r="J6953" t="str">
            <v/>
          </cell>
          <cell r="K6953" t="str">
            <v/>
          </cell>
          <cell r="L6953" t="str">
            <v/>
          </cell>
          <cell r="M6953" t="str">
            <v/>
          </cell>
        </row>
        <row r="6954">
          <cell r="A6954">
            <v>31102192</v>
          </cell>
          <cell r="C6954">
            <v>31102192</v>
          </cell>
          <cell r="D6954">
            <v>31102192</v>
          </cell>
          <cell r="E6954">
            <v>31102192</v>
          </cell>
          <cell r="F6954">
            <v>31102192</v>
          </cell>
          <cell r="G6954">
            <v>31102192</v>
          </cell>
          <cell r="H6954">
            <v>31102192</v>
          </cell>
          <cell r="I6954" t="str">
            <v/>
          </cell>
          <cell r="J6954" t="str">
            <v/>
          </cell>
          <cell r="K6954" t="str">
            <v/>
          </cell>
          <cell r="L6954" t="str">
            <v/>
          </cell>
          <cell r="M6954" t="str">
            <v/>
          </cell>
        </row>
        <row r="6955">
          <cell r="A6955">
            <v>31102192</v>
          </cell>
          <cell r="C6955">
            <v>31102192</v>
          </cell>
          <cell r="D6955">
            <v>31102192</v>
          </cell>
          <cell r="E6955">
            <v>31102192</v>
          </cell>
          <cell r="F6955">
            <v>31102192</v>
          </cell>
          <cell r="G6955">
            <v>31102192</v>
          </cell>
          <cell r="H6955">
            <v>31102192</v>
          </cell>
          <cell r="I6955" t="str">
            <v/>
          </cell>
          <cell r="J6955" t="str">
            <v/>
          </cell>
          <cell r="K6955" t="str">
            <v/>
          </cell>
          <cell r="L6955" t="str">
            <v/>
          </cell>
          <cell r="M6955" t="str">
            <v/>
          </cell>
        </row>
        <row r="6956">
          <cell r="A6956">
            <v>31102192</v>
          </cell>
          <cell r="C6956">
            <v>31102192</v>
          </cell>
          <cell r="D6956">
            <v>31102192</v>
          </cell>
          <cell r="E6956">
            <v>31102192</v>
          </cell>
          <cell r="F6956">
            <v>31102192</v>
          </cell>
          <cell r="G6956">
            <v>31102192</v>
          </cell>
          <cell r="H6956">
            <v>31102192</v>
          </cell>
          <cell r="I6956" t="str">
            <v/>
          </cell>
          <cell r="J6956" t="str">
            <v/>
          </cell>
          <cell r="K6956" t="str">
            <v/>
          </cell>
          <cell r="L6956" t="str">
            <v/>
          </cell>
          <cell r="M6956" t="str">
            <v/>
          </cell>
        </row>
        <row r="6957">
          <cell r="A6957">
            <v>31102192</v>
          </cell>
          <cell r="C6957">
            <v>31102192</v>
          </cell>
          <cell r="D6957">
            <v>31102192</v>
          </cell>
          <cell r="E6957">
            <v>31102192</v>
          </cell>
          <cell r="F6957">
            <v>31102192</v>
          </cell>
          <cell r="G6957">
            <v>31102192</v>
          </cell>
          <cell r="H6957">
            <v>31102192</v>
          </cell>
          <cell r="I6957" t="str">
            <v/>
          </cell>
          <cell r="J6957" t="str">
            <v/>
          </cell>
          <cell r="K6957" t="str">
            <v/>
          </cell>
          <cell r="L6957" t="str">
            <v/>
          </cell>
          <cell r="M6957" t="str">
            <v/>
          </cell>
        </row>
        <row r="6958">
          <cell r="A6958">
            <v>31102192</v>
          </cell>
          <cell r="C6958">
            <v>31102192</v>
          </cell>
          <cell r="D6958">
            <v>31102192</v>
          </cell>
          <cell r="E6958">
            <v>31102192</v>
          </cell>
          <cell r="F6958">
            <v>31102192</v>
          </cell>
          <cell r="G6958">
            <v>31102192</v>
          </cell>
          <cell r="H6958">
            <v>31102192</v>
          </cell>
          <cell r="I6958" t="str">
            <v/>
          </cell>
          <cell r="J6958" t="str">
            <v/>
          </cell>
          <cell r="K6958" t="str">
            <v/>
          </cell>
          <cell r="L6958" t="str">
            <v/>
          </cell>
          <cell r="M6958" t="str">
            <v/>
          </cell>
        </row>
        <row r="6959">
          <cell r="A6959">
            <v>31102192</v>
          </cell>
          <cell r="C6959">
            <v>31102192</v>
          </cell>
          <cell r="D6959">
            <v>31102192</v>
          </cell>
          <cell r="E6959">
            <v>31102192</v>
          </cell>
          <cell r="F6959">
            <v>31102192</v>
          </cell>
          <cell r="G6959">
            <v>31102192</v>
          </cell>
          <cell r="H6959">
            <v>31102192</v>
          </cell>
          <cell r="I6959" t="str">
            <v/>
          </cell>
          <cell r="J6959" t="str">
            <v/>
          </cell>
          <cell r="K6959" t="str">
            <v/>
          </cell>
          <cell r="L6959" t="str">
            <v/>
          </cell>
          <cell r="M6959" t="str">
            <v/>
          </cell>
        </row>
        <row r="6960">
          <cell r="A6960">
            <v>31102192</v>
          </cell>
          <cell r="C6960">
            <v>31102192</v>
          </cell>
          <cell r="D6960">
            <v>31102192</v>
          </cell>
          <cell r="E6960">
            <v>31102192</v>
          </cell>
          <cell r="F6960">
            <v>31102192</v>
          </cell>
          <cell r="G6960">
            <v>31102192</v>
          </cell>
          <cell r="H6960">
            <v>31102192</v>
          </cell>
          <cell r="I6960" t="str">
            <v/>
          </cell>
          <cell r="J6960" t="str">
            <v/>
          </cell>
          <cell r="K6960" t="str">
            <v/>
          </cell>
          <cell r="L6960" t="str">
            <v/>
          </cell>
          <cell r="M6960" t="str">
            <v/>
          </cell>
        </row>
        <row r="6961">
          <cell r="A6961">
            <v>31102192</v>
          </cell>
          <cell r="C6961">
            <v>31102192</v>
          </cell>
          <cell r="D6961">
            <v>31102192</v>
          </cell>
          <cell r="E6961">
            <v>31102192</v>
          </cell>
          <cell r="F6961">
            <v>31102192</v>
          </cell>
          <cell r="G6961">
            <v>31102192</v>
          </cell>
          <cell r="H6961">
            <v>31102192</v>
          </cell>
          <cell r="I6961" t="str">
            <v/>
          </cell>
          <cell r="J6961" t="str">
            <v/>
          </cell>
          <cell r="K6961" t="str">
            <v/>
          </cell>
          <cell r="L6961" t="str">
            <v/>
          </cell>
          <cell r="M6961" t="str">
            <v/>
          </cell>
        </row>
        <row r="6962">
          <cell r="A6962">
            <v>31102192</v>
          </cell>
          <cell r="C6962">
            <v>31102192</v>
          </cell>
          <cell r="D6962">
            <v>31102192</v>
          </cell>
          <cell r="E6962">
            <v>31102192</v>
          </cell>
          <cell r="F6962">
            <v>31102192</v>
          </cell>
          <cell r="G6962">
            <v>31102192</v>
          </cell>
          <cell r="H6962">
            <v>31102192</v>
          </cell>
          <cell r="I6962" t="str">
            <v/>
          </cell>
          <cell r="J6962" t="str">
            <v/>
          </cell>
          <cell r="K6962" t="str">
            <v/>
          </cell>
          <cell r="L6962" t="str">
            <v/>
          </cell>
          <cell r="M6962" t="str">
            <v/>
          </cell>
        </row>
        <row r="6963">
          <cell r="A6963">
            <v>31102192</v>
          </cell>
          <cell r="C6963">
            <v>31102192</v>
          </cell>
          <cell r="D6963">
            <v>31102192</v>
          </cell>
          <cell r="E6963">
            <v>31102192</v>
          </cell>
          <cell r="F6963">
            <v>31102192</v>
          </cell>
          <cell r="G6963">
            <v>31102192</v>
          </cell>
          <cell r="H6963">
            <v>31102192</v>
          </cell>
          <cell r="I6963" t="str">
            <v/>
          </cell>
          <cell r="J6963" t="str">
            <v/>
          </cell>
          <cell r="K6963" t="str">
            <v/>
          </cell>
          <cell r="L6963" t="str">
            <v/>
          </cell>
          <cell r="M6963" t="str">
            <v/>
          </cell>
        </row>
        <row r="6964">
          <cell r="A6964">
            <v>31102192</v>
          </cell>
          <cell r="C6964">
            <v>31102192</v>
          </cell>
          <cell r="D6964">
            <v>31102192</v>
          </cell>
          <cell r="E6964">
            <v>31102192</v>
          </cell>
          <cell r="F6964">
            <v>31102192</v>
          </cell>
          <cell r="G6964">
            <v>31102192</v>
          </cell>
          <cell r="H6964">
            <v>31102192</v>
          </cell>
          <cell r="I6964" t="str">
            <v/>
          </cell>
          <cell r="J6964" t="str">
            <v/>
          </cell>
          <cell r="K6964" t="str">
            <v/>
          </cell>
          <cell r="L6964" t="str">
            <v/>
          </cell>
          <cell r="M6964" t="str">
            <v/>
          </cell>
        </row>
        <row r="6965">
          <cell r="A6965">
            <v>31102192</v>
          </cell>
          <cell r="C6965">
            <v>31102192</v>
          </cell>
          <cell r="D6965">
            <v>31102192</v>
          </cell>
          <cell r="E6965">
            <v>31102192</v>
          </cell>
          <cell r="F6965">
            <v>31102192</v>
          </cell>
          <cell r="G6965">
            <v>31102192</v>
          </cell>
          <cell r="H6965">
            <v>31102192</v>
          </cell>
          <cell r="I6965" t="str">
            <v/>
          </cell>
          <cell r="J6965" t="str">
            <v/>
          </cell>
          <cell r="K6965" t="str">
            <v/>
          </cell>
          <cell r="L6965" t="str">
            <v/>
          </cell>
          <cell r="M6965" t="str">
            <v/>
          </cell>
        </row>
        <row r="6966">
          <cell r="A6966">
            <v>31102192</v>
          </cell>
          <cell r="C6966">
            <v>31102192</v>
          </cell>
          <cell r="D6966">
            <v>31102192</v>
          </cell>
          <cell r="E6966">
            <v>31102192</v>
          </cell>
          <cell r="F6966">
            <v>31102192</v>
          </cell>
          <cell r="G6966">
            <v>31102192</v>
          </cell>
          <cell r="H6966">
            <v>31102192</v>
          </cell>
          <cell r="I6966" t="str">
            <v/>
          </cell>
          <cell r="J6966" t="str">
            <v/>
          </cell>
          <cell r="K6966" t="str">
            <v/>
          </cell>
          <cell r="L6966" t="str">
            <v/>
          </cell>
          <cell r="M6966" t="str">
            <v/>
          </cell>
        </row>
        <row r="6967">
          <cell r="A6967">
            <v>31102192</v>
          </cell>
          <cell r="C6967">
            <v>31102192</v>
          </cell>
          <cell r="D6967">
            <v>31102192</v>
          </cell>
          <cell r="E6967">
            <v>31102192</v>
          </cell>
          <cell r="F6967">
            <v>31102192</v>
          </cell>
          <cell r="G6967">
            <v>31102192</v>
          </cell>
          <cell r="H6967">
            <v>31102192</v>
          </cell>
          <cell r="I6967" t="str">
            <v/>
          </cell>
          <cell r="J6967" t="str">
            <v/>
          </cell>
          <cell r="K6967" t="str">
            <v/>
          </cell>
          <cell r="L6967" t="str">
            <v/>
          </cell>
          <cell r="M6967" t="str">
            <v/>
          </cell>
        </row>
        <row r="6968">
          <cell r="A6968">
            <v>31102192</v>
          </cell>
          <cell r="C6968">
            <v>31102192</v>
          </cell>
          <cell r="D6968">
            <v>31102192</v>
          </cell>
          <cell r="E6968">
            <v>31102192</v>
          </cell>
          <cell r="F6968">
            <v>31102192</v>
          </cell>
          <cell r="G6968">
            <v>31102192</v>
          </cell>
          <cell r="H6968">
            <v>31102192</v>
          </cell>
          <cell r="I6968" t="str">
            <v/>
          </cell>
          <cell r="J6968" t="str">
            <v/>
          </cell>
          <cell r="K6968" t="str">
            <v/>
          </cell>
          <cell r="L6968" t="str">
            <v/>
          </cell>
          <cell r="M6968" t="str">
            <v/>
          </cell>
        </row>
        <row r="6969">
          <cell r="A6969">
            <v>31102192</v>
          </cell>
          <cell r="C6969">
            <v>31102192</v>
          </cell>
          <cell r="D6969">
            <v>31102192</v>
          </cell>
          <cell r="E6969">
            <v>31102192</v>
          </cell>
          <cell r="F6969">
            <v>31102192</v>
          </cell>
          <cell r="G6969">
            <v>31102192</v>
          </cell>
          <cell r="H6969">
            <v>31102192</v>
          </cell>
          <cell r="I6969" t="str">
            <v/>
          </cell>
          <cell r="J6969" t="str">
            <v/>
          </cell>
          <cell r="K6969" t="str">
            <v/>
          </cell>
          <cell r="L6969" t="str">
            <v/>
          </cell>
          <cell r="M6969" t="str">
            <v/>
          </cell>
        </row>
        <row r="6970">
          <cell r="A6970">
            <v>31102192</v>
          </cell>
          <cell r="C6970">
            <v>31102192</v>
          </cell>
          <cell r="D6970">
            <v>31102192</v>
          </cell>
          <cell r="E6970">
            <v>31102192</v>
          </cell>
          <cell r="F6970">
            <v>31102192</v>
          </cell>
          <cell r="G6970">
            <v>31102192</v>
          </cell>
          <cell r="H6970">
            <v>31102192</v>
          </cell>
          <cell r="I6970" t="str">
            <v/>
          </cell>
          <cell r="J6970" t="str">
            <v/>
          </cell>
          <cell r="K6970" t="str">
            <v/>
          </cell>
          <cell r="L6970" t="str">
            <v/>
          </cell>
          <cell r="M6970" t="str">
            <v/>
          </cell>
        </row>
        <row r="6971">
          <cell r="A6971">
            <v>31102192</v>
          </cell>
          <cell r="C6971">
            <v>31102192</v>
          </cell>
          <cell r="D6971">
            <v>31102192</v>
          </cell>
          <cell r="E6971">
            <v>31102192</v>
          </cell>
          <cell r="F6971">
            <v>31102192</v>
          </cell>
          <cell r="G6971">
            <v>31102192</v>
          </cell>
          <cell r="H6971">
            <v>31102192</v>
          </cell>
          <cell r="I6971" t="str">
            <v/>
          </cell>
          <cell r="J6971" t="str">
            <v/>
          </cell>
          <cell r="K6971" t="str">
            <v/>
          </cell>
          <cell r="L6971" t="str">
            <v/>
          </cell>
          <cell r="M6971" t="str">
            <v/>
          </cell>
        </row>
        <row r="6972">
          <cell r="A6972">
            <v>31102192</v>
          </cell>
          <cell r="C6972">
            <v>31102192</v>
          </cell>
          <cell r="D6972">
            <v>31102192</v>
          </cell>
          <cell r="E6972">
            <v>31102192</v>
          </cell>
          <cell r="F6972">
            <v>31102192</v>
          </cell>
          <cell r="G6972">
            <v>31102192</v>
          </cell>
          <cell r="H6972">
            <v>31102192</v>
          </cell>
          <cell r="I6972" t="str">
            <v/>
          </cell>
          <cell r="J6972" t="str">
            <v/>
          </cell>
          <cell r="K6972" t="str">
            <v/>
          </cell>
          <cell r="L6972" t="str">
            <v/>
          </cell>
          <cell r="M6972" t="str">
            <v/>
          </cell>
        </row>
        <row r="6973">
          <cell r="A6973">
            <v>31102192</v>
          </cell>
          <cell r="C6973">
            <v>31102192</v>
          </cell>
          <cell r="D6973">
            <v>31102192</v>
          </cell>
          <cell r="E6973">
            <v>31102192</v>
          </cell>
          <cell r="F6973">
            <v>31102192</v>
          </cell>
          <cell r="G6973">
            <v>31102192</v>
          </cell>
          <cell r="H6973">
            <v>31102192</v>
          </cell>
          <cell r="I6973" t="str">
            <v/>
          </cell>
          <cell r="J6973" t="str">
            <v/>
          </cell>
          <cell r="K6973" t="str">
            <v/>
          </cell>
          <cell r="L6973" t="str">
            <v/>
          </cell>
          <cell r="M6973" t="str">
            <v/>
          </cell>
        </row>
        <row r="6974">
          <cell r="A6974">
            <v>31102192</v>
          </cell>
          <cell r="C6974">
            <v>31102192</v>
          </cell>
          <cell r="D6974">
            <v>31102192</v>
          </cell>
          <cell r="E6974">
            <v>31102192</v>
          </cell>
          <cell r="F6974">
            <v>31102192</v>
          </cell>
          <cell r="G6974">
            <v>31102192</v>
          </cell>
          <cell r="H6974">
            <v>31102192</v>
          </cell>
          <cell r="I6974" t="str">
            <v/>
          </cell>
          <cell r="J6974" t="str">
            <v/>
          </cell>
          <cell r="K6974" t="str">
            <v/>
          </cell>
          <cell r="L6974" t="str">
            <v/>
          </cell>
          <cell r="M6974" t="str">
            <v/>
          </cell>
        </row>
        <row r="6975">
          <cell r="A6975">
            <v>31102192</v>
          </cell>
          <cell r="C6975">
            <v>31102192</v>
          </cell>
          <cell r="D6975">
            <v>31102192</v>
          </cell>
          <cell r="E6975">
            <v>31102192</v>
          </cell>
          <cell r="F6975">
            <v>31102192</v>
          </cell>
          <cell r="G6975">
            <v>31102192</v>
          </cell>
          <cell r="H6975">
            <v>31102192</v>
          </cell>
          <cell r="I6975" t="str">
            <v/>
          </cell>
          <cell r="J6975" t="str">
            <v/>
          </cell>
          <cell r="K6975" t="str">
            <v/>
          </cell>
          <cell r="L6975" t="str">
            <v/>
          </cell>
          <cell r="M6975" t="str">
            <v/>
          </cell>
        </row>
        <row r="6976">
          <cell r="A6976">
            <v>31102192</v>
          </cell>
          <cell r="C6976">
            <v>31102192</v>
          </cell>
          <cell r="D6976">
            <v>31102192</v>
          </cell>
          <cell r="E6976">
            <v>31102192</v>
          </cell>
          <cell r="F6976">
            <v>31102192</v>
          </cell>
          <cell r="G6976">
            <v>31102192</v>
          </cell>
          <cell r="H6976">
            <v>31102192</v>
          </cell>
          <cell r="I6976" t="str">
            <v/>
          </cell>
          <cell r="J6976" t="str">
            <v/>
          </cell>
          <cell r="K6976" t="str">
            <v/>
          </cell>
          <cell r="L6976" t="str">
            <v/>
          </cell>
          <cell r="M6976" t="str">
            <v/>
          </cell>
        </row>
        <row r="6977">
          <cell r="A6977">
            <v>31102192</v>
          </cell>
          <cell r="C6977">
            <v>31102192</v>
          </cell>
          <cell r="D6977">
            <v>31102192</v>
          </cell>
          <cell r="E6977">
            <v>31102192</v>
          </cell>
          <cell r="F6977">
            <v>31102192</v>
          </cell>
          <cell r="G6977">
            <v>31102192</v>
          </cell>
          <cell r="H6977">
            <v>31102192</v>
          </cell>
          <cell r="I6977" t="str">
            <v/>
          </cell>
          <cell r="J6977" t="str">
            <v/>
          </cell>
          <cell r="K6977" t="str">
            <v/>
          </cell>
          <cell r="L6977" t="str">
            <v/>
          </cell>
          <cell r="M6977" t="str">
            <v/>
          </cell>
        </row>
        <row r="6978">
          <cell r="A6978">
            <v>31102192</v>
          </cell>
          <cell r="C6978">
            <v>31102192</v>
          </cell>
          <cell r="D6978">
            <v>31102192</v>
          </cell>
          <cell r="E6978">
            <v>31102192</v>
          </cell>
          <cell r="F6978">
            <v>31102192</v>
          </cell>
          <cell r="G6978">
            <v>31102192</v>
          </cell>
          <cell r="H6978">
            <v>31102192</v>
          </cell>
          <cell r="I6978" t="str">
            <v/>
          </cell>
          <cell r="J6978" t="str">
            <v/>
          </cell>
          <cell r="K6978" t="str">
            <v/>
          </cell>
          <cell r="L6978" t="str">
            <v/>
          </cell>
          <cell r="M6978" t="str">
            <v/>
          </cell>
        </row>
        <row r="6979">
          <cell r="A6979">
            <v>31102192</v>
          </cell>
          <cell r="C6979">
            <v>31102192</v>
          </cell>
          <cell r="D6979">
            <v>31102192</v>
          </cell>
          <cell r="E6979">
            <v>31102192</v>
          </cell>
          <cell r="F6979">
            <v>31102192</v>
          </cell>
          <cell r="G6979">
            <v>31102192</v>
          </cell>
          <cell r="H6979">
            <v>31102192</v>
          </cell>
          <cell r="I6979" t="str">
            <v/>
          </cell>
          <cell r="J6979" t="str">
            <v/>
          </cell>
          <cell r="K6979" t="str">
            <v/>
          </cell>
          <cell r="L6979" t="str">
            <v/>
          </cell>
          <cell r="M6979" t="str">
            <v/>
          </cell>
        </row>
        <row r="6980">
          <cell r="A6980">
            <v>31102192</v>
          </cell>
          <cell r="C6980">
            <v>31102192</v>
          </cell>
          <cell r="D6980">
            <v>31102192</v>
          </cell>
          <cell r="E6980">
            <v>31102192</v>
          </cell>
          <cell r="F6980">
            <v>31102192</v>
          </cell>
          <cell r="G6980">
            <v>31102192</v>
          </cell>
          <cell r="H6980">
            <v>31102192</v>
          </cell>
          <cell r="I6980" t="str">
            <v/>
          </cell>
          <cell r="J6980" t="str">
            <v/>
          </cell>
          <cell r="K6980" t="str">
            <v/>
          </cell>
          <cell r="L6980" t="str">
            <v/>
          </cell>
          <cell r="M6980" t="str">
            <v/>
          </cell>
        </row>
        <row r="6981">
          <cell r="A6981">
            <v>31102192</v>
          </cell>
          <cell r="C6981">
            <v>31102192</v>
          </cell>
          <cell r="D6981">
            <v>31102192</v>
          </cell>
          <cell r="E6981">
            <v>31102192</v>
          </cell>
          <cell r="F6981">
            <v>31102192</v>
          </cell>
          <cell r="G6981">
            <v>31102192</v>
          </cell>
          <cell r="H6981">
            <v>31102192</v>
          </cell>
          <cell r="I6981" t="str">
            <v/>
          </cell>
          <cell r="J6981" t="str">
            <v/>
          </cell>
          <cell r="K6981" t="str">
            <v/>
          </cell>
          <cell r="L6981" t="str">
            <v/>
          </cell>
          <cell r="M6981" t="str">
            <v/>
          </cell>
        </row>
        <row r="6982">
          <cell r="A6982">
            <v>31102192</v>
          </cell>
          <cell r="C6982">
            <v>31102192</v>
          </cell>
          <cell r="D6982">
            <v>31102192</v>
          </cell>
          <cell r="E6982">
            <v>31102192</v>
          </cell>
          <cell r="F6982">
            <v>31102192</v>
          </cell>
          <cell r="G6982">
            <v>31102192</v>
          </cell>
          <cell r="H6982">
            <v>31102192</v>
          </cell>
          <cell r="I6982" t="str">
            <v/>
          </cell>
          <cell r="J6982" t="str">
            <v/>
          </cell>
          <cell r="K6982" t="str">
            <v/>
          </cell>
          <cell r="L6982" t="str">
            <v/>
          </cell>
          <cell r="M6982" t="str">
            <v/>
          </cell>
        </row>
        <row r="6983">
          <cell r="A6983">
            <v>31102192</v>
          </cell>
          <cell r="C6983">
            <v>31102192</v>
          </cell>
          <cell r="D6983">
            <v>31102192</v>
          </cell>
          <cell r="E6983">
            <v>31102192</v>
          </cell>
          <cell r="F6983">
            <v>31102192</v>
          </cell>
          <cell r="G6983">
            <v>31102192</v>
          </cell>
          <cell r="H6983">
            <v>31102192</v>
          </cell>
          <cell r="I6983" t="str">
            <v/>
          </cell>
          <cell r="J6983" t="str">
            <v/>
          </cell>
          <cell r="K6983" t="str">
            <v/>
          </cell>
          <cell r="L6983" t="str">
            <v/>
          </cell>
          <cell r="M6983" t="str">
            <v/>
          </cell>
        </row>
        <row r="6984">
          <cell r="A6984">
            <v>31102192</v>
          </cell>
          <cell r="C6984">
            <v>31102192</v>
          </cell>
          <cell r="D6984">
            <v>31102192</v>
          </cell>
          <cell r="E6984">
            <v>31102192</v>
          </cell>
          <cell r="F6984">
            <v>31102192</v>
          </cell>
          <cell r="G6984">
            <v>31102192</v>
          </cell>
          <cell r="H6984">
            <v>31102192</v>
          </cell>
          <cell r="I6984" t="str">
            <v/>
          </cell>
          <cell r="J6984" t="str">
            <v/>
          </cell>
          <cell r="K6984" t="str">
            <v/>
          </cell>
          <cell r="L6984" t="str">
            <v/>
          </cell>
          <cell r="M6984" t="str">
            <v/>
          </cell>
        </row>
        <row r="6985">
          <cell r="A6985">
            <v>31102192</v>
          </cell>
          <cell r="C6985">
            <v>31102192</v>
          </cell>
          <cell r="D6985">
            <v>31102192</v>
          </cell>
          <cell r="E6985">
            <v>31102192</v>
          </cell>
          <cell r="F6985">
            <v>31102192</v>
          </cell>
          <cell r="G6985">
            <v>31102192</v>
          </cell>
          <cell r="H6985">
            <v>31102192</v>
          </cell>
          <cell r="I6985" t="str">
            <v/>
          </cell>
          <cell r="J6985" t="str">
            <v/>
          </cell>
          <cell r="K6985" t="str">
            <v/>
          </cell>
          <cell r="L6985" t="str">
            <v/>
          </cell>
          <cell r="M6985" t="str">
            <v/>
          </cell>
        </row>
        <row r="6986">
          <cell r="A6986">
            <v>31102192</v>
          </cell>
          <cell r="C6986">
            <v>31102192</v>
          </cell>
          <cell r="D6986">
            <v>31102192</v>
          </cell>
          <cell r="E6986">
            <v>31102192</v>
          </cell>
          <cell r="F6986">
            <v>31102192</v>
          </cell>
          <cell r="G6986">
            <v>31102192</v>
          </cell>
          <cell r="H6986">
            <v>31102192</v>
          </cell>
          <cell r="I6986" t="str">
            <v/>
          </cell>
          <cell r="J6986" t="str">
            <v/>
          </cell>
          <cell r="K6986" t="str">
            <v/>
          </cell>
          <cell r="L6986" t="str">
            <v/>
          </cell>
          <cell r="M6986" t="str">
            <v/>
          </cell>
        </row>
        <row r="6987">
          <cell r="A6987">
            <v>31102192</v>
          </cell>
          <cell r="C6987">
            <v>31102192</v>
          </cell>
          <cell r="D6987">
            <v>31102192</v>
          </cell>
          <cell r="E6987">
            <v>31102192</v>
          </cell>
          <cell r="F6987">
            <v>31102192</v>
          </cell>
          <cell r="G6987">
            <v>31102192</v>
          </cell>
          <cell r="H6987">
            <v>31102192</v>
          </cell>
          <cell r="I6987" t="str">
            <v/>
          </cell>
          <cell r="J6987" t="str">
            <v/>
          </cell>
          <cell r="K6987" t="str">
            <v/>
          </cell>
          <cell r="L6987" t="str">
            <v/>
          </cell>
          <cell r="M6987" t="str">
            <v/>
          </cell>
        </row>
        <row r="6988">
          <cell r="A6988">
            <v>31102192</v>
          </cell>
          <cell r="C6988">
            <v>31102192</v>
          </cell>
          <cell r="D6988">
            <v>31102192</v>
          </cell>
          <cell r="E6988">
            <v>31102192</v>
          </cell>
          <cell r="F6988">
            <v>31102192</v>
          </cell>
          <cell r="G6988">
            <v>31102192</v>
          </cell>
          <cell r="H6988">
            <v>31102192</v>
          </cell>
          <cell r="I6988" t="str">
            <v/>
          </cell>
          <cell r="J6988" t="str">
            <v/>
          </cell>
          <cell r="K6988" t="str">
            <v/>
          </cell>
          <cell r="L6988" t="str">
            <v/>
          </cell>
          <cell r="M6988" t="str">
            <v/>
          </cell>
        </row>
        <row r="6989">
          <cell r="A6989">
            <v>31102192</v>
          </cell>
          <cell r="C6989">
            <v>31102192</v>
          </cell>
          <cell r="D6989">
            <v>31102192</v>
          </cell>
          <cell r="E6989">
            <v>31102192</v>
          </cell>
          <cell r="F6989">
            <v>31102192</v>
          </cell>
          <cell r="G6989">
            <v>31102192</v>
          </cell>
          <cell r="H6989">
            <v>31102192</v>
          </cell>
          <cell r="I6989" t="str">
            <v/>
          </cell>
          <cell r="J6989" t="str">
            <v/>
          </cell>
          <cell r="K6989" t="str">
            <v/>
          </cell>
          <cell r="L6989" t="str">
            <v/>
          </cell>
          <cell r="M6989" t="str">
            <v/>
          </cell>
        </row>
        <row r="6990">
          <cell r="A6990">
            <v>31102192</v>
          </cell>
          <cell r="C6990">
            <v>31102192</v>
          </cell>
          <cell r="D6990">
            <v>31102192</v>
          </cell>
          <cell r="E6990">
            <v>31102192</v>
          </cell>
          <cell r="F6990">
            <v>31102192</v>
          </cell>
          <cell r="G6990">
            <v>31102192</v>
          </cell>
          <cell r="H6990">
            <v>31102192</v>
          </cell>
          <cell r="I6990" t="str">
            <v/>
          </cell>
          <cell r="J6990" t="str">
            <v/>
          </cell>
          <cell r="K6990" t="str">
            <v/>
          </cell>
          <cell r="L6990" t="str">
            <v/>
          </cell>
          <cell r="M6990" t="str">
            <v/>
          </cell>
        </row>
        <row r="6991">
          <cell r="A6991">
            <v>31102192</v>
          </cell>
          <cell r="C6991">
            <v>31102192</v>
          </cell>
          <cell r="D6991">
            <v>31102192</v>
          </cell>
          <cell r="E6991">
            <v>31102192</v>
          </cell>
          <cell r="F6991">
            <v>31102192</v>
          </cell>
          <cell r="G6991">
            <v>31102192</v>
          </cell>
          <cell r="H6991">
            <v>31102192</v>
          </cell>
          <cell r="I6991" t="str">
            <v/>
          </cell>
          <cell r="J6991" t="str">
            <v/>
          </cell>
          <cell r="K6991" t="str">
            <v/>
          </cell>
          <cell r="L6991" t="str">
            <v/>
          </cell>
          <cell r="M6991" t="str">
            <v/>
          </cell>
        </row>
        <row r="6992">
          <cell r="A6992">
            <v>31102192</v>
          </cell>
          <cell r="C6992">
            <v>31102192</v>
          </cell>
          <cell r="D6992">
            <v>31102192</v>
          </cell>
          <cell r="E6992">
            <v>31102192</v>
          </cell>
          <cell r="F6992">
            <v>31102192</v>
          </cell>
          <cell r="G6992">
            <v>31102192</v>
          </cell>
          <cell r="H6992">
            <v>31102192</v>
          </cell>
          <cell r="I6992" t="str">
            <v/>
          </cell>
          <cell r="J6992" t="str">
            <v/>
          </cell>
          <cell r="K6992" t="str">
            <v/>
          </cell>
          <cell r="L6992" t="str">
            <v/>
          </cell>
          <cell r="M6992" t="str">
            <v/>
          </cell>
        </row>
        <row r="6993">
          <cell r="A6993">
            <v>31102192</v>
          </cell>
          <cell r="C6993">
            <v>31102192</v>
          </cell>
          <cell r="D6993">
            <v>31102192</v>
          </cell>
          <cell r="E6993">
            <v>31102192</v>
          </cell>
          <cell r="F6993">
            <v>31102192</v>
          </cell>
          <cell r="G6993">
            <v>31102192</v>
          </cell>
          <cell r="H6993">
            <v>31102192</v>
          </cell>
          <cell r="I6993" t="str">
            <v/>
          </cell>
          <cell r="J6993" t="str">
            <v/>
          </cell>
          <cell r="K6993" t="str">
            <v/>
          </cell>
          <cell r="L6993" t="str">
            <v/>
          </cell>
          <cell r="M6993" t="str">
            <v/>
          </cell>
        </row>
        <row r="6994">
          <cell r="A6994">
            <v>31102192</v>
          </cell>
          <cell r="C6994">
            <v>31102192</v>
          </cell>
          <cell r="D6994">
            <v>31102192</v>
          </cell>
          <cell r="E6994">
            <v>31102192</v>
          </cell>
          <cell r="F6994">
            <v>31102192</v>
          </cell>
          <cell r="G6994">
            <v>31102192</v>
          </cell>
          <cell r="H6994">
            <v>31102192</v>
          </cell>
          <cell r="I6994" t="str">
            <v/>
          </cell>
          <cell r="J6994" t="str">
            <v/>
          </cell>
          <cell r="K6994" t="str">
            <v/>
          </cell>
          <cell r="L6994" t="str">
            <v/>
          </cell>
          <cell r="M6994" t="str">
            <v/>
          </cell>
        </row>
        <row r="6995">
          <cell r="A6995">
            <v>31102192</v>
          </cell>
          <cell r="C6995">
            <v>31102192</v>
          </cell>
          <cell r="D6995">
            <v>31102192</v>
          </cell>
          <cell r="E6995">
            <v>31102192</v>
          </cell>
          <cell r="F6995">
            <v>31102192</v>
          </cell>
          <cell r="G6995">
            <v>31102192</v>
          </cell>
          <cell r="H6995">
            <v>31102192</v>
          </cell>
          <cell r="I6995" t="str">
            <v/>
          </cell>
          <cell r="J6995" t="str">
            <v/>
          </cell>
          <cell r="K6995" t="str">
            <v/>
          </cell>
          <cell r="L6995" t="str">
            <v/>
          </cell>
          <cell r="M6995" t="str">
            <v/>
          </cell>
        </row>
        <row r="6996">
          <cell r="A6996">
            <v>31102192</v>
          </cell>
          <cell r="C6996">
            <v>31102192</v>
          </cell>
          <cell r="D6996">
            <v>31102192</v>
          </cell>
          <cell r="E6996">
            <v>31102192</v>
          </cell>
          <cell r="F6996">
            <v>31102192</v>
          </cell>
          <cell r="G6996">
            <v>31102192</v>
          </cell>
          <cell r="H6996">
            <v>31102192</v>
          </cell>
          <cell r="I6996" t="str">
            <v/>
          </cell>
          <cell r="J6996" t="str">
            <v/>
          </cell>
          <cell r="K6996" t="str">
            <v/>
          </cell>
          <cell r="L6996" t="str">
            <v/>
          </cell>
          <cell r="M6996" t="str">
            <v/>
          </cell>
        </row>
        <row r="6997">
          <cell r="A6997">
            <v>31102192</v>
          </cell>
          <cell r="C6997">
            <v>31102192</v>
          </cell>
          <cell r="D6997">
            <v>31102192</v>
          </cell>
          <cell r="E6997">
            <v>31102192</v>
          </cell>
          <cell r="F6997">
            <v>31102192</v>
          </cell>
          <cell r="G6997">
            <v>31102192</v>
          </cell>
          <cell r="H6997">
            <v>31102192</v>
          </cell>
          <cell r="I6997" t="str">
            <v/>
          </cell>
          <cell r="J6997" t="str">
            <v/>
          </cell>
          <cell r="K6997" t="str">
            <v/>
          </cell>
          <cell r="L6997" t="str">
            <v/>
          </cell>
          <cell r="M6997" t="str">
            <v/>
          </cell>
        </row>
        <row r="6998">
          <cell r="A6998">
            <v>31102192</v>
          </cell>
          <cell r="C6998">
            <v>31102192</v>
          </cell>
          <cell r="D6998">
            <v>31102192</v>
          </cell>
          <cell r="E6998">
            <v>31102192</v>
          </cell>
          <cell r="F6998">
            <v>31102192</v>
          </cell>
          <cell r="G6998">
            <v>31102192</v>
          </cell>
          <cell r="H6998">
            <v>31102192</v>
          </cell>
          <cell r="I6998" t="str">
            <v/>
          </cell>
          <cell r="J6998" t="str">
            <v/>
          </cell>
          <cell r="K6998" t="str">
            <v/>
          </cell>
          <cell r="L6998" t="str">
            <v/>
          </cell>
          <cell r="M6998" t="str">
            <v/>
          </cell>
        </row>
        <row r="6999">
          <cell r="A6999">
            <v>31102192</v>
          </cell>
          <cell r="C6999">
            <v>31102192</v>
          </cell>
          <cell r="D6999">
            <v>31102192</v>
          </cell>
          <cell r="E6999">
            <v>31102192</v>
          </cell>
          <cell r="F6999">
            <v>31102192</v>
          </cell>
          <cell r="G6999">
            <v>31102192</v>
          </cell>
          <cell r="H6999">
            <v>31102192</v>
          </cell>
          <cell r="I6999" t="str">
            <v/>
          </cell>
          <cell r="J6999" t="str">
            <v/>
          </cell>
          <cell r="K6999" t="str">
            <v/>
          </cell>
          <cell r="L6999" t="str">
            <v/>
          </cell>
          <cell r="M6999" t="str">
            <v/>
          </cell>
        </row>
        <row r="7000">
          <cell r="A7000">
            <v>31102192</v>
          </cell>
          <cell r="C7000">
            <v>31102192</v>
          </cell>
          <cell r="D7000">
            <v>31102192</v>
          </cell>
          <cell r="E7000">
            <v>31102192</v>
          </cell>
          <cell r="F7000">
            <v>31102192</v>
          </cell>
          <cell r="G7000">
            <v>31102192</v>
          </cell>
          <cell r="H7000">
            <v>31102192</v>
          </cell>
          <cell r="I7000" t="str">
            <v/>
          </cell>
          <cell r="J7000" t="str">
            <v/>
          </cell>
          <cell r="K7000" t="str">
            <v/>
          </cell>
          <cell r="L7000" t="str">
            <v/>
          </cell>
          <cell r="M7000" t="str">
            <v/>
          </cell>
        </row>
        <row r="7001">
          <cell r="A7001">
            <v>31102192</v>
          </cell>
          <cell r="C7001">
            <v>31102192</v>
          </cell>
          <cell r="D7001">
            <v>31102192</v>
          </cell>
          <cell r="E7001">
            <v>31102192</v>
          </cell>
          <cell r="F7001">
            <v>31102192</v>
          </cell>
          <cell r="G7001">
            <v>31102192</v>
          </cell>
          <cell r="H7001">
            <v>31102192</v>
          </cell>
          <cell r="I7001" t="str">
            <v/>
          </cell>
          <cell r="J7001" t="str">
            <v/>
          </cell>
          <cell r="K7001" t="str">
            <v/>
          </cell>
          <cell r="L7001" t="str">
            <v/>
          </cell>
          <cell r="M7001" t="str">
            <v/>
          </cell>
        </row>
        <row r="7002">
          <cell r="A7002">
            <v>31102192</v>
          </cell>
          <cell r="C7002">
            <v>31102192</v>
          </cell>
          <cell r="D7002">
            <v>31102192</v>
          </cell>
          <cell r="E7002">
            <v>31102192</v>
          </cell>
          <cell r="F7002">
            <v>31102192</v>
          </cell>
          <cell r="G7002">
            <v>31102192</v>
          </cell>
          <cell r="H7002">
            <v>31102192</v>
          </cell>
          <cell r="I7002" t="str">
            <v/>
          </cell>
          <cell r="J7002" t="str">
            <v/>
          </cell>
          <cell r="K7002" t="str">
            <v/>
          </cell>
          <cell r="L7002" t="str">
            <v/>
          </cell>
          <cell r="M7002" t="str">
            <v/>
          </cell>
        </row>
        <row r="7003">
          <cell r="A7003">
            <v>31102192</v>
          </cell>
          <cell r="C7003">
            <v>31102192</v>
          </cell>
          <cell r="D7003">
            <v>31102192</v>
          </cell>
          <cell r="E7003">
            <v>31102192</v>
          </cell>
          <cell r="F7003">
            <v>31102192</v>
          </cell>
          <cell r="G7003">
            <v>31102192</v>
          </cell>
          <cell r="H7003">
            <v>31102192</v>
          </cell>
          <cell r="I7003" t="str">
            <v/>
          </cell>
          <cell r="J7003" t="str">
            <v/>
          </cell>
          <cell r="K7003" t="str">
            <v/>
          </cell>
          <cell r="L7003" t="str">
            <v/>
          </cell>
          <cell r="M7003" t="str">
            <v/>
          </cell>
        </row>
        <row r="7004">
          <cell r="A7004">
            <v>31102192</v>
          </cell>
          <cell r="C7004">
            <v>31102192</v>
          </cell>
          <cell r="D7004">
            <v>31102192</v>
          </cell>
          <cell r="E7004">
            <v>31102192</v>
          </cell>
          <cell r="F7004">
            <v>31102192</v>
          </cell>
          <cell r="G7004">
            <v>31102192</v>
          </cell>
          <cell r="H7004">
            <v>31102192</v>
          </cell>
          <cell r="I7004" t="str">
            <v/>
          </cell>
          <cell r="J7004" t="str">
            <v/>
          </cell>
          <cell r="K7004" t="str">
            <v/>
          </cell>
          <cell r="L7004" t="str">
            <v/>
          </cell>
          <cell r="M7004" t="str">
            <v/>
          </cell>
        </row>
        <row r="7005">
          <cell r="A7005">
            <v>31102192</v>
          </cell>
          <cell r="C7005">
            <v>31102192</v>
          </cell>
          <cell r="D7005">
            <v>31102192</v>
          </cell>
          <cell r="E7005">
            <v>31102192</v>
          </cell>
          <cell r="F7005">
            <v>31102192</v>
          </cell>
          <cell r="G7005">
            <v>31102192</v>
          </cell>
          <cell r="H7005">
            <v>31102192</v>
          </cell>
          <cell r="I7005" t="str">
            <v/>
          </cell>
          <cell r="J7005" t="str">
            <v/>
          </cell>
          <cell r="K7005" t="str">
            <v/>
          </cell>
          <cell r="L7005" t="str">
            <v/>
          </cell>
          <cell r="M7005" t="str">
            <v/>
          </cell>
        </row>
        <row r="7006">
          <cell r="A7006">
            <v>31102192</v>
          </cell>
          <cell r="C7006">
            <v>31102192</v>
          </cell>
          <cell r="D7006">
            <v>31102192</v>
          </cell>
          <cell r="E7006">
            <v>31102192</v>
          </cell>
          <cell r="F7006">
            <v>31102192</v>
          </cell>
          <cell r="G7006">
            <v>31102192</v>
          </cell>
          <cell r="H7006">
            <v>31102192</v>
          </cell>
          <cell r="I7006" t="str">
            <v/>
          </cell>
          <cell r="J7006" t="str">
            <v/>
          </cell>
          <cell r="K7006" t="str">
            <v/>
          </cell>
          <cell r="L7006" t="str">
            <v/>
          </cell>
          <cell r="M7006" t="str">
            <v/>
          </cell>
        </row>
        <row r="7007">
          <cell r="A7007">
            <v>31102192</v>
          </cell>
          <cell r="C7007">
            <v>31102192</v>
          </cell>
          <cell r="D7007">
            <v>31102192</v>
          </cell>
          <cell r="E7007">
            <v>31102192</v>
          </cell>
          <cell r="F7007">
            <v>31102192</v>
          </cell>
          <cell r="G7007">
            <v>31102192</v>
          </cell>
          <cell r="H7007">
            <v>31102192</v>
          </cell>
          <cell r="I7007" t="str">
            <v/>
          </cell>
          <cell r="J7007" t="str">
            <v/>
          </cell>
          <cell r="K7007" t="str">
            <v/>
          </cell>
          <cell r="L7007" t="str">
            <v/>
          </cell>
          <cell r="M7007" t="str">
            <v/>
          </cell>
        </row>
        <row r="7008">
          <cell r="A7008">
            <v>31102192</v>
          </cell>
          <cell r="C7008">
            <v>31102192</v>
          </cell>
          <cell r="D7008">
            <v>31102192</v>
          </cell>
          <cell r="E7008">
            <v>31102192</v>
          </cell>
          <cell r="F7008">
            <v>31102192</v>
          </cell>
          <cell r="G7008">
            <v>31102192</v>
          </cell>
          <cell r="H7008">
            <v>31102192</v>
          </cell>
          <cell r="I7008" t="str">
            <v/>
          </cell>
          <cell r="J7008" t="str">
            <v/>
          </cell>
          <cell r="K7008" t="str">
            <v/>
          </cell>
          <cell r="L7008" t="str">
            <v/>
          </cell>
          <cell r="M7008" t="str">
            <v/>
          </cell>
        </row>
        <row r="7009">
          <cell r="A7009">
            <v>31102192</v>
          </cell>
          <cell r="C7009">
            <v>31102192</v>
          </cell>
          <cell r="D7009">
            <v>31102192</v>
          </cell>
          <cell r="E7009">
            <v>31102192</v>
          </cell>
          <cell r="F7009">
            <v>31102192</v>
          </cell>
          <cell r="G7009">
            <v>31102192</v>
          </cell>
          <cell r="H7009">
            <v>31102192</v>
          </cell>
          <cell r="I7009" t="str">
            <v/>
          </cell>
          <cell r="J7009" t="str">
            <v/>
          </cell>
          <cell r="K7009" t="str">
            <v/>
          </cell>
          <cell r="L7009" t="str">
            <v/>
          </cell>
          <cell r="M7009" t="str">
            <v/>
          </cell>
        </row>
        <row r="7010">
          <cell r="A7010">
            <v>31102192</v>
          </cell>
          <cell r="C7010">
            <v>31102192</v>
          </cell>
          <cell r="D7010">
            <v>31102192</v>
          </cell>
          <cell r="E7010">
            <v>31102192</v>
          </cell>
          <cell r="F7010">
            <v>31102192</v>
          </cell>
          <cell r="G7010">
            <v>31102192</v>
          </cell>
          <cell r="H7010">
            <v>31102192</v>
          </cell>
          <cell r="I7010" t="str">
            <v/>
          </cell>
          <cell r="J7010" t="str">
            <v/>
          </cell>
          <cell r="K7010" t="str">
            <v/>
          </cell>
          <cell r="L7010" t="str">
            <v/>
          </cell>
          <cell r="M7010" t="str">
            <v/>
          </cell>
        </row>
        <row r="7011">
          <cell r="A7011">
            <v>31102192</v>
          </cell>
          <cell r="C7011">
            <v>31102192</v>
          </cell>
          <cell r="D7011">
            <v>31102192</v>
          </cell>
          <cell r="E7011">
            <v>31102192</v>
          </cell>
          <cell r="F7011">
            <v>31102192</v>
          </cell>
          <cell r="G7011">
            <v>31102192</v>
          </cell>
          <cell r="H7011">
            <v>31102192</v>
          </cell>
          <cell r="I7011" t="str">
            <v/>
          </cell>
          <cell r="J7011" t="str">
            <v/>
          </cell>
          <cell r="K7011" t="str">
            <v/>
          </cell>
          <cell r="L7011" t="str">
            <v/>
          </cell>
          <cell r="M7011" t="str">
            <v/>
          </cell>
        </row>
        <row r="7012">
          <cell r="A7012">
            <v>31102192</v>
          </cell>
          <cell r="C7012">
            <v>31102192</v>
          </cell>
          <cell r="D7012">
            <v>31102192</v>
          </cell>
          <cell r="E7012">
            <v>31102192</v>
          </cell>
          <cell r="F7012">
            <v>31102192</v>
          </cell>
          <cell r="G7012">
            <v>31102192</v>
          </cell>
          <cell r="H7012">
            <v>31102192</v>
          </cell>
          <cell r="I7012" t="str">
            <v/>
          </cell>
          <cell r="J7012" t="str">
            <v/>
          </cell>
          <cell r="K7012" t="str">
            <v/>
          </cell>
          <cell r="L7012" t="str">
            <v/>
          </cell>
          <cell r="M7012" t="str">
            <v/>
          </cell>
        </row>
        <row r="7013">
          <cell r="A7013">
            <v>31102192</v>
          </cell>
          <cell r="C7013">
            <v>31102192</v>
          </cell>
          <cell r="D7013">
            <v>31102192</v>
          </cell>
          <cell r="E7013">
            <v>31102192</v>
          </cell>
          <cell r="F7013">
            <v>31102192</v>
          </cell>
          <cell r="G7013">
            <v>31102192</v>
          </cell>
          <cell r="H7013">
            <v>31102192</v>
          </cell>
          <cell r="I7013" t="str">
            <v/>
          </cell>
          <cell r="J7013" t="str">
            <v/>
          </cell>
          <cell r="K7013" t="str">
            <v/>
          </cell>
          <cell r="L7013" t="str">
            <v/>
          </cell>
          <cell r="M7013" t="str">
            <v/>
          </cell>
        </row>
        <row r="7014">
          <cell r="A7014">
            <v>31102192</v>
          </cell>
          <cell r="C7014">
            <v>31102192</v>
          </cell>
          <cell r="D7014">
            <v>31102192</v>
          </cell>
          <cell r="E7014">
            <v>31102192</v>
          </cell>
          <cell r="F7014">
            <v>31102192</v>
          </cell>
          <cell r="G7014">
            <v>31102192</v>
          </cell>
          <cell r="H7014">
            <v>31102192</v>
          </cell>
          <cell r="I7014" t="str">
            <v/>
          </cell>
          <cell r="J7014" t="str">
            <v/>
          </cell>
          <cell r="K7014" t="str">
            <v/>
          </cell>
          <cell r="L7014" t="str">
            <v/>
          </cell>
          <cell r="M7014" t="str">
            <v/>
          </cell>
        </row>
        <row r="7015">
          <cell r="A7015">
            <v>31102192</v>
          </cell>
          <cell r="C7015">
            <v>31102192</v>
          </cell>
          <cell r="D7015">
            <v>31102192</v>
          </cell>
          <cell r="E7015">
            <v>31102192</v>
          </cell>
          <cell r="F7015">
            <v>31102192</v>
          </cell>
          <cell r="G7015">
            <v>31102192</v>
          </cell>
          <cell r="H7015">
            <v>31102192</v>
          </cell>
          <cell r="I7015" t="str">
            <v/>
          </cell>
          <cell r="J7015" t="str">
            <v/>
          </cell>
          <cell r="K7015" t="str">
            <v/>
          </cell>
          <cell r="L7015" t="str">
            <v/>
          </cell>
          <cell r="M7015" t="str">
            <v/>
          </cell>
        </row>
        <row r="7016">
          <cell r="A7016">
            <v>31102192</v>
          </cell>
          <cell r="C7016">
            <v>31102192</v>
          </cell>
          <cell r="D7016">
            <v>31102192</v>
          </cell>
          <cell r="E7016">
            <v>31102192</v>
          </cell>
          <cell r="F7016">
            <v>31102192</v>
          </cell>
          <cell r="G7016">
            <v>31102192</v>
          </cell>
          <cell r="H7016">
            <v>31102192</v>
          </cell>
          <cell r="I7016" t="str">
            <v/>
          </cell>
          <cell r="J7016" t="str">
            <v/>
          </cell>
          <cell r="K7016" t="str">
            <v/>
          </cell>
          <cell r="L7016" t="str">
            <v/>
          </cell>
          <cell r="M7016" t="str">
            <v/>
          </cell>
        </row>
        <row r="7017">
          <cell r="A7017">
            <v>31102192</v>
          </cell>
          <cell r="C7017">
            <v>31102192</v>
          </cell>
          <cell r="D7017">
            <v>31102192</v>
          </cell>
          <cell r="E7017">
            <v>31102192</v>
          </cell>
          <cell r="F7017">
            <v>31102192</v>
          </cell>
          <cell r="G7017">
            <v>31102192</v>
          </cell>
          <cell r="H7017">
            <v>31102192</v>
          </cell>
          <cell r="I7017" t="str">
            <v/>
          </cell>
          <cell r="J7017" t="str">
            <v/>
          </cell>
          <cell r="K7017" t="str">
            <v/>
          </cell>
          <cell r="L7017" t="str">
            <v/>
          </cell>
          <cell r="M7017" t="str">
            <v/>
          </cell>
        </row>
        <row r="7018">
          <cell r="A7018">
            <v>31102192</v>
          </cell>
          <cell r="C7018">
            <v>31102192</v>
          </cell>
          <cell r="D7018">
            <v>31102192</v>
          </cell>
          <cell r="E7018">
            <v>31102192</v>
          </cell>
          <cell r="F7018">
            <v>31102192</v>
          </cell>
          <cell r="G7018">
            <v>31102192</v>
          </cell>
          <cell r="H7018">
            <v>31102192</v>
          </cell>
          <cell r="I7018" t="str">
            <v/>
          </cell>
          <cell r="J7018" t="str">
            <v/>
          </cell>
          <cell r="K7018" t="str">
            <v/>
          </cell>
          <cell r="L7018" t="str">
            <v/>
          </cell>
          <cell r="M7018" t="str">
            <v/>
          </cell>
        </row>
        <row r="7019">
          <cell r="A7019">
            <v>31102192</v>
          </cell>
          <cell r="C7019">
            <v>31102192</v>
          </cell>
          <cell r="D7019">
            <v>31102192</v>
          </cell>
          <cell r="E7019">
            <v>31102192</v>
          </cell>
          <cell r="F7019">
            <v>31102192</v>
          </cell>
          <cell r="G7019">
            <v>31102192</v>
          </cell>
          <cell r="H7019">
            <v>31102192</v>
          </cell>
          <cell r="I7019" t="str">
            <v/>
          </cell>
          <cell r="J7019" t="str">
            <v/>
          </cell>
          <cell r="K7019" t="str">
            <v/>
          </cell>
          <cell r="L7019" t="str">
            <v/>
          </cell>
          <cell r="M7019" t="str">
            <v/>
          </cell>
        </row>
        <row r="7020">
          <cell r="A7020">
            <v>31102192</v>
          </cell>
          <cell r="C7020">
            <v>31102192</v>
          </cell>
          <cell r="D7020">
            <v>31102192</v>
          </cell>
          <cell r="E7020">
            <v>31102192</v>
          </cell>
          <cell r="F7020">
            <v>31102192</v>
          </cell>
          <cell r="G7020">
            <v>31102192</v>
          </cell>
          <cell r="H7020">
            <v>31102192</v>
          </cell>
          <cell r="I7020" t="str">
            <v/>
          </cell>
          <cell r="J7020" t="str">
            <v/>
          </cell>
          <cell r="K7020" t="str">
            <v/>
          </cell>
          <cell r="L7020" t="str">
            <v/>
          </cell>
          <cell r="M7020" t="str">
            <v/>
          </cell>
        </row>
        <row r="7021">
          <cell r="A7021">
            <v>31102192</v>
          </cell>
          <cell r="C7021">
            <v>31102192</v>
          </cell>
          <cell r="D7021">
            <v>31102192</v>
          </cell>
          <cell r="E7021">
            <v>31102192</v>
          </cell>
          <cell r="F7021">
            <v>31102192</v>
          </cell>
          <cell r="G7021">
            <v>31102192</v>
          </cell>
          <cell r="H7021">
            <v>31102192</v>
          </cell>
          <cell r="I7021" t="str">
            <v/>
          </cell>
          <cell r="J7021" t="str">
            <v/>
          </cell>
          <cell r="K7021" t="str">
            <v/>
          </cell>
          <cell r="L7021" t="str">
            <v/>
          </cell>
          <cell r="M7021" t="str">
            <v/>
          </cell>
        </row>
        <row r="7022">
          <cell r="A7022">
            <v>31102192</v>
          </cell>
          <cell r="C7022">
            <v>31102192</v>
          </cell>
          <cell r="D7022">
            <v>31102192</v>
          </cell>
          <cell r="E7022">
            <v>31102192</v>
          </cell>
          <cell r="F7022">
            <v>31102192</v>
          </cell>
          <cell r="G7022">
            <v>31102192</v>
          </cell>
          <cell r="H7022">
            <v>31102192</v>
          </cell>
          <cell r="I7022" t="str">
            <v/>
          </cell>
          <cell r="J7022" t="str">
            <v/>
          </cell>
          <cell r="K7022" t="str">
            <v/>
          </cell>
          <cell r="L7022" t="str">
            <v/>
          </cell>
          <cell r="M7022" t="str">
            <v/>
          </cell>
        </row>
        <row r="7023">
          <cell r="A7023">
            <v>31102192</v>
          </cell>
          <cell r="C7023">
            <v>31102192</v>
          </cell>
          <cell r="D7023">
            <v>31102192</v>
          </cell>
          <cell r="E7023">
            <v>31102192</v>
          </cell>
          <cell r="F7023">
            <v>31102192</v>
          </cell>
          <cell r="G7023">
            <v>31102192</v>
          </cell>
          <cell r="H7023">
            <v>31102192</v>
          </cell>
          <cell r="I7023" t="str">
            <v/>
          </cell>
          <cell r="J7023" t="str">
            <v/>
          </cell>
          <cell r="K7023" t="str">
            <v/>
          </cell>
          <cell r="L7023" t="str">
            <v/>
          </cell>
          <cell r="M7023" t="str">
            <v/>
          </cell>
        </row>
        <row r="7024">
          <cell r="A7024">
            <v>31102192</v>
          </cell>
          <cell r="C7024">
            <v>31102192</v>
          </cell>
          <cell r="D7024">
            <v>31102192</v>
          </cell>
          <cell r="E7024">
            <v>31102192</v>
          </cell>
          <cell r="F7024">
            <v>31102192</v>
          </cell>
          <cell r="G7024">
            <v>31102192</v>
          </cell>
          <cell r="H7024">
            <v>31102192</v>
          </cell>
          <cell r="I7024" t="str">
            <v/>
          </cell>
          <cell r="J7024" t="str">
            <v/>
          </cell>
          <cell r="K7024" t="str">
            <v/>
          </cell>
          <cell r="L7024" t="str">
            <v/>
          </cell>
          <cell r="M7024" t="str">
            <v/>
          </cell>
        </row>
        <row r="7025">
          <cell r="A7025">
            <v>31102192</v>
          </cell>
          <cell r="C7025">
            <v>31102192</v>
          </cell>
          <cell r="D7025">
            <v>31102192</v>
          </cell>
          <cell r="E7025">
            <v>31102192</v>
          </cell>
          <cell r="F7025">
            <v>31102192</v>
          </cell>
          <cell r="G7025">
            <v>31102192</v>
          </cell>
          <cell r="H7025">
            <v>31102192</v>
          </cell>
          <cell r="I7025" t="str">
            <v/>
          </cell>
          <cell r="J7025" t="str">
            <v/>
          </cell>
          <cell r="K7025" t="str">
            <v/>
          </cell>
          <cell r="L7025" t="str">
            <v/>
          </cell>
          <cell r="M7025" t="str">
            <v/>
          </cell>
        </row>
        <row r="7026">
          <cell r="A7026">
            <v>31102192</v>
          </cell>
          <cell r="C7026">
            <v>31102192</v>
          </cell>
          <cell r="D7026">
            <v>31102192</v>
          </cell>
          <cell r="E7026">
            <v>31102192</v>
          </cell>
          <cell r="F7026">
            <v>31102192</v>
          </cell>
          <cell r="G7026">
            <v>31102192</v>
          </cell>
          <cell r="H7026">
            <v>31102192</v>
          </cell>
          <cell r="I7026" t="str">
            <v/>
          </cell>
          <cell r="J7026" t="str">
            <v/>
          </cell>
          <cell r="K7026" t="str">
            <v/>
          </cell>
          <cell r="L7026" t="str">
            <v/>
          </cell>
          <cell r="M7026" t="str">
            <v/>
          </cell>
        </row>
        <row r="7027">
          <cell r="A7027">
            <v>31102192</v>
          </cell>
          <cell r="C7027">
            <v>31102192</v>
          </cell>
          <cell r="D7027">
            <v>31102192</v>
          </cell>
          <cell r="E7027">
            <v>31102192</v>
          </cell>
          <cell r="F7027">
            <v>31102192</v>
          </cell>
          <cell r="G7027">
            <v>31102192</v>
          </cell>
          <cell r="H7027">
            <v>31102192</v>
          </cell>
          <cell r="I7027" t="str">
            <v/>
          </cell>
          <cell r="J7027" t="str">
            <v/>
          </cell>
          <cell r="K7027" t="str">
            <v/>
          </cell>
          <cell r="L7027" t="str">
            <v/>
          </cell>
          <cell r="M7027" t="str">
            <v/>
          </cell>
        </row>
        <row r="7028">
          <cell r="A7028">
            <v>31102192</v>
          </cell>
          <cell r="C7028">
            <v>31102192</v>
          </cell>
          <cell r="D7028">
            <v>31102192</v>
          </cell>
          <cell r="E7028">
            <v>31102192</v>
          </cell>
          <cell r="F7028">
            <v>31102192</v>
          </cell>
          <cell r="G7028">
            <v>31102192</v>
          </cell>
          <cell r="H7028">
            <v>31102192</v>
          </cell>
          <cell r="I7028" t="str">
            <v/>
          </cell>
          <cell r="J7028" t="str">
            <v/>
          </cell>
          <cell r="K7028" t="str">
            <v/>
          </cell>
          <cell r="L7028" t="str">
            <v/>
          </cell>
          <cell r="M7028" t="str">
            <v/>
          </cell>
        </row>
        <row r="7029">
          <cell r="A7029">
            <v>31102192</v>
          </cell>
          <cell r="C7029">
            <v>31102192</v>
          </cell>
          <cell r="D7029">
            <v>31102192</v>
          </cell>
          <cell r="E7029">
            <v>31102192</v>
          </cell>
          <cell r="F7029">
            <v>31102192</v>
          </cell>
          <cell r="G7029">
            <v>31102192</v>
          </cell>
          <cell r="H7029">
            <v>31102192</v>
          </cell>
          <cell r="I7029" t="str">
            <v/>
          </cell>
          <cell r="J7029" t="str">
            <v/>
          </cell>
          <cell r="K7029" t="str">
            <v/>
          </cell>
          <cell r="L7029" t="str">
            <v/>
          </cell>
          <cell r="M7029" t="str">
            <v/>
          </cell>
        </row>
        <row r="7030">
          <cell r="A7030">
            <v>31102192</v>
          </cell>
          <cell r="C7030">
            <v>31102192</v>
          </cell>
          <cell r="D7030">
            <v>31102192</v>
          </cell>
          <cell r="E7030">
            <v>31102192</v>
          </cell>
          <cell r="F7030">
            <v>31102192</v>
          </cell>
          <cell r="G7030">
            <v>31102192</v>
          </cell>
          <cell r="H7030">
            <v>31102192</v>
          </cell>
          <cell r="I7030" t="str">
            <v/>
          </cell>
          <cell r="J7030" t="str">
            <v/>
          </cell>
          <cell r="K7030" t="str">
            <v/>
          </cell>
          <cell r="L7030" t="str">
            <v/>
          </cell>
          <cell r="M7030" t="str">
            <v/>
          </cell>
        </row>
        <row r="7031">
          <cell r="A7031">
            <v>31102192</v>
          </cell>
          <cell r="C7031">
            <v>31102192</v>
          </cell>
          <cell r="D7031">
            <v>31102192</v>
          </cell>
          <cell r="E7031">
            <v>31102192</v>
          </cell>
          <cell r="F7031">
            <v>31102192</v>
          </cell>
          <cell r="G7031">
            <v>31102192</v>
          </cell>
          <cell r="H7031">
            <v>31102192</v>
          </cell>
          <cell r="I7031" t="str">
            <v/>
          </cell>
          <cell r="J7031" t="str">
            <v/>
          </cell>
          <cell r="K7031" t="str">
            <v/>
          </cell>
          <cell r="L7031" t="str">
            <v/>
          </cell>
          <cell r="M7031" t="str">
            <v/>
          </cell>
        </row>
        <row r="7032">
          <cell r="A7032">
            <v>31102192</v>
          </cell>
          <cell r="C7032">
            <v>31102192</v>
          </cell>
          <cell r="D7032">
            <v>31102192</v>
          </cell>
          <cell r="E7032">
            <v>31102192</v>
          </cell>
          <cell r="F7032">
            <v>31102192</v>
          </cell>
          <cell r="G7032">
            <v>31102192</v>
          </cell>
          <cell r="H7032">
            <v>31102192</v>
          </cell>
          <cell r="I7032" t="str">
            <v/>
          </cell>
          <cell r="J7032" t="str">
            <v/>
          </cell>
          <cell r="K7032" t="str">
            <v/>
          </cell>
          <cell r="L7032" t="str">
            <v/>
          </cell>
          <cell r="M7032" t="str">
            <v/>
          </cell>
        </row>
        <row r="7033">
          <cell r="A7033">
            <v>31102192</v>
          </cell>
          <cell r="C7033">
            <v>31102192</v>
          </cell>
          <cell r="D7033">
            <v>31102192</v>
          </cell>
          <cell r="E7033">
            <v>31102192</v>
          </cell>
          <cell r="F7033">
            <v>31102192</v>
          </cell>
          <cell r="G7033">
            <v>31102192</v>
          </cell>
          <cell r="H7033">
            <v>31102192</v>
          </cell>
          <cell r="I7033" t="str">
            <v/>
          </cell>
          <cell r="J7033" t="str">
            <v/>
          </cell>
          <cell r="K7033" t="str">
            <v/>
          </cell>
          <cell r="L7033" t="str">
            <v/>
          </cell>
          <cell r="M7033" t="str">
            <v/>
          </cell>
        </row>
        <row r="7034">
          <cell r="A7034">
            <v>31102192</v>
          </cell>
          <cell r="C7034">
            <v>31102192</v>
          </cell>
          <cell r="D7034">
            <v>31102192</v>
          </cell>
          <cell r="E7034">
            <v>31102192</v>
          </cell>
          <cell r="F7034">
            <v>31102192</v>
          </cell>
          <cell r="G7034">
            <v>31102192</v>
          </cell>
          <cell r="H7034">
            <v>31102192</v>
          </cell>
          <cell r="I7034" t="str">
            <v/>
          </cell>
          <cell r="J7034" t="str">
            <v/>
          </cell>
          <cell r="K7034" t="str">
            <v/>
          </cell>
          <cell r="L7034" t="str">
            <v/>
          </cell>
          <cell r="M7034" t="str">
            <v/>
          </cell>
        </row>
        <row r="7035">
          <cell r="A7035">
            <v>31102192</v>
          </cell>
          <cell r="C7035">
            <v>31102192</v>
          </cell>
          <cell r="D7035">
            <v>31102192</v>
          </cell>
          <cell r="E7035">
            <v>31102192</v>
          </cell>
          <cell r="F7035">
            <v>31102192</v>
          </cell>
          <cell r="G7035">
            <v>31102192</v>
          </cell>
          <cell r="H7035">
            <v>31102192</v>
          </cell>
          <cell r="I7035" t="str">
            <v/>
          </cell>
          <cell r="J7035" t="str">
            <v/>
          </cell>
          <cell r="K7035" t="str">
            <v/>
          </cell>
          <cell r="L7035" t="str">
            <v/>
          </cell>
          <cell r="M7035" t="str">
            <v/>
          </cell>
        </row>
        <row r="7036">
          <cell r="A7036">
            <v>31102192</v>
          </cell>
          <cell r="C7036">
            <v>31102192</v>
          </cell>
          <cell r="D7036">
            <v>31102192</v>
          </cell>
          <cell r="E7036">
            <v>31102192</v>
          </cell>
          <cell r="F7036">
            <v>31102192</v>
          </cell>
          <cell r="G7036">
            <v>31102192</v>
          </cell>
          <cell r="H7036">
            <v>31102192</v>
          </cell>
          <cell r="I7036" t="str">
            <v/>
          </cell>
          <cell r="J7036" t="str">
            <v/>
          </cell>
          <cell r="K7036" t="str">
            <v/>
          </cell>
          <cell r="L7036" t="str">
            <v/>
          </cell>
          <cell r="M7036" t="str">
            <v/>
          </cell>
        </row>
        <row r="7037">
          <cell r="A7037">
            <v>31102192</v>
          </cell>
          <cell r="C7037">
            <v>31102192</v>
          </cell>
          <cell r="D7037">
            <v>31102192</v>
          </cell>
          <cell r="E7037">
            <v>31102192</v>
          </cell>
          <cell r="F7037">
            <v>31102192</v>
          </cell>
          <cell r="G7037">
            <v>31102192</v>
          </cell>
          <cell r="H7037">
            <v>31102192</v>
          </cell>
          <cell r="I7037" t="str">
            <v/>
          </cell>
          <cell r="J7037" t="str">
            <v/>
          </cell>
          <cell r="K7037" t="str">
            <v/>
          </cell>
          <cell r="L7037" t="str">
            <v/>
          </cell>
          <cell r="M7037" t="str">
            <v/>
          </cell>
        </row>
        <row r="7038">
          <cell r="A7038">
            <v>31102192</v>
          </cell>
          <cell r="C7038">
            <v>31102192</v>
          </cell>
          <cell r="D7038">
            <v>31102192</v>
          </cell>
          <cell r="E7038">
            <v>31102192</v>
          </cell>
          <cell r="F7038">
            <v>31102192</v>
          </cell>
          <cell r="G7038">
            <v>31102192</v>
          </cell>
          <cell r="H7038">
            <v>31102192</v>
          </cell>
          <cell r="I7038" t="str">
            <v/>
          </cell>
          <cell r="J7038" t="str">
            <v/>
          </cell>
          <cell r="K7038" t="str">
            <v/>
          </cell>
          <cell r="L7038" t="str">
            <v/>
          </cell>
          <cell r="M7038" t="str">
            <v/>
          </cell>
        </row>
        <row r="7039">
          <cell r="A7039">
            <v>31102192</v>
          </cell>
          <cell r="C7039">
            <v>31102192</v>
          </cell>
          <cell r="D7039">
            <v>31102192</v>
          </cell>
          <cell r="E7039">
            <v>31102192</v>
          </cell>
          <cell r="F7039">
            <v>31102192</v>
          </cell>
          <cell r="G7039">
            <v>31102192</v>
          </cell>
          <cell r="H7039">
            <v>31102192</v>
          </cell>
          <cell r="I7039" t="str">
            <v/>
          </cell>
          <cell r="J7039" t="str">
            <v/>
          </cell>
          <cell r="K7039" t="str">
            <v/>
          </cell>
          <cell r="L7039" t="str">
            <v/>
          </cell>
          <cell r="M7039" t="str">
            <v/>
          </cell>
        </row>
        <row r="7040">
          <cell r="A7040">
            <v>31102192</v>
          </cell>
          <cell r="C7040">
            <v>31102192</v>
          </cell>
          <cell r="D7040">
            <v>31102192</v>
          </cell>
          <cell r="E7040">
            <v>31102192</v>
          </cell>
          <cell r="F7040">
            <v>31102192</v>
          </cell>
          <cell r="G7040">
            <v>31102192</v>
          </cell>
          <cell r="H7040">
            <v>31102192</v>
          </cell>
          <cell r="I7040" t="str">
            <v/>
          </cell>
          <cell r="J7040" t="str">
            <v/>
          </cell>
          <cell r="K7040" t="str">
            <v/>
          </cell>
          <cell r="L7040" t="str">
            <v/>
          </cell>
          <cell r="M7040" t="str">
            <v/>
          </cell>
        </row>
        <row r="7041">
          <cell r="A7041">
            <v>31102192</v>
          </cell>
          <cell r="C7041">
            <v>31102192</v>
          </cell>
          <cell r="D7041">
            <v>31102192</v>
          </cell>
          <cell r="E7041">
            <v>31102192</v>
          </cell>
          <cell r="F7041">
            <v>31102192</v>
          </cell>
          <cell r="G7041">
            <v>31102192</v>
          </cell>
          <cell r="H7041">
            <v>31102192</v>
          </cell>
          <cell r="I7041" t="str">
            <v/>
          </cell>
          <cell r="J7041" t="str">
            <v/>
          </cell>
          <cell r="K7041" t="str">
            <v/>
          </cell>
          <cell r="L7041" t="str">
            <v/>
          </cell>
          <cell r="M7041" t="str">
            <v/>
          </cell>
        </row>
        <row r="7042">
          <cell r="A7042">
            <v>31102192</v>
          </cell>
          <cell r="C7042">
            <v>31102192</v>
          </cell>
          <cell r="D7042">
            <v>31102192</v>
          </cell>
          <cell r="E7042">
            <v>31102192</v>
          </cell>
          <cell r="F7042">
            <v>31102192</v>
          </cell>
          <cell r="G7042">
            <v>31102192</v>
          </cell>
          <cell r="H7042">
            <v>31102192</v>
          </cell>
          <cell r="I7042" t="str">
            <v/>
          </cell>
          <cell r="J7042" t="str">
            <v/>
          </cell>
          <cell r="K7042" t="str">
            <v/>
          </cell>
          <cell r="L7042" t="str">
            <v/>
          </cell>
          <cell r="M7042" t="str">
            <v/>
          </cell>
        </row>
        <row r="7043">
          <cell r="A7043">
            <v>31102192</v>
          </cell>
          <cell r="C7043">
            <v>31102192</v>
          </cell>
          <cell r="D7043">
            <v>31102192</v>
          </cell>
          <cell r="E7043">
            <v>31102192</v>
          </cell>
          <cell r="F7043">
            <v>31102192</v>
          </cell>
          <cell r="G7043">
            <v>31102192</v>
          </cell>
          <cell r="H7043">
            <v>31102192</v>
          </cell>
          <cell r="I7043" t="str">
            <v/>
          </cell>
          <cell r="J7043" t="str">
            <v/>
          </cell>
          <cell r="K7043" t="str">
            <v/>
          </cell>
          <cell r="L7043" t="str">
            <v/>
          </cell>
          <cell r="M7043" t="str">
            <v/>
          </cell>
        </row>
        <row r="7044">
          <cell r="A7044">
            <v>31102192</v>
          </cell>
          <cell r="C7044">
            <v>31102192</v>
          </cell>
          <cell r="D7044">
            <v>31102192</v>
          </cell>
          <cell r="E7044">
            <v>31102192</v>
          </cell>
          <cell r="F7044">
            <v>31102192</v>
          </cell>
          <cell r="G7044">
            <v>31102192</v>
          </cell>
          <cell r="H7044">
            <v>31102192</v>
          </cell>
          <cell r="I7044" t="str">
            <v/>
          </cell>
          <cell r="J7044" t="str">
            <v/>
          </cell>
          <cell r="K7044" t="str">
            <v/>
          </cell>
          <cell r="L7044" t="str">
            <v/>
          </cell>
          <cell r="M7044" t="str">
            <v/>
          </cell>
        </row>
        <row r="7045">
          <cell r="A7045">
            <v>31102192</v>
          </cell>
          <cell r="C7045">
            <v>31102192</v>
          </cell>
          <cell r="D7045">
            <v>31102192</v>
          </cell>
          <cell r="E7045">
            <v>31102192</v>
          </cell>
          <cell r="F7045">
            <v>31102192</v>
          </cell>
          <cell r="G7045">
            <v>31102192</v>
          </cell>
          <cell r="H7045">
            <v>31102192</v>
          </cell>
          <cell r="I7045" t="str">
            <v/>
          </cell>
          <cell r="J7045" t="str">
            <v/>
          </cell>
          <cell r="K7045" t="str">
            <v/>
          </cell>
          <cell r="L7045" t="str">
            <v/>
          </cell>
          <cell r="M7045" t="str">
            <v/>
          </cell>
        </row>
        <row r="7046">
          <cell r="A7046">
            <v>31102192</v>
          </cell>
          <cell r="C7046">
            <v>31102192</v>
          </cell>
          <cell r="D7046">
            <v>31102192</v>
          </cell>
          <cell r="E7046">
            <v>31102192</v>
          </cell>
          <cell r="F7046">
            <v>31102192</v>
          </cell>
          <cell r="G7046">
            <v>31102192</v>
          </cell>
          <cell r="H7046">
            <v>31102192</v>
          </cell>
          <cell r="I7046" t="str">
            <v/>
          </cell>
          <cell r="J7046" t="str">
            <v/>
          </cell>
          <cell r="K7046" t="str">
            <v/>
          </cell>
          <cell r="L7046" t="str">
            <v/>
          </cell>
          <cell r="M7046" t="str">
            <v/>
          </cell>
        </row>
        <row r="7047">
          <cell r="A7047">
            <v>31102192</v>
          </cell>
          <cell r="C7047">
            <v>31102192</v>
          </cell>
          <cell r="D7047">
            <v>31102192</v>
          </cell>
          <cell r="E7047">
            <v>31102192</v>
          </cell>
          <cell r="F7047">
            <v>31102192</v>
          </cell>
          <cell r="G7047">
            <v>31102192</v>
          </cell>
          <cell r="H7047">
            <v>31102192</v>
          </cell>
          <cell r="I7047" t="str">
            <v/>
          </cell>
          <cell r="J7047" t="str">
            <v/>
          </cell>
          <cell r="K7047" t="str">
            <v/>
          </cell>
          <cell r="L7047" t="str">
            <v/>
          </cell>
          <cell r="M7047" t="str">
            <v/>
          </cell>
        </row>
        <row r="7048">
          <cell r="A7048">
            <v>31102192</v>
          </cell>
          <cell r="C7048">
            <v>31102192</v>
          </cell>
          <cell r="D7048">
            <v>31102192</v>
          </cell>
          <cell r="E7048">
            <v>31102192</v>
          </cell>
          <cell r="F7048">
            <v>31102192</v>
          </cell>
          <cell r="G7048">
            <v>31102192</v>
          </cell>
          <cell r="H7048">
            <v>31102192</v>
          </cell>
          <cell r="I7048" t="str">
            <v/>
          </cell>
          <cell r="J7048" t="str">
            <v/>
          </cell>
          <cell r="K7048" t="str">
            <v/>
          </cell>
          <cell r="L7048" t="str">
            <v/>
          </cell>
          <cell r="M7048" t="str">
            <v/>
          </cell>
        </row>
        <row r="7049">
          <cell r="A7049">
            <v>31102192</v>
          </cell>
          <cell r="C7049">
            <v>31102192</v>
          </cell>
          <cell r="D7049">
            <v>31102192</v>
          </cell>
          <cell r="E7049">
            <v>31102192</v>
          </cell>
          <cell r="F7049">
            <v>31102192</v>
          </cell>
          <cell r="G7049">
            <v>31102192</v>
          </cell>
          <cell r="H7049">
            <v>31102192</v>
          </cell>
          <cell r="I7049" t="str">
            <v/>
          </cell>
          <cell r="J7049" t="str">
            <v/>
          </cell>
          <cell r="K7049" t="str">
            <v/>
          </cell>
          <cell r="L7049" t="str">
            <v/>
          </cell>
          <cell r="M7049" t="str">
            <v/>
          </cell>
        </row>
        <row r="7050">
          <cell r="A7050">
            <v>31102192</v>
          </cell>
          <cell r="C7050">
            <v>31102192</v>
          </cell>
          <cell r="D7050">
            <v>31102192</v>
          </cell>
          <cell r="E7050">
            <v>31102192</v>
          </cell>
          <cell r="F7050">
            <v>31102192</v>
          </cell>
          <cell r="G7050">
            <v>31102192</v>
          </cell>
          <cell r="H7050">
            <v>31102192</v>
          </cell>
          <cell r="I7050" t="str">
            <v/>
          </cell>
          <cell r="J7050" t="str">
            <v/>
          </cell>
          <cell r="K7050" t="str">
            <v/>
          </cell>
          <cell r="L7050" t="str">
            <v/>
          </cell>
          <cell r="M7050" t="str">
            <v/>
          </cell>
        </row>
        <row r="7051">
          <cell r="A7051">
            <v>31102192</v>
          </cell>
          <cell r="C7051">
            <v>31102192</v>
          </cell>
          <cell r="D7051">
            <v>31102192</v>
          </cell>
          <cell r="E7051">
            <v>31102192</v>
          </cell>
          <cell r="F7051">
            <v>31102192</v>
          </cell>
          <cell r="G7051">
            <v>31102192</v>
          </cell>
          <cell r="H7051">
            <v>31102192</v>
          </cell>
          <cell r="I7051" t="str">
            <v/>
          </cell>
          <cell r="J7051" t="str">
            <v/>
          </cell>
          <cell r="K7051" t="str">
            <v/>
          </cell>
          <cell r="L7051" t="str">
            <v/>
          </cell>
          <cell r="M7051" t="str">
            <v/>
          </cell>
        </row>
        <row r="7052">
          <cell r="A7052">
            <v>31102192</v>
          </cell>
          <cell r="C7052">
            <v>31102192</v>
          </cell>
          <cell r="D7052">
            <v>31102192</v>
          </cell>
          <cell r="E7052">
            <v>31102192</v>
          </cell>
          <cell r="F7052">
            <v>31102192</v>
          </cell>
          <cell r="G7052">
            <v>31102192</v>
          </cell>
          <cell r="H7052">
            <v>31102192</v>
          </cell>
          <cell r="I7052" t="str">
            <v/>
          </cell>
          <cell r="J7052" t="str">
            <v/>
          </cell>
          <cell r="K7052" t="str">
            <v/>
          </cell>
          <cell r="L7052" t="str">
            <v/>
          </cell>
          <cell r="M7052" t="str">
            <v/>
          </cell>
        </row>
        <row r="7053">
          <cell r="A7053">
            <v>31102192</v>
          </cell>
          <cell r="C7053">
            <v>31102192</v>
          </cell>
          <cell r="D7053">
            <v>31102192</v>
          </cell>
          <cell r="E7053">
            <v>31102192</v>
          </cell>
          <cell r="F7053">
            <v>31102192</v>
          </cell>
          <cell r="G7053">
            <v>31102192</v>
          </cell>
          <cell r="H7053">
            <v>31102192</v>
          </cell>
          <cell r="I7053" t="str">
            <v/>
          </cell>
          <cell r="J7053" t="str">
            <v/>
          </cell>
          <cell r="K7053" t="str">
            <v/>
          </cell>
          <cell r="L7053" t="str">
            <v/>
          </cell>
          <cell r="M7053" t="str">
            <v/>
          </cell>
        </row>
        <row r="7054">
          <cell r="A7054">
            <v>31102192</v>
          </cell>
          <cell r="C7054">
            <v>31102192</v>
          </cell>
          <cell r="D7054">
            <v>31102192</v>
          </cell>
          <cell r="E7054">
            <v>31102192</v>
          </cell>
          <cell r="F7054">
            <v>31102192</v>
          </cell>
          <cell r="G7054">
            <v>31102192</v>
          </cell>
          <cell r="H7054">
            <v>31102192</v>
          </cell>
          <cell r="I7054" t="str">
            <v/>
          </cell>
          <cell r="J7054" t="str">
            <v/>
          </cell>
          <cell r="K7054" t="str">
            <v/>
          </cell>
          <cell r="L7054" t="str">
            <v/>
          </cell>
          <cell r="M7054" t="str">
            <v/>
          </cell>
        </row>
        <row r="7055">
          <cell r="A7055">
            <v>31102192</v>
          </cell>
          <cell r="C7055">
            <v>31102192</v>
          </cell>
          <cell r="D7055">
            <v>31102192</v>
          </cell>
          <cell r="E7055">
            <v>31102192</v>
          </cell>
          <cell r="F7055">
            <v>31102192</v>
          </cell>
          <cell r="G7055">
            <v>31102192</v>
          </cell>
          <cell r="H7055">
            <v>31102192</v>
          </cell>
          <cell r="I7055" t="str">
            <v/>
          </cell>
          <cell r="J7055" t="str">
            <v/>
          </cell>
          <cell r="K7055" t="str">
            <v/>
          </cell>
          <cell r="L7055" t="str">
            <v/>
          </cell>
          <cell r="M7055" t="str">
            <v/>
          </cell>
        </row>
        <row r="7056">
          <cell r="A7056">
            <v>31102192</v>
          </cell>
          <cell r="C7056">
            <v>31102192</v>
          </cell>
          <cell r="D7056">
            <v>31102192</v>
          </cell>
          <cell r="E7056">
            <v>31102192</v>
          </cell>
          <cell r="F7056">
            <v>31102192</v>
          </cell>
          <cell r="G7056">
            <v>31102192</v>
          </cell>
          <cell r="H7056">
            <v>31102192</v>
          </cell>
          <cell r="I7056" t="str">
            <v/>
          </cell>
          <cell r="J7056" t="str">
            <v/>
          </cell>
          <cell r="K7056" t="str">
            <v/>
          </cell>
          <cell r="L7056" t="str">
            <v/>
          </cell>
          <cell r="M7056" t="str">
            <v/>
          </cell>
        </row>
        <row r="7057">
          <cell r="A7057">
            <v>31102192</v>
          </cell>
          <cell r="C7057">
            <v>31102192</v>
          </cell>
          <cell r="D7057">
            <v>31102192</v>
          </cell>
          <cell r="E7057">
            <v>31102192</v>
          </cell>
          <cell r="F7057">
            <v>31102192</v>
          </cell>
          <cell r="G7057">
            <v>31102192</v>
          </cell>
          <cell r="H7057">
            <v>31102192</v>
          </cell>
          <cell r="I7057" t="str">
            <v/>
          </cell>
          <cell r="J7057" t="str">
            <v/>
          </cell>
          <cell r="K7057" t="str">
            <v/>
          </cell>
          <cell r="L7057" t="str">
            <v/>
          </cell>
          <cell r="M7057" t="str">
            <v/>
          </cell>
        </row>
        <row r="7058">
          <cell r="A7058">
            <v>31102192</v>
          </cell>
          <cell r="C7058">
            <v>31102192</v>
          </cell>
          <cell r="D7058">
            <v>31102192</v>
          </cell>
          <cell r="E7058">
            <v>31102192</v>
          </cell>
          <cell r="F7058">
            <v>31102192</v>
          </cell>
          <cell r="G7058">
            <v>31102192</v>
          </cell>
          <cell r="H7058">
            <v>31102192</v>
          </cell>
          <cell r="I7058" t="str">
            <v/>
          </cell>
          <cell r="J7058" t="str">
            <v/>
          </cell>
          <cell r="K7058" t="str">
            <v/>
          </cell>
          <cell r="L7058" t="str">
            <v/>
          </cell>
          <cell r="M7058" t="str">
            <v/>
          </cell>
        </row>
        <row r="7059">
          <cell r="A7059">
            <v>31102192</v>
          </cell>
          <cell r="C7059">
            <v>31102192</v>
          </cell>
          <cell r="D7059">
            <v>31102192</v>
          </cell>
          <cell r="E7059">
            <v>31102192</v>
          </cell>
          <cell r="F7059">
            <v>31102192</v>
          </cell>
          <cell r="G7059">
            <v>31102192</v>
          </cell>
          <cell r="H7059">
            <v>31102192</v>
          </cell>
          <cell r="I7059" t="str">
            <v/>
          </cell>
          <cell r="J7059" t="str">
            <v/>
          </cell>
          <cell r="K7059" t="str">
            <v/>
          </cell>
          <cell r="L7059" t="str">
            <v/>
          </cell>
          <cell r="M7059" t="str">
            <v/>
          </cell>
        </row>
        <row r="7060">
          <cell r="A7060">
            <v>31102192</v>
          </cell>
          <cell r="C7060">
            <v>31102192</v>
          </cell>
          <cell r="D7060">
            <v>31102192</v>
          </cell>
          <cell r="E7060">
            <v>31102192</v>
          </cell>
          <cell r="F7060">
            <v>31102192</v>
          </cell>
          <cell r="G7060">
            <v>31102192</v>
          </cell>
          <cell r="H7060">
            <v>31102192</v>
          </cell>
          <cell r="I7060" t="str">
            <v/>
          </cell>
          <cell r="J7060" t="str">
            <v/>
          </cell>
          <cell r="K7060" t="str">
            <v/>
          </cell>
          <cell r="L7060" t="str">
            <v/>
          </cell>
          <cell r="M7060" t="str">
            <v/>
          </cell>
        </row>
        <row r="7061">
          <cell r="A7061">
            <v>31102192</v>
          </cell>
          <cell r="C7061">
            <v>31102192</v>
          </cell>
          <cell r="D7061">
            <v>31102192</v>
          </cell>
          <cell r="E7061">
            <v>31102192</v>
          </cell>
          <cell r="F7061">
            <v>31102192</v>
          </cell>
          <cell r="G7061">
            <v>31102192</v>
          </cell>
          <cell r="H7061">
            <v>31102192</v>
          </cell>
          <cell r="I7061" t="str">
            <v/>
          </cell>
          <cell r="J7061" t="str">
            <v/>
          </cell>
          <cell r="K7061" t="str">
            <v/>
          </cell>
          <cell r="L7061" t="str">
            <v/>
          </cell>
          <cell r="M7061" t="str">
            <v/>
          </cell>
        </row>
        <row r="7062">
          <cell r="A7062">
            <v>31102192</v>
          </cell>
          <cell r="C7062">
            <v>31102192</v>
          </cell>
          <cell r="D7062">
            <v>31102192</v>
          </cell>
          <cell r="E7062">
            <v>31102192</v>
          </cell>
          <cell r="F7062">
            <v>31102192</v>
          </cell>
          <cell r="G7062">
            <v>31102192</v>
          </cell>
          <cell r="H7062">
            <v>31102192</v>
          </cell>
          <cell r="I7062" t="str">
            <v/>
          </cell>
          <cell r="J7062" t="str">
            <v/>
          </cell>
          <cell r="K7062" t="str">
            <v/>
          </cell>
          <cell r="L7062" t="str">
            <v/>
          </cell>
          <cell r="M7062" t="str">
            <v/>
          </cell>
        </row>
        <row r="7063">
          <cell r="A7063">
            <v>31102192</v>
          </cell>
          <cell r="C7063">
            <v>31102192</v>
          </cell>
          <cell r="D7063">
            <v>31102192</v>
          </cell>
          <cell r="E7063">
            <v>31102192</v>
          </cell>
          <cell r="F7063">
            <v>31102192</v>
          </cell>
          <cell r="G7063">
            <v>31102192</v>
          </cell>
          <cell r="H7063">
            <v>31102192</v>
          </cell>
          <cell r="I7063" t="str">
            <v/>
          </cell>
          <cell r="J7063" t="str">
            <v/>
          </cell>
          <cell r="K7063" t="str">
            <v/>
          </cell>
          <cell r="L7063" t="str">
            <v/>
          </cell>
          <cell r="M7063" t="str">
            <v/>
          </cell>
        </row>
        <row r="7064">
          <cell r="A7064">
            <v>31102192</v>
          </cell>
          <cell r="C7064">
            <v>31102192</v>
          </cell>
          <cell r="D7064">
            <v>31102192</v>
          </cell>
          <cell r="E7064">
            <v>31102192</v>
          </cell>
          <cell r="F7064">
            <v>31102192</v>
          </cell>
          <cell r="G7064">
            <v>31102192</v>
          </cell>
          <cell r="H7064">
            <v>31102192</v>
          </cell>
          <cell r="I7064" t="str">
            <v/>
          </cell>
          <cell r="J7064" t="str">
            <v/>
          </cell>
          <cell r="K7064" t="str">
            <v/>
          </cell>
          <cell r="L7064" t="str">
            <v/>
          </cell>
          <cell r="M7064" t="str">
            <v/>
          </cell>
        </row>
        <row r="7065">
          <cell r="A7065">
            <v>31102192</v>
          </cell>
          <cell r="C7065">
            <v>31102192</v>
          </cell>
          <cell r="D7065">
            <v>31102192</v>
          </cell>
          <cell r="E7065">
            <v>31102192</v>
          </cell>
          <cell r="F7065">
            <v>31102192</v>
          </cell>
          <cell r="G7065">
            <v>31102192</v>
          </cell>
          <cell r="H7065">
            <v>31102192</v>
          </cell>
          <cell r="I7065" t="str">
            <v/>
          </cell>
          <cell r="J7065" t="str">
            <v/>
          </cell>
          <cell r="K7065" t="str">
            <v/>
          </cell>
          <cell r="L7065" t="str">
            <v/>
          </cell>
          <cell r="M7065" t="str">
            <v/>
          </cell>
        </row>
        <row r="7066">
          <cell r="A7066">
            <v>31102192</v>
          </cell>
          <cell r="C7066">
            <v>31102192</v>
          </cell>
          <cell r="D7066">
            <v>31102192</v>
          </cell>
          <cell r="E7066">
            <v>31102192</v>
          </cell>
          <cell r="F7066">
            <v>31102192</v>
          </cell>
          <cell r="G7066">
            <v>31102192</v>
          </cell>
          <cell r="H7066">
            <v>31102192</v>
          </cell>
          <cell r="I7066" t="str">
            <v/>
          </cell>
          <cell r="J7066" t="str">
            <v/>
          </cell>
          <cell r="K7066" t="str">
            <v/>
          </cell>
          <cell r="L7066" t="str">
            <v/>
          </cell>
          <cell r="M7066" t="str">
            <v/>
          </cell>
        </row>
        <row r="7067">
          <cell r="A7067">
            <v>31102192</v>
          </cell>
          <cell r="C7067">
            <v>31102192</v>
          </cell>
          <cell r="D7067">
            <v>31102192</v>
          </cell>
          <cell r="E7067">
            <v>31102192</v>
          </cell>
          <cell r="F7067">
            <v>31102192</v>
          </cell>
          <cell r="G7067">
            <v>31102192</v>
          </cell>
          <cell r="H7067">
            <v>31102192</v>
          </cell>
          <cell r="I7067" t="str">
            <v/>
          </cell>
          <cell r="J7067" t="str">
            <v/>
          </cell>
          <cell r="K7067" t="str">
            <v/>
          </cell>
          <cell r="L7067" t="str">
            <v/>
          </cell>
          <cell r="M7067" t="str">
            <v/>
          </cell>
        </row>
        <row r="7068">
          <cell r="A7068">
            <v>31102192</v>
          </cell>
          <cell r="C7068">
            <v>31102192</v>
          </cell>
          <cell r="D7068">
            <v>31102192</v>
          </cell>
          <cell r="E7068">
            <v>31102192</v>
          </cell>
          <cell r="F7068">
            <v>31102192</v>
          </cell>
          <cell r="G7068">
            <v>31102192</v>
          </cell>
          <cell r="H7068">
            <v>31102192</v>
          </cell>
          <cell r="I7068" t="str">
            <v/>
          </cell>
          <cell r="J7068" t="str">
            <v/>
          </cell>
          <cell r="K7068" t="str">
            <v/>
          </cell>
          <cell r="L7068" t="str">
            <v/>
          </cell>
          <cell r="M7068" t="str">
            <v/>
          </cell>
        </row>
        <row r="7069">
          <cell r="A7069">
            <v>31102192</v>
          </cell>
          <cell r="C7069">
            <v>31102192</v>
          </cell>
          <cell r="D7069">
            <v>31102192</v>
          </cell>
          <cell r="E7069">
            <v>31102192</v>
          </cell>
          <cell r="F7069">
            <v>31102192</v>
          </cell>
          <cell r="G7069">
            <v>31102192</v>
          </cell>
          <cell r="H7069">
            <v>31102192</v>
          </cell>
          <cell r="I7069" t="str">
            <v/>
          </cell>
          <cell r="J7069" t="str">
            <v/>
          </cell>
          <cell r="K7069" t="str">
            <v/>
          </cell>
          <cell r="L7069" t="str">
            <v/>
          </cell>
          <cell r="M7069" t="str">
            <v/>
          </cell>
        </row>
        <row r="7070">
          <cell r="A7070">
            <v>31102192</v>
          </cell>
          <cell r="C7070">
            <v>31102192</v>
          </cell>
          <cell r="D7070">
            <v>31102192</v>
          </cell>
          <cell r="E7070">
            <v>31102192</v>
          </cell>
          <cell r="F7070">
            <v>31102192</v>
          </cell>
          <cell r="G7070">
            <v>31102192</v>
          </cell>
          <cell r="H7070">
            <v>31102192</v>
          </cell>
          <cell r="I7070" t="str">
            <v/>
          </cell>
          <cell r="J7070" t="str">
            <v/>
          </cell>
          <cell r="K7070" t="str">
            <v/>
          </cell>
          <cell r="L7070" t="str">
            <v/>
          </cell>
          <cell r="M7070" t="str">
            <v/>
          </cell>
        </row>
        <row r="7071">
          <cell r="A7071">
            <v>31102192</v>
          </cell>
          <cell r="C7071">
            <v>31102192</v>
          </cell>
          <cell r="D7071">
            <v>31102192</v>
          </cell>
          <cell r="E7071">
            <v>31102192</v>
          </cell>
          <cell r="F7071">
            <v>31102192</v>
          </cell>
          <cell r="G7071">
            <v>31102192</v>
          </cell>
          <cell r="H7071">
            <v>31102192</v>
          </cell>
          <cell r="I7071" t="str">
            <v/>
          </cell>
          <cell r="J7071" t="str">
            <v/>
          </cell>
          <cell r="K7071" t="str">
            <v/>
          </cell>
          <cell r="L7071" t="str">
            <v/>
          </cell>
          <cell r="M7071" t="str">
            <v/>
          </cell>
        </row>
        <row r="7072">
          <cell r="A7072">
            <v>31102192</v>
          </cell>
          <cell r="C7072">
            <v>31102192</v>
          </cell>
          <cell r="D7072">
            <v>31102192</v>
          </cell>
          <cell r="E7072">
            <v>31102192</v>
          </cell>
          <cell r="F7072">
            <v>31102192</v>
          </cell>
          <cell r="G7072">
            <v>31102192</v>
          </cell>
          <cell r="H7072">
            <v>31102192</v>
          </cell>
          <cell r="I7072" t="str">
            <v/>
          </cell>
          <cell r="J7072" t="str">
            <v/>
          </cell>
          <cell r="K7072" t="str">
            <v/>
          </cell>
          <cell r="L7072" t="str">
            <v/>
          </cell>
          <cell r="M7072" t="str">
            <v/>
          </cell>
        </row>
        <row r="7073">
          <cell r="A7073">
            <v>31102192</v>
          </cell>
          <cell r="C7073">
            <v>31102192</v>
          </cell>
          <cell r="D7073">
            <v>31102192</v>
          </cell>
          <cell r="E7073">
            <v>31102192</v>
          </cell>
          <cell r="F7073">
            <v>31102192</v>
          </cell>
          <cell r="G7073">
            <v>31102192</v>
          </cell>
          <cell r="H7073">
            <v>31102192</v>
          </cell>
          <cell r="I7073" t="str">
            <v/>
          </cell>
          <cell r="J7073" t="str">
            <v/>
          </cell>
          <cell r="K7073" t="str">
            <v/>
          </cell>
          <cell r="L7073" t="str">
            <v/>
          </cell>
          <cell r="M7073" t="str">
            <v/>
          </cell>
        </row>
        <row r="7074">
          <cell r="A7074">
            <v>31102192</v>
          </cell>
          <cell r="C7074">
            <v>31102192</v>
          </cell>
          <cell r="D7074">
            <v>31102192</v>
          </cell>
          <cell r="E7074">
            <v>31102192</v>
          </cell>
          <cell r="F7074">
            <v>31102192</v>
          </cell>
          <cell r="G7074">
            <v>31102192</v>
          </cell>
          <cell r="H7074">
            <v>31102192</v>
          </cell>
          <cell r="I7074" t="str">
            <v/>
          </cell>
          <cell r="J7074" t="str">
            <v/>
          </cell>
          <cell r="K7074" t="str">
            <v/>
          </cell>
          <cell r="L7074" t="str">
            <v/>
          </cell>
          <cell r="M7074" t="str">
            <v/>
          </cell>
        </row>
        <row r="7075">
          <cell r="A7075">
            <v>31102192</v>
          </cell>
          <cell r="C7075">
            <v>31102192</v>
          </cell>
          <cell r="D7075">
            <v>31102192</v>
          </cell>
          <cell r="E7075">
            <v>31102192</v>
          </cell>
          <cell r="F7075">
            <v>31102192</v>
          </cell>
          <cell r="G7075">
            <v>31102192</v>
          </cell>
          <cell r="H7075">
            <v>31102192</v>
          </cell>
          <cell r="I7075" t="str">
            <v/>
          </cell>
          <cell r="J7075" t="str">
            <v/>
          </cell>
          <cell r="K7075" t="str">
            <v/>
          </cell>
          <cell r="L7075" t="str">
            <v/>
          </cell>
          <cell r="M7075" t="str">
            <v/>
          </cell>
        </row>
        <row r="7076">
          <cell r="A7076">
            <v>31102192</v>
          </cell>
          <cell r="C7076">
            <v>31102192</v>
          </cell>
          <cell r="D7076">
            <v>31102192</v>
          </cell>
          <cell r="E7076">
            <v>31102192</v>
          </cell>
          <cell r="F7076">
            <v>31102192</v>
          </cell>
          <cell r="G7076">
            <v>31102192</v>
          </cell>
          <cell r="H7076">
            <v>31102192</v>
          </cell>
          <cell r="I7076" t="str">
            <v/>
          </cell>
          <cell r="J7076" t="str">
            <v/>
          </cell>
          <cell r="K7076" t="str">
            <v/>
          </cell>
          <cell r="L7076" t="str">
            <v/>
          </cell>
          <cell r="M7076" t="str">
            <v/>
          </cell>
        </row>
        <row r="7077">
          <cell r="A7077">
            <v>31102192</v>
          </cell>
          <cell r="C7077">
            <v>31102192</v>
          </cell>
          <cell r="D7077">
            <v>31102192</v>
          </cell>
          <cell r="E7077">
            <v>31102192</v>
          </cell>
          <cell r="F7077">
            <v>31102192</v>
          </cell>
          <cell r="G7077">
            <v>31102192</v>
          </cell>
          <cell r="H7077">
            <v>31102192</v>
          </cell>
          <cell r="I7077" t="str">
            <v/>
          </cell>
          <cell r="J7077" t="str">
            <v/>
          </cell>
          <cell r="K7077" t="str">
            <v/>
          </cell>
          <cell r="L7077" t="str">
            <v/>
          </cell>
          <cell r="M7077" t="str">
            <v/>
          </cell>
        </row>
        <row r="7078">
          <cell r="A7078">
            <v>31102192</v>
          </cell>
          <cell r="C7078">
            <v>31102192</v>
          </cell>
          <cell r="D7078">
            <v>31102192</v>
          </cell>
          <cell r="E7078">
            <v>31102192</v>
          </cell>
          <cell r="F7078">
            <v>31102192</v>
          </cell>
          <cell r="G7078">
            <v>31102192</v>
          </cell>
          <cell r="H7078">
            <v>31102192</v>
          </cell>
          <cell r="I7078" t="str">
            <v/>
          </cell>
          <cell r="J7078" t="str">
            <v/>
          </cell>
          <cell r="K7078" t="str">
            <v/>
          </cell>
          <cell r="L7078" t="str">
            <v/>
          </cell>
          <cell r="M7078" t="str">
            <v/>
          </cell>
        </row>
        <row r="7079">
          <cell r="A7079">
            <v>31102192</v>
          </cell>
          <cell r="C7079">
            <v>31102192</v>
          </cell>
          <cell r="D7079">
            <v>31102192</v>
          </cell>
          <cell r="E7079">
            <v>31102192</v>
          </cell>
          <cell r="F7079">
            <v>31102192</v>
          </cell>
          <cell r="G7079">
            <v>31102192</v>
          </cell>
          <cell r="H7079">
            <v>31102192</v>
          </cell>
          <cell r="I7079" t="str">
            <v/>
          </cell>
          <cell r="J7079" t="str">
            <v/>
          </cell>
          <cell r="K7079" t="str">
            <v/>
          </cell>
          <cell r="L7079" t="str">
            <v/>
          </cell>
          <cell r="M7079" t="str">
            <v/>
          </cell>
        </row>
        <row r="7080">
          <cell r="A7080">
            <v>31102192</v>
          </cell>
          <cell r="C7080">
            <v>31102192</v>
          </cell>
          <cell r="D7080">
            <v>31102192</v>
          </cell>
          <cell r="E7080">
            <v>31102192</v>
          </cell>
          <cell r="F7080">
            <v>31102192</v>
          </cell>
          <cell r="G7080">
            <v>31102192</v>
          </cell>
          <cell r="H7080">
            <v>31102192</v>
          </cell>
          <cell r="I7080" t="str">
            <v/>
          </cell>
          <cell r="J7080" t="str">
            <v/>
          </cell>
          <cell r="K7080" t="str">
            <v/>
          </cell>
          <cell r="L7080" t="str">
            <v/>
          </cell>
          <cell r="M7080" t="str">
            <v/>
          </cell>
        </row>
        <row r="7081">
          <cell r="A7081">
            <v>31102192</v>
          </cell>
          <cell r="C7081">
            <v>31102192</v>
          </cell>
          <cell r="D7081">
            <v>31102192</v>
          </cell>
          <cell r="E7081">
            <v>31102192</v>
          </cell>
          <cell r="F7081">
            <v>31102192</v>
          </cell>
          <cell r="G7081">
            <v>31102192</v>
          </cell>
          <cell r="H7081">
            <v>31102192</v>
          </cell>
          <cell r="I7081" t="str">
            <v/>
          </cell>
          <cell r="J7081" t="str">
            <v/>
          </cell>
          <cell r="K7081" t="str">
            <v/>
          </cell>
          <cell r="L7081" t="str">
            <v/>
          </cell>
          <cell r="M7081" t="str">
            <v/>
          </cell>
        </row>
        <row r="7082">
          <cell r="A7082">
            <v>31102192</v>
          </cell>
          <cell r="C7082">
            <v>31102192</v>
          </cell>
          <cell r="D7082">
            <v>31102192</v>
          </cell>
          <cell r="E7082">
            <v>31102192</v>
          </cell>
          <cell r="F7082">
            <v>31102192</v>
          </cell>
          <cell r="G7082">
            <v>31102192</v>
          </cell>
          <cell r="H7082">
            <v>31102192</v>
          </cell>
          <cell r="I7082" t="str">
            <v/>
          </cell>
          <cell r="J7082" t="str">
            <v/>
          </cell>
          <cell r="K7082" t="str">
            <v/>
          </cell>
          <cell r="L7082" t="str">
            <v/>
          </cell>
          <cell r="M7082" t="str">
            <v/>
          </cell>
        </row>
        <row r="7083">
          <cell r="A7083">
            <v>31102192</v>
          </cell>
          <cell r="C7083">
            <v>31102192</v>
          </cell>
          <cell r="D7083">
            <v>31102192</v>
          </cell>
          <cell r="E7083">
            <v>31102192</v>
          </cell>
          <cell r="F7083">
            <v>31102192</v>
          </cell>
          <cell r="G7083">
            <v>31102192</v>
          </cell>
          <cell r="H7083">
            <v>31102192</v>
          </cell>
          <cell r="I7083" t="str">
            <v/>
          </cell>
          <cell r="J7083" t="str">
            <v/>
          </cell>
          <cell r="K7083" t="str">
            <v/>
          </cell>
          <cell r="L7083" t="str">
            <v/>
          </cell>
          <cell r="M7083" t="str">
            <v/>
          </cell>
        </row>
        <row r="7084">
          <cell r="A7084">
            <v>31102192</v>
          </cell>
          <cell r="C7084">
            <v>31102192</v>
          </cell>
          <cell r="D7084">
            <v>31102192</v>
          </cell>
          <cell r="E7084">
            <v>31102192</v>
          </cell>
          <cell r="F7084">
            <v>31102192</v>
          </cell>
          <cell r="G7084">
            <v>31102192</v>
          </cell>
          <cell r="H7084">
            <v>31102192</v>
          </cell>
          <cell r="I7084" t="str">
            <v/>
          </cell>
          <cell r="J7084" t="str">
            <v/>
          </cell>
          <cell r="K7084" t="str">
            <v/>
          </cell>
          <cell r="L7084" t="str">
            <v/>
          </cell>
          <cell r="M7084" t="str">
            <v/>
          </cell>
        </row>
        <row r="7085">
          <cell r="A7085">
            <v>31102192</v>
          </cell>
          <cell r="C7085">
            <v>31102192</v>
          </cell>
          <cell r="D7085">
            <v>31102192</v>
          </cell>
          <cell r="E7085">
            <v>31102192</v>
          </cell>
          <cell r="F7085">
            <v>31102192</v>
          </cell>
          <cell r="G7085">
            <v>31102192</v>
          </cell>
          <cell r="H7085">
            <v>31102192</v>
          </cell>
          <cell r="I7085" t="str">
            <v/>
          </cell>
          <cell r="J7085" t="str">
            <v/>
          </cell>
          <cell r="K7085" t="str">
            <v/>
          </cell>
          <cell r="L7085" t="str">
            <v/>
          </cell>
          <cell r="M7085" t="str">
            <v/>
          </cell>
        </row>
        <row r="7086">
          <cell r="A7086">
            <v>31102192</v>
          </cell>
          <cell r="C7086">
            <v>31102192</v>
          </cell>
          <cell r="D7086">
            <v>31102192</v>
          </cell>
          <cell r="E7086">
            <v>31102192</v>
          </cell>
          <cell r="F7086">
            <v>31102192</v>
          </cell>
          <cell r="G7086">
            <v>31102192</v>
          </cell>
          <cell r="H7086">
            <v>31102192</v>
          </cell>
          <cell r="I7086" t="str">
            <v/>
          </cell>
          <cell r="J7086" t="str">
            <v/>
          </cell>
          <cell r="K7086" t="str">
            <v/>
          </cell>
          <cell r="L7086" t="str">
            <v/>
          </cell>
          <cell r="M7086" t="str">
            <v/>
          </cell>
        </row>
        <row r="7087">
          <cell r="A7087">
            <v>31102192</v>
          </cell>
          <cell r="C7087">
            <v>31102192</v>
          </cell>
          <cell r="D7087">
            <v>31102192</v>
          </cell>
          <cell r="E7087">
            <v>31102192</v>
          </cell>
          <cell r="F7087">
            <v>31102192</v>
          </cell>
          <cell r="G7087">
            <v>31102192</v>
          </cell>
          <cell r="H7087">
            <v>31102192</v>
          </cell>
          <cell r="I7087" t="str">
            <v/>
          </cell>
          <cell r="J7087" t="str">
            <v/>
          </cell>
          <cell r="K7087" t="str">
            <v/>
          </cell>
          <cell r="L7087" t="str">
            <v/>
          </cell>
          <cell r="M7087" t="str">
            <v/>
          </cell>
        </row>
        <row r="7088">
          <cell r="A7088">
            <v>31102192</v>
          </cell>
          <cell r="C7088">
            <v>31102192</v>
          </cell>
          <cell r="D7088">
            <v>31102192</v>
          </cell>
          <cell r="E7088">
            <v>31102192</v>
          </cell>
          <cell r="F7088">
            <v>31102192</v>
          </cell>
          <cell r="G7088">
            <v>31102192</v>
          </cell>
          <cell r="H7088">
            <v>31102192</v>
          </cell>
          <cell r="I7088" t="str">
            <v/>
          </cell>
          <cell r="J7088" t="str">
            <v/>
          </cell>
          <cell r="K7088" t="str">
            <v/>
          </cell>
          <cell r="L7088" t="str">
            <v/>
          </cell>
          <cell r="M7088" t="str">
            <v/>
          </cell>
        </row>
        <row r="7089">
          <cell r="A7089">
            <v>31102192</v>
          </cell>
          <cell r="C7089">
            <v>31102192</v>
          </cell>
          <cell r="D7089">
            <v>31102192</v>
          </cell>
          <cell r="E7089">
            <v>31102192</v>
          </cell>
          <cell r="F7089">
            <v>31102192</v>
          </cell>
          <cell r="G7089">
            <v>31102192</v>
          </cell>
          <cell r="H7089">
            <v>31102192</v>
          </cell>
          <cell r="I7089" t="str">
            <v/>
          </cell>
          <cell r="J7089" t="str">
            <v/>
          </cell>
          <cell r="K7089" t="str">
            <v/>
          </cell>
          <cell r="L7089" t="str">
            <v/>
          </cell>
          <cell r="M7089" t="str">
            <v/>
          </cell>
        </row>
        <row r="7090">
          <cell r="A7090">
            <v>31102192</v>
          </cell>
          <cell r="C7090">
            <v>31102192</v>
          </cell>
          <cell r="D7090">
            <v>31102192</v>
          </cell>
          <cell r="E7090">
            <v>31102192</v>
          </cell>
          <cell r="F7090">
            <v>31102192</v>
          </cell>
          <cell r="G7090">
            <v>31102192</v>
          </cell>
          <cell r="H7090">
            <v>31102192</v>
          </cell>
          <cell r="I7090" t="str">
            <v/>
          </cell>
          <cell r="J7090" t="str">
            <v/>
          </cell>
          <cell r="K7090" t="str">
            <v/>
          </cell>
          <cell r="L7090" t="str">
            <v/>
          </cell>
          <cell r="M7090" t="str">
            <v/>
          </cell>
        </row>
        <row r="7091">
          <cell r="A7091">
            <v>31102192</v>
          </cell>
          <cell r="C7091">
            <v>31102192</v>
          </cell>
          <cell r="D7091">
            <v>31102192</v>
          </cell>
          <cell r="E7091">
            <v>31102192</v>
          </cell>
          <cell r="F7091">
            <v>31102192</v>
          </cell>
          <cell r="G7091">
            <v>31102192</v>
          </cell>
          <cell r="H7091">
            <v>31102192</v>
          </cell>
          <cell r="I7091" t="str">
            <v/>
          </cell>
          <cell r="J7091" t="str">
            <v/>
          </cell>
          <cell r="K7091" t="str">
            <v/>
          </cell>
          <cell r="L7091" t="str">
            <v/>
          </cell>
          <cell r="M7091" t="str">
            <v/>
          </cell>
        </row>
        <row r="7092">
          <cell r="A7092">
            <v>31102192</v>
          </cell>
          <cell r="C7092">
            <v>31102192</v>
          </cell>
          <cell r="D7092">
            <v>31102192</v>
          </cell>
          <cell r="E7092">
            <v>31102192</v>
          </cell>
          <cell r="F7092">
            <v>31102192</v>
          </cell>
          <cell r="G7092">
            <v>31102192</v>
          </cell>
          <cell r="H7092">
            <v>31102192</v>
          </cell>
          <cell r="I7092" t="str">
            <v/>
          </cell>
          <cell r="J7092" t="str">
            <v/>
          </cell>
          <cell r="K7092" t="str">
            <v/>
          </cell>
          <cell r="L7092" t="str">
            <v/>
          </cell>
          <cell r="M7092" t="str">
            <v/>
          </cell>
        </row>
        <row r="7093">
          <cell r="A7093">
            <v>31102192</v>
          </cell>
          <cell r="C7093">
            <v>31102192</v>
          </cell>
          <cell r="D7093">
            <v>31102192</v>
          </cell>
          <cell r="E7093">
            <v>31102192</v>
          </cell>
          <cell r="F7093">
            <v>31102192</v>
          </cell>
          <cell r="G7093">
            <v>31102192</v>
          </cell>
          <cell r="H7093">
            <v>31102192</v>
          </cell>
          <cell r="I7093" t="str">
            <v/>
          </cell>
          <cell r="J7093" t="str">
            <v/>
          </cell>
          <cell r="K7093" t="str">
            <v/>
          </cell>
          <cell r="L7093" t="str">
            <v/>
          </cell>
          <cell r="M7093" t="str">
            <v/>
          </cell>
        </row>
        <row r="7094">
          <cell r="A7094">
            <v>31102192</v>
          </cell>
          <cell r="C7094">
            <v>31102192</v>
          </cell>
          <cell r="D7094">
            <v>31102192</v>
          </cell>
          <cell r="E7094">
            <v>31102192</v>
          </cell>
          <cell r="F7094">
            <v>31102192</v>
          </cell>
          <cell r="G7094">
            <v>31102192</v>
          </cell>
          <cell r="H7094">
            <v>31102192</v>
          </cell>
          <cell r="I7094" t="str">
            <v/>
          </cell>
          <cell r="J7094" t="str">
            <v/>
          </cell>
          <cell r="K7094" t="str">
            <v/>
          </cell>
          <cell r="L7094" t="str">
            <v/>
          </cell>
          <cell r="M7094" t="str">
            <v/>
          </cell>
        </row>
        <row r="7095">
          <cell r="A7095">
            <v>31102192</v>
          </cell>
          <cell r="C7095">
            <v>31102192</v>
          </cell>
          <cell r="D7095">
            <v>31102192</v>
          </cell>
          <cell r="E7095">
            <v>31102192</v>
          </cell>
          <cell r="F7095">
            <v>31102192</v>
          </cell>
          <cell r="G7095">
            <v>31102192</v>
          </cell>
          <cell r="H7095">
            <v>31102192</v>
          </cell>
          <cell r="I7095" t="str">
            <v/>
          </cell>
          <cell r="J7095" t="str">
            <v/>
          </cell>
          <cell r="K7095" t="str">
            <v/>
          </cell>
          <cell r="L7095" t="str">
            <v/>
          </cell>
          <cell r="M7095" t="str">
            <v/>
          </cell>
        </row>
        <row r="7096">
          <cell r="A7096">
            <v>31102192</v>
          </cell>
          <cell r="C7096">
            <v>31102192</v>
          </cell>
          <cell r="D7096">
            <v>31102192</v>
          </cell>
          <cell r="E7096">
            <v>31102192</v>
          </cell>
          <cell r="F7096">
            <v>31102192</v>
          </cell>
          <cell r="G7096">
            <v>31102192</v>
          </cell>
          <cell r="H7096">
            <v>31102192</v>
          </cell>
          <cell r="I7096" t="str">
            <v/>
          </cell>
          <cell r="J7096" t="str">
            <v/>
          </cell>
          <cell r="K7096" t="str">
            <v/>
          </cell>
          <cell r="L7096" t="str">
            <v/>
          </cell>
          <cell r="M7096" t="str">
            <v/>
          </cell>
        </row>
        <row r="7097">
          <cell r="A7097">
            <v>31102192</v>
          </cell>
          <cell r="C7097">
            <v>31102192</v>
          </cell>
          <cell r="D7097">
            <v>31102192</v>
          </cell>
          <cell r="E7097">
            <v>31102192</v>
          </cell>
          <cell r="F7097">
            <v>31102192</v>
          </cell>
          <cell r="G7097">
            <v>31102192</v>
          </cell>
          <cell r="H7097">
            <v>31102192</v>
          </cell>
          <cell r="I7097" t="str">
            <v/>
          </cell>
          <cell r="J7097" t="str">
            <v/>
          </cell>
          <cell r="K7097" t="str">
            <v/>
          </cell>
          <cell r="L7097" t="str">
            <v/>
          </cell>
          <cell r="M7097" t="str">
            <v/>
          </cell>
        </row>
        <row r="7098">
          <cell r="A7098">
            <v>31102192</v>
          </cell>
          <cell r="C7098">
            <v>31102192</v>
          </cell>
          <cell r="D7098">
            <v>31102192</v>
          </cell>
          <cell r="E7098">
            <v>31102192</v>
          </cell>
          <cell r="F7098">
            <v>31102192</v>
          </cell>
          <cell r="G7098">
            <v>31102192</v>
          </cell>
          <cell r="H7098">
            <v>31102192</v>
          </cell>
          <cell r="I7098" t="str">
            <v/>
          </cell>
          <cell r="J7098" t="str">
            <v/>
          </cell>
          <cell r="K7098" t="str">
            <v/>
          </cell>
          <cell r="L7098" t="str">
            <v/>
          </cell>
          <cell r="M7098" t="str">
            <v/>
          </cell>
        </row>
        <row r="7099">
          <cell r="A7099">
            <v>31102192</v>
          </cell>
          <cell r="C7099">
            <v>31102192</v>
          </cell>
          <cell r="D7099">
            <v>31102192</v>
          </cell>
          <cell r="E7099">
            <v>31102192</v>
          </cell>
          <cell r="F7099">
            <v>31102192</v>
          </cell>
          <cell r="G7099">
            <v>31102192</v>
          </cell>
          <cell r="H7099">
            <v>31102192</v>
          </cell>
          <cell r="I7099" t="str">
            <v/>
          </cell>
          <cell r="J7099" t="str">
            <v/>
          </cell>
          <cell r="K7099" t="str">
            <v/>
          </cell>
          <cell r="L7099" t="str">
            <v/>
          </cell>
          <cell r="M7099" t="str">
            <v/>
          </cell>
        </row>
        <row r="7100">
          <cell r="A7100">
            <v>31102192</v>
          </cell>
          <cell r="C7100">
            <v>31102192</v>
          </cell>
          <cell r="D7100">
            <v>31102192</v>
          </cell>
          <cell r="E7100">
            <v>31102192</v>
          </cell>
          <cell r="F7100">
            <v>31102192</v>
          </cell>
          <cell r="G7100">
            <v>31102192</v>
          </cell>
          <cell r="H7100">
            <v>31102192</v>
          </cell>
          <cell r="I7100" t="str">
            <v/>
          </cell>
          <cell r="J7100" t="str">
            <v/>
          </cell>
          <cell r="K7100" t="str">
            <v/>
          </cell>
          <cell r="L7100" t="str">
            <v/>
          </cell>
          <cell r="M7100" t="str">
            <v/>
          </cell>
        </row>
        <row r="7101">
          <cell r="A7101">
            <v>31102192</v>
          </cell>
          <cell r="C7101">
            <v>31102192</v>
          </cell>
          <cell r="D7101">
            <v>31102192</v>
          </cell>
          <cell r="E7101">
            <v>31102192</v>
          </cell>
          <cell r="F7101">
            <v>31102192</v>
          </cell>
          <cell r="G7101">
            <v>31102192</v>
          </cell>
          <cell r="H7101">
            <v>31102192</v>
          </cell>
          <cell r="I7101" t="str">
            <v/>
          </cell>
          <cell r="J7101" t="str">
            <v/>
          </cell>
          <cell r="K7101" t="str">
            <v/>
          </cell>
          <cell r="L7101" t="str">
            <v/>
          </cell>
          <cell r="M7101" t="str">
            <v/>
          </cell>
        </row>
        <row r="7102">
          <cell r="A7102">
            <v>31102192</v>
          </cell>
          <cell r="C7102">
            <v>31102192</v>
          </cell>
          <cell r="D7102">
            <v>31102192</v>
          </cell>
          <cell r="E7102">
            <v>31102192</v>
          </cell>
          <cell r="F7102">
            <v>31102192</v>
          </cell>
          <cell r="G7102">
            <v>31102192</v>
          </cell>
          <cell r="H7102">
            <v>31102192</v>
          </cell>
          <cell r="I7102" t="str">
            <v/>
          </cell>
          <cell r="J7102" t="str">
            <v/>
          </cell>
          <cell r="K7102" t="str">
            <v/>
          </cell>
          <cell r="L7102" t="str">
            <v/>
          </cell>
          <cell r="M7102" t="str">
            <v/>
          </cell>
        </row>
        <row r="7103">
          <cell r="A7103">
            <v>31102192</v>
          </cell>
          <cell r="C7103">
            <v>31102192</v>
          </cell>
          <cell r="D7103">
            <v>31102192</v>
          </cell>
          <cell r="E7103">
            <v>31102192</v>
          </cell>
          <cell r="F7103">
            <v>31102192</v>
          </cell>
          <cell r="G7103">
            <v>31102192</v>
          </cell>
          <cell r="H7103">
            <v>31102192</v>
          </cell>
          <cell r="I7103" t="str">
            <v/>
          </cell>
          <cell r="J7103" t="str">
            <v/>
          </cell>
          <cell r="K7103" t="str">
            <v/>
          </cell>
          <cell r="L7103" t="str">
            <v/>
          </cell>
          <cell r="M7103" t="str">
            <v/>
          </cell>
        </row>
        <row r="7104">
          <cell r="A7104">
            <v>31102192</v>
          </cell>
          <cell r="C7104">
            <v>31102192</v>
          </cell>
          <cell r="D7104">
            <v>31102192</v>
          </cell>
          <cell r="E7104">
            <v>31102192</v>
          </cell>
          <cell r="F7104">
            <v>31102192</v>
          </cell>
          <cell r="G7104">
            <v>31102192</v>
          </cell>
          <cell r="H7104">
            <v>31102192</v>
          </cell>
          <cell r="I7104" t="str">
            <v/>
          </cell>
          <cell r="J7104" t="str">
            <v/>
          </cell>
          <cell r="K7104" t="str">
            <v/>
          </cell>
          <cell r="L7104" t="str">
            <v/>
          </cell>
          <cell r="M7104" t="str">
            <v/>
          </cell>
        </row>
        <row r="7105">
          <cell r="A7105">
            <v>31102192</v>
          </cell>
          <cell r="C7105">
            <v>31102192</v>
          </cell>
          <cell r="D7105">
            <v>31102192</v>
          </cell>
          <cell r="E7105">
            <v>31102192</v>
          </cell>
          <cell r="F7105">
            <v>31102192</v>
          </cell>
          <cell r="G7105">
            <v>31102192</v>
          </cell>
          <cell r="H7105">
            <v>31102192</v>
          </cell>
          <cell r="I7105" t="str">
            <v/>
          </cell>
          <cell r="J7105" t="str">
            <v/>
          </cell>
          <cell r="K7105" t="str">
            <v/>
          </cell>
          <cell r="L7105" t="str">
            <v/>
          </cell>
          <cell r="M7105" t="str">
            <v/>
          </cell>
        </row>
        <row r="7106">
          <cell r="A7106">
            <v>31102192</v>
          </cell>
          <cell r="C7106">
            <v>31102192</v>
          </cell>
          <cell r="D7106">
            <v>31102192</v>
          </cell>
          <cell r="E7106">
            <v>31102192</v>
          </cell>
          <cell r="F7106">
            <v>31102192</v>
          </cell>
          <cell r="G7106">
            <v>31102192</v>
          </cell>
          <cell r="H7106">
            <v>31102192</v>
          </cell>
          <cell r="I7106" t="str">
            <v/>
          </cell>
          <cell r="J7106" t="str">
            <v/>
          </cell>
          <cell r="K7106" t="str">
            <v/>
          </cell>
          <cell r="L7106" t="str">
            <v/>
          </cell>
          <cell r="M7106" t="str">
            <v/>
          </cell>
        </row>
        <row r="7107">
          <cell r="A7107">
            <v>31102192</v>
          </cell>
          <cell r="C7107">
            <v>31102192</v>
          </cell>
          <cell r="D7107">
            <v>31102192</v>
          </cell>
          <cell r="E7107">
            <v>31102192</v>
          </cell>
          <cell r="F7107">
            <v>31102192</v>
          </cell>
          <cell r="G7107">
            <v>31102192</v>
          </cell>
          <cell r="H7107">
            <v>31102192</v>
          </cell>
          <cell r="I7107" t="str">
            <v/>
          </cell>
          <cell r="J7107" t="str">
            <v/>
          </cell>
          <cell r="K7107" t="str">
            <v/>
          </cell>
          <cell r="L7107" t="str">
            <v/>
          </cell>
          <cell r="M7107" t="str">
            <v/>
          </cell>
        </row>
        <row r="7108">
          <cell r="A7108">
            <v>31102192</v>
          </cell>
          <cell r="C7108">
            <v>31102192</v>
          </cell>
          <cell r="D7108">
            <v>31102192</v>
          </cell>
          <cell r="E7108">
            <v>31102192</v>
          </cell>
          <cell r="F7108">
            <v>31102192</v>
          </cell>
          <cell r="G7108">
            <v>31102192</v>
          </cell>
          <cell r="H7108">
            <v>31102192</v>
          </cell>
          <cell r="I7108" t="str">
            <v/>
          </cell>
          <cell r="J7108" t="str">
            <v/>
          </cell>
          <cell r="K7108" t="str">
            <v/>
          </cell>
          <cell r="L7108" t="str">
            <v/>
          </cell>
          <cell r="M7108" t="str">
            <v/>
          </cell>
        </row>
        <row r="7109">
          <cell r="A7109">
            <v>31102192</v>
          </cell>
          <cell r="C7109">
            <v>31102192</v>
          </cell>
          <cell r="D7109">
            <v>31102192</v>
          </cell>
          <cell r="E7109">
            <v>31102192</v>
          </cell>
          <cell r="F7109">
            <v>31102192</v>
          </cell>
          <cell r="G7109">
            <v>31102192</v>
          </cell>
          <cell r="H7109">
            <v>31102192</v>
          </cell>
          <cell r="I7109" t="str">
            <v/>
          </cell>
          <cell r="J7109" t="str">
            <v/>
          </cell>
          <cell r="K7109" t="str">
            <v/>
          </cell>
          <cell r="L7109" t="str">
            <v/>
          </cell>
          <cell r="M7109" t="str">
            <v/>
          </cell>
        </row>
        <row r="7110">
          <cell r="A7110">
            <v>31102192</v>
          </cell>
          <cell r="C7110">
            <v>31102192</v>
          </cell>
          <cell r="D7110">
            <v>31102192</v>
          </cell>
          <cell r="E7110">
            <v>31102192</v>
          </cell>
          <cell r="F7110">
            <v>31102192</v>
          </cell>
          <cell r="G7110">
            <v>31102192</v>
          </cell>
          <cell r="H7110">
            <v>31102192</v>
          </cell>
          <cell r="I7110" t="str">
            <v/>
          </cell>
          <cell r="J7110" t="str">
            <v/>
          </cell>
          <cell r="K7110" t="str">
            <v/>
          </cell>
          <cell r="L7110" t="str">
            <v/>
          </cell>
          <cell r="M7110" t="str">
            <v/>
          </cell>
        </row>
        <row r="7111">
          <cell r="A7111">
            <v>31102192</v>
          </cell>
          <cell r="C7111">
            <v>31102192</v>
          </cell>
          <cell r="D7111">
            <v>31102192</v>
          </cell>
          <cell r="E7111">
            <v>31102192</v>
          </cell>
          <cell r="F7111">
            <v>31102192</v>
          </cell>
          <cell r="G7111">
            <v>31102192</v>
          </cell>
          <cell r="H7111">
            <v>31102192</v>
          </cell>
          <cell r="I7111" t="str">
            <v/>
          </cell>
          <cell r="J7111" t="str">
            <v/>
          </cell>
          <cell r="K7111" t="str">
            <v/>
          </cell>
          <cell r="L7111" t="str">
            <v/>
          </cell>
          <cell r="M7111" t="str">
            <v/>
          </cell>
        </row>
        <row r="7112">
          <cell r="A7112">
            <v>31102192</v>
          </cell>
          <cell r="C7112">
            <v>31102192</v>
          </cell>
          <cell r="D7112">
            <v>31102192</v>
          </cell>
          <cell r="E7112">
            <v>31102192</v>
          </cell>
          <cell r="F7112">
            <v>31102192</v>
          </cell>
          <cell r="G7112">
            <v>31102192</v>
          </cell>
          <cell r="H7112">
            <v>31102192</v>
          </cell>
          <cell r="I7112" t="str">
            <v/>
          </cell>
          <cell r="J7112" t="str">
            <v/>
          </cell>
          <cell r="K7112" t="str">
            <v/>
          </cell>
          <cell r="L7112" t="str">
            <v/>
          </cell>
          <cell r="M7112" t="str">
            <v/>
          </cell>
        </row>
        <row r="7113">
          <cell r="A7113">
            <v>31102192</v>
          </cell>
          <cell r="C7113">
            <v>31102192</v>
          </cell>
          <cell r="D7113">
            <v>31102192</v>
          </cell>
          <cell r="E7113">
            <v>31102192</v>
          </cell>
          <cell r="F7113">
            <v>31102192</v>
          </cell>
          <cell r="G7113">
            <v>31102192</v>
          </cell>
          <cell r="H7113">
            <v>31102192</v>
          </cell>
          <cell r="I7113" t="str">
            <v/>
          </cell>
          <cell r="J7113" t="str">
            <v/>
          </cell>
          <cell r="K7113" t="str">
            <v/>
          </cell>
          <cell r="L7113" t="str">
            <v/>
          </cell>
          <cell r="M7113" t="str">
            <v/>
          </cell>
        </row>
        <row r="7114">
          <cell r="A7114">
            <v>31102192</v>
          </cell>
          <cell r="C7114">
            <v>31102192</v>
          </cell>
          <cell r="D7114">
            <v>31102192</v>
          </cell>
          <cell r="E7114">
            <v>31102192</v>
          </cell>
          <cell r="F7114">
            <v>31102192</v>
          </cell>
          <cell r="G7114">
            <v>31102192</v>
          </cell>
          <cell r="H7114">
            <v>31102192</v>
          </cell>
          <cell r="I7114" t="str">
            <v/>
          </cell>
          <cell r="J7114" t="str">
            <v/>
          </cell>
          <cell r="K7114" t="str">
            <v/>
          </cell>
          <cell r="L7114" t="str">
            <v/>
          </cell>
          <cell r="M7114" t="str">
            <v/>
          </cell>
        </row>
        <row r="7115">
          <cell r="A7115">
            <v>31102192</v>
          </cell>
          <cell r="C7115">
            <v>31102192</v>
          </cell>
          <cell r="D7115">
            <v>31102192</v>
          </cell>
          <cell r="E7115">
            <v>31102192</v>
          </cell>
          <cell r="F7115">
            <v>31102192</v>
          </cell>
          <cell r="G7115">
            <v>31102192</v>
          </cell>
          <cell r="H7115">
            <v>31102192</v>
          </cell>
          <cell r="I7115" t="str">
            <v/>
          </cell>
          <cell r="J7115" t="str">
            <v/>
          </cell>
          <cell r="K7115" t="str">
            <v/>
          </cell>
          <cell r="L7115" t="str">
            <v/>
          </cell>
          <cell r="M7115" t="str">
            <v/>
          </cell>
        </row>
        <row r="7116">
          <cell r="A7116">
            <v>31102192</v>
          </cell>
          <cell r="C7116">
            <v>31102192</v>
          </cell>
          <cell r="D7116">
            <v>31102192</v>
          </cell>
          <cell r="E7116">
            <v>31102192</v>
          </cell>
          <cell r="F7116">
            <v>31102192</v>
          </cell>
          <cell r="G7116">
            <v>31102192</v>
          </cell>
          <cell r="H7116">
            <v>31102192</v>
          </cell>
          <cell r="I7116" t="str">
            <v/>
          </cell>
          <cell r="J7116" t="str">
            <v/>
          </cell>
          <cell r="K7116" t="str">
            <v/>
          </cell>
          <cell r="L7116" t="str">
            <v/>
          </cell>
          <cell r="M7116" t="str">
            <v/>
          </cell>
        </row>
        <row r="7117">
          <cell r="A7117">
            <v>31102192</v>
          </cell>
          <cell r="C7117">
            <v>31102192</v>
          </cell>
          <cell r="D7117">
            <v>31102192</v>
          </cell>
          <cell r="E7117">
            <v>31102192</v>
          </cell>
          <cell r="F7117">
            <v>31102192</v>
          </cell>
          <cell r="G7117">
            <v>31102192</v>
          </cell>
          <cell r="H7117">
            <v>31102192</v>
          </cell>
          <cell r="I7117" t="str">
            <v/>
          </cell>
          <cell r="J7117" t="str">
            <v/>
          </cell>
          <cell r="K7117" t="str">
            <v/>
          </cell>
          <cell r="L7117" t="str">
            <v/>
          </cell>
          <cell r="M7117" t="str">
            <v/>
          </cell>
        </row>
        <row r="7118">
          <cell r="A7118">
            <v>31102192</v>
          </cell>
          <cell r="C7118">
            <v>31102192</v>
          </cell>
          <cell r="D7118">
            <v>31102192</v>
          </cell>
          <cell r="E7118">
            <v>31102192</v>
          </cell>
          <cell r="F7118">
            <v>31102192</v>
          </cell>
          <cell r="G7118">
            <v>31102192</v>
          </cell>
          <cell r="H7118">
            <v>31102192</v>
          </cell>
          <cell r="I7118" t="str">
            <v/>
          </cell>
          <cell r="J7118" t="str">
            <v/>
          </cell>
          <cell r="K7118" t="str">
            <v/>
          </cell>
          <cell r="L7118" t="str">
            <v/>
          </cell>
          <cell r="M7118" t="str">
            <v/>
          </cell>
        </row>
        <row r="7119">
          <cell r="A7119">
            <v>31102192</v>
          </cell>
          <cell r="C7119">
            <v>31102192</v>
          </cell>
          <cell r="D7119">
            <v>31102192</v>
          </cell>
          <cell r="E7119">
            <v>31102192</v>
          </cell>
          <cell r="F7119">
            <v>31102192</v>
          </cell>
          <cell r="G7119">
            <v>31102192</v>
          </cell>
          <cell r="H7119">
            <v>31102192</v>
          </cell>
          <cell r="I7119" t="str">
            <v/>
          </cell>
          <cell r="J7119" t="str">
            <v/>
          </cell>
          <cell r="K7119" t="str">
            <v/>
          </cell>
          <cell r="L7119" t="str">
            <v/>
          </cell>
          <cell r="M7119" t="str">
            <v/>
          </cell>
        </row>
        <row r="7120">
          <cell r="A7120">
            <v>31102192</v>
          </cell>
          <cell r="C7120">
            <v>31102192</v>
          </cell>
          <cell r="D7120">
            <v>31102192</v>
          </cell>
          <cell r="E7120">
            <v>31102192</v>
          </cell>
          <cell r="F7120">
            <v>31102192</v>
          </cell>
          <cell r="G7120">
            <v>31102192</v>
          </cell>
          <cell r="H7120">
            <v>31102192</v>
          </cell>
          <cell r="I7120" t="str">
            <v/>
          </cell>
          <cell r="J7120" t="str">
            <v/>
          </cell>
          <cell r="K7120" t="str">
            <v/>
          </cell>
          <cell r="L7120" t="str">
            <v/>
          </cell>
          <cell r="M7120" t="str">
            <v/>
          </cell>
        </row>
        <row r="7121">
          <cell r="A7121">
            <v>31102192</v>
          </cell>
          <cell r="C7121">
            <v>31102192</v>
          </cell>
          <cell r="D7121">
            <v>31102192</v>
          </cell>
          <cell r="E7121">
            <v>31102192</v>
          </cell>
          <cell r="F7121">
            <v>31102192</v>
          </cell>
          <cell r="G7121">
            <v>31102192</v>
          </cell>
          <cell r="H7121">
            <v>31102192</v>
          </cell>
          <cell r="I7121" t="str">
            <v/>
          </cell>
          <cell r="J7121" t="str">
            <v/>
          </cell>
          <cell r="K7121" t="str">
            <v/>
          </cell>
          <cell r="L7121" t="str">
            <v/>
          </cell>
          <cell r="M7121" t="str">
            <v/>
          </cell>
        </row>
        <row r="7122">
          <cell r="A7122">
            <v>31102192</v>
          </cell>
          <cell r="C7122">
            <v>31102192</v>
          </cell>
          <cell r="D7122">
            <v>31102192</v>
          </cell>
          <cell r="E7122">
            <v>31102192</v>
          </cell>
          <cell r="F7122">
            <v>31102192</v>
          </cell>
          <cell r="G7122">
            <v>31102192</v>
          </cell>
          <cell r="H7122">
            <v>31102192</v>
          </cell>
          <cell r="I7122" t="str">
            <v/>
          </cell>
          <cell r="J7122" t="str">
            <v/>
          </cell>
          <cell r="K7122" t="str">
            <v/>
          </cell>
          <cell r="L7122" t="str">
            <v/>
          </cell>
          <cell r="M7122" t="str">
            <v/>
          </cell>
        </row>
        <row r="7123">
          <cell r="A7123">
            <v>31102192</v>
          </cell>
          <cell r="C7123">
            <v>31102192</v>
          </cell>
          <cell r="D7123">
            <v>31102192</v>
          </cell>
          <cell r="E7123">
            <v>31102192</v>
          </cell>
          <cell r="F7123">
            <v>31102192</v>
          </cell>
          <cell r="G7123">
            <v>31102192</v>
          </cell>
          <cell r="H7123">
            <v>31102192</v>
          </cell>
          <cell r="I7123" t="str">
            <v/>
          </cell>
          <cell r="J7123" t="str">
            <v/>
          </cell>
          <cell r="K7123" t="str">
            <v/>
          </cell>
          <cell r="L7123" t="str">
            <v/>
          </cell>
          <cell r="M7123" t="str">
            <v/>
          </cell>
        </row>
        <row r="7124">
          <cell r="A7124">
            <v>31102192</v>
          </cell>
          <cell r="C7124">
            <v>31102192</v>
          </cell>
          <cell r="D7124">
            <v>31102192</v>
          </cell>
          <cell r="E7124">
            <v>31102192</v>
          </cell>
          <cell r="F7124">
            <v>31102192</v>
          </cell>
          <cell r="G7124">
            <v>31102192</v>
          </cell>
          <cell r="H7124">
            <v>31102192</v>
          </cell>
          <cell r="I7124" t="str">
            <v/>
          </cell>
          <cell r="J7124" t="str">
            <v/>
          </cell>
          <cell r="K7124" t="str">
            <v/>
          </cell>
          <cell r="L7124" t="str">
            <v/>
          </cell>
          <cell r="M7124" t="str">
            <v/>
          </cell>
        </row>
        <row r="7125">
          <cell r="A7125">
            <v>31102192</v>
          </cell>
          <cell r="C7125">
            <v>31102192</v>
          </cell>
          <cell r="D7125">
            <v>31102192</v>
          </cell>
          <cell r="E7125">
            <v>31102192</v>
          </cell>
          <cell r="F7125">
            <v>31102192</v>
          </cell>
          <cell r="G7125">
            <v>31102192</v>
          </cell>
          <cell r="H7125">
            <v>31102192</v>
          </cell>
          <cell r="I7125" t="str">
            <v/>
          </cell>
          <cell r="J7125" t="str">
            <v/>
          </cell>
          <cell r="K7125" t="str">
            <v/>
          </cell>
          <cell r="L7125" t="str">
            <v/>
          </cell>
          <cell r="M7125" t="str">
            <v/>
          </cell>
        </row>
        <row r="7126">
          <cell r="A7126">
            <v>31102192</v>
          </cell>
          <cell r="C7126">
            <v>31102192</v>
          </cell>
          <cell r="D7126">
            <v>31102192</v>
          </cell>
          <cell r="E7126">
            <v>31102192</v>
          </cell>
          <cell r="F7126">
            <v>31102192</v>
          </cell>
          <cell r="G7126">
            <v>31102192</v>
          </cell>
          <cell r="H7126">
            <v>31102192</v>
          </cell>
          <cell r="I7126" t="str">
            <v/>
          </cell>
          <cell r="J7126" t="str">
            <v/>
          </cell>
          <cell r="K7126" t="str">
            <v/>
          </cell>
          <cell r="L7126" t="str">
            <v/>
          </cell>
          <cell r="M7126" t="str">
            <v/>
          </cell>
        </row>
        <row r="7127">
          <cell r="A7127">
            <v>31102192</v>
          </cell>
          <cell r="C7127">
            <v>31102192</v>
          </cell>
          <cell r="D7127">
            <v>31102192</v>
          </cell>
          <cell r="E7127">
            <v>31102192</v>
          </cell>
          <cell r="F7127">
            <v>31102192</v>
          </cell>
          <cell r="G7127">
            <v>31102192</v>
          </cell>
          <cell r="H7127">
            <v>31102192</v>
          </cell>
          <cell r="I7127" t="str">
            <v/>
          </cell>
          <cell r="J7127" t="str">
            <v/>
          </cell>
          <cell r="K7127" t="str">
            <v/>
          </cell>
          <cell r="L7127" t="str">
            <v/>
          </cell>
          <cell r="M7127" t="str">
            <v/>
          </cell>
        </row>
        <row r="7128">
          <cell r="A7128">
            <v>31102192</v>
          </cell>
          <cell r="C7128">
            <v>31102192</v>
          </cell>
          <cell r="D7128">
            <v>31102192</v>
          </cell>
          <cell r="E7128">
            <v>31102192</v>
          </cell>
          <cell r="F7128">
            <v>31102192</v>
          </cell>
          <cell r="G7128">
            <v>31102192</v>
          </cell>
          <cell r="H7128">
            <v>31102192</v>
          </cell>
          <cell r="I7128" t="str">
            <v/>
          </cell>
          <cell r="J7128" t="str">
            <v/>
          </cell>
          <cell r="K7128" t="str">
            <v/>
          </cell>
          <cell r="L7128" t="str">
            <v/>
          </cell>
          <cell r="M7128" t="str">
            <v/>
          </cell>
        </row>
        <row r="7129">
          <cell r="A7129">
            <v>31102192</v>
          </cell>
          <cell r="C7129">
            <v>31102192</v>
          </cell>
          <cell r="D7129">
            <v>31102192</v>
          </cell>
          <cell r="E7129">
            <v>31102192</v>
          </cell>
          <cell r="F7129">
            <v>31102192</v>
          </cell>
          <cell r="G7129">
            <v>31102192</v>
          </cell>
          <cell r="H7129">
            <v>31102192</v>
          </cell>
          <cell r="I7129" t="str">
            <v/>
          </cell>
          <cell r="J7129" t="str">
            <v/>
          </cell>
          <cell r="K7129" t="str">
            <v/>
          </cell>
          <cell r="L7129" t="str">
            <v/>
          </cell>
          <cell r="M7129" t="str">
            <v/>
          </cell>
        </row>
        <row r="7130">
          <cell r="A7130">
            <v>31102192</v>
          </cell>
          <cell r="C7130">
            <v>31102192</v>
          </cell>
          <cell r="D7130">
            <v>31102192</v>
          </cell>
          <cell r="E7130">
            <v>31102192</v>
          </cell>
          <cell r="F7130">
            <v>31102192</v>
          </cell>
          <cell r="G7130">
            <v>31102192</v>
          </cell>
          <cell r="H7130">
            <v>31102192</v>
          </cell>
          <cell r="I7130" t="str">
            <v/>
          </cell>
          <cell r="J7130" t="str">
            <v/>
          </cell>
          <cell r="K7130" t="str">
            <v/>
          </cell>
          <cell r="L7130" t="str">
            <v/>
          </cell>
          <cell r="M7130" t="str">
            <v/>
          </cell>
        </row>
        <row r="7131">
          <cell r="A7131">
            <v>31102192</v>
          </cell>
          <cell r="C7131">
            <v>31102192</v>
          </cell>
          <cell r="D7131">
            <v>31102192</v>
          </cell>
          <cell r="E7131">
            <v>31102192</v>
          </cell>
          <cell r="F7131">
            <v>31102192</v>
          </cell>
          <cell r="G7131">
            <v>31102192</v>
          </cell>
          <cell r="H7131">
            <v>31102192</v>
          </cell>
          <cell r="I7131" t="str">
            <v/>
          </cell>
          <cell r="J7131" t="str">
            <v/>
          </cell>
          <cell r="K7131" t="str">
            <v/>
          </cell>
          <cell r="L7131" t="str">
            <v/>
          </cell>
          <cell r="M7131" t="str">
            <v/>
          </cell>
        </row>
        <row r="7132">
          <cell r="A7132">
            <v>31102192</v>
          </cell>
          <cell r="C7132">
            <v>31102192</v>
          </cell>
          <cell r="D7132">
            <v>31102192</v>
          </cell>
          <cell r="E7132">
            <v>31102192</v>
          </cell>
          <cell r="F7132">
            <v>31102192</v>
          </cell>
          <cell r="G7132">
            <v>31102192</v>
          </cell>
          <cell r="H7132">
            <v>31102192</v>
          </cell>
          <cell r="I7132" t="str">
            <v/>
          </cell>
          <cell r="J7132" t="str">
            <v/>
          </cell>
          <cell r="K7132" t="str">
            <v/>
          </cell>
          <cell r="L7132" t="str">
            <v/>
          </cell>
          <cell r="M7132" t="str">
            <v/>
          </cell>
        </row>
        <row r="7133">
          <cell r="A7133">
            <v>31102192</v>
          </cell>
          <cell r="C7133">
            <v>31102192</v>
          </cell>
          <cell r="D7133">
            <v>31102192</v>
          </cell>
          <cell r="E7133">
            <v>31102192</v>
          </cell>
          <cell r="F7133">
            <v>31102192</v>
          </cell>
          <cell r="G7133">
            <v>31102192</v>
          </cell>
          <cell r="H7133">
            <v>31102192</v>
          </cell>
          <cell r="I7133" t="str">
            <v/>
          </cell>
          <cell r="J7133" t="str">
            <v/>
          </cell>
          <cell r="K7133" t="str">
            <v/>
          </cell>
          <cell r="L7133" t="str">
            <v/>
          </cell>
          <cell r="M7133" t="str">
            <v/>
          </cell>
        </row>
        <row r="7134">
          <cell r="A7134">
            <v>31102192</v>
          </cell>
          <cell r="C7134">
            <v>31102192</v>
          </cell>
          <cell r="D7134">
            <v>31102192</v>
          </cell>
          <cell r="E7134">
            <v>31102192</v>
          </cell>
          <cell r="F7134">
            <v>31102192</v>
          </cell>
          <cell r="G7134">
            <v>31102192</v>
          </cell>
          <cell r="H7134">
            <v>31102192</v>
          </cell>
          <cell r="I7134" t="str">
            <v/>
          </cell>
          <cell r="J7134" t="str">
            <v/>
          </cell>
          <cell r="K7134" t="str">
            <v/>
          </cell>
          <cell r="L7134" t="str">
            <v/>
          </cell>
          <cell r="M7134" t="str">
            <v/>
          </cell>
        </row>
        <row r="7135">
          <cell r="A7135">
            <v>31102192</v>
          </cell>
          <cell r="C7135">
            <v>31102192</v>
          </cell>
          <cell r="D7135">
            <v>31102192</v>
          </cell>
          <cell r="E7135">
            <v>31102192</v>
          </cell>
          <cell r="F7135">
            <v>31102192</v>
          </cell>
          <cell r="G7135">
            <v>31102192</v>
          </cell>
          <cell r="H7135">
            <v>31102192</v>
          </cell>
          <cell r="I7135" t="str">
            <v/>
          </cell>
          <cell r="J7135" t="str">
            <v/>
          </cell>
          <cell r="K7135" t="str">
            <v/>
          </cell>
          <cell r="L7135" t="str">
            <v/>
          </cell>
          <cell r="M7135" t="str">
            <v/>
          </cell>
        </row>
        <row r="7136">
          <cell r="A7136">
            <v>31102192</v>
          </cell>
          <cell r="C7136">
            <v>31102192</v>
          </cell>
          <cell r="D7136">
            <v>31102192</v>
          </cell>
          <cell r="E7136">
            <v>31102192</v>
          </cell>
          <cell r="F7136">
            <v>31102192</v>
          </cell>
          <cell r="G7136">
            <v>31102192</v>
          </cell>
          <cell r="H7136">
            <v>31102192</v>
          </cell>
          <cell r="I7136" t="str">
            <v/>
          </cell>
          <cell r="J7136" t="str">
            <v/>
          </cell>
          <cell r="K7136" t="str">
            <v/>
          </cell>
          <cell r="L7136" t="str">
            <v/>
          </cell>
          <cell r="M7136" t="str">
            <v/>
          </cell>
        </row>
        <row r="7137">
          <cell r="A7137">
            <v>31102192</v>
          </cell>
          <cell r="C7137">
            <v>31102192</v>
          </cell>
          <cell r="D7137">
            <v>31102192</v>
          </cell>
          <cell r="E7137">
            <v>31102192</v>
          </cell>
          <cell r="F7137">
            <v>31102192</v>
          </cell>
          <cell r="G7137">
            <v>31102192</v>
          </cell>
          <cell r="H7137">
            <v>31102192</v>
          </cell>
          <cell r="I7137" t="str">
            <v/>
          </cell>
          <cell r="J7137" t="str">
            <v/>
          </cell>
          <cell r="K7137" t="str">
            <v/>
          </cell>
          <cell r="L7137" t="str">
            <v/>
          </cell>
          <cell r="M7137" t="str">
            <v/>
          </cell>
        </row>
        <row r="7138">
          <cell r="A7138">
            <v>31102192</v>
          </cell>
          <cell r="C7138">
            <v>31102192</v>
          </cell>
          <cell r="D7138">
            <v>31102192</v>
          </cell>
          <cell r="E7138">
            <v>31102192</v>
          </cell>
          <cell r="F7138">
            <v>31102192</v>
          </cell>
          <cell r="G7138">
            <v>31102192</v>
          </cell>
          <cell r="H7138">
            <v>31102192</v>
          </cell>
          <cell r="I7138" t="str">
            <v/>
          </cell>
          <cell r="J7138" t="str">
            <v/>
          </cell>
          <cell r="K7138" t="str">
            <v/>
          </cell>
          <cell r="L7138" t="str">
            <v/>
          </cell>
          <cell r="M7138" t="str">
            <v/>
          </cell>
        </row>
        <row r="7139">
          <cell r="A7139">
            <v>31102192</v>
          </cell>
          <cell r="C7139">
            <v>31102192</v>
          </cell>
          <cell r="D7139">
            <v>31102192</v>
          </cell>
          <cell r="E7139">
            <v>31102192</v>
          </cell>
          <cell r="F7139">
            <v>31102192</v>
          </cell>
          <cell r="G7139">
            <v>31102192</v>
          </cell>
          <cell r="H7139">
            <v>31102192</v>
          </cell>
          <cell r="I7139" t="str">
            <v/>
          </cell>
          <cell r="J7139" t="str">
            <v/>
          </cell>
          <cell r="K7139" t="str">
            <v/>
          </cell>
          <cell r="L7139" t="str">
            <v/>
          </cell>
          <cell r="M7139" t="str">
            <v/>
          </cell>
        </row>
        <row r="7140">
          <cell r="A7140">
            <v>31102192</v>
          </cell>
          <cell r="C7140">
            <v>31102192</v>
          </cell>
          <cell r="D7140">
            <v>31102192</v>
          </cell>
          <cell r="E7140">
            <v>31102192</v>
          </cell>
          <cell r="F7140">
            <v>31102192</v>
          </cell>
          <cell r="G7140">
            <v>31102192</v>
          </cell>
          <cell r="H7140">
            <v>31102192</v>
          </cell>
          <cell r="I7140" t="str">
            <v/>
          </cell>
          <cell r="J7140" t="str">
            <v/>
          </cell>
          <cell r="K7140" t="str">
            <v/>
          </cell>
          <cell r="L7140" t="str">
            <v/>
          </cell>
          <cell r="M7140" t="str">
            <v/>
          </cell>
        </row>
        <row r="7141">
          <cell r="A7141">
            <v>31102192</v>
          </cell>
          <cell r="C7141">
            <v>31102192</v>
          </cell>
          <cell r="D7141">
            <v>31102192</v>
          </cell>
          <cell r="E7141">
            <v>31102192</v>
          </cell>
          <cell r="F7141">
            <v>31102192</v>
          </cell>
          <cell r="G7141">
            <v>31102192</v>
          </cell>
          <cell r="H7141">
            <v>31102192</v>
          </cell>
          <cell r="I7141" t="str">
            <v/>
          </cell>
          <cell r="J7141" t="str">
            <v/>
          </cell>
          <cell r="K7141" t="str">
            <v/>
          </cell>
          <cell r="L7141" t="str">
            <v/>
          </cell>
          <cell r="M7141" t="str">
            <v/>
          </cell>
        </row>
        <row r="7142">
          <cell r="A7142">
            <v>31102192</v>
          </cell>
          <cell r="C7142">
            <v>31102192</v>
          </cell>
          <cell r="D7142">
            <v>31102192</v>
          </cell>
          <cell r="E7142">
            <v>31102192</v>
          </cell>
          <cell r="F7142">
            <v>31102192</v>
          </cell>
          <cell r="G7142">
            <v>31102192</v>
          </cell>
          <cell r="H7142">
            <v>31102192</v>
          </cell>
          <cell r="I7142" t="str">
            <v/>
          </cell>
          <cell r="J7142" t="str">
            <v/>
          </cell>
          <cell r="K7142" t="str">
            <v/>
          </cell>
          <cell r="L7142" t="str">
            <v/>
          </cell>
          <cell r="M7142" t="str">
            <v/>
          </cell>
        </row>
        <row r="7143">
          <cell r="A7143">
            <v>31102192</v>
          </cell>
          <cell r="C7143">
            <v>31102192</v>
          </cell>
          <cell r="D7143">
            <v>31102192</v>
          </cell>
          <cell r="E7143">
            <v>31102192</v>
          </cell>
          <cell r="F7143">
            <v>31102192</v>
          </cell>
          <cell r="G7143">
            <v>31102192</v>
          </cell>
          <cell r="H7143">
            <v>31102192</v>
          </cell>
          <cell r="I7143" t="str">
            <v/>
          </cell>
          <cell r="J7143" t="str">
            <v/>
          </cell>
          <cell r="K7143" t="str">
            <v/>
          </cell>
          <cell r="L7143" t="str">
            <v/>
          </cell>
          <cell r="M7143" t="str">
            <v/>
          </cell>
        </row>
        <row r="7144">
          <cell r="A7144">
            <v>31102192</v>
          </cell>
          <cell r="C7144">
            <v>31102192</v>
          </cell>
          <cell r="D7144">
            <v>31102192</v>
          </cell>
          <cell r="E7144">
            <v>31102192</v>
          </cell>
          <cell r="F7144">
            <v>31102192</v>
          </cell>
          <cell r="G7144">
            <v>31102192</v>
          </cell>
          <cell r="H7144">
            <v>31102192</v>
          </cell>
          <cell r="I7144" t="str">
            <v/>
          </cell>
          <cell r="J7144" t="str">
            <v/>
          </cell>
          <cell r="K7144" t="str">
            <v/>
          </cell>
          <cell r="L7144" t="str">
            <v/>
          </cell>
          <cell r="M7144" t="str">
            <v/>
          </cell>
        </row>
        <row r="7145">
          <cell r="A7145">
            <v>31102192</v>
          </cell>
          <cell r="C7145">
            <v>31102192</v>
          </cell>
          <cell r="D7145">
            <v>31102192</v>
          </cell>
          <cell r="E7145">
            <v>31102192</v>
          </cell>
          <cell r="F7145">
            <v>31102192</v>
          </cell>
          <cell r="G7145">
            <v>31102192</v>
          </cell>
          <cell r="H7145">
            <v>31102192</v>
          </cell>
          <cell r="I7145" t="str">
            <v/>
          </cell>
          <cell r="J7145" t="str">
            <v/>
          </cell>
          <cell r="K7145" t="str">
            <v/>
          </cell>
          <cell r="L7145" t="str">
            <v/>
          </cell>
          <cell r="M7145" t="str">
            <v/>
          </cell>
        </row>
        <row r="7146">
          <cell r="A7146">
            <v>31102192</v>
          </cell>
          <cell r="C7146">
            <v>31102192</v>
          </cell>
          <cell r="D7146">
            <v>31102192</v>
          </cell>
          <cell r="E7146">
            <v>31102192</v>
          </cell>
          <cell r="F7146">
            <v>31102192</v>
          </cell>
          <cell r="G7146">
            <v>31102192</v>
          </cell>
          <cell r="H7146">
            <v>31102192</v>
          </cell>
          <cell r="I7146" t="str">
            <v/>
          </cell>
          <cell r="J7146" t="str">
            <v/>
          </cell>
          <cell r="K7146" t="str">
            <v/>
          </cell>
          <cell r="L7146" t="str">
            <v/>
          </cell>
          <cell r="M7146" t="str">
            <v/>
          </cell>
        </row>
        <row r="7147">
          <cell r="A7147">
            <v>31102192</v>
          </cell>
          <cell r="C7147">
            <v>31102192</v>
          </cell>
          <cell r="D7147">
            <v>31102192</v>
          </cell>
          <cell r="E7147">
            <v>31102192</v>
          </cell>
          <cell r="F7147">
            <v>31102192</v>
          </cell>
          <cell r="G7147">
            <v>31102192</v>
          </cell>
          <cell r="H7147">
            <v>31102192</v>
          </cell>
          <cell r="I7147" t="str">
            <v/>
          </cell>
          <cell r="J7147" t="str">
            <v/>
          </cell>
          <cell r="K7147" t="str">
            <v/>
          </cell>
          <cell r="L7147" t="str">
            <v/>
          </cell>
          <cell r="M7147" t="str">
            <v/>
          </cell>
        </row>
        <row r="7148">
          <cell r="A7148">
            <v>31102192</v>
          </cell>
          <cell r="C7148">
            <v>31102192</v>
          </cell>
          <cell r="D7148">
            <v>31102192</v>
          </cell>
          <cell r="E7148">
            <v>31102192</v>
          </cell>
          <cell r="F7148">
            <v>31102192</v>
          </cell>
          <cell r="G7148">
            <v>31102192</v>
          </cell>
          <cell r="H7148">
            <v>31102192</v>
          </cell>
          <cell r="I7148" t="str">
            <v/>
          </cell>
          <cell r="J7148" t="str">
            <v/>
          </cell>
          <cell r="K7148" t="str">
            <v/>
          </cell>
          <cell r="L7148" t="str">
            <v/>
          </cell>
          <cell r="M7148" t="str">
            <v/>
          </cell>
        </row>
        <row r="7149">
          <cell r="A7149">
            <v>31102192</v>
          </cell>
          <cell r="C7149">
            <v>31102192</v>
          </cell>
          <cell r="D7149">
            <v>31102192</v>
          </cell>
          <cell r="E7149">
            <v>31102192</v>
          </cell>
          <cell r="F7149">
            <v>31102192</v>
          </cell>
          <cell r="G7149">
            <v>31102192</v>
          </cell>
          <cell r="H7149">
            <v>31102192</v>
          </cell>
          <cell r="I7149" t="str">
            <v/>
          </cell>
          <cell r="J7149" t="str">
            <v/>
          </cell>
          <cell r="K7149" t="str">
            <v/>
          </cell>
          <cell r="L7149" t="str">
            <v/>
          </cell>
          <cell r="M7149" t="str">
            <v/>
          </cell>
        </row>
        <row r="7150">
          <cell r="A7150">
            <v>31102192</v>
          </cell>
          <cell r="C7150">
            <v>31102192</v>
          </cell>
          <cell r="D7150">
            <v>31102192</v>
          </cell>
          <cell r="E7150">
            <v>31102192</v>
          </cell>
          <cell r="F7150">
            <v>31102192</v>
          </cell>
          <cell r="G7150">
            <v>31102192</v>
          </cell>
          <cell r="H7150">
            <v>31102192</v>
          </cell>
          <cell r="I7150" t="str">
            <v/>
          </cell>
          <cell r="J7150" t="str">
            <v/>
          </cell>
          <cell r="K7150" t="str">
            <v/>
          </cell>
          <cell r="L7150" t="str">
            <v/>
          </cell>
          <cell r="M7150" t="str">
            <v/>
          </cell>
        </row>
        <row r="7151">
          <cell r="A7151">
            <v>31102192</v>
          </cell>
          <cell r="C7151">
            <v>31102192</v>
          </cell>
          <cell r="D7151">
            <v>31102192</v>
          </cell>
          <cell r="E7151">
            <v>31102192</v>
          </cell>
          <cell r="F7151">
            <v>31102192</v>
          </cell>
          <cell r="G7151">
            <v>31102192</v>
          </cell>
          <cell r="H7151">
            <v>31102192</v>
          </cell>
          <cell r="I7151" t="str">
            <v/>
          </cell>
          <cell r="J7151" t="str">
            <v/>
          </cell>
          <cell r="K7151" t="str">
            <v/>
          </cell>
          <cell r="L7151" t="str">
            <v/>
          </cell>
          <cell r="M7151" t="str">
            <v/>
          </cell>
        </row>
        <row r="7152">
          <cell r="A7152">
            <v>31102192</v>
          </cell>
          <cell r="C7152">
            <v>31102192</v>
          </cell>
          <cell r="D7152">
            <v>31102192</v>
          </cell>
          <cell r="E7152">
            <v>31102192</v>
          </cell>
          <cell r="F7152">
            <v>31102192</v>
          </cell>
          <cell r="G7152">
            <v>31102192</v>
          </cell>
          <cell r="H7152">
            <v>31102192</v>
          </cell>
          <cell r="I7152" t="str">
            <v/>
          </cell>
          <cell r="J7152" t="str">
            <v/>
          </cell>
          <cell r="K7152" t="str">
            <v/>
          </cell>
          <cell r="L7152" t="str">
            <v/>
          </cell>
          <cell r="M7152" t="str">
            <v/>
          </cell>
        </row>
        <row r="7153">
          <cell r="A7153">
            <v>31102192</v>
          </cell>
          <cell r="C7153">
            <v>31102192</v>
          </cell>
          <cell r="D7153">
            <v>31102192</v>
          </cell>
          <cell r="E7153">
            <v>31102192</v>
          </cell>
          <cell r="F7153">
            <v>31102192</v>
          </cell>
          <cell r="G7153">
            <v>31102192</v>
          </cell>
          <cell r="H7153">
            <v>31102192</v>
          </cell>
          <cell r="I7153" t="str">
            <v/>
          </cell>
          <cell r="J7153" t="str">
            <v/>
          </cell>
          <cell r="K7153" t="str">
            <v/>
          </cell>
          <cell r="L7153" t="str">
            <v/>
          </cell>
          <cell r="M7153" t="str">
            <v/>
          </cell>
        </row>
        <row r="7154">
          <cell r="A7154">
            <v>31102192</v>
          </cell>
          <cell r="C7154">
            <v>31102192</v>
          </cell>
          <cell r="D7154">
            <v>31102192</v>
          </cell>
          <cell r="E7154">
            <v>31102192</v>
          </cell>
          <cell r="F7154">
            <v>31102192</v>
          </cell>
          <cell r="G7154">
            <v>31102192</v>
          </cell>
          <cell r="H7154">
            <v>31102192</v>
          </cell>
          <cell r="I7154" t="str">
            <v/>
          </cell>
          <cell r="J7154" t="str">
            <v/>
          </cell>
          <cell r="K7154" t="str">
            <v/>
          </cell>
          <cell r="L7154" t="str">
            <v/>
          </cell>
          <cell r="M7154" t="str">
            <v/>
          </cell>
        </row>
        <row r="7155">
          <cell r="A7155">
            <v>31102192</v>
          </cell>
          <cell r="C7155">
            <v>31102192</v>
          </cell>
          <cell r="D7155">
            <v>31102192</v>
          </cell>
          <cell r="E7155">
            <v>31102192</v>
          </cell>
          <cell r="F7155">
            <v>31102192</v>
          </cell>
          <cell r="G7155">
            <v>31102192</v>
          </cell>
          <cell r="H7155">
            <v>31102192</v>
          </cell>
          <cell r="I7155" t="str">
            <v/>
          </cell>
          <cell r="J7155" t="str">
            <v/>
          </cell>
          <cell r="K7155" t="str">
            <v/>
          </cell>
          <cell r="L7155" t="str">
            <v/>
          </cell>
          <cell r="M7155" t="str">
            <v/>
          </cell>
        </row>
        <row r="7156">
          <cell r="A7156">
            <v>31102192</v>
          </cell>
          <cell r="C7156">
            <v>31102192</v>
          </cell>
          <cell r="D7156">
            <v>31102192</v>
          </cell>
          <cell r="E7156">
            <v>31102192</v>
          </cell>
          <cell r="F7156">
            <v>31102192</v>
          </cell>
          <cell r="G7156">
            <v>31102192</v>
          </cell>
          <cell r="H7156">
            <v>31102192</v>
          </cell>
          <cell r="I7156" t="str">
            <v/>
          </cell>
          <cell r="J7156" t="str">
            <v/>
          </cell>
          <cell r="K7156" t="str">
            <v/>
          </cell>
          <cell r="L7156" t="str">
            <v/>
          </cell>
          <cell r="M7156" t="str">
            <v/>
          </cell>
        </row>
        <row r="7157">
          <cell r="A7157">
            <v>31102192</v>
          </cell>
          <cell r="C7157">
            <v>31102192</v>
          </cell>
          <cell r="D7157">
            <v>31102192</v>
          </cell>
          <cell r="E7157">
            <v>31102192</v>
          </cell>
          <cell r="F7157">
            <v>31102192</v>
          </cell>
          <cell r="G7157">
            <v>31102192</v>
          </cell>
          <cell r="H7157">
            <v>31102192</v>
          </cell>
          <cell r="I7157" t="str">
            <v/>
          </cell>
          <cell r="J7157" t="str">
            <v/>
          </cell>
          <cell r="K7157" t="str">
            <v/>
          </cell>
          <cell r="L7157" t="str">
            <v/>
          </cell>
          <cell r="M7157" t="str">
            <v/>
          </cell>
        </row>
        <row r="7158">
          <cell r="A7158">
            <v>31102192</v>
          </cell>
          <cell r="C7158">
            <v>31102192</v>
          </cell>
          <cell r="D7158">
            <v>31102192</v>
          </cell>
          <cell r="E7158">
            <v>31102192</v>
          </cell>
          <cell r="F7158">
            <v>31102192</v>
          </cell>
          <cell r="G7158">
            <v>31102192</v>
          </cell>
          <cell r="H7158">
            <v>31102192</v>
          </cell>
          <cell r="I7158" t="str">
            <v/>
          </cell>
          <cell r="J7158" t="str">
            <v/>
          </cell>
          <cell r="K7158" t="str">
            <v/>
          </cell>
          <cell r="L7158" t="str">
            <v/>
          </cell>
          <cell r="M7158" t="str">
            <v/>
          </cell>
        </row>
        <row r="7159">
          <cell r="A7159">
            <v>31102192</v>
          </cell>
          <cell r="C7159">
            <v>31102192</v>
          </cell>
          <cell r="D7159">
            <v>31102192</v>
          </cell>
          <cell r="E7159">
            <v>31102192</v>
          </cell>
          <cell r="F7159">
            <v>31102192</v>
          </cell>
          <cell r="G7159">
            <v>31102192</v>
          </cell>
          <cell r="H7159">
            <v>31102192</v>
          </cell>
          <cell r="I7159" t="str">
            <v/>
          </cell>
          <cell r="J7159" t="str">
            <v/>
          </cell>
          <cell r="K7159" t="str">
            <v/>
          </cell>
          <cell r="L7159" t="str">
            <v/>
          </cell>
          <cell r="M7159" t="str">
            <v/>
          </cell>
        </row>
        <row r="7160">
          <cell r="A7160">
            <v>31102192</v>
          </cell>
          <cell r="C7160">
            <v>31102192</v>
          </cell>
          <cell r="D7160">
            <v>31102192</v>
          </cell>
          <cell r="E7160">
            <v>31102192</v>
          </cell>
          <cell r="F7160">
            <v>31102192</v>
          </cell>
          <cell r="G7160">
            <v>31102192</v>
          </cell>
          <cell r="H7160">
            <v>31102192</v>
          </cell>
          <cell r="I7160" t="str">
            <v/>
          </cell>
          <cell r="J7160" t="str">
            <v/>
          </cell>
          <cell r="K7160" t="str">
            <v/>
          </cell>
          <cell r="L7160" t="str">
            <v/>
          </cell>
          <cell r="M7160" t="str">
            <v/>
          </cell>
        </row>
        <row r="7161">
          <cell r="A7161">
            <v>31102192</v>
          </cell>
          <cell r="C7161">
            <v>31102192</v>
          </cell>
          <cell r="D7161">
            <v>31102192</v>
          </cell>
          <cell r="E7161">
            <v>31102192</v>
          </cell>
          <cell r="F7161">
            <v>31102192</v>
          </cell>
          <cell r="G7161">
            <v>31102192</v>
          </cell>
          <cell r="H7161">
            <v>31102192</v>
          </cell>
          <cell r="I7161" t="str">
            <v/>
          </cell>
          <cell r="J7161" t="str">
            <v/>
          </cell>
          <cell r="K7161" t="str">
            <v/>
          </cell>
          <cell r="L7161" t="str">
            <v/>
          </cell>
          <cell r="M7161" t="str">
            <v/>
          </cell>
        </row>
        <row r="7162">
          <cell r="A7162">
            <v>31102192</v>
          </cell>
          <cell r="C7162">
            <v>31102192</v>
          </cell>
          <cell r="D7162">
            <v>31102192</v>
          </cell>
          <cell r="E7162">
            <v>31102192</v>
          </cell>
          <cell r="F7162">
            <v>31102192</v>
          </cell>
          <cell r="G7162">
            <v>31102192</v>
          </cell>
          <cell r="H7162">
            <v>31102192</v>
          </cell>
          <cell r="I7162" t="str">
            <v/>
          </cell>
          <cell r="J7162" t="str">
            <v/>
          </cell>
          <cell r="K7162" t="str">
            <v/>
          </cell>
          <cell r="L7162" t="str">
            <v/>
          </cell>
          <cell r="M7162" t="str">
            <v/>
          </cell>
        </row>
        <row r="7163">
          <cell r="A7163">
            <v>31102192</v>
          </cell>
          <cell r="C7163">
            <v>31102192</v>
          </cell>
          <cell r="D7163">
            <v>31102192</v>
          </cell>
          <cell r="E7163">
            <v>31102192</v>
          </cell>
          <cell r="F7163">
            <v>31102192</v>
          </cell>
          <cell r="G7163">
            <v>31102192</v>
          </cell>
          <cell r="H7163">
            <v>31102192</v>
          </cell>
          <cell r="I7163" t="str">
            <v/>
          </cell>
          <cell r="J7163" t="str">
            <v/>
          </cell>
          <cell r="K7163" t="str">
            <v/>
          </cell>
          <cell r="L7163" t="str">
            <v/>
          </cell>
          <cell r="M7163" t="str">
            <v/>
          </cell>
        </row>
        <row r="7164">
          <cell r="A7164">
            <v>31102192</v>
          </cell>
          <cell r="C7164">
            <v>31102192</v>
          </cell>
          <cell r="D7164">
            <v>31102192</v>
          </cell>
          <cell r="E7164">
            <v>31102192</v>
          </cell>
          <cell r="F7164">
            <v>31102192</v>
          </cell>
          <cell r="G7164">
            <v>31102192</v>
          </cell>
          <cell r="H7164">
            <v>31102192</v>
          </cell>
          <cell r="I7164" t="str">
            <v/>
          </cell>
          <cell r="J7164" t="str">
            <v/>
          </cell>
          <cell r="K7164" t="str">
            <v/>
          </cell>
          <cell r="L7164" t="str">
            <v/>
          </cell>
          <cell r="M7164" t="str">
            <v/>
          </cell>
        </row>
        <row r="7165">
          <cell r="A7165">
            <v>31102192</v>
          </cell>
          <cell r="C7165">
            <v>31102192</v>
          </cell>
          <cell r="D7165">
            <v>31102192</v>
          </cell>
          <cell r="E7165">
            <v>31102192</v>
          </cell>
          <cell r="F7165">
            <v>31102192</v>
          </cell>
          <cell r="G7165">
            <v>31102192</v>
          </cell>
          <cell r="H7165">
            <v>31102192</v>
          </cell>
          <cell r="I7165" t="str">
            <v/>
          </cell>
          <cell r="J7165" t="str">
            <v/>
          </cell>
          <cell r="K7165" t="str">
            <v/>
          </cell>
          <cell r="L7165" t="str">
            <v/>
          </cell>
          <cell r="M7165" t="str">
            <v/>
          </cell>
        </row>
        <row r="7166">
          <cell r="A7166">
            <v>31102192</v>
          </cell>
          <cell r="C7166">
            <v>31102192</v>
          </cell>
          <cell r="D7166">
            <v>31102192</v>
          </cell>
          <cell r="E7166">
            <v>31102192</v>
          </cell>
          <cell r="F7166">
            <v>31102192</v>
          </cell>
          <cell r="G7166">
            <v>31102192</v>
          </cell>
          <cell r="H7166">
            <v>31102192</v>
          </cell>
          <cell r="I7166" t="str">
            <v/>
          </cell>
          <cell r="J7166" t="str">
            <v/>
          </cell>
          <cell r="K7166" t="str">
            <v/>
          </cell>
          <cell r="L7166" t="str">
            <v/>
          </cell>
          <cell r="M7166" t="str">
            <v/>
          </cell>
        </row>
        <row r="7167">
          <cell r="A7167">
            <v>31102192</v>
          </cell>
          <cell r="C7167">
            <v>31102192</v>
          </cell>
          <cell r="D7167">
            <v>31102192</v>
          </cell>
          <cell r="E7167">
            <v>31102192</v>
          </cell>
          <cell r="F7167">
            <v>31102192</v>
          </cell>
          <cell r="G7167">
            <v>31102192</v>
          </cell>
          <cell r="H7167">
            <v>31102192</v>
          </cell>
          <cell r="I7167" t="str">
            <v/>
          </cell>
          <cell r="J7167" t="str">
            <v/>
          </cell>
          <cell r="K7167" t="str">
            <v/>
          </cell>
          <cell r="L7167" t="str">
            <v/>
          </cell>
          <cell r="M7167" t="str">
            <v/>
          </cell>
        </row>
        <row r="7168">
          <cell r="A7168">
            <v>31102192</v>
          </cell>
          <cell r="C7168">
            <v>31102192</v>
          </cell>
          <cell r="D7168">
            <v>31102192</v>
          </cell>
          <cell r="E7168">
            <v>31102192</v>
          </cell>
          <cell r="F7168">
            <v>31102192</v>
          </cell>
          <cell r="G7168">
            <v>31102192</v>
          </cell>
          <cell r="H7168">
            <v>31102192</v>
          </cell>
          <cell r="I7168" t="str">
            <v/>
          </cell>
          <cell r="J7168" t="str">
            <v/>
          </cell>
          <cell r="K7168" t="str">
            <v/>
          </cell>
          <cell r="L7168" t="str">
            <v/>
          </cell>
          <cell r="M7168" t="str">
            <v/>
          </cell>
        </row>
        <row r="7169">
          <cell r="A7169">
            <v>31102192</v>
          </cell>
          <cell r="C7169">
            <v>31102192</v>
          </cell>
          <cell r="D7169">
            <v>31102192</v>
          </cell>
          <cell r="E7169">
            <v>31102192</v>
          </cell>
          <cell r="F7169">
            <v>31102192</v>
          </cell>
          <cell r="G7169">
            <v>31102192</v>
          </cell>
          <cell r="H7169">
            <v>31102192</v>
          </cell>
          <cell r="I7169" t="str">
            <v/>
          </cell>
          <cell r="J7169" t="str">
            <v/>
          </cell>
          <cell r="K7169" t="str">
            <v/>
          </cell>
          <cell r="L7169" t="str">
            <v/>
          </cell>
          <cell r="M7169" t="str">
            <v/>
          </cell>
        </row>
        <row r="7170">
          <cell r="A7170">
            <v>31102192</v>
          </cell>
          <cell r="C7170">
            <v>31102192</v>
          </cell>
          <cell r="D7170">
            <v>31102192</v>
          </cell>
          <cell r="E7170">
            <v>31102192</v>
          </cell>
          <cell r="F7170">
            <v>31102192</v>
          </cell>
          <cell r="G7170">
            <v>31102192</v>
          </cell>
          <cell r="H7170">
            <v>31102192</v>
          </cell>
          <cell r="I7170" t="str">
            <v/>
          </cell>
          <cell r="J7170" t="str">
            <v/>
          </cell>
          <cell r="K7170" t="str">
            <v/>
          </cell>
          <cell r="L7170" t="str">
            <v/>
          </cell>
          <cell r="M7170" t="str">
            <v/>
          </cell>
        </row>
        <row r="7171">
          <cell r="A7171">
            <v>31102192</v>
          </cell>
          <cell r="C7171">
            <v>31102192</v>
          </cell>
          <cell r="D7171">
            <v>31102192</v>
          </cell>
          <cell r="E7171">
            <v>31102192</v>
          </cell>
          <cell r="F7171">
            <v>31102192</v>
          </cell>
          <cell r="G7171">
            <v>31102192</v>
          </cell>
          <cell r="H7171">
            <v>31102192</v>
          </cell>
          <cell r="I7171" t="str">
            <v/>
          </cell>
          <cell r="J7171" t="str">
            <v/>
          </cell>
          <cell r="K7171" t="str">
            <v/>
          </cell>
          <cell r="L7171" t="str">
            <v/>
          </cell>
          <cell r="M7171" t="str">
            <v/>
          </cell>
        </row>
        <row r="7172">
          <cell r="A7172">
            <v>31102192</v>
          </cell>
          <cell r="C7172">
            <v>31102192</v>
          </cell>
          <cell r="D7172">
            <v>31102192</v>
          </cell>
          <cell r="E7172">
            <v>31102192</v>
          </cell>
          <cell r="F7172">
            <v>31102192</v>
          </cell>
          <cell r="G7172">
            <v>31102192</v>
          </cell>
          <cell r="H7172">
            <v>31102192</v>
          </cell>
          <cell r="I7172" t="str">
            <v/>
          </cell>
          <cell r="J7172" t="str">
            <v/>
          </cell>
          <cell r="K7172" t="str">
            <v/>
          </cell>
          <cell r="L7172" t="str">
            <v/>
          </cell>
          <cell r="M7172" t="str">
            <v/>
          </cell>
        </row>
        <row r="7173">
          <cell r="A7173">
            <v>31102192</v>
          </cell>
          <cell r="C7173">
            <v>31102192</v>
          </cell>
          <cell r="D7173">
            <v>31102192</v>
          </cell>
          <cell r="E7173">
            <v>31102192</v>
          </cell>
          <cell r="F7173">
            <v>31102192</v>
          </cell>
          <cell r="G7173">
            <v>31102192</v>
          </cell>
          <cell r="H7173">
            <v>31102192</v>
          </cell>
          <cell r="I7173" t="str">
            <v/>
          </cell>
          <cell r="J7173" t="str">
            <v/>
          </cell>
          <cell r="K7173" t="str">
            <v/>
          </cell>
          <cell r="L7173" t="str">
            <v/>
          </cell>
          <cell r="M7173" t="str">
            <v/>
          </cell>
        </row>
        <row r="7174">
          <cell r="A7174">
            <v>31102192</v>
          </cell>
          <cell r="C7174">
            <v>31102192</v>
          </cell>
          <cell r="D7174">
            <v>31102192</v>
          </cell>
          <cell r="E7174">
            <v>31102192</v>
          </cell>
          <cell r="F7174">
            <v>31102192</v>
          </cell>
          <cell r="G7174">
            <v>31102192</v>
          </cell>
          <cell r="H7174">
            <v>31102192</v>
          </cell>
          <cell r="I7174" t="str">
            <v/>
          </cell>
          <cell r="J7174" t="str">
            <v/>
          </cell>
          <cell r="K7174" t="str">
            <v/>
          </cell>
          <cell r="L7174" t="str">
            <v/>
          </cell>
          <cell r="M7174" t="str">
            <v/>
          </cell>
        </row>
        <row r="7175">
          <cell r="A7175">
            <v>31102192</v>
          </cell>
          <cell r="C7175">
            <v>31102192</v>
          </cell>
          <cell r="D7175">
            <v>31102192</v>
          </cell>
          <cell r="E7175">
            <v>31102192</v>
          </cell>
          <cell r="F7175">
            <v>31102192</v>
          </cell>
          <cell r="G7175">
            <v>31102192</v>
          </cell>
          <cell r="H7175">
            <v>31102192</v>
          </cell>
          <cell r="I7175" t="str">
            <v/>
          </cell>
          <cell r="J7175" t="str">
            <v/>
          </cell>
          <cell r="K7175" t="str">
            <v/>
          </cell>
          <cell r="L7175" t="str">
            <v/>
          </cell>
          <cell r="M7175" t="str">
            <v/>
          </cell>
        </row>
        <row r="7176">
          <cell r="A7176">
            <v>31102192</v>
          </cell>
          <cell r="C7176">
            <v>31102192</v>
          </cell>
          <cell r="D7176">
            <v>31102192</v>
          </cell>
          <cell r="E7176">
            <v>31102192</v>
          </cell>
          <cell r="F7176">
            <v>31102192</v>
          </cell>
          <cell r="G7176">
            <v>31102192</v>
          </cell>
          <cell r="H7176">
            <v>31102192</v>
          </cell>
          <cell r="I7176" t="str">
            <v/>
          </cell>
          <cell r="J7176" t="str">
            <v/>
          </cell>
          <cell r="K7176" t="str">
            <v/>
          </cell>
          <cell r="L7176" t="str">
            <v/>
          </cell>
          <cell r="M7176" t="str">
            <v/>
          </cell>
        </row>
        <row r="7177">
          <cell r="A7177">
            <v>31102192</v>
          </cell>
          <cell r="C7177">
            <v>31102192</v>
          </cell>
          <cell r="D7177">
            <v>31102192</v>
          </cell>
          <cell r="E7177">
            <v>31102192</v>
          </cell>
          <cell r="F7177">
            <v>31102192</v>
          </cell>
          <cell r="G7177">
            <v>31102192</v>
          </cell>
          <cell r="H7177">
            <v>31102192</v>
          </cell>
          <cell r="I7177" t="str">
            <v/>
          </cell>
          <cell r="J7177" t="str">
            <v/>
          </cell>
          <cell r="K7177" t="str">
            <v/>
          </cell>
          <cell r="L7177" t="str">
            <v/>
          </cell>
          <cell r="M7177" t="str">
            <v/>
          </cell>
        </row>
        <row r="7178">
          <cell r="A7178">
            <v>31102192</v>
          </cell>
          <cell r="C7178">
            <v>31102192</v>
          </cell>
          <cell r="D7178">
            <v>31102192</v>
          </cell>
          <cell r="E7178">
            <v>31102192</v>
          </cell>
          <cell r="F7178">
            <v>31102192</v>
          </cell>
          <cell r="G7178">
            <v>31102192</v>
          </cell>
          <cell r="H7178">
            <v>31102192</v>
          </cell>
          <cell r="I7178" t="str">
            <v/>
          </cell>
          <cell r="J7178" t="str">
            <v/>
          </cell>
          <cell r="K7178" t="str">
            <v/>
          </cell>
          <cell r="L7178" t="str">
            <v/>
          </cell>
          <cell r="M7178" t="str">
            <v/>
          </cell>
        </row>
        <row r="7179">
          <cell r="A7179">
            <v>31102192</v>
          </cell>
          <cell r="C7179">
            <v>31102192</v>
          </cell>
          <cell r="D7179">
            <v>31102192</v>
          </cell>
          <cell r="E7179">
            <v>31102192</v>
          </cell>
          <cell r="F7179">
            <v>31102192</v>
          </cell>
          <cell r="G7179">
            <v>31102192</v>
          </cell>
          <cell r="H7179">
            <v>31102192</v>
          </cell>
          <cell r="I7179" t="str">
            <v/>
          </cell>
          <cell r="J7179" t="str">
            <v/>
          </cell>
          <cell r="K7179" t="str">
            <v/>
          </cell>
          <cell r="L7179" t="str">
            <v/>
          </cell>
          <cell r="M7179" t="str">
            <v/>
          </cell>
        </row>
        <row r="7180">
          <cell r="A7180">
            <v>31102192</v>
          </cell>
          <cell r="C7180">
            <v>31102192</v>
          </cell>
          <cell r="D7180">
            <v>31102192</v>
          </cell>
          <cell r="E7180">
            <v>31102192</v>
          </cell>
          <cell r="F7180">
            <v>31102192</v>
          </cell>
          <cell r="G7180">
            <v>31102192</v>
          </cell>
          <cell r="H7180">
            <v>31102192</v>
          </cell>
          <cell r="I7180" t="str">
            <v/>
          </cell>
          <cell r="J7180" t="str">
            <v/>
          </cell>
          <cell r="K7180" t="str">
            <v/>
          </cell>
          <cell r="L7180" t="str">
            <v/>
          </cell>
          <cell r="M7180" t="str">
            <v/>
          </cell>
        </row>
        <row r="7181">
          <cell r="A7181">
            <v>31102192</v>
          </cell>
          <cell r="C7181">
            <v>31102192</v>
          </cell>
          <cell r="D7181">
            <v>31102192</v>
          </cell>
          <cell r="E7181">
            <v>31102192</v>
          </cell>
          <cell r="F7181">
            <v>31102192</v>
          </cell>
          <cell r="G7181">
            <v>31102192</v>
          </cell>
          <cell r="H7181">
            <v>31102192</v>
          </cell>
          <cell r="I7181" t="str">
            <v/>
          </cell>
          <cell r="J7181" t="str">
            <v/>
          </cell>
          <cell r="K7181" t="str">
            <v/>
          </cell>
          <cell r="L7181" t="str">
            <v/>
          </cell>
          <cell r="M7181" t="str">
            <v/>
          </cell>
        </row>
        <row r="7182">
          <cell r="A7182">
            <v>31102192</v>
          </cell>
          <cell r="C7182">
            <v>31102192</v>
          </cell>
          <cell r="D7182">
            <v>31102192</v>
          </cell>
          <cell r="E7182">
            <v>31102192</v>
          </cell>
          <cell r="F7182">
            <v>31102192</v>
          </cell>
          <cell r="G7182">
            <v>31102192</v>
          </cell>
          <cell r="H7182">
            <v>31102192</v>
          </cell>
          <cell r="I7182" t="str">
            <v/>
          </cell>
          <cell r="J7182" t="str">
            <v/>
          </cell>
          <cell r="K7182" t="str">
            <v/>
          </cell>
          <cell r="L7182" t="str">
            <v/>
          </cell>
          <cell r="M7182" t="str">
            <v/>
          </cell>
        </row>
        <row r="7183">
          <cell r="A7183">
            <v>31102192</v>
          </cell>
          <cell r="C7183">
            <v>31102192</v>
          </cell>
          <cell r="D7183">
            <v>31102192</v>
          </cell>
          <cell r="E7183">
            <v>31102192</v>
          </cell>
          <cell r="F7183">
            <v>31102192</v>
          </cell>
          <cell r="G7183">
            <v>31102192</v>
          </cell>
          <cell r="H7183">
            <v>31102192</v>
          </cell>
          <cell r="I7183" t="str">
            <v/>
          </cell>
          <cell r="J7183" t="str">
            <v/>
          </cell>
          <cell r="K7183" t="str">
            <v/>
          </cell>
          <cell r="L7183" t="str">
            <v/>
          </cell>
          <cell r="M7183" t="str">
            <v/>
          </cell>
        </row>
        <row r="7184">
          <cell r="A7184">
            <v>31102192</v>
          </cell>
          <cell r="C7184">
            <v>31102192</v>
          </cell>
          <cell r="D7184">
            <v>31102192</v>
          </cell>
          <cell r="E7184">
            <v>31102192</v>
          </cell>
          <cell r="F7184">
            <v>31102192</v>
          </cell>
          <cell r="G7184">
            <v>31102192</v>
          </cell>
          <cell r="H7184">
            <v>31102192</v>
          </cell>
          <cell r="I7184" t="str">
            <v/>
          </cell>
          <cell r="J7184" t="str">
            <v/>
          </cell>
          <cell r="K7184" t="str">
            <v/>
          </cell>
          <cell r="L7184" t="str">
            <v/>
          </cell>
          <cell r="M7184" t="str">
            <v/>
          </cell>
        </row>
        <row r="7185">
          <cell r="A7185">
            <v>31102192</v>
          </cell>
          <cell r="C7185">
            <v>31102192</v>
          </cell>
          <cell r="D7185">
            <v>31102192</v>
          </cell>
          <cell r="E7185">
            <v>31102192</v>
          </cell>
          <cell r="F7185">
            <v>31102192</v>
          </cell>
          <cell r="G7185">
            <v>31102192</v>
          </cell>
          <cell r="H7185">
            <v>31102192</v>
          </cell>
          <cell r="I7185" t="str">
            <v/>
          </cell>
          <cell r="J7185" t="str">
            <v/>
          </cell>
          <cell r="K7185" t="str">
            <v/>
          </cell>
          <cell r="L7185" t="str">
            <v/>
          </cell>
          <cell r="M7185" t="str">
            <v/>
          </cell>
        </row>
        <row r="7186">
          <cell r="A7186">
            <v>31102192</v>
          </cell>
          <cell r="C7186">
            <v>31102192</v>
          </cell>
          <cell r="D7186">
            <v>31102192</v>
          </cell>
          <cell r="E7186">
            <v>31102192</v>
          </cell>
          <cell r="F7186">
            <v>31102192</v>
          </cell>
          <cell r="G7186">
            <v>31102192</v>
          </cell>
          <cell r="H7186">
            <v>31102192</v>
          </cell>
          <cell r="I7186" t="str">
            <v/>
          </cell>
          <cell r="J7186" t="str">
            <v/>
          </cell>
          <cell r="K7186" t="str">
            <v/>
          </cell>
          <cell r="L7186" t="str">
            <v/>
          </cell>
          <cell r="M7186" t="str">
            <v/>
          </cell>
        </row>
        <row r="7187">
          <cell r="A7187">
            <v>31102192</v>
          </cell>
          <cell r="C7187">
            <v>31102192</v>
          </cell>
          <cell r="D7187">
            <v>31102192</v>
          </cell>
          <cell r="E7187">
            <v>31102192</v>
          </cell>
          <cell r="F7187">
            <v>31102192</v>
          </cell>
          <cell r="G7187">
            <v>31102192</v>
          </cell>
          <cell r="H7187">
            <v>31102192</v>
          </cell>
          <cell r="I7187" t="str">
            <v/>
          </cell>
          <cell r="J7187" t="str">
            <v/>
          </cell>
          <cell r="K7187" t="str">
            <v/>
          </cell>
          <cell r="L7187" t="str">
            <v/>
          </cell>
          <cell r="M7187" t="str">
            <v/>
          </cell>
        </row>
        <row r="7188">
          <cell r="A7188">
            <v>31102192</v>
          </cell>
          <cell r="C7188">
            <v>31102192</v>
          </cell>
          <cell r="D7188">
            <v>31102192</v>
          </cell>
          <cell r="E7188">
            <v>31102192</v>
          </cell>
          <cell r="F7188">
            <v>31102192</v>
          </cell>
          <cell r="G7188">
            <v>31102192</v>
          </cell>
          <cell r="H7188">
            <v>31102192</v>
          </cell>
          <cell r="I7188" t="str">
            <v/>
          </cell>
          <cell r="J7188" t="str">
            <v/>
          </cell>
          <cell r="K7188" t="str">
            <v/>
          </cell>
          <cell r="L7188" t="str">
            <v/>
          </cell>
          <cell r="M7188" t="str">
            <v/>
          </cell>
        </row>
        <row r="7189">
          <cell r="A7189">
            <v>31102192</v>
          </cell>
          <cell r="C7189">
            <v>31102192</v>
          </cell>
          <cell r="D7189">
            <v>31102192</v>
          </cell>
          <cell r="E7189">
            <v>31102192</v>
          </cell>
          <cell r="F7189">
            <v>31102192</v>
          </cell>
          <cell r="G7189">
            <v>31102192</v>
          </cell>
          <cell r="H7189">
            <v>31102192</v>
          </cell>
          <cell r="I7189" t="str">
            <v/>
          </cell>
          <cell r="J7189" t="str">
            <v/>
          </cell>
          <cell r="K7189" t="str">
            <v/>
          </cell>
          <cell r="L7189" t="str">
            <v/>
          </cell>
          <cell r="M7189" t="str">
            <v/>
          </cell>
        </row>
        <row r="7190">
          <cell r="A7190">
            <v>31102192</v>
          </cell>
          <cell r="C7190">
            <v>31102192</v>
          </cell>
          <cell r="D7190">
            <v>31102192</v>
          </cell>
          <cell r="E7190">
            <v>31102192</v>
          </cell>
          <cell r="F7190">
            <v>31102192</v>
          </cell>
          <cell r="G7190">
            <v>31102192</v>
          </cell>
          <cell r="H7190">
            <v>31102192</v>
          </cell>
          <cell r="I7190" t="str">
            <v/>
          </cell>
          <cell r="J7190" t="str">
            <v/>
          </cell>
          <cell r="K7190" t="str">
            <v/>
          </cell>
          <cell r="L7190" t="str">
            <v/>
          </cell>
          <cell r="M7190" t="str">
            <v/>
          </cell>
        </row>
        <row r="7191">
          <cell r="A7191">
            <v>31102192</v>
          </cell>
          <cell r="C7191">
            <v>31102192</v>
          </cell>
          <cell r="D7191">
            <v>31102192</v>
          </cell>
          <cell r="E7191">
            <v>31102192</v>
          </cell>
          <cell r="F7191">
            <v>31102192</v>
          </cell>
          <cell r="G7191">
            <v>31102192</v>
          </cell>
          <cell r="H7191">
            <v>31102192</v>
          </cell>
          <cell r="I7191" t="str">
            <v/>
          </cell>
          <cell r="J7191" t="str">
            <v/>
          </cell>
          <cell r="K7191" t="str">
            <v/>
          </cell>
          <cell r="L7191" t="str">
            <v/>
          </cell>
          <cell r="M7191" t="str">
            <v/>
          </cell>
        </row>
        <row r="7192">
          <cell r="A7192">
            <v>31102192</v>
          </cell>
          <cell r="C7192">
            <v>31102192</v>
          </cell>
          <cell r="D7192">
            <v>31102192</v>
          </cell>
          <cell r="E7192">
            <v>31102192</v>
          </cell>
          <cell r="F7192">
            <v>31102192</v>
          </cell>
          <cell r="G7192">
            <v>31102192</v>
          </cell>
          <cell r="H7192">
            <v>31102192</v>
          </cell>
          <cell r="I7192" t="str">
            <v/>
          </cell>
          <cell r="J7192" t="str">
            <v/>
          </cell>
          <cell r="K7192" t="str">
            <v/>
          </cell>
          <cell r="L7192" t="str">
            <v/>
          </cell>
          <cell r="M7192" t="str">
            <v/>
          </cell>
        </row>
        <row r="7193">
          <cell r="A7193">
            <v>31102192</v>
          </cell>
          <cell r="C7193">
            <v>31102192</v>
          </cell>
          <cell r="D7193">
            <v>31102192</v>
          </cell>
          <cell r="E7193">
            <v>31102192</v>
          </cell>
          <cell r="F7193">
            <v>31102192</v>
          </cell>
          <cell r="G7193">
            <v>31102192</v>
          </cell>
          <cell r="H7193">
            <v>31102192</v>
          </cell>
          <cell r="I7193" t="str">
            <v/>
          </cell>
          <cell r="J7193" t="str">
            <v/>
          </cell>
          <cell r="K7193" t="str">
            <v/>
          </cell>
          <cell r="L7193" t="str">
            <v/>
          </cell>
          <cell r="M7193" t="str">
            <v/>
          </cell>
        </row>
        <row r="7194">
          <cell r="A7194">
            <v>31102192</v>
          </cell>
          <cell r="C7194">
            <v>31102192</v>
          </cell>
          <cell r="D7194">
            <v>31102192</v>
          </cell>
          <cell r="E7194">
            <v>31102192</v>
          </cell>
          <cell r="F7194">
            <v>31102192</v>
          </cell>
          <cell r="G7194">
            <v>31102192</v>
          </cell>
          <cell r="H7194">
            <v>31102192</v>
          </cell>
          <cell r="I7194" t="str">
            <v/>
          </cell>
          <cell r="J7194" t="str">
            <v/>
          </cell>
          <cell r="K7194" t="str">
            <v/>
          </cell>
          <cell r="L7194" t="str">
            <v/>
          </cell>
          <cell r="M7194" t="str">
            <v/>
          </cell>
        </row>
        <row r="7195">
          <cell r="A7195">
            <v>31102192</v>
          </cell>
          <cell r="C7195">
            <v>31102192</v>
          </cell>
          <cell r="D7195">
            <v>31102192</v>
          </cell>
          <cell r="E7195">
            <v>31102192</v>
          </cell>
          <cell r="F7195">
            <v>31102192</v>
          </cell>
          <cell r="G7195">
            <v>31102192</v>
          </cell>
          <cell r="H7195">
            <v>31102192</v>
          </cell>
          <cell r="I7195" t="str">
            <v/>
          </cell>
          <cell r="J7195" t="str">
            <v/>
          </cell>
          <cell r="K7195" t="str">
            <v/>
          </cell>
          <cell r="L7195" t="str">
            <v/>
          </cell>
          <cell r="M7195" t="str">
            <v/>
          </cell>
        </row>
        <row r="7196">
          <cell r="A7196">
            <v>31102192</v>
          </cell>
          <cell r="C7196">
            <v>31102192</v>
          </cell>
          <cell r="D7196">
            <v>31102192</v>
          </cell>
          <cell r="E7196">
            <v>31102192</v>
          </cell>
          <cell r="F7196">
            <v>31102192</v>
          </cell>
          <cell r="G7196">
            <v>31102192</v>
          </cell>
          <cell r="H7196">
            <v>31102192</v>
          </cell>
          <cell r="I7196" t="str">
            <v/>
          </cell>
          <cell r="J7196" t="str">
            <v/>
          </cell>
          <cell r="K7196" t="str">
            <v/>
          </cell>
          <cell r="L7196" t="str">
            <v/>
          </cell>
          <cell r="M7196" t="str">
            <v/>
          </cell>
        </row>
        <row r="7197">
          <cell r="A7197">
            <v>31102192</v>
          </cell>
          <cell r="C7197">
            <v>31102192</v>
          </cell>
          <cell r="D7197">
            <v>31102192</v>
          </cell>
          <cell r="E7197">
            <v>31102192</v>
          </cell>
          <cell r="F7197">
            <v>31102192</v>
          </cell>
          <cell r="G7197">
            <v>31102192</v>
          </cell>
          <cell r="H7197">
            <v>31102192</v>
          </cell>
          <cell r="I7197" t="str">
            <v/>
          </cell>
          <cell r="J7197" t="str">
            <v/>
          </cell>
          <cell r="K7197" t="str">
            <v/>
          </cell>
          <cell r="L7197" t="str">
            <v/>
          </cell>
          <cell r="M7197" t="str">
            <v/>
          </cell>
        </row>
        <row r="7198">
          <cell r="A7198">
            <v>31102192</v>
          </cell>
          <cell r="C7198">
            <v>31102192</v>
          </cell>
          <cell r="D7198">
            <v>31102192</v>
          </cell>
          <cell r="E7198">
            <v>31102192</v>
          </cell>
          <cell r="F7198">
            <v>31102192</v>
          </cell>
          <cell r="G7198">
            <v>31102192</v>
          </cell>
          <cell r="H7198">
            <v>31102192</v>
          </cell>
          <cell r="I7198" t="str">
            <v/>
          </cell>
          <cell r="J7198" t="str">
            <v/>
          </cell>
          <cell r="K7198" t="str">
            <v/>
          </cell>
          <cell r="L7198" t="str">
            <v/>
          </cell>
          <cell r="M7198" t="str">
            <v/>
          </cell>
        </row>
        <row r="7199">
          <cell r="A7199">
            <v>31102192</v>
          </cell>
          <cell r="C7199">
            <v>31102192</v>
          </cell>
          <cell r="D7199">
            <v>31102192</v>
          </cell>
          <cell r="E7199">
            <v>31102192</v>
          </cell>
          <cell r="F7199">
            <v>31102192</v>
          </cell>
          <cell r="G7199">
            <v>31102192</v>
          </cell>
          <cell r="H7199">
            <v>31102192</v>
          </cell>
          <cell r="I7199" t="str">
            <v/>
          </cell>
          <cell r="J7199" t="str">
            <v/>
          </cell>
          <cell r="K7199" t="str">
            <v/>
          </cell>
          <cell r="L7199" t="str">
            <v/>
          </cell>
          <cell r="M7199" t="str">
            <v/>
          </cell>
        </row>
        <row r="7200">
          <cell r="A7200">
            <v>31102192</v>
          </cell>
          <cell r="C7200">
            <v>31102192</v>
          </cell>
          <cell r="D7200">
            <v>31102192</v>
          </cell>
          <cell r="E7200">
            <v>31102192</v>
          </cell>
          <cell r="F7200">
            <v>31102192</v>
          </cell>
          <cell r="G7200">
            <v>31102192</v>
          </cell>
          <cell r="H7200">
            <v>31102192</v>
          </cell>
          <cell r="I7200" t="str">
            <v/>
          </cell>
          <cell r="J7200" t="str">
            <v/>
          </cell>
          <cell r="K7200" t="str">
            <v/>
          </cell>
          <cell r="L7200" t="str">
            <v/>
          </cell>
          <cell r="M7200" t="str">
            <v/>
          </cell>
        </row>
        <row r="7201">
          <cell r="A7201">
            <v>31102192</v>
          </cell>
          <cell r="C7201">
            <v>31102192</v>
          </cell>
          <cell r="D7201">
            <v>31102192</v>
          </cell>
          <cell r="E7201">
            <v>31102192</v>
          </cell>
          <cell r="F7201">
            <v>31102192</v>
          </cell>
          <cell r="G7201">
            <v>31102192</v>
          </cell>
          <cell r="H7201">
            <v>31102192</v>
          </cell>
          <cell r="I7201" t="str">
            <v/>
          </cell>
          <cell r="J7201" t="str">
            <v/>
          </cell>
          <cell r="K7201" t="str">
            <v/>
          </cell>
          <cell r="L7201" t="str">
            <v/>
          </cell>
          <cell r="M7201" t="str">
            <v/>
          </cell>
        </row>
        <row r="7202">
          <cell r="A7202">
            <v>31102192</v>
          </cell>
          <cell r="C7202">
            <v>31102192</v>
          </cell>
          <cell r="D7202">
            <v>31102192</v>
          </cell>
          <cell r="E7202">
            <v>31102192</v>
          </cell>
          <cell r="F7202">
            <v>31102192</v>
          </cell>
          <cell r="G7202">
            <v>31102192</v>
          </cell>
          <cell r="H7202">
            <v>31102192</v>
          </cell>
          <cell r="I7202" t="str">
            <v/>
          </cell>
          <cell r="J7202" t="str">
            <v/>
          </cell>
          <cell r="K7202" t="str">
            <v/>
          </cell>
          <cell r="L7202" t="str">
            <v/>
          </cell>
          <cell r="M7202" t="str">
            <v/>
          </cell>
        </row>
        <row r="7203">
          <cell r="A7203">
            <v>31102192</v>
          </cell>
          <cell r="C7203">
            <v>31102192</v>
          </cell>
          <cell r="D7203">
            <v>31102192</v>
          </cell>
          <cell r="E7203">
            <v>31102192</v>
          </cell>
          <cell r="F7203">
            <v>31102192</v>
          </cell>
          <cell r="G7203">
            <v>31102192</v>
          </cell>
          <cell r="H7203">
            <v>31102192</v>
          </cell>
          <cell r="I7203" t="str">
            <v/>
          </cell>
          <cell r="J7203" t="str">
            <v/>
          </cell>
          <cell r="K7203" t="str">
            <v/>
          </cell>
          <cell r="L7203" t="str">
            <v/>
          </cell>
          <cell r="M7203" t="str">
            <v/>
          </cell>
        </row>
        <row r="7204">
          <cell r="A7204">
            <v>31102192</v>
          </cell>
          <cell r="C7204">
            <v>31102192</v>
          </cell>
          <cell r="D7204">
            <v>31102192</v>
          </cell>
          <cell r="E7204">
            <v>31102192</v>
          </cell>
          <cell r="F7204">
            <v>31102192</v>
          </cell>
          <cell r="G7204">
            <v>31102192</v>
          </cell>
          <cell r="H7204">
            <v>31102192</v>
          </cell>
          <cell r="I7204" t="str">
            <v/>
          </cell>
          <cell r="J7204" t="str">
            <v/>
          </cell>
          <cell r="K7204" t="str">
            <v/>
          </cell>
          <cell r="L7204" t="str">
            <v/>
          </cell>
          <cell r="M7204" t="str">
            <v/>
          </cell>
        </row>
        <row r="7205">
          <cell r="A7205">
            <v>31102192</v>
          </cell>
          <cell r="C7205">
            <v>31102192</v>
          </cell>
          <cell r="D7205">
            <v>31102192</v>
          </cell>
          <cell r="E7205">
            <v>31102192</v>
          </cell>
          <cell r="F7205">
            <v>31102192</v>
          </cell>
          <cell r="G7205">
            <v>31102192</v>
          </cell>
          <cell r="H7205">
            <v>31102192</v>
          </cell>
          <cell r="I7205" t="str">
            <v/>
          </cell>
          <cell r="J7205" t="str">
            <v/>
          </cell>
          <cell r="K7205" t="str">
            <v/>
          </cell>
          <cell r="L7205" t="str">
            <v/>
          </cell>
          <cell r="M7205" t="str">
            <v/>
          </cell>
        </row>
        <row r="7206">
          <cell r="A7206">
            <v>31102192</v>
          </cell>
          <cell r="C7206">
            <v>31102192</v>
          </cell>
          <cell r="D7206">
            <v>31102192</v>
          </cell>
          <cell r="E7206">
            <v>31102192</v>
          </cell>
          <cell r="F7206">
            <v>31102192</v>
          </cell>
          <cell r="G7206">
            <v>31102192</v>
          </cell>
          <cell r="H7206">
            <v>31102192</v>
          </cell>
          <cell r="I7206" t="str">
            <v/>
          </cell>
          <cell r="J7206" t="str">
            <v/>
          </cell>
          <cell r="K7206" t="str">
            <v/>
          </cell>
          <cell r="L7206" t="str">
            <v/>
          </cell>
          <cell r="M7206" t="str">
            <v/>
          </cell>
        </row>
        <row r="7207">
          <cell r="A7207">
            <v>31102192</v>
          </cell>
          <cell r="C7207">
            <v>31102192</v>
          </cell>
          <cell r="D7207">
            <v>31102192</v>
          </cell>
          <cell r="E7207">
            <v>31102192</v>
          </cell>
          <cell r="F7207">
            <v>31102192</v>
          </cell>
          <cell r="G7207">
            <v>31102192</v>
          </cell>
          <cell r="H7207">
            <v>31102192</v>
          </cell>
          <cell r="I7207" t="str">
            <v/>
          </cell>
          <cell r="J7207" t="str">
            <v/>
          </cell>
          <cell r="K7207" t="str">
            <v/>
          </cell>
          <cell r="L7207" t="str">
            <v/>
          </cell>
          <cell r="M7207" t="str">
            <v/>
          </cell>
        </row>
        <row r="7208">
          <cell r="A7208">
            <v>31102192</v>
          </cell>
          <cell r="C7208">
            <v>31102192</v>
          </cell>
          <cell r="D7208">
            <v>31102192</v>
          </cell>
          <cell r="E7208">
            <v>31102192</v>
          </cell>
          <cell r="F7208">
            <v>31102192</v>
          </cell>
          <cell r="G7208">
            <v>31102192</v>
          </cell>
          <cell r="H7208">
            <v>31102192</v>
          </cell>
          <cell r="I7208" t="str">
            <v/>
          </cell>
          <cell r="J7208" t="str">
            <v/>
          </cell>
          <cell r="K7208" t="str">
            <v/>
          </cell>
          <cell r="L7208" t="str">
            <v/>
          </cell>
          <cell r="M7208" t="str">
            <v/>
          </cell>
        </row>
        <row r="7209">
          <cell r="A7209">
            <v>31102192</v>
          </cell>
          <cell r="C7209">
            <v>31102192</v>
          </cell>
          <cell r="D7209">
            <v>31102192</v>
          </cell>
          <cell r="E7209">
            <v>31102192</v>
          </cell>
          <cell r="F7209">
            <v>31102192</v>
          </cell>
          <cell r="G7209">
            <v>31102192</v>
          </cell>
          <cell r="H7209">
            <v>31102192</v>
          </cell>
          <cell r="I7209" t="str">
            <v/>
          </cell>
          <cell r="J7209" t="str">
            <v/>
          </cell>
          <cell r="K7209" t="str">
            <v/>
          </cell>
          <cell r="L7209" t="str">
            <v/>
          </cell>
          <cell r="M7209" t="str">
            <v/>
          </cell>
        </row>
        <row r="7210">
          <cell r="A7210">
            <v>31102192</v>
          </cell>
          <cell r="C7210">
            <v>31102192</v>
          </cell>
          <cell r="D7210">
            <v>31102192</v>
          </cell>
          <cell r="E7210">
            <v>31102192</v>
          </cell>
          <cell r="F7210">
            <v>31102192</v>
          </cell>
          <cell r="G7210">
            <v>31102192</v>
          </cell>
          <cell r="H7210">
            <v>31102192</v>
          </cell>
          <cell r="I7210" t="str">
            <v/>
          </cell>
          <cell r="J7210" t="str">
            <v/>
          </cell>
          <cell r="K7210" t="str">
            <v/>
          </cell>
          <cell r="L7210" t="str">
            <v/>
          </cell>
          <cell r="M7210" t="str">
            <v/>
          </cell>
        </row>
        <row r="7211">
          <cell r="A7211">
            <v>31102192</v>
          </cell>
          <cell r="C7211">
            <v>31102192</v>
          </cell>
          <cell r="D7211">
            <v>31102192</v>
          </cell>
          <cell r="E7211">
            <v>31102192</v>
          </cell>
          <cell r="F7211">
            <v>31102192</v>
          </cell>
          <cell r="G7211">
            <v>31102192</v>
          </cell>
          <cell r="H7211">
            <v>31102192</v>
          </cell>
          <cell r="I7211" t="str">
            <v/>
          </cell>
          <cell r="J7211" t="str">
            <v/>
          </cell>
          <cell r="K7211" t="str">
            <v/>
          </cell>
          <cell r="L7211" t="str">
            <v/>
          </cell>
          <cell r="M7211" t="str">
            <v/>
          </cell>
        </row>
        <row r="7212">
          <cell r="A7212">
            <v>31102192</v>
          </cell>
          <cell r="C7212">
            <v>31102192</v>
          </cell>
          <cell r="D7212">
            <v>31102192</v>
          </cell>
          <cell r="E7212">
            <v>31102192</v>
          </cell>
          <cell r="F7212">
            <v>31102192</v>
          </cell>
          <cell r="G7212">
            <v>31102192</v>
          </cell>
          <cell r="H7212">
            <v>31102192</v>
          </cell>
          <cell r="I7212" t="str">
            <v/>
          </cell>
          <cell r="J7212" t="str">
            <v/>
          </cell>
          <cell r="K7212" t="str">
            <v/>
          </cell>
          <cell r="L7212" t="str">
            <v/>
          </cell>
          <cell r="M7212" t="str">
            <v/>
          </cell>
        </row>
        <row r="7213">
          <cell r="A7213">
            <v>31102192</v>
          </cell>
          <cell r="C7213">
            <v>31102192</v>
          </cell>
          <cell r="D7213">
            <v>31102192</v>
          </cell>
          <cell r="E7213">
            <v>31102192</v>
          </cell>
          <cell r="F7213">
            <v>31102192</v>
          </cell>
          <cell r="G7213">
            <v>31102192</v>
          </cell>
          <cell r="H7213">
            <v>31102192</v>
          </cell>
          <cell r="I7213" t="str">
            <v/>
          </cell>
          <cell r="J7213" t="str">
            <v/>
          </cell>
          <cell r="K7213" t="str">
            <v/>
          </cell>
          <cell r="L7213" t="str">
            <v/>
          </cell>
          <cell r="M7213" t="str">
            <v/>
          </cell>
        </row>
        <row r="7214">
          <cell r="A7214">
            <v>31102192</v>
          </cell>
          <cell r="C7214">
            <v>31102192</v>
          </cell>
          <cell r="D7214">
            <v>31102192</v>
          </cell>
          <cell r="E7214">
            <v>31102192</v>
          </cell>
          <cell r="F7214">
            <v>31102192</v>
          </cell>
          <cell r="G7214">
            <v>31102192</v>
          </cell>
          <cell r="H7214">
            <v>31102192</v>
          </cell>
          <cell r="I7214" t="str">
            <v/>
          </cell>
          <cell r="J7214" t="str">
            <v/>
          </cell>
          <cell r="K7214" t="str">
            <v/>
          </cell>
          <cell r="L7214" t="str">
            <v/>
          </cell>
          <cell r="M7214" t="str">
            <v/>
          </cell>
        </row>
        <row r="7215">
          <cell r="A7215">
            <v>31102192</v>
          </cell>
          <cell r="C7215">
            <v>31102192</v>
          </cell>
          <cell r="D7215">
            <v>31102192</v>
          </cell>
          <cell r="E7215">
            <v>31102192</v>
          </cell>
          <cell r="F7215">
            <v>31102192</v>
          </cell>
          <cell r="G7215">
            <v>31102192</v>
          </cell>
          <cell r="H7215">
            <v>31102192</v>
          </cell>
          <cell r="I7215" t="str">
            <v/>
          </cell>
          <cell r="J7215" t="str">
            <v/>
          </cell>
          <cell r="K7215" t="str">
            <v/>
          </cell>
          <cell r="L7215" t="str">
            <v/>
          </cell>
          <cell r="M7215" t="str">
            <v/>
          </cell>
        </row>
        <row r="7216">
          <cell r="A7216">
            <v>31102192</v>
          </cell>
          <cell r="C7216">
            <v>31102192</v>
          </cell>
          <cell r="D7216">
            <v>31102192</v>
          </cell>
          <cell r="E7216">
            <v>31102192</v>
          </cell>
          <cell r="F7216">
            <v>31102192</v>
          </cell>
          <cell r="G7216">
            <v>31102192</v>
          </cell>
          <cell r="H7216">
            <v>31102192</v>
          </cell>
          <cell r="I7216" t="str">
            <v/>
          </cell>
          <cell r="J7216" t="str">
            <v/>
          </cell>
          <cell r="K7216" t="str">
            <v/>
          </cell>
          <cell r="L7216" t="str">
            <v/>
          </cell>
          <cell r="M7216" t="str">
            <v/>
          </cell>
        </row>
        <row r="7217">
          <cell r="A7217">
            <v>31102192</v>
          </cell>
          <cell r="C7217">
            <v>31102192</v>
          </cell>
          <cell r="D7217">
            <v>31102192</v>
          </cell>
          <cell r="E7217">
            <v>31102192</v>
          </cell>
          <cell r="F7217">
            <v>31102192</v>
          </cell>
          <cell r="G7217">
            <v>31102192</v>
          </cell>
          <cell r="H7217">
            <v>31102192</v>
          </cell>
          <cell r="I7217" t="str">
            <v/>
          </cell>
          <cell r="J7217" t="str">
            <v/>
          </cell>
          <cell r="K7217" t="str">
            <v/>
          </cell>
          <cell r="L7217" t="str">
            <v/>
          </cell>
          <cell r="M7217" t="str">
            <v/>
          </cell>
        </row>
        <row r="7218">
          <cell r="A7218">
            <v>31102192</v>
          </cell>
          <cell r="C7218">
            <v>31102192</v>
          </cell>
          <cell r="D7218">
            <v>31102192</v>
          </cell>
          <cell r="E7218">
            <v>31102192</v>
          </cell>
          <cell r="F7218">
            <v>31102192</v>
          </cell>
          <cell r="G7218">
            <v>31102192</v>
          </cell>
          <cell r="H7218">
            <v>31102192</v>
          </cell>
          <cell r="I7218" t="str">
            <v/>
          </cell>
          <cell r="J7218" t="str">
            <v/>
          </cell>
          <cell r="K7218" t="str">
            <v/>
          </cell>
          <cell r="L7218" t="str">
            <v/>
          </cell>
          <cell r="M7218" t="str">
            <v/>
          </cell>
        </row>
        <row r="7219">
          <cell r="A7219">
            <v>31102192</v>
          </cell>
          <cell r="C7219">
            <v>31102192</v>
          </cell>
          <cell r="D7219">
            <v>31102192</v>
          </cell>
          <cell r="E7219">
            <v>31102192</v>
          </cell>
          <cell r="F7219">
            <v>31102192</v>
          </cell>
          <cell r="G7219">
            <v>31102192</v>
          </cell>
          <cell r="H7219">
            <v>31102192</v>
          </cell>
          <cell r="I7219" t="str">
            <v/>
          </cell>
          <cell r="J7219" t="str">
            <v/>
          </cell>
          <cell r="K7219" t="str">
            <v/>
          </cell>
          <cell r="L7219" t="str">
            <v/>
          </cell>
          <cell r="M7219" t="str">
            <v/>
          </cell>
        </row>
        <row r="7220">
          <cell r="A7220">
            <v>31102192</v>
          </cell>
          <cell r="C7220">
            <v>31102192</v>
          </cell>
          <cell r="D7220">
            <v>31102192</v>
          </cell>
          <cell r="E7220">
            <v>31102192</v>
          </cell>
          <cell r="F7220">
            <v>31102192</v>
          </cell>
          <cell r="G7220">
            <v>31102192</v>
          </cell>
          <cell r="H7220">
            <v>31102192</v>
          </cell>
          <cell r="I7220" t="str">
            <v/>
          </cell>
          <cell r="J7220" t="str">
            <v/>
          </cell>
          <cell r="K7220" t="str">
            <v/>
          </cell>
          <cell r="L7220" t="str">
            <v/>
          </cell>
          <cell r="M7220" t="str">
            <v/>
          </cell>
        </row>
        <row r="7221">
          <cell r="A7221">
            <v>31102192</v>
          </cell>
          <cell r="C7221">
            <v>31102192</v>
          </cell>
          <cell r="D7221">
            <v>31102192</v>
          </cell>
          <cell r="E7221">
            <v>31102192</v>
          </cell>
          <cell r="F7221">
            <v>31102192</v>
          </cell>
          <cell r="G7221">
            <v>31102192</v>
          </cell>
          <cell r="H7221">
            <v>31102192</v>
          </cell>
          <cell r="I7221" t="str">
            <v/>
          </cell>
          <cell r="J7221" t="str">
            <v/>
          </cell>
          <cell r="K7221" t="str">
            <v/>
          </cell>
          <cell r="L7221" t="str">
            <v/>
          </cell>
          <cell r="M7221" t="str">
            <v/>
          </cell>
        </row>
        <row r="7222">
          <cell r="A7222">
            <v>31102192</v>
          </cell>
          <cell r="C7222">
            <v>31102192</v>
          </cell>
          <cell r="D7222">
            <v>31102192</v>
          </cell>
          <cell r="E7222">
            <v>31102192</v>
          </cell>
          <cell r="F7222">
            <v>31102192</v>
          </cell>
          <cell r="G7222">
            <v>31102192</v>
          </cell>
          <cell r="H7222">
            <v>31102192</v>
          </cell>
          <cell r="I7222" t="str">
            <v/>
          </cell>
          <cell r="J7222" t="str">
            <v/>
          </cell>
          <cell r="K7222" t="str">
            <v/>
          </cell>
          <cell r="L7222" t="str">
            <v/>
          </cell>
          <cell r="M7222" t="str">
            <v/>
          </cell>
        </row>
        <row r="7223">
          <cell r="A7223">
            <v>31102192</v>
          </cell>
          <cell r="C7223">
            <v>31102192</v>
          </cell>
          <cell r="D7223">
            <v>31102192</v>
          </cell>
          <cell r="E7223">
            <v>31102192</v>
          </cell>
          <cell r="F7223">
            <v>31102192</v>
          </cell>
          <cell r="G7223">
            <v>31102192</v>
          </cell>
          <cell r="H7223">
            <v>31102192</v>
          </cell>
          <cell r="I7223" t="str">
            <v/>
          </cell>
          <cell r="J7223" t="str">
            <v/>
          </cell>
          <cell r="K7223" t="str">
            <v/>
          </cell>
          <cell r="L7223" t="str">
            <v/>
          </cell>
          <cell r="M7223" t="str">
            <v/>
          </cell>
        </row>
        <row r="7224">
          <cell r="A7224">
            <v>31102192</v>
          </cell>
          <cell r="C7224">
            <v>31102192</v>
          </cell>
          <cell r="D7224">
            <v>31102192</v>
          </cell>
          <cell r="E7224">
            <v>31102192</v>
          </cell>
          <cell r="F7224">
            <v>31102192</v>
          </cell>
          <cell r="G7224">
            <v>31102192</v>
          </cell>
          <cell r="H7224">
            <v>31102192</v>
          </cell>
          <cell r="I7224" t="str">
            <v/>
          </cell>
          <cell r="J7224" t="str">
            <v/>
          </cell>
          <cell r="K7224" t="str">
            <v/>
          </cell>
          <cell r="L7224" t="str">
            <v/>
          </cell>
          <cell r="M7224" t="str">
            <v/>
          </cell>
        </row>
        <row r="7225">
          <cell r="A7225">
            <v>31102192</v>
          </cell>
          <cell r="C7225">
            <v>31102192</v>
          </cell>
          <cell r="D7225">
            <v>31102192</v>
          </cell>
          <cell r="E7225">
            <v>31102192</v>
          </cell>
          <cell r="F7225">
            <v>31102192</v>
          </cell>
          <cell r="G7225">
            <v>31102192</v>
          </cell>
          <cell r="H7225">
            <v>31102192</v>
          </cell>
          <cell r="I7225" t="str">
            <v/>
          </cell>
          <cell r="J7225" t="str">
            <v/>
          </cell>
          <cell r="K7225" t="str">
            <v/>
          </cell>
          <cell r="L7225" t="str">
            <v/>
          </cell>
          <cell r="M7225" t="str">
            <v/>
          </cell>
        </row>
        <row r="7226">
          <cell r="A7226">
            <v>31102192</v>
          </cell>
          <cell r="C7226">
            <v>31102192</v>
          </cell>
          <cell r="D7226">
            <v>31102192</v>
          </cell>
          <cell r="E7226">
            <v>31102192</v>
          </cell>
          <cell r="F7226">
            <v>31102192</v>
          </cell>
          <cell r="G7226">
            <v>31102192</v>
          </cell>
          <cell r="H7226">
            <v>31102192</v>
          </cell>
          <cell r="I7226" t="str">
            <v/>
          </cell>
          <cell r="J7226" t="str">
            <v/>
          </cell>
          <cell r="K7226" t="str">
            <v/>
          </cell>
          <cell r="L7226" t="str">
            <v/>
          </cell>
          <cell r="M7226" t="str">
            <v/>
          </cell>
        </row>
        <row r="7227">
          <cell r="A7227">
            <v>31102192</v>
          </cell>
          <cell r="C7227">
            <v>31102192</v>
          </cell>
          <cell r="D7227">
            <v>31102192</v>
          </cell>
          <cell r="E7227">
            <v>31102192</v>
          </cell>
          <cell r="F7227">
            <v>31102192</v>
          </cell>
          <cell r="G7227">
            <v>31102192</v>
          </cell>
          <cell r="H7227">
            <v>31102192</v>
          </cell>
          <cell r="I7227" t="str">
            <v/>
          </cell>
          <cell r="J7227" t="str">
            <v/>
          </cell>
          <cell r="K7227" t="str">
            <v/>
          </cell>
          <cell r="L7227" t="str">
            <v/>
          </cell>
          <cell r="M7227" t="str">
            <v/>
          </cell>
        </row>
        <row r="7228">
          <cell r="A7228">
            <v>31102192</v>
          </cell>
          <cell r="C7228">
            <v>31102192</v>
          </cell>
          <cell r="D7228">
            <v>31102192</v>
          </cell>
          <cell r="E7228">
            <v>31102192</v>
          </cell>
          <cell r="F7228">
            <v>31102192</v>
          </cell>
          <cell r="G7228">
            <v>31102192</v>
          </cell>
          <cell r="H7228">
            <v>31102192</v>
          </cell>
          <cell r="I7228" t="str">
            <v/>
          </cell>
          <cell r="J7228" t="str">
            <v/>
          </cell>
          <cell r="K7228" t="str">
            <v/>
          </cell>
          <cell r="L7228" t="str">
            <v/>
          </cell>
          <cell r="M7228" t="str">
            <v/>
          </cell>
        </row>
        <row r="7229">
          <cell r="A7229">
            <v>31102192</v>
          </cell>
          <cell r="C7229">
            <v>31102192</v>
          </cell>
          <cell r="D7229">
            <v>31102192</v>
          </cell>
          <cell r="E7229">
            <v>31102192</v>
          </cell>
          <cell r="F7229">
            <v>31102192</v>
          </cell>
          <cell r="G7229">
            <v>31102192</v>
          </cell>
          <cell r="H7229">
            <v>31102192</v>
          </cell>
          <cell r="I7229" t="str">
            <v/>
          </cell>
          <cell r="J7229" t="str">
            <v/>
          </cell>
          <cell r="K7229" t="str">
            <v/>
          </cell>
          <cell r="L7229" t="str">
            <v/>
          </cell>
          <cell r="M7229" t="str">
            <v/>
          </cell>
        </row>
        <row r="7230">
          <cell r="A7230">
            <v>31102192</v>
          </cell>
          <cell r="C7230">
            <v>31102192</v>
          </cell>
          <cell r="D7230">
            <v>31102192</v>
          </cell>
          <cell r="E7230">
            <v>31102192</v>
          </cell>
          <cell r="F7230">
            <v>31102192</v>
          </cell>
          <cell r="G7230">
            <v>31102192</v>
          </cell>
          <cell r="H7230">
            <v>31102192</v>
          </cell>
          <cell r="I7230" t="str">
            <v/>
          </cell>
          <cell r="J7230" t="str">
            <v/>
          </cell>
          <cell r="K7230" t="str">
            <v/>
          </cell>
          <cell r="L7230" t="str">
            <v/>
          </cell>
          <cell r="M7230" t="str">
            <v/>
          </cell>
        </row>
        <row r="7231">
          <cell r="A7231">
            <v>31102192</v>
          </cell>
          <cell r="C7231">
            <v>31102192</v>
          </cell>
          <cell r="D7231">
            <v>31102192</v>
          </cell>
          <cell r="E7231">
            <v>31102192</v>
          </cell>
          <cell r="F7231">
            <v>31102192</v>
          </cell>
          <cell r="G7231">
            <v>31102192</v>
          </cell>
          <cell r="H7231">
            <v>31102192</v>
          </cell>
          <cell r="I7231" t="str">
            <v/>
          </cell>
          <cell r="J7231" t="str">
            <v/>
          </cell>
          <cell r="K7231" t="str">
            <v/>
          </cell>
          <cell r="L7231" t="str">
            <v/>
          </cell>
          <cell r="M7231" t="str">
            <v/>
          </cell>
        </row>
        <row r="7232">
          <cell r="A7232">
            <v>31102192</v>
          </cell>
          <cell r="C7232">
            <v>31102192</v>
          </cell>
          <cell r="D7232">
            <v>31102192</v>
          </cell>
          <cell r="E7232">
            <v>31102192</v>
          </cell>
          <cell r="F7232">
            <v>31102192</v>
          </cell>
          <cell r="G7232">
            <v>31102192</v>
          </cell>
          <cell r="H7232">
            <v>31102192</v>
          </cell>
          <cell r="I7232" t="str">
            <v/>
          </cell>
          <cell r="J7232" t="str">
            <v/>
          </cell>
          <cell r="K7232" t="str">
            <v/>
          </cell>
          <cell r="L7232" t="str">
            <v/>
          </cell>
          <cell r="M7232" t="str">
            <v/>
          </cell>
        </row>
        <row r="7233">
          <cell r="A7233">
            <v>31102192</v>
          </cell>
          <cell r="C7233">
            <v>31102192</v>
          </cell>
          <cell r="D7233">
            <v>31102192</v>
          </cell>
          <cell r="E7233">
            <v>31102192</v>
          </cell>
          <cell r="F7233">
            <v>31102192</v>
          </cell>
          <cell r="G7233">
            <v>31102192</v>
          </cell>
          <cell r="H7233">
            <v>31102192</v>
          </cell>
          <cell r="I7233" t="str">
            <v/>
          </cell>
          <cell r="J7233" t="str">
            <v/>
          </cell>
          <cell r="K7233" t="str">
            <v/>
          </cell>
          <cell r="L7233" t="str">
            <v/>
          </cell>
          <cell r="M7233" t="str">
            <v/>
          </cell>
        </row>
        <row r="7234">
          <cell r="A7234">
            <v>31102192</v>
          </cell>
          <cell r="C7234">
            <v>31102192</v>
          </cell>
          <cell r="D7234">
            <v>31102192</v>
          </cell>
          <cell r="E7234">
            <v>31102192</v>
          </cell>
          <cell r="F7234">
            <v>31102192</v>
          </cell>
          <cell r="G7234">
            <v>31102192</v>
          </cell>
          <cell r="H7234">
            <v>31102192</v>
          </cell>
          <cell r="I7234" t="str">
            <v/>
          </cell>
          <cell r="J7234" t="str">
            <v/>
          </cell>
          <cell r="K7234" t="str">
            <v/>
          </cell>
          <cell r="L7234" t="str">
            <v/>
          </cell>
          <cell r="M7234" t="str">
            <v/>
          </cell>
        </row>
        <row r="7235">
          <cell r="A7235">
            <v>31102192</v>
          </cell>
          <cell r="C7235">
            <v>31102192</v>
          </cell>
          <cell r="D7235">
            <v>31102192</v>
          </cell>
          <cell r="E7235">
            <v>31102192</v>
          </cell>
          <cell r="F7235">
            <v>31102192</v>
          </cell>
          <cell r="G7235">
            <v>31102192</v>
          </cell>
          <cell r="H7235">
            <v>31102192</v>
          </cell>
          <cell r="I7235" t="str">
            <v/>
          </cell>
          <cell r="J7235" t="str">
            <v/>
          </cell>
          <cell r="K7235" t="str">
            <v/>
          </cell>
          <cell r="L7235" t="str">
            <v/>
          </cell>
          <cell r="M7235" t="str">
            <v/>
          </cell>
        </row>
        <row r="7236">
          <cell r="A7236">
            <v>31102192</v>
          </cell>
          <cell r="C7236">
            <v>31102192</v>
          </cell>
          <cell r="D7236">
            <v>31102192</v>
          </cell>
          <cell r="E7236">
            <v>31102192</v>
          </cell>
          <cell r="F7236">
            <v>31102192</v>
          </cell>
          <cell r="G7236">
            <v>31102192</v>
          </cell>
          <cell r="H7236">
            <v>31102192</v>
          </cell>
          <cell r="I7236" t="str">
            <v/>
          </cell>
          <cell r="J7236" t="str">
            <v/>
          </cell>
          <cell r="K7236" t="str">
            <v/>
          </cell>
          <cell r="L7236" t="str">
            <v/>
          </cell>
          <cell r="M7236" t="str">
            <v/>
          </cell>
        </row>
        <row r="7237">
          <cell r="A7237">
            <v>31102192</v>
          </cell>
          <cell r="C7237">
            <v>31102192</v>
          </cell>
          <cell r="D7237">
            <v>31102192</v>
          </cell>
          <cell r="E7237">
            <v>31102192</v>
          </cell>
          <cell r="F7237">
            <v>31102192</v>
          </cell>
          <cell r="G7237">
            <v>31102192</v>
          </cell>
          <cell r="H7237">
            <v>31102192</v>
          </cell>
          <cell r="I7237" t="str">
            <v/>
          </cell>
          <cell r="J7237" t="str">
            <v/>
          </cell>
          <cell r="K7237" t="str">
            <v/>
          </cell>
          <cell r="L7237" t="str">
            <v/>
          </cell>
          <cell r="M7237" t="str">
            <v/>
          </cell>
        </row>
        <row r="7238">
          <cell r="A7238">
            <v>31102192</v>
          </cell>
          <cell r="C7238">
            <v>31102192</v>
          </cell>
          <cell r="D7238">
            <v>31102192</v>
          </cell>
          <cell r="E7238">
            <v>31102192</v>
          </cell>
          <cell r="F7238">
            <v>31102192</v>
          </cell>
          <cell r="G7238">
            <v>31102192</v>
          </cell>
          <cell r="H7238">
            <v>31102192</v>
          </cell>
          <cell r="I7238" t="str">
            <v/>
          </cell>
          <cell r="J7238" t="str">
            <v/>
          </cell>
          <cell r="K7238" t="str">
            <v/>
          </cell>
          <cell r="L7238" t="str">
            <v/>
          </cell>
          <cell r="M7238" t="str">
            <v/>
          </cell>
        </row>
        <row r="7239">
          <cell r="A7239">
            <v>31102192</v>
          </cell>
          <cell r="C7239">
            <v>31102192</v>
          </cell>
          <cell r="D7239">
            <v>31102192</v>
          </cell>
          <cell r="E7239">
            <v>31102192</v>
          </cell>
          <cell r="F7239">
            <v>31102192</v>
          </cell>
          <cell r="G7239">
            <v>31102192</v>
          </cell>
          <cell r="H7239">
            <v>31102192</v>
          </cell>
          <cell r="I7239" t="str">
            <v/>
          </cell>
          <cell r="J7239" t="str">
            <v/>
          </cell>
          <cell r="K7239" t="str">
            <v/>
          </cell>
          <cell r="L7239" t="str">
            <v/>
          </cell>
          <cell r="M7239" t="str">
            <v/>
          </cell>
        </row>
        <row r="7240">
          <cell r="A7240">
            <v>31102192</v>
          </cell>
          <cell r="C7240">
            <v>31102192</v>
          </cell>
          <cell r="D7240">
            <v>31102192</v>
          </cell>
          <cell r="E7240">
            <v>31102192</v>
          </cell>
          <cell r="F7240">
            <v>31102192</v>
          </cell>
          <cell r="G7240">
            <v>31102192</v>
          </cell>
          <cell r="H7240">
            <v>31102192</v>
          </cell>
          <cell r="I7240" t="str">
            <v/>
          </cell>
          <cell r="J7240" t="str">
            <v/>
          </cell>
          <cell r="K7240" t="str">
            <v/>
          </cell>
          <cell r="L7240" t="str">
            <v/>
          </cell>
          <cell r="M7240" t="str">
            <v/>
          </cell>
        </row>
        <row r="7241">
          <cell r="A7241">
            <v>31102192</v>
          </cell>
          <cell r="C7241">
            <v>31102192</v>
          </cell>
          <cell r="D7241">
            <v>31102192</v>
          </cell>
          <cell r="E7241">
            <v>31102192</v>
          </cell>
          <cell r="F7241">
            <v>31102192</v>
          </cell>
          <cell r="G7241">
            <v>31102192</v>
          </cell>
          <cell r="H7241">
            <v>31102192</v>
          </cell>
          <cell r="I7241" t="str">
            <v/>
          </cell>
          <cell r="J7241" t="str">
            <v/>
          </cell>
          <cell r="K7241" t="str">
            <v/>
          </cell>
          <cell r="L7241" t="str">
            <v/>
          </cell>
          <cell r="M7241" t="str">
            <v/>
          </cell>
        </row>
        <row r="7242">
          <cell r="A7242">
            <v>31102192</v>
          </cell>
          <cell r="C7242">
            <v>31102192</v>
          </cell>
          <cell r="D7242">
            <v>31102192</v>
          </cell>
          <cell r="E7242">
            <v>31102192</v>
          </cell>
          <cell r="F7242">
            <v>31102192</v>
          </cell>
          <cell r="G7242">
            <v>31102192</v>
          </cell>
          <cell r="H7242">
            <v>31102192</v>
          </cell>
          <cell r="I7242" t="str">
            <v/>
          </cell>
          <cell r="J7242" t="str">
            <v/>
          </cell>
          <cell r="K7242" t="str">
            <v/>
          </cell>
          <cell r="L7242" t="str">
            <v/>
          </cell>
          <cell r="M7242" t="str">
            <v/>
          </cell>
        </row>
        <row r="7243">
          <cell r="A7243">
            <v>31102192</v>
          </cell>
          <cell r="C7243">
            <v>31102192</v>
          </cell>
          <cell r="D7243">
            <v>31102192</v>
          </cell>
          <cell r="E7243">
            <v>31102192</v>
          </cell>
          <cell r="F7243">
            <v>31102192</v>
          </cell>
          <cell r="G7243">
            <v>31102192</v>
          </cell>
          <cell r="H7243">
            <v>31102192</v>
          </cell>
          <cell r="I7243" t="str">
            <v/>
          </cell>
          <cell r="J7243" t="str">
            <v/>
          </cell>
          <cell r="K7243" t="str">
            <v/>
          </cell>
          <cell r="L7243" t="str">
            <v/>
          </cell>
          <cell r="M7243" t="str">
            <v/>
          </cell>
        </row>
        <row r="7244">
          <cell r="A7244">
            <v>31102192</v>
          </cell>
          <cell r="C7244">
            <v>31102192</v>
          </cell>
          <cell r="D7244">
            <v>31102192</v>
          </cell>
          <cell r="E7244">
            <v>31102192</v>
          </cell>
          <cell r="F7244">
            <v>31102192</v>
          </cell>
          <cell r="G7244">
            <v>31102192</v>
          </cell>
          <cell r="H7244">
            <v>31102192</v>
          </cell>
          <cell r="I7244" t="str">
            <v/>
          </cell>
          <cell r="J7244" t="str">
            <v/>
          </cell>
          <cell r="K7244" t="str">
            <v/>
          </cell>
          <cell r="L7244" t="str">
            <v/>
          </cell>
          <cell r="M7244" t="str">
            <v/>
          </cell>
        </row>
        <row r="7245">
          <cell r="A7245">
            <v>31102192</v>
          </cell>
          <cell r="C7245">
            <v>31102192</v>
          </cell>
          <cell r="D7245">
            <v>31102192</v>
          </cell>
          <cell r="E7245">
            <v>31102192</v>
          </cell>
          <cell r="F7245">
            <v>31102192</v>
          </cell>
          <cell r="G7245">
            <v>31102192</v>
          </cell>
          <cell r="H7245">
            <v>31102192</v>
          </cell>
          <cell r="I7245" t="str">
            <v/>
          </cell>
          <cell r="J7245" t="str">
            <v/>
          </cell>
          <cell r="K7245" t="str">
            <v/>
          </cell>
          <cell r="L7245" t="str">
            <v/>
          </cell>
          <cell r="M7245" t="str">
            <v/>
          </cell>
        </row>
        <row r="7246">
          <cell r="A7246">
            <v>31102192</v>
          </cell>
          <cell r="C7246">
            <v>31102192</v>
          </cell>
          <cell r="D7246">
            <v>31102192</v>
          </cell>
          <cell r="E7246">
            <v>31102192</v>
          </cell>
          <cell r="F7246">
            <v>31102192</v>
          </cell>
          <cell r="G7246">
            <v>31102192</v>
          </cell>
          <cell r="H7246">
            <v>31102192</v>
          </cell>
          <cell r="I7246" t="str">
            <v/>
          </cell>
          <cell r="J7246" t="str">
            <v/>
          </cell>
          <cell r="K7246" t="str">
            <v/>
          </cell>
          <cell r="L7246" t="str">
            <v/>
          </cell>
          <cell r="M7246" t="str">
            <v/>
          </cell>
        </row>
        <row r="7247">
          <cell r="A7247">
            <v>31102192</v>
          </cell>
          <cell r="C7247">
            <v>31102192</v>
          </cell>
          <cell r="D7247">
            <v>31102192</v>
          </cell>
          <cell r="E7247">
            <v>31102192</v>
          </cell>
          <cell r="F7247">
            <v>31102192</v>
          </cell>
          <cell r="G7247">
            <v>31102192</v>
          </cell>
          <cell r="H7247">
            <v>31102192</v>
          </cell>
          <cell r="I7247" t="str">
            <v/>
          </cell>
          <cell r="J7247" t="str">
            <v/>
          </cell>
          <cell r="K7247" t="str">
            <v/>
          </cell>
          <cell r="L7247" t="str">
            <v/>
          </cell>
          <cell r="M7247" t="str">
            <v/>
          </cell>
        </row>
        <row r="7248">
          <cell r="A7248">
            <v>31102192</v>
          </cell>
          <cell r="C7248">
            <v>31102192</v>
          </cell>
          <cell r="D7248">
            <v>31102192</v>
          </cell>
          <cell r="E7248">
            <v>31102192</v>
          </cell>
          <cell r="F7248">
            <v>31102192</v>
          </cell>
          <cell r="G7248">
            <v>31102192</v>
          </cell>
          <cell r="H7248">
            <v>31102192</v>
          </cell>
          <cell r="I7248" t="str">
            <v/>
          </cell>
          <cell r="J7248" t="str">
            <v/>
          </cell>
          <cell r="K7248" t="str">
            <v/>
          </cell>
          <cell r="L7248" t="str">
            <v/>
          </cell>
          <cell r="M7248" t="str">
            <v/>
          </cell>
        </row>
        <row r="7249">
          <cell r="A7249">
            <v>31102192</v>
          </cell>
          <cell r="C7249">
            <v>31102192</v>
          </cell>
          <cell r="D7249">
            <v>31102192</v>
          </cell>
          <cell r="E7249">
            <v>31102192</v>
          </cell>
          <cell r="F7249">
            <v>31102192</v>
          </cell>
          <cell r="G7249">
            <v>31102192</v>
          </cell>
          <cell r="H7249">
            <v>31102192</v>
          </cell>
          <cell r="I7249" t="str">
            <v/>
          </cell>
          <cell r="J7249" t="str">
            <v/>
          </cell>
          <cell r="K7249" t="str">
            <v/>
          </cell>
          <cell r="L7249" t="str">
            <v/>
          </cell>
          <cell r="M7249" t="str">
            <v/>
          </cell>
        </row>
        <row r="7250">
          <cell r="A7250">
            <v>31102192</v>
          </cell>
          <cell r="C7250">
            <v>31102192</v>
          </cell>
          <cell r="D7250">
            <v>31102192</v>
          </cell>
          <cell r="E7250">
            <v>31102192</v>
          </cell>
          <cell r="F7250">
            <v>31102192</v>
          </cell>
          <cell r="G7250">
            <v>31102192</v>
          </cell>
          <cell r="H7250">
            <v>31102192</v>
          </cell>
          <cell r="I7250" t="str">
            <v/>
          </cell>
          <cell r="J7250" t="str">
            <v/>
          </cell>
          <cell r="K7250" t="str">
            <v/>
          </cell>
          <cell r="L7250" t="str">
            <v/>
          </cell>
          <cell r="M7250" t="str">
            <v/>
          </cell>
        </row>
        <row r="7251">
          <cell r="A7251">
            <v>31102192</v>
          </cell>
          <cell r="C7251">
            <v>31102192</v>
          </cell>
          <cell r="D7251">
            <v>31102192</v>
          </cell>
          <cell r="E7251">
            <v>31102192</v>
          </cell>
          <cell r="F7251">
            <v>31102192</v>
          </cell>
          <cell r="G7251">
            <v>31102192</v>
          </cell>
          <cell r="H7251">
            <v>31102192</v>
          </cell>
          <cell r="I7251" t="str">
            <v/>
          </cell>
          <cell r="J7251" t="str">
            <v/>
          </cell>
          <cell r="K7251" t="str">
            <v/>
          </cell>
          <cell r="L7251" t="str">
            <v/>
          </cell>
          <cell r="M7251" t="str">
            <v/>
          </cell>
        </row>
        <row r="7252">
          <cell r="A7252">
            <v>31102192</v>
          </cell>
          <cell r="C7252">
            <v>31102192</v>
          </cell>
          <cell r="D7252">
            <v>31102192</v>
          </cell>
          <cell r="E7252">
            <v>31102192</v>
          </cell>
          <cell r="F7252">
            <v>31102192</v>
          </cell>
          <cell r="G7252">
            <v>31102192</v>
          </cell>
          <cell r="H7252">
            <v>31102192</v>
          </cell>
          <cell r="I7252" t="str">
            <v/>
          </cell>
          <cell r="J7252" t="str">
            <v/>
          </cell>
          <cell r="K7252" t="str">
            <v/>
          </cell>
          <cell r="L7252" t="str">
            <v/>
          </cell>
          <cell r="M7252" t="str">
            <v/>
          </cell>
        </row>
        <row r="7253">
          <cell r="A7253">
            <v>31102192</v>
          </cell>
          <cell r="C7253">
            <v>31102192</v>
          </cell>
          <cell r="D7253">
            <v>31102192</v>
          </cell>
          <cell r="E7253">
            <v>31102192</v>
          </cell>
          <cell r="F7253">
            <v>31102192</v>
          </cell>
          <cell r="G7253">
            <v>31102192</v>
          </cell>
          <cell r="H7253">
            <v>31102192</v>
          </cell>
          <cell r="I7253" t="str">
            <v/>
          </cell>
          <cell r="J7253" t="str">
            <v/>
          </cell>
          <cell r="K7253" t="str">
            <v/>
          </cell>
          <cell r="L7253" t="str">
            <v/>
          </cell>
          <cell r="M7253" t="str">
            <v/>
          </cell>
        </row>
        <row r="7254">
          <cell r="A7254">
            <v>31102192</v>
          </cell>
          <cell r="C7254">
            <v>31102192</v>
          </cell>
          <cell r="D7254">
            <v>31102192</v>
          </cell>
          <cell r="E7254">
            <v>31102192</v>
          </cell>
          <cell r="F7254">
            <v>31102192</v>
          </cell>
          <cell r="G7254">
            <v>31102192</v>
          </cell>
          <cell r="H7254">
            <v>31102192</v>
          </cell>
          <cell r="I7254" t="str">
            <v/>
          </cell>
          <cell r="J7254" t="str">
            <v/>
          </cell>
          <cell r="K7254" t="str">
            <v/>
          </cell>
          <cell r="L7254" t="str">
            <v/>
          </cell>
          <cell r="M7254" t="str">
            <v/>
          </cell>
        </row>
        <row r="7255">
          <cell r="A7255">
            <v>31102192</v>
          </cell>
          <cell r="C7255">
            <v>31102192</v>
          </cell>
          <cell r="D7255">
            <v>31102192</v>
          </cell>
          <cell r="E7255">
            <v>31102192</v>
          </cell>
          <cell r="F7255">
            <v>31102192</v>
          </cell>
          <cell r="G7255">
            <v>31102192</v>
          </cell>
          <cell r="H7255">
            <v>31102192</v>
          </cell>
          <cell r="I7255" t="str">
            <v/>
          </cell>
          <cell r="J7255" t="str">
            <v/>
          </cell>
          <cell r="K7255" t="str">
            <v/>
          </cell>
          <cell r="L7255" t="str">
            <v/>
          </cell>
          <cell r="M7255" t="str">
            <v/>
          </cell>
        </row>
        <row r="7256">
          <cell r="A7256">
            <v>31102192</v>
          </cell>
          <cell r="C7256">
            <v>31102192</v>
          </cell>
          <cell r="D7256">
            <v>31102192</v>
          </cell>
          <cell r="E7256">
            <v>31102192</v>
          </cell>
          <cell r="F7256">
            <v>31102192</v>
          </cell>
          <cell r="G7256">
            <v>31102192</v>
          </cell>
          <cell r="H7256">
            <v>31102192</v>
          </cell>
          <cell r="I7256" t="str">
            <v/>
          </cell>
          <cell r="J7256" t="str">
            <v/>
          </cell>
          <cell r="K7256" t="str">
            <v/>
          </cell>
          <cell r="L7256" t="str">
            <v/>
          </cell>
          <cell r="M7256" t="str">
            <v/>
          </cell>
        </row>
        <row r="7257">
          <cell r="A7257">
            <v>31102192</v>
          </cell>
          <cell r="C7257">
            <v>31102192</v>
          </cell>
          <cell r="D7257">
            <v>31102192</v>
          </cell>
          <cell r="E7257">
            <v>31102192</v>
          </cell>
          <cell r="F7257">
            <v>31102192</v>
          </cell>
          <cell r="G7257">
            <v>31102192</v>
          </cell>
          <cell r="H7257">
            <v>31102192</v>
          </cell>
          <cell r="I7257" t="str">
            <v/>
          </cell>
          <cell r="J7257" t="str">
            <v/>
          </cell>
          <cell r="K7257" t="str">
            <v/>
          </cell>
          <cell r="L7257" t="str">
            <v/>
          </cell>
          <cell r="M7257" t="str">
            <v/>
          </cell>
        </row>
        <row r="7258">
          <cell r="A7258">
            <v>31102192</v>
          </cell>
          <cell r="C7258">
            <v>31102192</v>
          </cell>
          <cell r="D7258">
            <v>31102192</v>
          </cell>
          <cell r="E7258">
            <v>31102192</v>
          </cell>
          <cell r="F7258">
            <v>31102192</v>
          </cell>
          <cell r="G7258">
            <v>31102192</v>
          </cell>
          <cell r="H7258">
            <v>31102192</v>
          </cell>
          <cell r="I7258" t="str">
            <v/>
          </cell>
          <cell r="J7258" t="str">
            <v/>
          </cell>
          <cell r="K7258" t="str">
            <v/>
          </cell>
          <cell r="L7258" t="str">
            <v/>
          </cell>
          <cell r="M7258" t="str">
            <v/>
          </cell>
        </row>
        <row r="7259">
          <cell r="A7259">
            <v>31102192</v>
          </cell>
          <cell r="C7259">
            <v>31102192</v>
          </cell>
          <cell r="D7259">
            <v>31102192</v>
          </cell>
          <cell r="E7259">
            <v>31102192</v>
          </cell>
          <cell r="F7259">
            <v>31102192</v>
          </cell>
          <cell r="G7259">
            <v>31102192</v>
          </cell>
          <cell r="H7259">
            <v>31102192</v>
          </cell>
          <cell r="I7259" t="str">
            <v/>
          </cell>
          <cell r="J7259" t="str">
            <v/>
          </cell>
          <cell r="K7259" t="str">
            <v/>
          </cell>
          <cell r="L7259" t="str">
            <v/>
          </cell>
          <cell r="M7259" t="str">
            <v/>
          </cell>
        </row>
        <row r="7260">
          <cell r="A7260">
            <v>31102192</v>
          </cell>
          <cell r="C7260">
            <v>31102192</v>
          </cell>
          <cell r="D7260">
            <v>31102192</v>
          </cell>
          <cell r="E7260">
            <v>31102192</v>
          </cell>
          <cell r="F7260">
            <v>31102192</v>
          </cell>
          <cell r="G7260">
            <v>31102192</v>
          </cell>
          <cell r="H7260">
            <v>31102192</v>
          </cell>
          <cell r="I7260" t="str">
            <v/>
          </cell>
          <cell r="J7260" t="str">
            <v/>
          </cell>
          <cell r="K7260" t="str">
            <v/>
          </cell>
          <cell r="L7260" t="str">
            <v/>
          </cell>
          <cell r="M7260" t="str">
            <v/>
          </cell>
        </row>
        <row r="7261">
          <cell r="A7261">
            <v>31102192</v>
          </cell>
          <cell r="C7261">
            <v>31102192</v>
          </cell>
          <cell r="D7261">
            <v>31102192</v>
          </cell>
          <cell r="E7261">
            <v>31102192</v>
          </cell>
          <cell r="F7261">
            <v>31102192</v>
          </cell>
          <cell r="G7261">
            <v>31102192</v>
          </cell>
          <cell r="H7261">
            <v>31102192</v>
          </cell>
          <cell r="I7261" t="str">
            <v/>
          </cell>
          <cell r="J7261" t="str">
            <v/>
          </cell>
          <cell r="K7261" t="str">
            <v/>
          </cell>
          <cell r="L7261" t="str">
            <v/>
          </cell>
          <cell r="M7261" t="str">
            <v/>
          </cell>
        </row>
        <row r="7262">
          <cell r="A7262">
            <v>31102192</v>
          </cell>
          <cell r="C7262">
            <v>31102192</v>
          </cell>
          <cell r="D7262">
            <v>31102192</v>
          </cell>
          <cell r="E7262">
            <v>31102192</v>
          </cell>
          <cell r="F7262">
            <v>31102192</v>
          </cell>
          <cell r="G7262">
            <v>31102192</v>
          </cell>
          <cell r="H7262">
            <v>31102192</v>
          </cell>
          <cell r="I7262" t="str">
            <v/>
          </cell>
          <cell r="J7262" t="str">
            <v/>
          </cell>
          <cell r="K7262" t="str">
            <v/>
          </cell>
          <cell r="L7262" t="str">
            <v/>
          </cell>
          <cell r="M7262" t="str">
            <v/>
          </cell>
        </row>
        <row r="7263">
          <cell r="A7263">
            <v>31102192</v>
          </cell>
          <cell r="C7263">
            <v>31102192</v>
          </cell>
          <cell r="D7263">
            <v>31102192</v>
          </cell>
          <cell r="E7263">
            <v>31102192</v>
          </cell>
          <cell r="F7263">
            <v>31102192</v>
          </cell>
          <cell r="G7263">
            <v>31102192</v>
          </cell>
          <cell r="H7263">
            <v>31102192</v>
          </cell>
          <cell r="I7263" t="str">
            <v/>
          </cell>
          <cell r="J7263" t="str">
            <v/>
          </cell>
          <cell r="K7263" t="str">
            <v/>
          </cell>
          <cell r="L7263" t="str">
            <v/>
          </cell>
          <cell r="M7263" t="str">
            <v/>
          </cell>
        </row>
        <row r="7264">
          <cell r="A7264">
            <v>31102192</v>
          </cell>
          <cell r="C7264">
            <v>31102192</v>
          </cell>
          <cell r="D7264">
            <v>31102192</v>
          </cell>
          <cell r="E7264">
            <v>31102192</v>
          </cell>
          <cell r="F7264">
            <v>31102192</v>
          </cell>
          <cell r="G7264">
            <v>31102192</v>
          </cell>
          <cell r="H7264">
            <v>31102192</v>
          </cell>
          <cell r="I7264" t="str">
            <v/>
          </cell>
          <cell r="J7264" t="str">
            <v/>
          </cell>
          <cell r="K7264" t="str">
            <v/>
          </cell>
          <cell r="L7264" t="str">
            <v/>
          </cell>
          <cell r="M7264" t="str">
            <v/>
          </cell>
        </row>
        <row r="7265">
          <cell r="A7265">
            <v>31102192</v>
          </cell>
          <cell r="C7265">
            <v>31102192</v>
          </cell>
          <cell r="D7265">
            <v>31102192</v>
          </cell>
          <cell r="E7265">
            <v>31102192</v>
          </cell>
          <cell r="F7265">
            <v>31102192</v>
          </cell>
          <cell r="G7265">
            <v>31102192</v>
          </cell>
          <cell r="H7265">
            <v>31102192</v>
          </cell>
          <cell r="I7265" t="str">
            <v/>
          </cell>
          <cell r="J7265" t="str">
            <v/>
          </cell>
          <cell r="K7265" t="str">
            <v/>
          </cell>
          <cell r="L7265" t="str">
            <v/>
          </cell>
          <cell r="M7265" t="str">
            <v/>
          </cell>
        </row>
        <row r="7266">
          <cell r="A7266">
            <v>31102192</v>
          </cell>
          <cell r="C7266">
            <v>31102192</v>
          </cell>
          <cell r="D7266">
            <v>31102192</v>
          </cell>
          <cell r="E7266">
            <v>31102192</v>
          </cell>
          <cell r="F7266">
            <v>31102192</v>
          </cell>
          <cell r="G7266">
            <v>31102192</v>
          </cell>
          <cell r="H7266">
            <v>31102192</v>
          </cell>
          <cell r="I7266" t="str">
            <v/>
          </cell>
          <cell r="J7266" t="str">
            <v/>
          </cell>
          <cell r="K7266" t="str">
            <v/>
          </cell>
          <cell r="L7266" t="str">
            <v/>
          </cell>
          <cell r="M7266" t="str">
            <v/>
          </cell>
        </row>
        <row r="7267">
          <cell r="A7267">
            <v>31102192</v>
          </cell>
          <cell r="C7267">
            <v>31102192</v>
          </cell>
          <cell r="D7267">
            <v>31102192</v>
          </cell>
          <cell r="E7267">
            <v>31102192</v>
          </cell>
          <cell r="F7267">
            <v>31102192</v>
          </cell>
          <cell r="G7267">
            <v>31102192</v>
          </cell>
          <cell r="H7267">
            <v>31102192</v>
          </cell>
          <cell r="I7267" t="str">
            <v/>
          </cell>
          <cell r="J7267" t="str">
            <v/>
          </cell>
          <cell r="K7267" t="str">
            <v/>
          </cell>
          <cell r="L7267" t="str">
            <v/>
          </cell>
          <cell r="M7267" t="str">
            <v/>
          </cell>
        </row>
        <row r="7268">
          <cell r="A7268">
            <v>31102192</v>
          </cell>
          <cell r="C7268">
            <v>31102192</v>
          </cell>
          <cell r="D7268">
            <v>31102192</v>
          </cell>
          <cell r="E7268">
            <v>31102192</v>
          </cell>
          <cell r="F7268">
            <v>31102192</v>
          </cell>
          <cell r="G7268">
            <v>31102192</v>
          </cell>
          <cell r="H7268">
            <v>31102192</v>
          </cell>
          <cell r="I7268" t="str">
            <v/>
          </cell>
          <cell r="J7268" t="str">
            <v/>
          </cell>
          <cell r="K7268" t="str">
            <v/>
          </cell>
          <cell r="L7268" t="str">
            <v/>
          </cell>
          <cell r="M7268" t="str">
            <v/>
          </cell>
        </row>
        <row r="7269">
          <cell r="A7269">
            <v>31102192</v>
          </cell>
          <cell r="C7269">
            <v>31102192</v>
          </cell>
          <cell r="D7269">
            <v>31102192</v>
          </cell>
          <cell r="E7269">
            <v>31102192</v>
          </cell>
          <cell r="F7269">
            <v>31102192</v>
          </cell>
          <cell r="G7269">
            <v>31102192</v>
          </cell>
          <cell r="H7269">
            <v>31102192</v>
          </cell>
          <cell r="I7269" t="str">
            <v/>
          </cell>
          <cell r="J7269" t="str">
            <v/>
          </cell>
          <cell r="K7269" t="str">
            <v/>
          </cell>
          <cell r="L7269" t="str">
            <v/>
          </cell>
          <cell r="M7269" t="str">
            <v/>
          </cell>
        </row>
        <row r="7270">
          <cell r="A7270">
            <v>31102192</v>
          </cell>
          <cell r="C7270">
            <v>31102192</v>
          </cell>
          <cell r="D7270">
            <v>31102192</v>
          </cell>
          <cell r="E7270">
            <v>31102192</v>
          </cell>
          <cell r="F7270">
            <v>31102192</v>
          </cell>
          <cell r="G7270">
            <v>31102192</v>
          </cell>
          <cell r="H7270">
            <v>31102192</v>
          </cell>
          <cell r="I7270" t="str">
            <v/>
          </cell>
          <cell r="J7270" t="str">
            <v/>
          </cell>
          <cell r="K7270" t="str">
            <v/>
          </cell>
          <cell r="L7270" t="str">
            <v/>
          </cell>
          <cell r="M7270" t="str">
            <v/>
          </cell>
        </row>
        <row r="7271">
          <cell r="A7271">
            <v>31102192</v>
          </cell>
          <cell r="C7271">
            <v>31102192</v>
          </cell>
          <cell r="D7271">
            <v>31102192</v>
          </cell>
          <cell r="E7271">
            <v>31102192</v>
          </cell>
          <cell r="F7271">
            <v>31102192</v>
          </cell>
          <cell r="G7271">
            <v>31102192</v>
          </cell>
          <cell r="H7271">
            <v>31102192</v>
          </cell>
          <cell r="I7271" t="str">
            <v/>
          </cell>
          <cell r="J7271" t="str">
            <v/>
          </cell>
          <cell r="K7271" t="str">
            <v/>
          </cell>
          <cell r="L7271" t="str">
            <v/>
          </cell>
          <cell r="M7271" t="str">
            <v/>
          </cell>
        </row>
        <row r="7272">
          <cell r="A7272">
            <v>31102192</v>
          </cell>
          <cell r="C7272">
            <v>31102192</v>
          </cell>
          <cell r="D7272">
            <v>31102192</v>
          </cell>
          <cell r="E7272">
            <v>31102192</v>
          </cell>
          <cell r="F7272">
            <v>31102192</v>
          </cell>
          <cell r="G7272">
            <v>31102192</v>
          </cell>
          <cell r="H7272">
            <v>31102192</v>
          </cell>
          <cell r="I7272" t="str">
            <v/>
          </cell>
          <cell r="J7272" t="str">
            <v/>
          </cell>
          <cell r="K7272" t="str">
            <v/>
          </cell>
          <cell r="L7272" t="str">
            <v/>
          </cell>
          <cell r="M7272" t="str">
            <v/>
          </cell>
        </row>
        <row r="7273">
          <cell r="A7273">
            <v>31102192</v>
          </cell>
          <cell r="C7273">
            <v>31102192</v>
          </cell>
          <cell r="D7273">
            <v>31102192</v>
          </cell>
          <cell r="E7273">
            <v>31102192</v>
          </cell>
          <cell r="F7273">
            <v>31102192</v>
          </cell>
          <cell r="G7273">
            <v>31102192</v>
          </cell>
          <cell r="H7273">
            <v>31102192</v>
          </cell>
          <cell r="I7273" t="str">
            <v/>
          </cell>
          <cell r="J7273" t="str">
            <v/>
          </cell>
          <cell r="K7273" t="str">
            <v/>
          </cell>
          <cell r="L7273" t="str">
            <v/>
          </cell>
          <cell r="M7273" t="str">
            <v/>
          </cell>
        </row>
        <row r="7274">
          <cell r="A7274">
            <v>31102192</v>
          </cell>
          <cell r="C7274">
            <v>31102192</v>
          </cell>
          <cell r="D7274">
            <v>31102192</v>
          </cell>
          <cell r="E7274">
            <v>31102192</v>
          </cell>
          <cell r="F7274">
            <v>31102192</v>
          </cell>
          <cell r="G7274">
            <v>31102192</v>
          </cell>
          <cell r="H7274">
            <v>31102192</v>
          </cell>
          <cell r="I7274" t="str">
            <v/>
          </cell>
          <cell r="J7274" t="str">
            <v/>
          </cell>
          <cell r="K7274" t="str">
            <v/>
          </cell>
          <cell r="L7274" t="str">
            <v/>
          </cell>
          <cell r="M7274" t="str">
            <v/>
          </cell>
        </row>
        <row r="7275">
          <cell r="A7275">
            <v>31102192</v>
          </cell>
          <cell r="C7275">
            <v>31102192</v>
          </cell>
          <cell r="D7275">
            <v>31102192</v>
          </cell>
          <cell r="E7275">
            <v>31102192</v>
          </cell>
          <cell r="F7275">
            <v>31102192</v>
          </cell>
          <cell r="G7275">
            <v>31102192</v>
          </cell>
          <cell r="H7275">
            <v>31102192</v>
          </cell>
          <cell r="I7275" t="str">
            <v/>
          </cell>
          <cell r="J7275" t="str">
            <v/>
          </cell>
          <cell r="K7275" t="str">
            <v/>
          </cell>
          <cell r="L7275" t="str">
            <v/>
          </cell>
          <cell r="M7275" t="str">
            <v/>
          </cell>
        </row>
        <row r="7276">
          <cell r="A7276">
            <v>31102192</v>
          </cell>
          <cell r="C7276">
            <v>31102192</v>
          </cell>
          <cell r="D7276">
            <v>31102192</v>
          </cell>
          <cell r="E7276">
            <v>31102192</v>
          </cell>
          <cell r="F7276">
            <v>31102192</v>
          </cell>
          <cell r="G7276">
            <v>31102192</v>
          </cell>
          <cell r="H7276">
            <v>31102192</v>
          </cell>
          <cell r="I7276" t="str">
            <v/>
          </cell>
          <cell r="J7276" t="str">
            <v/>
          </cell>
          <cell r="K7276" t="str">
            <v/>
          </cell>
          <cell r="L7276" t="str">
            <v/>
          </cell>
          <cell r="M7276" t="str">
            <v/>
          </cell>
        </row>
        <row r="7277">
          <cell r="A7277">
            <v>31102192</v>
          </cell>
          <cell r="C7277">
            <v>31102192</v>
          </cell>
          <cell r="D7277">
            <v>31102192</v>
          </cell>
          <cell r="E7277">
            <v>31102192</v>
          </cell>
          <cell r="F7277">
            <v>31102192</v>
          </cell>
          <cell r="G7277">
            <v>31102192</v>
          </cell>
          <cell r="H7277">
            <v>31102192</v>
          </cell>
          <cell r="I7277" t="str">
            <v/>
          </cell>
          <cell r="J7277" t="str">
            <v/>
          </cell>
          <cell r="K7277" t="str">
            <v/>
          </cell>
          <cell r="L7277" t="str">
            <v/>
          </cell>
          <cell r="M7277" t="str">
            <v/>
          </cell>
        </row>
        <row r="7278">
          <cell r="A7278">
            <v>31102192</v>
          </cell>
          <cell r="C7278">
            <v>31102192</v>
          </cell>
          <cell r="D7278">
            <v>31102192</v>
          </cell>
          <cell r="E7278">
            <v>31102192</v>
          </cell>
          <cell r="F7278">
            <v>31102192</v>
          </cell>
          <cell r="G7278">
            <v>31102192</v>
          </cell>
          <cell r="H7278">
            <v>31102192</v>
          </cell>
          <cell r="I7278" t="str">
            <v/>
          </cell>
          <cell r="J7278" t="str">
            <v/>
          </cell>
          <cell r="K7278" t="str">
            <v/>
          </cell>
          <cell r="L7278" t="str">
            <v/>
          </cell>
          <cell r="M7278" t="str">
            <v/>
          </cell>
        </row>
        <row r="7279">
          <cell r="A7279">
            <v>31102192</v>
          </cell>
          <cell r="C7279">
            <v>31102192</v>
          </cell>
          <cell r="D7279">
            <v>31102192</v>
          </cell>
          <cell r="E7279">
            <v>31102192</v>
          </cell>
          <cell r="F7279">
            <v>31102192</v>
          </cell>
          <cell r="G7279">
            <v>31102192</v>
          </cell>
          <cell r="H7279">
            <v>31102192</v>
          </cell>
          <cell r="I7279" t="str">
            <v/>
          </cell>
          <cell r="J7279" t="str">
            <v/>
          </cell>
          <cell r="K7279" t="str">
            <v/>
          </cell>
          <cell r="L7279" t="str">
            <v/>
          </cell>
          <cell r="M7279" t="str">
            <v/>
          </cell>
        </row>
        <row r="7280">
          <cell r="A7280">
            <v>31102192</v>
          </cell>
          <cell r="C7280">
            <v>31102192</v>
          </cell>
          <cell r="D7280">
            <v>31102192</v>
          </cell>
          <cell r="E7280">
            <v>31102192</v>
          </cell>
          <cell r="F7280">
            <v>31102192</v>
          </cell>
          <cell r="G7280">
            <v>31102192</v>
          </cell>
          <cell r="H7280">
            <v>31102192</v>
          </cell>
          <cell r="I7280" t="str">
            <v/>
          </cell>
          <cell r="J7280" t="str">
            <v/>
          </cell>
          <cell r="K7280" t="str">
            <v/>
          </cell>
          <cell r="L7280" t="str">
            <v/>
          </cell>
          <cell r="M7280" t="str">
            <v/>
          </cell>
        </row>
        <row r="7281">
          <cell r="A7281">
            <v>31102192</v>
          </cell>
          <cell r="C7281">
            <v>31102192</v>
          </cell>
          <cell r="D7281">
            <v>31102192</v>
          </cell>
          <cell r="E7281">
            <v>31102192</v>
          </cell>
          <cell r="F7281">
            <v>31102192</v>
          </cell>
          <cell r="G7281">
            <v>31102192</v>
          </cell>
          <cell r="H7281">
            <v>31102192</v>
          </cell>
          <cell r="I7281" t="str">
            <v/>
          </cell>
          <cell r="J7281" t="str">
            <v/>
          </cell>
          <cell r="K7281" t="str">
            <v/>
          </cell>
          <cell r="L7281" t="str">
            <v/>
          </cell>
          <cell r="M7281" t="str">
            <v/>
          </cell>
        </row>
        <row r="7282">
          <cell r="A7282">
            <v>31102192</v>
          </cell>
          <cell r="C7282">
            <v>31102192</v>
          </cell>
          <cell r="D7282">
            <v>31102192</v>
          </cell>
          <cell r="E7282">
            <v>31102192</v>
          </cell>
          <cell r="F7282">
            <v>31102192</v>
          </cell>
          <cell r="G7282">
            <v>31102192</v>
          </cell>
          <cell r="H7282">
            <v>31102192</v>
          </cell>
          <cell r="I7282" t="str">
            <v/>
          </cell>
          <cell r="J7282" t="str">
            <v/>
          </cell>
          <cell r="K7282" t="str">
            <v/>
          </cell>
          <cell r="L7282" t="str">
            <v/>
          </cell>
          <cell r="M7282" t="str">
            <v/>
          </cell>
        </row>
        <row r="7283">
          <cell r="A7283">
            <v>31102192</v>
          </cell>
          <cell r="C7283">
            <v>31102192</v>
          </cell>
          <cell r="D7283">
            <v>31102192</v>
          </cell>
          <cell r="E7283">
            <v>31102192</v>
          </cell>
          <cell r="F7283">
            <v>31102192</v>
          </cell>
          <cell r="G7283">
            <v>31102192</v>
          </cell>
          <cell r="H7283">
            <v>31102192</v>
          </cell>
          <cell r="I7283" t="str">
            <v/>
          </cell>
          <cell r="J7283" t="str">
            <v/>
          </cell>
          <cell r="K7283" t="str">
            <v/>
          </cell>
          <cell r="L7283" t="str">
            <v/>
          </cell>
          <cell r="M7283" t="str">
            <v/>
          </cell>
        </row>
        <row r="7284">
          <cell r="A7284">
            <v>31102192</v>
          </cell>
          <cell r="C7284">
            <v>31102192</v>
          </cell>
          <cell r="D7284">
            <v>31102192</v>
          </cell>
          <cell r="E7284">
            <v>31102192</v>
          </cell>
          <cell r="F7284">
            <v>31102192</v>
          </cell>
          <cell r="G7284">
            <v>31102192</v>
          </cell>
          <cell r="H7284">
            <v>31102192</v>
          </cell>
          <cell r="I7284" t="str">
            <v/>
          </cell>
          <cell r="J7284" t="str">
            <v/>
          </cell>
          <cell r="K7284" t="str">
            <v/>
          </cell>
          <cell r="L7284" t="str">
            <v/>
          </cell>
          <cell r="M7284" t="str">
            <v/>
          </cell>
        </row>
        <row r="7285">
          <cell r="A7285">
            <v>31102192</v>
          </cell>
          <cell r="C7285">
            <v>31102192</v>
          </cell>
          <cell r="D7285">
            <v>31102192</v>
          </cell>
          <cell r="E7285">
            <v>31102192</v>
          </cell>
          <cell r="F7285">
            <v>31102192</v>
          </cell>
          <cell r="G7285">
            <v>31102192</v>
          </cell>
          <cell r="H7285">
            <v>31102192</v>
          </cell>
          <cell r="I7285" t="str">
            <v/>
          </cell>
          <cell r="J7285" t="str">
            <v/>
          </cell>
          <cell r="K7285" t="str">
            <v/>
          </cell>
          <cell r="L7285" t="str">
            <v/>
          </cell>
          <cell r="M7285" t="str">
            <v/>
          </cell>
        </row>
        <row r="7286">
          <cell r="A7286">
            <v>31102192</v>
          </cell>
          <cell r="C7286">
            <v>31102192</v>
          </cell>
          <cell r="D7286">
            <v>31102192</v>
          </cell>
          <cell r="E7286">
            <v>31102192</v>
          </cell>
          <cell r="F7286">
            <v>31102192</v>
          </cell>
          <cell r="G7286">
            <v>31102192</v>
          </cell>
          <cell r="H7286">
            <v>31102192</v>
          </cell>
          <cell r="I7286" t="str">
            <v/>
          </cell>
          <cell r="J7286" t="str">
            <v/>
          </cell>
          <cell r="K7286" t="str">
            <v/>
          </cell>
          <cell r="L7286" t="str">
            <v/>
          </cell>
          <cell r="M7286" t="str">
            <v/>
          </cell>
        </row>
        <row r="7287">
          <cell r="A7287">
            <v>31102192</v>
          </cell>
          <cell r="C7287">
            <v>31102192</v>
          </cell>
          <cell r="D7287">
            <v>31102192</v>
          </cell>
          <cell r="E7287">
            <v>31102192</v>
          </cell>
          <cell r="F7287">
            <v>31102192</v>
          </cell>
          <cell r="G7287">
            <v>31102192</v>
          </cell>
          <cell r="H7287">
            <v>31102192</v>
          </cell>
          <cell r="I7287" t="str">
            <v/>
          </cell>
          <cell r="J7287" t="str">
            <v/>
          </cell>
          <cell r="K7287" t="str">
            <v/>
          </cell>
          <cell r="L7287" t="str">
            <v/>
          </cell>
          <cell r="M7287" t="str">
            <v/>
          </cell>
        </row>
        <row r="7288">
          <cell r="A7288">
            <v>31102192</v>
          </cell>
          <cell r="C7288">
            <v>31102192</v>
          </cell>
          <cell r="D7288">
            <v>31102192</v>
          </cell>
          <cell r="E7288">
            <v>31102192</v>
          </cell>
          <cell r="F7288">
            <v>31102192</v>
          </cell>
          <cell r="G7288">
            <v>31102192</v>
          </cell>
          <cell r="H7288">
            <v>31102192</v>
          </cell>
          <cell r="I7288" t="str">
            <v/>
          </cell>
          <cell r="J7288" t="str">
            <v/>
          </cell>
          <cell r="K7288" t="str">
            <v/>
          </cell>
          <cell r="L7288" t="str">
            <v/>
          </cell>
          <cell r="M7288" t="str">
            <v/>
          </cell>
        </row>
        <row r="7289">
          <cell r="A7289">
            <v>31102192</v>
          </cell>
          <cell r="C7289">
            <v>31102192</v>
          </cell>
          <cell r="D7289">
            <v>31102192</v>
          </cell>
          <cell r="E7289">
            <v>31102192</v>
          </cell>
          <cell r="F7289">
            <v>31102192</v>
          </cell>
          <cell r="G7289">
            <v>31102192</v>
          </cell>
          <cell r="H7289">
            <v>31102192</v>
          </cell>
          <cell r="I7289" t="str">
            <v/>
          </cell>
          <cell r="J7289" t="str">
            <v/>
          </cell>
          <cell r="K7289" t="str">
            <v/>
          </cell>
          <cell r="L7289" t="str">
            <v/>
          </cell>
          <cell r="M7289" t="str">
            <v/>
          </cell>
        </row>
        <row r="7290">
          <cell r="A7290">
            <v>31102192</v>
          </cell>
          <cell r="C7290">
            <v>31102192</v>
          </cell>
          <cell r="D7290">
            <v>31102192</v>
          </cell>
          <cell r="E7290">
            <v>31102192</v>
          </cell>
          <cell r="F7290">
            <v>31102192</v>
          </cell>
          <cell r="G7290">
            <v>31102192</v>
          </cell>
          <cell r="H7290">
            <v>31102192</v>
          </cell>
          <cell r="I7290" t="str">
            <v/>
          </cell>
          <cell r="J7290" t="str">
            <v/>
          </cell>
          <cell r="K7290" t="str">
            <v/>
          </cell>
          <cell r="L7290" t="str">
            <v/>
          </cell>
          <cell r="M7290" t="str">
            <v/>
          </cell>
        </row>
        <row r="7291">
          <cell r="A7291">
            <v>31102192</v>
          </cell>
          <cell r="C7291">
            <v>31102192</v>
          </cell>
          <cell r="D7291">
            <v>31102192</v>
          </cell>
          <cell r="E7291">
            <v>31102192</v>
          </cell>
          <cell r="F7291">
            <v>31102192</v>
          </cell>
          <cell r="G7291">
            <v>31102192</v>
          </cell>
          <cell r="H7291">
            <v>31102192</v>
          </cell>
          <cell r="I7291" t="str">
            <v/>
          </cell>
          <cell r="J7291" t="str">
            <v/>
          </cell>
          <cell r="K7291" t="str">
            <v/>
          </cell>
          <cell r="L7291" t="str">
            <v/>
          </cell>
          <cell r="M7291" t="str">
            <v/>
          </cell>
        </row>
        <row r="7292">
          <cell r="A7292">
            <v>31102192</v>
          </cell>
          <cell r="C7292">
            <v>31102192</v>
          </cell>
          <cell r="D7292">
            <v>31102192</v>
          </cell>
          <cell r="E7292">
            <v>31102192</v>
          </cell>
          <cell r="F7292">
            <v>31102192</v>
          </cell>
          <cell r="G7292">
            <v>31102192</v>
          </cell>
          <cell r="H7292">
            <v>31102192</v>
          </cell>
          <cell r="I7292" t="str">
            <v/>
          </cell>
          <cell r="J7292" t="str">
            <v/>
          </cell>
          <cell r="K7292" t="str">
            <v/>
          </cell>
          <cell r="L7292" t="str">
            <v/>
          </cell>
          <cell r="M7292" t="str">
            <v/>
          </cell>
        </row>
        <row r="7293">
          <cell r="A7293">
            <v>31102192</v>
          </cell>
          <cell r="C7293">
            <v>31102192</v>
          </cell>
          <cell r="D7293">
            <v>31102192</v>
          </cell>
          <cell r="E7293">
            <v>31102192</v>
          </cell>
          <cell r="F7293">
            <v>31102192</v>
          </cell>
          <cell r="G7293">
            <v>31102192</v>
          </cell>
          <cell r="H7293">
            <v>31102192</v>
          </cell>
          <cell r="I7293" t="str">
            <v/>
          </cell>
          <cell r="J7293" t="str">
            <v/>
          </cell>
          <cell r="K7293" t="str">
            <v/>
          </cell>
          <cell r="L7293" t="str">
            <v/>
          </cell>
          <cell r="M7293" t="str">
            <v/>
          </cell>
        </row>
        <row r="7294">
          <cell r="A7294">
            <v>31102192</v>
          </cell>
          <cell r="C7294">
            <v>31102192</v>
          </cell>
          <cell r="D7294">
            <v>31102192</v>
          </cell>
          <cell r="E7294">
            <v>31102192</v>
          </cell>
          <cell r="F7294">
            <v>31102192</v>
          </cell>
          <cell r="G7294">
            <v>31102192</v>
          </cell>
          <cell r="H7294">
            <v>31102192</v>
          </cell>
          <cell r="I7294" t="str">
            <v/>
          </cell>
          <cell r="J7294" t="str">
            <v/>
          </cell>
          <cell r="K7294" t="str">
            <v/>
          </cell>
          <cell r="L7294" t="str">
            <v/>
          </cell>
          <cell r="M7294" t="str">
            <v/>
          </cell>
        </row>
        <row r="7295">
          <cell r="A7295">
            <v>31102192</v>
          </cell>
          <cell r="C7295">
            <v>31102192</v>
          </cell>
          <cell r="D7295">
            <v>31102192</v>
          </cell>
          <cell r="E7295">
            <v>31102192</v>
          </cell>
          <cell r="F7295">
            <v>31102192</v>
          </cell>
          <cell r="G7295">
            <v>31102192</v>
          </cell>
          <cell r="H7295">
            <v>31102192</v>
          </cell>
          <cell r="I7295" t="str">
            <v/>
          </cell>
          <cell r="J7295" t="str">
            <v/>
          </cell>
          <cell r="K7295" t="str">
            <v/>
          </cell>
          <cell r="L7295" t="str">
            <v/>
          </cell>
          <cell r="M7295" t="str">
            <v/>
          </cell>
        </row>
        <row r="7296">
          <cell r="A7296">
            <v>31102192</v>
          </cell>
          <cell r="C7296">
            <v>31102192</v>
          </cell>
          <cell r="D7296">
            <v>31102192</v>
          </cell>
          <cell r="E7296">
            <v>31102192</v>
          </cell>
          <cell r="F7296">
            <v>31102192</v>
          </cell>
          <cell r="G7296">
            <v>31102192</v>
          </cell>
          <cell r="H7296">
            <v>31102192</v>
          </cell>
          <cell r="I7296" t="str">
            <v/>
          </cell>
          <cell r="J7296" t="str">
            <v/>
          </cell>
          <cell r="K7296" t="str">
            <v/>
          </cell>
          <cell r="L7296" t="str">
            <v/>
          </cell>
          <cell r="M7296" t="str">
            <v/>
          </cell>
        </row>
        <row r="7297">
          <cell r="A7297">
            <v>31102192</v>
          </cell>
          <cell r="C7297">
            <v>31102192</v>
          </cell>
          <cell r="D7297">
            <v>31102192</v>
          </cell>
          <cell r="E7297">
            <v>31102192</v>
          </cell>
          <cell r="F7297">
            <v>31102192</v>
          </cell>
          <cell r="G7297">
            <v>31102192</v>
          </cell>
          <cell r="H7297">
            <v>31102192</v>
          </cell>
          <cell r="I7297" t="str">
            <v/>
          </cell>
          <cell r="J7297" t="str">
            <v/>
          </cell>
          <cell r="K7297" t="str">
            <v/>
          </cell>
          <cell r="L7297" t="str">
            <v/>
          </cell>
          <cell r="M7297" t="str">
            <v/>
          </cell>
        </row>
        <row r="7298">
          <cell r="A7298">
            <v>31102192</v>
          </cell>
          <cell r="C7298">
            <v>31102192</v>
          </cell>
          <cell r="D7298">
            <v>31102192</v>
          </cell>
          <cell r="E7298">
            <v>31102192</v>
          </cell>
          <cell r="F7298">
            <v>31102192</v>
          </cell>
          <cell r="G7298">
            <v>31102192</v>
          </cell>
          <cell r="H7298">
            <v>31102192</v>
          </cell>
          <cell r="I7298" t="str">
            <v/>
          </cell>
          <cell r="J7298" t="str">
            <v/>
          </cell>
          <cell r="K7298" t="str">
            <v/>
          </cell>
          <cell r="L7298" t="str">
            <v/>
          </cell>
          <cell r="M7298" t="str">
            <v/>
          </cell>
        </row>
        <row r="7299">
          <cell r="A7299">
            <v>31102192</v>
          </cell>
          <cell r="C7299">
            <v>31102192</v>
          </cell>
          <cell r="D7299">
            <v>31102192</v>
          </cell>
          <cell r="E7299">
            <v>31102192</v>
          </cell>
          <cell r="F7299">
            <v>31102192</v>
          </cell>
          <cell r="G7299">
            <v>31102192</v>
          </cell>
          <cell r="H7299">
            <v>31102192</v>
          </cell>
          <cell r="I7299" t="str">
            <v/>
          </cell>
          <cell r="J7299" t="str">
            <v/>
          </cell>
          <cell r="K7299" t="str">
            <v/>
          </cell>
          <cell r="L7299" t="str">
            <v/>
          </cell>
          <cell r="M7299" t="str">
            <v/>
          </cell>
        </row>
        <row r="7300">
          <cell r="A7300">
            <v>31102192</v>
          </cell>
          <cell r="C7300">
            <v>31102192</v>
          </cell>
          <cell r="D7300">
            <v>31102192</v>
          </cell>
          <cell r="E7300">
            <v>31102192</v>
          </cell>
          <cell r="F7300">
            <v>31102192</v>
          </cell>
          <cell r="G7300">
            <v>31102192</v>
          </cell>
          <cell r="H7300">
            <v>31102192</v>
          </cell>
          <cell r="I7300" t="str">
            <v/>
          </cell>
          <cell r="J7300" t="str">
            <v/>
          </cell>
          <cell r="K7300" t="str">
            <v/>
          </cell>
          <cell r="L7300" t="str">
            <v/>
          </cell>
          <cell r="M7300" t="str">
            <v/>
          </cell>
        </row>
        <row r="7301">
          <cell r="A7301">
            <v>31102192</v>
          </cell>
          <cell r="C7301">
            <v>31102192</v>
          </cell>
          <cell r="D7301">
            <v>31102192</v>
          </cell>
          <cell r="E7301">
            <v>31102192</v>
          </cell>
          <cell r="F7301">
            <v>31102192</v>
          </cell>
          <cell r="G7301">
            <v>31102192</v>
          </cell>
          <cell r="H7301">
            <v>31102192</v>
          </cell>
          <cell r="I7301" t="str">
            <v/>
          </cell>
          <cell r="J7301" t="str">
            <v/>
          </cell>
          <cell r="K7301" t="str">
            <v/>
          </cell>
          <cell r="L7301" t="str">
            <v/>
          </cell>
          <cell r="M7301" t="str">
            <v/>
          </cell>
        </row>
        <row r="7302">
          <cell r="A7302">
            <v>31102192</v>
          </cell>
          <cell r="C7302">
            <v>31102192</v>
          </cell>
          <cell r="D7302">
            <v>31102192</v>
          </cell>
          <cell r="E7302">
            <v>31102192</v>
          </cell>
          <cell r="F7302">
            <v>31102192</v>
          </cell>
          <cell r="G7302">
            <v>31102192</v>
          </cell>
          <cell r="H7302">
            <v>31102192</v>
          </cell>
          <cell r="I7302" t="str">
            <v/>
          </cell>
          <cell r="J7302" t="str">
            <v/>
          </cell>
          <cell r="K7302" t="str">
            <v/>
          </cell>
          <cell r="L7302" t="str">
            <v/>
          </cell>
          <cell r="M7302" t="str">
            <v/>
          </cell>
        </row>
        <row r="7303">
          <cell r="A7303">
            <v>31102192</v>
          </cell>
          <cell r="C7303">
            <v>31102192</v>
          </cell>
          <cell r="D7303">
            <v>31102192</v>
          </cell>
          <cell r="E7303">
            <v>31102192</v>
          </cell>
          <cell r="F7303">
            <v>31102192</v>
          </cell>
          <cell r="G7303">
            <v>31102192</v>
          </cell>
          <cell r="H7303">
            <v>31102192</v>
          </cell>
          <cell r="I7303" t="str">
            <v/>
          </cell>
          <cell r="J7303" t="str">
            <v/>
          </cell>
          <cell r="K7303" t="str">
            <v/>
          </cell>
          <cell r="L7303" t="str">
            <v/>
          </cell>
          <cell r="M7303" t="str">
            <v/>
          </cell>
        </row>
        <row r="7304">
          <cell r="A7304">
            <v>31102192</v>
          </cell>
          <cell r="C7304">
            <v>31102192</v>
          </cell>
          <cell r="D7304">
            <v>31102192</v>
          </cell>
          <cell r="E7304">
            <v>31102192</v>
          </cell>
          <cell r="F7304">
            <v>31102192</v>
          </cell>
          <cell r="G7304">
            <v>31102192</v>
          </cell>
          <cell r="H7304">
            <v>31102192</v>
          </cell>
          <cell r="I7304" t="str">
            <v/>
          </cell>
          <cell r="J7304" t="str">
            <v/>
          </cell>
          <cell r="K7304" t="str">
            <v/>
          </cell>
          <cell r="L7304" t="str">
            <v/>
          </cell>
          <cell r="M7304" t="str">
            <v/>
          </cell>
        </row>
        <row r="7305">
          <cell r="A7305">
            <v>31102192</v>
          </cell>
          <cell r="C7305">
            <v>31102192</v>
          </cell>
          <cell r="D7305">
            <v>31102192</v>
          </cell>
          <cell r="E7305">
            <v>31102192</v>
          </cell>
          <cell r="F7305">
            <v>31102192</v>
          </cell>
          <cell r="G7305">
            <v>31102192</v>
          </cell>
          <cell r="H7305">
            <v>31102192</v>
          </cell>
          <cell r="I7305" t="str">
            <v/>
          </cell>
          <cell r="J7305" t="str">
            <v/>
          </cell>
          <cell r="K7305" t="str">
            <v/>
          </cell>
          <cell r="L7305" t="str">
            <v/>
          </cell>
          <cell r="M7305" t="str">
            <v/>
          </cell>
        </row>
        <row r="7306">
          <cell r="A7306">
            <v>31102192</v>
          </cell>
          <cell r="C7306">
            <v>31102192</v>
          </cell>
          <cell r="D7306">
            <v>31102192</v>
          </cell>
          <cell r="E7306">
            <v>31102192</v>
          </cell>
          <cell r="F7306">
            <v>31102192</v>
          </cell>
          <cell r="G7306">
            <v>31102192</v>
          </cell>
          <cell r="H7306">
            <v>31102192</v>
          </cell>
          <cell r="I7306" t="str">
            <v/>
          </cell>
          <cell r="J7306" t="str">
            <v/>
          </cell>
          <cell r="K7306" t="str">
            <v/>
          </cell>
          <cell r="L7306" t="str">
            <v/>
          </cell>
          <cell r="M7306" t="str">
            <v/>
          </cell>
        </row>
        <row r="7307">
          <cell r="A7307">
            <v>31102192</v>
          </cell>
          <cell r="C7307">
            <v>31102192</v>
          </cell>
          <cell r="D7307">
            <v>31102192</v>
          </cell>
          <cell r="E7307">
            <v>31102192</v>
          </cell>
          <cell r="F7307">
            <v>31102192</v>
          </cell>
          <cell r="G7307">
            <v>31102192</v>
          </cell>
          <cell r="H7307">
            <v>31102192</v>
          </cell>
          <cell r="I7307" t="str">
            <v/>
          </cell>
          <cell r="J7307" t="str">
            <v/>
          </cell>
          <cell r="K7307" t="str">
            <v/>
          </cell>
          <cell r="L7307" t="str">
            <v/>
          </cell>
          <cell r="M7307" t="str">
            <v/>
          </cell>
        </row>
        <row r="7308">
          <cell r="A7308">
            <v>31102192</v>
          </cell>
          <cell r="C7308">
            <v>31102192</v>
          </cell>
          <cell r="D7308">
            <v>31102192</v>
          </cell>
          <cell r="E7308">
            <v>31102192</v>
          </cell>
          <cell r="F7308">
            <v>31102192</v>
          </cell>
          <cell r="G7308">
            <v>31102192</v>
          </cell>
          <cell r="H7308">
            <v>31102192</v>
          </cell>
          <cell r="I7308" t="str">
            <v/>
          </cell>
          <cell r="J7308" t="str">
            <v/>
          </cell>
          <cell r="K7308" t="str">
            <v/>
          </cell>
          <cell r="L7308" t="str">
            <v/>
          </cell>
          <cell r="M7308" t="str">
            <v/>
          </cell>
        </row>
        <row r="7309">
          <cell r="A7309">
            <v>31102192</v>
          </cell>
          <cell r="C7309">
            <v>31102192</v>
          </cell>
          <cell r="D7309">
            <v>31102192</v>
          </cell>
          <cell r="E7309">
            <v>31102192</v>
          </cell>
          <cell r="F7309">
            <v>31102192</v>
          </cell>
          <cell r="G7309">
            <v>31102192</v>
          </cell>
          <cell r="H7309">
            <v>31102192</v>
          </cell>
          <cell r="I7309" t="str">
            <v/>
          </cell>
          <cell r="J7309" t="str">
            <v/>
          </cell>
          <cell r="K7309" t="str">
            <v/>
          </cell>
          <cell r="L7309" t="str">
            <v/>
          </cell>
          <cell r="M7309" t="str">
            <v/>
          </cell>
        </row>
        <row r="7310">
          <cell r="A7310">
            <v>31102192</v>
          </cell>
          <cell r="C7310">
            <v>31102192</v>
          </cell>
          <cell r="D7310">
            <v>31102192</v>
          </cell>
          <cell r="E7310">
            <v>31102192</v>
          </cell>
          <cell r="F7310">
            <v>31102192</v>
          </cell>
          <cell r="G7310">
            <v>31102192</v>
          </cell>
          <cell r="H7310">
            <v>31102192</v>
          </cell>
          <cell r="I7310" t="str">
            <v/>
          </cell>
          <cell r="J7310" t="str">
            <v/>
          </cell>
          <cell r="K7310" t="str">
            <v/>
          </cell>
          <cell r="L7310" t="str">
            <v/>
          </cell>
          <cell r="M7310" t="str">
            <v/>
          </cell>
        </row>
        <row r="7311">
          <cell r="A7311">
            <v>31102192</v>
          </cell>
          <cell r="C7311">
            <v>31102192</v>
          </cell>
          <cell r="D7311">
            <v>31102192</v>
          </cell>
          <cell r="E7311">
            <v>31102192</v>
          </cell>
          <cell r="F7311">
            <v>31102192</v>
          </cell>
          <cell r="G7311">
            <v>31102192</v>
          </cell>
          <cell r="H7311">
            <v>31102192</v>
          </cell>
          <cell r="I7311" t="str">
            <v/>
          </cell>
          <cell r="J7311" t="str">
            <v/>
          </cell>
          <cell r="K7311" t="str">
            <v/>
          </cell>
          <cell r="L7311" t="str">
            <v/>
          </cell>
          <cell r="M7311" t="str">
            <v/>
          </cell>
        </row>
        <row r="7312">
          <cell r="A7312">
            <v>31102192</v>
          </cell>
          <cell r="C7312">
            <v>31102192</v>
          </cell>
          <cell r="D7312">
            <v>31102192</v>
          </cell>
          <cell r="E7312">
            <v>31102192</v>
          </cell>
          <cell r="F7312">
            <v>31102192</v>
          </cell>
          <cell r="G7312">
            <v>31102192</v>
          </cell>
          <cell r="H7312">
            <v>31102192</v>
          </cell>
          <cell r="I7312" t="str">
            <v/>
          </cell>
          <cell r="J7312" t="str">
            <v/>
          </cell>
          <cell r="K7312" t="str">
            <v/>
          </cell>
          <cell r="L7312" t="str">
            <v/>
          </cell>
          <cell r="M7312" t="str">
            <v/>
          </cell>
        </row>
        <row r="7313">
          <cell r="A7313">
            <v>31102192</v>
          </cell>
          <cell r="C7313">
            <v>31102192</v>
          </cell>
          <cell r="D7313">
            <v>31102192</v>
          </cell>
          <cell r="E7313">
            <v>31102192</v>
          </cell>
          <cell r="F7313">
            <v>31102192</v>
          </cell>
          <cell r="G7313">
            <v>31102192</v>
          </cell>
          <cell r="H7313">
            <v>31102192</v>
          </cell>
          <cell r="I7313" t="str">
            <v/>
          </cell>
          <cell r="J7313" t="str">
            <v/>
          </cell>
          <cell r="K7313" t="str">
            <v/>
          </cell>
          <cell r="L7313" t="str">
            <v/>
          </cell>
          <cell r="M7313" t="str">
            <v/>
          </cell>
        </row>
        <row r="7314">
          <cell r="A7314">
            <v>31102192</v>
          </cell>
          <cell r="C7314">
            <v>31102192</v>
          </cell>
          <cell r="D7314">
            <v>31102192</v>
          </cell>
          <cell r="E7314">
            <v>31102192</v>
          </cell>
          <cell r="F7314">
            <v>31102192</v>
          </cell>
          <cell r="G7314">
            <v>31102192</v>
          </cell>
          <cell r="H7314">
            <v>31102192</v>
          </cell>
          <cell r="I7314" t="str">
            <v/>
          </cell>
          <cell r="J7314" t="str">
            <v/>
          </cell>
          <cell r="K7314" t="str">
            <v/>
          </cell>
          <cell r="L7314" t="str">
            <v/>
          </cell>
          <cell r="M7314" t="str">
            <v/>
          </cell>
        </row>
        <row r="7315">
          <cell r="A7315">
            <v>31102192</v>
          </cell>
          <cell r="C7315">
            <v>31102192</v>
          </cell>
          <cell r="D7315">
            <v>31102192</v>
          </cell>
          <cell r="E7315">
            <v>31102192</v>
          </cell>
          <cell r="F7315">
            <v>31102192</v>
          </cell>
          <cell r="G7315">
            <v>31102192</v>
          </cell>
          <cell r="H7315">
            <v>31102192</v>
          </cell>
          <cell r="I7315" t="str">
            <v/>
          </cell>
          <cell r="J7315" t="str">
            <v/>
          </cell>
          <cell r="K7315" t="str">
            <v/>
          </cell>
          <cell r="L7315" t="str">
            <v/>
          </cell>
          <cell r="M7315" t="str">
            <v/>
          </cell>
        </row>
        <row r="7316">
          <cell r="A7316">
            <v>31102192</v>
          </cell>
          <cell r="C7316">
            <v>31102192</v>
          </cell>
          <cell r="D7316">
            <v>31102192</v>
          </cell>
          <cell r="E7316">
            <v>31102192</v>
          </cell>
          <cell r="F7316">
            <v>31102192</v>
          </cell>
          <cell r="G7316">
            <v>31102192</v>
          </cell>
          <cell r="H7316">
            <v>31102192</v>
          </cell>
          <cell r="I7316" t="str">
            <v/>
          </cell>
          <cell r="J7316" t="str">
            <v/>
          </cell>
          <cell r="K7316" t="str">
            <v/>
          </cell>
          <cell r="L7316" t="str">
            <v/>
          </cell>
          <cell r="M7316" t="str">
            <v/>
          </cell>
        </row>
        <row r="7317">
          <cell r="A7317">
            <v>31102192</v>
          </cell>
          <cell r="C7317">
            <v>31102192</v>
          </cell>
          <cell r="D7317">
            <v>31102192</v>
          </cell>
          <cell r="E7317">
            <v>31102192</v>
          </cell>
          <cell r="F7317">
            <v>31102192</v>
          </cell>
          <cell r="G7317">
            <v>31102192</v>
          </cell>
          <cell r="H7317">
            <v>31102192</v>
          </cell>
          <cell r="I7317" t="str">
            <v/>
          </cell>
          <cell r="J7317" t="str">
            <v/>
          </cell>
          <cell r="K7317" t="str">
            <v/>
          </cell>
          <cell r="L7317" t="str">
            <v/>
          </cell>
          <cell r="M7317" t="str">
            <v/>
          </cell>
        </row>
        <row r="7318">
          <cell r="A7318">
            <v>31102192</v>
          </cell>
          <cell r="C7318">
            <v>31102192</v>
          </cell>
          <cell r="D7318">
            <v>31102192</v>
          </cell>
          <cell r="E7318">
            <v>31102192</v>
          </cell>
          <cell r="F7318">
            <v>31102192</v>
          </cell>
          <cell r="G7318">
            <v>31102192</v>
          </cell>
          <cell r="H7318">
            <v>31102192</v>
          </cell>
          <cell r="I7318" t="str">
            <v/>
          </cell>
          <cell r="J7318" t="str">
            <v/>
          </cell>
          <cell r="K7318" t="str">
            <v/>
          </cell>
          <cell r="L7318" t="str">
            <v/>
          </cell>
          <cell r="M7318" t="str">
            <v/>
          </cell>
        </row>
        <row r="7319">
          <cell r="A7319">
            <v>31102192</v>
          </cell>
          <cell r="C7319">
            <v>31102192</v>
          </cell>
          <cell r="D7319">
            <v>31102192</v>
          </cell>
          <cell r="E7319">
            <v>31102192</v>
          </cell>
          <cell r="F7319">
            <v>31102192</v>
          </cell>
          <cell r="G7319">
            <v>31102192</v>
          </cell>
          <cell r="H7319">
            <v>31102192</v>
          </cell>
          <cell r="I7319" t="str">
            <v/>
          </cell>
          <cell r="J7319" t="str">
            <v/>
          </cell>
          <cell r="K7319" t="str">
            <v/>
          </cell>
          <cell r="L7319" t="str">
            <v/>
          </cell>
          <cell r="M7319" t="str">
            <v/>
          </cell>
        </row>
        <row r="7320">
          <cell r="A7320">
            <v>31102192</v>
          </cell>
          <cell r="C7320">
            <v>31102192</v>
          </cell>
          <cell r="D7320">
            <v>31102192</v>
          </cell>
          <cell r="E7320">
            <v>31102192</v>
          </cell>
          <cell r="F7320">
            <v>31102192</v>
          </cell>
          <cell r="G7320">
            <v>31102192</v>
          </cell>
          <cell r="H7320">
            <v>31102192</v>
          </cell>
          <cell r="I7320" t="str">
            <v/>
          </cell>
          <cell r="J7320" t="str">
            <v/>
          </cell>
          <cell r="K7320" t="str">
            <v/>
          </cell>
          <cell r="L7320" t="str">
            <v/>
          </cell>
          <cell r="M7320" t="str">
            <v/>
          </cell>
        </row>
        <row r="7321">
          <cell r="A7321">
            <v>31102192</v>
          </cell>
          <cell r="C7321">
            <v>31102192</v>
          </cell>
          <cell r="D7321">
            <v>31102192</v>
          </cell>
          <cell r="E7321">
            <v>31102192</v>
          </cell>
          <cell r="F7321">
            <v>31102192</v>
          </cell>
          <cell r="G7321">
            <v>31102192</v>
          </cell>
          <cell r="H7321">
            <v>31102192</v>
          </cell>
          <cell r="I7321" t="str">
            <v/>
          </cell>
          <cell r="J7321" t="str">
            <v/>
          </cell>
          <cell r="K7321" t="str">
            <v/>
          </cell>
          <cell r="L7321" t="str">
            <v/>
          </cell>
          <cell r="M7321" t="str">
            <v/>
          </cell>
        </row>
        <row r="7322">
          <cell r="A7322">
            <v>31102192</v>
          </cell>
          <cell r="C7322">
            <v>31102192</v>
          </cell>
          <cell r="D7322">
            <v>31102192</v>
          </cell>
          <cell r="E7322">
            <v>31102192</v>
          </cell>
          <cell r="F7322">
            <v>31102192</v>
          </cell>
          <cell r="G7322">
            <v>31102192</v>
          </cell>
          <cell r="H7322">
            <v>31102192</v>
          </cell>
          <cell r="I7322" t="str">
            <v/>
          </cell>
          <cell r="J7322" t="str">
            <v/>
          </cell>
          <cell r="K7322" t="str">
            <v/>
          </cell>
          <cell r="L7322" t="str">
            <v/>
          </cell>
          <cell r="M7322" t="str">
            <v/>
          </cell>
        </row>
        <row r="7323">
          <cell r="A7323">
            <v>31102192</v>
          </cell>
          <cell r="C7323">
            <v>31102192</v>
          </cell>
          <cell r="D7323">
            <v>31102192</v>
          </cell>
          <cell r="E7323">
            <v>31102192</v>
          </cell>
          <cell r="F7323">
            <v>31102192</v>
          </cell>
          <cell r="G7323">
            <v>31102192</v>
          </cell>
          <cell r="H7323">
            <v>31102192</v>
          </cell>
          <cell r="I7323" t="str">
            <v/>
          </cell>
          <cell r="J7323" t="str">
            <v/>
          </cell>
          <cell r="K7323" t="str">
            <v/>
          </cell>
          <cell r="L7323" t="str">
            <v/>
          </cell>
          <cell r="M7323" t="str">
            <v/>
          </cell>
        </row>
        <row r="7324">
          <cell r="A7324">
            <v>31102192</v>
          </cell>
          <cell r="C7324">
            <v>31102192</v>
          </cell>
          <cell r="D7324">
            <v>31102192</v>
          </cell>
          <cell r="E7324">
            <v>31102192</v>
          </cell>
          <cell r="F7324">
            <v>31102192</v>
          </cell>
          <cell r="G7324">
            <v>31102192</v>
          </cell>
          <cell r="H7324">
            <v>31102192</v>
          </cell>
          <cell r="I7324" t="str">
            <v/>
          </cell>
          <cell r="J7324" t="str">
            <v/>
          </cell>
          <cell r="K7324" t="str">
            <v/>
          </cell>
          <cell r="L7324" t="str">
            <v/>
          </cell>
          <cell r="M7324" t="str">
            <v/>
          </cell>
        </row>
        <row r="7325">
          <cell r="A7325">
            <v>31102192</v>
          </cell>
          <cell r="C7325">
            <v>31102192</v>
          </cell>
          <cell r="D7325">
            <v>31102192</v>
          </cell>
          <cell r="E7325">
            <v>31102192</v>
          </cell>
          <cell r="F7325">
            <v>31102192</v>
          </cell>
          <cell r="G7325">
            <v>31102192</v>
          </cell>
          <cell r="H7325">
            <v>31102192</v>
          </cell>
          <cell r="I7325" t="str">
            <v/>
          </cell>
          <cell r="J7325" t="str">
            <v/>
          </cell>
          <cell r="K7325" t="str">
            <v/>
          </cell>
          <cell r="L7325" t="str">
            <v/>
          </cell>
          <cell r="M7325" t="str">
            <v/>
          </cell>
        </row>
        <row r="7326">
          <cell r="A7326">
            <v>31102192</v>
          </cell>
          <cell r="C7326">
            <v>31102192</v>
          </cell>
          <cell r="D7326">
            <v>31102192</v>
          </cell>
          <cell r="E7326">
            <v>31102192</v>
          </cell>
          <cell r="F7326">
            <v>31102192</v>
          </cell>
          <cell r="G7326">
            <v>31102192</v>
          </cell>
          <cell r="H7326">
            <v>31102192</v>
          </cell>
          <cell r="I7326" t="str">
            <v/>
          </cell>
          <cell r="J7326" t="str">
            <v/>
          </cell>
          <cell r="K7326" t="str">
            <v/>
          </cell>
          <cell r="L7326" t="str">
            <v/>
          </cell>
          <cell r="M7326" t="str">
            <v/>
          </cell>
        </row>
        <row r="7327">
          <cell r="A7327">
            <v>31102192</v>
          </cell>
          <cell r="C7327">
            <v>31102192</v>
          </cell>
          <cell r="D7327">
            <v>31102192</v>
          </cell>
          <cell r="E7327">
            <v>31102192</v>
          </cell>
          <cell r="F7327">
            <v>31102192</v>
          </cell>
          <cell r="G7327">
            <v>31102192</v>
          </cell>
          <cell r="H7327">
            <v>31102192</v>
          </cell>
          <cell r="I7327" t="str">
            <v/>
          </cell>
          <cell r="J7327" t="str">
            <v/>
          </cell>
          <cell r="K7327" t="str">
            <v/>
          </cell>
          <cell r="L7327" t="str">
            <v/>
          </cell>
          <cell r="M7327" t="str">
            <v/>
          </cell>
        </row>
        <row r="7328">
          <cell r="A7328">
            <v>31102192</v>
          </cell>
          <cell r="C7328">
            <v>31102192</v>
          </cell>
          <cell r="D7328">
            <v>31102192</v>
          </cell>
          <cell r="E7328">
            <v>31102192</v>
          </cell>
          <cell r="F7328">
            <v>31102192</v>
          </cell>
          <cell r="G7328">
            <v>31102192</v>
          </cell>
          <cell r="H7328">
            <v>31102192</v>
          </cell>
          <cell r="I7328" t="str">
            <v/>
          </cell>
          <cell r="J7328" t="str">
            <v/>
          </cell>
          <cell r="K7328" t="str">
            <v/>
          </cell>
          <cell r="L7328" t="str">
            <v/>
          </cell>
          <cell r="M7328" t="str">
            <v/>
          </cell>
        </row>
        <row r="7329">
          <cell r="A7329">
            <v>31102192</v>
          </cell>
          <cell r="C7329">
            <v>31102192</v>
          </cell>
          <cell r="D7329">
            <v>31102192</v>
          </cell>
          <cell r="E7329">
            <v>31102192</v>
          </cell>
          <cell r="F7329">
            <v>31102192</v>
          </cell>
          <cell r="G7329">
            <v>31102192</v>
          </cell>
          <cell r="H7329">
            <v>31102192</v>
          </cell>
          <cell r="I7329" t="str">
            <v/>
          </cell>
          <cell r="J7329" t="str">
            <v/>
          </cell>
          <cell r="K7329" t="str">
            <v/>
          </cell>
          <cell r="L7329" t="str">
            <v/>
          </cell>
          <cell r="M7329" t="str">
            <v/>
          </cell>
        </row>
        <row r="7330">
          <cell r="A7330">
            <v>31102192</v>
          </cell>
          <cell r="C7330">
            <v>31102192</v>
          </cell>
          <cell r="D7330">
            <v>31102192</v>
          </cell>
          <cell r="E7330">
            <v>31102192</v>
          </cell>
          <cell r="F7330">
            <v>31102192</v>
          </cell>
          <cell r="G7330">
            <v>31102192</v>
          </cell>
          <cell r="H7330">
            <v>31102192</v>
          </cell>
          <cell r="I7330" t="str">
            <v/>
          </cell>
          <cell r="J7330" t="str">
            <v/>
          </cell>
          <cell r="K7330" t="str">
            <v/>
          </cell>
          <cell r="L7330" t="str">
            <v/>
          </cell>
          <cell r="M7330" t="str">
            <v/>
          </cell>
        </row>
        <row r="7331">
          <cell r="A7331">
            <v>31102192</v>
          </cell>
          <cell r="C7331">
            <v>31102192</v>
          </cell>
          <cell r="D7331">
            <v>31102192</v>
          </cell>
          <cell r="E7331">
            <v>31102192</v>
          </cell>
          <cell r="F7331">
            <v>31102192</v>
          </cell>
          <cell r="G7331">
            <v>31102192</v>
          </cell>
          <cell r="H7331">
            <v>31102192</v>
          </cell>
          <cell r="I7331" t="str">
            <v/>
          </cell>
          <cell r="J7331" t="str">
            <v/>
          </cell>
          <cell r="K7331" t="str">
            <v/>
          </cell>
          <cell r="L7331" t="str">
            <v/>
          </cell>
          <cell r="M7331" t="str">
            <v/>
          </cell>
        </row>
        <row r="7332">
          <cell r="A7332">
            <v>31102192</v>
          </cell>
          <cell r="C7332">
            <v>31102192</v>
          </cell>
          <cell r="D7332">
            <v>31102192</v>
          </cell>
          <cell r="E7332">
            <v>31102192</v>
          </cell>
          <cell r="F7332">
            <v>31102192</v>
          </cell>
          <cell r="G7332">
            <v>31102192</v>
          </cell>
          <cell r="H7332">
            <v>31102192</v>
          </cell>
          <cell r="I7332" t="str">
            <v/>
          </cell>
          <cell r="J7332" t="str">
            <v/>
          </cell>
          <cell r="K7332" t="str">
            <v/>
          </cell>
          <cell r="L7332" t="str">
            <v/>
          </cell>
          <cell r="M7332" t="str">
            <v/>
          </cell>
        </row>
        <row r="7333">
          <cell r="A7333">
            <v>31102192</v>
          </cell>
          <cell r="C7333">
            <v>31102192</v>
          </cell>
          <cell r="D7333">
            <v>31102192</v>
          </cell>
          <cell r="E7333">
            <v>31102192</v>
          </cell>
          <cell r="F7333">
            <v>31102192</v>
          </cell>
          <cell r="G7333">
            <v>31102192</v>
          </cell>
          <cell r="H7333">
            <v>31102192</v>
          </cell>
          <cell r="I7333" t="str">
            <v/>
          </cell>
          <cell r="J7333" t="str">
            <v/>
          </cell>
          <cell r="K7333" t="str">
            <v/>
          </cell>
          <cell r="L7333" t="str">
            <v/>
          </cell>
          <cell r="M7333" t="str">
            <v/>
          </cell>
        </row>
        <row r="7334">
          <cell r="A7334">
            <v>31102192</v>
          </cell>
          <cell r="C7334">
            <v>31102192</v>
          </cell>
          <cell r="D7334">
            <v>31102192</v>
          </cell>
          <cell r="E7334">
            <v>31102192</v>
          </cell>
          <cell r="F7334">
            <v>31102192</v>
          </cell>
          <cell r="G7334">
            <v>31102192</v>
          </cell>
          <cell r="H7334">
            <v>31102192</v>
          </cell>
          <cell r="I7334" t="str">
            <v/>
          </cell>
          <cell r="J7334" t="str">
            <v/>
          </cell>
          <cell r="K7334" t="str">
            <v/>
          </cell>
          <cell r="L7334" t="str">
            <v/>
          </cell>
          <cell r="M7334" t="str">
            <v/>
          </cell>
        </row>
        <row r="7335">
          <cell r="A7335">
            <v>31102192</v>
          </cell>
          <cell r="C7335">
            <v>31102192</v>
          </cell>
          <cell r="D7335">
            <v>31102192</v>
          </cell>
          <cell r="E7335">
            <v>31102192</v>
          </cell>
          <cell r="F7335">
            <v>31102192</v>
          </cell>
          <cell r="G7335">
            <v>31102192</v>
          </cell>
          <cell r="H7335">
            <v>31102192</v>
          </cell>
          <cell r="I7335" t="str">
            <v/>
          </cell>
          <cell r="J7335" t="str">
            <v/>
          </cell>
          <cell r="K7335" t="str">
            <v/>
          </cell>
          <cell r="L7335" t="str">
            <v/>
          </cell>
          <cell r="M7335" t="str">
            <v/>
          </cell>
        </row>
        <row r="7336">
          <cell r="A7336">
            <v>31102192</v>
          </cell>
          <cell r="C7336">
            <v>31102192</v>
          </cell>
          <cell r="D7336">
            <v>31102192</v>
          </cell>
          <cell r="E7336">
            <v>31102192</v>
          </cell>
          <cell r="F7336">
            <v>31102192</v>
          </cell>
          <cell r="G7336">
            <v>31102192</v>
          </cell>
          <cell r="H7336">
            <v>31102192</v>
          </cell>
          <cell r="I7336" t="str">
            <v/>
          </cell>
          <cell r="J7336" t="str">
            <v/>
          </cell>
          <cell r="K7336" t="str">
            <v/>
          </cell>
          <cell r="L7336" t="str">
            <v/>
          </cell>
          <cell r="M7336" t="str">
            <v/>
          </cell>
        </row>
        <row r="7337">
          <cell r="A7337">
            <v>31102192</v>
          </cell>
          <cell r="C7337">
            <v>31102192</v>
          </cell>
          <cell r="D7337">
            <v>31102192</v>
          </cell>
          <cell r="E7337">
            <v>31102192</v>
          </cell>
          <cell r="F7337">
            <v>31102192</v>
          </cell>
          <cell r="G7337">
            <v>31102192</v>
          </cell>
          <cell r="H7337">
            <v>31102192</v>
          </cell>
          <cell r="I7337" t="str">
            <v/>
          </cell>
          <cell r="J7337" t="str">
            <v/>
          </cell>
          <cell r="K7337" t="str">
            <v/>
          </cell>
          <cell r="L7337" t="str">
            <v/>
          </cell>
          <cell r="M7337" t="str">
            <v/>
          </cell>
        </row>
        <row r="7338">
          <cell r="A7338">
            <v>31102192</v>
          </cell>
          <cell r="C7338">
            <v>31102192</v>
          </cell>
          <cell r="D7338">
            <v>31102192</v>
          </cell>
          <cell r="E7338">
            <v>31102192</v>
          </cell>
          <cell r="F7338">
            <v>31102192</v>
          </cell>
          <cell r="G7338">
            <v>31102192</v>
          </cell>
          <cell r="H7338">
            <v>31102192</v>
          </cell>
          <cell r="I7338" t="str">
            <v/>
          </cell>
          <cell r="J7338" t="str">
            <v/>
          </cell>
          <cell r="K7338" t="str">
            <v/>
          </cell>
          <cell r="L7338" t="str">
            <v/>
          </cell>
          <cell r="M7338" t="str">
            <v/>
          </cell>
        </row>
        <row r="7339">
          <cell r="A7339">
            <v>31102192</v>
          </cell>
          <cell r="C7339">
            <v>31102192</v>
          </cell>
          <cell r="D7339">
            <v>31102192</v>
          </cell>
          <cell r="E7339">
            <v>31102192</v>
          </cell>
          <cell r="F7339">
            <v>31102192</v>
          </cell>
          <cell r="G7339">
            <v>31102192</v>
          </cell>
          <cell r="H7339">
            <v>31102192</v>
          </cell>
          <cell r="I7339" t="str">
            <v/>
          </cell>
          <cell r="J7339" t="str">
            <v/>
          </cell>
          <cell r="K7339" t="str">
            <v/>
          </cell>
          <cell r="L7339" t="str">
            <v/>
          </cell>
          <cell r="M7339" t="str">
            <v/>
          </cell>
        </row>
        <row r="7340">
          <cell r="A7340">
            <v>31102192</v>
          </cell>
          <cell r="C7340">
            <v>31102192</v>
          </cell>
          <cell r="D7340">
            <v>31102192</v>
          </cell>
          <cell r="E7340">
            <v>31102192</v>
          </cell>
          <cell r="F7340">
            <v>31102192</v>
          </cell>
          <cell r="G7340">
            <v>31102192</v>
          </cell>
          <cell r="H7340">
            <v>31102192</v>
          </cell>
          <cell r="I7340" t="str">
            <v/>
          </cell>
          <cell r="J7340" t="str">
            <v/>
          </cell>
          <cell r="K7340" t="str">
            <v/>
          </cell>
          <cell r="L7340" t="str">
            <v/>
          </cell>
          <cell r="M7340" t="str">
            <v/>
          </cell>
        </row>
        <row r="7341">
          <cell r="A7341">
            <v>31102192</v>
          </cell>
          <cell r="C7341">
            <v>31102192</v>
          </cell>
          <cell r="D7341">
            <v>31102192</v>
          </cell>
          <cell r="E7341">
            <v>31102192</v>
          </cell>
          <cell r="F7341">
            <v>31102192</v>
          </cell>
          <cell r="G7341">
            <v>31102192</v>
          </cell>
          <cell r="H7341">
            <v>31102192</v>
          </cell>
          <cell r="I7341" t="str">
            <v/>
          </cell>
          <cell r="J7341" t="str">
            <v/>
          </cell>
          <cell r="K7341" t="str">
            <v/>
          </cell>
          <cell r="L7341" t="str">
            <v/>
          </cell>
          <cell r="M7341" t="str">
            <v/>
          </cell>
        </row>
        <row r="7342">
          <cell r="A7342">
            <v>31102192</v>
          </cell>
          <cell r="C7342">
            <v>31102192</v>
          </cell>
          <cell r="D7342">
            <v>31102192</v>
          </cell>
          <cell r="E7342">
            <v>31102192</v>
          </cell>
          <cell r="F7342">
            <v>31102192</v>
          </cell>
          <cell r="G7342">
            <v>31102192</v>
          </cell>
          <cell r="H7342">
            <v>31102192</v>
          </cell>
          <cell r="I7342" t="str">
            <v/>
          </cell>
          <cell r="J7342" t="str">
            <v/>
          </cell>
          <cell r="K7342" t="str">
            <v/>
          </cell>
          <cell r="L7342" t="str">
            <v/>
          </cell>
          <cell r="M7342" t="str">
            <v/>
          </cell>
        </row>
        <row r="7343">
          <cell r="A7343">
            <v>31102192</v>
          </cell>
          <cell r="C7343">
            <v>31102192</v>
          </cell>
          <cell r="D7343">
            <v>31102192</v>
          </cell>
          <cell r="E7343">
            <v>31102192</v>
          </cell>
          <cell r="F7343">
            <v>31102192</v>
          </cell>
          <cell r="G7343">
            <v>31102192</v>
          </cell>
          <cell r="H7343">
            <v>31102192</v>
          </cell>
          <cell r="I7343" t="str">
            <v/>
          </cell>
          <cell r="J7343" t="str">
            <v/>
          </cell>
          <cell r="K7343" t="str">
            <v/>
          </cell>
          <cell r="L7343" t="str">
            <v/>
          </cell>
          <cell r="M7343" t="str">
            <v/>
          </cell>
        </row>
        <row r="7344">
          <cell r="A7344">
            <v>31102192</v>
          </cell>
          <cell r="C7344">
            <v>31102192</v>
          </cell>
          <cell r="D7344">
            <v>31102192</v>
          </cell>
          <cell r="E7344">
            <v>31102192</v>
          </cell>
          <cell r="F7344">
            <v>31102192</v>
          </cell>
          <cell r="G7344">
            <v>31102192</v>
          </cell>
          <cell r="H7344">
            <v>31102192</v>
          </cell>
          <cell r="I7344" t="str">
            <v/>
          </cell>
          <cell r="J7344" t="str">
            <v/>
          </cell>
          <cell r="K7344" t="str">
            <v/>
          </cell>
          <cell r="L7344" t="str">
            <v/>
          </cell>
          <cell r="M7344" t="str">
            <v/>
          </cell>
        </row>
        <row r="7345">
          <cell r="A7345">
            <v>31102192</v>
          </cell>
          <cell r="C7345">
            <v>31102192</v>
          </cell>
          <cell r="D7345">
            <v>31102192</v>
          </cell>
          <cell r="E7345">
            <v>31102192</v>
          </cell>
          <cell r="F7345">
            <v>31102192</v>
          </cell>
          <cell r="G7345">
            <v>31102192</v>
          </cell>
          <cell r="H7345">
            <v>31102192</v>
          </cell>
          <cell r="I7345" t="str">
            <v/>
          </cell>
          <cell r="J7345" t="str">
            <v/>
          </cell>
          <cell r="K7345" t="str">
            <v/>
          </cell>
          <cell r="L7345" t="str">
            <v/>
          </cell>
          <cell r="M7345" t="str">
            <v/>
          </cell>
        </row>
        <row r="7346">
          <cell r="A7346">
            <v>31102192</v>
          </cell>
          <cell r="C7346">
            <v>31102192</v>
          </cell>
          <cell r="D7346">
            <v>31102192</v>
          </cell>
          <cell r="E7346">
            <v>31102192</v>
          </cell>
          <cell r="F7346">
            <v>31102192</v>
          </cell>
          <cell r="G7346">
            <v>31102192</v>
          </cell>
          <cell r="H7346">
            <v>31102192</v>
          </cell>
          <cell r="I7346" t="str">
            <v/>
          </cell>
          <cell r="J7346" t="str">
            <v/>
          </cell>
          <cell r="K7346" t="str">
            <v/>
          </cell>
          <cell r="L7346" t="str">
            <v/>
          </cell>
          <cell r="M7346" t="str">
            <v/>
          </cell>
        </row>
        <row r="7347">
          <cell r="A7347">
            <v>31102192</v>
          </cell>
          <cell r="C7347">
            <v>31102192</v>
          </cell>
          <cell r="D7347">
            <v>31102192</v>
          </cell>
          <cell r="E7347">
            <v>31102192</v>
          </cell>
          <cell r="F7347">
            <v>31102192</v>
          </cell>
          <cell r="G7347">
            <v>31102192</v>
          </cell>
          <cell r="H7347">
            <v>31102192</v>
          </cell>
          <cell r="I7347" t="str">
            <v/>
          </cell>
          <cell r="J7347" t="str">
            <v/>
          </cell>
          <cell r="K7347" t="str">
            <v/>
          </cell>
          <cell r="L7347" t="str">
            <v/>
          </cell>
          <cell r="M7347" t="str">
            <v/>
          </cell>
        </row>
        <row r="7348">
          <cell r="A7348">
            <v>31102192</v>
          </cell>
          <cell r="C7348">
            <v>31102192</v>
          </cell>
          <cell r="D7348">
            <v>31102192</v>
          </cell>
          <cell r="E7348">
            <v>31102192</v>
          </cell>
          <cell r="F7348">
            <v>31102192</v>
          </cell>
          <cell r="G7348">
            <v>31102192</v>
          </cell>
          <cell r="H7348">
            <v>31102192</v>
          </cell>
          <cell r="I7348" t="str">
            <v/>
          </cell>
          <cell r="J7348" t="str">
            <v/>
          </cell>
          <cell r="K7348" t="str">
            <v/>
          </cell>
          <cell r="L7348" t="str">
            <v/>
          </cell>
          <cell r="M7348" t="str">
            <v/>
          </cell>
        </row>
        <row r="7349">
          <cell r="A7349">
            <v>31102192</v>
          </cell>
          <cell r="C7349">
            <v>31102192</v>
          </cell>
          <cell r="D7349">
            <v>31102192</v>
          </cell>
          <cell r="E7349">
            <v>31102192</v>
          </cell>
          <cell r="F7349">
            <v>31102192</v>
          </cell>
          <cell r="G7349">
            <v>31102192</v>
          </cell>
          <cell r="H7349">
            <v>31102192</v>
          </cell>
          <cell r="I7349" t="str">
            <v/>
          </cell>
          <cell r="J7349" t="str">
            <v/>
          </cell>
          <cell r="K7349" t="str">
            <v/>
          </cell>
          <cell r="L7349" t="str">
            <v/>
          </cell>
          <cell r="M7349" t="str">
            <v/>
          </cell>
        </row>
        <row r="7350">
          <cell r="A7350">
            <v>31102192</v>
          </cell>
          <cell r="C7350">
            <v>31102192</v>
          </cell>
          <cell r="D7350">
            <v>31102192</v>
          </cell>
          <cell r="E7350">
            <v>31102192</v>
          </cell>
          <cell r="F7350">
            <v>31102192</v>
          </cell>
          <cell r="G7350">
            <v>31102192</v>
          </cell>
          <cell r="H7350">
            <v>31102192</v>
          </cell>
          <cell r="I7350" t="str">
            <v/>
          </cell>
          <cell r="J7350" t="str">
            <v/>
          </cell>
          <cell r="K7350" t="str">
            <v/>
          </cell>
          <cell r="L7350" t="str">
            <v/>
          </cell>
          <cell r="M7350" t="str">
            <v/>
          </cell>
        </row>
        <row r="7351">
          <cell r="A7351">
            <v>31102192</v>
          </cell>
          <cell r="C7351">
            <v>31102192</v>
          </cell>
          <cell r="D7351">
            <v>31102192</v>
          </cell>
          <cell r="E7351">
            <v>31102192</v>
          </cell>
          <cell r="F7351">
            <v>31102192</v>
          </cell>
          <cell r="G7351">
            <v>31102192</v>
          </cell>
          <cell r="H7351">
            <v>31102192</v>
          </cell>
          <cell r="I7351" t="str">
            <v/>
          </cell>
          <cell r="J7351" t="str">
            <v/>
          </cell>
          <cell r="K7351" t="str">
            <v/>
          </cell>
          <cell r="L7351" t="str">
            <v/>
          </cell>
          <cell r="M7351" t="str">
            <v/>
          </cell>
        </row>
        <row r="7352">
          <cell r="A7352">
            <v>31102192</v>
          </cell>
          <cell r="C7352">
            <v>31102192</v>
          </cell>
          <cell r="D7352">
            <v>31102192</v>
          </cell>
          <cell r="E7352">
            <v>31102192</v>
          </cell>
          <cell r="F7352">
            <v>31102192</v>
          </cell>
          <cell r="G7352">
            <v>31102192</v>
          </cell>
          <cell r="H7352">
            <v>31102192</v>
          </cell>
          <cell r="I7352" t="str">
            <v/>
          </cell>
          <cell r="J7352" t="str">
            <v/>
          </cell>
          <cell r="K7352" t="str">
            <v/>
          </cell>
          <cell r="L7352" t="str">
            <v/>
          </cell>
          <cell r="M7352" t="str">
            <v/>
          </cell>
        </row>
        <row r="7353">
          <cell r="A7353">
            <v>31102192</v>
          </cell>
          <cell r="C7353">
            <v>31102192</v>
          </cell>
          <cell r="D7353">
            <v>31102192</v>
          </cell>
          <cell r="E7353">
            <v>31102192</v>
          </cell>
          <cell r="F7353">
            <v>31102192</v>
          </cell>
          <cell r="G7353">
            <v>31102192</v>
          </cell>
          <cell r="H7353">
            <v>31102192</v>
          </cell>
          <cell r="I7353" t="str">
            <v/>
          </cell>
          <cell r="J7353" t="str">
            <v/>
          </cell>
          <cell r="K7353" t="str">
            <v/>
          </cell>
          <cell r="L7353" t="str">
            <v/>
          </cell>
          <cell r="M7353" t="str">
            <v/>
          </cell>
        </row>
        <row r="7354">
          <cell r="A7354">
            <v>31102192</v>
          </cell>
          <cell r="C7354">
            <v>31102192</v>
          </cell>
          <cell r="D7354">
            <v>31102192</v>
          </cell>
          <cell r="E7354">
            <v>31102192</v>
          </cell>
          <cell r="F7354">
            <v>31102192</v>
          </cell>
          <cell r="G7354">
            <v>31102192</v>
          </cell>
          <cell r="H7354">
            <v>31102192</v>
          </cell>
          <cell r="I7354" t="str">
            <v/>
          </cell>
          <cell r="J7354" t="str">
            <v/>
          </cell>
          <cell r="K7354" t="str">
            <v/>
          </cell>
          <cell r="L7354" t="str">
            <v/>
          </cell>
          <cell r="M7354" t="str">
            <v/>
          </cell>
        </row>
        <row r="7355">
          <cell r="A7355">
            <v>31102192</v>
          </cell>
          <cell r="C7355">
            <v>31102192</v>
          </cell>
          <cell r="D7355">
            <v>31102192</v>
          </cell>
          <cell r="E7355">
            <v>31102192</v>
          </cell>
          <cell r="F7355">
            <v>31102192</v>
          </cell>
          <cell r="G7355">
            <v>31102192</v>
          </cell>
          <cell r="H7355">
            <v>31102192</v>
          </cell>
          <cell r="I7355" t="str">
            <v/>
          </cell>
          <cell r="J7355" t="str">
            <v/>
          </cell>
          <cell r="K7355" t="str">
            <v/>
          </cell>
          <cell r="L7355" t="str">
            <v/>
          </cell>
          <cell r="M7355" t="str">
            <v/>
          </cell>
        </row>
        <row r="7356">
          <cell r="A7356">
            <v>31102192</v>
          </cell>
          <cell r="C7356">
            <v>31102192</v>
          </cell>
          <cell r="D7356">
            <v>31102192</v>
          </cell>
          <cell r="E7356">
            <v>31102192</v>
          </cell>
          <cell r="F7356">
            <v>31102192</v>
          </cell>
          <cell r="G7356">
            <v>31102192</v>
          </cell>
          <cell r="H7356">
            <v>31102192</v>
          </cell>
          <cell r="I7356" t="str">
            <v/>
          </cell>
          <cell r="J7356" t="str">
            <v/>
          </cell>
          <cell r="K7356" t="str">
            <v/>
          </cell>
          <cell r="L7356" t="str">
            <v/>
          </cell>
          <cell r="M7356" t="str">
            <v/>
          </cell>
        </row>
        <row r="7357">
          <cell r="A7357">
            <v>31102192</v>
          </cell>
          <cell r="C7357">
            <v>31102192</v>
          </cell>
          <cell r="D7357">
            <v>31102192</v>
          </cell>
          <cell r="E7357">
            <v>31102192</v>
          </cell>
          <cell r="F7357">
            <v>31102192</v>
          </cell>
          <cell r="G7357">
            <v>31102192</v>
          </cell>
          <cell r="H7357">
            <v>31102192</v>
          </cell>
          <cell r="I7357" t="str">
            <v/>
          </cell>
          <cell r="J7357" t="str">
            <v/>
          </cell>
          <cell r="K7357" t="str">
            <v/>
          </cell>
          <cell r="L7357" t="str">
            <v/>
          </cell>
          <cell r="M7357" t="str">
            <v/>
          </cell>
        </row>
        <row r="7358">
          <cell r="A7358">
            <v>31102192</v>
          </cell>
          <cell r="C7358">
            <v>31102192</v>
          </cell>
          <cell r="D7358">
            <v>31102192</v>
          </cell>
          <cell r="E7358">
            <v>31102192</v>
          </cell>
          <cell r="F7358">
            <v>31102192</v>
          </cell>
          <cell r="G7358">
            <v>31102192</v>
          </cell>
          <cell r="H7358">
            <v>31102192</v>
          </cell>
          <cell r="I7358" t="str">
            <v/>
          </cell>
          <cell r="J7358" t="str">
            <v/>
          </cell>
          <cell r="K7358" t="str">
            <v/>
          </cell>
          <cell r="L7358" t="str">
            <v/>
          </cell>
          <cell r="M7358" t="str">
            <v/>
          </cell>
        </row>
        <row r="7359">
          <cell r="A7359">
            <v>31102192</v>
          </cell>
          <cell r="C7359">
            <v>31102192</v>
          </cell>
          <cell r="D7359">
            <v>31102192</v>
          </cell>
          <cell r="E7359">
            <v>31102192</v>
          </cell>
          <cell r="F7359">
            <v>31102192</v>
          </cell>
          <cell r="G7359">
            <v>31102192</v>
          </cell>
          <cell r="H7359">
            <v>31102192</v>
          </cell>
          <cell r="I7359" t="str">
            <v/>
          </cell>
          <cell r="J7359" t="str">
            <v/>
          </cell>
          <cell r="K7359" t="str">
            <v/>
          </cell>
          <cell r="L7359" t="str">
            <v/>
          </cell>
          <cell r="M7359" t="str">
            <v/>
          </cell>
        </row>
        <row r="7360">
          <cell r="A7360">
            <v>31102192</v>
          </cell>
          <cell r="C7360">
            <v>31102192</v>
          </cell>
          <cell r="D7360">
            <v>31102192</v>
          </cell>
          <cell r="E7360">
            <v>31102192</v>
          </cell>
          <cell r="F7360">
            <v>31102192</v>
          </cell>
          <cell r="G7360">
            <v>31102192</v>
          </cell>
          <cell r="H7360">
            <v>31102192</v>
          </cell>
          <cell r="I7360" t="str">
            <v/>
          </cell>
          <cell r="J7360" t="str">
            <v/>
          </cell>
          <cell r="K7360" t="str">
            <v/>
          </cell>
          <cell r="L7360" t="str">
            <v/>
          </cell>
          <cell r="M7360" t="str">
            <v/>
          </cell>
        </row>
        <row r="7361">
          <cell r="A7361">
            <v>31102192</v>
          </cell>
          <cell r="C7361">
            <v>31102192</v>
          </cell>
          <cell r="D7361">
            <v>31102192</v>
          </cell>
          <cell r="E7361">
            <v>31102192</v>
          </cell>
          <cell r="F7361">
            <v>31102192</v>
          </cell>
          <cell r="G7361">
            <v>31102192</v>
          </cell>
          <cell r="H7361">
            <v>31102192</v>
          </cell>
          <cell r="I7361" t="str">
            <v/>
          </cell>
          <cell r="J7361" t="str">
            <v/>
          </cell>
          <cell r="K7361" t="str">
            <v/>
          </cell>
          <cell r="L7361" t="str">
            <v/>
          </cell>
          <cell r="M7361" t="str">
            <v/>
          </cell>
        </row>
        <row r="7362">
          <cell r="A7362">
            <v>31102192</v>
          </cell>
          <cell r="C7362">
            <v>31102192</v>
          </cell>
          <cell r="D7362">
            <v>31102192</v>
          </cell>
          <cell r="E7362">
            <v>31102192</v>
          </cell>
          <cell r="F7362">
            <v>31102192</v>
          </cell>
          <cell r="G7362">
            <v>31102192</v>
          </cell>
          <cell r="H7362">
            <v>31102192</v>
          </cell>
          <cell r="I7362" t="str">
            <v/>
          </cell>
          <cell r="J7362" t="str">
            <v/>
          </cell>
          <cell r="K7362" t="str">
            <v/>
          </cell>
          <cell r="L7362" t="str">
            <v/>
          </cell>
          <cell r="M7362" t="str">
            <v/>
          </cell>
        </row>
        <row r="7363">
          <cell r="A7363">
            <v>31102192</v>
          </cell>
          <cell r="C7363">
            <v>31102192</v>
          </cell>
          <cell r="D7363">
            <v>31102192</v>
          </cell>
          <cell r="E7363">
            <v>31102192</v>
          </cell>
          <cell r="F7363">
            <v>31102192</v>
          </cell>
          <cell r="G7363">
            <v>31102192</v>
          </cell>
          <cell r="H7363">
            <v>31102192</v>
          </cell>
          <cell r="I7363" t="str">
            <v/>
          </cell>
          <cell r="J7363" t="str">
            <v/>
          </cell>
          <cell r="K7363" t="str">
            <v/>
          </cell>
          <cell r="L7363" t="str">
            <v/>
          </cell>
          <cell r="M7363" t="str">
            <v/>
          </cell>
        </row>
        <row r="7364">
          <cell r="A7364">
            <v>31102192</v>
          </cell>
          <cell r="C7364">
            <v>31102192</v>
          </cell>
          <cell r="D7364">
            <v>31102192</v>
          </cell>
          <cell r="E7364">
            <v>31102192</v>
          </cell>
          <cell r="F7364">
            <v>31102192</v>
          </cell>
          <cell r="G7364">
            <v>31102192</v>
          </cell>
          <cell r="H7364">
            <v>31102192</v>
          </cell>
          <cell r="I7364" t="str">
            <v/>
          </cell>
          <cell r="J7364" t="str">
            <v/>
          </cell>
          <cell r="K7364" t="str">
            <v/>
          </cell>
          <cell r="L7364" t="str">
            <v/>
          </cell>
          <cell r="M7364" t="str">
            <v/>
          </cell>
        </row>
        <row r="7365">
          <cell r="A7365">
            <v>31102192</v>
          </cell>
          <cell r="C7365">
            <v>31102192</v>
          </cell>
          <cell r="D7365">
            <v>31102192</v>
          </cell>
          <cell r="E7365">
            <v>31102192</v>
          </cell>
          <cell r="F7365">
            <v>31102192</v>
          </cell>
          <cell r="G7365">
            <v>31102192</v>
          </cell>
          <cell r="H7365">
            <v>31102192</v>
          </cell>
          <cell r="I7365" t="str">
            <v/>
          </cell>
          <cell r="J7365" t="str">
            <v/>
          </cell>
          <cell r="K7365" t="str">
            <v/>
          </cell>
          <cell r="L7365" t="str">
            <v/>
          </cell>
          <cell r="M7365" t="str">
            <v/>
          </cell>
        </row>
        <row r="7366">
          <cell r="A7366">
            <v>31102192</v>
          </cell>
          <cell r="C7366">
            <v>31102192</v>
          </cell>
          <cell r="D7366">
            <v>31102192</v>
          </cell>
          <cell r="E7366">
            <v>31102192</v>
          </cell>
          <cell r="F7366">
            <v>31102192</v>
          </cell>
          <cell r="G7366">
            <v>31102192</v>
          </cell>
          <cell r="H7366">
            <v>31102192</v>
          </cell>
          <cell r="I7366" t="str">
            <v/>
          </cell>
          <cell r="J7366" t="str">
            <v/>
          </cell>
          <cell r="K7366" t="str">
            <v/>
          </cell>
          <cell r="L7366" t="str">
            <v/>
          </cell>
          <cell r="M7366" t="str">
            <v/>
          </cell>
        </row>
        <row r="7367">
          <cell r="A7367">
            <v>31102192</v>
          </cell>
          <cell r="C7367">
            <v>31102192</v>
          </cell>
          <cell r="D7367">
            <v>31102192</v>
          </cell>
          <cell r="E7367">
            <v>31102192</v>
          </cell>
          <cell r="F7367">
            <v>31102192</v>
          </cell>
          <cell r="G7367">
            <v>31102192</v>
          </cell>
          <cell r="H7367">
            <v>31102192</v>
          </cell>
          <cell r="I7367" t="str">
            <v/>
          </cell>
          <cell r="J7367" t="str">
            <v/>
          </cell>
          <cell r="K7367" t="str">
            <v/>
          </cell>
          <cell r="L7367" t="str">
            <v/>
          </cell>
          <cell r="M7367" t="str">
            <v/>
          </cell>
        </row>
        <row r="7368">
          <cell r="A7368">
            <v>31102192</v>
          </cell>
          <cell r="C7368">
            <v>31102192</v>
          </cell>
          <cell r="D7368">
            <v>31102192</v>
          </cell>
          <cell r="E7368">
            <v>31102192</v>
          </cell>
          <cell r="F7368">
            <v>31102192</v>
          </cell>
          <cell r="G7368">
            <v>31102192</v>
          </cell>
          <cell r="H7368">
            <v>31102192</v>
          </cell>
          <cell r="I7368" t="str">
            <v/>
          </cell>
          <cell r="J7368" t="str">
            <v/>
          </cell>
          <cell r="K7368" t="str">
            <v/>
          </cell>
          <cell r="L7368" t="str">
            <v/>
          </cell>
          <cell r="M7368" t="str">
            <v/>
          </cell>
        </row>
        <row r="7369">
          <cell r="A7369">
            <v>31102192</v>
          </cell>
          <cell r="C7369">
            <v>31102192</v>
          </cell>
          <cell r="D7369">
            <v>31102192</v>
          </cell>
          <cell r="E7369">
            <v>31102192</v>
          </cell>
          <cell r="F7369">
            <v>31102192</v>
          </cell>
          <cell r="G7369">
            <v>31102192</v>
          </cell>
          <cell r="H7369">
            <v>31102192</v>
          </cell>
          <cell r="I7369" t="str">
            <v/>
          </cell>
          <cell r="J7369" t="str">
            <v/>
          </cell>
          <cell r="K7369" t="str">
            <v/>
          </cell>
          <cell r="L7369" t="str">
            <v/>
          </cell>
          <cell r="M7369" t="str">
            <v/>
          </cell>
        </row>
        <row r="7370">
          <cell r="A7370">
            <v>31102192</v>
          </cell>
          <cell r="C7370">
            <v>31102192</v>
          </cell>
          <cell r="D7370">
            <v>31102192</v>
          </cell>
          <cell r="E7370">
            <v>31102192</v>
          </cell>
          <cell r="F7370">
            <v>31102192</v>
          </cell>
          <cell r="G7370">
            <v>31102192</v>
          </cell>
          <cell r="H7370">
            <v>31102192</v>
          </cell>
          <cell r="I7370" t="str">
            <v/>
          </cell>
          <cell r="J7370" t="str">
            <v/>
          </cell>
          <cell r="K7370" t="str">
            <v/>
          </cell>
          <cell r="L7370" t="str">
            <v/>
          </cell>
          <cell r="M7370" t="str">
            <v/>
          </cell>
        </row>
        <row r="7371">
          <cell r="A7371">
            <v>31102192</v>
          </cell>
          <cell r="C7371">
            <v>31102192</v>
          </cell>
          <cell r="D7371">
            <v>31102192</v>
          </cell>
          <cell r="E7371">
            <v>31102192</v>
          </cell>
          <cell r="F7371">
            <v>31102192</v>
          </cell>
          <cell r="G7371">
            <v>31102192</v>
          </cell>
          <cell r="H7371">
            <v>31102192</v>
          </cell>
          <cell r="I7371" t="str">
            <v/>
          </cell>
          <cell r="J7371" t="str">
            <v/>
          </cell>
          <cell r="K7371" t="str">
            <v/>
          </cell>
          <cell r="L7371" t="str">
            <v/>
          </cell>
          <cell r="M7371" t="str">
            <v/>
          </cell>
        </row>
        <row r="7372">
          <cell r="A7372">
            <v>31102192</v>
          </cell>
          <cell r="C7372">
            <v>31102192</v>
          </cell>
          <cell r="D7372">
            <v>31102192</v>
          </cell>
          <cell r="E7372">
            <v>31102192</v>
          </cell>
          <cell r="F7372">
            <v>31102192</v>
          </cell>
          <cell r="G7372">
            <v>31102192</v>
          </cell>
          <cell r="H7372">
            <v>31102192</v>
          </cell>
          <cell r="I7372" t="str">
            <v/>
          </cell>
          <cell r="J7372" t="str">
            <v/>
          </cell>
          <cell r="K7372" t="str">
            <v/>
          </cell>
          <cell r="L7372" t="str">
            <v/>
          </cell>
          <cell r="M7372" t="str">
            <v/>
          </cell>
        </row>
        <row r="7373">
          <cell r="A7373">
            <v>31102192</v>
          </cell>
          <cell r="C7373">
            <v>31102192</v>
          </cell>
          <cell r="D7373">
            <v>31102192</v>
          </cell>
          <cell r="E7373">
            <v>31102192</v>
          </cell>
          <cell r="F7373">
            <v>31102192</v>
          </cell>
          <cell r="G7373">
            <v>31102192</v>
          </cell>
          <cell r="H7373">
            <v>31102192</v>
          </cell>
          <cell r="I7373" t="str">
            <v/>
          </cell>
          <cell r="J7373" t="str">
            <v/>
          </cell>
          <cell r="K7373" t="str">
            <v/>
          </cell>
          <cell r="L7373" t="str">
            <v/>
          </cell>
          <cell r="M7373" t="str">
            <v/>
          </cell>
        </row>
        <row r="7374">
          <cell r="A7374">
            <v>31102192</v>
          </cell>
          <cell r="C7374">
            <v>31102192</v>
          </cell>
          <cell r="D7374">
            <v>31102192</v>
          </cell>
          <cell r="E7374">
            <v>31102192</v>
          </cell>
          <cell r="F7374">
            <v>31102192</v>
          </cell>
          <cell r="G7374">
            <v>31102192</v>
          </cell>
          <cell r="H7374">
            <v>31102192</v>
          </cell>
          <cell r="I7374" t="str">
            <v/>
          </cell>
          <cell r="J7374" t="str">
            <v/>
          </cell>
          <cell r="K7374" t="str">
            <v/>
          </cell>
          <cell r="L7374" t="str">
            <v/>
          </cell>
          <cell r="M7374" t="str">
            <v/>
          </cell>
        </row>
        <row r="7375">
          <cell r="A7375">
            <v>31102192</v>
          </cell>
          <cell r="C7375">
            <v>31102192</v>
          </cell>
          <cell r="D7375">
            <v>31102192</v>
          </cell>
          <cell r="E7375">
            <v>31102192</v>
          </cell>
          <cell r="F7375">
            <v>31102192</v>
          </cell>
          <cell r="G7375">
            <v>31102192</v>
          </cell>
          <cell r="H7375">
            <v>31102192</v>
          </cell>
          <cell r="I7375" t="str">
            <v/>
          </cell>
          <cell r="J7375" t="str">
            <v/>
          </cell>
          <cell r="K7375" t="str">
            <v/>
          </cell>
          <cell r="L7375" t="str">
            <v/>
          </cell>
          <cell r="M7375" t="str">
            <v/>
          </cell>
        </row>
        <row r="7376">
          <cell r="A7376">
            <v>31102192</v>
          </cell>
          <cell r="C7376">
            <v>31102192</v>
          </cell>
          <cell r="D7376">
            <v>31102192</v>
          </cell>
          <cell r="E7376">
            <v>31102192</v>
          </cell>
          <cell r="F7376">
            <v>31102192</v>
          </cell>
          <cell r="G7376">
            <v>31102192</v>
          </cell>
          <cell r="H7376">
            <v>31102192</v>
          </cell>
          <cell r="I7376" t="str">
            <v/>
          </cell>
          <cell r="J7376" t="str">
            <v/>
          </cell>
          <cell r="K7376" t="str">
            <v/>
          </cell>
          <cell r="L7376" t="str">
            <v/>
          </cell>
          <cell r="M7376" t="str">
            <v/>
          </cell>
        </row>
        <row r="7377">
          <cell r="A7377">
            <v>31102192</v>
          </cell>
          <cell r="C7377">
            <v>31102192</v>
          </cell>
          <cell r="D7377">
            <v>31102192</v>
          </cell>
          <cell r="E7377">
            <v>31102192</v>
          </cell>
          <cell r="F7377">
            <v>31102192</v>
          </cell>
          <cell r="G7377">
            <v>31102192</v>
          </cell>
          <cell r="H7377">
            <v>31102192</v>
          </cell>
          <cell r="I7377" t="str">
            <v/>
          </cell>
          <cell r="J7377" t="str">
            <v/>
          </cell>
          <cell r="K7377" t="str">
            <v/>
          </cell>
          <cell r="L7377" t="str">
            <v/>
          </cell>
          <cell r="M7377" t="str">
            <v/>
          </cell>
        </row>
        <row r="7378">
          <cell r="A7378">
            <v>31102192</v>
          </cell>
          <cell r="C7378">
            <v>31102192</v>
          </cell>
          <cell r="D7378">
            <v>31102192</v>
          </cell>
          <cell r="E7378">
            <v>31102192</v>
          </cell>
          <cell r="F7378">
            <v>31102192</v>
          </cell>
          <cell r="G7378">
            <v>31102192</v>
          </cell>
          <cell r="H7378">
            <v>31102192</v>
          </cell>
          <cell r="I7378" t="str">
            <v/>
          </cell>
          <cell r="J7378" t="str">
            <v/>
          </cell>
          <cell r="K7378" t="str">
            <v/>
          </cell>
          <cell r="L7378" t="str">
            <v/>
          </cell>
          <cell r="M7378" t="str">
            <v/>
          </cell>
        </row>
        <row r="7379">
          <cell r="A7379">
            <v>31102192</v>
          </cell>
          <cell r="C7379">
            <v>31102192</v>
          </cell>
          <cell r="D7379">
            <v>31102192</v>
          </cell>
          <cell r="E7379">
            <v>31102192</v>
          </cell>
          <cell r="F7379">
            <v>31102192</v>
          </cell>
          <cell r="G7379">
            <v>31102192</v>
          </cell>
          <cell r="H7379">
            <v>31102192</v>
          </cell>
          <cell r="I7379" t="str">
            <v/>
          </cell>
          <cell r="J7379" t="str">
            <v/>
          </cell>
          <cell r="K7379" t="str">
            <v/>
          </cell>
          <cell r="L7379" t="str">
            <v/>
          </cell>
          <cell r="M7379" t="str">
            <v/>
          </cell>
        </row>
        <row r="7380">
          <cell r="A7380">
            <v>31102192</v>
          </cell>
          <cell r="C7380">
            <v>31102192</v>
          </cell>
          <cell r="D7380">
            <v>31102192</v>
          </cell>
          <cell r="E7380">
            <v>31102192</v>
          </cell>
          <cell r="F7380">
            <v>31102192</v>
          </cell>
          <cell r="G7380">
            <v>31102192</v>
          </cell>
          <cell r="H7380">
            <v>31102192</v>
          </cell>
          <cell r="I7380" t="str">
            <v/>
          </cell>
          <cell r="J7380" t="str">
            <v/>
          </cell>
          <cell r="K7380" t="str">
            <v/>
          </cell>
          <cell r="L7380" t="str">
            <v/>
          </cell>
          <cell r="M7380" t="str">
            <v/>
          </cell>
        </row>
        <row r="7381">
          <cell r="A7381">
            <v>31102192</v>
          </cell>
          <cell r="C7381">
            <v>31102192</v>
          </cell>
          <cell r="D7381">
            <v>31102192</v>
          </cell>
          <cell r="E7381">
            <v>31102192</v>
          </cell>
          <cell r="F7381">
            <v>31102192</v>
          </cell>
          <cell r="G7381">
            <v>31102192</v>
          </cell>
          <cell r="H7381">
            <v>31102192</v>
          </cell>
          <cell r="I7381" t="str">
            <v/>
          </cell>
          <cell r="J7381" t="str">
            <v/>
          </cell>
          <cell r="K7381" t="str">
            <v/>
          </cell>
          <cell r="L7381" t="str">
            <v/>
          </cell>
          <cell r="M7381" t="str">
            <v/>
          </cell>
        </row>
        <row r="7382">
          <cell r="A7382">
            <v>31102192</v>
          </cell>
          <cell r="C7382">
            <v>31102192</v>
          </cell>
          <cell r="D7382">
            <v>31102192</v>
          </cell>
          <cell r="E7382">
            <v>31102192</v>
          </cell>
          <cell r="F7382">
            <v>31102192</v>
          </cell>
          <cell r="G7382">
            <v>31102192</v>
          </cell>
          <cell r="H7382">
            <v>31102192</v>
          </cell>
          <cell r="I7382" t="str">
            <v/>
          </cell>
          <cell r="J7382" t="str">
            <v/>
          </cell>
          <cell r="K7382" t="str">
            <v/>
          </cell>
          <cell r="L7382" t="str">
            <v/>
          </cell>
          <cell r="M7382" t="str">
            <v/>
          </cell>
        </row>
        <row r="7383">
          <cell r="A7383">
            <v>31102192</v>
          </cell>
          <cell r="C7383">
            <v>31102192</v>
          </cell>
          <cell r="D7383">
            <v>31102192</v>
          </cell>
          <cell r="E7383">
            <v>31102192</v>
          </cell>
          <cell r="F7383">
            <v>31102192</v>
          </cell>
          <cell r="G7383">
            <v>31102192</v>
          </cell>
          <cell r="H7383">
            <v>31102192</v>
          </cell>
          <cell r="I7383" t="str">
            <v/>
          </cell>
          <cell r="J7383" t="str">
            <v/>
          </cell>
          <cell r="K7383" t="str">
            <v/>
          </cell>
          <cell r="L7383" t="str">
            <v/>
          </cell>
          <cell r="M7383" t="str">
            <v/>
          </cell>
        </row>
        <row r="7384">
          <cell r="A7384">
            <v>31102192</v>
          </cell>
          <cell r="C7384">
            <v>31102192</v>
          </cell>
          <cell r="D7384">
            <v>31102192</v>
          </cell>
          <cell r="E7384">
            <v>31102192</v>
          </cell>
          <cell r="F7384">
            <v>31102192</v>
          </cell>
          <cell r="G7384">
            <v>31102192</v>
          </cell>
          <cell r="H7384">
            <v>31102192</v>
          </cell>
          <cell r="I7384" t="str">
            <v/>
          </cell>
          <cell r="J7384" t="str">
            <v/>
          </cell>
          <cell r="K7384" t="str">
            <v/>
          </cell>
          <cell r="L7384" t="str">
            <v/>
          </cell>
          <cell r="M7384" t="str">
            <v/>
          </cell>
        </row>
        <row r="7385">
          <cell r="A7385">
            <v>31102192</v>
          </cell>
          <cell r="C7385">
            <v>31102192</v>
          </cell>
          <cell r="D7385">
            <v>31102192</v>
          </cell>
          <cell r="E7385">
            <v>31102192</v>
          </cell>
          <cell r="F7385">
            <v>31102192</v>
          </cell>
          <cell r="G7385">
            <v>31102192</v>
          </cell>
          <cell r="H7385">
            <v>31102192</v>
          </cell>
          <cell r="I7385" t="str">
            <v/>
          </cell>
          <cell r="J7385" t="str">
            <v/>
          </cell>
          <cell r="K7385" t="str">
            <v/>
          </cell>
          <cell r="L7385" t="str">
            <v/>
          </cell>
          <cell r="M7385" t="str">
            <v/>
          </cell>
        </row>
        <row r="7386">
          <cell r="A7386">
            <v>31102192</v>
          </cell>
          <cell r="C7386">
            <v>31102192</v>
          </cell>
          <cell r="D7386">
            <v>31102192</v>
          </cell>
          <cell r="E7386">
            <v>31102192</v>
          </cell>
          <cell r="F7386">
            <v>31102192</v>
          </cell>
          <cell r="G7386">
            <v>31102192</v>
          </cell>
          <cell r="H7386">
            <v>31102192</v>
          </cell>
          <cell r="I7386" t="str">
            <v/>
          </cell>
          <cell r="J7386" t="str">
            <v/>
          </cell>
          <cell r="K7386" t="str">
            <v/>
          </cell>
          <cell r="L7386" t="str">
            <v/>
          </cell>
          <cell r="M7386" t="str">
            <v/>
          </cell>
        </row>
        <row r="7387">
          <cell r="A7387">
            <v>31102192</v>
          </cell>
          <cell r="C7387">
            <v>31102192</v>
          </cell>
          <cell r="D7387">
            <v>31102192</v>
          </cell>
          <cell r="E7387">
            <v>31102192</v>
          </cell>
          <cell r="F7387">
            <v>31102192</v>
          </cell>
          <cell r="G7387">
            <v>31102192</v>
          </cell>
          <cell r="H7387">
            <v>31102192</v>
          </cell>
          <cell r="I7387" t="str">
            <v/>
          </cell>
          <cell r="J7387" t="str">
            <v/>
          </cell>
          <cell r="K7387" t="str">
            <v/>
          </cell>
          <cell r="L7387" t="str">
            <v/>
          </cell>
          <cell r="M7387" t="str">
            <v/>
          </cell>
        </row>
        <row r="7388">
          <cell r="A7388">
            <v>31102192</v>
          </cell>
          <cell r="C7388">
            <v>31102192</v>
          </cell>
          <cell r="D7388">
            <v>31102192</v>
          </cell>
          <cell r="E7388">
            <v>31102192</v>
          </cell>
          <cell r="F7388">
            <v>31102192</v>
          </cell>
          <cell r="G7388">
            <v>31102192</v>
          </cell>
          <cell r="H7388">
            <v>31102192</v>
          </cell>
          <cell r="I7388" t="str">
            <v/>
          </cell>
          <cell r="J7388" t="str">
            <v/>
          </cell>
          <cell r="K7388" t="str">
            <v/>
          </cell>
          <cell r="L7388" t="str">
            <v/>
          </cell>
          <cell r="M7388" t="str">
            <v/>
          </cell>
        </row>
        <row r="7389">
          <cell r="A7389">
            <v>31102192</v>
          </cell>
          <cell r="C7389">
            <v>31102192</v>
          </cell>
          <cell r="D7389">
            <v>31102192</v>
          </cell>
          <cell r="E7389">
            <v>31102192</v>
          </cell>
          <cell r="F7389">
            <v>31102192</v>
          </cell>
          <cell r="G7389">
            <v>31102192</v>
          </cell>
          <cell r="H7389">
            <v>31102192</v>
          </cell>
          <cell r="I7389" t="str">
            <v/>
          </cell>
          <cell r="J7389" t="str">
            <v/>
          </cell>
          <cell r="K7389" t="str">
            <v/>
          </cell>
          <cell r="L7389" t="str">
            <v/>
          </cell>
          <cell r="M7389" t="str">
            <v/>
          </cell>
        </row>
        <row r="7390">
          <cell r="A7390">
            <v>31102192</v>
          </cell>
          <cell r="C7390">
            <v>31102192</v>
          </cell>
          <cell r="D7390">
            <v>31102192</v>
          </cell>
          <cell r="E7390">
            <v>31102192</v>
          </cell>
          <cell r="F7390">
            <v>31102192</v>
          </cell>
          <cell r="G7390">
            <v>31102192</v>
          </cell>
          <cell r="H7390">
            <v>31102192</v>
          </cell>
          <cell r="I7390" t="str">
            <v/>
          </cell>
          <cell r="J7390" t="str">
            <v/>
          </cell>
          <cell r="K7390" t="str">
            <v/>
          </cell>
          <cell r="L7390" t="str">
            <v/>
          </cell>
          <cell r="M7390" t="str">
            <v/>
          </cell>
        </row>
        <row r="7391">
          <cell r="A7391">
            <v>31102192</v>
          </cell>
          <cell r="C7391">
            <v>31102192</v>
          </cell>
          <cell r="D7391">
            <v>31102192</v>
          </cell>
          <cell r="E7391">
            <v>31102192</v>
          </cell>
          <cell r="F7391">
            <v>31102192</v>
          </cell>
          <cell r="G7391">
            <v>31102192</v>
          </cell>
          <cell r="H7391">
            <v>31102192</v>
          </cell>
          <cell r="I7391" t="str">
            <v/>
          </cell>
          <cell r="J7391" t="str">
            <v/>
          </cell>
          <cell r="K7391" t="str">
            <v/>
          </cell>
          <cell r="L7391" t="str">
            <v/>
          </cell>
          <cell r="M7391" t="str">
            <v/>
          </cell>
        </row>
        <row r="7392">
          <cell r="A7392">
            <v>31102192</v>
          </cell>
          <cell r="C7392">
            <v>31102192</v>
          </cell>
          <cell r="D7392">
            <v>31102192</v>
          </cell>
          <cell r="E7392">
            <v>31102192</v>
          </cell>
          <cell r="F7392">
            <v>31102192</v>
          </cell>
          <cell r="G7392">
            <v>31102192</v>
          </cell>
          <cell r="H7392">
            <v>31102192</v>
          </cell>
          <cell r="I7392" t="str">
            <v/>
          </cell>
          <cell r="J7392" t="str">
            <v/>
          </cell>
          <cell r="K7392" t="str">
            <v/>
          </cell>
          <cell r="L7392" t="str">
            <v/>
          </cell>
          <cell r="M7392" t="str">
            <v/>
          </cell>
        </row>
        <row r="7393">
          <cell r="A7393">
            <v>31102192</v>
          </cell>
          <cell r="C7393">
            <v>31102192</v>
          </cell>
          <cell r="D7393">
            <v>31102192</v>
          </cell>
          <cell r="E7393">
            <v>31102192</v>
          </cell>
          <cell r="F7393">
            <v>31102192</v>
          </cell>
          <cell r="G7393">
            <v>31102192</v>
          </cell>
          <cell r="H7393">
            <v>31102192</v>
          </cell>
          <cell r="I7393" t="str">
            <v/>
          </cell>
          <cell r="J7393" t="str">
            <v/>
          </cell>
          <cell r="K7393" t="str">
            <v/>
          </cell>
          <cell r="L7393" t="str">
            <v/>
          </cell>
          <cell r="M7393" t="str">
            <v/>
          </cell>
        </row>
        <row r="7394">
          <cell r="A7394">
            <v>31102192</v>
          </cell>
          <cell r="C7394">
            <v>31102192</v>
          </cell>
          <cell r="D7394">
            <v>31102192</v>
          </cell>
          <cell r="E7394">
            <v>31102192</v>
          </cell>
          <cell r="F7394">
            <v>31102192</v>
          </cell>
          <cell r="G7394">
            <v>31102192</v>
          </cell>
          <cell r="H7394">
            <v>31102192</v>
          </cell>
          <cell r="I7394" t="str">
            <v/>
          </cell>
          <cell r="J7394" t="str">
            <v/>
          </cell>
          <cell r="K7394" t="str">
            <v/>
          </cell>
          <cell r="L7394" t="str">
            <v/>
          </cell>
          <cell r="M7394" t="str">
            <v/>
          </cell>
        </row>
        <row r="7395">
          <cell r="A7395">
            <v>31102192</v>
          </cell>
          <cell r="C7395">
            <v>31102192</v>
          </cell>
          <cell r="D7395">
            <v>31102192</v>
          </cell>
          <cell r="E7395">
            <v>31102192</v>
          </cell>
          <cell r="F7395">
            <v>31102192</v>
          </cell>
          <cell r="G7395">
            <v>31102192</v>
          </cell>
          <cell r="H7395">
            <v>31102192</v>
          </cell>
          <cell r="I7395" t="str">
            <v/>
          </cell>
          <cell r="J7395" t="str">
            <v/>
          </cell>
          <cell r="K7395" t="str">
            <v/>
          </cell>
          <cell r="L7395" t="str">
            <v/>
          </cell>
          <cell r="M7395" t="str">
            <v/>
          </cell>
        </row>
        <row r="7396">
          <cell r="A7396">
            <v>31102192</v>
          </cell>
          <cell r="C7396">
            <v>31102192</v>
          </cell>
          <cell r="D7396">
            <v>31102192</v>
          </cell>
          <cell r="E7396">
            <v>31102192</v>
          </cell>
          <cell r="F7396">
            <v>31102192</v>
          </cell>
          <cell r="G7396">
            <v>31102192</v>
          </cell>
          <cell r="H7396">
            <v>31102192</v>
          </cell>
          <cell r="I7396" t="str">
            <v/>
          </cell>
          <cell r="J7396" t="str">
            <v/>
          </cell>
          <cell r="K7396" t="str">
            <v/>
          </cell>
          <cell r="L7396" t="str">
            <v/>
          </cell>
          <cell r="M7396" t="str">
            <v/>
          </cell>
        </row>
        <row r="7397">
          <cell r="A7397">
            <v>31102192</v>
          </cell>
          <cell r="C7397">
            <v>31102192</v>
          </cell>
          <cell r="D7397">
            <v>31102192</v>
          </cell>
          <cell r="E7397">
            <v>31102192</v>
          </cell>
          <cell r="F7397">
            <v>31102192</v>
          </cell>
          <cell r="G7397">
            <v>31102192</v>
          </cell>
          <cell r="H7397">
            <v>31102192</v>
          </cell>
          <cell r="I7397" t="str">
            <v/>
          </cell>
          <cell r="J7397" t="str">
            <v/>
          </cell>
          <cell r="K7397" t="str">
            <v/>
          </cell>
          <cell r="L7397" t="str">
            <v/>
          </cell>
          <cell r="M7397" t="str">
            <v/>
          </cell>
        </row>
        <row r="7398">
          <cell r="A7398">
            <v>31102192</v>
          </cell>
          <cell r="C7398">
            <v>31102192</v>
          </cell>
          <cell r="D7398">
            <v>31102192</v>
          </cell>
          <cell r="E7398">
            <v>31102192</v>
          </cell>
          <cell r="F7398">
            <v>31102192</v>
          </cell>
          <cell r="G7398">
            <v>31102192</v>
          </cell>
          <cell r="H7398">
            <v>31102192</v>
          </cell>
          <cell r="I7398" t="str">
            <v/>
          </cell>
          <cell r="J7398" t="str">
            <v/>
          </cell>
          <cell r="K7398" t="str">
            <v/>
          </cell>
          <cell r="L7398" t="str">
            <v/>
          </cell>
          <cell r="M7398" t="str">
            <v/>
          </cell>
        </row>
        <row r="7399">
          <cell r="A7399">
            <v>31102192</v>
          </cell>
          <cell r="C7399">
            <v>31102192</v>
          </cell>
          <cell r="D7399">
            <v>31102192</v>
          </cell>
          <cell r="E7399">
            <v>31102192</v>
          </cell>
          <cell r="F7399">
            <v>31102192</v>
          </cell>
          <cell r="G7399">
            <v>31102192</v>
          </cell>
          <cell r="H7399">
            <v>31102192</v>
          </cell>
          <cell r="I7399" t="str">
            <v/>
          </cell>
          <cell r="J7399" t="str">
            <v/>
          </cell>
          <cell r="K7399" t="str">
            <v/>
          </cell>
          <cell r="L7399" t="str">
            <v/>
          </cell>
          <cell r="M7399" t="str">
            <v/>
          </cell>
        </row>
        <row r="7400">
          <cell r="A7400">
            <v>31102192</v>
          </cell>
          <cell r="C7400">
            <v>31102192</v>
          </cell>
          <cell r="D7400">
            <v>31102192</v>
          </cell>
          <cell r="E7400">
            <v>31102192</v>
          </cell>
          <cell r="F7400">
            <v>31102192</v>
          </cell>
          <cell r="G7400">
            <v>31102192</v>
          </cell>
          <cell r="H7400">
            <v>31102192</v>
          </cell>
          <cell r="I7400" t="str">
            <v/>
          </cell>
          <cell r="J7400" t="str">
            <v/>
          </cell>
          <cell r="K7400" t="str">
            <v/>
          </cell>
          <cell r="L7400" t="str">
            <v/>
          </cell>
          <cell r="M7400" t="str">
            <v/>
          </cell>
        </row>
        <row r="7401">
          <cell r="A7401">
            <v>31102192</v>
          </cell>
          <cell r="C7401">
            <v>31102192</v>
          </cell>
          <cell r="D7401">
            <v>31102192</v>
          </cell>
          <cell r="E7401">
            <v>31102192</v>
          </cell>
          <cell r="F7401">
            <v>31102192</v>
          </cell>
          <cell r="G7401">
            <v>31102192</v>
          </cell>
          <cell r="H7401">
            <v>31102192</v>
          </cell>
          <cell r="I7401" t="str">
            <v/>
          </cell>
          <cell r="J7401" t="str">
            <v/>
          </cell>
          <cell r="K7401" t="str">
            <v/>
          </cell>
          <cell r="L7401" t="str">
            <v/>
          </cell>
          <cell r="M7401" t="str">
            <v/>
          </cell>
        </row>
        <row r="7402">
          <cell r="A7402">
            <v>31102192</v>
          </cell>
          <cell r="C7402">
            <v>31102192</v>
          </cell>
          <cell r="D7402">
            <v>31102192</v>
          </cell>
          <cell r="E7402">
            <v>31102192</v>
          </cell>
          <cell r="F7402">
            <v>31102192</v>
          </cell>
          <cell r="G7402">
            <v>31102192</v>
          </cell>
          <cell r="H7402">
            <v>31102192</v>
          </cell>
          <cell r="I7402" t="str">
            <v/>
          </cell>
          <cell r="J7402" t="str">
            <v/>
          </cell>
          <cell r="K7402" t="str">
            <v/>
          </cell>
          <cell r="L7402" t="str">
            <v/>
          </cell>
          <cell r="M7402" t="str">
            <v/>
          </cell>
        </row>
        <row r="7403">
          <cell r="A7403">
            <v>31102192</v>
          </cell>
          <cell r="C7403">
            <v>31102192</v>
          </cell>
          <cell r="D7403">
            <v>31102192</v>
          </cell>
          <cell r="E7403">
            <v>31102192</v>
          </cell>
          <cell r="F7403">
            <v>31102192</v>
          </cell>
          <cell r="G7403">
            <v>31102192</v>
          </cell>
          <cell r="H7403">
            <v>31102192</v>
          </cell>
          <cell r="I7403" t="str">
            <v/>
          </cell>
          <cell r="J7403" t="str">
            <v/>
          </cell>
          <cell r="K7403" t="str">
            <v/>
          </cell>
          <cell r="L7403" t="str">
            <v/>
          </cell>
          <cell r="M7403" t="str">
            <v/>
          </cell>
        </row>
        <row r="7404">
          <cell r="A7404">
            <v>31102192</v>
          </cell>
          <cell r="C7404">
            <v>31102192</v>
          </cell>
          <cell r="D7404">
            <v>31102192</v>
          </cell>
          <cell r="E7404">
            <v>31102192</v>
          </cell>
          <cell r="F7404">
            <v>31102192</v>
          </cell>
          <cell r="G7404">
            <v>31102192</v>
          </cell>
          <cell r="H7404">
            <v>31102192</v>
          </cell>
          <cell r="I7404" t="str">
            <v/>
          </cell>
          <cell r="J7404" t="str">
            <v/>
          </cell>
          <cell r="K7404" t="str">
            <v/>
          </cell>
          <cell r="L7404" t="str">
            <v/>
          </cell>
          <cell r="M7404" t="str">
            <v/>
          </cell>
        </row>
        <row r="7405">
          <cell r="A7405">
            <v>31102192</v>
          </cell>
          <cell r="C7405">
            <v>31102192</v>
          </cell>
          <cell r="D7405">
            <v>31102192</v>
          </cell>
          <cell r="E7405">
            <v>31102192</v>
          </cell>
          <cell r="F7405">
            <v>31102192</v>
          </cell>
          <cell r="G7405">
            <v>31102192</v>
          </cell>
          <cell r="H7405">
            <v>31102192</v>
          </cell>
          <cell r="I7405" t="str">
            <v/>
          </cell>
          <cell r="J7405" t="str">
            <v/>
          </cell>
          <cell r="K7405" t="str">
            <v/>
          </cell>
          <cell r="L7405" t="str">
            <v/>
          </cell>
          <cell r="M7405" t="str">
            <v/>
          </cell>
        </row>
        <row r="7406">
          <cell r="A7406">
            <v>31102192</v>
          </cell>
          <cell r="C7406">
            <v>31102192</v>
          </cell>
          <cell r="D7406">
            <v>31102192</v>
          </cell>
          <cell r="E7406">
            <v>31102192</v>
          </cell>
          <cell r="F7406">
            <v>31102192</v>
          </cell>
          <cell r="G7406">
            <v>31102192</v>
          </cell>
          <cell r="H7406">
            <v>31102192</v>
          </cell>
          <cell r="I7406" t="str">
            <v/>
          </cell>
          <cell r="J7406" t="str">
            <v/>
          </cell>
          <cell r="K7406" t="str">
            <v/>
          </cell>
          <cell r="L7406" t="str">
            <v/>
          </cell>
          <cell r="M7406" t="str">
            <v/>
          </cell>
        </row>
        <row r="7407">
          <cell r="A7407">
            <v>31102192</v>
          </cell>
          <cell r="C7407">
            <v>31102192</v>
          </cell>
          <cell r="D7407">
            <v>31102192</v>
          </cell>
          <cell r="E7407">
            <v>31102192</v>
          </cell>
          <cell r="F7407">
            <v>31102192</v>
          </cell>
          <cell r="G7407">
            <v>31102192</v>
          </cell>
          <cell r="H7407">
            <v>31102192</v>
          </cell>
          <cell r="I7407" t="str">
            <v/>
          </cell>
          <cell r="J7407" t="str">
            <v/>
          </cell>
          <cell r="K7407" t="str">
            <v/>
          </cell>
          <cell r="L7407" t="str">
            <v/>
          </cell>
          <cell r="M7407" t="str">
            <v/>
          </cell>
        </row>
        <row r="7408">
          <cell r="A7408">
            <v>31102192</v>
          </cell>
          <cell r="C7408">
            <v>31102192</v>
          </cell>
          <cell r="D7408">
            <v>31102192</v>
          </cell>
          <cell r="E7408">
            <v>31102192</v>
          </cell>
          <cell r="F7408">
            <v>31102192</v>
          </cell>
          <cell r="G7408">
            <v>31102192</v>
          </cell>
          <cell r="H7408">
            <v>31102192</v>
          </cell>
          <cell r="I7408" t="str">
            <v/>
          </cell>
          <cell r="J7408" t="str">
            <v/>
          </cell>
          <cell r="K7408" t="str">
            <v/>
          </cell>
          <cell r="L7408" t="str">
            <v/>
          </cell>
          <cell r="M7408" t="str">
            <v/>
          </cell>
        </row>
        <row r="7409">
          <cell r="A7409">
            <v>31102192</v>
          </cell>
          <cell r="C7409">
            <v>31102192</v>
          </cell>
          <cell r="D7409">
            <v>31102192</v>
          </cell>
          <cell r="E7409">
            <v>31102192</v>
          </cell>
          <cell r="F7409">
            <v>31102192</v>
          </cell>
          <cell r="G7409">
            <v>31102192</v>
          </cell>
          <cell r="H7409">
            <v>31102192</v>
          </cell>
          <cell r="I7409" t="str">
            <v/>
          </cell>
          <cell r="J7409" t="str">
            <v/>
          </cell>
          <cell r="K7409" t="str">
            <v/>
          </cell>
          <cell r="L7409" t="str">
            <v/>
          </cell>
          <cell r="M7409" t="str">
            <v/>
          </cell>
        </row>
        <row r="7410">
          <cell r="A7410">
            <v>31102192</v>
          </cell>
          <cell r="C7410">
            <v>31102192</v>
          </cell>
          <cell r="D7410">
            <v>31102192</v>
          </cell>
          <cell r="E7410">
            <v>31102192</v>
          </cell>
          <cell r="F7410">
            <v>31102192</v>
          </cell>
          <cell r="G7410">
            <v>31102192</v>
          </cell>
          <cell r="H7410">
            <v>31102192</v>
          </cell>
          <cell r="I7410" t="str">
            <v/>
          </cell>
          <cell r="J7410" t="str">
            <v/>
          </cell>
          <cell r="K7410" t="str">
            <v/>
          </cell>
          <cell r="L7410" t="str">
            <v/>
          </cell>
          <cell r="M7410" t="str">
            <v/>
          </cell>
        </row>
        <row r="7411">
          <cell r="A7411">
            <v>31102192</v>
          </cell>
          <cell r="C7411">
            <v>31102192</v>
          </cell>
          <cell r="D7411">
            <v>31102192</v>
          </cell>
          <cell r="E7411">
            <v>31102192</v>
          </cell>
          <cell r="F7411">
            <v>31102192</v>
          </cell>
          <cell r="G7411">
            <v>31102192</v>
          </cell>
          <cell r="H7411">
            <v>31102192</v>
          </cell>
          <cell r="I7411" t="str">
            <v/>
          </cell>
          <cell r="J7411" t="str">
            <v/>
          </cell>
          <cell r="K7411" t="str">
            <v/>
          </cell>
          <cell r="L7411" t="str">
            <v/>
          </cell>
          <cell r="M7411" t="str">
            <v/>
          </cell>
        </row>
        <row r="7412">
          <cell r="A7412">
            <v>31102192</v>
          </cell>
          <cell r="C7412">
            <v>31102192</v>
          </cell>
          <cell r="D7412">
            <v>31102192</v>
          </cell>
          <cell r="E7412">
            <v>31102192</v>
          </cell>
          <cell r="F7412">
            <v>31102192</v>
          </cell>
          <cell r="G7412">
            <v>31102192</v>
          </cell>
          <cell r="H7412">
            <v>31102192</v>
          </cell>
          <cell r="I7412" t="str">
            <v/>
          </cell>
          <cell r="J7412" t="str">
            <v/>
          </cell>
          <cell r="K7412" t="str">
            <v/>
          </cell>
          <cell r="L7412" t="str">
            <v/>
          </cell>
          <cell r="M7412" t="str">
            <v/>
          </cell>
        </row>
        <row r="7413">
          <cell r="A7413">
            <v>31102192</v>
          </cell>
          <cell r="C7413">
            <v>31102192</v>
          </cell>
          <cell r="D7413">
            <v>31102192</v>
          </cell>
          <cell r="E7413">
            <v>31102192</v>
          </cell>
          <cell r="F7413">
            <v>31102192</v>
          </cell>
          <cell r="G7413">
            <v>31102192</v>
          </cell>
          <cell r="H7413">
            <v>31102192</v>
          </cell>
          <cell r="I7413" t="str">
            <v/>
          </cell>
          <cell r="J7413" t="str">
            <v/>
          </cell>
          <cell r="K7413" t="str">
            <v/>
          </cell>
          <cell r="L7413" t="str">
            <v/>
          </cell>
          <cell r="M7413" t="str">
            <v/>
          </cell>
        </row>
        <row r="7414">
          <cell r="A7414">
            <v>31102192</v>
          </cell>
          <cell r="C7414">
            <v>31102192</v>
          </cell>
          <cell r="D7414">
            <v>31102192</v>
          </cell>
          <cell r="E7414">
            <v>31102192</v>
          </cell>
          <cell r="F7414">
            <v>31102192</v>
          </cell>
          <cell r="G7414">
            <v>31102192</v>
          </cell>
          <cell r="H7414">
            <v>31102192</v>
          </cell>
          <cell r="I7414" t="str">
            <v/>
          </cell>
          <cell r="J7414" t="str">
            <v/>
          </cell>
          <cell r="K7414" t="str">
            <v/>
          </cell>
          <cell r="L7414" t="str">
            <v/>
          </cell>
          <cell r="M7414" t="str">
            <v/>
          </cell>
        </row>
        <row r="7415">
          <cell r="A7415">
            <v>31102192</v>
          </cell>
          <cell r="C7415">
            <v>31102192</v>
          </cell>
          <cell r="D7415">
            <v>31102192</v>
          </cell>
          <cell r="E7415">
            <v>31102192</v>
          </cell>
          <cell r="F7415">
            <v>31102192</v>
          </cell>
          <cell r="G7415">
            <v>31102192</v>
          </cell>
          <cell r="H7415">
            <v>31102192</v>
          </cell>
          <cell r="I7415" t="str">
            <v/>
          </cell>
          <cell r="J7415" t="str">
            <v/>
          </cell>
          <cell r="K7415" t="str">
            <v/>
          </cell>
          <cell r="L7415" t="str">
            <v/>
          </cell>
          <cell r="M7415" t="str">
            <v/>
          </cell>
        </row>
        <row r="7416">
          <cell r="A7416">
            <v>31102192</v>
          </cell>
          <cell r="C7416">
            <v>31102192</v>
          </cell>
          <cell r="D7416">
            <v>31102192</v>
          </cell>
          <cell r="E7416">
            <v>31102192</v>
          </cell>
          <cell r="F7416">
            <v>31102192</v>
          </cell>
          <cell r="G7416">
            <v>31102192</v>
          </cell>
          <cell r="H7416">
            <v>31102192</v>
          </cell>
          <cell r="I7416" t="str">
            <v/>
          </cell>
          <cell r="J7416" t="str">
            <v/>
          </cell>
          <cell r="K7416" t="str">
            <v/>
          </cell>
          <cell r="L7416" t="str">
            <v/>
          </cell>
          <cell r="M7416" t="str">
            <v/>
          </cell>
        </row>
        <row r="7417">
          <cell r="A7417">
            <v>31102192</v>
          </cell>
          <cell r="C7417">
            <v>31102192</v>
          </cell>
          <cell r="D7417">
            <v>31102192</v>
          </cell>
          <cell r="E7417">
            <v>31102192</v>
          </cell>
          <cell r="F7417">
            <v>31102192</v>
          </cell>
          <cell r="G7417">
            <v>31102192</v>
          </cell>
          <cell r="H7417">
            <v>31102192</v>
          </cell>
          <cell r="I7417" t="str">
            <v/>
          </cell>
          <cell r="J7417" t="str">
            <v/>
          </cell>
          <cell r="K7417" t="str">
            <v/>
          </cell>
          <cell r="L7417" t="str">
            <v/>
          </cell>
          <cell r="M7417" t="str">
            <v/>
          </cell>
        </row>
        <row r="7418">
          <cell r="A7418">
            <v>31102192</v>
          </cell>
          <cell r="C7418">
            <v>31102192</v>
          </cell>
          <cell r="D7418">
            <v>31102192</v>
          </cell>
          <cell r="E7418">
            <v>31102192</v>
          </cell>
          <cell r="F7418">
            <v>31102192</v>
          </cell>
          <cell r="G7418">
            <v>31102192</v>
          </cell>
          <cell r="H7418">
            <v>31102192</v>
          </cell>
          <cell r="I7418" t="str">
            <v/>
          </cell>
          <cell r="J7418" t="str">
            <v/>
          </cell>
          <cell r="K7418" t="str">
            <v/>
          </cell>
          <cell r="L7418" t="str">
            <v/>
          </cell>
          <cell r="M7418" t="str">
            <v/>
          </cell>
        </row>
        <row r="7419">
          <cell r="A7419">
            <v>31102192</v>
          </cell>
          <cell r="C7419">
            <v>31102192</v>
          </cell>
          <cell r="D7419">
            <v>31102192</v>
          </cell>
          <cell r="E7419">
            <v>31102192</v>
          </cell>
          <cell r="F7419">
            <v>31102192</v>
          </cell>
          <cell r="G7419">
            <v>31102192</v>
          </cell>
          <cell r="H7419">
            <v>31102192</v>
          </cell>
          <cell r="I7419" t="str">
            <v/>
          </cell>
          <cell r="J7419" t="str">
            <v/>
          </cell>
          <cell r="K7419" t="str">
            <v/>
          </cell>
          <cell r="L7419" t="str">
            <v/>
          </cell>
          <cell r="M7419" t="str">
            <v/>
          </cell>
        </row>
        <row r="7420">
          <cell r="A7420">
            <v>31102192</v>
          </cell>
          <cell r="C7420">
            <v>31102192</v>
          </cell>
          <cell r="D7420">
            <v>31102192</v>
          </cell>
          <cell r="E7420">
            <v>31102192</v>
          </cell>
          <cell r="F7420">
            <v>31102192</v>
          </cell>
          <cell r="G7420">
            <v>31102192</v>
          </cell>
          <cell r="H7420">
            <v>31102192</v>
          </cell>
          <cell r="I7420" t="str">
            <v/>
          </cell>
          <cell r="J7420" t="str">
            <v/>
          </cell>
          <cell r="K7420" t="str">
            <v/>
          </cell>
          <cell r="L7420" t="str">
            <v/>
          </cell>
          <cell r="M7420" t="str">
            <v/>
          </cell>
        </row>
        <row r="7421">
          <cell r="A7421">
            <v>31102192</v>
          </cell>
          <cell r="C7421">
            <v>31102192</v>
          </cell>
          <cell r="D7421">
            <v>31102192</v>
          </cell>
          <cell r="E7421">
            <v>31102192</v>
          </cell>
          <cell r="F7421">
            <v>31102192</v>
          </cell>
          <cell r="G7421">
            <v>31102192</v>
          </cell>
          <cell r="H7421">
            <v>31102192</v>
          </cell>
          <cell r="I7421" t="str">
            <v/>
          </cell>
          <cell r="J7421" t="str">
            <v/>
          </cell>
          <cell r="K7421" t="str">
            <v/>
          </cell>
          <cell r="L7421" t="str">
            <v/>
          </cell>
          <cell r="M7421" t="str">
            <v/>
          </cell>
        </row>
        <row r="7422">
          <cell r="A7422">
            <v>31102192</v>
          </cell>
          <cell r="C7422">
            <v>31102192</v>
          </cell>
          <cell r="D7422">
            <v>31102192</v>
          </cell>
          <cell r="E7422">
            <v>31102192</v>
          </cell>
          <cell r="F7422">
            <v>31102192</v>
          </cell>
          <cell r="G7422">
            <v>31102192</v>
          </cell>
          <cell r="H7422">
            <v>31102192</v>
          </cell>
          <cell r="I7422" t="str">
            <v/>
          </cell>
          <cell r="J7422" t="str">
            <v/>
          </cell>
          <cell r="K7422" t="str">
            <v/>
          </cell>
          <cell r="L7422" t="str">
            <v/>
          </cell>
          <cell r="M7422" t="str">
            <v/>
          </cell>
        </row>
        <row r="7423">
          <cell r="A7423">
            <v>31102192</v>
          </cell>
          <cell r="C7423">
            <v>31102192</v>
          </cell>
          <cell r="D7423">
            <v>31102192</v>
          </cell>
          <cell r="E7423">
            <v>31102192</v>
          </cell>
          <cell r="F7423">
            <v>31102192</v>
          </cell>
          <cell r="G7423">
            <v>31102192</v>
          </cell>
          <cell r="H7423">
            <v>31102192</v>
          </cell>
          <cell r="I7423" t="str">
            <v/>
          </cell>
          <cell r="J7423" t="str">
            <v/>
          </cell>
          <cell r="K7423" t="str">
            <v/>
          </cell>
          <cell r="L7423" t="str">
            <v/>
          </cell>
          <cell r="M7423" t="str">
            <v/>
          </cell>
        </row>
        <row r="7424">
          <cell r="A7424">
            <v>31102192</v>
          </cell>
          <cell r="C7424">
            <v>31102192</v>
          </cell>
          <cell r="D7424">
            <v>31102192</v>
          </cell>
          <cell r="E7424">
            <v>31102192</v>
          </cell>
          <cell r="F7424">
            <v>31102192</v>
          </cell>
          <cell r="G7424">
            <v>31102192</v>
          </cell>
          <cell r="H7424">
            <v>31102192</v>
          </cell>
          <cell r="I7424" t="str">
            <v/>
          </cell>
          <cell r="J7424" t="str">
            <v/>
          </cell>
          <cell r="K7424" t="str">
            <v/>
          </cell>
          <cell r="L7424" t="str">
            <v/>
          </cell>
          <cell r="M7424" t="str">
            <v/>
          </cell>
        </row>
        <row r="7425">
          <cell r="A7425">
            <v>31102192</v>
          </cell>
          <cell r="C7425">
            <v>31102192</v>
          </cell>
          <cell r="D7425">
            <v>31102192</v>
          </cell>
          <cell r="E7425">
            <v>31102192</v>
          </cell>
          <cell r="F7425">
            <v>31102192</v>
          </cell>
          <cell r="G7425">
            <v>31102192</v>
          </cell>
          <cell r="H7425">
            <v>31102192</v>
          </cell>
          <cell r="I7425" t="str">
            <v/>
          </cell>
          <cell r="J7425" t="str">
            <v/>
          </cell>
          <cell r="K7425" t="str">
            <v/>
          </cell>
          <cell r="L7425" t="str">
            <v/>
          </cell>
          <cell r="M7425" t="str">
            <v/>
          </cell>
        </row>
        <row r="7426">
          <cell r="A7426">
            <v>31102192</v>
          </cell>
          <cell r="C7426">
            <v>31102192</v>
          </cell>
          <cell r="D7426">
            <v>31102192</v>
          </cell>
          <cell r="E7426">
            <v>31102192</v>
          </cell>
          <cell r="F7426">
            <v>31102192</v>
          </cell>
          <cell r="G7426">
            <v>31102192</v>
          </cell>
          <cell r="H7426">
            <v>31102192</v>
          </cell>
          <cell r="I7426" t="str">
            <v/>
          </cell>
          <cell r="J7426" t="str">
            <v/>
          </cell>
          <cell r="K7426" t="str">
            <v/>
          </cell>
          <cell r="L7426" t="str">
            <v/>
          </cell>
          <cell r="M7426" t="str">
            <v/>
          </cell>
        </row>
        <row r="7427">
          <cell r="A7427">
            <v>31102192</v>
          </cell>
          <cell r="C7427">
            <v>31102192</v>
          </cell>
          <cell r="D7427">
            <v>31102192</v>
          </cell>
          <cell r="E7427">
            <v>31102192</v>
          </cell>
          <cell r="F7427">
            <v>31102192</v>
          </cell>
          <cell r="G7427">
            <v>31102192</v>
          </cell>
          <cell r="H7427">
            <v>31102192</v>
          </cell>
          <cell r="I7427" t="str">
            <v/>
          </cell>
          <cell r="J7427" t="str">
            <v/>
          </cell>
          <cell r="K7427" t="str">
            <v/>
          </cell>
          <cell r="L7427" t="str">
            <v/>
          </cell>
          <cell r="M7427" t="str">
            <v/>
          </cell>
        </row>
        <row r="7428">
          <cell r="A7428">
            <v>31102192</v>
          </cell>
          <cell r="C7428">
            <v>31102192</v>
          </cell>
          <cell r="D7428">
            <v>31102192</v>
          </cell>
          <cell r="E7428">
            <v>31102192</v>
          </cell>
          <cell r="F7428">
            <v>31102192</v>
          </cell>
          <cell r="G7428">
            <v>31102192</v>
          </cell>
          <cell r="H7428">
            <v>31102192</v>
          </cell>
          <cell r="I7428" t="str">
            <v/>
          </cell>
          <cell r="J7428" t="str">
            <v/>
          </cell>
          <cell r="K7428" t="str">
            <v/>
          </cell>
          <cell r="L7428" t="str">
            <v/>
          </cell>
          <cell r="M7428" t="str">
            <v/>
          </cell>
        </row>
        <row r="7429">
          <cell r="A7429">
            <v>31102192</v>
          </cell>
          <cell r="C7429">
            <v>31102192</v>
          </cell>
          <cell r="D7429">
            <v>31102192</v>
          </cell>
          <cell r="E7429">
            <v>31102192</v>
          </cell>
          <cell r="F7429">
            <v>31102192</v>
          </cell>
          <cell r="G7429">
            <v>31102192</v>
          </cell>
          <cell r="H7429">
            <v>31102192</v>
          </cell>
          <cell r="I7429" t="str">
            <v/>
          </cell>
          <cell r="J7429" t="str">
            <v/>
          </cell>
          <cell r="K7429" t="str">
            <v/>
          </cell>
          <cell r="L7429" t="str">
            <v/>
          </cell>
          <cell r="M7429" t="str">
            <v/>
          </cell>
        </row>
        <row r="7430">
          <cell r="A7430">
            <v>31102192</v>
          </cell>
          <cell r="C7430">
            <v>31102192</v>
          </cell>
          <cell r="D7430">
            <v>31102192</v>
          </cell>
          <cell r="E7430">
            <v>31102192</v>
          </cell>
          <cell r="F7430">
            <v>31102192</v>
          </cell>
          <cell r="G7430">
            <v>31102192</v>
          </cell>
          <cell r="H7430">
            <v>31102192</v>
          </cell>
          <cell r="I7430" t="str">
            <v/>
          </cell>
          <cell r="J7430" t="str">
            <v/>
          </cell>
          <cell r="K7430" t="str">
            <v/>
          </cell>
          <cell r="L7430" t="str">
            <v/>
          </cell>
          <cell r="M7430" t="str">
            <v/>
          </cell>
        </row>
        <row r="7431">
          <cell r="A7431">
            <v>31102192</v>
          </cell>
          <cell r="C7431">
            <v>31102192</v>
          </cell>
          <cell r="D7431">
            <v>31102192</v>
          </cell>
          <cell r="E7431">
            <v>31102192</v>
          </cell>
          <cell r="F7431">
            <v>31102192</v>
          </cell>
          <cell r="G7431">
            <v>31102192</v>
          </cell>
          <cell r="H7431">
            <v>31102192</v>
          </cell>
          <cell r="I7431" t="str">
            <v/>
          </cell>
          <cell r="J7431" t="str">
            <v/>
          </cell>
          <cell r="K7431" t="str">
            <v/>
          </cell>
          <cell r="L7431" t="str">
            <v/>
          </cell>
          <cell r="M7431" t="str">
            <v/>
          </cell>
        </row>
        <row r="7432">
          <cell r="A7432">
            <v>31102192</v>
          </cell>
          <cell r="C7432">
            <v>31102192</v>
          </cell>
          <cell r="D7432">
            <v>31102192</v>
          </cell>
          <cell r="E7432">
            <v>31102192</v>
          </cell>
          <cell r="F7432">
            <v>31102192</v>
          </cell>
          <cell r="G7432">
            <v>31102192</v>
          </cell>
          <cell r="H7432">
            <v>31102192</v>
          </cell>
          <cell r="I7432" t="str">
            <v/>
          </cell>
          <cell r="J7432" t="str">
            <v/>
          </cell>
          <cell r="K7432" t="str">
            <v/>
          </cell>
          <cell r="L7432" t="str">
            <v/>
          </cell>
          <cell r="M7432" t="str">
            <v/>
          </cell>
        </row>
        <row r="7433">
          <cell r="A7433">
            <v>31102192</v>
          </cell>
          <cell r="C7433">
            <v>31102192</v>
          </cell>
          <cell r="D7433">
            <v>31102192</v>
          </cell>
          <cell r="E7433">
            <v>31102192</v>
          </cell>
          <cell r="F7433">
            <v>31102192</v>
          </cell>
          <cell r="G7433">
            <v>31102192</v>
          </cell>
          <cell r="H7433">
            <v>31102192</v>
          </cell>
          <cell r="I7433" t="str">
            <v/>
          </cell>
          <cell r="J7433" t="str">
            <v/>
          </cell>
          <cell r="K7433" t="str">
            <v/>
          </cell>
          <cell r="L7433" t="str">
            <v/>
          </cell>
          <cell r="M7433" t="str">
            <v/>
          </cell>
        </row>
        <row r="7434">
          <cell r="A7434">
            <v>31102192</v>
          </cell>
          <cell r="C7434">
            <v>31102192</v>
          </cell>
          <cell r="D7434">
            <v>31102192</v>
          </cell>
          <cell r="E7434">
            <v>31102192</v>
          </cell>
          <cell r="F7434">
            <v>31102192</v>
          </cell>
          <cell r="G7434">
            <v>31102192</v>
          </cell>
          <cell r="H7434">
            <v>31102192</v>
          </cell>
          <cell r="I7434" t="str">
            <v/>
          </cell>
          <cell r="J7434" t="str">
            <v/>
          </cell>
          <cell r="K7434" t="str">
            <v/>
          </cell>
          <cell r="L7434" t="str">
            <v/>
          </cell>
          <cell r="M7434" t="str">
            <v/>
          </cell>
        </row>
        <row r="7435">
          <cell r="A7435">
            <v>31102192</v>
          </cell>
          <cell r="C7435">
            <v>31102192</v>
          </cell>
          <cell r="D7435">
            <v>31102192</v>
          </cell>
          <cell r="E7435">
            <v>31102192</v>
          </cell>
          <cell r="F7435">
            <v>31102192</v>
          </cell>
          <cell r="G7435">
            <v>31102192</v>
          </cell>
          <cell r="H7435">
            <v>31102192</v>
          </cell>
          <cell r="I7435" t="str">
            <v/>
          </cell>
          <cell r="J7435" t="str">
            <v/>
          </cell>
          <cell r="K7435" t="str">
            <v/>
          </cell>
          <cell r="L7435" t="str">
            <v/>
          </cell>
          <cell r="M7435" t="str">
            <v/>
          </cell>
        </row>
        <row r="7436">
          <cell r="A7436">
            <v>31102192</v>
          </cell>
          <cell r="C7436">
            <v>31102192</v>
          </cell>
          <cell r="D7436">
            <v>31102192</v>
          </cell>
          <cell r="E7436">
            <v>31102192</v>
          </cell>
          <cell r="F7436">
            <v>31102192</v>
          </cell>
          <cell r="G7436">
            <v>31102192</v>
          </cell>
          <cell r="H7436">
            <v>31102192</v>
          </cell>
          <cell r="I7436" t="str">
            <v/>
          </cell>
          <cell r="J7436" t="str">
            <v/>
          </cell>
          <cell r="K7436" t="str">
            <v/>
          </cell>
          <cell r="L7436" t="str">
            <v/>
          </cell>
          <cell r="M7436" t="str">
            <v/>
          </cell>
        </row>
        <row r="7437">
          <cell r="A7437">
            <v>31102192</v>
          </cell>
          <cell r="C7437">
            <v>31102192</v>
          </cell>
          <cell r="D7437">
            <v>31102192</v>
          </cell>
          <cell r="E7437">
            <v>31102192</v>
          </cell>
          <cell r="F7437">
            <v>31102192</v>
          </cell>
          <cell r="G7437">
            <v>31102192</v>
          </cell>
          <cell r="H7437">
            <v>31102192</v>
          </cell>
          <cell r="I7437" t="str">
            <v/>
          </cell>
          <cell r="J7437" t="str">
            <v/>
          </cell>
          <cell r="K7437" t="str">
            <v/>
          </cell>
          <cell r="L7437" t="str">
            <v/>
          </cell>
          <cell r="M7437" t="str">
            <v/>
          </cell>
        </row>
        <row r="7438">
          <cell r="A7438">
            <v>31102192</v>
          </cell>
          <cell r="C7438">
            <v>31102192</v>
          </cell>
          <cell r="D7438">
            <v>31102192</v>
          </cell>
          <cell r="E7438">
            <v>31102192</v>
          </cell>
          <cell r="F7438">
            <v>31102192</v>
          </cell>
          <cell r="G7438">
            <v>31102192</v>
          </cell>
          <cell r="H7438">
            <v>31102192</v>
          </cell>
          <cell r="I7438" t="str">
            <v/>
          </cell>
          <cell r="J7438" t="str">
            <v/>
          </cell>
          <cell r="K7438" t="str">
            <v/>
          </cell>
          <cell r="L7438" t="str">
            <v/>
          </cell>
          <cell r="M7438" t="str">
            <v/>
          </cell>
        </row>
        <row r="7439">
          <cell r="A7439">
            <v>31102192</v>
          </cell>
          <cell r="C7439">
            <v>31102192</v>
          </cell>
          <cell r="D7439">
            <v>31102192</v>
          </cell>
          <cell r="E7439">
            <v>31102192</v>
          </cell>
          <cell r="F7439">
            <v>31102192</v>
          </cell>
          <cell r="G7439">
            <v>31102192</v>
          </cell>
          <cell r="H7439">
            <v>31102192</v>
          </cell>
          <cell r="I7439" t="str">
            <v/>
          </cell>
          <cell r="J7439" t="str">
            <v/>
          </cell>
          <cell r="K7439" t="str">
            <v/>
          </cell>
          <cell r="L7439" t="str">
            <v/>
          </cell>
          <cell r="M7439" t="str">
            <v/>
          </cell>
        </row>
        <row r="7440">
          <cell r="A7440">
            <v>31102192</v>
          </cell>
          <cell r="C7440">
            <v>31102192</v>
          </cell>
          <cell r="D7440">
            <v>31102192</v>
          </cell>
          <cell r="E7440">
            <v>31102192</v>
          </cell>
          <cell r="F7440">
            <v>31102192</v>
          </cell>
          <cell r="G7440">
            <v>31102192</v>
          </cell>
          <cell r="H7440">
            <v>31102192</v>
          </cell>
          <cell r="I7440" t="str">
            <v/>
          </cell>
          <cell r="J7440" t="str">
            <v/>
          </cell>
          <cell r="K7440" t="str">
            <v/>
          </cell>
          <cell r="L7440" t="str">
            <v/>
          </cell>
          <cell r="M7440" t="str">
            <v/>
          </cell>
        </row>
        <row r="7441">
          <cell r="A7441">
            <v>31102192</v>
          </cell>
          <cell r="C7441">
            <v>31102192</v>
          </cell>
          <cell r="D7441">
            <v>31102192</v>
          </cell>
          <cell r="E7441">
            <v>31102192</v>
          </cell>
          <cell r="F7441">
            <v>31102192</v>
          </cell>
          <cell r="G7441">
            <v>31102192</v>
          </cell>
          <cell r="H7441">
            <v>31102192</v>
          </cell>
          <cell r="I7441" t="str">
            <v/>
          </cell>
          <cell r="J7441" t="str">
            <v/>
          </cell>
          <cell r="K7441" t="str">
            <v/>
          </cell>
          <cell r="L7441" t="str">
            <v/>
          </cell>
          <cell r="M7441" t="str">
            <v/>
          </cell>
        </row>
        <row r="7442">
          <cell r="A7442">
            <v>31102192</v>
          </cell>
          <cell r="C7442">
            <v>31102192</v>
          </cell>
          <cell r="D7442">
            <v>31102192</v>
          </cell>
          <cell r="E7442">
            <v>31102192</v>
          </cell>
          <cell r="F7442">
            <v>31102192</v>
          </cell>
          <cell r="G7442">
            <v>31102192</v>
          </cell>
          <cell r="H7442">
            <v>31102192</v>
          </cell>
          <cell r="I7442" t="str">
            <v/>
          </cell>
          <cell r="J7442" t="str">
            <v/>
          </cell>
          <cell r="K7442" t="str">
            <v/>
          </cell>
          <cell r="L7442" t="str">
            <v/>
          </cell>
          <cell r="M7442" t="str">
            <v/>
          </cell>
        </row>
        <row r="7443">
          <cell r="A7443">
            <v>31102192</v>
          </cell>
          <cell r="C7443">
            <v>31102192</v>
          </cell>
          <cell r="D7443">
            <v>31102192</v>
          </cell>
          <cell r="E7443">
            <v>31102192</v>
          </cell>
          <cell r="F7443">
            <v>31102192</v>
          </cell>
          <cell r="G7443">
            <v>31102192</v>
          </cell>
          <cell r="H7443">
            <v>31102192</v>
          </cell>
          <cell r="I7443" t="str">
            <v/>
          </cell>
          <cell r="J7443" t="str">
            <v/>
          </cell>
          <cell r="K7443" t="str">
            <v/>
          </cell>
          <cell r="L7443" t="str">
            <v/>
          </cell>
          <cell r="M7443" t="str">
            <v/>
          </cell>
        </row>
        <row r="7444">
          <cell r="A7444">
            <v>31102192</v>
          </cell>
          <cell r="C7444">
            <v>31102192</v>
          </cell>
          <cell r="D7444">
            <v>31102192</v>
          </cell>
          <cell r="E7444">
            <v>31102192</v>
          </cell>
          <cell r="F7444">
            <v>31102192</v>
          </cell>
          <cell r="G7444">
            <v>31102192</v>
          </cell>
          <cell r="H7444">
            <v>31102192</v>
          </cell>
          <cell r="I7444" t="str">
            <v/>
          </cell>
          <cell r="J7444" t="str">
            <v/>
          </cell>
          <cell r="K7444" t="str">
            <v/>
          </cell>
          <cell r="L7444" t="str">
            <v/>
          </cell>
          <cell r="M7444" t="str">
            <v/>
          </cell>
        </row>
        <row r="7445">
          <cell r="A7445">
            <v>31102192</v>
          </cell>
          <cell r="C7445">
            <v>31102192</v>
          </cell>
          <cell r="D7445">
            <v>31102192</v>
          </cell>
          <cell r="E7445">
            <v>31102192</v>
          </cell>
          <cell r="F7445">
            <v>31102192</v>
          </cell>
          <cell r="G7445">
            <v>31102192</v>
          </cell>
          <cell r="H7445">
            <v>31102192</v>
          </cell>
          <cell r="I7445" t="str">
            <v/>
          </cell>
          <cell r="J7445" t="str">
            <v/>
          </cell>
          <cell r="K7445" t="str">
            <v/>
          </cell>
          <cell r="L7445" t="str">
            <v/>
          </cell>
          <cell r="M7445" t="str">
            <v/>
          </cell>
        </row>
        <row r="7446">
          <cell r="A7446">
            <v>31102192</v>
          </cell>
          <cell r="C7446">
            <v>31102192</v>
          </cell>
          <cell r="D7446">
            <v>31102192</v>
          </cell>
          <cell r="E7446">
            <v>31102192</v>
          </cell>
          <cell r="F7446">
            <v>31102192</v>
          </cell>
          <cell r="G7446">
            <v>31102192</v>
          </cell>
          <cell r="H7446">
            <v>31102192</v>
          </cell>
          <cell r="I7446" t="str">
            <v/>
          </cell>
          <cell r="J7446" t="str">
            <v/>
          </cell>
          <cell r="K7446" t="str">
            <v/>
          </cell>
          <cell r="L7446" t="str">
            <v/>
          </cell>
          <cell r="M7446" t="str">
            <v/>
          </cell>
        </row>
        <row r="7447">
          <cell r="A7447">
            <v>31102192</v>
          </cell>
          <cell r="C7447">
            <v>31102192</v>
          </cell>
          <cell r="D7447">
            <v>31102192</v>
          </cell>
          <cell r="E7447">
            <v>31102192</v>
          </cell>
          <cell r="F7447">
            <v>31102192</v>
          </cell>
          <cell r="G7447">
            <v>31102192</v>
          </cell>
          <cell r="H7447">
            <v>31102192</v>
          </cell>
          <cell r="I7447" t="str">
            <v/>
          </cell>
          <cell r="J7447" t="str">
            <v/>
          </cell>
          <cell r="K7447" t="str">
            <v/>
          </cell>
          <cell r="L7447" t="str">
            <v/>
          </cell>
          <cell r="M7447" t="str">
            <v/>
          </cell>
        </row>
        <row r="7448">
          <cell r="A7448">
            <v>31102192</v>
          </cell>
          <cell r="C7448">
            <v>31102192</v>
          </cell>
          <cell r="D7448">
            <v>31102192</v>
          </cell>
          <cell r="E7448">
            <v>31102192</v>
          </cell>
          <cell r="F7448">
            <v>31102192</v>
          </cell>
          <cell r="G7448">
            <v>31102192</v>
          </cell>
          <cell r="H7448">
            <v>31102192</v>
          </cell>
          <cell r="I7448" t="str">
            <v/>
          </cell>
          <cell r="J7448" t="str">
            <v/>
          </cell>
          <cell r="K7448" t="str">
            <v/>
          </cell>
          <cell r="L7448" t="str">
            <v/>
          </cell>
          <cell r="M7448" t="str">
            <v/>
          </cell>
        </row>
        <row r="7449">
          <cell r="A7449">
            <v>31102192</v>
          </cell>
          <cell r="C7449">
            <v>31102192</v>
          </cell>
          <cell r="D7449">
            <v>31102192</v>
          </cell>
          <cell r="E7449">
            <v>31102192</v>
          </cell>
          <cell r="F7449">
            <v>31102192</v>
          </cell>
          <cell r="G7449">
            <v>31102192</v>
          </cell>
          <cell r="H7449">
            <v>31102192</v>
          </cell>
          <cell r="I7449" t="str">
            <v/>
          </cell>
          <cell r="J7449" t="str">
            <v/>
          </cell>
          <cell r="K7449" t="str">
            <v/>
          </cell>
          <cell r="L7449" t="str">
            <v/>
          </cell>
          <cell r="M7449" t="str">
            <v/>
          </cell>
        </row>
        <row r="7450">
          <cell r="A7450">
            <v>31102192</v>
          </cell>
          <cell r="C7450">
            <v>31102192</v>
          </cell>
          <cell r="D7450">
            <v>31102192</v>
          </cell>
          <cell r="E7450">
            <v>31102192</v>
          </cell>
          <cell r="F7450">
            <v>31102192</v>
          </cell>
          <cell r="G7450">
            <v>31102192</v>
          </cell>
          <cell r="H7450">
            <v>31102192</v>
          </cell>
          <cell r="I7450" t="str">
            <v/>
          </cell>
          <cell r="J7450" t="str">
            <v/>
          </cell>
          <cell r="K7450" t="str">
            <v/>
          </cell>
          <cell r="L7450" t="str">
            <v/>
          </cell>
          <cell r="M7450" t="str">
            <v/>
          </cell>
        </row>
        <row r="7451">
          <cell r="A7451">
            <v>31102192</v>
          </cell>
          <cell r="C7451">
            <v>31102192</v>
          </cell>
          <cell r="D7451">
            <v>31102192</v>
          </cell>
          <cell r="E7451">
            <v>31102192</v>
          </cell>
          <cell r="F7451">
            <v>31102192</v>
          </cell>
          <cell r="G7451">
            <v>31102192</v>
          </cell>
          <cell r="H7451">
            <v>31102192</v>
          </cell>
          <cell r="I7451" t="str">
            <v/>
          </cell>
          <cell r="J7451" t="str">
            <v/>
          </cell>
          <cell r="K7451" t="str">
            <v/>
          </cell>
          <cell r="L7451" t="str">
            <v/>
          </cell>
          <cell r="M7451" t="str">
            <v/>
          </cell>
        </row>
        <row r="7452">
          <cell r="A7452">
            <v>31102192</v>
          </cell>
          <cell r="C7452">
            <v>31102192</v>
          </cell>
          <cell r="D7452">
            <v>31102192</v>
          </cell>
          <cell r="E7452">
            <v>31102192</v>
          </cell>
          <cell r="F7452">
            <v>31102192</v>
          </cell>
          <cell r="G7452">
            <v>31102192</v>
          </cell>
          <cell r="H7452">
            <v>31102192</v>
          </cell>
          <cell r="I7452" t="str">
            <v/>
          </cell>
          <cell r="J7452" t="str">
            <v/>
          </cell>
          <cell r="K7452" t="str">
            <v/>
          </cell>
          <cell r="L7452" t="str">
            <v/>
          </cell>
          <cell r="M7452" t="str">
            <v/>
          </cell>
        </row>
        <row r="7453">
          <cell r="A7453">
            <v>31102192</v>
          </cell>
          <cell r="C7453">
            <v>31102192</v>
          </cell>
          <cell r="D7453">
            <v>31102192</v>
          </cell>
          <cell r="E7453">
            <v>31102192</v>
          </cell>
          <cell r="F7453">
            <v>31102192</v>
          </cell>
          <cell r="G7453">
            <v>31102192</v>
          </cell>
          <cell r="H7453">
            <v>31102192</v>
          </cell>
          <cell r="I7453" t="str">
            <v/>
          </cell>
          <cell r="J7453" t="str">
            <v/>
          </cell>
          <cell r="K7453" t="str">
            <v/>
          </cell>
          <cell r="L7453" t="str">
            <v/>
          </cell>
          <cell r="M7453" t="str">
            <v/>
          </cell>
        </row>
        <row r="7454">
          <cell r="A7454">
            <v>31102192</v>
          </cell>
          <cell r="C7454">
            <v>31102192</v>
          </cell>
          <cell r="D7454">
            <v>31102192</v>
          </cell>
          <cell r="E7454">
            <v>31102192</v>
          </cell>
          <cell r="F7454">
            <v>31102192</v>
          </cell>
          <cell r="G7454">
            <v>31102192</v>
          </cell>
          <cell r="H7454">
            <v>31102192</v>
          </cell>
          <cell r="I7454" t="str">
            <v/>
          </cell>
          <cell r="J7454" t="str">
            <v/>
          </cell>
          <cell r="K7454" t="str">
            <v/>
          </cell>
          <cell r="L7454" t="str">
            <v/>
          </cell>
          <cell r="M7454" t="str">
            <v/>
          </cell>
        </row>
        <row r="7455">
          <cell r="A7455">
            <v>31102192</v>
          </cell>
          <cell r="C7455">
            <v>31102192</v>
          </cell>
          <cell r="D7455">
            <v>31102192</v>
          </cell>
          <cell r="E7455">
            <v>31102192</v>
          </cell>
          <cell r="F7455">
            <v>31102192</v>
          </cell>
          <cell r="G7455">
            <v>31102192</v>
          </cell>
          <cell r="H7455">
            <v>31102192</v>
          </cell>
          <cell r="I7455" t="str">
            <v/>
          </cell>
          <cell r="J7455" t="str">
            <v/>
          </cell>
          <cell r="K7455" t="str">
            <v/>
          </cell>
          <cell r="L7455" t="str">
            <v/>
          </cell>
          <cell r="M7455" t="str">
            <v/>
          </cell>
        </row>
        <row r="7456">
          <cell r="A7456">
            <v>31102192</v>
          </cell>
          <cell r="C7456">
            <v>31102192</v>
          </cell>
          <cell r="D7456">
            <v>31102192</v>
          </cell>
          <cell r="E7456">
            <v>31102192</v>
          </cell>
          <cell r="F7456">
            <v>31102192</v>
          </cell>
          <cell r="G7456">
            <v>31102192</v>
          </cell>
          <cell r="H7456">
            <v>31102192</v>
          </cell>
          <cell r="I7456" t="str">
            <v/>
          </cell>
          <cell r="J7456" t="str">
            <v/>
          </cell>
          <cell r="K7456" t="str">
            <v/>
          </cell>
          <cell r="L7456" t="str">
            <v/>
          </cell>
          <cell r="M7456" t="str">
            <v/>
          </cell>
        </row>
        <row r="7457">
          <cell r="A7457">
            <v>31102192</v>
          </cell>
          <cell r="C7457">
            <v>31102192</v>
          </cell>
          <cell r="D7457">
            <v>31102192</v>
          </cell>
          <cell r="E7457">
            <v>31102192</v>
          </cell>
          <cell r="F7457">
            <v>31102192</v>
          </cell>
          <cell r="G7457">
            <v>31102192</v>
          </cell>
          <cell r="H7457">
            <v>31102192</v>
          </cell>
          <cell r="I7457" t="str">
            <v/>
          </cell>
          <cell r="J7457" t="str">
            <v/>
          </cell>
          <cell r="K7457" t="str">
            <v/>
          </cell>
          <cell r="L7457" t="str">
            <v/>
          </cell>
          <cell r="M7457" t="str">
            <v/>
          </cell>
        </row>
        <row r="7458">
          <cell r="A7458">
            <v>31102192</v>
          </cell>
          <cell r="C7458">
            <v>31102192</v>
          </cell>
          <cell r="D7458">
            <v>31102192</v>
          </cell>
          <cell r="E7458">
            <v>31102192</v>
          </cell>
          <cell r="F7458">
            <v>31102192</v>
          </cell>
          <cell r="G7458">
            <v>31102192</v>
          </cell>
          <cell r="H7458">
            <v>31102192</v>
          </cell>
          <cell r="I7458" t="str">
            <v/>
          </cell>
          <cell r="J7458" t="str">
            <v/>
          </cell>
          <cell r="K7458" t="str">
            <v/>
          </cell>
          <cell r="L7458" t="str">
            <v/>
          </cell>
          <cell r="M7458" t="str">
            <v/>
          </cell>
        </row>
        <row r="7459">
          <cell r="A7459">
            <v>31102192</v>
          </cell>
          <cell r="C7459">
            <v>31102192</v>
          </cell>
          <cell r="D7459">
            <v>31102192</v>
          </cell>
          <cell r="E7459">
            <v>31102192</v>
          </cell>
          <cell r="F7459">
            <v>31102192</v>
          </cell>
          <cell r="G7459">
            <v>31102192</v>
          </cell>
          <cell r="H7459">
            <v>31102192</v>
          </cell>
          <cell r="I7459" t="str">
            <v/>
          </cell>
          <cell r="J7459" t="str">
            <v/>
          </cell>
          <cell r="K7459" t="str">
            <v/>
          </cell>
          <cell r="L7459" t="str">
            <v/>
          </cell>
          <cell r="M7459" t="str">
            <v/>
          </cell>
        </row>
        <row r="7460">
          <cell r="A7460">
            <v>31102192</v>
          </cell>
          <cell r="C7460">
            <v>31102192</v>
          </cell>
          <cell r="D7460">
            <v>31102192</v>
          </cell>
          <cell r="E7460">
            <v>31102192</v>
          </cell>
          <cell r="F7460">
            <v>31102192</v>
          </cell>
          <cell r="G7460">
            <v>31102192</v>
          </cell>
          <cell r="H7460">
            <v>31102192</v>
          </cell>
          <cell r="I7460" t="str">
            <v/>
          </cell>
          <cell r="J7460" t="str">
            <v/>
          </cell>
          <cell r="K7460" t="str">
            <v/>
          </cell>
          <cell r="L7460" t="str">
            <v/>
          </cell>
          <cell r="M7460" t="str">
            <v/>
          </cell>
        </row>
        <row r="7461">
          <cell r="A7461">
            <v>31102192</v>
          </cell>
          <cell r="C7461">
            <v>31102192</v>
          </cell>
          <cell r="D7461">
            <v>31102192</v>
          </cell>
          <cell r="E7461">
            <v>31102192</v>
          </cell>
          <cell r="F7461">
            <v>31102192</v>
          </cell>
          <cell r="G7461">
            <v>31102192</v>
          </cell>
          <cell r="H7461">
            <v>31102192</v>
          </cell>
          <cell r="I7461" t="str">
            <v/>
          </cell>
          <cell r="J7461" t="str">
            <v/>
          </cell>
          <cell r="K7461" t="str">
            <v/>
          </cell>
          <cell r="L7461" t="str">
            <v/>
          </cell>
          <cell r="M7461" t="str">
            <v/>
          </cell>
        </row>
        <row r="7462">
          <cell r="A7462">
            <v>31102192</v>
          </cell>
          <cell r="C7462">
            <v>31102192</v>
          </cell>
          <cell r="D7462">
            <v>31102192</v>
          </cell>
          <cell r="E7462">
            <v>31102192</v>
          </cell>
          <cell r="F7462">
            <v>31102192</v>
          </cell>
          <cell r="G7462">
            <v>31102192</v>
          </cell>
          <cell r="H7462">
            <v>31102192</v>
          </cell>
          <cell r="I7462" t="str">
            <v/>
          </cell>
          <cell r="J7462" t="str">
            <v/>
          </cell>
          <cell r="K7462" t="str">
            <v/>
          </cell>
          <cell r="L7462" t="str">
            <v/>
          </cell>
          <cell r="M7462" t="str">
            <v/>
          </cell>
        </row>
        <row r="7463">
          <cell r="A7463">
            <v>31102192</v>
          </cell>
          <cell r="C7463">
            <v>31102192</v>
          </cell>
          <cell r="D7463">
            <v>31102192</v>
          </cell>
          <cell r="E7463">
            <v>31102192</v>
          </cell>
          <cell r="F7463">
            <v>31102192</v>
          </cell>
          <cell r="G7463">
            <v>31102192</v>
          </cell>
          <cell r="H7463">
            <v>31102192</v>
          </cell>
          <cell r="I7463" t="str">
            <v/>
          </cell>
          <cell r="J7463" t="str">
            <v/>
          </cell>
          <cell r="K7463" t="str">
            <v/>
          </cell>
          <cell r="L7463" t="str">
            <v/>
          </cell>
          <cell r="M7463" t="str">
            <v/>
          </cell>
        </row>
        <row r="7464">
          <cell r="A7464">
            <v>31102192</v>
          </cell>
          <cell r="C7464">
            <v>31102192</v>
          </cell>
          <cell r="D7464">
            <v>31102192</v>
          </cell>
          <cell r="E7464">
            <v>31102192</v>
          </cell>
          <cell r="F7464">
            <v>31102192</v>
          </cell>
          <cell r="G7464">
            <v>31102192</v>
          </cell>
          <cell r="H7464">
            <v>31102192</v>
          </cell>
          <cell r="I7464" t="str">
            <v/>
          </cell>
          <cell r="J7464" t="str">
            <v/>
          </cell>
          <cell r="K7464" t="str">
            <v/>
          </cell>
          <cell r="L7464" t="str">
            <v/>
          </cell>
          <cell r="M7464" t="str">
            <v/>
          </cell>
        </row>
        <row r="7465">
          <cell r="A7465">
            <v>31102192</v>
          </cell>
          <cell r="C7465">
            <v>31102192</v>
          </cell>
          <cell r="D7465">
            <v>31102192</v>
          </cell>
          <cell r="E7465">
            <v>31102192</v>
          </cell>
          <cell r="F7465">
            <v>31102192</v>
          </cell>
          <cell r="G7465">
            <v>31102192</v>
          </cell>
          <cell r="H7465">
            <v>31102192</v>
          </cell>
          <cell r="I7465" t="str">
            <v/>
          </cell>
          <cell r="J7465" t="str">
            <v/>
          </cell>
          <cell r="K7465" t="str">
            <v/>
          </cell>
          <cell r="L7465" t="str">
            <v/>
          </cell>
          <cell r="M7465" t="str">
            <v/>
          </cell>
        </row>
        <row r="7466">
          <cell r="A7466">
            <v>31102192</v>
          </cell>
          <cell r="C7466">
            <v>31102192</v>
          </cell>
          <cell r="D7466">
            <v>31102192</v>
          </cell>
          <cell r="E7466">
            <v>31102192</v>
          </cell>
          <cell r="F7466">
            <v>31102192</v>
          </cell>
          <cell r="G7466">
            <v>31102192</v>
          </cell>
          <cell r="H7466">
            <v>31102192</v>
          </cell>
          <cell r="I7466" t="str">
            <v/>
          </cell>
          <cell r="J7466" t="str">
            <v/>
          </cell>
          <cell r="K7466" t="str">
            <v/>
          </cell>
          <cell r="L7466" t="str">
            <v/>
          </cell>
          <cell r="M7466" t="str">
            <v/>
          </cell>
        </row>
        <row r="7467">
          <cell r="A7467">
            <v>31102192</v>
          </cell>
          <cell r="C7467">
            <v>31102192</v>
          </cell>
          <cell r="D7467">
            <v>31102192</v>
          </cell>
          <cell r="E7467">
            <v>31102192</v>
          </cell>
          <cell r="F7467">
            <v>31102192</v>
          </cell>
          <cell r="G7467">
            <v>31102192</v>
          </cell>
          <cell r="H7467">
            <v>31102192</v>
          </cell>
          <cell r="I7467" t="str">
            <v/>
          </cell>
          <cell r="J7467" t="str">
            <v/>
          </cell>
          <cell r="K7467" t="str">
            <v/>
          </cell>
          <cell r="L7467" t="str">
            <v/>
          </cell>
          <cell r="M7467" t="str">
            <v/>
          </cell>
        </row>
        <row r="7468">
          <cell r="A7468">
            <v>31102192</v>
          </cell>
          <cell r="C7468">
            <v>31102192</v>
          </cell>
          <cell r="D7468">
            <v>31102192</v>
          </cell>
          <cell r="E7468">
            <v>31102192</v>
          </cell>
          <cell r="F7468">
            <v>31102192</v>
          </cell>
          <cell r="G7468">
            <v>31102192</v>
          </cell>
          <cell r="H7468">
            <v>31102192</v>
          </cell>
          <cell r="I7468" t="str">
            <v/>
          </cell>
          <cell r="J7468" t="str">
            <v/>
          </cell>
          <cell r="K7468" t="str">
            <v/>
          </cell>
          <cell r="L7468" t="str">
            <v/>
          </cell>
          <cell r="M7468" t="str">
            <v/>
          </cell>
        </row>
        <row r="7469">
          <cell r="A7469">
            <v>31102192</v>
          </cell>
          <cell r="C7469">
            <v>31102192</v>
          </cell>
          <cell r="D7469">
            <v>31102192</v>
          </cell>
          <cell r="E7469">
            <v>31102192</v>
          </cell>
          <cell r="F7469">
            <v>31102192</v>
          </cell>
          <cell r="G7469">
            <v>31102192</v>
          </cell>
          <cell r="H7469">
            <v>31102192</v>
          </cell>
          <cell r="I7469" t="str">
            <v/>
          </cell>
          <cell r="J7469" t="str">
            <v/>
          </cell>
          <cell r="K7469" t="str">
            <v/>
          </cell>
          <cell r="L7469" t="str">
            <v/>
          </cell>
          <cell r="M7469" t="str">
            <v/>
          </cell>
        </row>
        <row r="7470">
          <cell r="A7470">
            <v>31102192</v>
          </cell>
          <cell r="C7470">
            <v>31102192</v>
          </cell>
          <cell r="D7470">
            <v>31102192</v>
          </cell>
          <cell r="E7470">
            <v>31102192</v>
          </cell>
          <cell r="F7470">
            <v>31102192</v>
          </cell>
          <cell r="G7470">
            <v>31102192</v>
          </cell>
          <cell r="H7470">
            <v>31102192</v>
          </cell>
          <cell r="I7470" t="str">
            <v/>
          </cell>
          <cell r="J7470" t="str">
            <v/>
          </cell>
          <cell r="K7470" t="str">
            <v/>
          </cell>
          <cell r="L7470" t="str">
            <v/>
          </cell>
          <cell r="M7470" t="str">
            <v/>
          </cell>
        </row>
        <row r="7471">
          <cell r="A7471">
            <v>31102192</v>
          </cell>
          <cell r="C7471">
            <v>31102192</v>
          </cell>
          <cell r="D7471">
            <v>31102192</v>
          </cell>
          <cell r="E7471">
            <v>31102192</v>
          </cell>
          <cell r="F7471">
            <v>31102192</v>
          </cell>
          <cell r="G7471">
            <v>31102192</v>
          </cell>
          <cell r="H7471">
            <v>31102192</v>
          </cell>
          <cell r="I7471" t="str">
            <v/>
          </cell>
          <cell r="J7471" t="str">
            <v/>
          </cell>
          <cell r="K7471" t="str">
            <v/>
          </cell>
          <cell r="L7471" t="str">
            <v/>
          </cell>
          <cell r="M7471" t="str">
            <v/>
          </cell>
        </row>
        <row r="7472">
          <cell r="A7472">
            <v>31102192</v>
          </cell>
          <cell r="C7472">
            <v>31102192</v>
          </cell>
          <cell r="D7472">
            <v>31102192</v>
          </cell>
          <cell r="E7472">
            <v>31102192</v>
          </cell>
          <cell r="F7472">
            <v>31102192</v>
          </cell>
          <cell r="G7472">
            <v>31102192</v>
          </cell>
          <cell r="H7472">
            <v>31102192</v>
          </cell>
          <cell r="I7472" t="str">
            <v/>
          </cell>
          <cell r="J7472" t="str">
            <v/>
          </cell>
          <cell r="K7472" t="str">
            <v/>
          </cell>
          <cell r="L7472" t="str">
            <v/>
          </cell>
          <cell r="M7472" t="str">
            <v/>
          </cell>
        </row>
        <row r="7473">
          <cell r="A7473">
            <v>31102192</v>
          </cell>
          <cell r="C7473">
            <v>31102192</v>
          </cell>
          <cell r="D7473">
            <v>31102192</v>
          </cell>
          <cell r="E7473">
            <v>31102192</v>
          </cell>
          <cell r="F7473">
            <v>31102192</v>
          </cell>
          <cell r="G7473">
            <v>31102192</v>
          </cell>
          <cell r="H7473">
            <v>31102192</v>
          </cell>
          <cell r="I7473" t="str">
            <v/>
          </cell>
          <cell r="J7473" t="str">
            <v/>
          </cell>
          <cell r="K7473" t="str">
            <v/>
          </cell>
          <cell r="L7473" t="str">
            <v/>
          </cell>
          <cell r="M7473" t="str">
            <v/>
          </cell>
        </row>
        <row r="7474">
          <cell r="A7474">
            <v>31102192</v>
          </cell>
          <cell r="C7474">
            <v>31102192</v>
          </cell>
          <cell r="D7474">
            <v>31102192</v>
          </cell>
          <cell r="E7474">
            <v>31102192</v>
          </cell>
          <cell r="F7474">
            <v>31102192</v>
          </cell>
          <cell r="G7474">
            <v>31102192</v>
          </cell>
          <cell r="H7474">
            <v>31102192</v>
          </cell>
          <cell r="I7474" t="str">
            <v/>
          </cell>
          <cell r="J7474" t="str">
            <v/>
          </cell>
          <cell r="K7474" t="str">
            <v/>
          </cell>
          <cell r="L7474" t="str">
            <v/>
          </cell>
          <cell r="M7474" t="str">
            <v/>
          </cell>
        </row>
        <row r="7475">
          <cell r="A7475">
            <v>31102192</v>
          </cell>
          <cell r="C7475">
            <v>31102192</v>
          </cell>
          <cell r="D7475">
            <v>31102192</v>
          </cell>
          <cell r="E7475">
            <v>31102192</v>
          </cell>
          <cell r="F7475">
            <v>31102192</v>
          </cell>
          <cell r="G7475">
            <v>31102192</v>
          </cell>
          <cell r="H7475">
            <v>31102192</v>
          </cell>
          <cell r="I7475" t="str">
            <v/>
          </cell>
          <cell r="J7475" t="str">
            <v/>
          </cell>
          <cell r="K7475" t="str">
            <v/>
          </cell>
          <cell r="L7475" t="str">
            <v/>
          </cell>
          <cell r="M7475" t="str">
            <v/>
          </cell>
        </row>
        <row r="7476">
          <cell r="A7476">
            <v>31102192</v>
          </cell>
          <cell r="C7476">
            <v>31102192</v>
          </cell>
          <cell r="D7476">
            <v>31102192</v>
          </cell>
          <cell r="E7476">
            <v>31102192</v>
          </cell>
          <cell r="F7476">
            <v>31102192</v>
          </cell>
          <cell r="G7476">
            <v>31102192</v>
          </cell>
          <cell r="H7476">
            <v>31102192</v>
          </cell>
          <cell r="I7476" t="str">
            <v/>
          </cell>
          <cell r="J7476" t="str">
            <v/>
          </cell>
          <cell r="K7476" t="str">
            <v/>
          </cell>
          <cell r="L7476" t="str">
            <v/>
          </cell>
          <cell r="M7476" t="str">
            <v/>
          </cell>
        </row>
        <row r="7477">
          <cell r="A7477">
            <v>31102192</v>
          </cell>
          <cell r="C7477">
            <v>31102192</v>
          </cell>
          <cell r="D7477">
            <v>31102192</v>
          </cell>
          <cell r="E7477">
            <v>31102192</v>
          </cell>
          <cell r="F7477">
            <v>31102192</v>
          </cell>
          <cell r="G7477">
            <v>31102192</v>
          </cell>
          <cell r="H7477">
            <v>31102192</v>
          </cell>
          <cell r="I7477" t="str">
            <v/>
          </cell>
          <cell r="J7477" t="str">
            <v/>
          </cell>
          <cell r="K7477" t="str">
            <v/>
          </cell>
          <cell r="L7477" t="str">
            <v/>
          </cell>
          <cell r="M7477" t="str">
            <v/>
          </cell>
        </row>
        <row r="7478">
          <cell r="A7478">
            <v>31102192</v>
          </cell>
          <cell r="C7478">
            <v>31102192</v>
          </cell>
          <cell r="D7478">
            <v>31102192</v>
          </cell>
          <cell r="E7478">
            <v>31102192</v>
          </cell>
          <cell r="F7478">
            <v>31102192</v>
          </cell>
          <cell r="G7478">
            <v>31102192</v>
          </cell>
          <cell r="H7478">
            <v>31102192</v>
          </cell>
          <cell r="I7478" t="str">
            <v/>
          </cell>
          <cell r="J7478" t="str">
            <v/>
          </cell>
          <cell r="K7478" t="str">
            <v/>
          </cell>
          <cell r="L7478" t="str">
            <v/>
          </cell>
          <cell r="M7478" t="str">
            <v/>
          </cell>
        </row>
        <row r="7479">
          <cell r="A7479">
            <v>31102192</v>
          </cell>
          <cell r="C7479">
            <v>31102192</v>
          </cell>
          <cell r="D7479">
            <v>31102192</v>
          </cell>
          <cell r="E7479">
            <v>31102192</v>
          </cell>
          <cell r="F7479">
            <v>31102192</v>
          </cell>
          <cell r="G7479">
            <v>31102192</v>
          </cell>
          <cell r="H7479">
            <v>31102192</v>
          </cell>
          <cell r="I7479" t="str">
            <v/>
          </cell>
          <cell r="J7479" t="str">
            <v/>
          </cell>
          <cell r="K7479" t="str">
            <v/>
          </cell>
          <cell r="L7479" t="str">
            <v/>
          </cell>
          <cell r="M7479" t="str">
            <v/>
          </cell>
        </row>
        <row r="7480">
          <cell r="A7480">
            <v>31102192</v>
          </cell>
          <cell r="C7480">
            <v>31102192</v>
          </cell>
          <cell r="D7480">
            <v>31102192</v>
          </cell>
          <cell r="E7480">
            <v>31102192</v>
          </cell>
          <cell r="F7480">
            <v>31102192</v>
          </cell>
          <cell r="G7480">
            <v>31102192</v>
          </cell>
          <cell r="H7480">
            <v>31102192</v>
          </cell>
          <cell r="I7480" t="str">
            <v/>
          </cell>
          <cell r="J7480" t="str">
            <v/>
          </cell>
          <cell r="K7480" t="str">
            <v/>
          </cell>
          <cell r="L7480" t="str">
            <v/>
          </cell>
          <cell r="M7480" t="str">
            <v/>
          </cell>
        </row>
        <row r="7481">
          <cell r="A7481">
            <v>31102192</v>
          </cell>
          <cell r="C7481">
            <v>31102192</v>
          </cell>
          <cell r="D7481">
            <v>31102192</v>
          </cell>
          <cell r="E7481">
            <v>31102192</v>
          </cell>
          <cell r="F7481">
            <v>31102192</v>
          </cell>
          <cell r="G7481">
            <v>31102192</v>
          </cell>
          <cell r="H7481">
            <v>31102192</v>
          </cell>
          <cell r="I7481" t="str">
            <v/>
          </cell>
          <cell r="J7481" t="str">
            <v/>
          </cell>
          <cell r="K7481" t="str">
            <v/>
          </cell>
          <cell r="L7481" t="str">
            <v/>
          </cell>
          <cell r="M7481" t="str">
            <v/>
          </cell>
        </row>
        <row r="7482">
          <cell r="A7482">
            <v>31102192</v>
          </cell>
          <cell r="C7482">
            <v>31102192</v>
          </cell>
          <cell r="D7482">
            <v>31102192</v>
          </cell>
          <cell r="E7482">
            <v>31102192</v>
          </cell>
          <cell r="F7482">
            <v>31102192</v>
          </cell>
          <cell r="G7482">
            <v>31102192</v>
          </cell>
          <cell r="H7482">
            <v>31102192</v>
          </cell>
          <cell r="I7482" t="str">
            <v/>
          </cell>
          <cell r="J7482" t="str">
            <v/>
          </cell>
          <cell r="K7482" t="str">
            <v/>
          </cell>
          <cell r="L7482" t="str">
            <v/>
          </cell>
          <cell r="M7482" t="str">
            <v/>
          </cell>
        </row>
        <row r="7483">
          <cell r="A7483">
            <v>31102192</v>
          </cell>
          <cell r="C7483">
            <v>31102192</v>
          </cell>
          <cell r="D7483">
            <v>31102192</v>
          </cell>
          <cell r="E7483">
            <v>31102192</v>
          </cell>
          <cell r="F7483">
            <v>31102192</v>
          </cell>
          <cell r="G7483">
            <v>31102192</v>
          </cell>
          <cell r="H7483">
            <v>31102192</v>
          </cell>
          <cell r="I7483" t="str">
            <v/>
          </cell>
          <cell r="J7483" t="str">
            <v/>
          </cell>
          <cell r="K7483" t="str">
            <v/>
          </cell>
          <cell r="L7483" t="str">
            <v/>
          </cell>
          <cell r="M7483" t="str">
            <v/>
          </cell>
        </row>
        <row r="7484">
          <cell r="A7484">
            <v>31102192</v>
          </cell>
          <cell r="C7484">
            <v>31102192</v>
          </cell>
          <cell r="D7484">
            <v>31102192</v>
          </cell>
          <cell r="E7484">
            <v>31102192</v>
          </cell>
          <cell r="F7484">
            <v>31102192</v>
          </cell>
          <cell r="G7484">
            <v>31102192</v>
          </cell>
          <cell r="H7484">
            <v>31102192</v>
          </cell>
          <cell r="I7484" t="str">
            <v/>
          </cell>
          <cell r="J7484" t="str">
            <v/>
          </cell>
          <cell r="K7484" t="str">
            <v/>
          </cell>
          <cell r="L7484" t="str">
            <v/>
          </cell>
          <cell r="M7484" t="str">
            <v/>
          </cell>
        </row>
        <row r="7485">
          <cell r="A7485">
            <v>31102192</v>
          </cell>
          <cell r="C7485">
            <v>31102192</v>
          </cell>
          <cell r="D7485">
            <v>31102192</v>
          </cell>
          <cell r="E7485">
            <v>31102192</v>
          </cell>
          <cell r="F7485">
            <v>31102192</v>
          </cell>
          <cell r="G7485">
            <v>31102192</v>
          </cell>
          <cell r="H7485">
            <v>31102192</v>
          </cell>
          <cell r="I7485" t="str">
            <v/>
          </cell>
          <cell r="J7485" t="str">
            <v/>
          </cell>
          <cell r="K7485" t="str">
            <v/>
          </cell>
          <cell r="L7485" t="str">
            <v/>
          </cell>
          <cell r="M7485" t="str">
            <v/>
          </cell>
        </row>
        <row r="7486">
          <cell r="A7486">
            <v>31102192</v>
          </cell>
          <cell r="C7486">
            <v>31102192</v>
          </cell>
          <cell r="D7486">
            <v>31102192</v>
          </cell>
          <cell r="E7486">
            <v>31102192</v>
          </cell>
          <cell r="F7486">
            <v>31102192</v>
          </cell>
          <cell r="G7486">
            <v>31102192</v>
          </cell>
          <cell r="H7486">
            <v>31102192</v>
          </cell>
          <cell r="I7486" t="str">
            <v/>
          </cell>
          <cell r="J7486" t="str">
            <v/>
          </cell>
          <cell r="K7486" t="str">
            <v/>
          </cell>
          <cell r="L7486" t="str">
            <v/>
          </cell>
          <cell r="M7486" t="str">
            <v/>
          </cell>
        </row>
        <row r="7487">
          <cell r="A7487">
            <v>31102192</v>
          </cell>
          <cell r="C7487">
            <v>31102192</v>
          </cell>
          <cell r="D7487">
            <v>31102192</v>
          </cell>
          <cell r="E7487">
            <v>31102192</v>
          </cell>
          <cell r="F7487">
            <v>31102192</v>
          </cell>
          <cell r="G7487">
            <v>31102192</v>
          </cell>
          <cell r="H7487">
            <v>31102192</v>
          </cell>
          <cell r="I7487" t="str">
            <v/>
          </cell>
          <cell r="J7487" t="str">
            <v/>
          </cell>
          <cell r="K7487" t="str">
            <v/>
          </cell>
          <cell r="L7487" t="str">
            <v/>
          </cell>
          <cell r="M7487" t="str">
            <v/>
          </cell>
        </row>
        <row r="7488">
          <cell r="A7488">
            <v>31102192</v>
          </cell>
          <cell r="C7488">
            <v>31102192</v>
          </cell>
          <cell r="D7488">
            <v>31102192</v>
          </cell>
          <cell r="E7488">
            <v>31102192</v>
          </cell>
          <cell r="F7488">
            <v>31102192</v>
          </cell>
          <cell r="G7488">
            <v>31102192</v>
          </cell>
          <cell r="H7488">
            <v>31102192</v>
          </cell>
          <cell r="I7488" t="str">
            <v/>
          </cell>
          <cell r="J7488" t="str">
            <v/>
          </cell>
          <cell r="K7488" t="str">
            <v/>
          </cell>
          <cell r="L7488" t="str">
            <v/>
          </cell>
          <cell r="M7488" t="str">
            <v/>
          </cell>
        </row>
        <row r="7489">
          <cell r="A7489">
            <v>31102192</v>
          </cell>
          <cell r="C7489">
            <v>31102192</v>
          </cell>
          <cell r="D7489">
            <v>31102192</v>
          </cell>
          <cell r="E7489">
            <v>31102192</v>
          </cell>
          <cell r="F7489">
            <v>31102192</v>
          </cell>
          <cell r="G7489">
            <v>31102192</v>
          </cell>
          <cell r="H7489">
            <v>31102192</v>
          </cell>
          <cell r="I7489" t="str">
            <v/>
          </cell>
          <cell r="J7489" t="str">
            <v/>
          </cell>
          <cell r="K7489" t="str">
            <v/>
          </cell>
          <cell r="L7489" t="str">
            <v/>
          </cell>
          <cell r="M7489" t="str">
            <v/>
          </cell>
        </row>
        <row r="7490">
          <cell r="A7490">
            <v>31102192</v>
          </cell>
          <cell r="C7490">
            <v>31102192</v>
          </cell>
          <cell r="D7490">
            <v>31102192</v>
          </cell>
          <cell r="E7490">
            <v>31102192</v>
          </cell>
          <cell r="F7490">
            <v>31102192</v>
          </cell>
          <cell r="G7490">
            <v>31102192</v>
          </cell>
          <cell r="H7490">
            <v>31102192</v>
          </cell>
          <cell r="I7490" t="str">
            <v/>
          </cell>
          <cell r="J7490" t="str">
            <v/>
          </cell>
          <cell r="K7490" t="str">
            <v/>
          </cell>
          <cell r="L7490" t="str">
            <v/>
          </cell>
          <cell r="M7490" t="str">
            <v/>
          </cell>
        </row>
        <row r="7491">
          <cell r="A7491">
            <v>31102192</v>
          </cell>
          <cell r="C7491">
            <v>31102192</v>
          </cell>
          <cell r="D7491">
            <v>31102192</v>
          </cell>
          <cell r="E7491">
            <v>31102192</v>
          </cell>
          <cell r="F7491">
            <v>31102192</v>
          </cell>
          <cell r="G7491">
            <v>31102192</v>
          </cell>
          <cell r="H7491">
            <v>31102192</v>
          </cell>
          <cell r="I7491" t="str">
            <v/>
          </cell>
          <cell r="J7491" t="str">
            <v/>
          </cell>
          <cell r="K7491" t="str">
            <v/>
          </cell>
          <cell r="L7491" t="str">
            <v/>
          </cell>
          <cell r="M7491" t="str">
            <v/>
          </cell>
        </row>
        <row r="7492">
          <cell r="A7492">
            <v>31102192</v>
          </cell>
          <cell r="C7492">
            <v>31102192</v>
          </cell>
          <cell r="D7492">
            <v>31102192</v>
          </cell>
          <cell r="E7492">
            <v>31102192</v>
          </cell>
          <cell r="F7492">
            <v>31102192</v>
          </cell>
          <cell r="G7492">
            <v>31102192</v>
          </cell>
          <cell r="H7492">
            <v>31102192</v>
          </cell>
          <cell r="I7492" t="str">
            <v/>
          </cell>
          <cell r="J7492" t="str">
            <v/>
          </cell>
          <cell r="K7492" t="str">
            <v/>
          </cell>
          <cell r="L7492" t="str">
            <v/>
          </cell>
          <cell r="M7492" t="str">
            <v/>
          </cell>
        </row>
        <row r="7493">
          <cell r="A7493">
            <v>31102192</v>
          </cell>
          <cell r="C7493">
            <v>31102192</v>
          </cell>
          <cell r="D7493">
            <v>31102192</v>
          </cell>
          <cell r="E7493">
            <v>31102192</v>
          </cell>
          <cell r="F7493">
            <v>31102192</v>
          </cell>
          <cell r="G7493">
            <v>31102192</v>
          </cell>
          <cell r="H7493">
            <v>31102192</v>
          </cell>
          <cell r="I7493" t="str">
            <v/>
          </cell>
          <cell r="J7493" t="str">
            <v/>
          </cell>
          <cell r="K7493" t="str">
            <v/>
          </cell>
          <cell r="L7493" t="str">
            <v/>
          </cell>
          <cell r="M7493" t="str">
            <v/>
          </cell>
        </row>
        <row r="7494">
          <cell r="A7494">
            <v>31102192</v>
          </cell>
          <cell r="C7494">
            <v>31102192</v>
          </cell>
          <cell r="D7494">
            <v>31102192</v>
          </cell>
          <cell r="E7494">
            <v>31102192</v>
          </cell>
          <cell r="F7494">
            <v>31102192</v>
          </cell>
          <cell r="G7494">
            <v>31102192</v>
          </cell>
          <cell r="H7494">
            <v>31102192</v>
          </cell>
          <cell r="I7494" t="str">
            <v/>
          </cell>
          <cell r="J7494" t="str">
            <v/>
          </cell>
          <cell r="K7494" t="str">
            <v/>
          </cell>
          <cell r="L7494" t="str">
            <v/>
          </cell>
          <cell r="M7494" t="str">
            <v/>
          </cell>
        </row>
        <row r="7495">
          <cell r="A7495">
            <v>31102192</v>
          </cell>
          <cell r="C7495">
            <v>31102192</v>
          </cell>
          <cell r="D7495">
            <v>31102192</v>
          </cell>
          <cell r="E7495">
            <v>31102192</v>
          </cell>
          <cell r="F7495">
            <v>31102192</v>
          </cell>
          <cell r="G7495">
            <v>31102192</v>
          </cell>
          <cell r="H7495">
            <v>31102192</v>
          </cell>
          <cell r="I7495" t="str">
            <v/>
          </cell>
          <cell r="J7495" t="str">
            <v/>
          </cell>
          <cell r="K7495" t="str">
            <v/>
          </cell>
          <cell r="L7495" t="str">
            <v/>
          </cell>
          <cell r="M7495" t="str">
            <v/>
          </cell>
        </row>
        <row r="7496">
          <cell r="A7496">
            <v>31102192</v>
          </cell>
          <cell r="C7496">
            <v>31102192</v>
          </cell>
          <cell r="D7496">
            <v>31102192</v>
          </cell>
          <cell r="E7496">
            <v>31102192</v>
          </cell>
          <cell r="F7496">
            <v>31102192</v>
          </cell>
          <cell r="G7496">
            <v>31102192</v>
          </cell>
          <cell r="H7496">
            <v>31102192</v>
          </cell>
          <cell r="I7496" t="str">
            <v/>
          </cell>
          <cell r="J7496" t="str">
            <v/>
          </cell>
          <cell r="K7496" t="str">
            <v/>
          </cell>
          <cell r="L7496" t="str">
            <v/>
          </cell>
          <cell r="M7496" t="str">
            <v/>
          </cell>
        </row>
        <row r="7497">
          <cell r="A7497">
            <v>31102192</v>
          </cell>
          <cell r="C7497">
            <v>31102192</v>
          </cell>
          <cell r="D7497">
            <v>31102192</v>
          </cell>
          <cell r="E7497">
            <v>31102192</v>
          </cell>
          <cell r="F7497">
            <v>31102192</v>
          </cell>
          <cell r="G7497">
            <v>31102192</v>
          </cell>
          <cell r="H7497">
            <v>31102192</v>
          </cell>
          <cell r="I7497" t="str">
            <v/>
          </cell>
          <cell r="J7497" t="str">
            <v/>
          </cell>
          <cell r="K7497" t="str">
            <v/>
          </cell>
          <cell r="L7497" t="str">
            <v/>
          </cell>
          <cell r="M7497" t="str">
            <v/>
          </cell>
        </row>
        <row r="7498">
          <cell r="A7498">
            <v>31102192</v>
          </cell>
          <cell r="C7498">
            <v>31102192</v>
          </cell>
          <cell r="D7498">
            <v>31102192</v>
          </cell>
          <cell r="E7498">
            <v>31102192</v>
          </cell>
          <cell r="F7498">
            <v>31102192</v>
          </cell>
          <cell r="G7498">
            <v>31102192</v>
          </cell>
          <cell r="H7498">
            <v>31102192</v>
          </cell>
          <cell r="I7498" t="str">
            <v/>
          </cell>
          <cell r="J7498" t="str">
            <v/>
          </cell>
          <cell r="K7498" t="str">
            <v/>
          </cell>
          <cell r="L7498" t="str">
            <v/>
          </cell>
          <cell r="M7498" t="str">
            <v/>
          </cell>
        </row>
        <row r="7499">
          <cell r="A7499">
            <v>31102192</v>
          </cell>
          <cell r="C7499">
            <v>31102192</v>
          </cell>
          <cell r="D7499">
            <v>31102192</v>
          </cell>
          <cell r="E7499">
            <v>31102192</v>
          </cell>
          <cell r="F7499">
            <v>31102192</v>
          </cell>
          <cell r="G7499">
            <v>31102192</v>
          </cell>
          <cell r="H7499">
            <v>31102192</v>
          </cell>
          <cell r="I7499" t="str">
            <v/>
          </cell>
          <cell r="J7499" t="str">
            <v/>
          </cell>
          <cell r="K7499" t="str">
            <v/>
          </cell>
          <cell r="L7499" t="str">
            <v/>
          </cell>
          <cell r="M7499" t="str">
            <v/>
          </cell>
        </row>
        <row r="7500">
          <cell r="A7500">
            <v>31102192</v>
          </cell>
          <cell r="C7500">
            <v>31102192</v>
          </cell>
          <cell r="D7500">
            <v>31102192</v>
          </cell>
          <cell r="E7500">
            <v>31102192</v>
          </cell>
          <cell r="F7500">
            <v>31102192</v>
          </cell>
          <cell r="G7500">
            <v>31102192</v>
          </cell>
          <cell r="H7500">
            <v>31102192</v>
          </cell>
          <cell r="I7500" t="str">
            <v/>
          </cell>
          <cell r="J7500" t="str">
            <v/>
          </cell>
          <cell r="K7500" t="str">
            <v/>
          </cell>
          <cell r="L7500" t="str">
            <v/>
          </cell>
          <cell r="M7500" t="str">
            <v/>
          </cell>
        </row>
        <row r="7501">
          <cell r="A7501">
            <v>31102192</v>
          </cell>
          <cell r="C7501">
            <v>31102192</v>
          </cell>
          <cell r="D7501">
            <v>31102192</v>
          </cell>
          <cell r="E7501">
            <v>31102192</v>
          </cell>
          <cell r="F7501">
            <v>31102192</v>
          </cell>
          <cell r="G7501">
            <v>31102192</v>
          </cell>
          <cell r="H7501">
            <v>31102192</v>
          </cell>
          <cell r="I7501" t="str">
            <v/>
          </cell>
          <cell r="J7501" t="str">
            <v/>
          </cell>
          <cell r="K7501" t="str">
            <v/>
          </cell>
          <cell r="L7501" t="str">
            <v/>
          </cell>
          <cell r="M7501" t="str">
            <v/>
          </cell>
        </row>
        <row r="7502">
          <cell r="A7502">
            <v>31102192</v>
          </cell>
          <cell r="C7502">
            <v>31102192</v>
          </cell>
          <cell r="D7502">
            <v>31102192</v>
          </cell>
          <cell r="E7502">
            <v>31102192</v>
          </cell>
          <cell r="F7502">
            <v>31102192</v>
          </cell>
          <cell r="G7502">
            <v>31102192</v>
          </cell>
          <cell r="H7502">
            <v>31102192</v>
          </cell>
          <cell r="I7502" t="str">
            <v/>
          </cell>
          <cell r="J7502" t="str">
            <v/>
          </cell>
          <cell r="K7502" t="str">
            <v/>
          </cell>
          <cell r="L7502" t="str">
            <v/>
          </cell>
          <cell r="M7502" t="str">
            <v/>
          </cell>
        </row>
        <row r="7503">
          <cell r="A7503">
            <v>31102192</v>
          </cell>
          <cell r="C7503">
            <v>31102192</v>
          </cell>
          <cell r="D7503">
            <v>31102192</v>
          </cell>
          <cell r="E7503">
            <v>31102192</v>
          </cell>
          <cell r="F7503">
            <v>31102192</v>
          </cell>
          <cell r="G7503">
            <v>31102192</v>
          </cell>
          <cell r="H7503">
            <v>31102192</v>
          </cell>
          <cell r="I7503" t="str">
            <v/>
          </cell>
          <cell r="J7503" t="str">
            <v/>
          </cell>
          <cell r="K7503" t="str">
            <v/>
          </cell>
          <cell r="L7503" t="str">
            <v/>
          </cell>
          <cell r="M7503" t="str">
            <v/>
          </cell>
        </row>
        <row r="7504">
          <cell r="A7504">
            <v>31102192</v>
          </cell>
          <cell r="C7504">
            <v>31102192</v>
          </cell>
          <cell r="D7504">
            <v>31102192</v>
          </cell>
          <cell r="E7504">
            <v>31102192</v>
          </cell>
          <cell r="F7504">
            <v>31102192</v>
          </cell>
          <cell r="G7504">
            <v>31102192</v>
          </cell>
          <cell r="H7504">
            <v>31102192</v>
          </cell>
          <cell r="I7504" t="str">
            <v/>
          </cell>
          <cell r="J7504" t="str">
            <v/>
          </cell>
          <cell r="K7504" t="str">
            <v/>
          </cell>
          <cell r="L7504" t="str">
            <v/>
          </cell>
          <cell r="M7504" t="str">
            <v/>
          </cell>
        </row>
        <row r="7505">
          <cell r="A7505">
            <v>31102192</v>
          </cell>
          <cell r="C7505">
            <v>31102192</v>
          </cell>
          <cell r="D7505">
            <v>31102192</v>
          </cell>
          <cell r="E7505">
            <v>31102192</v>
          </cell>
          <cell r="F7505">
            <v>31102192</v>
          </cell>
          <cell r="G7505">
            <v>31102192</v>
          </cell>
          <cell r="H7505">
            <v>31102192</v>
          </cell>
          <cell r="I7505" t="str">
            <v/>
          </cell>
          <cell r="J7505" t="str">
            <v/>
          </cell>
          <cell r="K7505" t="str">
            <v/>
          </cell>
          <cell r="L7505" t="str">
            <v/>
          </cell>
          <cell r="M7505" t="str">
            <v/>
          </cell>
        </row>
        <row r="7506">
          <cell r="A7506">
            <v>31102192</v>
          </cell>
          <cell r="C7506">
            <v>31102192</v>
          </cell>
          <cell r="D7506">
            <v>31102192</v>
          </cell>
          <cell r="E7506">
            <v>31102192</v>
          </cell>
          <cell r="F7506">
            <v>31102192</v>
          </cell>
          <cell r="G7506">
            <v>31102192</v>
          </cell>
          <cell r="H7506">
            <v>31102192</v>
          </cell>
          <cell r="I7506" t="str">
            <v/>
          </cell>
          <cell r="J7506" t="str">
            <v/>
          </cell>
          <cell r="K7506" t="str">
            <v/>
          </cell>
          <cell r="L7506" t="str">
            <v/>
          </cell>
          <cell r="M7506" t="str">
            <v/>
          </cell>
        </row>
        <row r="7507">
          <cell r="A7507">
            <v>31102192</v>
          </cell>
          <cell r="C7507">
            <v>31102192</v>
          </cell>
          <cell r="D7507">
            <v>31102192</v>
          </cell>
          <cell r="E7507">
            <v>31102192</v>
          </cell>
          <cell r="F7507">
            <v>31102192</v>
          </cell>
          <cell r="G7507">
            <v>31102192</v>
          </cell>
          <cell r="H7507">
            <v>31102192</v>
          </cell>
          <cell r="I7507" t="str">
            <v/>
          </cell>
          <cell r="J7507" t="str">
            <v/>
          </cell>
          <cell r="K7507" t="str">
            <v/>
          </cell>
          <cell r="L7507" t="str">
            <v/>
          </cell>
          <cell r="M7507" t="str">
            <v/>
          </cell>
        </row>
        <row r="7508">
          <cell r="A7508">
            <v>31102192</v>
          </cell>
          <cell r="C7508">
            <v>31102192</v>
          </cell>
          <cell r="D7508">
            <v>31102192</v>
          </cell>
          <cell r="E7508">
            <v>31102192</v>
          </cell>
          <cell r="F7508">
            <v>31102192</v>
          </cell>
          <cell r="G7508">
            <v>31102192</v>
          </cell>
          <cell r="H7508">
            <v>31102192</v>
          </cell>
          <cell r="I7508" t="str">
            <v/>
          </cell>
          <cell r="J7508" t="str">
            <v/>
          </cell>
          <cell r="K7508" t="str">
            <v/>
          </cell>
          <cell r="L7508" t="str">
            <v/>
          </cell>
          <cell r="M7508" t="str">
            <v/>
          </cell>
        </row>
        <row r="7509">
          <cell r="A7509">
            <v>31102192</v>
          </cell>
          <cell r="C7509">
            <v>31102192</v>
          </cell>
          <cell r="D7509">
            <v>31102192</v>
          </cell>
          <cell r="E7509">
            <v>31102192</v>
          </cell>
          <cell r="F7509">
            <v>31102192</v>
          </cell>
          <cell r="G7509">
            <v>31102192</v>
          </cell>
          <cell r="H7509">
            <v>31102192</v>
          </cell>
          <cell r="I7509" t="str">
            <v/>
          </cell>
          <cell r="J7509" t="str">
            <v/>
          </cell>
          <cell r="K7509" t="str">
            <v/>
          </cell>
          <cell r="L7509" t="str">
            <v/>
          </cell>
          <cell r="M7509" t="str">
            <v/>
          </cell>
        </row>
        <row r="7510">
          <cell r="A7510">
            <v>31102192</v>
          </cell>
          <cell r="C7510">
            <v>31102192</v>
          </cell>
          <cell r="D7510">
            <v>31102192</v>
          </cell>
          <cell r="E7510">
            <v>31102192</v>
          </cell>
          <cell r="F7510">
            <v>31102192</v>
          </cell>
          <cell r="G7510">
            <v>31102192</v>
          </cell>
          <cell r="H7510">
            <v>31102192</v>
          </cell>
          <cell r="I7510" t="str">
            <v/>
          </cell>
          <cell r="J7510" t="str">
            <v/>
          </cell>
          <cell r="K7510" t="str">
            <v/>
          </cell>
          <cell r="L7510" t="str">
            <v/>
          </cell>
          <cell r="M7510" t="str">
            <v/>
          </cell>
        </row>
        <row r="7511">
          <cell r="A7511">
            <v>31102192</v>
          </cell>
          <cell r="C7511">
            <v>31102192</v>
          </cell>
          <cell r="D7511">
            <v>31102192</v>
          </cell>
          <cell r="E7511">
            <v>31102192</v>
          </cell>
          <cell r="F7511">
            <v>31102192</v>
          </cell>
          <cell r="G7511">
            <v>31102192</v>
          </cell>
          <cell r="H7511">
            <v>31102192</v>
          </cell>
          <cell r="I7511" t="str">
            <v/>
          </cell>
          <cell r="J7511" t="str">
            <v/>
          </cell>
          <cell r="K7511" t="str">
            <v/>
          </cell>
          <cell r="L7511" t="str">
            <v/>
          </cell>
          <cell r="M7511" t="str">
            <v/>
          </cell>
        </row>
        <row r="7512">
          <cell r="A7512">
            <v>31102192</v>
          </cell>
          <cell r="C7512">
            <v>31102192</v>
          </cell>
          <cell r="D7512">
            <v>31102192</v>
          </cell>
          <cell r="E7512">
            <v>31102192</v>
          </cell>
          <cell r="F7512">
            <v>31102192</v>
          </cell>
          <cell r="G7512">
            <v>31102192</v>
          </cell>
          <cell r="H7512">
            <v>31102192</v>
          </cell>
          <cell r="I7512" t="str">
            <v/>
          </cell>
          <cell r="J7512" t="str">
            <v/>
          </cell>
          <cell r="K7512" t="str">
            <v/>
          </cell>
          <cell r="L7512" t="str">
            <v/>
          </cell>
          <cell r="M7512" t="str">
            <v/>
          </cell>
        </row>
        <row r="7513">
          <cell r="A7513">
            <v>31102192</v>
          </cell>
          <cell r="C7513">
            <v>31102192</v>
          </cell>
          <cell r="D7513">
            <v>31102192</v>
          </cell>
          <cell r="E7513">
            <v>31102192</v>
          </cell>
          <cell r="F7513">
            <v>31102192</v>
          </cell>
          <cell r="G7513">
            <v>31102192</v>
          </cell>
          <cell r="H7513">
            <v>31102192</v>
          </cell>
          <cell r="I7513" t="str">
            <v/>
          </cell>
          <cell r="J7513" t="str">
            <v/>
          </cell>
          <cell r="K7513" t="str">
            <v/>
          </cell>
          <cell r="L7513" t="str">
            <v/>
          </cell>
          <cell r="M7513" t="str">
            <v/>
          </cell>
        </row>
        <row r="7514">
          <cell r="A7514">
            <v>31102192</v>
          </cell>
          <cell r="C7514">
            <v>31102192</v>
          </cell>
          <cell r="D7514">
            <v>31102192</v>
          </cell>
          <cell r="E7514">
            <v>31102192</v>
          </cell>
          <cell r="F7514">
            <v>31102192</v>
          </cell>
          <cell r="G7514">
            <v>31102192</v>
          </cell>
          <cell r="H7514">
            <v>31102192</v>
          </cell>
          <cell r="I7514" t="str">
            <v/>
          </cell>
          <cell r="J7514" t="str">
            <v/>
          </cell>
          <cell r="K7514" t="str">
            <v/>
          </cell>
          <cell r="L7514" t="str">
            <v/>
          </cell>
          <cell r="M7514" t="str">
            <v/>
          </cell>
        </row>
        <row r="7515">
          <cell r="A7515">
            <v>31102192</v>
          </cell>
          <cell r="C7515">
            <v>31102192</v>
          </cell>
          <cell r="D7515">
            <v>31102192</v>
          </cell>
          <cell r="E7515">
            <v>31102192</v>
          </cell>
          <cell r="F7515">
            <v>31102192</v>
          </cell>
          <cell r="G7515">
            <v>31102192</v>
          </cell>
          <cell r="H7515">
            <v>31102192</v>
          </cell>
          <cell r="I7515" t="str">
            <v/>
          </cell>
          <cell r="J7515" t="str">
            <v/>
          </cell>
          <cell r="K7515" t="str">
            <v/>
          </cell>
          <cell r="L7515" t="str">
            <v/>
          </cell>
          <cell r="M7515" t="str">
            <v/>
          </cell>
        </row>
        <row r="7516">
          <cell r="A7516">
            <v>31102192</v>
          </cell>
          <cell r="C7516">
            <v>31102192</v>
          </cell>
          <cell r="D7516">
            <v>31102192</v>
          </cell>
          <cell r="E7516">
            <v>31102192</v>
          </cell>
          <cell r="F7516">
            <v>31102192</v>
          </cell>
          <cell r="G7516">
            <v>31102192</v>
          </cell>
          <cell r="H7516">
            <v>31102192</v>
          </cell>
          <cell r="I7516" t="str">
            <v/>
          </cell>
          <cell r="J7516" t="str">
            <v/>
          </cell>
          <cell r="K7516" t="str">
            <v/>
          </cell>
          <cell r="L7516" t="str">
            <v/>
          </cell>
          <cell r="M7516" t="str">
            <v/>
          </cell>
        </row>
        <row r="7517">
          <cell r="A7517">
            <v>31102192</v>
          </cell>
          <cell r="C7517">
            <v>31102192</v>
          </cell>
          <cell r="D7517">
            <v>31102192</v>
          </cell>
          <cell r="E7517">
            <v>31102192</v>
          </cell>
          <cell r="F7517">
            <v>31102192</v>
          </cell>
          <cell r="G7517">
            <v>31102192</v>
          </cell>
          <cell r="H7517">
            <v>31102192</v>
          </cell>
          <cell r="I7517" t="str">
            <v/>
          </cell>
          <cell r="J7517" t="str">
            <v/>
          </cell>
          <cell r="K7517" t="str">
            <v/>
          </cell>
          <cell r="L7517" t="str">
            <v/>
          </cell>
          <cell r="M7517" t="str">
            <v/>
          </cell>
        </row>
        <row r="7518">
          <cell r="A7518">
            <v>31102192</v>
          </cell>
          <cell r="C7518">
            <v>31102192</v>
          </cell>
          <cell r="D7518">
            <v>31102192</v>
          </cell>
          <cell r="E7518">
            <v>31102192</v>
          </cell>
          <cell r="F7518">
            <v>31102192</v>
          </cell>
          <cell r="G7518">
            <v>31102192</v>
          </cell>
          <cell r="H7518">
            <v>31102192</v>
          </cell>
          <cell r="I7518" t="str">
            <v/>
          </cell>
          <cell r="J7518" t="str">
            <v/>
          </cell>
          <cell r="K7518" t="str">
            <v/>
          </cell>
          <cell r="L7518" t="str">
            <v/>
          </cell>
          <cell r="M7518" t="str">
            <v/>
          </cell>
        </row>
        <row r="7519">
          <cell r="A7519">
            <v>31102192</v>
          </cell>
          <cell r="C7519">
            <v>31102192</v>
          </cell>
          <cell r="D7519">
            <v>31102192</v>
          </cell>
          <cell r="E7519">
            <v>31102192</v>
          </cell>
          <cell r="F7519">
            <v>31102192</v>
          </cell>
          <cell r="G7519">
            <v>31102192</v>
          </cell>
          <cell r="H7519">
            <v>31102192</v>
          </cell>
          <cell r="I7519" t="str">
            <v/>
          </cell>
          <cell r="J7519" t="str">
            <v/>
          </cell>
          <cell r="K7519" t="str">
            <v/>
          </cell>
          <cell r="L7519" t="str">
            <v/>
          </cell>
          <cell r="M7519" t="str">
            <v/>
          </cell>
        </row>
        <row r="7520">
          <cell r="A7520">
            <v>31102192</v>
          </cell>
          <cell r="C7520">
            <v>31102192</v>
          </cell>
          <cell r="D7520">
            <v>31102192</v>
          </cell>
          <cell r="E7520">
            <v>31102192</v>
          </cell>
          <cell r="F7520">
            <v>31102192</v>
          </cell>
          <cell r="G7520">
            <v>31102192</v>
          </cell>
          <cell r="H7520">
            <v>31102192</v>
          </cell>
          <cell r="I7520" t="str">
            <v/>
          </cell>
          <cell r="J7520" t="str">
            <v/>
          </cell>
          <cell r="K7520" t="str">
            <v/>
          </cell>
          <cell r="L7520" t="str">
            <v/>
          </cell>
          <cell r="M7520" t="str">
            <v/>
          </cell>
        </row>
        <row r="7521">
          <cell r="A7521">
            <v>31102192</v>
          </cell>
          <cell r="C7521">
            <v>31102192</v>
          </cell>
          <cell r="D7521">
            <v>31102192</v>
          </cell>
          <cell r="E7521">
            <v>31102192</v>
          </cell>
          <cell r="F7521">
            <v>31102192</v>
          </cell>
          <cell r="G7521">
            <v>31102192</v>
          </cell>
          <cell r="H7521">
            <v>31102192</v>
          </cell>
          <cell r="I7521" t="str">
            <v/>
          </cell>
          <cell r="J7521" t="str">
            <v/>
          </cell>
          <cell r="K7521" t="str">
            <v/>
          </cell>
          <cell r="L7521" t="str">
            <v/>
          </cell>
          <cell r="M7521" t="str">
            <v/>
          </cell>
        </row>
        <row r="7522">
          <cell r="A7522">
            <v>31102192</v>
          </cell>
          <cell r="C7522">
            <v>31102192</v>
          </cell>
          <cell r="D7522">
            <v>31102192</v>
          </cell>
          <cell r="E7522">
            <v>31102192</v>
          </cell>
          <cell r="F7522">
            <v>31102192</v>
          </cell>
          <cell r="G7522">
            <v>31102192</v>
          </cell>
          <cell r="H7522">
            <v>31102192</v>
          </cell>
          <cell r="I7522" t="str">
            <v/>
          </cell>
          <cell r="J7522" t="str">
            <v/>
          </cell>
          <cell r="K7522" t="str">
            <v/>
          </cell>
          <cell r="L7522" t="str">
            <v/>
          </cell>
          <cell r="M7522" t="str">
            <v/>
          </cell>
        </row>
        <row r="7523">
          <cell r="A7523">
            <v>31102192</v>
          </cell>
          <cell r="C7523">
            <v>31102192</v>
          </cell>
          <cell r="D7523">
            <v>31102192</v>
          </cell>
          <cell r="E7523">
            <v>31102192</v>
          </cell>
          <cell r="F7523">
            <v>31102192</v>
          </cell>
          <cell r="G7523">
            <v>31102192</v>
          </cell>
          <cell r="H7523">
            <v>31102192</v>
          </cell>
          <cell r="I7523" t="str">
            <v/>
          </cell>
          <cell r="J7523" t="str">
            <v/>
          </cell>
          <cell r="K7523" t="str">
            <v/>
          </cell>
          <cell r="L7523" t="str">
            <v/>
          </cell>
          <cell r="M7523" t="str">
            <v/>
          </cell>
        </row>
        <row r="7524">
          <cell r="A7524">
            <v>31102192</v>
          </cell>
          <cell r="C7524">
            <v>31102192</v>
          </cell>
          <cell r="D7524">
            <v>31102192</v>
          </cell>
          <cell r="E7524">
            <v>31102192</v>
          </cell>
          <cell r="F7524">
            <v>31102192</v>
          </cell>
          <cell r="G7524">
            <v>31102192</v>
          </cell>
          <cell r="H7524">
            <v>31102192</v>
          </cell>
          <cell r="I7524" t="str">
            <v/>
          </cell>
          <cell r="J7524" t="str">
            <v/>
          </cell>
          <cell r="K7524" t="str">
            <v/>
          </cell>
          <cell r="L7524" t="str">
            <v/>
          </cell>
          <cell r="M7524" t="str">
            <v/>
          </cell>
        </row>
        <row r="7525">
          <cell r="A7525">
            <v>31102192</v>
          </cell>
          <cell r="C7525">
            <v>31102192</v>
          </cell>
          <cell r="D7525">
            <v>31102192</v>
          </cell>
          <cell r="E7525">
            <v>31102192</v>
          </cell>
          <cell r="F7525">
            <v>31102192</v>
          </cell>
          <cell r="G7525">
            <v>31102192</v>
          </cell>
          <cell r="H7525">
            <v>31102192</v>
          </cell>
          <cell r="I7525" t="str">
            <v/>
          </cell>
          <cell r="J7525" t="str">
            <v/>
          </cell>
          <cell r="K7525" t="str">
            <v/>
          </cell>
          <cell r="L7525" t="str">
            <v/>
          </cell>
          <cell r="M7525" t="str">
            <v/>
          </cell>
        </row>
        <row r="7526">
          <cell r="A7526">
            <v>31102192</v>
          </cell>
          <cell r="C7526">
            <v>31102192</v>
          </cell>
          <cell r="D7526">
            <v>31102192</v>
          </cell>
          <cell r="E7526">
            <v>31102192</v>
          </cell>
          <cell r="F7526">
            <v>31102192</v>
          </cell>
          <cell r="G7526">
            <v>31102192</v>
          </cell>
          <cell r="H7526">
            <v>31102192</v>
          </cell>
          <cell r="I7526" t="str">
            <v/>
          </cell>
          <cell r="J7526" t="str">
            <v/>
          </cell>
          <cell r="K7526" t="str">
            <v/>
          </cell>
          <cell r="L7526" t="str">
            <v/>
          </cell>
          <cell r="M7526" t="str">
            <v/>
          </cell>
        </row>
        <row r="7527">
          <cell r="A7527">
            <v>31102192</v>
          </cell>
          <cell r="C7527">
            <v>31102192</v>
          </cell>
          <cell r="D7527">
            <v>31102192</v>
          </cell>
          <cell r="E7527">
            <v>31102192</v>
          </cell>
          <cell r="F7527">
            <v>31102192</v>
          </cell>
          <cell r="G7527">
            <v>31102192</v>
          </cell>
          <cell r="H7527">
            <v>31102192</v>
          </cell>
          <cell r="I7527" t="str">
            <v/>
          </cell>
          <cell r="J7527" t="str">
            <v/>
          </cell>
          <cell r="K7527" t="str">
            <v/>
          </cell>
          <cell r="L7527" t="str">
            <v/>
          </cell>
          <cell r="M7527" t="str">
            <v/>
          </cell>
        </row>
        <row r="7528">
          <cell r="A7528">
            <v>31102192</v>
          </cell>
          <cell r="C7528">
            <v>31102192</v>
          </cell>
          <cell r="D7528">
            <v>31102192</v>
          </cell>
          <cell r="E7528">
            <v>31102192</v>
          </cell>
          <cell r="F7528">
            <v>31102192</v>
          </cell>
          <cell r="G7528">
            <v>31102192</v>
          </cell>
          <cell r="H7528">
            <v>31102192</v>
          </cell>
          <cell r="I7528" t="str">
            <v/>
          </cell>
          <cell r="J7528" t="str">
            <v/>
          </cell>
          <cell r="K7528" t="str">
            <v/>
          </cell>
          <cell r="L7528" t="str">
            <v/>
          </cell>
          <cell r="M7528" t="str">
            <v/>
          </cell>
        </row>
        <row r="7529">
          <cell r="A7529">
            <v>31102192</v>
          </cell>
          <cell r="C7529">
            <v>31102192</v>
          </cell>
          <cell r="D7529">
            <v>31102192</v>
          </cell>
          <cell r="E7529">
            <v>31102192</v>
          </cell>
          <cell r="F7529">
            <v>31102192</v>
          </cell>
          <cell r="G7529">
            <v>31102192</v>
          </cell>
          <cell r="H7529">
            <v>31102192</v>
          </cell>
          <cell r="I7529" t="str">
            <v/>
          </cell>
          <cell r="J7529" t="str">
            <v/>
          </cell>
          <cell r="K7529" t="str">
            <v/>
          </cell>
          <cell r="L7529" t="str">
            <v/>
          </cell>
          <cell r="M7529" t="str">
            <v/>
          </cell>
        </row>
        <row r="7530">
          <cell r="A7530">
            <v>31102192</v>
          </cell>
          <cell r="C7530">
            <v>31102192</v>
          </cell>
          <cell r="D7530">
            <v>31102192</v>
          </cell>
          <cell r="E7530">
            <v>31102192</v>
          </cell>
          <cell r="F7530">
            <v>31102192</v>
          </cell>
          <cell r="G7530">
            <v>31102192</v>
          </cell>
          <cell r="H7530">
            <v>31102192</v>
          </cell>
          <cell r="I7530" t="str">
            <v/>
          </cell>
          <cell r="J7530" t="str">
            <v/>
          </cell>
          <cell r="K7530" t="str">
            <v/>
          </cell>
          <cell r="L7530" t="str">
            <v/>
          </cell>
          <cell r="M7530" t="str">
            <v/>
          </cell>
        </row>
        <row r="7531">
          <cell r="A7531">
            <v>31102192</v>
          </cell>
          <cell r="C7531">
            <v>31102192</v>
          </cell>
          <cell r="D7531">
            <v>31102192</v>
          </cell>
          <cell r="E7531">
            <v>31102192</v>
          </cell>
          <cell r="F7531">
            <v>31102192</v>
          </cell>
          <cell r="G7531">
            <v>31102192</v>
          </cell>
          <cell r="H7531">
            <v>31102192</v>
          </cell>
          <cell r="I7531" t="str">
            <v/>
          </cell>
          <cell r="J7531" t="str">
            <v/>
          </cell>
          <cell r="K7531" t="str">
            <v/>
          </cell>
          <cell r="L7531" t="str">
            <v/>
          </cell>
          <cell r="M7531" t="str">
            <v/>
          </cell>
        </row>
        <row r="7532">
          <cell r="A7532">
            <v>31102192</v>
          </cell>
          <cell r="C7532">
            <v>31102192</v>
          </cell>
          <cell r="D7532">
            <v>31102192</v>
          </cell>
          <cell r="E7532">
            <v>31102192</v>
          </cell>
          <cell r="F7532">
            <v>31102192</v>
          </cell>
          <cell r="G7532">
            <v>31102192</v>
          </cell>
          <cell r="H7532">
            <v>31102192</v>
          </cell>
          <cell r="I7532" t="str">
            <v/>
          </cell>
          <cell r="J7532" t="str">
            <v/>
          </cell>
          <cell r="K7532" t="str">
            <v/>
          </cell>
          <cell r="L7532" t="str">
            <v/>
          </cell>
          <cell r="M7532" t="str">
            <v/>
          </cell>
        </row>
        <row r="7533">
          <cell r="A7533">
            <v>31102192</v>
          </cell>
          <cell r="C7533">
            <v>31102192</v>
          </cell>
          <cell r="D7533">
            <v>31102192</v>
          </cell>
          <cell r="E7533">
            <v>31102192</v>
          </cell>
          <cell r="F7533">
            <v>31102192</v>
          </cell>
          <cell r="G7533">
            <v>31102192</v>
          </cell>
          <cell r="H7533">
            <v>31102192</v>
          </cell>
          <cell r="I7533" t="str">
            <v/>
          </cell>
          <cell r="J7533" t="str">
            <v/>
          </cell>
          <cell r="K7533" t="str">
            <v/>
          </cell>
          <cell r="L7533" t="str">
            <v/>
          </cell>
          <cell r="M7533" t="str">
            <v/>
          </cell>
        </row>
        <row r="7534">
          <cell r="A7534">
            <v>31102192</v>
          </cell>
          <cell r="C7534">
            <v>31102192</v>
          </cell>
          <cell r="D7534">
            <v>31102192</v>
          </cell>
          <cell r="E7534">
            <v>31102192</v>
          </cell>
          <cell r="F7534">
            <v>31102192</v>
          </cell>
          <cell r="G7534">
            <v>31102192</v>
          </cell>
          <cell r="H7534">
            <v>31102192</v>
          </cell>
          <cell r="I7534" t="str">
            <v/>
          </cell>
          <cell r="J7534" t="str">
            <v/>
          </cell>
          <cell r="K7534" t="str">
            <v/>
          </cell>
          <cell r="L7534" t="str">
            <v/>
          </cell>
          <cell r="M7534" t="str">
            <v/>
          </cell>
        </row>
        <row r="7535">
          <cell r="A7535">
            <v>31102192</v>
          </cell>
          <cell r="C7535">
            <v>31102192</v>
          </cell>
          <cell r="D7535">
            <v>31102192</v>
          </cell>
          <cell r="E7535">
            <v>31102192</v>
          </cell>
          <cell r="F7535">
            <v>31102192</v>
          </cell>
          <cell r="G7535">
            <v>31102192</v>
          </cell>
          <cell r="H7535">
            <v>31102192</v>
          </cell>
          <cell r="I7535" t="str">
            <v/>
          </cell>
          <cell r="J7535" t="str">
            <v/>
          </cell>
          <cell r="K7535" t="str">
            <v/>
          </cell>
          <cell r="L7535" t="str">
            <v/>
          </cell>
          <cell r="M7535" t="str">
            <v/>
          </cell>
        </row>
        <row r="7536">
          <cell r="A7536">
            <v>31102192</v>
          </cell>
          <cell r="C7536">
            <v>31102192</v>
          </cell>
          <cell r="D7536">
            <v>31102192</v>
          </cell>
          <cell r="E7536">
            <v>31102192</v>
          </cell>
          <cell r="F7536">
            <v>31102192</v>
          </cell>
          <cell r="G7536">
            <v>31102192</v>
          </cell>
          <cell r="H7536">
            <v>31102192</v>
          </cell>
          <cell r="I7536" t="str">
            <v/>
          </cell>
          <cell r="J7536" t="str">
            <v/>
          </cell>
          <cell r="K7536" t="str">
            <v/>
          </cell>
          <cell r="L7536" t="str">
            <v/>
          </cell>
          <cell r="M7536" t="str">
            <v/>
          </cell>
        </row>
        <row r="7537">
          <cell r="A7537">
            <v>31102192</v>
          </cell>
          <cell r="C7537">
            <v>31102192</v>
          </cell>
          <cell r="D7537">
            <v>31102192</v>
          </cell>
          <cell r="E7537">
            <v>31102192</v>
          </cell>
          <cell r="F7537">
            <v>31102192</v>
          </cell>
          <cell r="G7537">
            <v>31102192</v>
          </cell>
          <cell r="H7537">
            <v>31102192</v>
          </cell>
          <cell r="I7537" t="str">
            <v/>
          </cell>
          <cell r="J7537" t="str">
            <v/>
          </cell>
          <cell r="K7537" t="str">
            <v/>
          </cell>
          <cell r="L7537" t="str">
            <v/>
          </cell>
          <cell r="M7537" t="str">
            <v/>
          </cell>
        </row>
        <row r="7538">
          <cell r="A7538">
            <v>31102192</v>
          </cell>
          <cell r="C7538">
            <v>31102192</v>
          </cell>
          <cell r="D7538">
            <v>31102192</v>
          </cell>
          <cell r="E7538">
            <v>31102192</v>
          </cell>
          <cell r="F7538">
            <v>31102192</v>
          </cell>
          <cell r="G7538">
            <v>31102192</v>
          </cell>
          <cell r="H7538">
            <v>31102192</v>
          </cell>
          <cell r="I7538" t="str">
            <v/>
          </cell>
          <cell r="J7538" t="str">
            <v/>
          </cell>
          <cell r="K7538" t="str">
            <v/>
          </cell>
          <cell r="L7538" t="str">
            <v/>
          </cell>
          <cell r="M7538" t="str">
            <v/>
          </cell>
        </row>
        <row r="7539">
          <cell r="A7539">
            <v>31102192</v>
          </cell>
          <cell r="C7539">
            <v>31102192</v>
          </cell>
          <cell r="D7539">
            <v>31102192</v>
          </cell>
          <cell r="E7539">
            <v>31102192</v>
          </cell>
          <cell r="F7539">
            <v>31102192</v>
          </cell>
          <cell r="G7539">
            <v>31102192</v>
          </cell>
          <cell r="H7539">
            <v>31102192</v>
          </cell>
          <cell r="I7539" t="str">
            <v/>
          </cell>
          <cell r="J7539" t="str">
            <v/>
          </cell>
          <cell r="K7539" t="str">
            <v/>
          </cell>
          <cell r="L7539" t="str">
            <v/>
          </cell>
          <cell r="M7539" t="str">
            <v/>
          </cell>
        </row>
        <row r="7540">
          <cell r="A7540">
            <v>31102192</v>
          </cell>
          <cell r="C7540">
            <v>31102192</v>
          </cell>
          <cell r="D7540">
            <v>31102192</v>
          </cell>
          <cell r="E7540">
            <v>31102192</v>
          </cell>
          <cell r="F7540">
            <v>31102192</v>
          </cell>
          <cell r="G7540">
            <v>31102192</v>
          </cell>
          <cell r="H7540">
            <v>31102192</v>
          </cell>
          <cell r="I7540" t="str">
            <v/>
          </cell>
          <cell r="J7540" t="str">
            <v/>
          </cell>
          <cell r="K7540" t="str">
            <v/>
          </cell>
          <cell r="L7540" t="str">
            <v/>
          </cell>
          <cell r="M7540" t="str">
            <v/>
          </cell>
        </row>
        <row r="7541">
          <cell r="A7541">
            <v>31102192</v>
          </cell>
          <cell r="C7541">
            <v>31102192</v>
          </cell>
          <cell r="D7541">
            <v>31102192</v>
          </cell>
          <cell r="E7541">
            <v>31102192</v>
          </cell>
          <cell r="F7541">
            <v>31102192</v>
          </cell>
          <cell r="G7541">
            <v>31102192</v>
          </cell>
          <cell r="H7541">
            <v>31102192</v>
          </cell>
          <cell r="I7541" t="str">
            <v/>
          </cell>
          <cell r="J7541" t="str">
            <v/>
          </cell>
          <cell r="K7541" t="str">
            <v/>
          </cell>
          <cell r="L7541" t="str">
            <v/>
          </cell>
          <cell r="M7541" t="str">
            <v/>
          </cell>
        </row>
        <row r="7542">
          <cell r="A7542">
            <v>31102192</v>
          </cell>
          <cell r="C7542">
            <v>31102192</v>
          </cell>
          <cell r="D7542">
            <v>31102192</v>
          </cell>
          <cell r="E7542">
            <v>31102192</v>
          </cell>
          <cell r="F7542">
            <v>31102192</v>
          </cell>
          <cell r="G7542">
            <v>31102192</v>
          </cell>
          <cell r="H7542">
            <v>31102192</v>
          </cell>
          <cell r="I7542" t="str">
            <v/>
          </cell>
          <cell r="J7542" t="str">
            <v/>
          </cell>
          <cell r="K7542" t="str">
            <v/>
          </cell>
          <cell r="L7542" t="str">
            <v/>
          </cell>
          <cell r="M7542" t="str">
            <v/>
          </cell>
        </row>
        <row r="7543">
          <cell r="A7543">
            <v>31102192</v>
          </cell>
          <cell r="C7543">
            <v>31102192</v>
          </cell>
          <cell r="D7543">
            <v>31102192</v>
          </cell>
          <cell r="E7543">
            <v>31102192</v>
          </cell>
          <cell r="F7543">
            <v>31102192</v>
          </cell>
          <cell r="G7543">
            <v>31102192</v>
          </cell>
          <cell r="H7543">
            <v>31102192</v>
          </cell>
          <cell r="I7543" t="str">
            <v/>
          </cell>
          <cell r="J7543" t="str">
            <v/>
          </cell>
          <cell r="K7543" t="str">
            <v/>
          </cell>
          <cell r="L7543" t="str">
            <v/>
          </cell>
          <cell r="M7543" t="str">
            <v/>
          </cell>
        </row>
        <row r="7544">
          <cell r="A7544">
            <v>31102192</v>
          </cell>
          <cell r="C7544">
            <v>31102192</v>
          </cell>
          <cell r="D7544">
            <v>31102192</v>
          </cell>
          <cell r="E7544">
            <v>31102192</v>
          </cell>
          <cell r="F7544">
            <v>31102192</v>
          </cell>
          <cell r="G7544">
            <v>31102192</v>
          </cell>
          <cell r="H7544">
            <v>31102192</v>
          </cell>
          <cell r="I7544" t="str">
            <v/>
          </cell>
          <cell r="J7544" t="str">
            <v/>
          </cell>
          <cell r="K7544" t="str">
            <v/>
          </cell>
          <cell r="L7544" t="str">
            <v/>
          </cell>
          <cell r="M7544" t="str">
            <v/>
          </cell>
        </row>
        <row r="7545">
          <cell r="A7545">
            <v>31102192</v>
          </cell>
          <cell r="C7545">
            <v>31102192</v>
          </cell>
          <cell r="D7545">
            <v>31102192</v>
          </cell>
          <cell r="E7545">
            <v>31102192</v>
          </cell>
          <cell r="F7545">
            <v>31102192</v>
          </cell>
          <cell r="G7545">
            <v>31102192</v>
          </cell>
          <cell r="H7545">
            <v>31102192</v>
          </cell>
          <cell r="I7545" t="str">
            <v/>
          </cell>
          <cell r="J7545" t="str">
            <v/>
          </cell>
          <cell r="K7545" t="str">
            <v/>
          </cell>
          <cell r="L7545" t="str">
            <v/>
          </cell>
          <cell r="M7545" t="str">
            <v/>
          </cell>
        </row>
        <row r="7546">
          <cell r="A7546">
            <v>31102192</v>
          </cell>
          <cell r="C7546">
            <v>31102192</v>
          </cell>
          <cell r="D7546">
            <v>31102192</v>
          </cell>
          <cell r="E7546">
            <v>31102192</v>
          </cell>
          <cell r="F7546">
            <v>31102192</v>
          </cell>
          <cell r="G7546">
            <v>31102192</v>
          </cell>
          <cell r="H7546">
            <v>31102192</v>
          </cell>
          <cell r="I7546" t="str">
            <v/>
          </cell>
          <cell r="J7546" t="str">
            <v/>
          </cell>
          <cell r="K7546" t="str">
            <v/>
          </cell>
          <cell r="L7546" t="str">
            <v/>
          </cell>
          <cell r="M7546" t="str">
            <v/>
          </cell>
        </row>
        <row r="7547">
          <cell r="A7547">
            <v>31102192</v>
          </cell>
          <cell r="C7547">
            <v>31102192</v>
          </cell>
          <cell r="D7547">
            <v>31102192</v>
          </cell>
          <cell r="E7547">
            <v>31102192</v>
          </cell>
          <cell r="F7547">
            <v>31102192</v>
          </cell>
          <cell r="G7547">
            <v>31102192</v>
          </cell>
          <cell r="H7547">
            <v>31102192</v>
          </cell>
          <cell r="I7547" t="str">
            <v/>
          </cell>
          <cell r="J7547" t="str">
            <v/>
          </cell>
          <cell r="K7547" t="str">
            <v/>
          </cell>
          <cell r="L7547" t="str">
            <v/>
          </cell>
          <cell r="M7547" t="str">
            <v/>
          </cell>
        </row>
        <row r="7548">
          <cell r="A7548">
            <v>31102192</v>
          </cell>
          <cell r="C7548">
            <v>31102192</v>
          </cell>
          <cell r="D7548">
            <v>31102192</v>
          </cell>
          <cell r="E7548">
            <v>31102192</v>
          </cell>
          <cell r="F7548">
            <v>31102192</v>
          </cell>
          <cell r="G7548">
            <v>31102192</v>
          </cell>
          <cell r="H7548">
            <v>31102192</v>
          </cell>
          <cell r="I7548" t="str">
            <v/>
          </cell>
          <cell r="J7548" t="str">
            <v/>
          </cell>
          <cell r="K7548" t="str">
            <v/>
          </cell>
          <cell r="L7548" t="str">
            <v/>
          </cell>
          <cell r="M7548" t="str">
            <v/>
          </cell>
        </row>
        <row r="7549">
          <cell r="A7549">
            <v>31102192</v>
          </cell>
          <cell r="C7549">
            <v>31102192</v>
          </cell>
          <cell r="D7549">
            <v>31102192</v>
          </cell>
          <cell r="E7549">
            <v>31102192</v>
          </cell>
          <cell r="F7549">
            <v>31102192</v>
          </cell>
          <cell r="G7549">
            <v>31102192</v>
          </cell>
          <cell r="H7549">
            <v>31102192</v>
          </cell>
          <cell r="I7549" t="str">
            <v/>
          </cell>
          <cell r="J7549" t="str">
            <v/>
          </cell>
          <cell r="K7549" t="str">
            <v/>
          </cell>
          <cell r="L7549" t="str">
            <v/>
          </cell>
          <cell r="M7549" t="str">
            <v/>
          </cell>
        </row>
        <row r="7550">
          <cell r="A7550">
            <v>31102192</v>
          </cell>
          <cell r="C7550">
            <v>31102192</v>
          </cell>
          <cell r="D7550">
            <v>31102192</v>
          </cell>
          <cell r="E7550">
            <v>31102192</v>
          </cell>
          <cell r="F7550">
            <v>31102192</v>
          </cell>
          <cell r="G7550">
            <v>31102192</v>
          </cell>
          <cell r="H7550">
            <v>31102192</v>
          </cell>
          <cell r="I7550" t="str">
            <v/>
          </cell>
          <cell r="J7550" t="str">
            <v/>
          </cell>
          <cell r="K7550" t="str">
            <v/>
          </cell>
          <cell r="L7550" t="str">
            <v/>
          </cell>
          <cell r="M7550" t="str">
            <v/>
          </cell>
        </row>
        <row r="7551">
          <cell r="A7551">
            <v>31102192</v>
          </cell>
          <cell r="C7551">
            <v>31102192</v>
          </cell>
          <cell r="D7551">
            <v>31102192</v>
          </cell>
          <cell r="E7551">
            <v>31102192</v>
          </cell>
          <cell r="F7551">
            <v>31102192</v>
          </cell>
          <cell r="G7551">
            <v>31102192</v>
          </cell>
          <cell r="H7551">
            <v>31102192</v>
          </cell>
          <cell r="I7551" t="str">
            <v/>
          </cell>
          <cell r="J7551" t="str">
            <v/>
          </cell>
          <cell r="K7551" t="str">
            <v/>
          </cell>
          <cell r="L7551" t="str">
            <v/>
          </cell>
          <cell r="M7551" t="str">
            <v/>
          </cell>
        </row>
        <row r="7552">
          <cell r="A7552">
            <v>31102192</v>
          </cell>
          <cell r="C7552">
            <v>31102192</v>
          </cell>
          <cell r="D7552">
            <v>31102192</v>
          </cell>
          <cell r="E7552">
            <v>31102192</v>
          </cell>
          <cell r="F7552">
            <v>31102192</v>
          </cell>
          <cell r="G7552">
            <v>31102192</v>
          </cell>
          <cell r="H7552">
            <v>31102192</v>
          </cell>
          <cell r="I7552" t="str">
            <v/>
          </cell>
          <cell r="J7552" t="str">
            <v/>
          </cell>
          <cell r="K7552" t="str">
            <v/>
          </cell>
          <cell r="L7552" t="str">
            <v/>
          </cell>
          <cell r="M7552" t="str">
            <v/>
          </cell>
        </row>
        <row r="7553">
          <cell r="A7553">
            <v>31102192</v>
          </cell>
          <cell r="C7553">
            <v>31102192</v>
          </cell>
          <cell r="D7553">
            <v>31102192</v>
          </cell>
          <cell r="E7553">
            <v>31102192</v>
          </cell>
          <cell r="F7553">
            <v>31102192</v>
          </cell>
          <cell r="G7553">
            <v>31102192</v>
          </cell>
          <cell r="H7553">
            <v>31102192</v>
          </cell>
          <cell r="I7553" t="str">
            <v/>
          </cell>
          <cell r="J7553" t="str">
            <v/>
          </cell>
          <cell r="K7553" t="str">
            <v/>
          </cell>
          <cell r="L7553" t="str">
            <v/>
          </cell>
          <cell r="M7553" t="str">
            <v/>
          </cell>
        </row>
        <row r="7554">
          <cell r="A7554">
            <v>31102192</v>
          </cell>
          <cell r="C7554">
            <v>31102192</v>
          </cell>
          <cell r="D7554">
            <v>31102192</v>
          </cell>
          <cell r="E7554">
            <v>31102192</v>
          </cell>
          <cell r="F7554">
            <v>31102192</v>
          </cell>
          <cell r="G7554">
            <v>31102192</v>
          </cell>
          <cell r="H7554">
            <v>31102192</v>
          </cell>
          <cell r="I7554" t="str">
            <v/>
          </cell>
          <cell r="J7554" t="str">
            <v/>
          </cell>
          <cell r="K7554" t="str">
            <v/>
          </cell>
          <cell r="L7554" t="str">
            <v/>
          </cell>
          <cell r="M7554" t="str">
            <v/>
          </cell>
        </row>
        <row r="7555">
          <cell r="A7555">
            <v>31102192</v>
          </cell>
          <cell r="C7555">
            <v>31102192</v>
          </cell>
          <cell r="D7555">
            <v>31102192</v>
          </cell>
          <cell r="E7555">
            <v>31102192</v>
          </cell>
          <cell r="F7555">
            <v>31102192</v>
          </cell>
          <cell r="G7555">
            <v>31102192</v>
          </cell>
          <cell r="H7555">
            <v>31102192</v>
          </cell>
          <cell r="I7555" t="str">
            <v/>
          </cell>
          <cell r="J7555" t="str">
            <v/>
          </cell>
          <cell r="K7555" t="str">
            <v/>
          </cell>
          <cell r="L7555" t="str">
            <v/>
          </cell>
          <cell r="M7555" t="str">
            <v/>
          </cell>
        </row>
        <row r="7556">
          <cell r="A7556">
            <v>31102192</v>
          </cell>
          <cell r="C7556">
            <v>31102192</v>
          </cell>
          <cell r="D7556">
            <v>31102192</v>
          </cell>
          <cell r="E7556">
            <v>31102192</v>
          </cell>
          <cell r="F7556">
            <v>31102192</v>
          </cell>
          <cell r="G7556">
            <v>31102192</v>
          </cell>
          <cell r="H7556">
            <v>31102192</v>
          </cell>
          <cell r="I7556" t="str">
            <v/>
          </cell>
          <cell r="J7556" t="str">
            <v/>
          </cell>
          <cell r="K7556" t="str">
            <v/>
          </cell>
          <cell r="L7556" t="str">
            <v/>
          </cell>
          <cell r="M7556" t="str">
            <v/>
          </cell>
        </row>
        <row r="7557">
          <cell r="A7557">
            <v>31102192</v>
          </cell>
          <cell r="C7557">
            <v>31102192</v>
          </cell>
          <cell r="D7557">
            <v>31102192</v>
          </cell>
          <cell r="E7557">
            <v>31102192</v>
          </cell>
          <cell r="F7557">
            <v>31102192</v>
          </cell>
          <cell r="G7557">
            <v>31102192</v>
          </cell>
          <cell r="H7557">
            <v>31102192</v>
          </cell>
          <cell r="I7557" t="str">
            <v/>
          </cell>
          <cell r="J7557" t="str">
            <v/>
          </cell>
          <cell r="K7557" t="str">
            <v/>
          </cell>
          <cell r="L7557" t="str">
            <v/>
          </cell>
          <cell r="M7557" t="str">
            <v/>
          </cell>
        </row>
        <row r="7558">
          <cell r="A7558">
            <v>31102192</v>
          </cell>
          <cell r="C7558">
            <v>31102192</v>
          </cell>
          <cell r="D7558">
            <v>31102192</v>
          </cell>
          <cell r="E7558">
            <v>31102192</v>
          </cell>
          <cell r="F7558">
            <v>31102192</v>
          </cell>
          <cell r="G7558">
            <v>31102192</v>
          </cell>
          <cell r="H7558">
            <v>31102192</v>
          </cell>
          <cell r="I7558" t="str">
            <v/>
          </cell>
          <cell r="J7558" t="str">
            <v/>
          </cell>
          <cell r="K7558" t="str">
            <v/>
          </cell>
          <cell r="L7558" t="str">
            <v/>
          </cell>
          <cell r="M7558" t="str">
            <v/>
          </cell>
        </row>
        <row r="7559">
          <cell r="A7559">
            <v>31102192</v>
          </cell>
          <cell r="C7559">
            <v>31102192</v>
          </cell>
          <cell r="D7559">
            <v>31102192</v>
          </cell>
          <cell r="E7559">
            <v>31102192</v>
          </cell>
          <cell r="F7559">
            <v>31102192</v>
          </cell>
          <cell r="G7559">
            <v>31102192</v>
          </cell>
          <cell r="H7559">
            <v>31102192</v>
          </cell>
          <cell r="I7559" t="str">
            <v/>
          </cell>
          <cell r="J7559" t="str">
            <v/>
          </cell>
          <cell r="K7559" t="str">
            <v/>
          </cell>
          <cell r="L7559" t="str">
            <v/>
          </cell>
          <cell r="M7559" t="str">
            <v/>
          </cell>
        </row>
        <row r="7560">
          <cell r="A7560">
            <v>31102192</v>
          </cell>
          <cell r="C7560">
            <v>31102192</v>
          </cell>
          <cell r="D7560">
            <v>31102192</v>
          </cell>
          <cell r="E7560">
            <v>31102192</v>
          </cell>
          <cell r="F7560">
            <v>31102192</v>
          </cell>
          <cell r="G7560">
            <v>31102192</v>
          </cell>
          <cell r="H7560">
            <v>31102192</v>
          </cell>
          <cell r="I7560" t="str">
            <v/>
          </cell>
          <cell r="J7560" t="str">
            <v/>
          </cell>
          <cell r="K7560" t="str">
            <v/>
          </cell>
          <cell r="L7560" t="str">
            <v/>
          </cell>
          <cell r="M7560" t="str">
            <v/>
          </cell>
        </row>
        <row r="7561">
          <cell r="A7561">
            <v>31102192</v>
          </cell>
          <cell r="C7561">
            <v>31102192</v>
          </cell>
          <cell r="D7561">
            <v>31102192</v>
          </cell>
          <cell r="E7561">
            <v>31102192</v>
          </cell>
          <cell r="F7561">
            <v>31102192</v>
          </cell>
          <cell r="G7561">
            <v>31102192</v>
          </cell>
          <cell r="H7561">
            <v>31102192</v>
          </cell>
          <cell r="I7561" t="str">
            <v/>
          </cell>
          <cell r="J7561" t="str">
            <v/>
          </cell>
          <cell r="K7561" t="str">
            <v/>
          </cell>
          <cell r="L7561" t="str">
            <v/>
          </cell>
          <cell r="M7561" t="str">
            <v/>
          </cell>
        </row>
        <row r="7562">
          <cell r="A7562">
            <v>31102192</v>
          </cell>
          <cell r="C7562">
            <v>31102192</v>
          </cell>
          <cell r="D7562">
            <v>31102192</v>
          </cell>
          <cell r="E7562">
            <v>31102192</v>
          </cell>
          <cell r="F7562">
            <v>31102192</v>
          </cell>
          <cell r="G7562">
            <v>31102192</v>
          </cell>
          <cell r="H7562">
            <v>31102192</v>
          </cell>
          <cell r="I7562" t="str">
            <v/>
          </cell>
          <cell r="J7562" t="str">
            <v/>
          </cell>
          <cell r="K7562" t="str">
            <v/>
          </cell>
          <cell r="L7562" t="str">
            <v/>
          </cell>
          <cell r="M7562" t="str">
            <v/>
          </cell>
        </row>
        <row r="7563">
          <cell r="A7563">
            <v>31102192</v>
          </cell>
          <cell r="C7563">
            <v>31102192</v>
          </cell>
          <cell r="D7563">
            <v>31102192</v>
          </cell>
          <cell r="E7563">
            <v>31102192</v>
          </cell>
          <cell r="F7563">
            <v>31102192</v>
          </cell>
          <cell r="G7563">
            <v>31102192</v>
          </cell>
          <cell r="H7563">
            <v>31102192</v>
          </cell>
          <cell r="I7563" t="str">
            <v/>
          </cell>
          <cell r="J7563" t="str">
            <v/>
          </cell>
          <cell r="K7563" t="str">
            <v/>
          </cell>
          <cell r="L7563" t="str">
            <v/>
          </cell>
          <cell r="M7563" t="str">
            <v/>
          </cell>
        </row>
        <row r="7564">
          <cell r="A7564">
            <v>31102192</v>
          </cell>
          <cell r="C7564">
            <v>31102192</v>
          </cell>
          <cell r="D7564">
            <v>31102192</v>
          </cell>
          <cell r="E7564">
            <v>31102192</v>
          </cell>
          <cell r="F7564">
            <v>31102192</v>
          </cell>
          <cell r="G7564">
            <v>31102192</v>
          </cell>
          <cell r="H7564">
            <v>31102192</v>
          </cell>
          <cell r="I7564" t="str">
            <v/>
          </cell>
          <cell r="J7564" t="str">
            <v/>
          </cell>
          <cell r="K7564" t="str">
            <v/>
          </cell>
          <cell r="L7564" t="str">
            <v/>
          </cell>
          <cell r="M7564" t="str">
            <v/>
          </cell>
        </row>
        <row r="7565">
          <cell r="A7565">
            <v>31102192</v>
          </cell>
          <cell r="C7565">
            <v>31102192</v>
          </cell>
          <cell r="D7565">
            <v>31102192</v>
          </cell>
          <cell r="E7565">
            <v>31102192</v>
          </cell>
          <cell r="F7565">
            <v>31102192</v>
          </cell>
          <cell r="G7565">
            <v>31102192</v>
          </cell>
          <cell r="H7565">
            <v>31102192</v>
          </cell>
          <cell r="I7565" t="str">
            <v/>
          </cell>
          <cell r="J7565" t="str">
            <v/>
          </cell>
          <cell r="K7565" t="str">
            <v/>
          </cell>
          <cell r="L7565" t="str">
            <v/>
          </cell>
          <cell r="M7565" t="str">
            <v/>
          </cell>
        </row>
        <row r="7566">
          <cell r="A7566">
            <v>31102192</v>
          </cell>
          <cell r="C7566">
            <v>31102192</v>
          </cell>
          <cell r="D7566">
            <v>31102192</v>
          </cell>
          <cell r="E7566">
            <v>31102192</v>
          </cell>
          <cell r="F7566">
            <v>31102192</v>
          </cell>
          <cell r="G7566">
            <v>31102192</v>
          </cell>
          <cell r="H7566">
            <v>31102192</v>
          </cell>
          <cell r="I7566" t="str">
            <v/>
          </cell>
          <cell r="J7566" t="str">
            <v/>
          </cell>
          <cell r="K7566" t="str">
            <v/>
          </cell>
          <cell r="L7566" t="str">
            <v/>
          </cell>
          <cell r="M7566" t="str">
            <v/>
          </cell>
        </row>
        <row r="7567">
          <cell r="A7567">
            <v>31102192</v>
          </cell>
          <cell r="C7567">
            <v>31102192</v>
          </cell>
          <cell r="D7567">
            <v>31102192</v>
          </cell>
          <cell r="E7567">
            <v>31102192</v>
          </cell>
          <cell r="F7567">
            <v>31102192</v>
          </cell>
          <cell r="G7567">
            <v>31102192</v>
          </cell>
          <cell r="H7567">
            <v>31102192</v>
          </cell>
          <cell r="I7567" t="str">
            <v/>
          </cell>
          <cell r="J7567" t="str">
            <v/>
          </cell>
          <cell r="K7567" t="str">
            <v/>
          </cell>
          <cell r="L7567" t="str">
            <v/>
          </cell>
          <cell r="M7567" t="str">
            <v/>
          </cell>
        </row>
        <row r="7568">
          <cell r="A7568">
            <v>31102192</v>
          </cell>
          <cell r="C7568">
            <v>31102192</v>
          </cell>
          <cell r="D7568">
            <v>31102192</v>
          </cell>
          <cell r="E7568">
            <v>31102192</v>
          </cell>
          <cell r="F7568">
            <v>31102192</v>
          </cell>
          <cell r="G7568">
            <v>31102192</v>
          </cell>
          <cell r="H7568">
            <v>31102192</v>
          </cell>
          <cell r="I7568" t="str">
            <v/>
          </cell>
          <cell r="J7568" t="str">
            <v/>
          </cell>
          <cell r="K7568" t="str">
            <v/>
          </cell>
          <cell r="L7568" t="str">
            <v/>
          </cell>
          <cell r="M7568" t="str">
            <v/>
          </cell>
        </row>
        <row r="7569">
          <cell r="A7569">
            <v>31102192</v>
          </cell>
          <cell r="C7569">
            <v>31102192</v>
          </cell>
          <cell r="D7569">
            <v>31102192</v>
          </cell>
          <cell r="E7569">
            <v>31102192</v>
          </cell>
          <cell r="F7569">
            <v>31102192</v>
          </cell>
          <cell r="G7569">
            <v>31102192</v>
          </cell>
          <cell r="H7569">
            <v>31102192</v>
          </cell>
          <cell r="I7569" t="str">
            <v/>
          </cell>
          <cell r="J7569" t="str">
            <v/>
          </cell>
          <cell r="K7569" t="str">
            <v/>
          </cell>
          <cell r="L7569" t="str">
            <v/>
          </cell>
          <cell r="M7569" t="str">
            <v/>
          </cell>
        </row>
        <row r="7570">
          <cell r="A7570">
            <v>31102192</v>
          </cell>
          <cell r="C7570">
            <v>31102192</v>
          </cell>
          <cell r="D7570">
            <v>31102192</v>
          </cell>
          <cell r="E7570">
            <v>31102192</v>
          </cell>
          <cell r="F7570">
            <v>31102192</v>
          </cell>
          <cell r="G7570">
            <v>31102192</v>
          </cell>
          <cell r="H7570">
            <v>31102192</v>
          </cell>
          <cell r="I7570" t="str">
            <v/>
          </cell>
          <cell r="J7570" t="str">
            <v/>
          </cell>
          <cell r="K7570" t="str">
            <v/>
          </cell>
          <cell r="L7570" t="str">
            <v/>
          </cell>
          <cell r="M7570" t="str">
            <v/>
          </cell>
        </row>
        <row r="7571">
          <cell r="A7571">
            <v>31102192</v>
          </cell>
          <cell r="C7571">
            <v>31102192</v>
          </cell>
          <cell r="D7571">
            <v>31102192</v>
          </cell>
          <cell r="E7571">
            <v>31102192</v>
          </cell>
          <cell r="F7571">
            <v>31102192</v>
          </cell>
          <cell r="G7571">
            <v>31102192</v>
          </cell>
          <cell r="H7571">
            <v>31102192</v>
          </cell>
          <cell r="I7571" t="str">
            <v/>
          </cell>
          <cell r="J7571" t="str">
            <v/>
          </cell>
          <cell r="K7571" t="str">
            <v/>
          </cell>
          <cell r="L7571" t="str">
            <v/>
          </cell>
          <cell r="M7571" t="str">
            <v/>
          </cell>
        </row>
        <row r="7572">
          <cell r="A7572">
            <v>31102192</v>
          </cell>
          <cell r="C7572">
            <v>31102192</v>
          </cell>
          <cell r="D7572">
            <v>31102192</v>
          </cell>
          <cell r="E7572">
            <v>31102192</v>
          </cell>
          <cell r="F7572">
            <v>31102192</v>
          </cell>
          <cell r="G7572">
            <v>31102192</v>
          </cell>
          <cell r="H7572">
            <v>31102192</v>
          </cell>
          <cell r="I7572" t="str">
            <v/>
          </cell>
          <cell r="J7572" t="str">
            <v/>
          </cell>
          <cell r="K7572" t="str">
            <v/>
          </cell>
          <cell r="L7572" t="str">
            <v/>
          </cell>
          <cell r="M7572" t="str">
            <v/>
          </cell>
        </row>
        <row r="7573">
          <cell r="A7573">
            <v>31102192</v>
          </cell>
          <cell r="C7573">
            <v>31102192</v>
          </cell>
          <cell r="D7573">
            <v>31102192</v>
          </cell>
          <cell r="E7573">
            <v>31102192</v>
          </cell>
          <cell r="F7573">
            <v>31102192</v>
          </cell>
          <cell r="G7573">
            <v>31102192</v>
          </cell>
          <cell r="H7573">
            <v>31102192</v>
          </cell>
          <cell r="I7573" t="str">
            <v/>
          </cell>
          <cell r="J7573" t="str">
            <v/>
          </cell>
          <cell r="K7573" t="str">
            <v/>
          </cell>
          <cell r="L7573" t="str">
            <v/>
          </cell>
          <cell r="M7573" t="str">
            <v/>
          </cell>
        </row>
        <row r="7574">
          <cell r="A7574">
            <v>31102192</v>
          </cell>
          <cell r="C7574">
            <v>31102192</v>
          </cell>
          <cell r="D7574">
            <v>31102192</v>
          </cell>
          <cell r="E7574">
            <v>31102192</v>
          </cell>
          <cell r="F7574">
            <v>31102192</v>
          </cell>
          <cell r="G7574">
            <v>31102192</v>
          </cell>
          <cell r="H7574">
            <v>31102192</v>
          </cell>
          <cell r="I7574" t="str">
            <v/>
          </cell>
          <cell r="J7574" t="str">
            <v/>
          </cell>
          <cell r="K7574" t="str">
            <v/>
          </cell>
          <cell r="L7574" t="str">
            <v/>
          </cell>
          <cell r="M7574" t="str">
            <v/>
          </cell>
        </row>
        <row r="7575">
          <cell r="A7575">
            <v>31102192</v>
          </cell>
          <cell r="C7575">
            <v>31102192</v>
          </cell>
          <cell r="D7575">
            <v>31102192</v>
          </cell>
          <cell r="E7575">
            <v>31102192</v>
          </cell>
          <cell r="F7575">
            <v>31102192</v>
          </cell>
          <cell r="G7575">
            <v>31102192</v>
          </cell>
          <cell r="H7575">
            <v>31102192</v>
          </cell>
          <cell r="I7575" t="str">
            <v/>
          </cell>
          <cell r="J7575" t="str">
            <v/>
          </cell>
          <cell r="K7575" t="str">
            <v/>
          </cell>
          <cell r="L7575" t="str">
            <v/>
          </cell>
          <cell r="M7575" t="str">
            <v/>
          </cell>
        </row>
        <row r="7576">
          <cell r="A7576">
            <v>31102192</v>
          </cell>
          <cell r="C7576">
            <v>31102192</v>
          </cell>
          <cell r="D7576">
            <v>31102192</v>
          </cell>
          <cell r="E7576">
            <v>31102192</v>
          </cell>
          <cell r="F7576">
            <v>31102192</v>
          </cell>
          <cell r="G7576">
            <v>31102192</v>
          </cell>
          <cell r="H7576">
            <v>31102192</v>
          </cell>
          <cell r="I7576" t="str">
            <v/>
          </cell>
          <cell r="J7576" t="str">
            <v/>
          </cell>
          <cell r="K7576" t="str">
            <v/>
          </cell>
          <cell r="L7576" t="str">
            <v/>
          </cell>
          <cell r="M7576" t="str">
            <v/>
          </cell>
        </row>
        <row r="7577">
          <cell r="A7577">
            <v>31102192</v>
          </cell>
          <cell r="C7577">
            <v>31102192</v>
          </cell>
          <cell r="D7577">
            <v>31102192</v>
          </cell>
          <cell r="E7577">
            <v>31102192</v>
          </cell>
          <cell r="F7577">
            <v>31102192</v>
          </cell>
          <cell r="G7577">
            <v>31102192</v>
          </cell>
          <cell r="H7577">
            <v>31102192</v>
          </cell>
          <cell r="I7577" t="str">
            <v/>
          </cell>
          <cell r="J7577" t="str">
            <v/>
          </cell>
          <cell r="K7577" t="str">
            <v/>
          </cell>
          <cell r="L7577" t="str">
            <v/>
          </cell>
          <cell r="M7577" t="str">
            <v/>
          </cell>
        </row>
        <row r="7578">
          <cell r="A7578">
            <v>31102192</v>
          </cell>
          <cell r="C7578">
            <v>31102192</v>
          </cell>
          <cell r="D7578">
            <v>31102192</v>
          </cell>
          <cell r="E7578">
            <v>31102192</v>
          </cell>
          <cell r="F7578">
            <v>31102192</v>
          </cell>
          <cell r="G7578">
            <v>31102192</v>
          </cell>
          <cell r="H7578">
            <v>31102192</v>
          </cell>
          <cell r="I7578" t="str">
            <v/>
          </cell>
          <cell r="J7578" t="str">
            <v/>
          </cell>
          <cell r="K7578" t="str">
            <v/>
          </cell>
          <cell r="L7578" t="str">
            <v/>
          </cell>
          <cell r="M7578" t="str">
            <v/>
          </cell>
        </row>
        <row r="7579">
          <cell r="A7579">
            <v>31102192</v>
          </cell>
          <cell r="C7579">
            <v>31102192</v>
          </cell>
          <cell r="D7579">
            <v>31102192</v>
          </cell>
          <cell r="E7579">
            <v>31102192</v>
          </cell>
          <cell r="F7579">
            <v>31102192</v>
          </cell>
          <cell r="G7579">
            <v>31102192</v>
          </cell>
          <cell r="H7579">
            <v>31102192</v>
          </cell>
          <cell r="I7579" t="str">
            <v/>
          </cell>
          <cell r="J7579" t="str">
            <v/>
          </cell>
          <cell r="K7579" t="str">
            <v/>
          </cell>
          <cell r="L7579" t="str">
            <v/>
          </cell>
          <cell r="M7579" t="str">
            <v/>
          </cell>
        </row>
        <row r="7580">
          <cell r="A7580">
            <v>31102192</v>
          </cell>
          <cell r="C7580">
            <v>31102192</v>
          </cell>
          <cell r="D7580">
            <v>31102192</v>
          </cell>
          <cell r="E7580">
            <v>31102192</v>
          </cell>
          <cell r="F7580">
            <v>31102192</v>
          </cell>
          <cell r="G7580">
            <v>31102192</v>
          </cell>
          <cell r="H7580">
            <v>31102192</v>
          </cell>
          <cell r="I7580" t="str">
            <v/>
          </cell>
          <cell r="J7580" t="str">
            <v/>
          </cell>
          <cell r="K7580" t="str">
            <v/>
          </cell>
          <cell r="L7580" t="str">
            <v/>
          </cell>
          <cell r="M7580" t="str">
            <v/>
          </cell>
        </row>
        <row r="7581">
          <cell r="A7581">
            <v>31102192</v>
          </cell>
          <cell r="C7581">
            <v>31102192</v>
          </cell>
          <cell r="D7581">
            <v>31102192</v>
          </cell>
          <cell r="E7581">
            <v>31102192</v>
          </cell>
          <cell r="F7581">
            <v>31102192</v>
          </cell>
          <cell r="G7581">
            <v>31102192</v>
          </cell>
          <cell r="H7581">
            <v>31102192</v>
          </cell>
          <cell r="I7581" t="str">
            <v/>
          </cell>
          <cell r="J7581" t="str">
            <v/>
          </cell>
          <cell r="K7581" t="str">
            <v/>
          </cell>
          <cell r="L7581" t="str">
            <v/>
          </cell>
          <cell r="M7581" t="str">
            <v/>
          </cell>
        </row>
        <row r="7582">
          <cell r="A7582">
            <v>31102192</v>
          </cell>
          <cell r="C7582">
            <v>31102192</v>
          </cell>
          <cell r="D7582">
            <v>31102192</v>
          </cell>
          <cell r="E7582">
            <v>31102192</v>
          </cell>
          <cell r="F7582">
            <v>31102192</v>
          </cell>
          <cell r="G7582">
            <v>31102192</v>
          </cell>
          <cell r="H7582">
            <v>31102192</v>
          </cell>
          <cell r="I7582" t="str">
            <v/>
          </cell>
          <cell r="J7582" t="str">
            <v/>
          </cell>
          <cell r="K7582" t="str">
            <v/>
          </cell>
          <cell r="L7582" t="str">
            <v/>
          </cell>
          <cell r="M7582" t="str">
            <v/>
          </cell>
        </row>
        <row r="7583">
          <cell r="A7583">
            <v>31102192</v>
          </cell>
          <cell r="C7583">
            <v>31102192</v>
          </cell>
          <cell r="D7583">
            <v>31102192</v>
          </cell>
          <cell r="E7583">
            <v>31102192</v>
          </cell>
          <cell r="F7583">
            <v>31102192</v>
          </cell>
          <cell r="G7583">
            <v>31102192</v>
          </cell>
          <cell r="H7583">
            <v>31102192</v>
          </cell>
          <cell r="I7583" t="str">
            <v/>
          </cell>
          <cell r="J7583" t="str">
            <v/>
          </cell>
          <cell r="K7583" t="str">
            <v/>
          </cell>
          <cell r="L7583" t="str">
            <v/>
          </cell>
          <cell r="M7583" t="str">
            <v/>
          </cell>
        </row>
        <row r="7584">
          <cell r="A7584">
            <v>31102192</v>
          </cell>
          <cell r="C7584">
            <v>31102192</v>
          </cell>
          <cell r="D7584">
            <v>31102192</v>
          </cell>
          <cell r="E7584">
            <v>31102192</v>
          </cell>
          <cell r="F7584">
            <v>31102192</v>
          </cell>
          <cell r="G7584">
            <v>31102192</v>
          </cell>
          <cell r="H7584">
            <v>31102192</v>
          </cell>
          <cell r="I7584" t="str">
            <v/>
          </cell>
          <cell r="J7584" t="str">
            <v/>
          </cell>
          <cell r="K7584" t="str">
            <v/>
          </cell>
          <cell r="L7584" t="str">
            <v/>
          </cell>
          <cell r="M7584" t="str">
            <v/>
          </cell>
        </row>
        <row r="7585">
          <cell r="A7585">
            <v>31102192</v>
          </cell>
          <cell r="C7585">
            <v>31102192</v>
          </cell>
          <cell r="D7585">
            <v>31102192</v>
          </cell>
          <cell r="E7585">
            <v>31102192</v>
          </cell>
          <cell r="F7585">
            <v>31102192</v>
          </cell>
          <cell r="G7585">
            <v>31102192</v>
          </cell>
          <cell r="H7585">
            <v>31102192</v>
          </cell>
          <cell r="I7585" t="str">
            <v/>
          </cell>
          <cell r="J7585" t="str">
            <v/>
          </cell>
          <cell r="K7585" t="str">
            <v/>
          </cell>
          <cell r="L7585" t="str">
            <v/>
          </cell>
          <cell r="M7585" t="str">
            <v/>
          </cell>
        </row>
        <row r="7586">
          <cell r="A7586">
            <v>31102192</v>
          </cell>
          <cell r="C7586">
            <v>31102192</v>
          </cell>
          <cell r="D7586">
            <v>31102192</v>
          </cell>
          <cell r="E7586">
            <v>31102192</v>
          </cell>
          <cell r="F7586">
            <v>31102192</v>
          </cell>
          <cell r="G7586">
            <v>31102192</v>
          </cell>
          <cell r="H7586">
            <v>31102192</v>
          </cell>
          <cell r="I7586" t="str">
            <v/>
          </cell>
          <cell r="J7586" t="str">
            <v/>
          </cell>
          <cell r="K7586" t="str">
            <v/>
          </cell>
          <cell r="L7586" t="str">
            <v/>
          </cell>
          <cell r="M7586" t="str">
            <v/>
          </cell>
        </row>
        <row r="7587">
          <cell r="A7587">
            <v>31102192</v>
          </cell>
          <cell r="C7587">
            <v>31102192</v>
          </cell>
          <cell r="D7587">
            <v>31102192</v>
          </cell>
          <cell r="E7587">
            <v>31102192</v>
          </cell>
          <cell r="F7587">
            <v>31102192</v>
          </cell>
          <cell r="G7587">
            <v>31102192</v>
          </cell>
          <cell r="H7587">
            <v>31102192</v>
          </cell>
          <cell r="I7587" t="str">
            <v/>
          </cell>
          <cell r="J7587" t="str">
            <v/>
          </cell>
          <cell r="K7587" t="str">
            <v/>
          </cell>
          <cell r="L7587" t="str">
            <v/>
          </cell>
          <cell r="M7587" t="str">
            <v/>
          </cell>
        </row>
        <row r="7588">
          <cell r="A7588">
            <v>31102192</v>
          </cell>
          <cell r="C7588">
            <v>31102192</v>
          </cell>
          <cell r="D7588">
            <v>31102192</v>
          </cell>
          <cell r="E7588">
            <v>31102192</v>
          </cell>
          <cell r="F7588">
            <v>31102192</v>
          </cell>
          <cell r="G7588">
            <v>31102192</v>
          </cell>
          <cell r="H7588">
            <v>31102192</v>
          </cell>
          <cell r="I7588" t="str">
            <v/>
          </cell>
          <cell r="J7588" t="str">
            <v/>
          </cell>
          <cell r="K7588" t="str">
            <v/>
          </cell>
          <cell r="L7588" t="str">
            <v/>
          </cell>
          <cell r="M7588" t="str">
            <v/>
          </cell>
        </row>
        <row r="7589">
          <cell r="A7589">
            <v>31102192</v>
          </cell>
          <cell r="C7589">
            <v>31102192</v>
          </cell>
          <cell r="D7589">
            <v>31102192</v>
          </cell>
          <cell r="E7589">
            <v>31102192</v>
          </cell>
          <cell r="F7589">
            <v>31102192</v>
          </cell>
          <cell r="G7589">
            <v>31102192</v>
          </cell>
          <cell r="H7589">
            <v>31102192</v>
          </cell>
          <cell r="I7589" t="str">
            <v/>
          </cell>
          <cell r="J7589" t="str">
            <v/>
          </cell>
          <cell r="K7589" t="str">
            <v/>
          </cell>
          <cell r="L7589" t="str">
            <v/>
          </cell>
          <cell r="M7589" t="str">
            <v/>
          </cell>
        </row>
        <row r="7590">
          <cell r="A7590">
            <v>31102192</v>
          </cell>
          <cell r="C7590">
            <v>31102192</v>
          </cell>
          <cell r="D7590">
            <v>31102192</v>
          </cell>
          <cell r="E7590">
            <v>31102192</v>
          </cell>
          <cell r="F7590">
            <v>31102192</v>
          </cell>
          <cell r="G7590">
            <v>31102192</v>
          </cell>
          <cell r="H7590">
            <v>31102192</v>
          </cell>
          <cell r="I7590" t="str">
            <v/>
          </cell>
          <cell r="J7590" t="str">
            <v/>
          </cell>
          <cell r="K7590" t="str">
            <v/>
          </cell>
          <cell r="L7590" t="str">
            <v/>
          </cell>
          <cell r="M7590" t="str">
            <v/>
          </cell>
        </row>
        <row r="7591">
          <cell r="A7591">
            <v>31102192</v>
          </cell>
          <cell r="C7591">
            <v>31102192</v>
          </cell>
          <cell r="D7591">
            <v>31102192</v>
          </cell>
          <cell r="E7591">
            <v>31102192</v>
          </cell>
          <cell r="F7591">
            <v>31102192</v>
          </cell>
          <cell r="G7591">
            <v>31102192</v>
          </cell>
          <cell r="H7591">
            <v>31102192</v>
          </cell>
          <cell r="I7591" t="str">
            <v/>
          </cell>
          <cell r="J7591" t="str">
            <v/>
          </cell>
          <cell r="K7591" t="str">
            <v/>
          </cell>
          <cell r="L7591" t="str">
            <v/>
          </cell>
          <cell r="M7591" t="str">
            <v/>
          </cell>
        </row>
        <row r="7592">
          <cell r="A7592">
            <v>31102192</v>
          </cell>
          <cell r="C7592">
            <v>31102192</v>
          </cell>
          <cell r="D7592">
            <v>31102192</v>
          </cell>
          <cell r="E7592">
            <v>31102192</v>
          </cell>
          <cell r="F7592">
            <v>31102192</v>
          </cell>
          <cell r="G7592">
            <v>31102192</v>
          </cell>
          <cell r="H7592">
            <v>31102192</v>
          </cell>
          <cell r="I7592" t="str">
            <v/>
          </cell>
          <cell r="J7592" t="str">
            <v/>
          </cell>
          <cell r="K7592" t="str">
            <v/>
          </cell>
          <cell r="L7592" t="str">
            <v/>
          </cell>
          <cell r="M7592" t="str">
            <v/>
          </cell>
        </row>
        <row r="7593">
          <cell r="A7593">
            <v>31102192</v>
          </cell>
          <cell r="C7593">
            <v>31102192</v>
          </cell>
          <cell r="D7593">
            <v>31102192</v>
          </cell>
          <cell r="E7593">
            <v>31102192</v>
          </cell>
          <cell r="F7593">
            <v>31102192</v>
          </cell>
          <cell r="G7593">
            <v>31102192</v>
          </cell>
          <cell r="H7593">
            <v>31102192</v>
          </cell>
          <cell r="I7593" t="str">
            <v/>
          </cell>
          <cell r="J7593" t="str">
            <v/>
          </cell>
          <cell r="K7593" t="str">
            <v/>
          </cell>
          <cell r="L7593" t="str">
            <v/>
          </cell>
          <cell r="M7593" t="str">
            <v/>
          </cell>
        </row>
        <row r="7594">
          <cell r="A7594">
            <v>31102192</v>
          </cell>
          <cell r="C7594">
            <v>31102192</v>
          </cell>
          <cell r="D7594">
            <v>31102192</v>
          </cell>
          <cell r="E7594">
            <v>31102192</v>
          </cell>
          <cell r="F7594">
            <v>31102192</v>
          </cell>
          <cell r="G7594">
            <v>31102192</v>
          </cell>
          <cell r="H7594">
            <v>31102192</v>
          </cell>
          <cell r="I7594" t="str">
            <v/>
          </cell>
          <cell r="J7594" t="str">
            <v/>
          </cell>
          <cell r="K7594" t="str">
            <v/>
          </cell>
          <cell r="L7594" t="str">
            <v/>
          </cell>
          <cell r="M7594" t="str">
            <v/>
          </cell>
        </row>
        <row r="7595">
          <cell r="A7595">
            <v>31102192</v>
          </cell>
          <cell r="C7595">
            <v>31102192</v>
          </cell>
          <cell r="D7595">
            <v>31102192</v>
          </cell>
          <cell r="E7595">
            <v>31102192</v>
          </cell>
          <cell r="F7595">
            <v>31102192</v>
          </cell>
          <cell r="G7595">
            <v>31102192</v>
          </cell>
          <cell r="H7595">
            <v>31102192</v>
          </cell>
          <cell r="I7595" t="str">
            <v/>
          </cell>
          <cell r="J7595" t="str">
            <v/>
          </cell>
          <cell r="K7595" t="str">
            <v/>
          </cell>
          <cell r="L7595" t="str">
            <v/>
          </cell>
          <cell r="M7595" t="str">
            <v/>
          </cell>
        </row>
        <row r="7596">
          <cell r="A7596">
            <v>31102192</v>
          </cell>
          <cell r="C7596">
            <v>31102192</v>
          </cell>
          <cell r="D7596">
            <v>31102192</v>
          </cell>
          <cell r="E7596">
            <v>31102192</v>
          </cell>
          <cell r="F7596">
            <v>31102192</v>
          </cell>
          <cell r="G7596">
            <v>31102192</v>
          </cell>
          <cell r="H7596">
            <v>31102192</v>
          </cell>
          <cell r="I7596" t="str">
            <v/>
          </cell>
          <cell r="J7596" t="str">
            <v/>
          </cell>
          <cell r="K7596" t="str">
            <v/>
          </cell>
          <cell r="L7596" t="str">
            <v/>
          </cell>
          <cell r="M7596" t="str">
            <v/>
          </cell>
        </row>
        <row r="7597">
          <cell r="A7597">
            <v>31102192</v>
          </cell>
          <cell r="C7597">
            <v>31102192</v>
          </cell>
          <cell r="D7597">
            <v>31102192</v>
          </cell>
          <cell r="E7597">
            <v>31102192</v>
          </cell>
          <cell r="F7597">
            <v>31102192</v>
          </cell>
          <cell r="G7597">
            <v>31102192</v>
          </cell>
          <cell r="H7597">
            <v>31102192</v>
          </cell>
          <cell r="I7597" t="str">
            <v/>
          </cell>
          <cell r="J7597" t="str">
            <v/>
          </cell>
          <cell r="K7597" t="str">
            <v/>
          </cell>
          <cell r="L7597" t="str">
            <v/>
          </cell>
          <cell r="M7597" t="str">
            <v/>
          </cell>
        </row>
        <row r="7598">
          <cell r="A7598">
            <v>31102192</v>
          </cell>
          <cell r="C7598">
            <v>31102192</v>
          </cell>
          <cell r="D7598">
            <v>31102192</v>
          </cell>
          <cell r="E7598">
            <v>31102192</v>
          </cell>
          <cell r="F7598">
            <v>31102192</v>
          </cell>
          <cell r="G7598">
            <v>31102192</v>
          </cell>
          <cell r="H7598">
            <v>31102192</v>
          </cell>
          <cell r="I7598" t="str">
            <v/>
          </cell>
          <cell r="J7598" t="str">
            <v/>
          </cell>
          <cell r="K7598" t="str">
            <v/>
          </cell>
          <cell r="L7598" t="str">
            <v/>
          </cell>
          <cell r="M7598" t="str">
            <v/>
          </cell>
        </row>
        <row r="7599">
          <cell r="A7599">
            <v>31102192</v>
          </cell>
          <cell r="C7599">
            <v>31102192</v>
          </cell>
          <cell r="D7599">
            <v>31102192</v>
          </cell>
          <cell r="E7599">
            <v>31102192</v>
          </cell>
          <cell r="F7599">
            <v>31102192</v>
          </cell>
          <cell r="G7599">
            <v>31102192</v>
          </cell>
          <cell r="H7599">
            <v>31102192</v>
          </cell>
          <cell r="I7599" t="str">
            <v/>
          </cell>
          <cell r="J7599" t="str">
            <v/>
          </cell>
          <cell r="K7599" t="str">
            <v/>
          </cell>
          <cell r="L7599" t="str">
            <v/>
          </cell>
          <cell r="M7599" t="str">
            <v/>
          </cell>
        </row>
        <row r="7600">
          <cell r="A7600">
            <v>31102192</v>
          </cell>
          <cell r="C7600">
            <v>31102192</v>
          </cell>
          <cell r="D7600">
            <v>31102192</v>
          </cell>
          <cell r="E7600">
            <v>31102192</v>
          </cell>
          <cell r="F7600">
            <v>31102192</v>
          </cell>
          <cell r="G7600">
            <v>31102192</v>
          </cell>
          <cell r="H7600">
            <v>31102192</v>
          </cell>
          <cell r="I7600" t="str">
            <v/>
          </cell>
          <cell r="J7600" t="str">
            <v/>
          </cell>
          <cell r="K7600" t="str">
            <v/>
          </cell>
          <cell r="L7600" t="str">
            <v/>
          </cell>
          <cell r="M7600" t="str">
            <v/>
          </cell>
        </row>
        <row r="7601">
          <cell r="A7601">
            <v>31102192</v>
          </cell>
          <cell r="C7601">
            <v>31102192</v>
          </cell>
          <cell r="D7601">
            <v>31102192</v>
          </cell>
          <cell r="E7601">
            <v>31102192</v>
          </cell>
          <cell r="F7601">
            <v>31102192</v>
          </cell>
          <cell r="G7601">
            <v>31102192</v>
          </cell>
          <cell r="H7601">
            <v>31102192</v>
          </cell>
          <cell r="I7601" t="str">
            <v/>
          </cell>
          <cell r="J7601" t="str">
            <v/>
          </cell>
          <cell r="K7601" t="str">
            <v/>
          </cell>
          <cell r="L7601" t="str">
            <v/>
          </cell>
          <cell r="M7601" t="str">
            <v/>
          </cell>
        </row>
        <row r="7602">
          <cell r="A7602">
            <v>31102192</v>
          </cell>
          <cell r="C7602">
            <v>31102192</v>
          </cell>
          <cell r="D7602">
            <v>31102192</v>
          </cell>
          <cell r="E7602">
            <v>31102192</v>
          </cell>
          <cell r="F7602">
            <v>31102192</v>
          </cell>
          <cell r="G7602">
            <v>31102192</v>
          </cell>
          <cell r="H7602">
            <v>31102192</v>
          </cell>
          <cell r="I7602" t="str">
            <v/>
          </cell>
          <cell r="J7602" t="str">
            <v/>
          </cell>
          <cell r="K7602" t="str">
            <v/>
          </cell>
          <cell r="L7602" t="str">
            <v/>
          </cell>
          <cell r="M7602" t="str">
            <v/>
          </cell>
        </row>
        <row r="7603">
          <cell r="A7603">
            <v>31102192</v>
          </cell>
          <cell r="C7603">
            <v>31102192</v>
          </cell>
          <cell r="D7603">
            <v>31102192</v>
          </cell>
          <cell r="E7603">
            <v>31102192</v>
          </cell>
          <cell r="F7603">
            <v>31102192</v>
          </cell>
          <cell r="G7603">
            <v>31102192</v>
          </cell>
          <cell r="H7603">
            <v>31102192</v>
          </cell>
          <cell r="I7603" t="str">
            <v/>
          </cell>
          <cell r="J7603" t="str">
            <v/>
          </cell>
          <cell r="K7603" t="str">
            <v/>
          </cell>
          <cell r="L7603" t="str">
            <v/>
          </cell>
          <cell r="M7603" t="str">
            <v/>
          </cell>
        </row>
        <row r="7604">
          <cell r="A7604">
            <v>31102192</v>
          </cell>
          <cell r="C7604">
            <v>31102192</v>
          </cell>
          <cell r="D7604">
            <v>31102192</v>
          </cell>
          <cell r="E7604">
            <v>31102192</v>
          </cell>
          <cell r="F7604">
            <v>31102192</v>
          </cell>
          <cell r="G7604">
            <v>31102192</v>
          </cell>
          <cell r="H7604">
            <v>31102192</v>
          </cell>
          <cell r="I7604" t="str">
            <v/>
          </cell>
          <cell r="J7604" t="str">
            <v/>
          </cell>
          <cell r="K7604" t="str">
            <v/>
          </cell>
          <cell r="L7604" t="str">
            <v/>
          </cell>
          <cell r="M7604" t="str">
            <v/>
          </cell>
        </row>
        <row r="7605">
          <cell r="A7605">
            <v>31102192</v>
          </cell>
          <cell r="C7605">
            <v>31102192</v>
          </cell>
          <cell r="D7605">
            <v>31102192</v>
          </cell>
          <cell r="E7605">
            <v>31102192</v>
          </cell>
          <cell r="F7605">
            <v>31102192</v>
          </cell>
          <cell r="G7605">
            <v>31102192</v>
          </cell>
          <cell r="H7605">
            <v>31102192</v>
          </cell>
          <cell r="I7605" t="str">
            <v/>
          </cell>
          <cell r="J7605" t="str">
            <v/>
          </cell>
          <cell r="K7605" t="str">
            <v/>
          </cell>
          <cell r="L7605" t="str">
            <v/>
          </cell>
          <cell r="M7605" t="str">
            <v/>
          </cell>
        </row>
        <row r="7606">
          <cell r="A7606">
            <v>31102192</v>
          </cell>
          <cell r="C7606">
            <v>31102192</v>
          </cell>
          <cell r="D7606">
            <v>31102192</v>
          </cell>
          <cell r="E7606">
            <v>31102192</v>
          </cell>
          <cell r="F7606">
            <v>31102192</v>
          </cell>
          <cell r="G7606">
            <v>31102192</v>
          </cell>
          <cell r="H7606">
            <v>31102192</v>
          </cell>
          <cell r="I7606" t="str">
            <v/>
          </cell>
          <cell r="J7606" t="str">
            <v/>
          </cell>
          <cell r="K7606" t="str">
            <v/>
          </cell>
          <cell r="L7606" t="str">
            <v/>
          </cell>
          <cell r="M7606" t="str">
            <v/>
          </cell>
        </row>
        <row r="7607">
          <cell r="A7607">
            <v>31102192</v>
          </cell>
          <cell r="C7607">
            <v>31102192</v>
          </cell>
          <cell r="D7607">
            <v>31102192</v>
          </cell>
          <cell r="E7607">
            <v>31102192</v>
          </cell>
          <cell r="F7607">
            <v>31102192</v>
          </cell>
          <cell r="G7607">
            <v>31102192</v>
          </cell>
          <cell r="H7607">
            <v>31102192</v>
          </cell>
          <cell r="I7607" t="str">
            <v/>
          </cell>
          <cell r="J7607" t="str">
            <v/>
          </cell>
          <cell r="K7607" t="str">
            <v/>
          </cell>
          <cell r="L7607" t="str">
            <v/>
          </cell>
          <cell r="M7607" t="str">
            <v/>
          </cell>
        </row>
        <row r="7608">
          <cell r="A7608">
            <v>31102192</v>
          </cell>
          <cell r="C7608">
            <v>31102192</v>
          </cell>
          <cell r="D7608">
            <v>31102192</v>
          </cell>
          <cell r="E7608">
            <v>31102192</v>
          </cell>
          <cell r="F7608">
            <v>31102192</v>
          </cell>
          <cell r="G7608">
            <v>31102192</v>
          </cell>
          <cell r="H7608">
            <v>31102192</v>
          </cell>
          <cell r="I7608" t="str">
            <v/>
          </cell>
          <cell r="J7608" t="str">
            <v/>
          </cell>
          <cell r="K7608" t="str">
            <v/>
          </cell>
          <cell r="L7608" t="str">
            <v/>
          </cell>
          <cell r="M7608" t="str">
            <v/>
          </cell>
        </row>
        <row r="7609">
          <cell r="A7609">
            <v>31102192</v>
          </cell>
          <cell r="C7609">
            <v>31102192</v>
          </cell>
          <cell r="D7609">
            <v>31102192</v>
          </cell>
          <cell r="E7609">
            <v>31102192</v>
          </cell>
          <cell r="F7609">
            <v>31102192</v>
          </cell>
          <cell r="G7609">
            <v>31102192</v>
          </cell>
          <cell r="H7609">
            <v>31102192</v>
          </cell>
          <cell r="I7609" t="str">
            <v/>
          </cell>
          <cell r="J7609" t="str">
            <v/>
          </cell>
          <cell r="K7609" t="str">
            <v/>
          </cell>
          <cell r="L7609" t="str">
            <v/>
          </cell>
          <cell r="M7609" t="str">
            <v/>
          </cell>
        </row>
        <row r="7610">
          <cell r="A7610">
            <v>31102192</v>
          </cell>
          <cell r="C7610">
            <v>31102192</v>
          </cell>
          <cell r="D7610">
            <v>31102192</v>
          </cell>
          <cell r="E7610">
            <v>31102192</v>
          </cell>
          <cell r="F7610">
            <v>31102192</v>
          </cell>
          <cell r="G7610">
            <v>31102192</v>
          </cell>
          <cell r="H7610">
            <v>31102192</v>
          </cell>
          <cell r="I7610" t="str">
            <v/>
          </cell>
          <cell r="J7610" t="str">
            <v/>
          </cell>
          <cell r="K7610" t="str">
            <v/>
          </cell>
          <cell r="L7610" t="str">
            <v/>
          </cell>
          <cell r="M7610" t="str">
            <v/>
          </cell>
        </row>
        <row r="7611">
          <cell r="A7611">
            <v>31102192</v>
          </cell>
          <cell r="C7611">
            <v>31102192</v>
          </cell>
          <cell r="D7611">
            <v>31102192</v>
          </cell>
          <cell r="E7611">
            <v>31102192</v>
          </cell>
          <cell r="F7611">
            <v>31102192</v>
          </cell>
          <cell r="G7611">
            <v>31102192</v>
          </cell>
          <cell r="H7611">
            <v>31102192</v>
          </cell>
          <cell r="I7611" t="str">
            <v/>
          </cell>
          <cell r="J7611" t="str">
            <v/>
          </cell>
          <cell r="K7611" t="str">
            <v/>
          </cell>
          <cell r="L7611" t="str">
            <v/>
          </cell>
          <cell r="M7611" t="str">
            <v/>
          </cell>
        </row>
        <row r="7612">
          <cell r="A7612">
            <v>31102192</v>
          </cell>
          <cell r="C7612">
            <v>31102192</v>
          </cell>
          <cell r="D7612">
            <v>31102192</v>
          </cell>
          <cell r="E7612">
            <v>31102192</v>
          </cell>
          <cell r="F7612">
            <v>31102192</v>
          </cell>
          <cell r="G7612">
            <v>31102192</v>
          </cell>
          <cell r="H7612">
            <v>31102192</v>
          </cell>
          <cell r="I7612" t="str">
            <v/>
          </cell>
          <cell r="J7612" t="str">
            <v/>
          </cell>
          <cell r="K7612" t="str">
            <v/>
          </cell>
          <cell r="L7612" t="str">
            <v/>
          </cell>
          <cell r="M7612" t="str">
            <v/>
          </cell>
        </row>
        <row r="7613">
          <cell r="A7613">
            <v>31102192</v>
          </cell>
          <cell r="C7613">
            <v>31102192</v>
          </cell>
          <cell r="D7613">
            <v>31102192</v>
          </cell>
          <cell r="E7613">
            <v>31102192</v>
          </cell>
          <cell r="F7613">
            <v>31102192</v>
          </cell>
          <cell r="G7613">
            <v>31102192</v>
          </cell>
          <cell r="H7613">
            <v>31102192</v>
          </cell>
          <cell r="I7613" t="str">
            <v/>
          </cell>
          <cell r="J7613" t="str">
            <v/>
          </cell>
          <cell r="K7613" t="str">
            <v/>
          </cell>
          <cell r="L7613" t="str">
            <v/>
          </cell>
          <cell r="M7613" t="str">
            <v/>
          </cell>
        </row>
        <row r="7614">
          <cell r="A7614">
            <v>31102192</v>
          </cell>
          <cell r="C7614">
            <v>31102192</v>
          </cell>
          <cell r="D7614">
            <v>31102192</v>
          </cell>
          <cell r="E7614">
            <v>31102192</v>
          </cell>
          <cell r="F7614">
            <v>31102192</v>
          </cell>
          <cell r="G7614">
            <v>31102192</v>
          </cell>
          <cell r="H7614">
            <v>31102192</v>
          </cell>
          <cell r="I7614" t="str">
            <v/>
          </cell>
          <cell r="J7614" t="str">
            <v/>
          </cell>
          <cell r="K7614" t="str">
            <v/>
          </cell>
          <cell r="L7614" t="str">
            <v/>
          </cell>
          <cell r="M7614" t="str">
            <v/>
          </cell>
        </row>
        <row r="7615">
          <cell r="A7615">
            <v>31102192</v>
          </cell>
          <cell r="C7615">
            <v>31102192</v>
          </cell>
          <cell r="D7615">
            <v>31102192</v>
          </cell>
          <cell r="E7615">
            <v>31102192</v>
          </cell>
          <cell r="F7615">
            <v>31102192</v>
          </cell>
          <cell r="G7615">
            <v>31102192</v>
          </cell>
          <cell r="H7615">
            <v>31102192</v>
          </cell>
          <cell r="I7615" t="str">
            <v/>
          </cell>
          <cell r="J7615" t="str">
            <v/>
          </cell>
          <cell r="K7615" t="str">
            <v/>
          </cell>
          <cell r="L7615" t="str">
            <v/>
          </cell>
          <cell r="M7615" t="str">
            <v/>
          </cell>
        </row>
        <row r="7616">
          <cell r="A7616">
            <v>31102192</v>
          </cell>
          <cell r="C7616">
            <v>31102192</v>
          </cell>
          <cell r="D7616">
            <v>31102192</v>
          </cell>
          <cell r="E7616">
            <v>31102192</v>
          </cell>
          <cell r="F7616">
            <v>31102192</v>
          </cell>
          <cell r="G7616">
            <v>31102192</v>
          </cell>
          <cell r="H7616">
            <v>31102192</v>
          </cell>
          <cell r="I7616" t="str">
            <v/>
          </cell>
          <cell r="J7616" t="str">
            <v/>
          </cell>
          <cell r="K7616" t="str">
            <v/>
          </cell>
          <cell r="L7616" t="str">
            <v/>
          </cell>
          <cell r="M7616" t="str">
            <v/>
          </cell>
        </row>
        <row r="7617">
          <cell r="A7617">
            <v>31102192</v>
          </cell>
          <cell r="C7617">
            <v>31102192</v>
          </cell>
          <cell r="D7617">
            <v>31102192</v>
          </cell>
          <cell r="E7617">
            <v>31102192</v>
          </cell>
          <cell r="F7617">
            <v>31102192</v>
          </cell>
          <cell r="G7617">
            <v>31102192</v>
          </cell>
          <cell r="H7617">
            <v>31102192</v>
          </cell>
          <cell r="I7617" t="str">
            <v/>
          </cell>
          <cell r="J7617" t="str">
            <v/>
          </cell>
          <cell r="K7617" t="str">
            <v/>
          </cell>
          <cell r="L7617" t="str">
            <v/>
          </cell>
          <cell r="M7617" t="str">
            <v/>
          </cell>
        </row>
        <row r="7618">
          <cell r="A7618">
            <v>31102192</v>
          </cell>
          <cell r="C7618">
            <v>31102192</v>
          </cell>
          <cell r="D7618">
            <v>31102192</v>
          </cell>
          <cell r="E7618">
            <v>31102192</v>
          </cell>
          <cell r="F7618">
            <v>31102192</v>
          </cell>
          <cell r="G7618">
            <v>31102192</v>
          </cell>
          <cell r="H7618">
            <v>31102192</v>
          </cell>
          <cell r="I7618" t="str">
            <v/>
          </cell>
          <cell r="J7618" t="str">
            <v/>
          </cell>
          <cell r="K7618" t="str">
            <v/>
          </cell>
          <cell r="L7618" t="str">
            <v/>
          </cell>
          <cell r="M7618" t="str">
            <v/>
          </cell>
        </row>
        <row r="7619">
          <cell r="A7619">
            <v>31102192</v>
          </cell>
          <cell r="C7619">
            <v>31102192</v>
          </cell>
          <cell r="D7619">
            <v>31102192</v>
          </cell>
          <cell r="E7619">
            <v>31102192</v>
          </cell>
          <cell r="F7619">
            <v>31102192</v>
          </cell>
          <cell r="G7619">
            <v>31102192</v>
          </cell>
          <cell r="H7619">
            <v>31102192</v>
          </cell>
          <cell r="I7619" t="str">
            <v/>
          </cell>
          <cell r="J7619" t="str">
            <v/>
          </cell>
          <cell r="K7619" t="str">
            <v/>
          </cell>
          <cell r="L7619" t="str">
            <v/>
          </cell>
          <cell r="M7619" t="str">
            <v/>
          </cell>
        </row>
        <row r="7620">
          <cell r="A7620">
            <v>31102192</v>
          </cell>
          <cell r="C7620">
            <v>31102192</v>
          </cell>
          <cell r="D7620">
            <v>31102192</v>
          </cell>
          <cell r="E7620">
            <v>31102192</v>
          </cell>
          <cell r="F7620">
            <v>31102192</v>
          </cell>
          <cell r="G7620">
            <v>31102192</v>
          </cell>
          <cell r="H7620">
            <v>31102192</v>
          </cell>
          <cell r="I7620" t="str">
            <v/>
          </cell>
          <cell r="J7620" t="str">
            <v/>
          </cell>
          <cell r="K7620" t="str">
            <v/>
          </cell>
          <cell r="L7620" t="str">
            <v/>
          </cell>
          <cell r="M7620" t="str">
            <v/>
          </cell>
        </row>
        <row r="7621">
          <cell r="A7621">
            <v>31102192</v>
          </cell>
          <cell r="C7621">
            <v>31102192</v>
          </cell>
          <cell r="D7621">
            <v>31102192</v>
          </cell>
          <cell r="E7621">
            <v>31102192</v>
          </cell>
          <cell r="F7621">
            <v>31102192</v>
          </cell>
          <cell r="G7621">
            <v>31102192</v>
          </cell>
          <cell r="H7621">
            <v>31102192</v>
          </cell>
          <cell r="I7621" t="str">
            <v/>
          </cell>
          <cell r="J7621" t="str">
            <v/>
          </cell>
          <cell r="K7621" t="str">
            <v/>
          </cell>
          <cell r="L7621" t="str">
            <v/>
          </cell>
          <cell r="M7621" t="str">
            <v/>
          </cell>
        </row>
        <row r="7622">
          <cell r="A7622">
            <v>31102192</v>
          </cell>
          <cell r="C7622">
            <v>31102192</v>
          </cell>
          <cell r="D7622">
            <v>31102192</v>
          </cell>
          <cell r="E7622">
            <v>31102192</v>
          </cell>
          <cell r="F7622">
            <v>31102192</v>
          </cell>
          <cell r="G7622">
            <v>31102192</v>
          </cell>
          <cell r="H7622">
            <v>31102192</v>
          </cell>
          <cell r="I7622" t="str">
            <v/>
          </cell>
          <cell r="J7622" t="str">
            <v/>
          </cell>
          <cell r="K7622" t="str">
            <v/>
          </cell>
          <cell r="L7622" t="str">
            <v/>
          </cell>
          <cell r="M7622" t="str">
            <v/>
          </cell>
        </row>
        <row r="7623">
          <cell r="A7623">
            <v>31102192</v>
          </cell>
          <cell r="C7623">
            <v>31102192</v>
          </cell>
          <cell r="D7623">
            <v>31102192</v>
          </cell>
          <cell r="E7623">
            <v>31102192</v>
          </cell>
          <cell r="F7623">
            <v>31102192</v>
          </cell>
          <cell r="G7623">
            <v>31102192</v>
          </cell>
          <cell r="H7623">
            <v>31102192</v>
          </cell>
          <cell r="I7623" t="str">
            <v/>
          </cell>
          <cell r="J7623" t="str">
            <v/>
          </cell>
          <cell r="K7623" t="str">
            <v/>
          </cell>
          <cell r="L7623" t="str">
            <v/>
          </cell>
          <cell r="M7623" t="str">
            <v/>
          </cell>
        </row>
        <row r="7624">
          <cell r="A7624">
            <v>31102192</v>
          </cell>
          <cell r="C7624">
            <v>31102192</v>
          </cell>
          <cell r="D7624">
            <v>31102192</v>
          </cell>
          <cell r="E7624">
            <v>31102192</v>
          </cell>
          <cell r="F7624">
            <v>31102192</v>
          </cell>
          <cell r="G7624">
            <v>31102192</v>
          </cell>
          <cell r="H7624">
            <v>31102192</v>
          </cell>
          <cell r="I7624" t="str">
            <v/>
          </cell>
          <cell r="J7624" t="str">
            <v/>
          </cell>
          <cell r="K7624" t="str">
            <v/>
          </cell>
          <cell r="L7624" t="str">
            <v/>
          </cell>
          <cell r="M7624" t="str">
            <v/>
          </cell>
        </row>
        <row r="7625">
          <cell r="A7625">
            <v>31102192</v>
          </cell>
          <cell r="C7625">
            <v>31102192</v>
          </cell>
          <cell r="D7625">
            <v>31102192</v>
          </cell>
          <cell r="E7625">
            <v>31102192</v>
          </cell>
          <cell r="F7625">
            <v>31102192</v>
          </cell>
          <cell r="G7625">
            <v>31102192</v>
          </cell>
          <cell r="H7625">
            <v>31102192</v>
          </cell>
          <cell r="I7625" t="str">
            <v/>
          </cell>
          <cell r="J7625" t="str">
            <v/>
          </cell>
          <cell r="K7625" t="str">
            <v/>
          </cell>
          <cell r="L7625" t="str">
            <v/>
          </cell>
          <cell r="M7625" t="str">
            <v/>
          </cell>
        </row>
        <row r="7626">
          <cell r="A7626">
            <v>31102192</v>
          </cell>
          <cell r="C7626">
            <v>31102192</v>
          </cell>
          <cell r="D7626">
            <v>31102192</v>
          </cell>
          <cell r="E7626">
            <v>31102192</v>
          </cell>
          <cell r="F7626">
            <v>31102192</v>
          </cell>
          <cell r="G7626">
            <v>31102192</v>
          </cell>
          <cell r="H7626">
            <v>31102192</v>
          </cell>
          <cell r="I7626" t="str">
            <v/>
          </cell>
          <cell r="J7626" t="str">
            <v/>
          </cell>
          <cell r="K7626" t="str">
            <v/>
          </cell>
          <cell r="L7626" t="str">
            <v/>
          </cell>
          <cell r="M7626" t="str">
            <v/>
          </cell>
        </row>
        <row r="7627">
          <cell r="A7627">
            <v>31102192</v>
          </cell>
          <cell r="C7627">
            <v>31102192</v>
          </cell>
          <cell r="D7627">
            <v>31102192</v>
          </cell>
          <cell r="E7627">
            <v>31102192</v>
          </cell>
          <cell r="F7627">
            <v>31102192</v>
          </cell>
          <cell r="G7627">
            <v>31102192</v>
          </cell>
          <cell r="H7627">
            <v>31102192</v>
          </cell>
          <cell r="I7627" t="str">
            <v/>
          </cell>
          <cell r="J7627" t="str">
            <v/>
          </cell>
          <cell r="K7627" t="str">
            <v/>
          </cell>
          <cell r="L7627" t="str">
            <v/>
          </cell>
          <cell r="M7627" t="str">
            <v/>
          </cell>
        </row>
        <row r="7628">
          <cell r="A7628">
            <v>31102192</v>
          </cell>
          <cell r="C7628">
            <v>31102192</v>
          </cell>
          <cell r="D7628">
            <v>31102192</v>
          </cell>
          <cell r="E7628">
            <v>31102192</v>
          </cell>
          <cell r="F7628">
            <v>31102192</v>
          </cell>
          <cell r="G7628">
            <v>31102192</v>
          </cell>
          <cell r="H7628">
            <v>31102192</v>
          </cell>
          <cell r="I7628" t="str">
            <v/>
          </cell>
          <cell r="J7628" t="str">
            <v/>
          </cell>
          <cell r="K7628" t="str">
            <v/>
          </cell>
          <cell r="L7628" t="str">
            <v/>
          </cell>
          <cell r="M7628" t="str">
            <v/>
          </cell>
        </row>
        <row r="7629">
          <cell r="A7629">
            <v>31102192</v>
          </cell>
          <cell r="C7629">
            <v>31102192</v>
          </cell>
          <cell r="D7629">
            <v>31102192</v>
          </cell>
          <cell r="E7629">
            <v>31102192</v>
          </cell>
          <cell r="F7629">
            <v>31102192</v>
          </cell>
          <cell r="G7629">
            <v>31102192</v>
          </cell>
          <cell r="H7629">
            <v>31102192</v>
          </cell>
          <cell r="I7629" t="str">
            <v/>
          </cell>
          <cell r="J7629" t="str">
            <v/>
          </cell>
          <cell r="K7629" t="str">
            <v/>
          </cell>
          <cell r="L7629" t="str">
            <v/>
          </cell>
          <cell r="M7629" t="str">
            <v/>
          </cell>
        </row>
        <row r="7630">
          <cell r="A7630">
            <v>31102192</v>
          </cell>
          <cell r="C7630">
            <v>31102192</v>
          </cell>
          <cell r="D7630">
            <v>31102192</v>
          </cell>
          <cell r="E7630">
            <v>31102192</v>
          </cell>
          <cell r="F7630">
            <v>31102192</v>
          </cell>
          <cell r="G7630">
            <v>31102192</v>
          </cell>
          <cell r="H7630">
            <v>31102192</v>
          </cell>
          <cell r="I7630" t="str">
            <v/>
          </cell>
          <cell r="J7630" t="str">
            <v/>
          </cell>
          <cell r="K7630" t="str">
            <v/>
          </cell>
          <cell r="L7630" t="str">
            <v/>
          </cell>
          <cell r="M7630" t="str">
            <v/>
          </cell>
        </row>
        <row r="7631">
          <cell r="A7631">
            <v>31102192</v>
          </cell>
          <cell r="C7631">
            <v>31102192</v>
          </cell>
          <cell r="D7631">
            <v>31102192</v>
          </cell>
          <cell r="E7631">
            <v>31102192</v>
          </cell>
          <cell r="F7631">
            <v>31102192</v>
          </cell>
          <cell r="G7631">
            <v>31102192</v>
          </cell>
          <cell r="H7631">
            <v>31102192</v>
          </cell>
          <cell r="I7631" t="str">
            <v/>
          </cell>
          <cell r="J7631" t="str">
            <v/>
          </cell>
          <cell r="K7631" t="str">
            <v/>
          </cell>
          <cell r="L7631" t="str">
            <v/>
          </cell>
          <cell r="M7631" t="str">
            <v/>
          </cell>
        </row>
        <row r="7632">
          <cell r="A7632">
            <v>31102192</v>
          </cell>
          <cell r="C7632">
            <v>31102192</v>
          </cell>
          <cell r="D7632">
            <v>31102192</v>
          </cell>
          <cell r="E7632">
            <v>31102192</v>
          </cell>
          <cell r="F7632">
            <v>31102192</v>
          </cell>
          <cell r="G7632">
            <v>31102192</v>
          </cell>
          <cell r="H7632">
            <v>31102192</v>
          </cell>
          <cell r="I7632" t="str">
            <v/>
          </cell>
          <cell r="J7632" t="str">
            <v/>
          </cell>
          <cell r="K7632" t="str">
            <v/>
          </cell>
          <cell r="L7632" t="str">
            <v/>
          </cell>
          <cell r="M7632" t="str">
            <v/>
          </cell>
        </row>
        <row r="7633">
          <cell r="A7633">
            <v>31102192</v>
          </cell>
          <cell r="C7633">
            <v>31102192</v>
          </cell>
          <cell r="D7633">
            <v>31102192</v>
          </cell>
          <cell r="E7633">
            <v>31102192</v>
          </cell>
          <cell r="F7633">
            <v>31102192</v>
          </cell>
          <cell r="G7633">
            <v>31102192</v>
          </cell>
          <cell r="H7633">
            <v>31102192</v>
          </cell>
          <cell r="I7633" t="str">
            <v/>
          </cell>
          <cell r="J7633" t="str">
            <v/>
          </cell>
          <cell r="K7633" t="str">
            <v/>
          </cell>
          <cell r="L7633" t="str">
            <v/>
          </cell>
          <cell r="M7633" t="str">
            <v/>
          </cell>
        </row>
        <row r="7634">
          <cell r="A7634">
            <v>31102192</v>
          </cell>
          <cell r="C7634">
            <v>31102192</v>
          </cell>
          <cell r="D7634">
            <v>31102192</v>
          </cell>
          <cell r="E7634">
            <v>31102192</v>
          </cell>
          <cell r="F7634">
            <v>31102192</v>
          </cell>
          <cell r="G7634">
            <v>31102192</v>
          </cell>
          <cell r="H7634">
            <v>31102192</v>
          </cell>
          <cell r="I7634" t="str">
            <v/>
          </cell>
          <cell r="J7634" t="str">
            <v/>
          </cell>
          <cell r="K7634" t="str">
            <v/>
          </cell>
          <cell r="L7634" t="str">
            <v/>
          </cell>
          <cell r="M7634" t="str">
            <v/>
          </cell>
        </row>
        <row r="7635">
          <cell r="A7635">
            <v>31102192</v>
          </cell>
          <cell r="C7635">
            <v>31102192</v>
          </cell>
          <cell r="D7635">
            <v>31102192</v>
          </cell>
          <cell r="E7635">
            <v>31102192</v>
          </cell>
          <cell r="F7635">
            <v>31102192</v>
          </cell>
          <cell r="G7635">
            <v>31102192</v>
          </cell>
          <cell r="H7635">
            <v>31102192</v>
          </cell>
          <cell r="I7635" t="str">
            <v/>
          </cell>
          <cell r="J7635" t="str">
            <v/>
          </cell>
          <cell r="K7635" t="str">
            <v/>
          </cell>
          <cell r="L7635" t="str">
            <v/>
          </cell>
          <cell r="M7635" t="str">
            <v/>
          </cell>
        </row>
        <row r="7636">
          <cell r="A7636">
            <v>31102192</v>
          </cell>
          <cell r="C7636">
            <v>31102192</v>
          </cell>
          <cell r="D7636">
            <v>31102192</v>
          </cell>
          <cell r="E7636">
            <v>31102192</v>
          </cell>
          <cell r="F7636">
            <v>31102192</v>
          </cell>
          <cell r="G7636">
            <v>31102192</v>
          </cell>
          <cell r="H7636">
            <v>31102192</v>
          </cell>
          <cell r="I7636" t="str">
            <v/>
          </cell>
          <cell r="J7636" t="str">
            <v/>
          </cell>
          <cell r="K7636" t="str">
            <v/>
          </cell>
          <cell r="L7636" t="str">
            <v/>
          </cell>
          <cell r="M7636" t="str">
            <v/>
          </cell>
        </row>
        <row r="7637">
          <cell r="A7637">
            <v>31102192</v>
          </cell>
          <cell r="C7637">
            <v>31102192</v>
          </cell>
          <cell r="D7637">
            <v>31102192</v>
          </cell>
          <cell r="E7637">
            <v>31102192</v>
          </cell>
          <cell r="F7637">
            <v>31102192</v>
          </cell>
          <cell r="G7637">
            <v>31102192</v>
          </cell>
          <cell r="H7637">
            <v>31102192</v>
          </cell>
          <cell r="I7637" t="str">
            <v/>
          </cell>
          <cell r="J7637" t="str">
            <v/>
          </cell>
          <cell r="K7637" t="str">
            <v/>
          </cell>
          <cell r="L7637" t="str">
            <v/>
          </cell>
          <cell r="M7637" t="str">
            <v/>
          </cell>
        </row>
        <row r="7638">
          <cell r="A7638">
            <v>31102192</v>
          </cell>
          <cell r="C7638">
            <v>31102192</v>
          </cell>
          <cell r="D7638">
            <v>31102192</v>
          </cell>
          <cell r="E7638">
            <v>31102192</v>
          </cell>
          <cell r="F7638">
            <v>31102192</v>
          </cell>
          <cell r="G7638">
            <v>31102192</v>
          </cell>
          <cell r="H7638">
            <v>31102192</v>
          </cell>
          <cell r="I7638" t="str">
            <v/>
          </cell>
          <cell r="J7638" t="str">
            <v/>
          </cell>
          <cell r="K7638" t="str">
            <v/>
          </cell>
          <cell r="L7638" t="str">
            <v/>
          </cell>
          <cell r="M7638" t="str">
            <v/>
          </cell>
        </row>
        <row r="7639">
          <cell r="A7639">
            <v>31102192</v>
          </cell>
          <cell r="C7639">
            <v>31102192</v>
          </cell>
          <cell r="D7639">
            <v>31102192</v>
          </cell>
          <cell r="E7639">
            <v>31102192</v>
          </cell>
          <cell r="F7639">
            <v>31102192</v>
          </cell>
          <cell r="G7639">
            <v>31102192</v>
          </cell>
          <cell r="H7639">
            <v>31102192</v>
          </cell>
          <cell r="I7639" t="str">
            <v/>
          </cell>
          <cell r="J7639" t="str">
            <v/>
          </cell>
          <cell r="K7639" t="str">
            <v/>
          </cell>
          <cell r="L7639" t="str">
            <v/>
          </cell>
          <cell r="M7639" t="str">
            <v/>
          </cell>
        </row>
        <row r="7640">
          <cell r="A7640">
            <v>31102192</v>
          </cell>
          <cell r="C7640">
            <v>31102192</v>
          </cell>
          <cell r="D7640">
            <v>31102192</v>
          </cell>
          <cell r="E7640">
            <v>31102192</v>
          </cell>
          <cell r="F7640">
            <v>31102192</v>
          </cell>
          <cell r="G7640">
            <v>31102192</v>
          </cell>
          <cell r="H7640">
            <v>31102192</v>
          </cell>
          <cell r="I7640" t="str">
            <v/>
          </cell>
          <cell r="J7640" t="str">
            <v/>
          </cell>
          <cell r="K7640" t="str">
            <v/>
          </cell>
          <cell r="L7640" t="str">
            <v/>
          </cell>
          <cell r="M7640" t="str">
            <v/>
          </cell>
        </row>
        <row r="7641">
          <cell r="A7641">
            <v>31102192</v>
          </cell>
          <cell r="C7641">
            <v>31102192</v>
          </cell>
          <cell r="D7641">
            <v>31102192</v>
          </cell>
          <cell r="E7641">
            <v>31102192</v>
          </cell>
          <cell r="F7641">
            <v>31102192</v>
          </cell>
          <cell r="G7641">
            <v>31102192</v>
          </cell>
          <cell r="H7641">
            <v>31102192</v>
          </cell>
          <cell r="I7641" t="str">
            <v/>
          </cell>
          <cell r="J7641" t="str">
            <v/>
          </cell>
          <cell r="K7641" t="str">
            <v/>
          </cell>
          <cell r="L7641" t="str">
            <v/>
          </cell>
          <cell r="M7641" t="str">
            <v/>
          </cell>
        </row>
        <row r="7642">
          <cell r="A7642">
            <v>31102192</v>
          </cell>
          <cell r="C7642">
            <v>31102192</v>
          </cell>
          <cell r="D7642">
            <v>31102192</v>
          </cell>
          <cell r="E7642">
            <v>31102192</v>
          </cell>
          <cell r="F7642">
            <v>31102192</v>
          </cell>
          <cell r="G7642">
            <v>31102192</v>
          </cell>
          <cell r="H7642">
            <v>31102192</v>
          </cell>
          <cell r="I7642" t="str">
            <v/>
          </cell>
          <cell r="J7642" t="str">
            <v/>
          </cell>
          <cell r="K7642" t="str">
            <v/>
          </cell>
          <cell r="L7642" t="str">
            <v/>
          </cell>
          <cell r="M7642" t="str">
            <v/>
          </cell>
        </row>
        <row r="7643">
          <cell r="A7643">
            <v>31102192</v>
          </cell>
          <cell r="C7643">
            <v>31102192</v>
          </cell>
          <cell r="D7643">
            <v>31102192</v>
          </cell>
          <cell r="E7643">
            <v>31102192</v>
          </cell>
          <cell r="F7643">
            <v>31102192</v>
          </cell>
          <cell r="G7643">
            <v>31102192</v>
          </cell>
          <cell r="H7643">
            <v>31102192</v>
          </cell>
          <cell r="I7643" t="str">
            <v/>
          </cell>
          <cell r="J7643" t="str">
            <v/>
          </cell>
          <cell r="K7643" t="str">
            <v/>
          </cell>
          <cell r="L7643" t="str">
            <v/>
          </cell>
          <cell r="M7643" t="str">
            <v/>
          </cell>
        </row>
        <row r="7644">
          <cell r="A7644">
            <v>31102192</v>
          </cell>
          <cell r="C7644">
            <v>31102192</v>
          </cell>
          <cell r="D7644">
            <v>31102192</v>
          </cell>
          <cell r="E7644">
            <v>31102192</v>
          </cell>
          <cell r="F7644">
            <v>31102192</v>
          </cell>
          <cell r="G7644">
            <v>31102192</v>
          </cell>
          <cell r="H7644">
            <v>31102192</v>
          </cell>
          <cell r="I7644" t="str">
            <v/>
          </cell>
          <cell r="J7644" t="str">
            <v/>
          </cell>
          <cell r="K7644" t="str">
            <v/>
          </cell>
          <cell r="L7644" t="str">
            <v/>
          </cell>
          <cell r="M7644" t="str">
            <v/>
          </cell>
        </row>
        <row r="7645">
          <cell r="A7645">
            <v>31102192</v>
          </cell>
          <cell r="C7645">
            <v>31102192</v>
          </cell>
          <cell r="D7645">
            <v>31102192</v>
          </cell>
          <cell r="E7645">
            <v>31102192</v>
          </cell>
          <cell r="F7645">
            <v>31102192</v>
          </cell>
          <cell r="G7645">
            <v>31102192</v>
          </cell>
          <cell r="H7645">
            <v>31102192</v>
          </cell>
          <cell r="I7645" t="str">
            <v/>
          </cell>
          <cell r="J7645" t="str">
            <v/>
          </cell>
          <cell r="K7645" t="str">
            <v/>
          </cell>
          <cell r="L7645" t="str">
            <v/>
          </cell>
          <cell r="M7645" t="str">
            <v/>
          </cell>
        </row>
        <row r="7646">
          <cell r="A7646">
            <v>31102192</v>
          </cell>
          <cell r="C7646">
            <v>31102192</v>
          </cell>
          <cell r="D7646">
            <v>31102192</v>
          </cell>
          <cell r="E7646">
            <v>31102192</v>
          </cell>
          <cell r="F7646">
            <v>31102192</v>
          </cell>
          <cell r="G7646">
            <v>31102192</v>
          </cell>
          <cell r="H7646">
            <v>31102192</v>
          </cell>
          <cell r="I7646" t="str">
            <v/>
          </cell>
          <cell r="J7646" t="str">
            <v/>
          </cell>
          <cell r="K7646" t="str">
            <v/>
          </cell>
          <cell r="L7646" t="str">
            <v/>
          </cell>
          <cell r="M7646" t="str">
            <v/>
          </cell>
        </row>
        <row r="7647">
          <cell r="A7647">
            <v>31102192</v>
          </cell>
          <cell r="C7647">
            <v>31102192</v>
          </cell>
          <cell r="D7647">
            <v>31102192</v>
          </cell>
          <cell r="E7647">
            <v>31102192</v>
          </cell>
          <cell r="F7647">
            <v>31102192</v>
          </cell>
          <cell r="G7647">
            <v>31102192</v>
          </cell>
          <cell r="H7647">
            <v>31102192</v>
          </cell>
          <cell r="I7647" t="str">
            <v/>
          </cell>
          <cell r="J7647" t="str">
            <v/>
          </cell>
          <cell r="K7647" t="str">
            <v/>
          </cell>
          <cell r="L7647" t="str">
            <v/>
          </cell>
          <cell r="M7647" t="str">
            <v/>
          </cell>
        </row>
        <row r="7648">
          <cell r="A7648">
            <v>31102192</v>
          </cell>
          <cell r="C7648">
            <v>31102192</v>
          </cell>
          <cell r="D7648">
            <v>31102192</v>
          </cell>
          <cell r="E7648">
            <v>31102192</v>
          </cell>
          <cell r="F7648">
            <v>31102192</v>
          </cell>
          <cell r="G7648">
            <v>31102192</v>
          </cell>
          <cell r="H7648">
            <v>31102192</v>
          </cell>
          <cell r="I7648" t="str">
            <v/>
          </cell>
          <cell r="J7648" t="str">
            <v/>
          </cell>
          <cell r="K7648" t="str">
            <v/>
          </cell>
          <cell r="L7648" t="str">
            <v/>
          </cell>
          <cell r="M7648" t="str">
            <v/>
          </cell>
        </row>
        <row r="7649">
          <cell r="A7649">
            <v>31102192</v>
          </cell>
          <cell r="C7649">
            <v>31102192</v>
          </cell>
          <cell r="D7649">
            <v>31102192</v>
          </cell>
          <cell r="E7649">
            <v>31102192</v>
          </cell>
          <cell r="F7649">
            <v>31102192</v>
          </cell>
          <cell r="G7649">
            <v>31102192</v>
          </cell>
          <cell r="H7649">
            <v>31102192</v>
          </cell>
          <cell r="I7649" t="str">
            <v/>
          </cell>
          <cell r="J7649" t="str">
            <v/>
          </cell>
          <cell r="K7649" t="str">
            <v/>
          </cell>
          <cell r="L7649" t="str">
            <v/>
          </cell>
          <cell r="M7649" t="str">
            <v/>
          </cell>
        </row>
        <row r="7650">
          <cell r="A7650">
            <v>31102192</v>
          </cell>
          <cell r="C7650">
            <v>31102192</v>
          </cell>
          <cell r="D7650">
            <v>31102192</v>
          </cell>
          <cell r="E7650">
            <v>31102192</v>
          </cell>
          <cell r="F7650">
            <v>31102192</v>
          </cell>
          <cell r="G7650">
            <v>31102192</v>
          </cell>
          <cell r="H7650">
            <v>31102192</v>
          </cell>
          <cell r="I7650" t="str">
            <v/>
          </cell>
          <cell r="J7650" t="str">
            <v/>
          </cell>
          <cell r="K7650" t="str">
            <v/>
          </cell>
          <cell r="L7650" t="str">
            <v/>
          </cell>
          <cell r="M7650" t="str">
            <v/>
          </cell>
        </row>
        <row r="7651">
          <cell r="A7651">
            <v>31102192</v>
          </cell>
          <cell r="C7651">
            <v>31102192</v>
          </cell>
          <cell r="D7651">
            <v>31102192</v>
          </cell>
          <cell r="E7651">
            <v>31102192</v>
          </cell>
          <cell r="F7651">
            <v>31102192</v>
          </cell>
          <cell r="G7651">
            <v>31102192</v>
          </cell>
          <cell r="H7651">
            <v>31102192</v>
          </cell>
          <cell r="I7651" t="str">
            <v/>
          </cell>
          <cell r="J7651" t="str">
            <v/>
          </cell>
          <cell r="K7651" t="str">
            <v/>
          </cell>
          <cell r="L7651" t="str">
            <v/>
          </cell>
          <cell r="M7651" t="str">
            <v/>
          </cell>
        </row>
        <row r="7652">
          <cell r="A7652">
            <v>31102192</v>
          </cell>
          <cell r="C7652">
            <v>31102192</v>
          </cell>
          <cell r="D7652">
            <v>31102192</v>
          </cell>
          <cell r="E7652">
            <v>31102192</v>
          </cell>
          <cell r="F7652">
            <v>31102192</v>
          </cell>
          <cell r="G7652">
            <v>31102192</v>
          </cell>
          <cell r="H7652">
            <v>31102192</v>
          </cell>
          <cell r="I7652" t="str">
            <v/>
          </cell>
          <cell r="J7652" t="str">
            <v/>
          </cell>
          <cell r="K7652" t="str">
            <v/>
          </cell>
          <cell r="L7652" t="str">
            <v/>
          </cell>
          <cell r="M7652" t="str">
            <v/>
          </cell>
        </row>
        <row r="7653">
          <cell r="A7653">
            <v>31102192</v>
          </cell>
          <cell r="C7653">
            <v>31102192</v>
          </cell>
          <cell r="D7653">
            <v>31102192</v>
          </cell>
          <cell r="E7653">
            <v>31102192</v>
          </cell>
          <cell r="F7653">
            <v>31102192</v>
          </cell>
          <cell r="G7653">
            <v>31102192</v>
          </cell>
          <cell r="H7653">
            <v>31102192</v>
          </cell>
          <cell r="I7653" t="str">
            <v/>
          </cell>
          <cell r="J7653" t="str">
            <v/>
          </cell>
          <cell r="K7653" t="str">
            <v/>
          </cell>
          <cell r="L7653" t="str">
            <v/>
          </cell>
          <cell r="M7653" t="str">
            <v/>
          </cell>
        </row>
        <row r="7654">
          <cell r="A7654">
            <v>31102192</v>
          </cell>
          <cell r="C7654">
            <v>31102192</v>
          </cell>
          <cell r="D7654">
            <v>31102192</v>
          </cell>
          <cell r="E7654">
            <v>31102192</v>
          </cell>
          <cell r="F7654">
            <v>31102192</v>
          </cell>
          <cell r="G7654">
            <v>31102192</v>
          </cell>
          <cell r="H7654">
            <v>31102192</v>
          </cell>
          <cell r="I7654" t="str">
            <v/>
          </cell>
          <cell r="J7654" t="str">
            <v/>
          </cell>
          <cell r="K7654" t="str">
            <v/>
          </cell>
          <cell r="L7654" t="str">
            <v/>
          </cell>
          <cell r="M7654" t="str">
            <v/>
          </cell>
        </row>
        <row r="7655">
          <cell r="A7655">
            <v>31102192</v>
          </cell>
          <cell r="C7655">
            <v>31102192</v>
          </cell>
          <cell r="D7655">
            <v>31102192</v>
          </cell>
          <cell r="E7655">
            <v>31102192</v>
          </cell>
          <cell r="F7655">
            <v>31102192</v>
          </cell>
          <cell r="G7655">
            <v>31102192</v>
          </cell>
          <cell r="H7655">
            <v>31102192</v>
          </cell>
          <cell r="I7655" t="str">
            <v/>
          </cell>
          <cell r="J7655" t="str">
            <v/>
          </cell>
          <cell r="K7655" t="str">
            <v/>
          </cell>
          <cell r="L7655" t="str">
            <v/>
          </cell>
          <cell r="M7655" t="str">
            <v/>
          </cell>
        </row>
        <row r="7656">
          <cell r="A7656">
            <v>31102192</v>
          </cell>
          <cell r="C7656">
            <v>31102192</v>
          </cell>
          <cell r="D7656">
            <v>31102192</v>
          </cell>
          <cell r="E7656">
            <v>31102192</v>
          </cell>
          <cell r="F7656">
            <v>31102192</v>
          </cell>
          <cell r="G7656">
            <v>31102192</v>
          </cell>
          <cell r="H7656">
            <v>31102192</v>
          </cell>
          <cell r="I7656" t="str">
            <v/>
          </cell>
          <cell r="J7656" t="str">
            <v/>
          </cell>
          <cell r="K7656" t="str">
            <v/>
          </cell>
          <cell r="L7656" t="str">
            <v/>
          </cell>
          <cell r="M7656" t="str">
            <v/>
          </cell>
        </row>
        <row r="7657">
          <cell r="A7657">
            <v>31102192</v>
          </cell>
          <cell r="C7657">
            <v>31102192</v>
          </cell>
          <cell r="D7657">
            <v>31102192</v>
          </cell>
          <cell r="E7657">
            <v>31102192</v>
          </cell>
          <cell r="F7657">
            <v>31102192</v>
          </cell>
          <cell r="G7657">
            <v>31102192</v>
          </cell>
          <cell r="H7657">
            <v>31102192</v>
          </cell>
          <cell r="I7657" t="str">
            <v/>
          </cell>
          <cell r="J7657" t="str">
            <v/>
          </cell>
          <cell r="K7657" t="str">
            <v/>
          </cell>
          <cell r="L7657" t="str">
            <v/>
          </cell>
          <cell r="M7657" t="str">
            <v/>
          </cell>
        </row>
        <row r="7658">
          <cell r="A7658">
            <v>31102192</v>
          </cell>
          <cell r="C7658">
            <v>31102192</v>
          </cell>
          <cell r="D7658">
            <v>31102192</v>
          </cell>
          <cell r="E7658">
            <v>31102192</v>
          </cell>
          <cell r="F7658">
            <v>31102192</v>
          </cell>
          <cell r="G7658">
            <v>31102192</v>
          </cell>
          <cell r="H7658">
            <v>31102192</v>
          </cell>
          <cell r="I7658" t="str">
            <v/>
          </cell>
          <cell r="J7658" t="str">
            <v/>
          </cell>
          <cell r="K7658" t="str">
            <v/>
          </cell>
          <cell r="L7658" t="str">
            <v/>
          </cell>
          <cell r="M7658" t="str">
            <v/>
          </cell>
        </row>
        <row r="7659">
          <cell r="A7659">
            <v>31102192</v>
          </cell>
          <cell r="C7659">
            <v>31102192</v>
          </cell>
          <cell r="D7659">
            <v>31102192</v>
          </cell>
          <cell r="E7659">
            <v>31102192</v>
          </cell>
          <cell r="F7659">
            <v>31102192</v>
          </cell>
          <cell r="G7659">
            <v>31102192</v>
          </cell>
          <cell r="H7659">
            <v>31102192</v>
          </cell>
          <cell r="I7659" t="str">
            <v/>
          </cell>
          <cell r="J7659" t="str">
            <v/>
          </cell>
          <cell r="K7659" t="str">
            <v/>
          </cell>
          <cell r="L7659" t="str">
            <v/>
          </cell>
          <cell r="M7659" t="str">
            <v/>
          </cell>
        </row>
        <row r="7660">
          <cell r="A7660">
            <v>31102192</v>
          </cell>
          <cell r="C7660">
            <v>31102192</v>
          </cell>
          <cell r="D7660">
            <v>31102192</v>
          </cell>
          <cell r="E7660">
            <v>31102192</v>
          </cell>
          <cell r="F7660">
            <v>31102192</v>
          </cell>
          <cell r="G7660">
            <v>31102192</v>
          </cell>
          <cell r="H7660">
            <v>31102192</v>
          </cell>
          <cell r="I7660" t="str">
            <v/>
          </cell>
          <cell r="J7660" t="str">
            <v/>
          </cell>
          <cell r="K7660" t="str">
            <v/>
          </cell>
          <cell r="L7660" t="str">
            <v/>
          </cell>
          <cell r="M7660" t="str">
            <v/>
          </cell>
        </row>
        <row r="7661">
          <cell r="A7661">
            <v>31102192</v>
          </cell>
          <cell r="C7661">
            <v>31102192</v>
          </cell>
          <cell r="D7661">
            <v>31102192</v>
          </cell>
          <cell r="E7661">
            <v>31102192</v>
          </cell>
          <cell r="F7661">
            <v>31102192</v>
          </cell>
          <cell r="G7661">
            <v>31102192</v>
          </cell>
          <cell r="H7661">
            <v>31102192</v>
          </cell>
          <cell r="I7661" t="str">
            <v/>
          </cell>
          <cell r="J7661" t="str">
            <v/>
          </cell>
          <cell r="K7661" t="str">
            <v/>
          </cell>
          <cell r="L7661" t="str">
            <v/>
          </cell>
          <cell r="M7661" t="str">
            <v/>
          </cell>
        </row>
        <row r="7662">
          <cell r="A7662">
            <v>31102192</v>
          </cell>
          <cell r="I7662" t="str">
            <v/>
          </cell>
          <cell r="J7662" t="str">
            <v/>
          </cell>
          <cell r="K7662" t="str">
            <v/>
          </cell>
          <cell r="L7662" t="str">
            <v/>
          </cell>
          <cell r="M7662" t="str">
            <v/>
          </cell>
        </row>
        <row r="7663">
          <cell r="A7663">
            <v>31102192</v>
          </cell>
          <cell r="I7663" t="str">
            <v/>
          </cell>
          <cell r="J7663" t="str">
            <v/>
          </cell>
          <cell r="K7663" t="str">
            <v/>
          </cell>
          <cell r="L7663" t="str">
            <v/>
          </cell>
          <cell r="M7663" t="str">
            <v/>
          </cell>
        </row>
        <row r="7664">
          <cell r="A7664">
            <v>31102192</v>
          </cell>
          <cell r="I7664" t="str">
            <v/>
          </cell>
          <cell r="J7664" t="str">
            <v/>
          </cell>
          <cell r="K7664" t="str">
            <v/>
          </cell>
          <cell r="L7664" t="str">
            <v/>
          </cell>
          <cell r="M7664" t="str">
            <v/>
          </cell>
        </row>
        <row r="7665">
          <cell r="A7665">
            <v>31102192</v>
          </cell>
          <cell r="I7665" t="str">
            <v/>
          </cell>
          <cell r="J7665" t="str">
            <v/>
          </cell>
          <cell r="K7665" t="str">
            <v/>
          </cell>
          <cell r="L7665" t="str">
            <v/>
          </cell>
          <cell r="M7665" t="str">
            <v/>
          </cell>
        </row>
        <row r="7666">
          <cell r="A7666">
            <v>31102192</v>
          </cell>
          <cell r="I7666" t="str">
            <v/>
          </cell>
          <cell r="J7666" t="str">
            <v/>
          </cell>
          <cell r="K7666" t="str">
            <v/>
          </cell>
          <cell r="L7666" t="str">
            <v/>
          </cell>
          <cell r="M7666" t="str">
            <v/>
          </cell>
        </row>
        <row r="7667">
          <cell r="A7667">
            <v>31102192</v>
          </cell>
          <cell r="I7667" t="str">
            <v/>
          </cell>
          <cell r="J7667" t="str">
            <v/>
          </cell>
          <cell r="K7667" t="str">
            <v/>
          </cell>
          <cell r="L7667" t="str">
            <v/>
          </cell>
          <cell r="M7667" t="str">
            <v/>
          </cell>
        </row>
        <row r="7668">
          <cell r="A7668">
            <v>31102192</v>
          </cell>
          <cell r="I7668" t="str">
            <v/>
          </cell>
          <cell r="J7668" t="str">
            <v/>
          </cell>
          <cell r="K7668" t="str">
            <v/>
          </cell>
          <cell r="L7668" t="str">
            <v/>
          </cell>
          <cell r="M7668" t="str">
            <v/>
          </cell>
        </row>
        <row r="7669">
          <cell r="A7669">
            <v>31102192</v>
          </cell>
          <cell r="I7669" t="str">
            <v/>
          </cell>
          <cell r="J7669" t="str">
            <v/>
          </cell>
          <cell r="K7669" t="str">
            <v/>
          </cell>
          <cell r="L7669" t="str">
            <v/>
          </cell>
          <cell r="M7669" t="str">
            <v/>
          </cell>
        </row>
        <row r="7670">
          <cell r="A7670">
            <v>31102192</v>
          </cell>
          <cell r="I7670" t="str">
            <v/>
          </cell>
          <cell r="J7670" t="str">
            <v/>
          </cell>
          <cell r="K7670" t="str">
            <v/>
          </cell>
          <cell r="L7670" t="str">
            <v/>
          </cell>
          <cell r="M7670" t="str">
            <v/>
          </cell>
        </row>
        <row r="7671">
          <cell r="A7671">
            <v>31102192</v>
          </cell>
          <cell r="I7671" t="str">
            <v/>
          </cell>
          <cell r="J7671" t="str">
            <v/>
          </cell>
          <cell r="K7671" t="str">
            <v/>
          </cell>
          <cell r="L7671" t="str">
            <v/>
          </cell>
          <cell r="M7671" t="str">
            <v/>
          </cell>
        </row>
        <row r="7672">
          <cell r="A7672">
            <v>31102192</v>
          </cell>
          <cell r="I7672" t="str">
            <v/>
          </cell>
          <cell r="J7672" t="str">
            <v/>
          </cell>
          <cell r="K7672" t="str">
            <v/>
          </cell>
          <cell r="L7672" t="str">
            <v/>
          </cell>
          <cell r="M7672" t="str">
            <v/>
          </cell>
        </row>
        <row r="7673">
          <cell r="A7673">
            <v>31102192</v>
          </cell>
          <cell r="I7673" t="str">
            <v/>
          </cell>
          <cell r="J7673" t="str">
            <v/>
          </cell>
          <cell r="K7673" t="str">
            <v/>
          </cell>
          <cell r="L7673" t="str">
            <v/>
          </cell>
          <cell r="M7673" t="str">
            <v/>
          </cell>
        </row>
        <row r="7674">
          <cell r="A7674">
            <v>31102192</v>
          </cell>
          <cell r="I7674" t="str">
            <v/>
          </cell>
          <cell r="J7674" t="str">
            <v/>
          </cell>
          <cell r="K7674" t="str">
            <v/>
          </cell>
          <cell r="L7674" t="str">
            <v/>
          </cell>
          <cell r="M7674" t="str">
            <v/>
          </cell>
        </row>
        <row r="7675">
          <cell r="A7675">
            <v>31102192</v>
          </cell>
          <cell r="I7675" t="str">
            <v/>
          </cell>
          <cell r="J7675" t="str">
            <v/>
          </cell>
          <cell r="K7675" t="str">
            <v/>
          </cell>
          <cell r="L7675" t="str">
            <v/>
          </cell>
          <cell r="M7675" t="str">
            <v/>
          </cell>
        </row>
        <row r="7676">
          <cell r="A7676">
            <v>31102192</v>
          </cell>
          <cell r="I7676" t="str">
            <v/>
          </cell>
          <cell r="J7676" t="str">
            <v/>
          </cell>
          <cell r="K7676" t="str">
            <v/>
          </cell>
          <cell r="L7676" t="str">
            <v/>
          </cell>
          <cell r="M7676" t="str">
            <v/>
          </cell>
        </row>
        <row r="7677">
          <cell r="A7677">
            <v>31102192</v>
          </cell>
          <cell r="I7677" t="str">
            <v/>
          </cell>
          <cell r="J7677" t="str">
            <v/>
          </cell>
          <cell r="K7677" t="str">
            <v/>
          </cell>
          <cell r="L7677" t="str">
            <v/>
          </cell>
          <cell r="M7677" t="str">
            <v/>
          </cell>
        </row>
        <row r="7678">
          <cell r="A7678">
            <v>31102192</v>
          </cell>
          <cell r="I7678" t="str">
            <v/>
          </cell>
          <cell r="J7678" t="str">
            <v/>
          </cell>
          <cell r="K7678" t="str">
            <v/>
          </cell>
          <cell r="L7678" t="str">
            <v/>
          </cell>
          <cell r="M7678" t="str">
            <v/>
          </cell>
        </row>
        <row r="7679">
          <cell r="A7679">
            <v>31102192</v>
          </cell>
          <cell r="I7679" t="str">
            <v/>
          </cell>
          <cell r="J7679" t="str">
            <v/>
          </cell>
          <cell r="K7679" t="str">
            <v/>
          </cell>
          <cell r="L7679" t="str">
            <v/>
          </cell>
          <cell r="M7679" t="str">
            <v/>
          </cell>
        </row>
        <row r="7680">
          <cell r="A7680">
            <v>31102192</v>
          </cell>
          <cell r="I7680" t="str">
            <v/>
          </cell>
          <cell r="J7680" t="str">
            <v/>
          </cell>
          <cell r="K7680" t="str">
            <v/>
          </cell>
          <cell r="L7680" t="str">
            <v/>
          </cell>
          <cell r="M7680" t="str">
            <v/>
          </cell>
        </row>
        <row r="7681">
          <cell r="A7681">
            <v>31102192</v>
          </cell>
          <cell r="I7681" t="str">
            <v/>
          </cell>
          <cell r="J7681" t="str">
            <v/>
          </cell>
          <cell r="K7681" t="str">
            <v/>
          </cell>
          <cell r="L7681" t="str">
            <v/>
          </cell>
          <cell r="M7681" t="str">
            <v/>
          </cell>
        </row>
        <row r="7682">
          <cell r="A7682">
            <v>31102192</v>
          </cell>
          <cell r="I7682" t="str">
            <v/>
          </cell>
          <cell r="J7682" t="str">
            <v/>
          </cell>
          <cell r="K7682" t="str">
            <v/>
          </cell>
          <cell r="L7682" t="str">
            <v/>
          </cell>
          <cell r="M7682" t="str">
            <v/>
          </cell>
        </row>
        <row r="7683">
          <cell r="A7683">
            <v>31102192</v>
          </cell>
          <cell r="I7683" t="str">
            <v/>
          </cell>
          <cell r="J7683" t="str">
            <v/>
          </cell>
          <cell r="K7683" t="str">
            <v/>
          </cell>
          <cell r="L7683" t="str">
            <v/>
          </cell>
          <cell r="M7683" t="str">
            <v/>
          </cell>
        </row>
        <row r="7684">
          <cell r="A7684">
            <v>31102192</v>
          </cell>
          <cell r="I7684" t="str">
            <v/>
          </cell>
          <cell r="J7684" t="str">
            <v/>
          </cell>
          <cell r="K7684" t="str">
            <v/>
          </cell>
          <cell r="L7684" t="str">
            <v/>
          </cell>
          <cell r="M7684" t="str">
            <v/>
          </cell>
        </row>
        <row r="7685">
          <cell r="A7685">
            <v>31102192</v>
          </cell>
          <cell r="I7685" t="str">
            <v/>
          </cell>
          <cell r="J7685" t="str">
            <v/>
          </cell>
          <cell r="K7685" t="str">
            <v/>
          </cell>
          <cell r="L7685" t="str">
            <v/>
          </cell>
          <cell r="M7685" t="str">
            <v/>
          </cell>
        </row>
        <row r="7686">
          <cell r="A7686">
            <v>31102192</v>
          </cell>
          <cell r="I7686" t="str">
            <v/>
          </cell>
          <cell r="J7686" t="str">
            <v/>
          </cell>
          <cell r="K7686" t="str">
            <v/>
          </cell>
          <cell r="L7686" t="str">
            <v/>
          </cell>
          <cell r="M7686" t="str">
            <v/>
          </cell>
        </row>
        <row r="7687">
          <cell r="A7687">
            <v>31102192</v>
          </cell>
          <cell r="I7687" t="str">
            <v/>
          </cell>
          <cell r="J7687" t="str">
            <v/>
          </cell>
          <cell r="K7687" t="str">
            <v/>
          </cell>
          <cell r="L7687" t="str">
            <v/>
          </cell>
          <cell r="M7687" t="str">
            <v/>
          </cell>
        </row>
        <row r="7688">
          <cell r="A7688">
            <v>31102192</v>
          </cell>
          <cell r="I7688" t="str">
            <v/>
          </cell>
          <cell r="J7688" t="str">
            <v/>
          </cell>
          <cell r="K7688" t="str">
            <v/>
          </cell>
          <cell r="L7688" t="str">
            <v/>
          </cell>
          <cell r="M7688" t="str">
            <v/>
          </cell>
        </row>
        <row r="7689">
          <cell r="A7689">
            <v>31102192</v>
          </cell>
          <cell r="I7689" t="str">
            <v/>
          </cell>
          <cell r="J7689" t="str">
            <v/>
          </cell>
          <cell r="K7689" t="str">
            <v/>
          </cell>
          <cell r="L7689" t="str">
            <v/>
          </cell>
          <cell r="M7689" t="str">
            <v/>
          </cell>
        </row>
      </sheetData>
      <sheetData sheetId="4">
        <row r="2">
          <cell r="A2">
            <v>101100</v>
          </cell>
          <cell r="C2">
            <v>101100</v>
          </cell>
          <cell r="D2">
            <v>1000000</v>
          </cell>
          <cell r="E2">
            <v>1000000</v>
          </cell>
          <cell r="F2">
            <v>1000000</v>
          </cell>
          <cell r="G2">
            <v>1000000</v>
          </cell>
          <cell r="H2">
            <v>1000000</v>
          </cell>
          <cell r="I2" t="str">
            <v>10</v>
          </cell>
          <cell r="J2" t="str">
            <v>101</v>
          </cell>
          <cell r="K2" t="str">
            <v>1011</v>
          </cell>
          <cell r="L2" t="str">
            <v>10110</v>
          </cell>
        </row>
        <row r="3">
          <cell r="A3">
            <v>129100</v>
          </cell>
          <cell r="C3">
            <v>129100</v>
          </cell>
          <cell r="D3">
            <v>-90762875</v>
          </cell>
          <cell r="E3">
            <v>-90762816</v>
          </cell>
          <cell r="F3">
            <v>-90762816</v>
          </cell>
          <cell r="G3">
            <v>90762875</v>
          </cell>
          <cell r="H3">
            <v>90762816</v>
          </cell>
          <cell r="I3" t="str">
            <v>12</v>
          </cell>
          <cell r="J3" t="str">
            <v>129</v>
          </cell>
          <cell r="K3" t="str">
            <v>1291</v>
          </cell>
          <cell r="L3" t="str">
            <v>12910</v>
          </cell>
        </row>
        <row r="4">
          <cell r="A4">
            <v>239100</v>
          </cell>
          <cell r="C4">
            <v>14648611</v>
          </cell>
          <cell r="D4">
            <v>14648608</v>
          </cell>
          <cell r="E4">
            <v>14648608</v>
          </cell>
          <cell r="F4">
            <v>14648608</v>
          </cell>
          <cell r="G4">
            <v>14648611</v>
          </cell>
          <cell r="H4">
            <v>14648608</v>
          </cell>
          <cell r="I4" t="str">
            <v>23</v>
          </cell>
          <cell r="J4" t="str">
            <v>239</v>
          </cell>
          <cell r="K4" t="str">
            <v>2391</v>
          </cell>
          <cell r="L4" t="str">
            <v>23910</v>
          </cell>
        </row>
        <row r="5">
          <cell r="A5">
            <v>244100</v>
          </cell>
          <cell r="C5">
            <v>68853998</v>
          </cell>
          <cell r="D5">
            <v>68853952</v>
          </cell>
          <cell r="E5">
            <v>68853952</v>
          </cell>
          <cell r="F5">
            <v>68853952</v>
          </cell>
          <cell r="G5">
            <v>68853998</v>
          </cell>
          <cell r="H5">
            <v>68853952</v>
          </cell>
          <cell r="I5" t="str">
            <v>24</v>
          </cell>
          <cell r="J5" t="str">
            <v>244</v>
          </cell>
          <cell r="K5" t="str">
            <v>2441</v>
          </cell>
          <cell r="L5" t="str">
            <v>24410</v>
          </cell>
        </row>
        <row r="6">
          <cell r="A6">
            <v>245100</v>
          </cell>
          <cell r="C6">
            <v>38046067</v>
          </cell>
          <cell r="D6">
            <v>38046048</v>
          </cell>
          <cell r="E6">
            <v>38046048</v>
          </cell>
          <cell r="F6">
            <v>38046048</v>
          </cell>
          <cell r="G6">
            <v>38046067</v>
          </cell>
          <cell r="H6">
            <v>38046048</v>
          </cell>
          <cell r="I6" t="str">
            <v>24</v>
          </cell>
          <cell r="J6" t="str">
            <v>245</v>
          </cell>
          <cell r="K6" t="str">
            <v>2451</v>
          </cell>
          <cell r="L6" t="str">
            <v>24510</v>
          </cell>
        </row>
        <row r="7">
          <cell r="A7">
            <v>234000</v>
          </cell>
          <cell r="C7">
            <v>3306526</v>
          </cell>
          <cell r="D7">
            <v>3306526</v>
          </cell>
          <cell r="E7">
            <v>3306526</v>
          </cell>
          <cell r="F7">
            <v>3306526</v>
          </cell>
          <cell r="G7">
            <v>3306526</v>
          </cell>
          <cell r="H7">
            <v>3306526</v>
          </cell>
          <cell r="I7" t="str">
            <v>23</v>
          </cell>
          <cell r="J7" t="str">
            <v>234</v>
          </cell>
          <cell r="K7" t="str">
            <v>2340</v>
          </cell>
          <cell r="L7" t="str">
            <v>23400</v>
          </cell>
        </row>
        <row r="8">
          <cell r="A8">
            <v>283510</v>
          </cell>
          <cell r="C8">
            <v>283510</v>
          </cell>
          <cell r="D8">
            <v>3306526</v>
          </cell>
          <cell r="E8">
            <v>3306526</v>
          </cell>
          <cell r="F8">
            <v>3306526</v>
          </cell>
          <cell r="G8">
            <v>3306526</v>
          </cell>
          <cell r="H8">
            <v>3306526</v>
          </cell>
          <cell r="I8" t="str">
            <v>28</v>
          </cell>
          <cell r="J8" t="str">
            <v>283</v>
          </cell>
          <cell r="K8" t="str">
            <v>2835</v>
          </cell>
          <cell r="L8" t="str">
            <v>28351</v>
          </cell>
        </row>
        <row r="9">
          <cell r="A9">
            <v>283210</v>
          </cell>
          <cell r="C9">
            <v>283210</v>
          </cell>
          <cell r="D9">
            <v>5696112</v>
          </cell>
          <cell r="E9">
            <v>5696112</v>
          </cell>
          <cell r="F9">
            <v>5696112</v>
          </cell>
          <cell r="G9">
            <v>5696112</v>
          </cell>
          <cell r="H9">
            <v>5696112</v>
          </cell>
          <cell r="I9" t="str">
            <v>28</v>
          </cell>
          <cell r="J9" t="str">
            <v>283</v>
          </cell>
          <cell r="K9" t="str">
            <v>2832</v>
          </cell>
          <cell r="L9" t="str">
            <v>28321</v>
          </cell>
        </row>
        <row r="10">
          <cell r="A10">
            <v>284510</v>
          </cell>
          <cell r="C10">
            <v>284510</v>
          </cell>
          <cell r="D10">
            <v>38046067</v>
          </cell>
          <cell r="E10">
            <v>38046048</v>
          </cell>
          <cell r="F10">
            <v>38046048</v>
          </cell>
          <cell r="G10">
            <v>0</v>
          </cell>
          <cell r="H10">
            <v>38046067</v>
          </cell>
          <cell r="I10" t="str">
            <v>28</v>
          </cell>
          <cell r="J10" t="str">
            <v>284</v>
          </cell>
          <cell r="K10" t="str">
            <v>2845</v>
          </cell>
          <cell r="L10" t="str">
            <v>28451</v>
          </cell>
        </row>
        <row r="11">
          <cell r="A11">
            <v>284110</v>
          </cell>
          <cell r="C11">
            <v>284110</v>
          </cell>
          <cell r="D11">
            <v>68853998</v>
          </cell>
          <cell r="E11">
            <v>68853952</v>
          </cell>
          <cell r="F11">
            <v>68853952</v>
          </cell>
          <cell r="G11">
            <v>68853952</v>
          </cell>
          <cell r="H11">
            <v>68853998</v>
          </cell>
          <cell r="I11" t="str">
            <v>28</v>
          </cell>
          <cell r="J11" t="str">
            <v>284</v>
          </cell>
          <cell r="K11" t="str">
            <v>2841</v>
          </cell>
          <cell r="L11" t="str">
            <v>28411</v>
          </cell>
        </row>
        <row r="12">
          <cell r="A12">
            <v>401100</v>
          </cell>
          <cell r="C12">
            <v>401100</v>
          </cell>
          <cell r="D12">
            <v>11952400</v>
          </cell>
          <cell r="E12">
            <v>11952400</v>
          </cell>
          <cell r="F12">
            <v>11952400</v>
          </cell>
          <cell r="G12">
            <v>11952400</v>
          </cell>
          <cell r="H12">
            <v>11952400</v>
          </cell>
          <cell r="I12" t="str">
            <v>40</v>
          </cell>
          <cell r="J12" t="str">
            <v>401</v>
          </cell>
          <cell r="K12" t="str">
            <v>4011</v>
          </cell>
          <cell r="L12" t="str">
            <v>40110</v>
          </cell>
        </row>
        <row r="13">
          <cell r="A13">
            <v>411100</v>
          </cell>
          <cell r="C13">
            <v>411100</v>
          </cell>
          <cell r="D13">
            <v>411100</v>
          </cell>
          <cell r="E13">
            <v>411100</v>
          </cell>
          <cell r="F13">
            <v>411100</v>
          </cell>
          <cell r="G13">
            <v>0</v>
          </cell>
          <cell r="H13">
            <v>0</v>
          </cell>
          <cell r="I13" t="str">
            <v>41</v>
          </cell>
          <cell r="J13" t="str">
            <v>411</v>
          </cell>
          <cell r="K13" t="str">
            <v>4111</v>
          </cell>
          <cell r="L13" t="str">
            <v>41110</v>
          </cell>
        </row>
        <row r="14">
          <cell r="A14">
            <v>431000</v>
          </cell>
          <cell r="C14">
            <v>431000</v>
          </cell>
          <cell r="D14">
            <v>431000</v>
          </cell>
          <cell r="E14">
            <v>431000</v>
          </cell>
          <cell r="F14">
            <v>431000</v>
          </cell>
          <cell r="G14">
            <v>431000</v>
          </cell>
          <cell r="H14">
            <v>0</v>
          </cell>
          <cell r="I14" t="str">
            <v>43</v>
          </cell>
          <cell r="J14" t="str">
            <v>431</v>
          </cell>
          <cell r="K14" t="str">
            <v>4310</v>
          </cell>
          <cell r="L14" t="str">
            <v>43100</v>
          </cell>
        </row>
        <row r="15">
          <cell r="A15">
            <v>444100</v>
          </cell>
          <cell r="C15">
            <v>444100</v>
          </cell>
          <cell r="D15">
            <v>444100</v>
          </cell>
          <cell r="E15">
            <v>444100</v>
          </cell>
          <cell r="F15">
            <v>444100</v>
          </cell>
          <cell r="G15">
            <v>444100</v>
          </cell>
          <cell r="H15">
            <v>0</v>
          </cell>
          <cell r="I15" t="str">
            <v>44</v>
          </cell>
          <cell r="J15" t="str">
            <v>444</v>
          </cell>
          <cell r="K15" t="str">
            <v>4441</v>
          </cell>
          <cell r="L15" t="str">
            <v>44410</v>
          </cell>
        </row>
        <row r="16">
          <cell r="A16">
            <v>447000</v>
          </cell>
          <cell r="C16">
            <v>5770377</v>
          </cell>
          <cell r="D16">
            <v>5770376</v>
          </cell>
          <cell r="E16">
            <v>5770376</v>
          </cell>
          <cell r="F16">
            <v>5770376</v>
          </cell>
          <cell r="G16">
            <v>5770377</v>
          </cell>
          <cell r="H16">
            <v>0</v>
          </cell>
          <cell r="I16" t="str">
            <v>44</v>
          </cell>
          <cell r="J16" t="str">
            <v>447</v>
          </cell>
          <cell r="K16" t="str">
            <v>4470</v>
          </cell>
          <cell r="L16" t="str">
            <v>44700</v>
          </cell>
        </row>
        <row r="17">
          <cell r="A17">
            <v>447000</v>
          </cell>
          <cell r="C17">
            <v>447000</v>
          </cell>
          <cell r="D17">
            <v>6864459</v>
          </cell>
          <cell r="E17">
            <v>6864456</v>
          </cell>
          <cell r="F17">
            <v>6864456</v>
          </cell>
          <cell r="G17">
            <v>0</v>
          </cell>
          <cell r="H17">
            <v>6864459</v>
          </cell>
          <cell r="I17" t="str">
            <v>44</v>
          </cell>
          <cell r="J17" t="str">
            <v>447</v>
          </cell>
          <cell r="K17" t="str">
            <v>4470</v>
          </cell>
          <cell r="L17" t="str">
            <v>44700</v>
          </cell>
        </row>
        <row r="18">
          <cell r="A18">
            <v>441100</v>
          </cell>
          <cell r="C18">
            <v>441100</v>
          </cell>
          <cell r="D18">
            <v>441100</v>
          </cell>
          <cell r="E18">
            <v>441100</v>
          </cell>
          <cell r="F18">
            <v>441100</v>
          </cell>
          <cell r="G18">
            <v>441100</v>
          </cell>
          <cell r="H18">
            <v>0</v>
          </cell>
          <cell r="I18" t="str">
            <v>44</v>
          </cell>
          <cell r="J18" t="str">
            <v>441</v>
          </cell>
          <cell r="K18" t="str">
            <v>4411</v>
          </cell>
          <cell r="L18" t="str">
            <v>44110</v>
          </cell>
        </row>
        <row r="19">
          <cell r="A19">
            <v>419000</v>
          </cell>
          <cell r="C19">
            <v>419000</v>
          </cell>
          <cell r="D19">
            <v>40171572</v>
          </cell>
          <cell r="E19">
            <v>40171552</v>
          </cell>
          <cell r="F19">
            <v>40171552</v>
          </cell>
          <cell r="G19">
            <v>40171552</v>
          </cell>
          <cell r="H19">
            <v>40171572</v>
          </cell>
          <cell r="I19" t="str">
            <v>41</v>
          </cell>
          <cell r="J19" t="str">
            <v>419</v>
          </cell>
          <cell r="K19" t="str">
            <v>4190</v>
          </cell>
          <cell r="L19" t="str">
            <v>41900</v>
          </cell>
        </row>
        <row r="20">
          <cell r="A20">
            <v>462000</v>
          </cell>
          <cell r="C20">
            <v>462000</v>
          </cell>
          <cell r="D20">
            <v>11819737</v>
          </cell>
          <cell r="E20">
            <v>11819736</v>
          </cell>
          <cell r="F20">
            <v>11819736</v>
          </cell>
          <cell r="G20">
            <v>11819736</v>
          </cell>
          <cell r="H20">
            <v>11819737</v>
          </cell>
          <cell r="I20" t="str">
            <v>46</v>
          </cell>
          <cell r="J20" t="str">
            <v>462</v>
          </cell>
          <cell r="K20" t="str">
            <v>4620</v>
          </cell>
          <cell r="L20" t="str">
            <v>46200</v>
          </cell>
        </row>
        <row r="21">
          <cell r="A21">
            <v>11819736</v>
          </cell>
          <cell r="C21">
            <v>11819736</v>
          </cell>
          <cell r="D21">
            <v>11819736</v>
          </cell>
          <cell r="E21">
            <v>11819736</v>
          </cell>
          <cell r="F21">
            <v>11819736</v>
          </cell>
          <cell r="G21">
            <v>11819736</v>
          </cell>
          <cell r="H21">
            <v>11819736</v>
          </cell>
          <cell r="I21" t="str">
            <v/>
          </cell>
          <cell r="J21" t="str">
            <v/>
          </cell>
          <cell r="K21" t="str">
            <v/>
          </cell>
          <cell r="L21" t="str">
            <v/>
          </cell>
        </row>
        <row r="22">
          <cell r="A22">
            <v>11819736</v>
          </cell>
          <cell r="C22">
            <v>11819736</v>
          </cell>
          <cell r="D22">
            <v>11819736</v>
          </cell>
          <cell r="E22">
            <v>11819736</v>
          </cell>
          <cell r="F22">
            <v>11819736</v>
          </cell>
          <cell r="G22">
            <v>11819736</v>
          </cell>
          <cell r="H22">
            <v>11819736</v>
          </cell>
          <cell r="I22" t="str">
            <v/>
          </cell>
          <cell r="J22" t="str">
            <v/>
          </cell>
          <cell r="K22" t="str">
            <v/>
          </cell>
          <cell r="L22" t="str">
            <v/>
          </cell>
        </row>
        <row r="23">
          <cell r="A23">
            <v>11819736</v>
          </cell>
          <cell r="C23">
            <v>11819736</v>
          </cell>
          <cell r="D23">
            <v>11819736</v>
          </cell>
          <cell r="E23">
            <v>11819736</v>
          </cell>
          <cell r="F23">
            <v>11819736</v>
          </cell>
          <cell r="G23">
            <v>11819736</v>
          </cell>
          <cell r="H23">
            <v>11819736</v>
          </cell>
          <cell r="I23" t="str">
            <v/>
          </cell>
          <cell r="J23" t="str">
            <v/>
          </cell>
          <cell r="K23" t="str">
            <v/>
          </cell>
          <cell r="L23" t="str">
            <v/>
          </cell>
        </row>
        <row r="24">
          <cell r="A24">
            <v>11819736</v>
          </cell>
          <cell r="C24">
            <v>11819736</v>
          </cell>
          <cell r="D24">
            <v>11819736</v>
          </cell>
          <cell r="E24">
            <v>11819736</v>
          </cell>
          <cell r="F24">
            <v>11819736</v>
          </cell>
          <cell r="G24">
            <v>11819736</v>
          </cell>
          <cell r="H24">
            <v>11819736</v>
          </cell>
          <cell r="I24" t="str">
            <v/>
          </cell>
          <cell r="J24" t="str">
            <v/>
          </cell>
          <cell r="K24" t="str">
            <v/>
          </cell>
          <cell r="L24" t="str">
            <v/>
          </cell>
        </row>
        <row r="25">
          <cell r="A25">
            <v>521100</v>
          </cell>
          <cell r="C25">
            <v>322417</v>
          </cell>
          <cell r="D25">
            <v>322417</v>
          </cell>
          <cell r="E25">
            <v>322417</v>
          </cell>
          <cell r="F25">
            <v>322417</v>
          </cell>
          <cell r="G25">
            <v>322417</v>
          </cell>
          <cell r="H25">
            <v>322417</v>
          </cell>
          <cell r="I25" t="str">
            <v>52</v>
          </cell>
          <cell r="J25" t="str">
            <v>521</v>
          </cell>
          <cell r="K25" t="str">
            <v>5211</v>
          </cell>
          <cell r="L25" t="str">
            <v>52110</v>
          </cell>
        </row>
        <row r="26">
          <cell r="A26">
            <v>521400</v>
          </cell>
          <cell r="C26">
            <v>521400</v>
          </cell>
          <cell r="D26">
            <v>34000000</v>
          </cell>
          <cell r="E26">
            <v>34000000</v>
          </cell>
          <cell r="F26">
            <v>34000000</v>
          </cell>
          <cell r="G26">
            <v>34000000</v>
          </cell>
          <cell r="H26">
            <v>34000000</v>
          </cell>
          <cell r="I26" t="str">
            <v>52</v>
          </cell>
          <cell r="J26" t="str">
            <v>521</v>
          </cell>
          <cell r="K26" t="str">
            <v>5214</v>
          </cell>
          <cell r="L26" t="str">
            <v>52140</v>
          </cell>
        </row>
        <row r="27">
          <cell r="A27">
            <v>34000000</v>
          </cell>
          <cell r="C27">
            <v>34000000</v>
          </cell>
          <cell r="D27">
            <v>34000000</v>
          </cell>
          <cell r="E27">
            <v>34000000</v>
          </cell>
          <cell r="F27">
            <v>34000000</v>
          </cell>
          <cell r="G27">
            <v>34000000</v>
          </cell>
          <cell r="H27">
            <v>34000000</v>
          </cell>
          <cell r="I27" t="str">
            <v/>
          </cell>
          <cell r="J27" t="str">
            <v/>
          </cell>
          <cell r="K27" t="str">
            <v/>
          </cell>
          <cell r="L27" t="str">
            <v/>
          </cell>
        </row>
        <row r="28">
          <cell r="A28">
            <v>34000000</v>
          </cell>
          <cell r="C28">
            <v>34000000</v>
          </cell>
          <cell r="D28">
            <v>34000000</v>
          </cell>
          <cell r="E28">
            <v>34000000</v>
          </cell>
          <cell r="F28">
            <v>34000000</v>
          </cell>
          <cell r="G28">
            <v>34000000</v>
          </cell>
          <cell r="H28">
            <v>34000000</v>
          </cell>
          <cell r="I28" t="str">
            <v/>
          </cell>
          <cell r="J28" t="str">
            <v/>
          </cell>
          <cell r="K28" t="str">
            <v/>
          </cell>
          <cell r="L28" t="str">
            <v/>
          </cell>
        </row>
        <row r="29">
          <cell r="A29">
            <v>34000000</v>
          </cell>
          <cell r="C29">
            <v>34000000</v>
          </cell>
          <cell r="D29">
            <v>34000000</v>
          </cell>
          <cell r="E29">
            <v>34000000</v>
          </cell>
          <cell r="F29">
            <v>34000000</v>
          </cell>
          <cell r="G29">
            <v>34000000</v>
          </cell>
          <cell r="H29">
            <v>34000000</v>
          </cell>
          <cell r="I29" t="str">
            <v/>
          </cell>
          <cell r="J29" t="str">
            <v/>
          </cell>
          <cell r="K29" t="str">
            <v/>
          </cell>
          <cell r="L29" t="str">
            <v/>
          </cell>
        </row>
        <row r="30">
          <cell r="A30">
            <v>34000000</v>
          </cell>
          <cell r="C30">
            <v>34000000</v>
          </cell>
          <cell r="D30">
            <v>34000000</v>
          </cell>
          <cell r="E30">
            <v>34000000</v>
          </cell>
          <cell r="F30">
            <v>34000000</v>
          </cell>
          <cell r="G30">
            <v>34000000</v>
          </cell>
          <cell r="H30">
            <v>34000000</v>
          </cell>
          <cell r="I30" t="str">
            <v/>
          </cell>
          <cell r="J30" t="str">
            <v/>
          </cell>
          <cell r="K30" t="str">
            <v/>
          </cell>
          <cell r="L30" t="str">
            <v/>
          </cell>
        </row>
        <row r="31">
          <cell r="A31">
            <v>34000000</v>
          </cell>
          <cell r="C31">
            <v>34000000</v>
          </cell>
          <cell r="D31">
            <v>34000000</v>
          </cell>
          <cell r="E31">
            <v>34000000</v>
          </cell>
          <cell r="F31">
            <v>34000000</v>
          </cell>
          <cell r="G31">
            <v>34000000</v>
          </cell>
          <cell r="H31">
            <v>34000000</v>
          </cell>
          <cell r="I31" t="str">
            <v/>
          </cell>
          <cell r="J31" t="str">
            <v/>
          </cell>
          <cell r="K31" t="str">
            <v/>
          </cell>
          <cell r="L31" t="str">
            <v/>
          </cell>
        </row>
        <row r="32">
          <cell r="A32">
            <v>34000000</v>
          </cell>
          <cell r="C32">
            <v>34000000</v>
          </cell>
          <cell r="D32">
            <v>34000000</v>
          </cell>
          <cell r="E32">
            <v>34000000</v>
          </cell>
          <cell r="F32">
            <v>34000000</v>
          </cell>
          <cell r="G32">
            <v>34000000</v>
          </cell>
          <cell r="H32">
            <v>34000000</v>
          </cell>
          <cell r="I32" t="str">
            <v/>
          </cell>
          <cell r="J32" t="str">
            <v/>
          </cell>
          <cell r="K32" t="str">
            <v/>
          </cell>
          <cell r="L32" t="str">
            <v/>
          </cell>
        </row>
        <row r="33">
          <cell r="A33">
            <v>34000000</v>
          </cell>
          <cell r="C33">
            <v>34000000</v>
          </cell>
          <cell r="D33">
            <v>34000000</v>
          </cell>
          <cell r="E33">
            <v>34000000</v>
          </cell>
          <cell r="F33">
            <v>34000000</v>
          </cell>
          <cell r="G33">
            <v>34000000</v>
          </cell>
          <cell r="H33">
            <v>34000000</v>
          </cell>
          <cell r="I33" t="str">
            <v/>
          </cell>
          <cell r="J33" t="str">
            <v/>
          </cell>
          <cell r="K33" t="str">
            <v/>
          </cell>
          <cell r="L33" t="str">
            <v/>
          </cell>
        </row>
        <row r="34">
          <cell r="A34">
            <v>34000000</v>
          </cell>
          <cell r="C34">
            <v>34000000</v>
          </cell>
          <cell r="D34">
            <v>34000000</v>
          </cell>
          <cell r="E34">
            <v>34000000</v>
          </cell>
          <cell r="F34">
            <v>34000000</v>
          </cell>
          <cell r="G34">
            <v>34000000</v>
          </cell>
          <cell r="H34">
            <v>34000000</v>
          </cell>
          <cell r="I34" t="str">
            <v/>
          </cell>
          <cell r="J34" t="str">
            <v/>
          </cell>
          <cell r="K34" t="str">
            <v/>
          </cell>
          <cell r="L34" t="str">
            <v/>
          </cell>
        </row>
        <row r="35">
          <cell r="A35">
            <v>34000000</v>
          </cell>
          <cell r="C35">
            <v>34000000</v>
          </cell>
          <cell r="D35">
            <v>34000000</v>
          </cell>
          <cell r="E35">
            <v>34000000</v>
          </cell>
          <cell r="F35">
            <v>34000000</v>
          </cell>
          <cell r="G35">
            <v>34000000</v>
          </cell>
          <cell r="H35">
            <v>34000000</v>
          </cell>
          <cell r="I35" t="str">
            <v/>
          </cell>
          <cell r="J35" t="str">
            <v/>
          </cell>
          <cell r="K35" t="str">
            <v/>
          </cell>
          <cell r="L35" t="str">
            <v/>
          </cell>
        </row>
        <row r="36">
          <cell r="A36">
            <v>34000000</v>
          </cell>
          <cell r="C36">
            <v>34000000</v>
          </cell>
          <cell r="D36">
            <v>34000000</v>
          </cell>
          <cell r="E36">
            <v>34000000</v>
          </cell>
          <cell r="F36">
            <v>34000000</v>
          </cell>
          <cell r="G36">
            <v>34000000</v>
          </cell>
          <cell r="H36">
            <v>34000000</v>
          </cell>
          <cell r="I36" t="str">
            <v/>
          </cell>
          <cell r="J36" t="str">
            <v/>
          </cell>
          <cell r="K36" t="str">
            <v/>
          </cell>
          <cell r="L36" t="str">
            <v/>
          </cell>
        </row>
        <row r="37">
          <cell r="A37">
            <v>34000000</v>
          </cell>
          <cell r="C37">
            <v>34000000</v>
          </cell>
          <cell r="D37">
            <v>34000000</v>
          </cell>
          <cell r="E37">
            <v>34000000</v>
          </cell>
          <cell r="F37">
            <v>34000000</v>
          </cell>
          <cell r="G37">
            <v>34000000</v>
          </cell>
          <cell r="H37">
            <v>34000000</v>
          </cell>
          <cell r="I37" t="str">
            <v/>
          </cell>
          <cell r="J37" t="str">
            <v/>
          </cell>
          <cell r="K37" t="str">
            <v/>
          </cell>
          <cell r="L37" t="str">
            <v/>
          </cell>
        </row>
        <row r="38">
          <cell r="A38">
            <v>34000000</v>
          </cell>
          <cell r="C38">
            <v>34000000</v>
          </cell>
          <cell r="D38">
            <v>34000000</v>
          </cell>
          <cell r="E38">
            <v>34000000</v>
          </cell>
          <cell r="F38">
            <v>34000000</v>
          </cell>
          <cell r="G38">
            <v>34000000</v>
          </cell>
          <cell r="H38">
            <v>34000000</v>
          </cell>
          <cell r="I38" t="str">
            <v/>
          </cell>
          <cell r="J38" t="str">
            <v/>
          </cell>
          <cell r="K38" t="str">
            <v/>
          </cell>
          <cell r="L38" t="str">
            <v/>
          </cell>
        </row>
        <row r="39">
          <cell r="A39">
            <v>34000000</v>
          </cell>
          <cell r="C39">
            <v>34000000</v>
          </cell>
          <cell r="D39">
            <v>34000000</v>
          </cell>
          <cell r="E39">
            <v>34000000</v>
          </cell>
          <cell r="F39">
            <v>34000000</v>
          </cell>
          <cell r="G39">
            <v>34000000</v>
          </cell>
          <cell r="H39">
            <v>34000000</v>
          </cell>
          <cell r="I39" t="str">
            <v/>
          </cell>
          <cell r="J39" t="str">
            <v/>
          </cell>
          <cell r="K39" t="str">
            <v/>
          </cell>
          <cell r="L39" t="str">
            <v/>
          </cell>
        </row>
        <row r="40">
          <cell r="A40">
            <v>34000000</v>
          </cell>
          <cell r="C40">
            <v>34000000</v>
          </cell>
          <cell r="D40">
            <v>34000000</v>
          </cell>
          <cell r="E40">
            <v>34000000</v>
          </cell>
          <cell r="F40">
            <v>34000000</v>
          </cell>
          <cell r="G40">
            <v>34000000</v>
          </cell>
          <cell r="H40">
            <v>34000000</v>
          </cell>
          <cell r="I40" t="str">
            <v/>
          </cell>
          <cell r="J40" t="str">
            <v/>
          </cell>
          <cell r="K40" t="str">
            <v/>
          </cell>
          <cell r="L40" t="str">
            <v/>
          </cell>
        </row>
        <row r="41">
          <cell r="A41">
            <v>34000000</v>
          </cell>
          <cell r="C41">
            <v>34000000</v>
          </cell>
          <cell r="D41">
            <v>34000000</v>
          </cell>
          <cell r="E41">
            <v>34000000</v>
          </cell>
          <cell r="F41">
            <v>34000000</v>
          </cell>
          <cell r="G41">
            <v>34000000</v>
          </cell>
          <cell r="H41">
            <v>34000000</v>
          </cell>
          <cell r="I41" t="str">
            <v/>
          </cell>
          <cell r="J41" t="str">
            <v/>
          </cell>
          <cell r="K41" t="str">
            <v/>
          </cell>
          <cell r="L41" t="str">
            <v/>
          </cell>
        </row>
        <row r="42">
          <cell r="A42">
            <v>34000000</v>
          </cell>
          <cell r="C42">
            <v>34000000</v>
          </cell>
          <cell r="D42">
            <v>34000000</v>
          </cell>
          <cell r="E42">
            <v>34000000</v>
          </cell>
          <cell r="F42">
            <v>34000000</v>
          </cell>
          <cell r="G42">
            <v>34000000</v>
          </cell>
          <cell r="H42">
            <v>34000000</v>
          </cell>
          <cell r="I42" t="str">
            <v/>
          </cell>
          <cell r="J42" t="str">
            <v/>
          </cell>
          <cell r="K42" t="str">
            <v/>
          </cell>
          <cell r="L42" t="str">
            <v/>
          </cell>
        </row>
        <row r="43">
          <cell r="A43">
            <v>34000000</v>
          </cell>
          <cell r="C43">
            <v>34000000</v>
          </cell>
          <cell r="D43">
            <v>34000000</v>
          </cell>
          <cell r="E43">
            <v>34000000</v>
          </cell>
          <cell r="F43">
            <v>34000000</v>
          </cell>
          <cell r="G43">
            <v>34000000</v>
          </cell>
          <cell r="H43">
            <v>34000000</v>
          </cell>
          <cell r="I43" t="str">
            <v/>
          </cell>
          <cell r="J43" t="str">
            <v/>
          </cell>
          <cell r="K43" t="str">
            <v/>
          </cell>
          <cell r="L43" t="str">
            <v/>
          </cell>
        </row>
        <row r="44">
          <cell r="A44">
            <v>34000000</v>
          </cell>
          <cell r="C44">
            <v>34000000</v>
          </cell>
          <cell r="D44">
            <v>34000000</v>
          </cell>
          <cell r="E44">
            <v>34000000</v>
          </cell>
          <cell r="F44">
            <v>34000000</v>
          </cell>
          <cell r="G44">
            <v>34000000</v>
          </cell>
          <cell r="H44">
            <v>34000000</v>
          </cell>
          <cell r="I44" t="str">
            <v/>
          </cell>
          <cell r="J44" t="str">
            <v/>
          </cell>
          <cell r="K44" t="str">
            <v/>
          </cell>
          <cell r="L44" t="str">
            <v/>
          </cell>
        </row>
        <row r="45">
          <cell r="A45">
            <v>34000000</v>
          </cell>
          <cell r="C45">
            <v>34000000</v>
          </cell>
          <cell r="D45">
            <v>34000000</v>
          </cell>
          <cell r="E45">
            <v>34000000</v>
          </cell>
          <cell r="F45">
            <v>34000000</v>
          </cell>
          <cell r="G45">
            <v>34000000</v>
          </cell>
          <cell r="H45">
            <v>34000000</v>
          </cell>
          <cell r="I45" t="str">
            <v/>
          </cell>
          <cell r="J45" t="str">
            <v/>
          </cell>
          <cell r="K45" t="str">
            <v/>
          </cell>
          <cell r="L45" t="str">
            <v/>
          </cell>
        </row>
        <row r="46">
          <cell r="A46">
            <v>34000000</v>
          </cell>
          <cell r="C46">
            <v>34000000</v>
          </cell>
          <cell r="D46">
            <v>34000000</v>
          </cell>
          <cell r="E46">
            <v>34000000</v>
          </cell>
          <cell r="F46">
            <v>34000000</v>
          </cell>
          <cell r="G46">
            <v>34000000</v>
          </cell>
          <cell r="H46">
            <v>34000000</v>
          </cell>
          <cell r="I46" t="str">
            <v/>
          </cell>
          <cell r="J46" t="str">
            <v/>
          </cell>
          <cell r="K46" t="str">
            <v/>
          </cell>
          <cell r="L46" t="str">
            <v/>
          </cell>
        </row>
        <row r="47">
          <cell r="A47">
            <v>34000000</v>
          </cell>
          <cell r="C47">
            <v>34000000</v>
          </cell>
          <cell r="D47">
            <v>34000000</v>
          </cell>
          <cell r="E47">
            <v>34000000</v>
          </cell>
          <cell r="F47">
            <v>34000000</v>
          </cell>
          <cell r="G47">
            <v>34000000</v>
          </cell>
          <cell r="H47">
            <v>34000000</v>
          </cell>
          <cell r="I47" t="str">
            <v/>
          </cell>
          <cell r="J47" t="str">
            <v/>
          </cell>
          <cell r="K47" t="str">
            <v/>
          </cell>
          <cell r="L47" t="str">
            <v/>
          </cell>
        </row>
        <row r="48">
          <cell r="A48">
            <v>34000000</v>
          </cell>
          <cell r="C48">
            <v>34000000</v>
          </cell>
          <cell r="D48">
            <v>34000000</v>
          </cell>
          <cell r="E48">
            <v>34000000</v>
          </cell>
          <cell r="F48">
            <v>34000000</v>
          </cell>
          <cell r="G48">
            <v>34000000</v>
          </cell>
          <cell r="H48">
            <v>34000000</v>
          </cell>
          <cell r="I48" t="str">
            <v/>
          </cell>
          <cell r="J48" t="str">
            <v/>
          </cell>
          <cell r="K48" t="str">
            <v/>
          </cell>
          <cell r="L48" t="str">
            <v/>
          </cell>
        </row>
        <row r="49">
          <cell r="A49">
            <v>34000000</v>
          </cell>
          <cell r="C49">
            <v>34000000</v>
          </cell>
          <cell r="D49">
            <v>34000000</v>
          </cell>
          <cell r="E49">
            <v>34000000</v>
          </cell>
          <cell r="F49">
            <v>34000000</v>
          </cell>
          <cell r="G49">
            <v>34000000</v>
          </cell>
          <cell r="H49">
            <v>34000000</v>
          </cell>
          <cell r="I49" t="str">
            <v/>
          </cell>
          <cell r="J49" t="str">
            <v/>
          </cell>
          <cell r="K49" t="str">
            <v/>
          </cell>
          <cell r="L49" t="str">
            <v/>
          </cell>
        </row>
        <row r="50">
          <cell r="A50">
            <v>34000000</v>
          </cell>
          <cell r="C50">
            <v>34000000</v>
          </cell>
          <cell r="D50">
            <v>34000000</v>
          </cell>
          <cell r="E50">
            <v>34000000</v>
          </cell>
          <cell r="F50">
            <v>34000000</v>
          </cell>
          <cell r="G50">
            <v>34000000</v>
          </cell>
          <cell r="H50">
            <v>34000000</v>
          </cell>
          <cell r="I50" t="str">
            <v/>
          </cell>
          <cell r="J50" t="str">
            <v/>
          </cell>
          <cell r="K50" t="str">
            <v/>
          </cell>
          <cell r="L50" t="str">
            <v/>
          </cell>
        </row>
        <row r="51">
          <cell r="A51">
            <v>34000000</v>
          </cell>
          <cell r="C51">
            <v>34000000</v>
          </cell>
          <cell r="D51">
            <v>34000000</v>
          </cell>
          <cell r="E51">
            <v>34000000</v>
          </cell>
          <cell r="F51">
            <v>34000000</v>
          </cell>
          <cell r="G51">
            <v>34000000</v>
          </cell>
          <cell r="H51">
            <v>34000000</v>
          </cell>
          <cell r="I51" t="str">
            <v/>
          </cell>
          <cell r="J51" t="str">
            <v/>
          </cell>
          <cell r="K51" t="str">
            <v/>
          </cell>
          <cell r="L51" t="str">
            <v/>
          </cell>
        </row>
        <row r="52">
          <cell r="A52">
            <v>34000000</v>
          </cell>
          <cell r="C52">
            <v>34000000</v>
          </cell>
          <cell r="D52">
            <v>34000000</v>
          </cell>
          <cell r="E52">
            <v>34000000</v>
          </cell>
          <cell r="F52">
            <v>34000000</v>
          </cell>
          <cell r="G52">
            <v>34000000</v>
          </cell>
          <cell r="H52">
            <v>34000000</v>
          </cell>
          <cell r="I52" t="str">
            <v/>
          </cell>
          <cell r="J52" t="str">
            <v/>
          </cell>
          <cell r="K52" t="str">
            <v/>
          </cell>
          <cell r="L52" t="str">
            <v/>
          </cell>
        </row>
        <row r="53">
          <cell r="A53">
            <v>34000000</v>
          </cell>
          <cell r="C53">
            <v>34000000</v>
          </cell>
          <cell r="D53">
            <v>34000000</v>
          </cell>
          <cell r="E53">
            <v>34000000</v>
          </cell>
          <cell r="F53">
            <v>34000000</v>
          </cell>
          <cell r="G53">
            <v>34000000</v>
          </cell>
          <cell r="H53">
            <v>34000000</v>
          </cell>
          <cell r="I53" t="str">
            <v/>
          </cell>
          <cell r="J53" t="str">
            <v/>
          </cell>
          <cell r="K53" t="str">
            <v/>
          </cell>
          <cell r="L53" t="str">
            <v/>
          </cell>
        </row>
        <row r="54">
          <cell r="A54">
            <v>34000000</v>
          </cell>
          <cell r="C54">
            <v>34000000</v>
          </cell>
          <cell r="D54">
            <v>34000000</v>
          </cell>
          <cell r="E54">
            <v>34000000</v>
          </cell>
          <cell r="F54">
            <v>34000000</v>
          </cell>
          <cell r="G54">
            <v>34000000</v>
          </cell>
          <cell r="H54">
            <v>34000000</v>
          </cell>
          <cell r="I54" t="str">
            <v/>
          </cell>
          <cell r="J54" t="str">
            <v/>
          </cell>
          <cell r="K54" t="str">
            <v/>
          </cell>
          <cell r="L54" t="str">
            <v/>
          </cell>
        </row>
        <row r="55">
          <cell r="A55">
            <v>34000000</v>
          </cell>
          <cell r="C55">
            <v>34000000</v>
          </cell>
          <cell r="D55">
            <v>34000000</v>
          </cell>
          <cell r="E55">
            <v>34000000</v>
          </cell>
          <cell r="F55">
            <v>34000000</v>
          </cell>
          <cell r="G55">
            <v>34000000</v>
          </cell>
          <cell r="H55">
            <v>34000000</v>
          </cell>
          <cell r="I55" t="str">
            <v/>
          </cell>
          <cell r="J55" t="str">
            <v/>
          </cell>
          <cell r="K55" t="str">
            <v/>
          </cell>
          <cell r="L55" t="str">
            <v/>
          </cell>
        </row>
        <row r="56">
          <cell r="A56">
            <v>34000000</v>
          </cell>
          <cell r="C56">
            <v>34000000</v>
          </cell>
          <cell r="D56">
            <v>34000000</v>
          </cell>
          <cell r="E56">
            <v>34000000</v>
          </cell>
          <cell r="F56">
            <v>34000000</v>
          </cell>
          <cell r="G56">
            <v>34000000</v>
          </cell>
          <cell r="H56">
            <v>34000000</v>
          </cell>
          <cell r="I56" t="str">
            <v/>
          </cell>
          <cell r="J56" t="str">
            <v/>
          </cell>
          <cell r="K56" t="str">
            <v/>
          </cell>
          <cell r="L56" t="str">
            <v/>
          </cell>
        </row>
        <row r="57">
          <cell r="A57">
            <v>34000000</v>
          </cell>
          <cell r="C57">
            <v>34000000</v>
          </cell>
          <cell r="D57">
            <v>34000000</v>
          </cell>
          <cell r="E57">
            <v>34000000</v>
          </cell>
          <cell r="F57">
            <v>34000000</v>
          </cell>
          <cell r="G57">
            <v>34000000</v>
          </cell>
          <cell r="H57">
            <v>34000000</v>
          </cell>
          <cell r="I57" t="str">
            <v/>
          </cell>
          <cell r="J57" t="str">
            <v/>
          </cell>
          <cell r="K57" t="str">
            <v/>
          </cell>
          <cell r="L57" t="str">
            <v/>
          </cell>
        </row>
        <row r="58">
          <cell r="A58">
            <v>34000000</v>
          </cell>
          <cell r="C58">
            <v>34000000</v>
          </cell>
          <cell r="D58">
            <v>34000000</v>
          </cell>
          <cell r="E58">
            <v>34000000</v>
          </cell>
          <cell r="F58">
            <v>34000000</v>
          </cell>
          <cell r="G58">
            <v>34000000</v>
          </cell>
          <cell r="H58">
            <v>34000000</v>
          </cell>
          <cell r="I58" t="str">
            <v/>
          </cell>
          <cell r="J58" t="str">
            <v/>
          </cell>
          <cell r="K58" t="str">
            <v/>
          </cell>
          <cell r="L58" t="str">
            <v/>
          </cell>
        </row>
        <row r="59">
          <cell r="A59">
            <v>34000000</v>
          </cell>
          <cell r="C59">
            <v>34000000</v>
          </cell>
          <cell r="D59">
            <v>34000000</v>
          </cell>
          <cell r="E59">
            <v>34000000</v>
          </cell>
          <cell r="F59">
            <v>34000000</v>
          </cell>
          <cell r="G59">
            <v>34000000</v>
          </cell>
          <cell r="H59">
            <v>34000000</v>
          </cell>
          <cell r="I59" t="str">
            <v/>
          </cell>
          <cell r="J59" t="str">
            <v/>
          </cell>
          <cell r="K59" t="str">
            <v/>
          </cell>
          <cell r="L59" t="str">
            <v/>
          </cell>
        </row>
        <row r="60">
          <cell r="A60">
            <v>34000000</v>
          </cell>
          <cell r="C60">
            <v>34000000</v>
          </cell>
          <cell r="D60">
            <v>34000000</v>
          </cell>
          <cell r="E60">
            <v>34000000</v>
          </cell>
          <cell r="F60">
            <v>34000000</v>
          </cell>
          <cell r="G60">
            <v>34000000</v>
          </cell>
          <cell r="H60">
            <v>34000000</v>
          </cell>
          <cell r="I60" t="str">
            <v/>
          </cell>
          <cell r="J60" t="str">
            <v/>
          </cell>
          <cell r="K60" t="str">
            <v/>
          </cell>
          <cell r="L60" t="str">
            <v/>
          </cell>
        </row>
        <row r="61">
          <cell r="A61">
            <v>34000000</v>
          </cell>
          <cell r="C61">
            <v>34000000</v>
          </cell>
          <cell r="D61">
            <v>34000000</v>
          </cell>
          <cell r="E61">
            <v>34000000</v>
          </cell>
          <cell r="F61">
            <v>34000000</v>
          </cell>
          <cell r="G61">
            <v>34000000</v>
          </cell>
          <cell r="H61">
            <v>34000000</v>
          </cell>
          <cell r="I61" t="str">
            <v/>
          </cell>
          <cell r="J61" t="str">
            <v/>
          </cell>
          <cell r="K61" t="str">
            <v/>
          </cell>
          <cell r="L61" t="str">
            <v/>
          </cell>
        </row>
        <row r="62">
          <cell r="A62">
            <v>34000000</v>
          </cell>
          <cell r="C62">
            <v>34000000</v>
          </cell>
          <cell r="D62">
            <v>34000000</v>
          </cell>
          <cell r="E62">
            <v>34000000</v>
          </cell>
          <cell r="F62">
            <v>34000000</v>
          </cell>
          <cell r="G62">
            <v>34000000</v>
          </cell>
          <cell r="H62">
            <v>34000000</v>
          </cell>
          <cell r="I62" t="str">
            <v/>
          </cell>
          <cell r="J62" t="str">
            <v/>
          </cell>
          <cell r="K62" t="str">
            <v/>
          </cell>
          <cell r="L62" t="str">
            <v/>
          </cell>
        </row>
        <row r="63">
          <cell r="A63">
            <v>34000000</v>
          </cell>
          <cell r="C63">
            <v>34000000</v>
          </cell>
          <cell r="D63">
            <v>34000000</v>
          </cell>
          <cell r="E63">
            <v>34000000</v>
          </cell>
          <cell r="F63">
            <v>34000000</v>
          </cell>
          <cell r="G63">
            <v>34000000</v>
          </cell>
          <cell r="H63">
            <v>34000000</v>
          </cell>
          <cell r="I63" t="str">
            <v/>
          </cell>
          <cell r="J63" t="str">
            <v/>
          </cell>
          <cell r="K63" t="str">
            <v/>
          </cell>
          <cell r="L63" t="str">
            <v/>
          </cell>
        </row>
        <row r="64">
          <cell r="A64">
            <v>34000000</v>
          </cell>
          <cell r="C64">
            <v>34000000</v>
          </cell>
          <cell r="D64">
            <v>34000000</v>
          </cell>
          <cell r="E64">
            <v>34000000</v>
          </cell>
          <cell r="F64">
            <v>34000000</v>
          </cell>
          <cell r="G64">
            <v>34000000</v>
          </cell>
          <cell r="H64">
            <v>34000000</v>
          </cell>
          <cell r="I64" t="str">
            <v/>
          </cell>
          <cell r="J64" t="str">
            <v/>
          </cell>
          <cell r="K64" t="str">
            <v/>
          </cell>
          <cell r="L64" t="str">
            <v/>
          </cell>
        </row>
        <row r="65">
          <cell r="A65">
            <v>34000000</v>
          </cell>
          <cell r="C65">
            <v>34000000</v>
          </cell>
          <cell r="D65">
            <v>34000000</v>
          </cell>
          <cell r="E65">
            <v>34000000</v>
          </cell>
          <cell r="F65">
            <v>34000000</v>
          </cell>
          <cell r="G65">
            <v>34000000</v>
          </cell>
          <cell r="H65">
            <v>34000000</v>
          </cell>
          <cell r="I65" t="str">
            <v/>
          </cell>
          <cell r="J65" t="str">
            <v/>
          </cell>
          <cell r="K65" t="str">
            <v/>
          </cell>
          <cell r="L65" t="str">
            <v/>
          </cell>
        </row>
        <row r="66">
          <cell r="A66">
            <v>34000000</v>
          </cell>
          <cell r="C66">
            <v>34000000</v>
          </cell>
          <cell r="D66">
            <v>34000000</v>
          </cell>
          <cell r="E66">
            <v>34000000</v>
          </cell>
          <cell r="F66">
            <v>34000000</v>
          </cell>
          <cell r="G66">
            <v>34000000</v>
          </cell>
          <cell r="H66">
            <v>34000000</v>
          </cell>
          <cell r="I66" t="str">
            <v/>
          </cell>
          <cell r="J66" t="str">
            <v/>
          </cell>
          <cell r="K66" t="str">
            <v/>
          </cell>
          <cell r="L66" t="str">
            <v/>
          </cell>
        </row>
        <row r="67">
          <cell r="A67">
            <v>34000000</v>
          </cell>
          <cell r="C67">
            <v>34000000</v>
          </cell>
          <cell r="D67">
            <v>34000000</v>
          </cell>
          <cell r="E67">
            <v>34000000</v>
          </cell>
          <cell r="F67">
            <v>34000000</v>
          </cell>
          <cell r="G67">
            <v>34000000</v>
          </cell>
          <cell r="H67">
            <v>34000000</v>
          </cell>
          <cell r="I67" t="str">
            <v/>
          </cell>
          <cell r="J67" t="str">
            <v/>
          </cell>
          <cell r="K67" t="str">
            <v/>
          </cell>
          <cell r="L67" t="str">
            <v/>
          </cell>
        </row>
        <row r="68">
          <cell r="A68">
            <v>34000000</v>
          </cell>
          <cell r="C68">
            <v>34000000</v>
          </cell>
          <cell r="D68">
            <v>34000000</v>
          </cell>
          <cell r="E68">
            <v>34000000</v>
          </cell>
          <cell r="F68">
            <v>34000000</v>
          </cell>
          <cell r="G68">
            <v>34000000</v>
          </cell>
          <cell r="H68">
            <v>34000000</v>
          </cell>
          <cell r="I68" t="str">
            <v/>
          </cell>
          <cell r="J68" t="str">
            <v/>
          </cell>
          <cell r="K68" t="str">
            <v/>
          </cell>
          <cell r="L68" t="str">
            <v/>
          </cell>
        </row>
        <row r="69">
          <cell r="A69">
            <v>34000000</v>
          </cell>
          <cell r="C69">
            <v>34000000</v>
          </cell>
          <cell r="D69">
            <v>34000000</v>
          </cell>
          <cell r="E69">
            <v>34000000</v>
          </cell>
          <cell r="F69">
            <v>34000000</v>
          </cell>
          <cell r="G69">
            <v>34000000</v>
          </cell>
          <cell r="H69">
            <v>34000000</v>
          </cell>
          <cell r="I69" t="str">
            <v/>
          </cell>
          <cell r="J69" t="str">
            <v/>
          </cell>
          <cell r="K69" t="str">
            <v/>
          </cell>
          <cell r="L69" t="str">
            <v/>
          </cell>
        </row>
        <row r="70">
          <cell r="A70">
            <v>34000000</v>
          </cell>
          <cell r="C70">
            <v>34000000</v>
          </cell>
          <cell r="D70">
            <v>34000000</v>
          </cell>
          <cell r="E70">
            <v>34000000</v>
          </cell>
          <cell r="F70">
            <v>34000000</v>
          </cell>
          <cell r="G70">
            <v>34000000</v>
          </cell>
          <cell r="H70">
            <v>34000000</v>
          </cell>
          <cell r="I70" t="str">
            <v/>
          </cell>
          <cell r="J70" t="str">
            <v/>
          </cell>
          <cell r="K70" t="str">
            <v/>
          </cell>
          <cell r="L70" t="str">
            <v/>
          </cell>
        </row>
        <row r="71">
          <cell r="A71">
            <v>34000000</v>
          </cell>
          <cell r="C71">
            <v>34000000</v>
          </cell>
          <cell r="D71">
            <v>34000000</v>
          </cell>
          <cell r="E71">
            <v>34000000</v>
          </cell>
          <cell r="F71">
            <v>34000000</v>
          </cell>
          <cell r="G71">
            <v>34000000</v>
          </cell>
          <cell r="H71">
            <v>34000000</v>
          </cell>
          <cell r="I71" t="str">
            <v/>
          </cell>
          <cell r="J71" t="str">
            <v/>
          </cell>
          <cell r="K71" t="str">
            <v/>
          </cell>
          <cell r="L71" t="str">
            <v/>
          </cell>
        </row>
        <row r="72">
          <cell r="A72">
            <v>34000000</v>
          </cell>
          <cell r="C72">
            <v>34000000</v>
          </cell>
          <cell r="D72">
            <v>34000000</v>
          </cell>
          <cell r="E72">
            <v>34000000</v>
          </cell>
          <cell r="F72">
            <v>34000000</v>
          </cell>
          <cell r="G72">
            <v>34000000</v>
          </cell>
          <cell r="H72">
            <v>34000000</v>
          </cell>
          <cell r="I72" t="str">
            <v/>
          </cell>
          <cell r="J72" t="str">
            <v/>
          </cell>
          <cell r="K72" t="str">
            <v/>
          </cell>
          <cell r="L72" t="str">
            <v/>
          </cell>
        </row>
        <row r="73">
          <cell r="A73">
            <v>34000000</v>
          </cell>
          <cell r="C73">
            <v>34000000</v>
          </cell>
          <cell r="D73">
            <v>34000000</v>
          </cell>
          <cell r="E73">
            <v>34000000</v>
          </cell>
          <cell r="F73">
            <v>34000000</v>
          </cell>
          <cell r="G73">
            <v>34000000</v>
          </cell>
          <cell r="H73">
            <v>34000000</v>
          </cell>
          <cell r="I73" t="str">
            <v/>
          </cell>
          <cell r="J73" t="str">
            <v/>
          </cell>
          <cell r="K73" t="str">
            <v/>
          </cell>
          <cell r="L73" t="str">
            <v/>
          </cell>
        </row>
        <row r="74">
          <cell r="A74">
            <v>34000000</v>
          </cell>
          <cell r="C74">
            <v>34000000</v>
          </cell>
          <cell r="D74">
            <v>34000000</v>
          </cell>
          <cell r="E74">
            <v>34000000</v>
          </cell>
          <cell r="F74">
            <v>34000000</v>
          </cell>
          <cell r="G74">
            <v>34000000</v>
          </cell>
          <cell r="H74">
            <v>34000000</v>
          </cell>
          <cell r="I74" t="str">
            <v/>
          </cell>
          <cell r="J74" t="str">
            <v/>
          </cell>
          <cell r="K74" t="str">
            <v/>
          </cell>
          <cell r="L74" t="str">
            <v/>
          </cell>
        </row>
        <row r="75">
          <cell r="A75">
            <v>34000000</v>
          </cell>
          <cell r="C75">
            <v>34000000</v>
          </cell>
          <cell r="D75">
            <v>34000000</v>
          </cell>
          <cell r="E75">
            <v>34000000</v>
          </cell>
          <cell r="F75">
            <v>34000000</v>
          </cell>
          <cell r="G75">
            <v>34000000</v>
          </cell>
          <cell r="H75">
            <v>34000000</v>
          </cell>
          <cell r="I75" t="str">
            <v/>
          </cell>
          <cell r="J75" t="str">
            <v/>
          </cell>
          <cell r="K75" t="str">
            <v/>
          </cell>
          <cell r="L75" t="str">
            <v/>
          </cell>
        </row>
        <row r="76">
          <cell r="A76">
            <v>34000000</v>
          </cell>
          <cell r="C76">
            <v>34000000</v>
          </cell>
          <cell r="D76">
            <v>34000000</v>
          </cell>
          <cell r="E76">
            <v>34000000</v>
          </cell>
          <cell r="F76">
            <v>34000000</v>
          </cell>
          <cell r="G76">
            <v>34000000</v>
          </cell>
          <cell r="H76">
            <v>34000000</v>
          </cell>
          <cell r="I76" t="str">
            <v/>
          </cell>
          <cell r="J76" t="str">
            <v/>
          </cell>
          <cell r="K76" t="str">
            <v/>
          </cell>
          <cell r="L76" t="str">
            <v/>
          </cell>
        </row>
        <row r="77">
          <cell r="A77">
            <v>34000000</v>
          </cell>
          <cell r="C77">
            <v>34000000</v>
          </cell>
          <cell r="D77">
            <v>34000000</v>
          </cell>
          <cell r="E77">
            <v>34000000</v>
          </cell>
          <cell r="F77">
            <v>34000000</v>
          </cell>
          <cell r="G77">
            <v>34000000</v>
          </cell>
          <cell r="H77">
            <v>34000000</v>
          </cell>
          <cell r="I77" t="str">
            <v/>
          </cell>
          <cell r="J77" t="str">
            <v/>
          </cell>
          <cell r="K77" t="str">
            <v/>
          </cell>
          <cell r="L77" t="str">
            <v/>
          </cell>
        </row>
        <row r="78">
          <cell r="A78">
            <v>34000000</v>
          </cell>
          <cell r="C78">
            <v>34000000</v>
          </cell>
          <cell r="D78">
            <v>34000000</v>
          </cell>
          <cell r="E78">
            <v>34000000</v>
          </cell>
          <cell r="F78">
            <v>34000000</v>
          </cell>
          <cell r="G78">
            <v>34000000</v>
          </cell>
          <cell r="H78">
            <v>34000000</v>
          </cell>
          <cell r="I78" t="str">
            <v/>
          </cell>
          <cell r="J78" t="str">
            <v/>
          </cell>
          <cell r="K78" t="str">
            <v/>
          </cell>
          <cell r="L78" t="str">
            <v/>
          </cell>
        </row>
        <row r="79">
          <cell r="A79">
            <v>34000000</v>
          </cell>
          <cell r="C79">
            <v>34000000</v>
          </cell>
          <cell r="D79">
            <v>34000000</v>
          </cell>
          <cell r="E79">
            <v>34000000</v>
          </cell>
          <cell r="F79">
            <v>34000000</v>
          </cell>
          <cell r="G79">
            <v>34000000</v>
          </cell>
          <cell r="H79">
            <v>34000000</v>
          </cell>
          <cell r="I79" t="str">
            <v/>
          </cell>
          <cell r="J79" t="str">
            <v/>
          </cell>
          <cell r="K79" t="str">
            <v/>
          </cell>
          <cell r="L79" t="str">
            <v/>
          </cell>
        </row>
        <row r="80">
          <cell r="A80">
            <v>34000000</v>
          </cell>
          <cell r="C80">
            <v>34000000</v>
          </cell>
          <cell r="D80">
            <v>34000000</v>
          </cell>
          <cell r="E80">
            <v>34000000</v>
          </cell>
          <cell r="F80">
            <v>34000000</v>
          </cell>
          <cell r="G80">
            <v>34000000</v>
          </cell>
          <cell r="H80">
            <v>34000000</v>
          </cell>
          <cell r="I80" t="str">
            <v/>
          </cell>
          <cell r="J80" t="str">
            <v/>
          </cell>
          <cell r="K80" t="str">
            <v/>
          </cell>
          <cell r="L80" t="str">
            <v/>
          </cell>
        </row>
        <row r="81">
          <cell r="A81">
            <v>34000000</v>
          </cell>
          <cell r="C81">
            <v>34000000</v>
          </cell>
          <cell r="D81">
            <v>34000000</v>
          </cell>
          <cell r="E81">
            <v>34000000</v>
          </cell>
          <cell r="F81">
            <v>34000000</v>
          </cell>
          <cell r="G81">
            <v>34000000</v>
          </cell>
          <cell r="H81">
            <v>34000000</v>
          </cell>
          <cell r="I81" t="str">
            <v/>
          </cell>
          <cell r="J81" t="str">
            <v/>
          </cell>
          <cell r="K81" t="str">
            <v/>
          </cell>
          <cell r="L81" t="str">
            <v/>
          </cell>
        </row>
        <row r="82">
          <cell r="A82">
            <v>34000000</v>
          </cell>
          <cell r="C82">
            <v>34000000</v>
          </cell>
          <cell r="D82">
            <v>34000000</v>
          </cell>
          <cell r="E82">
            <v>34000000</v>
          </cell>
          <cell r="F82">
            <v>34000000</v>
          </cell>
          <cell r="G82">
            <v>34000000</v>
          </cell>
          <cell r="H82">
            <v>34000000</v>
          </cell>
          <cell r="I82" t="str">
            <v/>
          </cell>
          <cell r="J82" t="str">
            <v/>
          </cell>
          <cell r="K82" t="str">
            <v/>
          </cell>
          <cell r="L82" t="str">
            <v/>
          </cell>
        </row>
        <row r="83">
          <cell r="A83">
            <v>34000000</v>
          </cell>
          <cell r="C83">
            <v>34000000</v>
          </cell>
          <cell r="D83">
            <v>34000000</v>
          </cell>
          <cell r="E83">
            <v>34000000</v>
          </cell>
          <cell r="F83">
            <v>34000000</v>
          </cell>
          <cell r="G83">
            <v>34000000</v>
          </cell>
          <cell r="H83">
            <v>34000000</v>
          </cell>
          <cell r="I83" t="str">
            <v/>
          </cell>
          <cell r="J83" t="str">
            <v/>
          </cell>
          <cell r="K83" t="str">
            <v/>
          </cell>
          <cell r="L83" t="str">
            <v/>
          </cell>
        </row>
        <row r="84">
          <cell r="A84">
            <v>34000000</v>
          </cell>
          <cell r="C84">
            <v>34000000</v>
          </cell>
          <cell r="D84">
            <v>34000000</v>
          </cell>
          <cell r="E84">
            <v>34000000</v>
          </cell>
          <cell r="F84">
            <v>34000000</v>
          </cell>
          <cell r="G84">
            <v>34000000</v>
          </cell>
          <cell r="H84">
            <v>34000000</v>
          </cell>
          <cell r="I84" t="str">
            <v/>
          </cell>
          <cell r="J84" t="str">
            <v/>
          </cell>
          <cell r="K84" t="str">
            <v/>
          </cell>
          <cell r="L84" t="str">
            <v/>
          </cell>
        </row>
        <row r="85">
          <cell r="A85">
            <v>34000000</v>
          </cell>
          <cell r="C85">
            <v>34000000</v>
          </cell>
          <cell r="D85">
            <v>34000000</v>
          </cell>
          <cell r="E85">
            <v>34000000</v>
          </cell>
          <cell r="F85">
            <v>34000000</v>
          </cell>
          <cell r="G85">
            <v>34000000</v>
          </cell>
          <cell r="H85">
            <v>34000000</v>
          </cell>
          <cell r="I85" t="str">
            <v/>
          </cell>
          <cell r="J85" t="str">
            <v/>
          </cell>
          <cell r="K85" t="str">
            <v/>
          </cell>
          <cell r="L85" t="str">
            <v/>
          </cell>
        </row>
        <row r="86">
          <cell r="A86">
            <v>34000000</v>
          </cell>
          <cell r="C86">
            <v>34000000</v>
          </cell>
          <cell r="D86">
            <v>34000000</v>
          </cell>
          <cell r="E86">
            <v>34000000</v>
          </cell>
          <cell r="F86">
            <v>34000000</v>
          </cell>
          <cell r="G86">
            <v>34000000</v>
          </cell>
          <cell r="H86">
            <v>34000000</v>
          </cell>
          <cell r="I86" t="str">
            <v/>
          </cell>
          <cell r="J86" t="str">
            <v/>
          </cell>
          <cell r="K86" t="str">
            <v/>
          </cell>
          <cell r="L86" t="str">
            <v/>
          </cell>
        </row>
        <row r="87">
          <cell r="A87">
            <v>34000000</v>
          </cell>
          <cell r="C87">
            <v>34000000</v>
          </cell>
          <cell r="D87">
            <v>34000000</v>
          </cell>
          <cell r="E87">
            <v>34000000</v>
          </cell>
          <cell r="F87">
            <v>34000000</v>
          </cell>
          <cell r="G87">
            <v>34000000</v>
          </cell>
          <cell r="H87">
            <v>34000000</v>
          </cell>
          <cell r="I87" t="str">
            <v/>
          </cell>
          <cell r="J87" t="str">
            <v/>
          </cell>
          <cell r="K87" t="str">
            <v/>
          </cell>
          <cell r="L87" t="str">
            <v/>
          </cell>
        </row>
        <row r="88">
          <cell r="A88">
            <v>34000000</v>
          </cell>
          <cell r="C88">
            <v>34000000</v>
          </cell>
          <cell r="D88">
            <v>34000000</v>
          </cell>
          <cell r="E88">
            <v>34000000</v>
          </cell>
          <cell r="F88">
            <v>34000000</v>
          </cell>
          <cell r="G88">
            <v>34000000</v>
          </cell>
          <cell r="H88">
            <v>34000000</v>
          </cell>
          <cell r="I88" t="str">
            <v/>
          </cell>
          <cell r="J88" t="str">
            <v/>
          </cell>
          <cell r="K88" t="str">
            <v/>
          </cell>
          <cell r="L88" t="str">
            <v/>
          </cell>
        </row>
        <row r="89">
          <cell r="A89">
            <v>34000000</v>
          </cell>
          <cell r="C89">
            <v>34000000</v>
          </cell>
          <cell r="D89">
            <v>34000000</v>
          </cell>
          <cell r="E89">
            <v>34000000</v>
          </cell>
          <cell r="F89">
            <v>34000000</v>
          </cell>
          <cell r="G89">
            <v>34000000</v>
          </cell>
          <cell r="H89">
            <v>34000000</v>
          </cell>
          <cell r="I89" t="str">
            <v/>
          </cell>
          <cell r="J89" t="str">
            <v/>
          </cell>
          <cell r="K89" t="str">
            <v/>
          </cell>
          <cell r="L89" t="str">
            <v/>
          </cell>
        </row>
        <row r="90">
          <cell r="A90">
            <v>34000000</v>
          </cell>
          <cell r="C90">
            <v>34000000</v>
          </cell>
          <cell r="D90">
            <v>34000000</v>
          </cell>
          <cell r="E90">
            <v>34000000</v>
          </cell>
          <cell r="F90">
            <v>34000000</v>
          </cell>
          <cell r="G90">
            <v>34000000</v>
          </cell>
          <cell r="H90">
            <v>34000000</v>
          </cell>
          <cell r="I90" t="str">
            <v/>
          </cell>
          <cell r="J90" t="str">
            <v/>
          </cell>
          <cell r="K90" t="str">
            <v/>
          </cell>
          <cell r="L90" t="str">
            <v/>
          </cell>
        </row>
        <row r="91">
          <cell r="A91">
            <v>34000000</v>
          </cell>
          <cell r="C91">
            <v>34000000</v>
          </cell>
          <cell r="D91">
            <v>34000000</v>
          </cell>
          <cell r="E91">
            <v>34000000</v>
          </cell>
          <cell r="F91">
            <v>34000000</v>
          </cell>
          <cell r="G91">
            <v>34000000</v>
          </cell>
          <cell r="H91">
            <v>34000000</v>
          </cell>
          <cell r="I91" t="str">
            <v/>
          </cell>
          <cell r="J91" t="str">
            <v/>
          </cell>
          <cell r="K91" t="str">
            <v/>
          </cell>
          <cell r="L91" t="str">
            <v/>
          </cell>
        </row>
        <row r="92">
          <cell r="A92">
            <v>34000000</v>
          </cell>
          <cell r="C92">
            <v>34000000</v>
          </cell>
          <cell r="D92">
            <v>34000000</v>
          </cell>
          <cell r="E92">
            <v>34000000</v>
          </cell>
          <cell r="F92">
            <v>34000000</v>
          </cell>
          <cell r="G92">
            <v>34000000</v>
          </cell>
          <cell r="H92">
            <v>34000000</v>
          </cell>
          <cell r="I92" t="str">
            <v/>
          </cell>
          <cell r="J92" t="str">
            <v/>
          </cell>
          <cell r="K92" t="str">
            <v/>
          </cell>
          <cell r="L92" t="str">
            <v/>
          </cell>
        </row>
        <row r="93">
          <cell r="A93">
            <v>34000000</v>
          </cell>
          <cell r="C93">
            <v>34000000</v>
          </cell>
          <cell r="D93">
            <v>34000000</v>
          </cell>
          <cell r="E93">
            <v>34000000</v>
          </cell>
          <cell r="F93">
            <v>34000000</v>
          </cell>
          <cell r="G93">
            <v>34000000</v>
          </cell>
          <cell r="H93">
            <v>34000000</v>
          </cell>
          <cell r="I93" t="str">
            <v/>
          </cell>
          <cell r="J93" t="str">
            <v/>
          </cell>
          <cell r="K93" t="str">
            <v/>
          </cell>
          <cell r="L93" t="str">
            <v/>
          </cell>
        </row>
        <row r="94">
          <cell r="A94">
            <v>34000000</v>
          </cell>
          <cell r="C94">
            <v>34000000</v>
          </cell>
          <cell r="D94">
            <v>34000000</v>
          </cell>
          <cell r="E94">
            <v>34000000</v>
          </cell>
          <cell r="F94">
            <v>34000000</v>
          </cell>
          <cell r="G94">
            <v>34000000</v>
          </cell>
          <cell r="H94">
            <v>34000000</v>
          </cell>
          <cell r="I94" t="str">
            <v/>
          </cell>
          <cell r="J94" t="str">
            <v/>
          </cell>
          <cell r="K94" t="str">
            <v/>
          </cell>
          <cell r="L94" t="str">
            <v/>
          </cell>
        </row>
        <row r="95">
          <cell r="A95">
            <v>34000000</v>
          </cell>
          <cell r="C95">
            <v>34000000</v>
          </cell>
          <cell r="D95">
            <v>34000000</v>
          </cell>
          <cell r="E95">
            <v>34000000</v>
          </cell>
          <cell r="F95">
            <v>34000000</v>
          </cell>
          <cell r="G95">
            <v>34000000</v>
          </cell>
          <cell r="H95">
            <v>34000000</v>
          </cell>
          <cell r="I95" t="str">
            <v/>
          </cell>
          <cell r="J95" t="str">
            <v/>
          </cell>
          <cell r="K95" t="str">
            <v/>
          </cell>
          <cell r="L95" t="str">
            <v/>
          </cell>
        </row>
        <row r="96">
          <cell r="A96">
            <v>34000000</v>
          </cell>
          <cell r="C96">
            <v>34000000</v>
          </cell>
          <cell r="D96">
            <v>34000000</v>
          </cell>
          <cell r="E96">
            <v>34000000</v>
          </cell>
          <cell r="F96">
            <v>34000000</v>
          </cell>
          <cell r="G96">
            <v>34000000</v>
          </cell>
          <cell r="H96">
            <v>34000000</v>
          </cell>
          <cell r="I96" t="str">
            <v/>
          </cell>
          <cell r="J96" t="str">
            <v/>
          </cell>
          <cell r="K96" t="str">
            <v/>
          </cell>
          <cell r="L96" t="str">
            <v/>
          </cell>
        </row>
        <row r="97">
          <cell r="A97">
            <v>34000000</v>
          </cell>
          <cell r="C97">
            <v>34000000</v>
          </cell>
          <cell r="D97">
            <v>34000000</v>
          </cell>
          <cell r="E97">
            <v>34000000</v>
          </cell>
          <cell r="F97">
            <v>34000000</v>
          </cell>
          <cell r="G97">
            <v>34000000</v>
          </cell>
          <cell r="H97">
            <v>34000000</v>
          </cell>
          <cell r="I97" t="str">
            <v/>
          </cell>
          <cell r="J97" t="str">
            <v/>
          </cell>
          <cell r="K97" t="str">
            <v/>
          </cell>
          <cell r="L97" t="str">
            <v/>
          </cell>
        </row>
        <row r="98">
          <cell r="A98">
            <v>34000000</v>
          </cell>
          <cell r="C98">
            <v>34000000</v>
          </cell>
          <cell r="D98">
            <v>34000000</v>
          </cell>
          <cell r="E98">
            <v>34000000</v>
          </cell>
          <cell r="F98">
            <v>34000000</v>
          </cell>
          <cell r="G98">
            <v>34000000</v>
          </cell>
          <cell r="H98">
            <v>34000000</v>
          </cell>
          <cell r="I98" t="str">
            <v/>
          </cell>
          <cell r="J98" t="str">
            <v/>
          </cell>
          <cell r="K98" t="str">
            <v/>
          </cell>
          <cell r="L98" t="str">
            <v/>
          </cell>
        </row>
        <row r="99">
          <cell r="A99">
            <v>34000000</v>
          </cell>
          <cell r="C99">
            <v>34000000</v>
          </cell>
          <cell r="D99">
            <v>34000000</v>
          </cell>
          <cell r="E99">
            <v>34000000</v>
          </cell>
          <cell r="F99">
            <v>34000000</v>
          </cell>
          <cell r="G99">
            <v>34000000</v>
          </cell>
          <cell r="H99">
            <v>34000000</v>
          </cell>
          <cell r="I99" t="str">
            <v/>
          </cell>
          <cell r="J99" t="str">
            <v/>
          </cell>
          <cell r="K99" t="str">
            <v/>
          </cell>
          <cell r="L99" t="str">
            <v/>
          </cell>
        </row>
        <row r="100">
          <cell r="A100">
            <v>34000000</v>
          </cell>
          <cell r="C100">
            <v>34000000</v>
          </cell>
          <cell r="D100">
            <v>34000000</v>
          </cell>
          <cell r="E100">
            <v>34000000</v>
          </cell>
          <cell r="F100">
            <v>34000000</v>
          </cell>
          <cell r="G100">
            <v>34000000</v>
          </cell>
          <cell r="H100">
            <v>34000000</v>
          </cell>
          <cell r="I100" t="str">
            <v/>
          </cell>
          <cell r="J100" t="str">
            <v/>
          </cell>
          <cell r="K100" t="str">
            <v/>
          </cell>
          <cell r="L100" t="str">
            <v/>
          </cell>
        </row>
        <row r="101">
          <cell r="A101">
            <v>34000000</v>
          </cell>
          <cell r="C101">
            <v>34000000</v>
          </cell>
          <cell r="D101">
            <v>34000000</v>
          </cell>
          <cell r="E101">
            <v>34000000</v>
          </cell>
          <cell r="F101">
            <v>34000000</v>
          </cell>
          <cell r="G101">
            <v>34000000</v>
          </cell>
          <cell r="H101">
            <v>34000000</v>
          </cell>
          <cell r="I101" t="str">
            <v/>
          </cell>
          <cell r="J101" t="str">
            <v/>
          </cell>
          <cell r="K101" t="str">
            <v/>
          </cell>
          <cell r="L101" t="str">
            <v/>
          </cell>
        </row>
        <row r="102">
          <cell r="A102">
            <v>34000000</v>
          </cell>
          <cell r="C102">
            <v>34000000</v>
          </cell>
          <cell r="D102">
            <v>34000000</v>
          </cell>
          <cell r="E102">
            <v>34000000</v>
          </cell>
          <cell r="F102">
            <v>34000000</v>
          </cell>
          <cell r="G102">
            <v>34000000</v>
          </cell>
          <cell r="H102">
            <v>34000000</v>
          </cell>
          <cell r="I102" t="str">
            <v/>
          </cell>
          <cell r="J102" t="str">
            <v/>
          </cell>
          <cell r="K102" t="str">
            <v/>
          </cell>
          <cell r="L102" t="str">
            <v/>
          </cell>
        </row>
        <row r="103">
          <cell r="A103">
            <v>34000000</v>
          </cell>
          <cell r="C103">
            <v>34000000</v>
          </cell>
          <cell r="D103">
            <v>34000000</v>
          </cell>
          <cell r="E103">
            <v>34000000</v>
          </cell>
          <cell r="F103">
            <v>34000000</v>
          </cell>
          <cell r="G103">
            <v>34000000</v>
          </cell>
          <cell r="H103">
            <v>34000000</v>
          </cell>
          <cell r="I103" t="str">
            <v/>
          </cell>
          <cell r="J103" t="str">
            <v/>
          </cell>
          <cell r="K103" t="str">
            <v/>
          </cell>
          <cell r="L103" t="str">
            <v/>
          </cell>
        </row>
        <row r="104">
          <cell r="A104">
            <v>34000000</v>
          </cell>
          <cell r="C104">
            <v>34000000</v>
          </cell>
          <cell r="D104">
            <v>34000000</v>
          </cell>
          <cell r="E104">
            <v>34000000</v>
          </cell>
          <cell r="F104">
            <v>34000000</v>
          </cell>
          <cell r="G104">
            <v>34000000</v>
          </cell>
          <cell r="H104">
            <v>34000000</v>
          </cell>
          <cell r="I104" t="str">
            <v/>
          </cell>
          <cell r="J104" t="str">
            <v/>
          </cell>
          <cell r="K104" t="str">
            <v/>
          </cell>
          <cell r="L104" t="str">
            <v/>
          </cell>
        </row>
        <row r="105">
          <cell r="A105">
            <v>34000000</v>
          </cell>
          <cell r="C105">
            <v>34000000</v>
          </cell>
          <cell r="D105">
            <v>34000000</v>
          </cell>
          <cell r="E105">
            <v>34000000</v>
          </cell>
          <cell r="F105">
            <v>34000000</v>
          </cell>
          <cell r="G105">
            <v>34000000</v>
          </cell>
          <cell r="H105">
            <v>34000000</v>
          </cell>
          <cell r="I105" t="str">
            <v/>
          </cell>
          <cell r="J105" t="str">
            <v/>
          </cell>
          <cell r="K105" t="str">
            <v/>
          </cell>
          <cell r="L105" t="str">
            <v/>
          </cell>
        </row>
        <row r="106">
          <cell r="A106">
            <v>34000000</v>
          </cell>
          <cell r="C106">
            <v>34000000</v>
          </cell>
          <cell r="D106">
            <v>34000000</v>
          </cell>
          <cell r="E106">
            <v>34000000</v>
          </cell>
          <cell r="F106">
            <v>34000000</v>
          </cell>
          <cell r="G106">
            <v>34000000</v>
          </cell>
          <cell r="H106">
            <v>34000000</v>
          </cell>
          <cell r="I106" t="str">
            <v/>
          </cell>
          <cell r="J106" t="str">
            <v/>
          </cell>
          <cell r="K106" t="str">
            <v/>
          </cell>
          <cell r="L106" t="str">
            <v/>
          </cell>
        </row>
        <row r="107">
          <cell r="A107">
            <v>34000000</v>
          </cell>
          <cell r="C107">
            <v>34000000</v>
          </cell>
          <cell r="D107">
            <v>34000000</v>
          </cell>
          <cell r="E107">
            <v>34000000</v>
          </cell>
          <cell r="F107">
            <v>34000000</v>
          </cell>
          <cell r="G107">
            <v>34000000</v>
          </cell>
          <cell r="H107">
            <v>34000000</v>
          </cell>
          <cell r="I107" t="str">
            <v/>
          </cell>
          <cell r="J107" t="str">
            <v/>
          </cell>
          <cell r="K107" t="str">
            <v/>
          </cell>
          <cell r="L107" t="str">
            <v/>
          </cell>
        </row>
        <row r="108">
          <cell r="A108">
            <v>34000000</v>
          </cell>
          <cell r="C108">
            <v>34000000</v>
          </cell>
          <cell r="D108">
            <v>34000000</v>
          </cell>
          <cell r="E108">
            <v>34000000</v>
          </cell>
          <cell r="F108">
            <v>34000000</v>
          </cell>
          <cell r="G108">
            <v>34000000</v>
          </cell>
          <cell r="H108">
            <v>34000000</v>
          </cell>
          <cell r="I108" t="str">
            <v/>
          </cell>
          <cell r="J108" t="str">
            <v/>
          </cell>
          <cell r="K108" t="str">
            <v/>
          </cell>
          <cell r="L108" t="str">
            <v/>
          </cell>
        </row>
        <row r="109">
          <cell r="A109">
            <v>34000000</v>
          </cell>
          <cell r="C109">
            <v>34000000</v>
          </cell>
          <cell r="D109">
            <v>34000000</v>
          </cell>
          <cell r="E109">
            <v>34000000</v>
          </cell>
          <cell r="F109">
            <v>34000000</v>
          </cell>
          <cell r="G109">
            <v>34000000</v>
          </cell>
          <cell r="H109">
            <v>34000000</v>
          </cell>
          <cell r="I109" t="str">
            <v/>
          </cell>
          <cell r="J109" t="str">
            <v/>
          </cell>
          <cell r="K109" t="str">
            <v/>
          </cell>
          <cell r="L109" t="str">
            <v/>
          </cell>
        </row>
        <row r="110">
          <cell r="A110">
            <v>34000000</v>
          </cell>
          <cell r="C110">
            <v>34000000</v>
          </cell>
          <cell r="D110">
            <v>34000000</v>
          </cell>
          <cell r="E110">
            <v>34000000</v>
          </cell>
          <cell r="F110">
            <v>34000000</v>
          </cell>
          <cell r="G110">
            <v>34000000</v>
          </cell>
          <cell r="H110">
            <v>34000000</v>
          </cell>
          <cell r="I110" t="str">
            <v/>
          </cell>
          <cell r="J110" t="str">
            <v/>
          </cell>
          <cell r="K110" t="str">
            <v/>
          </cell>
          <cell r="L110" t="str">
            <v/>
          </cell>
        </row>
        <row r="111">
          <cell r="A111">
            <v>34000000</v>
          </cell>
          <cell r="C111">
            <v>34000000</v>
          </cell>
          <cell r="D111">
            <v>34000000</v>
          </cell>
          <cell r="E111">
            <v>34000000</v>
          </cell>
          <cell r="F111">
            <v>34000000</v>
          </cell>
          <cell r="G111">
            <v>34000000</v>
          </cell>
          <cell r="H111">
            <v>34000000</v>
          </cell>
          <cell r="I111" t="str">
            <v/>
          </cell>
          <cell r="J111" t="str">
            <v/>
          </cell>
          <cell r="K111" t="str">
            <v/>
          </cell>
          <cell r="L111" t="str">
            <v/>
          </cell>
        </row>
        <row r="112">
          <cell r="A112">
            <v>34000000</v>
          </cell>
          <cell r="C112">
            <v>34000000</v>
          </cell>
          <cell r="D112">
            <v>34000000</v>
          </cell>
          <cell r="E112">
            <v>34000000</v>
          </cell>
          <cell r="F112">
            <v>34000000</v>
          </cell>
          <cell r="G112">
            <v>34000000</v>
          </cell>
          <cell r="H112">
            <v>34000000</v>
          </cell>
          <cell r="I112" t="str">
            <v/>
          </cell>
          <cell r="J112" t="str">
            <v/>
          </cell>
          <cell r="K112" t="str">
            <v/>
          </cell>
          <cell r="L112" t="str">
            <v/>
          </cell>
        </row>
        <row r="113">
          <cell r="A113">
            <v>34000000</v>
          </cell>
          <cell r="C113">
            <v>34000000</v>
          </cell>
          <cell r="D113">
            <v>34000000</v>
          </cell>
          <cell r="E113">
            <v>34000000</v>
          </cell>
          <cell r="F113">
            <v>34000000</v>
          </cell>
          <cell r="G113">
            <v>34000000</v>
          </cell>
          <cell r="H113">
            <v>34000000</v>
          </cell>
          <cell r="I113" t="str">
            <v/>
          </cell>
          <cell r="J113" t="str">
            <v/>
          </cell>
          <cell r="K113" t="str">
            <v/>
          </cell>
          <cell r="L113" t="str">
            <v/>
          </cell>
        </row>
        <row r="114">
          <cell r="A114">
            <v>34000000</v>
          </cell>
          <cell r="C114">
            <v>34000000</v>
          </cell>
          <cell r="D114">
            <v>34000000</v>
          </cell>
          <cell r="E114">
            <v>34000000</v>
          </cell>
          <cell r="F114">
            <v>34000000</v>
          </cell>
          <cell r="G114">
            <v>34000000</v>
          </cell>
          <cell r="H114">
            <v>34000000</v>
          </cell>
          <cell r="I114" t="str">
            <v/>
          </cell>
          <cell r="J114" t="str">
            <v/>
          </cell>
          <cell r="K114" t="str">
            <v/>
          </cell>
          <cell r="L114" t="str">
            <v/>
          </cell>
        </row>
        <row r="115">
          <cell r="A115">
            <v>34000000</v>
          </cell>
          <cell r="C115">
            <v>34000000</v>
          </cell>
          <cell r="D115">
            <v>34000000</v>
          </cell>
          <cell r="E115">
            <v>34000000</v>
          </cell>
          <cell r="F115">
            <v>34000000</v>
          </cell>
          <cell r="G115">
            <v>34000000</v>
          </cell>
          <cell r="H115">
            <v>34000000</v>
          </cell>
          <cell r="I115" t="str">
            <v/>
          </cell>
          <cell r="J115" t="str">
            <v/>
          </cell>
          <cell r="K115" t="str">
            <v/>
          </cell>
          <cell r="L115" t="str">
            <v/>
          </cell>
        </row>
        <row r="116">
          <cell r="A116">
            <v>34000000</v>
          </cell>
          <cell r="C116">
            <v>34000000</v>
          </cell>
          <cell r="D116">
            <v>34000000</v>
          </cell>
          <cell r="E116">
            <v>34000000</v>
          </cell>
          <cell r="F116">
            <v>34000000</v>
          </cell>
          <cell r="G116">
            <v>34000000</v>
          </cell>
          <cell r="H116">
            <v>34000000</v>
          </cell>
          <cell r="I116" t="str">
            <v/>
          </cell>
          <cell r="J116" t="str">
            <v/>
          </cell>
          <cell r="K116" t="str">
            <v/>
          </cell>
          <cell r="L116" t="str">
            <v/>
          </cell>
        </row>
        <row r="117">
          <cell r="A117">
            <v>34000000</v>
          </cell>
          <cell r="C117">
            <v>34000000</v>
          </cell>
          <cell r="D117">
            <v>34000000</v>
          </cell>
          <cell r="E117">
            <v>34000000</v>
          </cell>
          <cell r="F117">
            <v>34000000</v>
          </cell>
          <cell r="G117">
            <v>34000000</v>
          </cell>
          <cell r="H117">
            <v>34000000</v>
          </cell>
          <cell r="I117" t="str">
            <v/>
          </cell>
          <cell r="J117" t="str">
            <v/>
          </cell>
          <cell r="K117" t="str">
            <v/>
          </cell>
          <cell r="L117" t="str">
            <v/>
          </cell>
        </row>
        <row r="118">
          <cell r="A118">
            <v>34000000</v>
          </cell>
          <cell r="C118">
            <v>34000000</v>
          </cell>
          <cell r="D118">
            <v>34000000</v>
          </cell>
          <cell r="E118">
            <v>34000000</v>
          </cell>
          <cell r="F118">
            <v>34000000</v>
          </cell>
          <cell r="G118">
            <v>34000000</v>
          </cell>
          <cell r="H118">
            <v>34000000</v>
          </cell>
          <cell r="I118" t="str">
            <v/>
          </cell>
          <cell r="J118" t="str">
            <v/>
          </cell>
          <cell r="K118" t="str">
            <v/>
          </cell>
          <cell r="L118" t="str">
            <v/>
          </cell>
        </row>
        <row r="119">
          <cell r="A119">
            <v>34000000</v>
          </cell>
          <cell r="C119">
            <v>34000000</v>
          </cell>
          <cell r="D119">
            <v>34000000</v>
          </cell>
          <cell r="E119">
            <v>34000000</v>
          </cell>
          <cell r="F119">
            <v>34000000</v>
          </cell>
          <cell r="G119">
            <v>34000000</v>
          </cell>
          <cell r="H119">
            <v>34000000</v>
          </cell>
          <cell r="I119" t="str">
            <v/>
          </cell>
          <cell r="J119" t="str">
            <v/>
          </cell>
          <cell r="K119" t="str">
            <v/>
          </cell>
          <cell r="L119" t="str">
            <v/>
          </cell>
        </row>
        <row r="120">
          <cell r="A120">
            <v>34000000</v>
          </cell>
          <cell r="C120">
            <v>34000000</v>
          </cell>
          <cell r="D120">
            <v>34000000</v>
          </cell>
          <cell r="E120">
            <v>34000000</v>
          </cell>
          <cell r="F120">
            <v>34000000</v>
          </cell>
          <cell r="G120">
            <v>34000000</v>
          </cell>
          <cell r="H120">
            <v>34000000</v>
          </cell>
          <cell r="I120" t="str">
            <v/>
          </cell>
          <cell r="J120" t="str">
            <v/>
          </cell>
          <cell r="K120" t="str">
            <v/>
          </cell>
          <cell r="L120" t="str">
            <v/>
          </cell>
        </row>
        <row r="121">
          <cell r="A121">
            <v>34000000</v>
          </cell>
          <cell r="C121">
            <v>34000000</v>
          </cell>
          <cell r="D121">
            <v>34000000</v>
          </cell>
          <cell r="E121">
            <v>34000000</v>
          </cell>
          <cell r="F121">
            <v>34000000</v>
          </cell>
          <cell r="G121">
            <v>34000000</v>
          </cell>
          <cell r="H121">
            <v>34000000</v>
          </cell>
          <cell r="I121" t="str">
            <v/>
          </cell>
          <cell r="J121" t="str">
            <v/>
          </cell>
          <cell r="K121" t="str">
            <v/>
          </cell>
          <cell r="L121" t="str">
            <v/>
          </cell>
        </row>
        <row r="122">
          <cell r="A122">
            <v>34000000</v>
          </cell>
          <cell r="C122">
            <v>34000000</v>
          </cell>
          <cell r="D122">
            <v>34000000</v>
          </cell>
          <cell r="E122">
            <v>34000000</v>
          </cell>
          <cell r="F122">
            <v>34000000</v>
          </cell>
          <cell r="G122">
            <v>34000000</v>
          </cell>
          <cell r="H122">
            <v>34000000</v>
          </cell>
          <cell r="I122" t="str">
            <v/>
          </cell>
          <cell r="J122" t="str">
            <v/>
          </cell>
          <cell r="K122" t="str">
            <v/>
          </cell>
          <cell r="L122" t="str">
            <v/>
          </cell>
        </row>
        <row r="123">
          <cell r="A123">
            <v>34000000</v>
          </cell>
          <cell r="C123">
            <v>34000000</v>
          </cell>
          <cell r="D123">
            <v>34000000</v>
          </cell>
          <cell r="E123">
            <v>34000000</v>
          </cell>
          <cell r="F123">
            <v>34000000</v>
          </cell>
          <cell r="G123">
            <v>34000000</v>
          </cell>
          <cell r="H123">
            <v>34000000</v>
          </cell>
          <cell r="I123" t="str">
            <v/>
          </cell>
          <cell r="J123" t="str">
            <v/>
          </cell>
          <cell r="K123" t="str">
            <v/>
          </cell>
          <cell r="L123" t="str">
            <v/>
          </cell>
        </row>
        <row r="124">
          <cell r="A124">
            <v>34000000</v>
          </cell>
          <cell r="C124">
            <v>34000000</v>
          </cell>
          <cell r="D124">
            <v>34000000</v>
          </cell>
          <cell r="E124">
            <v>34000000</v>
          </cell>
          <cell r="F124">
            <v>34000000</v>
          </cell>
          <cell r="G124">
            <v>34000000</v>
          </cell>
          <cell r="H124">
            <v>34000000</v>
          </cell>
          <cell r="I124" t="str">
            <v/>
          </cell>
          <cell r="J124" t="str">
            <v/>
          </cell>
          <cell r="K124" t="str">
            <v/>
          </cell>
          <cell r="L124" t="str">
            <v/>
          </cell>
        </row>
        <row r="125">
          <cell r="A125">
            <v>34000000</v>
          </cell>
          <cell r="C125">
            <v>34000000</v>
          </cell>
          <cell r="D125">
            <v>34000000</v>
          </cell>
          <cell r="E125">
            <v>34000000</v>
          </cell>
          <cell r="F125">
            <v>34000000</v>
          </cell>
          <cell r="G125">
            <v>34000000</v>
          </cell>
          <cell r="H125">
            <v>34000000</v>
          </cell>
          <cell r="I125" t="str">
            <v/>
          </cell>
          <cell r="J125" t="str">
            <v/>
          </cell>
          <cell r="K125" t="str">
            <v/>
          </cell>
          <cell r="L125" t="str">
            <v/>
          </cell>
        </row>
        <row r="126">
          <cell r="A126">
            <v>34000000</v>
          </cell>
          <cell r="C126">
            <v>34000000</v>
          </cell>
          <cell r="D126">
            <v>34000000</v>
          </cell>
          <cell r="E126">
            <v>34000000</v>
          </cell>
          <cell r="F126">
            <v>34000000</v>
          </cell>
          <cell r="G126">
            <v>34000000</v>
          </cell>
          <cell r="H126">
            <v>34000000</v>
          </cell>
          <cell r="I126" t="str">
            <v/>
          </cell>
          <cell r="J126" t="str">
            <v/>
          </cell>
          <cell r="K126" t="str">
            <v/>
          </cell>
          <cell r="L126" t="str">
            <v/>
          </cell>
        </row>
        <row r="127">
          <cell r="A127">
            <v>34000000</v>
          </cell>
          <cell r="C127">
            <v>34000000</v>
          </cell>
          <cell r="D127">
            <v>34000000</v>
          </cell>
          <cell r="E127">
            <v>34000000</v>
          </cell>
          <cell r="F127">
            <v>34000000</v>
          </cell>
          <cell r="G127">
            <v>34000000</v>
          </cell>
          <cell r="H127">
            <v>34000000</v>
          </cell>
          <cell r="I127" t="str">
            <v/>
          </cell>
          <cell r="J127" t="str">
            <v/>
          </cell>
          <cell r="K127" t="str">
            <v/>
          </cell>
          <cell r="L127" t="str">
            <v/>
          </cell>
        </row>
        <row r="128">
          <cell r="A128">
            <v>34000000</v>
          </cell>
          <cell r="C128">
            <v>34000000</v>
          </cell>
          <cell r="D128">
            <v>34000000</v>
          </cell>
          <cell r="E128">
            <v>34000000</v>
          </cell>
          <cell r="F128">
            <v>34000000</v>
          </cell>
          <cell r="G128">
            <v>34000000</v>
          </cell>
          <cell r="H128">
            <v>34000000</v>
          </cell>
          <cell r="I128" t="str">
            <v/>
          </cell>
          <cell r="J128" t="str">
            <v/>
          </cell>
          <cell r="K128" t="str">
            <v/>
          </cell>
          <cell r="L128" t="str">
            <v/>
          </cell>
        </row>
        <row r="129">
          <cell r="A129">
            <v>34000000</v>
          </cell>
          <cell r="C129">
            <v>34000000</v>
          </cell>
          <cell r="D129">
            <v>34000000</v>
          </cell>
          <cell r="E129">
            <v>34000000</v>
          </cell>
          <cell r="F129">
            <v>34000000</v>
          </cell>
          <cell r="G129">
            <v>34000000</v>
          </cell>
          <cell r="H129">
            <v>34000000</v>
          </cell>
          <cell r="I129" t="str">
            <v/>
          </cell>
          <cell r="J129" t="str">
            <v/>
          </cell>
          <cell r="K129" t="str">
            <v/>
          </cell>
          <cell r="L129" t="str">
            <v/>
          </cell>
        </row>
        <row r="130">
          <cell r="A130">
            <v>34000000</v>
          </cell>
          <cell r="C130">
            <v>34000000</v>
          </cell>
          <cell r="D130">
            <v>34000000</v>
          </cell>
          <cell r="E130">
            <v>34000000</v>
          </cell>
          <cell r="F130">
            <v>34000000</v>
          </cell>
          <cell r="G130">
            <v>34000000</v>
          </cell>
          <cell r="H130">
            <v>34000000</v>
          </cell>
          <cell r="I130" t="str">
            <v/>
          </cell>
          <cell r="J130" t="str">
            <v/>
          </cell>
          <cell r="K130" t="str">
            <v/>
          </cell>
          <cell r="L130" t="str">
            <v/>
          </cell>
        </row>
        <row r="131">
          <cell r="A131">
            <v>34000000</v>
          </cell>
          <cell r="C131">
            <v>34000000</v>
          </cell>
          <cell r="D131">
            <v>34000000</v>
          </cell>
          <cell r="E131">
            <v>34000000</v>
          </cell>
          <cell r="F131">
            <v>34000000</v>
          </cell>
          <cell r="G131">
            <v>34000000</v>
          </cell>
          <cell r="H131">
            <v>34000000</v>
          </cell>
          <cell r="I131" t="str">
            <v/>
          </cell>
          <cell r="J131" t="str">
            <v/>
          </cell>
          <cell r="K131" t="str">
            <v/>
          </cell>
          <cell r="L131" t="str">
            <v/>
          </cell>
        </row>
        <row r="132">
          <cell r="A132">
            <v>34000000</v>
          </cell>
          <cell r="C132">
            <v>34000000</v>
          </cell>
          <cell r="D132">
            <v>34000000</v>
          </cell>
          <cell r="E132">
            <v>34000000</v>
          </cell>
          <cell r="F132">
            <v>34000000</v>
          </cell>
          <cell r="G132">
            <v>34000000</v>
          </cell>
          <cell r="H132">
            <v>34000000</v>
          </cell>
          <cell r="I132" t="str">
            <v/>
          </cell>
          <cell r="J132" t="str">
            <v/>
          </cell>
          <cell r="K132" t="str">
            <v/>
          </cell>
          <cell r="L132" t="str">
            <v/>
          </cell>
        </row>
        <row r="133">
          <cell r="A133">
            <v>34000000</v>
          </cell>
          <cell r="C133">
            <v>34000000</v>
          </cell>
          <cell r="D133">
            <v>34000000</v>
          </cell>
          <cell r="E133">
            <v>34000000</v>
          </cell>
          <cell r="F133">
            <v>34000000</v>
          </cell>
          <cell r="G133">
            <v>34000000</v>
          </cell>
          <cell r="H133">
            <v>34000000</v>
          </cell>
          <cell r="I133" t="str">
            <v/>
          </cell>
          <cell r="J133" t="str">
            <v/>
          </cell>
          <cell r="K133" t="str">
            <v/>
          </cell>
          <cell r="L133" t="str">
            <v/>
          </cell>
        </row>
        <row r="134">
          <cell r="A134">
            <v>34000000</v>
          </cell>
          <cell r="C134">
            <v>34000000</v>
          </cell>
          <cell r="D134">
            <v>34000000</v>
          </cell>
          <cell r="E134">
            <v>34000000</v>
          </cell>
          <cell r="F134">
            <v>34000000</v>
          </cell>
          <cell r="G134">
            <v>34000000</v>
          </cell>
          <cell r="H134">
            <v>34000000</v>
          </cell>
          <cell r="I134" t="str">
            <v/>
          </cell>
          <cell r="J134" t="str">
            <v/>
          </cell>
          <cell r="K134" t="str">
            <v/>
          </cell>
          <cell r="L134" t="str">
            <v/>
          </cell>
        </row>
        <row r="135">
          <cell r="A135">
            <v>34000000</v>
          </cell>
          <cell r="C135">
            <v>34000000</v>
          </cell>
          <cell r="D135">
            <v>34000000</v>
          </cell>
          <cell r="E135">
            <v>34000000</v>
          </cell>
          <cell r="F135">
            <v>34000000</v>
          </cell>
          <cell r="G135">
            <v>34000000</v>
          </cell>
          <cell r="H135">
            <v>34000000</v>
          </cell>
          <cell r="I135" t="str">
            <v/>
          </cell>
          <cell r="J135" t="str">
            <v/>
          </cell>
          <cell r="K135" t="str">
            <v/>
          </cell>
          <cell r="L135" t="str">
            <v/>
          </cell>
        </row>
        <row r="136">
          <cell r="A136">
            <v>34000000</v>
          </cell>
          <cell r="C136">
            <v>34000000</v>
          </cell>
          <cell r="D136">
            <v>34000000</v>
          </cell>
          <cell r="E136">
            <v>34000000</v>
          </cell>
          <cell r="F136">
            <v>34000000</v>
          </cell>
          <cell r="G136">
            <v>34000000</v>
          </cell>
          <cell r="H136">
            <v>34000000</v>
          </cell>
          <cell r="I136" t="str">
            <v/>
          </cell>
          <cell r="J136" t="str">
            <v/>
          </cell>
          <cell r="K136" t="str">
            <v/>
          </cell>
          <cell r="L136" t="str">
            <v/>
          </cell>
        </row>
        <row r="137">
          <cell r="A137">
            <v>34000000</v>
          </cell>
          <cell r="C137">
            <v>34000000</v>
          </cell>
          <cell r="D137">
            <v>34000000</v>
          </cell>
          <cell r="E137">
            <v>34000000</v>
          </cell>
          <cell r="F137">
            <v>34000000</v>
          </cell>
          <cell r="G137">
            <v>34000000</v>
          </cell>
          <cell r="H137">
            <v>34000000</v>
          </cell>
          <cell r="I137" t="str">
            <v/>
          </cell>
          <cell r="J137" t="str">
            <v/>
          </cell>
          <cell r="K137" t="str">
            <v/>
          </cell>
          <cell r="L137" t="str">
            <v/>
          </cell>
        </row>
        <row r="138">
          <cell r="A138">
            <v>34000000</v>
          </cell>
          <cell r="C138">
            <v>34000000</v>
          </cell>
          <cell r="D138">
            <v>34000000</v>
          </cell>
          <cell r="E138">
            <v>34000000</v>
          </cell>
          <cell r="F138">
            <v>34000000</v>
          </cell>
          <cell r="G138">
            <v>34000000</v>
          </cell>
          <cell r="H138">
            <v>34000000</v>
          </cell>
          <cell r="I138" t="str">
            <v/>
          </cell>
          <cell r="J138" t="str">
            <v/>
          </cell>
          <cell r="K138" t="str">
            <v/>
          </cell>
          <cell r="L138" t="str">
            <v/>
          </cell>
        </row>
        <row r="139">
          <cell r="A139">
            <v>34000000</v>
          </cell>
          <cell r="C139">
            <v>34000000</v>
          </cell>
          <cell r="D139">
            <v>34000000</v>
          </cell>
          <cell r="E139">
            <v>34000000</v>
          </cell>
          <cell r="F139">
            <v>34000000</v>
          </cell>
          <cell r="G139">
            <v>34000000</v>
          </cell>
          <cell r="H139">
            <v>34000000</v>
          </cell>
          <cell r="I139" t="str">
            <v/>
          </cell>
          <cell r="J139" t="str">
            <v/>
          </cell>
          <cell r="K139" t="str">
            <v/>
          </cell>
          <cell r="L139" t="str">
            <v/>
          </cell>
        </row>
        <row r="140">
          <cell r="A140">
            <v>34000000</v>
          </cell>
          <cell r="C140">
            <v>34000000</v>
          </cell>
          <cell r="D140">
            <v>34000000</v>
          </cell>
          <cell r="E140">
            <v>34000000</v>
          </cell>
          <cell r="F140">
            <v>34000000</v>
          </cell>
          <cell r="G140">
            <v>34000000</v>
          </cell>
          <cell r="H140">
            <v>34000000</v>
          </cell>
          <cell r="I140" t="str">
            <v/>
          </cell>
          <cell r="J140" t="str">
            <v/>
          </cell>
          <cell r="K140" t="str">
            <v/>
          </cell>
          <cell r="L140" t="str">
            <v/>
          </cell>
        </row>
        <row r="141">
          <cell r="A141">
            <v>34000000</v>
          </cell>
          <cell r="C141">
            <v>34000000</v>
          </cell>
          <cell r="D141">
            <v>34000000</v>
          </cell>
          <cell r="E141">
            <v>34000000</v>
          </cell>
          <cell r="F141">
            <v>34000000</v>
          </cell>
          <cell r="G141">
            <v>34000000</v>
          </cell>
          <cell r="H141">
            <v>34000000</v>
          </cell>
          <cell r="I141" t="str">
            <v/>
          </cell>
          <cell r="J141" t="str">
            <v/>
          </cell>
          <cell r="K141" t="str">
            <v/>
          </cell>
          <cell r="L141" t="str">
            <v/>
          </cell>
        </row>
        <row r="142">
          <cell r="A142">
            <v>34000000</v>
          </cell>
          <cell r="C142">
            <v>34000000</v>
          </cell>
          <cell r="D142">
            <v>34000000</v>
          </cell>
          <cell r="E142">
            <v>34000000</v>
          </cell>
          <cell r="F142">
            <v>34000000</v>
          </cell>
          <cell r="G142">
            <v>34000000</v>
          </cell>
          <cell r="H142">
            <v>34000000</v>
          </cell>
          <cell r="I142" t="str">
            <v/>
          </cell>
          <cell r="J142" t="str">
            <v/>
          </cell>
          <cell r="K142" t="str">
            <v/>
          </cell>
          <cell r="L142" t="str">
            <v/>
          </cell>
        </row>
        <row r="143">
          <cell r="A143">
            <v>34000000</v>
          </cell>
          <cell r="C143">
            <v>34000000</v>
          </cell>
          <cell r="D143">
            <v>34000000</v>
          </cell>
          <cell r="E143">
            <v>34000000</v>
          </cell>
          <cell r="F143">
            <v>34000000</v>
          </cell>
          <cell r="G143">
            <v>34000000</v>
          </cell>
          <cell r="H143">
            <v>34000000</v>
          </cell>
          <cell r="I143" t="str">
            <v/>
          </cell>
          <cell r="J143" t="str">
            <v/>
          </cell>
          <cell r="K143" t="str">
            <v/>
          </cell>
          <cell r="L143" t="str">
            <v/>
          </cell>
        </row>
        <row r="144">
          <cell r="A144">
            <v>34000000</v>
          </cell>
          <cell r="C144">
            <v>34000000</v>
          </cell>
          <cell r="D144">
            <v>34000000</v>
          </cell>
          <cell r="E144">
            <v>34000000</v>
          </cell>
          <cell r="F144">
            <v>34000000</v>
          </cell>
          <cell r="G144">
            <v>34000000</v>
          </cell>
          <cell r="H144">
            <v>34000000</v>
          </cell>
          <cell r="I144" t="str">
            <v/>
          </cell>
          <cell r="J144" t="str">
            <v/>
          </cell>
          <cell r="K144" t="str">
            <v/>
          </cell>
          <cell r="L144" t="str">
            <v/>
          </cell>
        </row>
        <row r="145">
          <cell r="A145">
            <v>34000000</v>
          </cell>
          <cell r="C145">
            <v>34000000</v>
          </cell>
          <cell r="D145">
            <v>34000000</v>
          </cell>
          <cell r="E145">
            <v>34000000</v>
          </cell>
          <cell r="F145">
            <v>34000000</v>
          </cell>
          <cell r="G145">
            <v>34000000</v>
          </cell>
          <cell r="H145">
            <v>34000000</v>
          </cell>
          <cell r="I145" t="str">
            <v/>
          </cell>
          <cell r="J145" t="str">
            <v/>
          </cell>
          <cell r="K145" t="str">
            <v/>
          </cell>
          <cell r="L145" t="str">
            <v/>
          </cell>
        </row>
        <row r="146">
          <cell r="A146">
            <v>34000000</v>
          </cell>
          <cell r="C146">
            <v>34000000</v>
          </cell>
          <cell r="D146">
            <v>34000000</v>
          </cell>
          <cell r="E146">
            <v>34000000</v>
          </cell>
          <cell r="F146">
            <v>34000000</v>
          </cell>
          <cell r="G146">
            <v>34000000</v>
          </cell>
          <cell r="H146">
            <v>34000000</v>
          </cell>
          <cell r="I146" t="str">
            <v/>
          </cell>
          <cell r="J146" t="str">
            <v/>
          </cell>
          <cell r="K146" t="str">
            <v/>
          </cell>
          <cell r="L146" t="str">
            <v/>
          </cell>
        </row>
        <row r="147">
          <cell r="A147">
            <v>34000000</v>
          </cell>
          <cell r="C147">
            <v>34000000</v>
          </cell>
          <cell r="D147">
            <v>34000000</v>
          </cell>
          <cell r="E147">
            <v>34000000</v>
          </cell>
          <cell r="F147">
            <v>34000000</v>
          </cell>
          <cell r="G147">
            <v>34000000</v>
          </cell>
          <cell r="H147">
            <v>34000000</v>
          </cell>
          <cell r="I147" t="str">
            <v/>
          </cell>
          <cell r="J147" t="str">
            <v/>
          </cell>
          <cell r="K147" t="str">
            <v/>
          </cell>
          <cell r="L147" t="str">
            <v/>
          </cell>
        </row>
        <row r="148">
          <cell r="A148">
            <v>34000000</v>
          </cell>
          <cell r="C148">
            <v>34000000</v>
          </cell>
          <cell r="D148">
            <v>34000000</v>
          </cell>
          <cell r="E148">
            <v>34000000</v>
          </cell>
          <cell r="F148">
            <v>34000000</v>
          </cell>
          <cell r="G148">
            <v>34000000</v>
          </cell>
          <cell r="H148">
            <v>34000000</v>
          </cell>
          <cell r="I148" t="str">
            <v/>
          </cell>
          <cell r="J148" t="str">
            <v/>
          </cell>
          <cell r="K148" t="str">
            <v/>
          </cell>
          <cell r="L148" t="str">
            <v/>
          </cell>
        </row>
        <row r="149">
          <cell r="A149">
            <v>34000000</v>
          </cell>
          <cell r="C149">
            <v>34000000</v>
          </cell>
          <cell r="D149">
            <v>34000000</v>
          </cell>
          <cell r="E149">
            <v>34000000</v>
          </cell>
          <cell r="F149">
            <v>34000000</v>
          </cell>
          <cell r="G149">
            <v>34000000</v>
          </cell>
          <cell r="H149">
            <v>34000000</v>
          </cell>
          <cell r="I149" t="str">
            <v/>
          </cell>
          <cell r="J149" t="str">
            <v/>
          </cell>
          <cell r="K149" t="str">
            <v/>
          </cell>
          <cell r="L149" t="str">
            <v/>
          </cell>
        </row>
        <row r="150">
          <cell r="A150">
            <v>34000000</v>
          </cell>
          <cell r="C150">
            <v>34000000</v>
          </cell>
          <cell r="D150">
            <v>34000000</v>
          </cell>
          <cell r="E150">
            <v>34000000</v>
          </cell>
          <cell r="F150">
            <v>34000000</v>
          </cell>
          <cell r="G150">
            <v>34000000</v>
          </cell>
          <cell r="H150">
            <v>34000000</v>
          </cell>
          <cell r="I150" t="str">
            <v/>
          </cell>
          <cell r="J150" t="str">
            <v/>
          </cell>
          <cell r="K150" t="str">
            <v/>
          </cell>
          <cell r="L150" t="str">
            <v/>
          </cell>
        </row>
        <row r="151">
          <cell r="A151">
            <v>34000000</v>
          </cell>
          <cell r="C151">
            <v>34000000</v>
          </cell>
          <cell r="D151">
            <v>34000000</v>
          </cell>
          <cell r="E151">
            <v>34000000</v>
          </cell>
          <cell r="F151">
            <v>34000000</v>
          </cell>
          <cell r="G151">
            <v>34000000</v>
          </cell>
          <cell r="H151">
            <v>34000000</v>
          </cell>
          <cell r="I151" t="str">
            <v/>
          </cell>
          <cell r="J151" t="str">
            <v/>
          </cell>
          <cell r="K151" t="str">
            <v/>
          </cell>
          <cell r="L151" t="str">
            <v/>
          </cell>
        </row>
        <row r="152">
          <cell r="A152">
            <v>34000000</v>
          </cell>
          <cell r="C152">
            <v>34000000</v>
          </cell>
          <cell r="D152">
            <v>34000000</v>
          </cell>
          <cell r="E152">
            <v>34000000</v>
          </cell>
          <cell r="F152">
            <v>34000000</v>
          </cell>
          <cell r="G152">
            <v>34000000</v>
          </cell>
          <cell r="H152">
            <v>34000000</v>
          </cell>
          <cell r="I152" t="str">
            <v/>
          </cell>
          <cell r="J152" t="str">
            <v/>
          </cell>
          <cell r="K152" t="str">
            <v/>
          </cell>
          <cell r="L152" t="str">
            <v/>
          </cell>
        </row>
        <row r="153">
          <cell r="A153">
            <v>34000000</v>
          </cell>
          <cell r="C153">
            <v>34000000</v>
          </cell>
          <cell r="D153">
            <v>34000000</v>
          </cell>
          <cell r="E153">
            <v>34000000</v>
          </cell>
          <cell r="F153">
            <v>34000000</v>
          </cell>
          <cell r="G153">
            <v>34000000</v>
          </cell>
          <cell r="H153">
            <v>34000000</v>
          </cell>
          <cell r="I153" t="str">
            <v/>
          </cell>
          <cell r="J153" t="str">
            <v/>
          </cell>
          <cell r="K153" t="str">
            <v/>
          </cell>
          <cell r="L153" t="str">
            <v/>
          </cell>
        </row>
        <row r="154">
          <cell r="A154">
            <v>34000000</v>
          </cell>
          <cell r="C154">
            <v>34000000</v>
          </cell>
          <cell r="D154">
            <v>34000000</v>
          </cell>
          <cell r="E154">
            <v>34000000</v>
          </cell>
          <cell r="F154">
            <v>34000000</v>
          </cell>
          <cell r="G154">
            <v>34000000</v>
          </cell>
          <cell r="H154">
            <v>34000000</v>
          </cell>
          <cell r="I154" t="str">
            <v/>
          </cell>
          <cell r="J154" t="str">
            <v/>
          </cell>
          <cell r="K154" t="str">
            <v/>
          </cell>
          <cell r="L154" t="str">
            <v/>
          </cell>
        </row>
        <row r="155">
          <cell r="A155">
            <v>34000000</v>
          </cell>
          <cell r="C155">
            <v>34000000</v>
          </cell>
          <cell r="D155">
            <v>34000000</v>
          </cell>
          <cell r="E155">
            <v>34000000</v>
          </cell>
          <cell r="F155">
            <v>34000000</v>
          </cell>
          <cell r="G155">
            <v>34000000</v>
          </cell>
          <cell r="H155">
            <v>34000000</v>
          </cell>
          <cell r="I155" t="str">
            <v/>
          </cell>
          <cell r="J155" t="str">
            <v/>
          </cell>
          <cell r="K155" t="str">
            <v/>
          </cell>
          <cell r="L155" t="str">
            <v/>
          </cell>
        </row>
        <row r="156">
          <cell r="A156">
            <v>34000000</v>
          </cell>
          <cell r="C156">
            <v>34000000</v>
          </cell>
          <cell r="D156">
            <v>34000000</v>
          </cell>
          <cell r="E156">
            <v>34000000</v>
          </cell>
          <cell r="F156">
            <v>34000000</v>
          </cell>
          <cell r="G156">
            <v>34000000</v>
          </cell>
          <cell r="H156">
            <v>34000000</v>
          </cell>
          <cell r="I156" t="str">
            <v/>
          </cell>
          <cell r="J156" t="str">
            <v/>
          </cell>
          <cell r="K156" t="str">
            <v/>
          </cell>
          <cell r="L156" t="str">
            <v/>
          </cell>
        </row>
        <row r="157">
          <cell r="A157">
            <v>34000000</v>
          </cell>
          <cell r="C157">
            <v>34000000</v>
          </cell>
          <cell r="D157">
            <v>34000000</v>
          </cell>
          <cell r="E157">
            <v>34000000</v>
          </cell>
          <cell r="F157">
            <v>34000000</v>
          </cell>
          <cell r="G157">
            <v>34000000</v>
          </cell>
          <cell r="H157">
            <v>34000000</v>
          </cell>
          <cell r="I157" t="str">
            <v/>
          </cell>
          <cell r="J157" t="str">
            <v/>
          </cell>
          <cell r="K157" t="str">
            <v/>
          </cell>
          <cell r="L157" t="str">
            <v/>
          </cell>
        </row>
        <row r="158">
          <cell r="A158">
            <v>34000000</v>
          </cell>
          <cell r="C158">
            <v>34000000</v>
          </cell>
          <cell r="D158">
            <v>34000000</v>
          </cell>
          <cell r="E158">
            <v>34000000</v>
          </cell>
          <cell r="F158">
            <v>34000000</v>
          </cell>
          <cell r="G158">
            <v>34000000</v>
          </cell>
          <cell r="H158">
            <v>34000000</v>
          </cell>
          <cell r="I158" t="str">
            <v/>
          </cell>
          <cell r="J158" t="str">
            <v/>
          </cell>
          <cell r="K158" t="str">
            <v/>
          </cell>
          <cell r="L158" t="str">
            <v/>
          </cell>
        </row>
        <row r="159">
          <cell r="A159">
            <v>34000000</v>
          </cell>
          <cell r="C159">
            <v>34000000</v>
          </cell>
          <cell r="D159">
            <v>34000000</v>
          </cell>
          <cell r="E159">
            <v>34000000</v>
          </cell>
          <cell r="F159">
            <v>34000000</v>
          </cell>
          <cell r="G159">
            <v>34000000</v>
          </cell>
          <cell r="H159">
            <v>34000000</v>
          </cell>
          <cell r="I159" t="str">
            <v/>
          </cell>
          <cell r="J159" t="str">
            <v/>
          </cell>
          <cell r="K159" t="str">
            <v/>
          </cell>
          <cell r="L159" t="str">
            <v/>
          </cell>
        </row>
        <row r="160">
          <cell r="A160">
            <v>34000000</v>
          </cell>
          <cell r="C160">
            <v>34000000</v>
          </cell>
          <cell r="D160">
            <v>34000000</v>
          </cell>
          <cell r="E160">
            <v>34000000</v>
          </cell>
          <cell r="F160">
            <v>34000000</v>
          </cell>
          <cell r="G160">
            <v>34000000</v>
          </cell>
          <cell r="H160">
            <v>34000000</v>
          </cell>
          <cell r="I160" t="str">
            <v/>
          </cell>
          <cell r="J160" t="str">
            <v/>
          </cell>
          <cell r="K160" t="str">
            <v/>
          </cell>
          <cell r="L160" t="str">
            <v/>
          </cell>
        </row>
        <row r="161">
          <cell r="A161">
            <v>34000000</v>
          </cell>
          <cell r="C161">
            <v>34000000</v>
          </cell>
          <cell r="D161">
            <v>34000000</v>
          </cell>
          <cell r="E161">
            <v>34000000</v>
          </cell>
          <cell r="F161">
            <v>34000000</v>
          </cell>
          <cell r="G161">
            <v>34000000</v>
          </cell>
          <cell r="H161">
            <v>34000000</v>
          </cell>
          <cell r="I161" t="str">
            <v/>
          </cell>
          <cell r="J161" t="str">
            <v/>
          </cell>
          <cell r="K161" t="str">
            <v/>
          </cell>
          <cell r="L161" t="str">
            <v/>
          </cell>
        </row>
        <row r="162">
          <cell r="A162">
            <v>34000000</v>
          </cell>
          <cell r="C162">
            <v>34000000</v>
          </cell>
          <cell r="D162">
            <v>34000000</v>
          </cell>
          <cell r="E162">
            <v>34000000</v>
          </cell>
          <cell r="F162">
            <v>34000000</v>
          </cell>
          <cell r="G162">
            <v>34000000</v>
          </cell>
          <cell r="H162">
            <v>34000000</v>
          </cell>
          <cell r="I162" t="str">
            <v/>
          </cell>
          <cell r="J162" t="str">
            <v/>
          </cell>
          <cell r="K162" t="str">
            <v/>
          </cell>
          <cell r="L162" t="str">
            <v/>
          </cell>
        </row>
        <row r="163">
          <cell r="A163">
            <v>34000000</v>
          </cell>
          <cell r="C163">
            <v>34000000</v>
          </cell>
          <cell r="D163">
            <v>34000000</v>
          </cell>
          <cell r="E163">
            <v>34000000</v>
          </cell>
          <cell r="F163">
            <v>34000000</v>
          </cell>
          <cell r="G163">
            <v>34000000</v>
          </cell>
          <cell r="H163">
            <v>34000000</v>
          </cell>
          <cell r="I163" t="str">
            <v/>
          </cell>
          <cell r="J163" t="str">
            <v/>
          </cell>
          <cell r="K163" t="str">
            <v/>
          </cell>
          <cell r="L163" t="str">
            <v/>
          </cell>
        </row>
        <row r="164">
          <cell r="A164">
            <v>34000000</v>
          </cell>
          <cell r="C164">
            <v>34000000</v>
          </cell>
          <cell r="D164">
            <v>34000000</v>
          </cell>
          <cell r="E164">
            <v>34000000</v>
          </cell>
          <cell r="F164">
            <v>34000000</v>
          </cell>
          <cell r="G164">
            <v>34000000</v>
          </cell>
          <cell r="H164">
            <v>34000000</v>
          </cell>
          <cell r="I164" t="str">
            <v/>
          </cell>
          <cell r="J164" t="str">
            <v/>
          </cell>
          <cell r="K164" t="str">
            <v/>
          </cell>
          <cell r="L164" t="str">
            <v/>
          </cell>
        </row>
        <row r="165">
          <cell r="A165">
            <v>34000000</v>
          </cell>
          <cell r="C165">
            <v>34000000</v>
          </cell>
          <cell r="D165">
            <v>34000000</v>
          </cell>
          <cell r="E165">
            <v>34000000</v>
          </cell>
          <cell r="F165">
            <v>34000000</v>
          </cell>
          <cell r="G165">
            <v>34000000</v>
          </cell>
          <cell r="H165">
            <v>34000000</v>
          </cell>
          <cell r="I165" t="str">
            <v/>
          </cell>
          <cell r="J165" t="str">
            <v/>
          </cell>
          <cell r="K165" t="str">
            <v/>
          </cell>
          <cell r="L165" t="str">
            <v/>
          </cell>
        </row>
        <row r="166">
          <cell r="A166">
            <v>34000000</v>
          </cell>
          <cell r="C166">
            <v>34000000</v>
          </cell>
          <cell r="D166">
            <v>34000000</v>
          </cell>
          <cell r="E166">
            <v>34000000</v>
          </cell>
          <cell r="F166">
            <v>34000000</v>
          </cell>
          <cell r="G166">
            <v>34000000</v>
          </cell>
          <cell r="H166">
            <v>34000000</v>
          </cell>
          <cell r="I166" t="str">
            <v/>
          </cell>
          <cell r="J166" t="str">
            <v/>
          </cell>
          <cell r="K166" t="str">
            <v/>
          </cell>
          <cell r="L166" t="str">
            <v/>
          </cell>
        </row>
        <row r="167">
          <cell r="A167">
            <v>34000000</v>
          </cell>
          <cell r="C167">
            <v>34000000</v>
          </cell>
          <cell r="D167">
            <v>34000000</v>
          </cell>
          <cell r="E167">
            <v>34000000</v>
          </cell>
          <cell r="F167">
            <v>34000000</v>
          </cell>
          <cell r="G167">
            <v>34000000</v>
          </cell>
          <cell r="H167">
            <v>34000000</v>
          </cell>
          <cell r="I167" t="str">
            <v/>
          </cell>
          <cell r="J167" t="str">
            <v/>
          </cell>
          <cell r="K167" t="str">
            <v/>
          </cell>
          <cell r="L167" t="str">
            <v/>
          </cell>
        </row>
        <row r="168">
          <cell r="A168">
            <v>34000000</v>
          </cell>
          <cell r="C168">
            <v>34000000</v>
          </cell>
          <cell r="D168">
            <v>34000000</v>
          </cell>
          <cell r="E168">
            <v>34000000</v>
          </cell>
          <cell r="F168">
            <v>34000000</v>
          </cell>
          <cell r="G168">
            <v>34000000</v>
          </cell>
          <cell r="H168">
            <v>34000000</v>
          </cell>
          <cell r="I168" t="str">
            <v/>
          </cell>
          <cell r="J168" t="str">
            <v/>
          </cell>
          <cell r="K168" t="str">
            <v/>
          </cell>
          <cell r="L168" t="str">
            <v/>
          </cell>
        </row>
        <row r="169">
          <cell r="A169">
            <v>34000000</v>
          </cell>
          <cell r="C169">
            <v>34000000</v>
          </cell>
          <cell r="D169">
            <v>34000000</v>
          </cell>
          <cell r="E169">
            <v>34000000</v>
          </cell>
          <cell r="F169">
            <v>34000000</v>
          </cell>
          <cell r="G169">
            <v>34000000</v>
          </cell>
          <cell r="H169">
            <v>34000000</v>
          </cell>
          <cell r="I169" t="str">
            <v/>
          </cell>
          <cell r="J169" t="str">
            <v/>
          </cell>
          <cell r="K169" t="str">
            <v/>
          </cell>
          <cell r="L169" t="str">
            <v/>
          </cell>
        </row>
        <row r="170">
          <cell r="A170">
            <v>34000000</v>
          </cell>
          <cell r="C170">
            <v>34000000</v>
          </cell>
          <cell r="D170">
            <v>34000000</v>
          </cell>
          <cell r="E170">
            <v>34000000</v>
          </cell>
          <cell r="F170">
            <v>34000000</v>
          </cell>
          <cell r="G170">
            <v>34000000</v>
          </cell>
          <cell r="H170">
            <v>34000000</v>
          </cell>
          <cell r="I170" t="str">
            <v/>
          </cell>
          <cell r="J170" t="str">
            <v/>
          </cell>
          <cell r="K170" t="str">
            <v/>
          </cell>
          <cell r="L170" t="str">
            <v/>
          </cell>
        </row>
        <row r="171">
          <cell r="A171">
            <v>34000000</v>
          </cell>
          <cell r="C171">
            <v>34000000</v>
          </cell>
          <cell r="D171">
            <v>34000000</v>
          </cell>
          <cell r="E171">
            <v>34000000</v>
          </cell>
          <cell r="F171">
            <v>34000000</v>
          </cell>
          <cell r="G171">
            <v>34000000</v>
          </cell>
          <cell r="H171">
            <v>34000000</v>
          </cell>
          <cell r="I171" t="str">
            <v/>
          </cell>
          <cell r="J171" t="str">
            <v/>
          </cell>
          <cell r="K171" t="str">
            <v/>
          </cell>
          <cell r="L171" t="str">
            <v/>
          </cell>
        </row>
        <row r="172">
          <cell r="A172">
            <v>34000000</v>
          </cell>
          <cell r="C172">
            <v>34000000</v>
          </cell>
          <cell r="D172">
            <v>34000000</v>
          </cell>
          <cell r="E172">
            <v>34000000</v>
          </cell>
          <cell r="F172">
            <v>34000000</v>
          </cell>
          <cell r="G172">
            <v>34000000</v>
          </cell>
          <cell r="H172">
            <v>34000000</v>
          </cell>
          <cell r="I172" t="str">
            <v/>
          </cell>
          <cell r="J172" t="str">
            <v/>
          </cell>
          <cell r="K172" t="str">
            <v/>
          </cell>
          <cell r="L172" t="str">
            <v/>
          </cell>
        </row>
        <row r="173">
          <cell r="A173">
            <v>34000000</v>
          </cell>
          <cell r="C173">
            <v>34000000</v>
          </cell>
          <cell r="D173">
            <v>34000000</v>
          </cell>
          <cell r="E173">
            <v>34000000</v>
          </cell>
          <cell r="F173">
            <v>34000000</v>
          </cell>
          <cell r="G173">
            <v>34000000</v>
          </cell>
          <cell r="H173">
            <v>34000000</v>
          </cell>
          <cell r="I173" t="str">
            <v/>
          </cell>
          <cell r="J173" t="str">
            <v/>
          </cell>
          <cell r="K173" t="str">
            <v/>
          </cell>
          <cell r="L173" t="str">
            <v/>
          </cell>
        </row>
        <row r="174">
          <cell r="A174">
            <v>34000000</v>
          </cell>
          <cell r="C174">
            <v>34000000</v>
          </cell>
          <cell r="D174">
            <v>34000000</v>
          </cell>
          <cell r="E174">
            <v>34000000</v>
          </cell>
          <cell r="F174">
            <v>34000000</v>
          </cell>
          <cell r="G174">
            <v>34000000</v>
          </cell>
          <cell r="H174">
            <v>34000000</v>
          </cell>
          <cell r="I174" t="str">
            <v/>
          </cell>
          <cell r="J174" t="str">
            <v/>
          </cell>
          <cell r="K174" t="str">
            <v/>
          </cell>
          <cell r="L174" t="str">
            <v/>
          </cell>
        </row>
        <row r="175">
          <cell r="A175">
            <v>34000000</v>
          </cell>
          <cell r="C175">
            <v>34000000</v>
          </cell>
          <cell r="D175">
            <v>34000000</v>
          </cell>
          <cell r="E175">
            <v>34000000</v>
          </cell>
          <cell r="F175">
            <v>34000000</v>
          </cell>
          <cell r="G175">
            <v>34000000</v>
          </cell>
          <cell r="H175">
            <v>34000000</v>
          </cell>
          <cell r="I175" t="str">
            <v/>
          </cell>
          <cell r="J175" t="str">
            <v/>
          </cell>
          <cell r="K175" t="str">
            <v/>
          </cell>
          <cell r="L175" t="str">
            <v/>
          </cell>
        </row>
        <row r="176">
          <cell r="A176">
            <v>34000000</v>
          </cell>
          <cell r="C176">
            <v>34000000</v>
          </cell>
          <cell r="D176">
            <v>34000000</v>
          </cell>
          <cell r="E176">
            <v>34000000</v>
          </cell>
          <cell r="F176">
            <v>34000000</v>
          </cell>
          <cell r="G176">
            <v>34000000</v>
          </cell>
          <cell r="H176">
            <v>34000000</v>
          </cell>
          <cell r="I176" t="str">
            <v/>
          </cell>
          <cell r="J176" t="str">
            <v/>
          </cell>
          <cell r="K176" t="str">
            <v/>
          </cell>
          <cell r="L176" t="str">
            <v/>
          </cell>
        </row>
        <row r="177">
          <cell r="A177">
            <v>34000000</v>
          </cell>
          <cell r="C177">
            <v>34000000</v>
          </cell>
          <cell r="D177">
            <v>34000000</v>
          </cell>
          <cell r="E177">
            <v>34000000</v>
          </cell>
          <cell r="F177">
            <v>34000000</v>
          </cell>
          <cell r="G177">
            <v>34000000</v>
          </cell>
          <cell r="H177">
            <v>34000000</v>
          </cell>
          <cell r="I177" t="str">
            <v/>
          </cell>
          <cell r="J177" t="str">
            <v/>
          </cell>
          <cell r="K177" t="str">
            <v/>
          </cell>
          <cell r="L177" t="str">
            <v/>
          </cell>
        </row>
        <row r="178">
          <cell r="A178">
            <v>34000000</v>
          </cell>
          <cell r="C178">
            <v>34000000</v>
          </cell>
          <cell r="D178">
            <v>34000000</v>
          </cell>
          <cell r="E178">
            <v>34000000</v>
          </cell>
          <cell r="F178">
            <v>34000000</v>
          </cell>
          <cell r="G178">
            <v>34000000</v>
          </cell>
          <cell r="H178">
            <v>34000000</v>
          </cell>
          <cell r="I178" t="str">
            <v/>
          </cell>
          <cell r="J178" t="str">
            <v/>
          </cell>
          <cell r="K178" t="str">
            <v/>
          </cell>
          <cell r="L178" t="str">
            <v/>
          </cell>
        </row>
        <row r="179">
          <cell r="A179">
            <v>34000000</v>
          </cell>
          <cell r="C179">
            <v>34000000</v>
          </cell>
          <cell r="D179">
            <v>34000000</v>
          </cell>
          <cell r="E179">
            <v>34000000</v>
          </cell>
          <cell r="F179">
            <v>34000000</v>
          </cell>
          <cell r="G179">
            <v>34000000</v>
          </cell>
          <cell r="H179">
            <v>34000000</v>
          </cell>
          <cell r="I179" t="str">
            <v/>
          </cell>
          <cell r="J179" t="str">
            <v/>
          </cell>
          <cell r="K179" t="str">
            <v/>
          </cell>
          <cell r="L179" t="str">
            <v/>
          </cell>
        </row>
        <row r="180">
          <cell r="A180">
            <v>34000000</v>
          </cell>
          <cell r="C180">
            <v>34000000</v>
          </cell>
          <cell r="D180">
            <v>34000000</v>
          </cell>
          <cell r="E180">
            <v>34000000</v>
          </cell>
          <cell r="F180">
            <v>34000000</v>
          </cell>
          <cell r="G180">
            <v>34000000</v>
          </cell>
          <cell r="H180">
            <v>34000000</v>
          </cell>
          <cell r="I180" t="str">
            <v/>
          </cell>
          <cell r="J180" t="str">
            <v/>
          </cell>
          <cell r="K180" t="str">
            <v/>
          </cell>
          <cell r="L180" t="str">
            <v/>
          </cell>
        </row>
        <row r="181">
          <cell r="A181">
            <v>34000000</v>
          </cell>
          <cell r="C181">
            <v>34000000</v>
          </cell>
          <cell r="D181">
            <v>34000000</v>
          </cell>
          <cell r="E181">
            <v>34000000</v>
          </cell>
          <cell r="F181">
            <v>34000000</v>
          </cell>
          <cell r="G181">
            <v>34000000</v>
          </cell>
          <cell r="H181">
            <v>34000000</v>
          </cell>
          <cell r="I181" t="str">
            <v/>
          </cell>
          <cell r="J181" t="str">
            <v/>
          </cell>
          <cell r="K181" t="str">
            <v/>
          </cell>
          <cell r="L181" t="str">
            <v/>
          </cell>
        </row>
        <row r="182">
          <cell r="A182">
            <v>34000000</v>
          </cell>
          <cell r="C182">
            <v>34000000</v>
          </cell>
          <cell r="D182">
            <v>34000000</v>
          </cell>
          <cell r="E182">
            <v>34000000</v>
          </cell>
          <cell r="F182">
            <v>34000000</v>
          </cell>
          <cell r="G182">
            <v>34000000</v>
          </cell>
          <cell r="H182">
            <v>34000000</v>
          </cell>
          <cell r="I182" t="str">
            <v/>
          </cell>
          <cell r="J182" t="str">
            <v/>
          </cell>
          <cell r="K182" t="str">
            <v/>
          </cell>
          <cell r="L182" t="str">
            <v/>
          </cell>
        </row>
        <row r="183">
          <cell r="A183">
            <v>34000000</v>
          </cell>
          <cell r="C183">
            <v>34000000</v>
          </cell>
          <cell r="D183">
            <v>34000000</v>
          </cell>
          <cell r="E183">
            <v>34000000</v>
          </cell>
          <cell r="F183">
            <v>34000000</v>
          </cell>
          <cell r="G183">
            <v>34000000</v>
          </cell>
          <cell r="H183">
            <v>34000000</v>
          </cell>
          <cell r="I183" t="str">
            <v/>
          </cell>
          <cell r="J183" t="str">
            <v/>
          </cell>
          <cell r="K183" t="str">
            <v/>
          </cell>
          <cell r="L183" t="str">
            <v/>
          </cell>
        </row>
        <row r="184">
          <cell r="A184">
            <v>34000000</v>
          </cell>
          <cell r="C184">
            <v>34000000</v>
          </cell>
          <cell r="D184">
            <v>34000000</v>
          </cell>
          <cell r="E184">
            <v>34000000</v>
          </cell>
          <cell r="F184">
            <v>34000000</v>
          </cell>
          <cell r="G184">
            <v>34000000</v>
          </cell>
          <cell r="H184">
            <v>34000000</v>
          </cell>
          <cell r="I184" t="str">
            <v/>
          </cell>
          <cell r="J184" t="str">
            <v/>
          </cell>
          <cell r="K184" t="str">
            <v/>
          </cell>
          <cell r="L184" t="str">
            <v/>
          </cell>
        </row>
        <row r="185">
          <cell r="A185">
            <v>34000000</v>
          </cell>
          <cell r="C185">
            <v>34000000</v>
          </cell>
          <cell r="D185">
            <v>34000000</v>
          </cell>
          <cell r="E185">
            <v>34000000</v>
          </cell>
          <cell r="F185">
            <v>34000000</v>
          </cell>
          <cell r="G185">
            <v>34000000</v>
          </cell>
          <cell r="H185">
            <v>34000000</v>
          </cell>
          <cell r="I185" t="str">
            <v/>
          </cell>
          <cell r="J185" t="str">
            <v/>
          </cell>
          <cell r="K185" t="str">
            <v/>
          </cell>
          <cell r="L185" t="str">
            <v/>
          </cell>
        </row>
        <row r="186">
          <cell r="A186">
            <v>34000000</v>
          </cell>
          <cell r="C186">
            <v>34000000</v>
          </cell>
          <cell r="D186">
            <v>34000000</v>
          </cell>
          <cell r="E186">
            <v>34000000</v>
          </cell>
          <cell r="F186">
            <v>34000000</v>
          </cell>
          <cell r="G186">
            <v>34000000</v>
          </cell>
          <cell r="H186">
            <v>34000000</v>
          </cell>
          <cell r="I186" t="str">
            <v/>
          </cell>
          <cell r="J186" t="str">
            <v/>
          </cell>
          <cell r="K186" t="str">
            <v/>
          </cell>
          <cell r="L186" t="str">
            <v/>
          </cell>
        </row>
        <row r="187">
          <cell r="A187">
            <v>34000000</v>
          </cell>
          <cell r="C187">
            <v>34000000</v>
          </cell>
          <cell r="D187">
            <v>34000000</v>
          </cell>
          <cell r="E187">
            <v>34000000</v>
          </cell>
          <cell r="F187">
            <v>34000000</v>
          </cell>
          <cell r="G187">
            <v>34000000</v>
          </cell>
          <cell r="H187">
            <v>34000000</v>
          </cell>
          <cell r="I187" t="str">
            <v/>
          </cell>
          <cell r="J187" t="str">
            <v/>
          </cell>
          <cell r="K187" t="str">
            <v/>
          </cell>
          <cell r="L187" t="str">
            <v/>
          </cell>
        </row>
        <row r="188">
          <cell r="A188">
            <v>34000000</v>
          </cell>
          <cell r="C188">
            <v>34000000</v>
          </cell>
          <cell r="D188">
            <v>34000000</v>
          </cell>
          <cell r="E188">
            <v>34000000</v>
          </cell>
          <cell r="F188">
            <v>34000000</v>
          </cell>
          <cell r="G188">
            <v>34000000</v>
          </cell>
          <cell r="H188">
            <v>34000000</v>
          </cell>
          <cell r="I188" t="str">
            <v/>
          </cell>
          <cell r="J188" t="str">
            <v/>
          </cell>
          <cell r="K188" t="str">
            <v/>
          </cell>
          <cell r="L188" t="str">
            <v/>
          </cell>
        </row>
        <row r="189">
          <cell r="A189">
            <v>34000000</v>
          </cell>
          <cell r="C189">
            <v>34000000</v>
          </cell>
          <cell r="D189">
            <v>34000000</v>
          </cell>
          <cell r="E189">
            <v>34000000</v>
          </cell>
          <cell r="F189">
            <v>34000000</v>
          </cell>
          <cell r="G189">
            <v>34000000</v>
          </cell>
          <cell r="H189">
            <v>34000000</v>
          </cell>
          <cell r="I189" t="str">
            <v/>
          </cell>
          <cell r="J189" t="str">
            <v/>
          </cell>
          <cell r="K189" t="str">
            <v/>
          </cell>
          <cell r="L189" t="str">
            <v/>
          </cell>
        </row>
        <row r="190">
          <cell r="A190">
            <v>34000000</v>
          </cell>
          <cell r="C190">
            <v>34000000</v>
          </cell>
          <cell r="D190">
            <v>34000000</v>
          </cell>
          <cell r="E190">
            <v>34000000</v>
          </cell>
          <cell r="F190">
            <v>34000000</v>
          </cell>
          <cell r="G190">
            <v>34000000</v>
          </cell>
          <cell r="H190">
            <v>34000000</v>
          </cell>
          <cell r="I190" t="str">
            <v/>
          </cell>
          <cell r="J190" t="str">
            <v/>
          </cell>
          <cell r="K190" t="str">
            <v/>
          </cell>
          <cell r="L190" t="str">
            <v/>
          </cell>
        </row>
        <row r="191">
          <cell r="A191">
            <v>34000000</v>
          </cell>
          <cell r="C191">
            <v>34000000</v>
          </cell>
          <cell r="D191">
            <v>34000000</v>
          </cell>
          <cell r="E191">
            <v>34000000</v>
          </cell>
          <cell r="F191">
            <v>34000000</v>
          </cell>
          <cell r="G191">
            <v>34000000</v>
          </cell>
          <cell r="H191">
            <v>34000000</v>
          </cell>
          <cell r="I191" t="str">
            <v/>
          </cell>
          <cell r="J191" t="str">
            <v/>
          </cell>
          <cell r="K191" t="str">
            <v/>
          </cell>
          <cell r="L191" t="str">
            <v/>
          </cell>
        </row>
        <row r="192">
          <cell r="A192">
            <v>34000000</v>
          </cell>
          <cell r="C192">
            <v>34000000</v>
          </cell>
          <cell r="D192">
            <v>34000000</v>
          </cell>
          <cell r="E192">
            <v>34000000</v>
          </cell>
          <cell r="F192">
            <v>34000000</v>
          </cell>
          <cell r="G192">
            <v>34000000</v>
          </cell>
          <cell r="H192">
            <v>34000000</v>
          </cell>
          <cell r="I192" t="str">
            <v/>
          </cell>
          <cell r="J192" t="str">
            <v/>
          </cell>
          <cell r="K192" t="str">
            <v/>
          </cell>
          <cell r="L192" t="str">
            <v/>
          </cell>
        </row>
        <row r="193">
          <cell r="A193">
            <v>34000000</v>
          </cell>
          <cell r="C193">
            <v>34000000</v>
          </cell>
          <cell r="D193">
            <v>34000000</v>
          </cell>
          <cell r="E193">
            <v>34000000</v>
          </cell>
          <cell r="F193">
            <v>34000000</v>
          </cell>
          <cell r="G193">
            <v>34000000</v>
          </cell>
          <cell r="H193">
            <v>34000000</v>
          </cell>
          <cell r="I193" t="str">
            <v/>
          </cell>
          <cell r="J193" t="str">
            <v/>
          </cell>
          <cell r="K193" t="str">
            <v/>
          </cell>
          <cell r="L193" t="str">
            <v/>
          </cell>
        </row>
        <row r="194">
          <cell r="A194">
            <v>34000000</v>
          </cell>
          <cell r="C194">
            <v>34000000</v>
          </cell>
          <cell r="D194">
            <v>34000000</v>
          </cell>
          <cell r="E194">
            <v>34000000</v>
          </cell>
          <cell r="F194">
            <v>34000000</v>
          </cell>
          <cell r="G194">
            <v>34000000</v>
          </cell>
          <cell r="H194">
            <v>34000000</v>
          </cell>
          <cell r="I194" t="str">
            <v/>
          </cell>
          <cell r="J194" t="str">
            <v/>
          </cell>
          <cell r="K194" t="str">
            <v/>
          </cell>
          <cell r="L194" t="str">
            <v/>
          </cell>
        </row>
        <row r="195">
          <cell r="A195">
            <v>34000000</v>
          </cell>
          <cell r="C195">
            <v>34000000</v>
          </cell>
          <cell r="D195">
            <v>34000000</v>
          </cell>
          <cell r="E195">
            <v>34000000</v>
          </cell>
          <cell r="F195">
            <v>34000000</v>
          </cell>
          <cell r="G195">
            <v>34000000</v>
          </cell>
          <cell r="H195">
            <v>34000000</v>
          </cell>
          <cell r="I195" t="str">
            <v/>
          </cell>
          <cell r="J195" t="str">
            <v/>
          </cell>
          <cell r="K195" t="str">
            <v/>
          </cell>
          <cell r="L195" t="str">
            <v/>
          </cell>
        </row>
        <row r="196">
          <cell r="A196">
            <v>34000000</v>
          </cell>
          <cell r="C196">
            <v>34000000</v>
          </cell>
          <cell r="D196">
            <v>34000000</v>
          </cell>
          <cell r="E196">
            <v>34000000</v>
          </cell>
          <cell r="F196">
            <v>34000000</v>
          </cell>
          <cell r="G196">
            <v>34000000</v>
          </cell>
          <cell r="H196">
            <v>34000000</v>
          </cell>
          <cell r="I196" t="str">
            <v/>
          </cell>
          <cell r="J196" t="str">
            <v/>
          </cell>
          <cell r="K196" t="str">
            <v/>
          </cell>
          <cell r="L196" t="str">
            <v/>
          </cell>
        </row>
        <row r="197">
          <cell r="A197">
            <v>34000000</v>
          </cell>
          <cell r="C197">
            <v>34000000</v>
          </cell>
          <cell r="D197">
            <v>34000000</v>
          </cell>
          <cell r="E197">
            <v>34000000</v>
          </cell>
          <cell r="F197">
            <v>34000000</v>
          </cell>
          <cell r="G197">
            <v>34000000</v>
          </cell>
          <cell r="H197">
            <v>34000000</v>
          </cell>
          <cell r="I197" t="str">
            <v/>
          </cell>
          <cell r="J197" t="str">
            <v/>
          </cell>
          <cell r="K197" t="str">
            <v/>
          </cell>
          <cell r="L197" t="str">
            <v/>
          </cell>
        </row>
        <row r="198">
          <cell r="A198">
            <v>34000000</v>
          </cell>
          <cell r="C198">
            <v>34000000</v>
          </cell>
          <cell r="D198">
            <v>34000000</v>
          </cell>
          <cell r="E198">
            <v>34000000</v>
          </cell>
          <cell r="F198">
            <v>34000000</v>
          </cell>
          <cell r="G198">
            <v>34000000</v>
          </cell>
          <cell r="H198">
            <v>34000000</v>
          </cell>
          <cell r="I198" t="str">
            <v/>
          </cell>
          <cell r="J198" t="str">
            <v/>
          </cell>
          <cell r="K198" t="str">
            <v/>
          </cell>
          <cell r="L198" t="str">
            <v/>
          </cell>
        </row>
        <row r="199">
          <cell r="A199">
            <v>34000000</v>
          </cell>
          <cell r="C199">
            <v>34000000</v>
          </cell>
          <cell r="D199">
            <v>34000000</v>
          </cell>
          <cell r="E199">
            <v>34000000</v>
          </cell>
          <cell r="F199">
            <v>34000000</v>
          </cell>
          <cell r="G199">
            <v>34000000</v>
          </cell>
          <cell r="H199">
            <v>34000000</v>
          </cell>
          <cell r="I199" t="str">
            <v/>
          </cell>
          <cell r="J199" t="str">
            <v/>
          </cell>
          <cell r="K199" t="str">
            <v/>
          </cell>
          <cell r="L199" t="str">
            <v/>
          </cell>
        </row>
        <row r="200">
          <cell r="A200">
            <v>34000000</v>
          </cell>
          <cell r="C200">
            <v>34000000</v>
          </cell>
          <cell r="D200">
            <v>34000000</v>
          </cell>
          <cell r="E200">
            <v>34000000</v>
          </cell>
          <cell r="F200">
            <v>34000000</v>
          </cell>
          <cell r="G200">
            <v>34000000</v>
          </cell>
          <cell r="H200">
            <v>34000000</v>
          </cell>
          <cell r="I200" t="str">
            <v/>
          </cell>
          <cell r="J200" t="str">
            <v/>
          </cell>
          <cell r="K200" t="str">
            <v/>
          </cell>
          <cell r="L200" t="str">
            <v/>
          </cell>
        </row>
        <row r="201">
          <cell r="A201">
            <v>34000000</v>
          </cell>
          <cell r="C201">
            <v>34000000</v>
          </cell>
          <cell r="D201">
            <v>34000000</v>
          </cell>
          <cell r="E201">
            <v>34000000</v>
          </cell>
          <cell r="F201">
            <v>34000000</v>
          </cell>
          <cell r="G201">
            <v>34000000</v>
          </cell>
          <cell r="H201">
            <v>34000000</v>
          </cell>
          <cell r="I201" t="str">
            <v/>
          </cell>
          <cell r="J201" t="str">
            <v/>
          </cell>
          <cell r="K201" t="str">
            <v/>
          </cell>
          <cell r="L201" t="str">
            <v/>
          </cell>
        </row>
        <row r="202">
          <cell r="A202">
            <v>34000000</v>
          </cell>
          <cell r="C202">
            <v>34000000</v>
          </cell>
          <cell r="D202">
            <v>34000000</v>
          </cell>
          <cell r="E202">
            <v>34000000</v>
          </cell>
          <cell r="F202">
            <v>34000000</v>
          </cell>
          <cell r="G202">
            <v>34000000</v>
          </cell>
          <cell r="H202">
            <v>34000000</v>
          </cell>
          <cell r="I202" t="str">
            <v/>
          </cell>
          <cell r="J202" t="str">
            <v/>
          </cell>
          <cell r="K202" t="str">
            <v/>
          </cell>
          <cell r="L202" t="str">
            <v/>
          </cell>
        </row>
        <row r="203">
          <cell r="A203">
            <v>34000000</v>
          </cell>
          <cell r="C203">
            <v>34000000</v>
          </cell>
          <cell r="D203">
            <v>34000000</v>
          </cell>
          <cell r="E203">
            <v>34000000</v>
          </cell>
          <cell r="F203">
            <v>34000000</v>
          </cell>
          <cell r="G203">
            <v>34000000</v>
          </cell>
          <cell r="H203">
            <v>34000000</v>
          </cell>
          <cell r="I203" t="str">
            <v/>
          </cell>
          <cell r="J203" t="str">
            <v/>
          </cell>
          <cell r="K203" t="str">
            <v/>
          </cell>
          <cell r="L203" t="str">
            <v/>
          </cell>
        </row>
        <row r="204">
          <cell r="A204">
            <v>34000000</v>
          </cell>
          <cell r="C204">
            <v>34000000</v>
          </cell>
          <cell r="D204">
            <v>34000000</v>
          </cell>
          <cell r="E204">
            <v>34000000</v>
          </cell>
          <cell r="F204">
            <v>34000000</v>
          </cell>
          <cell r="G204">
            <v>34000000</v>
          </cell>
          <cell r="H204">
            <v>34000000</v>
          </cell>
          <cell r="I204" t="str">
            <v/>
          </cell>
          <cell r="J204" t="str">
            <v/>
          </cell>
          <cell r="K204" t="str">
            <v/>
          </cell>
          <cell r="L204" t="str">
            <v/>
          </cell>
        </row>
        <row r="205">
          <cell r="A205">
            <v>34000000</v>
          </cell>
          <cell r="C205">
            <v>34000000</v>
          </cell>
          <cell r="D205">
            <v>34000000</v>
          </cell>
          <cell r="E205">
            <v>34000000</v>
          </cell>
          <cell r="F205">
            <v>34000000</v>
          </cell>
          <cell r="G205">
            <v>34000000</v>
          </cell>
          <cell r="H205">
            <v>34000000</v>
          </cell>
          <cell r="I205" t="str">
            <v/>
          </cell>
          <cell r="J205" t="str">
            <v/>
          </cell>
          <cell r="K205" t="str">
            <v/>
          </cell>
          <cell r="L205" t="str">
            <v/>
          </cell>
        </row>
        <row r="206">
          <cell r="A206">
            <v>34000000</v>
          </cell>
          <cell r="C206">
            <v>34000000</v>
          </cell>
          <cell r="D206">
            <v>34000000</v>
          </cell>
          <cell r="E206">
            <v>34000000</v>
          </cell>
          <cell r="F206">
            <v>34000000</v>
          </cell>
          <cell r="G206">
            <v>34000000</v>
          </cell>
          <cell r="H206">
            <v>34000000</v>
          </cell>
          <cell r="I206" t="str">
            <v/>
          </cell>
          <cell r="J206" t="str">
            <v/>
          </cell>
          <cell r="K206" t="str">
            <v/>
          </cell>
          <cell r="L206" t="str">
            <v/>
          </cell>
        </row>
        <row r="207">
          <cell r="A207">
            <v>34000000</v>
          </cell>
          <cell r="C207">
            <v>34000000</v>
          </cell>
          <cell r="D207">
            <v>34000000</v>
          </cell>
          <cell r="E207">
            <v>34000000</v>
          </cell>
          <cell r="F207">
            <v>34000000</v>
          </cell>
          <cell r="G207">
            <v>34000000</v>
          </cell>
          <cell r="H207">
            <v>34000000</v>
          </cell>
          <cell r="I207" t="str">
            <v/>
          </cell>
          <cell r="J207" t="str">
            <v/>
          </cell>
          <cell r="K207" t="str">
            <v/>
          </cell>
          <cell r="L207" t="str">
            <v/>
          </cell>
        </row>
        <row r="208">
          <cell r="A208">
            <v>34000000</v>
          </cell>
          <cell r="C208">
            <v>34000000</v>
          </cell>
          <cell r="D208">
            <v>34000000</v>
          </cell>
          <cell r="E208">
            <v>34000000</v>
          </cell>
          <cell r="F208">
            <v>34000000</v>
          </cell>
          <cell r="G208">
            <v>34000000</v>
          </cell>
          <cell r="H208">
            <v>34000000</v>
          </cell>
          <cell r="I208" t="str">
            <v/>
          </cell>
          <cell r="J208" t="str">
            <v/>
          </cell>
          <cell r="K208" t="str">
            <v/>
          </cell>
          <cell r="L208" t="str">
            <v/>
          </cell>
        </row>
        <row r="209">
          <cell r="A209">
            <v>34000000</v>
          </cell>
          <cell r="C209">
            <v>34000000</v>
          </cell>
          <cell r="D209">
            <v>34000000</v>
          </cell>
          <cell r="E209">
            <v>34000000</v>
          </cell>
          <cell r="F209">
            <v>34000000</v>
          </cell>
          <cell r="G209">
            <v>34000000</v>
          </cell>
          <cell r="H209">
            <v>34000000</v>
          </cell>
          <cell r="I209" t="str">
            <v/>
          </cell>
          <cell r="J209" t="str">
            <v/>
          </cell>
          <cell r="K209" t="str">
            <v/>
          </cell>
          <cell r="L209" t="str">
            <v/>
          </cell>
        </row>
        <row r="210">
          <cell r="A210">
            <v>34000000</v>
          </cell>
          <cell r="C210">
            <v>34000000</v>
          </cell>
          <cell r="D210">
            <v>34000000</v>
          </cell>
          <cell r="E210">
            <v>34000000</v>
          </cell>
          <cell r="F210">
            <v>34000000</v>
          </cell>
          <cell r="G210">
            <v>34000000</v>
          </cell>
          <cell r="H210">
            <v>34000000</v>
          </cell>
          <cell r="I210" t="str">
            <v/>
          </cell>
          <cell r="J210" t="str">
            <v/>
          </cell>
          <cell r="K210" t="str">
            <v/>
          </cell>
          <cell r="L210" t="str">
            <v/>
          </cell>
        </row>
        <row r="211">
          <cell r="A211">
            <v>34000000</v>
          </cell>
          <cell r="C211">
            <v>34000000</v>
          </cell>
          <cell r="D211">
            <v>34000000</v>
          </cell>
          <cell r="E211">
            <v>34000000</v>
          </cell>
          <cell r="F211">
            <v>34000000</v>
          </cell>
          <cell r="G211">
            <v>34000000</v>
          </cell>
          <cell r="H211">
            <v>34000000</v>
          </cell>
          <cell r="I211" t="str">
            <v/>
          </cell>
          <cell r="J211" t="str">
            <v/>
          </cell>
          <cell r="K211" t="str">
            <v/>
          </cell>
          <cell r="L211" t="str">
            <v/>
          </cell>
        </row>
        <row r="212">
          <cell r="A212">
            <v>34000000</v>
          </cell>
          <cell r="C212">
            <v>34000000</v>
          </cell>
          <cell r="D212">
            <v>34000000</v>
          </cell>
          <cell r="E212">
            <v>34000000</v>
          </cell>
          <cell r="F212">
            <v>34000000</v>
          </cell>
          <cell r="G212">
            <v>34000000</v>
          </cell>
          <cell r="H212">
            <v>34000000</v>
          </cell>
          <cell r="I212" t="str">
            <v/>
          </cell>
          <cell r="J212" t="str">
            <v/>
          </cell>
          <cell r="K212" t="str">
            <v/>
          </cell>
          <cell r="L212" t="str">
            <v/>
          </cell>
        </row>
        <row r="213">
          <cell r="A213">
            <v>34000000</v>
          </cell>
          <cell r="C213">
            <v>34000000</v>
          </cell>
          <cell r="D213">
            <v>34000000</v>
          </cell>
          <cell r="E213">
            <v>34000000</v>
          </cell>
          <cell r="F213">
            <v>34000000</v>
          </cell>
          <cell r="G213">
            <v>34000000</v>
          </cell>
          <cell r="H213">
            <v>34000000</v>
          </cell>
          <cell r="I213" t="str">
            <v/>
          </cell>
          <cell r="J213" t="str">
            <v/>
          </cell>
          <cell r="K213" t="str">
            <v/>
          </cell>
          <cell r="L213" t="str">
            <v/>
          </cell>
        </row>
        <row r="214">
          <cell r="A214">
            <v>34000000</v>
          </cell>
          <cell r="C214">
            <v>34000000</v>
          </cell>
          <cell r="D214">
            <v>34000000</v>
          </cell>
          <cell r="E214">
            <v>34000000</v>
          </cell>
          <cell r="F214">
            <v>34000000</v>
          </cell>
          <cell r="G214">
            <v>34000000</v>
          </cell>
          <cell r="H214">
            <v>34000000</v>
          </cell>
          <cell r="I214" t="str">
            <v/>
          </cell>
          <cell r="J214" t="str">
            <v/>
          </cell>
          <cell r="K214" t="str">
            <v/>
          </cell>
          <cell r="L214" t="str">
            <v/>
          </cell>
        </row>
        <row r="215">
          <cell r="A215">
            <v>34000000</v>
          </cell>
          <cell r="C215">
            <v>34000000</v>
          </cell>
          <cell r="D215">
            <v>34000000</v>
          </cell>
          <cell r="E215">
            <v>34000000</v>
          </cell>
          <cell r="F215">
            <v>34000000</v>
          </cell>
          <cell r="G215">
            <v>34000000</v>
          </cell>
          <cell r="H215">
            <v>34000000</v>
          </cell>
          <cell r="I215" t="str">
            <v/>
          </cell>
          <cell r="J215" t="str">
            <v/>
          </cell>
          <cell r="K215" t="str">
            <v/>
          </cell>
          <cell r="L215" t="str">
            <v/>
          </cell>
        </row>
        <row r="216">
          <cell r="A216">
            <v>34000000</v>
          </cell>
          <cell r="C216">
            <v>34000000</v>
          </cell>
          <cell r="D216">
            <v>34000000</v>
          </cell>
          <cell r="E216">
            <v>34000000</v>
          </cell>
          <cell r="F216">
            <v>34000000</v>
          </cell>
          <cell r="G216">
            <v>34000000</v>
          </cell>
          <cell r="H216">
            <v>34000000</v>
          </cell>
          <cell r="I216" t="str">
            <v/>
          </cell>
          <cell r="J216" t="str">
            <v/>
          </cell>
          <cell r="K216" t="str">
            <v/>
          </cell>
          <cell r="L216" t="str">
            <v/>
          </cell>
        </row>
        <row r="217">
          <cell r="A217">
            <v>34000000</v>
          </cell>
          <cell r="C217">
            <v>34000000</v>
          </cell>
          <cell r="D217">
            <v>34000000</v>
          </cell>
          <cell r="E217">
            <v>34000000</v>
          </cell>
          <cell r="F217">
            <v>34000000</v>
          </cell>
          <cell r="G217">
            <v>34000000</v>
          </cell>
          <cell r="H217">
            <v>34000000</v>
          </cell>
          <cell r="I217" t="str">
            <v/>
          </cell>
          <cell r="J217" t="str">
            <v/>
          </cell>
          <cell r="K217" t="str">
            <v/>
          </cell>
          <cell r="L217" t="str">
            <v/>
          </cell>
        </row>
        <row r="218">
          <cell r="A218">
            <v>34000000</v>
          </cell>
          <cell r="C218">
            <v>34000000</v>
          </cell>
          <cell r="D218">
            <v>34000000</v>
          </cell>
          <cell r="E218">
            <v>34000000</v>
          </cell>
          <cell r="F218">
            <v>34000000</v>
          </cell>
          <cell r="G218">
            <v>34000000</v>
          </cell>
          <cell r="H218">
            <v>34000000</v>
          </cell>
          <cell r="I218" t="str">
            <v/>
          </cell>
          <cell r="J218" t="str">
            <v/>
          </cell>
          <cell r="K218" t="str">
            <v/>
          </cell>
          <cell r="L218" t="str">
            <v/>
          </cell>
        </row>
        <row r="219">
          <cell r="A219">
            <v>34000000</v>
          </cell>
          <cell r="C219">
            <v>34000000</v>
          </cell>
          <cell r="D219">
            <v>34000000</v>
          </cell>
          <cell r="E219">
            <v>34000000</v>
          </cell>
          <cell r="F219">
            <v>34000000</v>
          </cell>
          <cell r="G219">
            <v>34000000</v>
          </cell>
          <cell r="H219">
            <v>34000000</v>
          </cell>
          <cell r="I219" t="str">
            <v/>
          </cell>
          <cell r="J219" t="str">
            <v/>
          </cell>
          <cell r="K219" t="str">
            <v/>
          </cell>
          <cell r="L219" t="str">
            <v/>
          </cell>
        </row>
        <row r="220">
          <cell r="A220">
            <v>34000000</v>
          </cell>
          <cell r="C220">
            <v>34000000</v>
          </cell>
          <cell r="D220">
            <v>34000000</v>
          </cell>
          <cell r="E220">
            <v>34000000</v>
          </cell>
          <cell r="F220">
            <v>34000000</v>
          </cell>
          <cell r="G220">
            <v>34000000</v>
          </cell>
          <cell r="H220">
            <v>34000000</v>
          </cell>
          <cell r="I220" t="str">
            <v/>
          </cell>
          <cell r="J220" t="str">
            <v/>
          </cell>
          <cell r="K220" t="str">
            <v/>
          </cell>
          <cell r="L220" t="str">
            <v/>
          </cell>
        </row>
        <row r="221">
          <cell r="A221">
            <v>34000000</v>
          </cell>
          <cell r="C221">
            <v>34000000</v>
          </cell>
          <cell r="D221">
            <v>34000000</v>
          </cell>
          <cell r="E221">
            <v>34000000</v>
          </cell>
          <cell r="F221">
            <v>34000000</v>
          </cell>
          <cell r="G221">
            <v>34000000</v>
          </cell>
          <cell r="H221">
            <v>34000000</v>
          </cell>
          <cell r="I221" t="str">
            <v/>
          </cell>
          <cell r="J221" t="str">
            <v/>
          </cell>
          <cell r="K221" t="str">
            <v/>
          </cell>
          <cell r="L221" t="str">
            <v/>
          </cell>
        </row>
        <row r="222">
          <cell r="A222">
            <v>34000000</v>
          </cell>
          <cell r="C222">
            <v>34000000</v>
          </cell>
          <cell r="D222">
            <v>34000000</v>
          </cell>
          <cell r="E222">
            <v>34000000</v>
          </cell>
          <cell r="F222">
            <v>34000000</v>
          </cell>
          <cell r="G222">
            <v>34000000</v>
          </cell>
          <cell r="H222">
            <v>34000000</v>
          </cell>
          <cell r="I222" t="str">
            <v/>
          </cell>
          <cell r="J222" t="str">
            <v/>
          </cell>
          <cell r="K222" t="str">
            <v/>
          </cell>
          <cell r="L222" t="str">
            <v/>
          </cell>
        </row>
        <row r="223">
          <cell r="A223">
            <v>34000000</v>
          </cell>
          <cell r="C223">
            <v>34000000</v>
          </cell>
          <cell r="D223">
            <v>34000000</v>
          </cell>
          <cell r="E223">
            <v>34000000</v>
          </cell>
          <cell r="F223">
            <v>34000000</v>
          </cell>
          <cell r="G223">
            <v>34000000</v>
          </cell>
          <cell r="H223">
            <v>34000000</v>
          </cell>
          <cell r="I223" t="str">
            <v/>
          </cell>
          <cell r="J223" t="str">
            <v/>
          </cell>
          <cell r="K223" t="str">
            <v/>
          </cell>
          <cell r="L223" t="str">
            <v/>
          </cell>
        </row>
        <row r="224">
          <cell r="A224">
            <v>34000000</v>
          </cell>
          <cell r="C224">
            <v>34000000</v>
          </cell>
          <cell r="D224">
            <v>34000000</v>
          </cell>
          <cell r="E224">
            <v>34000000</v>
          </cell>
          <cell r="F224">
            <v>34000000</v>
          </cell>
          <cell r="G224">
            <v>34000000</v>
          </cell>
          <cell r="H224">
            <v>34000000</v>
          </cell>
          <cell r="I224" t="str">
            <v/>
          </cell>
          <cell r="J224" t="str">
            <v/>
          </cell>
          <cell r="K224" t="str">
            <v/>
          </cell>
          <cell r="L224" t="str">
            <v/>
          </cell>
        </row>
        <row r="225">
          <cell r="A225">
            <v>34000000</v>
          </cell>
          <cell r="C225">
            <v>34000000</v>
          </cell>
          <cell r="D225">
            <v>34000000</v>
          </cell>
          <cell r="E225">
            <v>34000000</v>
          </cell>
          <cell r="F225">
            <v>34000000</v>
          </cell>
          <cell r="G225">
            <v>34000000</v>
          </cell>
          <cell r="H225">
            <v>34000000</v>
          </cell>
          <cell r="I225" t="str">
            <v/>
          </cell>
          <cell r="J225" t="str">
            <v/>
          </cell>
          <cell r="K225" t="str">
            <v/>
          </cell>
          <cell r="L225" t="str">
            <v/>
          </cell>
        </row>
        <row r="226">
          <cell r="A226">
            <v>34000000</v>
          </cell>
          <cell r="C226">
            <v>34000000</v>
          </cell>
          <cell r="D226">
            <v>34000000</v>
          </cell>
          <cell r="E226">
            <v>34000000</v>
          </cell>
          <cell r="F226">
            <v>34000000</v>
          </cell>
          <cell r="G226">
            <v>34000000</v>
          </cell>
          <cell r="H226">
            <v>34000000</v>
          </cell>
          <cell r="I226" t="str">
            <v/>
          </cell>
          <cell r="J226" t="str">
            <v/>
          </cell>
          <cell r="K226" t="str">
            <v/>
          </cell>
          <cell r="L226" t="str">
            <v/>
          </cell>
        </row>
        <row r="227">
          <cell r="A227">
            <v>34000000</v>
          </cell>
          <cell r="C227">
            <v>34000000</v>
          </cell>
          <cell r="D227">
            <v>34000000</v>
          </cell>
          <cell r="E227">
            <v>34000000</v>
          </cell>
          <cell r="F227">
            <v>34000000</v>
          </cell>
          <cell r="G227">
            <v>34000000</v>
          </cell>
          <cell r="H227">
            <v>34000000</v>
          </cell>
          <cell r="I227" t="str">
            <v/>
          </cell>
          <cell r="J227" t="str">
            <v/>
          </cell>
          <cell r="K227" t="str">
            <v/>
          </cell>
          <cell r="L227" t="str">
            <v/>
          </cell>
        </row>
        <row r="228">
          <cell r="A228">
            <v>34000000</v>
          </cell>
          <cell r="C228">
            <v>34000000</v>
          </cell>
          <cell r="D228">
            <v>34000000</v>
          </cell>
          <cell r="E228">
            <v>34000000</v>
          </cell>
          <cell r="F228">
            <v>34000000</v>
          </cell>
          <cell r="G228">
            <v>34000000</v>
          </cell>
          <cell r="H228">
            <v>34000000</v>
          </cell>
          <cell r="I228" t="str">
            <v/>
          </cell>
          <cell r="J228" t="str">
            <v/>
          </cell>
          <cell r="K228" t="str">
            <v/>
          </cell>
          <cell r="L228" t="str">
            <v/>
          </cell>
        </row>
        <row r="229">
          <cell r="A229">
            <v>34000000</v>
          </cell>
          <cell r="C229">
            <v>34000000</v>
          </cell>
          <cell r="D229">
            <v>34000000</v>
          </cell>
          <cell r="E229">
            <v>34000000</v>
          </cell>
          <cell r="F229">
            <v>34000000</v>
          </cell>
          <cell r="G229">
            <v>34000000</v>
          </cell>
          <cell r="H229">
            <v>34000000</v>
          </cell>
          <cell r="I229" t="str">
            <v/>
          </cell>
          <cell r="J229" t="str">
            <v/>
          </cell>
          <cell r="K229" t="str">
            <v/>
          </cell>
          <cell r="L229" t="str">
            <v/>
          </cell>
        </row>
        <row r="230">
          <cell r="A230">
            <v>34000000</v>
          </cell>
          <cell r="C230">
            <v>34000000</v>
          </cell>
          <cell r="D230">
            <v>34000000</v>
          </cell>
          <cell r="E230">
            <v>34000000</v>
          </cell>
          <cell r="F230">
            <v>34000000</v>
          </cell>
          <cell r="G230">
            <v>34000000</v>
          </cell>
          <cell r="H230">
            <v>34000000</v>
          </cell>
          <cell r="I230" t="str">
            <v/>
          </cell>
          <cell r="J230" t="str">
            <v/>
          </cell>
          <cell r="K230" t="str">
            <v/>
          </cell>
          <cell r="L230" t="str">
            <v/>
          </cell>
        </row>
        <row r="231">
          <cell r="A231">
            <v>34000000</v>
          </cell>
          <cell r="C231">
            <v>34000000</v>
          </cell>
          <cell r="D231">
            <v>34000000</v>
          </cell>
          <cell r="E231">
            <v>34000000</v>
          </cell>
          <cell r="F231">
            <v>34000000</v>
          </cell>
          <cell r="G231">
            <v>34000000</v>
          </cell>
          <cell r="H231">
            <v>34000000</v>
          </cell>
          <cell r="I231" t="str">
            <v/>
          </cell>
          <cell r="J231" t="str">
            <v/>
          </cell>
          <cell r="K231" t="str">
            <v/>
          </cell>
          <cell r="L231" t="str">
            <v/>
          </cell>
        </row>
        <row r="232">
          <cell r="A232">
            <v>34000000</v>
          </cell>
          <cell r="C232">
            <v>34000000</v>
          </cell>
          <cell r="D232">
            <v>34000000</v>
          </cell>
          <cell r="E232">
            <v>34000000</v>
          </cell>
          <cell r="F232">
            <v>34000000</v>
          </cell>
          <cell r="G232">
            <v>34000000</v>
          </cell>
          <cell r="H232">
            <v>34000000</v>
          </cell>
          <cell r="I232" t="str">
            <v/>
          </cell>
          <cell r="J232" t="str">
            <v/>
          </cell>
          <cell r="K232" t="str">
            <v/>
          </cell>
          <cell r="L232" t="str">
            <v/>
          </cell>
        </row>
        <row r="233">
          <cell r="A233">
            <v>34000000</v>
          </cell>
          <cell r="C233">
            <v>34000000</v>
          </cell>
          <cell r="D233">
            <v>34000000</v>
          </cell>
          <cell r="E233">
            <v>34000000</v>
          </cell>
          <cell r="F233">
            <v>34000000</v>
          </cell>
          <cell r="G233">
            <v>34000000</v>
          </cell>
          <cell r="H233">
            <v>34000000</v>
          </cell>
          <cell r="I233" t="str">
            <v/>
          </cell>
          <cell r="J233" t="str">
            <v/>
          </cell>
          <cell r="K233" t="str">
            <v/>
          </cell>
          <cell r="L233" t="str">
            <v/>
          </cell>
        </row>
        <row r="234">
          <cell r="A234">
            <v>34000000</v>
          </cell>
          <cell r="C234">
            <v>34000000</v>
          </cell>
          <cell r="D234">
            <v>34000000</v>
          </cell>
          <cell r="E234">
            <v>34000000</v>
          </cell>
          <cell r="F234">
            <v>34000000</v>
          </cell>
          <cell r="G234">
            <v>34000000</v>
          </cell>
          <cell r="H234">
            <v>34000000</v>
          </cell>
          <cell r="I234" t="str">
            <v/>
          </cell>
          <cell r="J234" t="str">
            <v/>
          </cell>
          <cell r="K234" t="str">
            <v/>
          </cell>
          <cell r="L234" t="str">
            <v/>
          </cell>
        </row>
        <row r="235">
          <cell r="A235">
            <v>34000000</v>
          </cell>
          <cell r="C235">
            <v>34000000</v>
          </cell>
          <cell r="D235">
            <v>34000000</v>
          </cell>
          <cell r="E235">
            <v>34000000</v>
          </cell>
          <cell r="F235">
            <v>34000000</v>
          </cell>
          <cell r="G235">
            <v>34000000</v>
          </cell>
          <cell r="H235">
            <v>34000000</v>
          </cell>
          <cell r="I235" t="str">
            <v/>
          </cell>
          <cell r="J235" t="str">
            <v/>
          </cell>
          <cell r="K235" t="str">
            <v/>
          </cell>
          <cell r="L235" t="str">
            <v/>
          </cell>
        </row>
        <row r="236">
          <cell r="A236">
            <v>34000000</v>
          </cell>
          <cell r="C236">
            <v>34000000</v>
          </cell>
          <cell r="D236">
            <v>34000000</v>
          </cell>
          <cell r="E236">
            <v>34000000</v>
          </cell>
          <cell r="F236">
            <v>34000000</v>
          </cell>
          <cell r="G236">
            <v>34000000</v>
          </cell>
          <cell r="H236">
            <v>34000000</v>
          </cell>
          <cell r="I236" t="str">
            <v/>
          </cell>
          <cell r="J236" t="str">
            <v/>
          </cell>
          <cell r="K236" t="str">
            <v/>
          </cell>
          <cell r="L236" t="str">
            <v/>
          </cell>
        </row>
        <row r="237">
          <cell r="A237">
            <v>34000000</v>
          </cell>
          <cell r="C237">
            <v>34000000</v>
          </cell>
          <cell r="D237">
            <v>34000000</v>
          </cell>
          <cell r="E237">
            <v>34000000</v>
          </cell>
          <cell r="F237">
            <v>34000000</v>
          </cell>
          <cell r="G237">
            <v>34000000</v>
          </cell>
          <cell r="H237">
            <v>34000000</v>
          </cell>
          <cell r="I237" t="str">
            <v/>
          </cell>
          <cell r="J237" t="str">
            <v/>
          </cell>
          <cell r="K237" t="str">
            <v/>
          </cell>
          <cell r="L237" t="str">
            <v/>
          </cell>
        </row>
        <row r="238">
          <cell r="A238">
            <v>34000000</v>
          </cell>
          <cell r="C238">
            <v>34000000</v>
          </cell>
          <cell r="D238">
            <v>34000000</v>
          </cell>
          <cell r="E238">
            <v>34000000</v>
          </cell>
          <cell r="F238">
            <v>34000000</v>
          </cell>
          <cell r="G238">
            <v>34000000</v>
          </cell>
          <cell r="H238">
            <v>34000000</v>
          </cell>
          <cell r="I238" t="str">
            <v/>
          </cell>
          <cell r="J238" t="str">
            <v/>
          </cell>
          <cell r="K238" t="str">
            <v/>
          </cell>
          <cell r="L238" t="str">
            <v/>
          </cell>
        </row>
        <row r="239">
          <cell r="A239">
            <v>34000000</v>
          </cell>
          <cell r="C239">
            <v>34000000</v>
          </cell>
          <cell r="D239">
            <v>34000000</v>
          </cell>
          <cell r="E239">
            <v>34000000</v>
          </cell>
          <cell r="F239">
            <v>34000000</v>
          </cell>
          <cell r="G239">
            <v>34000000</v>
          </cell>
          <cell r="H239">
            <v>34000000</v>
          </cell>
          <cell r="I239" t="str">
            <v/>
          </cell>
          <cell r="J239" t="str">
            <v/>
          </cell>
          <cell r="K239" t="str">
            <v/>
          </cell>
          <cell r="L239" t="str">
            <v/>
          </cell>
        </row>
        <row r="240">
          <cell r="A240">
            <v>34000000</v>
          </cell>
          <cell r="C240">
            <v>34000000</v>
          </cell>
          <cell r="D240">
            <v>34000000</v>
          </cell>
          <cell r="E240">
            <v>34000000</v>
          </cell>
          <cell r="F240">
            <v>34000000</v>
          </cell>
          <cell r="G240">
            <v>34000000</v>
          </cell>
          <cell r="H240">
            <v>34000000</v>
          </cell>
          <cell r="I240" t="str">
            <v/>
          </cell>
          <cell r="J240" t="str">
            <v/>
          </cell>
          <cell r="K240" t="str">
            <v/>
          </cell>
          <cell r="L240" t="str">
            <v/>
          </cell>
        </row>
        <row r="241">
          <cell r="A241">
            <v>34000000</v>
          </cell>
          <cell r="C241">
            <v>34000000</v>
          </cell>
          <cell r="D241">
            <v>34000000</v>
          </cell>
          <cell r="E241">
            <v>34000000</v>
          </cell>
          <cell r="F241">
            <v>34000000</v>
          </cell>
          <cell r="G241">
            <v>34000000</v>
          </cell>
          <cell r="H241">
            <v>34000000</v>
          </cell>
          <cell r="I241" t="str">
            <v/>
          </cell>
          <cell r="J241" t="str">
            <v/>
          </cell>
          <cell r="K241" t="str">
            <v/>
          </cell>
          <cell r="L241" t="str">
            <v/>
          </cell>
        </row>
        <row r="242">
          <cell r="A242">
            <v>34000000</v>
          </cell>
          <cell r="C242">
            <v>34000000</v>
          </cell>
          <cell r="D242">
            <v>34000000</v>
          </cell>
          <cell r="E242">
            <v>34000000</v>
          </cell>
          <cell r="F242">
            <v>34000000</v>
          </cell>
          <cell r="G242">
            <v>34000000</v>
          </cell>
          <cell r="H242">
            <v>34000000</v>
          </cell>
          <cell r="I242" t="str">
            <v/>
          </cell>
          <cell r="J242" t="str">
            <v/>
          </cell>
          <cell r="K242" t="str">
            <v/>
          </cell>
          <cell r="L242" t="str">
            <v/>
          </cell>
        </row>
        <row r="243">
          <cell r="A243">
            <v>34000000</v>
          </cell>
          <cell r="C243">
            <v>34000000</v>
          </cell>
          <cell r="D243">
            <v>34000000</v>
          </cell>
          <cell r="E243">
            <v>34000000</v>
          </cell>
          <cell r="F243">
            <v>34000000</v>
          </cell>
          <cell r="G243">
            <v>34000000</v>
          </cell>
          <cell r="H243">
            <v>34000000</v>
          </cell>
          <cell r="I243" t="str">
            <v/>
          </cell>
          <cell r="J243" t="str">
            <v/>
          </cell>
          <cell r="K243" t="str">
            <v/>
          </cell>
          <cell r="L243" t="str">
            <v/>
          </cell>
        </row>
        <row r="244">
          <cell r="A244">
            <v>34000000</v>
          </cell>
          <cell r="C244">
            <v>34000000</v>
          </cell>
          <cell r="D244">
            <v>34000000</v>
          </cell>
          <cell r="E244">
            <v>34000000</v>
          </cell>
          <cell r="F244">
            <v>34000000</v>
          </cell>
          <cell r="G244">
            <v>34000000</v>
          </cell>
          <cell r="H244">
            <v>34000000</v>
          </cell>
          <cell r="I244" t="str">
            <v/>
          </cell>
          <cell r="J244" t="str">
            <v/>
          </cell>
          <cell r="K244" t="str">
            <v/>
          </cell>
          <cell r="L244" t="str">
            <v/>
          </cell>
        </row>
        <row r="245">
          <cell r="A245">
            <v>34000000</v>
          </cell>
          <cell r="C245">
            <v>34000000</v>
          </cell>
          <cell r="D245">
            <v>34000000</v>
          </cell>
          <cell r="E245">
            <v>34000000</v>
          </cell>
          <cell r="F245">
            <v>34000000</v>
          </cell>
          <cell r="G245">
            <v>34000000</v>
          </cell>
          <cell r="H245">
            <v>34000000</v>
          </cell>
          <cell r="I245" t="str">
            <v/>
          </cell>
          <cell r="J245" t="str">
            <v/>
          </cell>
          <cell r="K245" t="str">
            <v/>
          </cell>
          <cell r="L245" t="str">
            <v/>
          </cell>
        </row>
        <row r="246">
          <cell r="A246">
            <v>34000000</v>
          </cell>
          <cell r="C246">
            <v>34000000</v>
          </cell>
          <cell r="D246">
            <v>34000000</v>
          </cell>
          <cell r="E246">
            <v>34000000</v>
          </cell>
          <cell r="F246">
            <v>34000000</v>
          </cell>
          <cell r="G246">
            <v>34000000</v>
          </cell>
          <cell r="H246">
            <v>34000000</v>
          </cell>
          <cell r="I246" t="str">
            <v/>
          </cell>
          <cell r="J246" t="str">
            <v/>
          </cell>
          <cell r="K246" t="str">
            <v/>
          </cell>
          <cell r="L246" t="str">
            <v/>
          </cell>
        </row>
        <row r="247">
          <cell r="A247">
            <v>34000000</v>
          </cell>
          <cell r="C247">
            <v>34000000</v>
          </cell>
          <cell r="D247">
            <v>34000000</v>
          </cell>
          <cell r="E247">
            <v>34000000</v>
          </cell>
          <cell r="F247">
            <v>34000000</v>
          </cell>
          <cell r="G247">
            <v>34000000</v>
          </cell>
          <cell r="H247">
            <v>34000000</v>
          </cell>
          <cell r="I247" t="str">
            <v/>
          </cell>
          <cell r="J247" t="str">
            <v/>
          </cell>
          <cell r="K247" t="str">
            <v/>
          </cell>
          <cell r="L247" t="str">
            <v/>
          </cell>
        </row>
        <row r="248">
          <cell r="A248">
            <v>34000000</v>
          </cell>
          <cell r="C248">
            <v>34000000</v>
          </cell>
          <cell r="D248">
            <v>34000000</v>
          </cell>
          <cell r="E248">
            <v>34000000</v>
          </cell>
          <cell r="F248">
            <v>34000000</v>
          </cell>
          <cell r="G248">
            <v>34000000</v>
          </cell>
          <cell r="H248">
            <v>34000000</v>
          </cell>
          <cell r="I248" t="str">
            <v/>
          </cell>
          <cell r="J248" t="str">
            <v/>
          </cell>
          <cell r="K248" t="str">
            <v/>
          </cell>
          <cell r="L248" t="str">
            <v/>
          </cell>
        </row>
        <row r="249">
          <cell r="A249">
            <v>34000000</v>
          </cell>
          <cell r="C249">
            <v>34000000</v>
          </cell>
          <cell r="D249">
            <v>34000000</v>
          </cell>
          <cell r="E249">
            <v>34000000</v>
          </cell>
          <cell r="F249">
            <v>34000000</v>
          </cell>
          <cell r="G249">
            <v>34000000</v>
          </cell>
          <cell r="H249">
            <v>34000000</v>
          </cell>
          <cell r="I249" t="str">
            <v/>
          </cell>
          <cell r="J249" t="str">
            <v/>
          </cell>
          <cell r="K249" t="str">
            <v/>
          </cell>
          <cell r="L249" t="str">
            <v/>
          </cell>
        </row>
        <row r="250">
          <cell r="A250">
            <v>34000000</v>
          </cell>
          <cell r="C250">
            <v>34000000</v>
          </cell>
          <cell r="D250">
            <v>34000000</v>
          </cell>
          <cell r="E250">
            <v>34000000</v>
          </cell>
          <cell r="F250">
            <v>34000000</v>
          </cell>
          <cell r="G250">
            <v>34000000</v>
          </cell>
          <cell r="H250">
            <v>34000000</v>
          </cell>
          <cell r="I250" t="str">
            <v/>
          </cell>
          <cell r="J250" t="str">
            <v/>
          </cell>
          <cell r="K250" t="str">
            <v/>
          </cell>
          <cell r="L250" t="str">
            <v/>
          </cell>
        </row>
        <row r="251">
          <cell r="A251">
            <v>34000000</v>
          </cell>
          <cell r="C251">
            <v>34000000</v>
          </cell>
          <cell r="D251">
            <v>34000000</v>
          </cell>
          <cell r="E251">
            <v>34000000</v>
          </cell>
          <cell r="F251">
            <v>34000000</v>
          </cell>
          <cell r="G251">
            <v>34000000</v>
          </cell>
          <cell r="H251">
            <v>34000000</v>
          </cell>
          <cell r="I251" t="str">
            <v/>
          </cell>
          <cell r="J251" t="str">
            <v/>
          </cell>
          <cell r="K251" t="str">
            <v/>
          </cell>
          <cell r="L251" t="str">
            <v/>
          </cell>
        </row>
        <row r="252">
          <cell r="A252">
            <v>34000000</v>
          </cell>
          <cell r="C252">
            <v>34000000</v>
          </cell>
          <cell r="D252">
            <v>34000000</v>
          </cell>
          <cell r="E252">
            <v>34000000</v>
          </cell>
          <cell r="F252">
            <v>34000000</v>
          </cell>
          <cell r="G252">
            <v>34000000</v>
          </cell>
          <cell r="H252">
            <v>34000000</v>
          </cell>
          <cell r="I252" t="str">
            <v/>
          </cell>
          <cell r="J252" t="str">
            <v/>
          </cell>
          <cell r="K252" t="str">
            <v/>
          </cell>
          <cell r="L252" t="str">
            <v/>
          </cell>
        </row>
        <row r="253">
          <cell r="A253">
            <v>34000000</v>
          </cell>
          <cell r="C253">
            <v>34000000</v>
          </cell>
          <cell r="D253">
            <v>34000000</v>
          </cell>
          <cell r="E253">
            <v>34000000</v>
          </cell>
          <cell r="F253">
            <v>34000000</v>
          </cell>
          <cell r="G253">
            <v>34000000</v>
          </cell>
          <cell r="H253">
            <v>34000000</v>
          </cell>
          <cell r="I253" t="str">
            <v/>
          </cell>
          <cell r="J253" t="str">
            <v/>
          </cell>
          <cell r="K253" t="str">
            <v/>
          </cell>
          <cell r="L253" t="str">
            <v/>
          </cell>
        </row>
        <row r="254">
          <cell r="A254">
            <v>34000000</v>
          </cell>
          <cell r="C254">
            <v>34000000</v>
          </cell>
          <cell r="D254">
            <v>34000000</v>
          </cell>
          <cell r="E254">
            <v>34000000</v>
          </cell>
          <cell r="F254">
            <v>34000000</v>
          </cell>
          <cell r="G254">
            <v>34000000</v>
          </cell>
          <cell r="H254">
            <v>34000000</v>
          </cell>
          <cell r="I254" t="str">
            <v/>
          </cell>
          <cell r="J254" t="str">
            <v/>
          </cell>
          <cell r="K254" t="str">
            <v/>
          </cell>
          <cell r="L254" t="str">
            <v/>
          </cell>
        </row>
        <row r="255">
          <cell r="A255">
            <v>34000000</v>
          </cell>
          <cell r="C255">
            <v>34000000</v>
          </cell>
          <cell r="D255">
            <v>34000000</v>
          </cell>
          <cell r="E255">
            <v>34000000</v>
          </cell>
          <cell r="F255">
            <v>34000000</v>
          </cell>
          <cell r="G255">
            <v>34000000</v>
          </cell>
          <cell r="H255">
            <v>34000000</v>
          </cell>
          <cell r="I255" t="str">
            <v/>
          </cell>
          <cell r="J255" t="str">
            <v/>
          </cell>
          <cell r="K255" t="str">
            <v/>
          </cell>
          <cell r="L255" t="str">
            <v/>
          </cell>
        </row>
        <row r="256">
          <cell r="A256">
            <v>34000000</v>
          </cell>
          <cell r="C256">
            <v>34000000</v>
          </cell>
          <cell r="D256">
            <v>34000000</v>
          </cell>
          <cell r="E256">
            <v>34000000</v>
          </cell>
          <cell r="F256">
            <v>34000000</v>
          </cell>
          <cell r="G256">
            <v>34000000</v>
          </cell>
          <cell r="H256">
            <v>34000000</v>
          </cell>
          <cell r="I256" t="str">
            <v/>
          </cell>
          <cell r="J256" t="str">
            <v/>
          </cell>
          <cell r="K256" t="str">
            <v/>
          </cell>
          <cell r="L256" t="str">
            <v/>
          </cell>
        </row>
        <row r="257">
          <cell r="A257">
            <v>34000000</v>
          </cell>
          <cell r="C257">
            <v>34000000</v>
          </cell>
          <cell r="D257">
            <v>34000000</v>
          </cell>
          <cell r="E257">
            <v>34000000</v>
          </cell>
          <cell r="F257">
            <v>34000000</v>
          </cell>
          <cell r="G257">
            <v>34000000</v>
          </cell>
          <cell r="H257">
            <v>34000000</v>
          </cell>
          <cell r="I257" t="str">
            <v/>
          </cell>
          <cell r="J257" t="str">
            <v/>
          </cell>
          <cell r="K257" t="str">
            <v/>
          </cell>
          <cell r="L257" t="str">
            <v/>
          </cell>
        </row>
        <row r="258">
          <cell r="A258">
            <v>34000000</v>
          </cell>
          <cell r="C258">
            <v>34000000</v>
          </cell>
          <cell r="D258">
            <v>34000000</v>
          </cell>
          <cell r="E258">
            <v>34000000</v>
          </cell>
          <cell r="F258">
            <v>34000000</v>
          </cell>
          <cell r="G258">
            <v>34000000</v>
          </cell>
          <cell r="H258">
            <v>34000000</v>
          </cell>
          <cell r="I258" t="str">
            <v/>
          </cell>
          <cell r="J258" t="str">
            <v/>
          </cell>
          <cell r="K258" t="str">
            <v/>
          </cell>
          <cell r="L258" t="str">
            <v/>
          </cell>
        </row>
        <row r="259">
          <cell r="A259">
            <v>34000000</v>
          </cell>
          <cell r="C259">
            <v>34000000</v>
          </cell>
          <cell r="D259">
            <v>34000000</v>
          </cell>
          <cell r="E259">
            <v>34000000</v>
          </cell>
          <cell r="F259">
            <v>34000000</v>
          </cell>
          <cell r="G259">
            <v>34000000</v>
          </cell>
          <cell r="H259">
            <v>34000000</v>
          </cell>
          <cell r="I259" t="str">
            <v/>
          </cell>
          <cell r="J259" t="str">
            <v/>
          </cell>
          <cell r="K259" t="str">
            <v/>
          </cell>
          <cell r="L259" t="str">
            <v/>
          </cell>
        </row>
        <row r="260">
          <cell r="A260">
            <v>34000000</v>
          </cell>
          <cell r="C260">
            <v>34000000</v>
          </cell>
          <cell r="D260">
            <v>34000000</v>
          </cell>
          <cell r="E260">
            <v>34000000</v>
          </cell>
          <cell r="F260">
            <v>34000000</v>
          </cell>
          <cell r="G260">
            <v>34000000</v>
          </cell>
          <cell r="H260">
            <v>34000000</v>
          </cell>
          <cell r="I260" t="str">
            <v/>
          </cell>
          <cell r="J260" t="str">
            <v/>
          </cell>
          <cell r="K260" t="str">
            <v/>
          </cell>
          <cell r="L260" t="str">
            <v/>
          </cell>
        </row>
        <row r="261">
          <cell r="A261">
            <v>34000000</v>
          </cell>
          <cell r="C261">
            <v>34000000</v>
          </cell>
          <cell r="D261">
            <v>34000000</v>
          </cell>
          <cell r="E261">
            <v>34000000</v>
          </cell>
          <cell r="F261">
            <v>34000000</v>
          </cell>
          <cell r="G261">
            <v>34000000</v>
          </cell>
          <cell r="H261">
            <v>34000000</v>
          </cell>
          <cell r="I261" t="str">
            <v/>
          </cell>
          <cell r="J261" t="str">
            <v/>
          </cell>
          <cell r="K261" t="str">
            <v/>
          </cell>
          <cell r="L261" t="str">
            <v/>
          </cell>
        </row>
        <row r="262">
          <cell r="A262">
            <v>34000000</v>
          </cell>
          <cell r="C262">
            <v>34000000</v>
          </cell>
          <cell r="D262">
            <v>34000000</v>
          </cell>
          <cell r="E262">
            <v>34000000</v>
          </cell>
          <cell r="F262">
            <v>34000000</v>
          </cell>
          <cell r="G262">
            <v>34000000</v>
          </cell>
          <cell r="H262">
            <v>34000000</v>
          </cell>
          <cell r="I262" t="str">
            <v/>
          </cell>
          <cell r="J262" t="str">
            <v/>
          </cell>
          <cell r="K262" t="str">
            <v/>
          </cell>
          <cell r="L262" t="str">
            <v/>
          </cell>
        </row>
        <row r="263">
          <cell r="A263">
            <v>34000000</v>
          </cell>
          <cell r="C263">
            <v>34000000</v>
          </cell>
          <cell r="D263">
            <v>34000000</v>
          </cell>
          <cell r="E263">
            <v>34000000</v>
          </cell>
          <cell r="F263">
            <v>34000000</v>
          </cell>
          <cell r="G263">
            <v>34000000</v>
          </cell>
          <cell r="H263">
            <v>34000000</v>
          </cell>
          <cell r="I263" t="str">
            <v/>
          </cell>
          <cell r="J263" t="str">
            <v/>
          </cell>
          <cell r="K263" t="str">
            <v/>
          </cell>
          <cell r="L263" t="str">
            <v/>
          </cell>
        </row>
        <row r="264">
          <cell r="A264">
            <v>34000000</v>
          </cell>
          <cell r="C264">
            <v>34000000</v>
          </cell>
          <cell r="D264">
            <v>34000000</v>
          </cell>
          <cell r="E264">
            <v>34000000</v>
          </cell>
          <cell r="F264">
            <v>34000000</v>
          </cell>
          <cell r="G264">
            <v>34000000</v>
          </cell>
          <cell r="H264">
            <v>34000000</v>
          </cell>
          <cell r="I264" t="str">
            <v/>
          </cell>
          <cell r="J264" t="str">
            <v/>
          </cell>
          <cell r="K264" t="str">
            <v/>
          </cell>
          <cell r="L264" t="str">
            <v/>
          </cell>
        </row>
        <row r="265">
          <cell r="A265">
            <v>34000000</v>
          </cell>
          <cell r="C265">
            <v>34000000</v>
          </cell>
          <cell r="D265">
            <v>34000000</v>
          </cell>
          <cell r="E265">
            <v>34000000</v>
          </cell>
          <cell r="F265">
            <v>34000000</v>
          </cell>
          <cell r="G265">
            <v>34000000</v>
          </cell>
          <cell r="H265">
            <v>34000000</v>
          </cell>
          <cell r="I265" t="str">
            <v/>
          </cell>
          <cell r="J265" t="str">
            <v/>
          </cell>
          <cell r="K265" t="str">
            <v/>
          </cell>
          <cell r="L265" t="str">
            <v/>
          </cell>
        </row>
        <row r="266">
          <cell r="A266">
            <v>34000000</v>
          </cell>
          <cell r="C266">
            <v>34000000</v>
          </cell>
          <cell r="D266">
            <v>34000000</v>
          </cell>
          <cell r="E266">
            <v>34000000</v>
          </cell>
          <cell r="F266">
            <v>34000000</v>
          </cell>
          <cell r="G266">
            <v>34000000</v>
          </cell>
          <cell r="H266">
            <v>34000000</v>
          </cell>
          <cell r="I266" t="str">
            <v/>
          </cell>
          <cell r="J266" t="str">
            <v/>
          </cell>
          <cell r="K266" t="str">
            <v/>
          </cell>
          <cell r="L266" t="str">
            <v/>
          </cell>
        </row>
        <row r="267">
          <cell r="A267">
            <v>34000000</v>
          </cell>
          <cell r="C267">
            <v>34000000</v>
          </cell>
          <cell r="D267">
            <v>34000000</v>
          </cell>
          <cell r="E267">
            <v>34000000</v>
          </cell>
          <cell r="F267">
            <v>34000000</v>
          </cell>
          <cell r="G267">
            <v>34000000</v>
          </cell>
          <cell r="H267">
            <v>34000000</v>
          </cell>
          <cell r="I267" t="str">
            <v/>
          </cell>
          <cell r="J267" t="str">
            <v/>
          </cell>
          <cell r="K267" t="str">
            <v/>
          </cell>
          <cell r="L267" t="str">
            <v/>
          </cell>
        </row>
        <row r="268">
          <cell r="A268">
            <v>34000000</v>
          </cell>
          <cell r="C268">
            <v>34000000</v>
          </cell>
          <cell r="D268">
            <v>34000000</v>
          </cell>
          <cell r="E268">
            <v>34000000</v>
          </cell>
          <cell r="F268">
            <v>34000000</v>
          </cell>
          <cell r="G268">
            <v>34000000</v>
          </cell>
          <cell r="H268">
            <v>34000000</v>
          </cell>
          <cell r="I268" t="str">
            <v/>
          </cell>
          <cell r="J268" t="str">
            <v/>
          </cell>
          <cell r="K268" t="str">
            <v/>
          </cell>
          <cell r="L268" t="str">
            <v/>
          </cell>
        </row>
        <row r="269">
          <cell r="A269">
            <v>34000000</v>
          </cell>
          <cell r="C269">
            <v>34000000</v>
          </cell>
          <cell r="D269">
            <v>34000000</v>
          </cell>
          <cell r="E269">
            <v>34000000</v>
          </cell>
          <cell r="F269">
            <v>34000000</v>
          </cell>
          <cell r="G269">
            <v>34000000</v>
          </cell>
          <cell r="H269">
            <v>34000000</v>
          </cell>
          <cell r="I269" t="str">
            <v/>
          </cell>
          <cell r="J269" t="str">
            <v/>
          </cell>
          <cell r="K269" t="str">
            <v/>
          </cell>
          <cell r="L269" t="str">
            <v/>
          </cell>
        </row>
        <row r="270">
          <cell r="A270">
            <v>34000000</v>
          </cell>
          <cell r="C270">
            <v>34000000</v>
          </cell>
          <cell r="D270">
            <v>34000000</v>
          </cell>
          <cell r="E270">
            <v>34000000</v>
          </cell>
          <cell r="F270">
            <v>34000000</v>
          </cell>
          <cell r="G270">
            <v>34000000</v>
          </cell>
          <cell r="H270">
            <v>34000000</v>
          </cell>
          <cell r="I270" t="str">
            <v/>
          </cell>
          <cell r="J270" t="str">
            <v/>
          </cell>
          <cell r="K270" t="str">
            <v/>
          </cell>
          <cell r="L270" t="str">
            <v/>
          </cell>
        </row>
        <row r="271">
          <cell r="A271">
            <v>34000000</v>
          </cell>
          <cell r="C271">
            <v>34000000</v>
          </cell>
          <cell r="D271">
            <v>34000000</v>
          </cell>
          <cell r="E271">
            <v>34000000</v>
          </cell>
          <cell r="F271">
            <v>34000000</v>
          </cell>
          <cell r="G271">
            <v>34000000</v>
          </cell>
          <cell r="H271">
            <v>34000000</v>
          </cell>
          <cell r="I271" t="str">
            <v/>
          </cell>
          <cell r="J271" t="str">
            <v/>
          </cell>
          <cell r="K271" t="str">
            <v/>
          </cell>
          <cell r="L271" t="str">
            <v/>
          </cell>
        </row>
        <row r="272">
          <cell r="A272">
            <v>34000000</v>
          </cell>
          <cell r="C272">
            <v>34000000</v>
          </cell>
          <cell r="D272">
            <v>34000000</v>
          </cell>
          <cell r="E272">
            <v>34000000</v>
          </cell>
          <cell r="F272">
            <v>34000000</v>
          </cell>
          <cell r="G272">
            <v>34000000</v>
          </cell>
          <cell r="H272">
            <v>34000000</v>
          </cell>
          <cell r="I272" t="str">
            <v/>
          </cell>
          <cell r="J272" t="str">
            <v/>
          </cell>
          <cell r="K272" t="str">
            <v/>
          </cell>
          <cell r="L272" t="str">
            <v/>
          </cell>
        </row>
        <row r="273">
          <cell r="A273">
            <v>34000000</v>
          </cell>
          <cell r="C273">
            <v>34000000</v>
          </cell>
          <cell r="D273">
            <v>34000000</v>
          </cell>
          <cell r="E273">
            <v>34000000</v>
          </cell>
          <cell r="F273">
            <v>34000000</v>
          </cell>
          <cell r="G273">
            <v>34000000</v>
          </cell>
          <cell r="H273">
            <v>34000000</v>
          </cell>
          <cell r="I273" t="str">
            <v/>
          </cell>
          <cell r="J273" t="str">
            <v/>
          </cell>
          <cell r="K273" t="str">
            <v/>
          </cell>
          <cell r="L273" t="str">
            <v/>
          </cell>
        </row>
        <row r="274">
          <cell r="A274">
            <v>34000000</v>
          </cell>
          <cell r="C274">
            <v>34000000</v>
          </cell>
          <cell r="D274">
            <v>34000000</v>
          </cell>
          <cell r="E274">
            <v>34000000</v>
          </cell>
          <cell r="F274">
            <v>34000000</v>
          </cell>
          <cell r="G274">
            <v>34000000</v>
          </cell>
          <cell r="H274">
            <v>34000000</v>
          </cell>
          <cell r="I274" t="str">
            <v/>
          </cell>
          <cell r="J274" t="str">
            <v/>
          </cell>
          <cell r="K274" t="str">
            <v/>
          </cell>
          <cell r="L274" t="str">
            <v/>
          </cell>
        </row>
        <row r="275">
          <cell r="A275">
            <v>34000000</v>
          </cell>
          <cell r="C275">
            <v>34000000</v>
          </cell>
          <cell r="D275">
            <v>34000000</v>
          </cell>
          <cell r="E275">
            <v>34000000</v>
          </cell>
          <cell r="F275">
            <v>34000000</v>
          </cell>
          <cell r="G275">
            <v>34000000</v>
          </cell>
          <cell r="H275">
            <v>34000000</v>
          </cell>
          <cell r="I275" t="str">
            <v/>
          </cell>
          <cell r="J275" t="str">
            <v/>
          </cell>
          <cell r="K275" t="str">
            <v/>
          </cell>
          <cell r="L275" t="str">
            <v/>
          </cell>
        </row>
        <row r="276">
          <cell r="A276">
            <v>34000000</v>
          </cell>
          <cell r="C276">
            <v>34000000</v>
          </cell>
          <cell r="D276">
            <v>34000000</v>
          </cell>
          <cell r="E276">
            <v>34000000</v>
          </cell>
          <cell r="F276">
            <v>34000000</v>
          </cell>
          <cell r="G276">
            <v>34000000</v>
          </cell>
          <cell r="H276">
            <v>34000000</v>
          </cell>
          <cell r="I276" t="str">
            <v/>
          </cell>
          <cell r="J276" t="str">
            <v/>
          </cell>
          <cell r="K276" t="str">
            <v/>
          </cell>
          <cell r="L276" t="str">
            <v/>
          </cell>
        </row>
        <row r="277">
          <cell r="A277">
            <v>34000000</v>
          </cell>
          <cell r="C277">
            <v>34000000</v>
          </cell>
          <cell r="D277">
            <v>34000000</v>
          </cell>
          <cell r="E277">
            <v>34000000</v>
          </cell>
          <cell r="F277">
            <v>34000000</v>
          </cell>
          <cell r="G277">
            <v>34000000</v>
          </cell>
          <cell r="H277">
            <v>34000000</v>
          </cell>
          <cell r="I277" t="str">
            <v/>
          </cell>
          <cell r="J277" t="str">
            <v/>
          </cell>
          <cell r="K277" t="str">
            <v/>
          </cell>
          <cell r="L277" t="str">
            <v/>
          </cell>
        </row>
        <row r="278">
          <cell r="A278">
            <v>34000000</v>
          </cell>
          <cell r="C278">
            <v>34000000</v>
          </cell>
          <cell r="D278">
            <v>34000000</v>
          </cell>
          <cell r="E278">
            <v>34000000</v>
          </cell>
          <cell r="F278">
            <v>34000000</v>
          </cell>
          <cell r="G278">
            <v>34000000</v>
          </cell>
          <cell r="H278">
            <v>34000000</v>
          </cell>
          <cell r="I278" t="str">
            <v/>
          </cell>
          <cell r="J278" t="str">
            <v/>
          </cell>
          <cell r="K278" t="str">
            <v/>
          </cell>
          <cell r="L278" t="str">
            <v/>
          </cell>
        </row>
        <row r="279">
          <cell r="A279">
            <v>34000000</v>
          </cell>
          <cell r="C279">
            <v>34000000</v>
          </cell>
          <cell r="D279">
            <v>34000000</v>
          </cell>
          <cell r="E279">
            <v>34000000</v>
          </cell>
          <cell r="F279">
            <v>34000000</v>
          </cell>
          <cell r="G279">
            <v>34000000</v>
          </cell>
          <cell r="H279">
            <v>34000000</v>
          </cell>
          <cell r="I279" t="str">
            <v/>
          </cell>
          <cell r="J279" t="str">
            <v/>
          </cell>
          <cell r="K279" t="str">
            <v/>
          </cell>
          <cell r="L279" t="str">
            <v/>
          </cell>
        </row>
        <row r="280">
          <cell r="A280">
            <v>34000000</v>
          </cell>
          <cell r="C280">
            <v>34000000</v>
          </cell>
          <cell r="D280">
            <v>34000000</v>
          </cell>
          <cell r="E280">
            <v>34000000</v>
          </cell>
          <cell r="F280">
            <v>34000000</v>
          </cell>
          <cell r="G280">
            <v>34000000</v>
          </cell>
          <cell r="H280">
            <v>34000000</v>
          </cell>
          <cell r="I280" t="str">
            <v/>
          </cell>
          <cell r="J280" t="str">
            <v/>
          </cell>
          <cell r="K280" t="str">
            <v/>
          </cell>
          <cell r="L280" t="str">
            <v/>
          </cell>
        </row>
        <row r="281">
          <cell r="A281">
            <v>34000000</v>
          </cell>
          <cell r="C281">
            <v>34000000</v>
          </cell>
          <cell r="D281">
            <v>34000000</v>
          </cell>
          <cell r="E281">
            <v>34000000</v>
          </cell>
          <cell r="F281">
            <v>34000000</v>
          </cell>
          <cell r="G281">
            <v>34000000</v>
          </cell>
          <cell r="H281">
            <v>34000000</v>
          </cell>
          <cell r="I281" t="str">
            <v/>
          </cell>
          <cell r="J281" t="str">
            <v/>
          </cell>
          <cell r="K281" t="str">
            <v/>
          </cell>
          <cell r="L281" t="str">
            <v/>
          </cell>
        </row>
        <row r="282">
          <cell r="A282">
            <v>34000000</v>
          </cell>
          <cell r="C282">
            <v>34000000</v>
          </cell>
          <cell r="D282">
            <v>34000000</v>
          </cell>
          <cell r="E282">
            <v>34000000</v>
          </cell>
          <cell r="F282">
            <v>34000000</v>
          </cell>
          <cell r="G282">
            <v>34000000</v>
          </cell>
          <cell r="H282">
            <v>34000000</v>
          </cell>
          <cell r="I282" t="str">
            <v/>
          </cell>
          <cell r="J282" t="str">
            <v/>
          </cell>
          <cell r="K282" t="str">
            <v/>
          </cell>
          <cell r="L282" t="str">
            <v/>
          </cell>
        </row>
        <row r="283">
          <cell r="A283">
            <v>34000000</v>
          </cell>
          <cell r="C283">
            <v>34000000</v>
          </cell>
          <cell r="D283">
            <v>34000000</v>
          </cell>
          <cell r="E283">
            <v>34000000</v>
          </cell>
          <cell r="F283">
            <v>34000000</v>
          </cell>
          <cell r="G283">
            <v>34000000</v>
          </cell>
          <cell r="H283">
            <v>34000000</v>
          </cell>
          <cell r="I283" t="str">
            <v/>
          </cell>
          <cell r="J283" t="str">
            <v/>
          </cell>
          <cell r="K283" t="str">
            <v/>
          </cell>
          <cell r="L283" t="str">
            <v/>
          </cell>
        </row>
        <row r="284">
          <cell r="A284">
            <v>34000000</v>
          </cell>
          <cell r="C284">
            <v>34000000</v>
          </cell>
          <cell r="D284">
            <v>34000000</v>
          </cell>
          <cell r="E284">
            <v>34000000</v>
          </cell>
          <cell r="F284">
            <v>34000000</v>
          </cell>
          <cell r="G284">
            <v>34000000</v>
          </cell>
          <cell r="H284">
            <v>34000000</v>
          </cell>
          <cell r="I284" t="str">
            <v/>
          </cell>
          <cell r="J284" t="str">
            <v/>
          </cell>
          <cell r="K284" t="str">
            <v/>
          </cell>
          <cell r="L284" t="str">
            <v/>
          </cell>
        </row>
        <row r="285">
          <cell r="A285">
            <v>34000000</v>
          </cell>
          <cell r="C285">
            <v>34000000</v>
          </cell>
          <cell r="D285">
            <v>34000000</v>
          </cell>
          <cell r="E285">
            <v>34000000</v>
          </cell>
          <cell r="F285">
            <v>34000000</v>
          </cell>
          <cell r="G285">
            <v>34000000</v>
          </cell>
          <cell r="H285">
            <v>34000000</v>
          </cell>
          <cell r="I285" t="str">
            <v/>
          </cell>
          <cell r="J285" t="str">
            <v/>
          </cell>
          <cell r="K285" t="str">
            <v/>
          </cell>
          <cell r="L285" t="str">
            <v/>
          </cell>
        </row>
        <row r="286">
          <cell r="A286">
            <v>34000000</v>
          </cell>
          <cell r="C286">
            <v>34000000</v>
          </cell>
          <cell r="D286">
            <v>34000000</v>
          </cell>
          <cell r="E286">
            <v>34000000</v>
          </cell>
          <cell r="F286">
            <v>34000000</v>
          </cell>
          <cell r="G286">
            <v>34000000</v>
          </cell>
          <cell r="H286">
            <v>34000000</v>
          </cell>
          <cell r="I286" t="str">
            <v/>
          </cell>
          <cell r="J286" t="str">
            <v/>
          </cell>
          <cell r="K286" t="str">
            <v/>
          </cell>
          <cell r="L286" t="str">
            <v/>
          </cell>
        </row>
        <row r="287">
          <cell r="A287">
            <v>34000000</v>
          </cell>
          <cell r="C287">
            <v>34000000</v>
          </cell>
          <cell r="D287">
            <v>34000000</v>
          </cell>
          <cell r="E287">
            <v>34000000</v>
          </cell>
          <cell r="F287">
            <v>34000000</v>
          </cell>
          <cell r="G287">
            <v>34000000</v>
          </cell>
          <cell r="H287">
            <v>34000000</v>
          </cell>
          <cell r="I287" t="str">
            <v/>
          </cell>
          <cell r="J287" t="str">
            <v/>
          </cell>
          <cell r="K287" t="str">
            <v/>
          </cell>
          <cell r="L287" t="str">
            <v/>
          </cell>
        </row>
        <row r="288">
          <cell r="A288">
            <v>34000000</v>
          </cell>
          <cell r="C288">
            <v>34000000</v>
          </cell>
          <cell r="D288">
            <v>34000000</v>
          </cell>
          <cell r="E288">
            <v>34000000</v>
          </cell>
          <cell r="F288">
            <v>34000000</v>
          </cell>
          <cell r="G288">
            <v>34000000</v>
          </cell>
          <cell r="H288">
            <v>34000000</v>
          </cell>
          <cell r="I288" t="str">
            <v/>
          </cell>
          <cell r="J288" t="str">
            <v/>
          </cell>
          <cell r="K288" t="str">
            <v/>
          </cell>
          <cell r="L288" t="str">
            <v/>
          </cell>
        </row>
        <row r="289">
          <cell r="A289">
            <v>34000000</v>
          </cell>
          <cell r="C289">
            <v>34000000</v>
          </cell>
          <cell r="D289">
            <v>34000000</v>
          </cell>
          <cell r="E289">
            <v>34000000</v>
          </cell>
          <cell r="F289">
            <v>34000000</v>
          </cell>
          <cell r="G289">
            <v>34000000</v>
          </cell>
          <cell r="H289">
            <v>34000000</v>
          </cell>
          <cell r="I289" t="str">
            <v/>
          </cell>
          <cell r="J289" t="str">
            <v/>
          </cell>
          <cell r="K289" t="str">
            <v/>
          </cell>
          <cell r="L289" t="str">
            <v/>
          </cell>
        </row>
        <row r="290">
          <cell r="A290">
            <v>34000000</v>
          </cell>
          <cell r="C290">
            <v>34000000</v>
          </cell>
          <cell r="D290">
            <v>34000000</v>
          </cell>
          <cell r="E290">
            <v>34000000</v>
          </cell>
          <cell r="F290">
            <v>34000000</v>
          </cell>
          <cell r="G290">
            <v>34000000</v>
          </cell>
          <cell r="H290">
            <v>34000000</v>
          </cell>
          <cell r="I290" t="str">
            <v/>
          </cell>
          <cell r="J290" t="str">
            <v/>
          </cell>
          <cell r="K290" t="str">
            <v/>
          </cell>
          <cell r="L290" t="str">
            <v/>
          </cell>
        </row>
        <row r="291">
          <cell r="A291">
            <v>34000000</v>
          </cell>
          <cell r="C291">
            <v>34000000</v>
          </cell>
          <cell r="D291">
            <v>34000000</v>
          </cell>
          <cell r="E291">
            <v>34000000</v>
          </cell>
          <cell r="F291">
            <v>34000000</v>
          </cell>
          <cell r="G291">
            <v>34000000</v>
          </cell>
          <cell r="H291">
            <v>34000000</v>
          </cell>
          <cell r="I291" t="str">
            <v/>
          </cell>
          <cell r="J291" t="str">
            <v/>
          </cell>
          <cell r="K291" t="str">
            <v/>
          </cell>
          <cell r="L291" t="str">
            <v/>
          </cell>
        </row>
        <row r="292">
          <cell r="A292">
            <v>34000000</v>
          </cell>
          <cell r="C292">
            <v>34000000</v>
          </cell>
          <cell r="D292">
            <v>34000000</v>
          </cell>
          <cell r="E292">
            <v>34000000</v>
          </cell>
          <cell r="F292">
            <v>34000000</v>
          </cell>
          <cell r="G292">
            <v>34000000</v>
          </cell>
          <cell r="H292">
            <v>34000000</v>
          </cell>
          <cell r="I292" t="str">
            <v/>
          </cell>
          <cell r="J292" t="str">
            <v/>
          </cell>
          <cell r="K292" t="str">
            <v/>
          </cell>
          <cell r="L292" t="str">
            <v/>
          </cell>
        </row>
        <row r="293">
          <cell r="A293">
            <v>34000000</v>
          </cell>
          <cell r="C293">
            <v>34000000</v>
          </cell>
          <cell r="D293">
            <v>34000000</v>
          </cell>
          <cell r="E293">
            <v>34000000</v>
          </cell>
          <cell r="F293">
            <v>34000000</v>
          </cell>
          <cell r="G293">
            <v>34000000</v>
          </cell>
          <cell r="H293">
            <v>34000000</v>
          </cell>
          <cell r="I293" t="str">
            <v/>
          </cell>
          <cell r="J293" t="str">
            <v/>
          </cell>
          <cell r="K293" t="str">
            <v/>
          </cell>
          <cell r="L293" t="str">
            <v/>
          </cell>
        </row>
        <row r="294">
          <cell r="A294">
            <v>34000000</v>
          </cell>
          <cell r="C294">
            <v>34000000</v>
          </cell>
          <cell r="D294">
            <v>34000000</v>
          </cell>
          <cell r="E294">
            <v>34000000</v>
          </cell>
          <cell r="F294">
            <v>34000000</v>
          </cell>
          <cell r="G294">
            <v>34000000</v>
          </cell>
          <cell r="H294">
            <v>34000000</v>
          </cell>
          <cell r="I294" t="str">
            <v/>
          </cell>
          <cell r="J294" t="str">
            <v/>
          </cell>
          <cell r="K294" t="str">
            <v/>
          </cell>
          <cell r="L294" t="str">
            <v/>
          </cell>
        </row>
        <row r="295">
          <cell r="A295">
            <v>34000000</v>
          </cell>
          <cell r="C295">
            <v>34000000</v>
          </cell>
          <cell r="D295">
            <v>34000000</v>
          </cell>
          <cell r="E295">
            <v>34000000</v>
          </cell>
          <cell r="F295">
            <v>34000000</v>
          </cell>
          <cell r="G295">
            <v>34000000</v>
          </cell>
          <cell r="H295">
            <v>34000000</v>
          </cell>
          <cell r="I295" t="str">
            <v/>
          </cell>
          <cell r="J295" t="str">
            <v/>
          </cell>
          <cell r="K295" t="str">
            <v/>
          </cell>
          <cell r="L295" t="str">
            <v/>
          </cell>
        </row>
        <row r="296">
          <cell r="A296">
            <v>34000000</v>
          </cell>
          <cell r="C296">
            <v>34000000</v>
          </cell>
          <cell r="D296">
            <v>34000000</v>
          </cell>
          <cell r="E296">
            <v>34000000</v>
          </cell>
          <cell r="F296">
            <v>34000000</v>
          </cell>
          <cell r="G296">
            <v>34000000</v>
          </cell>
          <cell r="H296">
            <v>34000000</v>
          </cell>
          <cell r="I296" t="str">
            <v/>
          </cell>
          <cell r="J296" t="str">
            <v/>
          </cell>
          <cell r="K296" t="str">
            <v/>
          </cell>
          <cell r="L296" t="str">
            <v/>
          </cell>
        </row>
        <row r="297">
          <cell r="A297">
            <v>34000000</v>
          </cell>
          <cell r="C297">
            <v>34000000</v>
          </cell>
          <cell r="D297">
            <v>34000000</v>
          </cell>
          <cell r="E297">
            <v>34000000</v>
          </cell>
          <cell r="F297">
            <v>34000000</v>
          </cell>
          <cell r="G297">
            <v>34000000</v>
          </cell>
          <cell r="H297">
            <v>34000000</v>
          </cell>
          <cell r="I297" t="str">
            <v/>
          </cell>
          <cell r="J297" t="str">
            <v/>
          </cell>
          <cell r="K297" t="str">
            <v/>
          </cell>
          <cell r="L297" t="str">
            <v/>
          </cell>
        </row>
        <row r="298">
          <cell r="A298">
            <v>34000000</v>
          </cell>
          <cell r="C298">
            <v>34000000</v>
          </cell>
          <cell r="D298">
            <v>34000000</v>
          </cell>
          <cell r="E298">
            <v>34000000</v>
          </cell>
          <cell r="F298">
            <v>34000000</v>
          </cell>
          <cell r="G298">
            <v>34000000</v>
          </cell>
          <cell r="H298">
            <v>34000000</v>
          </cell>
          <cell r="I298" t="str">
            <v/>
          </cell>
          <cell r="J298" t="str">
            <v/>
          </cell>
          <cell r="K298" t="str">
            <v/>
          </cell>
          <cell r="L298" t="str">
            <v/>
          </cell>
        </row>
        <row r="299">
          <cell r="A299">
            <v>34000000</v>
          </cell>
          <cell r="C299">
            <v>34000000</v>
          </cell>
          <cell r="D299">
            <v>34000000</v>
          </cell>
          <cell r="E299">
            <v>34000000</v>
          </cell>
          <cell r="F299">
            <v>34000000</v>
          </cell>
          <cell r="G299">
            <v>34000000</v>
          </cell>
          <cell r="H299">
            <v>34000000</v>
          </cell>
          <cell r="I299" t="str">
            <v/>
          </cell>
          <cell r="J299" t="str">
            <v/>
          </cell>
          <cell r="K299" t="str">
            <v/>
          </cell>
          <cell r="L299" t="str">
            <v/>
          </cell>
        </row>
        <row r="300">
          <cell r="A300">
            <v>34000000</v>
          </cell>
          <cell r="C300">
            <v>34000000</v>
          </cell>
          <cell r="D300">
            <v>34000000</v>
          </cell>
          <cell r="E300">
            <v>34000000</v>
          </cell>
          <cell r="F300">
            <v>34000000</v>
          </cell>
          <cell r="G300">
            <v>34000000</v>
          </cell>
          <cell r="H300">
            <v>34000000</v>
          </cell>
          <cell r="I300" t="str">
            <v/>
          </cell>
          <cell r="J300" t="str">
            <v/>
          </cell>
          <cell r="K300" t="str">
            <v/>
          </cell>
          <cell r="L300" t="str">
            <v/>
          </cell>
        </row>
        <row r="301">
          <cell r="A301">
            <v>34000000</v>
          </cell>
          <cell r="C301">
            <v>34000000</v>
          </cell>
          <cell r="D301">
            <v>34000000</v>
          </cell>
          <cell r="E301">
            <v>34000000</v>
          </cell>
          <cell r="F301">
            <v>34000000</v>
          </cell>
          <cell r="G301">
            <v>34000000</v>
          </cell>
          <cell r="H301">
            <v>34000000</v>
          </cell>
          <cell r="I301" t="str">
            <v/>
          </cell>
          <cell r="J301" t="str">
            <v/>
          </cell>
          <cell r="K301" t="str">
            <v/>
          </cell>
          <cell r="L301" t="str">
            <v/>
          </cell>
        </row>
        <row r="302">
          <cell r="A302">
            <v>34000000</v>
          </cell>
          <cell r="C302">
            <v>34000000</v>
          </cell>
          <cell r="D302">
            <v>34000000</v>
          </cell>
          <cell r="E302">
            <v>34000000</v>
          </cell>
          <cell r="F302">
            <v>34000000</v>
          </cell>
          <cell r="G302">
            <v>34000000</v>
          </cell>
          <cell r="H302">
            <v>34000000</v>
          </cell>
          <cell r="I302" t="str">
            <v/>
          </cell>
          <cell r="J302" t="str">
            <v/>
          </cell>
          <cell r="K302" t="str">
            <v/>
          </cell>
          <cell r="L302" t="str">
            <v/>
          </cell>
        </row>
        <row r="303">
          <cell r="A303">
            <v>34000000</v>
          </cell>
          <cell r="C303">
            <v>34000000</v>
          </cell>
          <cell r="D303">
            <v>34000000</v>
          </cell>
          <cell r="E303">
            <v>34000000</v>
          </cell>
          <cell r="F303">
            <v>34000000</v>
          </cell>
          <cell r="G303">
            <v>34000000</v>
          </cell>
          <cell r="H303">
            <v>34000000</v>
          </cell>
          <cell r="I303" t="str">
            <v/>
          </cell>
          <cell r="J303" t="str">
            <v/>
          </cell>
          <cell r="K303" t="str">
            <v/>
          </cell>
          <cell r="L303" t="str">
            <v/>
          </cell>
        </row>
        <row r="304">
          <cell r="A304">
            <v>34000000</v>
          </cell>
          <cell r="C304">
            <v>34000000</v>
          </cell>
          <cell r="D304">
            <v>34000000</v>
          </cell>
          <cell r="E304">
            <v>34000000</v>
          </cell>
          <cell r="F304">
            <v>34000000</v>
          </cell>
          <cell r="G304">
            <v>34000000</v>
          </cell>
          <cell r="H304">
            <v>34000000</v>
          </cell>
          <cell r="I304" t="str">
            <v/>
          </cell>
          <cell r="J304" t="str">
            <v/>
          </cell>
          <cell r="K304" t="str">
            <v/>
          </cell>
          <cell r="L304" t="str">
            <v/>
          </cell>
        </row>
        <row r="305">
          <cell r="A305">
            <v>34000000</v>
          </cell>
          <cell r="C305">
            <v>34000000</v>
          </cell>
          <cell r="D305">
            <v>34000000</v>
          </cell>
          <cell r="E305">
            <v>34000000</v>
          </cell>
          <cell r="F305">
            <v>34000000</v>
          </cell>
          <cell r="G305">
            <v>34000000</v>
          </cell>
          <cell r="H305">
            <v>34000000</v>
          </cell>
          <cell r="I305" t="str">
            <v/>
          </cell>
          <cell r="J305" t="str">
            <v/>
          </cell>
          <cell r="K305" t="str">
            <v/>
          </cell>
          <cell r="L305" t="str">
            <v/>
          </cell>
        </row>
        <row r="306">
          <cell r="A306">
            <v>34000000</v>
          </cell>
          <cell r="C306">
            <v>34000000</v>
          </cell>
          <cell r="D306">
            <v>34000000</v>
          </cell>
          <cell r="E306">
            <v>34000000</v>
          </cell>
          <cell r="F306">
            <v>34000000</v>
          </cell>
          <cell r="G306">
            <v>34000000</v>
          </cell>
          <cell r="H306">
            <v>34000000</v>
          </cell>
          <cell r="I306" t="str">
            <v/>
          </cell>
          <cell r="J306" t="str">
            <v/>
          </cell>
          <cell r="K306" t="str">
            <v/>
          </cell>
          <cell r="L306" t="str">
            <v/>
          </cell>
        </row>
        <row r="307">
          <cell r="A307">
            <v>34000000</v>
          </cell>
          <cell r="C307">
            <v>34000000</v>
          </cell>
          <cell r="D307">
            <v>34000000</v>
          </cell>
          <cell r="E307">
            <v>34000000</v>
          </cell>
          <cell r="F307">
            <v>34000000</v>
          </cell>
          <cell r="G307">
            <v>34000000</v>
          </cell>
          <cell r="H307">
            <v>34000000</v>
          </cell>
          <cell r="I307" t="str">
            <v/>
          </cell>
          <cell r="J307" t="str">
            <v/>
          </cell>
          <cell r="K307" t="str">
            <v/>
          </cell>
          <cell r="L307" t="str">
            <v/>
          </cell>
        </row>
        <row r="308">
          <cell r="A308">
            <v>34000000</v>
          </cell>
          <cell r="C308">
            <v>34000000</v>
          </cell>
          <cell r="D308">
            <v>34000000</v>
          </cell>
          <cell r="E308">
            <v>34000000</v>
          </cell>
          <cell r="F308">
            <v>34000000</v>
          </cell>
          <cell r="G308">
            <v>34000000</v>
          </cell>
          <cell r="H308">
            <v>34000000</v>
          </cell>
          <cell r="I308" t="str">
            <v/>
          </cell>
          <cell r="J308" t="str">
            <v/>
          </cell>
          <cell r="K308" t="str">
            <v/>
          </cell>
          <cell r="L308" t="str">
            <v/>
          </cell>
        </row>
        <row r="309">
          <cell r="A309">
            <v>34000000</v>
          </cell>
          <cell r="C309">
            <v>34000000</v>
          </cell>
          <cell r="D309">
            <v>34000000</v>
          </cell>
          <cell r="E309">
            <v>34000000</v>
          </cell>
          <cell r="F309">
            <v>34000000</v>
          </cell>
          <cell r="G309">
            <v>34000000</v>
          </cell>
          <cell r="H309">
            <v>34000000</v>
          </cell>
          <cell r="I309" t="str">
            <v/>
          </cell>
          <cell r="J309" t="str">
            <v/>
          </cell>
          <cell r="K309" t="str">
            <v/>
          </cell>
          <cell r="L309" t="str">
            <v/>
          </cell>
        </row>
        <row r="310">
          <cell r="A310">
            <v>34000000</v>
          </cell>
          <cell r="C310">
            <v>34000000</v>
          </cell>
          <cell r="D310">
            <v>34000000</v>
          </cell>
          <cell r="E310">
            <v>34000000</v>
          </cell>
          <cell r="F310">
            <v>34000000</v>
          </cell>
          <cell r="G310">
            <v>34000000</v>
          </cell>
          <cell r="H310">
            <v>34000000</v>
          </cell>
          <cell r="I310" t="str">
            <v/>
          </cell>
          <cell r="J310" t="str">
            <v/>
          </cell>
          <cell r="K310" t="str">
            <v/>
          </cell>
          <cell r="L310" t="str">
            <v/>
          </cell>
        </row>
        <row r="311">
          <cell r="A311">
            <v>34000000</v>
          </cell>
          <cell r="C311">
            <v>34000000</v>
          </cell>
          <cell r="D311">
            <v>34000000</v>
          </cell>
          <cell r="E311">
            <v>34000000</v>
          </cell>
          <cell r="F311">
            <v>34000000</v>
          </cell>
          <cell r="G311">
            <v>34000000</v>
          </cell>
          <cell r="H311">
            <v>34000000</v>
          </cell>
          <cell r="I311" t="str">
            <v/>
          </cell>
          <cell r="J311" t="str">
            <v/>
          </cell>
          <cell r="K311" t="str">
            <v/>
          </cell>
          <cell r="L311" t="str">
            <v/>
          </cell>
        </row>
        <row r="312">
          <cell r="A312">
            <v>34000000</v>
          </cell>
          <cell r="C312">
            <v>34000000</v>
          </cell>
          <cell r="D312">
            <v>34000000</v>
          </cell>
          <cell r="E312">
            <v>34000000</v>
          </cell>
          <cell r="F312">
            <v>34000000</v>
          </cell>
          <cell r="G312">
            <v>34000000</v>
          </cell>
          <cell r="H312">
            <v>34000000</v>
          </cell>
          <cell r="I312" t="str">
            <v/>
          </cell>
          <cell r="J312" t="str">
            <v/>
          </cell>
          <cell r="K312" t="str">
            <v/>
          </cell>
          <cell r="L312" t="str">
            <v/>
          </cell>
        </row>
        <row r="313">
          <cell r="A313">
            <v>34000000</v>
          </cell>
          <cell r="C313">
            <v>34000000</v>
          </cell>
          <cell r="D313">
            <v>34000000</v>
          </cell>
          <cell r="E313">
            <v>34000000</v>
          </cell>
          <cell r="F313">
            <v>34000000</v>
          </cell>
          <cell r="G313">
            <v>34000000</v>
          </cell>
          <cell r="H313">
            <v>34000000</v>
          </cell>
          <cell r="I313" t="str">
            <v/>
          </cell>
          <cell r="J313" t="str">
            <v/>
          </cell>
          <cell r="K313" t="str">
            <v/>
          </cell>
          <cell r="L313" t="str">
            <v/>
          </cell>
        </row>
        <row r="314">
          <cell r="A314">
            <v>34000000</v>
          </cell>
          <cell r="C314">
            <v>34000000</v>
          </cell>
          <cell r="D314">
            <v>34000000</v>
          </cell>
          <cell r="E314">
            <v>34000000</v>
          </cell>
          <cell r="F314">
            <v>34000000</v>
          </cell>
          <cell r="G314">
            <v>34000000</v>
          </cell>
          <cell r="H314">
            <v>34000000</v>
          </cell>
          <cell r="I314" t="str">
            <v/>
          </cell>
          <cell r="J314" t="str">
            <v/>
          </cell>
          <cell r="K314" t="str">
            <v/>
          </cell>
          <cell r="L314" t="str">
            <v/>
          </cell>
        </row>
        <row r="315">
          <cell r="A315">
            <v>34000000</v>
          </cell>
          <cell r="C315">
            <v>34000000</v>
          </cell>
          <cell r="D315">
            <v>34000000</v>
          </cell>
          <cell r="E315">
            <v>34000000</v>
          </cell>
          <cell r="F315">
            <v>34000000</v>
          </cell>
          <cell r="G315">
            <v>34000000</v>
          </cell>
          <cell r="H315">
            <v>34000000</v>
          </cell>
          <cell r="I315" t="str">
            <v/>
          </cell>
          <cell r="J315" t="str">
            <v/>
          </cell>
          <cell r="K315" t="str">
            <v/>
          </cell>
          <cell r="L315" t="str">
            <v/>
          </cell>
        </row>
        <row r="316">
          <cell r="A316">
            <v>34000000</v>
          </cell>
          <cell r="C316">
            <v>34000000</v>
          </cell>
          <cell r="D316">
            <v>34000000</v>
          </cell>
          <cell r="E316">
            <v>34000000</v>
          </cell>
          <cell r="F316">
            <v>34000000</v>
          </cell>
          <cell r="G316">
            <v>34000000</v>
          </cell>
          <cell r="H316">
            <v>34000000</v>
          </cell>
          <cell r="I316" t="str">
            <v/>
          </cell>
          <cell r="J316" t="str">
            <v/>
          </cell>
          <cell r="K316" t="str">
            <v/>
          </cell>
          <cell r="L316" t="str">
            <v/>
          </cell>
        </row>
        <row r="317">
          <cell r="A317">
            <v>34000000</v>
          </cell>
          <cell r="C317">
            <v>34000000</v>
          </cell>
          <cell r="D317">
            <v>34000000</v>
          </cell>
          <cell r="E317">
            <v>34000000</v>
          </cell>
          <cell r="F317">
            <v>34000000</v>
          </cell>
          <cell r="G317">
            <v>34000000</v>
          </cell>
          <cell r="H317">
            <v>34000000</v>
          </cell>
          <cell r="I317" t="str">
            <v/>
          </cell>
          <cell r="J317" t="str">
            <v/>
          </cell>
          <cell r="K317" t="str">
            <v/>
          </cell>
          <cell r="L317" t="str">
            <v/>
          </cell>
        </row>
        <row r="318">
          <cell r="A318">
            <v>34000000</v>
          </cell>
          <cell r="C318">
            <v>34000000</v>
          </cell>
          <cell r="D318">
            <v>34000000</v>
          </cell>
          <cell r="E318">
            <v>34000000</v>
          </cell>
          <cell r="F318">
            <v>34000000</v>
          </cell>
          <cell r="G318">
            <v>34000000</v>
          </cell>
          <cell r="H318">
            <v>34000000</v>
          </cell>
          <cell r="I318" t="str">
            <v/>
          </cell>
          <cell r="J318" t="str">
            <v/>
          </cell>
          <cell r="K318" t="str">
            <v/>
          </cell>
          <cell r="L318" t="str">
            <v/>
          </cell>
        </row>
        <row r="319">
          <cell r="A319">
            <v>34000000</v>
          </cell>
          <cell r="C319">
            <v>34000000</v>
          </cell>
          <cell r="D319">
            <v>34000000</v>
          </cell>
          <cell r="E319">
            <v>34000000</v>
          </cell>
          <cell r="F319">
            <v>34000000</v>
          </cell>
          <cell r="G319">
            <v>34000000</v>
          </cell>
          <cell r="H319">
            <v>34000000</v>
          </cell>
          <cell r="I319" t="str">
            <v/>
          </cell>
          <cell r="J319" t="str">
            <v/>
          </cell>
          <cell r="K319" t="str">
            <v/>
          </cell>
          <cell r="L319" t="str">
            <v/>
          </cell>
        </row>
        <row r="320">
          <cell r="A320">
            <v>34000000</v>
          </cell>
          <cell r="C320">
            <v>34000000</v>
          </cell>
          <cell r="D320">
            <v>34000000</v>
          </cell>
          <cell r="E320">
            <v>34000000</v>
          </cell>
          <cell r="F320">
            <v>34000000</v>
          </cell>
          <cell r="G320">
            <v>34000000</v>
          </cell>
          <cell r="H320">
            <v>34000000</v>
          </cell>
          <cell r="I320" t="str">
            <v/>
          </cell>
          <cell r="J320" t="str">
            <v/>
          </cell>
          <cell r="K320" t="str">
            <v/>
          </cell>
          <cell r="L320" t="str">
            <v/>
          </cell>
        </row>
        <row r="321">
          <cell r="A321">
            <v>34000000</v>
          </cell>
          <cell r="C321">
            <v>34000000</v>
          </cell>
          <cell r="D321">
            <v>34000000</v>
          </cell>
          <cell r="E321">
            <v>34000000</v>
          </cell>
          <cell r="F321">
            <v>34000000</v>
          </cell>
          <cell r="G321">
            <v>34000000</v>
          </cell>
          <cell r="H321">
            <v>34000000</v>
          </cell>
          <cell r="I321" t="str">
            <v/>
          </cell>
          <cell r="J321" t="str">
            <v/>
          </cell>
          <cell r="K321" t="str">
            <v/>
          </cell>
          <cell r="L321" t="str">
            <v/>
          </cell>
        </row>
        <row r="322">
          <cell r="A322">
            <v>34000000</v>
          </cell>
          <cell r="C322">
            <v>34000000</v>
          </cell>
          <cell r="D322">
            <v>34000000</v>
          </cell>
          <cell r="E322">
            <v>34000000</v>
          </cell>
          <cell r="F322">
            <v>34000000</v>
          </cell>
          <cell r="G322">
            <v>34000000</v>
          </cell>
          <cell r="H322">
            <v>34000000</v>
          </cell>
          <cell r="I322" t="str">
            <v/>
          </cell>
          <cell r="J322" t="str">
            <v/>
          </cell>
          <cell r="K322" t="str">
            <v/>
          </cell>
          <cell r="L322" t="str">
            <v/>
          </cell>
        </row>
        <row r="323">
          <cell r="A323">
            <v>34000000</v>
          </cell>
          <cell r="C323">
            <v>34000000</v>
          </cell>
          <cell r="D323">
            <v>34000000</v>
          </cell>
          <cell r="E323">
            <v>34000000</v>
          </cell>
          <cell r="F323">
            <v>34000000</v>
          </cell>
          <cell r="G323">
            <v>34000000</v>
          </cell>
          <cell r="H323">
            <v>34000000</v>
          </cell>
          <cell r="I323" t="str">
            <v/>
          </cell>
          <cell r="J323" t="str">
            <v/>
          </cell>
          <cell r="K323" t="str">
            <v/>
          </cell>
          <cell r="L323" t="str">
            <v/>
          </cell>
        </row>
        <row r="324">
          <cell r="A324">
            <v>34000000</v>
          </cell>
          <cell r="C324">
            <v>34000000</v>
          </cell>
          <cell r="D324">
            <v>34000000</v>
          </cell>
          <cell r="E324">
            <v>34000000</v>
          </cell>
          <cell r="F324">
            <v>34000000</v>
          </cell>
          <cell r="G324">
            <v>34000000</v>
          </cell>
          <cell r="H324">
            <v>34000000</v>
          </cell>
          <cell r="I324" t="str">
            <v/>
          </cell>
          <cell r="J324" t="str">
            <v/>
          </cell>
          <cell r="K324" t="str">
            <v/>
          </cell>
          <cell r="L324" t="str">
            <v/>
          </cell>
        </row>
        <row r="325">
          <cell r="A325">
            <v>34000000</v>
          </cell>
          <cell r="C325">
            <v>34000000</v>
          </cell>
          <cell r="D325">
            <v>34000000</v>
          </cell>
          <cell r="E325">
            <v>34000000</v>
          </cell>
          <cell r="F325">
            <v>34000000</v>
          </cell>
          <cell r="G325">
            <v>34000000</v>
          </cell>
          <cell r="H325">
            <v>34000000</v>
          </cell>
          <cell r="I325" t="str">
            <v/>
          </cell>
          <cell r="J325" t="str">
            <v/>
          </cell>
          <cell r="K325" t="str">
            <v/>
          </cell>
          <cell r="L325" t="str">
            <v/>
          </cell>
        </row>
        <row r="326">
          <cell r="A326">
            <v>34000000</v>
          </cell>
          <cell r="C326">
            <v>34000000</v>
          </cell>
          <cell r="D326">
            <v>34000000</v>
          </cell>
          <cell r="E326">
            <v>34000000</v>
          </cell>
          <cell r="F326">
            <v>34000000</v>
          </cell>
          <cell r="G326">
            <v>34000000</v>
          </cell>
          <cell r="H326">
            <v>34000000</v>
          </cell>
          <cell r="I326" t="str">
            <v/>
          </cell>
          <cell r="J326" t="str">
            <v/>
          </cell>
          <cell r="K326" t="str">
            <v/>
          </cell>
          <cell r="L326" t="str">
            <v/>
          </cell>
        </row>
        <row r="327">
          <cell r="A327">
            <v>34000000</v>
          </cell>
          <cell r="C327">
            <v>34000000</v>
          </cell>
          <cell r="D327">
            <v>34000000</v>
          </cell>
          <cell r="E327">
            <v>34000000</v>
          </cell>
          <cell r="F327">
            <v>34000000</v>
          </cell>
          <cell r="G327">
            <v>34000000</v>
          </cell>
          <cell r="H327">
            <v>34000000</v>
          </cell>
          <cell r="I327" t="str">
            <v/>
          </cell>
          <cell r="J327" t="str">
            <v/>
          </cell>
          <cell r="K327" t="str">
            <v/>
          </cell>
          <cell r="L327" t="str">
            <v/>
          </cell>
        </row>
        <row r="328">
          <cell r="A328">
            <v>34000000</v>
          </cell>
          <cell r="C328">
            <v>34000000</v>
          </cell>
          <cell r="D328">
            <v>34000000</v>
          </cell>
          <cell r="E328">
            <v>34000000</v>
          </cell>
          <cell r="F328">
            <v>34000000</v>
          </cell>
          <cell r="G328">
            <v>34000000</v>
          </cell>
          <cell r="H328">
            <v>34000000</v>
          </cell>
          <cell r="I328" t="str">
            <v/>
          </cell>
          <cell r="J328" t="str">
            <v/>
          </cell>
          <cell r="K328" t="str">
            <v/>
          </cell>
          <cell r="L328" t="str">
            <v/>
          </cell>
        </row>
        <row r="329">
          <cell r="A329">
            <v>34000000</v>
          </cell>
          <cell r="C329">
            <v>34000000</v>
          </cell>
          <cell r="D329">
            <v>34000000</v>
          </cell>
          <cell r="E329">
            <v>34000000</v>
          </cell>
          <cell r="F329">
            <v>34000000</v>
          </cell>
          <cell r="G329">
            <v>34000000</v>
          </cell>
          <cell r="H329">
            <v>34000000</v>
          </cell>
          <cell r="I329" t="str">
            <v/>
          </cell>
          <cell r="J329" t="str">
            <v/>
          </cell>
          <cell r="K329" t="str">
            <v/>
          </cell>
          <cell r="L329" t="str">
            <v/>
          </cell>
        </row>
        <row r="330">
          <cell r="A330">
            <v>34000000</v>
          </cell>
          <cell r="C330">
            <v>34000000</v>
          </cell>
          <cell r="D330">
            <v>34000000</v>
          </cell>
          <cell r="E330">
            <v>34000000</v>
          </cell>
          <cell r="F330">
            <v>34000000</v>
          </cell>
          <cell r="G330">
            <v>34000000</v>
          </cell>
          <cell r="H330">
            <v>34000000</v>
          </cell>
          <cell r="I330" t="str">
            <v/>
          </cell>
          <cell r="J330" t="str">
            <v/>
          </cell>
          <cell r="K330" t="str">
            <v/>
          </cell>
          <cell r="L330" t="str">
            <v/>
          </cell>
        </row>
        <row r="331">
          <cell r="A331">
            <v>34000000</v>
          </cell>
          <cell r="C331">
            <v>34000000</v>
          </cell>
          <cell r="D331">
            <v>34000000</v>
          </cell>
          <cell r="E331">
            <v>34000000</v>
          </cell>
          <cell r="F331">
            <v>34000000</v>
          </cell>
          <cell r="G331">
            <v>34000000</v>
          </cell>
          <cell r="H331">
            <v>34000000</v>
          </cell>
          <cell r="I331" t="str">
            <v/>
          </cell>
          <cell r="J331" t="str">
            <v/>
          </cell>
          <cell r="K331" t="str">
            <v/>
          </cell>
          <cell r="L331" t="str">
            <v/>
          </cell>
        </row>
        <row r="332">
          <cell r="A332">
            <v>34000000</v>
          </cell>
          <cell r="C332">
            <v>34000000</v>
          </cell>
          <cell r="D332">
            <v>34000000</v>
          </cell>
          <cell r="E332">
            <v>34000000</v>
          </cell>
          <cell r="F332">
            <v>34000000</v>
          </cell>
          <cell r="G332">
            <v>34000000</v>
          </cell>
          <cell r="H332">
            <v>34000000</v>
          </cell>
          <cell r="I332" t="str">
            <v/>
          </cell>
          <cell r="J332" t="str">
            <v/>
          </cell>
          <cell r="K332" t="str">
            <v/>
          </cell>
          <cell r="L332" t="str">
            <v/>
          </cell>
        </row>
        <row r="333">
          <cell r="A333">
            <v>34000000</v>
          </cell>
          <cell r="C333">
            <v>34000000</v>
          </cell>
          <cell r="D333">
            <v>34000000</v>
          </cell>
          <cell r="E333">
            <v>34000000</v>
          </cell>
          <cell r="F333">
            <v>34000000</v>
          </cell>
          <cell r="G333">
            <v>34000000</v>
          </cell>
          <cell r="H333">
            <v>34000000</v>
          </cell>
          <cell r="I333" t="str">
            <v/>
          </cell>
          <cell r="J333" t="str">
            <v/>
          </cell>
          <cell r="K333" t="str">
            <v/>
          </cell>
          <cell r="L333" t="str">
            <v/>
          </cell>
        </row>
        <row r="334">
          <cell r="A334">
            <v>34000000</v>
          </cell>
          <cell r="C334">
            <v>34000000</v>
          </cell>
          <cell r="D334">
            <v>34000000</v>
          </cell>
          <cell r="E334">
            <v>34000000</v>
          </cell>
          <cell r="F334">
            <v>34000000</v>
          </cell>
          <cell r="G334">
            <v>34000000</v>
          </cell>
          <cell r="H334">
            <v>34000000</v>
          </cell>
          <cell r="I334" t="str">
            <v/>
          </cell>
          <cell r="J334" t="str">
            <v/>
          </cell>
          <cell r="K334" t="str">
            <v/>
          </cell>
          <cell r="L334" t="str">
            <v/>
          </cell>
        </row>
        <row r="335">
          <cell r="A335">
            <v>34000000</v>
          </cell>
          <cell r="C335">
            <v>34000000</v>
          </cell>
          <cell r="D335">
            <v>34000000</v>
          </cell>
          <cell r="E335">
            <v>34000000</v>
          </cell>
          <cell r="F335">
            <v>34000000</v>
          </cell>
          <cell r="G335">
            <v>34000000</v>
          </cell>
          <cell r="H335">
            <v>34000000</v>
          </cell>
          <cell r="I335" t="str">
            <v/>
          </cell>
          <cell r="J335" t="str">
            <v/>
          </cell>
          <cell r="K335" t="str">
            <v/>
          </cell>
          <cell r="L335" t="str">
            <v/>
          </cell>
        </row>
        <row r="336">
          <cell r="A336">
            <v>34000000</v>
          </cell>
          <cell r="C336">
            <v>34000000</v>
          </cell>
          <cell r="D336">
            <v>34000000</v>
          </cell>
          <cell r="E336">
            <v>34000000</v>
          </cell>
          <cell r="F336">
            <v>34000000</v>
          </cell>
          <cell r="G336">
            <v>34000000</v>
          </cell>
          <cell r="H336">
            <v>34000000</v>
          </cell>
          <cell r="I336" t="str">
            <v/>
          </cell>
          <cell r="J336" t="str">
            <v/>
          </cell>
          <cell r="K336" t="str">
            <v/>
          </cell>
          <cell r="L336" t="str">
            <v/>
          </cell>
        </row>
        <row r="337">
          <cell r="A337">
            <v>34000000</v>
          </cell>
          <cell r="C337">
            <v>34000000</v>
          </cell>
          <cell r="D337">
            <v>34000000</v>
          </cell>
          <cell r="E337">
            <v>34000000</v>
          </cell>
          <cell r="F337">
            <v>34000000</v>
          </cell>
          <cell r="G337">
            <v>34000000</v>
          </cell>
          <cell r="H337">
            <v>34000000</v>
          </cell>
          <cell r="I337" t="str">
            <v/>
          </cell>
          <cell r="J337" t="str">
            <v/>
          </cell>
          <cell r="K337" t="str">
            <v/>
          </cell>
          <cell r="L337" t="str">
            <v/>
          </cell>
        </row>
        <row r="338">
          <cell r="A338">
            <v>34000000</v>
          </cell>
          <cell r="C338">
            <v>34000000</v>
          </cell>
          <cell r="D338">
            <v>34000000</v>
          </cell>
          <cell r="E338">
            <v>34000000</v>
          </cell>
          <cell r="F338">
            <v>34000000</v>
          </cell>
          <cell r="G338">
            <v>34000000</v>
          </cell>
          <cell r="H338">
            <v>34000000</v>
          </cell>
          <cell r="I338" t="str">
            <v/>
          </cell>
          <cell r="J338" t="str">
            <v/>
          </cell>
          <cell r="K338" t="str">
            <v/>
          </cell>
          <cell r="L338" t="str">
            <v/>
          </cell>
        </row>
        <row r="339">
          <cell r="A339">
            <v>34000000</v>
          </cell>
          <cell r="C339">
            <v>34000000</v>
          </cell>
          <cell r="D339">
            <v>34000000</v>
          </cell>
          <cell r="E339">
            <v>34000000</v>
          </cell>
          <cell r="F339">
            <v>34000000</v>
          </cell>
          <cell r="G339">
            <v>34000000</v>
          </cell>
          <cell r="H339">
            <v>34000000</v>
          </cell>
          <cell r="I339" t="str">
            <v/>
          </cell>
          <cell r="J339" t="str">
            <v/>
          </cell>
          <cell r="K339" t="str">
            <v/>
          </cell>
          <cell r="L339" t="str">
            <v/>
          </cell>
        </row>
        <row r="340">
          <cell r="A340">
            <v>34000000</v>
          </cell>
          <cell r="C340">
            <v>34000000</v>
          </cell>
          <cell r="D340">
            <v>34000000</v>
          </cell>
          <cell r="E340">
            <v>34000000</v>
          </cell>
          <cell r="F340">
            <v>34000000</v>
          </cell>
          <cell r="G340">
            <v>34000000</v>
          </cell>
          <cell r="H340">
            <v>34000000</v>
          </cell>
          <cell r="I340" t="str">
            <v/>
          </cell>
          <cell r="J340" t="str">
            <v/>
          </cell>
          <cell r="K340" t="str">
            <v/>
          </cell>
          <cell r="L340" t="str">
            <v/>
          </cell>
        </row>
        <row r="341">
          <cell r="A341">
            <v>34000000</v>
          </cell>
          <cell r="C341">
            <v>34000000</v>
          </cell>
          <cell r="D341">
            <v>34000000</v>
          </cell>
          <cell r="E341">
            <v>34000000</v>
          </cell>
          <cell r="F341">
            <v>34000000</v>
          </cell>
          <cell r="G341">
            <v>34000000</v>
          </cell>
          <cell r="H341">
            <v>34000000</v>
          </cell>
          <cell r="I341" t="str">
            <v/>
          </cell>
          <cell r="J341" t="str">
            <v/>
          </cell>
          <cell r="K341" t="str">
            <v/>
          </cell>
          <cell r="L341" t="str">
            <v/>
          </cell>
        </row>
        <row r="342">
          <cell r="A342">
            <v>34000000</v>
          </cell>
          <cell r="C342">
            <v>34000000</v>
          </cell>
          <cell r="D342">
            <v>34000000</v>
          </cell>
          <cell r="E342">
            <v>34000000</v>
          </cell>
          <cell r="F342">
            <v>34000000</v>
          </cell>
          <cell r="G342">
            <v>34000000</v>
          </cell>
          <cell r="H342">
            <v>34000000</v>
          </cell>
          <cell r="I342" t="str">
            <v/>
          </cell>
          <cell r="J342" t="str">
            <v/>
          </cell>
          <cell r="K342" t="str">
            <v/>
          </cell>
          <cell r="L342" t="str">
            <v/>
          </cell>
        </row>
        <row r="343">
          <cell r="A343">
            <v>34000000</v>
          </cell>
          <cell r="C343">
            <v>34000000</v>
          </cell>
          <cell r="D343">
            <v>34000000</v>
          </cell>
          <cell r="E343">
            <v>34000000</v>
          </cell>
          <cell r="F343">
            <v>34000000</v>
          </cell>
          <cell r="G343">
            <v>34000000</v>
          </cell>
          <cell r="H343">
            <v>34000000</v>
          </cell>
          <cell r="I343" t="str">
            <v/>
          </cell>
          <cell r="J343" t="str">
            <v/>
          </cell>
          <cell r="K343" t="str">
            <v/>
          </cell>
          <cell r="L343" t="str">
            <v/>
          </cell>
        </row>
        <row r="344">
          <cell r="A344">
            <v>34000000</v>
          </cell>
          <cell r="C344">
            <v>34000000</v>
          </cell>
          <cell r="D344">
            <v>34000000</v>
          </cell>
          <cell r="E344">
            <v>34000000</v>
          </cell>
          <cell r="F344">
            <v>34000000</v>
          </cell>
          <cell r="G344">
            <v>34000000</v>
          </cell>
          <cell r="H344">
            <v>34000000</v>
          </cell>
          <cell r="I344" t="str">
            <v/>
          </cell>
          <cell r="J344" t="str">
            <v/>
          </cell>
          <cell r="K344" t="str">
            <v/>
          </cell>
          <cell r="L344" t="str">
            <v/>
          </cell>
        </row>
        <row r="345">
          <cell r="A345">
            <v>34000000</v>
          </cell>
          <cell r="C345">
            <v>34000000</v>
          </cell>
          <cell r="D345">
            <v>34000000</v>
          </cell>
          <cell r="E345">
            <v>34000000</v>
          </cell>
          <cell r="F345">
            <v>34000000</v>
          </cell>
          <cell r="G345">
            <v>34000000</v>
          </cell>
          <cell r="H345">
            <v>34000000</v>
          </cell>
          <cell r="I345" t="str">
            <v/>
          </cell>
          <cell r="J345" t="str">
            <v/>
          </cell>
          <cell r="K345" t="str">
            <v/>
          </cell>
          <cell r="L345" t="str">
            <v/>
          </cell>
        </row>
        <row r="346">
          <cell r="A346">
            <v>34000000</v>
          </cell>
          <cell r="C346">
            <v>34000000</v>
          </cell>
          <cell r="D346">
            <v>34000000</v>
          </cell>
          <cell r="E346">
            <v>34000000</v>
          </cell>
          <cell r="F346">
            <v>34000000</v>
          </cell>
          <cell r="G346">
            <v>34000000</v>
          </cell>
          <cell r="H346">
            <v>34000000</v>
          </cell>
          <cell r="I346" t="str">
            <v/>
          </cell>
          <cell r="J346" t="str">
            <v/>
          </cell>
          <cell r="K346" t="str">
            <v/>
          </cell>
          <cell r="L346" t="str">
            <v/>
          </cell>
        </row>
        <row r="347">
          <cell r="A347">
            <v>34000000</v>
          </cell>
          <cell r="C347">
            <v>34000000</v>
          </cell>
          <cell r="D347">
            <v>34000000</v>
          </cell>
          <cell r="E347">
            <v>34000000</v>
          </cell>
          <cell r="F347">
            <v>34000000</v>
          </cell>
          <cell r="G347">
            <v>34000000</v>
          </cell>
          <cell r="H347">
            <v>34000000</v>
          </cell>
          <cell r="I347" t="str">
            <v/>
          </cell>
          <cell r="J347" t="str">
            <v/>
          </cell>
          <cell r="K347" t="str">
            <v/>
          </cell>
          <cell r="L347" t="str">
            <v/>
          </cell>
        </row>
        <row r="348">
          <cell r="A348">
            <v>34000000</v>
          </cell>
          <cell r="C348">
            <v>34000000</v>
          </cell>
          <cell r="D348">
            <v>34000000</v>
          </cell>
          <cell r="E348">
            <v>34000000</v>
          </cell>
          <cell r="F348">
            <v>34000000</v>
          </cell>
          <cell r="G348">
            <v>34000000</v>
          </cell>
          <cell r="H348">
            <v>34000000</v>
          </cell>
          <cell r="I348" t="str">
            <v/>
          </cell>
          <cell r="J348" t="str">
            <v/>
          </cell>
          <cell r="K348" t="str">
            <v/>
          </cell>
          <cell r="L348" t="str">
            <v/>
          </cell>
        </row>
        <row r="349">
          <cell r="A349">
            <v>34000000</v>
          </cell>
          <cell r="C349">
            <v>34000000</v>
          </cell>
          <cell r="D349">
            <v>34000000</v>
          </cell>
          <cell r="E349">
            <v>34000000</v>
          </cell>
          <cell r="F349">
            <v>34000000</v>
          </cell>
          <cell r="G349">
            <v>34000000</v>
          </cell>
          <cell r="H349">
            <v>34000000</v>
          </cell>
          <cell r="I349" t="str">
            <v/>
          </cell>
          <cell r="J349" t="str">
            <v/>
          </cell>
          <cell r="K349" t="str">
            <v/>
          </cell>
          <cell r="L349" t="str">
            <v/>
          </cell>
        </row>
        <row r="350">
          <cell r="A350">
            <v>34000000</v>
          </cell>
          <cell r="C350">
            <v>34000000</v>
          </cell>
          <cell r="D350">
            <v>34000000</v>
          </cell>
          <cell r="E350">
            <v>34000000</v>
          </cell>
          <cell r="F350">
            <v>34000000</v>
          </cell>
          <cell r="G350">
            <v>34000000</v>
          </cell>
          <cell r="H350">
            <v>34000000</v>
          </cell>
          <cell r="I350" t="str">
            <v/>
          </cell>
          <cell r="J350" t="str">
            <v/>
          </cell>
          <cell r="K350" t="str">
            <v/>
          </cell>
          <cell r="L350" t="str">
            <v/>
          </cell>
        </row>
        <row r="351">
          <cell r="A351">
            <v>34000000</v>
          </cell>
          <cell r="C351">
            <v>34000000</v>
          </cell>
          <cell r="D351">
            <v>34000000</v>
          </cell>
          <cell r="E351">
            <v>34000000</v>
          </cell>
          <cell r="F351">
            <v>34000000</v>
          </cell>
          <cell r="G351">
            <v>34000000</v>
          </cell>
          <cell r="H351">
            <v>34000000</v>
          </cell>
          <cell r="I351" t="str">
            <v/>
          </cell>
          <cell r="J351" t="str">
            <v/>
          </cell>
          <cell r="K351" t="str">
            <v/>
          </cell>
          <cell r="L351" t="str">
            <v/>
          </cell>
        </row>
        <row r="352">
          <cell r="A352">
            <v>34000000</v>
          </cell>
          <cell r="C352">
            <v>34000000</v>
          </cell>
          <cell r="D352">
            <v>34000000</v>
          </cell>
          <cell r="E352">
            <v>34000000</v>
          </cell>
          <cell r="F352">
            <v>34000000</v>
          </cell>
          <cell r="G352">
            <v>34000000</v>
          </cell>
          <cell r="H352">
            <v>34000000</v>
          </cell>
          <cell r="I352" t="str">
            <v/>
          </cell>
          <cell r="J352" t="str">
            <v/>
          </cell>
          <cell r="K352" t="str">
            <v/>
          </cell>
          <cell r="L352" t="str">
            <v/>
          </cell>
        </row>
        <row r="353">
          <cell r="A353">
            <v>34000000</v>
          </cell>
          <cell r="C353">
            <v>34000000</v>
          </cell>
          <cell r="D353">
            <v>34000000</v>
          </cell>
          <cell r="E353">
            <v>34000000</v>
          </cell>
          <cell r="F353">
            <v>34000000</v>
          </cell>
          <cell r="G353">
            <v>34000000</v>
          </cell>
          <cell r="H353">
            <v>34000000</v>
          </cell>
          <cell r="I353" t="str">
            <v/>
          </cell>
          <cell r="J353" t="str">
            <v/>
          </cell>
          <cell r="K353" t="str">
            <v/>
          </cell>
          <cell r="L353" t="str">
            <v/>
          </cell>
        </row>
        <row r="354">
          <cell r="A354">
            <v>34000000</v>
          </cell>
          <cell r="C354">
            <v>34000000</v>
          </cell>
          <cell r="D354">
            <v>34000000</v>
          </cell>
          <cell r="E354">
            <v>34000000</v>
          </cell>
          <cell r="F354">
            <v>34000000</v>
          </cell>
          <cell r="G354">
            <v>34000000</v>
          </cell>
          <cell r="H354">
            <v>34000000</v>
          </cell>
          <cell r="I354" t="str">
            <v/>
          </cell>
          <cell r="J354" t="str">
            <v/>
          </cell>
          <cell r="K354" t="str">
            <v/>
          </cell>
          <cell r="L354" t="str">
            <v/>
          </cell>
        </row>
        <row r="355">
          <cell r="A355">
            <v>34000000</v>
          </cell>
          <cell r="C355">
            <v>34000000</v>
          </cell>
          <cell r="D355">
            <v>34000000</v>
          </cell>
          <cell r="E355">
            <v>34000000</v>
          </cell>
          <cell r="F355">
            <v>34000000</v>
          </cell>
          <cell r="G355">
            <v>34000000</v>
          </cell>
          <cell r="H355">
            <v>34000000</v>
          </cell>
          <cell r="I355" t="str">
            <v/>
          </cell>
          <cell r="J355" t="str">
            <v/>
          </cell>
          <cell r="K355" t="str">
            <v/>
          </cell>
          <cell r="L355" t="str">
            <v/>
          </cell>
        </row>
        <row r="356">
          <cell r="A356">
            <v>34000000</v>
          </cell>
          <cell r="C356">
            <v>34000000</v>
          </cell>
          <cell r="D356">
            <v>34000000</v>
          </cell>
          <cell r="E356">
            <v>34000000</v>
          </cell>
          <cell r="F356">
            <v>34000000</v>
          </cell>
          <cell r="G356">
            <v>34000000</v>
          </cell>
          <cell r="H356">
            <v>34000000</v>
          </cell>
          <cell r="I356" t="str">
            <v/>
          </cell>
          <cell r="J356" t="str">
            <v/>
          </cell>
          <cell r="K356" t="str">
            <v/>
          </cell>
          <cell r="L356" t="str">
            <v/>
          </cell>
        </row>
        <row r="357">
          <cell r="A357">
            <v>34000000</v>
          </cell>
          <cell r="C357">
            <v>34000000</v>
          </cell>
          <cell r="D357">
            <v>34000000</v>
          </cell>
          <cell r="E357">
            <v>34000000</v>
          </cell>
          <cell r="F357">
            <v>34000000</v>
          </cell>
          <cell r="G357">
            <v>34000000</v>
          </cell>
          <cell r="H357">
            <v>34000000</v>
          </cell>
          <cell r="I357" t="str">
            <v/>
          </cell>
          <cell r="J357" t="str">
            <v/>
          </cell>
          <cell r="K357" t="str">
            <v/>
          </cell>
          <cell r="L357" t="str">
            <v/>
          </cell>
        </row>
        <row r="358">
          <cell r="A358">
            <v>34000000</v>
          </cell>
          <cell r="C358">
            <v>34000000</v>
          </cell>
          <cell r="D358">
            <v>34000000</v>
          </cell>
          <cell r="E358">
            <v>34000000</v>
          </cell>
          <cell r="F358">
            <v>34000000</v>
          </cell>
          <cell r="G358">
            <v>34000000</v>
          </cell>
          <cell r="H358">
            <v>34000000</v>
          </cell>
          <cell r="I358" t="str">
            <v/>
          </cell>
          <cell r="J358" t="str">
            <v/>
          </cell>
          <cell r="K358" t="str">
            <v/>
          </cell>
          <cell r="L358" t="str">
            <v/>
          </cell>
        </row>
        <row r="359">
          <cell r="A359">
            <v>34000000</v>
          </cell>
          <cell r="C359">
            <v>34000000</v>
          </cell>
          <cell r="D359">
            <v>34000000</v>
          </cell>
          <cell r="E359">
            <v>34000000</v>
          </cell>
          <cell r="F359">
            <v>34000000</v>
          </cell>
          <cell r="G359">
            <v>34000000</v>
          </cell>
          <cell r="H359">
            <v>34000000</v>
          </cell>
          <cell r="I359" t="str">
            <v/>
          </cell>
          <cell r="J359" t="str">
            <v/>
          </cell>
          <cell r="K359" t="str">
            <v/>
          </cell>
          <cell r="L359" t="str">
            <v/>
          </cell>
        </row>
        <row r="360">
          <cell r="A360">
            <v>34000000</v>
          </cell>
          <cell r="C360">
            <v>34000000</v>
          </cell>
          <cell r="D360">
            <v>34000000</v>
          </cell>
          <cell r="E360">
            <v>34000000</v>
          </cell>
          <cell r="F360">
            <v>34000000</v>
          </cell>
          <cell r="G360">
            <v>34000000</v>
          </cell>
          <cell r="H360">
            <v>34000000</v>
          </cell>
          <cell r="I360" t="str">
            <v/>
          </cell>
          <cell r="J360" t="str">
            <v/>
          </cell>
          <cell r="K360" t="str">
            <v/>
          </cell>
          <cell r="L360" t="str">
            <v/>
          </cell>
        </row>
        <row r="361">
          <cell r="A361">
            <v>34000000</v>
          </cell>
          <cell r="C361">
            <v>34000000</v>
          </cell>
          <cell r="D361">
            <v>34000000</v>
          </cell>
          <cell r="E361">
            <v>34000000</v>
          </cell>
          <cell r="F361">
            <v>34000000</v>
          </cell>
          <cell r="G361">
            <v>34000000</v>
          </cell>
          <cell r="H361">
            <v>34000000</v>
          </cell>
          <cell r="I361" t="str">
            <v/>
          </cell>
          <cell r="J361" t="str">
            <v/>
          </cell>
          <cell r="K361" t="str">
            <v/>
          </cell>
          <cell r="L361" t="str">
            <v/>
          </cell>
        </row>
        <row r="362">
          <cell r="A362">
            <v>34000000</v>
          </cell>
          <cell r="C362">
            <v>34000000</v>
          </cell>
          <cell r="D362">
            <v>34000000</v>
          </cell>
          <cell r="E362">
            <v>34000000</v>
          </cell>
          <cell r="F362">
            <v>34000000</v>
          </cell>
          <cell r="G362">
            <v>34000000</v>
          </cell>
          <cell r="H362">
            <v>34000000</v>
          </cell>
          <cell r="I362" t="str">
            <v/>
          </cell>
          <cell r="J362" t="str">
            <v/>
          </cell>
          <cell r="K362" t="str">
            <v/>
          </cell>
          <cell r="L362" t="str">
            <v/>
          </cell>
        </row>
        <row r="363">
          <cell r="A363">
            <v>34000000</v>
          </cell>
          <cell r="C363">
            <v>34000000</v>
          </cell>
          <cell r="D363">
            <v>34000000</v>
          </cell>
          <cell r="E363">
            <v>34000000</v>
          </cell>
          <cell r="F363">
            <v>34000000</v>
          </cell>
          <cell r="G363">
            <v>34000000</v>
          </cell>
          <cell r="H363">
            <v>34000000</v>
          </cell>
          <cell r="I363" t="str">
            <v/>
          </cell>
          <cell r="J363" t="str">
            <v/>
          </cell>
          <cell r="K363" t="str">
            <v/>
          </cell>
          <cell r="L363" t="str">
            <v/>
          </cell>
        </row>
        <row r="364">
          <cell r="A364">
            <v>34000000</v>
          </cell>
          <cell r="C364">
            <v>34000000</v>
          </cell>
          <cell r="D364">
            <v>34000000</v>
          </cell>
          <cell r="E364">
            <v>34000000</v>
          </cell>
          <cell r="F364">
            <v>34000000</v>
          </cell>
          <cell r="G364">
            <v>34000000</v>
          </cell>
          <cell r="H364">
            <v>34000000</v>
          </cell>
          <cell r="I364" t="str">
            <v/>
          </cell>
          <cell r="J364" t="str">
            <v/>
          </cell>
          <cell r="K364" t="str">
            <v/>
          </cell>
          <cell r="L364" t="str">
            <v/>
          </cell>
        </row>
        <row r="365">
          <cell r="A365">
            <v>34000000</v>
          </cell>
          <cell r="C365">
            <v>34000000</v>
          </cell>
          <cell r="D365">
            <v>34000000</v>
          </cell>
          <cell r="E365">
            <v>34000000</v>
          </cell>
          <cell r="F365">
            <v>34000000</v>
          </cell>
          <cell r="G365">
            <v>34000000</v>
          </cell>
          <cell r="H365">
            <v>34000000</v>
          </cell>
          <cell r="I365" t="str">
            <v/>
          </cell>
          <cell r="J365" t="str">
            <v/>
          </cell>
          <cell r="K365" t="str">
            <v/>
          </cell>
          <cell r="L365" t="str">
            <v/>
          </cell>
        </row>
        <row r="366">
          <cell r="A366">
            <v>34000000</v>
          </cell>
          <cell r="C366">
            <v>34000000</v>
          </cell>
          <cell r="D366">
            <v>34000000</v>
          </cell>
          <cell r="E366">
            <v>34000000</v>
          </cell>
          <cell r="F366">
            <v>34000000</v>
          </cell>
          <cell r="G366">
            <v>34000000</v>
          </cell>
          <cell r="H366">
            <v>34000000</v>
          </cell>
          <cell r="I366" t="str">
            <v/>
          </cell>
          <cell r="J366" t="str">
            <v/>
          </cell>
          <cell r="K366" t="str">
            <v/>
          </cell>
          <cell r="L366" t="str">
            <v/>
          </cell>
        </row>
        <row r="367">
          <cell r="A367">
            <v>34000000</v>
          </cell>
          <cell r="C367">
            <v>34000000</v>
          </cell>
          <cell r="D367">
            <v>34000000</v>
          </cell>
          <cell r="E367">
            <v>34000000</v>
          </cell>
          <cell r="F367">
            <v>34000000</v>
          </cell>
          <cell r="G367">
            <v>34000000</v>
          </cell>
          <cell r="H367">
            <v>34000000</v>
          </cell>
          <cell r="I367" t="str">
            <v/>
          </cell>
          <cell r="J367" t="str">
            <v/>
          </cell>
          <cell r="K367" t="str">
            <v/>
          </cell>
          <cell r="L367" t="str">
            <v/>
          </cell>
        </row>
        <row r="368">
          <cell r="A368">
            <v>34000000</v>
          </cell>
          <cell r="C368">
            <v>34000000</v>
          </cell>
          <cell r="D368">
            <v>34000000</v>
          </cell>
          <cell r="E368">
            <v>34000000</v>
          </cell>
          <cell r="F368">
            <v>34000000</v>
          </cell>
          <cell r="G368">
            <v>34000000</v>
          </cell>
          <cell r="H368">
            <v>34000000</v>
          </cell>
          <cell r="I368" t="str">
            <v/>
          </cell>
          <cell r="J368" t="str">
            <v/>
          </cell>
          <cell r="K368" t="str">
            <v/>
          </cell>
          <cell r="L368" t="str">
            <v/>
          </cell>
        </row>
        <row r="369">
          <cell r="A369">
            <v>34000000</v>
          </cell>
          <cell r="C369">
            <v>34000000</v>
          </cell>
          <cell r="D369">
            <v>34000000</v>
          </cell>
          <cell r="E369">
            <v>34000000</v>
          </cell>
          <cell r="F369">
            <v>34000000</v>
          </cell>
          <cell r="G369">
            <v>34000000</v>
          </cell>
          <cell r="H369">
            <v>34000000</v>
          </cell>
          <cell r="I369" t="str">
            <v/>
          </cell>
          <cell r="J369" t="str">
            <v/>
          </cell>
          <cell r="K369" t="str">
            <v/>
          </cell>
          <cell r="L369" t="str">
            <v/>
          </cell>
        </row>
        <row r="370">
          <cell r="A370">
            <v>34000000</v>
          </cell>
          <cell r="C370">
            <v>34000000</v>
          </cell>
          <cell r="D370">
            <v>34000000</v>
          </cell>
          <cell r="E370">
            <v>34000000</v>
          </cell>
          <cell r="F370">
            <v>34000000</v>
          </cell>
          <cell r="G370">
            <v>34000000</v>
          </cell>
          <cell r="H370">
            <v>34000000</v>
          </cell>
          <cell r="I370" t="str">
            <v/>
          </cell>
          <cell r="J370" t="str">
            <v/>
          </cell>
          <cell r="K370" t="str">
            <v/>
          </cell>
          <cell r="L370" t="str">
            <v/>
          </cell>
        </row>
        <row r="371">
          <cell r="A371">
            <v>34000000</v>
          </cell>
          <cell r="C371">
            <v>34000000</v>
          </cell>
          <cell r="D371">
            <v>34000000</v>
          </cell>
          <cell r="E371">
            <v>34000000</v>
          </cell>
          <cell r="F371">
            <v>34000000</v>
          </cell>
          <cell r="G371">
            <v>34000000</v>
          </cell>
          <cell r="H371">
            <v>34000000</v>
          </cell>
          <cell r="I371" t="str">
            <v/>
          </cell>
          <cell r="J371" t="str">
            <v/>
          </cell>
          <cell r="K371" t="str">
            <v/>
          </cell>
          <cell r="L371" t="str">
            <v/>
          </cell>
        </row>
        <row r="372">
          <cell r="A372">
            <v>34000000</v>
          </cell>
          <cell r="C372">
            <v>34000000</v>
          </cell>
          <cell r="D372">
            <v>34000000</v>
          </cell>
          <cell r="E372">
            <v>34000000</v>
          </cell>
          <cell r="F372">
            <v>34000000</v>
          </cell>
          <cell r="G372">
            <v>34000000</v>
          </cell>
          <cell r="H372">
            <v>34000000</v>
          </cell>
          <cell r="I372" t="str">
            <v/>
          </cell>
          <cell r="J372" t="str">
            <v/>
          </cell>
          <cell r="K372" t="str">
            <v/>
          </cell>
          <cell r="L372" t="str">
            <v/>
          </cell>
        </row>
        <row r="373">
          <cell r="A373">
            <v>34000000</v>
          </cell>
          <cell r="C373">
            <v>34000000</v>
          </cell>
          <cell r="D373">
            <v>34000000</v>
          </cell>
          <cell r="E373">
            <v>34000000</v>
          </cell>
          <cell r="F373">
            <v>34000000</v>
          </cell>
          <cell r="G373">
            <v>34000000</v>
          </cell>
          <cell r="H373">
            <v>34000000</v>
          </cell>
          <cell r="I373" t="str">
            <v/>
          </cell>
          <cell r="J373" t="str">
            <v/>
          </cell>
          <cell r="K373" t="str">
            <v/>
          </cell>
          <cell r="L373" t="str">
            <v/>
          </cell>
        </row>
        <row r="374">
          <cell r="A374">
            <v>34000000</v>
          </cell>
          <cell r="C374">
            <v>34000000</v>
          </cell>
          <cell r="D374">
            <v>34000000</v>
          </cell>
          <cell r="E374">
            <v>34000000</v>
          </cell>
          <cell r="F374">
            <v>34000000</v>
          </cell>
          <cell r="G374">
            <v>34000000</v>
          </cell>
          <cell r="H374">
            <v>34000000</v>
          </cell>
          <cell r="I374" t="str">
            <v/>
          </cell>
          <cell r="J374" t="str">
            <v/>
          </cell>
          <cell r="K374" t="str">
            <v/>
          </cell>
          <cell r="L374" t="str">
            <v/>
          </cell>
        </row>
        <row r="375">
          <cell r="A375">
            <v>34000000</v>
          </cell>
          <cell r="C375">
            <v>34000000</v>
          </cell>
          <cell r="D375">
            <v>34000000</v>
          </cell>
          <cell r="E375">
            <v>34000000</v>
          </cell>
          <cell r="F375">
            <v>34000000</v>
          </cell>
          <cell r="G375">
            <v>34000000</v>
          </cell>
          <cell r="H375">
            <v>34000000</v>
          </cell>
          <cell r="I375" t="str">
            <v/>
          </cell>
          <cell r="J375" t="str">
            <v/>
          </cell>
          <cell r="K375" t="str">
            <v/>
          </cell>
          <cell r="L375" t="str">
            <v/>
          </cell>
        </row>
        <row r="376">
          <cell r="A376">
            <v>34000000</v>
          </cell>
          <cell r="C376">
            <v>34000000</v>
          </cell>
          <cell r="D376">
            <v>34000000</v>
          </cell>
          <cell r="E376">
            <v>34000000</v>
          </cell>
          <cell r="F376">
            <v>34000000</v>
          </cell>
          <cell r="G376">
            <v>34000000</v>
          </cell>
          <cell r="H376">
            <v>34000000</v>
          </cell>
          <cell r="I376" t="str">
            <v/>
          </cell>
          <cell r="J376" t="str">
            <v/>
          </cell>
          <cell r="K376" t="str">
            <v/>
          </cell>
          <cell r="L376" t="str">
            <v/>
          </cell>
        </row>
        <row r="377">
          <cell r="A377">
            <v>34000000</v>
          </cell>
          <cell r="C377">
            <v>34000000</v>
          </cell>
          <cell r="D377">
            <v>34000000</v>
          </cell>
          <cell r="E377">
            <v>34000000</v>
          </cell>
          <cell r="F377">
            <v>34000000</v>
          </cell>
          <cell r="G377">
            <v>34000000</v>
          </cell>
          <cell r="H377">
            <v>34000000</v>
          </cell>
          <cell r="I377" t="str">
            <v/>
          </cell>
          <cell r="J377" t="str">
            <v/>
          </cell>
          <cell r="K377" t="str">
            <v/>
          </cell>
          <cell r="L377" t="str">
            <v/>
          </cell>
        </row>
        <row r="378">
          <cell r="A378">
            <v>34000000</v>
          </cell>
          <cell r="C378">
            <v>34000000</v>
          </cell>
          <cell r="D378">
            <v>34000000</v>
          </cell>
          <cell r="E378">
            <v>34000000</v>
          </cell>
          <cell r="F378">
            <v>34000000</v>
          </cell>
          <cell r="G378">
            <v>34000000</v>
          </cell>
          <cell r="H378">
            <v>34000000</v>
          </cell>
          <cell r="I378" t="str">
            <v/>
          </cell>
          <cell r="J378" t="str">
            <v/>
          </cell>
          <cell r="K378" t="str">
            <v/>
          </cell>
          <cell r="L378" t="str">
            <v/>
          </cell>
        </row>
        <row r="379">
          <cell r="A379">
            <v>34000000</v>
          </cell>
          <cell r="C379">
            <v>34000000</v>
          </cell>
          <cell r="D379">
            <v>34000000</v>
          </cell>
          <cell r="E379">
            <v>34000000</v>
          </cell>
          <cell r="F379">
            <v>34000000</v>
          </cell>
          <cell r="G379">
            <v>34000000</v>
          </cell>
          <cell r="H379">
            <v>34000000</v>
          </cell>
          <cell r="I379" t="str">
            <v/>
          </cell>
          <cell r="J379" t="str">
            <v/>
          </cell>
          <cell r="K379" t="str">
            <v/>
          </cell>
          <cell r="L379" t="str">
            <v/>
          </cell>
        </row>
        <row r="380">
          <cell r="A380">
            <v>34000000</v>
          </cell>
          <cell r="C380">
            <v>34000000</v>
          </cell>
          <cell r="D380">
            <v>34000000</v>
          </cell>
          <cell r="E380">
            <v>34000000</v>
          </cell>
          <cell r="F380">
            <v>34000000</v>
          </cell>
          <cell r="G380">
            <v>34000000</v>
          </cell>
          <cell r="H380">
            <v>34000000</v>
          </cell>
          <cell r="I380" t="str">
            <v/>
          </cell>
          <cell r="J380" t="str">
            <v/>
          </cell>
          <cell r="K380" t="str">
            <v/>
          </cell>
          <cell r="L380" t="str">
            <v/>
          </cell>
        </row>
        <row r="381">
          <cell r="A381">
            <v>34000000</v>
          </cell>
          <cell r="C381">
            <v>34000000</v>
          </cell>
          <cell r="D381">
            <v>34000000</v>
          </cell>
          <cell r="E381">
            <v>34000000</v>
          </cell>
          <cell r="F381">
            <v>34000000</v>
          </cell>
          <cell r="G381">
            <v>34000000</v>
          </cell>
          <cell r="H381">
            <v>34000000</v>
          </cell>
          <cell r="I381" t="str">
            <v/>
          </cell>
          <cell r="J381" t="str">
            <v/>
          </cell>
          <cell r="K381" t="str">
            <v/>
          </cell>
          <cell r="L381" t="str">
            <v/>
          </cell>
        </row>
        <row r="382">
          <cell r="A382">
            <v>34000000</v>
          </cell>
          <cell r="C382">
            <v>34000000</v>
          </cell>
          <cell r="D382">
            <v>34000000</v>
          </cell>
          <cell r="E382">
            <v>34000000</v>
          </cell>
          <cell r="F382">
            <v>34000000</v>
          </cell>
          <cell r="G382">
            <v>34000000</v>
          </cell>
          <cell r="H382">
            <v>34000000</v>
          </cell>
          <cell r="I382" t="str">
            <v/>
          </cell>
          <cell r="J382" t="str">
            <v/>
          </cell>
          <cell r="K382" t="str">
            <v/>
          </cell>
          <cell r="L382" t="str">
            <v/>
          </cell>
        </row>
        <row r="383">
          <cell r="A383">
            <v>34000000</v>
          </cell>
          <cell r="C383">
            <v>34000000</v>
          </cell>
          <cell r="D383">
            <v>34000000</v>
          </cell>
          <cell r="E383">
            <v>34000000</v>
          </cell>
          <cell r="F383">
            <v>34000000</v>
          </cell>
          <cell r="G383">
            <v>34000000</v>
          </cell>
          <cell r="H383">
            <v>34000000</v>
          </cell>
          <cell r="I383" t="str">
            <v/>
          </cell>
          <cell r="J383" t="str">
            <v/>
          </cell>
          <cell r="K383" t="str">
            <v/>
          </cell>
          <cell r="L383" t="str">
            <v/>
          </cell>
        </row>
        <row r="384">
          <cell r="A384">
            <v>34000000</v>
          </cell>
          <cell r="C384">
            <v>34000000</v>
          </cell>
          <cell r="D384">
            <v>34000000</v>
          </cell>
          <cell r="E384">
            <v>34000000</v>
          </cell>
          <cell r="F384">
            <v>34000000</v>
          </cell>
          <cell r="G384">
            <v>34000000</v>
          </cell>
          <cell r="H384">
            <v>34000000</v>
          </cell>
          <cell r="I384" t="str">
            <v/>
          </cell>
          <cell r="J384" t="str">
            <v/>
          </cell>
          <cell r="K384" t="str">
            <v/>
          </cell>
          <cell r="L384" t="str">
            <v/>
          </cell>
        </row>
        <row r="385">
          <cell r="A385">
            <v>34000000</v>
          </cell>
          <cell r="C385">
            <v>34000000</v>
          </cell>
          <cell r="D385">
            <v>34000000</v>
          </cell>
          <cell r="E385">
            <v>34000000</v>
          </cell>
          <cell r="F385">
            <v>34000000</v>
          </cell>
          <cell r="G385">
            <v>34000000</v>
          </cell>
          <cell r="H385">
            <v>34000000</v>
          </cell>
          <cell r="I385" t="str">
            <v/>
          </cell>
          <cell r="J385" t="str">
            <v/>
          </cell>
          <cell r="K385" t="str">
            <v/>
          </cell>
          <cell r="L385" t="str">
            <v/>
          </cell>
        </row>
        <row r="386">
          <cell r="A386">
            <v>34000000</v>
          </cell>
          <cell r="C386">
            <v>34000000</v>
          </cell>
          <cell r="D386">
            <v>34000000</v>
          </cell>
          <cell r="E386">
            <v>34000000</v>
          </cell>
          <cell r="F386">
            <v>34000000</v>
          </cell>
          <cell r="G386">
            <v>34000000</v>
          </cell>
          <cell r="H386">
            <v>34000000</v>
          </cell>
          <cell r="I386" t="str">
            <v/>
          </cell>
          <cell r="J386" t="str">
            <v/>
          </cell>
          <cell r="K386" t="str">
            <v/>
          </cell>
          <cell r="L386" t="str">
            <v/>
          </cell>
        </row>
        <row r="387">
          <cell r="A387">
            <v>34000000</v>
          </cell>
          <cell r="C387">
            <v>34000000</v>
          </cell>
          <cell r="D387">
            <v>34000000</v>
          </cell>
          <cell r="E387">
            <v>34000000</v>
          </cell>
          <cell r="F387">
            <v>34000000</v>
          </cell>
          <cell r="G387">
            <v>34000000</v>
          </cell>
          <cell r="H387">
            <v>34000000</v>
          </cell>
          <cell r="I387" t="str">
            <v/>
          </cell>
          <cell r="J387" t="str">
            <v/>
          </cell>
          <cell r="K387" t="str">
            <v/>
          </cell>
          <cell r="L387" t="str">
            <v/>
          </cell>
        </row>
        <row r="388">
          <cell r="A388">
            <v>34000000</v>
          </cell>
          <cell r="C388">
            <v>34000000</v>
          </cell>
          <cell r="D388">
            <v>34000000</v>
          </cell>
          <cell r="E388">
            <v>34000000</v>
          </cell>
          <cell r="F388">
            <v>34000000</v>
          </cell>
          <cell r="G388">
            <v>34000000</v>
          </cell>
          <cell r="H388">
            <v>34000000</v>
          </cell>
          <cell r="I388" t="str">
            <v/>
          </cell>
          <cell r="J388" t="str">
            <v/>
          </cell>
          <cell r="K388" t="str">
            <v/>
          </cell>
          <cell r="L388" t="str">
            <v/>
          </cell>
        </row>
        <row r="389">
          <cell r="A389">
            <v>34000000</v>
          </cell>
          <cell r="C389">
            <v>34000000</v>
          </cell>
          <cell r="D389">
            <v>34000000</v>
          </cell>
          <cell r="E389">
            <v>34000000</v>
          </cell>
          <cell r="F389">
            <v>34000000</v>
          </cell>
          <cell r="G389">
            <v>34000000</v>
          </cell>
          <cell r="H389">
            <v>34000000</v>
          </cell>
          <cell r="I389" t="str">
            <v/>
          </cell>
          <cell r="J389" t="str">
            <v/>
          </cell>
          <cell r="K389" t="str">
            <v/>
          </cell>
          <cell r="L389" t="str">
            <v/>
          </cell>
        </row>
        <row r="390">
          <cell r="A390">
            <v>34000000</v>
          </cell>
          <cell r="C390">
            <v>34000000</v>
          </cell>
          <cell r="D390">
            <v>34000000</v>
          </cell>
          <cell r="E390">
            <v>34000000</v>
          </cell>
          <cell r="F390">
            <v>34000000</v>
          </cell>
          <cell r="G390">
            <v>34000000</v>
          </cell>
          <cell r="H390">
            <v>34000000</v>
          </cell>
          <cell r="I390" t="str">
            <v/>
          </cell>
          <cell r="J390" t="str">
            <v/>
          </cell>
          <cell r="K390" t="str">
            <v/>
          </cell>
          <cell r="L390" t="str">
            <v/>
          </cell>
        </row>
        <row r="391">
          <cell r="A391">
            <v>34000000</v>
          </cell>
          <cell r="C391">
            <v>34000000</v>
          </cell>
          <cell r="D391">
            <v>34000000</v>
          </cell>
          <cell r="E391">
            <v>34000000</v>
          </cell>
          <cell r="F391">
            <v>34000000</v>
          </cell>
          <cell r="G391">
            <v>34000000</v>
          </cell>
          <cell r="H391">
            <v>34000000</v>
          </cell>
          <cell r="I391" t="str">
            <v/>
          </cell>
          <cell r="J391" t="str">
            <v/>
          </cell>
          <cell r="K391" t="str">
            <v/>
          </cell>
          <cell r="L391" t="str">
            <v/>
          </cell>
        </row>
        <row r="392">
          <cell r="A392">
            <v>34000000</v>
          </cell>
          <cell r="C392">
            <v>34000000</v>
          </cell>
          <cell r="D392">
            <v>34000000</v>
          </cell>
          <cell r="E392">
            <v>34000000</v>
          </cell>
          <cell r="F392">
            <v>34000000</v>
          </cell>
          <cell r="G392">
            <v>34000000</v>
          </cell>
          <cell r="H392">
            <v>34000000</v>
          </cell>
          <cell r="I392" t="str">
            <v/>
          </cell>
          <cell r="J392" t="str">
            <v/>
          </cell>
          <cell r="K392" t="str">
            <v/>
          </cell>
          <cell r="L392" t="str">
            <v/>
          </cell>
        </row>
        <row r="393">
          <cell r="A393">
            <v>34000000</v>
          </cell>
          <cell r="C393">
            <v>34000000</v>
          </cell>
          <cell r="D393">
            <v>34000000</v>
          </cell>
          <cell r="E393">
            <v>34000000</v>
          </cell>
          <cell r="F393">
            <v>34000000</v>
          </cell>
          <cell r="G393">
            <v>34000000</v>
          </cell>
          <cell r="H393">
            <v>34000000</v>
          </cell>
          <cell r="I393" t="str">
            <v/>
          </cell>
          <cell r="J393" t="str">
            <v/>
          </cell>
          <cell r="K393" t="str">
            <v/>
          </cell>
          <cell r="L393" t="str">
            <v/>
          </cell>
        </row>
        <row r="394">
          <cell r="A394">
            <v>34000000</v>
          </cell>
          <cell r="C394">
            <v>34000000</v>
          </cell>
          <cell r="D394">
            <v>34000000</v>
          </cell>
          <cell r="E394">
            <v>34000000</v>
          </cell>
          <cell r="F394">
            <v>34000000</v>
          </cell>
          <cell r="G394">
            <v>34000000</v>
          </cell>
          <cell r="H394">
            <v>34000000</v>
          </cell>
          <cell r="I394" t="str">
            <v/>
          </cell>
          <cell r="J394" t="str">
            <v/>
          </cell>
          <cell r="K394" t="str">
            <v/>
          </cell>
          <cell r="L394" t="str">
            <v/>
          </cell>
        </row>
        <row r="395">
          <cell r="A395">
            <v>34000000</v>
          </cell>
          <cell r="C395">
            <v>34000000</v>
          </cell>
          <cell r="D395">
            <v>34000000</v>
          </cell>
          <cell r="E395">
            <v>34000000</v>
          </cell>
          <cell r="F395">
            <v>34000000</v>
          </cell>
          <cell r="G395">
            <v>34000000</v>
          </cell>
          <cell r="H395">
            <v>34000000</v>
          </cell>
          <cell r="I395" t="str">
            <v/>
          </cell>
          <cell r="J395" t="str">
            <v/>
          </cell>
          <cell r="K395" t="str">
            <v/>
          </cell>
          <cell r="L395" t="str">
            <v/>
          </cell>
        </row>
        <row r="396">
          <cell r="A396">
            <v>34000000</v>
          </cell>
          <cell r="C396">
            <v>34000000</v>
          </cell>
          <cell r="D396">
            <v>34000000</v>
          </cell>
          <cell r="E396">
            <v>34000000</v>
          </cell>
          <cell r="F396">
            <v>34000000</v>
          </cell>
          <cell r="G396">
            <v>34000000</v>
          </cell>
          <cell r="H396">
            <v>34000000</v>
          </cell>
          <cell r="I396" t="str">
            <v/>
          </cell>
          <cell r="J396" t="str">
            <v/>
          </cell>
          <cell r="K396" t="str">
            <v/>
          </cell>
          <cell r="L396" t="str">
            <v/>
          </cell>
        </row>
        <row r="397">
          <cell r="A397">
            <v>34000000</v>
          </cell>
          <cell r="C397">
            <v>34000000</v>
          </cell>
          <cell r="D397">
            <v>34000000</v>
          </cell>
          <cell r="E397">
            <v>34000000</v>
          </cell>
          <cell r="F397">
            <v>34000000</v>
          </cell>
          <cell r="G397">
            <v>34000000</v>
          </cell>
          <cell r="H397">
            <v>34000000</v>
          </cell>
          <cell r="I397" t="str">
            <v/>
          </cell>
          <cell r="J397" t="str">
            <v/>
          </cell>
          <cell r="K397" t="str">
            <v/>
          </cell>
          <cell r="L397" t="str">
            <v/>
          </cell>
        </row>
        <row r="398">
          <cell r="A398">
            <v>34000000</v>
          </cell>
          <cell r="C398">
            <v>34000000</v>
          </cell>
          <cell r="D398">
            <v>34000000</v>
          </cell>
          <cell r="E398">
            <v>34000000</v>
          </cell>
          <cell r="F398">
            <v>34000000</v>
          </cell>
          <cell r="G398">
            <v>34000000</v>
          </cell>
          <cell r="H398">
            <v>34000000</v>
          </cell>
          <cell r="I398" t="str">
            <v/>
          </cell>
          <cell r="J398" t="str">
            <v/>
          </cell>
          <cell r="K398" t="str">
            <v/>
          </cell>
          <cell r="L398" t="str">
            <v/>
          </cell>
        </row>
        <row r="399">
          <cell r="A399">
            <v>34000000</v>
          </cell>
          <cell r="C399">
            <v>34000000</v>
          </cell>
          <cell r="D399">
            <v>34000000</v>
          </cell>
          <cell r="E399">
            <v>34000000</v>
          </cell>
          <cell r="F399">
            <v>34000000</v>
          </cell>
          <cell r="G399">
            <v>34000000</v>
          </cell>
          <cell r="H399">
            <v>34000000</v>
          </cell>
          <cell r="I399" t="str">
            <v/>
          </cell>
          <cell r="J399" t="str">
            <v/>
          </cell>
          <cell r="K399" t="str">
            <v/>
          </cell>
          <cell r="L399" t="str">
            <v/>
          </cell>
        </row>
        <row r="400">
          <cell r="A400">
            <v>34000000</v>
          </cell>
          <cell r="C400">
            <v>34000000</v>
          </cell>
          <cell r="D400">
            <v>34000000</v>
          </cell>
          <cell r="E400">
            <v>34000000</v>
          </cell>
          <cell r="F400">
            <v>34000000</v>
          </cell>
          <cell r="G400">
            <v>34000000</v>
          </cell>
          <cell r="H400">
            <v>34000000</v>
          </cell>
          <cell r="I400" t="str">
            <v/>
          </cell>
          <cell r="J400" t="str">
            <v/>
          </cell>
          <cell r="K400" t="str">
            <v/>
          </cell>
          <cell r="L400" t="str">
            <v/>
          </cell>
        </row>
        <row r="401">
          <cell r="A401">
            <v>34000000</v>
          </cell>
          <cell r="C401">
            <v>34000000</v>
          </cell>
          <cell r="D401">
            <v>34000000</v>
          </cell>
          <cell r="E401">
            <v>34000000</v>
          </cell>
          <cell r="F401">
            <v>34000000</v>
          </cell>
          <cell r="G401">
            <v>34000000</v>
          </cell>
          <cell r="H401">
            <v>34000000</v>
          </cell>
          <cell r="I401" t="str">
            <v/>
          </cell>
          <cell r="J401" t="str">
            <v/>
          </cell>
          <cell r="K401" t="str">
            <v/>
          </cell>
          <cell r="L401" t="str">
            <v/>
          </cell>
        </row>
        <row r="402">
          <cell r="A402">
            <v>34000000</v>
          </cell>
          <cell r="C402">
            <v>34000000</v>
          </cell>
          <cell r="D402">
            <v>34000000</v>
          </cell>
          <cell r="E402">
            <v>34000000</v>
          </cell>
          <cell r="F402">
            <v>34000000</v>
          </cell>
          <cell r="G402">
            <v>34000000</v>
          </cell>
          <cell r="H402">
            <v>34000000</v>
          </cell>
          <cell r="I402" t="str">
            <v/>
          </cell>
          <cell r="J402" t="str">
            <v/>
          </cell>
          <cell r="K402" t="str">
            <v/>
          </cell>
          <cell r="L402" t="str">
            <v/>
          </cell>
        </row>
        <row r="403">
          <cell r="A403">
            <v>34000000</v>
          </cell>
          <cell r="C403">
            <v>34000000</v>
          </cell>
          <cell r="D403">
            <v>34000000</v>
          </cell>
          <cell r="E403">
            <v>34000000</v>
          </cell>
          <cell r="F403">
            <v>34000000</v>
          </cell>
          <cell r="G403">
            <v>34000000</v>
          </cell>
          <cell r="H403">
            <v>34000000</v>
          </cell>
          <cell r="I403" t="str">
            <v/>
          </cell>
          <cell r="J403" t="str">
            <v/>
          </cell>
          <cell r="K403" t="str">
            <v/>
          </cell>
          <cell r="L403" t="str">
            <v/>
          </cell>
        </row>
        <row r="404">
          <cell r="A404">
            <v>34000000</v>
          </cell>
          <cell r="C404">
            <v>34000000</v>
          </cell>
          <cell r="D404">
            <v>34000000</v>
          </cell>
          <cell r="E404">
            <v>34000000</v>
          </cell>
          <cell r="F404">
            <v>34000000</v>
          </cell>
          <cell r="G404">
            <v>34000000</v>
          </cell>
          <cell r="H404">
            <v>34000000</v>
          </cell>
          <cell r="I404" t="str">
            <v/>
          </cell>
          <cell r="J404" t="str">
            <v/>
          </cell>
          <cell r="K404" t="str">
            <v/>
          </cell>
          <cell r="L404" t="str">
            <v/>
          </cell>
        </row>
        <row r="405">
          <cell r="A405">
            <v>34000000</v>
          </cell>
          <cell r="C405">
            <v>34000000</v>
          </cell>
          <cell r="D405">
            <v>34000000</v>
          </cell>
          <cell r="E405">
            <v>34000000</v>
          </cell>
          <cell r="F405">
            <v>34000000</v>
          </cell>
          <cell r="G405">
            <v>34000000</v>
          </cell>
          <cell r="H405">
            <v>34000000</v>
          </cell>
          <cell r="I405" t="str">
            <v/>
          </cell>
          <cell r="J405" t="str">
            <v/>
          </cell>
          <cell r="K405" t="str">
            <v/>
          </cell>
          <cell r="L405" t="str">
            <v/>
          </cell>
        </row>
        <row r="406">
          <cell r="A406">
            <v>34000000</v>
          </cell>
          <cell r="C406">
            <v>34000000</v>
          </cell>
          <cell r="D406">
            <v>34000000</v>
          </cell>
          <cell r="E406">
            <v>34000000</v>
          </cell>
          <cell r="F406">
            <v>34000000</v>
          </cell>
          <cell r="G406">
            <v>34000000</v>
          </cell>
          <cell r="H406">
            <v>34000000</v>
          </cell>
          <cell r="I406" t="str">
            <v/>
          </cell>
          <cell r="J406" t="str">
            <v/>
          </cell>
          <cell r="K406" t="str">
            <v/>
          </cell>
          <cell r="L406" t="str">
            <v/>
          </cell>
        </row>
        <row r="407">
          <cell r="A407">
            <v>34000000</v>
          </cell>
          <cell r="C407">
            <v>34000000</v>
          </cell>
          <cell r="D407">
            <v>34000000</v>
          </cell>
          <cell r="E407">
            <v>34000000</v>
          </cell>
          <cell r="F407">
            <v>34000000</v>
          </cell>
          <cell r="G407">
            <v>34000000</v>
          </cell>
          <cell r="H407">
            <v>34000000</v>
          </cell>
          <cell r="I407" t="str">
            <v/>
          </cell>
          <cell r="J407" t="str">
            <v/>
          </cell>
          <cell r="K407" t="str">
            <v/>
          </cell>
          <cell r="L407" t="str">
            <v/>
          </cell>
        </row>
        <row r="408">
          <cell r="A408">
            <v>34000000</v>
          </cell>
          <cell r="C408">
            <v>34000000</v>
          </cell>
          <cell r="D408">
            <v>34000000</v>
          </cell>
          <cell r="E408">
            <v>34000000</v>
          </cell>
          <cell r="F408">
            <v>34000000</v>
          </cell>
          <cell r="G408">
            <v>34000000</v>
          </cell>
          <cell r="H408">
            <v>34000000</v>
          </cell>
          <cell r="I408" t="str">
            <v/>
          </cell>
          <cell r="J408" t="str">
            <v/>
          </cell>
          <cell r="K408" t="str">
            <v/>
          </cell>
          <cell r="L408" t="str">
            <v/>
          </cell>
        </row>
        <row r="409">
          <cell r="A409">
            <v>34000000</v>
          </cell>
          <cell r="C409">
            <v>34000000</v>
          </cell>
          <cell r="D409">
            <v>34000000</v>
          </cell>
          <cell r="E409">
            <v>34000000</v>
          </cell>
          <cell r="F409">
            <v>34000000</v>
          </cell>
          <cell r="G409">
            <v>34000000</v>
          </cell>
          <cell r="H409">
            <v>34000000</v>
          </cell>
          <cell r="I409" t="str">
            <v/>
          </cell>
          <cell r="J409" t="str">
            <v/>
          </cell>
          <cell r="K409" t="str">
            <v/>
          </cell>
          <cell r="L409" t="str">
            <v/>
          </cell>
        </row>
        <row r="410">
          <cell r="A410">
            <v>34000000</v>
          </cell>
          <cell r="C410">
            <v>34000000</v>
          </cell>
          <cell r="D410">
            <v>34000000</v>
          </cell>
          <cell r="E410">
            <v>34000000</v>
          </cell>
          <cell r="F410">
            <v>34000000</v>
          </cell>
          <cell r="G410">
            <v>34000000</v>
          </cell>
          <cell r="H410">
            <v>34000000</v>
          </cell>
          <cell r="I410" t="str">
            <v/>
          </cell>
          <cell r="J410" t="str">
            <v/>
          </cell>
          <cell r="K410" t="str">
            <v/>
          </cell>
          <cell r="L410" t="str">
            <v/>
          </cell>
        </row>
        <row r="411">
          <cell r="A411">
            <v>34000000</v>
          </cell>
          <cell r="C411">
            <v>34000000</v>
          </cell>
          <cell r="D411">
            <v>34000000</v>
          </cell>
          <cell r="E411">
            <v>34000000</v>
          </cell>
          <cell r="F411">
            <v>34000000</v>
          </cell>
          <cell r="G411">
            <v>34000000</v>
          </cell>
          <cell r="H411">
            <v>34000000</v>
          </cell>
          <cell r="I411" t="str">
            <v/>
          </cell>
          <cell r="J411" t="str">
            <v/>
          </cell>
          <cell r="K411" t="str">
            <v/>
          </cell>
          <cell r="L411" t="str">
            <v/>
          </cell>
        </row>
        <row r="412">
          <cell r="A412">
            <v>34000000</v>
          </cell>
          <cell r="C412">
            <v>34000000</v>
          </cell>
          <cell r="D412">
            <v>34000000</v>
          </cell>
          <cell r="E412">
            <v>34000000</v>
          </cell>
          <cell r="F412">
            <v>34000000</v>
          </cell>
          <cell r="G412">
            <v>34000000</v>
          </cell>
          <cell r="H412">
            <v>34000000</v>
          </cell>
          <cell r="I412" t="str">
            <v/>
          </cell>
          <cell r="J412" t="str">
            <v/>
          </cell>
          <cell r="K412" t="str">
            <v/>
          </cell>
          <cell r="L412" t="str">
            <v/>
          </cell>
        </row>
        <row r="413">
          <cell r="A413">
            <v>34000000</v>
          </cell>
          <cell r="C413">
            <v>34000000</v>
          </cell>
          <cell r="D413">
            <v>34000000</v>
          </cell>
          <cell r="E413">
            <v>34000000</v>
          </cell>
          <cell r="F413">
            <v>34000000</v>
          </cell>
          <cell r="G413">
            <v>34000000</v>
          </cell>
          <cell r="H413">
            <v>34000000</v>
          </cell>
          <cell r="I413" t="str">
            <v/>
          </cell>
          <cell r="J413" t="str">
            <v/>
          </cell>
          <cell r="K413" t="str">
            <v/>
          </cell>
          <cell r="L413" t="str">
            <v/>
          </cell>
        </row>
        <row r="414">
          <cell r="A414">
            <v>34000000</v>
          </cell>
          <cell r="C414">
            <v>34000000</v>
          </cell>
          <cell r="D414">
            <v>34000000</v>
          </cell>
          <cell r="E414">
            <v>34000000</v>
          </cell>
          <cell r="F414">
            <v>34000000</v>
          </cell>
          <cell r="G414">
            <v>34000000</v>
          </cell>
          <cell r="H414">
            <v>34000000</v>
          </cell>
          <cell r="I414" t="str">
            <v/>
          </cell>
          <cell r="J414" t="str">
            <v/>
          </cell>
          <cell r="K414" t="str">
            <v/>
          </cell>
          <cell r="L414" t="str">
            <v/>
          </cell>
        </row>
        <row r="415">
          <cell r="A415">
            <v>34000000</v>
          </cell>
          <cell r="C415">
            <v>34000000</v>
          </cell>
          <cell r="D415">
            <v>34000000</v>
          </cell>
          <cell r="E415">
            <v>34000000</v>
          </cell>
          <cell r="F415">
            <v>34000000</v>
          </cell>
          <cell r="G415">
            <v>34000000</v>
          </cell>
          <cell r="H415">
            <v>34000000</v>
          </cell>
          <cell r="I415" t="str">
            <v/>
          </cell>
          <cell r="J415" t="str">
            <v/>
          </cell>
          <cell r="K415" t="str">
            <v/>
          </cell>
          <cell r="L415" t="str">
            <v/>
          </cell>
        </row>
        <row r="416">
          <cell r="A416">
            <v>34000000</v>
          </cell>
          <cell r="C416">
            <v>34000000</v>
          </cell>
          <cell r="D416">
            <v>34000000</v>
          </cell>
          <cell r="E416">
            <v>34000000</v>
          </cell>
          <cell r="F416">
            <v>34000000</v>
          </cell>
          <cell r="G416">
            <v>34000000</v>
          </cell>
          <cell r="H416">
            <v>34000000</v>
          </cell>
          <cell r="I416" t="str">
            <v/>
          </cell>
          <cell r="J416" t="str">
            <v/>
          </cell>
          <cell r="K416" t="str">
            <v/>
          </cell>
          <cell r="L416" t="str">
            <v/>
          </cell>
        </row>
        <row r="417">
          <cell r="A417">
            <v>34000000</v>
          </cell>
          <cell r="C417">
            <v>34000000</v>
          </cell>
          <cell r="D417">
            <v>34000000</v>
          </cell>
          <cell r="E417">
            <v>34000000</v>
          </cell>
          <cell r="F417">
            <v>34000000</v>
          </cell>
          <cell r="G417">
            <v>34000000</v>
          </cell>
          <cell r="H417">
            <v>34000000</v>
          </cell>
          <cell r="I417" t="str">
            <v/>
          </cell>
          <cell r="J417" t="str">
            <v/>
          </cell>
          <cell r="K417" t="str">
            <v/>
          </cell>
          <cell r="L417" t="str">
            <v/>
          </cell>
        </row>
        <row r="418">
          <cell r="A418">
            <v>34000000</v>
          </cell>
          <cell r="C418">
            <v>34000000</v>
          </cell>
          <cell r="D418">
            <v>34000000</v>
          </cell>
          <cell r="E418">
            <v>34000000</v>
          </cell>
          <cell r="F418">
            <v>34000000</v>
          </cell>
          <cell r="G418">
            <v>34000000</v>
          </cell>
          <cell r="H418">
            <v>34000000</v>
          </cell>
          <cell r="I418" t="str">
            <v/>
          </cell>
          <cell r="J418" t="str">
            <v/>
          </cell>
          <cell r="K418" t="str">
            <v/>
          </cell>
          <cell r="L418" t="str">
            <v/>
          </cell>
        </row>
        <row r="419">
          <cell r="A419">
            <v>34000000</v>
          </cell>
          <cell r="C419">
            <v>34000000</v>
          </cell>
          <cell r="D419">
            <v>34000000</v>
          </cell>
          <cell r="E419">
            <v>34000000</v>
          </cell>
          <cell r="F419">
            <v>34000000</v>
          </cell>
          <cell r="G419">
            <v>34000000</v>
          </cell>
          <cell r="H419">
            <v>34000000</v>
          </cell>
          <cell r="I419" t="str">
            <v/>
          </cell>
          <cell r="J419" t="str">
            <v/>
          </cell>
          <cell r="K419" t="str">
            <v/>
          </cell>
          <cell r="L419" t="str">
            <v/>
          </cell>
        </row>
        <row r="420">
          <cell r="A420">
            <v>34000000</v>
          </cell>
          <cell r="C420">
            <v>34000000</v>
          </cell>
          <cell r="D420">
            <v>34000000</v>
          </cell>
          <cell r="E420">
            <v>34000000</v>
          </cell>
          <cell r="F420">
            <v>34000000</v>
          </cell>
          <cell r="G420">
            <v>34000000</v>
          </cell>
          <cell r="H420">
            <v>34000000</v>
          </cell>
          <cell r="I420" t="str">
            <v/>
          </cell>
          <cell r="J420" t="str">
            <v/>
          </cell>
          <cell r="K420" t="str">
            <v/>
          </cell>
          <cell r="L420" t="str">
            <v/>
          </cell>
        </row>
        <row r="421">
          <cell r="A421">
            <v>34000000</v>
          </cell>
          <cell r="C421">
            <v>34000000</v>
          </cell>
          <cell r="D421">
            <v>34000000</v>
          </cell>
          <cell r="E421">
            <v>34000000</v>
          </cell>
          <cell r="F421">
            <v>34000000</v>
          </cell>
          <cell r="G421">
            <v>34000000</v>
          </cell>
          <cell r="H421">
            <v>34000000</v>
          </cell>
          <cell r="I421" t="str">
            <v/>
          </cell>
          <cell r="J421" t="str">
            <v/>
          </cell>
          <cell r="K421" t="str">
            <v/>
          </cell>
          <cell r="L421" t="str">
            <v/>
          </cell>
        </row>
        <row r="422">
          <cell r="A422">
            <v>34000000</v>
          </cell>
          <cell r="C422">
            <v>34000000</v>
          </cell>
          <cell r="D422">
            <v>34000000</v>
          </cell>
          <cell r="E422">
            <v>34000000</v>
          </cell>
          <cell r="F422">
            <v>34000000</v>
          </cell>
          <cell r="G422">
            <v>34000000</v>
          </cell>
          <cell r="H422">
            <v>34000000</v>
          </cell>
          <cell r="I422" t="str">
            <v/>
          </cell>
          <cell r="J422" t="str">
            <v/>
          </cell>
          <cell r="K422" t="str">
            <v/>
          </cell>
          <cell r="L422" t="str">
            <v/>
          </cell>
        </row>
        <row r="423">
          <cell r="A423">
            <v>34000000</v>
          </cell>
          <cell r="C423">
            <v>34000000</v>
          </cell>
          <cell r="D423">
            <v>34000000</v>
          </cell>
          <cell r="E423">
            <v>34000000</v>
          </cell>
          <cell r="F423">
            <v>34000000</v>
          </cell>
          <cell r="G423">
            <v>34000000</v>
          </cell>
          <cell r="H423">
            <v>34000000</v>
          </cell>
          <cell r="I423" t="str">
            <v/>
          </cell>
          <cell r="J423" t="str">
            <v/>
          </cell>
          <cell r="K423" t="str">
            <v/>
          </cell>
          <cell r="L423" t="str">
            <v/>
          </cell>
        </row>
        <row r="424">
          <cell r="A424">
            <v>34000000</v>
          </cell>
          <cell r="C424">
            <v>34000000</v>
          </cell>
          <cell r="D424">
            <v>34000000</v>
          </cell>
          <cell r="E424">
            <v>34000000</v>
          </cell>
          <cell r="F424">
            <v>34000000</v>
          </cell>
          <cell r="G424">
            <v>34000000</v>
          </cell>
          <cell r="H424">
            <v>34000000</v>
          </cell>
          <cell r="I424" t="str">
            <v/>
          </cell>
          <cell r="J424" t="str">
            <v/>
          </cell>
          <cell r="K424" t="str">
            <v/>
          </cell>
          <cell r="L424" t="str">
            <v/>
          </cell>
        </row>
        <row r="425">
          <cell r="A425">
            <v>34000000</v>
          </cell>
          <cell r="C425">
            <v>34000000</v>
          </cell>
          <cell r="D425">
            <v>34000000</v>
          </cell>
          <cell r="E425">
            <v>34000000</v>
          </cell>
          <cell r="F425">
            <v>34000000</v>
          </cell>
          <cell r="G425">
            <v>34000000</v>
          </cell>
          <cell r="H425">
            <v>34000000</v>
          </cell>
          <cell r="I425" t="str">
            <v/>
          </cell>
          <cell r="J425" t="str">
            <v/>
          </cell>
          <cell r="K425" t="str">
            <v/>
          </cell>
          <cell r="L425" t="str">
            <v/>
          </cell>
        </row>
        <row r="426">
          <cell r="A426">
            <v>34000000</v>
          </cell>
          <cell r="C426">
            <v>34000000</v>
          </cell>
          <cell r="D426">
            <v>34000000</v>
          </cell>
          <cell r="E426">
            <v>34000000</v>
          </cell>
          <cell r="F426">
            <v>34000000</v>
          </cell>
          <cell r="G426">
            <v>34000000</v>
          </cell>
          <cell r="H426">
            <v>34000000</v>
          </cell>
          <cell r="I426" t="str">
            <v/>
          </cell>
          <cell r="J426" t="str">
            <v/>
          </cell>
          <cell r="K426" t="str">
            <v/>
          </cell>
          <cell r="L426" t="str">
            <v/>
          </cell>
        </row>
        <row r="427">
          <cell r="A427">
            <v>34000000</v>
          </cell>
          <cell r="C427">
            <v>34000000</v>
          </cell>
          <cell r="D427">
            <v>34000000</v>
          </cell>
          <cell r="E427">
            <v>34000000</v>
          </cell>
          <cell r="F427">
            <v>34000000</v>
          </cell>
          <cell r="G427">
            <v>34000000</v>
          </cell>
          <cell r="H427">
            <v>34000000</v>
          </cell>
          <cell r="I427" t="str">
            <v/>
          </cell>
          <cell r="J427" t="str">
            <v/>
          </cell>
          <cell r="K427" t="str">
            <v/>
          </cell>
          <cell r="L427" t="str">
            <v/>
          </cell>
        </row>
        <row r="428">
          <cell r="A428">
            <v>34000000</v>
          </cell>
          <cell r="C428">
            <v>34000000</v>
          </cell>
          <cell r="D428">
            <v>34000000</v>
          </cell>
          <cell r="E428">
            <v>34000000</v>
          </cell>
          <cell r="F428">
            <v>34000000</v>
          </cell>
          <cell r="G428">
            <v>34000000</v>
          </cell>
          <cell r="H428">
            <v>34000000</v>
          </cell>
          <cell r="I428" t="str">
            <v/>
          </cell>
          <cell r="J428" t="str">
            <v/>
          </cell>
          <cell r="K428" t="str">
            <v/>
          </cell>
          <cell r="L428" t="str">
            <v/>
          </cell>
        </row>
        <row r="429">
          <cell r="A429">
            <v>34000000</v>
          </cell>
          <cell r="C429">
            <v>34000000</v>
          </cell>
          <cell r="D429">
            <v>34000000</v>
          </cell>
          <cell r="E429">
            <v>34000000</v>
          </cell>
          <cell r="F429">
            <v>34000000</v>
          </cell>
          <cell r="G429">
            <v>34000000</v>
          </cell>
          <cell r="H429">
            <v>34000000</v>
          </cell>
          <cell r="I429" t="str">
            <v/>
          </cell>
          <cell r="J429" t="str">
            <v/>
          </cell>
          <cell r="K429" t="str">
            <v/>
          </cell>
          <cell r="L429" t="str">
            <v/>
          </cell>
        </row>
        <row r="430">
          <cell r="A430">
            <v>34000000</v>
          </cell>
          <cell r="C430">
            <v>34000000</v>
          </cell>
          <cell r="D430">
            <v>34000000</v>
          </cell>
          <cell r="E430">
            <v>34000000</v>
          </cell>
          <cell r="F430">
            <v>34000000</v>
          </cell>
          <cell r="G430">
            <v>34000000</v>
          </cell>
          <cell r="H430">
            <v>34000000</v>
          </cell>
          <cell r="I430" t="str">
            <v/>
          </cell>
          <cell r="J430" t="str">
            <v/>
          </cell>
          <cell r="K430" t="str">
            <v/>
          </cell>
          <cell r="L430" t="str">
            <v/>
          </cell>
        </row>
        <row r="431">
          <cell r="A431">
            <v>34000000</v>
          </cell>
          <cell r="C431">
            <v>34000000</v>
          </cell>
          <cell r="D431">
            <v>34000000</v>
          </cell>
          <cell r="E431">
            <v>34000000</v>
          </cell>
          <cell r="F431">
            <v>34000000</v>
          </cell>
          <cell r="G431">
            <v>34000000</v>
          </cell>
          <cell r="H431">
            <v>34000000</v>
          </cell>
          <cell r="I431" t="str">
            <v/>
          </cell>
          <cell r="J431" t="str">
            <v/>
          </cell>
          <cell r="K431" t="str">
            <v/>
          </cell>
          <cell r="L431" t="str">
            <v/>
          </cell>
        </row>
        <row r="432">
          <cell r="A432">
            <v>34000000</v>
          </cell>
          <cell r="C432">
            <v>34000000</v>
          </cell>
          <cell r="D432">
            <v>34000000</v>
          </cell>
          <cell r="E432">
            <v>34000000</v>
          </cell>
          <cell r="F432">
            <v>34000000</v>
          </cell>
          <cell r="G432">
            <v>34000000</v>
          </cell>
          <cell r="H432">
            <v>34000000</v>
          </cell>
          <cell r="I432" t="str">
            <v/>
          </cell>
          <cell r="J432" t="str">
            <v/>
          </cell>
          <cell r="K432" t="str">
            <v/>
          </cell>
          <cell r="L432" t="str">
            <v/>
          </cell>
        </row>
        <row r="433">
          <cell r="A433">
            <v>34000000</v>
          </cell>
          <cell r="C433">
            <v>34000000</v>
          </cell>
          <cell r="D433">
            <v>34000000</v>
          </cell>
          <cell r="E433">
            <v>34000000</v>
          </cell>
          <cell r="F433">
            <v>34000000</v>
          </cell>
          <cell r="G433">
            <v>34000000</v>
          </cell>
          <cell r="H433">
            <v>34000000</v>
          </cell>
          <cell r="I433" t="str">
            <v/>
          </cell>
          <cell r="J433" t="str">
            <v/>
          </cell>
          <cell r="K433" t="str">
            <v/>
          </cell>
          <cell r="L433" t="str">
            <v/>
          </cell>
        </row>
        <row r="434">
          <cell r="A434">
            <v>34000000</v>
          </cell>
          <cell r="C434">
            <v>34000000</v>
          </cell>
          <cell r="D434">
            <v>34000000</v>
          </cell>
          <cell r="E434">
            <v>34000000</v>
          </cell>
          <cell r="F434">
            <v>34000000</v>
          </cell>
          <cell r="G434">
            <v>34000000</v>
          </cell>
          <cell r="H434">
            <v>34000000</v>
          </cell>
          <cell r="I434" t="str">
            <v/>
          </cell>
          <cell r="J434" t="str">
            <v/>
          </cell>
          <cell r="K434" t="str">
            <v/>
          </cell>
          <cell r="L434" t="str">
            <v/>
          </cell>
        </row>
        <row r="435">
          <cell r="A435">
            <v>34000000</v>
          </cell>
          <cell r="C435">
            <v>34000000</v>
          </cell>
          <cell r="D435">
            <v>34000000</v>
          </cell>
          <cell r="E435">
            <v>34000000</v>
          </cell>
          <cell r="F435">
            <v>34000000</v>
          </cell>
          <cell r="G435">
            <v>34000000</v>
          </cell>
          <cell r="H435">
            <v>34000000</v>
          </cell>
          <cell r="I435" t="str">
            <v/>
          </cell>
          <cell r="J435" t="str">
            <v/>
          </cell>
          <cell r="K435" t="str">
            <v/>
          </cell>
          <cell r="L435" t="str">
            <v/>
          </cell>
        </row>
        <row r="436">
          <cell r="A436">
            <v>34000000</v>
          </cell>
          <cell r="C436">
            <v>34000000</v>
          </cell>
          <cell r="D436">
            <v>34000000</v>
          </cell>
          <cell r="E436">
            <v>34000000</v>
          </cell>
          <cell r="F436">
            <v>34000000</v>
          </cell>
          <cell r="G436">
            <v>34000000</v>
          </cell>
          <cell r="H436">
            <v>34000000</v>
          </cell>
          <cell r="I436" t="str">
            <v/>
          </cell>
          <cell r="J436" t="str">
            <v/>
          </cell>
          <cell r="K436" t="str">
            <v/>
          </cell>
          <cell r="L436" t="str">
            <v/>
          </cell>
        </row>
        <row r="437">
          <cell r="A437">
            <v>34000000</v>
          </cell>
          <cell r="C437">
            <v>34000000</v>
          </cell>
          <cell r="D437">
            <v>34000000</v>
          </cell>
          <cell r="E437">
            <v>34000000</v>
          </cell>
          <cell r="F437">
            <v>34000000</v>
          </cell>
          <cell r="G437">
            <v>34000000</v>
          </cell>
          <cell r="H437">
            <v>34000000</v>
          </cell>
          <cell r="I437" t="str">
            <v/>
          </cell>
          <cell r="J437" t="str">
            <v/>
          </cell>
          <cell r="K437" t="str">
            <v/>
          </cell>
          <cell r="L437" t="str">
            <v/>
          </cell>
        </row>
        <row r="438">
          <cell r="A438">
            <v>34000000</v>
          </cell>
          <cell r="C438">
            <v>34000000</v>
          </cell>
          <cell r="D438">
            <v>34000000</v>
          </cell>
          <cell r="E438">
            <v>34000000</v>
          </cell>
          <cell r="F438">
            <v>34000000</v>
          </cell>
          <cell r="G438">
            <v>34000000</v>
          </cell>
          <cell r="H438">
            <v>34000000</v>
          </cell>
          <cell r="I438" t="str">
            <v/>
          </cell>
          <cell r="J438" t="str">
            <v/>
          </cell>
          <cell r="K438" t="str">
            <v/>
          </cell>
          <cell r="L438" t="str">
            <v/>
          </cell>
        </row>
        <row r="439">
          <cell r="A439">
            <v>34000000</v>
          </cell>
          <cell r="C439">
            <v>34000000</v>
          </cell>
          <cell r="D439">
            <v>34000000</v>
          </cell>
          <cell r="E439">
            <v>34000000</v>
          </cell>
          <cell r="F439">
            <v>34000000</v>
          </cell>
          <cell r="G439">
            <v>34000000</v>
          </cell>
          <cell r="H439">
            <v>34000000</v>
          </cell>
          <cell r="I439" t="str">
            <v/>
          </cell>
          <cell r="J439" t="str">
            <v/>
          </cell>
          <cell r="K439" t="str">
            <v/>
          </cell>
          <cell r="L439" t="str">
            <v/>
          </cell>
        </row>
        <row r="440">
          <cell r="A440">
            <v>34000000</v>
          </cell>
          <cell r="C440">
            <v>34000000</v>
          </cell>
          <cell r="D440">
            <v>34000000</v>
          </cell>
          <cell r="E440">
            <v>34000000</v>
          </cell>
          <cell r="F440">
            <v>34000000</v>
          </cell>
          <cell r="G440">
            <v>34000000</v>
          </cell>
          <cell r="H440">
            <v>34000000</v>
          </cell>
          <cell r="I440" t="str">
            <v/>
          </cell>
          <cell r="J440" t="str">
            <v/>
          </cell>
          <cell r="K440" t="str">
            <v/>
          </cell>
          <cell r="L440" t="str">
            <v/>
          </cell>
        </row>
        <row r="441">
          <cell r="A441">
            <v>34000000</v>
          </cell>
          <cell r="C441">
            <v>34000000</v>
          </cell>
          <cell r="D441">
            <v>34000000</v>
          </cell>
          <cell r="E441">
            <v>34000000</v>
          </cell>
          <cell r="F441">
            <v>34000000</v>
          </cell>
          <cell r="G441">
            <v>34000000</v>
          </cell>
          <cell r="H441">
            <v>34000000</v>
          </cell>
          <cell r="I441" t="str">
            <v/>
          </cell>
          <cell r="J441" t="str">
            <v/>
          </cell>
          <cell r="K441" t="str">
            <v/>
          </cell>
          <cell r="L441" t="str">
            <v/>
          </cell>
        </row>
        <row r="442">
          <cell r="A442">
            <v>34000000</v>
          </cell>
          <cell r="C442">
            <v>34000000</v>
          </cell>
          <cell r="D442">
            <v>34000000</v>
          </cell>
          <cell r="E442">
            <v>34000000</v>
          </cell>
          <cell r="F442">
            <v>34000000</v>
          </cell>
          <cell r="G442">
            <v>34000000</v>
          </cell>
          <cell r="H442">
            <v>34000000</v>
          </cell>
          <cell r="I442" t="str">
            <v/>
          </cell>
          <cell r="J442" t="str">
            <v/>
          </cell>
          <cell r="K442" t="str">
            <v/>
          </cell>
          <cell r="L442" t="str">
            <v/>
          </cell>
        </row>
        <row r="443">
          <cell r="A443">
            <v>34000000</v>
          </cell>
          <cell r="C443">
            <v>34000000</v>
          </cell>
          <cell r="D443">
            <v>34000000</v>
          </cell>
          <cell r="E443">
            <v>34000000</v>
          </cell>
          <cell r="F443">
            <v>34000000</v>
          </cell>
          <cell r="G443">
            <v>34000000</v>
          </cell>
          <cell r="H443">
            <v>34000000</v>
          </cell>
          <cell r="I443" t="str">
            <v/>
          </cell>
          <cell r="J443" t="str">
            <v/>
          </cell>
          <cell r="K443" t="str">
            <v/>
          </cell>
          <cell r="L443" t="str">
            <v/>
          </cell>
        </row>
        <row r="444">
          <cell r="A444">
            <v>34000000</v>
          </cell>
          <cell r="C444">
            <v>34000000</v>
          </cell>
          <cell r="D444">
            <v>34000000</v>
          </cell>
          <cell r="E444">
            <v>34000000</v>
          </cell>
          <cell r="F444">
            <v>34000000</v>
          </cell>
          <cell r="G444">
            <v>34000000</v>
          </cell>
          <cell r="H444">
            <v>34000000</v>
          </cell>
          <cell r="I444" t="str">
            <v/>
          </cell>
          <cell r="J444" t="str">
            <v/>
          </cell>
          <cell r="K444" t="str">
            <v/>
          </cell>
          <cell r="L444" t="str">
            <v/>
          </cell>
        </row>
        <row r="445">
          <cell r="A445">
            <v>34000000</v>
          </cell>
          <cell r="C445">
            <v>34000000</v>
          </cell>
          <cell r="D445">
            <v>34000000</v>
          </cell>
          <cell r="E445">
            <v>34000000</v>
          </cell>
          <cell r="F445">
            <v>34000000</v>
          </cell>
          <cell r="G445">
            <v>34000000</v>
          </cell>
          <cell r="H445">
            <v>34000000</v>
          </cell>
          <cell r="I445" t="str">
            <v/>
          </cell>
          <cell r="J445" t="str">
            <v/>
          </cell>
          <cell r="K445" t="str">
            <v/>
          </cell>
          <cell r="L445" t="str">
            <v/>
          </cell>
        </row>
        <row r="446">
          <cell r="A446">
            <v>34000000</v>
          </cell>
          <cell r="C446">
            <v>34000000</v>
          </cell>
          <cell r="D446">
            <v>34000000</v>
          </cell>
          <cell r="E446">
            <v>34000000</v>
          </cell>
          <cell r="F446">
            <v>34000000</v>
          </cell>
          <cell r="G446">
            <v>34000000</v>
          </cell>
          <cell r="H446">
            <v>34000000</v>
          </cell>
          <cell r="I446" t="str">
            <v/>
          </cell>
          <cell r="J446" t="str">
            <v/>
          </cell>
          <cell r="K446" t="str">
            <v/>
          </cell>
          <cell r="L446" t="str">
            <v/>
          </cell>
        </row>
        <row r="447">
          <cell r="A447">
            <v>34000000</v>
          </cell>
          <cell r="C447">
            <v>34000000</v>
          </cell>
          <cell r="D447">
            <v>34000000</v>
          </cell>
          <cell r="E447">
            <v>34000000</v>
          </cell>
          <cell r="F447">
            <v>34000000</v>
          </cell>
          <cell r="G447">
            <v>34000000</v>
          </cell>
          <cell r="H447">
            <v>34000000</v>
          </cell>
          <cell r="I447" t="str">
            <v/>
          </cell>
          <cell r="J447" t="str">
            <v/>
          </cell>
          <cell r="K447" t="str">
            <v/>
          </cell>
          <cell r="L447" t="str">
            <v/>
          </cell>
        </row>
        <row r="448">
          <cell r="A448">
            <v>34000000</v>
          </cell>
          <cell r="C448">
            <v>34000000</v>
          </cell>
          <cell r="D448">
            <v>34000000</v>
          </cell>
          <cell r="E448">
            <v>34000000</v>
          </cell>
          <cell r="F448">
            <v>34000000</v>
          </cell>
          <cell r="G448">
            <v>34000000</v>
          </cell>
          <cell r="H448">
            <v>34000000</v>
          </cell>
          <cell r="I448" t="str">
            <v/>
          </cell>
          <cell r="J448" t="str">
            <v/>
          </cell>
          <cell r="K448" t="str">
            <v/>
          </cell>
          <cell r="L448" t="str">
            <v/>
          </cell>
        </row>
        <row r="449">
          <cell r="A449">
            <v>34000000</v>
          </cell>
          <cell r="C449">
            <v>34000000</v>
          </cell>
          <cell r="D449">
            <v>34000000</v>
          </cell>
          <cell r="E449">
            <v>34000000</v>
          </cell>
          <cell r="F449">
            <v>34000000</v>
          </cell>
          <cell r="G449">
            <v>34000000</v>
          </cell>
          <cell r="H449">
            <v>34000000</v>
          </cell>
          <cell r="I449" t="str">
            <v/>
          </cell>
          <cell r="J449" t="str">
            <v/>
          </cell>
          <cell r="K449" t="str">
            <v/>
          </cell>
          <cell r="L449" t="str">
            <v/>
          </cell>
        </row>
        <row r="450">
          <cell r="A450">
            <v>34000000</v>
          </cell>
          <cell r="C450">
            <v>34000000</v>
          </cell>
          <cell r="D450">
            <v>34000000</v>
          </cell>
          <cell r="E450">
            <v>34000000</v>
          </cell>
          <cell r="F450">
            <v>34000000</v>
          </cell>
          <cell r="G450">
            <v>34000000</v>
          </cell>
          <cell r="H450">
            <v>34000000</v>
          </cell>
          <cell r="I450" t="str">
            <v/>
          </cell>
          <cell r="J450" t="str">
            <v/>
          </cell>
          <cell r="K450" t="str">
            <v/>
          </cell>
          <cell r="L450" t="str">
            <v/>
          </cell>
        </row>
        <row r="451">
          <cell r="A451">
            <v>34000000</v>
          </cell>
          <cell r="C451">
            <v>34000000</v>
          </cell>
          <cell r="D451">
            <v>34000000</v>
          </cell>
          <cell r="E451">
            <v>34000000</v>
          </cell>
          <cell r="F451">
            <v>34000000</v>
          </cell>
          <cell r="G451">
            <v>34000000</v>
          </cell>
          <cell r="H451">
            <v>34000000</v>
          </cell>
          <cell r="I451" t="str">
            <v/>
          </cell>
          <cell r="J451" t="str">
            <v/>
          </cell>
          <cell r="K451" t="str">
            <v/>
          </cell>
          <cell r="L451" t="str">
            <v/>
          </cell>
        </row>
        <row r="452">
          <cell r="A452">
            <v>34000000</v>
          </cell>
          <cell r="C452">
            <v>34000000</v>
          </cell>
          <cell r="D452">
            <v>34000000</v>
          </cell>
          <cell r="E452">
            <v>34000000</v>
          </cell>
          <cell r="F452">
            <v>34000000</v>
          </cell>
          <cell r="G452">
            <v>34000000</v>
          </cell>
          <cell r="H452">
            <v>34000000</v>
          </cell>
          <cell r="I452" t="str">
            <v/>
          </cell>
          <cell r="J452" t="str">
            <v/>
          </cell>
          <cell r="K452" t="str">
            <v/>
          </cell>
          <cell r="L452" t="str">
            <v/>
          </cell>
        </row>
        <row r="453">
          <cell r="A453">
            <v>34000000</v>
          </cell>
          <cell r="C453">
            <v>34000000</v>
          </cell>
          <cell r="D453">
            <v>34000000</v>
          </cell>
          <cell r="E453">
            <v>34000000</v>
          </cell>
          <cell r="F453">
            <v>34000000</v>
          </cell>
          <cell r="G453">
            <v>34000000</v>
          </cell>
          <cell r="H453">
            <v>34000000</v>
          </cell>
          <cell r="I453" t="str">
            <v/>
          </cell>
          <cell r="J453" t="str">
            <v/>
          </cell>
          <cell r="K453" t="str">
            <v/>
          </cell>
          <cell r="L453" t="str">
            <v/>
          </cell>
        </row>
        <row r="454">
          <cell r="A454">
            <v>34000000</v>
          </cell>
          <cell r="C454">
            <v>34000000</v>
          </cell>
          <cell r="D454">
            <v>34000000</v>
          </cell>
          <cell r="E454">
            <v>34000000</v>
          </cell>
          <cell r="F454">
            <v>34000000</v>
          </cell>
          <cell r="G454">
            <v>34000000</v>
          </cell>
          <cell r="H454">
            <v>34000000</v>
          </cell>
          <cell r="I454" t="str">
            <v/>
          </cell>
          <cell r="J454" t="str">
            <v/>
          </cell>
          <cell r="K454" t="str">
            <v/>
          </cell>
          <cell r="L454" t="str">
            <v/>
          </cell>
        </row>
        <row r="455">
          <cell r="A455">
            <v>34000000</v>
          </cell>
          <cell r="C455">
            <v>34000000</v>
          </cell>
          <cell r="D455">
            <v>34000000</v>
          </cell>
          <cell r="E455">
            <v>34000000</v>
          </cell>
          <cell r="F455">
            <v>34000000</v>
          </cell>
          <cell r="G455">
            <v>34000000</v>
          </cell>
          <cell r="H455">
            <v>34000000</v>
          </cell>
          <cell r="I455" t="str">
            <v/>
          </cell>
          <cell r="J455" t="str">
            <v/>
          </cell>
          <cell r="K455" t="str">
            <v/>
          </cell>
          <cell r="L455" t="str">
            <v/>
          </cell>
        </row>
        <row r="456">
          <cell r="A456">
            <v>34000000</v>
          </cell>
          <cell r="C456">
            <v>34000000</v>
          </cell>
          <cell r="D456">
            <v>34000000</v>
          </cell>
          <cell r="E456">
            <v>34000000</v>
          </cell>
          <cell r="F456">
            <v>34000000</v>
          </cell>
          <cell r="G456">
            <v>34000000</v>
          </cell>
          <cell r="H456">
            <v>34000000</v>
          </cell>
          <cell r="I456" t="str">
            <v/>
          </cell>
          <cell r="J456" t="str">
            <v/>
          </cell>
          <cell r="K456" t="str">
            <v/>
          </cell>
          <cell r="L456" t="str">
            <v/>
          </cell>
        </row>
        <row r="457">
          <cell r="A457">
            <v>34000000</v>
          </cell>
          <cell r="C457">
            <v>34000000</v>
          </cell>
          <cell r="D457">
            <v>34000000</v>
          </cell>
          <cell r="E457">
            <v>34000000</v>
          </cell>
          <cell r="F457">
            <v>34000000</v>
          </cell>
          <cell r="G457">
            <v>34000000</v>
          </cell>
          <cell r="H457">
            <v>34000000</v>
          </cell>
          <cell r="I457" t="str">
            <v/>
          </cell>
          <cell r="J457" t="str">
            <v/>
          </cell>
          <cell r="K457" t="str">
            <v/>
          </cell>
          <cell r="L457" t="str">
            <v/>
          </cell>
        </row>
        <row r="458">
          <cell r="A458">
            <v>34000000</v>
          </cell>
          <cell r="C458">
            <v>34000000</v>
          </cell>
          <cell r="D458">
            <v>34000000</v>
          </cell>
          <cell r="E458">
            <v>34000000</v>
          </cell>
          <cell r="F458">
            <v>34000000</v>
          </cell>
          <cell r="G458">
            <v>34000000</v>
          </cell>
          <cell r="H458">
            <v>34000000</v>
          </cell>
          <cell r="I458" t="str">
            <v/>
          </cell>
          <cell r="J458" t="str">
            <v/>
          </cell>
          <cell r="K458" t="str">
            <v/>
          </cell>
          <cell r="L458" t="str">
            <v/>
          </cell>
        </row>
        <row r="459">
          <cell r="A459">
            <v>34000000</v>
          </cell>
          <cell r="C459">
            <v>34000000</v>
          </cell>
          <cell r="D459">
            <v>34000000</v>
          </cell>
          <cell r="E459">
            <v>34000000</v>
          </cell>
          <cell r="F459">
            <v>34000000</v>
          </cell>
          <cell r="G459">
            <v>34000000</v>
          </cell>
          <cell r="H459">
            <v>34000000</v>
          </cell>
          <cell r="I459" t="str">
            <v/>
          </cell>
          <cell r="J459" t="str">
            <v/>
          </cell>
          <cell r="K459" t="str">
            <v/>
          </cell>
          <cell r="L459" t="str">
            <v/>
          </cell>
        </row>
        <row r="460">
          <cell r="A460">
            <v>34000000</v>
          </cell>
          <cell r="C460">
            <v>34000000</v>
          </cell>
          <cell r="D460">
            <v>34000000</v>
          </cell>
          <cell r="E460">
            <v>34000000</v>
          </cell>
          <cell r="F460">
            <v>34000000</v>
          </cell>
          <cell r="G460">
            <v>34000000</v>
          </cell>
          <cell r="H460">
            <v>34000000</v>
          </cell>
          <cell r="I460" t="str">
            <v/>
          </cell>
          <cell r="J460" t="str">
            <v/>
          </cell>
          <cell r="K460" t="str">
            <v/>
          </cell>
          <cell r="L460" t="str">
            <v/>
          </cell>
        </row>
        <row r="461">
          <cell r="A461">
            <v>34000000</v>
          </cell>
          <cell r="C461">
            <v>34000000</v>
          </cell>
          <cell r="D461">
            <v>34000000</v>
          </cell>
          <cell r="E461">
            <v>34000000</v>
          </cell>
          <cell r="F461">
            <v>34000000</v>
          </cell>
          <cell r="G461">
            <v>34000000</v>
          </cell>
          <cell r="H461">
            <v>34000000</v>
          </cell>
          <cell r="I461" t="str">
            <v/>
          </cell>
          <cell r="J461" t="str">
            <v/>
          </cell>
          <cell r="K461" t="str">
            <v/>
          </cell>
          <cell r="L461" t="str">
            <v/>
          </cell>
        </row>
        <row r="462">
          <cell r="A462">
            <v>34000000</v>
          </cell>
          <cell r="C462">
            <v>34000000</v>
          </cell>
          <cell r="D462">
            <v>34000000</v>
          </cell>
          <cell r="E462">
            <v>34000000</v>
          </cell>
          <cell r="F462">
            <v>34000000</v>
          </cell>
          <cell r="G462">
            <v>34000000</v>
          </cell>
          <cell r="H462">
            <v>34000000</v>
          </cell>
          <cell r="I462" t="str">
            <v/>
          </cell>
          <cell r="J462" t="str">
            <v/>
          </cell>
          <cell r="K462" t="str">
            <v/>
          </cell>
          <cell r="L462" t="str">
            <v/>
          </cell>
        </row>
        <row r="463">
          <cell r="A463">
            <v>34000000</v>
          </cell>
          <cell r="C463">
            <v>34000000</v>
          </cell>
          <cell r="D463">
            <v>34000000</v>
          </cell>
          <cell r="E463">
            <v>34000000</v>
          </cell>
          <cell r="F463">
            <v>34000000</v>
          </cell>
          <cell r="G463">
            <v>34000000</v>
          </cell>
          <cell r="H463">
            <v>34000000</v>
          </cell>
          <cell r="I463" t="str">
            <v/>
          </cell>
          <cell r="J463" t="str">
            <v/>
          </cell>
          <cell r="K463" t="str">
            <v/>
          </cell>
          <cell r="L463" t="str">
            <v/>
          </cell>
        </row>
        <row r="464">
          <cell r="A464">
            <v>34000000</v>
          </cell>
          <cell r="C464">
            <v>34000000</v>
          </cell>
          <cell r="D464">
            <v>34000000</v>
          </cell>
          <cell r="E464">
            <v>34000000</v>
          </cell>
          <cell r="F464">
            <v>34000000</v>
          </cell>
          <cell r="G464">
            <v>34000000</v>
          </cell>
          <cell r="H464">
            <v>34000000</v>
          </cell>
          <cell r="I464" t="str">
            <v/>
          </cell>
          <cell r="J464" t="str">
            <v/>
          </cell>
          <cell r="K464" t="str">
            <v/>
          </cell>
          <cell r="L464" t="str">
            <v/>
          </cell>
        </row>
        <row r="465">
          <cell r="A465">
            <v>34000000</v>
          </cell>
          <cell r="C465">
            <v>34000000</v>
          </cell>
          <cell r="D465">
            <v>34000000</v>
          </cell>
          <cell r="E465">
            <v>34000000</v>
          </cell>
          <cell r="F465">
            <v>34000000</v>
          </cell>
          <cell r="G465">
            <v>34000000</v>
          </cell>
          <cell r="H465">
            <v>34000000</v>
          </cell>
          <cell r="I465" t="str">
            <v/>
          </cell>
          <cell r="J465" t="str">
            <v/>
          </cell>
          <cell r="K465" t="str">
            <v/>
          </cell>
          <cell r="L465" t="str">
            <v/>
          </cell>
        </row>
        <row r="466">
          <cell r="A466">
            <v>34000000</v>
          </cell>
          <cell r="C466">
            <v>34000000</v>
          </cell>
          <cell r="D466">
            <v>34000000</v>
          </cell>
          <cell r="E466">
            <v>34000000</v>
          </cell>
          <cell r="F466">
            <v>34000000</v>
          </cell>
          <cell r="G466">
            <v>34000000</v>
          </cell>
          <cell r="H466">
            <v>34000000</v>
          </cell>
          <cell r="I466" t="str">
            <v/>
          </cell>
          <cell r="J466" t="str">
            <v/>
          </cell>
          <cell r="K466" t="str">
            <v/>
          </cell>
          <cell r="L466" t="str">
            <v/>
          </cell>
        </row>
        <row r="467">
          <cell r="A467">
            <v>34000000</v>
          </cell>
          <cell r="C467">
            <v>34000000</v>
          </cell>
          <cell r="D467">
            <v>34000000</v>
          </cell>
          <cell r="E467">
            <v>34000000</v>
          </cell>
          <cell r="F467">
            <v>34000000</v>
          </cell>
          <cell r="G467">
            <v>34000000</v>
          </cell>
          <cell r="H467">
            <v>34000000</v>
          </cell>
          <cell r="I467" t="str">
            <v/>
          </cell>
          <cell r="J467" t="str">
            <v/>
          </cell>
          <cell r="K467" t="str">
            <v/>
          </cell>
          <cell r="L467" t="str">
            <v/>
          </cell>
        </row>
        <row r="468">
          <cell r="A468">
            <v>34000000</v>
          </cell>
          <cell r="C468">
            <v>34000000</v>
          </cell>
          <cell r="D468">
            <v>34000000</v>
          </cell>
          <cell r="E468">
            <v>34000000</v>
          </cell>
          <cell r="F468">
            <v>34000000</v>
          </cell>
          <cell r="G468">
            <v>34000000</v>
          </cell>
          <cell r="H468">
            <v>34000000</v>
          </cell>
          <cell r="I468" t="str">
            <v/>
          </cell>
          <cell r="J468" t="str">
            <v/>
          </cell>
          <cell r="K468" t="str">
            <v/>
          </cell>
          <cell r="L468" t="str">
            <v/>
          </cell>
        </row>
        <row r="469">
          <cell r="A469">
            <v>34000000</v>
          </cell>
          <cell r="C469">
            <v>34000000</v>
          </cell>
          <cell r="D469">
            <v>34000000</v>
          </cell>
          <cell r="E469">
            <v>34000000</v>
          </cell>
          <cell r="F469">
            <v>34000000</v>
          </cell>
          <cell r="G469">
            <v>34000000</v>
          </cell>
          <cell r="H469">
            <v>34000000</v>
          </cell>
          <cell r="I469" t="str">
            <v/>
          </cell>
          <cell r="J469" t="str">
            <v/>
          </cell>
          <cell r="K469" t="str">
            <v/>
          </cell>
          <cell r="L469" t="str">
            <v/>
          </cell>
        </row>
        <row r="470">
          <cell r="A470">
            <v>34000000</v>
          </cell>
          <cell r="C470">
            <v>34000000</v>
          </cell>
          <cell r="D470">
            <v>34000000</v>
          </cell>
          <cell r="E470">
            <v>34000000</v>
          </cell>
          <cell r="F470">
            <v>34000000</v>
          </cell>
          <cell r="G470">
            <v>34000000</v>
          </cell>
          <cell r="H470">
            <v>34000000</v>
          </cell>
          <cell r="I470" t="str">
            <v/>
          </cell>
          <cell r="J470" t="str">
            <v/>
          </cell>
          <cell r="K470" t="str">
            <v/>
          </cell>
          <cell r="L470" t="str">
            <v/>
          </cell>
        </row>
        <row r="471">
          <cell r="A471">
            <v>34000000</v>
          </cell>
          <cell r="C471">
            <v>34000000</v>
          </cell>
          <cell r="D471">
            <v>34000000</v>
          </cell>
          <cell r="E471">
            <v>34000000</v>
          </cell>
          <cell r="F471">
            <v>34000000</v>
          </cell>
          <cell r="G471">
            <v>34000000</v>
          </cell>
          <cell r="H471">
            <v>34000000</v>
          </cell>
          <cell r="I471" t="str">
            <v/>
          </cell>
          <cell r="J471" t="str">
            <v/>
          </cell>
          <cell r="K471" t="str">
            <v/>
          </cell>
          <cell r="L471" t="str">
            <v/>
          </cell>
        </row>
        <row r="472">
          <cell r="A472">
            <v>34000000</v>
          </cell>
          <cell r="C472">
            <v>34000000</v>
          </cell>
          <cell r="D472">
            <v>34000000</v>
          </cell>
          <cell r="E472">
            <v>34000000</v>
          </cell>
          <cell r="F472">
            <v>34000000</v>
          </cell>
          <cell r="G472">
            <v>34000000</v>
          </cell>
          <cell r="H472">
            <v>34000000</v>
          </cell>
          <cell r="I472" t="str">
            <v/>
          </cell>
          <cell r="J472" t="str">
            <v/>
          </cell>
          <cell r="K472" t="str">
            <v/>
          </cell>
          <cell r="L472" t="str">
            <v/>
          </cell>
        </row>
        <row r="473">
          <cell r="A473">
            <v>34000000</v>
          </cell>
          <cell r="C473">
            <v>34000000</v>
          </cell>
          <cell r="D473">
            <v>34000000</v>
          </cell>
          <cell r="E473">
            <v>34000000</v>
          </cell>
          <cell r="F473">
            <v>34000000</v>
          </cell>
          <cell r="G473">
            <v>34000000</v>
          </cell>
          <cell r="H473">
            <v>34000000</v>
          </cell>
          <cell r="I473" t="str">
            <v/>
          </cell>
          <cell r="J473" t="str">
            <v/>
          </cell>
          <cell r="K473" t="str">
            <v/>
          </cell>
          <cell r="L473" t="str">
            <v/>
          </cell>
        </row>
        <row r="474">
          <cell r="A474">
            <v>34000000</v>
          </cell>
          <cell r="C474">
            <v>34000000</v>
          </cell>
          <cell r="D474">
            <v>34000000</v>
          </cell>
          <cell r="E474">
            <v>34000000</v>
          </cell>
          <cell r="F474">
            <v>34000000</v>
          </cell>
          <cell r="G474">
            <v>34000000</v>
          </cell>
          <cell r="H474">
            <v>34000000</v>
          </cell>
          <cell r="I474" t="str">
            <v/>
          </cell>
          <cell r="J474" t="str">
            <v/>
          </cell>
          <cell r="K474" t="str">
            <v/>
          </cell>
          <cell r="L474" t="str">
            <v/>
          </cell>
        </row>
        <row r="475">
          <cell r="A475">
            <v>34000000</v>
          </cell>
          <cell r="C475">
            <v>34000000</v>
          </cell>
          <cell r="D475">
            <v>34000000</v>
          </cell>
          <cell r="E475">
            <v>34000000</v>
          </cell>
          <cell r="F475">
            <v>34000000</v>
          </cell>
          <cell r="G475">
            <v>34000000</v>
          </cell>
          <cell r="H475">
            <v>34000000</v>
          </cell>
          <cell r="I475" t="str">
            <v/>
          </cell>
          <cell r="J475" t="str">
            <v/>
          </cell>
          <cell r="K475" t="str">
            <v/>
          </cell>
          <cell r="L475" t="str">
            <v/>
          </cell>
        </row>
        <row r="476">
          <cell r="A476">
            <v>34000000</v>
          </cell>
          <cell r="C476">
            <v>34000000</v>
          </cell>
          <cell r="D476">
            <v>34000000</v>
          </cell>
          <cell r="E476">
            <v>34000000</v>
          </cell>
          <cell r="F476">
            <v>34000000</v>
          </cell>
          <cell r="G476">
            <v>34000000</v>
          </cell>
          <cell r="H476">
            <v>34000000</v>
          </cell>
          <cell r="I476" t="str">
            <v/>
          </cell>
          <cell r="J476" t="str">
            <v/>
          </cell>
          <cell r="K476" t="str">
            <v/>
          </cell>
          <cell r="L476" t="str">
            <v/>
          </cell>
        </row>
        <row r="477">
          <cell r="A477">
            <v>34000000</v>
          </cell>
          <cell r="C477">
            <v>34000000</v>
          </cell>
          <cell r="D477">
            <v>34000000</v>
          </cell>
          <cell r="E477">
            <v>34000000</v>
          </cell>
          <cell r="F477">
            <v>34000000</v>
          </cell>
          <cell r="G477">
            <v>34000000</v>
          </cell>
          <cell r="H477">
            <v>34000000</v>
          </cell>
          <cell r="I477" t="str">
            <v/>
          </cell>
          <cell r="J477" t="str">
            <v/>
          </cell>
          <cell r="K477" t="str">
            <v/>
          </cell>
          <cell r="L477" t="str">
            <v/>
          </cell>
        </row>
        <row r="478">
          <cell r="A478">
            <v>34000000</v>
          </cell>
          <cell r="C478">
            <v>34000000</v>
          </cell>
          <cell r="D478">
            <v>34000000</v>
          </cell>
          <cell r="E478">
            <v>34000000</v>
          </cell>
          <cell r="F478">
            <v>34000000</v>
          </cell>
          <cell r="G478">
            <v>34000000</v>
          </cell>
          <cell r="H478">
            <v>34000000</v>
          </cell>
          <cell r="I478" t="str">
            <v/>
          </cell>
          <cell r="J478" t="str">
            <v/>
          </cell>
          <cell r="K478" t="str">
            <v/>
          </cell>
          <cell r="L478" t="str">
            <v/>
          </cell>
        </row>
        <row r="479">
          <cell r="A479">
            <v>34000000</v>
          </cell>
          <cell r="C479">
            <v>34000000</v>
          </cell>
          <cell r="D479">
            <v>34000000</v>
          </cell>
          <cell r="E479">
            <v>34000000</v>
          </cell>
          <cell r="F479">
            <v>34000000</v>
          </cell>
          <cell r="G479">
            <v>34000000</v>
          </cell>
          <cell r="H479">
            <v>34000000</v>
          </cell>
          <cell r="I479" t="str">
            <v/>
          </cell>
          <cell r="J479" t="str">
            <v/>
          </cell>
          <cell r="K479" t="str">
            <v/>
          </cell>
          <cell r="L479" t="str">
            <v/>
          </cell>
        </row>
        <row r="480">
          <cell r="A480">
            <v>34000000</v>
          </cell>
          <cell r="C480">
            <v>34000000</v>
          </cell>
          <cell r="D480">
            <v>34000000</v>
          </cell>
          <cell r="E480">
            <v>34000000</v>
          </cell>
          <cell r="F480">
            <v>34000000</v>
          </cell>
          <cell r="G480">
            <v>34000000</v>
          </cell>
          <cell r="H480">
            <v>34000000</v>
          </cell>
          <cell r="I480" t="str">
            <v/>
          </cell>
          <cell r="J480" t="str">
            <v/>
          </cell>
          <cell r="K480" t="str">
            <v/>
          </cell>
          <cell r="L480" t="str">
            <v/>
          </cell>
        </row>
        <row r="481">
          <cell r="A481">
            <v>34000000</v>
          </cell>
          <cell r="C481">
            <v>34000000</v>
          </cell>
          <cell r="D481">
            <v>34000000</v>
          </cell>
          <cell r="E481">
            <v>34000000</v>
          </cell>
          <cell r="F481">
            <v>34000000</v>
          </cell>
          <cell r="G481">
            <v>34000000</v>
          </cell>
          <cell r="H481">
            <v>34000000</v>
          </cell>
          <cell r="I481" t="str">
            <v/>
          </cell>
          <cell r="J481" t="str">
            <v/>
          </cell>
          <cell r="K481" t="str">
            <v/>
          </cell>
          <cell r="L481" t="str">
            <v/>
          </cell>
        </row>
        <row r="482">
          <cell r="A482">
            <v>34000000</v>
          </cell>
          <cell r="C482">
            <v>34000000</v>
          </cell>
          <cell r="D482">
            <v>34000000</v>
          </cell>
          <cell r="E482">
            <v>34000000</v>
          </cell>
          <cell r="F482">
            <v>34000000</v>
          </cell>
          <cell r="G482">
            <v>34000000</v>
          </cell>
          <cell r="H482">
            <v>34000000</v>
          </cell>
          <cell r="I482" t="str">
            <v/>
          </cell>
          <cell r="J482" t="str">
            <v/>
          </cell>
          <cell r="K482" t="str">
            <v/>
          </cell>
          <cell r="L482" t="str">
            <v/>
          </cell>
        </row>
        <row r="483">
          <cell r="A483">
            <v>34000000</v>
          </cell>
          <cell r="C483">
            <v>34000000</v>
          </cell>
          <cell r="D483">
            <v>34000000</v>
          </cell>
          <cell r="E483">
            <v>34000000</v>
          </cell>
          <cell r="F483">
            <v>34000000</v>
          </cell>
          <cell r="G483">
            <v>34000000</v>
          </cell>
          <cell r="H483">
            <v>34000000</v>
          </cell>
          <cell r="I483" t="str">
            <v/>
          </cell>
          <cell r="J483" t="str">
            <v/>
          </cell>
          <cell r="K483" t="str">
            <v/>
          </cell>
          <cell r="L483" t="str">
            <v/>
          </cell>
        </row>
        <row r="484">
          <cell r="A484">
            <v>34000000</v>
          </cell>
          <cell r="C484">
            <v>34000000</v>
          </cell>
          <cell r="D484">
            <v>34000000</v>
          </cell>
          <cell r="E484">
            <v>34000000</v>
          </cell>
          <cell r="F484">
            <v>34000000</v>
          </cell>
          <cell r="G484">
            <v>34000000</v>
          </cell>
          <cell r="H484">
            <v>34000000</v>
          </cell>
          <cell r="I484" t="str">
            <v/>
          </cell>
          <cell r="J484" t="str">
            <v/>
          </cell>
          <cell r="K484" t="str">
            <v/>
          </cell>
          <cell r="L484" t="str">
            <v/>
          </cell>
        </row>
        <row r="485">
          <cell r="A485">
            <v>34000000</v>
          </cell>
          <cell r="C485">
            <v>34000000</v>
          </cell>
          <cell r="D485">
            <v>34000000</v>
          </cell>
          <cell r="E485">
            <v>34000000</v>
          </cell>
          <cell r="F485">
            <v>34000000</v>
          </cell>
          <cell r="G485">
            <v>34000000</v>
          </cell>
          <cell r="H485">
            <v>34000000</v>
          </cell>
          <cell r="I485" t="str">
            <v/>
          </cell>
          <cell r="J485" t="str">
            <v/>
          </cell>
          <cell r="K485" t="str">
            <v/>
          </cell>
          <cell r="L485" t="str">
            <v/>
          </cell>
        </row>
        <row r="486">
          <cell r="A486">
            <v>34000000</v>
          </cell>
          <cell r="C486">
            <v>34000000</v>
          </cell>
          <cell r="D486">
            <v>34000000</v>
          </cell>
          <cell r="E486">
            <v>34000000</v>
          </cell>
          <cell r="F486">
            <v>34000000</v>
          </cell>
          <cell r="G486">
            <v>34000000</v>
          </cell>
          <cell r="H486">
            <v>34000000</v>
          </cell>
          <cell r="I486" t="str">
            <v/>
          </cell>
          <cell r="J486" t="str">
            <v/>
          </cell>
          <cell r="K486" t="str">
            <v/>
          </cell>
          <cell r="L486" t="str">
            <v/>
          </cell>
        </row>
        <row r="487">
          <cell r="A487">
            <v>34000000</v>
          </cell>
          <cell r="C487">
            <v>34000000</v>
          </cell>
          <cell r="D487">
            <v>34000000</v>
          </cell>
          <cell r="E487">
            <v>34000000</v>
          </cell>
          <cell r="F487">
            <v>34000000</v>
          </cell>
          <cell r="G487">
            <v>34000000</v>
          </cell>
          <cell r="H487">
            <v>34000000</v>
          </cell>
          <cell r="I487" t="str">
            <v/>
          </cell>
          <cell r="J487" t="str">
            <v/>
          </cell>
          <cell r="K487" t="str">
            <v/>
          </cell>
          <cell r="L487" t="str">
            <v/>
          </cell>
        </row>
        <row r="488">
          <cell r="A488">
            <v>34000000</v>
          </cell>
          <cell r="C488">
            <v>34000000</v>
          </cell>
          <cell r="D488">
            <v>34000000</v>
          </cell>
          <cell r="E488">
            <v>34000000</v>
          </cell>
          <cell r="F488">
            <v>34000000</v>
          </cell>
          <cell r="G488">
            <v>34000000</v>
          </cell>
          <cell r="H488">
            <v>34000000</v>
          </cell>
          <cell r="I488" t="str">
            <v/>
          </cell>
          <cell r="J488" t="str">
            <v/>
          </cell>
          <cell r="K488" t="str">
            <v/>
          </cell>
          <cell r="L488" t="str">
            <v/>
          </cell>
        </row>
        <row r="489">
          <cell r="A489">
            <v>34000000</v>
          </cell>
          <cell r="C489">
            <v>34000000</v>
          </cell>
          <cell r="D489">
            <v>34000000</v>
          </cell>
          <cell r="E489">
            <v>34000000</v>
          </cell>
          <cell r="F489">
            <v>34000000</v>
          </cell>
          <cell r="G489">
            <v>34000000</v>
          </cell>
          <cell r="H489">
            <v>34000000</v>
          </cell>
          <cell r="I489" t="str">
            <v/>
          </cell>
          <cell r="J489" t="str">
            <v/>
          </cell>
          <cell r="K489" t="str">
            <v/>
          </cell>
          <cell r="L489" t="str">
            <v/>
          </cell>
        </row>
        <row r="490">
          <cell r="A490">
            <v>34000000</v>
          </cell>
          <cell r="C490">
            <v>34000000</v>
          </cell>
          <cell r="D490">
            <v>34000000</v>
          </cell>
          <cell r="E490">
            <v>34000000</v>
          </cell>
          <cell r="F490">
            <v>34000000</v>
          </cell>
          <cell r="G490">
            <v>34000000</v>
          </cell>
          <cell r="H490">
            <v>34000000</v>
          </cell>
          <cell r="I490" t="str">
            <v/>
          </cell>
          <cell r="J490" t="str">
            <v/>
          </cell>
          <cell r="K490" t="str">
            <v/>
          </cell>
          <cell r="L490" t="str">
            <v/>
          </cell>
        </row>
        <row r="491">
          <cell r="A491">
            <v>34000000</v>
          </cell>
          <cell r="C491">
            <v>34000000</v>
          </cell>
          <cell r="D491">
            <v>34000000</v>
          </cell>
          <cell r="E491">
            <v>34000000</v>
          </cell>
          <cell r="F491">
            <v>34000000</v>
          </cell>
          <cell r="G491">
            <v>34000000</v>
          </cell>
          <cell r="H491">
            <v>34000000</v>
          </cell>
          <cell r="I491" t="str">
            <v/>
          </cell>
          <cell r="J491" t="str">
            <v/>
          </cell>
          <cell r="K491" t="str">
            <v/>
          </cell>
          <cell r="L491" t="str">
            <v/>
          </cell>
        </row>
        <row r="492">
          <cell r="A492">
            <v>34000000</v>
          </cell>
          <cell r="C492">
            <v>34000000</v>
          </cell>
          <cell r="D492">
            <v>34000000</v>
          </cell>
          <cell r="E492">
            <v>34000000</v>
          </cell>
          <cell r="F492">
            <v>34000000</v>
          </cell>
          <cell r="G492">
            <v>34000000</v>
          </cell>
          <cell r="H492">
            <v>34000000</v>
          </cell>
          <cell r="I492" t="str">
            <v/>
          </cell>
          <cell r="J492" t="str">
            <v/>
          </cell>
          <cell r="K492" t="str">
            <v/>
          </cell>
          <cell r="L492" t="str">
            <v/>
          </cell>
        </row>
        <row r="493">
          <cell r="A493">
            <v>34000000</v>
          </cell>
          <cell r="C493">
            <v>34000000</v>
          </cell>
          <cell r="D493">
            <v>34000000</v>
          </cell>
          <cell r="E493">
            <v>34000000</v>
          </cell>
          <cell r="F493">
            <v>34000000</v>
          </cell>
          <cell r="G493">
            <v>34000000</v>
          </cell>
          <cell r="H493">
            <v>34000000</v>
          </cell>
          <cell r="I493" t="str">
            <v/>
          </cell>
          <cell r="J493" t="str">
            <v/>
          </cell>
          <cell r="K493" t="str">
            <v/>
          </cell>
          <cell r="L493" t="str">
            <v/>
          </cell>
        </row>
        <row r="494">
          <cell r="A494">
            <v>34000000</v>
          </cell>
          <cell r="C494">
            <v>34000000</v>
          </cell>
          <cell r="D494">
            <v>34000000</v>
          </cell>
          <cell r="E494">
            <v>34000000</v>
          </cell>
          <cell r="F494">
            <v>34000000</v>
          </cell>
          <cell r="G494">
            <v>34000000</v>
          </cell>
          <cell r="H494">
            <v>34000000</v>
          </cell>
          <cell r="I494" t="str">
            <v/>
          </cell>
          <cell r="J494" t="str">
            <v/>
          </cell>
          <cell r="K494" t="str">
            <v/>
          </cell>
          <cell r="L494" t="str">
            <v/>
          </cell>
        </row>
        <row r="495">
          <cell r="A495">
            <v>34000000</v>
          </cell>
          <cell r="C495">
            <v>34000000</v>
          </cell>
          <cell r="D495">
            <v>34000000</v>
          </cell>
          <cell r="E495">
            <v>34000000</v>
          </cell>
          <cell r="F495">
            <v>34000000</v>
          </cell>
          <cell r="G495">
            <v>34000000</v>
          </cell>
          <cell r="H495">
            <v>34000000</v>
          </cell>
          <cell r="I495" t="str">
            <v/>
          </cell>
          <cell r="J495" t="str">
            <v/>
          </cell>
          <cell r="K495" t="str">
            <v/>
          </cell>
          <cell r="L495" t="str">
            <v/>
          </cell>
        </row>
        <row r="496">
          <cell r="A496">
            <v>34000000</v>
          </cell>
          <cell r="C496">
            <v>34000000</v>
          </cell>
          <cell r="D496">
            <v>34000000</v>
          </cell>
          <cell r="E496">
            <v>34000000</v>
          </cell>
          <cell r="F496">
            <v>34000000</v>
          </cell>
          <cell r="G496">
            <v>34000000</v>
          </cell>
          <cell r="H496">
            <v>34000000</v>
          </cell>
          <cell r="I496" t="str">
            <v/>
          </cell>
          <cell r="J496" t="str">
            <v/>
          </cell>
          <cell r="K496" t="str">
            <v/>
          </cell>
          <cell r="L496" t="str">
            <v/>
          </cell>
        </row>
        <row r="497">
          <cell r="A497">
            <v>34000000</v>
          </cell>
          <cell r="C497">
            <v>34000000</v>
          </cell>
          <cell r="D497">
            <v>34000000</v>
          </cell>
          <cell r="E497">
            <v>34000000</v>
          </cell>
          <cell r="F497">
            <v>34000000</v>
          </cell>
          <cell r="G497">
            <v>34000000</v>
          </cell>
          <cell r="H497">
            <v>34000000</v>
          </cell>
          <cell r="I497" t="str">
            <v/>
          </cell>
          <cell r="J497" t="str">
            <v/>
          </cell>
          <cell r="K497" t="str">
            <v/>
          </cell>
          <cell r="L497" t="str">
            <v/>
          </cell>
        </row>
        <row r="498">
          <cell r="A498">
            <v>34000000</v>
          </cell>
          <cell r="C498">
            <v>34000000</v>
          </cell>
          <cell r="D498">
            <v>34000000</v>
          </cell>
          <cell r="E498">
            <v>34000000</v>
          </cell>
          <cell r="F498">
            <v>34000000</v>
          </cell>
          <cell r="G498">
            <v>34000000</v>
          </cell>
          <cell r="H498">
            <v>34000000</v>
          </cell>
          <cell r="I498" t="str">
            <v/>
          </cell>
          <cell r="J498" t="str">
            <v/>
          </cell>
          <cell r="K498" t="str">
            <v/>
          </cell>
          <cell r="L498" t="str">
            <v/>
          </cell>
        </row>
        <row r="499">
          <cell r="A499">
            <v>34000000</v>
          </cell>
          <cell r="C499">
            <v>34000000</v>
          </cell>
          <cell r="D499">
            <v>34000000</v>
          </cell>
          <cell r="E499">
            <v>34000000</v>
          </cell>
          <cell r="F499">
            <v>34000000</v>
          </cell>
          <cell r="G499">
            <v>34000000</v>
          </cell>
          <cell r="H499">
            <v>34000000</v>
          </cell>
          <cell r="I499" t="str">
            <v/>
          </cell>
          <cell r="J499" t="str">
            <v/>
          </cell>
          <cell r="K499" t="str">
            <v/>
          </cell>
          <cell r="L499" t="str">
            <v/>
          </cell>
        </row>
        <row r="500">
          <cell r="A500">
            <v>34000000</v>
          </cell>
          <cell r="C500">
            <v>34000000</v>
          </cell>
          <cell r="D500">
            <v>34000000</v>
          </cell>
          <cell r="E500">
            <v>34000000</v>
          </cell>
          <cell r="F500">
            <v>34000000</v>
          </cell>
          <cell r="G500">
            <v>34000000</v>
          </cell>
          <cell r="H500">
            <v>34000000</v>
          </cell>
          <cell r="I500" t="str">
            <v/>
          </cell>
          <cell r="J500" t="str">
            <v/>
          </cell>
          <cell r="K500" t="str">
            <v/>
          </cell>
          <cell r="L500" t="str">
            <v/>
          </cell>
        </row>
        <row r="501">
          <cell r="A501">
            <v>34000000</v>
          </cell>
          <cell r="C501">
            <v>34000000</v>
          </cell>
          <cell r="D501">
            <v>34000000</v>
          </cell>
          <cell r="E501">
            <v>34000000</v>
          </cell>
          <cell r="F501">
            <v>34000000</v>
          </cell>
          <cell r="G501">
            <v>34000000</v>
          </cell>
          <cell r="H501">
            <v>34000000</v>
          </cell>
          <cell r="I501" t="str">
            <v/>
          </cell>
          <cell r="J501" t="str">
            <v/>
          </cell>
          <cell r="K501" t="str">
            <v/>
          </cell>
          <cell r="L501" t="str">
            <v/>
          </cell>
        </row>
        <row r="502">
          <cell r="A502">
            <v>34000000</v>
          </cell>
          <cell r="C502">
            <v>34000000</v>
          </cell>
          <cell r="D502">
            <v>34000000</v>
          </cell>
          <cell r="E502">
            <v>34000000</v>
          </cell>
          <cell r="F502">
            <v>34000000</v>
          </cell>
          <cell r="G502">
            <v>34000000</v>
          </cell>
          <cell r="H502">
            <v>34000000</v>
          </cell>
          <cell r="I502" t="str">
            <v/>
          </cell>
          <cell r="J502" t="str">
            <v/>
          </cell>
          <cell r="K502" t="str">
            <v/>
          </cell>
          <cell r="L502" t="str">
            <v/>
          </cell>
        </row>
        <row r="503">
          <cell r="A503">
            <v>34000000</v>
          </cell>
          <cell r="C503">
            <v>34000000</v>
          </cell>
          <cell r="D503">
            <v>34000000</v>
          </cell>
          <cell r="E503">
            <v>34000000</v>
          </cell>
          <cell r="F503">
            <v>34000000</v>
          </cell>
          <cell r="G503">
            <v>34000000</v>
          </cell>
          <cell r="H503">
            <v>34000000</v>
          </cell>
          <cell r="I503" t="str">
            <v/>
          </cell>
          <cell r="J503" t="str">
            <v/>
          </cell>
          <cell r="K503" t="str">
            <v/>
          </cell>
          <cell r="L503" t="str">
            <v/>
          </cell>
        </row>
        <row r="504">
          <cell r="A504">
            <v>34000000</v>
          </cell>
          <cell r="C504">
            <v>34000000</v>
          </cell>
          <cell r="D504">
            <v>34000000</v>
          </cell>
          <cell r="E504">
            <v>34000000</v>
          </cell>
          <cell r="F504">
            <v>34000000</v>
          </cell>
          <cell r="G504">
            <v>34000000</v>
          </cell>
          <cell r="H504">
            <v>34000000</v>
          </cell>
          <cell r="I504" t="str">
            <v/>
          </cell>
          <cell r="J504" t="str">
            <v/>
          </cell>
          <cell r="K504" t="str">
            <v/>
          </cell>
          <cell r="L504" t="str">
            <v/>
          </cell>
        </row>
        <row r="505">
          <cell r="A505">
            <v>34000000</v>
          </cell>
          <cell r="C505">
            <v>34000000</v>
          </cell>
          <cell r="D505">
            <v>34000000</v>
          </cell>
          <cell r="E505">
            <v>34000000</v>
          </cell>
          <cell r="F505">
            <v>34000000</v>
          </cell>
          <cell r="G505">
            <v>34000000</v>
          </cell>
          <cell r="H505">
            <v>34000000</v>
          </cell>
          <cell r="I505" t="str">
            <v/>
          </cell>
          <cell r="J505" t="str">
            <v/>
          </cell>
          <cell r="K505" t="str">
            <v/>
          </cell>
          <cell r="L505" t="str">
            <v/>
          </cell>
        </row>
        <row r="506">
          <cell r="A506">
            <v>34000000</v>
          </cell>
          <cell r="C506">
            <v>34000000</v>
          </cell>
          <cell r="D506">
            <v>34000000</v>
          </cell>
          <cell r="E506">
            <v>34000000</v>
          </cell>
          <cell r="F506">
            <v>34000000</v>
          </cell>
          <cell r="G506">
            <v>34000000</v>
          </cell>
          <cell r="H506">
            <v>34000000</v>
          </cell>
          <cell r="I506" t="str">
            <v/>
          </cell>
          <cell r="J506" t="str">
            <v/>
          </cell>
          <cell r="K506" t="str">
            <v/>
          </cell>
          <cell r="L506" t="str">
            <v/>
          </cell>
        </row>
        <row r="507">
          <cell r="A507">
            <v>34000000</v>
          </cell>
          <cell r="C507">
            <v>34000000</v>
          </cell>
          <cell r="D507">
            <v>34000000</v>
          </cell>
          <cell r="E507">
            <v>34000000</v>
          </cell>
          <cell r="F507">
            <v>34000000</v>
          </cell>
          <cell r="G507">
            <v>34000000</v>
          </cell>
          <cell r="H507">
            <v>34000000</v>
          </cell>
          <cell r="I507" t="str">
            <v/>
          </cell>
          <cell r="J507" t="str">
            <v/>
          </cell>
          <cell r="K507" t="str">
            <v/>
          </cell>
          <cell r="L507" t="str">
            <v/>
          </cell>
        </row>
        <row r="508">
          <cell r="A508">
            <v>34000000</v>
          </cell>
          <cell r="C508">
            <v>34000000</v>
          </cell>
          <cell r="D508">
            <v>34000000</v>
          </cell>
          <cell r="E508">
            <v>34000000</v>
          </cell>
          <cell r="F508">
            <v>34000000</v>
          </cell>
          <cell r="G508">
            <v>34000000</v>
          </cell>
          <cell r="H508">
            <v>34000000</v>
          </cell>
          <cell r="I508" t="str">
            <v/>
          </cell>
          <cell r="J508" t="str">
            <v/>
          </cell>
          <cell r="K508" t="str">
            <v/>
          </cell>
          <cell r="L508" t="str">
            <v/>
          </cell>
        </row>
        <row r="509">
          <cell r="A509">
            <v>34000000</v>
          </cell>
          <cell r="C509">
            <v>34000000</v>
          </cell>
          <cell r="D509">
            <v>34000000</v>
          </cell>
          <cell r="E509">
            <v>34000000</v>
          </cell>
          <cell r="F509">
            <v>34000000</v>
          </cell>
          <cell r="G509">
            <v>34000000</v>
          </cell>
          <cell r="H509">
            <v>34000000</v>
          </cell>
          <cell r="I509" t="str">
            <v/>
          </cell>
          <cell r="J509" t="str">
            <v/>
          </cell>
          <cell r="K509" t="str">
            <v/>
          </cell>
          <cell r="L509" t="str">
            <v/>
          </cell>
        </row>
        <row r="510">
          <cell r="A510">
            <v>34000000</v>
          </cell>
          <cell r="C510">
            <v>34000000</v>
          </cell>
          <cell r="D510">
            <v>34000000</v>
          </cell>
          <cell r="E510">
            <v>34000000</v>
          </cell>
          <cell r="F510">
            <v>34000000</v>
          </cell>
          <cell r="G510">
            <v>34000000</v>
          </cell>
          <cell r="H510">
            <v>34000000</v>
          </cell>
          <cell r="I510" t="str">
            <v/>
          </cell>
          <cell r="J510" t="str">
            <v/>
          </cell>
          <cell r="K510" t="str">
            <v/>
          </cell>
          <cell r="L510" t="str">
            <v/>
          </cell>
        </row>
        <row r="511">
          <cell r="A511">
            <v>34000000</v>
          </cell>
          <cell r="C511">
            <v>34000000</v>
          </cell>
          <cell r="D511">
            <v>34000000</v>
          </cell>
          <cell r="E511">
            <v>34000000</v>
          </cell>
          <cell r="F511">
            <v>34000000</v>
          </cell>
          <cell r="G511">
            <v>34000000</v>
          </cell>
          <cell r="H511">
            <v>34000000</v>
          </cell>
          <cell r="I511" t="str">
            <v/>
          </cell>
          <cell r="J511" t="str">
            <v/>
          </cell>
          <cell r="K511" t="str">
            <v/>
          </cell>
          <cell r="L511" t="str">
            <v/>
          </cell>
        </row>
        <row r="512">
          <cell r="A512">
            <v>34000000</v>
          </cell>
          <cell r="C512">
            <v>34000000</v>
          </cell>
          <cell r="D512">
            <v>34000000</v>
          </cell>
          <cell r="E512">
            <v>34000000</v>
          </cell>
          <cell r="F512">
            <v>34000000</v>
          </cell>
          <cell r="G512">
            <v>34000000</v>
          </cell>
          <cell r="H512">
            <v>34000000</v>
          </cell>
          <cell r="I512" t="str">
            <v/>
          </cell>
          <cell r="J512" t="str">
            <v/>
          </cell>
          <cell r="K512" t="str">
            <v/>
          </cell>
          <cell r="L512" t="str">
            <v/>
          </cell>
        </row>
        <row r="513">
          <cell r="A513">
            <v>34000000</v>
          </cell>
          <cell r="C513">
            <v>34000000</v>
          </cell>
          <cell r="D513">
            <v>34000000</v>
          </cell>
          <cell r="E513">
            <v>34000000</v>
          </cell>
          <cell r="F513">
            <v>34000000</v>
          </cell>
          <cell r="G513">
            <v>34000000</v>
          </cell>
          <cell r="H513">
            <v>34000000</v>
          </cell>
          <cell r="I513" t="str">
            <v/>
          </cell>
          <cell r="J513" t="str">
            <v/>
          </cell>
          <cell r="K513" t="str">
            <v/>
          </cell>
          <cell r="L513" t="str">
            <v/>
          </cell>
        </row>
        <row r="514">
          <cell r="A514">
            <v>34000000</v>
          </cell>
          <cell r="C514">
            <v>34000000</v>
          </cell>
          <cell r="D514">
            <v>34000000</v>
          </cell>
          <cell r="E514">
            <v>34000000</v>
          </cell>
          <cell r="F514">
            <v>34000000</v>
          </cell>
          <cell r="G514">
            <v>34000000</v>
          </cell>
          <cell r="H514">
            <v>34000000</v>
          </cell>
          <cell r="I514" t="str">
            <v/>
          </cell>
          <cell r="J514" t="str">
            <v/>
          </cell>
          <cell r="K514" t="str">
            <v/>
          </cell>
          <cell r="L514" t="str">
            <v/>
          </cell>
        </row>
        <row r="515">
          <cell r="A515">
            <v>34000000</v>
          </cell>
          <cell r="C515">
            <v>34000000</v>
          </cell>
          <cell r="D515">
            <v>34000000</v>
          </cell>
          <cell r="E515">
            <v>34000000</v>
          </cell>
          <cell r="F515">
            <v>34000000</v>
          </cell>
          <cell r="G515">
            <v>34000000</v>
          </cell>
          <cell r="H515">
            <v>34000000</v>
          </cell>
          <cell r="I515" t="str">
            <v/>
          </cell>
          <cell r="J515" t="str">
            <v/>
          </cell>
          <cell r="K515" t="str">
            <v/>
          </cell>
          <cell r="L515" t="str">
            <v/>
          </cell>
        </row>
        <row r="516">
          <cell r="A516">
            <v>34000000</v>
          </cell>
          <cell r="C516">
            <v>34000000</v>
          </cell>
          <cell r="D516">
            <v>34000000</v>
          </cell>
          <cell r="E516">
            <v>34000000</v>
          </cell>
          <cell r="F516">
            <v>34000000</v>
          </cell>
          <cell r="G516">
            <v>34000000</v>
          </cell>
          <cell r="H516">
            <v>34000000</v>
          </cell>
          <cell r="I516" t="str">
            <v/>
          </cell>
          <cell r="J516" t="str">
            <v/>
          </cell>
          <cell r="K516" t="str">
            <v/>
          </cell>
          <cell r="L516" t="str">
            <v/>
          </cell>
        </row>
        <row r="517">
          <cell r="A517">
            <v>34000000</v>
          </cell>
          <cell r="C517">
            <v>34000000</v>
          </cell>
          <cell r="D517">
            <v>34000000</v>
          </cell>
          <cell r="E517">
            <v>34000000</v>
          </cell>
          <cell r="F517">
            <v>34000000</v>
          </cell>
          <cell r="G517">
            <v>34000000</v>
          </cell>
          <cell r="H517">
            <v>34000000</v>
          </cell>
          <cell r="I517" t="str">
            <v/>
          </cell>
          <cell r="J517" t="str">
            <v/>
          </cell>
          <cell r="K517" t="str">
            <v/>
          </cell>
          <cell r="L517" t="str">
            <v/>
          </cell>
        </row>
        <row r="518">
          <cell r="A518">
            <v>34000000</v>
          </cell>
          <cell r="C518">
            <v>34000000</v>
          </cell>
          <cell r="D518">
            <v>34000000</v>
          </cell>
          <cell r="E518">
            <v>34000000</v>
          </cell>
          <cell r="F518">
            <v>34000000</v>
          </cell>
          <cell r="G518">
            <v>34000000</v>
          </cell>
          <cell r="H518">
            <v>34000000</v>
          </cell>
          <cell r="I518" t="str">
            <v/>
          </cell>
          <cell r="J518" t="str">
            <v/>
          </cell>
          <cell r="K518" t="str">
            <v/>
          </cell>
          <cell r="L518" t="str">
            <v/>
          </cell>
        </row>
        <row r="519">
          <cell r="A519">
            <v>34000000</v>
          </cell>
          <cell r="C519">
            <v>34000000</v>
          </cell>
          <cell r="D519">
            <v>34000000</v>
          </cell>
          <cell r="E519">
            <v>34000000</v>
          </cell>
          <cell r="F519">
            <v>34000000</v>
          </cell>
          <cell r="G519">
            <v>34000000</v>
          </cell>
          <cell r="H519">
            <v>34000000</v>
          </cell>
          <cell r="I519" t="str">
            <v/>
          </cell>
          <cell r="J519" t="str">
            <v/>
          </cell>
          <cell r="K519" t="str">
            <v/>
          </cell>
          <cell r="L519" t="str">
            <v/>
          </cell>
        </row>
        <row r="520">
          <cell r="A520">
            <v>34000000</v>
          </cell>
          <cell r="C520">
            <v>34000000</v>
          </cell>
          <cell r="D520">
            <v>34000000</v>
          </cell>
          <cell r="E520">
            <v>34000000</v>
          </cell>
          <cell r="F520">
            <v>34000000</v>
          </cell>
          <cell r="G520">
            <v>34000000</v>
          </cell>
          <cell r="H520">
            <v>34000000</v>
          </cell>
          <cell r="I520" t="str">
            <v/>
          </cell>
          <cell r="J520" t="str">
            <v/>
          </cell>
          <cell r="K520" t="str">
            <v/>
          </cell>
          <cell r="L520" t="str">
            <v/>
          </cell>
        </row>
        <row r="521">
          <cell r="A521">
            <v>34000000</v>
          </cell>
          <cell r="C521">
            <v>34000000</v>
          </cell>
          <cell r="D521">
            <v>34000000</v>
          </cell>
          <cell r="E521">
            <v>34000000</v>
          </cell>
          <cell r="F521">
            <v>34000000</v>
          </cell>
          <cell r="G521">
            <v>34000000</v>
          </cell>
          <cell r="H521">
            <v>34000000</v>
          </cell>
          <cell r="I521" t="str">
            <v/>
          </cell>
          <cell r="J521" t="str">
            <v/>
          </cell>
          <cell r="K521" t="str">
            <v/>
          </cell>
          <cell r="L521" t="str">
            <v/>
          </cell>
        </row>
        <row r="522">
          <cell r="A522">
            <v>34000000</v>
          </cell>
          <cell r="C522">
            <v>34000000</v>
          </cell>
          <cell r="D522">
            <v>34000000</v>
          </cell>
          <cell r="E522">
            <v>34000000</v>
          </cell>
          <cell r="F522">
            <v>34000000</v>
          </cell>
          <cell r="G522">
            <v>34000000</v>
          </cell>
          <cell r="H522">
            <v>34000000</v>
          </cell>
          <cell r="I522" t="str">
            <v/>
          </cell>
          <cell r="J522" t="str">
            <v/>
          </cell>
          <cell r="K522" t="str">
            <v/>
          </cell>
          <cell r="L522" t="str">
            <v/>
          </cell>
        </row>
        <row r="523">
          <cell r="A523">
            <v>34000000</v>
          </cell>
          <cell r="C523">
            <v>34000000</v>
          </cell>
          <cell r="D523">
            <v>34000000</v>
          </cell>
          <cell r="E523">
            <v>34000000</v>
          </cell>
          <cell r="F523">
            <v>34000000</v>
          </cell>
          <cell r="G523">
            <v>34000000</v>
          </cell>
          <cell r="H523">
            <v>34000000</v>
          </cell>
          <cell r="I523" t="str">
            <v/>
          </cell>
          <cell r="J523" t="str">
            <v/>
          </cell>
          <cell r="K523" t="str">
            <v/>
          </cell>
          <cell r="L523" t="str">
            <v/>
          </cell>
        </row>
        <row r="524">
          <cell r="A524">
            <v>34000000</v>
          </cell>
          <cell r="C524">
            <v>34000000</v>
          </cell>
          <cell r="D524">
            <v>34000000</v>
          </cell>
          <cell r="E524">
            <v>34000000</v>
          </cell>
          <cell r="F524">
            <v>34000000</v>
          </cell>
          <cell r="G524">
            <v>34000000</v>
          </cell>
          <cell r="H524">
            <v>34000000</v>
          </cell>
          <cell r="I524" t="str">
            <v/>
          </cell>
          <cell r="J524" t="str">
            <v/>
          </cell>
          <cell r="K524" t="str">
            <v/>
          </cell>
          <cell r="L524" t="str">
            <v/>
          </cell>
        </row>
        <row r="525">
          <cell r="A525">
            <v>34000000</v>
          </cell>
          <cell r="C525">
            <v>34000000</v>
          </cell>
          <cell r="D525">
            <v>34000000</v>
          </cell>
          <cell r="E525">
            <v>34000000</v>
          </cell>
          <cell r="F525">
            <v>34000000</v>
          </cell>
          <cell r="G525">
            <v>34000000</v>
          </cell>
          <cell r="H525">
            <v>34000000</v>
          </cell>
          <cell r="I525" t="str">
            <v/>
          </cell>
          <cell r="J525" t="str">
            <v/>
          </cell>
          <cell r="K525" t="str">
            <v/>
          </cell>
          <cell r="L525" t="str">
            <v/>
          </cell>
        </row>
        <row r="526">
          <cell r="A526">
            <v>34000000</v>
          </cell>
          <cell r="C526">
            <v>34000000</v>
          </cell>
          <cell r="D526">
            <v>34000000</v>
          </cell>
          <cell r="E526">
            <v>34000000</v>
          </cell>
          <cell r="F526">
            <v>34000000</v>
          </cell>
          <cell r="G526">
            <v>34000000</v>
          </cell>
          <cell r="H526">
            <v>34000000</v>
          </cell>
          <cell r="I526" t="str">
            <v/>
          </cell>
          <cell r="J526" t="str">
            <v/>
          </cell>
          <cell r="K526" t="str">
            <v/>
          </cell>
          <cell r="L526" t="str">
            <v/>
          </cell>
        </row>
        <row r="527">
          <cell r="A527">
            <v>34000000</v>
          </cell>
          <cell r="C527">
            <v>34000000</v>
          </cell>
          <cell r="D527">
            <v>34000000</v>
          </cell>
          <cell r="E527">
            <v>34000000</v>
          </cell>
          <cell r="F527">
            <v>34000000</v>
          </cell>
          <cell r="G527">
            <v>34000000</v>
          </cell>
          <cell r="H527">
            <v>34000000</v>
          </cell>
          <cell r="I527" t="str">
            <v/>
          </cell>
          <cell r="J527" t="str">
            <v/>
          </cell>
          <cell r="K527" t="str">
            <v/>
          </cell>
          <cell r="L527" t="str">
            <v/>
          </cell>
        </row>
        <row r="528">
          <cell r="A528">
            <v>34000000</v>
          </cell>
          <cell r="C528">
            <v>34000000</v>
          </cell>
          <cell r="D528">
            <v>34000000</v>
          </cell>
          <cell r="E528">
            <v>34000000</v>
          </cell>
          <cell r="F528">
            <v>34000000</v>
          </cell>
          <cell r="G528">
            <v>34000000</v>
          </cell>
          <cell r="H528">
            <v>34000000</v>
          </cell>
          <cell r="I528" t="str">
            <v/>
          </cell>
          <cell r="J528" t="str">
            <v/>
          </cell>
          <cell r="K528" t="str">
            <v/>
          </cell>
          <cell r="L528" t="str">
            <v/>
          </cell>
        </row>
        <row r="529">
          <cell r="A529">
            <v>34000000</v>
          </cell>
          <cell r="C529">
            <v>34000000</v>
          </cell>
          <cell r="D529">
            <v>34000000</v>
          </cell>
          <cell r="E529">
            <v>34000000</v>
          </cell>
          <cell r="F529">
            <v>34000000</v>
          </cell>
          <cell r="G529">
            <v>34000000</v>
          </cell>
          <cell r="H529">
            <v>34000000</v>
          </cell>
          <cell r="I529" t="str">
            <v/>
          </cell>
          <cell r="J529" t="str">
            <v/>
          </cell>
          <cell r="K529" t="str">
            <v/>
          </cell>
          <cell r="L529" t="str">
            <v/>
          </cell>
        </row>
        <row r="530">
          <cell r="A530">
            <v>34000000</v>
          </cell>
          <cell r="C530">
            <v>34000000</v>
          </cell>
          <cell r="D530">
            <v>34000000</v>
          </cell>
          <cell r="E530">
            <v>34000000</v>
          </cell>
          <cell r="F530">
            <v>34000000</v>
          </cell>
          <cell r="G530">
            <v>34000000</v>
          </cell>
          <cell r="H530">
            <v>34000000</v>
          </cell>
          <cell r="I530" t="str">
            <v/>
          </cell>
          <cell r="J530" t="str">
            <v/>
          </cell>
          <cell r="K530" t="str">
            <v/>
          </cell>
          <cell r="L530" t="str">
            <v/>
          </cell>
        </row>
        <row r="531">
          <cell r="A531">
            <v>34000000</v>
          </cell>
          <cell r="C531">
            <v>34000000</v>
          </cell>
          <cell r="D531">
            <v>34000000</v>
          </cell>
          <cell r="E531">
            <v>34000000</v>
          </cell>
          <cell r="F531">
            <v>34000000</v>
          </cell>
          <cell r="G531">
            <v>34000000</v>
          </cell>
          <cell r="H531">
            <v>34000000</v>
          </cell>
          <cell r="I531" t="str">
            <v/>
          </cell>
          <cell r="J531" t="str">
            <v/>
          </cell>
          <cell r="K531" t="str">
            <v/>
          </cell>
          <cell r="L531" t="str">
            <v/>
          </cell>
        </row>
        <row r="532">
          <cell r="A532">
            <v>34000000</v>
          </cell>
          <cell r="C532">
            <v>34000000</v>
          </cell>
          <cell r="D532">
            <v>34000000</v>
          </cell>
          <cell r="E532">
            <v>34000000</v>
          </cell>
          <cell r="F532">
            <v>34000000</v>
          </cell>
          <cell r="G532">
            <v>34000000</v>
          </cell>
          <cell r="H532">
            <v>34000000</v>
          </cell>
          <cell r="I532" t="str">
            <v/>
          </cell>
          <cell r="J532" t="str">
            <v/>
          </cell>
          <cell r="K532" t="str">
            <v/>
          </cell>
          <cell r="L532" t="str">
            <v/>
          </cell>
        </row>
        <row r="533">
          <cell r="A533">
            <v>34000000</v>
          </cell>
          <cell r="C533">
            <v>34000000</v>
          </cell>
          <cell r="D533">
            <v>34000000</v>
          </cell>
          <cell r="E533">
            <v>34000000</v>
          </cell>
          <cell r="F533">
            <v>34000000</v>
          </cell>
          <cell r="G533">
            <v>34000000</v>
          </cell>
          <cell r="H533">
            <v>34000000</v>
          </cell>
          <cell r="I533" t="str">
            <v/>
          </cell>
          <cell r="J533" t="str">
            <v/>
          </cell>
          <cell r="K533" t="str">
            <v/>
          </cell>
          <cell r="L533" t="str">
            <v/>
          </cell>
        </row>
        <row r="534">
          <cell r="A534">
            <v>34000000</v>
          </cell>
          <cell r="C534">
            <v>34000000</v>
          </cell>
          <cell r="D534">
            <v>34000000</v>
          </cell>
          <cell r="E534">
            <v>34000000</v>
          </cell>
          <cell r="F534">
            <v>34000000</v>
          </cell>
          <cell r="G534">
            <v>34000000</v>
          </cell>
          <cell r="H534">
            <v>34000000</v>
          </cell>
          <cell r="I534" t="str">
            <v/>
          </cell>
          <cell r="J534" t="str">
            <v/>
          </cell>
          <cell r="K534" t="str">
            <v/>
          </cell>
          <cell r="L534" t="str">
            <v/>
          </cell>
        </row>
        <row r="535">
          <cell r="A535">
            <v>34000000</v>
          </cell>
          <cell r="C535">
            <v>34000000</v>
          </cell>
          <cell r="D535">
            <v>34000000</v>
          </cell>
          <cell r="E535">
            <v>34000000</v>
          </cell>
          <cell r="F535">
            <v>34000000</v>
          </cell>
          <cell r="G535">
            <v>34000000</v>
          </cell>
          <cell r="H535">
            <v>34000000</v>
          </cell>
          <cell r="I535" t="str">
            <v/>
          </cell>
          <cell r="J535" t="str">
            <v/>
          </cell>
          <cell r="K535" t="str">
            <v/>
          </cell>
          <cell r="L535" t="str">
            <v/>
          </cell>
        </row>
        <row r="536">
          <cell r="A536">
            <v>34000000</v>
          </cell>
          <cell r="C536">
            <v>34000000</v>
          </cell>
          <cell r="D536">
            <v>34000000</v>
          </cell>
          <cell r="E536">
            <v>34000000</v>
          </cell>
          <cell r="F536">
            <v>34000000</v>
          </cell>
          <cell r="G536">
            <v>34000000</v>
          </cell>
          <cell r="H536">
            <v>34000000</v>
          </cell>
          <cell r="I536" t="str">
            <v/>
          </cell>
          <cell r="J536" t="str">
            <v/>
          </cell>
          <cell r="K536" t="str">
            <v/>
          </cell>
          <cell r="L536" t="str">
            <v/>
          </cell>
        </row>
        <row r="537">
          <cell r="A537">
            <v>34000000</v>
          </cell>
          <cell r="C537">
            <v>34000000</v>
          </cell>
          <cell r="D537">
            <v>34000000</v>
          </cell>
          <cell r="E537">
            <v>34000000</v>
          </cell>
          <cell r="F537">
            <v>34000000</v>
          </cell>
          <cell r="G537">
            <v>34000000</v>
          </cell>
          <cell r="H537">
            <v>34000000</v>
          </cell>
          <cell r="I537" t="str">
            <v/>
          </cell>
          <cell r="J537" t="str">
            <v/>
          </cell>
          <cell r="K537" t="str">
            <v/>
          </cell>
          <cell r="L537" t="str">
            <v/>
          </cell>
        </row>
        <row r="538">
          <cell r="A538">
            <v>34000000</v>
          </cell>
          <cell r="C538">
            <v>34000000</v>
          </cell>
          <cell r="D538">
            <v>34000000</v>
          </cell>
          <cell r="E538">
            <v>34000000</v>
          </cell>
          <cell r="F538">
            <v>34000000</v>
          </cell>
          <cell r="G538">
            <v>34000000</v>
          </cell>
          <cell r="H538">
            <v>34000000</v>
          </cell>
          <cell r="I538" t="str">
            <v/>
          </cell>
          <cell r="J538" t="str">
            <v/>
          </cell>
          <cell r="K538" t="str">
            <v/>
          </cell>
          <cell r="L538" t="str">
            <v/>
          </cell>
        </row>
        <row r="539">
          <cell r="A539">
            <v>34000000</v>
          </cell>
          <cell r="C539">
            <v>34000000</v>
          </cell>
          <cell r="D539">
            <v>34000000</v>
          </cell>
          <cell r="E539">
            <v>34000000</v>
          </cell>
          <cell r="F539">
            <v>34000000</v>
          </cell>
          <cell r="G539">
            <v>34000000</v>
          </cell>
          <cell r="H539">
            <v>34000000</v>
          </cell>
          <cell r="I539" t="str">
            <v/>
          </cell>
          <cell r="J539" t="str">
            <v/>
          </cell>
          <cell r="K539" t="str">
            <v/>
          </cell>
          <cell r="L539" t="str">
            <v/>
          </cell>
        </row>
        <row r="540">
          <cell r="A540">
            <v>34000000</v>
          </cell>
          <cell r="C540">
            <v>34000000</v>
          </cell>
          <cell r="D540">
            <v>34000000</v>
          </cell>
          <cell r="E540">
            <v>34000000</v>
          </cell>
          <cell r="F540">
            <v>34000000</v>
          </cell>
          <cell r="G540">
            <v>34000000</v>
          </cell>
          <cell r="H540">
            <v>34000000</v>
          </cell>
          <cell r="I540" t="str">
            <v/>
          </cell>
          <cell r="J540" t="str">
            <v/>
          </cell>
          <cell r="K540" t="str">
            <v/>
          </cell>
          <cell r="L540" t="str">
            <v/>
          </cell>
        </row>
        <row r="541">
          <cell r="A541">
            <v>34000000</v>
          </cell>
          <cell r="C541">
            <v>34000000</v>
          </cell>
          <cell r="D541">
            <v>34000000</v>
          </cell>
          <cell r="E541">
            <v>34000000</v>
          </cell>
          <cell r="F541">
            <v>34000000</v>
          </cell>
          <cell r="G541">
            <v>34000000</v>
          </cell>
          <cell r="H541">
            <v>34000000</v>
          </cell>
          <cell r="I541" t="str">
            <v/>
          </cell>
          <cell r="J541" t="str">
            <v/>
          </cell>
          <cell r="K541" t="str">
            <v/>
          </cell>
          <cell r="L541" t="str">
            <v/>
          </cell>
        </row>
        <row r="542">
          <cell r="A542">
            <v>34000000</v>
          </cell>
          <cell r="C542">
            <v>34000000</v>
          </cell>
          <cell r="D542">
            <v>34000000</v>
          </cell>
          <cell r="E542">
            <v>34000000</v>
          </cell>
          <cell r="F542">
            <v>34000000</v>
          </cell>
          <cell r="G542">
            <v>34000000</v>
          </cell>
          <cell r="H542">
            <v>34000000</v>
          </cell>
          <cell r="I542" t="str">
            <v/>
          </cell>
          <cell r="J542" t="str">
            <v/>
          </cell>
          <cell r="K542" t="str">
            <v/>
          </cell>
          <cell r="L542" t="str">
            <v/>
          </cell>
        </row>
        <row r="543">
          <cell r="A543">
            <v>34000000</v>
          </cell>
          <cell r="C543">
            <v>34000000</v>
          </cell>
          <cell r="D543">
            <v>34000000</v>
          </cell>
          <cell r="E543">
            <v>34000000</v>
          </cell>
          <cell r="F543">
            <v>34000000</v>
          </cell>
          <cell r="G543">
            <v>34000000</v>
          </cell>
          <cell r="H543">
            <v>34000000</v>
          </cell>
          <cell r="I543" t="str">
            <v/>
          </cell>
          <cell r="J543" t="str">
            <v/>
          </cell>
          <cell r="K543" t="str">
            <v/>
          </cell>
          <cell r="L543" t="str">
            <v/>
          </cell>
        </row>
        <row r="544">
          <cell r="A544">
            <v>34000000</v>
          </cell>
          <cell r="C544">
            <v>34000000</v>
          </cell>
          <cell r="D544">
            <v>34000000</v>
          </cell>
          <cell r="E544">
            <v>34000000</v>
          </cell>
          <cell r="F544">
            <v>34000000</v>
          </cell>
          <cell r="G544">
            <v>34000000</v>
          </cell>
          <cell r="H544">
            <v>34000000</v>
          </cell>
          <cell r="I544" t="str">
            <v/>
          </cell>
          <cell r="J544" t="str">
            <v/>
          </cell>
          <cell r="K544" t="str">
            <v/>
          </cell>
          <cell r="L544" t="str">
            <v/>
          </cell>
        </row>
        <row r="545">
          <cell r="A545">
            <v>34000000</v>
          </cell>
          <cell r="C545">
            <v>34000000</v>
          </cell>
          <cell r="D545">
            <v>34000000</v>
          </cell>
          <cell r="E545">
            <v>34000000</v>
          </cell>
          <cell r="F545">
            <v>34000000</v>
          </cell>
          <cell r="G545">
            <v>34000000</v>
          </cell>
          <cell r="H545">
            <v>34000000</v>
          </cell>
          <cell r="I545" t="str">
            <v/>
          </cell>
          <cell r="J545" t="str">
            <v/>
          </cell>
          <cell r="K545" t="str">
            <v/>
          </cell>
          <cell r="L545" t="str">
            <v/>
          </cell>
        </row>
        <row r="546">
          <cell r="A546">
            <v>34000000</v>
          </cell>
          <cell r="C546">
            <v>34000000</v>
          </cell>
          <cell r="D546">
            <v>34000000</v>
          </cell>
          <cell r="E546">
            <v>34000000</v>
          </cell>
          <cell r="F546">
            <v>34000000</v>
          </cell>
          <cell r="G546">
            <v>34000000</v>
          </cell>
          <cell r="H546">
            <v>34000000</v>
          </cell>
          <cell r="I546" t="str">
            <v/>
          </cell>
          <cell r="J546" t="str">
            <v/>
          </cell>
          <cell r="K546" t="str">
            <v/>
          </cell>
          <cell r="L546" t="str">
            <v/>
          </cell>
        </row>
        <row r="547">
          <cell r="A547">
            <v>34000000</v>
          </cell>
          <cell r="C547">
            <v>34000000</v>
          </cell>
          <cell r="D547">
            <v>34000000</v>
          </cell>
          <cell r="E547">
            <v>34000000</v>
          </cell>
          <cell r="F547">
            <v>34000000</v>
          </cell>
          <cell r="G547">
            <v>34000000</v>
          </cell>
          <cell r="H547">
            <v>34000000</v>
          </cell>
          <cell r="I547" t="str">
            <v/>
          </cell>
          <cell r="J547" t="str">
            <v/>
          </cell>
          <cell r="K547" t="str">
            <v/>
          </cell>
          <cell r="L547" t="str">
            <v/>
          </cell>
        </row>
        <row r="548">
          <cell r="A548">
            <v>34000000</v>
          </cell>
          <cell r="C548">
            <v>34000000</v>
          </cell>
          <cell r="D548">
            <v>34000000</v>
          </cell>
          <cell r="E548">
            <v>34000000</v>
          </cell>
          <cell r="F548">
            <v>34000000</v>
          </cell>
          <cell r="G548">
            <v>34000000</v>
          </cell>
          <cell r="H548">
            <v>34000000</v>
          </cell>
          <cell r="I548" t="str">
            <v/>
          </cell>
          <cell r="J548" t="str">
            <v/>
          </cell>
          <cell r="K548" t="str">
            <v/>
          </cell>
          <cell r="L548" t="str">
            <v/>
          </cell>
        </row>
        <row r="549">
          <cell r="A549">
            <v>34000000</v>
          </cell>
          <cell r="C549">
            <v>34000000</v>
          </cell>
          <cell r="D549">
            <v>34000000</v>
          </cell>
          <cell r="E549">
            <v>34000000</v>
          </cell>
          <cell r="F549">
            <v>34000000</v>
          </cell>
          <cell r="G549">
            <v>34000000</v>
          </cell>
          <cell r="H549">
            <v>34000000</v>
          </cell>
          <cell r="I549" t="str">
            <v/>
          </cell>
          <cell r="J549" t="str">
            <v/>
          </cell>
          <cell r="K549" t="str">
            <v/>
          </cell>
          <cell r="L549" t="str">
            <v/>
          </cell>
        </row>
        <row r="550">
          <cell r="A550">
            <v>34000000</v>
          </cell>
          <cell r="C550">
            <v>34000000</v>
          </cell>
          <cell r="D550">
            <v>34000000</v>
          </cell>
          <cell r="E550">
            <v>34000000</v>
          </cell>
          <cell r="F550">
            <v>34000000</v>
          </cell>
          <cell r="G550">
            <v>34000000</v>
          </cell>
          <cell r="H550">
            <v>34000000</v>
          </cell>
          <cell r="I550" t="str">
            <v/>
          </cell>
          <cell r="J550" t="str">
            <v/>
          </cell>
          <cell r="K550" t="str">
            <v/>
          </cell>
          <cell r="L550" t="str">
            <v/>
          </cell>
        </row>
        <row r="551">
          <cell r="A551">
            <v>34000000</v>
          </cell>
          <cell r="C551">
            <v>34000000</v>
          </cell>
          <cell r="D551">
            <v>34000000</v>
          </cell>
          <cell r="E551">
            <v>34000000</v>
          </cell>
          <cell r="F551">
            <v>34000000</v>
          </cell>
          <cell r="G551">
            <v>34000000</v>
          </cell>
          <cell r="H551">
            <v>34000000</v>
          </cell>
          <cell r="I551" t="str">
            <v/>
          </cell>
          <cell r="J551" t="str">
            <v/>
          </cell>
          <cell r="K551" t="str">
            <v/>
          </cell>
          <cell r="L551" t="str">
            <v/>
          </cell>
        </row>
        <row r="552">
          <cell r="A552">
            <v>34000000</v>
          </cell>
          <cell r="C552">
            <v>34000000</v>
          </cell>
          <cell r="D552">
            <v>34000000</v>
          </cell>
          <cell r="E552">
            <v>34000000</v>
          </cell>
          <cell r="F552">
            <v>34000000</v>
          </cell>
          <cell r="G552">
            <v>34000000</v>
          </cell>
          <cell r="H552">
            <v>34000000</v>
          </cell>
          <cell r="I552" t="str">
            <v/>
          </cell>
          <cell r="J552" t="str">
            <v/>
          </cell>
          <cell r="K552" t="str">
            <v/>
          </cell>
          <cell r="L552" t="str">
            <v/>
          </cell>
        </row>
        <row r="553">
          <cell r="A553">
            <v>34000000</v>
          </cell>
          <cell r="C553">
            <v>34000000</v>
          </cell>
          <cell r="D553">
            <v>34000000</v>
          </cell>
          <cell r="E553">
            <v>34000000</v>
          </cell>
          <cell r="F553">
            <v>34000000</v>
          </cell>
          <cell r="G553">
            <v>34000000</v>
          </cell>
          <cell r="H553">
            <v>34000000</v>
          </cell>
          <cell r="I553" t="str">
            <v/>
          </cell>
          <cell r="J553" t="str">
            <v/>
          </cell>
          <cell r="K553" t="str">
            <v/>
          </cell>
          <cell r="L553" t="str">
            <v/>
          </cell>
        </row>
        <row r="554">
          <cell r="A554">
            <v>34000000</v>
          </cell>
          <cell r="C554">
            <v>34000000</v>
          </cell>
          <cell r="D554">
            <v>34000000</v>
          </cell>
          <cell r="E554">
            <v>34000000</v>
          </cell>
          <cell r="F554">
            <v>34000000</v>
          </cell>
          <cell r="G554">
            <v>34000000</v>
          </cell>
          <cell r="H554">
            <v>34000000</v>
          </cell>
          <cell r="I554" t="str">
            <v/>
          </cell>
          <cell r="J554" t="str">
            <v/>
          </cell>
          <cell r="K554" t="str">
            <v/>
          </cell>
          <cell r="L554" t="str">
            <v/>
          </cell>
        </row>
        <row r="555">
          <cell r="A555">
            <v>34000000</v>
          </cell>
          <cell r="C555">
            <v>34000000</v>
          </cell>
          <cell r="D555">
            <v>34000000</v>
          </cell>
          <cell r="E555">
            <v>34000000</v>
          </cell>
          <cell r="F555">
            <v>34000000</v>
          </cell>
          <cell r="G555">
            <v>34000000</v>
          </cell>
          <cell r="H555">
            <v>34000000</v>
          </cell>
          <cell r="I555" t="str">
            <v/>
          </cell>
          <cell r="J555" t="str">
            <v/>
          </cell>
          <cell r="K555" t="str">
            <v/>
          </cell>
          <cell r="L555" t="str">
            <v/>
          </cell>
        </row>
        <row r="556">
          <cell r="A556">
            <v>34000000</v>
          </cell>
          <cell r="C556">
            <v>34000000</v>
          </cell>
          <cell r="D556">
            <v>34000000</v>
          </cell>
          <cell r="E556">
            <v>34000000</v>
          </cell>
          <cell r="F556">
            <v>34000000</v>
          </cell>
          <cell r="G556">
            <v>34000000</v>
          </cell>
          <cell r="H556">
            <v>34000000</v>
          </cell>
          <cell r="I556" t="str">
            <v/>
          </cell>
          <cell r="J556" t="str">
            <v/>
          </cell>
          <cell r="K556" t="str">
            <v/>
          </cell>
          <cell r="L556" t="str">
            <v/>
          </cell>
        </row>
        <row r="557">
          <cell r="A557">
            <v>34000000</v>
          </cell>
          <cell r="C557">
            <v>34000000</v>
          </cell>
          <cell r="D557">
            <v>34000000</v>
          </cell>
          <cell r="E557">
            <v>34000000</v>
          </cell>
          <cell r="F557">
            <v>34000000</v>
          </cell>
          <cell r="G557">
            <v>34000000</v>
          </cell>
          <cell r="H557">
            <v>34000000</v>
          </cell>
          <cell r="I557" t="str">
            <v/>
          </cell>
          <cell r="J557" t="str">
            <v/>
          </cell>
          <cell r="K557" t="str">
            <v/>
          </cell>
          <cell r="L557" t="str">
            <v/>
          </cell>
        </row>
        <row r="558">
          <cell r="A558">
            <v>34000000</v>
          </cell>
          <cell r="C558">
            <v>34000000</v>
          </cell>
          <cell r="D558">
            <v>34000000</v>
          </cell>
          <cell r="E558">
            <v>34000000</v>
          </cell>
          <cell r="F558">
            <v>34000000</v>
          </cell>
          <cell r="G558">
            <v>34000000</v>
          </cell>
          <cell r="H558">
            <v>34000000</v>
          </cell>
          <cell r="I558" t="str">
            <v/>
          </cell>
          <cell r="J558" t="str">
            <v/>
          </cell>
          <cell r="K558" t="str">
            <v/>
          </cell>
          <cell r="L558" t="str">
            <v/>
          </cell>
        </row>
        <row r="559">
          <cell r="A559">
            <v>34000000</v>
          </cell>
          <cell r="C559">
            <v>34000000</v>
          </cell>
          <cell r="D559">
            <v>34000000</v>
          </cell>
          <cell r="E559">
            <v>34000000</v>
          </cell>
          <cell r="F559">
            <v>34000000</v>
          </cell>
          <cell r="G559">
            <v>34000000</v>
          </cell>
          <cell r="H559">
            <v>34000000</v>
          </cell>
          <cell r="I559" t="str">
            <v/>
          </cell>
          <cell r="J559" t="str">
            <v/>
          </cell>
          <cell r="K559" t="str">
            <v/>
          </cell>
          <cell r="L559" t="str">
            <v/>
          </cell>
        </row>
        <row r="560">
          <cell r="A560">
            <v>34000000</v>
          </cell>
          <cell r="C560">
            <v>34000000</v>
          </cell>
          <cell r="D560">
            <v>34000000</v>
          </cell>
          <cell r="E560">
            <v>34000000</v>
          </cell>
          <cell r="F560">
            <v>34000000</v>
          </cell>
          <cell r="G560">
            <v>34000000</v>
          </cell>
          <cell r="H560">
            <v>34000000</v>
          </cell>
          <cell r="I560" t="str">
            <v/>
          </cell>
          <cell r="J560" t="str">
            <v/>
          </cell>
          <cell r="K560" t="str">
            <v/>
          </cell>
          <cell r="L560" t="str">
            <v/>
          </cell>
        </row>
        <row r="561">
          <cell r="A561">
            <v>34000000</v>
          </cell>
          <cell r="C561">
            <v>34000000</v>
          </cell>
          <cell r="D561">
            <v>34000000</v>
          </cell>
          <cell r="E561">
            <v>34000000</v>
          </cell>
          <cell r="F561">
            <v>34000000</v>
          </cell>
          <cell r="G561">
            <v>34000000</v>
          </cell>
          <cell r="H561">
            <v>34000000</v>
          </cell>
          <cell r="I561" t="str">
            <v/>
          </cell>
          <cell r="J561" t="str">
            <v/>
          </cell>
          <cell r="K561" t="str">
            <v/>
          </cell>
          <cell r="L561" t="str">
            <v/>
          </cell>
        </row>
        <row r="562">
          <cell r="A562">
            <v>34000000</v>
          </cell>
          <cell r="C562">
            <v>34000000</v>
          </cell>
          <cell r="D562">
            <v>34000000</v>
          </cell>
          <cell r="E562">
            <v>34000000</v>
          </cell>
          <cell r="F562">
            <v>34000000</v>
          </cell>
          <cell r="G562">
            <v>34000000</v>
          </cell>
          <cell r="H562">
            <v>34000000</v>
          </cell>
          <cell r="I562" t="str">
            <v/>
          </cell>
          <cell r="J562" t="str">
            <v/>
          </cell>
          <cell r="K562" t="str">
            <v/>
          </cell>
          <cell r="L562" t="str">
            <v/>
          </cell>
        </row>
        <row r="563">
          <cell r="A563">
            <v>34000000</v>
          </cell>
          <cell r="C563">
            <v>34000000</v>
          </cell>
          <cell r="D563">
            <v>34000000</v>
          </cell>
          <cell r="E563">
            <v>34000000</v>
          </cell>
          <cell r="F563">
            <v>34000000</v>
          </cell>
          <cell r="G563">
            <v>34000000</v>
          </cell>
          <cell r="H563">
            <v>34000000</v>
          </cell>
          <cell r="I563" t="str">
            <v/>
          </cell>
          <cell r="J563" t="str">
            <v/>
          </cell>
          <cell r="K563" t="str">
            <v/>
          </cell>
          <cell r="L563" t="str">
            <v/>
          </cell>
        </row>
        <row r="564">
          <cell r="A564">
            <v>34000000</v>
          </cell>
          <cell r="C564">
            <v>34000000</v>
          </cell>
          <cell r="D564">
            <v>34000000</v>
          </cell>
          <cell r="E564">
            <v>34000000</v>
          </cell>
          <cell r="F564">
            <v>34000000</v>
          </cell>
          <cell r="G564">
            <v>34000000</v>
          </cell>
          <cell r="H564">
            <v>34000000</v>
          </cell>
          <cell r="I564" t="str">
            <v/>
          </cell>
          <cell r="J564" t="str">
            <v/>
          </cell>
          <cell r="K564" t="str">
            <v/>
          </cell>
          <cell r="L564" t="str">
            <v/>
          </cell>
        </row>
        <row r="565">
          <cell r="A565">
            <v>34000000</v>
          </cell>
          <cell r="C565">
            <v>34000000</v>
          </cell>
          <cell r="D565">
            <v>34000000</v>
          </cell>
          <cell r="E565">
            <v>34000000</v>
          </cell>
          <cell r="F565">
            <v>34000000</v>
          </cell>
          <cell r="G565">
            <v>34000000</v>
          </cell>
          <cell r="H565">
            <v>34000000</v>
          </cell>
          <cell r="I565" t="str">
            <v/>
          </cell>
          <cell r="J565" t="str">
            <v/>
          </cell>
          <cell r="K565" t="str">
            <v/>
          </cell>
          <cell r="L565" t="str">
            <v/>
          </cell>
        </row>
        <row r="566">
          <cell r="A566">
            <v>34000000</v>
          </cell>
          <cell r="C566">
            <v>34000000</v>
          </cell>
          <cell r="D566">
            <v>34000000</v>
          </cell>
          <cell r="E566">
            <v>34000000</v>
          </cell>
          <cell r="F566">
            <v>34000000</v>
          </cell>
          <cell r="G566">
            <v>34000000</v>
          </cell>
          <cell r="H566">
            <v>34000000</v>
          </cell>
          <cell r="I566" t="str">
            <v/>
          </cell>
          <cell r="J566" t="str">
            <v/>
          </cell>
          <cell r="K566" t="str">
            <v/>
          </cell>
          <cell r="L566" t="str">
            <v/>
          </cell>
        </row>
        <row r="567">
          <cell r="A567">
            <v>34000000</v>
          </cell>
          <cell r="C567">
            <v>34000000</v>
          </cell>
          <cell r="D567">
            <v>34000000</v>
          </cell>
          <cell r="E567">
            <v>34000000</v>
          </cell>
          <cell r="F567">
            <v>34000000</v>
          </cell>
          <cell r="G567">
            <v>34000000</v>
          </cell>
          <cell r="H567">
            <v>34000000</v>
          </cell>
          <cell r="I567" t="str">
            <v/>
          </cell>
          <cell r="J567" t="str">
            <v/>
          </cell>
          <cell r="K567" t="str">
            <v/>
          </cell>
          <cell r="L567" t="str">
            <v/>
          </cell>
        </row>
        <row r="568">
          <cell r="A568">
            <v>34000000</v>
          </cell>
          <cell r="C568">
            <v>34000000</v>
          </cell>
          <cell r="D568">
            <v>34000000</v>
          </cell>
          <cell r="E568">
            <v>34000000</v>
          </cell>
          <cell r="F568">
            <v>34000000</v>
          </cell>
          <cell r="G568">
            <v>34000000</v>
          </cell>
          <cell r="H568">
            <v>34000000</v>
          </cell>
          <cell r="I568" t="str">
            <v/>
          </cell>
          <cell r="J568" t="str">
            <v/>
          </cell>
          <cell r="K568" t="str">
            <v/>
          </cell>
          <cell r="L568" t="str">
            <v/>
          </cell>
        </row>
        <row r="569">
          <cell r="A569">
            <v>34000000</v>
          </cell>
          <cell r="C569">
            <v>34000000</v>
          </cell>
          <cell r="D569">
            <v>34000000</v>
          </cell>
          <cell r="E569">
            <v>34000000</v>
          </cell>
          <cell r="F569">
            <v>34000000</v>
          </cell>
          <cell r="G569">
            <v>34000000</v>
          </cell>
          <cell r="H569">
            <v>34000000</v>
          </cell>
          <cell r="I569" t="str">
            <v/>
          </cell>
          <cell r="J569" t="str">
            <v/>
          </cell>
          <cell r="K569" t="str">
            <v/>
          </cell>
          <cell r="L569" t="str">
            <v/>
          </cell>
        </row>
        <row r="570">
          <cell r="A570">
            <v>34000000</v>
          </cell>
          <cell r="C570">
            <v>34000000</v>
          </cell>
          <cell r="D570">
            <v>34000000</v>
          </cell>
          <cell r="E570">
            <v>34000000</v>
          </cell>
          <cell r="F570">
            <v>34000000</v>
          </cell>
          <cell r="G570">
            <v>34000000</v>
          </cell>
          <cell r="H570">
            <v>34000000</v>
          </cell>
          <cell r="I570" t="str">
            <v/>
          </cell>
          <cell r="J570" t="str">
            <v/>
          </cell>
          <cell r="K570" t="str">
            <v/>
          </cell>
          <cell r="L570" t="str">
            <v/>
          </cell>
        </row>
        <row r="571">
          <cell r="A571">
            <v>34000000</v>
          </cell>
          <cell r="C571">
            <v>34000000</v>
          </cell>
          <cell r="D571">
            <v>34000000</v>
          </cell>
          <cell r="E571">
            <v>34000000</v>
          </cell>
          <cell r="F571">
            <v>34000000</v>
          </cell>
          <cell r="G571">
            <v>34000000</v>
          </cell>
          <cell r="H571">
            <v>34000000</v>
          </cell>
          <cell r="I571" t="str">
            <v/>
          </cell>
          <cell r="J571" t="str">
            <v/>
          </cell>
          <cell r="K571" t="str">
            <v/>
          </cell>
          <cell r="L571" t="str">
            <v/>
          </cell>
        </row>
        <row r="572">
          <cell r="A572">
            <v>34000000</v>
          </cell>
          <cell r="C572">
            <v>34000000</v>
          </cell>
          <cell r="D572">
            <v>34000000</v>
          </cell>
          <cell r="E572">
            <v>34000000</v>
          </cell>
          <cell r="F572">
            <v>34000000</v>
          </cell>
          <cell r="G572">
            <v>34000000</v>
          </cell>
          <cell r="H572">
            <v>34000000</v>
          </cell>
          <cell r="I572" t="str">
            <v/>
          </cell>
          <cell r="J572" t="str">
            <v/>
          </cell>
          <cell r="K572" t="str">
            <v/>
          </cell>
          <cell r="L572" t="str">
            <v/>
          </cell>
        </row>
        <row r="573">
          <cell r="A573">
            <v>34000000</v>
          </cell>
          <cell r="C573">
            <v>34000000</v>
          </cell>
          <cell r="D573">
            <v>34000000</v>
          </cell>
          <cell r="E573">
            <v>34000000</v>
          </cell>
          <cell r="F573">
            <v>34000000</v>
          </cell>
          <cell r="G573">
            <v>34000000</v>
          </cell>
          <cell r="H573">
            <v>34000000</v>
          </cell>
          <cell r="I573" t="str">
            <v/>
          </cell>
          <cell r="J573" t="str">
            <v/>
          </cell>
          <cell r="K573" t="str">
            <v/>
          </cell>
          <cell r="L573" t="str">
            <v/>
          </cell>
        </row>
        <row r="574">
          <cell r="A574">
            <v>34000000</v>
          </cell>
          <cell r="C574">
            <v>34000000</v>
          </cell>
          <cell r="D574">
            <v>34000000</v>
          </cell>
          <cell r="E574">
            <v>34000000</v>
          </cell>
          <cell r="F574">
            <v>34000000</v>
          </cell>
          <cell r="G574">
            <v>34000000</v>
          </cell>
          <cell r="H574">
            <v>34000000</v>
          </cell>
          <cell r="I574" t="str">
            <v/>
          </cell>
          <cell r="J574" t="str">
            <v/>
          </cell>
          <cell r="K574" t="str">
            <v/>
          </cell>
          <cell r="L574" t="str">
            <v/>
          </cell>
        </row>
        <row r="575">
          <cell r="A575">
            <v>34000000</v>
          </cell>
          <cell r="C575">
            <v>34000000</v>
          </cell>
          <cell r="D575">
            <v>34000000</v>
          </cell>
          <cell r="E575">
            <v>34000000</v>
          </cell>
          <cell r="F575">
            <v>34000000</v>
          </cell>
          <cell r="G575">
            <v>34000000</v>
          </cell>
          <cell r="H575">
            <v>34000000</v>
          </cell>
          <cell r="I575" t="str">
            <v/>
          </cell>
          <cell r="J575" t="str">
            <v/>
          </cell>
          <cell r="K575" t="str">
            <v/>
          </cell>
          <cell r="L575" t="str">
            <v/>
          </cell>
        </row>
        <row r="576">
          <cell r="A576">
            <v>34000000</v>
          </cell>
          <cell r="C576">
            <v>34000000</v>
          </cell>
          <cell r="D576">
            <v>34000000</v>
          </cell>
          <cell r="E576">
            <v>34000000</v>
          </cell>
          <cell r="F576">
            <v>34000000</v>
          </cell>
          <cell r="G576">
            <v>34000000</v>
          </cell>
          <cell r="H576">
            <v>34000000</v>
          </cell>
          <cell r="I576" t="str">
            <v/>
          </cell>
          <cell r="J576" t="str">
            <v/>
          </cell>
          <cell r="K576" t="str">
            <v/>
          </cell>
          <cell r="L576" t="str">
            <v/>
          </cell>
        </row>
        <row r="577">
          <cell r="A577">
            <v>34000000</v>
          </cell>
          <cell r="C577">
            <v>34000000</v>
          </cell>
          <cell r="D577">
            <v>34000000</v>
          </cell>
          <cell r="E577">
            <v>34000000</v>
          </cell>
          <cell r="F577">
            <v>34000000</v>
          </cell>
          <cell r="G577">
            <v>34000000</v>
          </cell>
          <cell r="H577">
            <v>34000000</v>
          </cell>
          <cell r="I577" t="str">
            <v/>
          </cell>
          <cell r="J577" t="str">
            <v/>
          </cell>
          <cell r="K577" t="str">
            <v/>
          </cell>
          <cell r="L577" t="str">
            <v/>
          </cell>
        </row>
        <row r="578">
          <cell r="A578">
            <v>34000000</v>
          </cell>
          <cell r="C578">
            <v>34000000</v>
          </cell>
          <cell r="D578">
            <v>34000000</v>
          </cell>
          <cell r="E578">
            <v>34000000</v>
          </cell>
          <cell r="F578">
            <v>34000000</v>
          </cell>
          <cell r="G578">
            <v>34000000</v>
          </cell>
          <cell r="H578">
            <v>34000000</v>
          </cell>
          <cell r="I578" t="str">
            <v/>
          </cell>
          <cell r="J578" t="str">
            <v/>
          </cell>
          <cell r="K578" t="str">
            <v/>
          </cell>
          <cell r="L578" t="str">
            <v/>
          </cell>
        </row>
        <row r="579">
          <cell r="A579">
            <v>34000000</v>
          </cell>
          <cell r="C579">
            <v>34000000</v>
          </cell>
          <cell r="D579">
            <v>34000000</v>
          </cell>
          <cell r="E579">
            <v>34000000</v>
          </cell>
          <cell r="F579">
            <v>34000000</v>
          </cell>
          <cell r="G579">
            <v>34000000</v>
          </cell>
          <cell r="H579">
            <v>34000000</v>
          </cell>
          <cell r="I579" t="str">
            <v/>
          </cell>
          <cell r="J579" t="str">
            <v/>
          </cell>
          <cell r="K579" t="str">
            <v/>
          </cell>
          <cell r="L579" t="str">
            <v/>
          </cell>
        </row>
        <row r="580">
          <cell r="A580">
            <v>34000000</v>
          </cell>
          <cell r="C580">
            <v>34000000</v>
          </cell>
          <cell r="D580">
            <v>34000000</v>
          </cell>
          <cell r="E580">
            <v>34000000</v>
          </cell>
          <cell r="F580">
            <v>34000000</v>
          </cell>
          <cell r="G580">
            <v>34000000</v>
          </cell>
          <cell r="H580">
            <v>34000000</v>
          </cell>
          <cell r="I580" t="str">
            <v/>
          </cell>
          <cell r="J580" t="str">
            <v/>
          </cell>
          <cell r="K580" t="str">
            <v/>
          </cell>
          <cell r="L580" t="str">
            <v/>
          </cell>
        </row>
        <row r="581">
          <cell r="A581">
            <v>34000000</v>
          </cell>
          <cell r="C581">
            <v>34000000</v>
          </cell>
          <cell r="D581">
            <v>34000000</v>
          </cell>
          <cell r="E581">
            <v>34000000</v>
          </cell>
          <cell r="F581">
            <v>34000000</v>
          </cell>
          <cell r="G581">
            <v>34000000</v>
          </cell>
          <cell r="H581">
            <v>34000000</v>
          </cell>
          <cell r="I581" t="str">
            <v/>
          </cell>
          <cell r="J581" t="str">
            <v/>
          </cell>
          <cell r="K581" t="str">
            <v/>
          </cell>
          <cell r="L581" t="str">
            <v/>
          </cell>
        </row>
        <row r="582">
          <cell r="A582">
            <v>34000000</v>
          </cell>
          <cell r="C582">
            <v>34000000</v>
          </cell>
          <cell r="D582">
            <v>34000000</v>
          </cell>
          <cell r="E582">
            <v>34000000</v>
          </cell>
          <cell r="F582">
            <v>34000000</v>
          </cell>
          <cell r="G582">
            <v>34000000</v>
          </cell>
          <cell r="H582">
            <v>34000000</v>
          </cell>
          <cell r="I582" t="str">
            <v/>
          </cell>
          <cell r="J582" t="str">
            <v/>
          </cell>
          <cell r="K582" t="str">
            <v/>
          </cell>
          <cell r="L582" t="str">
            <v/>
          </cell>
        </row>
        <row r="583">
          <cell r="A583">
            <v>34000000</v>
          </cell>
          <cell r="C583">
            <v>34000000</v>
          </cell>
          <cell r="D583">
            <v>34000000</v>
          </cell>
          <cell r="E583">
            <v>34000000</v>
          </cell>
          <cell r="F583">
            <v>34000000</v>
          </cell>
          <cell r="G583">
            <v>34000000</v>
          </cell>
          <cell r="H583">
            <v>34000000</v>
          </cell>
          <cell r="I583" t="str">
            <v/>
          </cell>
          <cell r="J583" t="str">
            <v/>
          </cell>
          <cell r="K583" t="str">
            <v/>
          </cell>
          <cell r="L583" t="str">
            <v/>
          </cell>
        </row>
        <row r="584">
          <cell r="A584">
            <v>34000000</v>
          </cell>
          <cell r="C584">
            <v>34000000</v>
          </cell>
          <cell r="D584">
            <v>34000000</v>
          </cell>
          <cell r="E584">
            <v>34000000</v>
          </cell>
          <cell r="F584">
            <v>34000000</v>
          </cell>
          <cell r="G584">
            <v>34000000</v>
          </cell>
          <cell r="H584">
            <v>34000000</v>
          </cell>
          <cell r="I584" t="str">
            <v/>
          </cell>
          <cell r="J584" t="str">
            <v/>
          </cell>
          <cell r="K584" t="str">
            <v/>
          </cell>
          <cell r="L584" t="str">
            <v/>
          </cell>
        </row>
        <row r="585">
          <cell r="A585">
            <v>34000000</v>
          </cell>
          <cell r="C585">
            <v>34000000</v>
          </cell>
          <cell r="D585">
            <v>34000000</v>
          </cell>
          <cell r="E585">
            <v>34000000</v>
          </cell>
          <cell r="F585">
            <v>34000000</v>
          </cell>
          <cell r="G585">
            <v>34000000</v>
          </cell>
          <cell r="H585">
            <v>34000000</v>
          </cell>
          <cell r="I585" t="str">
            <v/>
          </cell>
          <cell r="J585" t="str">
            <v/>
          </cell>
          <cell r="K585" t="str">
            <v/>
          </cell>
          <cell r="L585" t="str">
            <v/>
          </cell>
        </row>
        <row r="586">
          <cell r="A586">
            <v>34000000</v>
          </cell>
          <cell r="C586">
            <v>34000000</v>
          </cell>
          <cell r="D586">
            <v>34000000</v>
          </cell>
          <cell r="E586">
            <v>34000000</v>
          </cell>
          <cell r="F586">
            <v>34000000</v>
          </cell>
          <cell r="G586">
            <v>34000000</v>
          </cell>
          <cell r="H586">
            <v>34000000</v>
          </cell>
          <cell r="I586" t="str">
            <v/>
          </cell>
          <cell r="J586" t="str">
            <v/>
          </cell>
          <cell r="K586" t="str">
            <v/>
          </cell>
          <cell r="L586" t="str">
            <v/>
          </cell>
        </row>
        <row r="587">
          <cell r="A587">
            <v>34000000</v>
          </cell>
          <cell r="C587">
            <v>34000000</v>
          </cell>
          <cell r="D587">
            <v>34000000</v>
          </cell>
          <cell r="E587">
            <v>34000000</v>
          </cell>
          <cell r="F587">
            <v>34000000</v>
          </cell>
          <cell r="G587">
            <v>34000000</v>
          </cell>
          <cell r="H587">
            <v>34000000</v>
          </cell>
          <cell r="I587" t="str">
            <v/>
          </cell>
          <cell r="J587" t="str">
            <v/>
          </cell>
          <cell r="K587" t="str">
            <v/>
          </cell>
          <cell r="L587" t="str">
            <v/>
          </cell>
        </row>
        <row r="588">
          <cell r="A588">
            <v>34000000</v>
          </cell>
          <cell r="C588">
            <v>34000000</v>
          </cell>
          <cell r="D588">
            <v>34000000</v>
          </cell>
          <cell r="E588">
            <v>34000000</v>
          </cell>
          <cell r="F588">
            <v>34000000</v>
          </cell>
          <cell r="G588">
            <v>34000000</v>
          </cell>
          <cell r="H588">
            <v>34000000</v>
          </cell>
          <cell r="I588" t="str">
            <v/>
          </cell>
          <cell r="J588" t="str">
            <v/>
          </cell>
          <cell r="K588" t="str">
            <v/>
          </cell>
          <cell r="L588" t="str">
            <v/>
          </cell>
        </row>
        <row r="589">
          <cell r="A589">
            <v>34000000</v>
          </cell>
          <cell r="C589">
            <v>34000000</v>
          </cell>
          <cell r="D589">
            <v>34000000</v>
          </cell>
          <cell r="E589">
            <v>34000000</v>
          </cell>
          <cell r="F589">
            <v>34000000</v>
          </cell>
          <cell r="G589">
            <v>34000000</v>
          </cell>
          <cell r="H589">
            <v>34000000</v>
          </cell>
          <cell r="I589" t="str">
            <v/>
          </cell>
          <cell r="J589" t="str">
            <v/>
          </cell>
          <cell r="K589" t="str">
            <v/>
          </cell>
          <cell r="L589" t="str">
            <v/>
          </cell>
        </row>
        <row r="590">
          <cell r="A590">
            <v>34000000</v>
          </cell>
          <cell r="C590">
            <v>34000000</v>
          </cell>
          <cell r="D590">
            <v>34000000</v>
          </cell>
          <cell r="E590">
            <v>34000000</v>
          </cell>
          <cell r="F590">
            <v>34000000</v>
          </cell>
          <cell r="G590">
            <v>34000000</v>
          </cell>
          <cell r="H590">
            <v>34000000</v>
          </cell>
          <cell r="I590" t="str">
            <v/>
          </cell>
          <cell r="J590" t="str">
            <v/>
          </cell>
          <cell r="K590" t="str">
            <v/>
          </cell>
          <cell r="L590" t="str">
            <v/>
          </cell>
        </row>
        <row r="591">
          <cell r="A591">
            <v>34000000</v>
          </cell>
          <cell r="C591">
            <v>34000000</v>
          </cell>
          <cell r="D591">
            <v>34000000</v>
          </cell>
          <cell r="E591">
            <v>34000000</v>
          </cell>
          <cell r="F591">
            <v>34000000</v>
          </cell>
          <cell r="G591">
            <v>34000000</v>
          </cell>
          <cell r="H591">
            <v>34000000</v>
          </cell>
          <cell r="I591" t="str">
            <v/>
          </cell>
          <cell r="J591" t="str">
            <v/>
          </cell>
          <cell r="K591" t="str">
            <v/>
          </cell>
          <cell r="L591" t="str">
            <v/>
          </cell>
        </row>
        <row r="592">
          <cell r="A592">
            <v>34000000</v>
          </cell>
          <cell r="C592">
            <v>34000000</v>
          </cell>
          <cell r="D592">
            <v>34000000</v>
          </cell>
          <cell r="E592">
            <v>34000000</v>
          </cell>
          <cell r="F592">
            <v>34000000</v>
          </cell>
          <cell r="G592">
            <v>34000000</v>
          </cell>
          <cell r="H592">
            <v>34000000</v>
          </cell>
          <cell r="I592" t="str">
            <v/>
          </cell>
          <cell r="J592" t="str">
            <v/>
          </cell>
          <cell r="K592" t="str">
            <v/>
          </cell>
          <cell r="L592" t="str">
            <v/>
          </cell>
        </row>
        <row r="593">
          <cell r="A593">
            <v>34000000</v>
          </cell>
          <cell r="C593">
            <v>34000000</v>
          </cell>
          <cell r="D593">
            <v>34000000</v>
          </cell>
          <cell r="E593">
            <v>34000000</v>
          </cell>
          <cell r="F593">
            <v>34000000</v>
          </cell>
          <cell r="G593">
            <v>34000000</v>
          </cell>
          <cell r="H593">
            <v>34000000</v>
          </cell>
          <cell r="I593" t="str">
            <v/>
          </cell>
          <cell r="J593" t="str">
            <v/>
          </cell>
          <cell r="K593" t="str">
            <v/>
          </cell>
          <cell r="L593" t="str">
            <v/>
          </cell>
        </row>
        <row r="594">
          <cell r="A594">
            <v>34000000</v>
          </cell>
          <cell r="C594">
            <v>34000000</v>
          </cell>
          <cell r="D594">
            <v>34000000</v>
          </cell>
          <cell r="E594">
            <v>34000000</v>
          </cell>
          <cell r="F594">
            <v>34000000</v>
          </cell>
          <cell r="G594">
            <v>34000000</v>
          </cell>
          <cell r="H594">
            <v>34000000</v>
          </cell>
          <cell r="I594" t="str">
            <v/>
          </cell>
          <cell r="J594" t="str">
            <v/>
          </cell>
          <cell r="K594" t="str">
            <v/>
          </cell>
          <cell r="L594" t="str">
            <v/>
          </cell>
        </row>
        <row r="595">
          <cell r="A595">
            <v>34000000</v>
          </cell>
          <cell r="C595">
            <v>34000000</v>
          </cell>
          <cell r="D595">
            <v>34000000</v>
          </cell>
          <cell r="E595">
            <v>34000000</v>
          </cell>
          <cell r="F595">
            <v>34000000</v>
          </cell>
          <cell r="G595">
            <v>34000000</v>
          </cell>
          <cell r="H595">
            <v>34000000</v>
          </cell>
          <cell r="I595" t="str">
            <v/>
          </cell>
          <cell r="J595" t="str">
            <v/>
          </cell>
          <cell r="K595" t="str">
            <v/>
          </cell>
          <cell r="L595" t="str">
            <v/>
          </cell>
        </row>
        <row r="596">
          <cell r="A596">
            <v>34000000</v>
          </cell>
          <cell r="C596">
            <v>34000000</v>
          </cell>
          <cell r="D596">
            <v>34000000</v>
          </cell>
          <cell r="E596">
            <v>34000000</v>
          </cell>
          <cell r="F596">
            <v>34000000</v>
          </cell>
          <cell r="G596">
            <v>34000000</v>
          </cell>
          <cell r="H596">
            <v>34000000</v>
          </cell>
          <cell r="I596" t="str">
            <v/>
          </cell>
          <cell r="J596" t="str">
            <v/>
          </cell>
          <cell r="K596" t="str">
            <v/>
          </cell>
          <cell r="L596" t="str">
            <v/>
          </cell>
        </row>
        <row r="597">
          <cell r="A597">
            <v>34000000</v>
          </cell>
          <cell r="C597">
            <v>34000000</v>
          </cell>
          <cell r="D597">
            <v>34000000</v>
          </cell>
          <cell r="E597">
            <v>34000000</v>
          </cell>
          <cell r="F597">
            <v>34000000</v>
          </cell>
          <cell r="G597">
            <v>34000000</v>
          </cell>
          <cell r="H597">
            <v>34000000</v>
          </cell>
          <cell r="I597" t="str">
            <v/>
          </cell>
          <cell r="J597" t="str">
            <v/>
          </cell>
          <cell r="K597" t="str">
            <v/>
          </cell>
          <cell r="L597" t="str">
            <v/>
          </cell>
        </row>
        <row r="598">
          <cell r="A598">
            <v>34000000</v>
          </cell>
          <cell r="C598">
            <v>34000000</v>
          </cell>
          <cell r="D598">
            <v>34000000</v>
          </cell>
          <cell r="E598">
            <v>34000000</v>
          </cell>
          <cell r="F598">
            <v>34000000</v>
          </cell>
          <cell r="G598">
            <v>34000000</v>
          </cell>
          <cell r="H598">
            <v>34000000</v>
          </cell>
          <cell r="I598" t="str">
            <v/>
          </cell>
          <cell r="J598" t="str">
            <v/>
          </cell>
          <cell r="K598" t="str">
            <v/>
          </cell>
          <cell r="L598" t="str">
            <v/>
          </cell>
        </row>
        <row r="599">
          <cell r="A599">
            <v>34000000</v>
          </cell>
          <cell r="C599">
            <v>34000000</v>
          </cell>
          <cell r="D599">
            <v>34000000</v>
          </cell>
          <cell r="E599">
            <v>34000000</v>
          </cell>
          <cell r="F599">
            <v>34000000</v>
          </cell>
          <cell r="G599">
            <v>34000000</v>
          </cell>
          <cell r="H599">
            <v>34000000</v>
          </cell>
          <cell r="I599" t="str">
            <v/>
          </cell>
          <cell r="J599" t="str">
            <v/>
          </cell>
          <cell r="K599" t="str">
            <v/>
          </cell>
          <cell r="L599" t="str">
            <v/>
          </cell>
        </row>
        <row r="600">
          <cell r="A600">
            <v>34000000</v>
          </cell>
          <cell r="C600">
            <v>34000000</v>
          </cell>
          <cell r="D600">
            <v>34000000</v>
          </cell>
          <cell r="E600">
            <v>34000000</v>
          </cell>
          <cell r="F600">
            <v>34000000</v>
          </cell>
          <cell r="G600">
            <v>34000000</v>
          </cell>
          <cell r="H600">
            <v>34000000</v>
          </cell>
          <cell r="I600" t="str">
            <v/>
          </cell>
          <cell r="J600" t="str">
            <v/>
          </cell>
          <cell r="K600" t="str">
            <v/>
          </cell>
          <cell r="L600" t="str">
            <v/>
          </cell>
        </row>
        <row r="601">
          <cell r="A601">
            <v>34000000</v>
          </cell>
          <cell r="C601">
            <v>34000000</v>
          </cell>
          <cell r="D601">
            <v>34000000</v>
          </cell>
          <cell r="E601">
            <v>34000000</v>
          </cell>
          <cell r="F601">
            <v>34000000</v>
          </cell>
          <cell r="G601">
            <v>34000000</v>
          </cell>
          <cell r="H601">
            <v>34000000</v>
          </cell>
          <cell r="I601" t="str">
            <v/>
          </cell>
          <cell r="J601" t="str">
            <v/>
          </cell>
          <cell r="K601" t="str">
            <v/>
          </cell>
          <cell r="L601" t="str">
            <v/>
          </cell>
        </row>
        <row r="602">
          <cell r="A602">
            <v>34000000</v>
          </cell>
          <cell r="C602">
            <v>34000000</v>
          </cell>
          <cell r="D602">
            <v>34000000</v>
          </cell>
          <cell r="E602">
            <v>34000000</v>
          </cell>
          <cell r="F602">
            <v>34000000</v>
          </cell>
          <cell r="G602">
            <v>34000000</v>
          </cell>
          <cell r="H602">
            <v>34000000</v>
          </cell>
          <cell r="I602" t="str">
            <v/>
          </cell>
          <cell r="J602" t="str">
            <v/>
          </cell>
          <cell r="K602" t="str">
            <v/>
          </cell>
          <cell r="L602" t="str">
            <v/>
          </cell>
        </row>
        <row r="603">
          <cell r="A603">
            <v>34000000</v>
          </cell>
          <cell r="C603">
            <v>34000000</v>
          </cell>
          <cell r="D603">
            <v>34000000</v>
          </cell>
          <cell r="E603">
            <v>34000000</v>
          </cell>
          <cell r="F603">
            <v>34000000</v>
          </cell>
          <cell r="G603">
            <v>34000000</v>
          </cell>
          <cell r="H603">
            <v>34000000</v>
          </cell>
          <cell r="I603" t="str">
            <v/>
          </cell>
          <cell r="J603" t="str">
            <v/>
          </cell>
          <cell r="K603" t="str">
            <v/>
          </cell>
          <cell r="L603" t="str">
            <v/>
          </cell>
        </row>
        <row r="604">
          <cell r="A604">
            <v>34000000</v>
          </cell>
          <cell r="C604">
            <v>34000000</v>
          </cell>
          <cell r="D604">
            <v>34000000</v>
          </cell>
          <cell r="E604">
            <v>34000000</v>
          </cell>
          <cell r="F604">
            <v>34000000</v>
          </cell>
          <cell r="G604">
            <v>34000000</v>
          </cell>
          <cell r="H604">
            <v>34000000</v>
          </cell>
          <cell r="I604" t="str">
            <v/>
          </cell>
          <cell r="J604" t="str">
            <v/>
          </cell>
          <cell r="K604" t="str">
            <v/>
          </cell>
          <cell r="L604" t="str">
            <v/>
          </cell>
        </row>
        <row r="605">
          <cell r="A605">
            <v>34000000</v>
          </cell>
          <cell r="C605">
            <v>34000000</v>
          </cell>
          <cell r="D605">
            <v>34000000</v>
          </cell>
          <cell r="E605">
            <v>34000000</v>
          </cell>
          <cell r="F605">
            <v>34000000</v>
          </cell>
          <cell r="G605">
            <v>34000000</v>
          </cell>
          <cell r="H605">
            <v>34000000</v>
          </cell>
          <cell r="I605" t="str">
            <v/>
          </cell>
          <cell r="J605" t="str">
            <v/>
          </cell>
          <cell r="K605" t="str">
            <v/>
          </cell>
          <cell r="L605" t="str">
            <v/>
          </cell>
        </row>
        <row r="606">
          <cell r="A606">
            <v>34000000</v>
          </cell>
          <cell r="C606">
            <v>34000000</v>
          </cell>
          <cell r="D606">
            <v>34000000</v>
          </cell>
          <cell r="E606">
            <v>34000000</v>
          </cell>
          <cell r="F606">
            <v>34000000</v>
          </cell>
          <cell r="G606">
            <v>34000000</v>
          </cell>
          <cell r="H606">
            <v>34000000</v>
          </cell>
          <cell r="I606" t="str">
            <v/>
          </cell>
          <cell r="J606" t="str">
            <v/>
          </cell>
          <cell r="K606" t="str">
            <v/>
          </cell>
          <cell r="L606" t="str">
            <v/>
          </cell>
        </row>
        <row r="607">
          <cell r="A607">
            <v>34000000</v>
          </cell>
          <cell r="C607">
            <v>34000000</v>
          </cell>
          <cell r="D607">
            <v>34000000</v>
          </cell>
          <cell r="E607">
            <v>34000000</v>
          </cell>
          <cell r="F607">
            <v>34000000</v>
          </cell>
          <cell r="G607">
            <v>34000000</v>
          </cell>
          <cell r="H607">
            <v>34000000</v>
          </cell>
          <cell r="I607" t="str">
            <v/>
          </cell>
          <cell r="J607" t="str">
            <v/>
          </cell>
          <cell r="K607" t="str">
            <v/>
          </cell>
          <cell r="L607" t="str">
            <v/>
          </cell>
        </row>
        <row r="608">
          <cell r="A608">
            <v>34000000</v>
          </cell>
          <cell r="C608">
            <v>34000000</v>
          </cell>
          <cell r="D608">
            <v>34000000</v>
          </cell>
          <cell r="E608">
            <v>34000000</v>
          </cell>
          <cell r="F608">
            <v>34000000</v>
          </cell>
          <cell r="G608">
            <v>34000000</v>
          </cell>
          <cell r="H608">
            <v>34000000</v>
          </cell>
          <cell r="I608" t="str">
            <v/>
          </cell>
          <cell r="J608" t="str">
            <v/>
          </cell>
          <cell r="K608" t="str">
            <v/>
          </cell>
          <cell r="L608" t="str">
            <v/>
          </cell>
        </row>
        <row r="609">
          <cell r="A609">
            <v>34000000</v>
          </cell>
          <cell r="C609">
            <v>34000000</v>
          </cell>
          <cell r="D609">
            <v>34000000</v>
          </cell>
          <cell r="E609">
            <v>34000000</v>
          </cell>
          <cell r="F609">
            <v>34000000</v>
          </cell>
          <cell r="G609">
            <v>34000000</v>
          </cell>
          <cell r="H609">
            <v>34000000</v>
          </cell>
          <cell r="I609" t="str">
            <v/>
          </cell>
          <cell r="J609" t="str">
            <v/>
          </cell>
          <cell r="K609" t="str">
            <v/>
          </cell>
          <cell r="L609" t="str">
            <v/>
          </cell>
        </row>
        <row r="610">
          <cell r="A610">
            <v>34000000</v>
          </cell>
          <cell r="C610">
            <v>34000000</v>
          </cell>
          <cell r="D610">
            <v>34000000</v>
          </cell>
          <cell r="E610">
            <v>34000000</v>
          </cell>
          <cell r="F610">
            <v>34000000</v>
          </cell>
          <cell r="G610">
            <v>34000000</v>
          </cell>
          <cell r="H610">
            <v>34000000</v>
          </cell>
          <cell r="I610" t="str">
            <v/>
          </cell>
          <cell r="J610" t="str">
            <v/>
          </cell>
          <cell r="K610" t="str">
            <v/>
          </cell>
          <cell r="L610" t="str">
            <v/>
          </cell>
        </row>
        <row r="611">
          <cell r="A611">
            <v>34000000</v>
          </cell>
          <cell r="C611">
            <v>34000000</v>
          </cell>
          <cell r="D611">
            <v>34000000</v>
          </cell>
          <cell r="E611">
            <v>34000000</v>
          </cell>
          <cell r="F611">
            <v>34000000</v>
          </cell>
          <cell r="G611">
            <v>34000000</v>
          </cell>
          <cell r="H611">
            <v>34000000</v>
          </cell>
          <cell r="I611" t="str">
            <v/>
          </cell>
          <cell r="J611" t="str">
            <v/>
          </cell>
          <cell r="K611" t="str">
            <v/>
          </cell>
          <cell r="L611" t="str">
            <v/>
          </cell>
        </row>
        <row r="612">
          <cell r="A612">
            <v>34000000</v>
          </cell>
          <cell r="C612">
            <v>34000000</v>
          </cell>
          <cell r="D612">
            <v>34000000</v>
          </cell>
          <cell r="E612">
            <v>34000000</v>
          </cell>
          <cell r="F612">
            <v>34000000</v>
          </cell>
          <cell r="G612">
            <v>34000000</v>
          </cell>
          <cell r="H612">
            <v>34000000</v>
          </cell>
          <cell r="I612" t="str">
            <v/>
          </cell>
          <cell r="J612" t="str">
            <v/>
          </cell>
          <cell r="K612" t="str">
            <v/>
          </cell>
          <cell r="L612" t="str">
            <v/>
          </cell>
        </row>
        <row r="613">
          <cell r="A613">
            <v>34000000</v>
          </cell>
          <cell r="C613">
            <v>34000000</v>
          </cell>
          <cell r="D613">
            <v>34000000</v>
          </cell>
          <cell r="E613">
            <v>34000000</v>
          </cell>
          <cell r="F613">
            <v>34000000</v>
          </cell>
          <cell r="G613">
            <v>34000000</v>
          </cell>
          <cell r="H613">
            <v>34000000</v>
          </cell>
          <cell r="I613" t="str">
            <v/>
          </cell>
          <cell r="J613" t="str">
            <v/>
          </cell>
          <cell r="K613" t="str">
            <v/>
          </cell>
          <cell r="L613" t="str">
            <v/>
          </cell>
        </row>
        <row r="614">
          <cell r="A614">
            <v>34000000</v>
          </cell>
          <cell r="C614">
            <v>34000000</v>
          </cell>
          <cell r="D614">
            <v>34000000</v>
          </cell>
          <cell r="E614">
            <v>34000000</v>
          </cell>
          <cell r="F614">
            <v>34000000</v>
          </cell>
          <cell r="G614">
            <v>34000000</v>
          </cell>
          <cell r="H614">
            <v>34000000</v>
          </cell>
          <cell r="I614" t="str">
            <v/>
          </cell>
          <cell r="J614" t="str">
            <v/>
          </cell>
          <cell r="K614" t="str">
            <v/>
          </cell>
          <cell r="L614" t="str">
            <v/>
          </cell>
        </row>
        <row r="615">
          <cell r="A615">
            <v>34000000</v>
          </cell>
          <cell r="C615">
            <v>34000000</v>
          </cell>
          <cell r="D615">
            <v>34000000</v>
          </cell>
          <cell r="E615">
            <v>34000000</v>
          </cell>
          <cell r="F615">
            <v>34000000</v>
          </cell>
          <cell r="G615">
            <v>34000000</v>
          </cell>
          <cell r="H615">
            <v>34000000</v>
          </cell>
          <cell r="I615" t="str">
            <v/>
          </cell>
          <cell r="J615" t="str">
            <v/>
          </cell>
          <cell r="K615" t="str">
            <v/>
          </cell>
          <cell r="L615" t="str">
            <v/>
          </cell>
        </row>
        <row r="616">
          <cell r="A616">
            <v>34000000</v>
          </cell>
          <cell r="C616">
            <v>34000000</v>
          </cell>
          <cell r="D616">
            <v>34000000</v>
          </cell>
          <cell r="E616">
            <v>34000000</v>
          </cell>
          <cell r="F616">
            <v>34000000</v>
          </cell>
          <cell r="G616">
            <v>34000000</v>
          </cell>
          <cell r="H616">
            <v>34000000</v>
          </cell>
          <cell r="I616" t="str">
            <v/>
          </cell>
          <cell r="J616" t="str">
            <v/>
          </cell>
          <cell r="K616" t="str">
            <v/>
          </cell>
          <cell r="L616" t="str">
            <v/>
          </cell>
        </row>
        <row r="617">
          <cell r="A617">
            <v>34000000</v>
          </cell>
          <cell r="C617">
            <v>34000000</v>
          </cell>
          <cell r="D617">
            <v>34000000</v>
          </cell>
          <cell r="E617">
            <v>34000000</v>
          </cell>
          <cell r="F617">
            <v>34000000</v>
          </cell>
          <cell r="G617">
            <v>34000000</v>
          </cell>
          <cell r="H617">
            <v>34000000</v>
          </cell>
          <cell r="I617" t="str">
            <v/>
          </cell>
          <cell r="J617" t="str">
            <v/>
          </cell>
          <cell r="K617" t="str">
            <v/>
          </cell>
          <cell r="L617" t="str">
            <v/>
          </cell>
        </row>
        <row r="618">
          <cell r="A618">
            <v>34000000</v>
          </cell>
          <cell r="C618">
            <v>34000000</v>
          </cell>
          <cell r="D618">
            <v>34000000</v>
          </cell>
          <cell r="E618">
            <v>34000000</v>
          </cell>
          <cell r="F618">
            <v>34000000</v>
          </cell>
          <cell r="G618">
            <v>34000000</v>
          </cell>
          <cell r="H618">
            <v>34000000</v>
          </cell>
          <cell r="I618" t="str">
            <v/>
          </cell>
          <cell r="J618" t="str">
            <v/>
          </cell>
          <cell r="K618" t="str">
            <v/>
          </cell>
          <cell r="L618" t="str">
            <v/>
          </cell>
        </row>
        <row r="619">
          <cell r="A619">
            <v>34000000</v>
          </cell>
          <cell r="C619">
            <v>34000000</v>
          </cell>
          <cell r="D619">
            <v>34000000</v>
          </cell>
          <cell r="E619">
            <v>34000000</v>
          </cell>
          <cell r="F619">
            <v>34000000</v>
          </cell>
          <cell r="G619">
            <v>34000000</v>
          </cell>
          <cell r="H619">
            <v>34000000</v>
          </cell>
          <cell r="I619" t="str">
            <v/>
          </cell>
          <cell r="J619" t="str">
            <v/>
          </cell>
          <cell r="K619" t="str">
            <v/>
          </cell>
          <cell r="L619" t="str">
            <v/>
          </cell>
        </row>
        <row r="620">
          <cell r="A620">
            <v>34000000</v>
          </cell>
          <cell r="C620">
            <v>34000000</v>
          </cell>
          <cell r="D620">
            <v>34000000</v>
          </cell>
          <cell r="E620">
            <v>34000000</v>
          </cell>
          <cell r="F620">
            <v>34000000</v>
          </cell>
          <cell r="G620">
            <v>34000000</v>
          </cell>
          <cell r="H620">
            <v>34000000</v>
          </cell>
          <cell r="I620" t="str">
            <v/>
          </cell>
          <cell r="J620" t="str">
            <v/>
          </cell>
          <cell r="K620" t="str">
            <v/>
          </cell>
          <cell r="L620" t="str">
            <v/>
          </cell>
        </row>
        <row r="621">
          <cell r="A621">
            <v>34000000</v>
          </cell>
          <cell r="C621">
            <v>34000000</v>
          </cell>
          <cell r="D621">
            <v>34000000</v>
          </cell>
          <cell r="E621">
            <v>34000000</v>
          </cell>
          <cell r="F621">
            <v>34000000</v>
          </cell>
          <cell r="G621">
            <v>34000000</v>
          </cell>
          <cell r="H621">
            <v>34000000</v>
          </cell>
          <cell r="I621" t="str">
            <v/>
          </cell>
          <cell r="J621" t="str">
            <v/>
          </cell>
          <cell r="K621" t="str">
            <v/>
          </cell>
          <cell r="L621" t="str">
            <v/>
          </cell>
        </row>
        <row r="622">
          <cell r="A622">
            <v>34000000</v>
          </cell>
          <cell r="C622">
            <v>34000000</v>
          </cell>
          <cell r="D622">
            <v>34000000</v>
          </cell>
          <cell r="E622">
            <v>34000000</v>
          </cell>
          <cell r="F622">
            <v>34000000</v>
          </cell>
          <cell r="G622">
            <v>34000000</v>
          </cell>
          <cell r="H622">
            <v>34000000</v>
          </cell>
          <cell r="I622" t="str">
            <v/>
          </cell>
          <cell r="J622" t="str">
            <v/>
          </cell>
          <cell r="K622" t="str">
            <v/>
          </cell>
          <cell r="L622" t="str">
            <v/>
          </cell>
        </row>
        <row r="623">
          <cell r="A623">
            <v>34000000</v>
          </cell>
          <cell r="C623">
            <v>34000000</v>
          </cell>
          <cell r="D623">
            <v>34000000</v>
          </cell>
          <cell r="E623">
            <v>34000000</v>
          </cell>
          <cell r="F623">
            <v>34000000</v>
          </cell>
          <cell r="G623">
            <v>34000000</v>
          </cell>
          <cell r="H623">
            <v>34000000</v>
          </cell>
          <cell r="I623" t="str">
            <v/>
          </cell>
          <cell r="J623" t="str">
            <v/>
          </cell>
          <cell r="K623" t="str">
            <v/>
          </cell>
          <cell r="L623" t="str">
            <v/>
          </cell>
        </row>
        <row r="624">
          <cell r="A624">
            <v>34000000</v>
          </cell>
          <cell r="C624">
            <v>34000000</v>
          </cell>
          <cell r="D624">
            <v>34000000</v>
          </cell>
          <cell r="E624">
            <v>34000000</v>
          </cell>
          <cell r="F624">
            <v>34000000</v>
          </cell>
          <cell r="G624">
            <v>34000000</v>
          </cell>
          <cell r="H624">
            <v>34000000</v>
          </cell>
          <cell r="I624" t="str">
            <v/>
          </cell>
          <cell r="J624" t="str">
            <v/>
          </cell>
          <cell r="K624" t="str">
            <v/>
          </cell>
          <cell r="L624" t="str">
            <v/>
          </cell>
        </row>
        <row r="625">
          <cell r="A625">
            <v>34000000</v>
          </cell>
          <cell r="C625">
            <v>34000000</v>
          </cell>
          <cell r="D625">
            <v>34000000</v>
          </cell>
          <cell r="E625">
            <v>34000000</v>
          </cell>
          <cell r="F625">
            <v>34000000</v>
          </cell>
          <cell r="G625">
            <v>34000000</v>
          </cell>
          <cell r="H625">
            <v>34000000</v>
          </cell>
          <cell r="I625" t="str">
            <v/>
          </cell>
          <cell r="J625" t="str">
            <v/>
          </cell>
          <cell r="K625" t="str">
            <v/>
          </cell>
          <cell r="L625" t="str">
            <v/>
          </cell>
        </row>
        <row r="626">
          <cell r="A626">
            <v>34000000</v>
          </cell>
          <cell r="C626">
            <v>34000000</v>
          </cell>
          <cell r="D626">
            <v>34000000</v>
          </cell>
          <cell r="E626">
            <v>34000000</v>
          </cell>
          <cell r="F626">
            <v>34000000</v>
          </cell>
          <cell r="G626">
            <v>34000000</v>
          </cell>
          <cell r="H626">
            <v>34000000</v>
          </cell>
          <cell r="I626" t="str">
            <v/>
          </cell>
          <cell r="J626" t="str">
            <v/>
          </cell>
          <cell r="K626" t="str">
            <v/>
          </cell>
          <cell r="L626" t="str">
            <v/>
          </cell>
        </row>
        <row r="627">
          <cell r="A627">
            <v>34000000</v>
          </cell>
          <cell r="C627">
            <v>34000000</v>
          </cell>
          <cell r="D627">
            <v>34000000</v>
          </cell>
          <cell r="E627">
            <v>34000000</v>
          </cell>
          <cell r="F627">
            <v>34000000</v>
          </cell>
          <cell r="G627">
            <v>34000000</v>
          </cell>
          <cell r="H627">
            <v>34000000</v>
          </cell>
          <cell r="I627" t="str">
            <v/>
          </cell>
          <cell r="J627" t="str">
            <v/>
          </cell>
          <cell r="K627" t="str">
            <v/>
          </cell>
          <cell r="L627" t="str">
            <v/>
          </cell>
        </row>
        <row r="628">
          <cell r="A628">
            <v>34000000</v>
          </cell>
          <cell r="C628">
            <v>34000000</v>
          </cell>
          <cell r="D628">
            <v>34000000</v>
          </cell>
          <cell r="E628">
            <v>34000000</v>
          </cell>
          <cell r="F628">
            <v>34000000</v>
          </cell>
          <cell r="G628">
            <v>34000000</v>
          </cell>
          <cell r="H628">
            <v>34000000</v>
          </cell>
          <cell r="I628" t="str">
            <v/>
          </cell>
          <cell r="J628" t="str">
            <v/>
          </cell>
          <cell r="K628" t="str">
            <v/>
          </cell>
          <cell r="L628" t="str">
            <v/>
          </cell>
        </row>
        <row r="629">
          <cell r="A629">
            <v>34000000</v>
          </cell>
          <cell r="C629">
            <v>34000000</v>
          </cell>
          <cell r="D629">
            <v>34000000</v>
          </cell>
          <cell r="E629">
            <v>34000000</v>
          </cell>
          <cell r="F629">
            <v>34000000</v>
          </cell>
          <cell r="G629">
            <v>34000000</v>
          </cell>
          <cell r="H629">
            <v>34000000</v>
          </cell>
          <cell r="I629" t="str">
            <v/>
          </cell>
          <cell r="J629" t="str">
            <v/>
          </cell>
          <cell r="K629" t="str">
            <v/>
          </cell>
          <cell r="L629" t="str">
            <v/>
          </cell>
        </row>
        <row r="630">
          <cell r="A630">
            <v>34000000</v>
          </cell>
          <cell r="C630">
            <v>34000000</v>
          </cell>
          <cell r="D630">
            <v>34000000</v>
          </cell>
          <cell r="E630">
            <v>34000000</v>
          </cell>
          <cell r="F630">
            <v>34000000</v>
          </cell>
          <cell r="G630">
            <v>34000000</v>
          </cell>
          <cell r="H630">
            <v>34000000</v>
          </cell>
          <cell r="I630" t="str">
            <v/>
          </cell>
          <cell r="J630" t="str">
            <v/>
          </cell>
          <cell r="K630" t="str">
            <v/>
          </cell>
          <cell r="L630" t="str">
            <v/>
          </cell>
        </row>
        <row r="631">
          <cell r="A631">
            <v>34000000</v>
          </cell>
          <cell r="C631">
            <v>34000000</v>
          </cell>
          <cell r="D631">
            <v>34000000</v>
          </cell>
          <cell r="E631">
            <v>34000000</v>
          </cell>
          <cell r="F631">
            <v>34000000</v>
          </cell>
          <cell r="G631">
            <v>34000000</v>
          </cell>
          <cell r="H631">
            <v>34000000</v>
          </cell>
          <cell r="I631" t="str">
            <v/>
          </cell>
          <cell r="J631" t="str">
            <v/>
          </cell>
          <cell r="K631" t="str">
            <v/>
          </cell>
          <cell r="L631" t="str">
            <v/>
          </cell>
        </row>
        <row r="632">
          <cell r="A632">
            <v>34000000</v>
          </cell>
          <cell r="C632">
            <v>34000000</v>
          </cell>
          <cell r="D632">
            <v>34000000</v>
          </cell>
          <cell r="E632">
            <v>34000000</v>
          </cell>
          <cell r="F632">
            <v>34000000</v>
          </cell>
          <cell r="G632">
            <v>34000000</v>
          </cell>
          <cell r="H632">
            <v>34000000</v>
          </cell>
          <cell r="I632" t="str">
            <v/>
          </cell>
          <cell r="J632" t="str">
            <v/>
          </cell>
          <cell r="K632" t="str">
            <v/>
          </cell>
          <cell r="L632" t="str">
            <v/>
          </cell>
        </row>
        <row r="633">
          <cell r="A633">
            <v>34000000</v>
          </cell>
          <cell r="C633">
            <v>34000000</v>
          </cell>
          <cell r="D633">
            <v>34000000</v>
          </cell>
          <cell r="E633">
            <v>34000000</v>
          </cell>
          <cell r="F633">
            <v>34000000</v>
          </cell>
          <cell r="G633">
            <v>34000000</v>
          </cell>
          <cell r="H633">
            <v>34000000</v>
          </cell>
          <cell r="I633" t="str">
            <v/>
          </cell>
          <cell r="J633" t="str">
            <v/>
          </cell>
          <cell r="K633" t="str">
            <v/>
          </cell>
          <cell r="L633" t="str">
            <v/>
          </cell>
        </row>
        <row r="634">
          <cell r="A634">
            <v>34000000</v>
          </cell>
          <cell r="C634">
            <v>34000000</v>
          </cell>
          <cell r="D634">
            <v>34000000</v>
          </cell>
          <cell r="E634">
            <v>34000000</v>
          </cell>
          <cell r="F634">
            <v>34000000</v>
          </cell>
          <cell r="G634">
            <v>34000000</v>
          </cell>
          <cell r="H634">
            <v>34000000</v>
          </cell>
          <cell r="I634" t="str">
            <v/>
          </cell>
          <cell r="J634" t="str">
            <v/>
          </cell>
          <cell r="K634" t="str">
            <v/>
          </cell>
          <cell r="L634" t="str">
            <v/>
          </cell>
        </row>
        <row r="635">
          <cell r="A635">
            <v>34000000</v>
          </cell>
          <cell r="C635">
            <v>34000000</v>
          </cell>
          <cell r="D635">
            <v>34000000</v>
          </cell>
          <cell r="E635">
            <v>34000000</v>
          </cell>
          <cell r="F635">
            <v>34000000</v>
          </cell>
          <cell r="G635">
            <v>34000000</v>
          </cell>
          <cell r="H635">
            <v>34000000</v>
          </cell>
          <cell r="I635" t="str">
            <v/>
          </cell>
          <cell r="J635" t="str">
            <v/>
          </cell>
          <cell r="K635" t="str">
            <v/>
          </cell>
          <cell r="L635" t="str">
            <v/>
          </cell>
        </row>
        <row r="636">
          <cell r="A636">
            <v>34000000</v>
          </cell>
          <cell r="C636">
            <v>34000000</v>
          </cell>
          <cell r="D636">
            <v>34000000</v>
          </cell>
          <cell r="E636">
            <v>34000000</v>
          </cell>
          <cell r="F636">
            <v>34000000</v>
          </cell>
          <cell r="G636">
            <v>34000000</v>
          </cell>
          <cell r="H636">
            <v>34000000</v>
          </cell>
          <cell r="I636" t="str">
            <v/>
          </cell>
          <cell r="J636" t="str">
            <v/>
          </cell>
          <cell r="K636" t="str">
            <v/>
          </cell>
          <cell r="L636" t="str">
            <v/>
          </cell>
        </row>
        <row r="637">
          <cell r="A637">
            <v>34000000</v>
          </cell>
          <cell r="C637">
            <v>34000000</v>
          </cell>
          <cell r="D637">
            <v>34000000</v>
          </cell>
          <cell r="E637">
            <v>34000000</v>
          </cell>
          <cell r="F637">
            <v>34000000</v>
          </cell>
          <cell r="G637">
            <v>34000000</v>
          </cell>
          <cell r="H637">
            <v>34000000</v>
          </cell>
          <cell r="I637" t="str">
            <v/>
          </cell>
          <cell r="J637" t="str">
            <v/>
          </cell>
          <cell r="K637" t="str">
            <v/>
          </cell>
          <cell r="L637" t="str">
            <v/>
          </cell>
        </row>
        <row r="638">
          <cell r="A638">
            <v>34000000</v>
          </cell>
          <cell r="C638">
            <v>34000000</v>
          </cell>
          <cell r="D638">
            <v>34000000</v>
          </cell>
          <cell r="E638">
            <v>34000000</v>
          </cell>
          <cell r="F638">
            <v>34000000</v>
          </cell>
          <cell r="G638">
            <v>34000000</v>
          </cell>
          <cell r="H638">
            <v>34000000</v>
          </cell>
          <cell r="I638" t="str">
            <v/>
          </cell>
          <cell r="J638" t="str">
            <v/>
          </cell>
          <cell r="K638" t="str">
            <v/>
          </cell>
          <cell r="L638" t="str">
            <v/>
          </cell>
        </row>
        <row r="639">
          <cell r="A639">
            <v>34000000</v>
          </cell>
          <cell r="C639">
            <v>34000000</v>
          </cell>
          <cell r="D639">
            <v>34000000</v>
          </cell>
          <cell r="E639">
            <v>34000000</v>
          </cell>
          <cell r="F639">
            <v>34000000</v>
          </cell>
          <cell r="G639">
            <v>34000000</v>
          </cell>
          <cell r="H639">
            <v>34000000</v>
          </cell>
          <cell r="I639" t="str">
            <v/>
          </cell>
          <cell r="J639" t="str">
            <v/>
          </cell>
          <cell r="K639" t="str">
            <v/>
          </cell>
          <cell r="L639" t="str">
            <v/>
          </cell>
        </row>
        <row r="640">
          <cell r="A640">
            <v>34000000</v>
          </cell>
          <cell r="C640">
            <v>34000000</v>
          </cell>
          <cell r="D640">
            <v>34000000</v>
          </cell>
          <cell r="E640">
            <v>34000000</v>
          </cell>
          <cell r="F640">
            <v>34000000</v>
          </cell>
          <cell r="G640">
            <v>34000000</v>
          </cell>
          <cell r="H640">
            <v>34000000</v>
          </cell>
          <cell r="I640" t="str">
            <v/>
          </cell>
          <cell r="J640" t="str">
            <v/>
          </cell>
          <cell r="K640" t="str">
            <v/>
          </cell>
          <cell r="L640" t="str">
            <v/>
          </cell>
        </row>
        <row r="641">
          <cell r="A641">
            <v>34000000</v>
          </cell>
          <cell r="C641">
            <v>34000000</v>
          </cell>
          <cell r="D641">
            <v>34000000</v>
          </cell>
          <cell r="E641">
            <v>34000000</v>
          </cell>
          <cell r="F641">
            <v>34000000</v>
          </cell>
          <cell r="G641">
            <v>34000000</v>
          </cell>
          <cell r="H641">
            <v>34000000</v>
          </cell>
          <cell r="I641" t="str">
            <v/>
          </cell>
          <cell r="J641" t="str">
            <v/>
          </cell>
          <cell r="K641" t="str">
            <v/>
          </cell>
          <cell r="L641" t="str">
            <v/>
          </cell>
        </row>
        <row r="642">
          <cell r="A642">
            <v>34000000</v>
          </cell>
          <cell r="C642">
            <v>34000000</v>
          </cell>
          <cell r="D642">
            <v>34000000</v>
          </cell>
          <cell r="E642">
            <v>34000000</v>
          </cell>
          <cell r="F642">
            <v>34000000</v>
          </cell>
          <cell r="G642">
            <v>34000000</v>
          </cell>
          <cell r="H642">
            <v>34000000</v>
          </cell>
          <cell r="I642" t="str">
            <v/>
          </cell>
          <cell r="J642" t="str">
            <v/>
          </cell>
          <cell r="K642" t="str">
            <v/>
          </cell>
          <cell r="L642" t="str">
            <v/>
          </cell>
        </row>
        <row r="643">
          <cell r="A643">
            <v>34000000</v>
          </cell>
          <cell r="C643">
            <v>34000000</v>
          </cell>
          <cell r="D643">
            <v>34000000</v>
          </cell>
          <cell r="E643">
            <v>34000000</v>
          </cell>
          <cell r="F643">
            <v>34000000</v>
          </cell>
          <cell r="G643">
            <v>34000000</v>
          </cell>
          <cell r="H643">
            <v>34000000</v>
          </cell>
          <cell r="I643" t="str">
            <v/>
          </cell>
          <cell r="J643" t="str">
            <v/>
          </cell>
          <cell r="K643" t="str">
            <v/>
          </cell>
          <cell r="L643" t="str">
            <v/>
          </cell>
        </row>
        <row r="644">
          <cell r="A644">
            <v>34000000</v>
          </cell>
          <cell r="C644">
            <v>34000000</v>
          </cell>
          <cell r="D644">
            <v>34000000</v>
          </cell>
          <cell r="E644">
            <v>34000000</v>
          </cell>
          <cell r="F644">
            <v>34000000</v>
          </cell>
          <cell r="G644">
            <v>34000000</v>
          </cell>
          <cell r="H644">
            <v>34000000</v>
          </cell>
          <cell r="I644" t="str">
            <v/>
          </cell>
          <cell r="J644" t="str">
            <v/>
          </cell>
          <cell r="K644" t="str">
            <v/>
          </cell>
          <cell r="L644" t="str">
            <v/>
          </cell>
        </row>
        <row r="645">
          <cell r="A645">
            <v>34000000</v>
          </cell>
          <cell r="C645">
            <v>34000000</v>
          </cell>
          <cell r="D645">
            <v>34000000</v>
          </cell>
          <cell r="E645">
            <v>34000000</v>
          </cell>
          <cell r="F645">
            <v>34000000</v>
          </cell>
          <cell r="G645">
            <v>34000000</v>
          </cell>
          <cell r="H645">
            <v>34000000</v>
          </cell>
          <cell r="I645" t="str">
            <v/>
          </cell>
          <cell r="J645" t="str">
            <v/>
          </cell>
          <cell r="K645" t="str">
            <v/>
          </cell>
          <cell r="L645" t="str">
            <v/>
          </cell>
        </row>
        <row r="646">
          <cell r="A646">
            <v>34000000</v>
          </cell>
          <cell r="C646">
            <v>34000000</v>
          </cell>
          <cell r="D646">
            <v>34000000</v>
          </cell>
          <cell r="E646">
            <v>34000000</v>
          </cell>
          <cell r="F646">
            <v>34000000</v>
          </cell>
          <cell r="G646">
            <v>34000000</v>
          </cell>
          <cell r="H646">
            <v>34000000</v>
          </cell>
          <cell r="I646" t="str">
            <v/>
          </cell>
          <cell r="J646" t="str">
            <v/>
          </cell>
          <cell r="K646" t="str">
            <v/>
          </cell>
          <cell r="L646" t="str">
            <v/>
          </cell>
        </row>
        <row r="647">
          <cell r="A647">
            <v>34000000</v>
          </cell>
          <cell r="C647">
            <v>34000000</v>
          </cell>
          <cell r="D647">
            <v>34000000</v>
          </cell>
          <cell r="E647">
            <v>34000000</v>
          </cell>
          <cell r="F647">
            <v>34000000</v>
          </cell>
          <cell r="G647">
            <v>34000000</v>
          </cell>
          <cell r="H647">
            <v>34000000</v>
          </cell>
          <cell r="I647" t="str">
            <v/>
          </cell>
          <cell r="J647" t="str">
            <v/>
          </cell>
          <cell r="K647" t="str">
            <v/>
          </cell>
          <cell r="L647" t="str">
            <v/>
          </cell>
        </row>
        <row r="648">
          <cell r="A648">
            <v>34000000</v>
          </cell>
          <cell r="C648">
            <v>34000000</v>
          </cell>
          <cell r="D648">
            <v>34000000</v>
          </cell>
          <cell r="E648">
            <v>34000000</v>
          </cell>
          <cell r="F648">
            <v>34000000</v>
          </cell>
          <cell r="G648">
            <v>34000000</v>
          </cell>
          <cell r="H648">
            <v>34000000</v>
          </cell>
          <cell r="I648" t="str">
            <v/>
          </cell>
          <cell r="J648" t="str">
            <v/>
          </cell>
          <cell r="K648" t="str">
            <v/>
          </cell>
          <cell r="L648" t="str">
            <v/>
          </cell>
        </row>
        <row r="649">
          <cell r="A649">
            <v>34000000</v>
          </cell>
          <cell r="C649">
            <v>34000000</v>
          </cell>
          <cell r="D649">
            <v>34000000</v>
          </cell>
          <cell r="E649">
            <v>34000000</v>
          </cell>
          <cell r="F649">
            <v>34000000</v>
          </cell>
          <cell r="G649">
            <v>34000000</v>
          </cell>
          <cell r="H649">
            <v>34000000</v>
          </cell>
          <cell r="I649" t="str">
            <v/>
          </cell>
          <cell r="J649" t="str">
            <v/>
          </cell>
          <cell r="K649" t="str">
            <v/>
          </cell>
          <cell r="L649" t="str">
            <v/>
          </cell>
        </row>
        <row r="650">
          <cell r="A650">
            <v>34000000</v>
          </cell>
          <cell r="C650">
            <v>34000000</v>
          </cell>
          <cell r="D650">
            <v>34000000</v>
          </cell>
          <cell r="E650">
            <v>34000000</v>
          </cell>
          <cell r="F650">
            <v>34000000</v>
          </cell>
          <cell r="G650">
            <v>34000000</v>
          </cell>
          <cell r="H650">
            <v>34000000</v>
          </cell>
          <cell r="I650" t="str">
            <v/>
          </cell>
          <cell r="J650" t="str">
            <v/>
          </cell>
          <cell r="K650" t="str">
            <v/>
          </cell>
          <cell r="L650" t="str">
            <v/>
          </cell>
        </row>
        <row r="651">
          <cell r="A651">
            <v>34000000</v>
          </cell>
          <cell r="C651">
            <v>34000000</v>
          </cell>
          <cell r="D651">
            <v>34000000</v>
          </cell>
          <cell r="E651">
            <v>34000000</v>
          </cell>
          <cell r="F651">
            <v>34000000</v>
          </cell>
          <cell r="G651">
            <v>34000000</v>
          </cell>
          <cell r="H651">
            <v>34000000</v>
          </cell>
          <cell r="I651" t="str">
            <v/>
          </cell>
          <cell r="J651" t="str">
            <v/>
          </cell>
          <cell r="K651" t="str">
            <v/>
          </cell>
          <cell r="L651" t="str">
            <v/>
          </cell>
        </row>
        <row r="652">
          <cell r="A652">
            <v>34000000</v>
          </cell>
          <cell r="C652">
            <v>34000000</v>
          </cell>
          <cell r="D652">
            <v>34000000</v>
          </cell>
          <cell r="E652">
            <v>34000000</v>
          </cell>
          <cell r="F652">
            <v>34000000</v>
          </cell>
          <cell r="G652">
            <v>34000000</v>
          </cell>
          <cell r="H652">
            <v>34000000</v>
          </cell>
          <cell r="I652" t="str">
            <v/>
          </cell>
          <cell r="J652" t="str">
            <v/>
          </cell>
          <cell r="K652" t="str">
            <v/>
          </cell>
          <cell r="L652" t="str">
            <v/>
          </cell>
        </row>
        <row r="653">
          <cell r="A653">
            <v>34000000</v>
          </cell>
          <cell r="C653">
            <v>34000000</v>
          </cell>
          <cell r="D653">
            <v>34000000</v>
          </cell>
          <cell r="E653">
            <v>34000000</v>
          </cell>
          <cell r="F653">
            <v>34000000</v>
          </cell>
          <cell r="G653">
            <v>34000000</v>
          </cell>
          <cell r="H653">
            <v>34000000</v>
          </cell>
          <cell r="I653" t="str">
            <v/>
          </cell>
          <cell r="J653" t="str">
            <v/>
          </cell>
          <cell r="K653" t="str">
            <v/>
          </cell>
          <cell r="L653" t="str">
            <v/>
          </cell>
        </row>
        <row r="654">
          <cell r="A654">
            <v>34000000</v>
          </cell>
          <cell r="C654">
            <v>34000000</v>
          </cell>
          <cell r="D654">
            <v>34000000</v>
          </cell>
          <cell r="E654">
            <v>34000000</v>
          </cell>
          <cell r="F654">
            <v>34000000</v>
          </cell>
          <cell r="G654">
            <v>34000000</v>
          </cell>
          <cell r="H654">
            <v>34000000</v>
          </cell>
          <cell r="I654" t="str">
            <v/>
          </cell>
          <cell r="J654" t="str">
            <v/>
          </cell>
          <cell r="K654" t="str">
            <v/>
          </cell>
          <cell r="L654" t="str">
            <v/>
          </cell>
        </row>
        <row r="655">
          <cell r="A655">
            <v>34000000</v>
          </cell>
          <cell r="C655">
            <v>34000000</v>
          </cell>
          <cell r="D655">
            <v>34000000</v>
          </cell>
          <cell r="E655">
            <v>34000000</v>
          </cell>
          <cell r="F655">
            <v>34000000</v>
          </cell>
          <cell r="G655">
            <v>34000000</v>
          </cell>
          <cell r="H655">
            <v>34000000</v>
          </cell>
          <cell r="I655" t="str">
            <v/>
          </cell>
          <cell r="J655" t="str">
            <v/>
          </cell>
          <cell r="K655" t="str">
            <v/>
          </cell>
          <cell r="L655" t="str">
            <v/>
          </cell>
        </row>
        <row r="656">
          <cell r="A656">
            <v>34000000</v>
          </cell>
          <cell r="C656">
            <v>34000000</v>
          </cell>
          <cell r="D656">
            <v>34000000</v>
          </cell>
          <cell r="E656">
            <v>34000000</v>
          </cell>
          <cell r="F656">
            <v>34000000</v>
          </cell>
          <cell r="G656">
            <v>34000000</v>
          </cell>
          <cell r="H656">
            <v>34000000</v>
          </cell>
          <cell r="I656" t="str">
            <v/>
          </cell>
          <cell r="J656" t="str">
            <v/>
          </cell>
          <cell r="K656" t="str">
            <v/>
          </cell>
          <cell r="L656" t="str">
            <v/>
          </cell>
        </row>
        <row r="657">
          <cell r="A657">
            <v>34000000</v>
          </cell>
          <cell r="C657">
            <v>34000000</v>
          </cell>
          <cell r="D657">
            <v>34000000</v>
          </cell>
          <cell r="E657">
            <v>34000000</v>
          </cell>
          <cell r="F657">
            <v>34000000</v>
          </cell>
          <cell r="G657">
            <v>34000000</v>
          </cell>
          <cell r="H657">
            <v>34000000</v>
          </cell>
          <cell r="I657" t="str">
            <v/>
          </cell>
          <cell r="J657" t="str">
            <v/>
          </cell>
          <cell r="K657" t="str">
            <v/>
          </cell>
          <cell r="L657" t="str">
            <v/>
          </cell>
        </row>
        <row r="658">
          <cell r="A658">
            <v>34000000</v>
          </cell>
          <cell r="C658">
            <v>34000000</v>
          </cell>
          <cell r="D658">
            <v>34000000</v>
          </cell>
          <cell r="E658">
            <v>34000000</v>
          </cell>
          <cell r="F658">
            <v>34000000</v>
          </cell>
          <cell r="G658">
            <v>34000000</v>
          </cell>
          <cell r="H658">
            <v>34000000</v>
          </cell>
          <cell r="I658" t="str">
            <v/>
          </cell>
          <cell r="J658" t="str">
            <v/>
          </cell>
          <cell r="K658" t="str">
            <v/>
          </cell>
          <cell r="L658" t="str">
            <v/>
          </cell>
        </row>
        <row r="659">
          <cell r="A659">
            <v>34000000</v>
          </cell>
          <cell r="C659">
            <v>34000000</v>
          </cell>
          <cell r="D659">
            <v>34000000</v>
          </cell>
          <cell r="E659">
            <v>34000000</v>
          </cell>
          <cell r="F659">
            <v>34000000</v>
          </cell>
          <cell r="G659">
            <v>34000000</v>
          </cell>
          <cell r="H659">
            <v>34000000</v>
          </cell>
          <cell r="I659" t="str">
            <v/>
          </cell>
          <cell r="J659" t="str">
            <v/>
          </cell>
          <cell r="K659" t="str">
            <v/>
          </cell>
          <cell r="L659" t="str">
            <v/>
          </cell>
        </row>
        <row r="660">
          <cell r="A660">
            <v>34000000</v>
          </cell>
          <cell r="C660">
            <v>34000000</v>
          </cell>
          <cell r="D660">
            <v>34000000</v>
          </cell>
          <cell r="E660">
            <v>34000000</v>
          </cell>
          <cell r="F660">
            <v>34000000</v>
          </cell>
          <cell r="G660">
            <v>34000000</v>
          </cell>
          <cell r="H660">
            <v>34000000</v>
          </cell>
          <cell r="I660" t="str">
            <v/>
          </cell>
          <cell r="J660" t="str">
            <v/>
          </cell>
          <cell r="K660" t="str">
            <v/>
          </cell>
          <cell r="L660" t="str">
            <v/>
          </cell>
        </row>
        <row r="661">
          <cell r="A661">
            <v>34000000</v>
          </cell>
          <cell r="C661">
            <v>34000000</v>
          </cell>
          <cell r="D661">
            <v>34000000</v>
          </cell>
          <cell r="E661">
            <v>34000000</v>
          </cell>
          <cell r="F661">
            <v>34000000</v>
          </cell>
          <cell r="G661">
            <v>34000000</v>
          </cell>
          <cell r="H661">
            <v>34000000</v>
          </cell>
          <cell r="I661" t="str">
            <v/>
          </cell>
          <cell r="J661" t="str">
            <v/>
          </cell>
          <cell r="K661" t="str">
            <v/>
          </cell>
          <cell r="L661" t="str">
            <v/>
          </cell>
        </row>
        <row r="662">
          <cell r="A662">
            <v>34000000</v>
          </cell>
          <cell r="C662">
            <v>34000000</v>
          </cell>
          <cell r="D662">
            <v>34000000</v>
          </cell>
          <cell r="E662">
            <v>34000000</v>
          </cell>
          <cell r="F662">
            <v>34000000</v>
          </cell>
          <cell r="G662">
            <v>34000000</v>
          </cell>
          <cell r="H662">
            <v>34000000</v>
          </cell>
          <cell r="I662" t="str">
            <v/>
          </cell>
          <cell r="J662" t="str">
            <v/>
          </cell>
          <cell r="K662" t="str">
            <v/>
          </cell>
          <cell r="L662" t="str">
            <v/>
          </cell>
        </row>
        <row r="663">
          <cell r="A663">
            <v>34000000</v>
          </cell>
          <cell r="C663">
            <v>34000000</v>
          </cell>
          <cell r="D663">
            <v>34000000</v>
          </cell>
          <cell r="E663">
            <v>34000000</v>
          </cell>
          <cell r="F663">
            <v>34000000</v>
          </cell>
          <cell r="G663">
            <v>34000000</v>
          </cell>
          <cell r="H663">
            <v>34000000</v>
          </cell>
          <cell r="I663" t="str">
            <v/>
          </cell>
          <cell r="J663" t="str">
            <v/>
          </cell>
          <cell r="K663" t="str">
            <v/>
          </cell>
          <cell r="L663" t="str">
            <v/>
          </cell>
        </row>
        <row r="664">
          <cell r="A664">
            <v>34000000</v>
          </cell>
          <cell r="C664">
            <v>34000000</v>
          </cell>
          <cell r="D664">
            <v>34000000</v>
          </cell>
          <cell r="E664">
            <v>34000000</v>
          </cell>
          <cell r="F664">
            <v>34000000</v>
          </cell>
          <cell r="G664">
            <v>34000000</v>
          </cell>
          <cell r="H664">
            <v>34000000</v>
          </cell>
          <cell r="I664" t="str">
            <v/>
          </cell>
          <cell r="J664" t="str">
            <v/>
          </cell>
          <cell r="K664" t="str">
            <v/>
          </cell>
          <cell r="L664" t="str">
            <v/>
          </cell>
        </row>
        <row r="665">
          <cell r="A665">
            <v>34000000</v>
          </cell>
          <cell r="C665">
            <v>34000000</v>
          </cell>
          <cell r="D665">
            <v>34000000</v>
          </cell>
          <cell r="E665">
            <v>34000000</v>
          </cell>
          <cell r="F665">
            <v>34000000</v>
          </cell>
          <cell r="G665">
            <v>34000000</v>
          </cell>
          <cell r="H665">
            <v>34000000</v>
          </cell>
          <cell r="I665" t="str">
            <v/>
          </cell>
          <cell r="J665" t="str">
            <v/>
          </cell>
          <cell r="K665" t="str">
            <v/>
          </cell>
          <cell r="L665" t="str">
            <v/>
          </cell>
        </row>
        <row r="666">
          <cell r="A666">
            <v>34000000</v>
          </cell>
          <cell r="C666">
            <v>34000000</v>
          </cell>
          <cell r="D666">
            <v>34000000</v>
          </cell>
          <cell r="E666">
            <v>34000000</v>
          </cell>
          <cell r="F666">
            <v>34000000</v>
          </cell>
          <cell r="G666">
            <v>34000000</v>
          </cell>
          <cell r="H666">
            <v>34000000</v>
          </cell>
          <cell r="I666" t="str">
            <v/>
          </cell>
          <cell r="J666" t="str">
            <v/>
          </cell>
          <cell r="K666" t="str">
            <v/>
          </cell>
          <cell r="L666" t="str">
            <v/>
          </cell>
        </row>
        <row r="667">
          <cell r="A667">
            <v>34000000</v>
          </cell>
          <cell r="C667">
            <v>34000000</v>
          </cell>
          <cell r="D667">
            <v>34000000</v>
          </cell>
          <cell r="E667">
            <v>34000000</v>
          </cell>
          <cell r="F667">
            <v>34000000</v>
          </cell>
          <cell r="G667">
            <v>34000000</v>
          </cell>
          <cell r="H667">
            <v>34000000</v>
          </cell>
          <cell r="I667" t="str">
            <v/>
          </cell>
          <cell r="J667" t="str">
            <v/>
          </cell>
          <cell r="K667" t="str">
            <v/>
          </cell>
          <cell r="L667" t="str">
            <v/>
          </cell>
        </row>
        <row r="668">
          <cell r="A668">
            <v>34000000</v>
          </cell>
          <cell r="C668">
            <v>34000000</v>
          </cell>
          <cell r="D668">
            <v>34000000</v>
          </cell>
          <cell r="E668">
            <v>34000000</v>
          </cell>
          <cell r="F668">
            <v>34000000</v>
          </cell>
          <cell r="G668">
            <v>34000000</v>
          </cell>
          <cell r="H668">
            <v>34000000</v>
          </cell>
          <cell r="I668" t="str">
            <v/>
          </cell>
          <cell r="J668" t="str">
            <v/>
          </cell>
          <cell r="K668" t="str">
            <v/>
          </cell>
          <cell r="L668" t="str">
            <v/>
          </cell>
        </row>
        <row r="669">
          <cell r="A669">
            <v>34000000</v>
          </cell>
          <cell r="C669">
            <v>34000000</v>
          </cell>
          <cell r="D669">
            <v>34000000</v>
          </cell>
          <cell r="E669">
            <v>34000000</v>
          </cell>
          <cell r="F669">
            <v>34000000</v>
          </cell>
          <cell r="G669">
            <v>34000000</v>
          </cell>
          <cell r="H669">
            <v>34000000</v>
          </cell>
          <cell r="I669" t="str">
            <v/>
          </cell>
          <cell r="J669" t="str">
            <v/>
          </cell>
          <cell r="K669" t="str">
            <v/>
          </cell>
          <cell r="L669" t="str">
            <v/>
          </cell>
        </row>
        <row r="670">
          <cell r="A670">
            <v>34000000</v>
          </cell>
          <cell r="C670">
            <v>34000000</v>
          </cell>
          <cell r="D670">
            <v>34000000</v>
          </cell>
          <cell r="E670">
            <v>34000000</v>
          </cell>
          <cell r="F670">
            <v>34000000</v>
          </cell>
          <cell r="G670">
            <v>34000000</v>
          </cell>
          <cell r="H670">
            <v>34000000</v>
          </cell>
          <cell r="I670" t="str">
            <v/>
          </cell>
          <cell r="J670" t="str">
            <v/>
          </cell>
          <cell r="K670" t="str">
            <v/>
          </cell>
          <cell r="L670" t="str">
            <v/>
          </cell>
        </row>
        <row r="671">
          <cell r="A671">
            <v>34000000</v>
          </cell>
          <cell r="C671">
            <v>34000000</v>
          </cell>
          <cell r="D671">
            <v>34000000</v>
          </cell>
          <cell r="E671">
            <v>34000000</v>
          </cell>
          <cell r="F671">
            <v>34000000</v>
          </cell>
          <cell r="G671">
            <v>34000000</v>
          </cell>
          <cell r="H671">
            <v>34000000</v>
          </cell>
          <cell r="I671" t="str">
            <v/>
          </cell>
          <cell r="J671" t="str">
            <v/>
          </cell>
          <cell r="K671" t="str">
            <v/>
          </cell>
          <cell r="L671" t="str">
            <v/>
          </cell>
        </row>
        <row r="672">
          <cell r="A672">
            <v>34000000</v>
          </cell>
          <cell r="C672">
            <v>34000000</v>
          </cell>
          <cell r="D672">
            <v>34000000</v>
          </cell>
          <cell r="E672">
            <v>34000000</v>
          </cell>
          <cell r="F672">
            <v>34000000</v>
          </cell>
          <cell r="G672">
            <v>34000000</v>
          </cell>
          <cell r="H672">
            <v>34000000</v>
          </cell>
          <cell r="I672" t="str">
            <v/>
          </cell>
          <cell r="J672" t="str">
            <v/>
          </cell>
          <cell r="K672" t="str">
            <v/>
          </cell>
          <cell r="L672" t="str">
            <v/>
          </cell>
        </row>
        <row r="673">
          <cell r="A673">
            <v>34000000</v>
          </cell>
          <cell r="C673">
            <v>34000000</v>
          </cell>
          <cell r="D673">
            <v>34000000</v>
          </cell>
          <cell r="E673">
            <v>34000000</v>
          </cell>
          <cell r="F673">
            <v>34000000</v>
          </cell>
          <cell r="G673">
            <v>34000000</v>
          </cell>
          <cell r="H673">
            <v>34000000</v>
          </cell>
          <cell r="I673" t="str">
            <v/>
          </cell>
          <cell r="J673" t="str">
            <v/>
          </cell>
          <cell r="K673" t="str">
            <v/>
          </cell>
          <cell r="L673" t="str">
            <v/>
          </cell>
        </row>
        <row r="674">
          <cell r="A674">
            <v>34000000</v>
          </cell>
          <cell r="C674">
            <v>34000000</v>
          </cell>
          <cell r="D674">
            <v>34000000</v>
          </cell>
          <cell r="E674">
            <v>34000000</v>
          </cell>
          <cell r="F674">
            <v>34000000</v>
          </cell>
          <cell r="G674">
            <v>34000000</v>
          </cell>
          <cell r="H674">
            <v>34000000</v>
          </cell>
          <cell r="I674" t="str">
            <v/>
          </cell>
          <cell r="J674" t="str">
            <v/>
          </cell>
          <cell r="K674" t="str">
            <v/>
          </cell>
          <cell r="L674" t="str">
            <v/>
          </cell>
        </row>
        <row r="675">
          <cell r="A675">
            <v>34000000</v>
          </cell>
          <cell r="C675">
            <v>34000000</v>
          </cell>
          <cell r="D675">
            <v>34000000</v>
          </cell>
          <cell r="E675">
            <v>34000000</v>
          </cell>
          <cell r="F675">
            <v>34000000</v>
          </cell>
          <cell r="G675">
            <v>34000000</v>
          </cell>
          <cell r="H675">
            <v>34000000</v>
          </cell>
          <cell r="I675" t="str">
            <v/>
          </cell>
          <cell r="J675" t="str">
            <v/>
          </cell>
          <cell r="K675" t="str">
            <v/>
          </cell>
          <cell r="L675" t="str">
            <v/>
          </cell>
        </row>
        <row r="676">
          <cell r="A676">
            <v>34000000</v>
          </cell>
          <cell r="C676">
            <v>34000000</v>
          </cell>
          <cell r="D676">
            <v>34000000</v>
          </cell>
          <cell r="E676">
            <v>34000000</v>
          </cell>
          <cell r="F676">
            <v>34000000</v>
          </cell>
          <cell r="G676">
            <v>34000000</v>
          </cell>
          <cell r="H676">
            <v>34000000</v>
          </cell>
          <cell r="I676" t="str">
            <v/>
          </cell>
          <cell r="J676" t="str">
            <v/>
          </cell>
          <cell r="K676" t="str">
            <v/>
          </cell>
          <cell r="L676" t="str">
            <v/>
          </cell>
        </row>
        <row r="677">
          <cell r="A677">
            <v>34000000</v>
          </cell>
          <cell r="C677">
            <v>34000000</v>
          </cell>
          <cell r="D677">
            <v>34000000</v>
          </cell>
          <cell r="E677">
            <v>34000000</v>
          </cell>
          <cell r="F677">
            <v>34000000</v>
          </cell>
          <cell r="G677">
            <v>34000000</v>
          </cell>
          <cell r="H677">
            <v>34000000</v>
          </cell>
          <cell r="I677" t="str">
            <v/>
          </cell>
          <cell r="J677" t="str">
            <v/>
          </cell>
          <cell r="K677" t="str">
            <v/>
          </cell>
          <cell r="L677" t="str">
            <v/>
          </cell>
        </row>
        <row r="678">
          <cell r="A678">
            <v>34000000</v>
          </cell>
          <cell r="C678">
            <v>34000000</v>
          </cell>
          <cell r="D678">
            <v>34000000</v>
          </cell>
          <cell r="E678">
            <v>34000000</v>
          </cell>
          <cell r="F678">
            <v>34000000</v>
          </cell>
          <cell r="G678">
            <v>34000000</v>
          </cell>
          <cell r="H678">
            <v>34000000</v>
          </cell>
          <cell r="I678" t="str">
            <v/>
          </cell>
          <cell r="J678" t="str">
            <v/>
          </cell>
          <cell r="K678" t="str">
            <v/>
          </cell>
          <cell r="L678" t="str">
            <v/>
          </cell>
        </row>
        <row r="679">
          <cell r="A679">
            <v>34000000</v>
          </cell>
          <cell r="C679">
            <v>34000000</v>
          </cell>
          <cell r="D679">
            <v>34000000</v>
          </cell>
          <cell r="E679">
            <v>34000000</v>
          </cell>
          <cell r="F679">
            <v>34000000</v>
          </cell>
          <cell r="G679">
            <v>34000000</v>
          </cell>
          <cell r="H679">
            <v>34000000</v>
          </cell>
          <cell r="I679" t="str">
            <v/>
          </cell>
          <cell r="J679" t="str">
            <v/>
          </cell>
          <cell r="K679" t="str">
            <v/>
          </cell>
          <cell r="L679" t="str">
            <v/>
          </cell>
        </row>
        <row r="680">
          <cell r="A680">
            <v>34000000</v>
          </cell>
          <cell r="C680">
            <v>34000000</v>
          </cell>
          <cell r="D680">
            <v>34000000</v>
          </cell>
          <cell r="E680">
            <v>34000000</v>
          </cell>
          <cell r="F680">
            <v>34000000</v>
          </cell>
          <cell r="G680">
            <v>34000000</v>
          </cell>
          <cell r="H680">
            <v>34000000</v>
          </cell>
          <cell r="I680" t="str">
            <v/>
          </cell>
          <cell r="J680" t="str">
            <v/>
          </cell>
          <cell r="K680" t="str">
            <v/>
          </cell>
          <cell r="L680" t="str">
            <v/>
          </cell>
        </row>
        <row r="681">
          <cell r="A681">
            <v>34000000</v>
          </cell>
          <cell r="C681">
            <v>34000000</v>
          </cell>
          <cell r="D681">
            <v>34000000</v>
          </cell>
          <cell r="E681">
            <v>34000000</v>
          </cell>
          <cell r="F681">
            <v>34000000</v>
          </cell>
          <cell r="G681">
            <v>34000000</v>
          </cell>
          <cell r="H681">
            <v>34000000</v>
          </cell>
          <cell r="I681" t="str">
            <v/>
          </cell>
          <cell r="J681" t="str">
            <v/>
          </cell>
          <cell r="K681" t="str">
            <v/>
          </cell>
          <cell r="L681" t="str">
            <v/>
          </cell>
        </row>
        <row r="682">
          <cell r="A682">
            <v>34000000</v>
          </cell>
          <cell r="C682">
            <v>34000000</v>
          </cell>
          <cell r="D682">
            <v>34000000</v>
          </cell>
          <cell r="E682">
            <v>34000000</v>
          </cell>
          <cell r="F682">
            <v>34000000</v>
          </cell>
          <cell r="G682">
            <v>34000000</v>
          </cell>
          <cell r="H682">
            <v>34000000</v>
          </cell>
          <cell r="I682" t="str">
            <v/>
          </cell>
          <cell r="J682" t="str">
            <v/>
          </cell>
          <cell r="K682" t="str">
            <v/>
          </cell>
          <cell r="L682" t="str">
            <v/>
          </cell>
        </row>
        <row r="683">
          <cell r="A683">
            <v>34000000</v>
          </cell>
          <cell r="C683">
            <v>34000000</v>
          </cell>
          <cell r="D683">
            <v>34000000</v>
          </cell>
          <cell r="E683">
            <v>34000000</v>
          </cell>
          <cell r="F683">
            <v>34000000</v>
          </cell>
          <cell r="G683">
            <v>34000000</v>
          </cell>
          <cell r="H683">
            <v>34000000</v>
          </cell>
          <cell r="I683" t="str">
            <v/>
          </cell>
          <cell r="J683" t="str">
            <v/>
          </cell>
          <cell r="K683" t="str">
            <v/>
          </cell>
          <cell r="L683" t="str">
            <v/>
          </cell>
        </row>
        <row r="684">
          <cell r="A684">
            <v>34000000</v>
          </cell>
          <cell r="C684">
            <v>34000000</v>
          </cell>
          <cell r="D684">
            <v>34000000</v>
          </cell>
          <cell r="E684">
            <v>34000000</v>
          </cell>
          <cell r="F684">
            <v>34000000</v>
          </cell>
          <cell r="G684">
            <v>34000000</v>
          </cell>
          <cell r="H684">
            <v>34000000</v>
          </cell>
          <cell r="I684" t="str">
            <v/>
          </cell>
          <cell r="J684" t="str">
            <v/>
          </cell>
          <cell r="K684" t="str">
            <v/>
          </cell>
          <cell r="L684" t="str">
            <v/>
          </cell>
        </row>
        <row r="685">
          <cell r="A685">
            <v>34000000</v>
          </cell>
          <cell r="C685">
            <v>34000000</v>
          </cell>
          <cell r="D685">
            <v>34000000</v>
          </cell>
          <cell r="E685">
            <v>34000000</v>
          </cell>
          <cell r="F685">
            <v>34000000</v>
          </cell>
          <cell r="G685">
            <v>34000000</v>
          </cell>
          <cell r="H685">
            <v>34000000</v>
          </cell>
          <cell r="I685" t="str">
            <v/>
          </cell>
          <cell r="J685" t="str">
            <v/>
          </cell>
          <cell r="K685" t="str">
            <v/>
          </cell>
          <cell r="L685" t="str">
            <v/>
          </cell>
        </row>
        <row r="686">
          <cell r="A686">
            <v>34000000</v>
          </cell>
          <cell r="C686">
            <v>34000000</v>
          </cell>
          <cell r="D686">
            <v>34000000</v>
          </cell>
          <cell r="E686">
            <v>34000000</v>
          </cell>
          <cell r="F686">
            <v>34000000</v>
          </cell>
          <cell r="G686">
            <v>34000000</v>
          </cell>
          <cell r="H686">
            <v>34000000</v>
          </cell>
          <cell r="I686" t="str">
            <v/>
          </cell>
          <cell r="J686" t="str">
            <v/>
          </cell>
          <cell r="K686" t="str">
            <v/>
          </cell>
          <cell r="L686" t="str">
            <v/>
          </cell>
        </row>
        <row r="687">
          <cell r="A687">
            <v>34000000</v>
          </cell>
          <cell r="C687">
            <v>34000000</v>
          </cell>
          <cell r="D687">
            <v>34000000</v>
          </cell>
          <cell r="E687">
            <v>34000000</v>
          </cell>
          <cell r="F687">
            <v>34000000</v>
          </cell>
          <cell r="G687">
            <v>34000000</v>
          </cell>
          <cell r="H687">
            <v>34000000</v>
          </cell>
          <cell r="I687" t="str">
            <v/>
          </cell>
          <cell r="J687" t="str">
            <v/>
          </cell>
          <cell r="K687" t="str">
            <v/>
          </cell>
          <cell r="L687" t="str">
            <v/>
          </cell>
        </row>
        <row r="688">
          <cell r="A688">
            <v>34000000</v>
          </cell>
          <cell r="C688">
            <v>34000000</v>
          </cell>
          <cell r="D688">
            <v>34000000</v>
          </cell>
          <cell r="E688">
            <v>34000000</v>
          </cell>
          <cell r="F688">
            <v>34000000</v>
          </cell>
          <cell r="G688">
            <v>34000000</v>
          </cell>
          <cell r="H688">
            <v>34000000</v>
          </cell>
          <cell r="I688" t="str">
            <v/>
          </cell>
          <cell r="J688" t="str">
            <v/>
          </cell>
          <cell r="K688" t="str">
            <v/>
          </cell>
          <cell r="L688" t="str">
            <v/>
          </cell>
        </row>
        <row r="689">
          <cell r="A689">
            <v>34000000</v>
          </cell>
          <cell r="C689">
            <v>34000000</v>
          </cell>
          <cell r="D689">
            <v>34000000</v>
          </cell>
          <cell r="E689">
            <v>34000000</v>
          </cell>
          <cell r="F689">
            <v>34000000</v>
          </cell>
          <cell r="G689">
            <v>34000000</v>
          </cell>
          <cell r="H689">
            <v>34000000</v>
          </cell>
          <cell r="I689" t="str">
            <v/>
          </cell>
          <cell r="J689" t="str">
            <v/>
          </cell>
          <cell r="K689" t="str">
            <v/>
          </cell>
          <cell r="L689" t="str">
            <v/>
          </cell>
        </row>
        <row r="690">
          <cell r="A690">
            <v>34000000</v>
          </cell>
          <cell r="C690">
            <v>34000000</v>
          </cell>
          <cell r="D690">
            <v>34000000</v>
          </cell>
          <cell r="E690">
            <v>34000000</v>
          </cell>
          <cell r="F690">
            <v>34000000</v>
          </cell>
          <cell r="G690">
            <v>34000000</v>
          </cell>
          <cell r="H690">
            <v>34000000</v>
          </cell>
          <cell r="I690" t="str">
            <v/>
          </cell>
          <cell r="J690" t="str">
            <v/>
          </cell>
          <cell r="K690" t="str">
            <v/>
          </cell>
          <cell r="L690" t="str">
            <v/>
          </cell>
        </row>
        <row r="691">
          <cell r="A691">
            <v>34000000</v>
          </cell>
          <cell r="C691">
            <v>34000000</v>
          </cell>
          <cell r="D691">
            <v>34000000</v>
          </cell>
          <cell r="E691">
            <v>34000000</v>
          </cell>
          <cell r="F691">
            <v>34000000</v>
          </cell>
          <cell r="G691">
            <v>34000000</v>
          </cell>
          <cell r="H691">
            <v>34000000</v>
          </cell>
          <cell r="I691" t="str">
            <v/>
          </cell>
          <cell r="J691" t="str">
            <v/>
          </cell>
          <cell r="K691" t="str">
            <v/>
          </cell>
          <cell r="L691" t="str">
            <v/>
          </cell>
        </row>
        <row r="692">
          <cell r="A692">
            <v>34000000</v>
          </cell>
          <cell r="C692">
            <v>34000000</v>
          </cell>
          <cell r="D692">
            <v>34000000</v>
          </cell>
          <cell r="E692">
            <v>34000000</v>
          </cell>
          <cell r="F692">
            <v>34000000</v>
          </cell>
          <cell r="G692">
            <v>34000000</v>
          </cell>
          <cell r="H692">
            <v>34000000</v>
          </cell>
          <cell r="I692" t="str">
            <v/>
          </cell>
          <cell r="J692" t="str">
            <v/>
          </cell>
          <cell r="K692" t="str">
            <v/>
          </cell>
          <cell r="L692" t="str">
            <v/>
          </cell>
        </row>
        <row r="693">
          <cell r="A693">
            <v>34000000</v>
          </cell>
          <cell r="C693">
            <v>34000000</v>
          </cell>
          <cell r="D693">
            <v>34000000</v>
          </cell>
          <cell r="E693">
            <v>34000000</v>
          </cell>
          <cell r="F693">
            <v>34000000</v>
          </cell>
          <cell r="G693">
            <v>34000000</v>
          </cell>
          <cell r="H693">
            <v>34000000</v>
          </cell>
          <cell r="I693" t="str">
            <v/>
          </cell>
          <cell r="J693" t="str">
            <v/>
          </cell>
          <cell r="K693" t="str">
            <v/>
          </cell>
          <cell r="L693" t="str">
            <v/>
          </cell>
        </row>
        <row r="694">
          <cell r="A694">
            <v>34000000</v>
          </cell>
          <cell r="C694">
            <v>34000000</v>
          </cell>
          <cell r="D694">
            <v>34000000</v>
          </cell>
          <cell r="E694">
            <v>34000000</v>
          </cell>
          <cell r="F694">
            <v>34000000</v>
          </cell>
          <cell r="G694">
            <v>34000000</v>
          </cell>
          <cell r="H694">
            <v>34000000</v>
          </cell>
          <cell r="I694" t="str">
            <v/>
          </cell>
          <cell r="J694" t="str">
            <v/>
          </cell>
          <cell r="K694" t="str">
            <v/>
          </cell>
          <cell r="L694" t="str">
            <v/>
          </cell>
        </row>
        <row r="695">
          <cell r="A695">
            <v>34000000</v>
          </cell>
          <cell r="C695">
            <v>34000000</v>
          </cell>
          <cell r="D695">
            <v>34000000</v>
          </cell>
          <cell r="E695">
            <v>34000000</v>
          </cell>
          <cell r="F695">
            <v>34000000</v>
          </cell>
          <cell r="G695">
            <v>34000000</v>
          </cell>
          <cell r="H695">
            <v>34000000</v>
          </cell>
          <cell r="I695" t="str">
            <v/>
          </cell>
          <cell r="J695" t="str">
            <v/>
          </cell>
          <cell r="K695" t="str">
            <v/>
          </cell>
          <cell r="L695" t="str">
            <v/>
          </cell>
        </row>
        <row r="696">
          <cell r="A696">
            <v>34000000</v>
          </cell>
          <cell r="C696">
            <v>34000000</v>
          </cell>
          <cell r="D696">
            <v>34000000</v>
          </cell>
          <cell r="E696">
            <v>34000000</v>
          </cell>
          <cell r="F696">
            <v>34000000</v>
          </cell>
          <cell r="G696">
            <v>34000000</v>
          </cell>
          <cell r="H696">
            <v>34000000</v>
          </cell>
          <cell r="I696" t="str">
            <v/>
          </cell>
          <cell r="J696" t="str">
            <v/>
          </cell>
          <cell r="K696" t="str">
            <v/>
          </cell>
          <cell r="L696" t="str">
            <v/>
          </cell>
        </row>
        <row r="697">
          <cell r="A697">
            <v>34000000</v>
          </cell>
          <cell r="C697">
            <v>34000000</v>
          </cell>
          <cell r="D697">
            <v>34000000</v>
          </cell>
          <cell r="E697">
            <v>34000000</v>
          </cell>
          <cell r="F697">
            <v>34000000</v>
          </cell>
          <cell r="G697">
            <v>34000000</v>
          </cell>
          <cell r="H697">
            <v>34000000</v>
          </cell>
          <cell r="I697" t="str">
            <v/>
          </cell>
          <cell r="J697" t="str">
            <v/>
          </cell>
          <cell r="K697" t="str">
            <v/>
          </cell>
          <cell r="L697" t="str">
            <v/>
          </cell>
        </row>
        <row r="698">
          <cell r="A698">
            <v>34000000</v>
          </cell>
          <cell r="C698">
            <v>34000000</v>
          </cell>
          <cell r="D698">
            <v>34000000</v>
          </cell>
          <cell r="E698">
            <v>34000000</v>
          </cell>
          <cell r="F698">
            <v>34000000</v>
          </cell>
          <cell r="G698">
            <v>34000000</v>
          </cell>
          <cell r="H698">
            <v>34000000</v>
          </cell>
          <cell r="I698" t="str">
            <v/>
          </cell>
          <cell r="J698" t="str">
            <v/>
          </cell>
          <cell r="K698" t="str">
            <v/>
          </cell>
          <cell r="L698" t="str">
            <v/>
          </cell>
        </row>
        <row r="699">
          <cell r="A699">
            <v>34000000</v>
          </cell>
          <cell r="C699">
            <v>34000000</v>
          </cell>
          <cell r="D699">
            <v>34000000</v>
          </cell>
          <cell r="E699">
            <v>34000000</v>
          </cell>
          <cell r="F699">
            <v>34000000</v>
          </cell>
          <cell r="G699">
            <v>34000000</v>
          </cell>
          <cell r="H699">
            <v>34000000</v>
          </cell>
          <cell r="I699" t="str">
            <v/>
          </cell>
          <cell r="J699" t="str">
            <v/>
          </cell>
          <cell r="K699" t="str">
            <v/>
          </cell>
          <cell r="L699" t="str">
            <v/>
          </cell>
        </row>
        <row r="700">
          <cell r="A700">
            <v>34000000</v>
          </cell>
          <cell r="C700">
            <v>34000000</v>
          </cell>
          <cell r="D700">
            <v>34000000</v>
          </cell>
          <cell r="E700">
            <v>34000000</v>
          </cell>
          <cell r="F700">
            <v>34000000</v>
          </cell>
          <cell r="G700">
            <v>34000000</v>
          </cell>
          <cell r="H700">
            <v>34000000</v>
          </cell>
          <cell r="I700" t="str">
            <v/>
          </cell>
          <cell r="J700" t="str">
            <v/>
          </cell>
          <cell r="K700" t="str">
            <v/>
          </cell>
          <cell r="L700" t="str">
            <v/>
          </cell>
        </row>
        <row r="701">
          <cell r="A701">
            <v>34000000</v>
          </cell>
          <cell r="C701">
            <v>34000000</v>
          </cell>
          <cell r="D701">
            <v>34000000</v>
          </cell>
          <cell r="E701">
            <v>34000000</v>
          </cell>
          <cell r="F701">
            <v>34000000</v>
          </cell>
          <cell r="G701">
            <v>34000000</v>
          </cell>
          <cell r="H701">
            <v>34000000</v>
          </cell>
          <cell r="I701" t="str">
            <v/>
          </cell>
          <cell r="J701" t="str">
            <v/>
          </cell>
          <cell r="K701" t="str">
            <v/>
          </cell>
          <cell r="L701" t="str">
            <v/>
          </cell>
        </row>
        <row r="702">
          <cell r="A702">
            <v>34000000</v>
          </cell>
          <cell r="C702">
            <v>34000000</v>
          </cell>
          <cell r="D702">
            <v>34000000</v>
          </cell>
          <cell r="E702">
            <v>34000000</v>
          </cell>
          <cell r="F702">
            <v>34000000</v>
          </cell>
          <cell r="G702">
            <v>34000000</v>
          </cell>
          <cell r="H702">
            <v>34000000</v>
          </cell>
          <cell r="I702" t="str">
            <v/>
          </cell>
          <cell r="J702" t="str">
            <v/>
          </cell>
          <cell r="K702" t="str">
            <v/>
          </cell>
          <cell r="L702" t="str">
            <v/>
          </cell>
        </row>
        <row r="703">
          <cell r="A703">
            <v>34000000</v>
          </cell>
          <cell r="C703">
            <v>34000000</v>
          </cell>
          <cell r="D703">
            <v>34000000</v>
          </cell>
          <cell r="E703">
            <v>34000000</v>
          </cell>
          <cell r="F703">
            <v>34000000</v>
          </cell>
          <cell r="G703">
            <v>34000000</v>
          </cell>
          <cell r="H703">
            <v>34000000</v>
          </cell>
          <cell r="I703" t="str">
            <v/>
          </cell>
          <cell r="J703" t="str">
            <v/>
          </cell>
          <cell r="K703" t="str">
            <v/>
          </cell>
          <cell r="L703" t="str">
            <v/>
          </cell>
        </row>
        <row r="704">
          <cell r="A704">
            <v>34000000</v>
          </cell>
          <cell r="C704">
            <v>34000000</v>
          </cell>
          <cell r="D704">
            <v>34000000</v>
          </cell>
          <cell r="E704">
            <v>34000000</v>
          </cell>
          <cell r="F704">
            <v>34000000</v>
          </cell>
          <cell r="G704">
            <v>34000000</v>
          </cell>
          <cell r="H704">
            <v>34000000</v>
          </cell>
          <cell r="I704" t="str">
            <v/>
          </cell>
          <cell r="J704" t="str">
            <v/>
          </cell>
          <cell r="K704" t="str">
            <v/>
          </cell>
          <cell r="L704" t="str">
            <v/>
          </cell>
        </row>
        <row r="705">
          <cell r="A705">
            <v>34000000</v>
          </cell>
          <cell r="C705">
            <v>34000000</v>
          </cell>
          <cell r="D705">
            <v>34000000</v>
          </cell>
          <cell r="E705">
            <v>34000000</v>
          </cell>
          <cell r="F705">
            <v>34000000</v>
          </cell>
          <cell r="G705">
            <v>34000000</v>
          </cell>
          <cell r="H705">
            <v>34000000</v>
          </cell>
          <cell r="I705" t="str">
            <v/>
          </cell>
          <cell r="J705" t="str">
            <v/>
          </cell>
          <cell r="K705" t="str">
            <v/>
          </cell>
          <cell r="L705" t="str">
            <v/>
          </cell>
        </row>
        <row r="706">
          <cell r="A706">
            <v>34000000</v>
          </cell>
          <cell r="C706">
            <v>34000000</v>
          </cell>
          <cell r="D706">
            <v>34000000</v>
          </cell>
          <cell r="E706">
            <v>34000000</v>
          </cell>
          <cell r="F706">
            <v>34000000</v>
          </cell>
          <cell r="G706">
            <v>34000000</v>
          </cell>
          <cell r="H706">
            <v>34000000</v>
          </cell>
          <cell r="I706" t="str">
            <v/>
          </cell>
          <cell r="J706" t="str">
            <v/>
          </cell>
          <cell r="K706" t="str">
            <v/>
          </cell>
          <cell r="L706" t="str">
            <v/>
          </cell>
        </row>
        <row r="707">
          <cell r="A707">
            <v>34000000</v>
          </cell>
          <cell r="C707">
            <v>34000000</v>
          </cell>
          <cell r="D707">
            <v>34000000</v>
          </cell>
          <cell r="E707">
            <v>34000000</v>
          </cell>
          <cell r="F707">
            <v>34000000</v>
          </cell>
          <cell r="G707">
            <v>34000000</v>
          </cell>
          <cell r="H707">
            <v>34000000</v>
          </cell>
          <cell r="I707" t="str">
            <v/>
          </cell>
          <cell r="J707" t="str">
            <v/>
          </cell>
          <cell r="K707" t="str">
            <v/>
          </cell>
          <cell r="L707" t="str">
            <v/>
          </cell>
        </row>
        <row r="708">
          <cell r="A708">
            <v>34000000</v>
          </cell>
          <cell r="C708">
            <v>34000000</v>
          </cell>
          <cell r="D708">
            <v>34000000</v>
          </cell>
          <cell r="E708">
            <v>34000000</v>
          </cell>
          <cell r="F708">
            <v>34000000</v>
          </cell>
          <cell r="G708">
            <v>34000000</v>
          </cell>
          <cell r="H708">
            <v>34000000</v>
          </cell>
          <cell r="I708" t="str">
            <v/>
          </cell>
          <cell r="J708" t="str">
            <v/>
          </cell>
          <cell r="K708" t="str">
            <v/>
          </cell>
          <cell r="L708" t="str">
            <v/>
          </cell>
        </row>
        <row r="709">
          <cell r="A709">
            <v>34000000</v>
          </cell>
          <cell r="C709">
            <v>34000000</v>
          </cell>
          <cell r="D709">
            <v>34000000</v>
          </cell>
          <cell r="E709">
            <v>34000000</v>
          </cell>
          <cell r="F709">
            <v>34000000</v>
          </cell>
          <cell r="G709">
            <v>34000000</v>
          </cell>
          <cell r="H709">
            <v>34000000</v>
          </cell>
          <cell r="I709" t="str">
            <v/>
          </cell>
          <cell r="J709" t="str">
            <v/>
          </cell>
          <cell r="K709" t="str">
            <v/>
          </cell>
          <cell r="L709" t="str">
            <v/>
          </cell>
        </row>
        <row r="710">
          <cell r="A710">
            <v>34000000</v>
          </cell>
          <cell r="C710">
            <v>34000000</v>
          </cell>
          <cell r="D710">
            <v>34000000</v>
          </cell>
          <cell r="E710">
            <v>34000000</v>
          </cell>
          <cell r="F710">
            <v>34000000</v>
          </cell>
          <cell r="G710">
            <v>34000000</v>
          </cell>
          <cell r="H710">
            <v>34000000</v>
          </cell>
          <cell r="I710" t="str">
            <v/>
          </cell>
          <cell r="J710" t="str">
            <v/>
          </cell>
          <cell r="K710" t="str">
            <v/>
          </cell>
          <cell r="L710" t="str">
            <v/>
          </cell>
        </row>
        <row r="711">
          <cell r="A711">
            <v>34000000</v>
          </cell>
          <cell r="C711">
            <v>34000000</v>
          </cell>
          <cell r="D711">
            <v>34000000</v>
          </cell>
          <cell r="E711">
            <v>34000000</v>
          </cell>
          <cell r="F711">
            <v>34000000</v>
          </cell>
          <cell r="G711">
            <v>34000000</v>
          </cell>
          <cell r="H711">
            <v>34000000</v>
          </cell>
          <cell r="I711" t="str">
            <v/>
          </cell>
          <cell r="J711" t="str">
            <v/>
          </cell>
          <cell r="K711" t="str">
            <v/>
          </cell>
          <cell r="L711" t="str">
            <v/>
          </cell>
        </row>
        <row r="712">
          <cell r="A712">
            <v>34000000</v>
          </cell>
          <cell r="C712">
            <v>34000000</v>
          </cell>
          <cell r="D712">
            <v>34000000</v>
          </cell>
          <cell r="E712">
            <v>34000000</v>
          </cell>
          <cell r="F712">
            <v>34000000</v>
          </cell>
          <cell r="G712">
            <v>34000000</v>
          </cell>
          <cell r="H712">
            <v>34000000</v>
          </cell>
          <cell r="I712" t="str">
            <v/>
          </cell>
          <cell r="J712" t="str">
            <v/>
          </cell>
          <cell r="K712" t="str">
            <v/>
          </cell>
          <cell r="L712" t="str">
            <v/>
          </cell>
        </row>
        <row r="713">
          <cell r="A713">
            <v>34000000</v>
          </cell>
          <cell r="C713">
            <v>34000000</v>
          </cell>
          <cell r="D713">
            <v>34000000</v>
          </cell>
          <cell r="E713">
            <v>34000000</v>
          </cell>
          <cell r="F713">
            <v>34000000</v>
          </cell>
          <cell r="G713">
            <v>34000000</v>
          </cell>
          <cell r="H713">
            <v>34000000</v>
          </cell>
          <cell r="I713" t="str">
            <v/>
          </cell>
          <cell r="J713" t="str">
            <v/>
          </cell>
          <cell r="K713" t="str">
            <v/>
          </cell>
          <cell r="L713" t="str">
            <v/>
          </cell>
        </row>
        <row r="714">
          <cell r="A714">
            <v>34000000</v>
          </cell>
          <cell r="C714">
            <v>34000000</v>
          </cell>
          <cell r="D714">
            <v>34000000</v>
          </cell>
          <cell r="E714">
            <v>34000000</v>
          </cell>
          <cell r="F714">
            <v>34000000</v>
          </cell>
          <cell r="G714">
            <v>34000000</v>
          </cell>
          <cell r="H714">
            <v>34000000</v>
          </cell>
          <cell r="I714" t="str">
            <v/>
          </cell>
          <cell r="J714" t="str">
            <v/>
          </cell>
          <cell r="K714" t="str">
            <v/>
          </cell>
          <cell r="L714" t="str">
            <v/>
          </cell>
        </row>
        <row r="715">
          <cell r="A715">
            <v>34000000</v>
          </cell>
          <cell r="C715">
            <v>34000000</v>
          </cell>
          <cell r="D715">
            <v>34000000</v>
          </cell>
          <cell r="E715">
            <v>34000000</v>
          </cell>
          <cell r="F715">
            <v>34000000</v>
          </cell>
          <cell r="G715">
            <v>34000000</v>
          </cell>
          <cell r="H715">
            <v>34000000</v>
          </cell>
          <cell r="I715" t="str">
            <v/>
          </cell>
          <cell r="J715" t="str">
            <v/>
          </cell>
          <cell r="K715" t="str">
            <v/>
          </cell>
          <cell r="L715" t="str">
            <v/>
          </cell>
        </row>
        <row r="716">
          <cell r="A716">
            <v>34000000</v>
          </cell>
          <cell r="C716">
            <v>34000000</v>
          </cell>
          <cell r="D716">
            <v>34000000</v>
          </cell>
          <cell r="E716">
            <v>34000000</v>
          </cell>
          <cell r="F716">
            <v>34000000</v>
          </cell>
          <cell r="G716">
            <v>34000000</v>
          </cell>
          <cell r="H716">
            <v>34000000</v>
          </cell>
          <cell r="I716" t="str">
            <v/>
          </cell>
          <cell r="J716" t="str">
            <v/>
          </cell>
          <cell r="K716" t="str">
            <v/>
          </cell>
          <cell r="L716" t="str">
            <v/>
          </cell>
        </row>
        <row r="717">
          <cell r="A717">
            <v>34000000</v>
          </cell>
          <cell r="C717">
            <v>34000000</v>
          </cell>
          <cell r="D717">
            <v>34000000</v>
          </cell>
          <cell r="E717">
            <v>34000000</v>
          </cell>
          <cell r="F717">
            <v>34000000</v>
          </cell>
          <cell r="G717">
            <v>34000000</v>
          </cell>
          <cell r="H717">
            <v>34000000</v>
          </cell>
          <cell r="I717" t="str">
            <v/>
          </cell>
          <cell r="J717" t="str">
            <v/>
          </cell>
          <cell r="K717" t="str">
            <v/>
          </cell>
          <cell r="L717" t="str">
            <v/>
          </cell>
        </row>
        <row r="718">
          <cell r="A718">
            <v>34000000</v>
          </cell>
          <cell r="C718">
            <v>34000000</v>
          </cell>
          <cell r="D718">
            <v>34000000</v>
          </cell>
          <cell r="E718">
            <v>34000000</v>
          </cell>
          <cell r="F718">
            <v>34000000</v>
          </cell>
          <cell r="G718">
            <v>34000000</v>
          </cell>
          <cell r="H718">
            <v>34000000</v>
          </cell>
          <cell r="I718" t="str">
            <v/>
          </cell>
          <cell r="J718" t="str">
            <v/>
          </cell>
          <cell r="K718" t="str">
            <v/>
          </cell>
          <cell r="L718" t="str">
            <v/>
          </cell>
        </row>
        <row r="719">
          <cell r="A719">
            <v>34000000</v>
          </cell>
          <cell r="C719">
            <v>34000000</v>
          </cell>
          <cell r="D719">
            <v>34000000</v>
          </cell>
          <cell r="E719">
            <v>34000000</v>
          </cell>
          <cell r="F719">
            <v>34000000</v>
          </cell>
          <cell r="G719">
            <v>34000000</v>
          </cell>
          <cell r="H719">
            <v>34000000</v>
          </cell>
          <cell r="I719" t="str">
            <v/>
          </cell>
          <cell r="J719" t="str">
            <v/>
          </cell>
          <cell r="K719" t="str">
            <v/>
          </cell>
          <cell r="L719" t="str">
            <v/>
          </cell>
        </row>
        <row r="720">
          <cell r="A720">
            <v>34000000</v>
          </cell>
          <cell r="C720">
            <v>34000000</v>
          </cell>
          <cell r="D720">
            <v>34000000</v>
          </cell>
          <cell r="E720">
            <v>34000000</v>
          </cell>
          <cell r="F720">
            <v>34000000</v>
          </cell>
          <cell r="G720">
            <v>34000000</v>
          </cell>
          <cell r="H720">
            <v>34000000</v>
          </cell>
          <cell r="I720" t="str">
            <v/>
          </cell>
          <cell r="J720" t="str">
            <v/>
          </cell>
          <cell r="K720" t="str">
            <v/>
          </cell>
          <cell r="L720" t="str">
            <v/>
          </cell>
        </row>
        <row r="721">
          <cell r="A721">
            <v>34000000</v>
          </cell>
          <cell r="C721">
            <v>34000000</v>
          </cell>
          <cell r="D721">
            <v>34000000</v>
          </cell>
          <cell r="E721">
            <v>34000000</v>
          </cell>
          <cell r="F721">
            <v>34000000</v>
          </cell>
          <cell r="G721">
            <v>34000000</v>
          </cell>
          <cell r="H721">
            <v>34000000</v>
          </cell>
          <cell r="I721" t="str">
            <v/>
          </cell>
          <cell r="J721" t="str">
            <v/>
          </cell>
          <cell r="K721" t="str">
            <v/>
          </cell>
          <cell r="L721" t="str">
            <v/>
          </cell>
        </row>
        <row r="722">
          <cell r="A722">
            <v>34000000</v>
          </cell>
          <cell r="C722">
            <v>34000000</v>
          </cell>
          <cell r="D722">
            <v>34000000</v>
          </cell>
          <cell r="E722">
            <v>34000000</v>
          </cell>
          <cell r="F722">
            <v>34000000</v>
          </cell>
          <cell r="G722">
            <v>34000000</v>
          </cell>
          <cell r="H722">
            <v>34000000</v>
          </cell>
          <cell r="I722" t="str">
            <v/>
          </cell>
          <cell r="J722" t="str">
            <v/>
          </cell>
          <cell r="K722" t="str">
            <v/>
          </cell>
          <cell r="L722" t="str">
            <v/>
          </cell>
        </row>
        <row r="723">
          <cell r="A723">
            <v>34000000</v>
          </cell>
          <cell r="C723">
            <v>34000000</v>
          </cell>
          <cell r="D723">
            <v>34000000</v>
          </cell>
          <cell r="E723">
            <v>34000000</v>
          </cell>
          <cell r="F723">
            <v>34000000</v>
          </cell>
          <cell r="G723">
            <v>34000000</v>
          </cell>
          <cell r="H723">
            <v>34000000</v>
          </cell>
          <cell r="I723" t="str">
            <v/>
          </cell>
          <cell r="J723" t="str">
            <v/>
          </cell>
          <cell r="K723" t="str">
            <v/>
          </cell>
          <cell r="L723" t="str">
            <v/>
          </cell>
        </row>
        <row r="724">
          <cell r="A724">
            <v>34000000</v>
          </cell>
          <cell r="C724">
            <v>34000000</v>
          </cell>
          <cell r="D724">
            <v>34000000</v>
          </cell>
          <cell r="E724">
            <v>34000000</v>
          </cell>
          <cell r="F724">
            <v>34000000</v>
          </cell>
          <cell r="G724">
            <v>34000000</v>
          </cell>
          <cell r="H724">
            <v>34000000</v>
          </cell>
          <cell r="I724" t="str">
            <v/>
          </cell>
          <cell r="J724" t="str">
            <v/>
          </cell>
          <cell r="K724" t="str">
            <v/>
          </cell>
          <cell r="L724" t="str">
            <v/>
          </cell>
        </row>
        <row r="725">
          <cell r="A725">
            <v>34000000</v>
          </cell>
          <cell r="C725">
            <v>34000000</v>
          </cell>
          <cell r="D725">
            <v>34000000</v>
          </cell>
          <cell r="E725">
            <v>34000000</v>
          </cell>
          <cell r="F725">
            <v>34000000</v>
          </cell>
          <cell r="G725">
            <v>34000000</v>
          </cell>
          <cell r="H725">
            <v>34000000</v>
          </cell>
          <cell r="I725" t="str">
            <v/>
          </cell>
          <cell r="J725" t="str">
            <v/>
          </cell>
          <cell r="K725" t="str">
            <v/>
          </cell>
          <cell r="L725" t="str">
            <v/>
          </cell>
        </row>
        <row r="726">
          <cell r="A726">
            <v>34000000</v>
          </cell>
          <cell r="C726">
            <v>34000000</v>
          </cell>
          <cell r="D726">
            <v>34000000</v>
          </cell>
          <cell r="E726">
            <v>34000000</v>
          </cell>
          <cell r="F726">
            <v>34000000</v>
          </cell>
          <cell r="G726">
            <v>34000000</v>
          </cell>
          <cell r="H726">
            <v>34000000</v>
          </cell>
          <cell r="I726" t="str">
            <v/>
          </cell>
          <cell r="J726" t="str">
            <v/>
          </cell>
          <cell r="K726" t="str">
            <v/>
          </cell>
          <cell r="L726" t="str">
            <v/>
          </cell>
        </row>
        <row r="727">
          <cell r="A727">
            <v>34000000</v>
          </cell>
          <cell r="C727">
            <v>34000000</v>
          </cell>
          <cell r="D727">
            <v>34000000</v>
          </cell>
          <cell r="E727">
            <v>34000000</v>
          </cell>
          <cell r="F727">
            <v>34000000</v>
          </cell>
          <cell r="G727">
            <v>34000000</v>
          </cell>
          <cell r="H727">
            <v>34000000</v>
          </cell>
          <cell r="I727" t="str">
            <v/>
          </cell>
          <cell r="J727" t="str">
            <v/>
          </cell>
          <cell r="K727" t="str">
            <v/>
          </cell>
          <cell r="L727" t="str">
            <v/>
          </cell>
        </row>
        <row r="728">
          <cell r="A728">
            <v>34000000</v>
          </cell>
          <cell r="C728">
            <v>34000000</v>
          </cell>
          <cell r="D728">
            <v>34000000</v>
          </cell>
          <cell r="E728">
            <v>34000000</v>
          </cell>
          <cell r="F728">
            <v>34000000</v>
          </cell>
          <cell r="G728">
            <v>34000000</v>
          </cell>
          <cell r="H728">
            <v>34000000</v>
          </cell>
          <cell r="I728" t="str">
            <v/>
          </cell>
          <cell r="J728" t="str">
            <v/>
          </cell>
          <cell r="K728" t="str">
            <v/>
          </cell>
          <cell r="L728" t="str">
            <v/>
          </cell>
        </row>
        <row r="729">
          <cell r="A729">
            <v>34000000</v>
          </cell>
          <cell r="C729">
            <v>34000000</v>
          </cell>
          <cell r="D729">
            <v>34000000</v>
          </cell>
          <cell r="E729">
            <v>34000000</v>
          </cell>
          <cell r="F729">
            <v>34000000</v>
          </cell>
          <cell r="G729">
            <v>34000000</v>
          </cell>
          <cell r="H729">
            <v>34000000</v>
          </cell>
          <cell r="I729" t="str">
            <v/>
          </cell>
          <cell r="J729" t="str">
            <v/>
          </cell>
          <cell r="K729" t="str">
            <v/>
          </cell>
          <cell r="L729" t="str">
            <v/>
          </cell>
        </row>
        <row r="730">
          <cell r="A730">
            <v>34000000</v>
          </cell>
          <cell r="C730">
            <v>34000000</v>
          </cell>
          <cell r="D730">
            <v>34000000</v>
          </cell>
          <cell r="E730">
            <v>34000000</v>
          </cell>
          <cell r="F730">
            <v>34000000</v>
          </cell>
          <cell r="G730">
            <v>34000000</v>
          </cell>
          <cell r="H730">
            <v>34000000</v>
          </cell>
          <cell r="I730" t="str">
            <v/>
          </cell>
          <cell r="J730" t="str">
            <v/>
          </cell>
          <cell r="K730" t="str">
            <v/>
          </cell>
          <cell r="L730" t="str">
            <v/>
          </cell>
        </row>
        <row r="731">
          <cell r="A731">
            <v>34000000</v>
          </cell>
          <cell r="C731">
            <v>34000000</v>
          </cell>
          <cell r="D731">
            <v>34000000</v>
          </cell>
          <cell r="E731">
            <v>34000000</v>
          </cell>
          <cell r="F731">
            <v>34000000</v>
          </cell>
          <cell r="G731">
            <v>34000000</v>
          </cell>
          <cell r="H731">
            <v>34000000</v>
          </cell>
          <cell r="I731" t="str">
            <v/>
          </cell>
          <cell r="J731" t="str">
            <v/>
          </cell>
          <cell r="K731" t="str">
            <v/>
          </cell>
          <cell r="L731" t="str">
            <v/>
          </cell>
        </row>
        <row r="732">
          <cell r="A732">
            <v>34000000</v>
          </cell>
          <cell r="C732">
            <v>34000000</v>
          </cell>
          <cell r="D732">
            <v>34000000</v>
          </cell>
          <cell r="E732">
            <v>34000000</v>
          </cell>
          <cell r="F732">
            <v>34000000</v>
          </cell>
          <cell r="G732">
            <v>34000000</v>
          </cell>
          <cell r="H732">
            <v>34000000</v>
          </cell>
          <cell r="I732" t="str">
            <v/>
          </cell>
          <cell r="J732" t="str">
            <v/>
          </cell>
          <cell r="K732" t="str">
            <v/>
          </cell>
          <cell r="L732" t="str">
            <v/>
          </cell>
        </row>
        <row r="733">
          <cell r="A733">
            <v>34000000</v>
          </cell>
          <cell r="C733">
            <v>34000000</v>
          </cell>
          <cell r="D733">
            <v>34000000</v>
          </cell>
          <cell r="E733">
            <v>34000000</v>
          </cell>
          <cell r="F733">
            <v>34000000</v>
          </cell>
          <cell r="G733">
            <v>34000000</v>
          </cell>
          <cell r="H733">
            <v>34000000</v>
          </cell>
          <cell r="I733" t="str">
            <v/>
          </cell>
          <cell r="J733" t="str">
            <v/>
          </cell>
          <cell r="K733" t="str">
            <v/>
          </cell>
          <cell r="L733" t="str">
            <v/>
          </cell>
        </row>
        <row r="734">
          <cell r="A734">
            <v>34000000</v>
          </cell>
          <cell r="C734">
            <v>34000000</v>
          </cell>
          <cell r="D734">
            <v>34000000</v>
          </cell>
          <cell r="E734">
            <v>34000000</v>
          </cell>
          <cell r="F734">
            <v>34000000</v>
          </cell>
          <cell r="G734">
            <v>34000000</v>
          </cell>
          <cell r="H734">
            <v>34000000</v>
          </cell>
          <cell r="I734" t="str">
            <v/>
          </cell>
          <cell r="J734" t="str">
            <v/>
          </cell>
          <cell r="K734" t="str">
            <v/>
          </cell>
          <cell r="L734" t="str">
            <v/>
          </cell>
        </row>
        <row r="735">
          <cell r="A735">
            <v>34000000</v>
          </cell>
          <cell r="C735">
            <v>34000000</v>
          </cell>
          <cell r="D735">
            <v>34000000</v>
          </cell>
          <cell r="E735">
            <v>34000000</v>
          </cell>
          <cell r="F735">
            <v>34000000</v>
          </cell>
          <cell r="G735">
            <v>34000000</v>
          </cell>
          <cell r="H735">
            <v>34000000</v>
          </cell>
          <cell r="I735" t="str">
            <v/>
          </cell>
          <cell r="J735" t="str">
            <v/>
          </cell>
          <cell r="K735" t="str">
            <v/>
          </cell>
          <cell r="L735" t="str">
            <v/>
          </cell>
        </row>
        <row r="736">
          <cell r="A736">
            <v>34000000</v>
          </cell>
          <cell r="C736">
            <v>34000000</v>
          </cell>
          <cell r="D736">
            <v>34000000</v>
          </cell>
          <cell r="E736">
            <v>34000000</v>
          </cell>
          <cell r="F736">
            <v>34000000</v>
          </cell>
          <cell r="G736">
            <v>34000000</v>
          </cell>
          <cell r="H736">
            <v>34000000</v>
          </cell>
          <cell r="I736" t="str">
            <v/>
          </cell>
          <cell r="J736" t="str">
            <v/>
          </cell>
          <cell r="K736" t="str">
            <v/>
          </cell>
          <cell r="L736" t="str">
            <v/>
          </cell>
        </row>
        <row r="737">
          <cell r="A737">
            <v>34000000</v>
          </cell>
          <cell r="C737">
            <v>34000000</v>
          </cell>
          <cell r="D737">
            <v>34000000</v>
          </cell>
          <cell r="E737">
            <v>34000000</v>
          </cell>
          <cell r="F737">
            <v>34000000</v>
          </cell>
          <cell r="G737">
            <v>34000000</v>
          </cell>
          <cell r="H737">
            <v>34000000</v>
          </cell>
          <cell r="I737" t="str">
            <v/>
          </cell>
          <cell r="J737" t="str">
            <v/>
          </cell>
          <cell r="K737" t="str">
            <v/>
          </cell>
          <cell r="L737" t="str">
            <v/>
          </cell>
        </row>
        <row r="738">
          <cell r="A738">
            <v>34000000</v>
          </cell>
          <cell r="C738">
            <v>34000000</v>
          </cell>
          <cell r="D738">
            <v>34000000</v>
          </cell>
          <cell r="E738">
            <v>34000000</v>
          </cell>
          <cell r="F738">
            <v>34000000</v>
          </cell>
          <cell r="G738">
            <v>34000000</v>
          </cell>
          <cell r="H738">
            <v>34000000</v>
          </cell>
          <cell r="I738" t="str">
            <v/>
          </cell>
          <cell r="J738" t="str">
            <v/>
          </cell>
          <cell r="K738" t="str">
            <v/>
          </cell>
          <cell r="L738" t="str">
            <v/>
          </cell>
        </row>
        <row r="739">
          <cell r="A739">
            <v>34000000</v>
          </cell>
          <cell r="C739">
            <v>34000000</v>
          </cell>
          <cell r="D739">
            <v>34000000</v>
          </cell>
          <cell r="E739">
            <v>34000000</v>
          </cell>
          <cell r="F739">
            <v>34000000</v>
          </cell>
          <cell r="G739">
            <v>34000000</v>
          </cell>
          <cell r="H739">
            <v>34000000</v>
          </cell>
          <cell r="I739" t="str">
            <v/>
          </cell>
          <cell r="J739" t="str">
            <v/>
          </cell>
          <cell r="K739" t="str">
            <v/>
          </cell>
          <cell r="L739" t="str">
            <v/>
          </cell>
        </row>
        <row r="740">
          <cell r="A740">
            <v>34000000</v>
          </cell>
          <cell r="C740">
            <v>34000000</v>
          </cell>
          <cell r="D740">
            <v>34000000</v>
          </cell>
          <cell r="E740">
            <v>34000000</v>
          </cell>
          <cell r="F740">
            <v>34000000</v>
          </cell>
          <cell r="G740">
            <v>34000000</v>
          </cell>
          <cell r="H740">
            <v>34000000</v>
          </cell>
          <cell r="I740" t="str">
            <v/>
          </cell>
          <cell r="J740" t="str">
            <v/>
          </cell>
          <cell r="K740" t="str">
            <v/>
          </cell>
          <cell r="L740" t="str">
            <v/>
          </cell>
        </row>
        <row r="741">
          <cell r="A741">
            <v>34000000</v>
          </cell>
          <cell r="C741">
            <v>34000000</v>
          </cell>
          <cell r="D741">
            <v>34000000</v>
          </cell>
          <cell r="E741">
            <v>34000000</v>
          </cell>
          <cell r="F741">
            <v>34000000</v>
          </cell>
          <cell r="G741">
            <v>34000000</v>
          </cell>
          <cell r="H741">
            <v>34000000</v>
          </cell>
          <cell r="I741" t="str">
            <v/>
          </cell>
          <cell r="J741" t="str">
            <v/>
          </cell>
          <cell r="K741" t="str">
            <v/>
          </cell>
          <cell r="L741" t="str">
            <v/>
          </cell>
        </row>
        <row r="742">
          <cell r="A742">
            <v>34000000</v>
          </cell>
          <cell r="C742">
            <v>34000000</v>
          </cell>
          <cell r="D742">
            <v>34000000</v>
          </cell>
          <cell r="E742">
            <v>34000000</v>
          </cell>
          <cell r="F742">
            <v>34000000</v>
          </cell>
          <cell r="G742">
            <v>34000000</v>
          </cell>
          <cell r="H742">
            <v>34000000</v>
          </cell>
          <cell r="I742" t="str">
            <v/>
          </cell>
          <cell r="J742" t="str">
            <v/>
          </cell>
          <cell r="K742" t="str">
            <v/>
          </cell>
          <cell r="L742" t="str">
            <v/>
          </cell>
        </row>
        <row r="743">
          <cell r="A743">
            <v>34000000</v>
          </cell>
          <cell r="C743">
            <v>34000000</v>
          </cell>
          <cell r="D743">
            <v>34000000</v>
          </cell>
          <cell r="E743">
            <v>34000000</v>
          </cell>
          <cell r="F743">
            <v>34000000</v>
          </cell>
          <cell r="G743">
            <v>34000000</v>
          </cell>
          <cell r="H743">
            <v>34000000</v>
          </cell>
          <cell r="I743" t="str">
            <v/>
          </cell>
          <cell r="J743" t="str">
            <v/>
          </cell>
          <cell r="K743" t="str">
            <v/>
          </cell>
          <cell r="L743" t="str">
            <v/>
          </cell>
        </row>
        <row r="744">
          <cell r="A744">
            <v>34000000</v>
          </cell>
          <cell r="C744">
            <v>34000000</v>
          </cell>
          <cell r="D744">
            <v>34000000</v>
          </cell>
          <cell r="E744">
            <v>34000000</v>
          </cell>
          <cell r="F744">
            <v>34000000</v>
          </cell>
          <cell r="G744">
            <v>34000000</v>
          </cell>
          <cell r="H744">
            <v>34000000</v>
          </cell>
          <cell r="I744" t="str">
            <v/>
          </cell>
          <cell r="J744" t="str">
            <v/>
          </cell>
          <cell r="K744" t="str">
            <v/>
          </cell>
          <cell r="L744" t="str">
            <v/>
          </cell>
        </row>
        <row r="745">
          <cell r="A745">
            <v>34000000</v>
          </cell>
          <cell r="C745">
            <v>34000000</v>
          </cell>
          <cell r="D745">
            <v>34000000</v>
          </cell>
          <cell r="E745">
            <v>34000000</v>
          </cell>
          <cell r="F745">
            <v>34000000</v>
          </cell>
          <cell r="G745">
            <v>34000000</v>
          </cell>
          <cell r="H745">
            <v>34000000</v>
          </cell>
          <cell r="I745" t="str">
            <v/>
          </cell>
          <cell r="J745" t="str">
            <v/>
          </cell>
          <cell r="K745" t="str">
            <v/>
          </cell>
          <cell r="L745" t="str">
            <v/>
          </cell>
        </row>
        <row r="746">
          <cell r="A746">
            <v>34000000</v>
          </cell>
          <cell r="C746">
            <v>34000000</v>
          </cell>
          <cell r="D746">
            <v>34000000</v>
          </cell>
          <cell r="E746">
            <v>34000000</v>
          </cell>
          <cell r="F746">
            <v>34000000</v>
          </cell>
          <cell r="G746">
            <v>34000000</v>
          </cell>
          <cell r="H746">
            <v>34000000</v>
          </cell>
          <cell r="I746" t="str">
            <v/>
          </cell>
          <cell r="J746" t="str">
            <v/>
          </cell>
          <cell r="K746" t="str">
            <v/>
          </cell>
          <cell r="L746" t="str">
            <v/>
          </cell>
        </row>
        <row r="747">
          <cell r="A747">
            <v>34000000</v>
          </cell>
          <cell r="C747">
            <v>34000000</v>
          </cell>
          <cell r="D747">
            <v>34000000</v>
          </cell>
          <cell r="E747">
            <v>34000000</v>
          </cell>
          <cell r="F747">
            <v>34000000</v>
          </cell>
          <cell r="G747">
            <v>34000000</v>
          </cell>
          <cell r="H747">
            <v>34000000</v>
          </cell>
          <cell r="I747" t="str">
            <v/>
          </cell>
          <cell r="J747" t="str">
            <v/>
          </cell>
          <cell r="K747" t="str">
            <v/>
          </cell>
          <cell r="L747" t="str">
            <v/>
          </cell>
        </row>
        <row r="748">
          <cell r="A748">
            <v>34000000</v>
          </cell>
          <cell r="C748">
            <v>34000000</v>
          </cell>
          <cell r="D748">
            <v>34000000</v>
          </cell>
          <cell r="E748">
            <v>34000000</v>
          </cell>
          <cell r="F748">
            <v>34000000</v>
          </cell>
          <cell r="G748">
            <v>34000000</v>
          </cell>
          <cell r="H748">
            <v>34000000</v>
          </cell>
          <cell r="I748" t="str">
            <v/>
          </cell>
          <cell r="J748" t="str">
            <v/>
          </cell>
          <cell r="K748" t="str">
            <v/>
          </cell>
          <cell r="L748" t="str">
            <v/>
          </cell>
        </row>
        <row r="749">
          <cell r="A749">
            <v>34000000</v>
          </cell>
          <cell r="C749">
            <v>34000000</v>
          </cell>
          <cell r="D749">
            <v>34000000</v>
          </cell>
          <cell r="E749">
            <v>34000000</v>
          </cell>
          <cell r="F749">
            <v>34000000</v>
          </cell>
          <cell r="G749">
            <v>34000000</v>
          </cell>
          <cell r="H749">
            <v>34000000</v>
          </cell>
          <cell r="I749" t="str">
            <v/>
          </cell>
          <cell r="J749" t="str">
            <v/>
          </cell>
          <cell r="K749" t="str">
            <v/>
          </cell>
          <cell r="L749" t="str">
            <v/>
          </cell>
        </row>
        <row r="750">
          <cell r="A750">
            <v>34000000</v>
          </cell>
          <cell r="C750">
            <v>34000000</v>
          </cell>
          <cell r="D750">
            <v>34000000</v>
          </cell>
          <cell r="E750">
            <v>34000000</v>
          </cell>
          <cell r="F750">
            <v>34000000</v>
          </cell>
          <cell r="G750">
            <v>34000000</v>
          </cell>
          <cell r="H750">
            <v>34000000</v>
          </cell>
          <cell r="I750" t="str">
            <v/>
          </cell>
          <cell r="J750" t="str">
            <v/>
          </cell>
          <cell r="K750" t="str">
            <v/>
          </cell>
          <cell r="L750" t="str">
            <v/>
          </cell>
        </row>
        <row r="751">
          <cell r="A751">
            <v>34000000</v>
          </cell>
          <cell r="C751">
            <v>34000000</v>
          </cell>
          <cell r="D751">
            <v>34000000</v>
          </cell>
          <cell r="E751">
            <v>34000000</v>
          </cell>
          <cell r="F751">
            <v>34000000</v>
          </cell>
          <cell r="G751">
            <v>34000000</v>
          </cell>
          <cell r="H751">
            <v>34000000</v>
          </cell>
          <cell r="I751" t="str">
            <v/>
          </cell>
          <cell r="J751" t="str">
            <v/>
          </cell>
          <cell r="K751" t="str">
            <v/>
          </cell>
          <cell r="L751" t="str">
            <v/>
          </cell>
        </row>
        <row r="752">
          <cell r="A752">
            <v>34000000</v>
          </cell>
          <cell r="C752">
            <v>34000000</v>
          </cell>
          <cell r="D752">
            <v>34000000</v>
          </cell>
          <cell r="E752">
            <v>34000000</v>
          </cell>
          <cell r="F752">
            <v>34000000</v>
          </cell>
          <cell r="G752">
            <v>34000000</v>
          </cell>
          <cell r="H752">
            <v>34000000</v>
          </cell>
          <cell r="I752" t="str">
            <v/>
          </cell>
          <cell r="J752" t="str">
            <v/>
          </cell>
          <cell r="K752" t="str">
            <v/>
          </cell>
          <cell r="L752" t="str">
            <v/>
          </cell>
        </row>
        <row r="753">
          <cell r="A753">
            <v>34000000</v>
          </cell>
          <cell r="C753">
            <v>34000000</v>
          </cell>
          <cell r="D753">
            <v>34000000</v>
          </cell>
          <cell r="E753">
            <v>34000000</v>
          </cell>
          <cell r="F753">
            <v>34000000</v>
          </cell>
          <cell r="G753">
            <v>34000000</v>
          </cell>
          <cell r="H753">
            <v>34000000</v>
          </cell>
          <cell r="I753" t="str">
            <v/>
          </cell>
          <cell r="J753" t="str">
            <v/>
          </cell>
          <cell r="K753" t="str">
            <v/>
          </cell>
          <cell r="L753" t="str">
            <v/>
          </cell>
        </row>
        <row r="754">
          <cell r="A754">
            <v>34000000</v>
          </cell>
          <cell r="C754">
            <v>34000000</v>
          </cell>
          <cell r="D754">
            <v>34000000</v>
          </cell>
          <cell r="E754">
            <v>34000000</v>
          </cell>
          <cell r="F754">
            <v>34000000</v>
          </cell>
          <cell r="G754">
            <v>34000000</v>
          </cell>
          <cell r="H754">
            <v>34000000</v>
          </cell>
          <cell r="I754" t="str">
            <v/>
          </cell>
          <cell r="J754" t="str">
            <v/>
          </cell>
          <cell r="K754" t="str">
            <v/>
          </cell>
          <cell r="L754" t="str">
            <v/>
          </cell>
        </row>
        <row r="755">
          <cell r="A755">
            <v>34000000</v>
          </cell>
          <cell r="C755">
            <v>34000000</v>
          </cell>
          <cell r="D755">
            <v>34000000</v>
          </cell>
          <cell r="E755">
            <v>34000000</v>
          </cell>
          <cell r="F755">
            <v>34000000</v>
          </cell>
          <cell r="G755">
            <v>34000000</v>
          </cell>
          <cell r="H755">
            <v>34000000</v>
          </cell>
          <cell r="I755" t="str">
            <v/>
          </cell>
          <cell r="J755" t="str">
            <v/>
          </cell>
          <cell r="K755" t="str">
            <v/>
          </cell>
          <cell r="L755" t="str">
            <v/>
          </cell>
        </row>
        <row r="756">
          <cell r="A756">
            <v>34000000</v>
          </cell>
          <cell r="C756">
            <v>34000000</v>
          </cell>
          <cell r="D756">
            <v>34000000</v>
          </cell>
          <cell r="E756">
            <v>34000000</v>
          </cell>
          <cell r="F756">
            <v>34000000</v>
          </cell>
          <cell r="G756">
            <v>34000000</v>
          </cell>
          <cell r="H756">
            <v>34000000</v>
          </cell>
          <cell r="I756" t="str">
            <v/>
          </cell>
          <cell r="J756" t="str">
            <v/>
          </cell>
          <cell r="K756" t="str">
            <v/>
          </cell>
          <cell r="L756" t="str">
            <v/>
          </cell>
        </row>
        <row r="757">
          <cell r="A757">
            <v>34000000</v>
          </cell>
          <cell r="C757">
            <v>34000000</v>
          </cell>
          <cell r="D757">
            <v>34000000</v>
          </cell>
          <cell r="E757">
            <v>34000000</v>
          </cell>
          <cell r="F757">
            <v>34000000</v>
          </cell>
          <cell r="G757">
            <v>34000000</v>
          </cell>
          <cell r="H757">
            <v>34000000</v>
          </cell>
          <cell r="I757" t="str">
            <v/>
          </cell>
          <cell r="J757" t="str">
            <v/>
          </cell>
          <cell r="K757" t="str">
            <v/>
          </cell>
          <cell r="L757" t="str">
            <v/>
          </cell>
        </row>
        <row r="758">
          <cell r="A758">
            <v>34000000</v>
          </cell>
          <cell r="C758">
            <v>34000000</v>
          </cell>
          <cell r="D758">
            <v>34000000</v>
          </cell>
          <cell r="E758">
            <v>34000000</v>
          </cell>
          <cell r="F758">
            <v>34000000</v>
          </cell>
          <cell r="G758">
            <v>34000000</v>
          </cell>
          <cell r="H758">
            <v>34000000</v>
          </cell>
          <cell r="I758" t="str">
            <v/>
          </cell>
          <cell r="J758" t="str">
            <v/>
          </cell>
          <cell r="K758" t="str">
            <v/>
          </cell>
          <cell r="L758" t="str">
            <v/>
          </cell>
        </row>
        <row r="759">
          <cell r="A759">
            <v>34000000</v>
          </cell>
          <cell r="C759">
            <v>34000000</v>
          </cell>
          <cell r="D759">
            <v>34000000</v>
          </cell>
          <cell r="E759">
            <v>34000000</v>
          </cell>
          <cell r="F759">
            <v>34000000</v>
          </cell>
          <cell r="G759">
            <v>34000000</v>
          </cell>
          <cell r="H759">
            <v>34000000</v>
          </cell>
          <cell r="I759" t="str">
            <v/>
          </cell>
          <cell r="J759" t="str">
            <v/>
          </cell>
          <cell r="K759" t="str">
            <v/>
          </cell>
          <cell r="L759" t="str">
            <v/>
          </cell>
        </row>
        <row r="760">
          <cell r="A760">
            <v>34000000</v>
          </cell>
          <cell r="C760">
            <v>34000000</v>
          </cell>
          <cell r="D760">
            <v>34000000</v>
          </cell>
          <cell r="E760">
            <v>34000000</v>
          </cell>
          <cell r="F760">
            <v>34000000</v>
          </cell>
          <cell r="G760">
            <v>34000000</v>
          </cell>
          <cell r="H760">
            <v>34000000</v>
          </cell>
          <cell r="I760" t="str">
            <v/>
          </cell>
          <cell r="J760" t="str">
            <v/>
          </cell>
          <cell r="K760" t="str">
            <v/>
          </cell>
          <cell r="L760" t="str">
            <v/>
          </cell>
        </row>
        <row r="761">
          <cell r="A761">
            <v>34000000</v>
          </cell>
          <cell r="C761">
            <v>34000000</v>
          </cell>
          <cell r="D761">
            <v>34000000</v>
          </cell>
          <cell r="E761">
            <v>34000000</v>
          </cell>
          <cell r="F761">
            <v>34000000</v>
          </cell>
          <cell r="G761">
            <v>34000000</v>
          </cell>
          <cell r="H761">
            <v>34000000</v>
          </cell>
          <cell r="I761" t="str">
            <v/>
          </cell>
          <cell r="J761" t="str">
            <v/>
          </cell>
          <cell r="K761" t="str">
            <v/>
          </cell>
          <cell r="L761" t="str">
            <v/>
          </cell>
        </row>
        <row r="762">
          <cell r="A762">
            <v>34000000</v>
          </cell>
          <cell r="C762">
            <v>34000000</v>
          </cell>
          <cell r="D762">
            <v>34000000</v>
          </cell>
          <cell r="E762">
            <v>34000000</v>
          </cell>
          <cell r="F762">
            <v>34000000</v>
          </cell>
          <cell r="G762">
            <v>34000000</v>
          </cell>
          <cell r="H762">
            <v>34000000</v>
          </cell>
          <cell r="I762" t="str">
            <v/>
          </cell>
          <cell r="J762" t="str">
            <v/>
          </cell>
          <cell r="K762" t="str">
            <v/>
          </cell>
          <cell r="L762" t="str">
            <v/>
          </cell>
        </row>
        <row r="763">
          <cell r="A763">
            <v>34000000</v>
          </cell>
          <cell r="C763">
            <v>34000000</v>
          </cell>
          <cell r="D763">
            <v>34000000</v>
          </cell>
          <cell r="E763">
            <v>34000000</v>
          </cell>
          <cell r="F763">
            <v>34000000</v>
          </cell>
          <cell r="G763">
            <v>34000000</v>
          </cell>
          <cell r="H763">
            <v>34000000</v>
          </cell>
          <cell r="I763" t="str">
            <v/>
          </cell>
          <cell r="J763" t="str">
            <v/>
          </cell>
          <cell r="K763" t="str">
            <v/>
          </cell>
          <cell r="L763" t="str">
            <v/>
          </cell>
        </row>
        <row r="764">
          <cell r="A764">
            <v>34000000</v>
          </cell>
          <cell r="C764">
            <v>34000000</v>
          </cell>
          <cell r="D764">
            <v>34000000</v>
          </cell>
          <cell r="E764">
            <v>34000000</v>
          </cell>
          <cell r="F764">
            <v>34000000</v>
          </cell>
          <cell r="G764">
            <v>34000000</v>
          </cell>
          <cell r="H764">
            <v>34000000</v>
          </cell>
          <cell r="I764" t="str">
            <v/>
          </cell>
          <cell r="J764" t="str">
            <v/>
          </cell>
          <cell r="K764" t="str">
            <v/>
          </cell>
          <cell r="L764" t="str">
            <v/>
          </cell>
        </row>
        <row r="765">
          <cell r="A765">
            <v>34000000</v>
          </cell>
          <cell r="C765">
            <v>34000000</v>
          </cell>
          <cell r="D765">
            <v>34000000</v>
          </cell>
          <cell r="E765">
            <v>34000000</v>
          </cell>
          <cell r="F765">
            <v>34000000</v>
          </cell>
          <cell r="G765">
            <v>34000000</v>
          </cell>
          <cell r="H765">
            <v>34000000</v>
          </cell>
          <cell r="I765" t="str">
            <v/>
          </cell>
          <cell r="J765" t="str">
            <v/>
          </cell>
          <cell r="K765" t="str">
            <v/>
          </cell>
          <cell r="L765" t="str">
            <v/>
          </cell>
        </row>
        <row r="766">
          <cell r="A766">
            <v>34000000</v>
          </cell>
          <cell r="C766">
            <v>34000000</v>
          </cell>
          <cell r="D766">
            <v>34000000</v>
          </cell>
          <cell r="E766">
            <v>34000000</v>
          </cell>
          <cell r="F766">
            <v>34000000</v>
          </cell>
          <cell r="G766">
            <v>34000000</v>
          </cell>
          <cell r="H766">
            <v>34000000</v>
          </cell>
          <cell r="I766" t="str">
            <v/>
          </cell>
          <cell r="J766" t="str">
            <v/>
          </cell>
          <cell r="K766" t="str">
            <v/>
          </cell>
          <cell r="L766" t="str">
            <v/>
          </cell>
        </row>
        <row r="767">
          <cell r="A767">
            <v>34000000</v>
          </cell>
          <cell r="C767">
            <v>34000000</v>
          </cell>
          <cell r="D767">
            <v>34000000</v>
          </cell>
          <cell r="E767">
            <v>34000000</v>
          </cell>
          <cell r="F767">
            <v>34000000</v>
          </cell>
          <cell r="G767">
            <v>34000000</v>
          </cell>
          <cell r="H767">
            <v>34000000</v>
          </cell>
          <cell r="I767" t="str">
            <v/>
          </cell>
          <cell r="J767" t="str">
            <v/>
          </cell>
          <cell r="K767" t="str">
            <v/>
          </cell>
          <cell r="L767" t="str">
            <v/>
          </cell>
        </row>
        <row r="768">
          <cell r="A768">
            <v>34000000</v>
          </cell>
          <cell r="C768">
            <v>34000000</v>
          </cell>
          <cell r="D768">
            <v>34000000</v>
          </cell>
          <cell r="E768">
            <v>34000000</v>
          </cell>
          <cell r="F768">
            <v>34000000</v>
          </cell>
          <cell r="G768">
            <v>34000000</v>
          </cell>
          <cell r="H768">
            <v>34000000</v>
          </cell>
          <cell r="I768" t="str">
            <v/>
          </cell>
          <cell r="J768" t="str">
            <v/>
          </cell>
          <cell r="K768" t="str">
            <v/>
          </cell>
          <cell r="L768" t="str">
            <v/>
          </cell>
        </row>
        <row r="769">
          <cell r="A769">
            <v>34000000</v>
          </cell>
          <cell r="C769">
            <v>34000000</v>
          </cell>
          <cell r="D769">
            <v>34000000</v>
          </cell>
          <cell r="E769">
            <v>34000000</v>
          </cell>
          <cell r="F769">
            <v>34000000</v>
          </cell>
          <cell r="G769">
            <v>34000000</v>
          </cell>
          <cell r="H769">
            <v>34000000</v>
          </cell>
          <cell r="I769" t="str">
            <v/>
          </cell>
          <cell r="J769" t="str">
            <v/>
          </cell>
          <cell r="K769" t="str">
            <v/>
          </cell>
          <cell r="L769" t="str">
            <v/>
          </cell>
        </row>
        <row r="770">
          <cell r="A770">
            <v>34000000</v>
          </cell>
          <cell r="C770">
            <v>34000000</v>
          </cell>
          <cell r="D770">
            <v>34000000</v>
          </cell>
          <cell r="E770">
            <v>34000000</v>
          </cell>
          <cell r="F770">
            <v>34000000</v>
          </cell>
          <cell r="G770">
            <v>34000000</v>
          </cell>
          <cell r="H770">
            <v>34000000</v>
          </cell>
          <cell r="I770" t="str">
            <v/>
          </cell>
          <cell r="J770" t="str">
            <v/>
          </cell>
          <cell r="K770" t="str">
            <v/>
          </cell>
          <cell r="L770" t="str">
            <v/>
          </cell>
        </row>
        <row r="771">
          <cell r="A771">
            <v>34000000</v>
          </cell>
          <cell r="C771">
            <v>34000000</v>
          </cell>
          <cell r="D771">
            <v>34000000</v>
          </cell>
          <cell r="E771">
            <v>34000000</v>
          </cell>
          <cell r="F771">
            <v>34000000</v>
          </cell>
          <cell r="G771">
            <v>34000000</v>
          </cell>
          <cell r="H771">
            <v>34000000</v>
          </cell>
          <cell r="I771" t="str">
            <v/>
          </cell>
          <cell r="J771" t="str">
            <v/>
          </cell>
          <cell r="K771" t="str">
            <v/>
          </cell>
          <cell r="L771" t="str">
            <v/>
          </cell>
        </row>
        <row r="772">
          <cell r="A772">
            <v>34000000</v>
          </cell>
          <cell r="C772">
            <v>34000000</v>
          </cell>
          <cell r="D772">
            <v>34000000</v>
          </cell>
          <cell r="E772">
            <v>34000000</v>
          </cell>
          <cell r="F772">
            <v>34000000</v>
          </cell>
          <cell r="G772">
            <v>34000000</v>
          </cell>
          <cell r="H772">
            <v>34000000</v>
          </cell>
          <cell r="I772" t="str">
            <v/>
          </cell>
          <cell r="J772" t="str">
            <v/>
          </cell>
          <cell r="K772" t="str">
            <v/>
          </cell>
          <cell r="L772" t="str">
            <v/>
          </cell>
        </row>
        <row r="773">
          <cell r="A773">
            <v>34000000</v>
          </cell>
          <cell r="C773">
            <v>34000000</v>
          </cell>
          <cell r="D773">
            <v>34000000</v>
          </cell>
          <cell r="E773">
            <v>34000000</v>
          </cell>
          <cell r="F773">
            <v>34000000</v>
          </cell>
          <cell r="G773">
            <v>34000000</v>
          </cell>
          <cell r="H773">
            <v>34000000</v>
          </cell>
          <cell r="I773" t="str">
            <v/>
          </cell>
          <cell r="J773" t="str">
            <v/>
          </cell>
          <cell r="K773" t="str">
            <v/>
          </cell>
          <cell r="L773" t="str">
            <v/>
          </cell>
        </row>
        <row r="774">
          <cell r="A774">
            <v>34000000</v>
          </cell>
          <cell r="C774">
            <v>34000000</v>
          </cell>
          <cell r="D774">
            <v>34000000</v>
          </cell>
          <cell r="E774">
            <v>34000000</v>
          </cell>
          <cell r="F774">
            <v>34000000</v>
          </cell>
          <cell r="G774">
            <v>34000000</v>
          </cell>
          <cell r="H774">
            <v>34000000</v>
          </cell>
          <cell r="I774" t="str">
            <v/>
          </cell>
          <cell r="J774" t="str">
            <v/>
          </cell>
          <cell r="K774" t="str">
            <v/>
          </cell>
          <cell r="L774" t="str">
            <v/>
          </cell>
        </row>
        <row r="775">
          <cell r="A775">
            <v>34000000</v>
          </cell>
          <cell r="C775">
            <v>34000000</v>
          </cell>
          <cell r="D775">
            <v>34000000</v>
          </cell>
          <cell r="E775">
            <v>34000000</v>
          </cell>
          <cell r="F775">
            <v>34000000</v>
          </cell>
          <cell r="G775">
            <v>34000000</v>
          </cell>
          <cell r="H775">
            <v>34000000</v>
          </cell>
          <cell r="I775" t="str">
            <v/>
          </cell>
          <cell r="J775" t="str">
            <v/>
          </cell>
          <cell r="K775" t="str">
            <v/>
          </cell>
          <cell r="L775" t="str">
            <v/>
          </cell>
        </row>
        <row r="776">
          <cell r="A776">
            <v>34000000</v>
          </cell>
          <cell r="C776">
            <v>34000000</v>
          </cell>
          <cell r="D776">
            <v>34000000</v>
          </cell>
          <cell r="E776">
            <v>34000000</v>
          </cell>
          <cell r="F776">
            <v>34000000</v>
          </cell>
          <cell r="G776">
            <v>34000000</v>
          </cell>
          <cell r="H776">
            <v>34000000</v>
          </cell>
          <cell r="I776" t="str">
            <v/>
          </cell>
          <cell r="J776" t="str">
            <v/>
          </cell>
          <cell r="K776" t="str">
            <v/>
          </cell>
          <cell r="L776" t="str">
            <v/>
          </cell>
        </row>
        <row r="777">
          <cell r="A777">
            <v>34000000</v>
          </cell>
          <cell r="C777">
            <v>34000000</v>
          </cell>
          <cell r="D777">
            <v>34000000</v>
          </cell>
          <cell r="E777">
            <v>34000000</v>
          </cell>
          <cell r="F777">
            <v>34000000</v>
          </cell>
          <cell r="G777">
            <v>34000000</v>
          </cell>
          <cell r="H777">
            <v>34000000</v>
          </cell>
          <cell r="I777" t="str">
            <v/>
          </cell>
          <cell r="J777" t="str">
            <v/>
          </cell>
          <cell r="K777" t="str">
            <v/>
          </cell>
          <cell r="L777" t="str">
            <v/>
          </cell>
        </row>
        <row r="778">
          <cell r="A778">
            <v>34000000</v>
          </cell>
          <cell r="C778">
            <v>34000000</v>
          </cell>
          <cell r="D778">
            <v>34000000</v>
          </cell>
          <cell r="E778">
            <v>34000000</v>
          </cell>
          <cell r="F778">
            <v>34000000</v>
          </cell>
          <cell r="G778">
            <v>34000000</v>
          </cell>
          <cell r="H778">
            <v>34000000</v>
          </cell>
          <cell r="I778" t="str">
            <v/>
          </cell>
          <cell r="J778" t="str">
            <v/>
          </cell>
          <cell r="K778" t="str">
            <v/>
          </cell>
          <cell r="L778" t="str">
            <v/>
          </cell>
        </row>
        <row r="779">
          <cell r="A779">
            <v>34000000</v>
          </cell>
          <cell r="C779">
            <v>34000000</v>
          </cell>
          <cell r="D779">
            <v>34000000</v>
          </cell>
          <cell r="E779">
            <v>34000000</v>
          </cell>
          <cell r="F779">
            <v>34000000</v>
          </cell>
          <cell r="G779">
            <v>34000000</v>
          </cell>
          <cell r="H779">
            <v>34000000</v>
          </cell>
          <cell r="I779" t="str">
            <v/>
          </cell>
          <cell r="J779" t="str">
            <v/>
          </cell>
          <cell r="K779" t="str">
            <v/>
          </cell>
          <cell r="L779" t="str">
            <v/>
          </cell>
        </row>
        <row r="780">
          <cell r="A780">
            <v>34000000</v>
          </cell>
          <cell r="C780">
            <v>34000000</v>
          </cell>
          <cell r="D780">
            <v>34000000</v>
          </cell>
          <cell r="E780">
            <v>34000000</v>
          </cell>
          <cell r="F780">
            <v>34000000</v>
          </cell>
          <cell r="G780">
            <v>34000000</v>
          </cell>
          <cell r="H780">
            <v>34000000</v>
          </cell>
          <cell r="I780" t="str">
            <v/>
          </cell>
          <cell r="J780" t="str">
            <v/>
          </cell>
          <cell r="K780" t="str">
            <v/>
          </cell>
          <cell r="L780" t="str">
            <v/>
          </cell>
        </row>
        <row r="781">
          <cell r="A781">
            <v>34000000</v>
          </cell>
          <cell r="C781">
            <v>34000000</v>
          </cell>
          <cell r="D781">
            <v>34000000</v>
          </cell>
          <cell r="E781">
            <v>34000000</v>
          </cell>
          <cell r="F781">
            <v>34000000</v>
          </cell>
          <cell r="G781">
            <v>34000000</v>
          </cell>
          <cell r="H781">
            <v>34000000</v>
          </cell>
          <cell r="I781" t="str">
            <v/>
          </cell>
          <cell r="J781" t="str">
            <v/>
          </cell>
          <cell r="K781" t="str">
            <v/>
          </cell>
          <cell r="L781" t="str">
            <v/>
          </cell>
        </row>
        <row r="782">
          <cell r="A782">
            <v>34000000</v>
          </cell>
          <cell r="C782">
            <v>34000000</v>
          </cell>
          <cell r="D782">
            <v>34000000</v>
          </cell>
          <cell r="E782">
            <v>34000000</v>
          </cell>
          <cell r="F782">
            <v>34000000</v>
          </cell>
          <cell r="G782">
            <v>34000000</v>
          </cell>
          <cell r="H782">
            <v>34000000</v>
          </cell>
          <cell r="I782" t="str">
            <v/>
          </cell>
          <cell r="J782" t="str">
            <v/>
          </cell>
          <cell r="K782" t="str">
            <v/>
          </cell>
          <cell r="L782" t="str">
            <v/>
          </cell>
        </row>
        <row r="783">
          <cell r="A783">
            <v>34000000</v>
          </cell>
          <cell r="C783">
            <v>34000000</v>
          </cell>
          <cell r="D783">
            <v>34000000</v>
          </cell>
          <cell r="E783">
            <v>34000000</v>
          </cell>
          <cell r="F783">
            <v>34000000</v>
          </cell>
          <cell r="G783">
            <v>34000000</v>
          </cell>
          <cell r="H783">
            <v>34000000</v>
          </cell>
          <cell r="I783" t="str">
            <v/>
          </cell>
          <cell r="J783" t="str">
            <v/>
          </cell>
          <cell r="K783" t="str">
            <v/>
          </cell>
          <cell r="L783" t="str">
            <v/>
          </cell>
        </row>
        <row r="784">
          <cell r="A784">
            <v>34000000</v>
          </cell>
          <cell r="C784">
            <v>34000000</v>
          </cell>
          <cell r="D784">
            <v>34000000</v>
          </cell>
          <cell r="E784">
            <v>34000000</v>
          </cell>
          <cell r="F784">
            <v>34000000</v>
          </cell>
          <cell r="G784">
            <v>34000000</v>
          </cell>
          <cell r="H784">
            <v>34000000</v>
          </cell>
          <cell r="I784" t="str">
            <v/>
          </cell>
          <cell r="J784" t="str">
            <v/>
          </cell>
          <cell r="K784" t="str">
            <v/>
          </cell>
          <cell r="L784" t="str">
            <v/>
          </cell>
        </row>
        <row r="785">
          <cell r="A785">
            <v>34000000</v>
          </cell>
          <cell r="C785">
            <v>34000000</v>
          </cell>
          <cell r="D785">
            <v>34000000</v>
          </cell>
          <cell r="E785">
            <v>34000000</v>
          </cell>
          <cell r="F785">
            <v>34000000</v>
          </cell>
          <cell r="G785">
            <v>34000000</v>
          </cell>
          <cell r="H785">
            <v>34000000</v>
          </cell>
          <cell r="I785" t="str">
            <v/>
          </cell>
          <cell r="J785" t="str">
            <v/>
          </cell>
          <cell r="K785" t="str">
            <v/>
          </cell>
          <cell r="L785" t="str">
            <v/>
          </cell>
        </row>
        <row r="786">
          <cell r="A786">
            <v>34000000</v>
          </cell>
          <cell r="C786">
            <v>34000000</v>
          </cell>
          <cell r="D786">
            <v>34000000</v>
          </cell>
          <cell r="E786">
            <v>34000000</v>
          </cell>
          <cell r="F786">
            <v>34000000</v>
          </cell>
          <cell r="G786">
            <v>34000000</v>
          </cell>
          <cell r="H786">
            <v>34000000</v>
          </cell>
          <cell r="I786" t="str">
            <v/>
          </cell>
          <cell r="J786" t="str">
            <v/>
          </cell>
          <cell r="K786" t="str">
            <v/>
          </cell>
          <cell r="L786" t="str">
            <v/>
          </cell>
        </row>
        <row r="787">
          <cell r="A787">
            <v>34000000</v>
          </cell>
          <cell r="C787">
            <v>34000000</v>
          </cell>
          <cell r="D787">
            <v>34000000</v>
          </cell>
          <cell r="E787">
            <v>34000000</v>
          </cell>
          <cell r="F787">
            <v>34000000</v>
          </cell>
          <cell r="G787">
            <v>34000000</v>
          </cell>
          <cell r="H787">
            <v>34000000</v>
          </cell>
          <cell r="I787" t="str">
            <v/>
          </cell>
          <cell r="J787" t="str">
            <v/>
          </cell>
          <cell r="K787" t="str">
            <v/>
          </cell>
          <cell r="L787" t="str">
            <v/>
          </cell>
        </row>
        <row r="788">
          <cell r="A788">
            <v>34000000</v>
          </cell>
          <cell r="C788">
            <v>34000000</v>
          </cell>
          <cell r="D788">
            <v>34000000</v>
          </cell>
          <cell r="E788">
            <v>34000000</v>
          </cell>
          <cell r="F788">
            <v>34000000</v>
          </cell>
          <cell r="G788">
            <v>34000000</v>
          </cell>
          <cell r="H788">
            <v>34000000</v>
          </cell>
          <cell r="I788" t="str">
            <v/>
          </cell>
          <cell r="J788" t="str">
            <v/>
          </cell>
          <cell r="K788" t="str">
            <v/>
          </cell>
          <cell r="L788" t="str">
            <v/>
          </cell>
        </row>
        <row r="789">
          <cell r="A789">
            <v>34000000</v>
          </cell>
          <cell r="C789">
            <v>34000000</v>
          </cell>
          <cell r="D789">
            <v>34000000</v>
          </cell>
          <cell r="E789">
            <v>34000000</v>
          </cell>
          <cell r="F789">
            <v>34000000</v>
          </cell>
          <cell r="G789">
            <v>34000000</v>
          </cell>
          <cell r="H789">
            <v>34000000</v>
          </cell>
          <cell r="I789" t="str">
            <v/>
          </cell>
          <cell r="J789" t="str">
            <v/>
          </cell>
          <cell r="K789" t="str">
            <v/>
          </cell>
          <cell r="L789" t="str">
            <v/>
          </cell>
        </row>
        <row r="790">
          <cell r="A790">
            <v>34000000</v>
          </cell>
          <cell r="C790">
            <v>34000000</v>
          </cell>
          <cell r="D790">
            <v>34000000</v>
          </cell>
          <cell r="E790">
            <v>34000000</v>
          </cell>
          <cell r="F790">
            <v>34000000</v>
          </cell>
          <cell r="G790">
            <v>34000000</v>
          </cell>
          <cell r="H790">
            <v>34000000</v>
          </cell>
          <cell r="I790" t="str">
            <v/>
          </cell>
          <cell r="J790" t="str">
            <v/>
          </cell>
          <cell r="K790" t="str">
            <v/>
          </cell>
          <cell r="L790" t="str">
            <v/>
          </cell>
        </row>
        <row r="791">
          <cell r="A791">
            <v>34000000</v>
          </cell>
          <cell r="C791">
            <v>34000000</v>
          </cell>
          <cell r="D791">
            <v>34000000</v>
          </cell>
          <cell r="E791">
            <v>34000000</v>
          </cell>
          <cell r="F791">
            <v>34000000</v>
          </cell>
          <cell r="G791">
            <v>34000000</v>
          </cell>
          <cell r="H791">
            <v>34000000</v>
          </cell>
          <cell r="I791" t="str">
            <v/>
          </cell>
          <cell r="J791" t="str">
            <v/>
          </cell>
          <cell r="K791" t="str">
            <v/>
          </cell>
          <cell r="L791" t="str">
            <v/>
          </cell>
        </row>
        <row r="792">
          <cell r="A792">
            <v>34000000</v>
          </cell>
          <cell r="C792">
            <v>34000000</v>
          </cell>
          <cell r="D792">
            <v>34000000</v>
          </cell>
          <cell r="E792">
            <v>34000000</v>
          </cell>
          <cell r="F792">
            <v>34000000</v>
          </cell>
          <cell r="G792">
            <v>34000000</v>
          </cell>
          <cell r="H792">
            <v>34000000</v>
          </cell>
          <cell r="I792" t="str">
            <v/>
          </cell>
          <cell r="J792" t="str">
            <v/>
          </cell>
          <cell r="K792" t="str">
            <v/>
          </cell>
          <cell r="L792" t="str">
            <v/>
          </cell>
        </row>
        <row r="793">
          <cell r="A793">
            <v>34000000</v>
          </cell>
          <cell r="C793">
            <v>34000000</v>
          </cell>
          <cell r="D793">
            <v>34000000</v>
          </cell>
          <cell r="E793">
            <v>34000000</v>
          </cell>
          <cell r="F793">
            <v>34000000</v>
          </cell>
          <cell r="G793">
            <v>34000000</v>
          </cell>
          <cell r="H793">
            <v>34000000</v>
          </cell>
          <cell r="I793" t="str">
            <v/>
          </cell>
          <cell r="J793" t="str">
            <v/>
          </cell>
          <cell r="K793" t="str">
            <v/>
          </cell>
          <cell r="L793" t="str">
            <v/>
          </cell>
        </row>
        <row r="794">
          <cell r="A794">
            <v>34000000</v>
          </cell>
          <cell r="C794">
            <v>34000000</v>
          </cell>
          <cell r="D794">
            <v>34000000</v>
          </cell>
          <cell r="E794">
            <v>34000000</v>
          </cell>
          <cell r="F794">
            <v>34000000</v>
          </cell>
          <cell r="G794">
            <v>34000000</v>
          </cell>
          <cell r="H794">
            <v>34000000</v>
          </cell>
          <cell r="I794" t="str">
            <v/>
          </cell>
          <cell r="J794" t="str">
            <v/>
          </cell>
          <cell r="K794" t="str">
            <v/>
          </cell>
          <cell r="L794" t="str">
            <v/>
          </cell>
        </row>
        <row r="795">
          <cell r="A795">
            <v>34000000</v>
          </cell>
          <cell r="C795">
            <v>34000000</v>
          </cell>
          <cell r="D795">
            <v>34000000</v>
          </cell>
          <cell r="E795">
            <v>34000000</v>
          </cell>
          <cell r="F795">
            <v>34000000</v>
          </cell>
          <cell r="G795">
            <v>34000000</v>
          </cell>
          <cell r="H795">
            <v>34000000</v>
          </cell>
          <cell r="I795" t="str">
            <v/>
          </cell>
          <cell r="J795" t="str">
            <v/>
          </cell>
          <cell r="K795" t="str">
            <v/>
          </cell>
          <cell r="L795" t="str">
            <v/>
          </cell>
        </row>
        <row r="796">
          <cell r="A796">
            <v>34000000</v>
          </cell>
          <cell r="C796">
            <v>34000000</v>
          </cell>
          <cell r="D796">
            <v>34000000</v>
          </cell>
          <cell r="E796">
            <v>34000000</v>
          </cell>
          <cell r="F796">
            <v>34000000</v>
          </cell>
          <cell r="G796">
            <v>34000000</v>
          </cell>
          <cell r="H796">
            <v>34000000</v>
          </cell>
          <cell r="I796" t="str">
            <v/>
          </cell>
          <cell r="J796" t="str">
            <v/>
          </cell>
          <cell r="K796" t="str">
            <v/>
          </cell>
          <cell r="L796" t="str">
            <v/>
          </cell>
        </row>
        <row r="797">
          <cell r="A797">
            <v>34000000</v>
          </cell>
          <cell r="C797">
            <v>34000000</v>
          </cell>
          <cell r="D797">
            <v>34000000</v>
          </cell>
          <cell r="E797">
            <v>34000000</v>
          </cell>
          <cell r="F797">
            <v>34000000</v>
          </cell>
          <cell r="G797">
            <v>34000000</v>
          </cell>
          <cell r="H797">
            <v>34000000</v>
          </cell>
          <cell r="I797" t="str">
            <v/>
          </cell>
          <cell r="J797" t="str">
            <v/>
          </cell>
          <cell r="K797" t="str">
            <v/>
          </cell>
          <cell r="L797" t="str">
            <v/>
          </cell>
        </row>
        <row r="798">
          <cell r="A798">
            <v>34000000</v>
          </cell>
          <cell r="C798">
            <v>34000000</v>
          </cell>
          <cell r="D798">
            <v>34000000</v>
          </cell>
          <cell r="E798">
            <v>34000000</v>
          </cell>
          <cell r="F798">
            <v>34000000</v>
          </cell>
          <cell r="G798">
            <v>34000000</v>
          </cell>
          <cell r="H798">
            <v>34000000</v>
          </cell>
          <cell r="I798" t="str">
            <v/>
          </cell>
          <cell r="J798" t="str">
            <v/>
          </cell>
          <cell r="K798" t="str">
            <v/>
          </cell>
          <cell r="L798" t="str">
            <v/>
          </cell>
        </row>
        <row r="799">
          <cell r="A799">
            <v>34000000</v>
          </cell>
          <cell r="C799">
            <v>34000000</v>
          </cell>
          <cell r="D799">
            <v>34000000</v>
          </cell>
          <cell r="E799">
            <v>34000000</v>
          </cell>
          <cell r="F799">
            <v>34000000</v>
          </cell>
          <cell r="G799">
            <v>34000000</v>
          </cell>
          <cell r="H799">
            <v>34000000</v>
          </cell>
          <cell r="I799" t="str">
            <v/>
          </cell>
          <cell r="J799" t="str">
            <v/>
          </cell>
          <cell r="K799" t="str">
            <v/>
          </cell>
          <cell r="L799" t="str">
            <v/>
          </cell>
        </row>
        <row r="800">
          <cell r="A800">
            <v>34000000</v>
          </cell>
          <cell r="C800">
            <v>34000000</v>
          </cell>
          <cell r="D800">
            <v>34000000</v>
          </cell>
          <cell r="E800">
            <v>34000000</v>
          </cell>
          <cell r="F800">
            <v>34000000</v>
          </cell>
          <cell r="G800">
            <v>34000000</v>
          </cell>
          <cell r="H800">
            <v>34000000</v>
          </cell>
          <cell r="I800" t="str">
            <v/>
          </cell>
          <cell r="J800" t="str">
            <v/>
          </cell>
          <cell r="K800" t="str">
            <v/>
          </cell>
          <cell r="L800" t="str">
            <v/>
          </cell>
        </row>
        <row r="801">
          <cell r="A801">
            <v>34000000</v>
          </cell>
          <cell r="C801">
            <v>34000000</v>
          </cell>
          <cell r="D801">
            <v>34000000</v>
          </cell>
          <cell r="E801">
            <v>34000000</v>
          </cell>
          <cell r="F801">
            <v>34000000</v>
          </cell>
          <cell r="G801">
            <v>34000000</v>
          </cell>
          <cell r="H801">
            <v>34000000</v>
          </cell>
          <cell r="I801" t="str">
            <v/>
          </cell>
          <cell r="J801" t="str">
            <v/>
          </cell>
          <cell r="K801" t="str">
            <v/>
          </cell>
          <cell r="L801" t="str">
            <v/>
          </cell>
        </row>
        <row r="802">
          <cell r="A802">
            <v>34000000</v>
          </cell>
          <cell r="C802">
            <v>34000000</v>
          </cell>
          <cell r="D802">
            <v>34000000</v>
          </cell>
          <cell r="E802">
            <v>34000000</v>
          </cell>
          <cell r="F802">
            <v>34000000</v>
          </cell>
          <cell r="G802">
            <v>34000000</v>
          </cell>
          <cell r="H802">
            <v>34000000</v>
          </cell>
          <cell r="I802" t="str">
            <v/>
          </cell>
          <cell r="J802" t="str">
            <v/>
          </cell>
          <cell r="K802" t="str">
            <v/>
          </cell>
          <cell r="L802" t="str">
            <v/>
          </cell>
        </row>
        <row r="803">
          <cell r="A803">
            <v>34000000</v>
          </cell>
          <cell r="C803">
            <v>34000000</v>
          </cell>
          <cell r="D803">
            <v>34000000</v>
          </cell>
          <cell r="E803">
            <v>34000000</v>
          </cell>
          <cell r="F803">
            <v>34000000</v>
          </cell>
          <cell r="G803">
            <v>34000000</v>
          </cell>
          <cell r="H803">
            <v>34000000</v>
          </cell>
          <cell r="I803" t="str">
            <v/>
          </cell>
          <cell r="J803" t="str">
            <v/>
          </cell>
          <cell r="K803" t="str">
            <v/>
          </cell>
          <cell r="L803" t="str">
            <v/>
          </cell>
        </row>
        <row r="804">
          <cell r="A804">
            <v>34000000</v>
          </cell>
          <cell r="C804">
            <v>34000000</v>
          </cell>
          <cell r="D804">
            <v>34000000</v>
          </cell>
          <cell r="E804">
            <v>34000000</v>
          </cell>
          <cell r="F804">
            <v>34000000</v>
          </cell>
          <cell r="G804">
            <v>34000000</v>
          </cell>
          <cell r="H804">
            <v>34000000</v>
          </cell>
          <cell r="I804" t="str">
            <v/>
          </cell>
          <cell r="J804" t="str">
            <v/>
          </cell>
          <cell r="K804" t="str">
            <v/>
          </cell>
          <cell r="L804" t="str">
            <v/>
          </cell>
        </row>
        <row r="805">
          <cell r="A805">
            <v>34000000</v>
          </cell>
          <cell r="C805">
            <v>34000000</v>
          </cell>
          <cell r="D805">
            <v>34000000</v>
          </cell>
          <cell r="E805">
            <v>34000000</v>
          </cell>
          <cell r="F805">
            <v>34000000</v>
          </cell>
          <cell r="G805">
            <v>34000000</v>
          </cell>
          <cell r="H805">
            <v>34000000</v>
          </cell>
          <cell r="I805" t="str">
            <v/>
          </cell>
          <cell r="J805" t="str">
            <v/>
          </cell>
          <cell r="K805" t="str">
            <v/>
          </cell>
          <cell r="L805" t="str">
            <v/>
          </cell>
        </row>
        <row r="806">
          <cell r="A806">
            <v>34000000</v>
          </cell>
          <cell r="C806">
            <v>34000000</v>
          </cell>
          <cell r="D806">
            <v>34000000</v>
          </cell>
          <cell r="E806">
            <v>34000000</v>
          </cell>
          <cell r="F806">
            <v>34000000</v>
          </cell>
          <cell r="G806">
            <v>34000000</v>
          </cell>
          <cell r="H806">
            <v>34000000</v>
          </cell>
          <cell r="I806" t="str">
            <v/>
          </cell>
          <cell r="J806" t="str">
            <v/>
          </cell>
          <cell r="K806" t="str">
            <v/>
          </cell>
          <cell r="L806" t="str">
            <v/>
          </cell>
        </row>
        <row r="807">
          <cell r="A807">
            <v>34000000</v>
          </cell>
          <cell r="C807">
            <v>34000000</v>
          </cell>
          <cell r="D807">
            <v>34000000</v>
          </cell>
          <cell r="E807">
            <v>34000000</v>
          </cell>
          <cell r="F807">
            <v>34000000</v>
          </cell>
          <cell r="G807">
            <v>34000000</v>
          </cell>
          <cell r="H807">
            <v>34000000</v>
          </cell>
          <cell r="I807" t="str">
            <v/>
          </cell>
          <cell r="J807" t="str">
            <v/>
          </cell>
          <cell r="K807" t="str">
            <v/>
          </cell>
          <cell r="L807" t="str">
            <v/>
          </cell>
        </row>
        <row r="808">
          <cell r="A808">
            <v>34000000</v>
          </cell>
          <cell r="C808">
            <v>34000000</v>
          </cell>
          <cell r="D808">
            <v>34000000</v>
          </cell>
          <cell r="E808">
            <v>34000000</v>
          </cell>
          <cell r="F808">
            <v>34000000</v>
          </cell>
          <cell r="G808">
            <v>34000000</v>
          </cell>
          <cell r="H808">
            <v>34000000</v>
          </cell>
          <cell r="I808" t="str">
            <v/>
          </cell>
          <cell r="J808" t="str">
            <v/>
          </cell>
          <cell r="K808" t="str">
            <v/>
          </cell>
          <cell r="L808" t="str">
            <v/>
          </cell>
        </row>
        <row r="809">
          <cell r="A809">
            <v>34000000</v>
          </cell>
          <cell r="C809">
            <v>34000000</v>
          </cell>
          <cell r="D809">
            <v>34000000</v>
          </cell>
          <cell r="E809">
            <v>34000000</v>
          </cell>
          <cell r="F809">
            <v>34000000</v>
          </cell>
          <cell r="G809">
            <v>34000000</v>
          </cell>
          <cell r="H809">
            <v>34000000</v>
          </cell>
          <cell r="I809" t="str">
            <v/>
          </cell>
          <cell r="J809" t="str">
            <v/>
          </cell>
          <cell r="K809" t="str">
            <v/>
          </cell>
          <cell r="L809" t="str">
            <v/>
          </cell>
        </row>
        <row r="810">
          <cell r="A810">
            <v>34000000</v>
          </cell>
          <cell r="C810">
            <v>34000000</v>
          </cell>
          <cell r="D810">
            <v>34000000</v>
          </cell>
          <cell r="E810">
            <v>34000000</v>
          </cell>
          <cell r="F810">
            <v>34000000</v>
          </cell>
          <cell r="G810">
            <v>34000000</v>
          </cell>
          <cell r="H810">
            <v>34000000</v>
          </cell>
          <cell r="I810" t="str">
            <v/>
          </cell>
          <cell r="J810" t="str">
            <v/>
          </cell>
          <cell r="K810" t="str">
            <v/>
          </cell>
          <cell r="L810" t="str">
            <v/>
          </cell>
        </row>
        <row r="811">
          <cell r="A811">
            <v>34000000</v>
          </cell>
          <cell r="C811">
            <v>34000000</v>
          </cell>
          <cell r="D811">
            <v>34000000</v>
          </cell>
          <cell r="E811">
            <v>34000000</v>
          </cell>
          <cell r="F811">
            <v>34000000</v>
          </cell>
          <cell r="G811">
            <v>34000000</v>
          </cell>
          <cell r="H811">
            <v>34000000</v>
          </cell>
          <cell r="I811" t="str">
            <v/>
          </cell>
          <cell r="J811" t="str">
            <v/>
          </cell>
          <cell r="K811" t="str">
            <v/>
          </cell>
          <cell r="L811" t="str">
            <v/>
          </cell>
        </row>
        <row r="812">
          <cell r="A812">
            <v>34000000</v>
          </cell>
          <cell r="C812">
            <v>34000000</v>
          </cell>
          <cell r="D812">
            <v>34000000</v>
          </cell>
          <cell r="E812">
            <v>34000000</v>
          </cell>
          <cell r="F812">
            <v>34000000</v>
          </cell>
          <cell r="G812">
            <v>34000000</v>
          </cell>
          <cell r="H812">
            <v>34000000</v>
          </cell>
          <cell r="I812" t="str">
            <v/>
          </cell>
          <cell r="J812" t="str">
            <v/>
          </cell>
          <cell r="K812" t="str">
            <v/>
          </cell>
          <cell r="L812" t="str">
            <v/>
          </cell>
        </row>
        <row r="813">
          <cell r="A813">
            <v>34000000</v>
          </cell>
          <cell r="C813">
            <v>34000000</v>
          </cell>
          <cell r="D813">
            <v>34000000</v>
          </cell>
          <cell r="E813">
            <v>34000000</v>
          </cell>
          <cell r="F813">
            <v>34000000</v>
          </cell>
          <cell r="G813">
            <v>34000000</v>
          </cell>
          <cell r="H813">
            <v>34000000</v>
          </cell>
          <cell r="I813" t="str">
            <v/>
          </cell>
          <cell r="J813" t="str">
            <v/>
          </cell>
          <cell r="K813" t="str">
            <v/>
          </cell>
          <cell r="L813" t="str">
            <v/>
          </cell>
        </row>
        <row r="814">
          <cell r="A814">
            <v>34000000</v>
          </cell>
          <cell r="C814">
            <v>34000000</v>
          </cell>
          <cell r="D814">
            <v>34000000</v>
          </cell>
          <cell r="E814">
            <v>34000000</v>
          </cell>
          <cell r="F814">
            <v>34000000</v>
          </cell>
          <cell r="G814">
            <v>34000000</v>
          </cell>
          <cell r="H814">
            <v>34000000</v>
          </cell>
          <cell r="I814" t="str">
            <v/>
          </cell>
          <cell r="J814" t="str">
            <v/>
          </cell>
          <cell r="K814" t="str">
            <v/>
          </cell>
          <cell r="L814" t="str">
            <v/>
          </cell>
        </row>
        <row r="815">
          <cell r="A815">
            <v>34000000</v>
          </cell>
          <cell r="C815">
            <v>34000000</v>
          </cell>
          <cell r="D815">
            <v>34000000</v>
          </cell>
          <cell r="E815">
            <v>34000000</v>
          </cell>
          <cell r="F815">
            <v>34000000</v>
          </cell>
          <cell r="G815">
            <v>34000000</v>
          </cell>
          <cell r="H815">
            <v>34000000</v>
          </cell>
          <cell r="I815" t="str">
            <v/>
          </cell>
          <cell r="J815" t="str">
            <v/>
          </cell>
          <cell r="K815" t="str">
            <v/>
          </cell>
          <cell r="L815" t="str">
            <v/>
          </cell>
        </row>
        <row r="816">
          <cell r="A816">
            <v>34000000</v>
          </cell>
          <cell r="C816">
            <v>34000000</v>
          </cell>
          <cell r="D816">
            <v>34000000</v>
          </cell>
          <cell r="E816">
            <v>34000000</v>
          </cell>
          <cell r="F816">
            <v>34000000</v>
          </cell>
          <cell r="G816">
            <v>34000000</v>
          </cell>
          <cell r="H816">
            <v>34000000</v>
          </cell>
          <cell r="I816" t="str">
            <v/>
          </cell>
          <cell r="J816" t="str">
            <v/>
          </cell>
          <cell r="K816" t="str">
            <v/>
          </cell>
          <cell r="L816" t="str">
            <v/>
          </cell>
        </row>
        <row r="817">
          <cell r="A817">
            <v>34000000</v>
          </cell>
          <cell r="C817">
            <v>34000000</v>
          </cell>
          <cell r="D817">
            <v>34000000</v>
          </cell>
          <cell r="E817">
            <v>34000000</v>
          </cell>
          <cell r="F817">
            <v>34000000</v>
          </cell>
          <cell r="G817">
            <v>34000000</v>
          </cell>
          <cell r="H817">
            <v>34000000</v>
          </cell>
          <cell r="I817" t="str">
            <v/>
          </cell>
          <cell r="J817" t="str">
            <v/>
          </cell>
          <cell r="K817" t="str">
            <v/>
          </cell>
          <cell r="L817" t="str">
            <v/>
          </cell>
        </row>
        <row r="818">
          <cell r="A818">
            <v>34000000</v>
          </cell>
          <cell r="C818">
            <v>34000000</v>
          </cell>
          <cell r="D818">
            <v>34000000</v>
          </cell>
          <cell r="E818">
            <v>34000000</v>
          </cell>
          <cell r="F818">
            <v>34000000</v>
          </cell>
          <cell r="G818">
            <v>34000000</v>
          </cell>
          <cell r="H818">
            <v>34000000</v>
          </cell>
          <cell r="I818" t="str">
            <v/>
          </cell>
          <cell r="J818" t="str">
            <v/>
          </cell>
          <cell r="K818" t="str">
            <v/>
          </cell>
          <cell r="L818" t="str">
            <v/>
          </cell>
        </row>
        <row r="819">
          <cell r="A819">
            <v>34000000</v>
          </cell>
          <cell r="C819">
            <v>34000000</v>
          </cell>
          <cell r="D819">
            <v>34000000</v>
          </cell>
          <cell r="E819">
            <v>34000000</v>
          </cell>
          <cell r="F819">
            <v>34000000</v>
          </cell>
          <cell r="G819">
            <v>34000000</v>
          </cell>
          <cell r="H819">
            <v>34000000</v>
          </cell>
          <cell r="I819" t="str">
            <v/>
          </cell>
          <cell r="J819" t="str">
            <v/>
          </cell>
          <cell r="K819" t="str">
            <v/>
          </cell>
          <cell r="L819" t="str">
            <v/>
          </cell>
        </row>
        <row r="820">
          <cell r="A820">
            <v>34000000</v>
          </cell>
          <cell r="C820">
            <v>34000000</v>
          </cell>
          <cell r="D820">
            <v>34000000</v>
          </cell>
          <cell r="E820">
            <v>34000000</v>
          </cell>
          <cell r="F820">
            <v>34000000</v>
          </cell>
          <cell r="G820">
            <v>34000000</v>
          </cell>
          <cell r="H820">
            <v>34000000</v>
          </cell>
          <cell r="I820" t="str">
            <v/>
          </cell>
          <cell r="J820" t="str">
            <v/>
          </cell>
          <cell r="K820" t="str">
            <v/>
          </cell>
          <cell r="L820" t="str">
            <v/>
          </cell>
        </row>
        <row r="821">
          <cell r="A821">
            <v>34000000</v>
          </cell>
          <cell r="C821">
            <v>34000000</v>
          </cell>
          <cell r="D821">
            <v>34000000</v>
          </cell>
          <cell r="E821">
            <v>34000000</v>
          </cell>
          <cell r="F821">
            <v>34000000</v>
          </cell>
          <cell r="G821">
            <v>34000000</v>
          </cell>
          <cell r="H821">
            <v>34000000</v>
          </cell>
          <cell r="I821" t="str">
            <v/>
          </cell>
          <cell r="J821" t="str">
            <v/>
          </cell>
          <cell r="K821" t="str">
            <v/>
          </cell>
          <cell r="L821" t="str">
            <v/>
          </cell>
        </row>
        <row r="822">
          <cell r="A822">
            <v>34000000</v>
          </cell>
          <cell r="C822">
            <v>34000000</v>
          </cell>
          <cell r="D822">
            <v>34000000</v>
          </cell>
          <cell r="E822">
            <v>34000000</v>
          </cell>
          <cell r="F822">
            <v>34000000</v>
          </cell>
          <cell r="G822">
            <v>34000000</v>
          </cell>
          <cell r="H822">
            <v>34000000</v>
          </cell>
          <cell r="I822" t="str">
            <v/>
          </cell>
          <cell r="J822" t="str">
            <v/>
          </cell>
          <cell r="K822" t="str">
            <v/>
          </cell>
          <cell r="L822" t="str">
            <v/>
          </cell>
        </row>
        <row r="823">
          <cell r="A823">
            <v>34000000</v>
          </cell>
          <cell r="C823">
            <v>34000000</v>
          </cell>
          <cell r="D823">
            <v>34000000</v>
          </cell>
          <cell r="E823">
            <v>34000000</v>
          </cell>
          <cell r="F823">
            <v>34000000</v>
          </cell>
          <cell r="G823">
            <v>34000000</v>
          </cell>
          <cell r="H823">
            <v>34000000</v>
          </cell>
          <cell r="I823" t="str">
            <v/>
          </cell>
          <cell r="J823" t="str">
            <v/>
          </cell>
          <cell r="K823" t="str">
            <v/>
          </cell>
          <cell r="L823" t="str">
            <v/>
          </cell>
        </row>
        <row r="824">
          <cell r="A824">
            <v>34000000</v>
          </cell>
          <cell r="C824">
            <v>34000000</v>
          </cell>
          <cell r="D824">
            <v>34000000</v>
          </cell>
          <cell r="E824">
            <v>34000000</v>
          </cell>
          <cell r="F824">
            <v>34000000</v>
          </cell>
          <cell r="G824">
            <v>34000000</v>
          </cell>
          <cell r="H824">
            <v>34000000</v>
          </cell>
          <cell r="I824" t="str">
            <v/>
          </cell>
          <cell r="J824" t="str">
            <v/>
          </cell>
          <cell r="K824" t="str">
            <v/>
          </cell>
          <cell r="L824" t="str">
            <v/>
          </cell>
        </row>
        <row r="825">
          <cell r="A825">
            <v>34000000</v>
          </cell>
          <cell r="C825">
            <v>34000000</v>
          </cell>
          <cell r="D825">
            <v>34000000</v>
          </cell>
          <cell r="E825">
            <v>34000000</v>
          </cell>
          <cell r="F825">
            <v>34000000</v>
          </cell>
          <cell r="G825">
            <v>34000000</v>
          </cell>
          <cell r="H825">
            <v>34000000</v>
          </cell>
          <cell r="I825" t="str">
            <v/>
          </cell>
          <cell r="J825" t="str">
            <v/>
          </cell>
          <cell r="K825" t="str">
            <v/>
          </cell>
          <cell r="L825" t="str">
            <v/>
          </cell>
        </row>
        <row r="826">
          <cell r="A826">
            <v>34000000</v>
          </cell>
          <cell r="C826">
            <v>34000000</v>
          </cell>
          <cell r="D826">
            <v>34000000</v>
          </cell>
          <cell r="E826">
            <v>34000000</v>
          </cell>
          <cell r="F826">
            <v>34000000</v>
          </cell>
          <cell r="G826">
            <v>34000000</v>
          </cell>
          <cell r="H826">
            <v>34000000</v>
          </cell>
          <cell r="I826" t="str">
            <v/>
          </cell>
          <cell r="J826" t="str">
            <v/>
          </cell>
          <cell r="K826" t="str">
            <v/>
          </cell>
          <cell r="L826" t="str">
            <v/>
          </cell>
        </row>
        <row r="827">
          <cell r="A827">
            <v>34000000</v>
          </cell>
          <cell r="C827">
            <v>34000000</v>
          </cell>
          <cell r="D827">
            <v>34000000</v>
          </cell>
          <cell r="E827">
            <v>34000000</v>
          </cell>
          <cell r="F827">
            <v>34000000</v>
          </cell>
          <cell r="G827">
            <v>34000000</v>
          </cell>
          <cell r="H827">
            <v>34000000</v>
          </cell>
          <cell r="I827" t="str">
            <v/>
          </cell>
          <cell r="J827" t="str">
            <v/>
          </cell>
          <cell r="K827" t="str">
            <v/>
          </cell>
          <cell r="L827" t="str">
            <v/>
          </cell>
        </row>
        <row r="828">
          <cell r="A828">
            <v>34000000</v>
          </cell>
          <cell r="C828">
            <v>34000000</v>
          </cell>
          <cell r="D828">
            <v>34000000</v>
          </cell>
          <cell r="E828">
            <v>34000000</v>
          </cell>
          <cell r="F828">
            <v>34000000</v>
          </cell>
          <cell r="G828">
            <v>34000000</v>
          </cell>
          <cell r="H828">
            <v>34000000</v>
          </cell>
          <cell r="I828" t="str">
            <v/>
          </cell>
          <cell r="J828" t="str">
            <v/>
          </cell>
          <cell r="K828" t="str">
            <v/>
          </cell>
          <cell r="L828" t="str">
            <v/>
          </cell>
        </row>
        <row r="829">
          <cell r="A829">
            <v>34000000</v>
          </cell>
          <cell r="C829">
            <v>34000000</v>
          </cell>
          <cell r="D829">
            <v>34000000</v>
          </cell>
          <cell r="E829">
            <v>34000000</v>
          </cell>
          <cell r="F829">
            <v>34000000</v>
          </cell>
          <cell r="G829">
            <v>34000000</v>
          </cell>
          <cell r="H829">
            <v>34000000</v>
          </cell>
          <cell r="I829" t="str">
            <v/>
          </cell>
          <cell r="J829" t="str">
            <v/>
          </cell>
          <cell r="K829" t="str">
            <v/>
          </cell>
          <cell r="L829" t="str">
            <v/>
          </cell>
        </row>
        <row r="830">
          <cell r="A830">
            <v>34000000</v>
          </cell>
          <cell r="C830">
            <v>34000000</v>
          </cell>
          <cell r="D830">
            <v>34000000</v>
          </cell>
          <cell r="E830">
            <v>34000000</v>
          </cell>
          <cell r="F830">
            <v>34000000</v>
          </cell>
          <cell r="G830">
            <v>34000000</v>
          </cell>
          <cell r="H830">
            <v>34000000</v>
          </cell>
          <cell r="I830" t="str">
            <v/>
          </cell>
          <cell r="J830" t="str">
            <v/>
          </cell>
          <cell r="K830" t="str">
            <v/>
          </cell>
          <cell r="L830" t="str">
            <v/>
          </cell>
        </row>
        <row r="831">
          <cell r="A831">
            <v>34000000</v>
          </cell>
          <cell r="C831">
            <v>34000000</v>
          </cell>
          <cell r="D831">
            <v>34000000</v>
          </cell>
          <cell r="E831">
            <v>34000000</v>
          </cell>
          <cell r="F831">
            <v>34000000</v>
          </cell>
          <cell r="G831">
            <v>34000000</v>
          </cell>
          <cell r="H831">
            <v>34000000</v>
          </cell>
          <cell r="I831" t="str">
            <v/>
          </cell>
          <cell r="J831" t="str">
            <v/>
          </cell>
          <cell r="K831" t="str">
            <v/>
          </cell>
          <cell r="L831" t="str">
            <v/>
          </cell>
        </row>
        <row r="832">
          <cell r="A832">
            <v>34000000</v>
          </cell>
          <cell r="C832">
            <v>34000000</v>
          </cell>
          <cell r="D832">
            <v>34000000</v>
          </cell>
          <cell r="E832">
            <v>34000000</v>
          </cell>
          <cell r="F832">
            <v>34000000</v>
          </cell>
          <cell r="G832">
            <v>34000000</v>
          </cell>
          <cell r="H832">
            <v>34000000</v>
          </cell>
          <cell r="I832" t="str">
            <v/>
          </cell>
          <cell r="J832" t="str">
            <v/>
          </cell>
          <cell r="K832" t="str">
            <v/>
          </cell>
          <cell r="L832" t="str">
            <v/>
          </cell>
        </row>
        <row r="833">
          <cell r="A833">
            <v>34000000</v>
          </cell>
          <cell r="C833">
            <v>34000000</v>
          </cell>
          <cell r="D833">
            <v>34000000</v>
          </cell>
          <cell r="E833">
            <v>34000000</v>
          </cell>
          <cell r="F833">
            <v>34000000</v>
          </cell>
          <cell r="G833">
            <v>34000000</v>
          </cell>
          <cell r="H833">
            <v>34000000</v>
          </cell>
          <cell r="I833" t="str">
            <v/>
          </cell>
          <cell r="J833" t="str">
            <v/>
          </cell>
          <cell r="K833" t="str">
            <v/>
          </cell>
          <cell r="L833" t="str">
            <v/>
          </cell>
        </row>
        <row r="834">
          <cell r="A834">
            <v>34000000</v>
          </cell>
          <cell r="C834">
            <v>34000000</v>
          </cell>
          <cell r="D834">
            <v>34000000</v>
          </cell>
          <cell r="E834">
            <v>34000000</v>
          </cell>
          <cell r="F834">
            <v>34000000</v>
          </cell>
          <cell r="G834">
            <v>34000000</v>
          </cell>
          <cell r="H834">
            <v>34000000</v>
          </cell>
          <cell r="I834" t="str">
            <v/>
          </cell>
          <cell r="J834" t="str">
            <v/>
          </cell>
          <cell r="K834" t="str">
            <v/>
          </cell>
          <cell r="L834" t="str">
            <v/>
          </cell>
        </row>
        <row r="835">
          <cell r="A835">
            <v>34000000</v>
          </cell>
          <cell r="C835">
            <v>34000000</v>
          </cell>
          <cell r="D835">
            <v>34000000</v>
          </cell>
          <cell r="E835">
            <v>34000000</v>
          </cell>
          <cell r="F835">
            <v>34000000</v>
          </cell>
          <cell r="G835">
            <v>34000000</v>
          </cell>
          <cell r="H835">
            <v>34000000</v>
          </cell>
          <cell r="I835" t="str">
            <v/>
          </cell>
          <cell r="J835" t="str">
            <v/>
          </cell>
          <cell r="K835" t="str">
            <v/>
          </cell>
          <cell r="L835" t="str">
            <v/>
          </cell>
        </row>
        <row r="836">
          <cell r="A836">
            <v>34000000</v>
          </cell>
          <cell r="C836">
            <v>34000000</v>
          </cell>
          <cell r="D836">
            <v>34000000</v>
          </cell>
          <cell r="E836">
            <v>34000000</v>
          </cell>
          <cell r="F836">
            <v>34000000</v>
          </cell>
          <cell r="G836">
            <v>34000000</v>
          </cell>
          <cell r="H836">
            <v>34000000</v>
          </cell>
          <cell r="I836" t="str">
            <v/>
          </cell>
          <cell r="J836" t="str">
            <v/>
          </cell>
          <cell r="K836" t="str">
            <v/>
          </cell>
          <cell r="L836" t="str">
            <v/>
          </cell>
        </row>
        <row r="837">
          <cell r="A837">
            <v>34000000</v>
          </cell>
          <cell r="C837">
            <v>34000000</v>
          </cell>
          <cell r="D837">
            <v>34000000</v>
          </cell>
          <cell r="E837">
            <v>34000000</v>
          </cell>
          <cell r="F837">
            <v>34000000</v>
          </cell>
          <cell r="G837">
            <v>34000000</v>
          </cell>
          <cell r="H837">
            <v>34000000</v>
          </cell>
          <cell r="I837" t="str">
            <v/>
          </cell>
          <cell r="J837" t="str">
            <v/>
          </cell>
          <cell r="K837" t="str">
            <v/>
          </cell>
          <cell r="L837" t="str">
            <v/>
          </cell>
        </row>
        <row r="838">
          <cell r="A838">
            <v>34000000</v>
          </cell>
          <cell r="C838">
            <v>34000000</v>
          </cell>
          <cell r="D838">
            <v>34000000</v>
          </cell>
          <cell r="E838">
            <v>34000000</v>
          </cell>
          <cell r="F838">
            <v>34000000</v>
          </cell>
          <cell r="G838">
            <v>34000000</v>
          </cell>
          <cell r="H838">
            <v>34000000</v>
          </cell>
          <cell r="I838" t="str">
            <v/>
          </cell>
          <cell r="J838" t="str">
            <v/>
          </cell>
          <cell r="K838" t="str">
            <v/>
          </cell>
          <cell r="L838" t="str">
            <v/>
          </cell>
        </row>
        <row r="839">
          <cell r="A839">
            <v>34000000</v>
          </cell>
          <cell r="C839">
            <v>34000000</v>
          </cell>
          <cell r="D839">
            <v>34000000</v>
          </cell>
          <cell r="E839">
            <v>34000000</v>
          </cell>
          <cell r="F839">
            <v>34000000</v>
          </cell>
          <cell r="G839">
            <v>34000000</v>
          </cell>
          <cell r="H839">
            <v>34000000</v>
          </cell>
          <cell r="I839" t="str">
            <v/>
          </cell>
          <cell r="J839" t="str">
            <v/>
          </cell>
          <cell r="K839" t="str">
            <v/>
          </cell>
          <cell r="L839" t="str">
            <v/>
          </cell>
        </row>
        <row r="840">
          <cell r="A840">
            <v>34000000</v>
          </cell>
          <cell r="C840">
            <v>34000000</v>
          </cell>
          <cell r="D840">
            <v>34000000</v>
          </cell>
          <cell r="E840">
            <v>34000000</v>
          </cell>
          <cell r="F840">
            <v>34000000</v>
          </cell>
          <cell r="G840">
            <v>34000000</v>
          </cell>
          <cell r="H840">
            <v>34000000</v>
          </cell>
          <cell r="I840" t="str">
            <v/>
          </cell>
          <cell r="J840" t="str">
            <v/>
          </cell>
          <cell r="K840" t="str">
            <v/>
          </cell>
          <cell r="L840" t="str">
            <v/>
          </cell>
        </row>
        <row r="841">
          <cell r="A841">
            <v>34000000</v>
          </cell>
          <cell r="C841">
            <v>34000000</v>
          </cell>
          <cell r="D841">
            <v>34000000</v>
          </cell>
          <cell r="E841">
            <v>34000000</v>
          </cell>
          <cell r="F841">
            <v>34000000</v>
          </cell>
          <cell r="G841">
            <v>34000000</v>
          </cell>
          <cell r="H841">
            <v>34000000</v>
          </cell>
          <cell r="I841" t="str">
            <v/>
          </cell>
          <cell r="J841" t="str">
            <v/>
          </cell>
          <cell r="K841" t="str">
            <v/>
          </cell>
          <cell r="L841" t="str">
            <v/>
          </cell>
        </row>
        <row r="842">
          <cell r="A842">
            <v>34000000</v>
          </cell>
          <cell r="C842">
            <v>34000000</v>
          </cell>
          <cell r="D842">
            <v>34000000</v>
          </cell>
          <cell r="E842">
            <v>34000000</v>
          </cell>
          <cell r="F842">
            <v>34000000</v>
          </cell>
          <cell r="G842">
            <v>34000000</v>
          </cell>
          <cell r="H842">
            <v>34000000</v>
          </cell>
          <cell r="I842" t="str">
            <v/>
          </cell>
          <cell r="J842" t="str">
            <v/>
          </cell>
          <cell r="K842" t="str">
            <v/>
          </cell>
          <cell r="L842" t="str">
            <v/>
          </cell>
        </row>
        <row r="843">
          <cell r="A843">
            <v>34000000</v>
          </cell>
          <cell r="C843">
            <v>34000000</v>
          </cell>
          <cell r="D843">
            <v>34000000</v>
          </cell>
          <cell r="E843">
            <v>34000000</v>
          </cell>
          <cell r="F843">
            <v>34000000</v>
          </cell>
          <cell r="G843">
            <v>34000000</v>
          </cell>
          <cell r="H843">
            <v>34000000</v>
          </cell>
          <cell r="I843" t="str">
            <v/>
          </cell>
          <cell r="J843" t="str">
            <v/>
          </cell>
          <cell r="K843" t="str">
            <v/>
          </cell>
          <cell r="L843" t="str">
            <v/>
          </cell>
        </row>
        <row r="844">
          <cell r="A844">
            <v>34000000</v>
          </cell>
          <cell r="C844">
            <v>34000000</v>
          </cell>
          <cell r="D844">
            <v>34000000</v>
          </cell>
          <cell r="E844">
            <v>34000000</v>
          </cell>
          <cell r="F844">
            <v>34000000</v>
          </cell>
          <cell r="G844">
            <v>34000000</v>
          </cell>
          <cell r="H844">
            <v>34000000</v>
          </cell>
          <cell r="I844" t="str">
            <v/>
          </cell>
          <cell r="J844" t="str">
            <v/>
          </cell>
          <cell r="K844" t="str">
            <v/>
          </cell>
          <cell r="L844" t="str">
            <v/>
          </cell>
        </row>
        <row r="845">
          <cell r="A845">
            <v>34000000</v>
          </cell>
          <cell r="C845">
            <v>34000000</v>
          </cell>
          <cell r="D845">
            <v>34000000</v>
          </cell>
          <cell r="E845">
            <v>34000000</v>
          </cell>
          <cell r="F845">
            <v>34000000</v>
          </cell>
          <cell r="G845">
            <v>34000000</v>
          </cell>
          <cell r="H845">
            <v>34000000</v>
          </cell>
          <cell r="I845" t="str">
            <v/>
          </cell>
          <cell r="J845" t="str">
            <v/>
          </cell>
          <cell r="K845" t="str">
            <v/>
          </cell>
          <cell r="L845" t="str">
            <v/>
          </cell>
        </row>
        <row r="846">
          <cell r="A846">
            <v>34000000</v>
          </cell>
          <cell r="C846">
            <v>34000000</v>
          </cell>
          <cell r="D846">
            <v>34000000</v>
          </cell>
          <cell r="E846">
            <v>34000000</v>
          </cell>
          <cell r="F846">
            <v>34000000</v>
          </cell>
          <cell r="G846">
            <v>34000000</v>
          </cell>
          <cell r="H846">
            <v>34000000</v>
          </cell>
          <cell r="I846" t="str">
            <v/>
          </cell>
          <cell r="J846" t="str">
            <v/>
          </cell>
          <cell r="K846" t="str">
            <v/>
          </cell>
          <cell r="L846" t="str">
            <v/>
          </cell>
        </row>
        <row r="847">
          <cell r="A847">
            <v>34000000</v>
          </cell>
          <cell r="C847">
            <v>34000000</v>
          </cell>
          <cell r="D847">
            <v>34000000</v>
          </cell>
          <cell r="E847">
            <v>34000000</v>
          </cell>
          <cell r="F847">
            <v>34000000</v>
          </cell>
          <cell r="G847">
            <v>34000000</v>
          </cell>
          <cell r="H847">
            <v>34000000</v>
          </cell>
          <cell r="I847" t="str">
            <v/>
          </cell>
          <cell r="J847" t="str">
            <v/>
          </cell>
          <cell r="K847" t="str">
            <v/>
          </cell>
          <cell r="L847" t="str">
            <v/>
          </cell>
        </row>
        <row r="848">
          <cell r="A848">
            <v>34000000</v>
          </cell>
          <cell r="C848">
            <v>34000000</v>
          </cell>
          <cell r="D848">
            <v>34000000</v>
          </cell>
          <cell r="E848">
            <v>34000000</v>
          </cell>
          <cell r="F848">
            <v>34000000</v>
          </cell>
          <cell r="G848">
            <v>34000000</v>
          </cell>
          <cell r="H848">
            <v>34000000</v>
          </cell>
          <cell r="I848" t="str">
            <v/>
          </cell>
          <cell r="J848" t="str">
            <v/>
          </cell>
          <cell r="K848" t="str">
            <v/>
          </cell>
          <cell r="L848" t="str">
            <v/>
          </cell>
        </row>
        <row r="849">
          <cell r="A849">
            <v>34000000</v>
          </cell>
          <cell r="C849">
            <v>34000000</v>
          </cell>
          <cell r="D849">
            <v>34000000</v>
          </cell>
          <cell r="E849">
            <v>34000000</v>
          </cell>
          <cell r="F849">
            <v>34000000</v>
          </cell>
          <cell r="G849">
            <v>34000000</v>
          </cell>
          <cell r="H849">
            <v>34000000</v>
          </cell>
          <cell r="I849" t="str">
            <v/>
          </cell>
          <cell r="J849" t="str">
            <v/>
          </cell>
          <cell r="K849" t="str">
            <v/>
          </cell>
          <cell r="L849" t="str">
            <v/>
          </cell>
        </row>
        <row r="850">
          <cell r="A850">
            <v>34000000</v>
          </cell>
          <cell r="C850">
            <v>34000000</v>
          </cell>
          <cell r="D850">
            <v>34000000</v>
          </cell>
          <cell r="E850">
            <v>34000000</v>
          </cell>
          <cell r="F850">
            <v>34000000</v>
          </cell>
          <cell r="G850">
            <v>34000000</v>
          </cell>
          <cell r="H850">
            <v>34000000</v>
          </cell>
          <cell r="I850" t="str">
            <v/>
          </cell>
          <cell r="J850" t="str">
            <v/>
          </cell>
          <cell r="K850" t="str">
            <v/>
          </cell>
          <cell r="L850" t="str">
            <v/>
          </cell>
        </row>
        <row r="851">
          <cell r="A851">
            <v>34000000</v>
          </cell>
          <cell r="C851">
            <v>34000000</v>
          </cell>
          <cell r="D851">
            <v>34000000</v>
          </cell>
          <cell r="E851">
            <v>34000000</v>
          </cell>
          <cell r="F851">
            <v>34000000</v>
          </cell>
          <cell r="G851">
            <v>34000000</v>
          </cell>
          <cell r="H851">
            <v>34000000</v>
          </cell>
          <cell r="I851" t="str">
            <v/>
          </cell>
          <cell r="J851" t="str">
            <v/>
          </cell>
          <cell r="K851" t="str">
            <v/>
          </cell>
          <cell r="L851" t="str">
            <v/>
          </cell>
        </row>
        <row r="852">
          <cell r="A852">
            <v>34000000</v>
          </cell>
          <cell r="C852">
            <v>34000000</v>
          </cell>
          <cell r="D852">
            <v>34000000</v>
          </cell>
          <cell r="E852">
            <v>34000000</v>
          </cell>
          <cell r="F852">
            <v>34000000</v>
          </cell>
          <cell r="G852">
            <v>34000000</v>
          </cell>
          <cell r="H852">
            <v>34000000</v>
          </cell>
          <cell r="I852" t="str">
            <v/>
          </cell>
          <cell r="J852" t="str">
            <v/>
          </cell>
          <cell r="K852" t="str">
            <v/>
          </cell>
          <cell r="L852" t="str">
            <v/>
          </cell>
        </row>
        <row r="853">
          <cell r="A853">
            <v>34000000</v>
          </cell>
          <cell r="C853">
            <v>34000000</v>
          </cell>
          <cell r="D853">
            <v>34000000</v>
          </cell>
          <cell r="E853">
            <v>34000000</v>
          </cell>
          <cell r="F853">
            <v>34000000</v>
          </cell>
          <cell r="G853">
            <v>34000000</v>
          </cell>
          <cell r="H853">
            <v>34000000</v>
          </cell>
          <cell r="I853" t="str">
            <v/>
          </cell>
          <cell r="J853" t="str">
            <v/>
          </cell>
          <cell r="K853" t="str">
            <v/>
          </cell>
          <cell r="L853" t="str">
            <v/>
          </cell>
        </row>
        <row r="854">
          <cell r="A854">
            <v>34000000</v>
          </cell>
          <cell r="C854">
            <v>34000000</v>
          </cell>
          <cell r="D854">
            <v>34000000</v>
          </cell>
          <cell r="E854">
            <v>34000000</v>
          </cell>
          <cell r="F854">
            <v>34000000</v>
          </cell>
          <cell r="G854">
            <v>34000000</v>
          </cell>
          <cell r="H854">
            <v>34000000</v>
          </cell>
          <cell r="I854" t="str">
            <v/>
          </cell>
          <cell r="J854" t="str">
            <v/>
          </cell>
          <cell r="K854" t="str">
            <v/>
          </cell>
          <cell r="L854" t="str">
            <v/>
          </cell>
        </row>
        <row r="855">
          <cell r="A855">
            <v>34000000</v>
          </cell>
          <cell r="C855">
            <v>34000000</v>
          </cell>
          <cell r="D855">
            <v>34000000</v>
          </cell>
          <cell r="E855">
            <v>34000000</v>
          </cell>
          <cell r="F855">
            <v>34000000</v>
          </cell>
          <cell r="G855">
            <v>34000000</v>
          </cell>
          <cell r="H855">
            <v>34000000</v>
          </cell>
          <cell r="I855" t="str">
            <v/>
          </cell>
          <cell r="J855" t="str">
            <v/>
          </cell>
          <cell r="K855" t="str">
            <v/>
          </cell>
          <cell r="L855" t="str">
            <v/>
          </cell>
        </row>
        <row r="856">
          <cell r="A856">
            <v>34000000</v>
          </cell>
          <cell r="C856">
            <v>34000000</v>
          </cell>
          <cell r="D856">
            <v>34000000</v>
          </cell>
          <cell r="E856">
            <v>34000000</v>
          </cell>
          <cell r="F856">
            <v>34000000</v>
          </cell>
          <cell r="G856">
            <v>34000000</v>
          </cell>
          <cell r="H856">
            <v>34000000</v>
          </cell>
          <cell r="I856" t="str">
            <v/>
          </cell>
          <cell r="J856" t="str">
            <v/>
          </cell>
          <cell r="K856" t="str">
            <v/>
          </cell>
          <cell r="L856" t="str">
            <v/>
          </cell>
        </row>
        <row r="857">
          <cell r="A857">
            <v>34000000</v>
          </cell>
          <cell r="C857">
            <v>34000000</v>
          </cell>
          <cell r="D857">
            <v>34000000</v>
          </cell>
          <cell r="E857">
            <v>34000000</v>
          </cell>
          <cell r="F857">
            <v>34000000</v>
          </cell>
          <cell r="G857">
            <v>34000000</v>
          </cell>
          <cell r="H857">
            <v>34000000</v>
          </cell>
          <cell r="I857" t="str">
            <v/>
          </cell>
          <cell r="J857" t="str">
            <v/>
          </cell>
          <cell r="K857" t="str">
            <v/>
          </cell>
          <cell r="L857" t="str">
            <v/>
          </cell>
        </row>
        <row r="858">
          <cell r="A858">
            <v>34000000</v>
          </cell>
          <cell r="C858">
            <v>34000000</v>
          </cell>
          <cell r="D858">
            <v>34000000</v>
          </cell>
          <cell r="E858">
            <v>34000000</v>
          </cell>
          <cell r="F858">
            <v>34000000</v>
          </cell>
          <cell r="G858">
            <v>34000000</v>
          </cell>
          <cell r="H858">
            <v>34000000</v>
          </cell>
          <cell r="I858" t="str">
            <v/>
          </cell>
          <cell r="J858" t="str">
            <v/>
          </cell>
          <cell r="K858" t="str">
            <v/>
          </cell>
          <cell r="L858" t="str">
            <v/>
          </cell>
        </row>
        <row r="859">
          <cell r="A859">
            <v>34000000</v>
          </cell>
          <cell r="C859">
            <v>34000000</v>
          </cell>
          <cell r="D859">
            <v>34000000</v>
          </cell>
          <cell r="E859">
            <v>34000000</v>
          </cell>
          <cell r="F859">
            <v>34000000</v>
          </cell>
          <cell r="G859">
            <v>34000000</v>
          </cell>
          <cell r="H859">
            <v>34000000</v>
          </cell>
          <cell r="I859" t="str">
            <v/>
          </cell>
          <cell r="J859" t="str">
            <v/>
          </cell>
          <cell r="K859" t="str">
            <v/>
          </cell>
          <cell r="L859" t="str">
            <v/>
          </cell>
        </row>
        <row r="860">
          <cell r="A860">
            <v>34000000</v>
          </cell>
          <cell r="C860">
            <v>34000000</v>
          </cell>
          <cell r="D860">
            <v>34000000</v>
          </cell>
          <cell r="E860">
            <v>34000000</v>
          </cell>
          <cell r="F860">
            <v>34000000</v>
          </cell>
          <cell r="G860">
            <v>34000000</v>
          </cell>
          <cell r="H860">
            <v>34000000</v>
          </cell>
          <cell r="I860" t="str">
            <v/>
          </cell>
          <cell r="J860" t="str">
            <v/>
          </cell>
          <cell r="K860" t="str">
            <v/>
          </cell>
          <cell r="L860" t="str">
            <v/>
          </cell>
        </row>
        <row r="861">
          <cell r="A861">
            <v>34000000</v>
          </cell>
          <cell r="C861">
            <v>34000000</v>
          </cell>
          <cell r="D861">
            <v>34000000</v>
          </cell>
          <cell r="E861">
            <v>34000000</v>
          </cell>
          <cell r="F861">
            <v>34000000</v>
          </cell>
          <cell r="G861">
            <v>34000000</v>
          </cell>
          <cell r="H861">
            <v>34000000</v>
          </cell>
          <cell r="I861" t="str">
            <v/>
          </cell>
          <cell r="J861" t="str">
            <v/>
          </cell>
          <cell r="K861" t="str">
            <v/>
          </cell>
          <cell r="L861" t="str">
            <v/>
          </cell>
        </row>
        <row r="862">
          <cell r="A862">
            <v>34000000</v>
          </cell>
          <cell r="C862">
            <v>34000000</v>
          </cell>
          <cell r="D862">
            <v>34000000</v>
          </cell>
          <cell r="E862">
            <v>34000000</v>
          </cell>
          <cell r="F862">
            <v>34000000</v>
          </cell>
          <cell r="G862">
            <v>34000000</v>
          </cell>
          <cell r="H862">
            <v>34000000</v>
          </cell>
          <cell r="I862" t="str">
            <v/>
          </cell>
          <cell r="J862" t="str">
            <v/>
          </cell>
          <cell r="K862" t="str">
            <v/>
          </cell>
          <cell r="L862" t="str">
            <v/>
          </cell>
        </row>
        <row r="863">
          <cell r="A863">
            <v>34000000</v>
          </cell>
          <cell r="C863">
            <v>34000000</v>
          </cell>
          <cell r="D863">
            <v>34000000</v>
          </cell>
          <cell r="E863">
            <v>34000000</v>
          </cell>
          <cell r="F863">
            <v>34000000</v>
          </cell>
          <cell r="G863">
            <v>34000000</v>
          </cell>
          <cell r="H863">
            <v>34000000</v>
          </cell>
          <cell r="I863" t="str">
            <v/>
          </cell>
          <cell r="J863" t="str">
            <v/>
          </cell>
          <cell r="K863" t="str">
            <v/>
          </cell>
          <cell r="L863" t="str">
            <v/>
          </cell>
        </row>
        <row r="864">
          <cell r="A864">
            <v>34000000</v>
          </cell>
          <cell r="C864">
            <v>34000000</v>
          </cell>
          <cell r="D864">
            <v>34000000</v>
          </cell>
          <cell r="E864">
            <v>34000000</v>
          </cell>
          <cell r="F864">
            <v>34000000</v>
          </cell>
          <cell r="G864">
            <v>34000000</v>
          </cell>
          <cell r="H864">
            <v>34000000</v>
          </cell>
          <cell r="I864" t="str">
            <v/>
          </cell>
          <cell r="J864" t="str">
            <v/>
          </cell>
          <cell r="K864" t="str">
            <v/>
          </cell>
          <cell r="L864" t="str">
            <v/>
          </cell>
        </row>
        <row r="865">
          <cell r="A865">
            <v>34000000</v>
          </cell>
          <cell r="C865">
            <v>34000000</v>
          </cell>
          <cell r="D865">
            <v>34000000</v>
          </cell>
          <cell r="E865">
            <v>34000000</v>
          </cell>
          <cell r="F865">
            <v>34000000</v>
          </cell>
          <cell r="G865">
            <v>34000000</v>
          </cell>
          <cell r="H865">
            <v>34000000</v>
          </cell>
          <cell r="I865" t="str">
            <v/>
          </cell>
          <cell r="J865" t="str">
            <v/>
          </cell>
          <cell r="K865" t="str">
            <v/>
          </cell>
          <cell r="L865" t="str">
            <v/>
          </cell>
        </row>
        <row r="866">
          <cell r="A866">
            <v>34000000</v>
          </cell>
          <cell r="C866">
            <v>34000000</v>
          </cell>
          <cell r="D866">
            <v>34000000</v>
          </cell>
          <cell r="E866">
            <v>34000000</v>
          </cell>
          <cell r="F866">
            <v>34000000</v>
          </cell>
          <cell r="G866">
            <v>34000000</v>
          </cell>
          <cell r="H866">
            <v>34000000</v>
          </cell>
          <cell r="I866" t="str">
            <v/>
          </cell>
          <cell r="J866" t="str">
            <v/>
          </cell>
          <cell r="K866" t="str">
            <v/>
          </cell>
          <cell r="L866" t="str">
            <v/>
          </cell>
        </row>
        <row r="867">
          <cell r="A867">
            <v>34000000</v>
          </cell>
          <cell r="C867">
            <v>34000000</v>
          </cell>
          <cell r="D867">
            <v>34000000</v>
          </cell>
          <cell r="E867">
            <v>34000000</v>
          </cell>
          <cell r="F867">
            <v>34000000</v>
          </cell>
          <cell r="G867">
            <v>34000000</v>
          </cell>
          <cell r="H867">
            <v>34000000</v>
          </cell>
          <cell r="I867" t="str">
            <v/>
          </cell>
          <cell r="J867" t="str">
            <v/>
          </cell>
          <cell r="K867" t="str">
            <v/>
          </cell>
          <cell r="L867" t="str">
            <v/>
          </cell>
        </row>
        <row r="868">
          <cell r="A868">
            <v>34000000</v>
          </cell>
          <cell r="C868">
            <v>34000000</v>
          </cell>
          <cell r="D868">
            <v>34000000</v>
          </cell>
          <cell r="E868">
            <v>34000000</v>
          </cell>
          <cell r="F868">
            <v>34000000</v>
          </cell>
          <cell r="G868">
            <v>34000000</v>
          </cell>
          <cell r="H868">
            <v>34000000</v>
          </cell>
          <cell r="I868" t="str">
            <v/>
          </cell>
          <cell r="J868" t="str">
            <v/>
          </cell>
          <cell r="K868" t="str">
            <v/>
          </cell>
          <cell r="L868" t="str">
            <v/>
          </cell>
        </row>
        <row r="869">
          <cell r="A869">
            <v>34000000</v>
          </cell>
          <cell r="C869">
            <v>34000000</v>
          </cell>
          <cell r="D869">
            <v>34000000</v>
          </cell>
          <cell r="E869">
            <v>34000000</v>
          </cell>
          <cell r="F869">
            <v>34000000</v>
          </cell>
          <cell r="G869">
            <v>34000000</v>
          </cell>
          <cell r="H869">
            <v>34000000</v>
          </cell>
          <cell r="I869" t="str">
            <v/>
          </cell>
          <cell r="J869" t="str">
            <v/>
          </cell>
          <cell r="K869" t="str">
            <v/>
          </cell>
          <cell r="L869" t="str">
            <v/>
          </cell>
        </row>
        <row r="870">
          <cell r="A870">
            <v>34000000</v>
          </cell>
          <cell r="C870">
            <v>34000000</v>
          </cell>
          <cell r="D870">
            <v>34000000</v>
          </cell>
          <cell r="E870">
            <v>34000000</v>
          </cell>
          <cell r="F870">
            <v>34000000</v>
          </cell>
          <cell r="G870">
            <v>34000000</v>
          </cell>
          <cell r="H870">
            <v>34000000</v>
          </cell>
          <cell r="I870" t="str">
            <v/>
          </cell>
          <cell r="J870" t="str">
            <v/>
          </cell>
          <cell r="K870" t="str">
            <v/>
          </cell>
          <cell r="L870" t="str">
            <v/>
          </cell>
        </row>
        <row r="871">
          <cell r="A871">
            <v>34000000</v>
          </cell>
          <cell r="C871">
            <v>34000000</v>
          </cell>
          <cell r="D871">
            <v>34000000</v>
          </cell>
          <cell r="E871">
            <v>34000000</v>
          </cell>
          <cell r="F871">
            <v>34000000</v>
          </cell>
          <cell r="G871">
            <v>34000000</v>
          </cell>
          <cell r="H871">
            <v>34000000</v>
          </cell>
          <cell r="I871" t="str">
            <v/>
          </cell>
          <cell r="J871" t="str">
            <v/>
          </cell>
          <cell r="K871" t="str">
            <v/>
          </cell>
          <cell r="L871" t="str">
            <v/>
          </cell>
        </row>
        <row r="872">
          <cell r="A872">
            <v>34000000</v>
          </cell>
          <cell r="C872">
            <v>34000000</v>
          </cell>
          <cell r="D872">
            <v>34000000</v>
          </cell>
          <cell r="E872">
            <v>34000000</v>
          </cell>
          <cell r="F872">
            <v>34000000</v>
          </cell>
          <cell r="G872">
            <v>34000000</v>
          </cell>
          <cell r="H872">
            <v>34000000</v>
          </cell>
          <cell r="I872" t="str">
            <v/>
          </cell>
          <cell r="J872" t="str">
            <v/>
          </cell>
          <cell r="K872" t="str">
            <v/>
          </cell>
          <cell r="L872" t="str">
            <v/>
          </cell>
        </row>
        <row r="873">
          <cell r="A873">
            <v>34000000</v>
          </cell>
          <cell r="C873">
            <v>34000000</v>
          </cell>
          <cell r="D873">
            <v>34000000</v>
          </cell>
          <cell r="E873">
            <v>34000000</v>
          </cell>
          <cell r="F873">
            <v>34000000</v>
          </cell>
          <cell r="G873">
            <v>34000000</v>
          </cell>
          <cell r="H873">
            <v>34000000</v>
          </cell>
          <cell r="I873" t="str">
            <v/>
          </cell>
          <cell r="J873" t="str">
            <v/>
          </cell>
          <cell r="K873" t="str">
            <v/>
          </cell>
          <cell r="L873" t="str">
            <v/>
          </cell>
        </row>
        <row r="874">
          <cell r="A874">
            <v>34000000</v>
          </cell>
          <cell r="C874">
            <v>34000000</v>
          </cell>
          <cell r="D874">
            <v>34000000</v>
          </cell>
          <cell r="E874">
            <v>34000000</v>
          </cell>
          <cell r="F874">
            <v>34000000</v>
          </cell>
          <cell r="G874">
            <v>34000000</v>
          </cell>
          <cell r="H874">
            <v>34000000</v>
          </cell>
          <cell r="I874" t="str">
            <v/>
          </cell>
          <cell r="J874" t="str">
            <v/>
          </cell>
          <cell r="K874" t="str">
            <v/>
          </cell>
          <cell r="L874" t="str">
            <v/>
          </cell>
        </row>
        <row r="875">
          <cell r="A875">
            <v>34000000</v>
          </cell>
          <cell r="C875">
            <v>34000000</v>
          </cell>
          <cell r="D875">
            <v>34000000</v>
          </cell>
          <cell r="E875">
            <v>34000000</v>
          </cell>
          <cell r="F875">
            <v>34000000</v>
          </cell>
          <cell r="G875">
            <v>34000000</v>
          </cell>
          <cell r="H875">
            <v>34000000</v>
          </cell>
          <cell r="I875" t="str">
            <v/>
          </cell>
          <cell r="J875" t="str">
            <v/>
          </cell>
          <cell r="K875" t="str">
            <v/>
          </cell>
          <cell r="L875" t="str">
            <v/>
          </cell>
        </row>
        <row r="876">
          <cell r="A876">
            <v>34000000</v>
          </cell>
          <cell r="C876">
            <v>34000000</v>
          </cell>
          <cell r="D876">
            <v>34000000</v>
          </cell>
          <cell r="E876">
            <v>34000000</v>
          </cell>
          <cell r="F876">
            <v>34000000</v>
          </cell>
          <cell r="G876">
            <v>34000000</v>
          </cell>
          <cell r="H876">
            <v>34000000</v>
          </cell>
          <cell r="I876" t="str">
            <v/>
          </cell>
          <cell r="J876" t="str">
            <v/>
          </cell>
          <cell r="K876" t="str">
            <v/>
          </cell>
          <cell r="L876" t="str">
            <v/>
          </cell>
        </row>
        <row r="877">
          <cell r="A877">
            <v>34000000</v>
          </cell>
          <cell r="C877">
            <v>34000000</v>
          </cell>
          <cell r="D877">
            <v>34000000</v>
          </cell>
          <cell r="E877">
            <v>34000000</v>
          </cell>
          <cell r="F877">
            <v>34000000</v>
          </cell>
          <cell r="G877">
            <v>34000000</v>
          </cell>
          <cell r="H877">
            <v>34000000</v>
          </cell>
          <cell r="I877" t="str">
            <v/>
          </cell>
          <cell r="J877" t="str">
            <v/>
          </cell>
          <cell r="K877" t="str">
            <v/>
          </cell>
          <cell r="L877" t="str">
            <v/>
          </cell>
        </row>
        <row r="878">
          <cell r="A878">
            <v>34000000</v>
          </cell>
          <cell r="C878">
            <v>34000000</v>
          </cell>
          <cell r="D878">
            <v>34000000</v>
          </cell>
          <cell r="E878">
            <v>34000000</v>
          </cell>
          <cell r="F878">
            <v>34000000</v>
          </cell>
          <cell r="G878">
            <v>34000000</v>
          </cell>
          <cell r="H878">
            <v>34000000</v>
          </cell>
          <cell r="I878" t="str">
            <v/>
          </cell>
          <cell r="J878" t="str">
            <v/>
          </cell>
          <cell r="K878" t="str">
            <v/>
          </cell>
          <cell r="L878" t="str">
            <v/>
          </cell>
        </row>
        <row r="879">
          <cell r="A879">
            <v>34000000</v>
          </cell>
          <cell r="C879">
            <v>34000000</v>
          </cell>
          <cell r="D879">
            <v>34000000</v>
          </cell>
          <cell r="E879">
            <v>34000000</v>
          </cell>
          <cell r="F879">
            <v>34000000</v>
          </cell>
          <cell r="G879">
            <v>34000000</v>
          </cell>
          <cell r="H879">
            <v>34000000</v>
          </cell>
          <cell r="I879" t="str">
            <v/>
          </cell>
          <cell r="J879" t="str">
            <v/>
          </cell>
          <cell r="K879" t="str">
            <v/>
          </cell>
          <cell r="L879" t="str">
            <v/>
          </cell>
        </row>
        <row r="880">
          <cell r="A880">
            <v>34000000</v>
          </cell>
          <cell r="C880">
            <v>34000000</v>
          </cell>
          <cell r="D880">
            <v>34000000</v>
          </cell>
          <cell r="E880">
            <v>34000000</v>
          </cell>
          <cell r="F880">
            <v>34000000</v>
          </cell>
          <cell r="G880">
            <v>34000000</v>
          </cell>
          <cell r="H880">
            <v>34000000</v>
          </cell>
          <cell r="I880" t="str">
            <v/>
          </cell>
          <cell r="J880" t="str">
            <v/>
          </cell>
          <cell r="K880" t="str">
            <v/>
          </cell>
          <cell r="L880" t="str">
            <v/>
          </cell>
        </row>
        <row r="881">
          <cell r="A881">
            <v>34000000</v>
          </cell>
          <cell r="C881">
            <v>34000000</v>
          </cell>
          <cell r="D881">
            <v>34000000</v>
          </cell>
          <cell r="E881">
            <v>34000000</v>
          </cell>
          <cell r="F881">
            <v>34000000</v>
          </cell>
          <cell r="G881">
            <v>34000000</v>
          </cell>
          <cell r="H881">
            <v>34000000</v>
          </cell>
          <cell r="I881" t="str">
            <v/>
          </cell>
          <cell r="J881" t="str">
            <v/>
          </cell>
          <cell r="K881" t="str">
            <v/>
          </cell>
          <cell r="L881" t="str">
            <v/>
          </cell>
        </row>
        <row r="882">
          <cell r="A882">
            <v>34000000</v>
          </cell>
          <cell r="C882">
            <v>34000000</v>
          </cell>
          <cell r="D882">
            <v>34000000</v>
          </cell>
          <cell r="E882">
            <v>34000000</v>
          </cell>
          <cell r="F882">
            <v>34000000</v>
          </cell>
          <cell r="G882">
            <v>34000000</v>
          </cell>
          <cell r="H882">
            <v>34000000</v>
          </cell>
          <cell r="I882" t="str">
            <v/>
          </cell>
          <cell r="J882" t="str">
            <v/>
          </cell>
          <cell r="K882" t="str">
            <v/>
          </cell>
          <cell r="L882" t="str">
            <v/>
          </cell>
        </row>
        <row r="883">
          <cell r="A883">
            <v>34000000</v>
          </cell>
          <cell r="C883">
            <v>34000000</v>
          </cell>
          <cell r="D883">
            <v>34000000</v>
          </cell>
          <cell r="E883">
            <v>34000000</v>
          </cell>
          <cell r="F883">
            <v>34000000</v>
          </cell>
          <cell r="G883">
            <v>34000000</v>
          </cell>
          <cell r="H883">
            <v>34000000</v>
          </cell>
          <cell r="I883" t="str">
            <v/>
          </cell>
          <cell r="J883" t="str">
            <v/>
          </cell>
          <cell r="K883" t="str">
            <v/>
          </cell>
          <cell r="L883" t="str">
            <v/>
          </cell>
        </row>
        <row r="884">
          <cell r="A884">
            <v>34000000</v>
          </cell>
          <cell r="C884">
            <v>34000000</v>
          </cell>
          <cell r="D884">
            <v>34000000</v>
          </cell>
          <cell r="E884">
            <v>34000000</v>
          </cell>
          <cell r="F884">
            <v>34000000</v>
          </cell>
          <cell r="G884">
            <v>34000000</v>
          </cell>
          <cell r="H884">
            <v>34000000</v>
          </cell>
          <cell r="I884" t="str">
            <v/>
          </cell>
          <cell r="J884" t="str">
            <v/>
          </cell>
          <cell r="K884" t="str">
            <v/>
          </cell>
          <cell r="L884" t="str">
            <v/>
          </cell>
        </row>
        <row r="885">
          <cell r="A885">
            <v>34000000</v>
          </cell>
          <cell r="C885">
            <v>34000000</v>
          </cell>
          <cell r="D885">
            <v>34000000</v>
          </cell>
          <cell r="E885">
            <v>34000000</v>
          </cell>
          <cell r="F885">
            <v>34000000</v>
          </cell>
          <cell r="G885">
            <v>34000000</v>
          </cell>
          <cell r="H885">
            <v>34000000</v>
          </cell>
          <cell r="I885" t="str">
            <v/>
          </cell>
          <cell r="J885" t="str">
            <v/>
          </cell>
          <cell r="K885" t="str">
            <v/>
          </cell>
          <cell r="L885" t="str">
            <v/>
          </cell>
        </row>
        <row r="886">
          <cell r="A886">
            <v>34000000</v>
          </cell>
          <cell r="C886">
            <v>34000000</v>
          </cell>
          <cell r="D886">
            <v>34000000</v>
          </cell>
          <cell r="E886">
            <v>34000000</v>
          </cell>
          <cell r="F886">
            <v>34000000</v>
          </cell>
          <cell r="G886">
            <v>34000000</v>
          </cell>
          <cell r="H886">
            <v>34000000</v>
          </cell>
          <cell r="I886" t="str">
            <v/>
          </cell>
          <cell r="J886" t="str">
            <v/>
          </cell>
          <cell r="K886" t="str">
            <v/>
          </cell>
          <cell r="L886" t="str">
            <v/>
          </cell>
        </row>
        <row r="887">
          <cell r="A887">
            <v>34000000</v>
          </cell>
          <cell r="C887">
            <v>34000000</v>
          </cell>
          <cell r="D887">
            <v>34000000</v>
          </cell>
          <cell r="E887">
            <v>34000000</v>
          </cell>
          <cell r="F887">
            <v>34000000</v>
          </cell>
          <cell r="G887">
            <v>34000000</v>
          </cell>
          <cell r="H887">
            <v>34000000</v>
          </cell>
          <cell r="I887" t="str">
            <v/>
          </cell>
          <cell r="J887" t="str">
            <v/>
          </cell>
          <cell r="K887" t="str">
            <v/>
          </cell>
          <cell r="L887" t="str">
            <v/>
          </cell>
        </row>
        <row r="888">
          <cell r="A888">
            <v>34000000</v>
          </cell>
          <cell r="C888">
            <v>34000000</v>
          </cell>
          <cell r="D888">
            <v>34000000</v>
          </cell>
          <cell r="E888">
            <v>34000000</v>
          </cell>
          <cell r="F888">
            <v>34000000</v>
          </cell>
          <cell r="G888">
            <v>34000000</v>
          </cell>
          <cell r="H888">
            <v>34000000</v>
          </cell>
          <cell r="I888" t="str">
            <v/>
          </cell>
          <cell r="J888" t="str">
            <v/>
          </cell>
          <cell r="K888" t="str">
            <v/>
          </cell>
          <cell r="L888" t="str">
            <v/>
          </cell>
        </row>
        <row r="889">
          <cell r="A889">
            <v>34000000</v>
          </cell>
          <cell r="C889">
            <v>34000000</v>
          </cell>
          <cell r="D889">
            <v>34000000</v>
          </cell>
          <cell r="E889">
            <v>34000000</v>
          </cell>
          <cell r="F889">
            <v>34000000</v>
          </cell>
          <cell r="G889">
            <v>34000000</v>
          </cell>
          <cell r="H889">
            <v>34000000</v>
          </cell>
          <cell r="I889" t="str">
            <v/>
          </cell>
          <cell r="J889" t="str">
            <v/>
          </cell>
          <cell r="K889" t="str">
            <v/>
          </cell>
          <cell r="L889" t="str">
            <v/>
          </cell>
        </row>
        <row r="890">
          <cell r="A890">
            <v>34000000</v>
          </cell>
          <cell r="C890">
            <v>34000000</v>
          </cell>
          <cell r="D890">
            <v>34000000</v>
          </cell>
          <cell r="E890">
            <v>34000000</v>
          </cell>
          <cell r="F890">
            <v>34000000</v>
          </cell>
          <cell r="G890">
            <v>34000000</v>
          </cell>
          <cell r="H890">
            <v>34000000</v>
          </cell>
          <cell r="I890" t="str">
            <v/>
          </cell>
          <cell r="J890" t="str">
            <v/>
          </cell>
          <cell r="K890" t="str">
            <v/>
          </cell>
          <cell r="L890" t="str">
            <v/>
          </cell>
        </row>
        <row r="891">
          <cell r="A891">
            <v>34000000</v>
          </cell>
          <cell r="C891">
            <v>34000000</v>
          </cell>
          <cell r="D891">
            <v>34000000</v>
          </cell>
          <cell r="E891">
            <v>34000000</v>
          </cell>
          <cell r="F891">
            <v>34000000</v>
          </cell>
          <cell r="G891">
            <v>34000000</v>
          </cell>
          <cell r="H891">
            <v>34000000</v>
          </cell>
          <cell r="I891" t="str">
            <v/>
          </cell>
          <cell r="J891" t="str">
            <v/>
          </cell>
          <cell r="K891" t="str">
            <v/>
          </cell>
          <cell r="L891" t="str">
            <v/>
          </cell>
        </row>
        <row r="892">
          <cell r="A892">
            <v>34000000</v>
          </cell>
          <cell r="C892">
            <v>34000000</v>
          </cell>
          <cell r="D892">
            <v>34000000</v>
          </cell>
          <cell r="E892">
            <v>34000000</v>
          </cell>
          <cell r="F892">
            <v>34000000</v>
          </cell>
          <cell r="G892">
            <v>34000000</v>
          </cell>
          <cell r="H892">
            <v>34000000</v>
          </cell>
          <cell r="I892" t="str">
            <v/>
          </cell>
          <cell r="J892" t="str">
            <v/>
          </cell>
          <cell r="K892" t="str">
            <v/>
          </cell>
          <cell r="L892" t="str">
            <v/>
          </cell>
        </row>
        <row r="893">
          <cell r="A893">
            <v>34000000</v>
          </cell>
          <cell r="C893">
            <v>34000000</v>
          </cell>
          <cell r="D893">
            <v>34000000</v>
          </cell>
          <cell r="E893">
            <v>34000000</v>
          </cell>
          <cell r="F893">
            <v>34000000</v>
          </cell>
          <cell r="G893">
            <v>34000000</v>
          </cell>
          <cell r="H893">
            <v>34000000</v>
          </cell>
          <cell r="I893" t="str">
            <v/>
          </cell>
          <cell r="J893" t="str">
            <v/>
          </cell>
          <cell r="K893" t="str">
            <v/>
          </cell>
          <cell r="L893" t="str">
            <v/>
          </cell>
        </row>
        <row r="894">
          <cell r="A894">
            <v>34000000</v>
          </cell>
          <cell r="C894">
            <v>34000000</v>
          </cell>
          <cell r="D894">
            <v>34000000</v>
          </cell>
          <cell r="E894">
            <v>34000000</v>
          </cell>
          <cell r="F894">
            <v>34000000</v>
          </cell>
          <cell r="G894">
            <v>34000000</v>
          </cell>
          <cell r="H894">
            <v>34000000</v>
          </cell>
          <cell r="I894" t="str">
            <v/>
          </cell>
          <cell r="J894" t="str">
            <v/>
          </cell>
          <cell r="K894" t="str">
            <v/>
          </cell>
          <cell r="L894" t="str">
            <v/>
          </cell>
        </row>
        <row r="895">
          <cell r="A895">
            <v>34000000</v>
          </cell>
          <cell r="C895">
            <v>34000000</v>
          </cell>
          <cell r="D895">
            <v>34000000</v>
          </cell>
          <cell r="E895">
            <v>34000000</v>
          </cell>
          <cell r="F895">
            <v>34000000</v>
          </cell>
          <cell r="G895">
            <v>34000000</v>
          </cell>
          <cell r="H895">
            <v>34000000</v>
          </cell>
          <cell r="I895" t="str">
            <v/>
          </cell>
          <cell r="J895" t="str">
            <v/>
          </cell>
          <cell r="K895" t="str">
            <v/>
          </cell>
          <cell r="L895" t="str">
            <v/>
          </cell>
        </row>
        <row r="896">
          <cell r="A896">
            <v>34000000</v>
          </cell>
          <cell r="C896">
            <v>34000000</v>
          </cell>
          <cell r="D896">
            <v>34000000</v>
          </cell>
          <cell r="E896">
            <v>34000000</v>
          </cell>
          <cell r="F896">
            <v>34000000</v>
          </cell>
          <cell r="G896">
            <v>34000000</v>
          </cell>
          <cell r="H896">
            <v>34000000</v>
          </cell>
          <cell r="I896" t="str">
            <v/>
          </cell>
          <cell r="J896" t="str">
            <v/>
          </cell>
          <cell r="K896" t="str">
            <v/>
          </cell>
          <cell r="L896" t="str">
            <v/>
          </cell>
        </row>
        <row r="897">
          <cell r="A897">
            <v>34000000</v>
          </cell>
          <cell r="C897">
            <v>34000000</v>
          </cell>
          <cell r="D897">
            <v>34000000</v>
          </cell>
          <cell r="E897">
            <v>34000000</v>
          </cell>
          <cell r="F897">
            <v>34000000</v>
          </cell>
          <cell r="G897">
            <v>34000000</v>
          </cell>
          <cell r="H897">
            <v>34000000</v>
          </cell>
          <cell r="I897" t="str">
            <v/>
          </cell>
          <cell r="J897" t="str">
            <v/>
          </cell>
          <cell r="K897" t="str">
            <v/>
          </cell>
          <cell r="L897" t="str">
            <v/>
          </cell>
        </row>
        <row r="898">
          <cell r="A898">
            <v>34000000</v>
          </cell>
          <cell r="C898">
            <v>34000000</v>
          </cell>
          <cell r="D898">
            <v>34000000</v>
          </cell>
          <cell r="E898">
            <v>34000000</v>
          </cell>
          <cell r="F898">
            <v>34000000</v>
          </cell>
          <cell r="G898">
            <v>34000000</v>
          </cell>
          <cell r="H898">
            <v>34000000</v>
          </cell>
          <cell r="I898" t="str">
            <v/>
          </cell>
          <cell r="J898" t="str">
            <v/>
          </cell>
          <cell r="K898" t="str">
            <v/>
          </cell>
          <cell r="L898" t="str">
            <v/>
          </cell>
        </row>
        <row r="899">
          <cell r="A899">
            <v>34000000</v>
          </cell>
          <cell r="C899">
            <v>34000000</v>
          </cell>
          <cell r="D899">
            <v>34000000</v>
          </cell>
          <cell r="E899">
            <v>34000000</v>
          </cell>
          <cell r="F899">
            <v>34000000</v>
          </cell>
          <cell r="G899">
            <v>34000000</v>
          </cell>
          <cell r="H899">
            <v>34000000</v>
          </cell>
          <cell r="I899" t="str">
            <v/>
          </cell>
          <cell r="J899" t="str">
            <v/>
          </cell>
          <cell r="K899" t="str">
            <v/>
          </cell>
          <cell r="L899" t="str">
            <v/>
          </cell>
        </row>
        <row r="900">
          <cell r="A900">
            <v>34000000</v>
          </cell>
          <cell r="C900">
            <v>34000000</v>
          </cell>
          <cell r="D900">
            <v>34000000</v>
          </cell>
          <cell r="E900">
            <v>34000000</v>
          </cell>
          <cell r="F900">
            <v>34000000</v>
          </cell>
          <cell r="G900">
            <v>34000000</v>
          </cell>
          <cell r="H900">
            <v>34000000</v>
          </cell>
          <cell r="I900" t="str">
            <v/>
          </cell>
          <cell r="J900" t="str">
            <v/>
          </cell>
          <cell r="K900" t="str">
            <v/>
          </cell>
          <cell r="L900" t="str">
            <v/>
          </cell>
        </row>
        <row r="901">
          <cell r="A901">
            <v>34000000</v>
          </cell>
          <cell r="C901">
            <v>34000000</v>
          </cell>
          <cell r="D901">
            <v>34000000</v>
          </cell>
          <cell r="E901">
            <v>34000000</v>
          </cell>
          <cell r="F901">
            <v>34000000</v>
          </cell>
          <cell r="G901">
            <v>34000000</v>
          </cell>
          <cell r="H901">
            <v>34000000</v>
          </cell>
          <cell r="I901" t="str">
            <v/>
          </cell>
          <cell r="J901" t="str">
            <v/>
          </cell>
          <cell r="K901" t="str">
            <v/>
          </cell>
          <cell r="L901" t="str">
            <v/>
          </cell>
        </row>
        <row r="902">
          <cell r="A902">
            <v>34000000</v>
          </cell>
          <cell r="C902">
            <v>34000000</v>
          </cell>
          <cell r="D902">
            <v>34000000</v>
          </cell>
          <cell r="E902">
            <v>34000000</v>
          </cell>
          <cell r="F902">
            <v>34000000</v>
          </cell>
          <cell r="G902">
            <v>34000000</v>
          </cell>
          <cell r="H902">
            <v>34000000</v>
          </cell>
          <cell r="I902" t="str">
            <v/>
          </cell>
          <cell r="J902" t="str">
            <v/>
          </cell>
          <cell r="K902" t="str">
            <v/>
          </cell>
          <cell r="L902" t="str">
            <v/>
          </cell>
        </row>
        <row r="903">
          <cell r="A903">
            <v>34000000</v>
          </cell>
          <cell r="C903">
            <v>34000000</v>
          </cell>
          <cell r="D903">
            <v>34000000</v>
          </cell>
          <cell r="E903">
            <v>34000000</v>
          </cell>
          <cell r="F903">
            <v>34000000</v>
          </cell>
          <cell r="G903">
            <v>34000000</v>
          </cell>
          <cell r="H903">
            <v>34000000</v>
          </cell>
          <cell r="I903" t="str">
            <v/>
          </cell>
          <cell r="J903" t="str">
            <v/>
          </cell>
          <cell r="K903" t="str">
            <v/>
          </cell>
          <cell r="L903" t="str">
            <v/>
          </cell>
        </row>
        <row r="904">
          <cell r="A904">
            <v>34000000</v>
          </cell>
          <cell r="C904">
            <v>34000000</v>
          </cell>
          <cell r="D904">
            <v>34000000</v>
          </cell>
          <cell r="E904">
            <v>34000000</v>
          </cell>
          <cell r="F904">
            <v>34000000</v>
          </cell>
          <cell r="G904">
            <v>34000000</v>
          </cell>
          <cell r="H904">
            <v>34000000</v>
          </cell>
          <cell r="I904" t="str">
            <v/>
          </cell>
          <cell r="J904" t="str">
            <v/>
          </cell>
          <cell r="K904" t="str">
            <v/>
          </cell>
          <cell r="L904" t="str">
            <v/>
          </cell>
        </row>
        <row r="905">
          <cell r="A905">
            <v>34000000</v>
          </cell>
          <cell r="C905">
            <v>34000000</v>
          </cell>
          <cell r="D905">
            <v>34000000</v>
          </cell>
          <cell r="E905">
            <v>34000000</v>
          </cell>
          <cell r="F905">
            <v>34000000</v>
          </cell>
          <cell r="G905">
            <v>34000000</v>
          </cell>
          <cell r="H905">
            <v>34000000</v>
          </cell>
          <cell r="I905" t="str">
            <v/>
          </cell>
          <cell r="J905" t="str">
            <v/>
          </cell>
          <cell r="K905" t="str">
            <v/>
          </cell>
          <cell r="L905" t="str">
            <v/>
          </cell>
        </row>
        <row r="906">
          <cell r="A906">
            <v>34000000</v>
          </cell>
          <cell r="C906">
            <v>34000000</v>
          </cell>
          <cell r="D906">
            <v>34000000</v>
          </cell>
          <cell r="E906">
            <v>34000000</v>
          </cell>
          <cell r="F906">
            <v>34000000</v>
          </cell>
          <cell r="G906">
            <v>34000000</v>
          </cell>
          <cell r="H906">
            <v>34000000</v>
          </cell>
          <cell r="I906" t="str">
            <v/>
          </cell>
          <cell r="J906" t="str">
            <v/>
          </cell>
          <cell r="K906" t="str">
            <v/>
          </cell>
          <cell r="L906" t="str">
            <v/>
          </cell>
        </row>
        <row r="907">
          <cell r="A907">
            <v>34000000</v>
          </cell>
          <cell r="C907">
            <v>34000000</v>
          </cell>
          <cell r="D907">
            <v>34000000</v>
          </cell>
          <cell r="E907">
            <v>34000000</v>
          </cell>
          <cell r="F907">
            <v>34000000</v>
          </cell>
          <cell r="G907">
            <v>34000000</v>
          </cell>
          <cell r="H907">
            <v>34000000</v>
          </cell>
          <cell r="I907" t="str">
            <v/>
          </cell>
          <cell r="J907" t="str">
            <v/>
          </cell>
          <cell r="K907" t="str">
            <v/>
          </cell>
          <cell r="L907" t="str">
            <v/>
          </cell>
        </row>
        <row r="908">
          <cell r="A908">
            <v>34000000</v>
          </cell>
          <cell r="C908">
            <v>34000000</v>
          </cell>
          <cell r="D908">
            <v>34000000</v>
          </cell>
          <cell r="E908">
            <v>34000000</v>
          </cell>
          <cell r="F908">
            <v>34000000</v>
          </cell>
          <cell r="G908">
            <v>34000000</v>
          </cell>
          <cell r="H908">
            <v>34000000</v>
          </cell>
          <cell r="I908" t="str">
            <v/>
          </cell>
          <cell r="J908" t="str">
            <v/>
          </cell>
          <cell r="K908" t="str">
            <v/>
          </cell>
          <cell r="L908" t="str">
            <v/>
          </cell>
        </row>
        <row r="909">
          <cell r="A909">
            <v>34000000</v>
          </cell>
          <cell r="C909">
            <v>34000000</v>
          </cell>
          <cell r="D909">
            <v>34000000</v>
          </cell>
          <cell r="E909">
            <v>34000000</v>
          </cell>
          <cell r="F909">
            <v>34000000</v>
          </cell>
          <cell r="G909">
            <v>34000000</v>
          </cell>
          <cell r="H909">
            <v>34000000</v>
          </cell>
          <cell r="I909" t="str">
            <v/>
          </cell>
          <cell r="J909" t="str">
            <v/>
          </cell>
          <cell r="K909" t="str">
            <v/>
          </cell>
          <cell r="L909" t="str">
            <v/>
          </cell>
        </row>
        <row r="910">
          <cell r="A910">
            <v>34000000</v>
          </cell>
          <cell r="C910">
            <v>34000000</v>
          </cell>
          <cell r="D910">
            <v>34000000</v>
          </cell>
          <cell r="E910">
            <v>34000000</v>
          </cell>
          <cell r="F910">
            <v>34000000</v>
          </cell>
          <cell r="G910">
            <v>34000000</v>
          </cell>
          <cell r="H910">
            <v>34000000</v>
          </cell>
          <cell r="I910" t="str">
            <v/>
          </cell>
          <cell r="J910" t="str">
            <v/>
          </cell>
          <cell r="K910" t="str">
            <v/>
          </cell>
          <cell r="L910" t="str">
            <v/>
          </cell>
        </row>
        <row r="911">
          <cell r="A911">
            <v>34000000</v>
          </cell>
          <cell r="C911">
            <v>34000000</v>
          </cell>
          <cell r="D911">
            <v>34000000</v>
          </cell>
          <cell r="E911">
            <v>34000000</v>
          </cell>
          <cell r="F911">
            <v>34000000</v>
          </cell>
          <cell r="G911">
            <v>34000000</v>
          </cell>
          <cell r="H911">
            <v>34000000</v>
          </cell>
          <cell r="I911" t="str">
            <v/>
          </cell>
          <cell r="J911" t="str">
            <v/>
          </cell>
          <cell r="K911" t="str">
            <v/>
          </cell>
          <cell r="L911" t="str">
            <v/>
          </cell>
        </row>
        <row r="912">
          <cell r="A912">
            <v>34000000</v>
          </cell>
          <cell r="C912">
            <v>34000000</v>
          </cell>
          <cell r="D912">
            <v>34000000</v>
          </cell>
          <cell r="E912">
            <v>34000000</v>
          </cell>
          <cell r="F912">
            <v>34000000</v>
          </cell>
          <cell r="G912">
            <v>34000000</v>
          </cell>
          <cell r="H912">
            <v>34000000</v>
          </cell>
          <cell r="I912" t="str">
            <v/>
          </cell>
          <cell r="J912" t="str">
            <v/>
          </cell>
          <cell r="K912" t="str">
            <v/>
          </cell>
          <cell r="L912" t="str">
            <v/>
          </cell>
        </row>
        <row r="913">
          <cell r="A913">
            <v>34000000</v>
          </cell>
          <cell r="C913">
            <v>34000000</v>
          </cell>
          <cell r="D913">
            <v>34000000</v>
          </cell>
          <cell r="E913">
            <v>34000000</v>
          </cell>
          <cell r="F913">
            <v>34000000</v>
          </cell>
          <cell r="G913">
            <v>34000000</v>
          </cell>
          <cell r="H913">
            <v>34000000</v>
          </cell>
          <cell r="I913" t="str">
            <v/>
          </cell>
          <cell r="J913" t="str">
            <v/>
          </cell>
          <cell r="K913" t="str">
            <v/>
          </cell>
          <cell r="L913" t="str">
            <v/>
          </cell>
        </row>
        <row r="914">
          <cell r="A914">
            <v>34000000</v>
          </cell>
          <cell r="C914">
            <v>34000000</v>
          </cell>
          <cell r="D914">
            <v>34000000</v>
          </cell>
          <cell r="E914">
            <v>34000000</v>
          </cell>
          <cell r="F914">
            <v>34000000</v>
          </cell>
          <cell r="G914">
            <v>34000000</v>
          </cell>
          <cell r="H914">
            <v>34000000</v>
          </cell>
          <cell r="I914" t="str">
            <v/>
          </cell>
          <cell r="J914" t="str">
            <v/>
          </cell>
          <cell r="K914" t="str">
            <v/>
          </cell>
          <cell r="L914" t="str">
            <v/>
          </cell>
        </row>
        <row r="915">
          <cell r="A915">
            <v>34000000</v>
          </cell>
          <cell r="C915">
            <v>34000000</v>
          </cell>
          <cell r="D915">
            <v>34000000</v>
          </cell>
          <cell r="E915">
            <v>34000000</v>
          </cell>
          <cell r="F915">
            <v>34000000</v>
          </cell>
          <cell r="G915">
            <v>34000000</v>
          </cell>
          <cell r="H915">
            <v>34000000</v>
          </cell>
          <cell r="I915" t="str">
            <v/>
          </cell>
          <cell r="J915" t="str">
            <v/>
          </cell>
          <cell r="K915" t="str">
            <v/>
          </cell>
          <cell r="L915" t="str">
            <v/>
          </cell>
        </row>
        <row r="916">
          <cell r="A916">
            <v>34000000</v>
          </cell>
          <cell r="C916">
            <v>34000000</v>
          </cell>
          <cell r="D916">
            <v>34000000</v>
          </cell>
          <cell r="E916">
            <v>34000000</v>
          </cell>
          <cell r="F916">
            <v>34000000</v>
          </cell>
          <cell r="G916">
            <v>34000000</v>
          </cell>
          <cell r="H916">
            <v>34000000</v>
          </cell>
          <cell r="I916" t="str">
            <v/>
          </cell>
          <cell r="J916" t="str">
            <v/>
          </cell>
          <cell r="K916" t="str">
            <v/>
          </cell>
          <cell r="L916" t="str">
            <v/>
          </cell>
        </row>
        <row r="917">
          <cell r="A917">
            <v>34000000</v>
          </cell>
          <cell r="C917">
            <v>34000000</v>
          </cell>
          <cell r="D917">
            <v>34000000</v>
          </cell>
          <cell r="E917">
            <v>34000000</v>
          </cell>
          <cell r="F917">
            <v>34000000</v>
          </cell>
          <cell r="G917">
            <v>34000000</v>
          </cell>
          <cell r="H917">
            <v>34000000</v>
          </cell>
          <cell r="I917" t="str">
            <v/>
          </cell>
          <cell r="J917" t="str">
            <v/>
          </cell>
          <cell r="K917" t="str">
            <v/>
          </cell>
          <cell r="L917" t="str">
            <v/>
          </cell>
        </row>
        <row r="918">
          <cell r="A918">
            <v>34000000</v>
          </cell>
          <cell r="C918">
            <v>34000000</v>
          </cell>
          <cell r="D918">
            <v>34000000</v>
          </cell>
          <cell r="E918">
            <v>34000000</v>
          </cell>
          <cell r="F918">
            <v>34000000</v>
          </cell>
          <cell r="G918">
            <v>34000000</v>
          </cell>
          <cell r="H918">
            <v>34000000</v>
          </cell>
          <cell r="I918" t="str">
            <v/>
          </cell>
          <cell r="J918" t="str">
            <v/>
          </cell>
          <cell r="K918" t="str">
            <v/>
          </cell>
          <cell r="L918" t="str">
            <v/>
          </cell>
        </row>
        <row r="919">
          <cell r="A919">
            <v>34000000</v>
          </cell>
          <cell r="C919">
            <v>34000000</v>
          </cell>
          <cell r="D919">
            <v>34000000</v>
          </cell>
          <cell r="E919">
            <v>34000000</v>
          </cell>
          <cell r="F919">
            <v>34000000</v>
          </cell>
          <cell r="G919">
            <v>34000000</v>
          </cell>
          <cell r="H919">
            <v>34000000</v>
          </cell>
          <cell r="I919" t="str">
            <v/>
          </cell>
          <cell r="J919" t="str">
            <v/>
          </cell>
          <cell r="K919" t="str">
            <v/>
          </cell>
          <cell r="L919" t="str">
            <v/>
          </cell>
        </row>
        <row r="920">
          <cell r="A920">
            <v>34000000</v>
          </cell>
          <cell r="C920">
            <v>34000000</v>
          </cell>
          <cell r="D920">
            <v>34000000</v>
          </cell>
          <cell r="E920">
            <v>34000000</v>
          </cell>
          <cell r="F920">
            <v>34000000</v>
          </cell>
          <cell r="G920">
            <v>34000000</v>
          </cell>
          <cell r="H920">
            <v>34000000</v>
          </cell>
          <cell r="I920" t="str">
            <v/>
          </cell>
          <cell r="J920" t="str">
            <v/>
          </cell>
          <cell r="K920" t="str">
            <v/>
          </cell>
          <cell r="L920" t="str">
            <v/>
          </cell>
        </row>
        <row r="921">
          <cell r="A921">
            <v>34000000</v>
          </cell>
          <cell r="C921">
            <v>34000000</v>
          </cell>
          <cell r="D921">
            <v>34000000</v>
          </cell>
          <cell r="E921">
            <v>34000000</v>
          </cell>
          <cell r="F921">
            <v>34000000</v>
          </cell>
          <cell r="G921">
            <v>34000000</v>
          </cell>
          <cell r="H921">
            <v>34000000</v>
          </cell>
          <cell r="I921" t="str">
            <v/>
          </cell>
          <cell r="J921" t="str">
            <v/>
          </cell>
          <cell r="K921" t="str">
            <v/>
          </cell>
          <cell r="L921" t="str">
            <v/>
          </cell>
        </row>
        <row r="922">
          <cell r="A922">
            <v>34000000</v>
          </cell>
          <cell r="C922">
            <v>34000000</v>
          </cell>
          <cell r="D922">
            <v>34000000</v>
          </cell>
          <cell r="E922">
            <v>34000000</v>
          </cell>
          <cell r="F922">
            <v>34000000</v>
          </cell>
          <cell r="G922">
            <v>34000000</v>
          </cell>
          <cell r="H922">
            <v>34000000</v>
          </cell>
          <cell r="I922" t="str">
            <v/>
          </cell>
          <cell r="J922" t="str">
            <v/>
          </cell>
          <cell r="K922" t="str">
            <v/>
          </cell>
          <cell r="L922" t="str">
            <v/>
          </cell>
        </row>
        <row r="923">
          <cell r="A923">
            <v>34000000</v>
          </cell>
          <cell r="C923">
            <v>34000000</v>
          </cell>
          <cell r="D923">
            <v>34000000</v>
          </cell>
          <cell r="E923">
            <v>34000000</v>
          </cell>
          <cell r="F923">
            <v>34000000</v>
          </cell>
          <cell r="G923">
            <v>34000000</v>
          </cell>
          <cell r="H923">
            <v>34000000</v>
          </cell>
          <cell r="I923" t="str">
            <v/>
          </cell>
          <cell r="J923" t="str">
            <v/>
          </cell>
          <cell r="K923" t="str">
            <v/>
          </cell>
          <cell r="L923" t="str">
            <v/>
          </cell>
        </row>
        <row r="924">
          <cell r="A924">
            <v>34000000</v>
          </cell>
          <cell r="C924">
            <v>34000000</v>
          </cell>
          <cell r="D924">
            <v>34000000</v>
          </cell>
          <cell r="E924">
            <v>34000000</v>
          </cell>
          <cell r="F924">
            <v>34000000</v>
          </cell>
          <cell r="G924">
            <v>34000000</v>
          </cell>
          <cell r="H924">
            <v>34000000</v>
          </cell>
          <cell r="I924" t="str">
            <v/>
          </cell>
          <cell r="J924" t="str">
            <v/>
          </cell>
          <cell r="K924" t="str">
            <v/>
          </cell>
          <cell r="L924" t="str">
            <v/>
          </cell>
        </row>
        <row r="925">
          <cell r="A925">
            <v>34000000</v>
          </cell>
          <cell r="C925">
            <v>34000000</v>
          </cell>
          <cell r="D925">
            <v>34000000</v>
          </cell>
          <cell r="E925">
            <v>34000000</v>
          </cell>
          <cell r="F925">
            <v>34000000</v>
          </cell>
          <cell r="G925">
            <v>34000000</v>
          </cell>
          <cell r="H925">
            <v>34000000</v>
          </cell>
          <cell r="I925" t="str">
            <v/>
          </cell>
          <cell r="J925" t="str">
            <v/>
          </cell>
          <cell r="K925" t="str">
            <v/>
          </cell>
          <cell r="L925" t="str">
            <v/>
          </cell>
        </row>
        <row r="926">
          <cell r="A926">
            <v>34000000</v>
          </cell>
          <cell r="C926">
            <v>34000000</v>
          </cell>
          <cell r="D926">
            <v>34000000</v>
          </cell>
          <cell r="E926">
            <v>34000000</v>
          </cell>
          <cell r="F926">
            <v>34000000</v>
          </cell>
          <cell r="G926">
            <v>34000000</v>
          </cell>
          <cell r="H926">
            <v>34000000</v>
          </cell>
          <cell r="I926" t="str">
            <v/>
          </cell>
          <cell r="J926" t="str">
            <v/>
          </cell>
          <cell r="K926" t="str">
            <v/>
          </cell>
          <cell r="L926" t="str">
            <v/>
          </cell>
        </row>
        <row r="927">
          <cell r="A927">
            <v>34000000</v>
          </cell>
          <cell r="C927">
            <v>34000000</v>
          </cell>
          <cell r="D927">
            <v>34000000</v>
          </cell>
          <cell r="E927">
            <v>34000000</v>
          </cell>
          <cell r="F927">
            <v>34000000</v>
          </cell>
          <cell r="G927">
            <v>34000000</v>
          </cell>
          <cell r="H927">
            <v>34000000</v>
          </cell>
          <cell r="I927" t="str">
            <v/>
          </cell>
          <cell r="J927" t="str">
            <v/>
          </cell>
          <cell r="K927" t="str">
            <v/>
          </cell>
          <cell r="L927" t="str">
            <v/>
          </cell>
        </row>
        <row r="928">
          <cell r="A928">
            <v>34000000</v>
          </cell>
          <cell r="C928">
            <v>34000000</v>
          </cell>
          <cell r="D928">
            <v>34000000</v>
          </cell>
          <cell r="E928">
            <v>34000000</v>
          </cell>
          <cell r="F928">
            <v>34000000</v>
          </cell>
          <cell r="G928">
            <v>34000000</v>
          </cell>
          <cell r="H928">
            <v>34000000</v>
          </cell>
          <cell r="I928" t="str">
            <v/>
          </cell>
          <cell r="J928" t="str">
            <v/>
          </cell>
          <cell r="K928" t="str">
            <v/>
          </cell>
          <cell r="L928" t="str">
            <v/>
          </cell>
        </row>
        <row r="929">
          <cell r="A929">
            <v>34000000</v>
          </cell>
          <cell r="C929">
            <v>34000000</v>
          </cell>
          <cell r="D929">
            <v>34000000</v>
          </cell>
          <cell r="E929">
            <v>34000000</v>
          </cell>
          <cell r="F929">
            <v>34000000</v>
          </cell>
          <cell r="G929">
            <v>34000000</v>
          </cell>
          <cell r="H929">
            <v>34000000</v>
          </cell>
          <cell r="I929" t="str">
            <v/>
          </cell>
          <cell r="J929" t="str">
            <v/>
          </cell>
          <cell r="K929" t="str">
            <v/>
          </cell>
          <cell r="L929" t="str">
            <v/>
          </cell>
        </row>
        <row r="930">
          <cell r="A930">
            <v>34000000</v>
          </cell>
          <cell r="C930">
            <v>34000000</v>
          </cell>
          <cell r="D930">
            <v>34000000</v>
          </cell>
          <cell r="E930">
            <v>34000000</v>
          </cell>
          <cell r="F930">
            <v>34000000</v>
          </cell>
          <cell r="G930">
            <v>34000000</v>
          </cell>
          <cell r="H930">
            <v>34000000</v>
          </cell>
          <cell r="I930" t="str">
            <v/>
          </cell>
          <cell r="J930" t="str">
            <v/>
          </cell>
          <cell r="K930" t="str">
            <v/>
          </cell>
          <cell r="L930" t="str">
            <v/>
          </cell>
        </row>
        <row r="931">
          <cell r="A931">
            <v>34000000</v>
          </cell>
          <cell r="C931">
            <v>34000000</v>
          </cell>
          <cell r="D931">
            <v>34000000</v>
          </cell>
          <cell r="E931">
            <v>34000000</v>
          </cell>
          <cell r="F931">
            <v>34000000</v>
          </cell>
          <cell r="G931">
            <v>34000000</v>
          </cell>
          <cell r="H931">
            <v>34000000</v>
          </cell>
          <cell r="I931" t="str">
            <v/>
          </cell>
          <cell r="J931" t="str">
            <v/>
          </cell>
          <cell r="K931" t="str">
            <v/>
          </cell>
          <cell r="L931" t="str">
            <v/>
          </cell>
        </row>
        <row r="932">
          <cell r="A932">
            <v>34000000</v>
          </cell>
          <cell r="C932">
            <v>34000000</v>
          </cell>
          <cell r="D932">
            <v>34000000</v>
          </cell>
          <cell r="E932">
            <v>34000000</v>
          </cell>
          <cell r="F932">
            <v>34000000</v>
          </cell>
          <cell r="G932">
            <v>34000000</v>
          </cell>
          <cell r="H932">
            <v>34000000</v>
          </cell>
          <cell r="I932" t="str">
            <v/>
          </cell>
          <cell r="J932" t="str">
            <v/>
          </cell>
          <cell r="K932" t="str">
            <v/>
          </cell>
          <cell r="L932" t="str">
            <v/>
          </cell>
        </row>
        <row r="933">
          <cell r="A933">
            <v>34000000</v>
          </cell>
          <cell r="C933">
            <v>34000000</v>
          </cell>
          <cell r="D933">
            <v>34000000</v>
          </cell>
          <cell r="E933">
            <v>34000000</v>
          </cell>
          <cell r="F933">
            <v>34000000</v>
          </cell>
          <cell r="G933">
            <v>34000000</v>
          </cell>
          <cell r="H933">
            <v>34000000</v>
          </cell>
          <cell r="I933" t="str">
            <v/>
          </cell>
          <cell r="J933" t="str">
            <v/>
          </cell>
          <cell r="K933" t="str">
            <v/>
          </cell>
          <cell r="L933" t="str">
            <v/>
          </cell>
        </row>
        <row r="934">
          <cell r="A934">
            <v>34000000</v>
          </cell>
          <cell r="C934">
            <v>34000000</v>
          </cell>
          <cell r="D934">
            <v>34000000</v>
          </cell>
          <cell r="E934">
            <v>34000000</v>
          </cell>
          <cell r="F934">
            <v>34000000</v>
          </cell>
          <cell r="G934">
            <v>34000000</v>
          </cell>
          <cell r="H934">
            <v>34000000</v>
          </cell>
          <cell r="I934" t="str">
            <v/>
          </cell>
          <cell r="J934" t="str">
            <v/>
          </cell>
          <cell r="K934" t="str">
            <v/>
          </cell>
          <cell r="L934" t="str">
            <v/>
          </cell>
        </row>
        <row r="935">
          <cell r="A935">
            <v>34000000</v>
          </cell>
          <cell r="C935">
            <v>34000000</v>
          </cell>
          <cell r="D935">
            <v>34000000</v>
          </cell>
          <cell r="E935">
            <v>34000000</v>
          </cell>
          <cell r="F935">
            <v>34000000</v>
          </cell>
          <cell r="G935">
            <v>34000000</v>
          </cell>
          <cell r="H935">
            <v>34000000</v>
          </cell>
          <cell r="I935" t="str">
            <v/>
          </cell>
          <cell r="J935" t="str">
            <v/>
          </cell>
          <cell r="K935" t="str">
            <v/>
          </cell>
          <cell r="L935" t="str">
            <v/>
          </cell>
        </row>
        <row r="936">
          <cell r="A936">
            <v>34000000</v>
          </cell>
          <cell r="C936">
            <v>34000000</v>
          </cell>
          <cell r="D936">
            <v>34000000</v>
          </cell>
          <cell r="E936">
            <v>34000000</v>
          </cell>
          <cell r="F936">
            <v>34000000</v>
          </cell>
          <cell r="G936">
            <v>34000000</v>
          </cell>
          <cell r="H936">
            <v>34000000</v>
          </cell>
          <cell r="I936" t="str">
            <v/>
          </cell>
          <cell r="J936" t="str">
            <v/>
          </cell>
          <cell r="K936" t="str">
            <v/>
          </cell>
          <cell r="L936" t="str">
            <v/>
          </cell>
        </row>
        <row r="937">
          <cell r="A937">
            <v>34000000</v>
          </cell>
          <cell r="C937">
            <v>34000000</v>
          </cell>
          <cell r="D937">
            <v>34000000</v>
          </cell>
          <cell r="E937">
            <v>34000000</v>
          </cell>
          <cell r="F937">
            <v>34000000</v>
          </cell>
          <cell r="G937">
            <v>34000000</v>
          </cell>
          <cell r="H937">
            <v>34000000</v>
          </cell>
          <cell r="I937" t="str">
            <v/>
          </cell>
          <cell r="J937" t="str">
            <v/>
          </cell>
          <cell r="K937" t="str">
            <v/>
          </cell>
          <cell r="L937" t="str">
            <v/>
          </cell>
        </row>
        <row r="938">
          <cell r="A938">
            <v>34000000</v>
          </cell>
          <cell r="C938">
            <v>34000000</v>
          </cell>
          <cell r="D938">
            <v>34000000</v>
          </cell>
          <cell r="E938">
            <v>34000000</v>
          </cell>
          <cell r="F938">
            <v>34000000</v>
          </cell>
          <cell r="G938">
            <v>34000000</v>
          </cell>
          <cell r="H938">
            <v>34000000</v>
          </cell>
          <cell r="I938" t="str">
            <v/>
          </cell>
          <cell r="J938" t="str">
            <v/>
          </cell>
          <cell r="K938" t="str">
            <v/>
          </cell>
          <cell r="L938" t="str">
            <v/>
          </cell>
        </row>
        <row r="939">
          <cell r="A939">
            <v>34000000</v>
          </cell>
          <cell r="C939">
            <v>34000000</v>
          </cell>
          <cell r="D939">
            <v>34000000</v>
          </cell>
          <cell r="E939">
            <v>34000000</v>
          </cell>
          <cell r="F939">
            <v>34000000</v>
          </cell>
          <cell r="G939">
            <v>34000000</v>
          </cell>
          <cell r="H939">
            <v>34000000</v>
          </cell>
          <cell r="I939" t="str">
            <v/>
          </cell>
          <cell r="J939" t="str">
            <v/>
          </cell>
          <cell r="K939" t="str">
            <v/>
          </cell>
          <cell r="L939" t="str">
            <v/>
          </cell>
        </row>
        <row r="940">
          <cell r="A940">
            <v>34000000</v>
          </cell>
          <cell r="C940">
            <v>34000000</v>
          </cell>
          <cell r="D940">
            <v>34000000</v>
          </cell>
          <cell r="E940">
            <v>34000000</v>
          </cell>
          <cell r="F940">
            <v>34000000</v>
          </cell>
          <cell r="G940">
            <v>34000000</v>
          </cell>
          <cell r="H940">
            <v>34000000</v>
          </cell>
          <cell r="I940" t="str">
            <v/>
          </cell>
          <cell r="J940" t="str">
            <v/>
          </cell>
          <cell r="K940" t="str">
            <v/>
          </cell>
          <cell r="L940" t="str">
            <v/>
          </cell>
        </row>
        <row r="941">
          <cell r="A941">
            <v>34000000</v>
          </cell>
          <cell r="C941">
            <v>34000000</v>
          </cell>
          <cell r="D941">
            <v>34000000</v>
          </cell>
          <cell r="E941">
            <v>34000000</v>
          </cell>
          <cell r="F941">
            <v>34000000</v>
          </cell>
          <cell r="G941">
            <v>34000000</v>
          </cell>
          <cell r="H941">
            <v>34000000</v>
          </cell>
          <cell r="I941" t="str">
            <v/>
          </cell>
          <cell r="J941" t="str">
            <v/>
          </cell>
          <cell r="K941" t="str">
            <v/>
          </cell>
          <cell r="L941" t="str">
            <v/>
          </cell>
        </row>
        <row r="942">
          <cell r="A942">
            <v>34000000</v>
          </cell>
          <cell r="C942">
            <v>34000000</v>
          </cell>
          <cell r="D942">
            <v>34000000</v>
          </cell>
          <cell r="E942">
            <v>34000000</v>
          </cell>
          <cell r="F942">
            <v>34000000</v>
          </cell>
          <cell r="G942">
            <v>34000000</v>
          </cell>
          <cell r="H942">
            <v>34000000</v>
          </cell>
          <cell r="I942" t="str">
            <v/>
          </cell>
          <cell r="J942" t="str">
            <v/>
          </cell>
          <cell r="K942" t="str">
            <v/>
          </cell>
          <cell r="L942" t="str">
            <v/>
          </cell>
        </row>
        <row r="943">
          <cell r="A943">
            <v>34000000</v>
          </cell>
          <cell r="C943">
            <v>34000000</v>
          </cell>
          <cell r="D943">
            <v>34000000</v>
          </cell>
          <cell r="E943">
            <v>34000000</v>
          </cell>
          <cell r="F943">
            <v>34000000</v>
          </cell>
          <cell r="G943">
            <v>34000000</v>
          </cell>
          <cell r="H943">
            <v>34000000</v>
          </cell>
          <cell r="I943" t="str">
            <v/>
          </cell>
          <cell r="J943" t="str">
            <v/>
          </cell>
          <cell r="K943" t="str">
            <v/>
          </cell>
          <cell r="L943" t="str">
            <v/>
          </cell>
        </row>
        <row r="944">
          <cell r="A944">
            <v>34000000</v>
          </cell>
          <cell r="C944">
            <v>34000000</v>
          </cell>
          <cell r="D944">
            <v>34000000</v>
          </cell>
          <cell r="E944">
            <v>34000000</v>
          </cell>
          <cell r="F944">
            <v>34000000</v>
          </cell>
          <cell r="G944">
            <v>34000000</v>
          </cell>
          <cell r="H944">
            <v>34000000</v>
          </cell>
          <cell r="I944" t="str">
            <v/>
          </cell>
          <cell r="J944" t="str">
            <v/>
          </cell>
          <cell r="K944" t="str">
            <v/>
          </cell>
          <cell r="L944" t="str">
            <v/>
          </cell>
        </row>
        <row r="945">
          <cell r="A945">
            <v>34000000</v>
          </cell>
          <cell r="C945">
            <v>34000000</v>
          </cell>
          <cell r="D945">
            <v>34000000</v>
          </cell>
          <cell r="E945">
            <v>34000000</v>
          </cell>
          <cell r="F945">
            <v>34000000</v>
          </cell>
          <cell r="G945">
            <v>34000000</v>
          </cell>
          <cell r="H945">
            <v>34000000</v>
          </cell>
          <cell r="I945" t="str">
            <v/>
          </cell>
          <cell r="J945" t="str">
            <v/>
          </cell>
          <cell r="K945" t="str">
            <v/>
          </cell>
          <cell r="L945" t="str">
            <v/>
          </cell>
        </row>
        <row r="946">
          <cell r="A946">
            <v>34000000</v>
          </cell>
          <cell r="C946">
            <v>34000000</v>
          </cell>
          <cell r="D946">
            <v>34000000</v>
          </cell>
          <cell r="E946">
            <v>34000000</v>
          </cell>
          <cell r="F946">
            <v>34000000</v>
          </cell>
          <cell r="G946">
            <v>34000000</v>
          </cell>
          <cell r="H946">
            <v>34000000</v>
          </cell>
          <cell r="I946" t="str">
            <v/>
          </cell>
          <cell r="J946" t="str">
            <v/>
          </cell>
          <cell r="K946" t="str">
            <v/>
          </cell>
          <cell r="L946" t="str">
            <v/>
          </cell>
        </row>
        <row r="947">
          <cell r="A947">
            <v>34000000</v>
          </cell>
          <cell r="C947">
            <v>34000000</v>
          </cell>
          <cell r="D947">
            <v>34000000</v>
          </cell>
          <cell r="E947">
            <v>34000000</v>
          </cell>
          <cell r="F947">
            <v>34000000</v>
          </cell>
          <cell r="G947">
            <v>34000000</v>
          </cell>
          <cell r="H947">
            <v>34000000</v>
          </cell>
          <cell r="I947" t="str">
            <v/>
          </cell>
          <cell r="J947" t="str">
            <v/>
          </cell>
          <cell r="K947" t="str">
            <v/>
          </cell>
          <cell r="L947" t="str">
            <v/>
          </cell>
        </row>
        <row r="948">
          <cell r="A948">
            <v>34000000</v>
          </cell>
          <cell r="C948">
            <v>34000000</v>
          </cell>
          <cell r="D948">
            <v>34000000</v>
          </cell>
          <cell r="E948">
            <v>34000000</v>
          </cell>
          <cell r="F948">
            <v>34000000</v>
          </cell>
          <cell r="G948">
            <v>34000000</v>
          </cell>
          <cell r="H948">
            <v>34000000</v>
          </cell>
          <cell r="I948" t="str">
            <v/>
          </cell>
          <cell r="J948" t="str">
            <v/>
          </cell>
          <cell r="K948" t="str">
            <v/>
          </cell>
          <cell r="L948" t="str">
            <v/>
          </cell>
        </row>
        <row r="949">
          <cell r="A949">
            <v>34000000</v>
          </cell>
          <cell r="C949">
            <v>34000000</v>
          </cell>
          <cell r="D949">
            <v>34000000</v>
          </cell>
          <cell r="E949">
            <v>34000000</v>
          </cell>
          <cell r="F949">
            <v>34000000</v>
          </cell>
          <cell r="G949">
            <v>34000000</v>
          </cell>
          <cell r="H949">
            <v>34000000</v>
          </cell>
          <cell r="I949" t="str">
            <v/>
          </cell>
          <cell r="J949" t="str">
            <v/>
          </cell>
          <cell r="K949" t="str">
            <v/>
          </cell>
          <cell r="L949" t="str">
            <v/>
          </cell>
        </row>
        <row r="950">
          <cell r="A950">
            <v>34000000</v>
          </cell>
          <cell r="C950">
            <v>34000000</v>
          </cell>
          <cell r="D950">
            <v>34000000</v>
          </cell>
          <cell r="E950">
            <v>34000000</v>
          </cell>
          <cell r="F950">
            <v>34000000</v>
          </cell>
          <cell r="G950">
            <v>34000000</v>
          </cell>
          <cell r="H950">
            <v>34000000</v>
          </cell>
          <cell r="I950" t="str">
            <v/>
          </cell>
          <cell r="J950" t="str">
            <v/>
          </cell>
          <cell r="K950" t="str">
            <v/>
          </cell>
          <cell r="L950" t="str">
            <v/>
          </cell>
        </row>
        <row r="951">
          <cell r="A951">
            <v>34000000</v>
          </cell>
          <cell r="C951">
            <v>34000000</v>
          </cell>
          <cell r="D951">
            <v>34000000</v>
          </cell>
          <cell r="E951">
            <v>34000000</v>
          </cell>
          <cell r="F951">
            <v>34000000</v>
          </cell>
          <cell r="G951">
            <v>34000000</v>
          </cell>
          <cell r="H951">
            <v>34000000</v>
          </cell>
          <cell r="I951" t="str">
            <v/>
          </cell>
          <cell r="J951" t="str">
            <v/>
          </cell>
          <cell r="K951" t="str">
            <v/>
          </cell>
          <cell r="L951" t="str">
            <v/>
          </cell>
        </row>
        <row r="952">
          <cell r="A952">
            <v>34000000</v>
          </cell>
          <cell r="C952">
            <v>34000000</v>
          </cell>
          <cell r="D952">
            <v>34000000</v>
          </cell>
          <cell r="E952">
            <v>34000000</v>
          </cell>
          <cell r="F952">
            <v>34000000</v>
          </cell>
          <cell r="G952">
            <v>34000000</v>
          </cell>
          <cell r="H952">
            <v>34000000</v>
          </cell>
          <cell r="I952" t="str">
            <v/>
          </cell>
          <cell r="J952" t="str">
            <v/>
          </cell>
          <cell r="K952" t="str">
            <v/>
          </cell>
          <cell r="L952" t="str">
            <v/>
          </cell>
        </row>
        <row r="953">
          <cell r="A953">
            <v>34000000</v>
          </cell>
          <cell r="C953">
            <v>34000000</v>
          </cell>
          <cell r="D953">
            <v>34000000</v>
          </cell>
          <cell r="E953">
            <v>34000000</v>
          </cell>
          <cell r="F953">
            <v>34000000</v>
          </cell>
          <cell r="G953">
            <v>34000000</v>
          </cell>
          <cell r="H953">
            <v>34000000</v>
          </cell>
          <cell r="I953" t="str">
            <v/>
          </cell>
          <cell r="J953" t="str">
            <v/>
          </cell>
          <cell r="K953" t="str">
            <v/>
          </cell>
          <cell r="L953" t="str">
            <v/>
          </cell>
        </row>
        <row r="954">
          <cell r="A954">
            <v>34000000</v>
          </cell>
          <cell r="C954">
            <v>34000000</v>
          </cell>
          <cell r="D954">
            <v>34000000</v>
          </cell>
          <cell r="E954">
            <v>34000000</v>
          </cell>
          <cell r="F954">
            <v>34000000</v>
          </cell>
          <cell r="G954">
            <v>34000000</v>
          </cell>
          <cell r="H954">
            <v>34000000</v>
          </cell>
          <cell r="I954" t="str">
            <v/>
          </cell>
          <cell r="J954" t="str">
            <v/>
          </cell>
          <cell r="K954" t="str">
            <v/>
          </cell>
          <cell r="L954" t="str">
            <v/>
          </cell>
        </row>
        <row r="955">
          <cell r="A955">
            <v>34000000</v>
          </cell>
          <cell r="C955">
            <v>34000000</v>
          </cell>
          <cell r="D955">
            <v>34000000</v>
          </cell>
          <cell r="E955">
            <v>34000000</v>
          </cell>
          <cell r="F955">
            <v>34000000</v>
          </cell>
          <cell r="G955">
            <v>34000000</v>
          </cell>
          <cell r="H955">
            <v>34000000</v>
          </cell>
          <cell r="I955" t="str">
            <v/>
          </cell>
          <cell r="J955" t="str">
            <v/>
          </cell>
          <cell r="K955" t="str">
            <v/>
          </cell>
          <cell r="L955" t="str">
            <v/>
          </cell>
        </row>
        <row r="956">
          <cell r="A956">
            <v>34000000</v>
          </cell>
          <cell r="C956">
            <v>34000000</v>
          </cell>
          <cell r="D956">
            <v>34000000</v>
          </cell>
          <cell r="E956">
            <v>34000000</v>
          </cell>
          <cell r="F956">
            <v>34000000</v>
          </cell>
          <cell r="G956">
            <v>34000000</v>
          </cell>
          <cell r="H956">
            <v>34000000</v>
          </cell>
          <cell r="I956" t="str">
            <v/>
          </cell>
          <cell r="J956" t="str">
            <v/>
          </cell>
          <cell r="K956" t="str">
            <v/>
          </cell>
          <cell r="L956" t="str">
            <v/>
          </cell>
        </row>
        <row r="957">
          <cell r="A957">
            <v>34000000</v>
          </cell>
          <cell r="C957">
            <v>34000000</v>
          </cell>
          <cell r="D957">
            <v>34000000</v>
          </cell>
          <cell r="E957">
            <v>34000000</v>
          </cell>
          <cell r="F957">
            <v>34000000</v>
          </cell>
          <cell r="G957">
            <v>34000000</v>
          </cell>
          <cell r="H957">
            <v>34000000</v>
          </cell>
          <cell r="I957" t="str">
            <v/>
          </cell>
          <cell r="J957" t="str">
            <v/>
          </cell>
          <cell r="K957" t="str">
            <v/>
          </cell>
          <cell r="L957" t="str">
            <v/>
          </cell>
        </row>
        <row r="958">
          <cell r="A958">
            <v>34000000</v>
          </cell>
          <cell r="C958">
            <v>34000000</v>
          </cell>
          <cell r="D958">
            <v>34000000</v>
          </cell>
          <cell r="E958">
            <v>34000000</v>
          </cell>
          <cell r="F958">
            <v>34000000</v>
          </cell>
          <cell r="G958">
            <v>34000000</v>
          </cell>
          <cell r="H958">
            <v>34000000</v>
          </cell>
          <cell r="I958" t="str">
            <v/>
          </cell>
          <cell r="J958" t="str">
            <v/>
          </cell>
          <cell r="K958" t="str">
            <v/>
          </cell>
          <cell r="L958" t="str">
            <v/>
          </cell>
        </row>
        <row r="959">
          <cell r="A959">
            <v>34000000</v>
          </cell>
          <cell r="C959">
            <v>34000000</v>
          </cell>
          <cell r="D959">
            <v>34000000</v>
          </cell>
          <cell r="E959">
            <v>34000000</v>
          </cell>
          <cell r="F959">
            <v>34000000</v>
          </cell>
          <cell r="G959">
            <v>34000000</v>
          </cell>
          <cell r="H959">
            <v>34000000</v>
          </cell>
          <cell r="I959" t="str">
            <v/>
          </cell>
          <cell r="J959" t="str">
            <v/>
          </cell>
          <cell r="K959" t="str">
            <v/>
          </cell>
          <cell r="L959" t="str">
            <v/>
          </cell>
        </row>
        <row r="960">
          <cell r="A960">
            <v>34000000</v>
          </cell>
          <cell r="C960">
            <v>34000000</v>
          </cell>
          <cell r="D960">
            <v>34000000</v>
          </cell>
          <cell r="E960">
            <v>34000000</v>
          </cell>
          <cell r="F960">
            <v>34000000</v>
          </cell>
          <cell r="G960">
            <v>34000000</v>
          </cell>
          <cell r="H960">
            <v>34000000</v>
          </cell>
          <cell r="I960" t="str">
            <v/>
          </cell>
          <cell r="J960" t="str">
            <v/>
          </cell>
          <cell r="K960" t="str">
            <v/>
          </cell>
          <cell r="L960" t="str">
            <v/>
          </cell>
        </row>
        <row r="961">
          <cell r="A961">
            <v>34000000</v>
          </cell>
          <cell r="C961">
            <v>34000000</v>
          </cell>
          <cell r="D961">
            <v>34000000</v>
          </cell>
          <cell r="E961">
            <v>34000000</v>
          </cell>
          <cell r="F961">
            <v>34000000</v>
          </cell>
          <cell r="G961">
            <v>34000000</v>
          </cell>
          <cell r="H961">
            <v>34000000</v>
          </cell>
          <cell r="I961" t="str">
            <v/>
          </cell>
          <cell r="J961" t="str">
            <v/>
          </cell>
          <cell r="K961" t="str">
            <v/>
          </cell>
          <cell r="L961" t="str">
            <v/>
          </cell>
        </row>
        <row r="962">
          <cell r="A962">
            <v>34000000</v>
          </cell>
          <cell r="C962">
            <v>34000000</v>
          </cell>
          <cell r="D962">
            <v>34000000</v>
          </cell>
          <cell r="E962">
            <v>34000000</v>
          </cell>
          <cell r="F962">
            <v>34000000</v>
          </cell>
          <cell r="G962">
            <v>34000000</v>
          </cell>
          <cell r="H962">
            <v>34000000</v>
          </cell>
          <cell r="I962" t="str">
            <v/>
          </cell>
          <cell r="J962" t="str">
            <v/>
          </cell>
          <cell r="K962" t="str">
            <v/>
          </cell>
          <cell r="L962" t="str">
            <v/>
          </cell>
        </row>
        <row r="963">
          <cell r="A963">
            <v>34000000</v>
          </cell>
          <cell r="C963">
            <v>34000000</v>
          </cell>
          <cell r="D963">
            <v>34000000</v>
          </cell>
          <cell r="E963">
            <v>34000000</v>
          </cell>
          <cell r="F963">
            <v>34000000</v>
          </cell>
          <cell r="G963">
            <v>34000000</v>
          </cell>
          <cell r="H963">
            <v>34000000</v>
          </cell>
          <cell r="I963" t="str">
            <v/>
          </cell>
          <cell r="J963" t="str">
            <v/>
          </cell>
          <cell r="K963" t="str">
            <v/>
          </cell>
          <cell r="L963" t="str">
            <v/>
          </cell>
        </row>
        <row r="964">
          <cell r="A964">
            <v>34000000</v>
          </cell>
          <cell r="C964">
            <v>34000000</v>
          </cell>
          <cell r="D964">
            <v>34000000</v>
          </cell>
          <cell r="E964">
            <v>34000000</v>
          </cell>
          <cell r="F964">
            <v>34000000</v>
          </cell>
          <cell r="G964">
            <v>34000000</v>
          </cell>
          <cell r="H964">
            <v>34000000</v>
          </cell>
          <cell r="I964" t="str">
            <v/>
          </cell>
          <cell r="J964" t="str">
            <v/>
          </cell>
          <cell r="K964" t="str">
            <v/>
          </cell>
          <cell r="L964" t="str">
            <v/>
          </cell>
        </row>
        <row r="965">
          <cell r="A965">
            <v>34000000</v>
          </cell>
          <cell r="C965">
            <v>34000000</v>
          </cell>
          <cell r="D965">
            <v>34000000</v>
          </cell>
          <cell r="E965">
            <v>34000000</v>
          </cell>
          <cell r="F965">
            <v>34000000</v>
          </cell>
          <cell r="G965">
            <v>34000000</v>
          </cell>
          <cell r="H965">
            <v>34000000</v>
          </cell>
          <cell r="I965" t="str">
            <v/>
          </cell>
          <cell r="J965" t="str">
            <v/>
          </cell>
          <cell r="K965" t="str">
            <v/>
          </cell>
          <cell r="L965" t="str">
            <v/>
          </cell>
        </row>
        <row r="966">
          <cell r="A966">
            <v>34000000</v>
          </cell>
          <cell r="C966">
            <v>34000000</v>
          </cell>
          <cell r="D966">
            <v>34000000</v>
          </cell>
          <cell r="E966">
            <v>34000000</v>
          </cell>
          <cell r="F966">
            <v>34000000</v>
          </cell>
          <cell r="G966">
            <v>34000000</v>
          </cell>
          <cell r="H966">
            <v>34000000</v>
          </cell>
          <cell r="I966" t="str">
            <v/>
          </cell>
          <cell r="J966" t="str">
            <v/>
          </cell>
          <cell r="K966" t="str">
            <v/>
          </cell>
          <cell r="L966" t="str">
            <v/>
          </cell>
        </row>
        <row r="967">
          <cell r="A967">
            <v>34000000</v>
          </cell>
          <cell r="C967">
            <v>34000000</v>
          </cell>
          <cell r="D967">
            <v>34000000</v>
          </cell>
          <cell r="E967">
            <v>34000000</v>
          </cell>
          <cell r="F967">
            <v>34000000</v>
          </cell>
          <cell r="G967">
            <v>34000000</v>
          </cell>
          <cell r="H967">
            <v>34000000</v>
          </cell>
          <cell r="I967" t="str">
            <v/>
          </cell>
          <cell r="J967" t="str">
            <v/>
          </cell>
          <cell r="K967" t="str">
            <v/>
          </cell>
          <cell r="L967" t="str">
            <v/>
          </cell>
        </row>
        <row r="968">
          <cell r="A968">
            <v>34000000</v>
          </cell>
          <cell r="C968">
            <v>34000000</v>
          </cell>
          <cell r="D968">
            <v>34000000</v>
          </cell>
          <cell r="E968">
            <v>34000000</v>
          </cell>
          <cell r="F968">
            <v>34000000</v>
          </cell>
          <cell r="G968">
            <v>34000000</v>
          </cell>
          <cell r="H968">
            <v>34000000</v>
          </cell>
          <cell r="I968" t="str">
            <v/>
          </cell>
          <cell r="J968" t="str">
            <v/>
          </cell>
          <cell r="K968" t="str">
            <v/>
          </cell>
          <cell r="L968" t="str">
            <v/>
          </cell>
        </row>
        <row r="969">
          <cell r="A969">
            <v>34000000</v>
          </cell>
          <cell r="C969">
            <v>34000000</v>
          </cell>
          <cell r="D969">
            <v>34000000</v>
          </cell>
          <cell r="E969">
            <v>34000000</v>
          </cell>
          <cell r="F969">
            <v>34000000</v>
          </cell>
          <cell r="G969">
            <v>34000000</v>
          </cell>
          <cell r="H969">
            <v>34000000</v>
          </cell>
          <cell r="I969" t="str">
            <v/>
          </cell>
          <cell r="J969" t="str">
            <v/>
          </cell>
          <cell r="K969" t="str">
            <v/>
          </cell>
          <cell r="L969" t="str">
            <v/>
          </cell>
        </row>
        <row r="970">
          <cell r="A970">
            <v>34000000</v>
          </cell>
          <cell r="C970">
            <v>34000000</v>
          </cell>
          <cell r="D970">
            <v>34000000</v>
          </cell>
          <cell r="E970">
            <v>34000000</v>
          </cell>
          <cell r="F970">
            <v>34000000</v>
          </cell>
          <cell r="G970">
            <v>34000000</v>
          </cell>
          <cell r="H970">
            <v>34000000</v>
          </cell>
          <cell r="I970" t="str">
            <v/>
          </cell>
          <cell r="J970" t="str">
            <v/>
          </cell>
          <cell r="K970" t="str">
            <v/>
          </cell>
          <cell r="L970" t="str">
            <v/>
          </cell>
        </row>
        <row r="971">
          <cell r="A971">
            <v>34000000</v>
          </cell>
          <cell r="C971">
            <v>34000000</v>
          </cell>
          <cell r="D971">
            <v>34000000</v>
          </cell>
          <cell r="E971">
            <v>34000000</v>
          </cell>
          <cell r="F971">
            <v>34000000</v>
          </cell>
          <cell r="G971">
            <v>34000000</v>
          </cell>
          <cell r="H971">
            <v>34000000</v>
          </cell>
          <cell r="I971" t="str">
            <v/>
          </cell>
          <cell r="J971" t="str">
            <v/>
          </cell>
          <cell r="K971" t="str">
            <v/>
          </cell>
          <cell r="L971" t="str">
            <v/>
          </cell>
        </row>
        <row r="972">
          <cell r="A972">
            <v>34000000</v>
          </cell>
          <cell r="C972">
            <v>34000000</v>
          </cell>
          <cell r="D972">
            <v>34000000</v>
          </cell>
          <cell r="E972">
            <v>34000000</v>
          </cell>
          <cell r="F972">
            <v>34000000</v>
          </cell>
          <cell r="G972">
            <v>34000000</v>
          </cell>
          <cell r="H972">
            <v>34000000</v>
          </cell>
          <cell r="I972" t="str">
            <v/>
          </cell>
          <cell r="J972" t="str">
            <v/>
          </cell>
          <cell r="K972" t="str">
            <v/>
          </cell>
          <cell r="L972" t="str">
            <v/>
          </cell>
        </row>
        <row r="973">
          <cell r="A973">
            <v>34000000</v>
          </cell>
          <cell r="C973">
            <v>34000000</v>
          </cell>
          <cell r="D973">
            <v>34000000</v>
          </cell>
          <cell r="E973">
            <v>34000000</v>
          </cell>
          <cell r="F973">
            <v>34000000</v>
          </cell>
          <cell r="G973">
            <v>34000000</v>
          </cell>
          <cell r="H973">
            <v>34000000</v>
          </cell>
          <cell r="I973" t="str">
            <v/>
          </cell>
          <cell r="J973" t="str">
            <v/>
          </cell>
          <cell r="K973" t="str">
            <v/>
          </cell>
          <cell r="L973" t="str">
            <v/>
          </cell>
        </row>
        <row r="974">
          <cell r="A974">
            <v>34000000</v>
          </cell>
          <cell r="C974">
            <v>34000000</v>
          </cell>
          <cell r="D974">
            <v>34000000</v>
          </cell>
          <cell r="E974">
            <v>34000000</v>
          </cell>
          <cell r="F974">
            <v>34000000</v>
          </cell>
          <cell r="G974">
            <v>34000000</v>
          </cell>
          <cell r="H974">
            <v>34000000</v>
          </cell>
          <cell r="I974" t="str">
            <v/>
          </cell>
          <cell r="J974" t="str">
            <v/>
          </cell>
          <cell r="K974" t="str">
            <v/>
          </cell>
          <cell r="L974" t="str">
            <v/>
          </cell>
        </row>
        <row r="975">
          <cell r="A975">
            <v>34000000</v>
          </cell>
          <cell r="C975">
            <v>34000000</v>
          </cell>
          <cell r="D975">
            <v>34000000</v>
          </cell>
          <cell r="E975">
            <v>34000000</v>
          </cell>
          <cell r="F975">
            <v>34000000</v>
          </cell>
          <cell r="G975">
            <v>34000000</v>
          </cell>
          <cell r="H975">
            <v>34000000</v>
          </cell>
          <cell r="I975" t="str">
            <v/>
          </cell>
          <cell r="J975" t="str">
            <v/>
          </cell>
          <cell r="K975" t="str">
            <v/>
          </cell>
          <cell r="L975" t="str">
            <v/>
          </cell>
        </row>
        <row r="976">
          <cell r="A976">
            <v>34000000</v>
          </cell>
          <cell r="C976">
            <v>34000000</v>
          </cell>
          <cell r="D976">
            <v>34000000</v>
          </cell>
          <cell r="E976">
            <v>34000000</v>
          </cell>
          <cell r="F976">
            <v>34000000</v>
          </cell>
          <cell r="G976">
            <v>34000000</v>
          </cell>
          <cell r="H976">
            <v>34000000</v>
          </cell>
          <cell r="I976" t="str">
            <v/>
          </cell>
          <cell r="J976" t="str">
            <v/>
          </cell>
          <cell r="K976" t="str">
            <v/>
          </cell>
          <cell r="L976" t="str">
            <v/>
          </cell>
        </row>
        <row r="977">
          <cell r="A977">
            <v>34000000</v>
          </cell>
          <cell r="C977">
            <v>34000000</v>
          </cell>
          <cell r="D977">
            <v>34000000</v>
          </cell>
          <cell r="E977">
            <v>34000000</v>
          </cell>
          <cell r="F977">
            <v>34000000</v>
          </cell>
          <cell r="G977">
            <v>34000000</v>
          </cell>
          <cell r="H977">
            <v>34000000</v>
          </cell>
          <cell r="I977" t="str">
            <v/>
          </cell>
          <cell r="J977" t="str">
            <v/>
          </cell>
          <cell r="K977" t="str">
            <v/>
          </cell>
          <cell r="L977" t="str">
            <v/>
          </cell>
        </row>
        <row r="978">
          <cell r="A978">
            <v>34000000</v>
          </cell>
          <cell r="C978">
            <v>34000000</v>
          </cell>
          <cell r="D978">
            <v>34000000</v>
          </cell>
          <cell r="E978">
            <v>34000000</v>
          </cell>
          <cell r="F978">
            <v>34000000</v>
          </cell>
          <cell r="G978">
            <v>34000000</v>
          </cell>
          <cell r="H978">
            <v>34000000</v>
          </cell>
          <cell r="I978" t="str">
            <v/>
          </cell>
          <cell r="J978" t="str">
            <v/>
          </cell>
          <cell r="K978" t="str">
            <v/>
          </cell>
          <cell r="L978" t="str">
            <v/>
          </cell>
        </row>
        <row r="979">
          <cell r="A979">
            <v>34000000</v>
          </cell>
          <cell r="C979">
            <v>34000000</v>
          </cell>
          <cell r="D979">
            <v>34000000</v>
          </cell>
          <cell r="E979">
            <v>34000000</v>
          </cell>
          <cell r="F979">
            <v>34000000</v>
          </cell>
          <cell r="G979">
            <v>34000000</v>
          </cell>
          <cell r="H979">
            <v>34000000</v>
          </cell>
          <cell r="I979" t="str">
            <v/>
          </cell>
          <cell r="J979" t="str">
            <v/>
          </cell>
          <cell r="K979" t="str">
            <v/>
          </cell>
          <cell r="L979" t="str">
            <v/>
          </cell>
        </row>
        <row r="980">
          <cell r="A980">
            <v>34000000</v>
          </cell>
          <cell r="C980">
            <v>34000000</v>
          </cell>
          <cell r="D980">
            <v>34000000</v>
          </cell>
          <cell r="E980">
            <v>34000000</v>
          </cell>
          <cell r="F980">
            <v>34000000</v>
          </cell>
          <cell r="G980">
            <v>34000000</v>
          </cell>
          <cell r="H980">
            <v>34000000</v>
          </cell>
          <cell r="I980" t="str">
            <v/>
          </cell>
          <cell r="J980" t="str">
            <v/>
          </cell>
          <cell r="K980" t="str">
            <v/>
          </cell>
          <cell r="L980" t="str">
            <v/>
          </cell>
        </row>
        <row r="981">
          <cell r="A981">
            <v>34000000</v>
          </cell>
          <cell r="C981">
            <v>34000000</v>
          </cell>
          <cell r="D981">
            <v>34000000</v>
          </cell>
          <cell r="E981">
            <v>34000000</v>
          </cell>
          <cell r="F981">
            <v>34000000</v>
          </cell>
          <cell r="G981">
            <v>34000000</v>
          </cell>
          <cell r="H981">
            <v>34000000</v>
          </cell>
          <cell r="I981" t="str">
            <v/>
          </cell>
          <cell r="J981" t="str">
            <v/>
          </cell>
          <cell r="K981" t="str">
            <v/>
          </cell>
          <cell r="L981" t="str">
            <v/>
          </cell>
        </row>
        <row r="982">
          <cell r="A982">
            <v>34000000</v>
          </cell>
          <cell r="C982">
            <v>34000000</v>
          </cell>
          <cell r="D982">
            <v>34000000</v>
          </cell>
          <cell r="E982">
            <v>34000000</v>
          </cell>
          <cell r="F982">
            <v>34000000</v>
          </cell>
          <cell r="G982">
            <v>34000000</v>
          </cell>
          <cell r="H982">
            <v>34000000</v>
          </cell>
          <cell r="I982" t="str">
            <v/>
          </cell>
          <cell r="J982" t="str">
            <v/>
          </cell>
          <cell r="K982" t="str">
            <v/>
          </cell>
          <cell r="L982" t="str">
            <v/>
          </cell>
        </row>
        <row r="983">
          <cell r="A983">
            <v>34000000</v>
          </cell>
          <cell r="C983">
            <v>34000000</v>
          </cell>
          <cell r="D983">
            <v>34000000</v>
          </cell>
          <cell r="E983">
            <v>34000000</v>
          </cell>
          <cell r="F983">
            <v>34000000</v>
          </cell>
          <cell r="G983">
            <v>34000000</v>
          </cell>
          <cell r="H983">
            <v>34000000</v>
          </cell>
          <cell r="I983" t="str">
            <v/>
          </cell>
          <cell r="J983" t="str">
            <v/>
          </cell>
          <cell r="K983" t="str">
            <v/>
          </cell>
          <cell r="L983" t="str">
            <v/>
          </cell>
        </row>
        <row r="984">
          <cell r="A984">
            <v>34000000</v>
          </cell>
          <cell r="C984">
            <v>34000000</v>
          </cell>
          <cell r="D984">
            <v>34000000</v>
          </cell>
          <cell r="E984">
            <v>34000000</v>
          </cell>
          <cell r="F984">
            <v>34000000</v>
          </cell>
          <cell r="G984">
            <v>34000000</v>
          </cell>
          <cell r="H984">
            <v>34000000</v>
          </cell>
          <cell r="I984" t="str">
            <v/>
          </cell>
          <cell r="J984" t="str">
            <v/>
          </cell>
          <cell r="K984" t="str">
            <v/>
          </cell>
          <cell r="L984" t="str">
            <v/>
          </cell>
        </row>
        <row r="985">
          <cell r="A985">
            <v>34000000</v>
          </cell>
          <cell r="C985">
            <v>34000000</v>
          </cell>
          <cell r="D985">
            <v>34000000</v>
          </cell>
          <cell r="E985">
            <v>34000000</v>
          </cell>
          <cell r="F985">
            <v>34000000</v>
          </cell>
          <cell r="G985">
            <v>34000000</v>
          </cell>
          <cell r="H985">
            <v>34000000</v>
          </cell>
          <cell r="I985" t="str">
            <v/>
          </cell>
          <cell r="J985" t="str">
            <v/>
          </cell>
          <cell r="K985" t="str">
            <v/>
          </cell>
          <cell r="L985" t="str">
            <v/>
          </cell>
        </row>
        <row r="986">
          <cell r="A986">
            <v>34000000</v>
          </cell>
          <cell r="C986">
            <v>34000000</v>
          </cell>
          <cell r="D986">
            <v>34000000</v>
          </cell>
          <cell r="E986">
            <v>34000000</v>
          </cell>
          <cell r="F986">
            <v>34000000</v>
          </cell>
          <cell r="G986">
            <v>34000000</v>
          </cell>
          <cell r="H986">
            <v>34000000</v>
          </cell>
          <cell r="I986" t="str">
            <v/>
          </cell>
          <cell r="J986" t="str">
            <v/>
          </cell>
          <cell r="K986" t="str">
            <v/>
          </cell>
          <cell r="L986" t="str">
            <v/>
          </cell>
        </row>
        <row r="987">
          <cell r="A987">
            <v>34000000</v>
          </cell>
          <cell r="C987">
            <v>34000000</v>
          </cell>
          <cell r="D987">
            <v>34000000</v>
          </cell>
          <cell r="E987">
            <v>34000000</v>
          </cell>
          <cell r="F987">
            <v>34000000</v>
          </cell>
          <cell r="G987">
            <v>34000000</v>
          </cell>
          <cell r="H987">
            <v>34000000</v>
          </cell>
          <cell r="I987" t="str">
            <v/>
          </cell>
          <cell r="J987" t="str">
            <v/>
          </cell>
          <cell r="K987" t="str">
            <v/>
          </cell>
          <cell r="L987" t="str">
            <v/>
          </cell>
        </row>
        <row r="988">
          <cell r="A988">
            <v>34000000</v>
          </cell>
          <cell r="C988">
            <v>34000000</v>
          </cell>
          <cell r="D988">
            <v>34000000</v>
          </cell>
          <cell r="E988">
            <v>34000000</v>
          </cell>
          <cell r="F988">
            <v>34000000</v>
          </cell>
          <cell r="G988">
            <v>34000000</v>
          </cell>
          <cell r="H988">
            <v>34000000</v>
          </cell>
          <cell r="I988" t="str">
            <v/>
          </cell>
          <cell r="J988" t="str">
            <v/>
          </cell>
          <cell r="K988" t="str">
            <v/>
          </cell>
          <cell r="L988" t="str">
            <v/>
          </cell>
        </row>
        <row r="989">
          <cell r="A989">
            <v>34000000</v>
          </cell>
          <cell r="C989">
            <v>34000000</v>
          </cell>
          <cell r="D989">
            <v>34000000</v>
          </cell>
          <cell r="E989">
            <v>34000000</v>
          </cell>
          <cell r="F989">
            <v>34000000</v>
          </cell>
          <cell r="G989">
            <v>34000000</v>
          </cell>
          <cell r="H989">
            <v>34000000</v>
          </cell>
          <cell r="I989" t="str">
            <v/>
          </cell>
          <cell r="J989" t="str">
            <v/>
          </cell>
          <cell r="K989" t="str">
            <v/>
          </cell>
          <cell r="L989" t="str">
            <v/>
          </cell>
        </row>
        <row r="990">
          <cell r="A990">
            <v>34000000</v>
          </cell>
          <cell r="C990">
            <v>34000000</v>
          </cell>
          <cell r="D990">
            <v>34000000</v>
          </cell>
          <cell r="E990">
            <v>34000000</v>
          </cell>
          <cell r="F990">
            <v>34000000</v>
          </cell>
          <cell r="G990">
            <v>34000000</v>
          </cell>
          <cell r="H990">
            <v>34000000</v>
          </cell>
          <cell r="I990" t="str">
            <v/>
          </cell>
          <cell r="J990" t="str">
            <v/>
          </cell>
          <cell r="K990" t="str">
            <v/>
          </cell>
          <cell r="L990" t="str">
            <v/>
          </cell>
        </row>
        <row r="991">
          <cell r="A991">
            <v>34000000</v>
          </cell>
          <cell r="C991">
            <v>34000000</v>
          </cell>
          <cell r="D991">
            <v>34000000</v>
          </cell>
          <cell r="E991">
            <v>34000000</v>
          </cell>
          <cell r="F991">
            <v>34000000</v>
          </cell>
          <cell r="G991">
            <v>34000000</v>
          </cell>
          <cell r="H991">
            <v>34000000</v>
          </cell>
          <cell r="I991" t="str">
            <v/>
          </cell>
          <cell r="J991" t="str">
            <v/>
          </cell>
          <cell r="K991" t="str">
            <v/>
          </cell>
          <cell r="L991" t="str">
            <v/>
          </cell>
        </row>
        <row r="992">
          <cell r="A992">
            <v>34000000</v>
          </cell>
          <cell r="C992">
            <v>34000000</v>
          </cell>
          <cell r="D992">
            <v>34000000</v>
          </cell>
          <cell r="E992">
            <v>34000000</v>
          </cell>
          <cell r="F992">
            <v>34000000</v>
          </cell>
          <cell r="G992">
            <v>34000000</v>
          </cell>
          <cell r="H992">
            <v>34000000</v>
          </cell>
          <cell r="I992" t="str">
            <v/>
          </cell>
          <cell r="J992" t="str">
            <v/>
          </cell>
          <cell r="K992" t="str">
            <v/>
          </cell>
          <cell r="L992" t="str">
            <v/>
          </cell>
        </row>
        <row r="993">
          <cell r="A993">
            <v>34000000</v>
          </cell>
          <cell r="C993">
            <v>34000000</v>
          </cell>
          <cell r="D993">
            <v>34000000</v>
          </cell>
          <cell r="E993">
            <v>34000000</v>
          </cell>
          <cell r="F993">
            <v>34000000</v>
          </cell>
          <cell r="G993">
            <v>34000000</v>
          </cell>
          <cell r="H993">
            <v>34000000</v>
          </cell>
          <cell r="I993" t="str">
            <v/>
          </cell>
          <cell r="J993" t="str">
            <v/>
          </cell>
          <cell r="K993" t="str">
            <v/>
          </cell>
          <cell r="L993" t="str">
            <v/>
          </cell>
        </row>
        <row r="994">
          <cell r="A994">
            <v>34000000</v>
          </cell>
          <cell r="C994">
            <v>34000000</v>
          </cell>
          <cell r="D994">
            <v>34000000</v>
          </cell>
          <cell r="E994">
            <v>34000000</v>
          </cell>
          <cell r="F994">
            <v>34000000</v>
          </cell>
          <cell r="G994">
            <v>34000000</v>
          </cell>
          <cell r="H994">
            <v>34000000</v>
          </cell>
          <cell r="I994" t="str">
            <v/>
          </cell>
          <cell r="J994" t="str">
            <v/>
          </cell>
          <cell r="K994" t="str">
            <v/>
          </cell>
          <cell r="L994" t="str">
            <v/>
          </cell>
        </row>
        <row r="995">
          <cell r="A995">
            <v>34000000</v>
          </cell>
          <cell r="C995">
            <v>34000000</v>
          </cell>
          <cell r="D995">
            <v>34000000</v>
          </cell>
          <cell r="E995">
            <v>34000000</v>
          </cell>
          <cell r="F995">
            <v>34000000</v>
          </cell>
          <cell r="G995">
            <v>34000000</v>
          </cell>
          <cell r="H995">
            <v>34000000</v>
          </cell>
          <cell r="I995" t="str">
            <v/>
          </cell>
          <cell r="J995" t="str">
            <v/>
          </cell>
          <cell r="K995" t="str">
            <v/>
          </cell>
          <cell r="L995" t="str">
            <v/>
          </cell>
        </row>
        <row r="996">
          <cell r="A996">
            <v>34000000</v>
          </cell>
          <cell r="C996">
            <v>34000000</v>
          </cell>
          <cell r="D996">
            <v>34000000</v>
          </cell>
          <cell r="E996">
            <v>34000000</v>
          </cell>
          <cell r="F996">
            <v>34000000</v>
          </cell>
          <cell r="G996">
            <v>34000000</v>
          </cell>
          <cell r="H996">
            <v>34000000</v>
          </cell>
          <cell r="I996" t="str">
            <v/>
          </cell>
          <cell r="J996" t="str">
            <v/>
          </cell>
          <cell r="K996" t="str">
            <v/>
          </cell>
          <cell r="L996" t="str">
            <v/>
          </cell>
        </row>
        <row r="997">
          <cell r="A997">
            <v>34000000</v>
          </cell>
          <cell r="C997">
            <v>34000000</v>
          </cell>
          <cell r="D997">
            <v>34000000</v>
          </cell>
          <cell r="E997">
            <v>34000000</v>
          </cell>
          <cell r="F997">
            <v>34000000</v>
          </cell>
          <cell r="G997">
            <v>34000000</v>
          </cell>
          <cell r="H997">
            <v>34000000</v>
          </cell>
          <cell r="I997" t="str">
            <v/>
          </cell>
          <cell r="J997" t="str">
            <v/>
          </cell>
          <cell r="K997" t="str">
            <v/>
          </cell>
          <cell r="L997" t="str">
            <v/>
          </cell>
        </row>
        <row r="998">
          <cell r="A998">
            <v>34000000</v>
          </cell>
          <cell r="C998">
            <v>34000000</v>
          </cell>
          <cell r="D998">
            <v>34000000</v>
          </cell>
          <cell r="E998">
            <v>34000000</v>
          </cell>
          <cell r="F998">
            <v>34000000</v>
          </cell>
          <cell r="G998">
            <v>34000000</v>
          </cell>
          <cell r="H998">
            <v>34000000</v>
          </cell>
          <cell r="I998" t="str">
            <v/>
          </cell>
          <cell r="J998" t="str">
            <v/>
          </cell>
          <cell r="K998" t="str">
            <v/>
          </cell>
          <cell r="L998" t="str">
            <v/>
          </cell>
        </row>
        <row r="999">
          <cell r="A999">
            <v>34000000</v>
          </cell>
          <cell r="C999">
            <v>34000000</v>
          </cell>
          <cell r="D999">
            <v>34000000</v>
          </cell>
          <cell r="E999">
            <v>34000000</v>
          </cell>
          <cell r="F999">
            <v>34000000</v>
          </cell>
          <cell r="G999">
            <v>34000000</v>
          </cell>
          <cell r="H999">
            <v>34000000</v>
          </cell>
          <cell r="I999" t="str">
            <v/>
          </cell>
          <cell r="J999" t="str">
            <v/>
          </cell>
          <cell r="K999" t="str">
            <v/>
          </cell>
          <cell r="L999" t="str">
            <v/>
          </cell>
        </row>
        <row r="1000">
          <cell r="A1000">
            <v>34000000</v>
          </cell>
          <cell r="C1000">
            <v>34000000</v>
          </cell>
          <cell r="D1000">
            <v>34000000</v>
          </cell>
          <cell r="E1000">
            <v>34000000</v>
          </cell>
          <cell r="F1000">
            <v>34000000</v>
          </cell>
          <cell r="G1000">
            <v>34000000</v>
          </cell>
          <cell r="H1000">
            <v>34000000</v>
          </cell>
          <cell r="I1000" t="str">
            <v/>
          </cell>
          <cell r="J1000" t="str">
            <v/>
          </cell>
          <cell r="K1000" t="str">
            <v/>
          </cell>
          <cell r="L1000" t="str">
            <v/>
          </cell>
        </row>
        <row r="1001">
          <cell r="A1001">
            <v>34000000</v>
          </cell>
          <cell r="C1001">
            <v>34000000</v>
          </cell>
          <cell r="D1001">
            <v>34000000</v>
          </cell>
          <cell r="E1001">
            <v>34000000</v>
          </cell>
          <cell r="F1001">
            <v>34000000</v>
          </cell>
          <cell r="G1001">
            <v>34000000</v>
          </cell>
          <cell r="H1001">
            <v>34000000</v>
          </cell>
          <cell r="I1001" t="str">
            <v/>
          </cell>
          <cell r="J1001" t="str">
            <v/>
          </cell>
          <cell r="K1001" t="str">
            <v/>
          </cell>
          <cell r="L1001" t="str">
            <v/>
          </cell>
        </row>
        <row r="1002">
          <cell r="A1002">
            <v>34000000</v>
          </cell>
          <cell r="C1002">
            <v>34000000</v>
          </cell>
          <cell r="D1002">
            <v>34000000</v>
          </cell>
          <cell r="E1002">
            <v>34000000</v>
          </cell>
          <cell r="F1002">
            <v>34000000</v>
          </cell>
          <cell r="G1002">
            <v>34000000</v>
          </cell>
          <cell r="H1002">
            <v>34000000</v>
          </cell>
          <cell r="I1002" t="str">
            <v/>
          </cell>
          <cell r="J1002" t="str">
            <v/>
          </cell>
          <cell r="K1002" t="str">
            <v/>
          </cell>
          <cell r="L1002" t="str">
            <v/>
          </cell>
        </row>
        <row r="1003">
          <cell r="A1003">
            <v>34000000</v>
          </cell>
          <cell r="C1003">
            <v>34000000</v>
          </cell>
          <cell r="D1003">
            <v>34000000</v>
          </cell>
          <cell r="E1003">
            <v>34000000</v>
          </cell>
          <cell r="F1003">
            <v>34000000</v>
          </cell>
          <cell r="G1003">
            <v>34000000</v>
          </cell>
          <cell r="H1003">
            <v>34000000</v>
          </cell>
          <cell r="I1003" t="str">
            <v/>
          </cell>
          <cell r="J1003" t="str">
            <v/>
          </cell>
          <cell r="K1003" t="str">
            <v/>
          </cell>
          <cell r="L1003" t="str">
            <v/>
          </cell>
        </row>
        <row r="1004">
          <cell r="A1004">
            <v>34000000</v>
          </cell>
          <cell r="C1004">
            <v>34000000</v>
          </cell>
          <cell r="D1004">
            <v>34000000</v>
          </cell>
          <cell r="E1004">
            <v>34000000</v>
          </cell>
          <cell r="F1004">
            <v>34000000</v>
          </cell>
          <cell r="G1004">
            <v>34000000</v>
          </cell>
          <cell r="H1004">
            <v>34000000</v>
          </cell>
          <cell r="I1004" t="str">
            <v/>
          </cell>
          <cell r="J1004" t="str">
            <v/>
          </cell>
          <cell r="K1004" t="str">
            <v/>
          </cell>
          <cell r="L1004" t="str">
            <v/>
          </cell>
        </row>
        <row r="1005">
          <cell r="A1005">
            <v>34000000</v>
          </cell>
          <cell r="C1005">
            <v>34000000</v>
          </cell>
          <cell r="D1005">
            <v>34000000</v>
          </cell>
          <cell r="E1005">
            <v>34000000</v>
          </cell>
          <cell r="F1005">
            <v>34000000</v>
          </cell>
          <cell r="G1005">
            <v>34000000</v>
          </cell>
          <cell r="H1005">
            <v>34000000</v>
          </cell>
          <cell r="I1005" t="str">
            <v/>
          </cell>
          <cell r="J1005" t="str">
            <v/>
          </cell>
          <cell r="K1005" t="str">
            <v/>
          </cell>
          <cell r="L1005" t="str">
            <v/>
          </cell>
        </row>
        <row r="1006">
          <cell r="A1006">
            <v>34000000</v>
          </cell>
          <cell r="C1006">
            <v>34000000</v>
          </cell>
          <cell r="D1006">
            <v>34000000</v>
          </cell>
          <cell r="E1006">
            <v>34000000</v>
          </cell>
          <cell r="F1006">
            <v>34000000</v>
          </cell>
          <cell r="G1006">
            <v>34000000</v>
          </cell>
          <cell r="H1006">
            <v>34000000</v>
          </cell>
          <cell r="I1006" t="str">
            <v/>
          </cell>
          <cell r="J1006" t="str">
            <v/>
          </cell>
          <cell r="K1006" t="str">
            <v/>
          </cell>
          <cell r="L1006" t="str">
            <v/>
          </cell>
        </row>
        <row r="1007">
          <cell r="A1007">
            <v>34000000</v>
          </cell>
          <cell r="C1007">
            <v>34000000</v>
          </cell>
          <cell r="D1007">
            <v>34000000</v>
          </cell>
          <cell r="E1007">
            <v>34000000</v>
          </cell>
          <cell r="F1007">
            <v>34000000</v>
          </cell>
          <cell r="G1007">
            <v>34000000</v>
          </cell>
          <cell r="H1007">
            <v>34000000</v>
          </cell>
          <cell r="I1007" t="str">
            <v/>
          </cell>
          <cell r="J1007" t="str">
            <v/>
          </cell>
          <cell r="K1007" t="str">
            <v/>
          </cell>
          <cell r="L1007" t="str">
            <v/>
          </cell>
        </row>
        <row r="1008">
          <cell r="A1008">
            <v>34000000</v>
          </cell>
          <cell r="C1008">
            <v>34000000</v>
          </cell>
          <cell r="D1008">
            <v>34000000</v>
          </cell>
          <cell r="E1008">
            <v>34000000</v>
          </cell>
          <cell r="F1008">
            <v>34000000</v>
          </cell>
          <cell r="G1008">
            <v>34000000</v>
          </cell>
          <cell r="H1008">
            <v>34000000</v>
          </cell>
          <cell r="I1008" t="str">
            <v/>
          </cell>
          <cell r="J1008" t="str">
            <v/>
          </cell>
          <cell r="K1008" t="str">
            <v/>
          </cell>
          <cell r="L1008" t="str">
            <v/>
          </cell>
        </row>
        <row r="1009">
          <cell r="A1009">
            <v>34000000</v>
          </cell>
          <cell r="C1009">
            <v>34000000</v>
          </cell>
          <cell r="D1009">
            <v>34000000</v>
          </cell>
          <cell r="E1009">
            <v>34000000</v>
          </cell>
          <cell r="F1009">
            <v>34000000</v>
          </cell>
          <cell r="G1009">
            <v>34000000</v>
          </cell>
          <cell r="H1009">
            <v>34000000</v>
          </cell>
          <cell r="I1009" t="str">
            <v/>
          </cell>
          <cell r="J1009" t="str">
            <v/>
          </cell>
          <cell r="K1009" t="str">
            <v/>
          </cell>
          <cell r="L1009" t="str">
            <v/>
          </cell>
        </row>
        <row r="1010">
          <cell r="A1010">
            <v>34000000</v>
          </cell>
          <cell r="C1010">
            <v>34000000</v>
          </cell>
          <cell r="D1010">
            <v>34000000</v>
          </cell>
          <cell r="E1010">
            <v>34000000</v>
          </cell>
          <cell r="F1010">
            <v>34000000</v>
          </cell>
          <cell r="G1010">
            <v>34000000</v>
          </cell>
          <cell r="H1010">
            <v>34000000</v>
          </cell>
          <cell r="I1010" t="str">
            <v/>
          </cell>
          <cell r="J1010" t="str">
            <v/>
          </cell>
          <cell r="K1010" t="str">
            <v/>
          </cell>
          <cell r="L1010" t="str">
            <v/>
          </cell>
        </row>
        <row r="1011">
          <cell r="A1011">
            <v>34000000</v>
          </cell>
          <cell r="C1011">
            <v>34000000</v>
          </cell>
          <cell r="D1011">
            <v>34000000</v>
          </cell>
          <cell r="E1011">
            <v>34000000</v>
          </cell>
          <cell r="F1011">
            <v>34000000</v>
          </cell>
          <cell r="G1011">
            <v>34000000</v>
          </cell>
          <cell r="H1011">
            <v>34000000</v>
          </cell>
          <cell r="I1011" t="str">
            <v/>
          </cell>
          <cell r="J1011" t="str">
            <v/>
          </cell>
          <cell r="K1011" t="str">
            <v/>
          </cell>
          <cell r="L1011" t="str">
            <v/>
          </cell>
        </row>
        <row r="1012">
          <cell r="A1012">
            <v>34000000</v>
          </cell>
          <cell r="C1012">
            <v>34000000</v>
          </cell>
          <cell r="D1012">
            <v>34000000</v>
          </cell>
          <cell r="E1012">
            <v>34000000</v>
          </cell>
          <cell r="F1012">
            <v>34000000</v>
          </cell>
          <cell r="G1012">
            <v>34000000</v>
          </cell>
          <cell r="H1012">
            <v>34000000</v>
          </cell>
          <cell r="I1012" t="str">
            <v/>
          </cell>
          <cell r="J1012" t="str">
            <v/>
          </cell>
          <cell r="K1012" t="str">
            <v/>
          </cell>
          <cell r="L1012" t="str">
            <v/>
          </cell>
        </row>
        <row r="1013">
          <cell r="A1013">
            <v>34000000</v>
          </cell>
          <cell r="C1013">
            <v>34000000</v>
          </cell>
          <cell r="D1013">
            <v>34000000</v>
          </cell>
          <cell r="E1013">
            <v>34000000</v>
          </cell>
          <cell r="F1013">
            <v>34000000</v>
          </cell>
          <cell r="G1013">
            <v>34000000</v>
          </cell>
          <cell r="H1013">
            <v>34000000</v>
          </cell>
          <cell r="I1013" t="str">
            <v/>
          </cell>
          <cell r="J1013" t="str">
            <v/>
          </cell>
          <cell r="K1013" t="str">
            <v/>
          </cell>
          <cell r="L1013" t="str">
            <v/>
          </cell>
        </row>
        <row r="1014">
          <cell r="A1014">
            <v>34000000</v>
          </cell>
          <cell r="C1014">
            <v>34000000</v>
          </cell>
          <cell r="D1014">
            <v>34000000</v>
          </cell>
          <cell r="E1014">
            <v>34000000</v>
          </cell>
          <cell r="F1014">
            <v>34000000</v>
          </cell>
          <cell r="G1014">
            <v>34000000</v>
          </cell>
          <cell r="H1014">
            <v>34000000</v>
          </cell>
          <cell r="I1014" t="str">
            <v/>
          </cell>
          <cell r="J1014" t="str">
            <v/>
          </cell>
          <cell r="K1014" t="str">
            <v/>
          </cell>
          <cell r="L1014" t="str">
            <v/>
          </cell>
        </row>
        <row r="1015">
          <cell r="A1015">
            <v>34000000</v>
          </cell>
          <cell r="C1015">
            <v>34000000</v>
          </cell>
          <cell r="D1015">
            <v>34000000</v>
          </cell>
          <cell r="E1015">
            <v>34000000</v>
          </cell>
          <cell r="F1015">
            <v>34000000</v>
          </cell>
          <cell r="G1015">
            <v>34000000</v>
          </cell>
          <cell r="H1015">
            <v>34000000</v>
          </cell>
          <cell r="I1015" t="str">
            <v/>
          </cell>
          <cell r="J1015" t="str">
            <v/>
          </cell>
          <cell r="K1015" t="str">
            <v/>
          </cell>
          <cell r="L1015" t="str">
            <v/>
          </cell>
        </row>
        <row r="1016">
          <cell r="A1016">
            <v>34000000</v>
          </cell>
          <cell r="C1016">
            <v>34000000</v>
          </cell>
          <cell r="D1016">
            <v>34000000</v>
          </cell>
          <cell r="E1016">
            <v>34000000</v>
          </cell>
          <cell r="F1016">
            <v>34000000</v>
          </cell>
          <cell r="G1016">
            <v>34000000</v>
          </cell>
          <cell r="H1016">
            <v>34000000</v>
          </cell>
          <cell r="I1016" t="str">
            <v/>
          </cell>
          <cell r="J1016" t="str">
            <v/>
          </cell>
          <cell r="K1016" t="str">
            <v/>
          </cell>
          <cell r="L1016" t="str">
            <v/>
          </cell>
        </row>
        <row r="1017">
          <cell r="A1017">
            <v>34000000</v>
          </cell>
          <cell r="C1017">
            <v>34000000</v>
          </cell>
          <cell r="D1017">
            <v>34000000</v>
          </cell>
          <cell r="E1017">
            <v>34000000</v>
          </cell>
          <cell r="F1017">
            <v>34000000</v>
          </cell>
          <cell r="G1017">
            <v>34000000</v>
          </cell>
          <cell r="H1017">
            <v>34000000</v>
          </cell>
          <cell r="I1017" t="str">
            <v/>
          </cell>
          <cell r="J1017" t="str">
            <v/>
          </cell>
          <cell r="K1017" t="str">
            <v/>
          </cell>
          <cell r="L1017" t="str">
            <v/>
          </cell>
        </row>
        <row r="1018">
          <cell r="A1018">
            <v>34000000</v>
          </cell>
          <cell r="C1018">
            <v>34000000</v>
          </cell>
          <cell r="D1018">
            <v>34000000</v>
          </cell>
          <cell r="E1018">
            <v>34000000</v>
          </cell>
          <cell r="F1018">
            <v>34000000</v>
          </cell>
          <cell r="G1018">
            <v>34000000</v>
          </cell>
          <cell r="H1018">
            <v>34000000</v>
          </cell>
          <cell r="I1018" t="str">
            <v/>
          </cell>
          <cell r="J1018" t="str">
            <v/>
          </cell>
          <cell r="K1018" t="str">
            <v/>
          </cell>
          <cell r="L1018" t="str">
            <v/>
          </cell>
        </row>
        <row r="1019">
          <cell r="A1019">
            <v>34000000</v>
          </cell>
          <cell r="C1019">
            <v>34000000</v>
          </cell>
          <cell r="D1019">
            <v>34000000</v>
          </cell>
          <cell r="E1019">
            <v>34000000</v>
          </cell>
          <cell r="F1019">
            <v>34000000</v>
          </cell>
          <cell r="G1019">
            <v>34000000</v>
          </cell>
          <cell r="H1019">
            <v>34000000</v>
          </cell>
          <cell r="I1019" t="str">
            <v/>
          </cell>
          <cell r="J1019" t="str">
            <v/>
          </cell>
          <cell r="K1019" t="str">
            <v/>
          </cell>
          <cell r="L1019" t="str">
            <v/>
          </cell>
        </row>
        <row r="1020">
          <cell r="A1020">
            <v>34000000</v>
          </cell>
          <cell r="C1020">
            <v>34000000</v>
          </cell>
          <cell r="D1020">
            <v>34000000</v>
          </cell>
          <cell r="E1020">
            <v>34000000</v>
          </cell>
          <cell r="F1020">
            <v>34000000</v>
          </cell>
          <cell r="G1020">
            <v>34000000</v>
          </cell>
          <cell r="H1020">
            <v>34000000</v>
          </cell>
          <cell r="I1020" t="str">
            <v/>
          </cell>
          <cell r="J1020" t="str">
            <v/>
          </cell>
          <cell r="K1020" t="str">
            <v/>
          </cell>
          <cell r="L1020" t="str">
            <v/>
          </cell>
        </row>
        <row r="1021">
          <cell r="A1021">
            <v>34000000</v>
          </cell>
          <cell r="C1021">
            <v>34000000</v>
          </cell>
          <cell r="D1021">
            <v>34000000</v>
          </cell>
          <cell r="E1021">
            <v>34000000</v>
          </cell>
          <cell r="F1021">
            <v>34000000</v>
          </cell>
          <cell r="G1021">
            <v>34000000</v>
          </cell>
          <cell r="H1021">
            <v>34000000</v>
          </cell>
          <cell r="I1021" t="str">
            <v/>
          </cell>
          <cell r="J1021" t="str">
            <v/>
          </cell>
          <cell r="K1021" t="str">
            <v/>
          </cell>
          <cell r="L1021" t="str">
            <v/>
          </cell>
        </row>
        <row r="1022">
          <cell r="A1022">
            <v>34000000</v>
          </cell>
          <cell r="C1022">
            <v>34000000</v>
          </cell>
          <cell r="D1022">
            <v>34000000</v>
          </cell>
          <cell r="E1022">
            <v>34000000</v>
          </cell>
          <cell r="F1022">
            <v>34000000</v>
          </cell>
          <cell r="G1022">
            <v>34000000</v>
          </cell>
          <cell r="H1022">
            <v>34000000</v>
          </cell>
          <cell r="I1022" t="str">
            <v/>
          </cell>
          <cell r="J1022" t="str">
            <v/>
          </cell>
          <cell r="K1022" t="str">
            <v/>
          </cell>
          <cell r="L1022" t="str">
            <v/>
          </cell>
        </row>
        <row r="1023">
          <cell r="A1023">
            <v>34000000</v>
          </cell>
          <cell r="C1023">
            <v>34000000</v>
          </cell>
          <cell r="D1023">
            <v>34000000</v>
          </cell>
          <cell r="E1023">
            <v>34000000</v>
          </cell>
          <cell r="F1023">
            <v>34000000</v>
          </cell>
          <cell r="G1023">
            <v>34000000</v>
          </cell>
          <cell r="H1023">
            <v>34000000</v>
          </cell>
          <cell r="I1023" t="str">
            <v/>
          </cell>
          <cell r="J1023" t="str">
            <v/>
          </cell>
          <cell r="K1023" t="str">
            <v/>
          </cell>
          <cell r="L1023" t="str">
            <v/>
          </cell>
        </row>
        <row r="1024">
          <cell r="A1024">
            <v>34000000</v>
          </cell>
          <cell r="C1024">
            <v>34000000</v>
          </cell>
          <cell r="D1024">
            <v>34000000</v>
          </cell>
          <cell r="E1024">
            <v>34000000</v>
          </cell>
          <cell r="F1024">
            <v>34000000</v>
          </cell>
          <cell r="G1024">
            <v>34000000</v>
          </cell>
          <cell r="H1024">
            <v>34000000</v>
          </cell>
          <cell r="I1024" t="str">
            <v/>
          </cell>
          <cell r="J1024" t="str">
            <v/>
          </cell>
          <cell r="K1024" t="str">
            <v/>
          </cell>
          <cell r="L1024" t="str">
            <v/>
          </cell>
        </row>
        <row r="1025">
          <cell r="A1025">
            <v>34000000</v>
          </cell>
          <cell r="C1025">
            <v>34000000</v>
          </cell>
          <cell r="D1025">
            <v>34000000</v>
          </cell>
          <cell r="E1025">
            <v>34000000</v>
          </cell>
          <cell r="F1025">
            <v>34000000</v>
          </cell>
          <cell r="G1025">
            <v>34000000</v>
          </cell>
          <cell r="H1025">
            <v>34000000</v>
          </cell>
          <cell r="I1025" t="str">
            <v/>
          </cell>
          <cell r="J1025" t="str">
            <v/>
          </cell>
          <cell r="K1025" t="str">
            <v/>
          </cell>
          <cell r="L1025" t="str">
            <v/>
          </cell>
        </row>
        <row r="1026">
          <cell r="A1026">
            <v>34000000</v>
          </cell>
          <cell r="C1026">
            <v>34000000</v>
          </cell>
          <cell r="D1026">
            <v>34000000</v>
          </cell>
          <cell r="E1026">
            <v>34000000</v>
          </cell>
          <cell r="F1026">
            <v>34000000</v>
          </cell>
          <cell r="G1026">
            <v>34000000</v>
          </cell>
          <cell r="H1026">
            <v>34000000</v>
          </cell>
          <cell r="I1026" t="str">
            <v/>
          </cell>
          <cell r="J1026" t="str">
            <v/>
          </cell>
          <cell r="K1026" t="str">
            <v/>
          </cell>
          <cell r="L1026" t="str">
            <v/>
          </cell>
        </row>
        <row r="1027">
          <cell r="A1027">
            <v>34000000</v>
          </cell>
          <cell r="C1027">
            <v>34000000</v>
          </cell>
          <cell r="D1027">
            <v>34000000</v>
          </cell>
          <cell r="E1027">
            <v>34000000</v>
          </cell>
          <cell r="F1027">
            <v>34000000</v>
          </cell>
          <cell r="G1027">
            <v>34000000</v>
          </cell>
          <cell r="H1027">
            <v>34000000</v>
          </cell>
          <cell r="I1027" t="str">
            <v/>
          </cell>
          <cell r="J1027" t="str">
            <v/>
          </cell>
          <cell r="K1027" t="str">
            <v/>
          </cell>
          <cell r="L1027" t="str">
            <v/>
          </cell>
        </row>
        <row r="1028">
          <cell r="A1028">
            <v>34000000</v>
          </cell>
          <cell r="C1028">
            <v>34000000</v>
          </cell>
          <cell r="D1028">
            <v>34000000</v>
          </cell>
          <cell r="E1028">
            <v>34000000</v>
          </cell>
          <cell r="F1028">
            <v>34000000</v>
          </cell>
          <cell r="G1028">
            <v>34000000</v>
          </cell>
          <cell r="H1028">
            <v>34000000</v>
          </cell>
          <cell r="I1028" t="str">
            <v/>
          </cell>
          <cell r="J1028" t="str">
            <v/>
          </cell>
          <cell r="K1028" t="str">
            <v/>
          </cell>
          <cell r="L1028" t="str">
            <v/>
          </cell>
        </row>
        <row r="1029">
          <cell r="A1029">
            <v>34000000</v>
          </cell>
          <cell r="C1029">
            <v>34000000</v>
          </cell>
          <cell r="D1029">
            <v>34000000</v>
          </cell>
          <cell r="E1029">
            <v>34000000</v>
          </cell>
          <cell r="F1029">
            <v>34000000</v>
          </cell>
          <cell r="G1029">
            <v>34000000</v>
          </cell>
          <cell r="H1029">
            <v>34000000</v>
          </cell>
          <cell r="I1029" t="str">
            <v/>
          </cell>
          <cell r="J1029" t="str">
            <v/>
          </cell>
          <cell r="K1029" t="str">
            <v/>
          </cell>
          <cell r="L1029" t="str">
            <v/>
          </cell>
        </row>
        <row r="1030">
          <cell r="A1030">
            <v>34000000</v>
          </cell>
          <cell r="C1030">
            <v>34000000</v>
          </cell>
          <cell r="D1030">
            <v>34000000</v>
          </cell>
          <cell r="E1030">
            <v>34000000</v>
          </cell>
          <cell r="F1030">
            <v>34000000</v>
          </cell>
          <cell r="G1030">
            <v>34000000</v>
          </cell>
          <cell r="H1030">
            <v>34000000</v>
          </cell>
          <cell r="I1030" t="str">
            <v/>
          </cell>
          <cell r="J1030" t="str">
            <v/>
          </cell>
          <cell r="K1030" t="str">
            <v/>
          </cell>
          <cell r="L1030" t="str">
            <v/>
          </cell>
        </row>
        <row r="1031">
          <cell r="A1031">
            <v>34000000</v>
          </cell>
          <cell r="C1031">
            <v>34000000</v>
          </cell>
          <cell r="D1031">
            <v>34000000</v>
          </cell>
          <cell r="E1031">
            <v>34000000</v>
          </cell>
          <cell r="F1031">
            <v>34000000</v>
          </cell>
          <cell r="G1031">
            <v>34000000</v>
          </cell>
          <cell r="H1031">
            <v>34000000</v>
          </cell>
          <cell r="I1031" t="str">
            <v/>
          </cell>
          <cell r="J1031" t="str">
            <v/>
          </cell>
          <cell r="K1031" t="str">
            <v/>
          </cell>
          <cell r="L1031" t="str">
            <v/>
          </cell>
        </row>
        <row r="1032">
          <cell r="A1032">
            <v>34000000</v>
          </cell>
          <cell r="C1032">
            <v>34000000</v>
          </cell>
          <cell r="D1032">
            <v>34000000</v>
          </cell>
          <cell r="E1032">
            <v>34000000</v>
          </cell>
          <cell r="F1032">
            <v>34000000</v>
          </cell>
          <cell r="G1032">
            <v>34000000</v>
          </cell>
          <cell r="H1032">
            <v>34000000</v>
          </cell>
          <cell r="I1032" t="str">
            <v/>
          </cell>
          <cell r="J1032" t="str">
            <v/>
          </cell>
          <cell r="K1032" t="str">
            <v/>
          </cell>
          <cell r="L1032" t="str">
            <v/>
          </cell>
        </row>
        <row r="1033">
          <cell r="A1033">
            <v>34000000</v>
          </cell>
          <cell r="C1033">
            <v>34000000</v>
          </cell>
          <cell r="D1033">
            <v>34000000</v>
          </cell>
          <cell r="E1033">
            <v>34000000</v>
          </cell>
          <cell r="F1033">
            <v>34000000</v>
          </cell>
          <cell r="G1033">
            <v>34000000</v>
          </cell>
          <cell r="H1033">
            <v>34000000</v>
          </cell>
          <cell r="I1033" t="str">
            <v/>
          </cell>
          <cell r="J1033" t="str">
            <v/>
          </cell>
          <cell r="K1033" t="str">
            <v/>
          </cell>
          <cell r="L1033" t="str">
            <v/>
          </cell>
        </row>
        <row r="1034">
          <cell r="A1034">
            <v>34000000</v>
          </cell>
          <cell r="C1034">
            <v>34000000</v>
          </cell>
          <cell r="D1034">
            <v>34000000</v>
          </cell>
          <cell r="E1034">
            <v>34000000</v>
          </cell>
          <cell r="F1034">
            <v>34000000</v>
          </cell>
          <cell r="G1034">
            <v>34000000</v>
          </cell>
          <cell r="H1034">
            <v>34000000</v>
          </cell>
          <cell r="I1034" t="str">
            <v/>
          </cell>
          <cell r="J1034" t="str">
            <v/>
          </cell>
          <cell r="K1034" t="str">
            <v/>
          </cell>
          <cell r="L1034" t="str">
            <v/>
          </cell>
        </row>
        <row r="1035">
          <cell r="A1035">
            <v>34000000</v>
          </cell>
          <cell r="C1035">
            <v>34000000</v>
          </cell>
          <cell r="D1035">
            <v>34000000</v>
          </cell>
          <cell r="E1035">
            <v>34000000</v>
          </cell>
          <cell r="F1035">
            <v>34000000</v>
          </cell>
          <cell r="G1035">
            <v>34000000</v>
          </cell>
          <cell r="H1035">
            <v>34000000</v>
          </cell>
          <cell r="I1035" t="str">
            <v/>
          </cell>
          <cell r="J1035" t="str">
            <v/>
          </cell>
          <cell r="K1035" t="str">
            <v/>
          </cell>
          <cell r="L1035" t="str">
            <v/>
          </cell>
        </row>
        <row r="1036">
          <cell r="A1036">
            <v>34000000</v>
          </cell>
          <cell r="C1036">
            <v>34000000</v>
          </cell>
          <cell r="D1036">
            <v>34000000</v>
          </cell>
          <cell r="E1036">
            <v>34000000</v>
          </cell>
          <cell r="F1036">
            <v>34000000</v>
          </cell>
          <cell r="G1036">
            <v>34000000</v>
          </cell>
          <cell r="H1036">
            <v>34000000</v>
          </cell>
          <cell r="I1036" t="str">
            <v/>
          </cell>
          <cell r="J1036" t="str">
            <v/>
          </cell>
          <cell r="K1036" t="str">
            <v/>
          </cell>
          <cell r="L1036" t="str">
            <v/>
          </cell>
        </row>
        <row r="1037">
          <cell r="A1037">
            <v>34000000</v>
          </cell>
          <cell r="C1037">
            <v>34000000</v>
          </cell>
          <cell r="D1037">
            <v>34000000</v>
          </cell>
          <cell r="E1037">
            <v>34000000</v>
          </cell>
          <cell r="F1037">
            <v>34000000</v>
          </cell>
          <cell r="G1037">
            <v>34000000</v>
          </cell>
          <cell r="H1037">
            <v>34000000</v>
          </cell>
          <cell r="I1037" t="str">
            <v/>
          </cell>
          <cell r="J1037" t="str">
            <v/>
          </cell>
          <cell r="K1037" t="str">
            <v/>
          </cell>
          <cell r="L1037" t="str">
            <v/>
          </cell>
        </row>
        <row r="1038">
          <cell r="A1038">
            <v>34000000</v>
          </cell>
          <cell r="C1038">
            <v>34000000</v>
          </cell>
          <cell r="D1038">
            <v>34000000</v>
          </cell>
          <cell r="E1038">
            <v>34000000</v>
          </cell>
          <cell r="F1038">
            <v>34000000</v>
          </cell>
          <cell r="G1038">
            <v>34000000</v>
          </cell>
          <cell r="H1038">
            <v>34000000</v>
          </cell>
          <cell r="I1038" t="str">
            <v/>
          </cell>
          <cell r="J1038" t="str">
            <v/>
          </cell>
          <cell r="K1038" t="str">
            <v/>
          </cell>
          <cell r="L1038" t="str">
            <v/>
          </cell>
        </row>
        <row r="1039">
          <cell r="A1039">
            <v>34000000</v>
          </cell>
          <cell r="C1039">
            <v>34000000</v>
          </cell>
          <cell r="D1039">
            <v>34000000</v>
          </cell>
          <cell r="E1039">
            <v>34000000</v>
          </cell>
          <cell r="F1039">
            <v>34000000</v>
          </cell>
          <cell r="G1039">
            <v>34000000</v>
          </cell>
          <cell r="H1039">
            <v>34000000</v>
          </cell>
          <cell r="I1039" t="str">
            <v/>
          </cell>
          <cell r="J1039" t="str">
            <v/>
          </cell>
          <cell r="K1039" t="str">
            <v/>
          </cell>
          <cell r="L1039" t="str">
            <v/>
          </cell>
        </row>
        <row r="1040">
          <cell r="A1040">
            <v>34000000</v>
          </cell>
          <cell r="C1040">
            <v>34000000</v>
          </cell>
          <cell r="D1040">
            <v>34000000</v>
          </cell>
          <cell r="E1040">
            <v>34000000</v>
          </cell>
          <cell r="F1040">
            <v>34000000</v>
          </cell>
          <cell r="G1040">
            <v>34000000</v>
          </cell>
          <cell r="H1040">
            <v>34000000</v>
          </cell>
          <cell r="I1040" t="str">
            <v/>
          </cell>
          <cell r="J1040" t="str">
            <v/>
          </cell>
          <cell r="K1040" t="str">
            <v/>
          </cell>
          <cell r="L1040" t="str">
            <v/>
          </cell>
        </row>
        <row r="1041">
          <cell r="A1041">
            <v>34000000</v>
          </cell>
          <cell r="C1041">
            <v>34000000</v>
          </cell>
          <cell r="D1041">
            <v>34000000</v>
          </cell>
          <cell r="E1041">
            <v>34000000</v>
          </cell>
          <cell r="F1041">
            <v>34000000</v>
          </cell>
          <cell r="G1041">
            <v>34000000</v>
          </cell>
          <cell r="H1041">
            <v>34000000</v>
          </cell>
          <cell r="I1041" t="str">
            <v/>
          </cell>
          <cell r="J1041" t="str">
            <v/>
          </cell>
          <cell r="K1041" t="str">
            <v/>
          </cell>
          <cell r="L1041" t="str">
            <v/>
          </cell>
        </row>
        <row r="1042">
          <cell r="A1042">
            <v>34000000</v>
          </cell>
          <cell r="C1042">
            <v>34000000</v>
          </cell>
          <cell r="D1042">
            <v>34000000</v>
          </cell>
          <cell r="E1042">
            <v>34000000</v>
          </cell>
          <cell r="F1042">
            <v>34000000</v>
          </cell>
          <cell r="G1042">
            <v>34000000</v>
          </cell>
          <cell r="H1042">
            <v>34000000</v>
          </cell>
          <cell r="I1042" t="str">
            <v/>
          </cell>
          <cell r="J1042" t="str">
            <v/>
          </cell>
          <cell r="K1042" t="str">
            <v/>
          </cell>
          <cell r="L1042" t="str">
            <v/>
          </cell>
        </row>
        <row r="1043">
          <cell r="A1043">
            <v>34000000</v>
          </cell>
          <cell r="C1043">
            <v>34000000</v>
          </cell>
          <cell r="D1043">
            <v>34000000</v>
          </cell>
          <cell r="E1043">
            <v>34000000</v>
          </cell>
          <cell r="F1043">
            <v>34000000</v>
          </cell>
          <cell r="G1043">
            <v>34000000</v>
          </cell>
          <cell r="H1043">
            <v>34000000</v>
          </cell>
          <cell r="I1043" t="str">
            <v/>
          </cell>
          <cell r="J1043" t="str">
            <v/>
          </cell>
          <cell r="K1043" t="str">
            <v/>
          </cell>
          <cell r="L1043" t="str">
            <v/>
          </cell>
        </row>
        <row r="1044">
          <cell r="A1044">
            <v>34000000</v>
          </cell>
          <cell r="C1044">
            <v>34000000</v>
          </cell>
          <cell r="D1044">
            <v>34000000</v>
          </cell>
          <cell r="E1044">
            <v>34000000</v>
          </cell>
          <cell r="F1044">
            <v>34000000</v>
          </cell>
          <cell r="G1044">
            <v>34000000</v>
          </cell>
          <cell r="H1044">
            <v>34000000</v>
          </cell>
          <cell r="I1044" t="str">
            <v/>
          </cell>
          <cell r="J1044" t="str">
            <v/>
          </cell>
          <cell r="K1044" t="str">
            <v/>
          </cell>
          <cell r="L1044" t="str">
            <v/>
          </cell>
        </row>
        <row r="1045">
          <cell r="A1045">
            <v>34000000</v>
          </cell>
          <cell r="C1045">
            <v>34000000</v>
          </cell>
          <cell r="D1045">
            <v>34000000</v>
          </cell>
          <cell r="E1045">
            <v>34000000</v>
          </cell>
          <cell r="F1045">
            <v>34000000</v>
          </cell>
          <cell r="G1045">
            <v>34000000</v>
          </cell>
          <cell r="H1045">
            <v>34000000</v>
          </cell>
          <cell r="I1045" t="str">
            <v/>
          </cell>
          <cell r="J1045" t="str">
            <v/>
          </cell>
          <cell r="K1045" t="str">
            <v/>
          </cell>
          <cell r="L1045" t="str">
            <v/>
          </cell>
        </row>
        <row r="1046">
          <cell r="A1046">
            <v>34000000</v>
          </cell>
          <cell r="C1046">
            <v>34000000</v>
          </cell>
          <cell r="D1046">
            <v>34000000</v>
          </cell>
          <cell r="E1046">
            <v>34000000</v>
          </cell>
          <cell r="F1046">
            <v>34000000</v>
          </cell>
          <cell r="G1046">
            <v>34000000</v>
          </cell>
          <cell r="H1046">
            <v>34000000</v>
          </cell>
          <cell r="I1046" t="str">
            <v/>
          </cell>
          <cell r="J1046" t="str">
            <v/>
          </cell>
          <cell r="K1046" t="str">
            <v/>
          </cell>
          <cell r="L1046" t="str">
            <v/>
          </cell>
        </row>
        <row r="1047">
          <cell r="A1047">
            <v>34000000</v>
          </cell>
          <cell r="C1047">
            <v>34000000</v>
          </cell>
          <cell r="D1047">
            <v>34000000</v>
          </cell>
          <cell r="E1047">
            <v>34000000</v>
          </cell>
          <cell r="F1047">
            <v>34000000</v>
          </cell>
          <cell r="G1047">
            <v>34000000</v>
          </cell>
          <cell r="H1047">
            <v>34000000</v>
          </cell>
          <cell r="I1047" t="str">
            <v/>
          </cell>
          <cell r="J1047" t="str">
            <v/>
          </cell>
          <cell r="K1047" t="str">
            <v/>
          </cell>
          <cell r="L1047" t="str">
            <v/>
          </cell>
        </row>
        <row r="1048">
          <cell r="A1048">
            <v>34000000</v>
          </cell>
          <cell r="C1048">
            <v>34000000</v>
          </cell>
          <cell r="D1048">
            <v>34000000</v>
          </cell>
          <cell r="E1048">
            <v>34000000</v>
          </cell>
          <cell r="F1048">
            <v>34000000</v>
          </cell>
          <cell r="G1048">
            <v>34000000</v>
          </cell>
          <cell r="H1048">
            <v>34000000</v>
          </cell>
          <cell r="I1048" t="str">
            <v/>
          </cell>
          <cell r="J1048" t="str">
            <v/>
          </cell>
          <cell r="K1048" t="str">
            <v/>
          </cell>
          <cell r="L1048" t="str">
            <v/>
          </cell>
        </row>
        <row r="1049">
          <cell r="A1049">
            <v>34000000</v>
          </cell>
          <cell r="C1049">
            <v>34000000</v>
          </cell>
          <cell r="D1049">
            <v>34000000</v>
          </cell>
          <cell r="E1049">
            <v>34000000</v>
          </cell>
          <cell r="F1049">
            <v>34000000</v>
          </cell>
          <cell r="G1049">
            <v>34000000</v>
          </cell>
          <cell r="H1049">
            <v>34000000</v>
          </cell>
          <cell r="I1049" t="str">
            <v/>
          </cell>
          <cell r="J1049" t="str">
            <v/>
          </cell>
          <cell r="K1049" t="str">
            <v/>
          </cell>
          <cell r="L1049" t="str">
            <v/>
          </cell>
        </row>
        <row r="1050">
          <cell r="A1050">
            <v>34000000</v>
          </cell>
          <cell r="C1050">
            <v>34000000</v>
          </cell>
          <cell r="D1050">
            <v>34000000</v>
          </cell>
          <cell r="E1050">
            <v>34000000</v>
          </cell>
          <cell r="F1050">
            <v>34000000</v>
          </cell>
          <cell r="G1050">
            <v>34000000</v>
          </cell>
          <cell r="H1050">
            <v>34000000</v>
          </cell>
          <cell r="I1050" t="str">
            <v/>
          </cell>
          <cell r="J1050" t="str">
            <v/>
          </cell>
          <cell r="K1050" t="str">
            <v/>
          </cell>
          <cell r="L1050" t="str">
            <v/>
          </cell>
        </row>
        <row r="1051">
          <cell r="A1051">
            <v>34000000</v>
          </cell>
          <cell r="C1051">
            <v>34000000</v>
          </cell>
          <cell r="D1051">
            <v>34000000</v>
          </cell>
          <cell r="E1051">
            <v>34000000</v>
          </cell>
          <cell r="F1051">
            <v>34000000</v>
          </cell>
          <cell r="G1051">
            <v>34000000</v>
          </cell>
          <cell r="H1051">
            <v>34000000</v>
          </cell>
          <cell r="I1051" t="str">
            <v/>
          </cell>
          <cell r="J1051" t="str">
            <v/>
          </cell>
          <cell r="K1051" t="str">
            <v/>
          </cell>
          <cell r="L1051" t="str">
            <v/>
          </cell>
        </row>
        <row r="1052">
          <cell r="A1052">
            <v>34000000</v>
          </cell>
          <cell r="C1052">
            <v>34000000</v>
          </cell>
          <cell r="D1052">
            <v>34000000</v>
          </cell>
          <cell r="E1052">
            <v>34000000</v>
          </cell>
          <cell r="F1052">
            <v>34000000</v>
          </cell>
          <cell r="G1052">
            <v>34000000</v>
          </cell>
          <cell r="H1052">
            <v>34000000</v>
          </cell>
          <cell r="I1052" t="str">
            <v/>
          </cell>
          <cell r="J1052" t="str">
            <v/>
          </cell>
          <cell r="K1052" t="str">
            <v/>
          </cell>
          <cell r="L1052" t="str">
            <v/>
          </cell>
        </row>
        <row r="1053">
          <cell r="A1053">
            <v>34000000</v>
          </cell>
          <cell r="C1053">
            <v>34000000</v>
          </cell>
          <cell r="D1053">
            <v>34000000</v>
          </cell>
          <cell r="E1053">
            <v>34000000</v>
          </cell>
          <cell r="F1053">
            <v>34000000</v>
          </cell>
          <cell r="G1053">
            <v>34000000</v>
          </cell>
          <cell r="H1053">
            <v>34000000</v>
          </cell>
          <cell r="I1053" t="str">
            <v/>
          </cell>
          <cell r="J1053" t="str">
            <v/>
          </cell>
          <cell r="K1053" t="str">
            <v/>
          </cell>
          <cell r="L1053" t="str">
            <v/>
          </cell>
        </row>
        <row r="1054">
          <cell r="A1054">
            <v>34000000</v>
          </cell>
          <cell r="C1054">
            <v>34000000</v>
          </cell>
          <cell r="D1054">
            <v>34000000</v>
          </cell>
          <cell r="E1054">
            <v>34000000</v>
          </cell>
          <cell r="F1054">
            <v>34000000</v>
          </cell>
          <cell r="G1054">
            <v>34000000</v>
          </cell>
          <cell r="H1054">
            <v>34000000</v>
          </cell>
          <cell r="I1054" t="str">
            <v/>
          </cell>
          <cell r="J1054" t="str">
            <v/>
          </cell>
          <cell r="K1054" t="str">
            <v/>
          </cell>
          <cell r="L1054" t="str">
            <v/>
          </cell>
        </row>
        <row r="1055">
          <cell r="A1055">
            <v>34000000</v>
          </cell>
          <cell r="C1055">
            <v>34000000</v>
          </cell>
          <cell r="D1055">
            <v>34000000</v>
          </cell>
          <cell r="E1055">
            <v>34000000</v>
          </cell>
          <cell r="F1055">
            <v>34000000</v>
          </cell>
          <cell r="G1055">
            <v>34000000</v>
          </cell>
          <cell r="H1055">
            <v>34000000</v>
          </cell>
          <cell r="I1055" t="str">
            <v/>
          </cell>
          <cell r="J1055" t="str">
            <v/>
          </cell>
          <cell r="K1055" t="str">
            <v/>
          </cell>
          <cell r="L1055" t="str">
            <v/>
          </cell>
        </row>
        <row r="1056">
          <cell r="A1056">
            <v>34000000</v>
          </cell>
          <cell r="C1056">
            <v>34000000</v>
          </cell>
          <cell r="D1056">
            <v>34000000</v>
          </cell>
          <cell r="E1056">
            <v>34000000</v>
          </cell>
          <cell r="F1056">
            <v>34000000</v>
          </cell>
          <cell r="G1056">
            <v>34000000</v>
          </cell>
          <cell r="H1056">
            <v>34000000</v>
          </cell>
          <cell r="I1056" t="str">
            <v/>
          </cell>
          <cell r="J1056" t="str">
            <v/>
          </cell>
          <cell r="K1056" t="str">
            <v/>
          </cell>
          <cell r="L1056" t="str">
            <v/>
          </cell>
        </row>
        <row r="1057">
          <cell r="A1057">
            <v>34000000</v>
          </cell>
          <cell r="C1057">
            <v>34000000</v>
          </cell>
          <cell r="D1057">
            <v>34000000</v>
          </cell>
          <cell r="E1057">
            <v>34000000</v>
          </cell>
          <cell r="F1057">
            <v>34000000</v>
          </cell>
          <cell r="G1057">
            <v>34000000</v>
          </cell>
          <cell r="H1057">
            <v>34000000</v>
          </cell>
          <cell r="I1057" t="str">
            <v/>
          </cell>
          <cell r="J1057" t="str">
            <v/>
          </cell>
          <cell r="K1057" t="str">
            <v/>
          </cell>
          <cell r="L1057" t="str">
            <v/>
          </cell>
        </row>
        <row r="1058">
          <cell r="A1058">
            <v>34000000</v>
          </cell>
          <cell r="C1058">
            <v>34000000</v>
          </cell>
          <cell r="D1058">
            <v>34000000</v>
          </cell>
          <cell r="E1058">
            <v>34000000</v>
          </cell>
          <cell r="F1058">
            <v>34000000</v>
          </cell>
          <cell r="G1058">
            <v>34000000</v>
          </cell>
          <cell r="H1058">
            <v>34000000</v>
          </cell>
          <cell r="I1058" t="str">
            <v/>
          </cell>
          <cell r="J1058" t="str">
            <v/>
          </cell>
          <cell r="K1058" t="str">
            <v/>
          </cell>
          <cell r="L1058" t="str">
            <v/>
          </cell>
        </row>
        <row r="1059">
          <cell r="A1059">
            <v>34000000</v>
          </cell>
          <cell r="C1059">
            <v>34000000</v>
          </cell>
          <cell r="D1059">
            <v>34000000</v>
          </cell>
          <cell r="E1059">
            <v>34000000</v>
          </cell>
          <cell r="F1059">
            <v>34000000</v>
          </cell>
          <cell r="G1059">
            <v>34000000</v>
          </cell>
          <cell r="H1059">
            <v>34000000</v>
          </cell>
          <cell r="I1059" t="str">
            <v/>
          </cell>
          <cell r="J1059" t="str">
            <v/>
          </cell>
          <cell r="K1059" t="str">
            <v/>
          </cell>
          <cell r="L1059" t="str">
            <v/>
          </cell>
        </row>
        <row r="1060">
          <cell r="A1060">
            <v>34000000</v>
          </cell>
          <cell r="C1060">
            <v>34000000</v>
          </cell>
          <cell r="D1060">
            <v>34000000</v>
          </cell>
          <cell r="E1060">
            <v>34000000</v>
          </cell>
          <cell r="F1060">
            <v>34000000</v>
          </cell>
          <cell r="G1060">
            <v>34000000</v>
          </cell>
          <cell r="H1060">
            <v>34000000</v>
          </cell>
          <cell r="I1060" t="str">
            <v/>
          </cell>
          <cell r="J1060" t="str">
            <v/>
          </cell>
          <cell r="K1060" t="str">
            <v/>
          </cell>
          <cell r="L1060" t="str">
            <v/>
          </cell>
        </row>
        <row r="1061">
          <cell r="A1061">
            <v>34000000</v>
          </cell>
          <cell r="C1061">
            <v>34000000</v>
          </cell>
          <cell r="D1061">
            <v>34000000</v>
          </cell>
          <cell r="E1061">
            <v>34000000</v>
          </cell>
          <cell r="F1061">
            <v>34000000</v>
          </cell>
          <cell r="G1061">
            <v>34000000</v>
          </cell>
          <cell r="H1061">
            <v>34000000</v>
          </cell>
          <cell r="I1061" t="str">
            <v/>
          </cell>
          <cell r="J1061" t="str">
            <v/>
          </cell>
          <cell r="K1061" t="str">
            <v/>
          </cell>
          <cell r="L1061" t="str">
            <v/>
          </cell>
        </row>
        <row r="1062">
          <cell r="A1062">
            <v>34000000</v>
          </cell>
          <cell r="C1062">
            <v>34000000</v>
          </cell>
          <cell r="D1062">
            <v>34000000</v>
          </cell>
          <cell r="E1062">
            <v>34000000</v>
          </cell>
          <cell r="F1062">
            <v>34000000</v>
          </cell>
          <cell r="G1062">
            <v>34000000</v>
          </cell>
          <cell r="H1062">
            <v>34000000</v>
          </cell>
          <cell r="I1062" t="str">
            <v/>
          </cell>
          <cell r="J1062" t="str">
            <v/>
          </cell>
          <cell r="K1062" t="str">
            <v/>
          </cell>
          <cell r="L1062" t="str">
            <v/>
          </cell>
        </row>
        <row r="1063">
          <cell r="A1063">
            <v>34000000</v>
          </cell>
          <cell r="C1063">
            <v>34000000</v>
          </cell>
          <cell r="D1063">
            <v>34000000</v>
          </cell>
          <cell r="E1063">
            <v>34000000</v>
          </cell>
          <cell r="F1063">
            <v>34000000</v>
          </cell>
          <cell r="G1063">
            <v>34000000</v>
          </cell>
          <cell r="H1063">
            <v>34000000</v>
          </cell>
          <cell r="I1063" t="str">
            <v/>
          </cell>
          <cell r="J1063" t="str">
            <v/>
          </cell>
          <cell r="K1063" t="str">
            <v/>
          </cell>
          <cell r="L1063" t="str">
            <v/>
          </cell>
        </row>
        <row r="1064">
          <cell r="A1064">
            <v>34000000</v>
          </cell>
          <cell r="C1064">
            <v>34000000</v>
          </cell>
          <cell r="D1064">
            <v>34000000</v>
          </cell>
          <cell r="E1064">
            <v>34000000</v>
          </cell>
          <cell r="F1064">
            <v>34000000</v>
          </cell>
          <cell r="G1064">
            <v>34000000</v>
          </cell>
          <cell r="H1064">
            <v>34000000</v>
          </cell>
          <cell r="I1064" t="str">
            <v/>
          </cell>
          <cell r="J1064" t="str">
            <v/>
          </cell>
          <cell r="K1064" t="str">
            <v/>
          </cell>
          <cell r="L1064" t="str">
            <v/>
          </cell>
        </row>
        <row r="1065">
          <cell r="A1065">
            <v>34000000</v>
          </cell>
          <cell r="C1065">
            <v>34000000</v>
          </cell>
          <cell r="D1065">
            <v>34000000</v>
          </cell>
          <cell r="E1065">
            <v>34000000</v>
          </cell>
          <cell r="F1065">
            <v>34000000</v>
          </cell>
          <cell r="G1065">
            <v>34000000</v>
          </cell>
          <cell r="H1065">
            <v>34000000</v>
          </cell>
          <cell r="I1065" t="str">
            <v/>
          </cell>
          <cell r="J1065" t="str">
            <v/>
          </cell>
          <cell r="K1065" t="str">
            <v/>
          </cell>
          <cell r="L1065" t="str">
            <v/>
          </cell>
        </row>
        <row r="1066">
          <cell r="A1066">
            <v>34000000</v>
          </cell>
          <cell r="C1066">
            <v>34000000</v>
          </cell>
          <cell r="D1066">
            <v>34000000</v>
          </cell>
          <cell r="E1066">
            <v>34000000</v>
          </cell>
          <cell r="F1066">
            <v>34000000</v>
          </cell>
          <cell r="G1066">
            <v>34000000</v>
          </cell>
          <cell r="H1066">
            <v>34000000</v>
          </cell>
          <cell r="I1066" t="str">
            <v/>
          </cell>
          <cell r="J1066" t="str">
            <v/>
          </cell>
          <cell r="K1066" t="str">
            <v/>
          </cell>
          <cell r="L1066" t="str">
            <v/>
          </cell>
        </row>
        <row r="1067">
          <cell r="A1067">
            <v>34000000</v>
          </cell>
          <cell r="C1067">
            <v>34000000</v>
          </cell>
          <cell r="D1067">
            <v>34000000</v>
          </cell>
          <cell r="E1067">
            <v>34000000</v>
          </cell>
          <cell r="F1067">
            <v>34000000</v>
          </cell>
          <cell r="G1067">
            <v>34000000</v>
          </cell>
          <cell r="H1067">
            <v>34000000</v>
          </cell>
          <cell r="I1067" t="str">
            <v/>
          </cell>
          <cell r="J1067" t="str">
            <v/>
          </cell>
          <cell r="K1067" t="str">
            <v/>
          </cell>
          <cell r="L1067" t="str">
            <v/>
          </cell>
        </row>
        <row r="1068">
          <cell r="A1068">
            <v>34000000</v>
          </cell>
          <cell r="C1068">
            <v>34000000</v>
          </cell>
          <cell r="D1068">
            <v>34000000</v>
          </cell>
          <cell r="E1068">
            <v>34000000</v>
          </cell>
          <cell r="F1068">
            <v>34000000</v>
          </cell>
          <cell r="G1068">
            <v>34000000</v>
          </cell>
          <cell r="H1068">
            <v>34000000</v>
          </cell>
          <cell r="I1068" t="str">
            <v/>
          </cell>
          <cell r="J1068" t="str">
            <v/>
          </cell>
          <cell r="K1068" t="str">
            <v/>
          </cell>
          <cell r="L1068" t="str">
            <v/>
          </cell>
        </row>
        <row r="1069">
          <cell r="A1069">
            <v>34000000</v>
          </cell>
          <cell r="C1069">
            <v>34000000</v>
          </cell>
          <cell r="D1069">
            <v>34000000</v>
          </cell>
          <cell r="E1069">
            <v>34000000</v>
          </cell>
          <cell r="F1069">
            <v>34000000</v>
          </cell>
          <cell r="G1069">
            <v>34000000</v>
          </cell>
          <cell r="H1069">
            <v>34000000</v>
          </cell>
          <cell r="I1069" t="str">
            <v/>
          </cell>
          <cell r="J1069" t="str">
            <v/>
          </cell>
          <cell r="K1069" t="str">
            <v/>
          </cell>
          <cell r="L1069" t="str">
            <v/>
          </cell>
        </row>
        <row r="1070">
          <cell r="A1070">
            <v>34000000</v>
          </cell>
          <cell r="C1070">
            <v>34000000</v>
          </cell>
          <cell r="D1070">
            <v>34000000</v>
          </cell>
          <cell r="E1070">
            <v>34000000</v>
          </cell>
          <cell r="F1070">
            <v>34000000</v>
          </cell>
          <cell r="G1070">
            <v>34000000</v>
          </cell>
          <cell r="H1070">
            <v>34000000</v>
          </cell>
          <cell r="I1070" t="str">
            <v/>
          </cell>
          <cell r="J1070" t="str">
            <v/>
          </cell>
          <cell r="K1070" t="str">
            <v/>
          </cell>
          <cell r="L1070" t="str">
            <v/>
          </cell>
        </row>
        <row r="1071">
          <cell r="A1071">
            <v>34000000</v>
          </cell>
          <cell r="C1071">
            <v>34000000</v>
          </cell>
          <cell r="D1071">
            <v>34000000</v>
          </cell>
          <cell r="E1071">
            <v>34000000</v>
          </cell>
          <cell r="F1071">
            <v>34000000</v>
          </cell>
          <cell r="G1071">
            <v>34000000</v>
          </cell>
          <cell r="H1071">
            <v>34000000</v>
          </cell>
          <cell r="I1071" t="str">
            <v/>
          </cell>
          <cell r="J1071" t="str">
            <v/>
          </cell>
          <cell r="K1071" t="str">
            <v/>
          </cell>
          <cell r="L1071" t="str">
            <v/>
          </cell>
        </row>
        <row r="1072">
          <cell r="A1072">
            <v>34000000</v>
          </cell>
          <cell r="C1072">
            <v>34000000</v>
          </cell>
          <cell r="D1072">
            <v>34000000</v>
          </cell>
          <cell r="E1072">
            <v>34000000</v>
          </cell>
          <cell r="F1072">
            <v>34000000</v>
          </cell>
          <cell r="G1072">
            <v>34000000</v>
          </cell>
          <cell r="H1072">
            <v>34000000</v>
          </cell>
          <cell r="I1072" t="str">
            <v/>
          </cell>
          <cell r="J1072" t="str">
            <v/>
          </cell>
          <cell r="K1072" t="str">
            <v/>
          </cell>
          <cell r="L1072" t="str">
            <v/>
          </cell>
        </row>
        <row r="1073">
          <cell r="A1073">
            <v>34000000</v>
          </cell>
          <cell r="C1073">
            <v>34000000</v>
          </cell>
          <cell r="D1073">
            <v>34000000</v>
          </cell>
          <cell r="E1073">
            <v>34000000</v>
          </cell>
          <cell r="F1073">
            <v>34000000</v>
          </cell>
          <cell r="G1073">
            <v>34000000</v>
          </cell>
          <cell r="H1073">
            <v>34000000</v>
          </cell>
          <cell r="I1073" t="str">
            <v/>
          </cell>
          <cell r="J1073" t="str">
            <v/>
          </cell>
          <cell r="K1073" t="str">
            <v/>
          </cell>
          <cell r="L1073" t="str">
            <v/>
          </cell>
        </row>
        <row r="1074">
          <cell r="A1074">
            <v>34000000</v>
          </cell>
          <cell r="C1074">
            <v>34000000</v>
          </cell>
          <cell r="D1074">
            <v>34000000</v>
          </cell>
          <cell r="E1074">
            <v>34000000</v>
          </cell>
          <cell r="F1074">
            <v>34000000</v>
          </cell>
          <cell r="G1074">
            <v>34000000</v>
          </cell>
          <cell r="H1074">
            <v>34000000</v>
          </cell>
          <cell r="I1074" t="str">
            <v/>
          </cell>
          <cell r="J1074" t="str">
            <v/>
          </cell>
          <cell r="K1074" t="str">
            <v/>
          </cell>
          <cell r="L1074" t="str">
            <v/>
          </cell>
        </row>
        <row r="1075">
          <cell r="A1075">
            <v>34000000</v>
          </cell>
          <cell r="C1075">
            <v>34000000</v>
          </cell>
          <cell r="D1075">
            <v>34000000</v>
          </cell>
          <cell r="E1075">
            <v>34000000</v>
          </cell>
          <cell r="F1075">
            <v>34000000</v>
          </cell>
          <cell r="G1075">
            <v>34000000</v>
          </cell>
          <cell r="H1075">
            <v>34000000</v>
          </cell>
          <cell r="I1075" t="str">
            <v/>
          </cell>
          <cell r="J1075" t="str">
            <v/>
          </cell>
          <cell r="K1075" t="str">
            <v/>
          </cell>
          <cell r="L1075" t="str">
            <v/>
          </cell>
        </row>
        <row r="1076">
          <cell r="A1076">
            <v>34000000</v>
          </cell>
          <cell r="C1076">
            <v>34000000</v>
          </cell>
          <cell r="D1076">
            <v>34000000</v>
          </cell>
          <cell r="E1076">
            <v>34000000</v>
          </cell>
          <cell r="F1076">
            <v>34000000</v>
          </cell>
          <cell r="G1076">
            <v>34000000</v>
          </cell>
          <cell r="H1076">
            <v>34000000</v>
          </cell>
          <cell r="I1076" t="str">
            <v/>
          </cell>
          <cell r="J1076" t="str">
            <v/>
          </cell>
          <cell r="K1076" t="str">
            <v/>
          </cell>
          <cell r="L1076" t="str">
            <v/>
          </cell>
        </row>
        <row r="1077">
          <cell r="A1077">
            <v>34000000</v>
          </cell>
          <cell r="C1077">
            <v>34000000</v>
          </cell>
          <cell r="D1077">
            <v>34000000</v>
          </cell>
          <cell r="E1077">
            <v>34000000</v>
          </cell>
          <cell r="F1077">
            <v>34000000</v>
          </cell>
          <cell r="G1077">
            <v>34000000</v>
          </cell>
          <cell r="H1077">
            <v>34000000</v>
          </cell>
          <cell r="I1077" t="str">
            <v/>
          </cell>
          <cell r="J1077" t="str">
            <v/>
          </cell>
          <cell r="K1077" t="str">
            <v/>
          </cell>
          <cell r="L1077" t="str">
            <v/>
          </cell>
        </row>
        <row r="1078">
          <cell r="A1078">
            <v>34000000</v>
          </cell>
          <cell r="C1078">
            <v>34000000</v>
          </cell>
          <cell r="D1078">
            <v>34000000</v>
          </cell>
          <cell r="E1078">
            <v>34000000</v>
          </cell>
          <cell r="F1078">
            <v>34000000</v>
          </cell>
          <cell r="G1078">
            <v>34000000</v>
          </cell>
          <cell r="H1078">
            <v>34000000</v>
          </cell>
          <cell r="I1078" t="str">
            <v/>
          </cell>
          <cell r="J1078" t="str">
            <v/>
          </cell>
          <cell r="K1078" t="str">
            <v/>
          </cell>
          <cell r="L1078" t="str">
            <v/>
          </cell>
        </row>
        <row r="1079">
          <cell r="A1079">
            <v>34000000</v>
          </cell>
          <cell r="C1079">
            <v>34000000</v>
          </cell>
          <cell r="D1079">
            <v>34000000</v>
          </cell>
          <cell r="E1079">
            <v>34000000</v>
          </cell>
          <cell r="F1079">
            <v>34000000</v>
          </cell>
          <cell r="G1079">
            <v>34000000</v>
          </cell>
          <cell r="H1079">
            <v>34000000</v>
          </cell>
          <cell r="I1079" t="str">
            <v/>
          </cell>
          <cell r="J1079" t="str">
            <v/>
          </cell>
          <cell r="K1079" t="str">
            <v/>
          </cell>
          <cell r="L1079" t="str">
            <v/>
          </cell>
        </row>
        <row r="1080">
          <cell r="A1080">
            <v>34000000</v>
          </cell>
          <cell r="C1080">
            <v>34000000</v>
          </cell>
          <cell r="D1080">
            <v>34000000</v>
          </cell>
          <cell r="E1080">
            <v>34000000</v>
          </cell>
          <cell r="F1080">
            <v>34000000</v>
          </cell>
          <cell r="G1080">
            <v>34000000</v>
          </cell>
          <cell r="H1080">
            <v>34000000</v>
          </cell>
          <cell r="I1080" t="str">
            <v/>
          </cell>
          <cell r="J1080" t="str">
            <v/>
          </cell>
          <cell r="K1080" t="str">
            <v/>
          </cell>
          <cell r="L1080" t="str">
            <v/>
          </cell>
        </row>
        <row r="1081">
          <cell r="A1081">
            <v>34000000</v>
          </cell>
          <cell r="C1081">
            <v>34000000</v>
          </cell>
          <cell r="D1081">
            <v>34000000</v>
          </cell>
          <cell r="E1081">
            <v>34000000</v>
          </cell>
          <cell r="F1081">
            <v>34000000</v>
          </cell>
          <cell r="G1081">
            <v>34000000</v>
          </cell>
          <cell r="H1081">
            <v>34000000</v>
          </cell>
          <cell r="I1081" t="str">
            <v/>
          </cell>
          <cell r="J1081" t="str">
            <v/>
          </cell>
          <cell r="K1081" t="str">
            <v/>
          </cell>
          <cell r="L1081" t="str">
            <v/>
          </cell>
        </row>
        <row r="1082">
          <cell r="A1082">
            <v>34000000</v>
          </cell>
          <cell r="C1082">
            <v>34000000</v>
          </cell>
          <cell r="D1082">
            <v>34000000</v>
          </cell>
          <cell r="E1082">
            <v>34000000</v>
          </cell>
          <cell r="F1082">
            <v>34000000</v>
          </cell>
          <cell r="G1082">
            <v>34000000</v>
          </cell>
          <cell r="H1082">
            <v>34000000</v>
          </cell>
          <cell r="I1082" t="str">
            <v/>
          </cell>
          <cell r="J1082" t="str">
            <v/>
          </cell>
          <cell r="K1082" t="str">
            <v/>
          </cell>
          <cell r="L1082" t="str">
            <v/>
          </cell>
        </row>
        <row r="1083">
          <cell r="A1083">
            <v>34000000</v>
          </cell>
          <cell r="C1083">
            <v>34000000</v>
          </cell>
          <cell r="D1083">
            <v>34000000</v>
          </cell>
          <cell r="E1083">
            <v>34000000</v>
          </cell>
          <cell r="F1083">
            <v>34000000</v>
          </cell>
          <cell r="G1083">
            <v>34000000</v>
          </cell>
          <cell r="H1083">
            <v>34000000</v>
          </cell>
          <cell r="I1083" t="str">
            <v/>
          </cell>
          <cell r="J1083" t="str">
            <v/>
          </cell>
          <cell r="K1083" t="str">
            <v/>
          </cell>
          <cell r="L1083" t="str">
            <v/>
          </cell>
        </row>
        <row r="1084">
          <cell r="A1084">
            <v>34000000</v>
          </cell>
          <cell r="C1084">
            <v>34000000</v>
          </cell>
          <cell r="D1084">
            <v>34000000</v>
          </cell>
          <cell r="E1084">
            <v>34000000</v>
          </cell>
          <cell r="F1084">
            <v>34000000</v>
          </cell>
          <cell r="G1084">
            <v>34000000</v>
          </cell>
          <cell r="H1084">
            <v>34000000</v>
          </cell>
          <cell r="I1084" t="str">
            <v/>
          </cell>
          <cell r="J1084" t="str">
            <v/>
          </cell>
          <cell r="K1084" t="str">
            <v/>
          </cell>
          <cell r="L1084" t="str">
            <v/>
          </cell>
        </row>
        <row r="1085">
          <cell r="A1085">
            <v>34000000</v>
          </cell>
          <cell r="C1085">
            <v>34000000</v>
          </cell>
          <cell r="D1085">
            <v>34000000</v>
          </cell>
          <cell r="E1085">
            <v>34000000</v>
          </cell>
          <cell r="F1085">
            <v>34000000</v>
          </cell>
          <cell r="G1085">
            <v>34000000</v>
          </cell>
          <cell r="H1085">
            <v>34000000</v>
          </cell>
          <cell r="I1085" t="str">
            <v/>
          </cell>
          <cell r="J1085" t="str">
            <v/>
          </cell>
          <cell r="K1085" t="str">
            <v/>
          </cell>
          <cell r="L1085" t="str">
            <v/>
          </cell>
        </row>
        <row r="1086">
          <cell r="A1086">
            <v>34000000</v>
          </cell>
          <cell r="C1086">
            <v>34000000</v>
          </cell>
          <cell r="D1086">
            <v>34000000</v>
          </cell>
          <cell r="E1086">
            <v>34000000</v>
          </cell>
          <cell r="F1086">
            <v>34000000</v>
          </cell>
          <cell r="G1086">
            <v>34000000</v>
          </cell>
          <cell r="H1086">
            <v>34000000</v>
          </cell>
          <cell r="I1086" t="str">
            <v/>
          </cell>
          <cell r="J1086" t="str">
            <v/>
          </cell>
          <cell r="K1086" t="str">
            <v/>
          </cell>
          <cell r="L1086" t="str">
            <v/>
          </cell>
        </row>
        <row r="1087">
          <cell r="A1087">
            <v>34000000</v>
          </cell>
          <cell r="C1087">
            <v>34000000</v>
          </cell>
          <cell r="D1087">
            <v>34000000</v>
          </cell>
          <cell r="E1087">
            <v>34000000</v>
          </cell>
          <cell r="F1087">
            <v>34000000</v>
          </cell>
          <cell r="G1087">
            <v>34000000</v>
          </cell>
          <cell r="H1087">
            <v>34000000</v>
          </cell>
          <cell r="I1087" t="str">
            <v/>
          </cell>
          <cell r="J1087" t="str">
            <v/>
          </cell>
          <cell r="K1087" t="str">
            <v/>
          </cell>
          <cell r="L1087" t="str">
            <v/>
          </cell>
        </row>
        <row r="1088">
          <cell r="A1088">
            <v>34000000</v>
          </cell>
          <cell r="C1088">
            <v>34000000</v>
          </cell>
          <cell r="D1088">
            <v>34000000</v>
          </cell>
          <cell r="E1088">
            <v>34000000</v>
          </cell>
          <cell r="F1088">
            <v>34000000</v>
          </cell>
          <cell r="G1088">
            <v>34000000</v>
          </cell>
          <cell r="H1088">
            <v>34000000</v>
          </cell>
          <cell r="I1088" t="str">
            <v/>
          </cell>
          <cell r="J1088" t="str">
            <v/>
          </cell>
          <cell r="K1088" t="str">
            <v/>
          </cell>
          <cell r="L1088" t="str">
            <v/>
          </cell>
        </row>
        <row r="1089">
          <cell r="A1089">
            <v>34000000</v>
          </cell>
          <cell r="C1089">
            <v>34000000</v>
          </cell>
          <cell r="D1089">
            <v>34000000</v>
          </cell>
          <cell r="E1089">
            <v>34000000</v>
          </cell>
          <cell r="F1089">
            <v>34000000</v>
          </cell>
          <cell r="G1089">
            <v>34000000</v>
          </cell>
          <cell r="H1089">
            <v>34000000</v>
          </cell>
          <cell r="I1089" t="str">
            <v/>
          </cell>
          <cell r="J1089" t="str">
            <v/>
          </cell>
          <cell r="K1089" t="str">
            <v/>
          </cell>
          <cell r="L1089" t="str">
            <v/>
          </cell>
        </row>
        <row r="1090">
          <cell r="A1090">
            <v>34000000</v>
          </cell>
          <cell r="C1090">
            <v>34000000</v>
          </cell>
          <cell r="D1090">
            <v>34000000</v>
          </cell>
          <cell r="E1090">
            <v>34000000</v>
          </cell>
          <cell r="F1090">
            <v>34000000</v>
          </cell>
          <cell r="G1090">
            <v>34000000</v>
          </cell>
          <cell r="H1090">
            <v>34000000</v>
          </cell>
          <cell r="I1090" t="str">
            <v/>
          </cell>
          <cell r="J1090" t="str">
            <v/>
          </cell>
          <cell r="K1090" t="str">
            <v/>
          </cell>
          <cell r="L1090" t="str">
            <v/>
          </cell>
        </row>
        <row r="1091">
          <cell r="A1091">
            <v>34000000</v>
          </cell>
          <cell r="C1091">
            <v>34000000</v>
          </cell>
          <cell r="D1091">
            <v>34000000</v>
          </cell>
          <cell r="E1091">
            <v>34000000</v>
          </cell>
          <cell r="F1091">
            <v>34000000</v>
          </cell>
          <cell r="G1091">
            <v>34000000</v>
          </cell>
          <cell r="H1091">
            <v>34000000</v>
          </cell>
          <cell r="I1091" t="str">
            <v/>
          </cell>
          <cell r="J1091" t="str">
            <v/>
          </cell>
          <cell r="K1091" t="str">
            <v/>
          </cell>
          <cell r="L1091" t="str">
            <v/>
          </cell>
        </row>
        <row r="1092">
          <cell r="A1092">
            <v>34000000</v>
          </cell>
          <cell r="C1092">
            <v>34000000</v>
          </cell>
          <cell r="D1092">
            <v>34000000</v>
          </cell>
          <cell r="E1092">
            <v>34000000</v>
          </cell>
          <cell r="F1092">
            <v>34000000</v>
          </cell>
          <cell r="G1092">
            <v>34000000</v>
          </cell>
          <cell r="H1092">
            <v>34000000</v>
          </cell>
          <cell r="I1092" t="str">
            <v/>
          </cell>
          <cell r="J1092" t="str">
            <v/>
          </cell>
          <cell r="K1092" t="str">
            <v/>
          </cell>
          <cell r="L1092" t="str">
            <v/>
          </cell>
        </row>
        <row r="1093">
          <cell r="A1093">
            <v>34000000</v>
          </cell>
          <cell r="C1093">
            <v>34000000</v>
          </cell>
          <cell r="D1093">
            <v>34000000</v>
          </cell>
          <cell r="E1093">
            <v>34000000</v>
          </cell>
          <cell r="F1093">
            <v>34000000</v>
          </cell>
          <cell r="G1093">
            <v>34000000</v>
          </cell>
          <cell r="H1093">
            <v>34000000</v>
          </cell>
          <cell r="I1093" t="str">
            <v/>
          </cell>
          <cell r="J1093" t="str">
            <v/>
          </cell>
          <cell r="K1093" t="str">
            <v/>
          </cell>
          <cell r="L1093" t="str">
            <v/>
          </cell>
        </row>
        <row r="1094">
          <cell r="A1094">
            <v>34000000</v>
          </cell>
          <cell r="C1094">
            <v>34000000</v>
          </cell>
          <cell r="D1094">
            <v>34000000</v>
          </cell>
          <cell r="E1094">
            <v>34000000</v>
          </cell>
          <cell r="F1094">
            <v>34000000</v>
          </cell>
          <cell r="G1094">
            <v>34000000</v>
          </cell>
          <cell r="H1094">
            <v>34000000</v>
          </cell>
          <cell r="I1094" t="str">
            <v/>
          </cell>
          <cell r="J1094" t="str">
            <v/>
          </cell>
          <cell r="K1094" t="str">
            <v/>
          </cell>
          <cell r="L1094" t="str">
            <v/>
          </cell>
        </row>
        <row r="1095">
          <cell r="A1095">
            <v>34000000</v>
          </cell>
          <cell r="C1095">
            <v>34000000</v>
          </cell>
          <cell r="D1095">
            <v>34000000</v>
          </cell>
          <cell r="E1095">
            <v>34000000</v>
          </cell>
          <cell r="F1095">
            <v>34000000</v>
          </cell>
          <cell r="G1095">
            <v>34000000</v>
          </cell>
          <cell r="H1095">
            <v>34000000</v>
          </cell>
          <cell r="I1095" t="str">
            <v/>
          </cell>
          <cell r="J1095" t="str">
            <v/>
          </cell>
          <cell r="K1095" t="str">
            <v/>
          </cell>
          <cell r="L1095" t="str">
            <v/>
          </cell>
        </row>
        <row r="1096">
          <cell r="A1096">
            <v>34000000</v>
          </cell>
          <cell r="C1096">
            <v>34000000</v>
          </cell>
          <cell r="D1096">
            <v>34000000</v>
          </cell>
          <cell r="E1096">
            <v>34000000</v>
          </cell>
          <cell r="F1096">
            <v>34000000</v>
          </cell>
          <cell r="G1096">
            <v>34000000</v>
          </cell>
          <cell r="H1096">
            <v>34000000</v>
          </cell>
          <cell r="I1096" t="str">
            <v/>
          </cell>
          <cell r="J1096" t="str">
            <v/>
          </cell>
          <cell r="K1096" t="str">
            <v/>
          </cell>
          <cell r="L1096" t="str">
            <v/>
          </cell>
        </row>
        <row r="1097">
          <cell r="A1097">
            <v>34000000</v>
          </cell>
          <cell r="C1097">
            <v>34000000</v>
          </cell>
          <cell r="D1097">
            <v>34000000</v>
          </cell>
          <cell r="E1097">
            <v>34000000</v>
          </cell>
          <cell r="F1097">
            <v>34000000</v>
          </cell>
          <cell r="G1097">
            <v>34000000</v>
          </cell>
          <cell r="H1097">
            <v>34000000</v>
          </cell>
          <cell r="I1097" t="str">
            <v/>
          </cell>
          <cell r="J1097" t="str">
            <v/>
          </cell>
          <cell r="K1097" t="str">
            <v/>
          </cell>
          <cell r="L1097" t="str">
            <v/>
          </cell>
        </row>
        <row r="1098">
          <cell r="A1098">
            <v>34000000</v>
          </cell>
          <cell r="C1098">
            <v>34000000</v>
          </cell>
          <cell r="D1098">
            <v>34000000</v>
          </cell>
          <cell r="E1098">
            <v>34000000</v>
          </cell>
          <cell r="F1098">
            <v>34000000</v>
          </cell>
          <cell r="G1098">
            <v>34000000</v>
          </cell>
          <cell r="H1098">
            <v>34000000</v>
          </cell>
          <cell r="I1098" t="str">
            <v/>
          </cell>
          <cell r="J1098" t="str">
            <v/>
          </cell>
          <cell r="K1098" t="str">
            <v/>
          </cell>
          <cell r="L1098" t="str">
            <v/>
          </cell>
        </row>
        <row r="1099">
          <cell r="A1099">
            <v>34000000</v>
          </cell>
          <cell r="C1099">
            <v>34000000</v>
          </cell>
          <cell r="D1099">
            <v>34000000</v>
          </cell>
          <cell r="E1099">
            <v>34000000</v>
          </cell>
          <cell r="F1099">
            <v>34000000</v>
          </cell>
          <cell r="G1099">
            <v>34000000</v>
          </cell>
          <cell r="H1099">
            <v>34000000</v>
          </cell>
          <cell r="I1099" t="str">
            <v/>
          </cell>
          <cell r="J1099" t="str">
            <v/>
          </cell>
          <cell r="K1099" t="str">
            <v/>
          </cell>
          <cell r="L1099" t="str">
            <v/>
          </cell>
        </row>
        <row r="1100">
          <cell r="A1100">
            <v>34000000</v>
          </cell>
          <cell r="C1100">
            <v>34000000</v>
          </cell>
          <cell r="D1100">
            <v>34000000</v>
          </cell>
          <cell r="E1100">
            <v>34000000</v>
          </cell>
          <cell r="F1100">
            <v>34000000</v>
          </cell>
          <cell r="G1100">
            <v>34000000</v>
          </cell>
          <cell r="H1100">
            <v>34000000</v>
          </cell>
          <cell r="I1100" t="str">
            <v/>
          </cell>
          <cell r="J1100" t="str">
            <v/>
          </cell>
          <cell r="K1100" t="str">
            <v/>
          </cell>
          <cell r="L1100" t="str">
            <v/>
          </cell>
        </row>
        <row r="1101">
          <cell r="A1101">
            <v>34000000</v>
          </cell>
          <cell r="C1101">
            <v>34000000</v>
          </cell>
          <cell r="D1101">
            <v>34000000</v>
          </cell>
          <cell r="E1101">
            <v>34000000</v>
          </cell>
          <cell r="F1101">
            <v>34000000</v>
          </cell>
          <cell r="G1101">
            <v>34000000</v>
          </cell>
          <cell r="H1101">
            <v>34000000</v>
          </cell>
          <cell r="I1101" t="str">
            <v/>
          </cell>
          <cell r="J1101" t="str">
            <v/>
          </cell>
          <cell r="K1101" t="str">
            <v/>
          </cell>
          <cell r="L1101" t="str">
            <v/>
          </cell>
        </row>
        <row r="1102">
          <cell r="A1102">
            <v>34000000</v>
          </cell>
          <cell r="C1102">
            <v>34000000</v>
          </cell>
          <cell r="D1102">
            <v>34000000</v>
          </cell>
          <cell r="E1102">
            <v>34000000</v>
          </cell>
          <cell r="F1102">
            <v>34000000</v>
          </cell>
          <cell r="G1102">
            <v>34000000</v>
          </cell>
          <cell r="H1102">
            <v>34000000</v>
          </cell>
          <cell r="I1102" t="str">
            <v/>
          </cell>
          <cell r="J1102" t="str">
            <v/>
          </cell>
          <cell r="K1102" t="str">
            <v/>
          </cell>
          <cell r="L1102" t="str">
            <v/>
          </cell>
        </row>
        <row r="1103">
          <cell r="A1103">
            <v>34000000</v>
          </cell>
          <cell r="C1103">
            <v>34000000</v>
          </cell>
          <cell r="D1103">
            <v>34000000</v>
          </cell>
          <cell r="E1103">
            <v>34000000</v>
          </cell>
          <cell r="F1103">
            <v>34000000</v>
          </cell>
          <cell r="G1103">
            <v>34000000</v>
          </cell>
          <cell r="H1103">
            <v>34000000</v>
          </cell>
          <cell r="I1103" t="str">
            <v/>
          </cell>
          <cell r="J1103" t="str">
            <v/>
          </cell>
          <cell r="K1103" t="str">
            <v/>
          </cell>
          <cell r="L1103" t="str">
            <v/>
          </cell>
        </row>
        <row r="1104">
          <cell r="A1104">
            <v>34000000</v>
          </cell>
          <cell r="C1104">
            <v>34000000</v>
          </cell>
          <cell r="D1104">
            <v>34000000</v>
          </cell>
          <cell r="E1104">
            <v>34000000</v>
          </cell>
          <cell r="F1104">
            <v>34000000</v>
          </cell>
          <cell r="G1104">
            <v>34000000</v>
          </cell>
          <cell r="H1104">
            <v>34000000</v>
          </cell>
          <cell r="I1104" t="str">
            <v/>
          </cell>
          <cell r="J1104" t="str">
            <v/>
          </cell>
          <cell r="K1104" t="str">
            <v/>
          </cell>
          <cell r="L1104" t="str">
            <v/>
          </cell>
        </row>
        <row r="1105">
          <cell r="A1105">
            <v>34000000</v>
          </cell>
          <cell r="C1105">
            <v>34000000</v>
          </cell>
          <cell r="D1105">
            <v>34000000</v>
          </cell>
          <cell r="E1105">
            <v>34000000</v>
          </cell>
          <cell r="F1105">
            <v>34000000</v>
          </cell>
          <cell r="G1105">
            <v>34000000</v>
          </cell>
          <cell r="H1105">
            <v>34000000</v>
          </cell>
          <cell r="I1105" t="str">
            <v/>
          </cell>
          <cell r="J1105" t="str">
            <v/>
          </cell>
          <cell r="K1105" t="str">
            <v/>
          </cell>
          <cell r="L1105" t="str">
            <v/>
          </cell>
        </row>
        <row r="1106">
          <cell r="A1106">
            <v>34000000</v>
          </cell>
          <cell r="C1106">
            <v>34000000</v>
          </cell>
          <cell r="D1106">
            <v>34000000</v>
          </cell>
          <cell r="E1106">
            <v>34000000</v>
          </cell>
          <cell r="F1106">
            <v>34000000</v>
          </cell>
          <cell r="G1106">
            <v>34000000</v>
          </cell>
          <cell r="H1106">
            <v>34000000</v>
          </cell>
          <cell r="I1106" t="str">
            <v/>
          </cell>
          <cell r="J1106" t="str">
            <v/>
          </cell>
          <cell r="K1106" t="str">
            <v/>
          </cell>
          <cell r="L1106" t="str">
            <v/>
          </cell>
        </row>
        <row r="1107">
          <cell r="A1107">
            <v>34000000</v>
          </cell>
          <cell r="C1107">
            <v>34000000</v>
          </cell>
          <cell r="D1107">
            <v>34000000</v>
          </cell>
          <cell r="E1107">
            <v>34000000</v>
          </cell>
          <cell r="F1107">
            <v>34000000</v>
          </cell>
          <cell r="G1107">
            <v>34000000</v>
          </cell>
          <cell r="H1107">
            <v>34000000</v>
          </cell>
          <cell r="I1107" t="str">
            <v/>
          </cell>
          <cell r="J1107" t="str">
            <v/>
          </cell>
          <cell r="K1107" t="str">
            <v/>
          </cell>
          <cell r="L1107" t="str">
            <v/>
          </cell>
        </row>
        <row r="1108">
          <cell r="A1108">
            <v>34000000</v>
          </cell>
          <cell r="C1108">
            <v>34000000</v>
          </cell>
          <cell r="D1108">
            <v>34000000</v>
          </cell>
          <cell r="E1108">
            <v>34000000</v>
          </cell>
          <cell r="F1108">
            <v>34000000</v>
          </cell>
          <cell r="G1108">
            <v>34000000</v>
          </cell>
          <cell r="H1108">
            <v>34000000</v>
          </cell>
          <cell r="I1108" t="str">
            <v/>
          </cell>
          <cell r="J1108" t="str">
            <v/>
          </cell>
          <cell r="K1108" t="str">
            <v/>
          </cell>
          <cell r="L1108" t="str">
            <v/>
          </cell>
        </row>
        <row r="1109">
          <cell r="A1109">
            <v>34000000</v>
          </cell>
          <cell r="C1109">
            <v>34000000</v>
          </cell>
          <cell r="D1109">
            <v>34000000</v>
          </cell>
          <cell r="E1109">
            <v>34000000</v>
          </cell>
          <cell r="F1109">
            <v>34000000</v>
          </cell>
          <cell r="G1109">
            <v>34000000</v>
          </cell>
          <cell r="H1109">
            <v>34000000</v>
          </cell>
          <cell r="I1109" t="str">
            <v/>
          </cell>
          <cell r="J1109" t="str">
            <v/>
          </cell>
          <cell r="K1109" t="str">
            <v/>
          </cell>
          <cell r="L1109" t="str">
            <v/>
          </cell>
        </row>
        <row r="1110">
          <cell r="A1110">
            <v>34000000</v>
          </cell>
          <cell r="C1110">
            <v>34000000</v>
          </cell>
          <cell r="D1110">
            <v>34000000</v>
          </cell>
          <cell r="E1110">
            <v>34000000</v>
          </cell>
          <cell r="F1110">
            <v>34000000</v>
          </cell>
          <cell r="G1110">
            <v>34000000</v>
          </cell>
          <cell r="H1110">
            <v>34000000</v>
          </cell>
          <cell r="I1110" t="str">
            <v/>
          </cell>
          <cell r="J1110" t="str">
            <v/>
          </cell>
          <cell r="K1110" t="str">
            <v/>
          </cell>
          <cell r="L1110" t="str">
            <v/>
          </cell>
        </row>
        <row r="1111">
          <cell r="A1111">
            <v>34000000</v>
          </cell>
          <cell r="C1111">
            <v>34000000</v>
          </cell>
          <cell r="D1111">
            <v>34000000</v>
          </cell>
          <cell r="E1111">
            <v>34000000</v>
          </cell>
          <cell r="F1111">
            <v>34000000</v>
          </cell>
          <cell r="G1111">
            <v>34000000</v>
          </cell>
          <cell r="H1111">
            <v>34000000</v>
          </cell>
          <cell r="I1111" t="str">
            <v/>
          </cell>
          <cell r="J1111" t="str">
            <v/>
          </cell>
          <cell r="K1111" t="str">
            <v/>
          </cell>
          <cell r="L1111" t="str">
            <v/>
          </cell>
        </row>
        <row r="1112">
          <cell r="A1112">
            <v>34000000</v>
          </cell>
          <cell r="C1112">
            <v>34000000</v>
          </cell>
          <cell r="D1112">
            <v>34000000</v>
          </cell>
          <cell r="E1112">
            <v>34000000</v>
          </cell>
          <cell r="F1112">
            <v>34000000</v>
          </cell>
          <cell r="G1112">
            <v>34000000</v>
          </cell>
          <cell r="H1112">
            <v>34000000</v>
          </cell>
          <cell r="I1112" t="str">
            <v/>
          </cell>
          <cell r="J1112" t="str">
            <v/>
          </cell>
          <cell r="K1112" t="str">
            <v/>
          </cell>
          <cell r="L1112" t="str">
            <v/>
          </cell>
        </row>
        <row r="1113">
          <cell r="A1113">
            <v>34000000</v>
          </cell>
          <cell r="C1113">
            <v>34000000</v>
          </cell>
          <cell r="D1113">
            <v>34000000</v>
          </cell>
          <cell r="E1113">
            <v>34000000</v>
          </cell>
          <cell r="F1113">
            <v>34000000</v>
          </cell>
          <cell r="G1113">
            <v>34000000</v>
          </cell>
          <cell r="H1113">
            <v>34000000</v>
          </cell>
          <cell r="I1113" t="str">
            <v/>
          </cell>
          <cell r="J1113" t="str">
            <v/>
          </cell>
          <cell r="K1113" t="str">
            <v/>
          </cell>
          <cell r="L1113" t="str">
            <v/>
          </cell>
        </row>
        <row r="1114">
          <cell r="A1114">
            <v>34000000</v>
          </cell>
          <cell r="C1114">
            <v>34000000</v>
          </cell>
          <cell r="D1114">
            <v>34000000</v>
          </cell>
          <cell r="E1114">
            <v>34000000</v>
          </cell>
          <cell r="F1114">
            <v>34000000</v>
          </cell>
          <cell r="G1114">
            <v>34000000</v>
          </cell>
          <cell r="H1114">
            <v>34000000</v>
          </cell>
          <cell r="I1114" t="str">
            <v/>
          </cell>
          <cell r="J1114" t="str">
            <v/>
          </cell>
          <cell r="K1114" t="str">
            <v/>
          </cell>
          <cell r="L1114" t="str">
            <v/>
          </cell>
        </row>
        <row r="1115">
          <cell r="A1115">
            <v>34000000</v>
          </cell>
          <cell r="C1115">
            <v>34000000</v>
          </cell>
          <cell r="D1115">
            <v>34000000</v>
          </cell>
          <cell r="E1115">
            <v>34000000</v>
          </cell>
          <cell r="F1115">
            <v>34000000</v>
          </cell>
          <cell r="G1115">
            <v>34000000</v>
          </cell>
          <cell r="H1115">
            <v>34000000</v>
          </cell>
          <cell r="I1115" t="str">
            <v/>
          </cell>
          <cell r="J1115" t="str">
            <v/>
          </cell>
          <cell r="K1115" t="str">
            <v/>
          </cell>
          <cell r="L1115" t="str">
            <v/>
          </cell>
        </row>
        <row r="1116">
          <cell r="A1116">
            <v>34000000</v>
          </cell>
          <cell r="C1116">
            <v>34000000</v>
          </cell>
          <cell r="D1116">
            <v>34000000</v>
          </cell>
          <cell r="E1116">
            <v>34000000</v>
          </cell>
          <cell r="F1116">
            <v>34000000</v>
          </cell>
          <cell r="G1116">
            <v>34000000</v>
          </cell>
          <cell r="H1116">
            <v>34000000</v>
          </cell>
          <cell r="I1116" t="str">
            <v/>
          </cell>
          <cell r="J1116" t="str">
            <v/>
          </cell>
          <cell r="K1116" t="str">
            <v/>
          </cell>
          <cell r="L1116" t="str">
            <v/>
          </cell>
        </row>
        <row r="1117">
          <cell r="A1117">
            <v>34000000</v>
          </cell>
          <cell r="C1117">
            <v>34000000</v>
          </cell>
          <cell r="D1117">
            <v>34000000</v>
          </cell>
          <cell r="E1117">
            <v>34000000</v>
          </cell>
          <cell r="F1117">
            <v>34000000</v>
          </cell>
          <cell r="G1117">
            <v>34000000</v>
          </cell>
          <cell r="H1117">
            <v>34000000</v>
          </cell>
          <cell r="I1117" t="str">
            <v/>
          </cell>
          <cell r="J1117" t="str">
            <v/>
          </cell>
          <cell r="K1117" t="str">
            <v/>
          </cell>
          <cell r="L1117" t="str">
            <v/>
          </cell>
        </row>
        <row r="1118">
          <cell r="A1118">
            <v>34000000</v>
          </cell>
          <cell r="C1118">
            <v>34000000</v>
          </cell>
          <cell r="D1118">
            <v>34000000</v>
          </cell>
          <cell r="E1118">
            <v>34000000</v>
          </cell>
          <cell r="F1118">
            <v>34000000</v>
          </cell>
          <cell r="G1118">
            <v>34000000</v>
          </cell>
          <cell r="H1118">
            <v>34000000</v>
          </cell>
          <cell r="I1118" t="str">
            <v/>
          </cell>
          <cell r="J1118" t="str">
            <v/>
          </cell>
          <cell r="K1118" t="str">
            <v/>
          </cell>
          <cell r="L1118" t="str">
            <v/>
          </cell>
        </row>
        <row r="1119">
          <cell r="A1119">
            <v>34000000</v>
          </cell>
          <cell r="C1119">
            <v>34000000</v>
          </cell>
          <cell r="D1119">
            <v>34000000</v>
          </cell>
          <cell r="E1119">
            <v>34000000</v>
          </cell>
          <cell r="F1119">
            <v>34000000</v>
          </cell>
          <cell r="G1119">
            <v>34000000</v>
          </cell>
          <cell r="H1119">
            <v>34000000</v>
          </cell>
          <cell r="I1119" t="str">
            <v/>
          </cell>
          <cell r="J1119" t="str">
            <v/>
          </cell>
          <cell r="K1119" t="str">
            <v/>
          </cell>
          <cell r="L1119" t="str">
            <v/>
          </cell>
        </row>
        <row r="1120">
          <cell r="A1120">
            <v>34000000</v>
          </cell>
          <cell r="C1120">
            <v>34000000</v>
          </cell>
          <cell r="D1120">
            <v>34000000</v>
          </cell>
          <cell r="E1120">
            <v>34000000</v>
          </cell>
          <cell r="F1120">
            <v>34000000</v>
          </cell>
          <cell r="G1120">
            <v>34000000</v>
          </cell>
          <cell r="H1120">
            <v>34000000</v>
          </cell>
          <cell r="I1120" t="str">
            <v/>
          </cell>
          <cell r="J1120" t="str">
            <v/>
          </cell>
          <cell r="K1120" t="str">
            <v/>
          </cell>
          <cell r="L1120" t="str">
            <v/>
          </cell>
        </row>
        <row r="1121">
          <cell r="A1121">
            <v>34000000</v>
          </cell>
          <cell r="C1121">
            <v>34000000</v>
          </cell>
          <cell r="D1121">
            <v>34000000</v>
          </cell>
          <cell r="E1121">
            <v>34000000</v>
          </cell>
          <cell r="F1121">
            <v>34000000</v>
          </cell>
          <cell r="G1121">
            <v>34000000</v>
          </cell>
          <cell r="H1121">
            <v>34000000</v>
          </cell>
          <cell r="I1121" t="str">
            <v/>
          </cell>
          <cell r="J1121" t="str">
            <v/>
          </cell>
          <cell r="K1121" t="str">
            <v/>
          </cell>
          <cell r="L1121" t="str">
            <v/>
          </cell>
        </row>
        <row r="1122">
          <cell r="A1122">
            <v>34000000</v>
          </cell>
          <cell r="C1122">
            <v>34000000</v>
          </cell>
          <cell r="D1122">
            <v>34000000</v>
          </cell>
          <cell r="E1122">
            <v>34000000</v>
          </cell>
          <cell r="F1122">
            <v>34000000</v>
          </cell>
          <cell r="G1122">
            <v>34000000</v>
          </cell>
          <cell r="H1122">
            <v>34000000</v>
          </cell>
          <cell r="I1122" t="str">
            <v/>
          </cell>
          <cell r="J1122" t="str">
            <v/>
          </cell>
          <cell r="K1122" t="str">
            <v/>
          </cell>
          <cell r="L1122" t="str">
            <v/>
          </cell>
        </row>
        <row r="1123">
          <cell r="A1123">
            <v>34000000</v>
          </cell>
          <cell r="C1123">
            <v>34000000</v>
          </cell>
          <cell r="D1123">
            <v>34000000</v>
          </cell>
          <cell r="E1123">
            <v>34000000</v>
          </cell>
          <cell r="F1123">
            <v>34000000</v>
          </cell>
          <cell r="G1123">
            <v>34000000</v>
          </cell>
          <cell r="H1123">
            <v>34000000</v>
          </cell>
          <cell r="I1123" t="str">
            <v/>
          </cell>
          <cell r="J1123" t="str">
            <v/>
          </cell>
          <cell r="K1123" t="str">
            <v/>
          </cell>
          <cell r="L1123" t="str">
            <v/>
          </cell>
        </row>
        <row r="1124">
          <cell r="A1124">
            <v>34000000</v>
          </cell>
          <cell r="C1124">
            <v>34000000</v>
          </cell>
          <cell r="D1124">
            <v>34000000</v>
          </cell>
          <cell r="E1124">
            <v>34000000</v>
          </cell>
          <cell r="F1124">
            <v>34000000</v>
          </cell>
          <cell r="G1124">
            <v>34000000</v>
          </cell>
          <cell r="H1124">
            <v>34000000</v>
          </cell>
          <cell r="I1124" t="str">
            <v/>
          </cell>
          <cell r="J1124" t="str">
            <v/>
          </cell>
          <cell r="K1124" t="str">
            <v/>
          </cell>
          <cell r="L1124" t="str">
            <v/>
          </cell>
        </row>
        <row r="1125">
          <cell r="A1125">
            <v>34000000</v>
          </cell>
          <cell r="C1125">
            <v>34000000</v>
          </cell>
          <cell r="D1125">
            <v>34000000</v>
          </cell>
          <cell r="E1125">
            <v>34000000</v>
          </cell>
          <cell r="F1125">
            <v>34000000</v>
          </cell>
          <cell r="G1125">
            <v>34000000</v>
          </cell>
          <cell r="H1125">
            <v>34000000</v>
          </cell>
          <cell r="I1125" t="str">
            <v/>
          </cell>
          <cell r="J1125" t="str">
            <v/>
          </cell>
          <cell r="K1125" t="str">
            <v/>
          </cell>
          <cell r="L1125" t="str">
            <v/>
          </cell>
        </row>
        <row r="1126">
          <cell r="A1126">
            <v>34000000</v>
          </cell>
          <cell r="C1126">
            <v>34000000</v>
          </cell>
          <cell r="D1126">
            <v>34000000</v>
          </cell>
          <cell r="E1126">
            <v>34000000</v>
          </cell>
          <cell r="F1126">
            <v>34000000</v>
          </cell>
          <cell r="G1126">
            <v>34000000</v>
          </cell>
          <cell r="H1126">
            <v>34000000</v>
          </cell>
          <cell r="I1126" t="str">
            <v/>
          </cell>
          <cell r="J1126" t="str">
            <v/>
          </cell>
          <cell r="K1126" t="str">
            <v/>
          </cell>
          <cell r="L1126" t="str">
            <v/>
          </cell>
        </row>
        <row r="1127">
          <cell r="A1127">
            <v>34000000</v>
          </cell>
          <cell r="C1127">
            <v>34000000</v>
          </cell>
          <cell r="D1127">
            <v>34000000</v>
          </cell>
          <cell r="E1127">
            <v>34000000</v>
          </cell>
          <cell r="F1127">
            <v>34000000</v>
          </cell>
          <cell r="G1127">
            <v>34000000</v>
          </cell>
          <cell r="H1127">
            <v>34000000</v>
          </cell>
          <cell r="I1127" t="str">
            <v/>
          </cell>
          <cell r="J1127" t="str">
            <v/>
          </cell>
          <cell r="K1127" t="str">
            <v/>
          </cell>
          <cell r="L1127" t="str">
            <v/>
          </cell>
        </row>
        <row r="1128">
          <cell r="A1128">
            <v>34000000</v>
          </cell>
          <cell r="C1128">
            <v>34000000</v>
          </cell>
          <cell r="D1128">
            <v>34000000</v>
          </cell>
          <cell r="E1128">
            <v>34000000</v>
          </cell>
          <cell r="F1128">
            <v>34000000</v>
          </cell>
          <cell r="G1128">
            <v>34000000</v>
          </cell>
          <cell r="H1128">
            <v>34000000</v>
          </cell>
          <cell r="I1128" t="str">
            <v/>
          </cell>
          <cell r="J1128" t="str">
            <v/>
          </cell>
          <cell r="K1128" t="str">
            <v/>
          </cell>
          <cell r="L1128" t="str">
            <v/>
          </cell>
        </row>
        <row r="1129">
          <cell r="A1129">
            <v>34000000</v>
          </cell>
          <cell r="C1129">
            <v>34000000</v>
          </cell>
          <cell r="D1129">
            <v>34000000</v>
          </cell>
          <cell r="E1129">
            <v>34000000</v>
          </cell>
          <cell r="F1129">
            <v>34000000</v>
          </cell>
          <cell r="G1129">
            <v>34000000</v>
          </cell>
          <cell r="H1129">
            <v>34000000</v>
          </cell>
          <cell r="I1129" t="str">
            <v/>
          </cell>
          <cell r="J1129" t="str">
            <v/>
          </cell>
          <cell r="K1129" t="str">
            <v/>
          </cell>
          <cell r="L1129" t="str">
            <v/>
          </cell>
        </row>
        <row r="1130">
          <cell r="A1130">
            <v>34000000</v>
          </cell>
          <cell r="C1130">
            <v>34000000</v>
          </cell>
          <cell r="D1130">
            <v>34000000</v>
          </cell>
          <cell r="E1130">
            <v>34000000</v>
          </cell>
          <cell r="F1130">
            <v>34000000</v>
          </cell>
          <cell r="G1130">
            <v>34000000</v>
          </cell>
          <cell r="H1130">
            <v>34000000</v>
          </cell>
          <cell r="I1130" t="str">
            <v/>
          </cell>
          <cell r="J1130" t="str">
            <v/>
          </cell>
          <cell r="K1130" t="str">
            <v/>
          </cell>
          <cell r="L1130" t="str">
            <v/>
          </cell>
        </row>
        <row r="1131">
          <cell r="A1131">
            <v>34000000</v>
          </cell>
          <cell r="C1131">
            <v>34000000</v>
          </cell>
          <cell r="D1131">
            <v>34000000</v>
          </cell>
          <cell r="E1131">
            <v>34000000</v>
          </cell>
          <cell r="F1131">
            <v>34000000</v>
          </cell>
          <cell r="G1131">
            <v>34000000</v>
          </cell>
          <cell r="H1131">
            <v>34000000</v>
          </cell>
          <cell r="I1131" t="str">
            <v/>
          </cell>
          <cell r="J1131" t="str">
            <v/>
          </cell>
          <cell r="K1131" t="str">
            <v/>
          </cell>
          <cell r="L1131" t="str">
            <v/>
          </cell>
        </row>
        <row r="1132">
          <cell r="A1132">
            <v>34000000</v>
          </cell>
          <cell r="C1132">
            <v>34000000</v>
          </cell>
          <cell r="D1132">
            <v>34000000</v>
          </cell>
          <cell r="E1132">
            <v>34000000</v>
          </cell>
          <cell r="F1132">
            <v>34000000</v>
          </cell>
          <cell r="G1132">
            <v>34000000</v>
          </cell>
          <cell r="H1132">
            <v>34000000</v>
          </cell>
          <cell r="I1132" t="str">
            <v/>
          </cell>
          <cell r="J1132" t="str">
            <v/>
          </cell>
          <cell r="K1132" t="str">
            <v/>
          </cell>
          <cell r="L1132" t="str">
            <v/>
          </cell>
        </row>
        <row r="1133">
          <cell r="A1133">
            <v>34000000</v>
          </cell>
          <cell r="C1133">
            <v>34000000</v>
          </cell>
          <cell r="D1133">
            <v>34000000</v>
          </cell>
          <cell r="E1133">
            <v>34000000</v>
          </cell>
          <cell r="F1133">
            <v>34000000</v>
          </cell>
          <cell r="G1133">
            <v>34000000</v>
          </cell>
          <cell r="H1133">
            <v>34000000</v>
          </cell>
          <cell r="I1133" t="str">
            <v/>
          </cell>
          <cell r="J1133" t="str">
            <v/>
          </cell>
          <cell r="K1133" t="str">
            <v/>
          </cell>
          <cell r="L1133" t="str">
            <v/>
          </cell>
        </row>
        <row r="1134">
          <cell r="A1134">
            <v>34000000</v>
          </cell>
          <cell r="C1134">
            <v>34000000</v>
          </cell>
          <cell r="D1134">
            <v>34000000</v>
          </cell>
          <cell r="E1134">
            <v>34000000</v>
          </cell>
          <cell r="F1134">
            <v>34000000</v>
          </cell>
          <cell r="G1134">
            <v>34000000</v>
          </cell>
          <cell r="H1134">
            <v>34000000</v>
          </cell>
          <cell r="I1134" t="str">
            <v/>
          </cell>
          <cell r="J1134" t="str">
            <v/>
          </cell>
          <cell r="K1134" t="str">
            <v/>
          </cell>
          <cell r="L1134" t="str">
            <v/>
          </cell>
        </row>
        <row r="1135">
          <cell r="A1135">
            <v>34000000</v>
          </cell>
          <cell r="C1135">
            <v>34000000</v>
          </cell>
          <cell r="D1135">
            <v>34000000</v>
          </cell>
          <cell r="E1135">
            <v>34000000</v>
          </cell>
          <cell r="F1135">
            <v>34000000</v>
          </cell>
          <cell r="G1135">
            <v>34000000</v>
          </cell>
          <cell r="H1135">
            <v>34000000</v>
          </cell>
          <cell r="I1135" t="str">
            <v/>
          </cell>
          <cell r="J1135" t="str">
            <v/>
          </cell>
          <cell r="K1135" t="str">
            <v/>
          </cell>
          <cell r="L1135" t="str">
            <v/>
          </cell>
        </row>
        <row r="1136">
          <cell r="A1136">
            <v>34000000</v>
          </cell>
          <cell r="C1136">
            <v>34000000</v>
          </cell>
          <cell r="D1136">
            <v>34000000</v>
          </cell>
          <cell r="E1136">
            <v>34000000</v>
          </cell>
          <cell r="F1136">
            <v>34000000</v>
          </cell>
          <cell r="G1136">
            <v>34000000</v>
          </cell>
          <cell r="H1136">
            <v>34000000</v>
          </cell>
          <cell r="I1136" t="str">
            <v/>
          </cell>
          <cell r="J1136" t="str">
            <v/>
          </cell>
          <cell r="K1136" t="str">
            <v/>
          </cell>
          <cell r="L1136" t="str">
            <v/>
          </cell>
        </row>
        <row r="1137">
          <cell r="A1137">
            <v>34000000</v>
          </cell>
          <cell r="C1137">
            <v>34000000</v>
          </cell>
          <cell r="D1137">
            <v>34000000</v>
          </cell>
          <cell r="E1137">
            <v>34000000</v>
          </cell>
          <cell r="F1137">
            <v>34000000</v>
          </cell>
          <cell r="G1137">
            <v>34000000</v>
          </cell>
          <cell r="H1137">
            <v>34000000</v>
          </cell>
          <cell r="I1137" t="str">
            <v/>
          </cell>
          <cell r="J1137" t="str">
            <v/>
          </cell>
          <cell r="K1137" t="str">
            <v/>
          </cell>
          <cell r="L1137" t="str">
            <v/>
          </cell>
        </row>
        <row r="1138">
          <cell r="A1138">
            <v>34000000</v>
          </cell>
          <cell r="C1138">
            <v>34000000</v>
          </cell>
          <cell r="D1138">
            <v>34000000</v>
          </cell>
          <cell r="E1138">
            <v>34000000</v>
          </cell>
          <cell r="F1138">
            <v>34000000</v>
          </cell>
          <cell r="G1138">
            <v>34000000</v>
          </cell>
          <cell r="H1138">
            <v>34000000</v>
          </cell>
          <cell r="I1138" t="str">
            <v/>
          </cell>
          <cell r="J1138" t="str">
            <v/>
          </cell>
          <cell r="K1138" t="str">
            <v/>
          </cell>
          <cell r="L1138" t="str">
            <v/>
          </cell>
        </row>
        <row r="1139">
          <cell r="A1139">
            <v>34000000</v>
          </cell>
          <cell r="C1139">
            <v>34000000</v>
          </cell>
          <cell r="D1139">
            <v>34000000</v>
          </cell>
          <cell r="E1139">
            <v>34000000</v>
          </cell>
          <cell r="F1139">
            <v>34000000</v>
          </cell>
          <cell r="G1139">
            <v>34000000</v>
          </cell>
          <cell r="H1139">
            <v>34000000</v>
          </cell>
          <cell r="I1139" t="str">
            <v/>
          </cell>
          <cell r="J1139" t="str">
            <v/>
          </cell>
          <cell r="K1139" t="str">
            <v/>
          </cell>
          <cell r="L1139" t="str">
            <v/>
          </cell>
        </row>
        <row r="1140">
          <cell r="A1140">
            <v>34000000</v>
          </cell>
          <cell r="C1140">
            <v>34000000</v>
          </cell>
          <cell r="D1140">
            <v>34000000</v>
          </cell>
          <cell r="E1140">
            <v>34000000</v>
          </cell>
          <cell r="F1140">
            <v>34000000</v>
          </cell>
          <cell r="G1140">
            <v>34000000</v>
          </cell>
          <cell r="H1140">
            <v>34000000</v>
          </cell>
          <cell r="I1140" t="str">
            <v/>
          </cell>
          <cell r="J1140" t="str">
            <v/>
          </cell>
          <cell r="K1140" t="str">
            <v/>
          </cell>
          <cell r="L1140" t="str">
            <v/>
          </cell>
        </row>
        <row r="1141">
          <cell r="A1141">
            <v>34000000</v>
          </cell>
          <cell r="C1141">
            <v>34000000</v>
          </cell>
          <cell r="D1141">
            <v>34000000</v>
          </cell>
          <cell r="E1141">
            <v>34000000</v>
          </cell>
          <cell r="F1141">
            <v>34000000</v>
          </cell>
          <cell r="G1141">
            <v>34000000</v>
          </cell>
          <cell r="H1141">
            <v>34000000</v>
          </cell>
          <cell r="I1141" t="str">
            <v/>
          </cell>
          <cell r="J1141" t="str">
            <v/>
          </cell>
          <cell r="K1141" t="str">
            <v/>
          </cell>
          <cell r="L1141" t="str">
            <v/>
          </cell>
        </row>
        <row r="1142">
          <cell r="A1142">
            <v>34000000</v>
          </cell>
          <cell r="C1142">
            <v>34000000</v>
          </cell>
          <cell r="D1142">
            <v>34000000</v>
          </cell>
          <cell r="E1142">
            <v>34000000</v>
          </cell>
          <cell r="F1142">
            <v>34000000</v>
          </cell>
          <cell r="G1142">
            <v>34000000</v>
          </cell>
          <cell r="H1142">
            <v>34000000</v>
          </cell>
          <cell r="I1142" t="str">
            <v/>
          </cell>
          <cell r="J1142" t="str">
            <v/>
          </cell>
          <cell r="K1142" t="str">
            <v/>
          </cell>
          <cell r="L1142" t="str">
            <v/>
          </cell>
        </row>
        <row r="1143">
          <cell r="A1143">
            <v>34000000</v>
          </cell>
          <cell r="C1143">
            <v>34000000</v>
          </cell>
          <cell r="D1143">
            <v>34000000</v>
          </cell>
          <cell r="E1143">
            <v>34000000</v>
          </cell>
          <cell r="F1143">
            <v>34000000</v>
          </cell>
          <cell r="G1143">
            <v>34000000</v>
          </cell>
          <cell r="H1143">
            <v>34000000</v>
          </cell>
          <cell r="I1143" t="str">
            <v/>
          </cell>
          <cell r="J1143" t="str">
            <v/>
          </cell>
          <cell r="K1143" t="str">
            <v/>
          </cell>
          <cell r="L1143" t="str">
            <v/>
          </cell>
        </row>
        <row r="1144">
          <cell r="A1144">
            <v>34000000</v>
          </cell>
          <cell r="C1144">
            <v>34000000</v>
          </cell>
          <cell r="D1144">
            <v>34000000</v>
          </cell>
          <cell r="E1144">
            <v>34000000</v>
          </cell>
          <cell r="F1144">
            <v>34000000</v>
          </cell>
          <cell r="G1144">
            <v>34000000</v>
          </cell>
          <cell r="H1144">
            <v>34000000</v>
          </cell>
          <cell r="I1144" t="str">
            <v/>
          </cell>
          <cell r="J1144" t="str">
            <v/>
          </cell>
          <cell r="K1144" t="str">
            <v/>
          </cell>
          <cell r="L1144" t="str">
            <v/>
          </cell>
        </row>
        <row r="1145">
          <cell r="A1145">
            <v>34000000</v>
          </cell>
          <cell r="C1145">
            <v>34000000</v>
          </cell>
          <cell r="D1145">
            <v>34000000</v>
          </cell>
          <cell r="E1145">
            <v>34000000</v>
          </cell>
          <cell r="F1145">
            <v>34000000</v>
          </cell>
          <cell r="G1145">
            <v>34000000</v>
          </cell>
          <cell r="H1145">
            <v>34000000</v>
          </cell>
          <cell r="I1145" t="str">
            <v/>
          </cell>
          <cell r="J1145" t="str">
            <v/>
          </cell>
          <cell r="K1145" t="str">
            <v/>
          </cell>
          <cell r="L1145" t="str">
            <v/>
          </cell>
        </row>
        <row r="1146">
          <cell r="A1146">
            <v>34000000</v>
          </cell>
          <cell r="C1146">
            <v>34000000</v>
          </cell>
          <cell r="D1146">
            <v>34000000</v>
          </cell>
          <cell r="E1146">
            <v>34000000</v>
          </cell>
          <cell r="F1146">
            <v>34000000</v>
          </cell>
          <cell r="G1146">
            <v>34000000</v>
          </cell>
          <cell r="H1146">
            <v>34000000</v>
          </cell>
          <cell r="I1146" t="str">
            <v/>
          </cell>
          <cell r="J1146" t="str">
            <v/>
          </cell>
          <cell r="K1146" t="str">
            <v/>
          </cell>
          <cell r="L1146" t="str">
            <v/>
          </cell>
        </row>
        <row r="1147">
          <cell r="A1147">
            <v>34000000</v>
          </cell>
          <cell r="C1147">
            <v>34000000</v>
          </cell>
          <cell r="D1147">
            <v>34000000</v>
          </cell>
          <cell r="E1147">
            <v>34000000</v>
          </cell>
          <cell r="F1147">
            <v>34000000</v>
          </cell>
          <cell r="G1147">
            <v>34000000</v>
          </cell>
          <cell r="H1147">
            <v>34000000</v>
          </cell>
          <cell r="I1147" t="str">
            <v/>
          </cell>
          <cell r="J1147" t="str">
            <v/>
          </cell>
          <cell r="K1147" t="str">
            <v/>
          </cell>
          <cell r="L1147" t="str">
            <v/>
          </cell>
        </row>
        <row r="1148">
          <cell r="A1148">
            <v>34000000</v>
          </cell>
          <cell r="C1148">
            <v>34000000</v>
          </cell>
          <cell r="D1148">
            <v>34000000</v>
          </cell>
          <cell r="E1148">
            <v>34000000</v>
          </cell>
          <cell r="F1148">
            <v>34000000</v>
          </cell>
          <cell r="G1148">
            <v>34000000</v>
          </cell>
          <cell r="H1148">
            <v>34000000</v>
          </cell>
          <cell r="I1148" t="str">
            <v/>
          </cell>
          <cell r="J1148" t="str">
            <v/>
          </cell>
          <cell r="K1148" t="str">
            <v/>
          </cell>
          <cell r="L1148" t="str">
            <v/>
          </cell>
        </row>
        <row r="1149">
          <cell r="A1149">
            <v>34000000</v>
          </cell>
          <cell r="C1149">
            <v>34000000</v>
          </cell>
          <cell r="D1149">
            <v>34000000</v>
          </cell>
          <cell r="E1149">
            <v>34000000</v>
          </cell>
          <cell r="F1149">
            <v>34000000</v>
          </cell>
          <cell r="G1149">
            <v>34000000</v>
          </cell>
          <cell r="H1149">
            <v>34000000</v>
          </cell>
          <cell r="I1149" t="str">
            <v/>
          </cell>
          <cell r="J1149" t="str">
            <v/>
          </cell>
          <cell r="K1149" t="str">
            <v/>
          </cell>
          <cell r="L1149" t="str">
            <v/>
          </cell>
        </row>
        <row r="1150">
          <cell r="A1150">
            <v>34000000</v>
          </cell>
          <cell r="C1150">
            <v>34000000</v>
          </cell>
          <cell r="D1150">
            <v>34000000</v>
          </cell>
          <cell r="E1150">
            <v>34000000</v>
          </cell>
          <cell r="F1150">
            <v>34000000</v>
          </cell>
          <cell r="G1150">
            <v>34000000</v>
          </cell>
          <cell r="H1150">
            <v>34000000</v>
          </cell>
          <cell r="I1150" t="str">
            <v/>
          </cell>
          <cell r="J1150" t="str">
            <v/>
          </cell>
          <cell r="K1150" t="str">
            <v/>
          </cell>
          <cell r="L1150" t="str">
            <v/>
          </cell>
        </row>
        <row r="1151">
          <cell r="A1151">
            <v>34000000</v>
          </cell>
          <cell r="C1151">
            <v>34000000</v>
          </cell>
          <cell r="D1151">
            <v>34000000</v>
          </cell>
          <cell r="E1151">
            <v>34000000</v>
          </cell>
          <cell r="F1151">
            <v>34000000</v>
          </cell>
          <cell r="G1151">
            <v>34000000</v>
          </cell>
          <cell r="H1151">
            <v>34000000</v>
          </cell>
          <cell r="I1151" t="str">
            <v/>
          </cell>
          <cell r="J1151" t="str">
            <v/>
          </cell>
          <cell r="K1151" t="str">
            <v/>
          </cell>
          <cell r="L1151" t="str">
            <v/>
          </cell>
        </row>
        <row r="1152">
          <cell r="A1152">
            <v>34000000</v>
          </cell>
          <cell r="C1152">
            <v>34000000</v>
          </cell>
          <cell r="D1152">
            <v>34000000</v>
          </cell>
          <cell r="E1152">
            <v>34000000</v>
          </cell>
          <cell r="F1152">
            <v>34000000</v>
          </cell>
          <cell r="G1152">
            <v>34000000</v>
          </cell>
          <cell r="H1152">
            <v>34000000</v>
          </cell>
          <cell r="I1152" t="str">
            <v/>
          </cell>
          <cell r="J1152" t="str">
            <v/>
          </cell>
          <cell r="K1152" t="str">
            <v/>
          </cell>
          <cell r="L1152" t="str">
            <v/>
          </cell>
        </row>
        <row r="1153">
          <cell r="A1153">
            <v>34000000</v>
          </cell>
          <cell r="C1153">
            <v>34000000</v>
          </cell>
          <cell r="D1153">
            <v>34000000</v>
          </cell>
          <cell r="E1153">
            <v>34000000</v>
          </cell>
          <cell r="F1153">
            <v>34000000</v>
          </cell>
          <cell r="G1153">
            <v>34000000</v>
          </cell>
          <cell r="H1153">
            <v>34000000</v>
          </cell>
          <cell r="I1153" t="str">
            <v/>
          </cell>
          <cell r="J1153" t="str">
            <v/>
          </cell>
          <cell r="K1153" t="str">
            <v/>
          </cell>
          <cell r="L1153" t="str">
            <v/>
          </cell>
        </row>
        <row r="1154">
          <cell r="A1154">
            <v>34000000</v>
          </cell>
          <cell r="C1154">
            <v>34000000</v>
          </cell>
          <cell r="D1154">
            <v>34000000</v>
          </cell>
          <cell r="E1154">
            <v>34000000</v>
          </cell>
          <cell r="F1154">
            <v>34000000</v>
          </cell>
          <cell r="G1154">
            <v>34000000</v>
          </cell>
          <cell r="H1154">
            <v>34000000</v>
          </cell>
          <cell r="I1154" t="str">
            <v/>
          </cell>
          <cell r="J1154" t="str">
            <v/>
          </cell>
          <cell r="K1154" t="str">
            <v/>
          </cell>
          <cell r="L1154" t="str">
            <v/>
          </cell>
        </row>
        <row r="1155">
          <cell r="A1155">
            <v>34000000</v>
          </cell>
          <cell r="C1155">
            <v>34000000</v>
          </cell>
          <cell r="D1155">
            <v>34000000</v>
          </cell>
          <cell r="E1155">
            <v>34000000</v>
          </cell>
          <cell r="F1155">
            <v>34000000</v>
          </cell>
          <cell r="G1155">
            <v>34000000</v>
          </cell>
          <cell r="H1155">
            <v>34000000</v>
          </cell>
          <cell r="I1155" t="str">
            <v/>
          </cell>
          <cell r="J1155" t="str">
            <v/>
          </cell>
          <cell r="K1155" t="str">
            <v/>
          </cell>
          <cell r="L1155" t="str">
            <v/>
          </cell>
        </row>
        <row r="1156">
          <cell r="A1156">
            <v>34000000</v>
          </cell>
          <cell r="C1156">
            <v>34000000</v>
          </cell>
          <cell r="D1156">
            <v>34000000</v>
          </cell>
          <cell r="E1156">
            <v>34000000</v>
          </cell>
          <cell r="F1156">
            <v>34000000</v>
          </cell>
          <cell r="G1156">
            <v>34000000</v>
          </cell>
          <cell r="H1156">
            <v>34000000</v>
          </cell>
          <cell r="I1156" t="str">
            <v/>
          </cell>
          <cell r="J1156" t="str">
            <v/>
          </cell>
          <cell r="K1156" t="str">
            <v/>
          </cell>
          <cell r="L1156" t="str">
            <v/>
          </cell>
        </row>
        <row r="1157">
          <cell r="A1157">
            <v>34000000</v>
          </cell>
          <cell r="C1157">
            <v>34000000</v>
          </cell>
          <cell r="D1157">
            <v>34000000</v>
          </cell>
          <cell r="E1157">
            <v>34000000</v>
          </cell>
          <cell r="F1157">
            <v>34000000</v>
          </cell>
          <cell r="G1157">
            <v>34000000</v>
          </cell>
          <cell r="H1157">
            <v>34000000</v>
          </cell>
          <cell r="I1157" t="str">
            <v/>
          </cell>
          <cell r="J1157" t="str">
            <v/>
          </cell>
          <cell r="K1157" t="str">
            <v/>
          </cell>
          <cell r="L1157" t="str">
            <v/>
          </cell>
        </row>
        <row r="1158">
          <cell r="A1158">
            <v>34000000</v>
          </cell>
          <cell r="C1158">
            <v>34000000</v>
          </cell>
          <cell r="D1158">
            <v>34000000</v>
          </cell>
          <cell r="E1158">
            <v>34000000</v>
          </cell>
          <cell r="F1158">
            <v>34000000</v>
          </cell>
          <cell r="G1158">
            <v>34000000</v>
          </cell>
          <cell r="H1158">
            <v>34000000</v>
          </cell>
          <cell r="I1158" t="str">
            <v/>
          </cell>
          <cell r="J1158" t="str">
            <v/>
          </cell>
          <cell r="K1158" t="str">
            <v/>
          </cell>
          <cell r="L1158" t="str">
            <v/>
          </cell>
        </row>
        <row r="1159">
          <cell r="A1159">
            <v>34000000</v>
          </cell>
          <cell r="C1159">
            <v>34000000</v>
          </cell>
          <cell r="D1159">
            <v>34000000</v>
          </cell>
          <cell r="E1159">
            <v>34000000</v>
          </cell>
          <cell r="F1159">
            <v>34000000</v>
          </cell>
          <cell r="G1159">
            <v>34000000</v>
          </cell>
          <cell r="H1159">
            <v>34000000</v>
          </cell>
          <cell r="I1159" t="str">
            <v/>
          </cell>
          <cell r="J1159" t="str">
            <v/>
          </cell>
          <cell r="K1159" t="str">
            <v/>
          </cell>
          <cell r="L1159" t="str">
            <v/>
          </cell>
        </row>
        <row r="1160">
          <cell r="A1160">
            <v>34000000</v>
          </cell>
          <cell r="C1160">
            <v>34000000</v>
          </cell>
          <cell r="D1160">
            <v>34000000</v>
          </cell>
          <cell r="E1160">
            <v>34000000</v>
          </cell>
          <cell r="F1160">
            <v>34000000</v>
          </cell>
          <cell r="G1160">
            <v>34000000</v>
          </cell>
          <cell r="H1160">
            <v>34000000</v>
          </cell>
          <cell r="I1160" t="str">
            <v/>
          </cell>
          <cell r="J1160" t="str">
            <v/>
          </cell>
          <cell r="K1160" t="str">
            <v/>
          </cell>
          <cell r="L1160" t="str">
            <v/>
          </cell>
        </row>
        <row r="1161">
          <cell r="A1161">
            <v>34000000</v>
          </cell>
          <cell r="C1161">
            <v>34000000</v>
          </cell>
          <cell r="D1161">
            <v>34000000</v>
          </cell>
          <cell r="E1161">
            <v>34000000</v>
          </cell>
          <cell r="F1161">
            <v>34000000</v>
          </cell>
          <cell r="G1161">
            <v>34000000</v>
          </cell>
          <cell r="H1161">
            <v>34000000</v>
          </cell>
          <cell r="I1161" t="str">
            <v/>
          </cell>
          <cell r="J1161" t="str">
            <v/>
          </cell>
          <cell r="K1161" t="str">
            <v/>
          </cell>
          <cell r="L1161" t="str">
            <v/>
          </cell>
        </row>
        <row r="1162">
          <cell r="A1162">
            <v>34000000</v>
          </cell>
          <cell r="C1162">
            <v>34000000</v>
          </cell>
          <cell r="D1162">
            <v>34000000</v>
          </cell>
          <cell r="E1162">
            <v>34000000</v>
          </cell>
          <cell r="F1162">
            <v>34000000</v>
          </cell>
          <cell r="G1162">
            <v>34000000</v>
          </cell>
          <cell r="H1162">
            <v>34000000</v>
          </cell>
          <cell r="I1162" t="str">
            <v/>
          </cell>
          <cell r="J1162" t="str">
            <v/>
          </cell>
          <cell r="K1162" t="str">
            <v/>
          </cell>
          <cell r="L1162" t="str">
            <v/>
          </cell>
        </row>
        <row r="1163">
          <cell r="A1163">
            <v>34000000</v>
          </cell>
          <cell r="C1163">
            <v>34000000</v>
          </cell>
          <cell r="D1163">
            <v>34000000</v>
          </cell>
          <cell r="E1163">
            <v>34000000</v>
          </cell>
          <cell r="F1163">
            <v>34000000</v>
          </cell>
          <cell r="G1163">
            <v>34000000</v>
          </cell>
          <cell r="H1163">
            <v>34000000</v>
          </cell>
          <cell r="I1163" t="str">
            <v/>
          </cell>
          <cell r="J1163" t="str">
            <v/>
          </cell>
          <cell r="K1163" t="str">
            <v/>
          </cell>
          <cell r="L1163" t="str">
            <v/>
          </cell>
        </row>
        <row r="1164">
          <cell r="A1164">
            <v>34000000</v>
          </cell>
          <cell r="C1164">
            <v>34000000</v>
          </cell>
          <cell r="D1164">
            <v>34000000</v>
          </cell>
          <cell r="E1164">
            <v>34000000</v>
          </cell>
          <cell r="F1164">
            <v>34000000</v>
          </cell>
          <cell r="G1164">
            <v>34000000</v>
          </cell>
          <cell r="H1164">
            <v>34000000</v>
          </cell>
          <cell r="I1164" t="str">
            <v/>
          </cell>
          <cell r="J1164" t="str">
            <v/>
          </cell>
          <cell r="K1164" t="str">
            <v/>
          </cell>
          <cell r="L1164" t="str">
            <v/>
          </cell>
        </row>
        <row r="1165">
          <cell r="A1165">
            <v>34000000</v>
          </cell>
          <cell r="C1165">
            <v>34000000</v>
          </cell>
          <cell r="D1165">
            <v>34000000</v>
          </cell>
          <cell r="E1165">
            <v>34000000</v>
          </cell>
          <cell r="F1165">
            <v>34000000</v>
          </cell>
          <cell r="G1165">
            <v>34000000</v>
          </cell>
          <cell r="H1165">
            <v>34000000</v>
          </cell>
          <cell r="I1165" t="str">
            <v/>
          </cell>
          <cell r="J1165" t="str">
            <v/>
          </cell>
          <cell r="K1165" t="str">
            <v/>
          </cell>
          <cell r="L1165" t="str">
            <v/>
          </cell>
        </row>
        <row r="1166">
          <cell r="A1166">
            <v>34000000</v>
          </cell>
          <cell r="C1166">
            <v>34000000</v>
          </cell>
          <cell r="D1166">
            <v>34000000</v>
          </cell>
          <cell r="E1166">
            <v>34000000</v>
          </cell>
          <cell r="F1166">
            <v>34000000</v>
          </cell>
          <cell r="G1166">
            <v>34000000</v>
          </cell>
          <cell r="H1166">
            <v>34000000</v>
          </cell>
          <cell r="I1166" t="str">
            <v/>
          </cell>
          <cell r="J1166" t="str">
            <v/>
          </cell>
          <cell r="K1166" t="str">
            <v/>
          </cell>
          <cell r="L1166" t="str">
            <v/>
          </cell>
        </row>
        <row r="1167">
          <cell r="A1167">
            <v>34000000</v>
          </cell>
          <cell r="C1167">
            <v>34000000</v>
          </cell>
          <cell r="D1167">
            <v>34000000</v>
          </cell>
          <cell r="E1167">
            <v>34000000</v>
          </cell>
          <cell r="F1167">
            <v>34000000</v>
          </cell>
          <cell r="G1167">
            <v>34000000</v>
          </cell>
          <cell r="H1167">
            <v>34000000</v>
          </cell>
          <cell r="I1167" t="str">
            <v/>
          </cell>
          <cell r="J1167" t="str">
            <v/>
          </cell>
          <cell r="K1167" t="str">
            <v/>
          </cell>
          <cell r="L1167" t="str">
            <v/>
          </cell>
        </row>
        <row r="1168">
          <cell r="A1168">
            <v>34000000</v>
          </cell>
          <cell r="C1168">
            <v>34000000</v>
          </cell>
          <cell r="D1168">
            <v>34000000</v>
          </cell>
          <cell r="E1168">
            <v>34000000</v>
          </cell>
          <cell r="F1168">
            <v>34000000</v>
          </cell>
          <cell r="G1168">
            <v>34000000</v>
          </cell>
          <cell r="H1168">
            <v>34000000</v>
          </cell>
          <cell r="I1168" t="str">
            <v/>
          </cell>
          <cell r="J1168" t="str">
            <v/>
          </cell>
          <cell r="K1168" t="str">
            <v/>
          </cell>
          <cell r="L1168" t="str">
            <v/>
          </cell>
        </row>
        <row r="1169">
          <cell r="A1169">
            <v>34000000</v>
          </cell>
          <cell r="C1169">
            <v>34000000</v>
          </cell>
          <cell r="D1169">
            <v>34000000</v>
          </cell>
          <cell r="E1169">
            <v>34000000</v>
          </cell>
          <cell r="F1169">
            <v>34000000</v>
          </cell>
          <cell r="G1169">
            <v>34000000</v>
          </cell>
          <cell r="H1169">
            <v>34000000</v>
          </cell>
          <cell r="I1169" t="str">
            <v/>
          </cell>
          <cell r="J1169" t="str">
            <v/>
          </cell>
          <cell r="K1169" t="str">
            <v/>
          </cell>
          <cell r="L1169" t="str">
            <v/>
          </cell>
        </row>
        <row r="1170">
          <cell r="A1170">
            <v>34000000</v>
          </cell>
          <cell r="C1170">
            <v>34000000</v>
          </cell>
          <cell r="D1170">
            <v>34000000</v>
          </cell>
          <cell r="E1170">
            <v>34000000</v>
          </cell>
          <cell r="F1170">
            <v>34000000</v>
          </cell>
          <cell r="G1170">
            <v>34000000</v>
          </cell>
          <cell r="H1170">
            <v>34000000</v>
          </cell>
          <cell r="I1170" t="str">
            <v/>
          </cell>
          <cell r="J1170" t="str">
            <v/>
          </cell>
          <cell r="K1170" t="str">
            <v/>
          </cell>
          <cell r="L1170" t="str">
            <v/>
          </cell>
        </row>
        <row r="1171">
          <cell r="A1171">
            <v>34000000</v>
          </cell>
          <cell r="C1171">
            <v>34000000</v>
          </cell>
          <cell r="D1171">
            <v>34000000</v>
          </cell>
          <cell r="E1171">
            <v>34000000</v>
          </cell>
          <cell r="F1171">
            <v>34000000</v>
          </cell>
          <cell r="G1171">
            <v>34000000</v>
          </cell>
          <cell r="H1171">
            <v>34000000</v>
          </cell>
          <cell r="I1171" t="str">
            <v/>
          </cell>
          <cell r="J1171" t="str">
            <v/>
          </cell>
          <cell r="K1171" t="str">
            <v/>
          </cell>
          <cell r="L1171" t="str">
            <v/>
          </cell>
        </row>
        <row r="1172">
          <cell r="A1172">
            <v>34000000</v>
          </cell>
          <cell r="C1172">
            <v>34000000</v>
          </cell>
          <cell r="D1172">
            <v>34000000</v>
          </cell>
          <cell r="E1172">
            <v>34000000</v>
          </cell>
          <cell r="F1172">
            <v>34000000</v>
          </cell>
          <cell r="G1172">
            <v>34000000</v>
          </cell>
          <cell r="H1172">
            <v>34000000</v>
          </cell>
          <cell r="I1172" t="str">
            <v/>
          </cell>
          <cell r="J1172" t="str">
            <v/>
          </cell>
          <cell r="K1172" t="str">
            <v/>
          </cell>
          <cell r="L1172" t="str">
            <v/>
          </cell>
        </row>
        <row r="1173">
          <cell r="A1173">
            <v>34000000</v>
          </cell>
          <cell r="C1173">
            <v>34000000</v>
          </cell>
          <cell r="D1173">
            <v>34000000</v>
          </cell>
          <cell r="E1173">
            <v>34000000</v>
          </cell>
          <cell r="F1173">
            <v>34000000</v>
          </cell>
          <cell r="G1173">
            <v>34000000</v>
          </cell>
          <cell r="H1173">
            <v>34000000</v>
          </cell>
          <cell r="I1173" t="str">
            <v/>
          </cell>
          <cell r="J1173" t="str">
            <v/>
          </cell>
          <cell r="K1173" t="str">
            <v/>
          </cell>
          <cell r="L1173" t="str">
            <v/>
          </cell>
        </row>
        <row r="1174">
          <cell r="A1174">
            <v>34000000</v>
          </cell>
          <cell r="C1174">
            <v>34000000</v>
          </cell>
          <cell r="D1174">
            <v>34000000</v>
          </cell>
          <cell r="E1174">
            <v>34000000</v>
          </cell>
          <cell r="F1174">
            <v>34000000</v>
          </cell>
          <cell r="G1174">
            <v>34000000</v>
          </cell>
          <cell r="H1174">
            <v>34000000</v>
          </cell>
          <cell r="I1174" t="str">
            <v/>
          </cell>
          <cell r="J1174" t="str">
            <v/>
          </cell>
          <cell r="K1174" t="str">
            <v/>
          </cell>
          <cell r="L1174" t="str">
            <v/>
          </cell>
        </row>
        <row r="1175">
          <cell r="A1175">
            <v>34000000</v>
          </cell>
          <cell r="C1175">
            <v>34000000</v>
          </cell>
          <cell r="D1175">
            <v>34000000</v>
          </cell>
          <cell r="E1175">
            <v>34000000</v>
          </cell>
          <cell r="F1175">
            <v>34000000</v>
          </cell>
          <cell r="G1175">
            <v>34000000</v>
          </cell>
          <cell r="H1175">
            <v>34000000</v>
          </cell>
          <cell r="I1175" t="str">
            <v/>
          </cell>
          <cell r="J1175" t="str">
            <v/>
          </cell>
          <cell r="K1175" t="str">
            <v/>
          </cell>
          <cell r="L1175" t="str">
            <v/>
          </cell>
        </row>
        <row r="1176">
          <cell r="A1176">
            <v>34000000</v>
          </cell>
          <cell r="C1176">
            <v>34000000</v>
          </cell>
          <cell r="D1176">
            <v>34000000</v>
          </cell>
          <cell r="E1176">
            <v>34000000</v>
          </cell>
          <cell r="F1176">
            <v>34000000</v>
          </cell>
          <cell r="G1176">
            <v>34000000</v>
          </cell>
          <cell r="H1176">
            <v>34000000</v>
          </cell>
          <cell r="I1176" t="str">
            <v/>
          </cell>
          <cell r="J1176" t="str">
            <v/>
          </cell>
          <cell r="K1176" t="str">
            <v/>
          </cell>
          <cell r="L1176" t="str">
            <v/>
          </cell>
        </row>
        <row r="1177">
          <cell r="A1177">
            <v>34000000</v>
          </cell>
          <cell r="C1177">
            <v>34000000</v>
          </cell>
          <cell r="D1177">
            <v>34000000</v>
          </cell>
          <cell r="E1177">
            <v>34000000</v>
          </cell>
          <cell r="F1177">
            <v>34000000</v>
          </cell>
          <cell r="G1177">
            <v>34000000</v>
          </cell>
          <cell r="H1177">
            <v>34000000</v>
          </cell>
          <cell r="I1177" t="str">
            <v/>
          </cell>
          <cell r="J1177" t="str">
            <v/>
          </cell>
          <cell r="K1177" t="str">
            <v/>
          </cell>
          <cell r="L1177" t="str">
            <v/>
          </cell>
        </row>
        <row r="1178">
          <cell r="A1178">
            <v>34000000</v>
          </cell>
          <cell r="C1178">
            <v>34000000</v>
          </cell>
          <cell r="D1178">
            <v>34000000</v>
          </cell>
          <cell r="E1178">
            <v>34000000</v>
          </cell>
          <cell r="F1178">
            <v>34000000</v>
          </cell>
          <cell r="G1178">
            <v>34000000</v>
          </cell>
          <cell r="H1178">
            <v>34000000</v>
          </cell>
          <cell r="I1178" t="str">
            <v/>
          </cell>
          <cell r="J1178" t="str">
            <v/>
          </cell>
          <cell r="K1178" t="str">
            <v/>
          </cell>
          <cell r="L1178" t="str">
            <v/>
          </cell>
        </row>
        <row r="1179">
          <cell r="A1179">
            <v>34000000</v>
          </cell>
          <cell r="C1179">
            <v>34000000</v>
          </cell>
          <cell r="D1179">
            <v>34000000</v>
          </cell>
          <cell r="E1179">
            <v>34000000</v>
          </cell>
          <cell r="F1179">
            <v>34000000</v>
          </cell>
          <cell r="G1179">
            <v>34000000</v>
          </cell>
          <cell r="H1179">
            <v>34000000</v>
          </cell>
          <cell r="I1179" t="str">
            <v/>
          </cell>
          <cell r="J1179" t="str">
            <v/>
          </cell>
          <cell r="K1179" t="str">
            <v/>
          </cell>
          <cell r="L1179" t="str">
            <v/>
          </cell>
        </row>
        <row r="1180">
          <cell r="A1180">
            <v>34000000</v>
          </cell>
          <cell r="C1180">
            <v>34000000</v>
          </cell>
          <cell r="D1180">
            <v>34000000</v>
          </cell>
          <cell r="E1180">
            <v>34000000</v>
          </cell>
          <cell r="F1180">
            <v>34000000</v>
          </cell>
          <cell r="G1180">
            <v>34000000</v>
          </cell>
          <cell r="H1180">
            <v>34000000</v>
          </cell>
          <cell r="I1180" t="str">
            <v/>
          </cell>
          <cell r="J1180" t="str">
            <v/>
          </cell>
          <cell r="K1180" t="str">
            <v/>
          </cell>
          <cell r="L1180" t="str">
            <v/>
          </cell>
        </row>
        <row r="1181">
          <cell r="A1181">
            <v>34000000</v>
          </cell>
          <cell r="C1181">
            <v>34000000</v>
          </cell>
          <cell r="D1181">
            <v>34000000</v>
          </cell>
          <cell r="E1181">
            <v>34000000</v>
          </cell>
          <cell r="F1181">
            <v>34000000</v>
          </cell>
          <cell r="G1181">
            <v>34000000</v>
          </cell>
          <cell r="H1181">
            <v>34000000</v>
          </cell>
          <cell r="I1181" t="str">
            <v/>
          </cell>
          <cell r="J1181" t="str">
            <v/>
          </cell>
          <cell r="K1181" t="str">
            <v/>
          </cell>
          <cell r="L1181" t="str">
            <v/>
          </cell>
        </row>
        <row r="1182">
          <cell r="A1182">
            <v>34000000</v>
          </cell>
          <cell r="C1182">
            <v>34000000</v>
          </cell>
          <cell r="D1182">
            <v>34000000</v>
          </cell>
          <cell r="E1182">
            <v>34000000</v>
          </cell>
          <cell r="F1182">
            <v>34000000</v>
          </cell>
          <cell r="G1182">
            <v>34000000</v>
          </cell>
          <cell r="H1182">
            <v>34000000</v>
          </cell>
          <cell r="I1182" t="str">
            <v/>
          </cell>
          <cell r="J1182" t="str">
            <v/>
          </cell>
          <cell r="K1182" t="str">
            <v/>
          </cell>
          <cell r="L1182" t="str">
            <v/>
          </cell>
        </row>
        <row r="1183">
          <cell r="A1183">
            <v>34000000</v>
          </cell>
          <cell r="C1183">
            <v>34000000</v>
          </cell>
          <cell r="D1183">
            <v>34000000</v>
          </cell>
          <cell r="E1183">
            <v>34000000</v>
          </cell>
          <cell r="F1183">
            <v>34000000</v>
          </cell>
          <cell r="G1183">
            <v>34000000</v>
          </cell>
          <cell r="H1183">
            <v>34000000</v>
          </cell>
          <cell r="I1183" t="str">
            <v/>
          </cell>
          <cell r="J1183" t="str">
            <v/>
          </cell>
          <cell r="K1183" t="str">
            <v/>
          </cell>
          <cell r="L1183" t="str">
            <v/>
          </cell>
        </row>
        <row r="1184">
          <cell r="A1184">
            <v>34000000</v>
          </cell>
          <cell r="C1184">
            <v>34000000</v>
          </cell>
          <cell r="D1184">
            <v>34000000</v>
          </cell>
          <cell r="E1184">
            <v>34000000</v>
          </cell>
          <cell r="F1184">
            <v>34000000</v>
          </cell>
          <cell r="G1184">
            <v>34000000</v>
          </cell>
          <cell r="H1184">
            <v>34000000</v>
          </cell>
          <cell r="I1184" t="str">
            <v/>
          </cell>
          <cell r="J1184" t="str">
            <v/>
          </cell>
          <cell r="K1184" t="str">
            <v/>
          </cell>
          <cell r="L1184" t="str">
            <v/>
          </cell>
        </row>
        <row r="1185">
          <cell r="A1185">
            <v>34000000</v>
          </cell>
          <cell r="C1185">
            <v>34000000</v>
          </cell>
          <cell r="D1185">
            <v>34000000</v>
          </cell>
          <cell r="E1185">
            <v>34000000</v>
          </cell>
          <cell r="F1185">
            <v>34000000</v>
          </cell>
          <cell r="G1185">
            <v>34000000</v>
          </cell>
          <cell r="H1185">
            <v>34000000</v>
          </cell>
          <cell r="I1185" t="str">
            <v/>
          </cell>
          <cell r="J1185" t="str">
            <v/>
          </cell>
          <cell r="K1185" t="str">
            <v/>
          </cell>
          <cell r="L1185" t="str">
            <v/>
          </cell>
        </row>
        <row r="1186">
          <cell r="A1186">
            <v>34000000</v>
          </cell>
          <cell r="C1186">
            <v>34000000</v>
          </cell>
          <cell r="D1186">
            <v>34000000</v>
          </cell>
          <cell r="E1186">
            <v>34000000</v>
          </cell>
          <cell r="F1186">
            <v>34000000</v>
          </cell>
          <cell r="G1186">
            <v>34000000</v>
          </cell>
          <cell r="H1186">
            <v>34000000</v>
          </cell>
          <cell r="I1186" t="str">
            <v/>
          </cell>
          <cell r="J1186" t="str">
            <v/>
          </cell>
          <cell r="K1186" t="str">
            <v/>
          </cell>
          <cell r="L1186" t="str">
            <v/>
          </cell>
        </row>
        <row r="1187">
          <cell r="A1187">
            <v>34000000</v>
          </cell>
          <cell r="C1187">
            <v>34000000</v>
          </cell>
          <cell r="D1187">
            <v>34000000</v>
          </cell>
          <cell r="E1187">
            <v>34000000</v>
          </cell>
          <cell r="F1187">
            <v>34000000</v>
          </cell>
          <cell r="G1187">
            <v>34000000</v>
          </cell>
          <cell r="H1187">
            <v>34000000</v>
          </cell>
          <cell r="I1187" t="str">
            <v/>
          </cell>
          <cell r="J1187" t="str">
            <v/>
          </cell>
          <cell r="K1187" t="str">
            <v/>
          </cell>
          <cell r="L1187" t="str">
            <v/>
          </cell>
        </row>
        <row r="1188">
          <cell r="A1188">
            <v>34000000</v>
          </cell>
          <cell r="C1188">
            <v>34000000</v>
          </cell>
          <cell r="D1188">
            <v>34000000</v>
          </cell>
          <cell r="E1188">
            <v>34000000</v>
          </cell>
          <cell r="F1188">
            <v>34000000</v>
          </cell>
          <cell r="G1188">
            <v>34000000</v>
          </cell>
          <cell r="H1188">
            <v>34000000</v>
          </cell>
          <cell r="I1188" t="str">
            <v/>
          </cell>
          <cell r="J1188" t="str">
            <v/>
          </cell>
          <cell r="K1188" t="str">
            <v/>
          </cell>
          <cell r="L1188" t="str">
            <v/>
          </cell>
        </row>
        <row r="1189">
          <cell r="A1189">
            <v>34000000</v>
          </cell>
          <cell r="C1189">
            <v>34000000</v>
          </cell>
          <cell r="D1189">
            <v>34000000</v>
          </cell>
          <cell r="E1189">
            <v>34000000</v>
          </cell>
          <cell r="F1189">
            <v>34000000</v>
          </cell>
          <cell r="G1189">
            <v>34000000</v>
          </cell>
          <cell r="H1189">
            <v>34000000</v>
          </cell>
          <cell r="I1189" t="str">
            <v/>
          </cell>
          <cell r="J1189" t="str">
            <v/>
          </cell>
          <cell r="K1189" t="str">
            <v/>
          </cell>
          <cell r="L1189" t="str">
            <v/>
          </cell>
        </row>
        <row r="1190">
          <cell r="A1190">
            <v>34000000</v>
          </cell>
          <cell r="C1190">
            <v>34000000</v>
          </cell>
          <cell r="D1190">
            <v>34000000</v>
          </cell>
          <cell r="E1190">
            <v>34000000</v>
          </cell>
          <cell r="F1190">
            <v>34000000</v>
          </cell>
          <cell r="G1190">
            <v>34000000</v>
          </cell>
          <cell r="H1190">
            <v>34000000</v>
          </cell>
          <cell r="I1190" t="str">
            <v/>
          </cell>
          <cell r="J1190" t="str">
            <v/>
          </cell>
          <cell r="K1190" t="str">
            <v/>
          </cell>
          <cell r="L1190" t="str">
            <v/>
          </cell>
        </row>
        <row r="1191">
          <cell r="A1191">
            <v>34000000</v>
          </cell>
          <cell r="C1191">
            <v>34000000</v>
          </cell>
          <cell r="D1191">
            <v>34000000</v>
          </cell>
          <cell r="E1191">
            <v>34000000</v>
          </cell>
          <cell r="F1191">
            <v>34000000</v>
          </cell>
          <cell r="G1191">
            <v>34000000</v>
          </cell>
          <cell r="H1191">
            <v>34000000</v>
          </cell>
          <cell r="I1191" t="str">
            <v/>
          </cell>
          <cell r="J1191" t="str">
            <v/>
          </cell>
          <cell r="K1191" t="str">
            <v/>
          </cell>
          <cell r="L1191" t="str">
            <v/>
          </cell>
        </row>
        <row r="1192">
          <cell r="A1192">
            <v>34000000</v>
          </cell>
          <cell r="C1192">
            <v>34000000</v>
          </cell>
          <cell r="D1192">
            <v>34000000</v>
          </cell>
          <cell r="E1192">
            <v>34000000</v>
          </cell>
          <cell r="F1192">
            <v>34000000</v>
          </cell>
          <cell r="G1192">
            <v>34000000</v>
          </cell>
          <cell r="H1192">
            <v>34000000</v>
          </cell>
          <cell r="I1192" t="str">
            <v/>
          </cell>
          <cell r="J1192" t="str">
            <v/>
          </cell>
          <cell r="K1192" t="str">
            <v/>
          </cell>
          <cell r="L1192" t="str">
            <v/>
          </cell>
        </row>
        <row r="1193">
          <cell r="A1193">
            <v>34000000</v>
          </cell>
          <cell r="C1193">
            <v>34000000</v>
          </cell>
          <cell r="D1193">
            <v>34000000</v>
          </cell>
          <cell r="E1193">
            <v>34000000</v>
          </cell>
          <cell r="F1193">
            <v>34000000</v>
          </cell>
          <cell r="G1193">
            <v>34000000</v>
          </cell>
          <cell r="H1193">
            <v>34000000</v>
          </cell>
          <cell r="I1193" t="str">
            <v/>
          </cell>
          <cell r="J1193" t="str">
            <v/>
          </cell>
          <cell r="K1193" t="str">
            <v/>
          </cell>
          <cell r="L1193" t="str">
            <v/>
          </cell>
        </row>
        <row r="1194">
          <cell r="A1194">
            <v>34000000</v>
          </cell>
          <cell r="C1194">
            <v>34000000</v>
          </cell>
          <cell r="D1194">
            <v>34000000</v>
          </cell>
          <cell r="E1194">
            <v>34000000</v>
          </cell>
          <cell r="F1194">
            <v>34000000</v>
          </cell>
          <cell r="G1194">
            <v>34000000</v>
          </cell>
          <cell r="H1194">
            <v>34000000</v>
          </cell>
          <cell r="I1194" t="str">
            <v/>
          </cell>
          <cell r="J1194" t="str">
            <v/>
          </cell>
          <cell r="K1194" t="str">
            <v/>
          </cell>
          <cell r="L1194" t="str">
            <v/>
          </cell>
        </row>
        <row r="1195">
          <cell r="A1195">
            <v>34000000</v>
          </cell>
          <cell r="C1195">
            <v>34000000</v>
          </cell>
          <cell r="D1195">
            <v>34000000</v>
          </cell>
          <cell r="E1195">
            <v>34000000</v>
          </cell>
          <cell r="F1195">
            <v>34000000</v>
          </cell>
          <cell r="G1195">
            <v>34000000</v>
          </cell>
          <cell r="H1195">
            <v>34000000</v>
          </cell>
          <cell r="I1195" t="str">
            <v/>
          </cell>
          <cell r="J1195" t="str">
            <v/>
          </cell>
          <cell r="K1195" t="str">
            <v/>
          </cell>
          <cell r="L1195" t="str">
            <v/>
          </cell>
        </row>
        <row r="1196">
          <cell r="A1196">
            <v>34000000</v>
          </cell>
          <cell r="C1196">
            <v>34000000</v>
          </cell>
          <cell r="D1196">
            <v>34000000</v>
          </cell>
          <cell r="E1196">
            <v>34000000</v>
          </cell>
          <cell r="F1196">
            <v>34000000</v>
          </cell>
          <cell r="G1196">
            <v>34000000</v>
          </cell>
          <cell r="H1196">
            <v>34000000</v>
          </cell>
          <cell r="I1196" t="str">
            <v/>
          </cell>
          <cell r="J1196" t="str">
            <v/>
          </cell>
          <cell r="K1196" t="str">
            <v/>
          </cell>
          <cell r="L1196" t="str">
            <v/>
          </cell>
        </row>
        <row r="1197">
          <cell r="A1197">
            <v>34000000</v>
          </cell>
          <cell r="C1197">
            <v>34000000</v>
          </cell>
          <cell r="D1197">
            <v>34000000</v>
          </cell>
          <cell r="E1197">
            <v>34000000</v>
          </cell>
          <cell r="F1197">
            <v>34000000</v>
          </cell>
          <cell r="G1197">
            <v>34000000</v>
          </cell>
          <cell r="H1197">
            <v>34000000</v>
          </cell>
          <cell r="I1197" t="str">
            <v/>
          </cell>
          <cell r="J1197" t="str">
            <v/>
          </cell>
          <cell r="K1197" t="str">
            <v/>
          </cell>
          <cell r="L1197" t="str">
            <v/>
          </cell>
        </row>
        <row r="1198">
          <cell r="A1198">
            <v>34000000</v>
          </cell>
          <cell r="C1198">
            <v>34000000</v>
          </cell>
          <cell r="D1198">
            <v>34000000</v>
          </cell>
          <cell r="E1198">
            <v>34000000</v>
          </cell>
          <cell r="F1198">
            <v>34000000</v>
          </cell>
          <cell r="G1198">
            <v>34000000</v>
          </cell>
          <cell r="H1198">
            <v>34000000</v>
          </cell>
          <cell r="I1198" t="str">
            <v/>
          </cell>
          <cell r="J1198" t="str">
            <v/>
          </cell>
          <cell r="K1198" t="str">
            <v/>
          </cell>
          <cell r="L1198" t="str">
            <v/>
          </cell>
        </row>
        <row r="1199">
          <cell r="A1199">
            <v>34000000</v>
          </cell>
          <cell r="C1199">
            <v>34000000</v>
          </cell>
          <cell r="D1199">
            <v>34000000</v>
          </cell>
          <cell r="E1199">
            <v>34000000</v>
          </cell>
          <cell r="F1199">
            <v>34000000</v>
          </cell>
          <cell r="G1199">
            <v>34000000</v>
          </cell>
          <cell r="H1199">
            <v>34000000</v>
          </cell>
          <cell r="I1199" t="str">
            <v/>
          </cell>
          <cell r="J1199" t="str">
            <v/>
          </cell>
          <cell r="K1199" t="str">
            <v/>
          </cell>
          <cell r="L1199" t="str">
            <v/>
          </cell>
        </row>
        <row r="1200">
          <cell r="A1200">
            <v>34000000</v>
          </cell>
          <cell r="C1200">
            <v>34000000</v>
          </cell>
          <cell r="D1200">
            <v>34000000</v>
          </cell>
          <cell r="E1200">
            <v>34000000</v>
          </cell>
          <cell r="F1200">
            <v>34000000</v>
          </cell>
          <cell r="G1200">
            <v>34000000</v>
          </cell>
          <cell r="H1200">
            <v>34000000</v>
          </cell>
          <cell r="I1200" t="str">
            <v/>
          </cell>
          <cell r="J1200" t="str">
            <v/>
          </cell>
          <cell r="K1200" t="str">
            <v/>
          </cell>
          <cell r="L1200" t="str">
            <v/>
          </cell>
        </row>
        <row r="1201">
          <cell r="A1201">
            <v>34000000</v>
          </cell>
          <cell r="C1201">
            <v>34000000</v>
          </cell>
          <cell r="D1201">
            <v>34000000</v>
          </cell>
          <cell r="E1201">
            <v>34000000</v>
          </cell>
          <cell r="F1201">
            <v>34000000</v>
          </cell>
          <cell r="G1201">
            <v>34000000</v>
          </cell>
          <cell r="H1201">
            <v>34000000</v>
          </cell>
          <cell r="I1201" t="str">
            <v/>
          </cell>
          <cell r="J1201" t="str">
            <v/>
          </cell>
          <cell r="K1201" t="str">
            <v/>
          </cell>
          <cell r="L1201" t="str">
            <v/>
          </cell>
        </row>
        <row r="1202">
          <cell r="A1202">
            <v>34000000</v>
          </cell>
          <cell r="C1202">
            <v>34000000</v>
          </cell>
          <cell r="D1202">
            <v>34000000</v>
          </cell>
          <cell r="E1202">
            <v>34000000</v>
          </cell>
          <cell r="F1202">
            <v>34000000</v>
          </cell>
          <cell r="G1202">
            <v>34000000</v>
          </cell>
          <cell r="H1202">
            <v>34000000</v>
          </cell>
          <cell r="I1202" t="str">
            <v/>
          </cell>
          <cell r="J1202" t="str">
            <v/>
          </cell>
          <cell r="K1202" t="str">
            <v/>
          </cell>
          <cell r="L1202" t="str">
            <v/>
          </cell>
        </row>
        <row r="1203">
          <cell r="A1203">
            <v>34000000</v>
          </cell>
          <cell r="C1203">
            <v>34000000</v>
          </cell>
          <cell r="D1203">
            <v>34000000</v>
          </cell>
          <cell r="E1203">
            <v>34000000</v>
          </cell>
          <cell r="F1203">
            <v>34000000</v>
          </cell>
          <cell r="G1203">
            <v>34000000</v>
          </cell>
          <cell r="H1203">
            <v>34000000</v>
          </cell>
          <cell r="I1203" t="str">
            <v/>
          </cell>
          <cell r="J1203" t="str">
            <v/>
          </cell>
          <cell r="K1203" t="str">
            <v/>
          </cell>
          <cell r="L1203" t="str">
            <v/>
          </cell>
        </row>
        <row r="1204">
          <cell r="A1204">
            <v>34000000</v>
          </cell>
          <cell r="C1204">
            <v>34000000</v>
          </cell>
          <cell r="D1204">
            <v>34000000</v>
          </cell>
          <cell r="E1204">
            <v>34000000</v>
          </cell>
          <cell r="F1204">
            <v>34000000</v>
          </cell>
          <cell r="G1204">
            <v>34000000</v>
          </cell>
          <cell r="H1204">
            <v>34000000</v>
          </cell>
          <cell r="I1204" t="str">
            <v/>
          </cell>
          <cell r="J1204" t="str">
            <v/>
          </cell>
          <cell r="K1204" t="str">
            <v/>
          </cell>
          <cell r="L1204" t="str">
            <v/>
          </cell>
        </row>
        <row r="1205">
          <cell r="A1205">
            <v>34000000</v>
          </cell>
          <cell r="C1205">
            <v>34000000</v>
          </cell>
          <cell r="D1205">
            <v>34000000</v>
          </cell>
          <cell r="E1205">
            <v>34000000</v>
          </cell>
          <cell r="F1205">
            <v>34000000</v>
          </cell>
          <cell r="G1205">
            <v>34000000</v>
          </cell>
          <cell r="H1205">
            <v>34000000</v>
          </cell>
          <cell r="I1205" t="str">
            <v/>
          </cell>
          <cell r="J1205" t="str">
            <v/>
          </cell>
          <cell r="K1205" t="str">
            <v/>
          </cell>
          <cell r="L1205" t="str">
            <v/>
          </cell>
        </row>
        <row r="1206">
          <cell r="A1206">
            <v>34000000</v>
          </cell>
          <cell r="C1206">
            <v>34000000</v>
          </cell>
          <cell r="D1206">
            <v>34000000</v>
          </cell>
          <cell r="E1206">
            <v>34000000</v>
          </cell>
          <cell r="F1206">
            <v>34000000</v>
          </cell>
          <cell r="G1206">
            <v>34000000</v>
          </cell>
          <cell r="H1206">
            <v>34000000</v>
          </cell>
          <cell r="I1206" t="str">
            <v/>
          </cell>
          <cell r="J1206" t="str">
            <v/>
          </cell>
          <cell r="K1206" t="str">
            <v/>
          </cell>
          <cell r="L1206" t="str">
            <v/>
          </cell>
        </row>
        <row r="1207">
          <cell r="A1207">
            <v>34000000</v>
          </cell>
          <cell r="C1207">
            <v>34000000</v>
          </cell>
          <cell r="D1207">
            <v>34000000</v>
          </cell>
          <cell r="E1207">
            <v>34000000</v>
          </cell>
          <cell r="F1207">
            <v>34000000</v>
          </cell>
          <cell r="G1207">
            <v>34000000</v>
          </cell>
          <cell r="H1207">
            <v>34000000</v>
          </cell>
          <cell r="I1207" t="str">
            <v/>
          </cell>
          <cell r="J1207" t="str">
            <v/>
          </cell>
          <cell r="K1207" t="str">
            <v/>
          </cell>
          <cell r="L1207" t="str">
            <v/>
          </cell>
        </row>
        <row r="1208">
          <cell r="A1208">
            <v>34000000</v>
          </cell>
          <cell r="C1208">
            <v>34000000</v>
          </cell>
          <cell r="D1208">
            <v>34000000</v>
          </cell>
          <cell r="E1208">
            <v>34000000</v>
          </cell>
          <cell r="F1208">
            <v>34000000</v>
          </cell>
          <cell r="G1208">
            <v>34000000</v>
          </cell>
          <cell r="H1208">
            <v>34000000</v>
          </cell>
          <cell r="I1208" t="str">
            <v/>
          </cell>
          <cell r="J1208" t="str">
            <v/>
          </cell>
          <cell r="K1208" t="str">
            <v/>
          </cell>
          <cell r="L1208" t="str">
            <v/>
          </cell>
        </row>
        <row r="1209">
          <cell r="A1209">
            <v>34000000</v>
          </cell>
          <cell r="C1209">
            <v>34000000</v>
          </cell>
          <cell r="D1209">
            <v>34000000</v>
          </cell>
          <cell r="E1209">
            <v>34000000</v>
          </cell>
          <cell r="F1209">
            <v>34000000</v>
          </cell>
          <cell r="G1209">
            <v>34000000</v>
          </cell>
          <cell r="H1209">
            <v>34000000</v>
          </cell>
          <cell r="I1209" t="str">
            <v/>
          </cell>
          <cell r="J1209" t="str">
            <v/>
          </cell>
          <cell r="K1209" t="str">
            <v/>
          </cell>
          <cell r="L1209" t="str">
            <v/>
          </cell>
        </row>
        <row r="1210">
          <cell r="A1210">
            <v>34000000</v>
          </cell>
          <cell r="C1210">
            <v>34000000</v>
          </cell>
          <cell r="D1210">
            <v>34000000</v>
          </cell>
          <cell r="E1210">
            <v>34000000</v>
          </cell>
          <cell r="F1210">
            <v>34000000</v>
          </cell>
          <cell r="G1210">
            <v>34000000</v>
          </cell>
          <cell r="H1210">
            <v>34000000</v>
          </cell>
          <cell r="I1210" t="str">
            <v/>
          </cell>
          <cell r="J1210" t="str">
            <v/>
          </cell>
          <cell r="K1210" t="str">
            <v/>
          </cell>
          <cell r="L1210" t="str">
            <v/>
          </cell>
        </row>
        <row r="1211">
          <cell r="A1211">
            <v>34000000</v>
          </cell>
          <cell r="C1211">
            <v>34000000</v>
          </cell>
          <cell r="D1211">
            <v>34000000</v>
          </cell>
          <cell r="E1211">
            <v>34000000</v>
          </cell>
          <cell r="F1211">
            <v>34000000</v>
          </cell>
          <cell r="G1211">
            <v>34000000</v>
          </cell>
          <cell r="H1211">
            <v>34000000</v>
          </cell>
          <cell r="I1211" t="str">
            <v/>
          </cell>
          <cell r="J1211" t="str">
            <v/>
          </cell>
          <cell r="K1211" t="str">
            <v/>
          </cell>
          <cell r="L1211" t="str">
            <v/>
          </cell>
        </row>
        <row r="1212">
          <cell r="A1212">
            <v>34000000</v>
          </cell>
          <cell r="C1212">
            <v>34000000</v>
          </cell>
          <cell r="D1212">
            <v>34000000</v>
          </cell>
          <cell r="E1212">
            <v>34000000</v>
          </cell>
          <cell r="F1212">
            <v>34000000</v>
          </cell>
          <cell r="G1212">
            <v>34000000</v>
          </cell>
          <cell r="H1212">
            <v>34000000</v>
          </cell>
          <cell r="I1212" t="str">
            <v/>
          </cell>
          <cell r="J1212" t="str">
            <v/>
          </cell>
          <cell r="K1212" t="str">
            <v/>
          </cell>
          <cell r="L1212" t="str">
            <v/>
          </cell>
        </row>
        <row r="1213">
          <cell r="A1213">
            <v>34000000</v>
          </cell>
          <cell r="C1213">
            <v>34000000</v>
          </cell>
          <cell r="D1213">
            <v>34000000</v>
          </cell>
          <cell r="E1213">
            <v>34000000</v>
          </cell>
          <cell r="F1213">
            <v>34000000</v>
          </cell>
          <cell r="G1213">
            <v>34000000</v>
          </cell>
          <cell r="H1213">
            <v>34000000</v>
          </cell>
          <cell r="I1213" t="str">
            <v/>
          </cell>
          <cell r="J1213" t="str">
            <v/>
          </cell>
          <cell r="K1213" t="str">
            <v/>
          </cell>
          <cell r="L1213" t="str">
            <v/>
          </cell>
        </row>
        <row r="1214">
          <cell r="A1214">
            <v>34000000</v>
          </cell>
          <cell r="C1214">
            <v>34000000</v>
          </cell>
          <cell r="D1214">
            <v>34000000</v>
          </cell>
          <cell r="E1214">
            <v>34000000</v>
          </cell>
          <cell r="F1214">
            <v>34000000</v>
          </cell>
          <cell r="G1214">
            <v>34000000</v>
          </cell>
          <cell r="H1214">
            <v>34000000</v>
          </cell>
          <cell r="I1214" t="str">
            <v/>
          </cell>
          <cell r="J1214" t="str">
            <v/>
          </cell>
          <cell r="K1214" t="str">
            <v/>
          </cell>
          <cell r="L1214" t="str">
            <v/>
          </cell>
        </row>
        <row r="1215">
          <cell r="A1215">
            <v>34000000</v>
          </cell>
          <cell r="C1215">
            <v>34000000</v>
          </cell>
          <cell r="D1215">
            <v>34000000</v>
          </cell>
          <cell r="E1215">
            <v>34000000</v>
          </cell>
          <cell r="F1215">
            <v>34000000</v>
          </cell>
          <cell r="G1215">
            <v>34000000</v>
          </cell>
          <cell r="H1215">
            <v>34000000</v>
          </cell>
          <cell r="I1215" t="str">
            <v/>
          </cell>
          <cell r="J1215" t="str">
            <v/>
          </cell>
          <cell r="K1215" t="str">
            <v/>
          </cell>
          <cell r="L1215" t="str">
            <v/>
          </cell>
        </row>
        <row r="1216">
          <cell r="A1216">
            <v>34000000</v>
          </cell>
          <cell r="C1216">
            <v>34000000</v>
          </cell>
          <cell r="D1216">
            <v>34000000</v>
          </cell>
          <cell r="E1216">
            <v>34000000</v>
          </cell>
          <cell r="F1216">
            <v>34000000</v>
          </cell>
          <cell r="G1216">
            <v>34000000</v>
          </cell>
          <cell r="H1216">
            <v>34000000</v>
          </cell>
          <cell r="I1216" t="str">
            <v/>
          </cell>
          <cell r="J1216" t="str">
            <v/>
          </cell>
          <cell r="K1216" t="str">
            <v/>
          </cell>
          <cell r="L1216" t="str">
            <v/>
          </cell>
        </row>
        <row r="1217">
          <cell r="A1217">
            <v>34000000</v>
          </cell>
          <cell r="C1217">
            <v>34000000</v>
          </cell>
          <cell r="D1217">
            <v>34000000</v>
          </cell>
          <cell r="E1217">
            <v>34000000</v>
          </cell>
          <cell r="F1217">
            <v>34000000</v>
          </cell>
          <cell r="G1217">
            <v>34000000</v>
          </cell>
          <cell r="H1217">
            <v>34000000</v>
          </cell>
          <cell r="I1217" t="str">
            <v/>
          </cell>
          <cell r="J1217" t="str">
            <v/>
          </cell>
          <cell r="K1217" t="str">
            <v/>
          </cell>
          <cell r="L1217" t="str">
            <v/>
          </cell>
        </row>
        <row r="1218">
          <cell r="A1218">
            <v>34000000</v>
          </cell>
          <cell r="C1218">
            <v>34000000</v>
          </cell>
          <cell r="D1218">
            <v>34000000</v>
          </cell>
          <cell r="E1218">
            <v>34000000</v>
          </cell>
          <cell r="F1218">
            <v>34000000</v>
          </cell>
          <cell r="G1218">
            <v>34000000</v>
          </cell>
          <cell r="H1218">
            <v>34000000</v>
          </cell>
          <cell r="I1218" t="str">
            <v/>
          </cell>
          <cell r="J1218" t="str">
            <v/>
          </cell>
          <cell r="K1218" t="str">
            <v/>
          </cell>
          <cell r="L1218" t="str">
            <v/>
          </cell>
        </row>
        <row r="1219">
          <cell r="A1219">
            <v>34000000</v>
          </cell>
          <cell r="C1219">
            <v>34000000</v>
          </cell>
          <cell r="D1219">
            <v>34000000</v>
          </cell>
          <cell r="E1219">
            <v>34000000</v>
          </cell>
          <cell r="F1219">
            <v>34000000</v>
          </cell>
          <cell r="G1219">
            <v>34000000</v>
          </cell>
          <cell r="H1219">
            <v>34000000</v>
          </cell>
          <cell r="I1219" t="str">
            <v/>
          </cell>
          <cell r="J1219" t="str">
            <v/>
          </cell>
          <cell r="K1219" t="str">
            <v/>
          </cell>
          <cell r="L1219" t="str">
            <v/>
          </cell>
        </row>
        <row r="1220">
          <cell r="A1220">
            <v>34000000</v>
          </cell>
          <cell r="C1220">
            <v>34000000</v>
          </cell>
          <cell r="D1220">
            <v>34000000</v>
          </cell>
          <cell r="E1220">
            <v>34000000</v>
          </cell>
          <cell r="F1220">
            <v>34000000</v>
          </cell>
          <cell r="G1220">
            <v>34000000</v>
          </cell>
          <cell r="H1220">
            <v>34000000</v>
          </cell>
          <cell r="I1220" t="str">
            <v/>
          </cell>
          <cell r="J1220" t="str">
            <v/>
          </cell>
          <cell r="K1220" t="str">
            <v/>
          </cell>
          <cell r="L1220" t="str">
            <v/>
          </cell>
        </row>
        <row r="1221">
          <cell r="A1221">
            <v>34000000</v>
          </cell>
          <cell r="C1221">
            <v>34000000</v>
          </cell>
          <cell r="D1221">
            <v>34000000</v>
          </cell>
          <cell r="E1221">
            <v>34000000</v>
          </cell>
          <cell r="F1221">
            <v>34000000</v>
          </cell>
          <cell r="G1221">
            <v>34000000</v>
          </cell>
          <cell r="H1221">
            <v>34000000</v>
          </cell>
          <cell r="I1221" t="str">
            <v/>
          </cell>
          <cell r="J1221" t="str">
            <v/>
          </cell>
          <cell r="K1221" t="str">
            <v/>
          </cell>
          <cell r="L1221" t="str">
            <v/>
          </cell>
        </row>
        <row r="1222">
          <cell r="A1222">
            <v>34000000</v>
          </cell>
          <cell r="C1222">
            <v>34000000</v>
          </cell>
          <cell r="D1222">
            <v>34000000</v>
          </cell>
          <cell r="E1222">
            <v>34000000</v>
          </cell>
          <cell r="F1222">
            <v>34000000</v>
          </cell>
          <cell r="G1222">
            <v>34000000</v>
          </cell>
          <cell r="H1222">
            <v>34000000</v>
          </cell>
          <cell r="I1222" t="str">
            <v/>
          </cell>
          <cell r="J1222" t="str">
            <v/>
          </cell>
          <cell r="K1222" t="str">
            <v/>
          </cell>
          <cell r="L1222" t="str">
            <v/>
          </cell>
        </row>
        <row r="1223">
          <cell r="A1223">
            <v>34000000</v>
          </cell>
          <cell r="C1223">
            <v>34000000</v>
          </cell>
          <cell r="D1223">
            <v>34000000</v>
          </cell>
          <cell r="E1223">
            <v>34000000</v>
          </cell>
          <cell r="F1223">
            <v>34000000</v>
          </cell>
          <cell r="G1223">
            <v>34000000</v>
          </cell>
          <cell r="H1223">
            <v>34000000</v>
          </cell>
          <cell r="I1223" t="str">
            <v/>
          </cell>
          <cell r="J1223" t="str">
            <v/>
          </cell>
          <cell r="K1223" t="str">
            <v/>
          </cell>
          <cell r="L1223" t="str">
            <v/>
          </cell>
        </row>
        <row r="1224">
          <cell r="A1224">
            <v>34000000</v>
          </cell>
          <cell r="C1224">
            <v>34000000</v>
          </cell>
          <cell r="D1224">
            <v>34000000</v>
          </cell>
          <cell r="E1224">
            <v>34000000</v>
          </cell>
          <cell r="F1224">
            <v>34000000</v>
          </cell>
          <cell r="G1224">
            <v>34000000</v>
          </cell>
          <cell r="H1224">
            <v>34000000</v>
          </cell>
          <cell r="I1224" t="str">
            <v/>
          </cell>
          <cell r="J1224" t="str">
            <v/>
          </cell>
          <cell r="K1224" t="str">
            <v/>
          </cell>
          <cell r="L1224" t="str">
            <v/>
          </cell>
        </row>
        <row r="1225">
          <cell r="A1225">
            <v>34000000</v>
          </cell>
          <cell r="C1225">
            <v>34000000</v>
          </cell>
          <cell r="D1225">
            <v>34000000</v>
          </cell>
          <cell r="E1225">
            <v>34000000</v>
          </cell>
          <cell r="F1225">
            <v>34000000</v>
          </cell>
          <cell r="G1225">
            <v>34000000</v>
          </cell>
          <cell r="H1225">
            <v>34000000</v>
          </cell>
          <cell r="I1225" t="str">
            <v/>
          </cell>
          <cell r="J1225" t="str">
            <v/>
          </cell>
          <cell r="K1225" t="str">
            <v/>
          </cell>
          <cell r="L1225" t="str">
            <v/>
          </cell>
        </row>
        <row r="1226">
          <cell r="A1226">
            <v>34000000</v>
          </cell>
          <cell r="C1226">
            <v>34000000</v>
          </cell>
          <cell r="D1226">
            <v>34000000</v>
          </cell>
          <cell r="E1226">
            <v>34000000</v>
          </cell>
          <cell r="F1226">
            <v>34000000</v>
          </cell>
          <cell r="G1226">
            <v>34000000</v>
          </cell>
          <cell r="H1226">
            <v>34000000</v>
          </cell>
          <cell r="I1226" t="str">
            <v/>
          </cell>
          <cell r="J1226" t="str">
            <v/>
          </cell>
          <cell r="K1226" t="str">
            <v/>
          </cell>
          <cell r="L1226" t="str">
            <v/>
          </cell>
        </row>
        <row r="1227">
          <cell r="A1227">
            <v>34000000</v>
          </cell>
          <cell r="C1227">
            <v>34000000</v>
          </cell>
          <cell r="D1227">
            <v>34000000</v>
          </cell>
          <cell r="E1227">
            <v>34000000</v>
          </cell>
          <cell r="F1227">
            <v>34000000</v>
          </cell>
          <cell r="G1227">
            <v>34000000</v>
          </cell>
          <cell r="H1227">
            <v>34000000</v>
          </cell>
          <cell r="I1227" t="str">
            <v/>
          </cell>
          <cell r="J1227" t="str">
            <v/>
          </cell>
          <cell r="K1227" t="str">
            <v/>
          </cell>
          <cell r="L1227" t="str">
            <v/>
          </cell>
        </row>
        <row r="1228">
          <cell r="A1228">
            <v>34000000</v>
          </cell>
          <cell r="C1228">
            <v>34000000</v>
          </cell>
          <cell r="D1228">
            <v>34000000</v>
          </cell>
          <cell r="E1228">
            <v>34000000</v>
          </cell>
          <cell r="F1228">
            <v>34000000</v>
          </cell>
          <cell r="G1228">
            <v>34000000</v>
          </cell>
          <cell r="H1228">
            <v>34000000</v>
          </cell>
          <cell r="I1228" t="str">
            <v/>
          </cell>
          <cell r="J1228" t="str">
            <v/>
          </cell>
          <cell r="K1228" t="str">
            <v/>
          </cell>
          <cell r="L1228" t="str">
            <v/>
          </cell>
        </row>
        <row r="1229">
          <cell r="A1229">
            <v>34000000</v>
          </cell>
          <cell r="C1229">
            <v>34000000</v>
          </cell>
          <cell r="D1229">
            <v>34000000</v>
          </cell>
          <cell r="E1229">
            <v>34000000</v>
          </cell>
          <cell r="F1229">
            <v>34000000</v>
          </cell>
          <cell r="G1229">
            <v>34000000</v>
          </cell>
          <cell r="H1229">
            <v>34000000</v>
          </cell>
          <cell r="I1229" t="str">
            <v/>
          </cell>
          <cell r="J1229" t="str">
            <v/>
          </cell>
          <cell r="K1229" t="str">
            <v/>
          </cell>
          <cell r="L1229" t="str">
            <v/>
          </cell>
        </row>
        <row r="1230">
          <cell r="A1230">
            <v>34000000</v>
          </cell>
          <cell r="C1230">
            <v>34000000</v>
          </cell>
          <cell r="D1230">
            <v>34000000</v>
          </cell>
          <cell r="E1230">
            <v>34000000</v>
          </cell>
          <cell r="F1230">
            <v>34000000</v>
          </cell>
          <cell r="G1230">
            <v>34000000</v>
          </cell>
          <cell r="H1230">
            <v>34000000</v>
          </cell>
          <cell r="I1230" t="str">
            <v/>
          </cell>
          <cell r="J1230" t="str">
            <v/>
          </cell>
          <cell r="K1230" t="str">
            <v/>
          </cell>
          <cell r="L1230" t="str">
            <v/>
          </cell>
        </row>
        <row r="1231">
          <cell r="A1231">
            <v>34000000</v>
          </cell>
          <cell r="C1231">
            <v>34000000</v>
          </cell>
          <cell r="D1231">
            <v>34000000</v>
          </cell>
          <cell r="E1231">
            <v>34000000</v>
          </cell>
          <cell r="F1231">
            <v>34000000</v>
          </cell>
          <cell r="G1231">
            <v>34000000</v>
          </cell>
          <cell r="H1231">
            <v>34000000</v>
          </cell>
          <cell r="I1231" t="str">
            <v/>
          </cell>
          <cell r="J1231" t="str">
            <v/>
          </cell>
          <cell r="K1231" t="str">
            <v/>
          </cell>
          <cell r="L1231" t="str">
            <v/>
          </cell>
        </row>
        <row r="1232">
          <cell r="A1232">
            <v>34000000</v>
          </cell>
          <cell r="C1232">
            <v>34000000</v>
          </cell>
          <cell r="D1232">
            <v>34000000</v>
          </cell>
          <cell r="E1232">
            <v>34000000</v>
          </cell>
          <cell r="F1232">
            <v>34000000</v>
          </cell>
          <cell r="G1232">
            <v>34000000</v>
          </cell>
          <cell r="H1232">
            <v>34000000</v>
          </cell>
          <cell r="I1232" t="str">
            <v/>
          </cell>
          <cell r="J1232" t="str">
            <v/>
          </cell>
          <cell r="K1232" t="str">
            <v/>
          </cell>
          <cell r="L1232" t="str">
            <v/>
          </cell>
        </row>
        <row r="1233">
          <cell r="A1233">
            <v>34000000</v>
          </cell>
          <cell r="C1233">
            <v>34000000</v>
          </cell>
          <cell r="D1233">
            <v>34000000</v>
          </cell>
          <cell r="E1233">
            <v>34000000</v>
          </cell>
          <cell r="F1233">
            <v>34000000</v>
          </cell>
          <cell r="G1233">
            <v>34000000</v>
          </cell>
          <cell r="H1233">
            <v>34000000</v>
          </cell>
          <cell r="I1233" t="str">
            <v/>
          </cell>
          <cell r="J1233" t="str">
            <v/>
          </cell>
          <cell r="K1233" t="str">
            <v/>
          </cell>
          <cell r="L1233" t="str">
            <v/>
          </cell>
        </row>
        <row r="1234">
          <cell r="A1234">
            <v>34000000</v>
          </cell>
          <cell r="C1234">
            <v>34000000</v>
          </cell>
          <cell r="D1234">
            <v>34000000</v>
          </cell>
          <cell r="E1234">
            <v>34000000</v>
          </cell>
          <cell r="F1234">
            <v>34000000</v>
          </cell>
          <cell r="G1234">
            <v>34000000</v>
          </cell>
          <cell r="H1234">
            <v>34000000</v>
          </cell>
          <cell r="I1234" t="str">
            <v/>
          </cell>
          <cell r="J1234" t="str">
            <v/>
          </cell>
          <cell r="K1234" t="str">
            <v/>
          </cell>
          <cell r="L1234" t="str">
            <v/>
          </cell>
        </row>
        <row r="1235">
          <cell r="A1235">
            <v>34000000</v>
          </cell>
          <cell r="C1235">
            <v>34000000</v>
          </cell>
          <cell r="D1235">
            <v>34000000</v>
          </cell>
          <cell r="E1235">
            <v>34000000</v>
          </cell>
          <cell r="F1235">
            <v>34000000</v>
          </cell>
          <cell r="G1235">
            <v>34000000</v>
          </cell>
          <cell r="H1235">
            <v>34000000</v>
          </cell>
          <cell r="I1235" t="str">
            <v/>
          </cell>
          <cell r="J1235" t="str">
            <v/>
          </cell>
          <cell r="K1235" t="str">
            <v/>
          </cell>
          <cell r="L1235" t="str">
            <v/>
          </cell>
        </row>
        <row r="1236">
          <cell r="A1236">
            <v>34000000</v>
          </cell>
          <cell r="C1236">
            <v>34000000</v>
          </cell>
          <cell r="D1236">
            <v>34000000</v>
          </cell>
          <cell r="E1236">
            <v>34000000</v>
          </cell>
          <cell r="F1236">
            <v>34000000</v>
          </cell>
          <cell r="G1236">
            <v>34000000</v>
          </cell>
          <cell r="H1236">
            <v>34000000</v>
          </cell>
          <cell r="I1236" t="str">
            <v/>
          </cell>
          <cell r="J1236" t="str">
            <v/>
          </cell>
          <cell r="K1236" t="str">
            <v/>
          </cell>
          <cell r="L1236" t="str">
            <v/>
          </cell>
        </row>
        <row r="1237">
          <cell r="A1237">
            <v>34000000</v>
          </cell>
          <cell r="C1237">
            <v>34000000</v>
          </cell>
          <cell r="D1237">
            <v>34000000</v>
          </cell>
          <cell r="E1237">
            <v>34000000</v>
          </cell>
          <cell r="F1237">
            <v>34000000</v>
          </cell>
          <cell r="G1237">
            <v>34000000</v>
          </cell>
          <cell r="H1237">
            <v>34000000</v>
          </cell>
          <cell r="I1237" t="str">
            <v/>
          </cell>
          <cell r="J1237" t="str">
            <v/>
          </cell>
          <cell r="K1237" t="str">
            <v/>
          </cell>
          <cell r="L1237" t="str">
            <v/>
          </cell>
        </row>
        <row r="1238">
          <cell r="A1238">
            <v>34000000</v>
          </cell>
          <cell r="C1238">
            <v>34000000</v>
          </cell>
          <cell r="D1238">
            <v>34000000</v>
          </cell>
          <cell r="E1238">
            <v>34000000</v>
          </cell>
          <cell r="F1238">
            <v>34000000</v>
          </cell>
          <cell r="G1238">
            <v>34000000</v>
          </cell>
          <cell r="H1238">
            <v>34000000</v>
          </cell>
          <cell r="I1238" t="str">
            <v/>
          </cell>
          <cell r="J1238" t="str">
            <v/>
          </cell>
          <cell r="K1238" t="str">
            <v/>
          </cell>
          <cell r="L1238" t="str">
            <v/>
          </cell>
        </row>
        <row r="1239">
          <cell r="A1239">
            <v>34000000</v>
          </cell>
          <cell r="C1239">
            <v>34000000</v>
          </cell>
          <cell r="D1239">
            <v>34000000</v>
          </cell>
          <cell r="E1239">
            <v>34000000</v>
          </cell>
          <cell r="F1239">
            <v>34000000</v>
          </cell>
          <cell r="G1239">
            <v>34000000</v>
          </cell>
          <cell r="H1239">
            <v>34000000</v>
          </cell>
          <cell r="I1239" t="str">
            <v/>
          </cell>
          <cell r="J1239" t="str">
            <v/>
          </cell>
          <cell r="K1239" t="str">
            <v/>
          </cell>
          <cell r="L1239" t="str">
            <v/>
          </cell>
        </row>
        <row r="1240">
          <cell r="A1240">
            <v>34000000</v>
          </cell>
          <cell r="C1240">
            <v>34000000</v>
          </cell>
          <cell r="D1240">
            <v>34000000</v>
          </cell>
          <cell r="E1240">
            <v>34000000</v>
          </cell>
          <cell r="F1240">
            <v>34000000</v>
          </cell>
          <cell r="G1240">
            <v>34000000</v>
          </cell>
          <cell r="H1240">
            <v>34000000</v>
          </cell>
          <cell r="I1240" t="str">
            <v/>
          </cell>
          <cell r="J1240" t="str">
            <v/>
          </cell>
          <cell r="K1240" t="str">
            <v/>
          </cell>
          <cell r="L1240" t="str">
            <v/>
          </cell>
        </row>
        <row r="1241">
          <cell r="A1241">
            <v>34000000</v>
          </cell>
          <cell r="C1241">
            <v>34000000</v>
          </cell>
          <cell r="D1241">
            <v>34000000</v>
          </cell>
          <cell r="E1241">
            <v>34000000</v>
          </cell>
          <cell r="F1241">
            <v>34000000</v>
          </cell>
          <cell r="G1241">
            <v>34000000</v>
          </cell>
          <cell r="H1241">
            <v>34000000</v>
          </cell>
          <cell r="I1241" t="str">
            <v/>
          </cell>
          <cell r="J1241" t="str">
            <v/>
          </cell>
          <cell r="K1241" t="str">
            <v/>
          </cell>
          <cell r="L1241" t="str">
            <v/>
          </cell>
        </row>
        <row r="1242">
          <cell r="A1242">
            <v>34000000</v>
          </cell>
          <cell r="C1242">
            <v>34000000</v>
          </cell>
          <cell r="D1242">
            <v>34000000</v>
          </cell>
          <cell r="E1242">
            <v>34000000</v>
          </cell>
          <cell r="F1242">
            <v>34000000</v>
          </cell>
          <cell r="G1242">
            <v>34000000</v>
          </cell>
          <cell r="H1242">
            <v>34000000</v>
          </cell>
          <cell r="I1242" t="str">
            <v/>
          </cell>
          <cell r="J1242" t="str">
            <v/>
          </cell>
          <cell r="K1242" t="str">
            <v/>
          </cell>
          <cell r="L1242" t="str">
            <v/>
          </cell>
        </row>
        <row r="1243">
          <cell r="A1243">
            <v>34000000</v>
          </cell>
          <cell r="C1243">
            <v>34000000</v>
          </cell>
          <cell r="D1243">
            <v>34000000</v>
          </cell>
          <cell r="E1243">
            <v>34000000</v>
          </cell>
          <cell r="F1243">
            <v>34000000</v>
          </cell>
          <cell r="G1243">
            <v>34000000</v>
          </cell>
          <cell r="H1243">
            <v>34000000</v>
          </cell>
          <cell r="I1243" t="str">
            <v/>
          </cell>
          <cell r="J1243" t="str">
            <v/>
          </cell>
          <cell r="K1243" t="str">
            <v/>
          </cell>
          <cell r="L1243" t="str">
            <v/>
          </cell>
        </row>
        <row r="1244">
          <cell r="A1244">
            <v>34000000</v>
          </cell>
          <cell r="C1244">
            <v>34000000</v>
          </cell>
          <cell r="D1244">
            <v>34000000</v>
          </cell>
          <cell r="E1244">
            <v>34000000</v>
          </cell>
          <cell r="F1244">
            <v>34000000</v>
          </cell>
          <cell r="G1244">
            <v>34000000</v>
          </cell>
          <cell r="H1244">
            <v>34000000</v>
          </cell>
          <cell r="I1244" t="str">
            <v/>
          </cell>
          <cell r="J1244" t="str">
            <v/>
          </cell>
          <cell r="K1244" t="str">
            <v/>
          </cell>
          <cell r="L1244" t="str">
            <v/>
          </cell>
        </row>
        <row r="1245">
          <cell r="A1245">
            <v>34000000</v>
          </cell>
          <cell r="C1245">
            <v>34000000</v>
          </cell>
          <cell r="D1245">
            <v>34000000</v>
          </cell>
          <cell r="E1245">
            <v>34000000</v>
          </cell>
          <cell r="F1245">
            <v>34000000</v>
          </cell>
          <cell r="G1245">
            <v>34000000</v>
          </cell>
          <cell r="H1245">
            <v>34000000</v>
          </cell>
          <cell r="I1245" t="str">
            <v/>
          </cell>
          <cell r="J1245" t="str">
            <v/>
          </cell>
          <cell r="K1245" t="str">
            <v/>
          </cell>
          <cell r="L1245" t="str">
            <v/>
          </cell>
        </row>
        <row r="1246">
          <cell r="A1246">
            <v>34000000</v>
          </cell>
          <cell r="C1246">
            <v>34000000</v>
          </cell>
          <cell r="D1246">
            <v>34000000</v>
          </cell>
          <cell r="E1246">
            <v>34000000</v>
          </cell>
          <cell r="F1246">
            <v>34000000</v>
          </cell>
          <cell r="G1246">
            <v>34000000</v>
          </cell>
          <cell r="H1246">
            <v>34000000</v>
          </cell>
          <cell r="I1246" t="str">
            <v/>
          </cell>
          <cell r="J1246" t="str">
            <v/>
          </cell>
          <cell r="K1246" t="str">
            <v/>
          </cell>
          <cell r="L1246" t="str">
            <v/>
          </cell>
        </row>
        <row r="1247">
          <cell r="A1247">
            <v>34000000</v>
          </cell>
          <cell r="C1247">
            <v>34000000</v>
          </cell>
          <cell r="D1247">
            <v>34000000</v>
          </cell>
          <cell r="E1247">
            <v>34000000</v>
          </cell>
          <cell r="F1247">
            <v>34000000</v>
          </cell>
          <cell r="G1247">
            <v>34000000</v>
          </cell>
          <cell r="H1247">
            <v>34000000</v>
          </cell>
          <cell r="I1247" t="str">
            <v/>
          </cell>
          <cell r="J1247" t="str">
            <v/>
          </cell>
          <cell r="K1247" t="str">
            <v/>
          </cell>
          <cell r="L1247" t="str">
            <v/>
          </cell>
        </row>
        <row r="1248">
          <cell r="A1248">
            <v>34000000</v>
          </cell>
          <cell r="C1248">
            <v>34000000</v>
          </cell>
          <cell r="D1248">
            <v>34000000</v>
          </cell>
          <cell r="E1248">
            <v>34000000</v>
          </cell>
          <cell r="F1248">
            <v>34000000</v>
          </cell>
          <cell r="G1248">
            <v>34000000</v>
          </cell>
          <cell r="H1248">
            <v>34000000</v>
          </cell>
          <cell r="I1248" t="str">
            <v/>
          </cell>
          <cell r="J1248" t="str">
            <v/>
          </cell>
          <cell r="K1248" t="str">
            <v/>
          </cell>
          <cell r="L1248" t="str">
            <v/>
          </cell>
        </row>
        <row r="1249">
          <cell r="A1249">
            <v>34000000</v>
          </cell>
          <cell r="C1249">
            <v>34000000</v>
          </cell>
          <cell r="D1249">
            <v>34000000</v>
          </cell>
          <cell r="E1249">
            <v>34000000</v>
          </cell>
          <cell r="F1249">
            <v>34000000</v>
          </cell>
          <cell r="G1249">
            <v>34000000</v>
          </cell>
          <cell r="H1249">
            <v>34000000</v>
          </cell>
          <cell r="I1249" t="str">
            <v/>
          </cell>
          <cell r="J1249" t="str">
            <v/>
          </cell>
          <cell r="K1249" t="str">
            <v/>
          </cell>
          <cell r="L1249" t="str">
            <v/>
          </cell>
        </row>
        <row r="1250">
          <cell r="A1250">
            <v>34000000</v>
          </cell>
          <cell r="C1250">
            <v>34000000</v>
          </cell>
          <cell r="D1250">
            <v>34000000</v>
          </cell>
          <cell r="E1250">
            <v>34000000</v>
          </cell>
          <cell r="F1250">
            <v>34000000</v>
          </cell>
          <cell r="G1250">
            <v>34000000</v>
          </cell>
          <cell r="H1250">
            <v>34000000</v>
          </cell>
          <cell r="I1250" t="str">
            <v/>
          </cell>
          <cell r="J1250" t="str">
            <v/>
          </cell>
          <cell r="K1250" t="str">
            <v/>
          </cell>
          <cell r="L1250" t="str">
            <v/>
          </cell>
        </row>
        <row r="1251">
          <cell r="A1251">
            <v>34000000</v>
          </cell>
          <cell r="C1251">
            <v>34000000</v>
          </cell>
          <cell r="D1251">
            <v>34000000</v>
          </cell>
          <cell r="E1251">
            <v>34000000</v>
          </cell>
          <cell r="F1251">
            <v>34000000</v>
          </cell>
          <cell r="G1251">
            <v>34000000</v>
          </cell>
          <cell r="H1251">
            <v>34000000</v>
          </cell>
          <cell r="I1251" t="str">
            <v/>
          </cell>
          <cell r="J1251" t="str">
            <v/>
          </cell>
          <cell r="K1251" t="str">
            <v/>
          </cell>
          <cell r="L1251" t="str">
            <v/>
          </cell>
        </row>
        <row r="1252">
          <cell r="A1252">
            <v>34000000</v>
          </cell>
          <cell r="C1252">
            <v>34000000</v>
          </cell>
          <cell r="D1252">
            <v>34000000</v>
          </cell>
          <cell r="E1252">
            <v>34000000</v>
          </cell>
          <cell r="F1252">
            <v>34000000</v>
          </cell>
          <cell r="G1252">
            <v>34000000</v>
          </cell>
          <cell r="H1252">
            <v>34000000</v>
          </cell>
          <cell r="I1252" t="str">
            <v/>
          </cell>
          <cell r="J1252" t="str">
            <v/>
          </cell>
          <cell r="K1252" t="str">
            <v/>
          </cell>
          <cell r="L1252" t="str">
            <v/>
          </cell>
        </row>
        <row r="1253">
          <cell r="A1253">
            <v>34000000</v>
          </cell>
          <cell r="C1253">
            <v>34000000</v>
          </cell>
          <cell r="D1253">
            <v>34000000</v>
          </cell>
          <cell r="E1253">
            <v>34000000</v>
          </cell>
          <cell r="F1253">
            <v>34000000</v>
          </cell>
          <cell r="G1253">
            <v>34000000</v>
          </cell>
          <cell r="H1253">
            <v>34000000</v>
          </cell>
          <cell r="I1253" t="str">
            <v/>
          </cell>
          <cell r="J1253" t="str">
            <v/>
          </cell>
          <cell r="K1253" t="str">
            <v/>
          </cell>
          <cell r="L1253" t="str">
            <v/>
          </cell>
        </row>
        <row r="1254">
          <cell r="A1254">
            <v>34000000</v>
          </cell>
          <cell r="C1254">
            <v>34000000</v>
          </cell>
          <cell r="D1254">
            <v>34000000</v>
          </cell>
          <cell r="E1254">
            <v>34000000</v>
          </cell>
          <cell r="F1254">
            <v>34000000</v>
          </cell>
          <cell r="G1254">
            <v>34000000</v>
          </cell>
          <cell r="H1254">
            <v>34000000</v>
          </cell>
          <cell r="I1254" t="str">
            <v/>
          </cell>
          <cell r="J1254" t="str">
            <v/>
          </cell>
          <cell r="K1254" t="str">
            <v/>
          </cell>
          <cell r="L1254" t="str">
            <v/>
          </cell>
        </row>
        <row r="1255">
          <cell r="A1255">
            <v>34000000</v>
          </cell>
          <cell r="C1255">
            <v>34000000</v>
          </cell>
          <cell r="D1255">
            <v>34000000</v>
          </cell>
          <cell r="E1255">
            <v>34000000</v>
          </cell>
          <cell r="F1255">
            <v>34000000</v>
          </cell>
          <cell r="G1255">
            <v>34000000</v>
          </cell>
          <cell r="H1255">
            <v>34000000</v>
          </cell>
          <cell r="I1255" t="str">
            <v/>
          </cell>
          <cell r="J1255" t="str">
            <v/>
          </cell>
          <cell r="K1255" t="str">
            <v/>
          </cell>
          <cell r="L1255" t="str">
            <v/>
          </cell>
        </row>
        <row r="1256">
          <cell r="A1256">
            <v>34000000</v>
          </cell>
          <cell r="C1256">
            <v>34000000</v>
          </cell>
          <cell r="D1256">
            <v>34000000</v>
          </cell>
          <cell r="E1256">
            <v>34000000</v>
          </cell>
          <cell r="F1256">
            <v>34000000</v>
          </cell>
          <cell r="G1256">
            <v>34000000</v>
          </cell>
          <cell r="H1256">
            <v>34000000</v>
          </cell>
          <cell r="I1256" t="str">
            <v/>
          </cell>
          <cell r="J1256" t="str">
            <v/>
          </cell>
          <cell r="K1256" t="str">
            <v/>
          </cell>
          <cell r="L1256" t="str">
            <v/>
          </cell>
        </row>
        <row r="1257">
          <cell r="A1257">
            <v>34000000</v>
          </cell>
          <cell r="C1257">
            <v>34000000</v>
          </cell>
          <cell r="D1257">
            <v>34000000</v>
          </cell>
          <cell r="E1257">
            <v>34000000</v>
          </cell>
          <cell r="F1257">
            <v>34000000</v>
          </cell>
          <cell r="G1257">
            <v>34000000</v>
          </cell>
          <cell r="H1257">
            <v>34000000</v>
          </cell>
          <cell r="I1257" t="str">
            <v/>
          </cell>
          <cell r="J1257" t="str">
            <v/>
          </cell>
          <cell r="K1257" t="str">
            <v/>
          </cell>
          <cell r="L1257" t="str">
            <v/>
          </cell>
        </row>
        <row r="1258">
          <cell r="A1258">
            <v>34000000</v>
          </cell>
          <cell r="C1258">
            <v>34000000</v>
          </cell>
          <cell r="D1258">
            <v>34000000</v>
          </cell>
          <cell r="E1258">
            <v>34000000</v>
          </cell>
          <cell r="F1258">
            <v>34000000</v>
          </cell>
          <cell r="G1258">
            <v>34000000</v>
          </cell>
          <cell r="H1258">
            <v>34000000</v>
          </cell>
          <cell r="I1258" t="str">
            <v/>
          </cell>
          <cell r="J1258" t="str">
            <v/>
          </cell>
          <cell r="K1258" t="str">
            <v/>
          </cell>
          <cell r="L1258" t="str">
            <v/>
          </cell>
        </row>
        <row r="1259">
          <cell r="A1259">
            <v>34000000</v>
          </cell>
          <cell r="C1259">
            <v>34000000</v>
          </cell>
          <cell r="D1259">
            <v>34000000</v>
          </cell>
          <cell r="E1259">
            <v>34000000</v>
          </cell>
          <cell r="F1259">
            <v>34000000</v>
          </cell>
          <cell r="G1259">
            <v>34000000</v>
          </cell>
          <cell r="H1259">
            <v>34000000</v>
          </cell>
          <cell r="I1259" t="str">
            <v/>
          </cell>
          <cell r="J1259" t="str">
            <v/>
          </cell>
          <cell r="K1259" t="str">
            <v/>
          </cell>
          <cell r="L1259" t="str">
            <v/>
          </cell>
        </row>
        <row r="1260">
          <cell r="A1260">
            <v>34000000</v>
          </cell>
          <cell r="C1260">
            <v>34000000</v>
          </cell>
          <cell r="D1260">
            <v>34000000</v>
          </cell>
          <cell r="E1260">
            <v>34000000</v>
          </cell>
          <cell r="F1260">
            <v>34000000</v>
          </cell>
          <cell r="G1260">
            <v>34000000</v>
          </cell>
          <cell r="H1260">
            <v>34000000</v>
          </cell>
          <cell r="I1260" t="str">
            <v/>
          </cell>
          <cell r="J1260" t="str">
            <v/>
          </cell>
          <cell r="K1260" t="str">
            <v/>
          </cell>
          <cell r="L1260" t="str">
            <v/>
          </cell>
        </row>
        <row r="1261">
          <cell r="A1261">
            <v>34000000</v>
          </cell>
          <cell r="C1261">
            <v>34000000</v>
          </cell>
          <cell r="D1261">
            <v>34000000</v>
          </cell>
          <cell r="E1261">
            <v>34000000</v>
          </cell>
          <cell r="F1261">
            <v>34000000</v>
          </cell>
          <cell r="G1261">
            <v>34000000</v>
          </cell>
          <cell r="H1261">
            <v>34000000</v>
          </cell>
          <cell r="I1261" t="str">
            <v/>
          </cell>
          <cell r="J1261" t="str">
            <v/>
          </cell>
          <cell r="K1261" t="str">
            <v/>
          </cell>
          <cell r="L1261" t="str">
            <v/>
          </cell>
        </row>
        <row r="1262">
          <cell r="A1262">
            <v>34000000</v>
          </cell>
          <cell r="C1262">
            <v>34000000</v>
          </cell>
          <cell r="D1262">
            <v>34000000</v>
          </cell>
          <cell r="E1262">
            <v>34000000</v>
          </cell>
          <cell r="F1262">
            <v>34000000</v>
          </cell>
          <cell r="G1262">
            <v>34000000</v>
          </cell>
          <cell r="H1262">
            <v>34000000</v>
          </cell>
          <cell r="I1262" t="str">
            <v/>
          </cell>
          <cell r="J1262" t="str">
            <v/>
          </cell>
          <cell r="K1262" t="str">
            <v/>
          </cell>
          <cell r="L1262" t="str">
            <v/>
          </cell>
        </row>
        <row r="1263">
          <cell r="A1263">
            <v>34000000</v>
          </cell>
          <cell r="C1263">
            <v>34000000</v>
          </cell>
          <cell r="D1263">
            <v>34000000</v>
          </cell>
          <cell r="E1263">
            <v>34000000</v>
          </cell>
          <cell r="F1263">
            <v>34000000</v>
          </cell>
          <cell r="G1263">
            <v>34000000</v>
          </cell>
          <cell r="H1263">
            <v>34000000</v>
          </cell>
          <cell r="I1263" t="str">
            <v/>
          </cell>
          <cell r="J1263" t="str">
            <v/>
          </cell>
          <cell r="K1263" t="str">
            <v/>
          </cell>
          <cell r="L1263" t="str">
            <v/>
          </cell>
        </row>
        <row r="1264">
          <cell r="A1264">
            <v>34000000</v>
          </cell>
          <cell r="C1264">
            <v>34000000</v>
          </cell>
          <cell r="D1264">
            <v>34000000</v>
          </cell>
          <cell r="E1264">
            <v>34000000</v>
          </cell>
          <cell r="F1264">
            <v>34000000</v>
          </cell>
          <cell r="G1264">
            <v>34000000</v>
          </cell>
          <cell r="H1264">
            <v>34000000</v>
          </cell>
          <cell r="I1264" t="str">
            <v/>
          </cell>
          <cell r="J1264" t="str">
            <v/>
          </cell>
          <cell r="K1264" t="str">
            <v/>
          </cell>
          <cell r="L1264" t="str">
            <v/>
          </cell>
        </row>
        <row r="1265">
          <cell r="A1265">
            <v>34000000</v>
          </cell>
          <cell r="C1265">
            <v>34000000</v>
          </cell>
          <cell r="D1265">
            <v>34000000</v>
          </cell>
          <cell r="E1265">
            <v>34000000</v>
          </cell>
          <cell r="F1265">
            <v>34000000</v>
          </cell>
          <cell r="G1265">
            <v>34000000</v>
          </cell>
          <cell r="H1265">
            <v>34000000</v>
          </cell>
          <cell r="I1265" t="str">
            <v/>
          </cell>
          <cell r="J1265" t="str">
            <v/>
          </cell>
          <cell r="K1265" t="str">
            <v/>
          </cell>
          <cell r="L1265" t="str">
            <v/>
          </cell>
        </row>
        <row r="1266">
          <cell r="A1266">
            <v>34000000</v>
          </cell>
          <cell r="C1266">
            <v>34000000</v>
          </cell>
          <cell r="D1266">
            <v>34000000</v>
          </cell>
          <cell r="E1266">
            <v>34000000</v>
          </cell>
          <cell r="F1266">
            <v>34000000</v>
          </cell>
          <cell r="G1266">
            <v>34000000</v>
          </cell>
          <cell r="H1266">
            <v>34000000</v>
          </cell>
          <cell r="I1266" t="str">
            <v/>
          </cell>
          <cell r="J1266" t="str">
            <v/>
          </cell>
          <cell r="K1266" t="str">
            <v/>
          </cell>
          <cell r="L1266" t="str">
            <v/>
          </cell>
        </row>
        <row r="1267">
          <cell r="A1267">
            <v>34000000</v>
          </cell>
          <cell r="C1267">
            <v>34000000</v>
          </cell>
          <cell r="D1267">
            <v>34000000</v>
          </cell>
          <cell r="E1267">
            <v>34000000</v>
          </cell>
          <cell r="F1267">
            <v>34000000</v>
          </cell>
          <cell r="G1267">
            <v>34000000</v>
          </cell>
          <cell r="H1267">
            <v>34000000</v>
          </cell>
          <cell r="I1267" t="str">
            <v/>
          </cell>
          <cell r="J1267" t="str">
            <v/>
          </cell>
          <cell r="K1267" t="str">
            <v/>
          </cell>
          <cell r="L1267" t="str">
            <v/>
          </cell>
        </row>
        <row r="1268">
          <cell r="A1268">
            <v>34000000</v>
          </cell>
          <cell r="C1268">
            <v>34000000</v>
          </cell>
          <cell r="D1268">
            <v>34000000</v>
          </cell>
          <cell r="E1268">
            <v>34000000</v>
          </cell>
          <cell r="F1268">
            <v>34000000</v>
          </cell>
          <cell r="G1268">
            <v>34000000</v>
          </cell>
          <cell r="H1268">
            <v>34000000</v>
          </cell>
          <cell r="I1268" t="str">
            <v/>
          </cell>
          <cell r="J1268" t="str">
            <v/>
          </cell>
          <cell r="K1268" t="str">
            <v/>
          </cell>
          <cell r="L1268" t="str">
            <v/>
          </cell>
        </row>
        <row r="1269">
          <cell r="A1269">
            <v>34000000</v>
          </cell>
          <cell r="C1269">
            <v>34000000</v>
          </cell>
          <cell r="D1269">
            <v>34000000</v>
          </cell>
          <cell r="E1269">
            <v>34000000</v>
          </cell>
          <cell r="F1269">
            <v>34000000</v>
          </cell>
          <cell r="G1269">
            <v>34000000</v>
          </cell>
          <cell r="H1269">
            <v>34000000</v>
          </cell>
          <cell r="I1269" t="str">
            <v/>
          </cell>
          <cell r="J1269" t="str">
            <v/>
          </cell>
          <cell r="K1269" t="str">
            <v/>
          </cell>
          <cell r="L1269" t="str">
            <v/>
          </cell>
        </row>
        <row r="1270">
          <cell r="A1270">
            <v>34000000</v>
          </cell>
          <cell r="C1270">
            <v>34000000</v>
          </cell>
          <cell r="D1270">
            <v>34000000</v>
          </cell>
          <cell r="E1270">
            <v>34000000</v>
          </cell>
          <cell r="F1270">
            <v>34000000</v>
          </cell>
          <cell r="G1270">
            <v>34000000</v>
          </cell>
          <cell r="H1270">
            <v>34000000</v>
          </cell>
          <cell r="I1270" t="str">
            <v/>
          </cell>
          <cell r="J1270" t="str">
            <v/>
          </cell>
          <cell r="K1270" t="str">
            <v/>
          </cell>
          <cell r="L1270" t="str">
            <v/>
          </cell>
        </row>
        <row r="1271">
          <cell r="A1271">
            <v>34000000</v>
          </cell>
          <cell r="C1271">
            <v>34000000</v>
          </cell>
          <cell r="D1271">
            <v>34000000</v>
          </cell>
          <cell r="E1271">
            <v>34000000</v>
          </cell>
          <cell r="F1271">
            <v>34000000</v>
          </cell>
          <cell r="G1271">
            <v>34000000</v>
          </cell>
          <cell r="H1271">
            <v>34000000</v>
          </cell>
          <cell r="I1271" t="str">
            <v/>
          </cell>
          <cell r="J1271" t="str">
            <v/>
          </cell>
          <cell r="K1271" t="str">
            <v/>
          </cell>
          <cell r="L1271" t="str">
            <v/>
          </cell>
        </row>
        <row r="1272">
          <cell r="A1272">
            <v>34000000</v>
          </cell>
          <cell r="C1272">
            <v>34000000</v>
          </cell>
          <cell r="D1272">
            <v>34000000</v>
          </cell>
          <cell r="E1272">
            <v>34000000</v>
          </cell>
          <cell r="F1272">
            <v>34000000</v>
          </cell>
          <cell r="G1272">
            <v>34000000</v>
          </cell>
          <cell r="H1272">
            <v>34000000</v>
          </cell>
          <cell r="I1272" t="str">
            <v/>
          </cell>
          <cell r="J1272" t="str">
            <v/>
          </cell>
          <cell r="K1272" t="str">
            <v/>
          </cell>
          <cell r="L1272" t="str">
            <v/>
          </cell>
        </row>
        <row r="1273">
          <cell r="A1273">
            <v>34000000</v>
          </cell>
          <cell r="C1273">
            <v>34000000</v>
          </cell>
          <cell r="D1273">
            <v>34000000</v>
          </cell>
          <cell r="E1273">
            <v>34000000</v>
          </cell>
          <cell r="F1273">
            <v>34000000</v>
          </cell>
          <cell r="G1273">
            <v>34000000</v>
          </cell>
          <cell r="H1273">
            <v>34000000</v>
          </cell>
          <cell r="I1273" t="str">
            <v/>
          </cell>
          <cell r="J1273" t="str">
            <v/>
          </cell>
          <cell r="K1273" t="str">
            <v/>
          </cell>
          <cell r="L1273" t="str">
            <v/>
          </cell>
        </row>
        <row r="1274">
          <cell r="A1274">
            <v>34000000</v>
          </cell>
          <cell r="C1274">
            <v>34000000</v>
          </cell>
          <cell r="D1274">
            <v>34000000</v>
          </cell>
          <cell r="E1274">
            <v>34000000</v>
          </cell>
          <cell r="F1274">
            <v>34000000</v>
          </cell>
          <cell r="G1274">
            <v>34000000</v>
          </cell>
          <cell r="H1274">
            <v>34000000</v>
          </cell>
          <cell r="I1274" t="str">
            <v/>
          </cell>
          <cell r="J1274" t="str">
            <v/>
          </cell>
          <cell r="K1274" t="str">
            <v/>
          </cell>
          <cell r="L1274" t="str">
            <v/>
          </cell>
        </row>
        <row r="1275">
          <cell r="A1275">
            <v>34000000</v>
          </cell>
          <cell r="C1275">
            <v>34000000</v>
          </cell>
          <cell r="D1275">
            <v>34000000</v>
          </cell>
          <cell r="E1275">
            <v>34000000</v>
          </cell>
          <cell r="F1275">
            <v>34000000</v>
          </cell>
          <cell r="G1275">
            <v>34000000</v>
          </cell>
          <cell r="H1275">
            <v>34000000</v>
          </cell>
          <cell r="I1275" t="str">
            <v/>
          </cell>
          <cell r="J1275" t="str">
            <v/>
          </cell>
          <cell r="K1275" t="str">
            <v/>
          </cell>
          <cell r="L1275" t="str">
            <v/>
          </cell>
        </row>
        <row r="1276">
          <cell r="A1276">
            <v>34000000</v>
          </cell>
          <cell r="C1276">
            <v>34000000</v>
          </cell>
          <cell r="D1276">
            <v>34000000</v>
          </cell>
          <cell r="E1276">
            <v>34000000</v>
          </cell>
          <cell r="F1276">
            <v>34000000</v>
          </cell>
          <cell r="G1276">
            <v>34000000</v>
          </cell>
          <cell r="H1276">
            <v>34000000</v>
          </cell>
          <cell r="I1276" t="str">
            <v/>
          </cell>
          <cell r="J1276" t="str">
            <v/>
          </cell>
          <cell r="K1276" t="str">
            <v/>
          </cell>
          <cell r="L1276" t="str">
            <v/>
          </cell>
        </row>
        <row r="1277">
          <cell r="A1277">
            <v>34000000</v>
          </cell>
          <cell r="C1277">
            <v>34000000</v>
          </cell>
          <cell r="D1277">
            <v>34000000</v>
          </cell>
          <cell r="E1277">
            <v>34000000</v>
          </cell>
          <cell r="F1277">
            <v>34000000</v>
          </cell>
          <cell r="G1277">
            <v>34000000</v>
          </cell>
          <cell r="H1277">
            <v>34000000</v>
          </cell>
          <cell r="I1277" t="str">
            <v/>
          </cell>
          <cell r="J1277" t="str">
            <v/>
          </cell>
          <cell r="K1277" t="str">
            <v/>
          </cell>
          <cell r="L1277" t="str">
            <v/>
          </cell>
        </row>
        <row r="1278">
          <cell r="A1278">
            <v>34000000</v>
          </cell>
          <cell r="C1278">
            <v>34000000</v>
          </cell>
          <cell r="D1278">
            <v>34000000</v>
          </cell>
          <cell r="E1278">
            <v>34000000</v>
          </cell>
          <cell r="F1278">
            <v>34000000</v>
          </cell>
          <cell r="G1278">
            <v>34000000</v>
          </cell>
          <cell r="H1278">
            <v>34000000</v>
          </cell>
          <cell r="I1278" t="str">
            <v/>
          </cell>
          <cell r="J1278" t="str">
            <v/>
          </cell>
          <cell r="K1278" t="str">
            <v/>
          </cell>
          <cell r="L1278" t="str">
            <v/>
          </cell>
        </row>
        <row r="1279">
          <cell r="A1279">
            <v>34000000</v>
          </cell>
          <cell r="C1279">
            <v>34000000</v>
          </cell>
          <cell r="D1279">
            <v>34000000</v>
          </cell>
          <cell r="E1279">
            <v>34000000</v>
          </cell>
          <cell r="F1279">
            <v>34000000</v>
          </cell>
          <cell r="G1279">
            <v>34000000</v>
          </cell>
          <cell r="H1279">
            <v>34000000</v>
          </cell>
          <cell r="I1279" t="str">
            <v/>
          </cell>
          <cell r="J1279" t="str">
            <v/>
          </cell>
          <cell r="K1279" t="str">
            <v/>
          </cell>
          <cell r="L1279" t="str">
            <v/>
          </cell>
        </row>
        <row r="1280">
          <cell r="A1280">
            <v>34000000</v>
          </cell>
          <cell r="C1280">
            <v>34000000</v>
          </cell>
          <cell r="D1280">
            <v>34000000</v>
          </cell>
          <cell r="E1280">
            <v>34000000</v>
          </cell>
          <cell r="F1280">
            <v>34000000</v>
          </cell>
          <cell r="G1280">
            <v>34000000</v>
          </cell>
          <cell r="H1280">
            <v>34000000</v>
          </cell>
          <cell r="I1280" t="str">
            <v/>
          </cell>
          <cell r="J1280" t="str">
            <v/>
          </cell>
          <cell r="K1280" t="str">
            <v/>
          </cell>
          <cell r="L1280" t="str">
            <v/>
          </cell>
        </row>
        <row r="1281">
          <cell r="A1281">
            <v>34000000</v>
          </cell>
          <cell r="C1281">
            <v>34000000</v>
          </cell>
          <cell r="D1281">
            <v>34000000</v>
          </cell>
          <cell r="E1281">
            <v>34000000</v>
          </cell>
          <cell r="F1281">
            <v>34000000</v>
          </cell>
          <cell r="G1281">
            <v>34000000</v>
          </cell>
          <cell r="H1281">
            <v>34000000</v>
          </cell>
          <cell r="I1281" t="str">
            <v/>
          </cell>
          <cell r="J1281" t="str">
            <v/>
          </cell>
          <cell r="K1281" t="str">
            <v/>
          </cell>
          <cell r="L1281" t="str">
            <v/>
          </cell>
        </row>
        <row r="1282">
          <cell r="A1282">
            <v>34000000</v>
          </cell>
          <cell r="C1282">
            <v>34000000</v>
          </cell>
          <cell r="D1282">
            <v>34000000</v>
          </cell>
          <cell r="E1282">
            <v>34000000</v>
          </cell>
          <cell r="F1282">
            <v>34000000</v>
          </cell>
          <cell r="G1282">
            <v>34000000</v>
          </cell>
          <cell r="H1282">
            <v>34000000</v>
          </cell>
          <cell r="I1282" t="str">
            <v/>
          </cell>
          <cell r="J1282" t="str">
            <v/>
          </cell>
          <cell r="K1282" t="str">
            <v/>
          </cell>
          <cell r="L1282" t="str">
            <v/>
          </cell>
        </row>
        <row r="1283">
          <cell r="A1283">
            <v>34000000</v>
          </cell>
          <cell r="C1283">
            <v>34000000</v>
          </cell>
          <cell r="D1283">
            <v>34000000</v>
          </cell>
          <cell r="E1283">
            <v>34000000</v>
          </cell>
          <cell r="F1283">
            <v>34000000</v>
          </cell>
          <cell r="G1283">
            <v>34000000</v>
          </cell>
          <cell r="H1283">
            <v>34000000</v>
          </cell>
          <cell r="I1283" t="str">
            <v/>
          </cell>
          <cell r="J1283" t="str">
            <v/>
          </cell>
          <cell r="K1283" t="str">
            <v/>
          </cell>
          <cell r="L1283" t="str">
            <v/>
          </cell>
        </row>
        <row r="1284">
          <cell r="A1284">
            <v>34000000</v>
          </cell>
          <cell r="C1284">
            <v>34000000</v>
          </cell>
          <cell r="D1284">
            <v>34000000</v>
          </cell>
          <cell r="E1284">
            <v>34000000</v>
          </cell>
          <cell r="F1284">
            <v>34000000</v>
          </cell>
          <cell r="G1284">
            <v>34000000</v>
          </cell>
          <cell r="H1284">
            <v>34000000</v>
          </cell>
          <cell r="I1284" t="str">
            <v/>
          </cell>
          <cell r="J1284" t="str">
            <v/>
          </cell>
          <cell r="K1284" t="str">
            <v/>
          </cell>
          <cell r="L1284" t="str">
            <v/>
          </cell>
        </row>
        <row r="1285">
          <cell r="A1285">
            <v>34000000</v>
          </cell>
          <cell r="C1285">
            <v>34000000</v>
          </cell>
          <cell r="D1285">
            <v>34000000</v>
          </cell>
          <cell r="E1285">
            <v>34000000</v>
          </cell>
          <cell r="F1285">
            <v>34000000</v>
          </cell>
          <cell r="G1285">
            <v>34000000</v>
          </cell>
          <cell r="H1285">
            <v>34000000</v>
          </cell>
          <cell r="I1285" t="str">
            <v/>
          </cell>
          <cell r="J1285" t="str">
            <v/>
          </cell>
          <cell r="K1285" t="str">
            <v/>
          </cell>
          <cell r="L1285" t="str">
            <v/>
          </cell>
        </row>
        <row r="1286">
          <cell r="A1286">
            <v>34000000</v>
          </cell>
          <cell r="C1286">
            <v>34000000</v>
          </cell>
          <cell r="D1286">
            <v>34000000</v>
          </cell>
          <cell r="E1286">
            <v>34000000</v>
          </cell>
          <cell r="F1286">
            <v>34000000</v>
          </cell>
          <cell r="G1286">
            <v>34000000</v>
          </cell>
          <cell r="H1286">
            <v>34000000</v>
          </cell>
          <cell r="I1286" t="str">
            <v/>
          </cell>
          <cell r="J1286" t="str">
            <v/>
          </cell>
          <cell r="K1286" t="str">
            <v/>
          </cell>
          <cell r="L1286" t="str">
            <v/>
          </cell>
        </row>
        <row r="1287">
          <cell r="A1287">
            <v>34000000</v>
          </cell>
          <cell r="C1287">
            <v>34000000</v>
          </cell>
          <cell r="D1287">
            <v>34000000</v>
          </cell>
          <cell r="E1287">
            <v>34000000</v>
          </cell>
          <cell r="F1287">
            <v>34000000</v>
          </cell>
          <cell r="G1287">
            <v>34000000</v>
          </cell>
          <cell r="H1287">
            <v>34000000</v>
          </cell>
          <cell r="I1287" t="str">
            <v/>
          </cell>
          <cell r="J1287" t="str">
            <v/>
          </cell>
          <cell r="K1287" t="str">
            <v/>
          </cell>
          <cell r="L1287" t="str">
            <v/>
          </cell>
        </row>
        <row r="1288">
          <cell r="A1288">
            <v>34000000</v>
          </cell>
          <cell r="C1288">
            <v>34000000</v>
          </cell>
          <cell r="D1288">
            <v>34000000</v>
          </cell>
          <cell r="E1288">
            <v>34000000</v>
          </cell>
          <cell r="F1288">
            <v>34000000</v>
          </cell>
          <cell r="G1288">
            <v>34000000</v>
          </cell>
          <cell r="H1288">
            <v>34000000</v>
          </cell>
          <cell r="I1288" t="str">
            <v/>
          </cell>
          <cell r="J1288" t="str">
            <v/>
          </cell>
          <cell r="K1288" t="str">
            <v/>
          </cell>
          <cell r="L1288" t="str">
            <v/>
          </cell>
        </row>
        <row r="1289">
          <cell r="A1289">
            <v>34000000</v>
          </cell>
          <cell r="C1289">
            <v>34000000</v>
          </cell>
          <cell r="D1289">
            <v>34000000</v>
          </cell>
          <cell r="E1289">
            <v>34000000</v>
          </cell>
          <cell r="F1289">
            <v>34000000</v>
          </cell>
          <cell r="G1289">
            <v>34000000</v>
          </cell>
          <cell r="H1289">
            <v>34000000</v>
          </cell>
          <cell r="I1289" t="str">
            <v/>
          </cell>
          <cell r="J1289" t="str">
            <v/>
          </cell>
          <cell r="K1289" t="str">
            <v/>
          </cell>
          <cell r="L1289" t="str">
            <v/>
          </cell>
        </row>
        <row r="1290">
          <cell r="A1290">
            <v>34000000</v>
          </cell>
          <cell r="C1290">
            <v>34000000</v>
          </cell>
          <cell r="D1290">
            <v>34000000</v>
          </cell>
          <cell r="E1290">
            <v>34000000</v>
          </cell>
          <cell r="F1290">
            <v>34000000</v>
          </cell>
          <cell r="G1290">
            <v>34000000</v>
          </cell>
          <cell r="H1290">
            <v>34000000</v>
          </cell>
          <cell r="I1290" t="str">
            <v/>
          </cell>
          <cell r="J1290" t="str">
            <v/>
          </cell>
          <cell r="K1290" t="str">
            <v/>
          </cell>
          <cell r="L1290" t="str">
            <v/>
          </cell>
        </row>
        <row r="1291">
          <cell r="A1291">
            <v>34000000</v>
          </cell>
          <cell r="C1291">
            <v>34000000</v>
          </cell>
          <cell r="D1291">
            <v>34000000</v>
          </cell>
          <cell r="E1291">
            <v>34000000</v>
          </cell>
          <cell r="F1291">
            <v>34000000</v>
          </cell>
          <cell r="G1291">
            <v>34000000</v>
          </cell>
          <cell r="H1291">
            <v>34000000</v>
          </cell>
          <cell r="I1291" t="str">
            <v/>
          </cell>
          <cell r="J1291" t="str">
            <v/>
          </cell>
          <cell r="K1291" t="str">
            <v/>
          </cell>
          <cell r="L1291" t="str">
            <v/>
          </cell>
        </row>
        <row r="1292">
          <cell r="A1292">
            <v>34000000</v>
          </cell>
          <cell r="C1292">
            <v>34000000</v>
          </cell>
          <cell r="D1292">
            <v>34000000</v>
          </cell>
          <cell r="E1292">
            <v>34000000</v>
          </cell>
          <cell r="F1292">
            <v>34000000</v>
          </cell>
          <cell r="G1292">
            <v>34000000</v>
          </cell>
          <cell r="H1292">
            <v>34000000</v>
          </cell>
          <cell r="I1292" t="str">
            <v/>
          </cell>
          <cell r="J1292" t="str">
            <v/>
          </cell>
          <cell r="K1292" t="str">
            <v/>
          </cell>
          <cell r="L1292" t="str">
            <v/>
          </cell>
        </row>
        <row r="1293">
          <cell r="A1293">
            <v>34000000</v>
          </cell>
          <cell r="C1293">
            <v>34000000</v>
          </cell>
          <cell r="D1293">
            <v>34000000</v>
          </cell>
          <cell r="E1293">
            <v>34000000</v>
          </cell>
          <cell r="F1293">
            <v>34000000</v>
          </cell>
          <cell r="G1293">
            <v>34000000</v>
          </cell>
          <cell r="H1293">
            <v>34000000</v>
          </cell>
          <cell r="I1293" t="str">
            <v/>
          </cell>
          <cell r="J1293" t="str">
            <v/>
          </cell>
          <cell r="K1293" t="str">
            <v/>
          </cell>
          <cell r="L1293" t="str">
            <v/>
          </cell>
        </row>
        <row r="1294">
          <cell r="A1294">
            <v>34000000</v>
          </cell>
          <cell r="C1294">
            <v>34000000</v>
          </cell>
          <cell r="D1294">
            <v>34000000</v>
          </cell>
          <cell r="E1294">
            <v>34000000</v>
          </cell>
          <cell r="F1294">
            <v>34000000</v>
          </cell>
          <cell r="G1294">
            <v>34000000</v>
          </cell>
          <cell r="H1294">
            <v>34000000</v>
          </cell>
          <cell r="I1294" t="str">
            <v/>
          </cell>
          <cell r="J1294" t="str">
            <v/>
          </cell>
          <cell r="K1294" t="str">
            <v/>
          </cell>
          <cell r="L1294" t="str">
            <v/>
          </cell>
        </row>
        <row r="1295">
          <cell r="A1295">
            <v>34000000</v>
          </cell>
          <cell r="C1295">
            <v>34000000</v>
          </cell>
          <cell r="D1295">
            <v>34000000</v>
          </cell>
          <cell r="E1295">
            <v>34000000</v>
          </cell>
          <cell r="F1295">
            <v>34000000</v>
          </cell>
          <cell r="G1295">
            <v>34000000</v>
          </cell>
          <cell r="H1295">
            <v>34000000</v>
          </cell>
          <cell r="I1295" t="str">
            <v/>
          </cell>
          <cell r="J1295" t="str">
            <v/>
          </cell>
          <cell r="K1295" t="str">
            <v/>
          </cell>
          <cell r="L1295" t="str">
            <v/>
          </cell>
        </row>
        <row r="1296">
          <cell r="A1296">
            <v>34000000</v>
          </cell>
          <cell r="C1296">
            <v>34000000</v>
          </cell>
          <cell r="D1296">
            <v>34000000</v>
          </cell>
          <cell r="E1296">
            <v>34000000</v>
          </cell>
          <cell r="F1296">
            <v>34000000</v>
          </cell>
          <cell r="G1296">
            <v>34000000</v>
          </cell>
          <cell r="H1296">
            <v>34000000</v>
          </cell>
          <cell r="I1296" t="str">
            <v/>
          </cell>
          <cell r="J1296" t="str">
            <v/>
          </cell>
          <cell r="K1296" t="str">
            <v/>
          </cell>
          <cell r="L1296" t="str">
            <v/>
          </cell>
        </row>
        <row r="1297">
          <cell r="A1297">
            <v>34000000</v>
          </cell>
          <cell r="C1297">
            <v>34000000</v>
          </cell>
          <cell r="D1297">
            <v>34000000</v>
          </cell>
          <cell r="E1297">
            <v>34000000</v>
          </cell>
          <cell r="F1297">
            <v>34000000</v>
          </cell>
          <cell r="G1297">
            <v>34000000</v>
          </cell>
          <cell r="H1297">
            <v>34000000</v>
          </cell>
          <cell r="I1297" t="str">
            <v/>
          </cell>
          <cell r="J1297" t="str">
            <v/>
          </cell>
          <cell r="K1297" t="str">
            <v/>
          </cell>
          <cell r="L1297" t="str">
            <v/>
          </cell>
        </row>
        <row r="1298">
          <cell r="A1298">
            <v>34000000</v>
          </cell>
          <cell r="C1298">
            <v>34000000</v>
          </cell>
          <cell r="D1298">
            <v>34000000</v>
          </cell>
          <cell r="E1298">
            <v>34000000</v>
          </cell>
          <cell r="F1298">
            <v>34000000</v>
          </cell>
          <cell r="G1298">
            <v>34000000</v>
          </cell>
          <cell r="H1298">
            <v>34000000</v>
          </cell>
          <cell r="I1298" t="str">
            <v/>
          </cell>
          <cell r="J1298" t="str">
            <v/>
          </cell>
          <cell r="K1298" t="str">
            <v/>
          </cell>
          <cell r="L1298" t="str">
            <v/>
          </cell>
        </row>
        <row r="1299">
          <cell r="A1299">
            <v>34000000</v>
          </cell>
          <cell r="C1299">
            <v>34000000</v>
          </cell>
          <cell r="D1299">
            <v>34000000</v>
          </cell>
          <cell r="E1299">
            <v>34000000</v>
          </cell>
          <cell r="F1299">
            <v>34000000</v>
          </cell>
          <cell r="G1299">
            <v>34000000</v>
          </cell>
          <cell r="H1299">
            <v>34000000</v>
          </cell>
          <cell r="I1299" t="str">
            <v/>
          </cell>
          <cell r="J1299" t="str">
            <v/>
          </cell>
          <cell r="K1299" t="str">
            <v/>
          </cell>
          <cell r="L1299" t="str">
            <v/>
          </cell>
        </row>
        <row r="1300">
          <cell r="A1300">
            <v>34000000</v>
          </cell>
          <cell r="C1300">
            <v>34000000</v>
          </cell>
          <cell r="D1300">
            <v>34000000</v>
          </cell>
          <cell r="E1300">
            <v>34000000</v>
          </cell>
          <cell r="F1300">
            <v>34000000</v>
          </cell>
          <cell r="G1300">
            <v>34000000</v>
          </cell>
          <cell r="H1300">
            <v>34000000</v>
          </cell>
          <cell r="I1300" t="str">
            <v/>
          </cell>
          <cell r="J1300" t="str">
            <v/>
          </cell>
          <cell r="K1300" t="str">
            <v/>
          </cell>
          <cell r="L1300" t="str">
            <v/>
          </cell>
        </row>
        <row r="1301">
          <cell r="A1301">
            <v>34000000</v>
          </cell>
          <cell r="C1301">
            <v>34000000</v>
          </cell>
          <cell r="D1301">
            <v>34000000</v>
          </cell>
          <cell r="E1301">
            <v>34000000</v>
          </cell>
          <cell r="F1301">
            <v>34000000</v>
          </cell>
          <cell r="G1301">
            <v>34000000</v>
          </cell>
          <cell r="H1301">
            <v>34000000</v>
          </cell>
          <cell r="I1301" t="str">
            <v/>
          </cell>
          <cell r="J1301" t="str">
            <v/>
          </cell>
          <cell r="K1301" t="str">
            <v/>
          </cell>
          <cell r="L1301" t="str">
            <v/>
          </cell>
        </row>
        <row r="1302">
          <cell r="A1302">
            <v>34000000</v>
          </cell>
          <cell r="C1302">
            <v>34000000</v>
          </cell>
          <cell r="D1302">
            <v>34000000</v>
          </cell>
          <cell r="E1302">
            <v>34000000</v>
          </cell>
          <cell r="F1302">
            <v>34000000</v>
          </cell>
          <cell r="G1302">
            <v>34000000</v>
          </cell>
          <cell r="H1302">
            <v>34000000</v>
          </cell>
          <cell r="I1302" t="str">
            <v/>
          </cell>
          <cell r="J1302" t="str">
            <v/>
          </cell>
          <cell r="K1302" t="str">
            <v/>
          </cell>
          <cell r="L1302" t="str">
            <v/>
          </cell>
        </row>
        <row r="1303">
          <cell r="A1303">
            <v>34000000</v>
          </cell>
          <cell r="C1303">
            <v>34000000</v>
          </cell>
          <cell r="D1303">
            <v>34000000</v>
          </cell>
          <cell r="E1303">
            <v>34000000</v>
          </cell>
          <cell r="F1303">
            <v>34000000</v>
          </cell>
          <cell r="G1303">
            <v>34000000</v>
          </cell>
          <cell r="H1303">
            <v>34000000</v>
          </cell>
          <cell r="I1303" t="str">
            <v/>
          </cell>
          <cell r="J1303" t="str">
            <v/>
          </cell>
          <cell r="K1303" t="str">
            <v/>
          </cell>
          <cell r="L1303" t="str">
            <v/>
          </cell>
        </row>
        <row r="1304">
          <cell r="A1304">
            <v>34000000</v>
          </cell>
          <cell r="C1304">
            <v>34000000</v>
          </cell>
          <cell r="D1304">
            <v>34000000</v>
          </cell>
          <cell r="E1304">
            <v>34000000</v>
          </cell>
          <cell r="F1304">
            <v>34000000</v>
          </cell>
          <cell r="G1304">
            <v>34000000</v>
          </cell>
          <cell r="H1304">
            <v>34000000</v>
          </cell>
          <cell r="I1304" t="str">
            <v/>
          </cell>
          <cell r="J1304" t="str">
            <v/>
          </cell>
          <cell r="K1304" t="str">
            <v/>
          </cell>
          <cell r="L1304" t="str">
            <v/>
          </cell>
        </row>
        <row r="1305">
          <cell r="A1305">
            <v>34000000</v>
          </cell>
          <cell r="C1305">
            <v>34000000</v>
          </cell>
          <cell r="D1305">
            <v>34000000</v>
          </cell>
          <cell r="E1305">
            <v>34000000</v>
          </cell>
          <cell r="F1305">
            <v>34000000</v>
          </cell>
          <cell r="G1305">
            <v>34000000</v>
          </cell>
          <cell r="H1305">
            <v>34000000</v>
          </cell>
          <cell r="I1305" t="str">
            <v/>
          </cell>
          <cell r="J1305" t="str">
            <v/>
          </cell>
          <cell r="K1305" t="str">
            <v/>
          </cell>
          <cell r="L1305" t="str">
            <v/>
          </cell>
        </row>
        <row r="1306">
          <cell r="A1306">
            <v>34000000</v>
          </cell>
          <cell r="C1306">
            <v>34000000</v>
          </cell>
          <cell r="D1306">
            <v>34000000</v>
          </cell>
          <cell r="E1306">
            <v>34000000</v>
          </cell>
          <cell r="F1306">
            <v>34000000</v>
          </cell>
          <cell r="G1306">
            <v>34000000</v>
          </cell>
          <cell r="H1306">
            <v>34000000</v>
          </cell>
          <cell r="I1306" t="str">
            <v/>
          </cell>
          <cell r="J1306" t="str">
            <v/>
          </cell>
          <cell r="K1306" t="str">
            <v/>
          </cell>
          <cell r="L1306" t="str">
            <v/>
          </cell>
        </row>
        <row r="1307">
          <cell r="A1307">
            <v>34000000</v>
          </cell>
          <cell r="C1307">
            <v>34000000</v>
          </cell>
          <cell r="D1307">
            <v>34000000</v>
          </cell>
          <cell r="E1307">
            <v>34000000</v>
          </cell>
          <cell r="F1307">
            <v>34000000</v>
          </cell>
          <cell r="G1307">
            <v>34000000</v>
          </cell>
          <cell r="H1307">
            <v>34000000</v>
          </cell>
          <cell r="I1307" t="str">
            <v/>
          </cell>
          <cell r="J1307" t="str">
            <v/>
          </cell>
          <cell r="K1307" t="str">
            <v/>
          </cell>
          <cell r="L1307" t="str">
            <v/>
          </cell>
        </row>
        <row r="1308">
          <cell r="A1308">
            <v>34000000</v>
          </cell>
          <cell r="C1308">
            <v>34000000</v>
          </cell>
          <cell r="D1308">
            <v>34000000</v>
          </cell>
          <cell r="E1308">
            <v>34000000</v>
          </cell>
          <cell r="F1308">
            <v>34000000</v>
          </cell>
          <cell r="G1308">
            <v>34000000</v>
          </cell>
          <cell r="H1308">
            <v>34000000</v>
          </cell>
          <cell r="I1308" t="str">
            <v/>
          </cell>
          <cell r="J1308" t="str">
            <v/>
          </cell>
          <cell r="K1308" t="str">
            <v/>
          </cell>
          <cell r="L1308" t="str">
            <v/>
          </cell>
        </row>
        <row r="1309">
          <cell r="A1309">
            <v>34000000</v>
          </cell>
          <cell r="C1309">
            <v>34000000</v>
          </cell>
          <cell r="D1309">
            <v>34000000</v>
          </cell>
          <cell r="E1309">
            <v>34000000</v>
          </cell>
          <cell r="F1309">
            <v>34000000</v>
          </cell>
          <cell r="G1309">
            <v>34000000</v>
          </cell>
          <cell r="H1309">
            <v>34000000</v>
          </cell>
          <cell r="I1309" t="str">
            <v/>
          </cell>
          <cell r="J1309" t="str">
            <v/>
          </cell>
          <cell r="K1309" t="str">
            <v/>
          </cell>
          <cell r="L1309" t="str">
            <v/>
          </cell>
        </row>
        <row r="1310">
          <cell r="A1310">
            <v>34000000</v>
          </cell>
          <cell r="C1310">
            <v>34000000</v>
          </cell>
          <cell r="D1310">
            <v>34000000</v>
          </cell>
          <cell r="E1310">
            <v>34000000</v>
          </cell>
          <cell r="F1310">
            <v>34000000</v>
          </cell>
          <cell r="G1310">
            <v>34000000</v>
          </cell>
          <cell r="H1310">
            <v>34000000</v>
          </cell>
          <cell r="I1310" t="str">
            <v/>
          </cell>
          <cell r="J1310" t="str">
            <v/>
          </cell>
          <cell r="K1310" t="str">
            <v/>
          </cell>
          <cell r="L1310" t="str">
            <v/>
          </cell>
        </row>
        <row r="1311">
          <cell r="A1311">
            <v>34000000</v>
          </cell>
          <cell r="C1311">
            <v>34000000</v>
          </cell>
          <cell r="D1311">
            <v>34000000</v>
          </cell>
          <cell r="E1311">
            <v>34000000</v>
          </cell>
          <cell r="F1311">
            <v>34000000</v>
          </cell>
          <cell r="G1311">
            <v>34000000</v>
          </cell>
          <cell r="H1311">
            <v>34000000</v>
          </cell>
          <cell r="I1311" t="str">
            <v/>
          </cell>
          <cell r="J1311" t="str">
            <v/>
          </cell>
          <cell r="K1311" t="str">
            <v/>
          </cell>
          <cell r="L1311" t="str">
            <v/>
          </cell>
        </row>
        <row r="1312">
          <cell r="A1312">
            <v>34000000</v>
          </cell>
          <cell r="C1312">
            <v>34000000</v>
          </cell>
          <cell r="D1312">
            <v>34000000</v>
          </cell>
          <cell r="E1312">
            <v>34000000</v>
          </cell>
          <cell r="F1312">
            <v>34000000</v>
          </cell>
          <cell r="G1312">
            <v>34000000</v>
          </cell>
          <cell r="H1312">
            <v>34000000</v>
          </cell>
          <cell r="I1312" t="str">
            <v/>
          </cell>
          <cell r="J1312" t="str">
            <v/>
          </cell>
          <cell r="K1312" t="str">
            <v/>
          </cell>
          <cell r="L1312" t="str">
            <v/>
          </cell>
        </row>
        <row r="1313">
          <cell r="A1313">
            <v>34000000</v>
          </cell>
          <cell r="C1313">
            <v>34000000</v>
          </cell>
          <cell r="D1313">
            <v>34000000</v>
          </cell>
          <cell r="E1313">
            <v>34000000</v>
          </cell>
          <cell r="F1313">
            <v>34000000</v>
          </cell>
          <cell r="G1313">
            <v>34000000</v>
          </cell>
          <cell r="H1313">
            <v>34000000</v>
          </cell>
          <cell r="I1313" t="str">
            <v/>
          </cell>
          <cell r="J1313" t="str">
            <v/>
          </cell>
          <cell r="K1313" t="str">
            <v/>
          </cell>
          <cell r="L1313" t="str">
            <v/>
          </cell>
        </row>
        <row r="1314">
          <cell r="A1314">
            <v>34000000</v>
          </cell>
          <cell r="C1314">
            <v>34000000</v>
          </cell>
          <cell r="D1314">
            <v>34000000</v>
          </cell>
          <cell r="E1314">
            <v>34000000</v>
          </cell>
          <cell r="F1314">
            <v>34000000</v>
          </cell>
          <cell r="G1314">
            <v>34000000</v>
          </cell>
          <cell r="H1314">
            <v>34000000</v>
          </cell>
          <cell r="I1314" t="str">
            <v/>
          </cell>
          <cell r="J1314" t="str">
            <v/>
          </cell>
          <cell r="K1314" t="str">
            <v/>
          </cell>
          <cell r="L1314" t="str">
            <v/>
          </cell>
        </row>
        <row r="1315">
          <cell r="A1315">
            <v>34000000</v>
          </cell>
          <cell r="C1315">
            <v>34000000</v>
          </cell>
          <cell r="D1315">
            <v>34000000</v>
          </cell>
          <cell r="E1315">
            <v>34000000</v>
          </cell>
          <cell r="F1315">
            <v>34000000</v>
          </cell>
          <cell r="G1315">
            <v>34000000</v>
          </cell>
          <cell r="H1315">
            <v>34000000</v>
          </cell>
          <cell r="I1315" t="str">
            <v/>
          </cell>
          <cell r="J1315" t="str">
            <v/>
          </cell>
          <cell r="K1315" t="str">
            <v/>
          </cell>
          <cell r="L1315" t="str">
            <v/>
          </cell>
        </row>
        <row r="1316">
          <cell r="A1316">
            <v>34000000</v>
          </cell>
          <cell r="C1316">
            <v>34000000</v>
          </cell>
          <cell r="D1316">
            <v>34000000</v>
          </cell>
          <cell r="E1316">
            <v>34000000</v>
          </cell>
          <cell r="F1316">
            <v>34000000</v>
          </cell>
          <cell r="G1316">
            <v>34000000</v>
          </cell>
          <cell r="H1316">
            <v>34000000</v>
          </cell>
          <cell r="I1316" t="str">
            <v/>
          </cell>
          <cell r="J1316" t="str">
            <v/>
          </cell>
          <cell r="K1316" t="str">
            <v/>
          </cell>
          <cell r="L1316" t="str">
            <v/>
          </cell>
        </row>
        <row r="1317">
          <cell r="A1317">
            <v>34000000</v>
          </cell>
          <cell r="C1317">
            <v>34000000</v>
          </cell>
          <cell r="D1317">
            <v>34000000</v>
          </cell>
          <cell r="E1317">
            <v>34000000</v>
          </cell>
          <cell r="F1317">
            <v>34000000</v>
          </cell>
          <cell r="G1317">
            <v>34000000</v>
          </cell>
          <cell r="H1317">
            <v>34000000</v>
          </cell>
          <cell r="I1317" t="str">
            <v/>
          </cell>
          <cell r="J1317" t="str">
            <v/>
          </cell>
          <cell r="K1317" t="str">
            <v/>
          </cell>
          <cell r="L1317" t="str">
            <v/>
          </cell>
        </row>
        <row r="1318">
          <cell r="A1318">
            <v>34000000</v>
          </cell>
          <cell r="C1318">
            <v>34000000</v>
          </cell>
          <cell r="D1318">
            <v>34000000</v>
          </cell>
          <cell r="E1318">
            <v>34000000</v>
          </cell>
          <cell r="F1318">
            <v>34000000</v>
          </cell>
          <cell r="G1318">
            <v>34000000</v>
          </cell>
          <cell r="H1318">
            <v>34000000</v>
          </cell>
          <cell r="I1318" t="str">
            <v/>
          </cell>
          <cell r="J1318" t="str">
            <v/>
          </cell>
          <cell r="K1318" t="str">
            <v/>
          </cell>
          <cell r="L1318" t="str">
            <v/>
          </cell>
        </row>
        <row r="1319">
          <cell r="A1319">
            <v>34000000</v>
          </cell>
          <cell r="C1319">
            <v>34000000</v>
          </cell>
          <cell r="D1319">
            <v>34000000</v>
          </cell>
          <cell r="E1319">
            <v>34000000</v>
          </cell>
          <cell r="F1319">
            <v>34000000</v>
          </cell>
          <cell r="G1319">
            <v>34000000</v>
          </cell>
          <cell r="H1319">
            <v>34000000</v>
          </cell>
          <cell r="I1319" t="str">
            <v/>
          </cell>
          <cell r="J1319" t="str">
            <v/>
          </cell>
          <cell r="K1319" t="str">
            <v/>
          </cell>
          <cell r="L1319" t="str">
            <v/>
          </cell>
        </row>
        <row r="1320">
          <cell r="A1320">
            <v>34000000</v>
          </cell>
          <cell r="C1320">
            <v>34000000</v>
          </cell>
          <cell r="D1320">
            <v>34000000</v>
          </cell>
          <cell r="E1320">
            <v>34000000</v>
          </cell>
          <cell r="F1320">
            <v>34000000</v>
          </cell>
          <cell r="G1320">
            <v>34000000</v>
          </cell>
          <cell r="H1320">
            <v>34000000</v>
          </cell>
          <cell r="I1320" t="str">
            <v/>
          </cell>
          <cell r="J1320" t="str">
            <v/>
          </cell>
          <cell r="K1320" t="str">
            <v/>
          </cell>
          <cell r="L1320" t="str">
            <v/>
          </cell>
        </row>
        <row r="1321">
          <cell r="A1321">
            <v>34000000</v>
          </cell>
          <cell r="C1321">
            <v>34000000</v>
          </cell>
          <cell r="D1321">
            <v>34000000</v>
          </cell>
          <cell r="E1321">
            <v>34000000</v>
          </cell>
          <cell r="F1321">
            <v>34000000</v>
          </cell>
          <cell r="G1321">
            <v>34000000</v>
          </cell>
          <cell r="H1321">
            <v>34000000</v>
          </cell>
          <cell r="I1321" t="str">
            <v/>
          </cell>
          <cell r="J1321" t="str">
            <v/>
          </cell>
          <cell r="K1321" t="str">
            <v/>
          </cell>
          <cell r="L1321" t="str">
            <v/>
          </cell>
        </row>
        <row r="1322">
          <cell r="A1322">
            <v>34000000</v>
          </cell>
          <cell r="C1322">
            <v>34000000</v>
          </cell>
          <cell r="D1322">
            <v>34000000</v>
          </cell>
          <cell r="E1322">
            <v>34000000</v>
          </cell>
          <cell r="F1322">
            <v>34000000</v>
          </cell>
          <cell r="G1322">
            <v>34000000</v>
          </cell>
          <cell r="H1322">
            <v>34000000</v>
          </cell>
          <cell r="I1322" t="str">
            <v/>
          </cell>
          <cell r="J1322" t="str">
            <v/>
          </cell>
          <cell r="K1322" t="str">
            <v/>
          </cell>
          <cell r="L1322" t="str">
            <v/>
          </cell>
        </row>
        <row r="1323">
          <cell r="A1323">
            <v>34000000</v>
          </cell>
          <cell r="C1323">
            <v>34000000</v>
          </cell>
          <cell r="D1323">
            <v>34000000</v>
          </cell>
          <cell r="E1323">
            <v>34000000</v>
          </cell>
          <cell r="F1323">
            <v>34000000</v>
          </cell>
          <cell r="G1323">
            <v>34000000</v>
          </cell>
          <cell r="H1323">
            <v>34000000</v>
          </cell>
          <cell r="I1323" t="str">
            <v/>
          </cell>
          <cell r="J1323" t="str">
            <v/>
          </cell>
          <cell r="K1323" t="str">
            <v/>
          </cell>
          <cell r="L1323" t="str">
            <v/>
          </cell>
        </row>
        <row r="1324">
          <cell r="A1324">
            <v>34000000</v>
          </cell>
          <cell r="C1324">
            <v>34000000</v>
          </cell>
          <cell r="D1324">
            <v>34000000</v>
          </cell>
          <cell r="E1324">
            <v>34000000</v>
          </cell>
          <cell r="F1324">
            <v>34000000</v>
          </cell>
          <cell r="G1324">
            <v>34000000</v>
          </cell>
          <cell r="H1324">
            <v>34000000</v>
          </cell>
          <cell r="I1324" t="str">
            <v/>
          </cell>
          <cell r="J1324" t="str">
            <v/>
          </cell>
          <cell r="K1324" t="str">
            <v/>
          </cell>
          <cell r="L1324" t="str">
            <v/>
          </cell>
        </row>
        <row r="1325">
          <cell r="A1325">
            <v>34000000</v>
          </cell>
          <cell r="C1325">
            <v>34000000</v>
          </cell>
          <cell r="D1325">
            <v>34000000</v>
          </cell>
          <cell r="E1325">
            <v>34000000</v>
          </cell>
          <cell r="F1325">
            <v>34000000</v>
          </cell>
          <cell r="G1325">
            <v>34000000</v>
          </cell>
          <cell r="H1325">
            <v>34000000</v>
          </cell>
          <cell r="I1325" t="str">
            <v/>
          </cell>
          <cell r="J1325" t="str">
            <v/>
          </cell>
          <cell r="K1325" t="str">
            <v/>
          </cell>
          <cell r="L1325" t="str">
            <v/>
          </cell>
        </row>
        <row r="1326">
          <cell r="A1326">
            <v>34000000</v>
          </cell>
          <cell r="C1326">
            <v>34000000</v>
          </cell>
          <cell r="D1326">
            <v>34000000</v>
          </cell>
          <cell r="E1326">
            <v>34000000</v>
          </cell>
          <cell r="F1326">
            <v>34000000</v>
          </cell>
          <cell r="G1326">
            <v>34000000</v>
          </cell>
          <cell r="H1326">
            <v>34000000</v>
          </cell>
          <cell r="I1326" t="str">
            <v/>
          </cell>
          <cell r="J1326" t="str">
            <v/>
          </cell>
          <cell r="K1326" t="str">
            <v/>
          </cell>
          <cell r="L1326" t="str">
            <v/>
          </cell>
        </row>
        <row r="1327">
          <cell r="A1327">
            <v>34000000</v>
          </cell>
          <cell r="C1327">
            <v>34000000</v>
          </cell>
          <cell r="D1327">
            <v>34000000</v>
          </cell>
          <cell r="E1327">
            <v>34000000</v>
          </cell>
          <cell r="F1327">
            <v>34000000</v>
          </cell>
          <cell r="G1327">
            <v>34000000</v>
          </cell>
          <cell r="H1327">
            <v>34000000</v>
          </cell>
          <cell r="I1327" t="str">
            <v/>
          </cell>
          <cell r="J1327" t="str">
            <v/>
          </cell>
          <cell r="K1327" t="str">
            <v/>
          </cell>
          <cell r="L1327" t="str">
            <v/>
          </cell>
        </row>
        <row r="1328">
          <cell r="A1328">
            <v>34000000</v>
          </cell>
          <cell r="C1328">
            <v>34000000</v>
          </cell>
          <cell r="D1328">
            <v>34000000</v>
          </cell>
          <cell r="E1328">
            <v>34000000</v>
          </cell>
          <cell r="F1328">
            <v>34000000</v>
          </cell>
          <cell r="G1328">
            <v>34000000</v>
          </cell>
          <cell r="H1328">
            <v>34000000</v>
          </cell>
          <cell r="I1328" t="str">
            <v/>
          </cell>
          <cell r="J1328" t="str">
            <v/>
          </cell>
          <cell r="K1328" t="str">
            <v/>
          </cell>
          <cell r="L1328" t="str">
            <v/>
          </cell>
        </row>
        <row r="1329">
          <cell r="A1329">
            <v>34000000</v>
          </cell>
          <cell r="C1329">
            <v>34000000</v>
          </cell>
          <cell r="D1329">
            <v>34000000</v>
          </cell>
          <cell r="E1329">
            <v>34000000</v>
          </cell>
          <cell r="F1329">
            <v>34000000</v>
          </cell>
          <cell r="G1329">
            <v>34000000</v>
          </cell>
          <cell r="H1329">
            <v>34000000</v>
          </cell>
          <cell r="I1329" t="str">
            <v/>
          </cell>
          <cell r="J1329" t="str">
            <v/>
          </cell>
          <cell r="K1329" t="str">
            <v/>
          </cell>
          <cell r="L1329" t="str">
            <v/>
          </cell>
        </row>
        <row r="1330">
          <cell r="A1330">
            <v>34000000</v>
          </cell>
          <cell r="C1330">
            <v>34000000</v>
          </cell>
          <cell r="D1330">
            <v>34000000</v>
          </cell>
          <cell r="E1330">
            <v>34000000</v>
          </cell>
          <cell r="F1330">
            <v>34000000</v>
          </cell>
          <cell r="G1330">
            <v>34000000</v>
          </cell>
          <cell r="H1330">
            <v>34000000</v>
          </cell>
          <cell r="I1330" t="str">
            <v/>
          </cell>
          <cell r="J1330" t="str">
            <v/>
          </cell>
          <cell r="K1330" t="str">
            <v/>
          </cell>
          <cell r="L1330" t="str">
            <v/>
          </cell>
        </row>
        <row r="1331">
          <cell r="A1331">
            <v>34000000</v>
          </cell>
          <cell r="C1331">
            <v>34000000</v>
          </cell>
          <cell r="D1331">
            <v>34000000</v>
          </cell>
          <cell r="E1331">
            <v>34000000</v>
          </cell>
          <cell r="F1331">
            <v>34000000</v>
          </cell>
          <cell r="G1331">
            <v>34000000</v>
          </cell>
          <cell r="H1331">
            <v>34000000</v>
          </cell>
          <cell r="I1331" t="str">
            <v/>
          </cell>
          <cell r="J1331" t="str">
            <v/>
          </cell>
          <cell r="K1331" t="str">
            <v/>
          </cell>
          <cell r="L1331" t="str">
            <v/>
          </cell>
        </row>
        <row r="1332">
          <cell r="A1332">
            <v>34000000</v>
          </cell>
          <cell r="C1332">
            <v>34000000</v>
          </cell>
          <cell r="D1332">
            <v>34000000</v>
          </cell>
          <cell r="E1332">
            <v>34000000</v>
          </cell>
          <cell r="F1332">
            <v>34000000</v>
          </cell>
          <cell r="G1332">
            <v>34000000</v>
          </cell>
          <cell r="H1332">
            <v>34000000</v>
          </cell>
          <cell r="I1332" t="str">
            <v/>
          </cell>
          <cell r="J1332" t="str">
            <v/>
          </cell>
          <cell r="K1332" t="str">
            <v/>
          </cell>
          <cell r="L1332" t="str">
            <v/>
          </cell>
        </row>
        <row r="1333">
          <cell r="A1333">
            <v>34000000</v>
          </cell>
          <cell r="C1333">
            <v>34000000</v>
          </cell>
          <cell r="D1333">
            <v>34000000</v>
          </cell>
          <cell r="E1333">
            <v>34000000</v>
          </cell>
          <cell r="F1333">
            <v>34000000</v>
          </cell>
          <cell r="G1333">
            <v>34000000</v>
          </cell>
          <cell r="H1333">
            <v>34000000</v>
          </cell>
          <cell r="I1333" t="str">
            <v/>
          </cell>
          <cell r="J1333" t="str">
            <v/>
          </cell>
          <cell r="K1333" t="str">
            <v/>
          </cell>
          <cell r="L1333" t="str">
            <v/>
          </cell>
        </row>
        <row r="1334">
          <cell r="A1334">
            <v>34000000</v>
          </cell>
          <cell r="C1334">
            <v>34000000</v>
          </cell>
          <cell r="D1334">
            <v>34000000</v>
          </cell>
          <cell r="E1334">
            <v>34000000</v>
          </cell>
          <cell r="F1334">
            <v>34000000</v>
          </cell>
          <cell r="G1334">
            <v>34000000</v>
          </cell>
          <cell r="H1334">
            <v>34000000</v>
          </cell>
          <cell r="I1334" t="str">
            <v/>
          </cell>
          <cell r="J1334" t="str">
            <v/>
          </cell>
          <cell r="K1334" t="str">
            <v/>
          </cell>
          <cell r="L1334" t="str">
            <v/>
          </cell>
        </row>
        <row r="1335">
          <cell r="A1335">
            <v>34000000</v>
          </cell>
          <cell r="C1335">
            <v>34000000</v>
          </cell>
          <cell r="D1335">
            <v>34000000</v>
          </cell>
          <cell r="E1335">
            <v>34000000</v>
          </cell>
          <cell r="F1335">
            <v>34000000</v>
          </cell>
          <cell r="G1335">
            <v>34000000</v>
          </cell>
          <cell r="H1335">
            <v>34000000</v>
          </cell>
          <cell r="I1335" t="str">
            <v/>
          </cell>
          <cell r="J1335" t="str">
            <v/>
          </cell>
          <cell r="K1335" t="str">
            <v/>
          </cell>
          <cell r="L1335" t="str">
            <v/>
          </cell>
        </row>
        <row r="1336">
          <cell r="A1336">
            <v>34000000</v>
          </cell>
          <cell r="C1336">
            <v>34000000</v>
          </cell>
          <cell r="D1336">
            <v>34000000</v>
          </cell>
          <cell r="E1336">
            <v>34000000</v>
          </cell>
          <cell r="F1336">
            <v>34000000</v>
          </cell>
          <cell r="G1336">
            <v>34000000</v>
          </cell>
          <cell r="H1336">
            <v>34000000</v>
          </cell>
          <cell r="I1336" t="str">
            <v/>
          </cell>
          <cell r="J1336" t="str">
            <v/>
          </cell>
          <cell r="K1336" t="str">
            <v/>
          </cell>
          <cell r="L1336" t="str">
            <v/>
          </cell>
        </row>
        <row r="1337">
          <cell r="A1337">
            <v>34000000</v>
          </cell>
          <cell r="C1337">
            <v>34000000</v>
          </cell>
          <cell r="D1337">
            <v>34000000</v>
          </cell>
          <cell r="E1337">
            <v>34000000</v>
          </cell>
          <cell r="F1337">
            <v>34000000</v>
          </cell>
          <cell r="G1337">
            <v>34000000</v>
          </cell>
          <cell r="H1337">
            <v>34000000</v>
          </cell>
          <cell r="I1337" t="str">
            <v/>
          </cell>
          <cell r="J1337" t="str">
            <v/>
          </cell>
          <cell r="K1337" t="str">
            <v/>
          </cell>
          <cell r="L1337" t="str">
            <v/>
          </cell>
        </row>
        <row r="1338">
          <cell r="A1338">
            <v>34000000</v>
          </cell>
          <cell r="C1338">
            <v>34000000</v>
          </cell>
          <cell r="D1338">
            <v>34000000</v>
          </cell>
          <cell r="E1338">
            <v>34000000</v>
          </cell>
          <cell r="F1338">
            <v>34000000</v>
          </cell>
          <cell r="G1338">
            <v>34000000</v>
          </cell>
          <cell r="H1338">
            <v>34000000</v>
          </cell>
          <cell r="I1338" t="str">
            <v/>
          </cell>
          <cell r="J1338" t="str">
            <v/>
          </cell>
          <cell r="K1338" t="str">
            <v/>
          </cell>
          <cell r="L1338" t="str">
            <v/>
          </cell>
        </row>
        <row r="1339">
          <cell r="A1339">
            <v>34000000</v>
          </cell>
          <cell r="C1339">
            <v>34000000</v>
          </cell>
          <cell r="D1339">
            <v>34000000</v>
          </cell>
          <cell r="E1339">
            <v>34000000</v>
          </cell>
          <cell r="F1339">
            <v>34000000</v>
          </cell>
          <cell r="G1339">
            <v>34000000</v>
          </cell>
          <cell r="H1339">
            <v>34000000</v>
          </cell>
          <cell r="I1339" t="str">
            <v/>
          </cell>
          <cell r="J1339" t="str">
            <v/>
          </cell>
          <cell r="K1339" t="str">
            <v/>
          </cell>
          <cell r="L1339" t="str">
            <v/>
          </cell>
        </row>
        <row r="1340">
          <cell r="A1340">
            <v>34000000</v>
          </cell>
          <cell r="C1340">
            <v>34000000</v>
          </cell>
          <cell r="D1340">
            <v>34000000</v>
          </cell>
          <cell r="E1340">
            <v>34000000</v>
          </cell>
          <cell r="F1340">
            <v>34000000</v>
          </cell>
          <cell r="G1340">
            <v>34000000</v>
          </cell>
          <cell r="H1340">
            <v>34000000</v>
          </cell>
          <cell r="I1340" t="str">
            <v/>
          </cell>
          <cell r="J1340" t="str">
            <v/>
          </cell>
          <cell r="K1340" t="str">
            <v/>
          </cell>
          <cell r="L1340" t="str">
            <v/>
          </cell>
        </row>
        <row r="1341">
          <cell r="A1341">
            <v>34000000</v>
          </cell>
          <cell r="C1341">
            <v>34000000</v>
          </cell>
          <cell r="D1341">
            <v>34000000</v>
          </cell>
          <cell r="E1341">
            <v>34000000</v>
          </cell>
          <cell r="F1341">
            <v>34000000</v>
          </cell>
          <cell r="G1341">
            <v>34000000</v>
          </cell>
          <cell r="H1341">
            <v>34000000</v>
          </cell>
          <cell r="I1341" t="str">
            <v/>
          </cell>
          <cell r="J1341" t="str">
            <v/>
          </cell>
          <cell r="K1341" t="str">
            <v/>
          </cell>
          <cell r="L1341" t="str">
            <v/>
          </cell>
        </row>
        <row r="1342">
          <cell r="A1342">
            <v>34000000</v>
          </cell>
          <cell r="C1342">
            <v>34000000</v>
          </cell>
          <cell r="D1342">
            <v>34000000</v>
          </cell>
          <cell r="E1342">
            <v>34000000</v>
          </cell>
          <cell r="F1342">
            <v>34000000</v>
          </cell>
          <cell r="G1342">
            <v>34000000</v>
          </cell>
          <cell r="H1342">
            <v>34000000</v>
          </cell>
          <cell r="I1342" t="str">
            <v/>
          </cell>
          <cell r="J1342" t="str">
            <v/>
          </cell>
          <cell r="K1342" t="str">
            <v/>
          </cell>
          <cell r="L1342" t="str">
            <v/>
          </cell>
        </row>
        <row r="1343">
          <cell r="A1343">
            <v>34000000</v>
          </cell>
          <cell r="C1343">
            <v>34000000</v>
          </cell>
          <cell r="D1343">
            <v>34000000</v>
          </cell>
          <cell r="E1343">
            <v>34000000</v>
          </cell>
          <cell r="F1343">
            <v>34000000</v>
          </cell>
          <cell r="G1343">
            <v>34000000</v>
          </cell>
          <cell r="H1343">
            <v>34000000</v>
          </cell>
          <cell r="I1343" t="str">
            <v/>
          </cell>
          <cell r="J1343" t="str">
            <v/>
          </cell>
          <cell r="K1343" t="str">
            <v/>
          </cell>
          <cell r="L1343" t="str">
            <v/>
          </cell>
        </row>
        <row r="1344">
          <cell r="A1344">
            <v>34000000</v>
          </cell>
          <cell r="C1344">
            <v>34000000</v>
          </cell>
          <cell r="D1344">
            <v>34000000</v>
          </cell>
          <cell r="E1344">
            <v>34000000</v>
          </cell>
          <cell r="F1344">
            <v>34000000</v>
          </cell>
          <cell r="G1344">
            <v>34000000</v>
          </cell>
          <cell r="H1344">
            <v>34000000</v>
          </cell>
          <cell r="I1344" t="str">
            <v/>
          </cell>
          <cell r="J1344" t="str">
            <v/>
          </cell>
          <cell r="K1344" t="str">
            <v/>
          </cell>
          <cell r="L1344" t="str">
            <v/>
          </cell>
        </row>
        <row r="1345">
          <cell r="A1345">
            <v>34000000</v>
          </cell>
          <cell r="C1345">
            <v>34000000</v>
          </cell>
          <cell r="D1345">
            <v>34000000</v>
          </cell>
          <cell r="E1345">
            <v>34000000</v>
          </cell>
          <cell r="F1345">
            <v>34000000</v>
          </cell>
          <cell r="G1345">
            <v>34000000</v>
          </cell>
          <cell r="H1345">
            <v>34000000</v>
          </cell>
          <cell r="I1345" t="str">
            <v/>
          </cell>
          <cell r="J1345" t="str">
            <v/>
          </cell>
          <cell r="K1345" t="str">
            <v/>
          </cell>
          <cell r="L1345" t="str">
            <v/>
          </cell>
        </row>
        <row r="1346">
          <cell r="A1346">
            <v>34000000</v>
          </cell>
          <cell r="C1346">
            <v>34000000</v>
          </cell>
          <cell r="D1346">
            <v>34000000</v>
          </cell>
          <cell r="E1346">
            <v>34000000</v>
          </cell>
          <cell r="F1346">
            <v>34000000</v>
          </cell>
          <cell r="G1346">
            <v>34000000</v>
          </cell>
          <cell r="H1346">
            <v>34000000</v>
          </cell>
          <cell r="I1346" t="str">
            <v/>
          </cell>
          <cell r="J1346" t="str">
            <v/>
          </cell>
          <cell r="K1346" t="str">
            <v/>
          </cell>
          <cell r="L1346" t="str">
            <v/>
          </cell>
        </row>
        <row r="1347">
          <cell r="A1347">
            <v>34000000</v>
          </cell>
          <cell r="C1347">
            <v>34000000</v>
          </cell>
          <cell r="D1347">
            <v>34000000</v>
          </cell>
          <cell r="E1347">
            <v>34000000</v>
          </cell>
          <cell r="F1347">
            <v>34000000</v>
          </cell>
          <cell r="G1347">
            <v>34000000</v>
          </cell>
          <cell r="H1347">
            <v>34000000</v>
          </cell>
          <cell r="I1347" t="str">
            <v/>
          </cell>
          <cell r="J1347" t="str">
            <v/>
          </cell>
          <cell r="K1347" t="str">
            <v/>
          </cell>
          <cell r="L1347" t="str">
            <v/>
          </cell>
        </row>
        <row r="1348">
          <cell r="A1348">
            <v>34000000</v>
          </cell>
          <cell r="C1348">
            <v>34000000</v>
          </cell>
          <cell r="D1348">
            <v>34000000</v>
          </cell>
          <cell r="E1348">
            <v>34000000</v>
          </cell>
          <cell r="F1348">
            <v>34000000</v>
          </cell>
          <cell r="G1348">
            <v>34000000</v>
          </cell>
          <cell r="H1348">
            <v>34000000</v>
          </cell>
          <cell r="I1348" t="str">
            <v/>
          </cell>
          <cell r="J1348" t="str">
            <v/>
          </cell>
          <cell r="K1348" t="str">
            <v/>
          </cell>
          <cell r="L1348" t="str">
            <v/>
          </cell>
        </row>
        <row r="1349">
          <cell r="A1349">
            <v>34000000</v>
          </cell>
          <cell r="C1349">
            <v>34000000</v>
          </cell>
          <cell r="D1349">
            <v>34000000</v>
          </cell>
          <cell r="E1349">
            <v>34000000</v>
          </cell>
          <cell r="F1349">
            <v>34000000</v>
          </cell>
          <cell r="G1349">
            <v>34000000</v>
          </cell>
          <cell r="H1349">
            <v>34000000</v>
          </cell>
          <cell r="I1349" t="str">
            <v/>
          </cell>
          <cell r="J1349" t="str">
            <v/>
          </cell>
          <cell r="K1349" t="str">
            <v/>
          </cell>
          <cell r="L1349" t="str">
            <v/>
          </cell>
        </row>
        <row r="1350">
          <cell r="A1350">
            <v>34000000</v>
          </cell>
          <cell r="C1350">
            <v>34000000</v>
          </cell>
          <cell r="D1350">
            <v>34000000</v>
          </cell>
          <cell r="E1350">
            <v>34000000</v>
          </cell>
          <cell r="F1350">
            <v>34000000</v>
          </cell>
          <cell r="G1350">
            <v>34000000</v>
          </cell>
          <cell r="H1350">
            <v>34000000</v>
          </cell>
          <cell r="I1350" t="str">
            <v/>
          </cell>
          <cell r="J1350" t="str">
            <v/>
          </cell>
          <cell r="K1350" t="str">
            <v/>
          </cell>
          <cell r="L1350" t="str">
            <v/>
          </cell>
        </row>
        <row r="1351">
          <cell r="A1351">
            <v>34000000</v>
          </cell>
          <cell r="C1351">
            <v>34000000</v>
          </cell>
          <cell r="D1351">
            <v>34000000</v>
          </cell>
          <cell r="E1351">
            <v>34000000</v>
          </cell>
          <cell r="F1351">
            <v>34000000</v>
          </cell>
          <cell r="G1351">
            <v>34000000</v>
          </cell>
          <cell r="H1351">
            <v>34000000</v>
          </cell>
          <cell r="I1351" t="str">
            <v/>
          </cell>
          <cell r="J1351" t="str">
            <v/>
          </cell>
          <cell r="K1351" t="str">
            <v/>
          </cell>
          <cell r="L1351" t="str">
            <v/>
          </cell>
        </row>
        <row r="1352">
          <cell r="A1352">
            <v>34000000</v>
          </cell>
          <cell r="C1352">
            <v>34000000</v>
          </cell>
          <cell r="D1352">
            <v>34000000</v>
          </cell>
          <cell r="E1352">
            <v>34000000</v>
          </cell>
          <cell r="F1352">
            <v>34000000</v>
          </cell>
          <cell r="G1352">
            <v>34000000</v>
          </cell>
          <cell r="H1352">
            <v>34000000</v>
          </cell>
          <cell r="I1352" t="str">
            <v/>
          </cell>
          <cell r="J1352" t="str">
            <v/>
          </cell>
          <cell r="K1352" t="str">
            <v/>
          </cell>
          <cell r="L1352" t="str">
            <v/>
          </cell>
        </row>
        <row r="1353">
          <cell r="A1353">
            <v>34000000</v>
          </cell>
          <cell r="C1353">
            <v>34000000</v>
          </cell>
          <cell r="D1353">
            <v>34000000</v>
          </cell>
          <cell r="E1353">
            <v>34000000</v>
          </cell>
          <cell r="F1353">
            <v>34000000</v>
          </cell>
          <cell r="G1353">
            <v>34000000</v>
          </cell>
          <cell r="H1353">
            <v>34000000</v>
          </cell>
          <cell r="I1353" t="str">
            <v/>
          </cell>
          <cell r="J1353" t="str">
            <v/>
          </cell>
          <cell r="K1353" t="str">
            <v/>
          </cell>
          <cell r="L1353" t="str">
            <v/>
          </cell>
        </row>
        <row r="1354">
          <cell r="A1354">
            <v>34000000</v>
          </cell>
          <cell r="C1354">
            <v>34000000</v>
          </cell>
          <cell r="D1354">
            <v>34000000</v>
          </cell>
          <cell r="E1354">
            <v>34000000</v>
          </cell>
          <cell r="F1354">
            <v>34000000</v>
          </cell>
          <cell r="G1354">
            <v>34000000</v>
          </cell>
          <cell r="H1354">
            <v>34000000</v>
          </cell>
          <cell r="I1354" t="str">
            <v/>
          </cell>
          <cell r="J1354" t="str">
            <v/>
          </cell>
          <cell r="K1354" t="str">
            <v/>
          </cell>
          <cell r="L1354" t="str">
            <v/>
          </cell>
        </row>
        <row r="1355">
          <cell r="A1355">
            <v>34000000</v>
          </cell>
          <cell r="C1355">
            <v>34000000</v>
          </cell>
          <cell r="D1355">
            <v>34000000</v>
          </cell>
          <cell r="E1355">
            <v>34000000</v>
          </cell>
          <cell r="F1355">
            <v>34000000</v>
          </cell>
          <cell r="G1355">
            <v>34000000</v>
          </cell>
          <cell r="H1355">
            <v>34000000</v>
          </cell>
          <cell r="I1355" t="str">
            <v/>
          </cell>
          <cell r="J1355" t="str">
            <v/>
          </cell>
          <cell r="K1355" t="str">
            <v/>
          </cell>
          <cell r="L1355" t="str">
            <v/>
          </cell>
        </row>
        <row r="1356">
          <cell r="A1356">
            <v>34000000</v>
          </cell>
          <cell r="C1356">
            <v>34000000</v>
          </cell>
          <cell r="D1356">
            <v>34000000</v>
          </cell>
          <cell r="E1356">
            <v>34000000</v>
          </cell>
          <cell r="F1356">
            <v>34000000</v>
          </cell>
          <cell r="G1356">
            <v>34000000</v>
          </cell>
          <cell r="H1356">
            <v>34000000</v>
          </cell>
          <cell r="I1356" t="str">
            <v/>
          </cell>
          <cell r="J1356" t="str">
            <v/>
          </cell>
          <cell r="K1356" t="str">
            <v/>
          </cell>
          <cell r="L1356" t="str">
            <v/>
          </cell>
        </row>
        <row r="1357">
          <cell r="A1357">
            <v>34000000</v>
          </cell>
          <cell r="C1357">
            <v>34000000</v>
          </cell>
          <cell r="D1357">
            <v>34000000</v>
          </cell>
          <cell r="E1357">
            <v>34000000</v>
          </cell>
          <cell r="F1357">
            <v>34000000</v>
          </cell>
          <cell r="G1357">
            <v>34000000</v>
          </cell>
          <cell r="H1357">
            <v>34000000</v>
          </cell>
          <cell r="I1357" t="str">
            <v/>
          </cell>
          <cell r="J1357" t="str">
            <v/>
          </cell>
          <cell r="K1357" t="str">
            <v/>
          </cell>
          <cell r="L1357" t="str">
            <v/>
          </cell>
        </row>
        <row r="1358">
          <cell r="A1358">
            <v>34000000</v>
          </cell>
          <cell r="C1358">
            <v>34000000</v>
          </cell>
          <cell r="D1358">
            <v>34000000</v>
          </cell>
          <cell r="E1358">
            <v>34000000</v>
          </cell>
          <cell r="F1358">
            <v>34000000</v>
          </cell>
          <cell r="G1358">
            <v>34000000</v>
          </cell>
          <cell r="H1358">
            <v>34000000</v>
          </cell>
          <cell r="I1358" t="str">
            <v/>
          </cell>
          <cell r="J1358" t="str">
            <v/>
          </cell>
          <cell r="K1358" t="str">
            <v/>
          </cell>
          <cell r="L1358" t="str">
            <v/>
          </cell>
        </row>
        <row r="1359">
          <cell r="A1359">
            <v>34000000</v>
          </cell>
          <cell r="C1359">
            <v>34000000</v>
          </cell>
          <cell r="D1359">
            <v>34000000</v>
          </cell>
          <cell r="E1359">
            <v>34000000</v>
          </cell>
          <cell r="F1359">
            <v>34000000</v>
          </cell>
          <cell r="G1359">
            <v>34000000</v>
          </cell>
          <cell r="H1359">
            <v>34000000</v>
          </cell>
          <cell r="I1359" t="str">
            <v/>
          </cell>
          <cell r="J1359" t="str">
            <v/>
          </cell>
          <cell r="K1359" t="str">
            <v/>
          </cell>
          <cell r="L1359" t="str">
            <v/>
          </cell>
        </row>
        <row r="1360">
          <cell r="A1360">
            <v>34000000</v>
          </cell>
          <cell r="C1360">
            <v>34000000</v>
          </cell>
          <cell r="D1360">
            <v>34000000</v>
          </cell>
          <cell r="E1360">
            <v>34000000</v>
          </cell>
          <cell r="F1360">
            <v>34000000</v>
          </cell>
          <cell r="G1360">
            <v>34000000</v>
          </cell>
          <cell r="H1360">
            <v>34000000</v>
          </cell>
          <cell r="I1360" t="str">
            <v/>
          </cell>
          <cell r="J1360" t="str">
            <v/>
          </cell>
          <cell r="K1360" t="str">
            <v/>
          </cell>
          <cell r="L1360" t="str">
            <v/>
          </cell>
        </row>
        <row r="1361">
          <cell r="A1361">
            <v>34000000</v>
          </cell>
          <cell r="C1361">
            <v>34000000</v>
          </cell>
          <cell r="D1361">
            <v>34000000</v>
          </cell>
          <cell r="E1361">
            <v>34000000</v>
          </cell>
          <cell r="F1361">
            <v>34000000</v>
          </cell>
          <cell r="G1361">
            <v>34000000</v>
          </cell>
          <cell r="H1361">
            <v>34000000</v>
          </cell>
          <cell r="I1361" t="str">
            <v/>
          </cell>
          <cell r="J1361" t="str">
            <v/>
          </cell>
          <cell r="K1361" t="str">
            <v/>
          </cell>
          <cell r="L1361" t="str">
            <v/>
          </cell>
        </row>
        <row r="1362">
          <cell r="A1362">
            <v>34000000</v>
          </cell>
          <cell r="C1362">
            <v>34000000</v>
          </cell>
          <cell r="D1362">
            <v>34000000</v>
          </cell>
          <cell r="E1362">
            <v>34000000</v>
          </cell>
          <cell r="F1362">
            <v>34000000</v>
          </cell>
          <cell r="G1362">
            <v>34000000</v>
          </cell>
          <cell r="H1362">
            <v>34000000</v>
          </cell>
          <cell r="I1362" t="str">
            <v/>
          </cell>
          <cell r="J1362" t="str">
            <v/>
          </cell>
          <cell r="K1362" t="str">
            <v/>
          </cell>
          <cell r="L1362" t="str">
            <v/>
          </cell>
        </row>
        <row r="1363">
          <cell r="A1363">
            <v>34000000</v>
          </cell>
          <cell r="C1363">
            <v>34000000</v>
          </cell>
          <cell r="D1363">
            <v>34000000</v>
          </cell>
          <cell r="E1363">
            <v>34000000</v>
          </cell>
          <cell r="F1363">
            <v>34000000</v>
          </cell>
          <cell r="G1363">
            <v>34000000</v>
          </cell>
          <cell r="H1363">
            <v>34000000</v>
          </cell>
          <cell r="I1363" t="str">
            <v/>
          </cell>
          <cell r="J1363" t="str">
            <v/>
          </cell>
          <cell r="K1363" t="str">
            <v/>
          </cell>
          <cell r="L1363" t="str">
            <v/>
          </cell>
        </row>
        <row r="1364">
          <cell r="A1364">
            <v>34000000</v>
          </cell>
          <cell r="C1364">
            <v>34000000</v>
          </cell>
          <cell r="D1364">
            <v>34000000</v>
          </cell>
          <cell r="E1364">
            <v>34000000</v>
          </cell>
          <cell r="F1364">
            <v>34000000</v>
          </cell>
          <cell r="G1364">
            <v>34000000</v>
          </cell>
          <cell r="H1364">
            <v>34000000</v>
          </cell>
          <cell r="I1364" t="str">
            <v/>
          </cell>
          <cell r="J1364" t="str">
            <v/>
          </cell>
          <cell r="K1364" t="str">
            <v/>
          </cell>
          <cell r="L1364" t="str">
            <v/>
          </cell>
        </row>
        <row r="1365">
          <cell r="A1365">
            <v>34000000</v>
          </cell>
          <cell r="C1365">
            <v>34000000</v>
          </cell>
          <cell r="D1365">
            <v>34000000</v>
          </cell>
          <cell r="E1365">
            <v>34000000</v>
          </cell>
          <cell r="F1365">
            <v>34000000</v>
          </cell>
          <cell r="G1365">
            <v>34000000</v>
          </cell>
          <cell r="H1365">
            <v>34000000</v>
          </cell>
          <cell r="I1365" t="str">
            <v/>
          </cell>
          <cell r="J1365" t="str">
            <v/>
          </cell>
          <cell r="K1365" t="str">
            <v/>
          </cell>
          <cell r="L1365" t="str">
            <v/>
          </cell>
        </row>
        <row r="1366">
          <cell r="A1366">
            <v>34000000</v>
          </cell>
          <cell r="C1366">
            <v>34000000</v>
          </cell>
          <cell r="D1366">
            <v>34000000</v>
          </cell>
          <cell r="E1366">
            <v>34000000</v>
          </cell>
          <cell r="F1366">
            <v>34000000</v>
          </cell>
          <cell r="G1366">
            <v>34000000</v>
          </cell>
          <cell r="H1366">
            <v>34000000</v>
          </cell>
          <cell r="I1366" t="str">
            <v/>
          </cell>
          <cell r="J1366" t="str">
            <v/>
          </cell>
          <cell r="K1366" t="str">
            <v/>
          </cell>
          <cell r="L1366" t="str">
            <v/>
          </cell>
        </row>
        <row r="1367">
          <cell r="A1367">
            <v>34000000</v>
          </cell>
          <cell r="C1367">
            <v>34000000</v>
          </cell>
          <cell r="D1367">
            <v>34000000</v>
          </cell>
          <cell r="E1367">
            <v>34000000</v>
          </cell>
          <cell r="F1367">
            <v>34000000</v>
          </cell>
          <cell r="G1367">
            <v>34000000</v>
          </cell>
          <cell r="H1367">
            <v>34000000</v>
          </cell>
          <cell r="I1367" t="str">
            <v/>
          </cell>
          <cell r="J1367" t="str">
            <v/>
          </cell>
          <cell r="K1367" t="str">
            <v/>
          </cell>
          <cell r="L1367" t="str">
            <v/>
          </cell>
        </row>
        <row r="1368">
          <cell r="A1368">
            <v>34000000</v>
          </cell>
          <cell r="C1368">
            <v>34000000</v>
          </cell>
          <cell r="D1368">
            <v>34000000</v>
          </cell>
          <cell r="E1368">
            <v>34000000</v>
          </cell>
          <cell r="F1368">
            <v>34000000</v>
          </cell>
          <cell r="G1368">
            <v>34000000</v>
          </cell>
          <cell r="H1368">
            <v>34000000</v>
          </cell>
          <cell r="I1368" t="str">
            <v/>
          </cell>
          <cell r="J1368" t="str">
            <v/>
          </cell>
          <cell r="K1368" t="str">
            <v/>
          </cell>
          <cell r="L1368" t="str">
            <v/>
          </cell>
        </row>
        <row r="1369">
          <cell r="A1369">
            <v>34000000</v>
          </cell>
          <cell r="C1369">
            <v>34000000</v>
          </cell>
          <cell r="D1369">
            <v>34000000</v>
          </cell>
          <cell r="E1369">
            <v>34000000</v>
          </cell>
          <cell r="F1369">
            <v>34000000</v>
          </cell>
          <cell r="G1369">
            <v>34000000</v>
          </cell>
          <cell r="H1369">
            <v>34000000</v>
          </cell>
          <cell r="I1369" t="str">
            <v/>
          </cell>
          <cell r="J1369" t="str">
            <v/>
          </cell>
          <cell r="K1369" t="str">
            <v/>
          </cell>
          <cell r="L1369" t="str">
            <v/>
          </cell>
        </row>
        <row r="1370">
          <cell r="A1370">
            <v>34000000</v>
          </cell>
          <cell r="C1370">
            <v>34000000</v>
          </cell>
          <cell r="D1370">
            <v>34000000</v>
          </cell>
          <cell r="E1370">
            <v>34000000</v>
          </cell>
          <cell r="F1370">
            <v>34000000</v>
          </cell>
          <cell r="G1370">
            <v>34000000</v>
          </cell>
          <cell r="H1370">
            <v>34000000</v>
          </cell>
          <cell r="I1370" t="str">
            <v/>
          </cell>
          <cell r="J1370" t="str">
            <v/>
          </cell>
          <cell r="K1370" t="str">
            <v/>
          </cell>
          <cell r="L1370" t="str">
            <v/>
          </cell>
        </row>
        <row r="1371">
          <cell r="A1371">
            <v>34000000</v>
          </cell>
          <cell r="C1371">
            <v>34000000</v>
          </cell>
          <cell r="D1371">
            <v>34000000</v>
          </cell>
          <cell r="E1371">
            <v>34000000</v>
          </cell>
          <cell r="F1371">
            <v>34000000</v>
          </cell>
          <cell r="G1371">
            <v>34000000</v>
          </cell>
          <cell r="H1371">
            <v>34000000</v>
          </cell>
          <cell r="I1371" t="str">
            <v/>
          </cell>
          <cell r="J1371" t="str">
            <v/>
          </cell>
          <cell r="K1371" t="str">
            <v/>
          </cell>
          <cell r="L1371" t="str">
            <v/>
          </cell>
        </row>
        <row r="1372">
          <cell r="A1372">
            <v>34000000</v>
          </cell>
          <cell r="C1372">
            <v>34000000</v>
          </cell>
          <cell r="D1372">
            <v>34000000</v>
          </cell>
          <cell r="E1372">
            <v>34000000</v>
          </cell>
          <cell r="F1372">
            <v>34000000</v>
          </cell>
          <cell r="G1372">
            <v>34000000</v>
          </cell>
          <cell r="H1372">
            <v>34000000</v>
          </cell>
          <cell r="I1372" t="str">
            <v/>
          </cell>
          <cell r="J1372" t="str">
            <v/>
          </cell>
          <cell r="K1372" t="str">
            <v/>
          </cell>
          <cell r="L1372" t="str">
            <v/>
          </cell>
        </row>
        <row r="1373">
          <cell r="A1373">
            <v>34000000</v>
          </cell>
          <cell r="C1373">
            <v>34000000</v>
          </cell>
          <cell r="D1373">
            <v>34000000</v>
          </cell>
          <cell r="E1373">
            <v>34000000</v>
          </cell>
          <cell r="F1373">
            <v>34000000</v>
          </cell>
          <cell r="G1373">
            <v>34000000</v>
          </cell>
          <cell r="H1373">
            <v>34000000</v>
          </cell>
          <cell r="I1373" t="str">
            <v/>
          </cell>
          <cell r="J1373" t="str">
            <v/>
          </cell>
          <cell r="K1373" t="str">
            <v/>
          </cell>
          <cell r="L1373" t="str">
            <v/>
          </cell>
        </row>
        <row r="1374">
          <cell r="A1374">
            <v>34000000</v>
          </cell>
          <cell r="C1374">
            <v>34000000</v>
          </cell>
          <cell r="D1374">
            <v>34000000</v>
          </cell>
          <cell r="E1374">
            <v>34000000</v>
          </cell>
          <cell r="F1374">
            <v>34000000</v>
          </cell>
          <cell r="G1374">
            <v>34000000</v>
          </cell>
          <cell r="H1374">
            <v>34000000</v>
          </cell>
          <cell r="I1374" t="str">
            <v/>
          </cell>
          <cell r="J1374" t="str">
            <v/>
          </cell>
          <cell r="K1374" t="str">
            <v/>
          </cell>
          <cell r="L1374" t="str">
            <v/>
          </cell>
        </row>
        <row r="1375">
          <cell r="A1375">
            <v>34000000</v>
          </cell>
          <cell r="C1375">
            <v>34000000</v>
          </cell>
          <cell r="D1375">
            <v>34000000</v>
          </cell>
          <cell r="E1375">
            <v>34000000</v>
          </cell>
          <cell r="F1375">
            <v>34000000</v>
          </cell>
          <cell r="G1375">
            <v>34000000</v>
          </cell>
          <cell r="H1375">
            <v>34000000</v>
          </cell>
          <cell r="I1375" t="str">
            <v/>
          </cell>
          <cell r="J1375" t="str">
            <v/>
          </cell>
          <cell r="K1375" t="str">
            <v/>
          </cell>
          <cell r="L1375" t="str">
            <v/>
          </cell>
        </row>
        <row r="1376">
          <cell r="A1376">
            <v>34000000</v>
          </cell>
          <cell r="C1376">
            <v>34000000</v>
          </cell>
          <cell r="D1376">
            <v>34000000</v>
          </cell>
          <cell r="E1376">
            <v>34000000</v>
          </cell>
          <cell r="F1376">
            <v>34000000</v>
          </cell>
          <cell r="G1376">
            <v>34000000</v>
          </cell>
          <cell r="H1376">
            <v>34000000</v>
          </cell>
          <cell r="I1376" t="str">
            <v/>
          </cell>
          <cell r="J1376" t="str">
            <v/>
          </cell>
          <cell r="K1376" t="str">
            <v/>
          </cell>
          <cell r="L1376" t="str">
            <v/>
          </cell>
        </row>
        <row r="1377">
          <cell r="A1377">
            <v>34000000</v>
          </cell>
          <cell r="C1377">
            <v>34000000</v>
          </cell>
          <cell r="D1377">
            <v>34000000</v>
          </cell>
          <cell r="E1377">
            <v>34000000</v>
          </cell>
          <cell r="F1377">
            <v>34000000</v>
          </cell>
          <cell r="G1377">
            <v>34000000</v>
          </cell>
          <cell r="H1377">
            <v>34000000</v>
          </cell>
          <cell r="I1377" t="str">
            <v/>
          </cell>
          <cell r="J1377" t="str">
            <v/>
          </cell>
          <cell r="K1377" t="str">
            <v/>
          </cell>
          <cell r="L1377" t="str">
            <v/>
          </cell>
        </row>
        <row r="1378">
          <cell r="A1378">
            <v>34000000</v>
          </cell>
          <cell r="C1378">
            <v>34000000</v>
          </cell>
          <cell r="D1378">
            <v>34000000</v>
          </cell>
          <cell r="E1378">
            <v>34000000</v>
          </cell>
          <cell r="F1378">
            <v>34000000</v>
          </cell>
          <cell r="G1378">
            <v>34000000</v>
          </cell>
          <cell r="H1378">
            <v>34000000</v>
          </cell>
          <cell r="I1378" t="str">
            <v/>
          </cell>
          <cell r="J1378" t="str">
            <v/>
          </cell>
          <cell r="K1378" t="str">
            <v/>
          </cell>
          <cell r="L1378" t="str">
            <v/>
          </cell>
        </row>
        <row r="1379">
          <cell r="A1379">
            <v>34000000</v>
          </cell>
          <cell r="C1379">
            <v>34000000</v>
          </cell>
          <cell r="D1379">
            <v>34000000</v>
          </cell>
          <cell r="E1379">
            <v>34000000</v>
          </cell>
          <cell r="F1379">
            <v>34000000</v>
          </cell>
          <cell r="G1379">
            <v>34000000</v>
          </cell>
          <cell r="H1379">
            <v>34000000</v>
          </cell>
          <cell r="I1379" t="str">
            <v/>
          </cell>
          <cell r="J1379" t="str">
            <v/>
          </cell>
          <cell r="K1379" t="str">
            <v/>
          </cell>
          <cell r="L1379" t="str">
            <v/>
          </cell>
        </row>
        <row r="1380">
          <cell r="A1380">
            <v>34000000</v>
          </cell>
          <cell r="C1380">
            <v>34000000</v>
          </cell>
          <cell r="D1380">
            <v>34000000</v>
          </cell>
          <cell r="E1380">
            <v>34000000</v>
          </cell>
          <cell r="F1380">
            <v>34000000</v>
          </cell>
          <cell r="G1380">
            <v>34000000</v>
          </cell>
          <cell r="H1380">
            <v>34000000</v>
          </cell>
          <cell r="I1380" t="str">
            <v/>
          </cell>
          <cell r="J1380" t="str">
            <v/>
          </cell>
          <cell r="K1380" t="str">
            <v/>
          </cell>
          <cell r="L1380" t="str">
            <v/>
          </cell>
        </row>
        <row r="1381">
          <cell r="A1381">
            <v>34000000</v>
          </cell>
          <cell r="C1381">
            <v>34000000</v>
          </cell>
          <cell r="D1381">
            <v>34000000</v>
          </cell>
          <cell r="E1381">
            <v>34000000</v>
          </cell>
          <cell r="F1381">
            <v>34000000</v>
          </cell>
          <cell r="G1381">
            <v>34000000</v>
          </cell>
          <cell r="H1381">
            <v>34000000</v>
          </cell>
          <cell r="I1381" t="str">
            <v/>
          </cell>
          <cell r="J1381" t="str">
            <v/>
          </cell>
          <cell r="K1381" t="str">
            <v/>
          </cell>
          <cell r="L1381" t="str">
            <v/>
          </cell>
        </row>
        <row r="1382">
          <cell r="A1382">
            <v>34000000</v>
          </cell>
          <cell r="C1382">
            <v>34000000</v>
          </cell>
          <cell r="D1382">
            <v>34000000</v>
          </cell>
          <cell r="E1382">
            <v>34000000</v>
          </cell>
          <cell r="F1382">
            <v>34000000</v>
          </cell>
          <cell r="G1382">
            <v>34000000</v>
          </cell>
          <cell r="H1382">
            <v>34000000</v>
          </cell>
          <cell r="I1382" t="str">
            <v/>
          </cell>
          <cell r="J1382" t="str">
            <v/>
          </cell>
          <cell r="K1382" t="str">
            <v/>
          </cell>
          <cell r="L1382" t="str">
            <v/>
          </cell>
        </row>
        <row r="1383">
          <cell r="A1383">
            <v>34000000</v>
          </cell>
          <cell r="C1383">
            <v>34000000</v>
          </cell>
          <cell r="D1383">
            <v>34000000</v>
          </cell>
          <cell r="E1383">
            <v>34000000</v>
          </cell>
          <cell r="F1383">
            <v>34000000</v>
          </cell>
          <cell r="G1383">
            <v>34000000</v>
          </cell>
          <cell r="H1383">
            <v>34000000</v>
          </cell>
          <cell r="I1383" t="str">
            <v/>
          </cell>
          <cell r="J1383" t="str">
            <v/>
          </cell>
          <cell r="K1383" t="str">
            <v/>
          </cell>
          <cell r="L1383" t="str">
            <v/>
          </cell>
        </row>
        <row r="1384">
          <cell r="A1384">
            <v>34000000</v>
          </cell>
          <cell r="C1384">
            <v>34000000</v>
          </cell>
          <cell r="D1384">
            <v>34000000</v>
          </cell>
          <cell r="E1384">
            <v>34000000</v>
          </cell>
          <cell r="F1384">
            <v>34000000</v>
          </cell>
          <cell r="G1384">
            <v>34000000</v>
          </cell>
          <cell r="H1384">
            <v>34000000</v>
          </cell>
          <cell r="I1384" t="str">
            <v/>
          </cell>
          <cell r="J1384" t="str">
            <v/>
          </cell>
          <cell r="K1384" t="str">
            <v/>
          </cell>
          <cell r="L1384" t="str">
            <v/>
          </cell>
        </row>
        <row r="1385">
          <cell r="A1385">
            <v>34000000</v>
          </cell>
          <cell r="C1385">
            <v>34000000</v>
          </cell>
          <cell r="D1385">
            <v>34000000</v>
          </cell>
          <cell r="E1385">
            <v>34000000</v>
          </cell>
          <cell r="F1385">
            <v>34000000</v>
          </cell>
          <cell r="G1385">
            <v>34000000</v>
          </cell>
          <cell r="H1385">
            <v>34000000</v>
          </cell>
          <cell r="I1385" t="str">
            <v/>
          </cell>
          <cell r="J1385" t="str">
            <v/>
          </cell>
          <cell r="K1385" t="str">
            <v/>
          </cell>
          <cell r="L1385" t="str">
            <v/>
          </cell>
        </row>
        <row r="1386">
          <cell r="A1386">
            <v>34000000</v>
          </cell>
          <cell r="C1386">
            <v>34000000</v>
          </cell>
          <cell r="D1386">
            <v>34000000</v>
          </cell>
          <cell r="E1386">
            <v>34000000</v>
          </cell>
          <cell r="F1386">
            <v>34000000</v>
          </cell>
          <cell r="G1386">
            <v>34000000</v>
          </cell>
          <cell r="H1386">
            <v>34000000</v>
          </cell>
          <cell r="I1386" t="str">
            <v/>
          </cell>
          <cell r="J1386" t="str">
            <v/>
          </cell>
          <cell r="K1386" t="str">
            <v/>
          </cell>
          <cell r="L1386" t="str">
            <v/>
          </cell>
        </row>
        <row r="1387">
          <cell r="A1387">
            <v>34000000</v>
          </cell>
          <cell r="C1387">
            <v>34000000</v>
          </cell>
          <cell r="D1387">
            <v>34000000</v>
          </cell>
          <cell r="E1387">
            <v>34000000</v>
          </cell>
          <cell r="F1387">
            <v>34000000</v>
          </cell>
          <cell r="G1387">
            <v>34000000</v>
          </cell>
          <cell r="H1387">
            <v>34000000</v>
          </cell>
          <cell r="I1387" t="str">
            <v/>
          </cell>
          <cell r="J1387" t="str">
            <v/>
          </cell>
          <cell r="K1387" t="str">
            <v/>
          </cell>
          <cell r="L1387" t="str">
            <v/>
          </cell>
        </row>
        <row r="1388">
          <cell r="A1388">
            <v>34000000</v>
          </cell>
          <cell r="C1388">
            <v>34000000</v>
          </cell>
          <cell r="D1388">
            <v>34000000</v>
          </cell>
          <cell r="E1388">
            <v>34000000</v>
          </cell>
          <cell r="F1388">
            <v>34000000</v>
          </cell>
          <cell r="G1388">
            <v>34000000</v>
          </cell>
          <cell r="H1388">
            <v>34000000</v>
          </cell>
          <cell r="I1388" t="str">
            <v/>
          </cell>
          <cell r="J1388" t="str">
            <v/>
          </cell>
          <cell r="K1388" t="str">
            <v/>
          </cell>
          <cell r="L1388" t="str">
            <v/>
          </cell>
        </row>
        <row r="1389">
          <cell r="A1389">
            <v>34000000</v>
          </cell>
          <cell r="C1389">
            <v>34000000</v>
          </cell>
          <cell r="D1389">
            <v>34000000</v>
          </cell>
          <cell r="E1389">
            <v>34000000</v>
          </cell>
          <cell r="F1389">
            <v>34000000</v>
          </cell>
          <cell r="G1389">
            <v>34000000</v>
          </cell>
          <cell r="H1389">
            <v>34000000</v>
          </cell>
          <cell r="I1389" t="str">
            <v/>
          </cell>
          <cell r="J1389" t="str">
            <v/>
          </cell>
          <cell r="K1389" t="str">
            <v/>
          </cell>
          <cell r="L1389" t="str">
            <v/>
          </cell>
        </row>
        <row r="1390">
          <cell r="A1390">
            <v>34000000</v>
          </cell>
          <cell r="C1390">
            <v>34000000</v>
          </cell>
          <cell r="D1390">
            <v>34000000</v>
          </cell>
          <cell r="E1390">
            <v>34000000</v>
          </cell>
          <cell r="F1390">
            <v>34000000</v>
          </cell>
          <cell r="G1390">
            <v>34000000</v>
          </cell>
          <cell r="H1390">
            <v>34000000</v>
          </cell>
          <cell r="I1390" t="str">
            <v/>
          </cell>
          <cell r="J1390" t="str">
            <v/>
          </cell>
          <cell r="K1390" t="str">
            <v/>
          </cell>
          <cell r="L1390" t="str">
            <v/>
          </cell>
        </row>
        <row r="1391">
          <cell r="A1391">
            <v>34000000</v>
          </cell>
          <cell r="C1391">
            <v>34000000</v>
          </cell>
          <cell r="D1391">
            <v>34000000</v>
          </cell>
          <cell r="E1391">
            <v>34000000</v>
          </cell>
          <cell r="F1391">
            <v>34000000</v>
          </cell>
          <cell r="G1391">
            <v>34000000</v>
          </cell>
          <cell r="H1391">
            <v>34000000</v>
          </cell>
          <cell r="I1391" t="str">
            <v/>
          </cell>
          <cell r="J1391" t="str">
            <v/>
          </cell>
          <cell r="K1391" t="str">
            <v/>
          </cell>
          <cell r="L1391" t="str">
            <v/>
          </cell>
        </row>
        <row r="1392">
          <cell r="A1392">
            <v>34000000</v>
          </cell>
          <cell r="C1392">
            <v>34000000</v>
          </cell>
          <cell r="D1392">
            <v>34000000</v>
          </cell>
          <cell r="E1392">
            <v>34000000</v>
          </cell>
          <cell r="F1392">
            <v>34000000</v>
          </cell>
          <cell r="G1392">
            <v>34000000</v>
          </cell>
          <cell r="H1392">
            <v>34000000</v>
          </cell>
          <cell r="I1392" t="str">
            <v/>
          </cell>
          <cell r="J1392" t="str">
            <v/>
          </cell>
          <cell r="K1392" t="str">
            <v/>
          </cell>
          <cell r="L1392" t="str">
            <v/>
          </cell>
        </row>
        <row r="1393">
          <cell r="A1393">
            <v>34000000</v>
          </cell>
          <cell r="C1393">
            <v>34000000</v>
          </cell>
          <cell r="D1393">
            <v>34000000</v>
          </cell>
          <cell r="E1393">
            <v>34000000</v>
          </cell>
          <cell r="F1393">
            <v>34000000</v>
          </cell>
          <cell r="G1393">
            <v>34000000</v>
          </cell>
          <cell r="H1393">
            <v>34000000</v>
          </cell>
          <cell r="I1393" t="str">
            <v/>
          </cell>
          <cell r="J1393" t="str">
            <v/>
          </cell>
          <cell r="K1393" t="str">
            <v/>
          </cell>
          <cell r="L1393" t="str">
            <v/>
          </cell>
        </row>
        <row r="1394">
          <cell r="A1394">
            <v>34000000</v>
          </cell>
          <cell r="C1394">
            <v>34000000</v>
          </cell>
          <cell r="D1394">
            <v>34000000</v>
          </cell>
          <cell r="E1394">
            <v>34000000</v>
          </cell>
          <cell r="F1394">
            <v>34000000</v>
          </cell>
          <cell r="G1394">
            <v>34000000</v>
          </cell>
          <cell r="H1394">
            <v>34000000</v>
          </cell>
          <cell r="I1394" t="str">
            <v/>
          </cell>
          <cell r="J1394" t="str">
            <v/>
          </cell>
          <cell r="K1394" t="str">
            <v/>
          </cell>
          <cell r="L1394" t="str">
            <v/>
          </cell>
        </row>
        <row r="1395">
          <cell r="A1395">
            <v>34000000</v>
          </cell>
          <cell r="C1395">
            <v>34000000</v>
          </cell>
          <cell r="D1395">
            <v>34000000</v>
          </cell>
          <cell r="E1395">
            <v>34000000</v>
          </cell>
          <cell r="F1395">
            <v>34000000</v>
          </cell>
          <cell r="G1395">
            <v>34000000</v>
          </cell>
          <cell r="H1395">
            <v>34000000</v>
          </cell>
          <cell r="I1395" t="str">
            <v/>
          </cell>
          <cell r="J1395" t="str">
            <v/>
          </cell>
          <cell r="K1395" t="str">
            <v/>
          </cell>
          <cell r="L1395" t="str">
            <v/>
          </cell>
        </row>
        <row r="1396">
          <cell r="A1396">
            <v>34000000</v>
          </cell>
          <cell r="C1396">
            <v>34000000</v>
          </cell>
          <cell r="D1396">
            <v>34000000</v>
          </cell>
          <cell r="E1396">
            <v>34000000</v>
          </cell>
          <cell r="F1396">
            <v>34000000</v>
          </cell>
          <cell r="G1396">
            <v>34000000</v>
          </cell>
          <cell r="H1396">
            <v>34000000</v>
          </cell>
          <cell r="I1396" t="str">
            <v/>
          </cell>
          <cell r="J1396" t="str">
            <v/>
          </cell>
          <cell r="K1396" t="str">
            <v/>
          </cell>
          <cell r="L1396" t="str">
            <v/>
          </cell>
        </row>
        <row r="1397">
          <cell r="A1397">
            <v>34000000</v>
          </cell>
          <cell r="C1397">
            <v>34000000</v>
          </cell>
          <cell r="D1397">
            <v>34000000</v>
          </cell>
          <cell r="E1397">
            <v>34000000</v>
          </cell>
          <cell r="F1397">
            <v>34000000</v>
          </cell>
          <cell r="G1397">
            <v>34000000</v>
          </cell>
          <cell r="H1397">
            <v>34000000</v>
          </cell>
          <cell r="I1397" t="str">
            <v/>
          </cell>
          <cell r="J1397" t="str">
            <v/>
          </cell>
          <cell r="K1397" t="str">
            <v/>
          </cell>
          <cell r="L1397" t="str">
            <v/>
          </cell>
        </row>
        <row r="1398">
          <cell r="A1398">
            <v>34000000</v>
          </cell>
          <cell r="C1398">
            <v>34000000</v>
          </cell>
          <cell r="D1398">
            <v>34000000</v>
          </cell>
          <cell r="E1398">
            <v>34000000</v>
          </cell>
          <cell r="F1398">
            <v>34000000</v>
          </cell>
          <cell r="G1398">
            <v>34000000</v>
          </cell>
          <cell r="H1398">
            <v>34000000</v>
          </cell>
          <cell r="I1398" t="str">
            <v/>
          </cell>
          <cell r="J1398" t="str">
            <v/>
          </cell>
          <cell r="K1398" t="str">
            <v/>
          </cell>
          <cell r="L1398" t="str">
            <v/>
          </cell>
        </row>
        <row r="1399">
          <cell r="A1399">
            <v>34000000</v>
          </cell>
          <cell r="C1399">
            <v>34000000</v>
          </cell>
          <cell r="D1399">
            <v>34000000</v>
          </cell>
          <cell r="E1399">
            <v>34000000</v>
          </cell>
          <cell r="F1399">
            <v>34000000</v>
          </cell>
          <cell r="G1399">
            <v>34000000</v>
          </cell>
          <cell r="H1399">
            <v>34000000</v>
          </cell>
          <cell r="I1399" t="str">
            <v/>
          </cell>
          <cell r="J1399" t="str">
            <v/>
          </cell>
          <cell r="K1399" t="str">
            <v/>
          </cell>
          <cell r="L1399" t="str">
            <v/>
          </cell>
        </row>
        <row r="1400">
          <cell r="A1400">
            <v>34000000</v>
          </cell>
          <cell r="C1400">
            <v>34000000</v>
          </cell>
          <cell r="D1400">
            <v>34000000</v>
          </cell>
          <cell r="E1400">
            <v>34000000</v>
          </cell>
          <cell r="F1400">
            <v>34000000</v>
          </cell>
          <cell r="G1400">
            <v>34000000</v>
          </cell>
          <cell r="H1400">
            <v>34000000</v>
          </cell>
          <cell r="I1400" t="str">
            <v/>
          </cell>
          <cell r="J1400" t="str">
            <v/>
          </cell>
          <cell r="K1400" t="str">
            <v/>
          </cell>
          <cell r="L1400" t="str">
            <v/>
          </cell>
        </row>
        <row r="1401">
          <cell r="A1401">
            <v>34000000</v>
          </cell>
          <cell r="C1401">
            <v>34000000</v>
          </cell>
          <cell r="D1401">
            <v>34000000</v>
          </cell>
          <cell r="E1401">
            <v>34000000</v>
          </cell>
          <cell r="F1401">
            <v>34000000</v>
          </cell>
          <cell r="G1401">
            <v>34000000</v>
          </cell>
          <cell r="H1401">
            <v>34000000</v>
          </cell>
          <cell r="I1401" t="str">
            <v/>
          </cell>
          <cell r="J1401" t="str">
            <v/>
          </cell>
          <cell r="K1401" t="str">
            <v/>
          </cell>
          <cell r="L1401" t="str">
            <v/>
          </cell>
        </row>
        <row r="1402">
          <cell r="A1402">
            <v>34000000</v>
          </cell>
          <cell r="C1402">
            <v>34000000</v>
          </cell>
          <cell r="D1402">
            <v>34000000</v>
          </cell>
          <cell r="E1402">
            <v>34000000</v>
          </cell>
          <cell r="F1402">
            <v>34000000</v>
          </cell>
          <cell r="G1402">
            <v>34000000</v>
          </cell>
          <cell r="H1402">
            <v>34000000</v>
          </cell>
          <cell r="I1402" t="str">
            <v/>
          </cell>
          <cell r="J1402" t="str">
            <v/>
          </cell>
          <cell r="K1402" t="str">
            <v/>
          </cell>
          <cell r="L1402" t="str">
            <v/>
          </cell>
        </row>
        <row r="1403">
          <cell r="A1403">
            <v>34000000</v>
          </cell>
          <cell r="C1403">
            <v>34000000</v>
          </cell>
          <cell r="D1403">
            <v>34000000</v>
          </cell>
          <cell r="E1403">
            <v>34000000</v>
          </cell>
          <cell r="F1403">
            <v>34000000</v>
          </cell>
          <cell r="G1403">
            <v>34000000</v>
          </cell>
          <cell r="H1403">
            <v>34000000</v>
          </cell>
          <cell r="I1403" t="str">
            <v/>
          </cell>
          <cell r="J1403" t="str">
            <v/>
          </cell>
          <cell r="K1403" t="str">
            <v/>
          </cell>
          <cell r="L1403" t="str">
            <v/>
          </cell>
        </row>
        <row r="1404">
          <cell r="A1404">
            <v>34000000</v>
          </cell>
          <cell r="C1404">
            <v>34000000</v>
          </cell>
          <cell r="D1404">
            <v>34000000</v>
          </cell>
          <cell r="E1404">
            <v>34000000</v>
          </cell>
          <cell r="F1404">
            <v>34000000</v>
          </cell>
          <cell r="G1404">
            <v>34000000</v>
          </cell>
          <cell r="H1404">
            <v>34000000</v>
          </cell>
          <cell r="I1404" t="str">
            <v/>
          </cell>
          <cell r="J1404" t="str">
            <v/>
          </cell>
          <cell r="K1404" t="str">
            <v/>
          </cell>
          <cell r="L1404" t="str">
            <v/>
          </cell>
        </row>
        <row r="1405">
          <cell r="A1405">
            <v>34000000</v>
          </cell>
          <cell r="C1405">
            <v>34000000</v>
          </cell>
          <cell r="D1405">
            <v>34000000</v>
          </cell>
          <cell r="E1405">
            <v>34000000</v>
          </cell>
          <cell r="F1405">
            <v>34000000</v>
          </cell>
          <cell r="G1405">
            <v>34000000</v>
          </cell>
          <cell r="H1405">
            <v>34000000</v>
          </cell>
          <cell r="I1405" t="str">
            <v/>
          </cell>
          <cell r="J1405" t="str">
            <v/>
          </cell>
          <cell r="K1405" t="str">
            <v/>
          </cell>
          <cell r="L1405" t="str">
            <v/>
          </cell>
        </row>
        <row r="1406">
          <cell r="A1406">
            <v>34000000</v>
          </cell>
          <cell r="C1406">
            <v>34000000</v>
          </cell>
          <cell r="D1406">
            <v>34000000</v>
          </cell>
          <cell r="E1406">
            <v>34000000</v>
          </cell>
          <cell r="F1406">
            <v>34000000</v>
          </cell>
          <cell r="G1406">
            <v>34000000</v>
          </cell>
          <cell r="H1406">
            <v>34000000</v>
          </cell>
          <cell r="I1406" t="str">
            <v/>
          </cell>
          <cell r="J1406" t="str">
            <v/>
          </cell>
          <cell r="K1406" t="str">
            <v/>
          </cell>
          <cell r="L1406" t="str">
            <v/>
          </cell>
        </row>
        <row r="1407">
          <cell r="A1407">
            <v>34000000</v>
          </cell>
          <cell r="C1407">
            <v>34000000</v>
          </cell>
          <cell r="D1407">
            <v>34000000</v>
          </cell>
          <cell r="E1407">
            <v>34000000</v>
          </cell>
          <cell r="F1407">
            <v>34000000</v>
          </cell>
          <cell r="G1407">
            <v>34000000</v>
          </cell>
          <cell r="H1407">
            <v>34000000</v>
          </cell>
          <cell r="I1407" t="str">
            <v/>
          </cell>
          <cell r="J1407" t="str">
            <v/>
          </cell>
          <cell r="K1407" t="str">
            <v/>
          </cell>
          <cell r="L1407" t="str">
            <v/>
          </cell>
        </row>
        <row r="1408">
          <cell r="A1408">
            <v>34000000</v>
          </cell>
          <cell r="C1408">
            <v>34000000</v>
          </cell>
          <cell r="D1408">
            <v>34000000</v>
          </cell>
          <cell r="E1408">
            <v>34000000</v>
          </cell>
          <cell r="F1408">
            <v>34000000</v>
          </cell>
          <cell r="G1408">
            <v>34000000</v>
          </cell>
          <cell r="H1408">
            <v>34000000</v>
          </cell>
          <cell r="I1408" t="str">
            <v/>
          </cell>
          <cell r="J1408" t="str">
            <v/>
          </cell>
          <cell r="K1408" t="str">
            <v/>
          </cell>
          <cell r="L1408" t="str">
            <v/>
          </cell>
        </row>
        <row r="1409">
          <cell r="A1409">
            <v>34000000</v>
          </cell>
          <cell r="C1409">
            <v>34000000</v>
          </cell>
          <cell r="D1409">
            <v>34000000</v>
          </cell>
          <cell r="E1409">
            <v>34000000</v>
          </cell>
          <cell r="F1409">
            <v>34000000</v>
          </cell>
          <cell r="G1409">
            <v>34000000</v>
          </cell>
          <cell r="H1409">
            <v>34000000</v>
          </cell>
          <cell r="I1409" t="str">
            <v/>
          </cell>
          <cell r="J1409" t="str">
            <v/>
          </cell>
          <cell r="K1409" t="str">
            <v/>
          </cell>
          <cell r="L1409" t="str">
            <v/>
          </cell>
        </row>
        <row r="1410">
          <cell r="A1410">
            <v>34000000</v>
          </cell>
          <cell r="C1410">
            <v>34000000</v>
          </cell>
          <cell r="D1410">
            <v>34000000</v>
          </cell>
          <cell r="E1410">
            <v>34000000</v>
          </cell>
          <cell r="F1410">
            <v>34000000</v>
          </cell>
          <cell r="G1410">
            <v>34000000</v>
          </cell>
          <cell r="H1410">
            <v>34000000</v>
          </cell>
          <cell r="I1410" t="str">
            <v/>
          </cell>
          <cell r="J1410" t="str">
            <v/>
          </cell>
          <cell r="K1410" t="str">
            <v/>
          </cell>
          <cell r="L1410" t="str">
            <v/>
          </cell>
        </row>
        <row r="1411">
          <cell r="A1411">
            <v>34000000</v>
          </cell>
          <cell r="C1411">
            <v>34000000</v>
          </cell>
          <cell r="D1411">
            <v>34000000</v>
          </cell>
          <cell r="E1411">
            <v>34000000</v>
          </cell>
          <cell r="F1411">
            <v>34000000</v>
          </cell>
          <cell r="G1411">
            <v>34000000</v>
          </cell>
          <cell r="H1411">
            <v>34000000</v>
          </cell>
          <cell r="I1411" t="str">
            <v/>
          </cell>
          <cell r="J1411" t="str">
            <v/>
          </cell>
          <cell r="K1411" t="str">
            <v/>
          </cell>
          <cell r="L1411" t="str">
            <v/>
          </cell>
        </row>
        <row r="1412">
          <cell r="A1412">
            <v>34000000</v>
          </cell>
          <cell r="C1412">
            <v>34000000</v>
          </cell>
          <cell r="D1412">
            <v>34000000</v>
          </cell>
          <cell r="E1412">
            <v>34000000</v>
          </cell>
          <cell r="F1412">
            <v>34000000</v>
          </cell>
          <cell r="G1412">
            <v>34000000</v>
          </cell>
          <cell r="H1412">
            <v>34000000</v>
          </cell>
          <cell r="I1412" t="str">
            <v/>
          </cell>
          <cell r="J1412" t="str">
            <v/>
          </cell>
          <cell r="K1412" t="str">
            <v/>
          </cell>
          <cell r="L1412" t="str">
            <v/>
          </cell>
        </row>
        <row r="1413">
          <cell r="A1413">
            <v>34000000</v>
          </cell>
          <cell r="C1413">
            <v>34000000</v>
          </cell>
          <cell r="D1413">
            <v>34000000</v>
          </cell>
          <cell r="E1413">
            <v>34000000</v>
          </cell>
          <cell r="F1413">
            <v>34000000</v>
          </cell>
          <cell r="G1413">
            <v>34000000</v>
          </cell>
          <cell r="H1413">
            <v>34000000</v>
          </cell>
          <cell r="I1413" t="str">
            <v/>
          </cell>
          <cell r="J1413" t="str">
            <v/>
          </cell>
          <cell r="K1413" t="str">
            <v/>
          </cell>
          <cell r="L1413" t="str">
            <v/>
          </cell>
        </row>
        <row r="1414">
          <cell r="A1414">
            <v>34000000</v>
          </cell>
          <cell r="C1414">
            <v>34000000</v>
          </cell>
          <cell r="D1414">
            <v>34000000</v>
          </cell>
          <cell r="E1414">
            <v>34000000</v>
          </cell>
          <cell r="F1414">
            <v>34000000</v>
          </cell>
          <cell r="G1414">
            <v>34000000</v>
          </cell>
          <cell r="H1414">
            <v>34000000</v>
          </cell>
          <cell r="I1414" t="str">
            <v/>
          </cell>
          <cell r="J1414" t="str">
            <v/>
          </cell>
          <cell r="K1414" t="str">
            <v/>
          </cell>
          <cell r="L1414" t="str">
            <v/>
          </cell>
        </row>
        <row r="1415">
          <cell r="A1415">
            <v>34000000</v>
          </cell>
          <cell r="C1415">
            <v>34000000</v>
          </cell>
          <cell r="D1415">
            <v>34000000</v>
          </cell>
          <cell r="E1415">
            <v>34000000</v>
          </cell>
          <cell r="F1415">
            <v>34000000</v>
          </cell>
          <cell r="G1415">
            <v>34000000</v>
          </cell>
          <cell r="H1415">
            <v>34000000</v>
          </cell>
          <cell r="I1415" t="str">
            <v/>
          </cell>
          <cell r="J1415" t="str">
            <v/>
          </cell>
          <cell r="K1415" t="str">
            <v/>
          </cell>
          <cell r="L1415" t="str">
            <v/>
          </cell>
        </row>
        <row r="1416">
          <cell r="A1416">
            <v>34000000</v>
          </cell>
          <cell r="C1416">
            <v>34000000</v>
          </cell>
          <cell r="D1416">
            <v>34000000</v>
          </cell>
          <cell r="E1416">
            <v>34000000</v>
          </cell>
          <cell r="F1416">
            <v>34000000</v>
          </cell>
          <cell r="G1416">
            <v>34000000</v>
          </cell>
          <cell r="H1416">
            <v>34000000</v>
          </cell>
          <cell r="I1416" t="str">
            <v/>
          </cell>
          <cell r="J1416" t="str">
            <v/>
          </cell>
          <cell r="K1416" t="str">
            <v/>
          </cell>
          <cell r="L1416" t="str">
            <v/>
          </cell>
        </row>
        <row r="1417">
          <cell r="A1417">
            <v>34000000</v>
          </cell>
          <cell r="C1417">
            <v>34000000</v>
          </cell>
          <cell r="D1417">
            <v>34000000</v>
          </cell>
          <cell r="E1417">
            <v>34000000</v>
          </cell>
          <cell r="F1417">
            <v>34000000</v>
          </cell>
          <cell r="G1417">
            <v>34000000</v>
          </cell>
          <cell r="H1417">
            <v>34000000</v>
          </cell>
          <cell r="I1417" t="str">
            <v/>
          </cell>
          <cell r="J1417" t="str">
            <v/>
          </cell>
          <cell r="K1417" t="str">
            <v/>
          </cell>
          <cell r="L1417" t="str">
            <v/>
          </cell>
        </row>
        <row r="1418">
          <cell r="A1418">
            <v>34000000</v>
          </cell>
          <cell r="C1418">
            <v>34000000</v>
          </cell>
          <cell r="D1418">
            <v>34000000</v>
          </cell>
          <cell r="E1418">
            <v>34000000</v>
          </cell>
          <cell r="F1418">
            <v>34000000</v>
          </cell>
          <cell r="G1418">
            <v>34000000</v>
          </cell>
          <cell r="H1418">
            <v>34000000</v>
          </cell>
          <cell r="I1418" t="str">
            <v/>
          </cell>
          <cell r="J1418" t="str">
            <v/>
          </cell>
          <cell r="K1418" t="str">
            <v/>
          </cell>
          <cell r="L1418" t="str">
            <v/>
          </cell>
        </row>
        <row r="1419">
          <cell r="A1419">
            <v>34000000</v>
          </cell>
          <cell r="C1419">
            <v>34000000</v>
          </cell>
          <cell r="D1419">
            <v>34000000</v>
          </cell>
          <cell r="E1419">
            <v>34000000</v>
          </cell>
          <cell r="F1419">
            <v>34000000</v>
          </cell>
          <cell r="G1419">
            <v>34000000</v>
          </cell>
          <cell r="H1419">
            <v>34000000</v>
          </cell>
          <cell r="I1419" t="str">
            <v/>
          </cell>
          <cell r="J1419" t="str">
            <v/>
          </cell>
          <cell r="K1419" t="str">
            <v/>
          </cell>
          <cell r="L1419" t="str">
            <v/>
          </cell>
        </row>
        <row r="1420">
          <cell r="A1420">
            <v>34000000</v>
          </cell>
          <cell r="C1420">
            <v>34000000</v>
          </cell>
          <cell r="D1420">
            <v>34000000</v>
          </cell>
          <cell r="E1420">
            <v>34000000</v>
          </cell>
          <cell r="F1420">
            <v>34000000</v>
          </cell>
          <cell r="G1420">
            <v>34000000</v>
          </cell>
          <cell r="H1420">
            <v>34000000</v>
          </cell>
          <cell r="I1420" t="str">
            <v/>
          </cell>
          <cell r="J1420" t="str">
            <v/>
          </cell>
          <cell r="K1420" t="str">
            <v/>
          </cell>
          <cell r="L1420" t="str">
            <v/>
          </cell>
        </row>
        <row r="1421">
          <cell r="A1421">
            <v>34000000</v>
          </cell>
          <cell r="C1421">
            <v>34000000</v>
          </cell>
          <cell r="D1421">
            <v>34000000</v>
          </cell>
          <cell r="E1421">
            <v>34000000</v>
          </cell>
          <cell r="F1421">
            <v>34000000</v>
          </cell>
          <cell r="G1421">
            <v>34000000</v>
          </cell>
          <cell r="H1421">
            <v>34000000</v>
          </cell>
          <cell r="I1421" t="str">
            <v/>
          </cell>
          <cell r="J1421" t="str">
            <v/>
          </cell>
          <cell r="K1421" t="str">
            <v/>
          </cell>
          <cell r="L1421" t="str">
            <v/>
          </cell>
        </row>
        <row r="1422">
          <cell r="A1422">
            <v>34000000</v>
          </cell>
          <cell r="C1422">
            <v>34000000</v>
          </cell>
          <cell r="D1422">
            <v>34000000</v>
          </cell>
          <cell r="E1422">
            <v>34000000</v>
          </cell>
          <cell r="F1422">
            <v>34000000</v>
          </cell>
          <cell r="G1422">
            <v>34000000</v>
          </cell>
          <cell r="H1422">
            <v>34000000</v>
          </cell>
          <cell r="I1422" t="str">
            <v/>
          </cell>
          <cell r="J1422" t="str">
            <v/>
          </cell>
          <cell r="K1422" t="str">
            <v/>
          </cell>
          <cell r="L1422" t="str">
            <v/>
          </cell>
        </row>
        <row r="1423">
          <cell r="A1423">
            <v>34000000</v>
          </cell>
          <cell r="C1423">
            <v>34000000</v>
          </cell>
          <cell r="D1423">
            <v>34000000</v>
          </cell>
          <cell r="E1423">
            <v>34000000</v>
          </cell>
          <cell r="F1423">
            <v>34000000</v>
          </cell>
          <cell r="G1423">
            <v>34000000</v>
          </cell>
          <cell r="H1423">
            <v>34000000</v>
          </cell>
          <cell r="I1423" t="str">
            <v/>
          </cell>
          <cell r="J1423" t="str">
            <v/>
          </cell>
          <cell r="K1423" t="str">
            <v/>
          </cell>
          <cell r="L1423" t="str">
            <v/>
          </cell>
        </row>
        <row r="1424">
          <cell r="A1424">
            <v>34000000</v>
          </cell>
          <cell r="C1424">
            <v>34000000</v>
          </cell>
          <cell r="D1424">
            <v>34000000</v>
          </cell>
          <cell r="E1424">
            <v>34000000</v>
          </cell>
          <cell r="F1424">
            <v>34000000</v>
          </cell>
          <cell r="G1424">
            <v>34000000</v>
          </cell>
          <cell r="H1424">
            <v>34000000</v>
          </cell>
          <cell r="I1424" t="str">
            <v/>
          </cell>
          <cell r="J1424" t="str">
            <v/>
          </cell>
          <cell r="K1424" t="str">
            <v/>
          </cell>
          <cell r="L1424" t="str">
            <v/>
          </cell>
        </row>
        <row r="1425">
          <cell r="A1425">
            <v>34000000</v>
          </cell>
          <cell r="C1425">
            <v>34000000</v>
          </cell>
          <cell r="D1425">
            <v>34000000</v>
          </cell>
          <cell r="E1425">
            <v>34000000</v>
          </cell>
          <cell r="F1425">
            <v>34000000</v>
          </cell>
          <cell r="G1425">
            <v>34000000</v>
          </cell>
          <cell r="H1425">
            <v>34000000</v>
          </cell>
          <cell r="I1425" t="str">
            <v/>
          </cell>
          <cell r="J1425" t="str">
            <v/>
          </cell>
          <cell r="K1425" t="str">
            <v/>
          </cell>
          <cell r="L1425" t="str">
            <v/>
          </cell>
        </row>
        <row r="1426">
          <cell r="A1426">
            <v>34000000</v>
          </cell>
          <cell r="C1426">
            <v>34000000</v>
          </cell>
          <cell r="D1426">
            <v>34000000</v>
          </cell>
          <cell r="E1426">
            <v>34000000</v>
          </cell>
          <cell r="F1426">
            <v>34000000</v>
          </cell>
          <cell r="G1426">
            <v>34000000</v>
          </cell>
          <cell r="H1426">
            <v>34000000</v>
          </cell>
          <cell r="I1426" t="str">
            <v/>
          </cell>
          <cell r="J1426" t="str">
            <v/>
          </cell>
          <cell r="K1426" t="str">
            <v/>
          </cell>
          <cell r="L1426" t="str">
            <v/>
          </cell>
        </row>
        <row r="1427">
          <cell r="A1427">
            <v>34000000</v>
          </cell>
          <cell r="C1427">
            <v>34000000</v>
          </cell>
          <cell r="D1427">
            <v>34000000</v>
          </cell>
          <cell r="E1427">
            <v>34000000</v>
          </cell>
          <cell r="F1427">
            <v>34000000</v>
          </cell>
          <cell r="G1427">
            <v>34000000</v>
          </cell>
          <cell r="H1427">
            <v>34000000</v>
          </cell>
          <cell r="I1427" t="str">
            <v/>
          </cell>
          <cell r="J1427" t="str">
            <v/>
          </cell>
          <cell r="K1427" t="str">
            <v/>
          </cell>
          <cell r="L1427" t="str">
            <v/>
          </cell>
        </row>
        <row r="1428">
          <cell r="A1428">
            <v>34000000</v>
          </cell>
          <cell r="C1428">
            <v>34000000</v>
          </cell>
          <cell r="D1428">
            <v>34000000</v>
          </cell>
          <cell r="E1428">
            <v>34000000</v>
          </cell>
          <cell r="F1428">
            <v>34000000</v>
          </cell>
          <cell r="G1428">
            <v>34000000</v>
          </cell>
          <cell r="H1428">
            <v>34000000</v>
          </cell>
          <cell r="I1428" t="str">
            <v/>
          </cell>
          <cell r="J1428" t="str">
            <v/>
          </cell>
          <cell r="K1428" t="str">
            <v/>
          </cell>
          <cell r="L1428" t="str">
            <v/>
          </cell>
        </row>
        <row r="1429">
          <cell r="A1429">
            <v>34000000</v>
          </cell>
          <cell r="C1429">
            <v>34000000</v>
          </cell>
          <cell r="D1429">
            <v>34000000</v>
          </cell>
          <cell r="E1429">
            <v>34000000</v>
          </cell>
          <cell r="F1429">
            <v>34000000</v>
          </cell>
          <cell r="G1429">
            <v>34000000</v>
          </cell>
          <cell r="H1429">
            <v>34000000</v>
          </cell>
          <cell r="I1429" t="str">
            <v/>
          </cell>
          <cell r="J1429" t="str">
            <v/>
          </cell>
          <cell r="K1429" t="str">
            <v/>
          </cell>
          <cell r="L1429" t="str">
            <v/>
          </cell>
        </row>
        <row r="1430">
          <cell r="A1430">
            <v>34000000</v>
          </cell>
          <cell r="C1430">
            <v>34000000</v>
          </cell>
          <cell r="D1430">
            <v>34000000</v>
          </cell>
          <cell r="E1430">
            <v>34000000</v>
          </cell>
          <cell r="F1430">
            <v>34000000</v>
          </cell>
          <cell r="G1430">
            <v>34000000</v>
          </cell>
          <cell r="H1430">
            <v>34000000</v>
          </cell>
          <cell r="I1430" t="str">
            <v/>
          </cell>
          <cell r="J1430" t="str">
            <v/>
          </cell>
          <cell r="K1430" t="str">
            <v/>
          </cell>
          <cell r="L1430" t="str">
            <v/>
          </cell>
        </row>
        <row r="1431">
          <cell r="A1431">
            <v>34000000</v>
          </cell>
          <cell r="C1431">
            <v>34000000</v>
          </cell>
          <cell r="D1431">
            <v>34000000</v>
          </cell>
          <cell r="E1431">
            <v>34000000</v>
          </cell>
          <cell r="F1431">
            <v>34000000</v>
          </cell>
          <cell r="G1431">
            <v>34000000</v>
          </cell>
          <cell r="H1431">
            <v>34000000</v>
          </cell>
          <cell r="I1431" t="str">
            <v/>
          </cell>
          <cell r="J1431" t="str">
            <v/>
          </cell>
          <cell r="K1431" t="str">
            <v/>
          </cell>
          <cell r="L1431" t="str">
            <v/>
          </cell>
        </row>
        <row r="1432">
          <cell r="A1432">
            <v>34000000</v>
          </cell>
          <cell r="C1432">
            <v>34000000</v>
          </cell>
          <cell r="D1432">
            <v>34000000</v>
          </cell>
          <cell r="E1432">
            <v>34000000</v>
          </cell>
          <cell r="F1432">
            <v>34000000</v>
          </cell>
          <cell r="G1432">
            <v>34000000</v>
          </cell>
          <cell r="H1432">
            <v>34000000</v>
          </cell>
          <cell r="I1432" t="str">
            <v/>
          </cell>
          <cell r="J1432" t="str">
            <v/>
          </cell>
          <cell r="K1432" t="str">
            <v/>
          </cell>
          <cell r="L1432" t="str">
            <v/>
          </cell>
        </row>
        <row r="1433">
          <cell r="A1433">
            <v>34000000</v>
          </cell>
          <cell r="C1433">
            <v>34000000</v>
          </cell>
          <cell r="D1433">
            <v>34000000</v>
          </cell>
          <cell r="E1433">
            <v>34000000</v>
          </cell>
          <cell r="F1433">
            <v>34000000</v>
          </cell>
          <cell r="G1433">
            <v>34000000</v>
          </cell>
          <cell r="H1433">
            <v>34000000</v>
          </cell>
          <cell r="I1433" t="str">
            <v/>
          </cell>
          <cell r="J1433" t="str">
            <v/>
          </cell>
          <cell r="K1433" t="str">
            <v/>
          </cell>
          <cell r="L1433" t="str">
            <v/>
          </cell>
        </row>
        <row r="1434">
          <cell r="A1434">
            <v>34000000</v>
          </cell>
          <cell r="C1434">
            <v>34000000</v>
          </cell>
          <cell r="D1434">
            <v>34000000</v>
          </cell>
          <cell r="E1434">
            <v>34000000</v>
          </cell>
          <cell r="F1434">
            <v>34000000</v>
          </cell>
          <cell r="G1434">
            <v>34000000</v>
          </cell>
          <cell r="H1434">
            <v>34000000</v>
          </cell>
          <cell r="I1434" t="str">
            <v/>
          </cell>
          <cell r="J1434" t="str">
            <v/>
          </cell>
          <cell r="K1434" t="str">
            <v/>
          </cell>
          <cell r="L1434" t="str">
            <v/>
          </cell>
        </row>
        <row r="1435">
          <cell r="A1435">
            <v>34000000</v>
          </cell>
          <cell r="C1435">
            <v>34000000</v>
          </cell>
          <cell r="D1435">
            <v>34000000</v>
          </cell>
          <cell r="E1435">
            <v>34000000</v>
          </cell>
          <cell r="F1435">
            <v>34000000</v>
          </cell>
          <cell r="G1435">
            <v>34000000</v>
          </cell>
          <cell r="H1435">
            <v>34000000</v>
          </cell>
          <cell r="I1435" t="str">
            <v/>
          </cell>
          <cell r="J1435" t="str">
            <v/>
          </cell>
          <cell r="K1435" t="str">
            <v/>
          </cell>
          <cell r="L1435" t="str">
            <v/>
          </cell>
        </row>
        <row r="1436">
          <cell r="A1436">
            <v>34000000</v>
          </cell>
          <cell r="C1436">
            <v>34000000</v>
          </cell>
          <cell r="D1436">
            <v>34000000</v>
          </cell>
          <cell r="E1436">
            <v>34000000</v>
          </cell>
          <cell r="F1436">
            <v>34000000</v>
          </cell>
          <cell r="G1436">
            <v>34000000</v>
          </cell>
          <cell r="H1436">
            <v>34000000</v>
          </cell>
          <cell r="I1436" t="str">
            <v/>
          </cell>
          <cell r="J1436" t="str">
            <v/>
          </cell>
          <cell r="K1436" t="str">
            <v/>
          </cell>
          <cell r="L1436" t="str">
            <v/>
          </cell>
        </row>
        <row r="1437">
          <cell r="A1437">
            <v>34000000</v>
          </cell>
          <cell r="C1437">
            <v>34000000</v>
          </cell>
          <cell r="D1437">
            <v>34000000</v>
          </cell>
          <cell r="E1437">
            <v>34000000</v>
          </cell>
          <cell r="F1437">
            <v>34000000</v>
          </cell>
          <cell r="G1437">
            <v>34000000</v>
          </cell>
          <cell r="H1437">
            <v>34000000</v>
          </cell>
          <cell r="I1437" t="str">
            <v/>
          </cell>
          <cell r="J1437" t="str">
            <v/>
          </cell>
          <cell r="K1437" t="str">
            <v/>
          </cell>
          <cell r="L1437" t="str">
            <v/>
          </cell>
        </row>
        <row r="1438">
          <cell r="A1438">
            <v>34000000</v>
          </cell>
          <cell r="C1438">
            <v>34000000</v>
          </cell>
          <cell r="D1438">
            <v>34000000</v>
          </cell>
          <cell r="E1438">
            <v>34000000</v>
          </cell>
          <cell r="F1438">
            <v>34000000</v>
          </cell>
          <cell r="G1438">
            <v>34000000</v>
          </cell>
          <cell r="H1438">
            <v>34000000</v>
          </cell>
          <cell r="I1438" t="str">
            <v/>
          </cell>
          <cell r="J1438" t="str">
            <v/>
          </cell>
          <cell r="K1438" t="str">
            <v/>
          </cell>
          <cell r="L1438" t="str">
            <v/>
          </cell>
        </row>
        <row r="1439">
          <cell r="A1439">
            <v>34000000</v>
          </cell>
          <cell r="C1439">
            <v>34000000</v>
          </cell>
          <cell r="D1439">
            <v>34000000</v>
          </cell>
          <cell r="E1439">
            <v>34000000</v>
          </cell>
          <cell r="F1439">
            <v>34000000</v>
          </cell>
          <cell r="G1439">
            <v>34000000</v>
          </cell>
          <cell r="H1439">
            <v>34000000</v>
          </cell>
          <cell r="I1439" t="str">
            <v/>
          </cell>
          <cell r="J1439" t="str">
            <v/>
          </cell>
          <cell r="K1439" t="str">
            <v/>
          </cell>
          <cell r="L1439" t="str">
            <v/>
          </cell>
        </row>
        <row r="1440">
          <cell r="A1440">
            <v>34000000</v>
          </cell>
          <cell r="C1440">
            <v>34000000</v>
          </cell>
          <cell r="D1440">
            <v>34000000</v>
          </cell>
          <cell r="E1440">
            <v>34000000</v>
          </cell>
          <cell r="F1440">
            <v>34000000</v>
          </cell>
          <cell r="G1440">
            <v>34000000</v>
          </cell>
          <cell r="H1440">
            <v>34000000</v>
          </cell>
          <cell r="I1440" t="str">
            <v/>
          </cell>
          <cell r="J1440" t="str">
            <v/>
          </cell>
          <cell r="K1440" t="str">
            <v/>
          </cell>
          <cell r="L1440" t="str">
            <v/>
          </cell>
        </row>
        <row r="1441">
          <cell r="A1441">
            <v>34000000</v>
          </cell>
          <cell r="C1441">
            <v>34000000</v>
          </cell>
          <cell r="D1441">
            <v>34000000</v>
          </cell>
          <cell r="E1441">
            <v>34000000</v>
          </cell>
          <cell r="F1441">
            <v>34000000</v>
          </cell>
          <cell r="G1441">
            <v>34000000</v>
          </cell>
          <cell r="H1441">
            <v>34000000</v>
          </cell>
          <cell r="I1441" t="str">
            <v/>
          </cell>
          <cell r="J1441" t="str">
            <v/>
          </cell>
          <cell r="K1441" t="str">
            <v/>
          </cell>
          <cell r="L1441" t="str">
            <v/>
          </cell>
        </row>
        <row r="1442">
          <cell r="A1442">
            <v>34000000</v>
          </cell>
          <cell r="C1442">
            <v>34000000</v>
          </cell>
          <cell r="D1442">
            <v>34000000</v>
          </cell>
          <cell r="E1442">
            <v>34000000</v>
          </cell>
          <cell r="F1442">
            <v>34000000</v>
          </cell>
          <cell r="G1442">
            <v>34000000</v>
          </cell>
          <cell r="H1442">
            <v>34000000</v>
          </cell>
          <cell r="I1442" t="str">
            <v/>
          </cell>
          <cell r="J1442" t="str">
            <v/>
          </cell>
          <cell r="K1442" t="str">
            <v/>
          </cell>
          <cell r="L1442" t="str">
            <v/>
          </cell>
        </row>
        <row r="1443">
          <cell r="A1443">
            <v>34000000</v>
          </cell>
          <cell r="C1443">
            <v>34000000</v>
          </cell>
          <cell r="D1443">
            <v>34000000</v>
          </cell>
          <cell r="E1443">
            <v>34000000</v>
          </cell>
          <cell r="F1443">
            <v>34000000</v>
          </cell>
          <cell r="G1443">
            <v>34000000</v>
          </cell>
          <cell r="H1443">
            <v>34000000</v>
          </cell>
          <cell r="I1443" t="str">
            <v/>
          </cell>
          <cell r="J1443" t="str">
            <v/>
          </cell>
          <cell r="K1443" t="str">
            <v/>
          </cell>
          <cell r="L1443" t="str">
            <v/>
          </cell>
        </row>
        <row r="1444">
          <cell r="A1444">
            <v>34000000</v>
          </cell>
          <cell r="C1444">
            <v>34000000</v>
          </cell>
          <cell r="D1444">
            <v>34000000</v>
          </cell>
          <cell r="E1444">
            <v>34000000</v>
          </cell>
          <cell r="F1444">
            <v>34000000</v>
          </cell>
          <cell r="G1444">
            <v>34000000</v>
          </cell>
          <cell r="H1444">
            <v>34000000</v>
          </cell>
          <cell r="I1444" t="str">
            <v/>
          </cell>
          <cell r="J1444" t="str">
            <v/>
          </cell>
          <cell r="K1444" t="str">
            <v/>
          </cell>
          <cell r="L1444" t="str">
            <v/>
          </cell>
        </row>
        <row r="1445">
          <cell r="A1445">
            <v>34000000</v>
          </cell>
          <cell r="C1445">
            <v>34000000</v>
          </cell>
          <cell r="D1445">
            <v>34000000</v>
          </cell>
          <cell r="E1445">
            <v>34000000</v>
          </cell>
          <cell r="F1445">
            <v>34000000</v>
          </cell>
          <cell r="G1445">
            <v>34000000</v>
          </cell>
          <cell r="H1445">
            <v>34000000</v>
          </cell>
          <cell r="I1445" t="str">
            <v/>
          </cell>
          <cell r="J1445" t="str">
            <v/>
          </cell>
          <cell r="K1445" t="str">
            <v/>
          </cell>
          <cell r="L1445" t="str">
            <v/>
          </cell>
        </row>
        <row r="1446">
          <cell r="A1446">
            <v>34000000</v>
          </cell>
          <cell r="C1446">
            <v>34000000</v>
          </cell>
          <cell r="D1446">
            <v>34000000</v>
          </cell>
          <cell r="E1446">
            <v>34000000</v>
          </cell>
          <cell r="F1446">
            <v>34000000</v>
          </cell>
          <cell r="G1446">
            <v>34000000</v>
          </cell>
          <cell r="H1446">
            <v>34000000</v>
          </cell>
          <cell r="I1446" t="str">
            <v/>
          </cell>
          <cell r="J1446" t="str">
            <v/>
          </cell>
          <cell r="K1446" t="str">
            <v/>
          </cell>
          <cell r="L1446" t="str">
            <v/>
          </cell>
        </row>
        <row r="1447">
          <cell r="A1447">
            <v>34000000</v>
          </cell>
          <cell r="C1447">
            <v>34000000</v>
          </cell>
          <cell r="D1447">
            <v>34000000</v>
          </cell>
          <cell r="E1447">
            <v>34000000</v>
          </cell>
          <cell r="F1447">
            <v>34000000</v>
          </cell>
          <cell r="G1447">
            <v>34000000</v>
          </cell>
          <cell r="H1447">
            <v>34000000</v>
          </cell>
          <cell r="I1447" t="str">
            <v/>
          </cell>
          <cell r="J1447" t="str">
            <v/>
          </cell>
          <cell r="K1447" t="str">
            <v/>
          </cell>
          <cell r="L1447" t="str">
            <v/>
          </cell>
        </row>
        <row r="1448">
          <cell r="A1448">
            <v>34000000</v>
          </cell>
          <cell r="C1448">
            <v>34000000</v>
          </cell>
          <cell r="D1448">
            <v>34000000</v>
          </cell>
          <cell r="E1448">
            <v>34000000</v>
          </cell>
          <cell r="F1448">
            <v>34000000</v>
          </cell>
          <cell r="G1448">
            <v>34000000</v>
          </cell>
          <cell r="H1448">
            <v>34000000</v>
          </cell>
          <cell r="I1448" t="str">
            <v/>
          </cell>
          <cell r="J1448" t="str">
            <v/>
          </cell>
          <cell r="K1448" t="str">
            <v/>
          </cell>
          <cell r="L1448" t="str">
            <v/>
          </cell>
        </row>
        <row r="1449">
          <cell r="A1449">
            <v>34000000</v>
          </cell>
          <cell r="C1449">
            <v>34000000</v>
          </cell>
          <cell r="D1449">
            <v>34000000</v>
          </cell>
          <cell r="E1449">
            <v>34000000</v>
          </cell>
          <cell r="F1449">
            <v>34000000</v>
          </cell>
          <cell r="G1449">
            <v>34000000</v>
          </cell>
          <cell r="H1449">
            <v>34000000</v>
          </cell>
          <cell r="I1449" t="str">
            <v/>
          </cell>
          <cell r="J1449" t="str">
            <v/>
          </cell>
          <cell r="K1449" t="str">
            <v/>
          </cell>
          <cell r="L1449" t="str">
            <v/>
          </cell>
        </row>
        <row r="1450">
          <cell r="A1450">
            <v>34000000</v>
          </cell>
          <cell r="C1450">
            <v>34000000</v>
          </cell>
          <cell r="D1450">
            <v>34000000</v>
          </cell>
          <cell r="E1450">
            <v>34000000</v>
          </cell>
          <cell r="F1450">
            <v>34000000</v>
          </cell>
          <cell r="G1450">
            <v>34000000</v>
          </cell>
          <cell r="H1450">
            <v>34000000</v>
          </cell>
          <cell r="I1450" t="str">
            <v/>
          </cell>
          <cell r="J1450" t="str">
            <v/>
          </cell>
          <cell r="K1450" t="str">
            <v/>
          </cell>
          <cell r="L1450" t="str">
            <v/>
          </cell>
        </row>
        <row r="1451">
          <cell r="A1451">
            <v>34000000</v>
          </cell>
          <cell r="C1451">
            <v>34000000</v>
          </cell>
          <cell r="D1451">
            <v>34000000</v>
          </cell>
          <cell r="E1451">
            <v>34000000</v>
          </cell>
          <cell r="F1451">
            <v>34000000</v>
          </cell>
          <cell r="G1451">
            <v>34000000</v>
          </cell>
          <cell r="H1451">
            <v>34000000</v>
          </cell>
          <cell r="I1451" t="str">
            <v/>
          </cell>
          <cell r="J1451" t="str">
            <v/>
          </cell>
          <cell r="K1451" t="str">
            <v/>
          </cell>
          <cell r="L1451" t="str">
            <v/>
          </cell>
        </row>
        <row r="1452">
          <cell r="A1452">
            <v>34000000</v>
          </cell>
          <cell r="C1452">
            <v>34000000</v>
          </cell>
          <cell r="D1452">
            <v>34000000</v>
          </cell>
          <cell r="E1452">
            <v>34000000</v>
          </cell>
          <cell r="F1452">
            <v>34000000</v>
          </cell>
          <cell r="G1452">
            <v>34000000</v>
          </cell>
          <cell r="H1452">
            <v>34000000</v>
          </cell>
          <cell r="I1452" t="str">
            <v/>
          </cell>
          <cell r="J1452" t="str">
            <v/>
          </cell>
          <cell r="K1452" t="str">
            <v/>
          </cell>
          <cell r="L1452" t="str">
            <v/>
          </cell>
        </row>
        <row r="1453">
          <cell r="A1453">
            <v>34000000</v>
          </cell>
          <cell r="C1453">
            <v>34000000</v>
          </cell>
          <cell r="D1453">
            <v>34000000</v>
          </cell>
          <cell r="E1453">
            <v>34000000</v>
          </cell>
          <cell r="F1453">
            <v>34000000</v>
          </cell>
          <cell r="G1453">
            <v>34000000</v>
          </cell>
          <cell r="H1453">
            <v>34000000</v>
          </cell>
          <cell r="I1453" t="str">
            <v/>
          </cell>
          <cell r="J1453" t="str">
            <v/>
          </cell>
          <cell r="K1453" t="str">
            <v/>
          </cell>
          <cell r="L1453" t="str">
            <v/>
          </cell>
        </row>
        <row r="1454">
          <cell r="A1454">
            <v>34000000</v>
          </cell>
          <cell r="C1454">
            <v>34000000</v>
          </cell>
          <cell r="D1454">
            <v>34000000</v>
          </cell>
          <cell r="E1454">
            <v>34000000</v>
          </cell>
          <cell r="F1454">
            <v>34000000</v>
          </cell>
          <cell r="G1454">
            <v>34000000</v>
          </cell>
          <cell r="H1454">
            <v>34000000</v>
          </cell>
          <cell r="I1454" t="str">
            <v/>
          </cell>
          <cell r="J1454" t="str">
            <v/>
          </cell>
          <cell r="K1454" t="str">
            <v/>
          </cell>
          <cell r="L1454" t="str">
            <v/>
          </cell>
        </row>
        <row r="1455">
          <cell r="A1455">
            <v>34000000</v>
          </cell>
          <cell r="C1455">
            <v>34000000</v>
          </cell>
          <cell r="D1455">
            <v>34000000</v>
          </cell>
          <cell r="E1455">
            <v>34000000</v>
          </cell>
          <cell r="F1455">
            <v>34000000</v>
          </cell>
          <cell r="G1455">
            <v>34000000</v>
          </cell>
          <cell r="H1455">
            <v>34000000</v>
          </cell>
          <cell r="I1455" t="str">
            <v/>
          </cell>
          <cell r="J1455" t="str">
            <v/>
          </cell>
          <cell r="K1455" t="str">
            <v/>
          </cell>
          <cell r="L1455" t="str">
            <v/>
          </cell>
        </row>
        <row r="1456">
          <cell r="A1456">
            <v>34000000</v>
          </cell>
          <cell r="C1456">
            <v>34000000</v>
          </cell>
          <cell r="D1456">
            <v>34000000</v>
          </cell>
          <cell r="E1456">
            <v>34000000</v>
          </cell>
          <cell r="F1456">
            <v>34000000</v>
          </cell>
          <cell r="G1456">
            <v>34000000</v>
          </cell>
          <cell r="H1456">
            <v>34000000</v>
          </cell>
          <cell r="I1456" t="str">
            <v/>
          </cell>
          <cell r="J1456" t="str">
            <v/>
          </cell>
          <cell r="K1456" t="str">
            <v/>
          </cell>
          <cell r="L1456" t="str">
            <v/>
          </cell>
        </row>
        <row r="1457">
          <cell r="A1457">
            <v>34000000</v>
          </cell>
          <cell r="C1457">
            <v>34000000</v>
          </cell>
          <cell r="D1457">
            <v>34000000</v>
          </cell>
          <cell r="E1457">
            <v>34000000</v>
          </cell>
          <cell r="F1457">
            <v>34000000</v>
          </cell>
          <cell r="G1457">
            <v>34000000</v>
          </cell>
          <cell r="H1457">
            <v>34000000</v>
          </cell>
          <cell r="I1457" t="str">
            <v/>
          </cell>
          <cell r="J1457" t="str">
            <v/>
          </cell>
          <cell r="K1457" t="str">
            <v/>
          </cell>
          <cell r="L1457" t="str">
            <v/>
          </cell>
        </row>
        <row r="1458">
          <cell r="A1458">
            <v>34000000</v>
          </cell>
          <cell r="C1458">
            <v>34000000</v>
          </cell>
          <cell r="D1458">
            <v>34000000</v>
          </cell>
          <cell r="E1458">
            <v>34000000</v>
          </cell>
          <cell r="F1458">
            <v>34000000</v>
          </cell>
          <cell r="G1458">
            <v>34000000</v>
          </cell>
          <cell r="H1458">
            <v>34000000</v>
          </cell>
          <cell r="I1458" t="str">
            <v/>
          </cell>
          <cell r="J1458" t="str">
            <v/>
          </cell>
          <cell r="K1458" t="str">
            <v/>
          </cell>
          <cell r="L1458" t="str">
            <v/>
          </cell>
        </row>
        <row r="1459">
          <cell r="A1459">
            <v>34000000</v>
          </cell>
          <cell r="C1459">
            <v>34000000</v>
          </cell>
          <cell r="D1459">
            <v>34000000</v>
          </cell>
          <cell r="E1459">
            <v>34000000</v>
          </cell>
          <cell r="F1459">
            <v>34000000</v>
          </cell>
          <cell r="G1459">
            <v>34000000</v>
          </cell>
          <cell r="H1459">
            <v>34000000</v>
          </cell>
          <cell r="I1459" t="str">
            <v/>
          </cell>
          <cell r="J1459" t="str">
            <v/>
          </cell>
          <cell r="K1459" t="str">
            <v/>
          </cell>
          <cell r="L1459" t="str">
            <v/>
          </cell>
        </row>
        <row r="1460">
          <cell r="A1460">
            <v>34000000</v>
          </cell>
          <cell r="C1460">
            <v>34000000</v>
          </cell>
          <cell r="D1460">
            <v>34000000</v>
          </cell>
          <cell r="E1460">
            <v>34000000</v>
          </cell>
          <cell r="F1460">
            <v>34000000</v>
          </cell>
          <cell r="G1460">
            <v>34000000</v>
          </cell>
          <cell r="H1460">
            <v>34000000</v>
          </cell>
          <cell r="I1460" t="str">
            <v/>
          </cell>
          <cell r="J1460" t="str">
            <v/>
          </cell>
          <cell r="K1460" t="str">
            <v/>
          </cell>
          <cell r="L1460" t="str">
            <v/>
          </cell>
        </row>
        <row r="1461">
          <cell r="A1461">
            <v>34000000</v>
          </cell>
          <cell r="C1461">
            <v>34000000</v>
          </cell>
          <cell r="D1461">
            <v>34000000</v>
          </cell>
          <cell r="E1461">
            <v>34000000</v>
          </cell>
          <cell r="F1461">
            <v>34000000</v>
          </cell>
          <cell r="G1461">
            <v>34000000</v>
          </cell>
          <cell r="H1461">
            <v>34000000</v>
          </cell>
          <cell r="I1461" t="str">
            <v/>
          </cell>
          <cell r="J1461" t="str">
            <v/>
          </cell>
          <cell r="K1461" t="str">
            <v/>
          </cell>
          <cell r="L1461" t="str">
            <v/>
          </cell>
        </row>
        <row r="1462">
          <cell r="A1462">
            <v>34000000</v>
          </cell>
          <cell r="C1462">
            <v>34000000</v>
          </cell>
          <cell r="D1462">
            <v>34000000</v>
          </cell>
          <cell r="E1462">
            <v>34000000</v>
          </cell>
          <cell r="F1462">
            <v>34000000</v>
          </cell>
          <cell r="G1462">
            <v>34000000</v>
          </cell>
          <cell r="H1462">
            <v>34000000</v>
          </cell>
          <cell r="I1462" t="str">
            <v/>
          </cell>
          <cell r="J1462" t="str">
            <v/>
          </cell>
          <cell r="K1462" t="str">
            <v/>
          </cell>
          <cell r="L1462" t="str">
            <v/>
          </cell>
        </row>
        <row r="1463">
          <cell r="A1463">
            <v>34000000</v>
          </cell>
          <cell r="C1463">
            <v>34000000</v>
          </cell>
          <cell r="D1463">
            <v>34000000</v>
          </cell>
          <cell r="E1463">
            <v>34000000</v>
          </cell>
          <cell r="F1463">
            <v>34000000</v>
          </cell>
          <cell r="G1463">
            <v>34000000</v>
          </cell>
          <cell r="H1463">
            <v>34000000</v>
          </cell>
          <cell r="I1463" t="str">
            <v/>
          </cell>
          <cell r="J1463" t="str">
            <v/>
          </cell>
          <cell r="K1463" t="str">
            <v/>
          </cell>
          <cell r="L1463" t="str">
            <v/>
          </cell>
        </row>
        <row r="1464">
          <cell r="A1464">
            <v>34000000</v>
          </cell>
          <cell r="C1464">
            <v>34000000</v>
          </cell>
          <cell r="D1464">
            <v>34000000</v>
          </cell>
          <cell r="E1464">
            <v>34000000</v>
          </cell>
          <cell r="F1464">
            <v>34000000</v>
          </cell>
          <cell r="G1464">
            <v>34000000</v>
          </cell>
          <cell r="H1464">
            <v>34000000</v>
          </cell>
          <cell r="I1464" t="str">
            <v/>
          </cell>
          <cell r="J1464" t="str">
            <v/>
          </cell>
          <cell r="K1464" t="str">
            <v/>
          </cell>
          <cell r="L1464" t="str">
            <v/>
          </cell>
        </row>
        <row r="1465">
          <cell r="A1465">
            <v>34000000</v>
          </cell>
          <cell r="C1465">
            <v>34000000</v>
          </cell>
          <cell r="D1465">
            <v>34000000</v>
          </cell>
          <cell r="E1465">
            <v>34000000</v>
          </cell>
          <cell r="F1465">
            <v>34000000</v>
          </cell>
          <cell r="G1465">
            <v>34000000</v>
          </cell>
          <cell r="H1465">
            <v>34000000</v>
          </cell>
          <cell r="I1465" t="str">
            <v/>
          </cell>
          <cell r="J1465" t="str">
            <v/>
          </cell>
          <cell r="K1465" t="str">
            <v/>
          </cell>
          <cell r="L1465" t="str">
            <v/>
          </cell>
        </row>
        <row r="1466">
          <cell r="A1466">
            <v>34000000</v>
          </cell>
          <cell r="C1466">
            <v>34000000</v>
          </cell>
          <cell r="D1466">
            <v>34000000</v>
          </cell>
          <cell r="E1466">
            <v>34000000</v>
          </cell>
          <cell r="F1466">
            <v>34000000</v>
          </cell>
          <cell r="G1466">
            <v>34000000</v>
          </cell>
          <cell r="H1466">
            <v>34000000</v>
          </cell>
          <cell r="I1466" t="str">
            <v/>
          </cell>
          <cell r="J1466" t="str">
            <v/>
          </cell>
          <cell r="K1466" t="str">
            <v/>
          </cell>
          <cell r="L1466" t="str">
            <v/>
          </cell>
        </row>
        <row r="1467">
          <cell r="A1467">
            <v>34000000</v>
          </cell>
          <cell r="C1467">
            <v>34000000</v>
          </cell>
          <cell r="D1467">
            <v>34000000</v>
          </cell>
          <cell r="E1467">
            <v>34000000</v>
          </cell>
          <cell r="F1467">
            <v>34000000</v>
          </cell>
          <cell r="G1467">
            <v>34000000</v>
          </cell>
          <cell r="H1467">
            <v>34000000</v>
          </cell>
          <cell r="I1467" t="str">
            <v/>
          </cell>
          <cell r="J1467" t="str">
            <v/>
          </cell>
          <cell r="K1467" t="str">
            <v/>
          </cell>
          <cell r="L1467" t="str">
            <v/>
          </cell>
        </row>
        <row r="1468">
          <cell r="A1468">
            <v>34000000</v>
          </cell>
          <cell r="C1468">
            <v>34000000</v>
          </cell>
          <cell r="D1468">
            <v>34000000</v>
          </cell>
          <cell r="E1468">
            <v>34000000</v>
          </cell>
          <cell r="F1468">
            <v>34000000</v>
          </cell>
          <cell r="G1468">
            <v>34000000</v>
          </cell>
          <cell r="H1468">
            <v>34000000</v>
          </cell>
          <cell r="I1468" t="str">
            <v/>
          </cell>
          <cell r="J1468" t="str">
            <v/>
          </cell>
          <cell r="K1468" t="str">
            <v/>
          </cell>
          <cell r="L1468" t="str">
            <v/>
          </cell>
        </row>
        <row r="1469">
          <cell r="A1469">
            <v>34000000</v>
          </cell>
          <cell r="C1469">
            <v>34000000</v>
          </cell>
          <cell r="D1469">
            <v>34000000</v>
          </cell>
          <cell r="E1469">
            <v>34000000</v>
          </cell>
          <cell r="F1469">
            <v>34000000</v>
          </cell>
          <cell r="G1469">
            <v>34000000</v>
          </cell>
          <cell r="H1469">
            <v>34000000</v>
          </cell>
          <cell r="I1469" t="str">
            <v/>
          </cell>
          <cell r="J1469" t="str">
            <v/>
          </cell>
          <cell r="K1469" t="str">
            <v/>
          </cell>
          <cell r="L1469" t="str">
            <v/>
          </cell>
        </row>
        <row r="1470">
          <cell r="A1470">
            <v>34000000</v>
          </cell>
          <cell r="C1470">
            <v>34000000</v>
          </cell>
          <cell r="D1470">
            <v>34000000</v>
          </cell>
          <cell r="E1470">
            <v>34000000</v>
          </cell>
          <cell r="F1470">
            <v>34000000</v>
          </cell>
          <cell r="G1470">
            <v>34000000</v>
          </cell>
          <cell r="H1470">
            <v>34000000</v>
          </cell>
          <cell r="I1470" t="str">
            <v/>
          </cell>
          <cell r="J1470" t="str">
            <v/>
          </cell>
          <cell r="K1470" t="str">
            <v/>
          </cell>
          <cell r="L1470" t="str">
            <v/>
          </cell>
        </row>
        <row r="1471">
          <cell r="A1471">
            <v>34000000</v>
          </cell>
          <cell r="C1471">
            <v>34000000</v>
          </cell>
          <cell r="D1471">
            <v>34000000</v>
          </cell>
          <cell r="E1471">
            <v>34000000</v>
          </cell>
          <cell r="F1471">
            <v>34000000</v>
          </cell>
          <cell r="G1471">
            <v>34000000</v>
          </cell>
          <cell r="H1471">
            <v>34000000</v>
          </cell>
          <cell r="I1471" t="str">
            <v/>
          </cell>
          <cell r="J1471" t="str">
            <v/>
          </cell>
          <cell r="K1471" t="str">
            <v/>
          </cell>
          <cell r="L1471" t="str">
            <v/>
          </cell>
        </row>
        <row r="1472">
          <cell r="A1472">
            <v>34000000</v>
          </cell>
          <cell r="C1472">
            <v>34000000</v>
          </cell>
          <cell r="D1472">
            <v>34000000</v>
          </cell>
          <cell r="E1472">
            <v>34000000</v>
          </cell>
          <cell r="F1472">
            <v>34000000</v>
          </cell>
          <cell r="G1472">
            <v>34000000</v>
          </cell>
          <cell r="H1472">
            <v>34000000</v>
          </cell>
          <cell r="I1472" t="str">
            <v/>
          </cell>
          <cell r="J1472" t="str">
            <v/>
          </cell>
          <cell r="K1472" t="str">
            <v/>
          </cell>
          <cell r="L1472" t="str">
            <v/>
          </cell>
        </row>
        <row r="1473">
          <cell r="A1473">
            <v>34000000</v>
          </cell>
          <cell r="C1473">
            <v>34000000</v>
          </cell>
          <cell r="D1473">
            <v>34000000</v>
          </cell>
          <cell r="E1473">
            <v>34000000</v>
          </cell>
          <cell r="F1473">
            <v>34000000</v>
          </cell>
          <cell r="G1473">
            <v>34000000</v>
          </cell>
          <cell r="H1473">
            <v>34000000</v>
          </cell>
          <cell r="I1473" t="str">
            <v/>
          </cell>
          <cell r="J1473" t="str">
            <v/>
          </cell>
          <cell r="K1473" t="str">
            <v/>
          </cell>
          <cell r="L1473" t="str">
            <v/>
          </cell>
        </row>
        <row r="1474">
          <cell r="A1474">
            <v>34000000</v>
          </cell>
          <cell r="C1474">
            <v>34000000</v>
          </cell>
          <cell r="D1474">
            <v>34000000</v>
          </cell>
          <cell r="E1474">
            <v>34000000</v>
          </cell>
          <cell r="F1474">
            <v>34000000</v>
          </cell>
          <cell r="G1474">
            <v>34000000</v>
          </cell>
          <cell r="H1474">
            <v>34000000</v>
          </cell>
          <cell r="I1474" t="str">
            <v/>
          </cell>
          <cell r="J1474" t="str">
            <v/>
          </cell>
          <cell r="K1474" t="str">
            <v/>
          </cell>
          <cell r="L1474" t="str">
            <v/>
          </cell>
        </row>
        <row r="1475">
          <cell r="A1475">
            <v>34000000</v>
          </cell>
          <cell r="C1475">
            <v>34000000</v>
          </cell>
          <cell r="D1475">
            <v>34000000</v>
          </cell>
          <cell r="E1475">
            <v>34000000</v>
          </cell>
          <cell r="F1475">
            <v>34000000</v>
          </cell>
          <cell r="G1475">
            <v>34000000</v>
          </cell>
          <cell r="H1475">
            <v>34000000</v>
          </cell>
          <cell r="I1475" t="str">
            <v/>
          </cell>
          <cell r="J1475" t="str">
            <v/>
          </cell>
          <cell r="K1475" t="str">
            <v/>
          </cell>
          <cell r="L1475" t="str">
            <v/>
          </cell>
        </row>
        <row r="1476">
          <cell r="A1476">
            <v>34000000</v>
          </cell>
          <cell r="C1476">
            <v>34000000</v>
          </cell>
          <cell r="D1476">
            <v>34000000</v>
          </cell>
          <cell r="E1476">
            <v>34000000</v>
          </cell>
          <cell r="F1476">
            <v>34000000</v>
          </cell>
          <cell r="G1476">
            <v>34000000</v>
          </cell>
          <cell r="H1476">
            <v>34000000</v>
          </cell>
          <cell r="I1476" t="str">
            <v/>
          </cell>
          <cell r="J1476" t="str">
            <v/>
          </cell>
          <cell r="K1476" t="str">
            <v/>
          </cell>
          <cell r="L1476" t="str">
            <v/>
          </cell>
        </row>
        <row r="1477">
          <cell r="A1477">
            <v>34000000</v>
          </cell>
          <cell r="C1477">
            <v>34000000</v>
          </cell>
          <cell r="D1477">
            <v>34000000</v>
          </cell>
          <cell r="E1477">
            <v>34000000</v>
          </cell>
          <cell r="F1477">
            <v>34000000</v>
          </cell>
          <cell r="G1477">
            <v>34000000</v>
          </cell>
          <cell r="H1477">
            <v>34000000</v>
          </cell>
          <cell r="I1477" t="str">
            <v/>
          </cell>
          <cell r="J1477" t="str">
            <v/>
          </cell>
          <cell r="K1477" t="str">
            <v/>
          </cell>
          <cell r="L1477" t="str">
            <v/>
          </cell>
        </row>
        <row r="1478">
          <cell r="A1478">
            <v>34000000</v>
          </cell>
          <cell r="C1478">
            <v>34000000</v>
          </cell>
          <cell r="D1478">
            <v>34000000</v>
          </cell>
          <cell r="E1478">
            <v>34000000</v>
          </cell>
          <cell r="F1478">
            <v>34000000</v>
          </cell>
          <cell r="G1478">
            <v>34000000</v>
          </cell>
          <cell r="H1478">
            <v>34000000</v>
          </cell>
          <cell r="I1478" t="str">
            <v/>
          </cell>
          <cell r="J1478" t="str">
            <v/>
          </cell>
          <cell r="K1478" t="str">
            <v/>
          </cell>
          <cell r="L1478" t="str">
            <v/>
          </cell>
        </row>
        <row r="1479">
          <cell r="A1479">
            <v>34000000</v>
          </cell>
          <cell r="C1479">
            <v>34000000</v>
          </cell>
          <cell r="D1479">
            <v>34000000</v>
          </cell>
          <cell r="E1479">
            <v>34000000</v>
          </cell>
          <cell r="F1479">
            <v>34000000</v>
          </cell>
          <cell r="G1479">
            <v>34000000</v>
          </cell>
          <cell r="H1479">
            <v>34000000</v>
          </cell>
          <cell r="I1479" t="str">
            <v/>
          </cell>
          <cell r="J1479" t="str">
            <v/>
          </cell>
          <cell r="K1479" t="str">
            <v/>
          </cell>
          <cell r="L1479" t="str">
            <v/>
          </cell>
        </row>
        <row r="1480">
          <cell r="A1480">
            <v>34000000</v>
          </cell>
          <cell r="C1480">
            <v>34000000</v>
          </cell>
          <cell r="D1480">
            <v>34000000</v>
          </cell>
          <cell r="E1480">
            <v>34000000</v>
          </cell>
          <cell r="F1480">
            <v>34000000</v>
          </cell>
          <cell r="G1480">
            <v>34000000</v>
          </cell>
          <cell r="H1480">
            <v>34000000</v>
          </cell>
          <cell r="I1480" t="str">
            <v/>
          </cell>
          <cell r="J1480" t="str">
            <v/>
          </cell>
          <cell r="K1480" t="str">
            <v/>
          </cell>
          <cell r="L1480" t="str">
            <v/>
          </cell>
        </row>
        <row r="1481">
          <cell r="A1481">
            <v>34000000</v>
          </cell>
          <cell r="C1481">
            <v>34000000</v>
          </cell>
          <cell r="D1481">
            <v>34000000</v>
          </cell>
          <cell r="E1481">
            <v>34000000</v>
          </cell>
          <cell r="F1481">
            <v>34000000</v>
          </cell>
          <cell r="G1481">
            <v>34000000</v>
          </cell>
          <cell r="H1481">
            <v>34000000</v>
          </cell>
          <cell r="I1481" t="str">
            <v/>
          </cell>
          <cell r="J1481" t="str">
            <v/>
          </cell>
          <cell r="K1481" t="str">
            <v/>
          </cell>
          <cell r="L1481" t="str">
            <v/>
          </cell>
        </row>
        <row r="1482">
          <cell r="A1482">
            <v>34000000</v>
          </cell>
          <cell r="C1482">
            <v>34000000</v>
          </cell>
          <cell r="D1482">
            <v>34000000</v>
          </cell>
          <cell r="E1482">
            <v>34000000</v>
          </cell>
          <cell r="F1482">
            <v>34000000</v>
          </cell>
          <cell r="G1482">
            <v>34000000</v>
          </cell>
          <cell r="H1482">
            <v>34000000</v>
          </cell>
          <cell r="I1482" t="str">
            <v/>
          </cell>
          <cell r="J1482" t="str">
            <v/>
          </cell>
          <cell r="K1482" t="str">
            <v/>
          </cell>
          <cell r="L1482" t="str">
            <v/>
          </cell>
        </row>
        <row r="1483">
          <cell r="A1483">
            <v>34000000</v>
          </cell>
          <cell r="C1483">
            <v>34000000</v>
          </cell>
          <cell r="D1483">
            <v>34000000</v>
          </cell>
          <cell r="E1483">
            <v>34000000</v>
          </cell>
          <cell r="F1483">
            <v>34000000</v>
          </cell>
          <cell r="G1483">
            <v>34000000</v>
          </cell>
          <cell r="H1483">
            <v>34000000</v>
          </cell>
          <cell r="I1483" t="str">
            <v/>
          </cell>
          <cell r="J1483" t="str">
            <v/>
          </cell>
          <cell r="K1483" t="str">
            <v/>
          </cell>
          <cell r="L1483" t="str">
            <v/>
          </cell>
        </row>
        <row r="1484">
          <cell r="A1484">
            <v>34000000</v>
          </cell>
          <cell r="C1484">
            <v>34000000</v>
          </cell>
          <cell r="D1484">
            <v>34000000</v>
          </cell>
          <cell r="E1484">
            <v>34000000</v>
          </cell>
          <cell r="F1484">
            <v>34000000</v>
          </cell>
          <cell r="G1484">
            <v>34000000</v>
          </cell>
          <cell r="H1484">
            <v>34000000</v>
          </cell>
          <cell r="I1484" t="str">
            <v/>
          </cell>
          <cell r="J1484" t="str">
            <v/>
          </cell>
          <cell r="K1484" t="str">
            <v/>
          </cell>
          <cell r="L1484" t="str">
            <v/>
          </cell>
        </row>
        <row r="1485">
          <cell r="A1485">
            <v>34000000</v>
          </cell>
          <cell r="C1485">
            <v>34000000</v>
          </cell>
          <cell r="D1485">
            <v>34000000</v>
          </cell>
          <cell r="E1485">
            <v>34000000</v>
          </cell>
          <cell r="F1485">
            <v>34000000</v>
          </cell>
          <cell r="G1485">
            <v>34000000</v>
          </cell>
          <cell r="H1485">
            <v>34000000</v>
          </cell>
          <cell r="I1485" t="str">
            <v/>
          </cell>
          <cell r="J1485" t="str">
            <v/>
          </cell>
          <cell r="K1485" t="str">
            <v/>
          </cell>
          <cell r="L1485" t="str">
            <v/>
          </cell>
        </row>
        <row r="1486">
          <cell r="A1486">
            <v>34000000</v>
          </cell>
          <cell r="C1486">
            <v>34000000</v>
          </cell>
          <cell r="D1486">
            <v>34000000</v>
          </cell>
          <cell r="E1486">
            <v>34000000</v>
          </cell>
          <cell r="F1486">
            <v>34000000</v>
          </cell>
          <cell r="G1486">
            <v>34000000</v>
          </cell>
          <cell r="H1486">
            <v>34000000</v>
          </cell>
          <cell r="I1486" t="str">
            <v/>
          </cell>
          <cell r="J1486" t="str">
            <v/>
          </cell>
          <cell r="K1486" t="str">
            <v/>
          </cell>
          <cell r="L1486" t="str">
            <v/>
          </cell>
        </row>
        <row r="1487">
          <cell r="A1487">
            <v>34000000</v>
          </cell>
          <cell r="C1487">
            <v>34000000</v>
          </cell>
          <cell r="D1487">
            <v>34000000</v>
          </cell>
          <cell r="E1487">
            <v>34000000</v>
          </cell>
          <cell r="F1487">
            <v>34000000</v>
          </cell>
          <cell r="G1487">
            <v>34000000</v>
          </cell>
          <cell r="H1487">
            <v>34000000</v>
          </cell>
          <cell r="I1487" t="str">
            <v/>
          </cell>
          <cell r="J1487" t="str">
            <v/>
          </cell>
          <cell r="K1487" t="str">
            <v/>
          </cell>
          <cell r="L1487" t="str">
            <v/>
          </cell>
        </row>
        <row r="1488">
          <cell r="A1488">
            <v>34000000</v>
          </cell>
          <cell r="C1488">
            <v>34000000</v>
          </cell>
          <cell r="D1488">
            <v>34000000</v>
          </cell>
          <cell r="E1488">
            <v>34000000</v>
          </cell>
          <cell r="F1488">
            <v>34000000</v>
          </cell>
          <cell r="G1488">
            <v>34000000</v>
          </cell>
          <cell r="H1488">
            <v>34000000</v>
          </cell>
          <cell r="I1488" t="str">
            <v/>
          </cell>
          <cell r="J1488" t="str">
            <v/>
          </cell>
          <cell r="K1488" t="str">
            <v/>
          </cell>
          <cell r="L1488" t="str">
            <v/>
          </cell>
        </row>
        <row r="1489">
          <cell r="A1489">
            <v>34000000</v>
          </cell>
          <cell r="C1489">
            <v>34000000</v>
          </cell>
          <cell r="D1489">
            <v>34000000</v>
          </cell>
          <cell r="E1489">
            <v>34000000</v>
          </cell>
          <cell r="F1489">
            <v>34000000</v>
          </cell>
          <cell r="G1489">
            <v>34000000</v>
          </cell>
          <cell r="H1489">
            <v>34000000</v>
          </cell>
          <cell r="I1489" t="str">
            <v/>
          </cell>
          <cell r="J1489" t="str">
            <v/>
          </cell>
          <cell r="K1489" t="str">
            <v/>
          </cell>
          <cell r="L1489" t="str">
            <v/>
          </cell>
        </row>
        <row r="1490">
          <cell r="A1490">
            <v>34000000</v>
          </cell>
          <cell r="C1490">
            <v>34000000</v>
          </cell>
          <cell r="D1490">
            <v>34000000</v>
          </cell>
          <cell r="E1490">
            <v>34000000</v>
          </cell>
          <cell r="F1490">
            <v>34000000</v>
          </cell>
          <cell r="G1490">
            <v>34000000</v>
          </cell>
          <cell r="H1490">
            <v>34000000</v>
          </cell>
          <cell r="I1490" t="str">
            <v/>
          </cell>
          <cell r="J1490" t="str">
            <v/>
          </cell>
          <cell r="K1490" t="str">
            <v/>
          </cell>
          <cell r="L1490" t="str">
            <v/>
          </cell>
        </row>
        <row r="1491">
          <cell r="A1491">
            <v>34000000</v>
          </cell>
          <cell r="C1491">
            <v>34000000</v>
          </cell>
          <cell r="D1491">
            <v>34000000</v>
          </cell>
          <cell r="E1491">
            <v>34000000</v>
          </cell>
          <cell r="F1491">
            <v>34000000</v>
          </cell>
          <cell r="G1491">
            <v>34000000</v>
          </cell>
          <cell r="H1491">
            <v>34000000</v>
          </cell>
          <cell r="I1491" t="str">
            <v/>
          </cell>
          <cell r="J1491" t="str">
            <v/>
          </cell>
          <cell r="K1491" t="str">
            <v/>
          </cell>
          <cell r="L1491" t="str">
            <v/>
          </cell>
        </row>
        <row r="1492">
          <cell r="A1492">
            <v>34000000</v>
          </cell>
          <cell r="C1492">
            <v>34000000</v>
          </cell>
          <cell r="D1492">
            <v>34000000</v>
          </cell>
          <cell r="E1492">
            <v>34000000</v>
          </cell>
          <cell r="F1492">
            <v>34000000</v>
          </cell>
          <cell r="G1492">
            <v>34000000</v>
          </cell>
          <cell r="H1492">
            <v>34000000</v>
          </cell>
          <cell r="I1492" t="str">
            <v/>
          </cell>
          <cell r="J1492" t="str">
            <v/>
          </cell>
          <cell r="K1492" t="str">
            <v/>
          </cell>
          <cell r="L1492" t="str">
            <v/>
          </cell>
        </row>
        <row r="1493">
          <cell r="A1493">
            <v>34000000</v>
          </cell>
          <cell r="C1493">
            <v>34000000</v>
          </cell>
          <cell r="D1493">
            <v>34000000</v>
          </cell>
          <cell r="E1493">
            <v>34000000</v>
          </cell>
          <cell r="F1493">
            <v>34000000</v>
          </cell>
          <cell r="G1493">
            <v>34000000</v>
          </cell>
          <cell r="H1493">
            <v>34000000</v>
          </cell>
          <cell r="I1493" t="str">
            <v/>
          </cell>
          <cell r="J1493" t="str">
            <v/>
          </cell>
          <cell r="K1493" t="str">
            <v/>
          </cell>
          <cell r="L1493" t="str">
            <v/>
          </cell>
        </row>
        <row r="1494">
          <cell r="A1494">
            <v>34000000</v>
          </cell>
          <cell r="C1494">
            <v>34000000</v>
          </cell>
          <cell r="D1494">
            <v>34000000</v>
          </cell>
          <cell r="E1494">
            <v>34000000</v>
          </cell>
          <cell r="F1494">
            <v>34000000</v>
          </cell>
          <cell r="G1494">
            <v>34000000</v>
          </cell>
          <cell r="H1494">
            <v>34000000</v>
          </cell>
          <cell r="I1494" t="str">
            <v/>
          </cell>
          <cell r="J1494" t="str">
            <v/>
          </cell>
          <cell r="K1494" t="str">
            <v/>
          </cell>
          <cell r="L1494" t="str">
            <v/>
          </cell>
        </row>
        <row r="1495">
          <cell r="A1495">
            <v>34000000</v>
          </cell>
          <cell r="C1495">
            <v>34000000</v>
          </cell>
          <cell r="D1495">
            <v>34000000</v>
          </cell>
          <cell r="E1495">
            <v>34000000</v>
          </cell>
          <cell r="F1495">
            <v>34000000</v>
          </cell>
          <cell r="G1495">
            <v>34000000</v>
          </cell>
          <cell r="H1495">
            <v>34000000</v>
          </cell>
          <cell r="I1495" t="str">
            <v/>
          </cell>
          <cell r="J1495" t="str">
            <v/>
          </cell>
          <cell r="K1495" t="str">
            <v/>
          </cell>
          <cell r="L1495" t="str">
            <v/>
          </cell>
        </row>
        <row r="1496">
          <cell r="A1496">
            <v>34000000</v>
          </cell>
          <cell r="C1496">
            <v>34000000</v>
          </cell>
          <cell r="D1496">
            <v>34000000</v>
          </cell>
          <cell r="E1496">
            <v>34000000</v>
          </cell>
          <cell r="F1496">
            <v>34000000</v>
          </cell>
          <cell r="G1496">
            <v>34000000</v>
          </cell>
          <cell r="H1496">
            <v>34000000</v>
          </cell>
          <cell r="I1496" t="str">
            <v/>
          </cell>
          <cell r="J1496" t="str">
            <v/>
          </cell>
          <cell r="K1496" t="str">
            <v/>
          </cell>
          <cell r="L1496" t="str">
            <v/>
          </cell>
        </row>
        <row r="1497">
          <cell r="A1497">
            <v>34000000</v>
          </cell>
          <cell r="C1497">
            <v>34000000</v>
          </cell>
          <cell r="D1497">
            <v>34000000</v>
          </cell>
          <cell r="E1497">
            <v>34000000</v>
          </cell>
          <cell r="F1497">
            <v>34000000</v>
          </cell>
          <cell r="G1497">
            <v>34000000</v>
          </cell>
          <cell r="H1497">
            <v>34000000</v>
          </cell>
          <cell r="I1497" t="str">
            <v/>
          </cell>
          <cell r="J1497" t="str">
            <v/>
          </cell>
          <cell r="K1497" t="str">
            <v/>
          </cell>
          <cell r="L1497" t="str">
            <v/>
          </cell>
        </row>
        <row r="1498">
          <cell r="A1498">
            <v>34000000</v>
          </cell>
          <cell r="C1498">
            <v>34000000</v>
          </cell>
          <cell r="D1498">
            <v>34000000</v>
          </cell>
          <cell r="E1498">
            <v>34000000</v>
          </cell>
          <cell r="F1498">
            <v>34000000</v>
          </cell>
          <cell r="G1498">
            <v>34000000</v>
          </cell>
          <cell r="H1498">
            <v>34000000</v>
          </cell>
          <cell r="I1498" t="str">
            <v/>
          </cell>
          <cell r="J1498" t="str">
            <v/>
          </cell>
          <cell r="K1498" t="str">
            <v/>
          </cell>
          <cell r="L1498" t="str">
            <v/>
          </cell>
        </row>
        <row r="1499">
          <cell r="A1499">
            <v>34000000</v>
          </cell>
          <cell r="C1499">
            <v>34000000</v>
          </cell>
          <cell r="D1499">
            <v>34000000</v>
          </cell>
          <cell r="E1499">
            <v>34000000</v>
          </cell>
          <cell r="F1499">
            <v>34000000</v>
          </cell>
          <cell r="G1499">
            <v>34000000</v>
          </cell>
          <cell r="H1499">
            <v>34000000</v>
          </cell>
          <cell r="I1499" t="str">
            <v/>
          </cell>
          <cell r="J1499" t="str">
            <v/>
          </cell>
          <cell r="K1499" t="str">
            <v/>
          </cell>
          <cell r="L1499" t="str">
            <v/>
          </cell>
        </row>
        <row r="1500">
          <cell r="A1500">
            <v>34000000</v>
          </cell>
          <cell r="C1500">
            <v>34000000</v>
          </cell>
          <cell r="D1500">
            <v>34000000</v>
          </cell>
          <cell r="E1500">
            <v>34000000</v>
          </cell>
          <cell r="F1500">
            <v>34000000</v>
          </cell>
          <cell r="G1500">
            <v>34000000</v>
          </cell>
          <cell r="H1500">
            <v>34000000</v>
          </cell>
          <cell r="I1500" t="str">
            <v/>
          </cell>
          <cell r="J1500" t="str">
            <v/>
          </cell>
          <cell r="K1500" t="str">
            <v/>
          </cell>
          <cell r="L1500" t="str">
            <v/>
          </cell>
        </row>
        <row r="1501">
          <cell r="A1501">
            <v>34000000</v>
          </cell>
          <cell r="C1501">
            <v>34000000</v>
          </cell>
          <cell r="D1501">
            <v>34000000</v>
          </cell>
          <cell r="E1501">
            <v>34000000</v>
          </cell>
          <cell r="F1501">
            <v>34000000</v>
          </cell>
          <cell r="G1501">
            <v>34000000</v>
          </cell>
          <cell r="H1501">
            <v>34000000</v>
          </cell>
          <cell r="I1501" t="str">
            <v/>
          </cell>
          <cell r="J1501" t="str">
            <v/>
          </cell>
          <cell r="K1501" t="str">
            <v/>
          </cell>
          <cell r="L1501" t="str">
            <v/>
          </cell>
        </row>
        <row r="1502">
          <cell r="A1502">
            <v>34000000</v>
          </cell>
          <cell r="C1502">
            <v>34000000</v>
          </cell>
          <cell r="D1502">
            <v>34000000</v>
          </cell>
          <cell r="E1502">
            <v>34000000</v>
          </cell>
          <cell r="F1502">
            <v>34000000</v>
          </cell>
          <cell r="G1502">
            <v>34000000</v>
          </cell>
          <cell r="H1502">
            <v>34000000</v>
          </cell>
          <cell r="I1502" t="str">
            <v/>
          </cell>
          <cell r="J1502" t="str">
            <v/>
          </cell>
          <cell r="K1502" t="str">
            <v/>
          </cell>
          <cell r="L1502" t="str">
            <v/>
          </cell>
        </row>
        <row r="1503">
          <cell r="A1503">
            <v>34000000</v>
          </cell>
          <cell r="C1503">
            <v>34000000</v>
          </cell>
          <cell r="D1503">
            <v>34000000</v>
          </cell>
          <cell r="E1503">
            <v>34000000</v>
          </cell>
          <cell r="F1503">
            <v>34000000</v>
          </cell>
          <cell r="G1503">
            <v>34000000</v>
          </cell>
          <cell r="H1503">
            <v>34000000</v>
          </cell>
          <cell r="I1503" t="str">
            <v/>
          </cell>
          <cell r="J1503" t="str">
            <v/>
          </cell>
          <cell r="K1503" t="str">
            <v/>
          </cell>
          <cell r="L1503" t="str">
            <v/>
          </cell>
        </row>
        <row r="1504">
          <cell r="A1504">
            <v>34000000</v>
          </cell>
          <cell r="C1504">
            <v>34000000</v>
          </cell>
          <cell r="D1504">
            <v>34000000</v>
          </cell>
          <cell r="E1504">
            <v>34000000</v>
          </cell>
          <cell r="F1504">
            <v>34000000</v>
          </cell>
          <cell r="G1504">
            <v>34000000</v>
          </cell>
          <cell r="H1504">
            <v>34000000</v>
          </cell>
          <cell r="I1504" t="str">
            <v/>
          </cell>
          <cell r="J1504" t="str">
            <v/>
          </cell>
          <cell r="K1504" t="str">
            <v/>
          </cell>
          <cell r="L1504" t="str">
            <v/>
          </cell>
        </row>
        <row r="1505">
          <cell r="A1505">
            <v>34000000</v>
          </cell>
          <cell r="C1505">
            <v>34000000</v>
          </cell>
          <cell r="D1505">
            <v>34000000</v>
          </cell>
          <cell r="E1505">
            <v>34000000</v>
          </cell>
          <cell r="F1505">
            <v>34000000</v>
          </cell>
          <cell r="G1505">
            <v>34000000</v>
          </cell>
          <cell r="H1505">
            <v>34000000</v>
          </cell>
          <cell r="I1505" t="str">
            <v/>
          </cell>
          <cell r="J1505" t="str">
            <v/>
          </cell>
          <cell r="K1505" t="str">
            <v/>
          </cell>
          <cell r="L1505" t="str">
            <v/>
          </cell>
        </row>
        <row r="1506">
          <cell r="A1506">
            <v>34000000</v>
          </cell>
          <cell r="C1506">
            <v>34000000</v>
          </cell>
          <cell r="D1506">
            <v>34000000</v>
          </cell>
          <cell r="E1506">
            <v>34000000</v>
          </cell>
          <cell r="F1506">
            <v>34000000</v>
          </cell>
          <cell r="G1506">
            <v>34000000</v>
          </cell>
          <cell r="H1506">
            <v>34000000</v>
          </cell>
          <cell r="I1506" t="str">
            <v/>
          </cell>
          <cell r="J1506" t="str">
            <v/>
          </cell>
          <cell r="K1506" t="str">
            <v/>
          </cell>
          <cell r="L1506" t="str">
            <v/>
          </cell>
        </row>
        <row r="1507">
          <cell r="A1507">
            <v>34000000</v>
          </cell>
          <cell r="C1507">
            <v>34000000</v>
          </cell>
          <cell r="D1507">
            <v>34000000</v>
          </cell>
          <cell r="E1507">
            <v>34000000</v>
          </cell>
          <cell r="F1507">
            <v>34000000</v>
          </cell>
          <cell r="G1507">
            <v>34000000</v>
          </cell>
          <cell r="H1507">
            <v>34000000</v>
          </cell>
          <cell r="I1507" t="str">
            <v/>
          </cell>
          <cell r="J1507" t="str">
            <v/>
          </cell>
          <cell r="K1507" t="str">
            <v/>
          </cell>
          <cell r="L1507" t="str">
            <v/>
          </cell>
        </row>
        <row r="1508">
          <cell r="A1508">
            <v>34000000</v>
          </cell>
          <cell r="C1508">
            <v>34000000</v>
          </cell>
          <cell r="D1508">
            <v>34000000</v>
          </cell>
          <cell r="E1508">
            <v>34000000</v>
          </cell>
          <cell r="F1508">
            <v>34000000</v>
          </cell>
          <cell r="G1508">
            <v>34000000</v>
          </cell>
          <cell r="H1508">
            <v>34000000</v>
          </cell>
          <cell r="I1508" t="str">
            <v/>
          </cell>
          <cell r="J1508" t="str">
            <v/>
          </cell>
          <cell r="K1508" t="str">
            <v/>
          </cell>
          <cell r="L1508" t="str">
            <v/>
          </cell>
        </row>
        <row r="1509">
          <cell r="A1509">
            <v>34000000</v>
          </cell>
          <cell r="C1509">
            <v>34000000</v>
          </cell>
          <cell r="D1509">
            <v>34000000</v>
          </cell>
          <cell r="E1509">
            <v>34000000</v>
          </cell>
          <cell r="F1509">
            <v>34000000</v>
          </cell>
          <cell r="G1509">
            <v>34000000</v>
          </cell>
          <cell r="H1509">
            <v>34000000</v>
          </cell>
          <cell r="I1509" t="str">
            <v/>
          </cell>
          <cell r="J1509" t="str">
            <v/>
          </cell>
          <cell r="K1509" t="str">
            <v/>
          </cell>
          <cell r="L1509" t="str">
            <v/>
          </cell>
        </row>
        <row r="1510">
          <cell r="A1510">
            <v>34000000</v>
          </cell>
          <cell r="C1510">
            <v>34000000</v>
          </cell>
          <cell r="D1510">
            <v>34000000</v>
          </cell>
          <cell r="E1510">
            <v>34000000</v>
          </cell>
          <cell r="F1510">
            <v>34000000</v>
          </cell>
          <cell r="G1510">
            <v>34000000</v>
          </cell>
          <cell r="H1510">
            <v>34000000</v>
          </cell>
          <cell r="I1510" t="str">
            <v/>
          </cell>
          <cell r="J1510" t="str">
            <v/>
          </cell>
          <cell r="K1510" t="str">
            <v/>
          </cell>
          <cell r="L1510" t="str">
            <v/>
          </cell>
        </row>
        <row r="1511">
          <cell r="A1511">
            <v>34000000</v>
          </cell>
          <cell r="C1511">
            <v>34000000</v>
          </cell>
          <cell r="D1511">
            <v>34000000</v>
          </cell>
          <cell r="E1511">
            <v>34000000</v>
          </cell>
          <cell r="F1511">
            <v>34000000</v>
          </cell>
          <cell r="G1511">
            <v>34000000</v>
          </cell>
          <cell r="H1511">
            <v>34000000</v>
          </cell>
          <cell r="I1511" t="str">
            <v/>
          </cell>
          <cell r="J1511" t="str">
            <v/>
          </cell>
          <cell r="K1511" t="str">
            <v/>
          </cell>
          <cell r="L1511" t="str">
            <v/>
          </cell>
        </row>
        <row r="1512">
          <cell r="A1512">
            <v>34000000</v>
          </cell>
          <cell r="C1512">
            <v>34000000</v>
          </cell>
          <cell r="D1512">
            <v>34000000</v>
          </cell>
          <cell r="E1512">
            <v>34000000</v>
          </cell>
          <cell r="F1512">
            <v>34000000</v>
          </cell>
          <cell r="G1512">
            <v>34000000</v>
          </cell>
          <cell r="H1512">
            <v>34000000</v>
          </cell>
          <cell r="I1512" t="str">
            <v/>
          </cell>
          <cell r="J1512" t="str">
            <v/>
          </cell>
          <cell r="K1512" t="str">
            <v/>
          </cell>
          <cell r="L1512" t="str">
            <v/>
          </cell>
        </row>
        <row r="1513">
          <cell r="A1513">
            <v>34000000</v>
          </cell>
          <cell r="C1513">
            <v>34000000</v>
          </cell>
          <cell r="D1513">
            <v>34000000</v>
          </cell>
          <cell r="E1513">
            <v>34000000</v>
          </cell>
          <cell r="F1513">
            <v>34000000</v>
          </cell>
          <cell r="G1513">
            <v>34000000</v>
          </cell>
          <cell r="H1513">
            <v>34000000</v>
          </cell>
          <cell r="I1513" t="str">
            <v/>
          </cell>
          <cell r="J1513" t="str">
            <v/>
          </cell>
          <cell r="K1513" t="str">
            <v/>
          </cell>
          <cell r="L1513" t="str">
            <v/>
          </cell>
        </row>
        <row r="1514">
          <cell r="A1514">
            <v>34000000</v>
          </cell>
          <cell r="C1514">
            <v>34000000</v>
          </cell>
          <cell r="D1514">
            <v>34000000</v>
          </cell>
          <cell r="E1514">
            <v>34000000</v>
          </cell>
          <cell r="F1514">
            <v>34000000</v>
          </cell>
          <cell r="G1514">
            <v>34000000</v>
          </cell>
          <cell r="H1514">
            <v>34000000</v>
          </cell>
          <cell r="I1514" t="str">
            <v/>
          </cell>
          <cell r="J1514" t="str">
            <v/>
          </cell>
          <cell r="K1514" t="str">
            <v/>
          </cell>
          <cell r="L1514" t="str">
            <v/>
          </cell>
        </row>
        <row r="1515">
          <cell r="A1515">
            <v>34000000</v>
          </cell>
          <cell r="C1515">
            <v>34000000</v>
          </cell>
          <cell r="D1515">
            <v>34000000</v>
          </cell>
          <cell r="E1515">
            <v>34000000</v>
          </cell>
          <cell r="F1515">
            <v>34000000</v>
          </cell>
          <cell r="G1515">
            <v>34000000</v>
          </cell>
          <cell r="H1515">
            <v>34000000</v>
          </cell>
          <cell r="I1515" t="str">
            <v/>
          </cell>
          <cell r="J1515" t="str">
            <v/>
          </cell>
          <cell r="K1515" t="str">
            <v/>
          </cell>
          <cell r="L1515" t="str">
            <v/>
          </cell>
        </row>
        <row r="1516">
          <cell r="A1516">
            <v>34000000</v>
          </cell>
          <cell r="C1516">
            <v>34000000</v>
          </cell>
          <cell r="D1516">
            <v>34000000</v>
          </cell>
          <cell r="E1516">
            <v>34000000</v>
          </cell>
          <cell r="F1516">
            <v>34000000</v>
          </cell>
          <cell r="G1516">
            <v>34000000</v>
          </cell>
          <cell r="H1516">
            <v>34000000</v>
          </cell>
          <cell r="I1516" t="str">
            <v/>
          </cell>
          <cell r="J1516" t="str">
            <v/>
          </cell>
          <cell r="K1516" t="str">
            <v/>
          </cell>
          <cell r="L1516" t="str">
            <v/>
          </cell>
        </row>
        <row r="1517">
          <cell r="A1517">
            <v>34000000</v>
          </cell>
          <cell r="C1517">
            <v>34000000</v>
          </cell>
          <cell r="D1517">
            <v>34000000</v>
          </cell>
          <cell r="E1517">
            <v>34000000</v>
          </cell>
          <cell r="F1517">
            <v>34000000</v>
          </cell>
          <cell r="G1517">
            <v>34000000</v>
          </cell>
          <cell r="H1517">
            <v>34000000</v>
          </cell>
          <cell r="I1517" t="str">
            <v/>
          </cell>
          <cell r="J1517" t="str">
            <v/>
          </cell>
          <cell r="K1517" t="str">
            <v/>
          </cell>
          <cell r="L1517" t="str">
            <v/>
          </cell>
        </row>
        <row r="1518">
          <cell r="A1518">
            <v>34000000</v>
          </cell>
          <cell r="C1518">
            <v>34000000</v>
          </cell>
          <cell r="D1518">
            <v>34000000</v>
          </cell>
          <cell r="E1518">
            <v>34000000</v>
          </cell>
          <cell r="F1518">
            <v>34000000</v>
          </cell>
          <cell r="G1518">
            <v>34000000</v>
          </cell>
          <cell r="H1518">
            <v>34000000</v>
          </cell>
          <cell r="I1518" t="str">
            <v/>
          </cell>
          <cell r="J1518" t="str">
            <v/>
          </cell>
          <cell r="K1518" t="str">
            <v/>
          </cell>
          <cell r="L1518" t="str">
            <v/>
          </cell>
        </row>
        <row r="1519">
          <cell r="A1519">
            <v>34000000</v>
          </cell>
          <cell r="C1519">
            <v>34000000</v>
          </cell>
          <cell r="D1519">
            <v>34000000</v>
          </cell>
          <cell r="E1519">
            <v>34000000</v>
          </cell>
          <cell r="F1519">
            <v>34000000</v>
          </cell>
          <cell r="G1519">
            <v>34000000</v>
          </cell>
          <cell r="H1519">
            <v>34000000</v>
          </cell>
          <cell r="I1519" t="str">
            <v/>
          </cell>
          <cell r="J1519" t="str">
            <v/>
          </cell>
          <cell r="K1519" t="str">
            <v/>
          </cell>
          <cell r="L1519" t="str">
            <v/>
          </cell>
        </row>
        <row r="1520">
          <cell r="A1520">
            <v>34000000</v>
          </cell>
          <cell r="C1520">
            <v>34000000</v>
          </cell>
          <cell r="D1520">
            <v>34000000</v>
          </cell>
          <cell r="E1520">
            <v>34000000</v>
          </cell>
          <cell r="F1520">
            <v>34000000</v>
          </cell>
          <cell r="G1520">
            <v>34000000</v>
          </cell>
          <cell r="H1520">
            <v>34000000</v>
          </cell>
          <cell r="I1520" t="str">
            <v/>
          </cell>
          <cell r="J1520" t="str">
            <v/>
          </cell>
          <cell r="K1520" t="str">
            <v/>
          </cell>
          <cell r="L1520" t="str">
            <v/>
          </cell>
        </row>
        <row r="1521">
          <cell r="A1521">
            <v>34000000</v>
          </cell>
          <cell r="C1521">
            <v>34000000</v>
          </cell>
          <cell r="D1521">
            <v>34000000</v>
          </cell>
          <cell r="E1521">
            <v>34000000</v>
          </cell>
          <cell r="F1521">
            <v>34000000</v>
          </cell>
          <cell r="G1521">
            <v>34000000</v>
          </cell>
          <cell r="H1521">
            <v>34000000</v>
          </cell>
          <cell r="I1521" t="str">
            <v/>
          </cell>
          <cell r="J1521" t="str">
            <v/>
          </cell>
          <cell r="K1521" t="str">
            <v/>
          </cell>
          <cell r="L1521" t="str">
            <v/>
          </cell>
        </row>
        <row r="1522">
          <cell r="A1522">
            <v>34000000</v>
          </cell>
          <cell r="C1522">
            <v>34000000</v>
          </cell>
          <cell r="D1522">
            <v>34000000</v>
          </cell>
          <cell r="E1522">
            <v>34000000</v>
          </cell>
          <cell r="F1522">
            <v>34000000</v>
          </cell>
          <cell r="G1522">
            <v>34000000</v>
          </cell>
          <cell r="H1522">
            <v>34000000</v>
          </cell>
          <cell r="I1522" t="str">
            <v/>
          </cell>
          <cell r="J1522" t="str">
            <v/>
          </cell>
          <cell r="K1522" t="str">
            <v/>
          </cell>
          <cell r="L1522" t="str">
            <v/>
          </cell>
        </row>
        <row r="1523">
          <cell r="A1523">
            <v>34000000</v>
          </cell>
          <cell r="C1523">
            <v>34000000</v>
          </cell>
          <cell r="D1523">
            <v>34000000</v>
          </cell>
          <cell r="E1523">
            <v>34000000</v>
          </cell>
          <cell r="F1523">
            <v>34000000</v>
          </cell>
          <cell r="G1523">
            <v>34000000</v>
          </cell>
          <cell r="H1523">
            <v>34000000</v>
          </cell>
          <cell r="I1523" t="str">
            <v/>
          </cell>
          <cell r="J1523" t="str">
            <v/>
          </cell>
          <cell r="K1523" t="str">
            <v/>
          </cell>
          <cell r="L1523" t="str">
            <v/>
          </cell>
        </row>
        <row r="1524">
          <cell r="A1524">
            <v>34000000</v>
          </cell>
          <cell r="C1524">
            <v>34000000</v>
          </cell>
          <cell r="D1524">
            <v>34000000</v>
          </cell>
          <cell r="E1524">
            <v>34000000</v>
          </cell>
          <cell r="F1524">
            <v>34000000</v>
          </cell>
          <cell r="G1524">
            <v>34000000</v>
          </cell>
          <cell r="H1524">
            <v>34000000</v>
          </cell>
          <cell r="I1524" t="str">
            <v/>
          </cell>
          <cell r="J1524" t="str">
            <v/>
          </cell>
          <cell r="K1524" t="str">
            <v/>
          </cell>
          <cell r="L1524" t="str">
            <v/>
          </cell>
        </row>
        <row r="1525">
          <cell r="A1525">
            <v>34000000</v>
          </cell>
          <cell r="C1525">
            <v>34000000</v>
          </cell>
          <cell r="D1525">
            <v>34000000</v>
          </cell>
          <cell r="E1525">
            <v>34000000</v>
          </cell>
          <cell r="F1525">
            <v>34000000</v>
          </cell>
          <cell r="G1525">
            <v>34000000</v>
          </cell>
          <cell r="H1525">
            <v>34000000</v>
          </cell>
          <cell r="I1525" t="str">
            <v/>
          </cell>
          <cell r="J1525" t="str">
            <v/>
          </cell>
          <cell r="K1525" t="str">
            <v/>
          </cell>
          <cell r="L1525" t="str">
            <v/>
          </cell>
        </row>
        <row r="1526">
          <cell r="A1526">
            <v>34000000</v>
          </cell>
          <cell r="C1526">
            <v>34000000</v>
          </cell>
          <cell r="D1526">
            <v>34000000</v>
          </cell>
          <cell r="E1526">
            <v>34000000</v>
          </cell>
          <cell r="F1526">
            <v>34000000</v>
          </cell>
          <cell r="G1526">
            <v>34000000</v>
          </cell>
          <cell r="H1526">
            <v>34000000</v>
          </cell>
          <cell r="I1526" t="str">
            <v/>
          </cell>
          <cell r="J1526" t="str">
            <v/>
          </cell>
          <cell r="K1526" t="str">
            <v/>
          </cell>
          <cell r="L1526" t="str">
            <v/>
          </cell>
        </row>
        <row r="1527">
          <cell r="A1527">
            <v>34000000</v>
          </cell>
          <cell r="C1527">
            <v>34000000</v>
          </cell>
          <cell r="D1527">
            <v>34000000</v>
          </cell>
          <cell r="E1527">
            <v>34000000</v>
          </cell>
          <cell r="F1527">
            <v>34000000</v>
          </cell>
          <cell r="G1527">
            <v>34000000</v>
          </cell>
          <cell r="H1527">
            <v>34000000</v>
          </cell>
          <cell r="I1527" t="str">
            <v/>
          </cell>
          <cell r="J1527" t="str">
            <v/>
          </cell>
          <cell r="K1527" t="str">
            <v/>
          </cell>
          <cell r="L1527" t="str">
            <v/>
          </cell>
        </row>
        <row r="1528">
          <cell r="A1528">
            <v>34000000</v>
          </cell>
          <cell r="C1528">
            <v>34000000</v>
          </cell>
          <cell r="D1528">
            <v>34000000</v>
          </cell>
          <cell r="E1528">
            <v>34000000</v>
          </cell>
          <cell r="F1528">
            <v>34000000</v>
          </cell>
          <cell r="G1528">
            <v>34000000</v>
          </cell>
          <cell r="H1528">
            <v>34000000</v>
          </cell>
          <cell r="I1528" t="str">
            <v/>
          </cell>
          <cell r="J1528" t="str">
            <v/>
          </cell>
          <cell r="K1528" t="str">
            <v/>
          </cell>
          <cell r="L1528" t="str">
            <v/>
          </cell>
        </row>
        <row r="1529">
          <cell r="A1529">
            <v>34000000</v>
          </cell>
          <cell r="C1529">
            <v>34000000</v>
          </cell>
          <cell r="D1529">
            <v>34000000</v>
          </cell>
          <cell r="E1529">
            <v>34000000</v>
          </cell>
          <cell r="F1529">
            <v>34000000</v>
          </cell>
          <cell r="G1529">
            <v>34000000</v>
          </cell>
          <cell r="H1529">
            <v>34000000</v>
          </cell>
          <cell r="I1529" t="str">
            <v/>
          </cell>
          <cell r="J1529" t="str">
            <v/>
          </cell>
          <cell r="K1529" t="str">
            <v/>
          </cell>
          <cell r="L1529" t="str">
            <v/>
          </cell>
        </row>
        <row r="1530">
          <cell r="A1530">
            <v>34000000</v>
          </cell>
          <cell r="C1530">
            <v>34000000</v>
          </cell>
          <cell r="D1530">
            <v>34000000</v>
          </cell>
          <cell r="E1530">
            <v>34000000</v>
          </cell>
          <cell r="F1530">
            <v>34000000</v>
          </cell>
          <cell r="G1530">
            <v>34000000</v>
          </cell>
          <cell r="H1530">
            <v>34000000</v>
          </cell>
          <cell r="I1530" t="str">
            <v/>
          </cell>
          <cell r="J1530" t="str">
            <v/>
          </cell>
          <cell r="K1530" t="str">
            <v/>
          </cell>
          <cell r="L1530" t="str">
            <v/>
          </cell>
        </row>
        <row r="1531">
          <cell r="A1531">
            <v>34000000</v>
          </cell>
          <cell r="C1531">
            <v>34000000</v>
          </cell>
          <cell r="D1531">
            <v>34000000</v>
          </cell>
          <cell r="E1531">
            <v>34000000</v>
          </cell>
          <cell r="F1531">
            <v>34000000</v>
          </cell>
          <cell r="G1531">
            <v>34000000</v>
          </cell>
          <cell r="H1531">
            <v>34000000</v>
          </cell>
          <cell r="I1531" t="str">
            <v/>
          </cell>
          <cell r="J1531" t="str">
            <v/>
          </cell>
          <cell r="K1531" t="str">
            <v/>
          </cell>
          <cell r="L1531" t="str">
            <v/>
          </cell>
        </row>
        <row r="1532">
          <cell r="A1532">
            <v>34000000</v>
          </cell>
          <cell r="C1532">
            <v>34000000</v>
          </cell>
          <cell r="D1532">
            <v>34000000</v>
          </cell>
          <cell r="E1532">
            <v>34000000</v>
          </cell>
          <cell r="F1532">
            <v>34000000</v>
          </cell>
          <cell r="G1532">
            <v>34000000</v>
          </cell>
          <cell r="H1532">
            <v>34000000</v>
          </cell>
          <cell r="I1532" t="str">
            <v/>
          </cell>
          <cell r="J1532" t="str">
            <v/>
          </cell>
          <cell r="K1532" t="str">
            <v/>
          </cell>
          <cell r="L1532" t="str">
            <v/>
          </cell>
        </row>
        <row r="1533">
          <cell r="A1533">
            <v>34000000</v>
          </cell>
          <cell r="C1533">
            <v>34000000</v>
          </cell>
          <cell r="D1533">
            <v>34000000</v>
          </cell>
          <cell r="E1533">
            <v>34000000</v>
          </cell>
          <cell r="F1533">
            <v>34000000</v>
          </cell>
          <cell r="G1533">
            <v>34000000</v>
          </cell>
          <cell r="H1533">
            <v>34000000</v>
          </cell>
          <cell r="I1533" t="str">
            <v/>
          </cell>
          <cell r="J1533" t="str">
            <v/>
          </cell>
          <cell r="K1533" t="str">
            <v/>
          </cell>
          <cell r="L1533" t="str">
            <v/>
          </cell>
        </row>
        <row r="1534">
          <cell r="A1534">
            <v>34000000</v>
          </cell>
          <cell r="C1534">
            <v>34000000</v>
          </cell>
          <cell r="D1534">
            <v>34000000</v>
          </cell>
          <cell r="E1534">
            <v>34000000</v>
          </cell>
          <cell r="F1534">
            <v>34000000</v>
          </cell>
          <cell r="G1534">
            <v>34000000</v>
          </cell>
          <cell r="H1534">
            <v>34000000</v>
          </cell>
          <cell r="I1534" t="str">
            <v/>
          </cell>
          <cell r="J1534" t="str">
            <v/>
          </cell>
          <cell r="K1534" t="str">
            <v/>
          </cell>
          <cell r="L1534" t="str">
            <v/>
          </cell>
        </row>
        <row r="1535">
          <cell r="A1535">
            <v>34000000</v>
          </cell>
          <cell r="C1535">
            <v>34000000</v>
          </cell>
          <cell r="D1535">
            <v>34000000</v>
          </cell>
          <cell r="E1535">
            <v>34000000</v>
          </cell>
          <cell r="F1535">
            <v>34000000</v>
          </cell>
          <cell r="G1535">
            <v>34000000</v>
          </cell>
          <cell r="H1535">
            <v>34000000</v>
          </cell>
          <cell r="I1535" t="str">
            <v/>
          </cell>
          <cell r="J1535" t="str">
            <v/>
          </cell>
          <cell r="K1535" t="str">
            <v/>
          </cell>
          <cell r="L1535" t="str">
            <v/>
          </cell>
        </row>
        <row r="1536">
          <cell r="A1536">
            <v>34000000</v>
          </cell>
          <cell r="C1536">
            <v>34000000</v>
          </cell>
          <cell r="D1536">
            <v>34000000</v>
          </cell>
          <cell r="E1536">
            <v>34000000</v>
          </cell>
          <cell r="F1536">
            <v>34000000</v>
          </cell>
          <cell r="G1536">
            <v>34000000</v>
          </cell>
          <cell r="H1536">
            <v>34000000</v>
          </cell>
          <cell r="I1536" t="str">
            <v/>
          </cell>
          <cell r="J1536" t="str">
            <v/>
          </cell>
          <cell r="K1536" t="str">
            <v/>
          </cell>
          <cell r="L1536" t="str">
            <v/>
          </cell>
        </row>
        <row r="1537">
          <cell r="A1537">
            <v>34000000</v>
          </cell>
          <cell r="C1537">
            <v>34000000</v>
          </cell>
          <cell r="D1537">
            <v>34000000</v>
          </cell>
          <cell r="E1537">
            <v>34000000</v>
          </cell>
          <cell r="F1537">
            <v>34000000</v>
          </cell>
          <cell r="G1537">
            <v>34000000</v>
          </cell>
          <cell r="H1537">
            <v>34000000</v>
          </cell>
          <cell r="I1537" t="str">
            <v/>
          </cell>
          <cell r="J1537" t="str">
            <v/>
          </cell>
          <cell r="K1537" t="str">
            <v/>
          </cell>
          <cell r="L1537" t="str">
            <v/>
          </cell>
        </row>
        <row r="1538">
          <cell r="A1538">
            <v>34000000</v>
          </cell>
          <cell r="C1538">
            <v>34000000</v>
          </cell>
          <cell r="D1538">
            <v>34000000</v>
          </cell>
          <cell r="E1538">
            <v>34000000</v>
          </cell>
          <cell r="F1538">
            <v>34000000</v>
          </cell>
          <cell r="G1538">
            <v>34000000</v>
          </cell>
          <cell r="H1538">
            <v>34000000</v>
          </cell>
          <cell r="I1538" t="str">
            <v/>
          </cell>
          <cell r="J1538" t="str">
            <v/>
          </cell>
          <cell r="K1538" t="str">
            <v/>
          </cell>
          <cell r="L1538" t="str">
            <v/>
          </cell>
        </row>
        <row r="1539">
          <cell r="A1539">
            <v>34000000</v>
          </cell>
          <cell r="C1539">
            <v>34000000</v>
          </cell>
          <cell r="D1539">
            <v>34000000</v>
          </cell>
          <cell r="E1539">
            <v>34000000</v>
          </cell>
          <cell r="F1539">
            <v>34000000</v>
          </cell>
          <cell r="G1539">
            <v>34000000</v>
          </cell>
          <cell r="H1539">
            <v>34000000</v>
          </cell>
          <cell r="I1539" t="str">
            <v/>
          </cell>
          <cell r="J1539" t="str">
            <v/>
          </cell>
          <cell r="K1539" t="str">
            <v/>
          </cell>
          <cell r="L1539" t="str">
            <v/>
          </cell>
        </row>
        <row r="1540">
          <cell r="A1540">
            <v>34000000</v>
          </cell>
          <cell r="C1540">
            <v>34000000</v>
          </cell>
          <cell r="D1540">
            <v>34000000</v>
          </cell>
          <cell r="E1540">
            <v>34000000</v>
          </cell>
          <cell r="F1540">
            <v>34000000</v>
          </cell>
          <cell r="G1540">
            <v>34000000</v>
          </cell>
          <cell r="H1540">
            <v>34000000</v>
          </cell>
          <cell r="I1540" t="str">
            <v/>
          </cell>
          <cell r="J1540" t="str">
            <v/>
          </cell>
          <cell r="K1540" t="str">
            <v/>
          </cell>
          <cell r="L1540" t="str">
            <v/>
          </cell>
        </row>
        <row r="1541">
          <cell r="A1541">
            <v>34000000</v>
          </cell>
          <cell r="C1541">
            <v>34000000</v>
          </cell>
          <cell r="D1541">
            <v>34000000</v>
          </cell>
          <cell r="E1541">
            <v>34000000</v>
          </cell>
          <cell r="F1541">
            <v>34000000</v>
          </cell>
          <cell r="G1541">
            <v>34000000</v>
          </cell>
          <cell r="H1541">
            <v>34000000</v>
          </cell>
          <cell r="I1541" t="str">
            <v/>
          </cell>
          <cell r="J1541" t="str">
            <v/>
          </cell>
          <cell r="K1541" t="str">
            <v/>
          </cell>
          <cell r="L1541" t="str">
            <v/>
          </cell>
        </row>
        <row r="1542">
          <cell r="A1542">
            <v>34000000</v>
          </cell>
          <cell r="C1542">
            <v>34000000</v>
          </cell>
          <cell r="D1542">
            <v>34000000</v>
          </cell>
          <cell r="E1542">
            <v>34000000</v>
          </cell>
          <cell r="F1542">
            <v>34000000</v>
          </cell>
          <cell r="G1542">
            <v>34000000</v>
          </cell>
          <cell r="H1542">
            <v>34000000</v>
          </cell>
          <cell r="I1542" t="str">
            <v/>
          </cell>
          <cell r="J1542" t="str">
            <v/>
          </cell>
          <cell r="K1542" t="str">
            <v/>
          </cell>
          <cell r="L1542" t="str">
            <v/>
          </cell>
        </row>
        <row r="1543">
          <cell r="A1543">
            <v>34000000</v>
          </cell>
          <cell r="C1543">
            <v>34000000</v>
          </cell>
          <cell r="D1543">
            <v>34000000</v>
          </cell>
          <cell r="E1543">
            <v>34000000</v>
          </cell>
          <cell r="F1543">
            <v>34000000</v>
          </cell>
          <cell r="G1543">
            <v>34000000</v>
          </cell>
          <cell r="H1543">
            <v>34000000</v>
          </cell>
          <cell r="I1543" t="str">
            <v/>
          </cell>
          <cell r="J1543" t="str">
            <v/>
          </cell>
          <cell r="K1543" t="str">
            <v/>
          </cell>
          <cell r="L1543" t="str">
            <v/>
          </cell>
        </row>
        <row r="1544">
          <cell r="A1544">
            <v>34000000</v>
          </cell>
          <cell r="C1544">
            <v>34000000</v>
          </cell>
          <cell r="D1544">
            <v>34000000</v>
          </cell>
          <cell r="E1544">
            <v>34000000</v>
          </cell>
          <cell r="F1544">
            <v>34000000</v>
          </cell>
          <cell r="G1544">
            <v>34000000</v>
          </cell>
          <cell r="H1544">
            <v>34000000</v>
          </cell>
          <cell r="I1544" t="str">
            <v/>
          </cell>
          <cell r="J1544" t="str">
            <v/>
          </cell>
          <cell r="K1544" t="str">
            <v/>
          </cell>
          <cell r="L1544" t="str">
            <v/>
          </cell>
        </row>
        <row r="1545">
          <cell r="A1545">
            <v>34000000</v>
          </cell>
          <cell r="C1545">
            <v>34000000</v>
          </cell>
          <cell r="D1545">
            <v>34000000</v>
          </cell>
          <cell r="E1545">
            <v>34000000</v>
          </cell>
          <cell r="F1545">
            <v>34000000</v>
          </cell>
          <cell r="G1545">
            <v>34000000</v>
          </cell>
          <cell r="H1545">
            <v>34000000</v>
          </cell>
          <cell r="I1545" t="str">
            <v/>
          </cell>
          <cell r="J1545" t="str">
            <v/>
          </cell>
          <cell r="K1545" t="str">
            <v/>
          </cell>
          <cell r="L1545" t="str">
            <v/>
          </cell>
        </row>
        <row r="1546">
          <cell r="A1546">
            <v>34000000</v>
          </cell>
          <cell r="C1546">
            <v>34000000</v>
          </cell>
          <cell r="D1546">
            <v>34000000</v>
          </cell>
          <cell r="E1546">
            <v>34000000</v>
          </cell>
          <cell r="F1546">
            <v>34000000</v>
          </cell>
          <cell r="G1546">
            <v>34000000</v>
          </cell>
          <cell r="H1546">
            <v>34000000</v>
          </cell>
          <cell r="I1546" t="str">
            <v/>
          </cell>
          <cell r="J1546" t="str">
            <v/>
          </cell>
          <cell r="K1546" t="str">
            <v/>
          </cell>
          <cell r="L1546" t="str">
            <v/>
          </cell>
        </row>
        <row r="1547">
          <cell r="A1547">
            <v>34000000</v>
          </cell>
          <cell r="C1547">
            <v>34000000</v>
          </cell>
          <cell r="D1547">
            <v>34000000</v>
          </cell>
          <cell r="E1547">
            <v>34000000</v>
          </cell>
          <cell r="F1547">
            <v>34000000</v>
          </cell>
          <cell r="G1547">
            <v>34000000</v>
          </cell>
          <cell r="H1547">
            <v>34000000</v>
          </cell>
          <cell r="I1547" t="str">
            <v/>
          </cell>
          <cell r="J1547" t="str">
            <v/>
          </cell>
          <cell r="K1547" t="str">
            <v/>
          </cell>
          <cell r="L1547" t="str">
            <v/>
          </cell>
        </row>
        <row r="1548">
          <cell r="A1548">
            <v>34000000</v>
          </cell>
          <cell r="C1548">
            <v>34000000</v>
          </cell>
          <cell r="D1548">
            <v>34000000</v>
          </cell>
          <cell r="E1548">
            <v>34000000</v>
          </cell>
          <cell r="F1548">
            <v>34000000</v>
          </cell>
          <cell r="G1548">
            <v>34000000</v>
          </cell>
          <cell r="H1548">
            <v>34000000</v>
          </cell>
          <cell r="I1548" t="str">
            <v/>
          </cell>
          <cell r="J1548" t="str">
            <v/>
          </cell>
          <cell r="K1548" t="str">
            <v/>
          </cell>
          <cell r="L1548" t="str">
            <v/>
          </cell>
        </row>
        <row r="1549">
          <cell r="A1549">
            <v>34000000</v>
          </cell>
          <cell r="C1549">
            <v>34000000</v>
          </cell>
          <cell r="D1549">
            <v>34000000</v>
          </cell>
          <cell r="E1549">
            <v>34000000</v>
          </cell>
          <cell r="F1549">
            <v>34000000</v>
          </cell>
          <cell r="G1549">
            <v>34000000</v>
          </cell>
          <cell r="H1549">
            <v>34000000</v>
          </cell>
          <cell r="I1549" t="str">
            <v/>
          </cell>
          <cell r="J1549" t="str">
            <v/>
          </cell>
          <cell r="K1549" t="str">
            <v/>
          </cell>
          <cell r="L1549" t="str">
            <v/>
          </cell>
        </row>
        <row r="1550">
          <cell r="A1550">
            <v>34000000</v>
          </cell>
          <cell r="C1550">
            <v>34000000</v>
          </cell>
          <cell r="D1550">
            <v>34000000</v>
          </cell>
          <cell r="E1550">
            <v>34000000</v>
          </cell>
          <cell r="F1550">
            <v>34000000</v>
          </cell>
          <cell r="G1550">
            <v>34000000</v>
          </cell>
          <cell r="H1550">
            <v>34000000</v>
          </cell>
          <cell r="I1550" t="str">
            <v/>
          </cell>
          <cell r="J1550" t="str">
            <v/>
          </cell>
          <cell r="K1550" t="str">
            <v/>
          </cell>
          <cell r="L1550" t="str">
            <v/>
          </cell>
        </row>
        <row r="1551">
          <cell r="A1551">
            <v>34000000</v>
          </cell>
          <cell r="C1551">
            <v>34000000</v>
          </cell>
          <cell r="D1551">
            <v>34000000</v>
          </cell>
          <cell r="E1551">
            <v>34000000</v>
          </cell>
          <cell r="F1551">
            <v>34000000</v>
          </cell>
          <cell r="G1551">
            <v>34000000</v>
          </cell>
          <cell r="H1551">
            <v>34000000</v>
          </cell>
          <cell r="I1551" t="str">
            <v/>
          </cell>
          <cell r="J1551" t="str">
            <v/>
          </cell>
          <cell r="K1551" t="str">
            <v/>
          </cell>
          <cell r="L1551" t="str">
            <v/>
          </cell>
        </row>
        <row r="1552">
          <cell r="A1552">
            <v>34000000</v>
          </cell>
          <cell r="C1552">
            <v>34000000</v>
          </cell>
          <cell r="D1552">
            <v>34000000</v>
          </cell>
          <cell r="E1552">
            <v>34000000</v>
          </cell>
          <cell r="F1552">
            <v>34000000</v>
          </cell>
          <cell r="G1552">
            <v>34000000</v>
          </cell>
          <cell r="H1552">
            <v>34000000</v>
          </cell>
          <cell r="I1552" t="str">
            <v/>
          </cell>
          <cell r="J1552" t="str">
            <v/>
          </cell>
          <cell r="K1552" t="str">
            <v/>
          </cell>
          <cell r="L1552" t="str">
            <v/>
          </cell>
        </row>
        <row r="1553">
          <cell r="A1553">
            <v>34000000</v>
          </cell>
          <cell r="C1553">
            <v>34000000</v>
          </cell>
          <cell r="D1553">
            <v>34000000</v>
          </cell>
          <cell r="E1553">
            <v>34000000</v>
          </cell>
          <cell r="F1553">
            <v>34000000</v>
          </cell>
          <cell r="G1553">
            <v>34000000</v>
          </cell>
          <cell r="H1553">
            <v>34000000</v>
          </cell>
          <cell r="I1553" t="str">
            <v/>
          </cell>
          <cell r="J1553" t="str">
            <v/>
          </cell>
          <cell r="K1553" t="str">
            <v/>
          </cell>
          <cell r="L1553" t="str">
            <v/>
          </cell>
        </row>
        <row r="1554">
          <cell r="A1554">
            <v>34000000</v>
          </cell>
          <cell r="C1554">
            <v>34000000</v>
          </cell>
          <cell r="D1554">
            <v>34000000</v>
          </cell>
          <cell r="E1554">
            <v>34000000</v>
          </cell>
          <cell r="F1554">
            <v>34000000</v>
          </cell>
          <cell r="G1554">
            <v>34000000</v>
          </cell>
          <cell r="H1554">
            <v>34000000</v>
          </cell>
          <cell r="I1554" t="str">
            <v/>
          </cell>
          <cell r="J1554" t="str">
            <v/>
          </cell>
          <cell r="K1554" t="str">
            <v/>
          </cell>
          <cell r="L1554" t="str">
            <v/>
          </cell>
        </row>
        <row r="1555">
          <cell r="A1555">
            <v>34000000</v>
          </cell>
          <cell r="C1555">
            <v>34000000</v>
          </cell>
          <cell r="D1555">
            <v>34000000</v>
          </cell>
          <cell r="E1555">
            <v>34000000</v>
          </cell>
          <cell r="F1555">
            <v>34000000</v>
          </cell>
          <cell r="G1555">
            <v>34000000</v>
          </cell>
          <cell r="H1555">
            <v>34000000</v>
          </cell>
          <cell r="I1555" t="str">
            <v/>
          </cell>
          <cell r="J1555" t="str">
            <v/>
          </cell>
          <cell r="K1555" t="str">
            <v/>
          </cell>
          <cell r="L1555" t="str">
            <v/>
          </cell>
        </row>
        <row r="1556">
          <cell r="A1556">
            <v>34000000</v>
          </cell>
          <cell r="C1556">
            <v>34000000</v>
          </cell>
          <cell r="D1556">
            <v>34000000</v>
          </cell>
          <cell r="E1556">
            <v>34000000</v>
          </cell>
          <cell r="F1556">
            <v>34000000</v>
          </cell>
          <cell r="G1556">
            <v>34000000</v>
          </cell>
          <cell r="H1556">
            <v>34000000</v>
          </cell>
          <cell r="I1556" t="str">
            <v/>
          </cell>
          <cell r="J1556" t="str">
            <v/>
          </cell>
          <cell r="K1556" t="str">
            <v/>
          </cell>
          <cell r="L1556" t="str">
            <v/>
          </cell>
        </row>
        <row r="1557">
          <cell r="A1557">
            <v>34000000</v>
          </cell>
          <cell r="C1557">
            <v>34000000</v>
          </cell>
          <cell r="D1557">
            <v>34000000</v>
          </cell>
          <cell r="E1557">
            <v>34000000</v>
          </cell>
          <cell r="F1557">
            <v>34000000</v>
          </cell>
          <cell r="G1557">
            <v>34000000</v>
          </cell>
          <cell r="H1557">
            <v>34000000</v>
          </cell>
          <cell r="I1557" t="str">
            <v/>
          </cell>
          <cell r="J1557" t="str">
            <v/>
          </cell>
          <cell r="K1557" t="str">
            <v/>
          </cell>
          <cell r="L1557" t="str">
            <v/>
          </cell>
        </row>
        <row r="1558">
          <cell r="A1558">
            <v>34000000</v>
          </cell>
          <cell r="C1558">
            <v>34000000</v>
          </cell>
          <cell r="D1558">
            <v>34000000</v>
          </cell>
          <cell r="E1558">
            <v>34000000</v>
          </cell>
          <cell r="F1558">
            <v>34000000</v>
          </cell>
          <cell r="G1558">
            <v>34000000</v>
          </cell>
          <cell r="H1558">
            <v>34000000</v>
          </cell>
          <cell r="I1558" t="str">
            <v/>
          </cell>
          <cell r="J1558" t="str">
            <v/>
          </cell>
          <cell r="K1558" t="str">
            <v/>
          </cell>
          <cell r="L1558" t="str">
            <v/>
          </cell>
        </row>
        <row r="1559">
          <cell r="A1559">
            <v>34000000</v>
          </cell>
          <cell r="C1559">
            <v>34000000</v>
          </cell>
          <cell r="D1559">
            <v>34000000</v>
          </cell>
          <cell r="E1559">
            <v>34000000</v>
          </cell>
          <cell r="F1559">
            <v>34000000</v>
          </cell>
          <cell r="G1559">
            <v>34000000</v>
          </cell>
          <cell r="H1559">
            <v>34000000</v>
          </cell>
          <cell r="I1559" t="str">
            <v/>
          </cell>
          <cell r="J1559" t="str">
            <v/>
          </cell>
          <cell r="K1559" t="str">
            <v/>
          </cell>
          <cell r="L1559" t="str">
            <v/>
          </cell>
        </row>
        <row r="1560">
          <cell r="A1560">
            <v>34000000</v>
          </cell>
          <cell r="C1560">
            <v>34000000</v>
          </cell>
          <cell r="D1560">
            <v>34000000</v>
          </cell>
          <cell r="E1560">
            <v>34000000</v>
          </cell>
          <cell r="F1560">
            <v>34000000</v>
          </cell>
          <cell r="G1560">
            <v>34000000</v>
          </cell>
          <cell r="H1560">
            <v>34000000</v>
          </cell>
          <cell r="I1560" t="str">
            <v/>
          </cell>
          <cell r="J1560" t="str">
            <v/>
          </cell>
          <cell r="K1560" t="str">
            <v/>
          </cell>
          <cell r="L1560" t="str">
            <v/>
          </cell>
        </row>
        <row r="1561">
          <cell r="A1561">
            <v>34000000</v>
          </cell>
          <cell r="C1561">
            <v>34000000</v>
          </cell>
          <cell r="D1561">
            <v>34000000</v>
          </cell>
          <cell r="E1561">
            <v>34000000</v>
          </cell>
          <cell r="F1561">
            <v>34000000</v>
          </cell>
          <cell r="G1561">
            <v>34000000</v>
          </cell>
          <cell r="H1561">
            <v>34000000</v>
          </cell>
          <cell r="I1561" t="str">
            <v/>
          </cell>
          <cell r="J1561" t="str">
            <v/>
          </cell>
          <cell r="K1561" t="str">
            <v/>
          </cell>
          <cell r="L1561" t="str">
            <v/>
          </cell>
        </row>
        <row r="1562">
          <cell r="A1562">
            <v>34000000</v>
          </cell>
          <cell r="C1562">
            <v>34000000</v>
          </cell>
          <cell r="D1562">
            <v>34000000</v>
          </cell>
          <cell r="E1562">
            <v>34000000</v>
          </cell>
          <cell r="F1562">
            <v>34000000</v>
          </cell>
          <cell r="G1562">
            <v>34000000</v>
          </cell>
          <cell r="H1562">
            <v>34000000</v>
          </cell>
          <cell r="I1562" t="str">
            <v/>
          </cell>
          <cell r="J1562" t="str">
            <v/>
          </cell>
          <cell r="K1562" t="str">
            <v/>
          </cell>
          <cell r="L1562" t="str">
            <v/>
          </cell>
        </row>
        <row r="1563">
          <cell r="A1563">
            <v>34000000</v>
          </cell>
          <cell r="C1563">
            <v>34000000</v>
          </cell>
          <cell r="D1563">
            <v>34000000</v>
          </cell>
          <cell r="E1563">
            <v>34000000</v>
          </cell>
          <cell r="F1563">
            <v>34000000</v>
          </cell>
          <cell r="G1563">
            <v>34000000</v>
          </cell>
          <cell r="H1563">
            <v>34000000</v>
          </cell>
          <cell r="I1563" t="str">
            <v/>
          </cell>
          <cell r="J1563" t="str">
            <v/>
          </cell>
          <cell r="K1563" t="str">
            <v/>
          </cell>
          <cell r="L1563" t="str">
            <v/>
          </cell>
        </row>
        <row r="1564">
          <cell r="A1564">
            <v>34000000</v>
          </cell>
          <cell r="C1564">
            <v>34000000</v>
          </cell>
          <cell r="D1564">
            <v>34000000</v>
          </cell>
          <cell r="E1564">
            <v>34000000</v>
          </cell>
          <cell r="F1564">
            <v>34000000</v>
          </cell>
          <cell r="G1564">
            <v>34000000</v>
          </cell>
          <cell r="H1564">
            <v>34000000</v>
          </cell>
          <cell r="I1564" t="str">
            <v/>
          </cell>
          <cell r="J1564" t="str">
            <v/>
          </cell>
          <cell r="K1564" t="str">
            <v/>
          </cell>
          <cell r="L1564" t="str">
            <v/>
          </cell>
        </row>
        <row r="1565">
          <cell r="A1565">
            <v>34000000</v>
          </cell>
          <cell r="C1565">
            <v>34000000</v>
          </cell>
          <cell r="D1565">
            <v>34000000</v>
          </cell>
          <cell r="E1565">
            <v>34000000</v>
          </cell>
          <cell r="F1565">
            <v>34000000</v>
          </cell>
          <cell r="G1565">
            <v>34000000</v>
          </cell>
          <cell r="H1565">
            <v>34000000</v>
          </cell>
          <cell r="I1565" t="str">
            <v/>
          </cell>
          <cell r="J1565" t="str">
            <v/>
          </cell>
          <cell r="K1565" t="str">
            <v/>
          </cell>
          <cell r="L1565" t="str">
            <v/>
          </cell>
        </row>
        <row r="1566">
          <cell r="A1566">
            <v>34000000</v>
          </cell>
          <cell r="C1566">
            <v>34000000</v>
          </cell>
          <cell r="D1566">
            <v>34000000</v>
          </cell>
          <cell r="E1566">
            <v>34000000</v>
          </cell>
          <cell r="F1566">
            <v>34000000</v>
          </cell>
          <cell r="G1566">
            <v>34000000</v>
          </cell>
          <cell r="H1566">
            <v>34000000</v>
          </cell>
          <cell r="I1566" t="str">
            <v/>
          </cell>
          <cell r="J1566" t="str">
            <v/>
          </cell>
          <cell r="K1566" t="str">
            <v/>
          </cell>
          <cell r="L1566" t="str">
            <v/>
          </cell>
        </row>
        <row r="1567">
          <cell r="A1567">
            <v>34000000</v>
          </cell>
          <cell r="C1567">
            <v>34000000</v>
          </cell>
          <cell r="D1567">
            <v>34000000</v>
          </cell>
          <cell r="E1567">
            <v>34000000</v>
          </cell>
          <cell r="F1567">
            <v>34000000</v>
          </cell>
          <cell r="G1567">
            <v>34000000</v>
          </cell>
          <cell r="H1567">
            <v>34000000</v>
          </cell>
          <cell r="I1567" t="str">
            <v/>
          </cell>
          <cell r="J1567" t="str">
            <v/>
          </cell>
          <cell r="K1567" t="str">
            <v/>
          </cell>
          <cell r="L1567" t="str">
            <v/>
          </cell>
        </row>
        <row r="1568">
          <cell r="A1568">
            <v>34000000</v>
          </cell>
          <cell r="C1568">
            <v>34000000</v>
          </cell>
          <cell r="D1568">
            <v>34000000</v>
          </cell>
          <cell r="E1568">
            <v>34000000</v>
          </cell>
          <cell r="F1568">
            <v>34000000</v>
          </cell>
          <cell r="G1568">
            <v>34000000</v>
          </cell>
          <cell r="H1568">
            <v>34000000</v>
          </cell>
          <cell r="I1568" t="str">
            <v/>
          </cell>
          <cell r="J1568" t="str">
            <v/>
          </cell>
          <cell r="K1568" t="str">
            <v/>
          </cell>
          <cell r="L1568" t="str">
            <v/>
          </cell>
        </row>
        <row r="1569">
          <cell r="A1569">
            <v>34000000</v>
          </cell>
          <cell r="C1569">
            <v>34000000</v>
          </cell>
          <cell r="D1569">
            <v>34000000</v>
          </cell>
          <cell r="E1569">
            <v>34000000</v>
          </cell>
          <cell r="F1569">
            <v>34000000</v>
          </cell>
          <cell r="G1569">
            <v>34000000</v>
          </cell>
          <cell r="H1569">
            <v>34000000</v>
          </cell>
          <cell r="I1569" t="str">
            <v/>
          </cell>
          <cell r="J1569" t="str">
            <v/>
          </cell>
          <cell r="K1569" t="str">
            <v/>
          </cell>
          <cell r="L1569" t="str">
            <v/>
          </cell>
        </row>
        <row r="1570">
          <cell r="A1570">
            <v>34000000</v>
          </cell>
          <cell r="C1570">
            <v>34000000</v>
          </cell>
          <cell r="D1570">
            <v>34000000</v>
          </cell>
          <cell r="E1570">
            <v>34000000</v>
          </cell>
          <cell r="F1570">
            <v>34000000</v>
          </cell>
          <cell r="G1570">
            <v>34000000</v>
          </cell>
          <cell r="H1570">
            <v>34000000</v>
          </cell>
          <cell r="I1570" t="str">
            <v/>
          </cell>
          <cell r="J1570" t="str">
            <v/>
          </cell>
          <cell r="K1570" t="str">
            <v/>
          </cell>
          <cell r="L1570" t="str">
            <v/>
          </cell>
        </row>
        <row r="1571">
          <cell r="A1571">
            <v>34000000</v>
          </cell>
          <cell r="C1571">
            <v>34000000</v>
          </cell>
          <cell r="D1571">
            <v>34000000</v>
          </cell>
          <cell r="E1571">
            <v>34000000</v>
          </cell>
          <cell r="F1571">
            <v>34000000</v>
          </cell>
          <cell r="G1571">
            <v>34000000</v>
          </cell>
          <cell r="H1571">
            <v>34000000</v>
          </cell>
          <cell r="I1571" t="str">
            <v/>
          </cell>
          <cell r="J1571" t="str">
            <v/>
          </cell>
          <cell r="K1571" t="str">
            <v/>
          </cell>
          <cell r="L1571" t="str">
            <v/>
          </cell>
        </row>
        <row r="1572">
          <cell r="A1572">
            <v>34000000</v>
          </cell>
          <cell r="C1572">
            <v>34000000</v>
          </cell>
          <cell r="D1572">
            <v>34000000</v>
          </cell>
          <cell r="E1572">
            <v>34000000</v>
          </cell>
          <cell r="F1572">
            <v>34000000</v>
          </cell>
          <cell r="G1572">
            <v>34000000</v>
          </cell>
          <cell r="H1572">
            <v>34000000</v>
          </cell>
          <cell r="I1572" t="str">
            <v/>
          </cell>
          <cell r="J1572" t="str">
            <v/>
          </cell>
          <cell r="K1572" t="str">
            <v/>
          </cell>
          <cell r="L1572" t="str">
            <v/>
          </cell>
        </row>
        <row r="1573">
          <cell r="A1573">
            <v>34000000</v>
          </cell>
          <cell r="C1573">
            <v>34000000</v>
          </cell>
          <cell r="D1573">
            <v>34000000</v>
          </cell>
          <cell r="E1573">
            <v>34000000</v>
          </cell>
          <cell r="F1573">
            <v>34000000</v>
          </cell>
          <cell r="G1573">
            <v>34000000</v>
          </cell>
          <cell r="H1573">
            <v>34000000</v>
          </cell>
          <cell r="I1573" t="str">
            <v/>
          </cell>
          <cell r="J1573" t="str">
            <v/>
          </cell>
          <cell r="K1573" t="str">
            <v/>
          </cell>
          <cell r="L1573" t="str">
            <v/>
          </cell>
        </row>
        <row r="1574">
          <cell r="A1574">
            <v>34000000</v>
          </cell>
          <cell r="C1574">
            <v>34000000</v>
          </cell>
          <cell r="D1574">
            <v>34000000</v>
          </cell>
          <cell r="E1574">
            <v>34000000</v>
          </cell>
          <cell r="F1574">
            <v>34000000</v>
          </cell>
          <cell r="G1574">
            <v>34000000</v>
          </cell>
          <cell r="H1574">
            <v>34000000</v>
          </cell>
          <cell r="I1574" t="str">
            <v/>
          </cell>
          <cell r="J1574" t="str">
            <v/>
          </cell>
          <cell r="K1574" t="str">
            <v/>
          </cell>
          <cell r="L1574" t="str">
            <v/>
          </cell>
        </row>
        <row r="1575">
          <cell r="A1575">
            <v>34000000</v>
          </cell>
          <cell r="C1575">
            <v>34000000</v>
          </cell>
          <cell r="D1575">
            <v>34000000</v>
          </cell>
          <cell r="E1575">
            <v>34000000</v>
          </cell>
          <cell r="F1575">
            <v>34000000</v>
          </cell>
          <cell r="G1575">
            <v>34000000</v>
          </cell>
          <cell r="H1575">
            <v>34000000</v>
          </cell>
          <cell r="I1575" t="str">
            <v/>
          </cell>
          <cell r="J1575" t="str">
            <v/>
          </cell>
          <cell r="K1575" t="str">
            <v/>
          </cell>
          <cell r="L1575" t="str">
            <v/>
          </cell>
        </row>
        <row r="1576">
          <cell r="A1576">
            <v>34000000</v>
          </cell>
          <cell r="C1576">
            <v>34000000</v>
          </cell>
          <cell r="D1576">
            <v>34000000</v>
          </cell>
          <cell r="E1576">
            <v>34000000</v>
          </cell>
          <cell r="F1576">
            <v>34000000</v>
          </cell>
          <cell r="G1576">
            <v>34000000</v>
          </cell>
          <cell r="H1576">
            <v>34000000</v>
          </cell>
          <cell r="I1576" t="str">
            <v/>
          </cell>
          <cell r="J1576" t="str">
            <v/>
          </cell>
          <cell r="K1576" t="str">
            <v/>
          </cell>
          <cell r="L1576" t="str">
            <v/>
          </cell>
        </row>
        <row r="1577">
          <cell r="A1577">
            <v>34000000</v>
          </cell>
          <cell r="C1577">
            <v>34000000</v>
          </cell>
          <cell r="D1577">
            <v>34000000</v>
          </cell>
          <cell r="E1577">
            <v>34000000</v>
          </cell>
          <cell r="F1577">
            <v>34000000</v>
          </cell>
          <cell r="G1577">
            <v>34000000</v>
          </cell>
          <cell r="H1577">
            <v>34000000</v>
          </cell>
          <cell r="I1577" t="str">
            <v/>
          </cell>
          <cell r="J1577" t="str">
            <v/>
          </cell>
          <cell r="K1577" t="str">
            <v/>
          </cell>
          <cell r="L1577" t="str">
            <v/>
          </cell>
        </row>
        <row r="1578">
          <cell r="A1578">
            <v>34000000</v>
          </cell>
          <cell r="C1578">
            <v>34000000</v>
          </cell>
          <cell r="D1578">
            <v>34000000</v>
          </cell>
          <cell r="E1578">
            <v>34000000</v>
          </cell>
          <cell r="F1578">
            <v>34000000</v>
          </cell>
          <cell r="G1578">
            <v>34000000</v>
          </cell>
          <cell r="H1578">
            <v>34000000</v>
          </cell>
          <cell r="I1578" t="str">
            <v/>
          </cell>
          <cell r="J1578" t="str">
            <v/>
          </cell>
          <cell r="K1578" t="str">
            <v/>
          </cell>
          <cell r="L1578" t="str">
            <v/>
          </cell>
        </row>
        <row r="1579">
          <cell r="A1579">
            <v>34000000</v>
          </cell>
          <cell r="C1579">
            <v>34000000</v>
          </cell>
          <cell r="D1579">
            <v>34000000</v>
          </cell>
          <cell r="E1579">
            <v>34000000</v>
          </cell>
          <cell r="F1579">
            <v>34000000</v>
          </cell>
          <cell r="G1579">
            <v>34000000</v>
          </cell>
          <cell r="H1579">
            <v>34000000</v>
          </cell>
          <cell r="I1579" t="str">
            <v/>
          </cell>
          <cell r="J1579" t="str">
            <v/>
          </cell>
          <cell r="K1579" t="str">
            <v/>
          </cell>
          <cell r="L1579" t="str">
            <v/>
          </cell>
        </row>
        <row r="1580">
          <cell r="A1580">
            <v>34000000</v>
          </cell>
          <cell r="C1580">
            <v>34000000</v>
          </cell>
          <cell r="D1580">
            <v>34000000</v>
          </cell>
          <cell r="E1580">
            <v>34000000</v>
          </cell>
          <cell r="F1580">
            <v>34000000</v>
          </cell>
          <cell r="G1580">
            <v>34000000</v>
          </cell>
          <cell r="H1580">
            <v>34000000</v>
          </cell>
          <cell r="I1580" t="str">
            <v/>
          </cell>
          <cell r="J1580" t="str">
            <v/>
          </cell>
          <cell r="K1580" t="str">
            <v/>
          </cell>
          <cell r="L1580" t="str">
            <v/>
          </cell>
        </row>
        <row r="1581">
          <cell r="A1581">
            <v>34000000</v>
          </cell>
          <cell r="C1581">
            <v>34000000</v>
          </cell>
          <cell r="D1581">
            <v>34000000</v>
          </cell>
          <cell r="E1581">
            <v>34000000</v>
          </cell>
          <cell r="F1581">
            <v>34000000</v>
          </cell>
          <cell r="G1581">
            <v>34000000</v>
          </cell>
          <cell r="H1581">
            <v>34000000</v>
          </cell>
          <cell r="I1581" t="str">
            <v/>
          </cell>
          <cell r="J1581" t="str">
            <v/>
          </cell>
          <cell r="K1581" t="str">
            <v/>
          </cell>
          <cell r="L1581" t="str">
            <v/>
          </cell>
        </row>
        <row r="1582">
          <cell r="A1582">
            <v>34000000</v>
          </cell>
          <cell r="C1582">
            <v>34000000</v>
          </cell>
          <cell r="D1582">
            <v>34000000</v>
          </cell>
          <cell r="E1582">
            <v>34000000</v>
          </cell>
          <cell r="F1582">
            <v>34000000</v>
          </cell>
          <cell r="G1582">
            <v>34000000</v>
          </cell>
          <cell r="H1582">
            <v>34000000</v>
          </cell>
          <cell r="I1582" t="str">
            <v/>
          </cell>
          <cell r="J1582" t="str">
            <v/>
          </cell>
          <cell r="K1582" t="str">
            <v/>
          </cell>
          <cell r="L1582" t="str">
            <v/>
          </cell>
        </row>
        <row r="1583">
          <cell r="A1583">
            <v>34000000</v>
          </cell>
          <cell r="C1583">
            <v>34000000</v>
          </cell>
          <cell r="D1583">
            <v>34000000</v>
          </cell>
          <cell r="E1583">
            <v>34000000</v>
          </cell>
          <cell r="F1583">
            <v>34000000</v>
          </cell>
          <cell r="G1583">
            <v>34000000</v>
          </cell>
          <cell r="H1583">
            <v>34000000</v>
          </cell>
          <cell r="I1583" t="str">
            <v/>
          </cell>
          <cell r="J1583" t="str">
            <v/>
          </cell>
          <cell r="K1583" t="str">
            <v/>
          </cell>
          <cell r="L1583" t="str">
            <v/>
          </cell>
        </row>
        <row r="1584">
          <cell r="A1584">
            <v>34000000</v>
          </cell>
          <cell r="C1584">
            <v>34000000</v>
          </cell>
          <cell r="D1584">
            <v>34000000</v>
          </cell>
          <cell r="E1584">
            <v>34000000</v>
          </cell>
          <cell r="F1584">
            <v>34000000</v>
          </cell>
          <cell r="G1584">
            <v>34000000</v>
          </cell>
          <cell r="H1584">
            <v>34000000</v>
          </cell>
          <cell r="I1584" t="str">
            <v/>
          </cell>
          <cell r="J1584" t="str">
            <v/>
          </cell>
          <cell r="K1584" t="str">
            <v/>
          </cell>
          <cell r="L1584" t="str">
            <v/>
          </cell>
        </row>
        <row r="1585">
          <cell r="A1585">
            <v>34000000</v>
          </cell>
          <cell r="C1585">
            <v>34000000</v>
          </cell>
          <cell r="D1585">
            <v>34000000</v>
          </cell>
          <cell r="E1585">
            <v>34000000</v>
          </cell>
          <cell r="F1585">
            <v>34000000</v>
          </cell>
          <cell r="G1585">
            <v>34000000</v>
          </cell>
          <cell r="H1585">
            <v>34000000</v>
          </cell>
          <cell r="I1585" t="str">
            <v/>
          </cell>
          <cell r="J1585" t="str">
            <v/>
          </cell>
          <cell r="K1585" t="str">
            <v/>
          </cell>
          <cell r="L1585" t="str">
            <v/>
          </cell>
        </row>
        <row r="1586">
          <cell r="A1586">
            <v>34000000</v>
          </cell>
          <cell r="C1586">
            <v>34000000</v>
          </cell>
          <cell r="D1586">
            <v>34000000</v>
          </cell>
          <cell r="E1586">
            <v>34000000</v>
          </cell>
          <cell r="F1586">
            <v>34000000</v>
          </cell>
          <cell r="G1586">
            <v>34000000</v>
          </cell>
          <cell r="H1586">
            <v>34000000</v>
          </cell>
          <cell r="I1586" t="str">
            <v/>
          </cell>
          <cell r="J1586" t="str">
            <v/>
          </cell>
          <cell r="K1586" t="str">
            <v/>
          </cell>
          <cell r="L1586" t="str">
            <v/>
          </cell>
        </row>
        <row r="1587">
          <cell r="A1587">
            <v>34000000</v>
          </cell>
          <cell r="C1587">
            <v>34000000</v>
          </cell>
          <cell r="D1587">
            <v>34000000</v>
          </cell>
          <cell r="E1587">
            <v>34000000</v>
          </cell>
          <cell r="F1587">
            <v>34000000</v>
          </cell>
          <cell r="G1587">
            <v>34000000</v>
          </cell>
          <cell r="H1587">
            <v>34000000</v>
          </cell>
          <cell r="I1587" t="str">
            <v/>
          </cell>
          <cell r="J1587" t="str">
            <v/>
          </cell>
          <cell r="K1587" t="str">
            <v/>
          </cell>
          <cell r="L1587" t="str">
            <v/>
          </cell>
        </row>
        <row r="1588">
          <cell r="A1588">
            <v>34000000</v>
          </cell>
          <cell r="C1588">
            <v>34000000</v>
          </cell>
          <cell r="D1588">
            <v>34000000</v>
          </cell>
          <cell r="E1588">
            <v>34000000</v>
          </cell>
          <cell r="F1588">
            <v>34000000</v>
          </cell>
          <cell r="G1588">
            <v>34000000</v>
          </cell>
          <cell r="H1588">
            <v>34000000</v>
          </cell>
          <cell r="I1588" t="str">
            <v/>
          </cell>
          <cell r="J1588" t="str">
            <v/>
          </cell>
          <cell r="K1588" t="str">
            <v/>
          </cell>
          <cell r="L1588" t="str">
            <v/>
          </cell>
        </row>
        <row r="1589">
          <cell r="A1589">
            <v>34000000</v>
          </cell>
          <cell r="C1589">
            <v>34000000</v>
          </cell>
          <cell r="D1589">
            <v>34000000</v>
          </cell>
          <cell r="E1589">
            <v>34000000</v>
          </cell>
          <cell r="F1589">
            <v>34000000</v>
          </cell>
          <cell r="G1589">
            <v>34000000</v>
          </cell>
          <cell r="H1589">
            <v>34000000</v>
          </cell>
          <cell r="I1589" t="str">
            <v/>
          </cell>
          <cell r="J1589" t="str">
            <v/>
          </cell>
          <cell r="K1589" t="str">
            <v/>
          </cell>
          <cell r="L1589" t="str">
            <v/>
          </cell>
        </row>
        <row r="1590">
          <cell r="A1590">
            <v>34000000</v>
          </cell>
          <cell r="C1590">
            <v>34000000</v>
          </cell>
          <cell r="D1590">
            <v>34000000</v>
          </cell>
          <cell r="E1590">
            <v>34000000</v>
          </cell>
          <cell r="F1590">
            <v>34000000</v>
          </cell>
          <cell r="G1590">
            <v>34000000</v>
          </cell>
          <cell r="H1590">
            <v>34000000</v>
          </cell>
          <cell r="I1590" t="str">
            <v/>
          </cell>
          <cell r="J1590" t="str">
            <v/>
          </cell>
          <cell r="K1590" t="str">
            <v/>
          </cell>
          <cell r="L1590" t="str">
            <v/>
          </cell>
        </row>
        <row r="1591">
          <cell r="A1591">
            <v>34000000</v>
          </cell>
          <cell r="C1591">
            <v>34000000</v>
          </cell>
          <cell r="D1591">
            <v>34000000</v>
          </cell>
          <cell r="E1591">
            <v>34000000</v>
          </cell>
          <cell r="F1591">
            <v>34000000</v>
          </cell>
          <cell r="G1591">
            <v>34000000</v>
          </cell>
          <cell r="H1591">
            <v>34000000</v>
          </cell>
          <cell r="I1591" t="str">
            <v/>
          </cell>
          <cell r="J1591" t="str">
            <v/>
          </cell>
          <cell r="K1591" t="str">
            <v/>
          </cell>
          <cell r="L1591" t="str">
            <v/>
          </cell>
        </row>
        <row r="1592">
          <cell r="A1592">
            <v>34000000</v>
          </cell>
          <cell r="C1592">
            <v>34000000</v>
          </cell>
          <cell r="D1592">
            <v>34000000</v>
          </cell>
          <cell r="E1592">
            <v>34000000</v>
          </cell>
          <cell r="F1592">
            <v>34000000</v>
          </cell>
          <cell r="G1592">
            <v>34000000</v>
          </cell>
          <cell r="H1592">
            <v>34000000</v>
          </cell>
          <cell r="I1592" t="str">
            <v/>
          </cell>
          <cell r="J1592" t="str">
            <v/>
          </cell>
          <cell r="K1592" t="str">
            <v/>
          </cell>
          <cell r="L1592" t="str">
            <v/>
          </cell>
        </row>
        <row r="1593">
          <cell r="A1593">
            <v>34000000</v>
          </cell>
          <cell r="C1593">
            <v>34000000</v>
          </cell>
          <cell r="D1593">
            <v>34000000</v>
          </cell>
          <cell r="E1593">
            <v>34000000</v>
          </cell>
          <cell r="F1593">
            <v>34000000</v>
          </cell>
          <cell r="G1593">
            <v>34000000</v>
          </cell>
          <cell r="H1593">
            <v>34000000</v>
          </cell>
          <cell r="I1593" t="str">
            <v/>
          </cell>
          <cell r="J1593" t="str">
            <v/>
          </cell>
          <cell r="K1593" t="str">
            <v/>
          </cell>
          <cell r="L1593" t="str">
            <v/>
          </cell>
        </row>
        <row r="1594">
          <cell r="A1594">
            <v>34000000</v>
          </cell>
          <cell r="C1594">
            <v>34000000</v>
          </cell>
          <cell r="D1594">
            <v>34000000</v>
          </cell>
          <cell r="E1594">
            <v>34000000</v>
          </cell>
          <cell r="F1594">
            <v>34000000</v>
          </cell>
          <cell r="G1594">
            <v>34000000</v>
          </cell>
          <cell r="H1594">
            <v>34000000</v>
          </cell>
          <cell r="I1594" t="str">
            <v/>
          </cell>
          <cell r="J1594" t="str">
            <v/>
          </cell>
          <cell r="K1594" t="str">
            <v/>
          </cell>
          <cell r="L1594" t="str">
            <v/>
          </cell>
        </row>
        <row r="1595">
          <cell r="A1595">
            <v>34000000</v>
          </cell>
          <cell r="C1595">
            <v>34000000</v>
          </cell>
          <cell r="D1595">
            <v>34000000</v>
          </cell>
          <cell r="E1595">
            <v>34000000</v>
          </cell>
          <cell r="F1595">
            <v>34000000</v>
          </cell>
          <cell r="G1595">
            <v>34000000</v>
          </cell>
          <cell r="H1595">
            <v>34000000</v>
          </cell>
          <cell r="I1595" t="str">
            <v/>
          </cell>
          <cell r="J1595" t="str">
            <v/>
          </cell>
          <cell r="K1595" t="str">
            <v/>
          </cell>
          <cell r="L1595" t="str">
            <v/>
          </cell>
        </row>
        <row r="1596">
          <cell r="A1596">
            <v>34000000</v>
          </cell>
          <cell r="C1596">
            <v>34000000</v>
          </cell>
          <cell r="D1596">
            <v>34000000</v>
          </cell>
          <cell r="E1596">
            <v>34000000</v>
          </cell>
          <cell r="F1596">
            <v>34000000</v>
          </cell>
          <cell r="G1596">
            <v>34000000</v>
          </cell>
          <cell r="H1596">
            <v>34000000</v>
          </cell>
          <cell r="I1596" t="str">
            <v/>
          </cell>
          <cell r="J1596" t="str">
            <v/>
          </cell>
          <cell r="K1596" t="str">
            <v/>
          </cell>
          <cell r="L1596" t="str">
            <v/>
          </cell>
        </row>
        <row r="1597">
          <cell r="A1597">
            <v>34000000</v>
          </cell>
          <cell r="C1597">
            <v>34000000</v>
          </cell>
          <cell r="D1597">
            <v>34000000</v>
          </cell>
          <cell r="E1597">
            <v>34000000</v>
          </cell>
          <cell r="F1597">
            <v>34000000</v>
          </cell>
          <cell r="G1597">
            <v>34000000</v>
          </cell>
          <cell r="H1597">
            <v>34000000</v>
          </cell>
          <cell r="I1597" t="str">
            <v/>
          </cell>
          <cell r="J1597" t="str">
            <v/>
          </cell>
          <cell r="K1597" t="str">
            <v/>
          </cell>
          <cell r="L1597" t="str">
            <v/>
          </cell>
        </row>
        <row r="1598">
          <cell r="A1598">
            <v>34000000</v>
          </cell>
          <cell r="C1598">
            <v>34000000</v>
          </cell>
          <cell r="D1598">
            <v>34000000</v>
          </cell>
          <cell r="E1598">
            <v>34000000</v>
          </cell>
          <cell r="F1598">
            <v>34000000</v>
          </cell>
          <cell r="G1598">
            <v>34000000</v>
          </cell>
          <cell r="H1598">
            <v>34000000</v>
          </cell>
          <cell r="I1598" t="str">
            <v/>
          </cell>
          <cell r="J1598" t="str">
            <v/>
          </cell>
          <cell r="K1598" t="str">
            <v/>
          </cell>
          <cell r="L1598" t="str">
            <v/>
          </cell>
        </row>
        <row r="1599">
          <cell r="A1599">
            <v>34000000</v>
          </cell>
          <cell r="C1599">
            <v>34000000</v>
          </cell>
          <cell r="D1599">
            <v>34000000</v>
          </cell>
          <cell r="E1599">
            <v>34000000</v>
          </cell>
          <cell r="F1599">
            <v>34000000</v>
          </cell>
          <cell r="G1599">
            <v>34000000</v>
          </cell>
          <cell r="H1599">
            <v>34000000</v>
          </cell>
          <cell r="I1599" t="str">
            <v/>
          </cell>
          <cell r="J1599" t="str">
            <v/>
          </cell>
          <cell r="K1599" t="str">
            <v/>
          </cell>
          <cell r="L1599" t="str">
            <v/>
          </cell>
        </row>
        <row r="1600">
          <cell r="A1600">
            <v>34000000</v>
          </cell>
          <cell r="C1600">
            <v>34000000</v>
          </cell>
          <cell r="D1600">
            <v>34000000</v>
          </cell>
          <cell r="E1600">
            <v>34000000</v>
          </cell>
          <cell r="F1600">
            <v>34000000</v>
          </cell>
          <cell r="G1600">
            <v>34000000</v>
          </cell>
          <cell r="H1600">
            <v>34000000</v>
          </cell>
          <cell r="I1600" t="str">
            <v/>
          </cell>
          <cell r="J1600" t="str">
            <v/>
          </cell>
          <cell r="K1600" t="str">
            <v/>
          </cell>
          <cell r="L1600" t="str">
            <v/>
          </cell>
        </row>
        <row r="1601">
          <cell r="A1601">
            <v>34000000</v>
          </cell>
          <cell r="C1601">
            <v>34000000</v>
          </cell>
          <cell r="D1601">
            <v>34000000</v>
          </cell>
          <cell r="E1601">
            <v>34000000</v>
          </cell>
          <cell r="F1601">
            <v>34000000</v>
          </cell>
          <cell r="G1601">
            <v>34000000</v>
          </cell>
          <cell r="H1601">
            <v>34000000</v>
          </cell>
          <cell r="I1601" t="str">
            <v/>
          </cell>
          <cell r="J1601" t="str">
            <v/>
          </cell>
          <cell r="K1601" t="str">
            <v/>
          </cell>
          <cell r="L1601" t="str">
            <v/>
          </cell>
        </row>
        <row r="1602">
          <cell r="A1602">
            <v>34000000</v>
          </cell>
          <cell r="C1602">
            <v>34000000</v>
          </cell>
          <cell r="D1602">
            <v>34000000</v>
          </cell>
          <cell r="E1602">
            <v>34000000</v>
          </cell>
          <cell r="F1602">
            <v>34000000</v>
          </cell>
          <cell r="G1602">
            <v>34000000</v>
          </cell>
          <cell r="H1602">
            <v>34000000</v>
          </cell>
          <cell r="I1602" t="str">
            <v/>
          </cell>
          <cell r="J1602" t="str">
            <v/>
          </cell>
          <cell r="K1602" t="str">
            <v/>
          </cell>
          <cell r="L1602" t="str">
            <v/>
          </cell>
        </row>
        <row r="1603">
          <cell r="A1603">
            <v>34000000</v>
          </cell>
          <cell r="C1603">
            <v>34000000</v>
          </cell>
          <cell r="D1603">
            <v>34000000</v>
          </cell>
          <cell r="E1603">
            <v>34000000</v>
          </cell>
          <cell r="F1603">
            <v>34000000</v>
          </cell>
          <cell r="G1603">
            <v>34000000</v>
          </cell>
          <cell r="H1603">
            <v>34000000</v>
          </cell>
          <cell r="I1603" t="str">
            <v/>
          </cell>
          <cell r="J1603" t="str">
            <v/>
          </cell>
          <cell r="K1603" t="str">
            <v/>
          </cell>
          <cell r="L1603" t="str">
            <v/>
          </cell>
        </row>
        <row r="1604">
          <cell r="A1604">
            <v>34000000</v>
          </cell>
          <cell r="C1604">
            <v>34000000</v>
          </cell>
          <cell r="D1604">
            <v>34000000</v>
          </cell>
          <cell r="E1604">
            <v>34000000</v>
          </cell>
          <cell r="F1604">
            <v>34000000</v>
          </cell>
          <cell r="G1604">
            <v>34000000</v>
          </cell>
          <cell r="H1604">
            <v>34000000</v>
          </cell>
          <cell r="I1604" t="str">
            <v/>
          </cell>
          <cell r="J1604" t="str">
            <v/>
          </cell>
          <cell r="K1604" t="str">
            <v/>
          </cell>
          <cell r="L1604" t="str">
            <v/>
          </cell>
        </row>
        <row r="1605">
          <cell r="A1605">
            <v>34000000</v>
          </cell>
          <cell r="C1605">
            <v>34000000</v>
          </cell>
          <cell r="D1605">
            <v>34000000</v>
          </cell>
          <cell r="E1605">
            <v>34000000</v>
          </cell>
          <cell r="F1605">
            <v>34000000</v>
          </cell>
          <cell r="G1605">
            <v>34000000</v>
          </cell>
          <cell r="H1605">
            <v>34000000</v>
          </cell>
          <cell r="I1605" t="str">
            <v/>
          </cell>
          <cell r="J1605" t="str">
            <v/>
          </cell>
          <cell r="K1605" t="str">
            <v/>
          </cell>
          <cell r="L1605" t="str">
            <v/>
          </cell>
        </row>
        <row r="1606">
          <cell r="A1606">
            <v>34000000</v>
          </cell>
          <cell r="C1606">
            <v>34000000</v>
          </cell>
          <cell r="D1606">
            <v>34000000</v>
          </cell>
          <cell r="E1606">
            <v>34000000</v>
          </cell>
          <cell r="F1606">
            <v>34000000</v>
          </cell>
          <cell r="G1606">
            <v>34000000</v>
          </cell>
          <cell r="H1606">
            <v>34000000</v>
          </cell>
          <cell r="I1606" t="str">
            <v/>
          </cell>
          <cell r="J1606" t="str">
            <v/>
          </cell>
          <cell r="K1606" t="str">
            <v/>
          </cell>
          <cell r="L1606" t="str">
            <v/>
          </cell>
        </row>
        <row r="1607">
          <cell r="A1607">
            <v>34000000</v>
          </cell>
          <cell r="C1607">
            <v>34000000</v>
          </cell>
          <cell r="D1607">
            <v>34000000</v>
          </cell>
          <cell r="E1607">
            <v>34000000</v>
          </cell>
          <cell r="F1607">
            <v>34000000</v>
          </cell>
          <cell r="G1607">
            <v>34000000</v>
          </cell>
          <cell r="H1607">
            <v>34000000</v>
          </cell>
          <cell r="I1607" t="str">
            <v/>
          </cell>
          <cell r="J1607" t="str">
            <v/>
          </cell>
          <cell r="K1607" t="str">
            <v/>
          </cell>
          <cell r="L1607" t="str">
            <v/>
          </cell>
        </row>
        <row r="1608">
          <cell r="A1608">
            <v>34000000</v>
          </cell>
          <cell r="C1608">
            <v>34000000</v>
          </cell>
          <cell r="D1608">
            <v>34000000</v>
          </cell>
          <cell r="E1608">
            <v>34000000</v>
          </cell>
          <cell r="F1608">
            <v>34000000</v>
          </cell>
          <cell r="G1608">
            <v>34000000</v>
          </cell>
          <cell r="H1608">
            <v>34000000</v>
          </cell>
          <cell r="I1608" t="str">
            <v/>
          </cell>
          <cell r="J1608" t="str">
            <v/>
          </cell>
          <cell r="K1608" t="str">
            <v/>
          </cell>
          <cell r="L1608" t="str">
            <v/>
          </cell>
        </row>
        <row r="1609">
          <cell r="A1609">
            <v>34000000</v>
          </cell>
          <cell r="C1609">
            <v>34000000</v>
          </cell>
          <cell r="D1609">
            <v>34000000</v>
          </cell>
          <cell r="E1609">
            <v>34000000</v>
          </cell>
          <cell r="F1609">
            <v>34000000</v>
          </cell>
          <cell r="G1609">
            <v>34000000</v>
          </cell>
          <cell r="H1609">
            <v>34000000</v>
          </cell>
          <cell r="I1609" t="str">
            <v/>
          </cell>
          <cell r="J1609" t="str">
            <v/>
          </cell>
          <cell r="K1609" t="str">
            <v/>
          </cell>
          <cell r="L1609" t="str">
            <v/>
          </cell>
        </row>
        <row r="1610">
          <cell r="A1610">
            <v>34000000</v>
          </cell>
          <cell r="C1610">
            <v>34000000</v>
          </cell>
          <cell r="D1610">
            <v>34000000</v>
          </cell>
          <cell r="E1610">
            <v>34000000</v>
          </cell>
          <cell r="F1610">
            <v>34000000</v>
          </cell>
          <cell r="G1610">
            <v>34000000</v>
          </cell>
          <cell r="H1610">
            <v>34000000</v>
          </cell>
          <cell r="I1610" t="str">
            <v/>
          </cell>
          <cell r="J1610" t="str">
            <v/>
          </cell>
          <cell r="K1610" t="str">
            <v/>
          </cell>
          <cell r="L1610" t="str">
            <v/>
          </cell>
        </row>
        <row r="1611">
          <cell r="A1611">
            <v>34000000</v>
          </cell>
          <cell r="C1611">
            <v>34000000</v>
          </cell>
          <cell r="D1611">
            <v>34000000</v>
          </cell>
          <cell r="E1611">
            <v>34000000</v>
          </cell>
          <cell r="F1611">
            <v>34000000</v>
          </cell>
          <cell r="G1611">
            <v>34000000</v>
          </cell>
          <cell r="H1611">
            <v>34000000</v>
          </cell>
          <cell r="I1611" t="str">
            <v/>
          </cell>
          <cell r="J1611" t="str">
            <v/>
          </cell>
          <cell r="K1611" t="str">
            <v/>
          </cell>
          <cell r="L1611" t="str">
            <v/>
          </cell>
        </row>
        <row r="1612">
          <cell r="A1612">
            <v>34000000</v>
          </cell>
          <cell r="C1612">
            <v>34000000</v>
          </cell>
          <cell r="D1612">
            <v>34000000</v>
          </cell>
          <cell r="E1612">
            <v>34000000</v>
          </cell>
          <cell r="F1612">
            <v>34000000</v>
          </cell>
          <cell r="G1612">
            <v>34000000</v>
          </cell>
          <cell r="H1612">
            <v>34000000</v>
          </cell>
          <cell r="I1612" t="str">
            <v/>
          </cell>
          <cell r="J1612" t="str">
            <v/>
          </cell>
          <cell r="K1612" t="str">
            <v/>
          </cell>
          <cell r="L1612" t="str">
            <v/>
          </cell>
        </row>
        <row r="1613">
          <cell r="A1613">
            <v>34000000</v>
          </cell>
          <cell r="C1613">
            <v>34000000</v>
          </cell>
          <cell r="D1613">
            <v>34000000</v>
          </cell>
          <cell r="E1613">
            <v>34000000</v>
          </cell>
          <cell r="F1613">
            <v>34000000</v>
          </cell>
          <cell r="G1613">
            <v>34000000</v>
          </cell>
          <cell r="H1613">
            <v>34000000</v>
          </cell>
          <cell r="I1613" t="str">
            <v/>
          </cell>
          <cell r="J1613" t="str">
            <v/>
          </cell>
          <cell r="K1613" t="str">
            <v/>
          </cell>
          <cell r="L1613" t="str">
            <v/>
          </cell>
        </row>
        <row r="1614">
          <cell r="A1614">
            <v>34000000</v>
          </cell>
          <cell r="C1614">
            <v>34000000</v>
          </cell>
          <cell r="D1614">
            <v>34000000</v>
          </cell>
          <cell r="E1614">
            <v>34000000</v>
          </cell>
          <cell r="F1614">
            <v>34000000</v>
          </cell>
          <cell r="G1614">
            <v>34000000</v>
          </cell>
          <cell r="H1614">
            <v>34000000</v>
          </cell>
          <cell r="I1614" t="str">
            <v/>
          </cell>
          <cell r="J1614" t="str">
            <v/>
          </cell>
          <cell r="K1614" t="str">
            <v/>
          </cell>
          <cell r="L1614" t="str">
            <v/>
          </cell>
        </row>
        <row r="1615">
          <cell r="A1615">
            <v>34000000</v>
          </cell>
          <cell r="C1615">
            <v>34000000</v>
          </cell>
          <cell r="D1615">
            <v>34000000</v>
          </cell>
          <cell r="E1615">
            <v>34000000</v>
          </cell>
          <cell r="F1615">
            <v>34000000</v>
          </cell>
          <cell r="G1615">
            <v>34000000</v>
          </cell>
          <cell r="H1615">
            <v>34000000</v>
          </cell>
          <cell r="I1615" t="str">
            <v/>
          </cell>
          <cell r="J1615" t="str">
            <v/>
          </cell>
          <cell r="K1615" t="str">
            <v/>
          </cell>
          <cell r="L1615" t="str">
            <v/>
          </cell>
        </row>
        <row r="1616">
          <cell r="A1616">
            <v>34000000</v>
          </cell>
          <cell r="C1616">
            <v>34000000</v>
          </cell>
          <cell r="D1616">
            <v>34000000</v>
          </cell>
          <cell r="E1616">
            <v>34000000</v>
          </cell>
          <cell r="F1616">
            <v>34000000</v>
          </cell>
          <cell r="G1616">
            <v>34000000</v>
          </cell>
          <cell r="H1616">
            <v>34000000</v>
          </cell>
          <cell r="I1616" t="str">
            <v/>
          </cell>
          <cell r="J1616" t="str">
            <v/>
          </cell>
          <cell r="K1616" t="str">
            <v/>
          </cell>
          <cell r="L1616" t="str">
            <v/>
          </cell>
        </row>
        <row r="1617">
          <cell r="A1617">
            <v>34000000</v>
          </cell>
          <cell r="C1617">
            <v>34000000</v>
          </cell>
          <cell r="D1617">
            <v>34000000</v>
          </cell>
          <cell r="E1617">
            <v>34000000</v>
          </cell>
          <cell r="F1617">
            <v>34000000</v>
          </cell>
          <cell r="G1617">
            <v>34000000</v>
          </cell>
          <cell r="H1617">
            <v>34000000</v>
          </cell>
          <cell r="I1617" t="str">
            <v/>
          </cell>
          <cell r="J1617" t="str">
            <v/>
          </cell>
          <cell r="K1617" t="str">
            <v/>
          </cell>
          <cell r="L1617" t="str">
            <v/>
          </cell>
        </row>
        <row r="1618">
          <cell r="A1618">
            <v>34000000</v>
          </cell>
          <cell r="C1618">
            <v>34000000</v>
          </cell>
          <cell r="D1618">
            <v>34000000</v>
          </cell>
          <cell r="E1618">
            <v>34000000</v>
          </cell>
          <cell r="F1618">
            <v>34000000</v>
          </cell>
          <cell r="G1618">
            <v>34000000</v>
          </cell>
          <cell r="H1618">
            <v>34000000</v>
          </cell>
          <cell r="I1618" t="str">
            <v/>
          </cell>
          <cell r="J1618" t="str">
            <v/>
          </cell>
          <cell r="K1618" t="str">
            <v/>
          </cell>
          <cell r="L1618" t="str">
            <v/>
          </cell>
        </row>
        <row r="1619">
          <cell r="A1619">
            <v>34000000</v>
          </cell>
          <cell r="C1619">
            <v>34000000</v>
          </cell>
          <cell r="D1619">
            <v>34000000</v>
          </cell>
          <cell r="E1619">
            <v>34000000</v>
          </cell>
          <cell r="F1619">
            <v>34000000</v>
          </cell>
          <cell r="G1619">
            <v>34000000</v>
          </cell>
          <cell r="H1619">
            <v>34000000</v>
          </cell>
          <cell r="I1619" t="str">
            <v/>
          </cell>
          <cell r="J1619" t="str">
            <v/>
          </cell>
          <cell r="K1619" t="str">
            <v/>
          </cell>
          <cell r="L1619" t="str">
            <v/>
          </cell>
        </row>
        <row r="1620">
          <cell r="A1620">
            <v>34000000</v>
          </cell>
          <cell r="C1620">
            <v>34000000</v>
          </cell>
          <cell r="D1620">
            <v>34000000</v>
          </cell>
          <cell r="E1620">
            <v>34000000</v>
          </cell>
          <cell r="F1620">
            <v>34000000</v>
          </cell>
          <cell r="G1620">
            <v>34000000</v>
          </cell>
          <cell r="H1620">
            <v>34000000</v>
          </cell>
          <cell r="I1620" t="str">
            <v/>
          </cell>
          <cell r="J1620" t="str">
            <v/>
          </cell>
          <cell r="K1620" t="str">
            <v/>
          </cell>
          <cell r="L1620" t="str">
            <v/>
          </cell>
        </row>
        <row r="1621">
          <cell r="A1621">
            <v>34000000</v>
          </cell>
          <cell r="C1621">
            <v>34000000</v>
          </cell>
          <cell r="D1621">
            <v>34000000</v>
          </cell>
          <cell r="E1621">
            <v>34000000</v>
          </cell>
          <cell r="F1621">
            <v>34000000</v>
          </cell>
          <cell r="G1621">
            <v>34000000</v>
          </cell>
          <cell r="H1621">
            <v>34000000</v>
          </cell>
          <cell r="I1621" t="str">
            <v/>
          </cell>
          <cell r="J1621" t="str">
            <v/>
          </cell>
          <cell r="K1621" t="str">
            <v/>
          </cell>
          <cell r="L1621" t="str">
            <v/>
          </cell>
        </row>
        <row r="1622">
          <cell r="A1622">
            <v>34000000</v>
          </cell>
          <cell r="C1622">
            <v>34000000</v>
          </cell>
          <cell r="D1622">
            <v>34000000</v>
          </cell>
          <cell r="E1622">
            <v>34000000</v>
          </cell>
          <cell r="F1622">
            <v>34000000</v>
          </cell>
          <cell r="G1622">
            <v>34000000</v>
          </cell>
          <cell r="H1622">
            <v>34000000</v>
          </cell>
          <cell r="I1622" t="str">
            <v/>
          </cell>
          <cell r="J1622" t="str">
            <v/>
          </cell>
          <cell r="K1622" t="str">
            <v/>
          </cell>
          <cell r="L1622" t="str">
            <v/>
          </cell>
        </row>
        <row r="1623">
          <cell r="A1623">
            <v>34000000</v>
          </cell>
          <cell r="C1623">
            <v>34000000</v>
          </cell>
          <cell r="D1623">
            <v>34000000</v>
          </cell>
          <cell r="E1623">
            <v>34000000</v>
          </cell>
          <cell r="F1623">
            <v>34000000</v>
          </cell>
          <cell r="G1623">
            <v>34000000</v>
          </cell>
          <cell r="H1623">
            <v>34000000</v>
          </cell>
          <cell r="I1623" t="str">
            <v/>
          </cell>
          <cell r="J1623" t="str">
            <v/>
          </cell>
          <cell r="K1623" t="str">
            <v/>
          </cell>
          <cell r="L1623" t="str">
            <v/>
          </cell>
        </row>
        <row r="1624">
          <cell r="A1624">
            <v>34000000</v>
          </cell>
          <cell r="C1624">
            <v>34000000</v>
          </cell>
          <cell r="D1624">
            <v>34000000</v>
          </cell>
          <cell r="E1624">
            <v>34000000</v>
          </cell>
          <cell r="F1624">
            <v>34000000</v>
          </cell>
          <cell r="G1624">
            <v>34000000</v>
          </cell>
          <cell r="H1624">
            <v>34000000</v>
          </cell>
          <cell r="I1624" t="str">
            <v/>
          </cell>
          <cell r="J1624" t="str">
            <v/>
          </cell>
          <cell r="K1624" t="str">
            <v/>
          </cell>
          <cell r="L1624" t="str">
            <v/>
          </cell>
        </row>
        <row r="1625">
          <cell r="A1625">
            <v>34000000</v>
          </cell>
          <cell r="C1625">
            <v>34000000</v>
          </cell>
          <cell r="D1625">
            <v>34000000</v>
          </cell>
          <cell r="E1625">
            <v>34000000</v>
          </cell>
          <cell r="F1625">
            <v>34000000</v>
          </cell>
          <cell r="G1625">
            <v>34000000</v>
          </cell>
          <cell r="H1625">
            <v>34000000</v>
          </cell>
          <cell r="I1625" t="str">
            <v/>
          </cell>
          <cell r="J1625" t="str">
            <v/>
          </cell>
          <cell r="K1625" t="str">
            <v/>
          </cell>
          <cell r="L1625" t="str">
            <v/>
          </cell>
        </row>
        <row r="1626">
          <cell r="A1626">
            <v>34000000</v>
          </cell>
          <cell r="C1626">
            <v>34000000</v>
          </cell>
          <cell r="D1626">
            <v>34000000</v>
          </cell>
          <cell r="E1626">
            <v>34000000</v>
          </cell>
          <cell r="F1626">
            <v>34000000</v>
          </cell>
          <cell r="G1626">
            <v>34000000</v>
          </cell>
          <cell r="H1626">
            <v>34000000</v>
          </cell>
          <cell r="I1626" t="str">
            <v/>
          </cell>
          <cell r="J1626" t="str">
            <v/>
          </cell>
          <cell r="K1626" t="str">
            <v/>
          </cell>
          <cell r="L1626" t="str">
            <v/>
          </cell>
        </row>
        <row r="1627">
          <cell r="A1627">
            <v>34000000</v>
          </cell>
          <cell r="C1627">
            <v>34000000</v>
          </cell>
          <cell r="D1627">
            <v>34000000</v>
          </cell>
          <cell r="E1627">
            <v>34000000</v>
          </cell>
          <cell r="F1627">
            <v>34000000</v>
          </cell>
          <cell r="G1627">
            <v>34000000</v>
          </cell>
          <cell r="H1627">
            <v>34000000</v>
          </cell>
          <cell r="I1627" t="str">
            <v/>
          </cell>
          <cell r="J1627" t="str">
            <v/>
          </cell>
          <cell r="K1627" t="str">
            <v/>
          </cell>
          <cell r="L1627" t="str">
            <v/>
          </cell>
        </row>
        <row r="1628">
          <cell r="A1628">
            <v>34000000</v>
          </cell>
          <cell r="C1628">
            <v>34000000</v>
          </cell>
          <cell r="D1628">
            <v>34000000</v>
          </cell>
          <cell r="E1628">
            <v>34000000</v>
          </cell>
          <cell r="F1628">
            <v>34000000</v>
          </cell>
          <cell r="G1628">
            <v>34000000</v>
          </cell>
          <cell r="H1628">
            <v>34000000</v>
          </cell>
          <cell r="I1628" t="str">
            <v/>
          </cell>
          <cell r="J1628" t="str">
            <v/>
          </cell>
          <cell r="K1628" t="str">
            <v/>
          </cell>
          <cell r="L1628" t="str">
            <v/>
          </cell>
        </row>
        <row r="1629">
          <cell r="A1629">
            <v>34000000</v>
          </cell>
          <cell r="C1629">
            <v>34000000</v>
          </cell>
          <cell r="D1629">
            <v>34000000</v>
          </cell>
          <cell r="E1629">
            <v>34000000</v>
          </cell>
          <cell r="F1629">
            <v>34000000</v>
          </cell>
          <cell r="G1629">
            <v>34000000</v>
          </cell>
          <cell r="H1629">
            <v>34000000</v>
          </cell>
          <cell r="I1629" t="str">
            <v/>
          </cell>
          <cell r="J1629" t="str">
            <v/>
          </cell>
          <cell r="K1629" t="str">
            <v/>
          </cell>
          <cell r="L1629" t="str">
            <v/>
          </cell>
        </row>
        <row r="1630">
          <cell r="A1630">
            <v>34000000</v>
          </cell>
          <cell r="C1630">
            <v>34000000</v>
          </cell>
          <cell r="D1630">
            <v>34000000</v>
          </cell>
          <cell r="E1630">
            <v>34000000</v>
          </cell>
          <cell r="F1630">
            <v>34000000</v>
          </cell>
          <cell r="G1630">
            <v>34000000</v>
          </cell>
          <cell r="H1630">
            <v>34000000</v>
          </cell>
          <cell r="I1630" t="str">
            <v/>
          </cell>
          <cell r="J1630" t="str">
            <v/>
          </cell>
          <cell r="K1630" t="str">
            <v/>
          </cell>
          <cell r="L1630" t="str">
            <v/>
          </cell>
        </row>
        <row r="1631">
          <cell r="A1631">
            <v>34000000</v>
          </cell>
          <cell r="C1631">
            <v>34000000</v>
          </cell>
          <cell r="D1631">
            <v>34000000</v>
          </cell>
          <cell r="E1631">
            <v>34000000</v>
          </cell>
          <cell r="F1631">
            <v>34000000</v>
          </cell>
          <cell r="G1631">
            <v>34000000</v>
          </cell>
          <cell r="H1631">
            <v>34000000</v>
          </cell>
          <cell r="I1631" t="str">
            <v/>
          </cell>
          <cell r="J1631" t="str">
            <v/>
          </cell>
          <cell r="K1631" t="str">
            <v/>
          </cell>
          <cell r="L1631" t="str">
            <v/>
          </cell>
        </row>
        <row r="1632">
          <cell r="A1632">
            <v>34000000</v>
          </cell>
          <cell r="C1632">
            <v>34000000</v>
          </cell>
          <cell r="D1632">
            <v>34000000</v>
          </cell>
          <cell r="E1632">
            <v>34000000</v>
          </cell>
          <cell r="F1632">
            <v>34000000</v>
          </cell>
          <cell r="G1632">
            <v>34000000</v>
          </cell>
          <cell r="H1632">
            <v>34000000</v>
          </cell>
          <cell r="I1632" t="str">
            <v/>
          </cell>
          <cell r="J1632" t="str">
            <v/>
          </cell>
          <cell r="K1632" t="str">
            <v/>
          </cell>
          <cell r="L1632" t="str">
            <v/>
          </cell>
        </row>
        <row r="1633">
          <cell r="A1633">
            <v>34000000</v>
          </cell>
          <cell r="C1633">
            <v>34000000</v>
          </cell>
          <cell r="D1633">
            <v>34000000</v>
          </cell>
          <cell r="E1633">
            <v>34000000</v>
          </cell>
          <cell r="F1633">
            <v>34000000</v>
          </cell>
          <cell r="G1633">
            <v>34000000</v>
          </cell>
          <cell r="H1633">
            <v>34000000</v>
          </cell>
          <cell r="I1633" t="str">
            <v/>
          </cell>
          <cell r="J1633" t="str">
            <v/>
          </cell>
          <cell r="K1633" t="str">
            <v/>
          </cell>
          <cell r="L1633" t="str">
            <v/>
          </cell>
        </row>
        <row r="1634">
          <cell r="A1634">
            <v>34000000</v>
          </cell>
          <cell r="C1634">
            <v>34000000</v>
          </cell>
          <cell r="D1634">
            <v>34000000</v>
          </cell>
          <cell r="E1634">
            <v>34000000</v>
          </cell>
          <cell r="F1634">
            <v>34000000</v>
          </cell>
          <cell r="G1634">
            <v>34000000</v>
          </cell>
          <cell r="H1634">
            <v>34000000</v>
          </cell>
          <cell r="I1634" t="str">
            <v/>
          </cell>
          <cell r="J1634" t="str">
            <v/>
          </cell>
          <cell r="K1634" t="str">
            <v/>
          </cell>
          <cell r="L1634" t="str">
            <v/>
          </cell>
        </row>
        <row r="1635">
          <cell r="A1635">
            <v>34000000</v>
          </cell>
          <cell r="C1635">
            <v>34000000</v>
          </cell>
          <cell r="D1635">
            <v>34000000</v>
          </cell>
          <cell r="E1635">
            <v>34000000</v>
          </cell>
          <cell r="F1635">
            <v>34000000</v>
          </cell>
          <cell r="G1635">
            <v>34000000</v>
          </cell>
          <cell r="H1635">
            <v>34000000</v>
          </cell>
          <cell r="I1635" t="str">
            <v/>
          </cell>
          <cell r="J1635" t="str">
            <v/>
          </cell>
          <cell r="K1635" t="str">
            <v/>
          </cell>
          <cell r="L1635" t="str">
            <v/>
          </cell>
        </row>
        <row r="1636">
          <cell r="A1636">
            <v>34000000</v>
          </cell>
          <cell r="C1636">
            <v>34000000</v>
          </cell>
          <cell r="D1636">
            <v>34000000</v>
          </cell>
          <cell r="E1636">
            <v>34000000</v>
          </cell>
          <cell r="F1636">
            <v>34000000</v>
          </cell>
          <cell r="G1636">
            <v>34000000</v>
          </cell>
          <cell r="H1636">
            <v>34000000</v>
          </cell>
          <cell r="I1636" t="str">
            <v/>
          </cell>
          <cell r="J1636" t="str">
            <v/>
          </cell>
          <cell r="K1636" t="str">
            <v/>
          </cell>
          <cell r="L1636" t="str">
            <v/>
          </cell>
        </row>
        <row r="1637">
          <cell r="A1637">
            <v>34000000</v>
          </cell>
          <cell r="C1637">
            <v>34000000</v>
          </cell>
          <cell r="D1637">
            <v>34000000</v>
          </cell>
          <cell r="E1637">
            <v>34000000</v>
          </cell>
          <cell r="F1637">
            <v>34000000</v>
          </cell>
          <cell r="G1637">
            <v>34000000</v>
          </cell>
          <cell r="H1637">
            <v>34000000</v>
          </cell>
          <cell r="I1637" t="str">
            <v/>
          </cell>
          <cell r="J1637" t="str">
            <v/>
          </cell>
          <cell r="K1637" t="str">
            <v/>
          </cell>
          <cell r="L1637" t="str">
            <v/>
          </cell>
        </row>
        <row r="1638">
          <cell r="A1638">
            <v>34000000</v>
          </cell>
          <cell r="C1638">
            <v>34000000</v>
          </cell>
          <cell r="D1638">
            <v>34000000</v>
          </cell>
          <cell r="E1638">
            <v>34000000</v>
          </cell>
          <cell r="F1638">
            <v>34000000</v>
          </cell>
          <cell r="G1638">
            <v>34000000</v>
          </cell>
          <cell r="H1638">
            <v>34000000</v>
          </cell>
          <cell r="I1638" t="str">
            <v/>
          </cell>
          <cell r="J1638" t="str">
            <v/>
          </cell>
          <cell r="K1638" t="str">
            <v/>
          </cell>
          <cell r="L1638" t="str">
            <v/>
          </cell>
        </row>
        <row r="1639">
          <cell r="A1639">
            <v>34000000</v>
          </cell>
          <cell r="C1639">
            <v>34000000</v>
          </cell>
          <cell r="D1639">
            <v>34000000</v>
          </cell>
          <cell r="E1639">
            <v>34000000</v>
          </cell>
          <cell r="F1639">
            <v>34000000</v>
          </cell>
          <cell r="G1639">
            <v>34000000</v>
          </cell>
          <cell r="H1639">
            <v>34000000</v>
          </cell>
          <cell r="I1639" t="str">
            <v/>
          </cell>
          <cell r="J1639" t="str">
            <v/>
          </cell>
          <cell r="K1639" t="str">
            <v/>
          </cell>
          <cell r="L1639" t="str">
            <v/>
          </cell>
        </row>
        <row r="1640">
          <cell r="A1640">
            <v>34000000</v>
          </cell>
          <cell r="C1640">
            <v>34000000</v>
          </cell>
          <cell r="D1640">
            <v>34000000</v>
          </cell>
          <cell r="E1640">
            <v>34000000</v>
          </cell>
          <cell r="F1640">
            <v>34000000</v>
          </cell>
          <cell r="G1640">
            <v>34000000</v>
          </cell>
          <cell r="H1640">
            <v>34000000</v>
          </cell>
          <cell r="I1640" t="str">
            <v/>
          </cell>
          <cell r="J1640" t="str">
            <v/>
          </cell>
          <cell r="K1640" t="str">
            <v/>
          </cell>
          <cell r="L1640" t="str">
            <v/>
          </cell>
        </row>
        <row r="1641">
          <cell r="A1641">
            <v>34000000</v>
          </cell>
          <cell r="C1641">
            <v>34000000</v>
          </cell>
          <cell r="D1641">
            <v>34000000</v>
          </cell>
          <cell r="E1641">
            <v>34000000</v>
          </cell>
          <cell r="F1641">
            <v>34000000</v>
          </cell>
          <cell r="G1641">
            <v>34000000</v>
          </cell>
          <cell r="H1641">
            <v>34000000</v>
          </cell>
          <cell r="I1641" t="str">
            <v/>
          </cell>
          <cell r="J1641" t="str">
            <v/>
          </cell>
          <cell r="K1641" t="str">
            <v/>
          </cell>
          <cell r="L1641" t="str">
            <v/>
          </cell>
        </row>
        <row r="1642">
          <cell r="A1642">
            <v>34000000</v>
          </cell>
          <cell r="C1642">
            <v>34000000</v>
          </cell>
          <cell r="D1642">
            <v>34000000</v>
          </cell>
          <cell r="E1642">
            <v>34000000</v>
          </cell>
          <cell r="F1642">
            <v>34000000</v>
          </cell>
          <cell r="G1642">
            <v>34000000</v>
          </cell>
          <cell r="H1642">
            <v>34000000</v>
          </cell>
          <cell r="I1642" t="str">
            <v/>
          </cell>
          <cell r="J1642" t="str">
            <v/>
          </cell>
          <cell r="K1642" t="str">
            <v/>
          </cell>
          <cell r="L1642" t="str">
            <v/>
          </cell>
        </row>
        <row r="1643">
          <cell r="A1643">
            <v>34000000</v>
          </cell>
          <cell r="C1643">
            <v>34000000</v>
          </cell>
          <cell r="D1643">
            <v>34000000</v>
          </cell>
          <cell r="E1643">
            <v>34000000</v>
          </cell>
          <cell r="F1643">
            <v>34000000</v>
          </cell>
          <cell r="G1643">
            <v>34000000</v>
          </cell>
          <cell r="H1643">
            <v>34000000</v>
          </cell>
          <cell r="I1643" t="str">
            <v/>
          </cell>
          <cell r="J1643" t="str">
            <v/>
          </cell>
          <cell r="K1643" t="str">
            <v/>
          </cell>
          <cell r="L1643" t="str">
            <v/>
          </cell>
        </row>
        <row r="1644">
          <cell r="A1644">
            <v>34000000</v>
          </cell>
          <cell r="C1644">
            <v>34000000</v>
          </cell>
          <cell r="D1644">
            <v>34000000</v>
          </cell>
          <cell r="E1644">
            <v>34000000</v>
          </cell>
          <cell r="F1644">
            <v>34000000</v>
          </cell>
          <cell r="G1644">
            <v>34000000</v>
          </cell>
          <cell r="H1644">
            <v>34000000</v>
          </cell>
          <cell r="I1644" t="str">
            <v/>
          </cell>
          <cell r="J1644" t="str">
            <v/>
          </cell>
          <cell r="K1644" t="str">
            <v/>
          </cell>
          <cell r="L1644" t="str">
            <v/>
          </cell>
        </row>
        <row r="1645">
          <cell r="A1645">
            <v>34000000</v>
          </cell>
          <cell r="C1645">
            <v>34000000</v>
          </cell>
          <cell r="D1645">
            <v>34000000</v>
          </cell>
          <cell r="E1645">
            <v>34000000</v>
          </cell>
          <cell r="F1645">
            <v>34000000</v>
          </cell>
          <cell r="G1645">
            <v>34000000</v>
          </cell>
          <cell r="H1645">
            <v>34000000</v>
          </cell>
          <cell r="I1645" t="str">
            <v/>
          </cell>
          <cell r="J1645" t="str">
            <v/>
          </cell>
          <cell r="K1645" t="str">
            <v/>
          </cell>
          <cell r="L1645" t="str">
            <v/>
          </cell>
        </row>
        <row r="1646">
          <cell r="A1646">
            <v>34000000</v>
          </cell>
          <cell r="C1646">
            <v>34000000</v>
          </cell>
          <cell r="D1646">
            <v>34000000</v>
          </cell>
          <cell r="E1646">
            <v>34000000</v>
          </cell>
          <cell r="F1646">
            <v>34000000</v>
          </cell>
          <cell r="G1646">
            <v>34000000</v>
          </cell>
          <cell r="H1646">
            <v>34000000</v>
          </cell>
          <cell r="I1646" t="str">
            <v/>
          </cell>
          <cell r="J1646" t="str">
            <v/>
          </cell>
          <cell r="K1646" t="str">
            <v/>
          </cell>
          <cell r="L1646" t="str">
            <v/>
          </cell>
        </row>
        <row r="1647">
          <cell r="A1647">
            <v>34000000</v>
          </cell>
          <cell r="C1647">
            <v>34000000</v>
          </cell>
          <cell r="D1647">
            <v>34000000</v>
          </cell>
          <cell r="E1647">
            <v>34000000</v>
          </cell>
          <cell r="F1647">
            <v>34000000</v>
          </cell>
          <cell r="G1647">
            <v>34000000</v>
          </cell>
          <cell r="H1647">
            <v>34000000</v>
          </cell>
          <cell r="I1647" t="str">
            <v/>
          </cell>
          <cell r="J1647" t="str">
            <v/>
          </cell>
          <cell r="K1647" t="str">
            <v/>
          </cell>
          <cell r="L1647" t="str">
            <v/>
          </cell>
        </row>
        <row r="1648">
          <cell r="A1648">
            <v>34000000</v>
          </cell>
          <cell r="C1648">
            <v>34000000</v>
          </cell>
          <cell r="D1648">
            <v>34000000</v>
          </cell>
          <cell r="E1648">
            <v>34000000</v>
          </cell>
          <cell r="F1648">
            <v>34000000</v>
          </cell>
          <cell r="G1648">
            <v>34000000</v>
          </cell>
          <cell r="H1648">
            <v>34000000</v>
          </cell>
          <cell r="I1648" t="str">
            <v/>
          </cell>
          <cell r="J1648" t="str">
            <v/>
          </cell>
          <cell r="K1648" t="str">
            <v/>
          </cell>
          <cell r="L1648" t="str">
            <v/>
          </cell>
        </row>
        <row r="1649">
          <cell r="A1649">
            <v>34000000</v>
          </cell>
          <cell r="C1649">
            <v>34000000</v>
          </cell>
          <cell r="D1649">
            <v>34000000</v>
          </cell>
          <cell r="E1649">
            <v>34000000</v>
          </cell>
          <cell r="F1649">
            <v>34000000</v>
          </cell>
          <cell r="G1649">
            <v>34000000</v>
          </cell>
          <cell r="H1649">
            <v>34000000</v>
          </cell>
          <cell r="I1649" t="str">
            <v/>
          </cell>
          <cell r="J1649" t="str">
            <v/>
          </cell>
          <cell r="K1649" t="str">
            <v/>
          </cell>
          <cell r="L1649" t="str">
            <v/>
          </cell>
        </row>
        <row r="1650">
          <cell r="A1650">
            <v>34000000</v>
          </cell>
          <cell r="C1650">
            <v>34000000</v>
          </cell>
          <cell r="D1650">
            <v>34000000</v>
          </cell>
          <cell r="E1650">
            <v>34000000</v>
          </cell>
          <cell r="F1650">
            <v>34000000</v>
          </cell>
          <cell r="G1650">
            <v>34000000</v>
          </cell>
          <cell r="H1650">
            <v>34000000</v>
          </cell>
          <cell r="I1650" t="str">
            <v/>
          </cell>
          <cell r="J1650" t="str">
            <v/>
          </cell>
          <cell r="K1650" t="str">
            <v/>
          </cell>
          <cell r="L1650" t="str">
            <v/>
          </cell>
        </row>
        <row r="1651">
          <cell r="A1651">
            <v>34000000</v>
          </cell>
          <cell r="C1651">
            <v>34000000</v>
          </cell>
          <cell r="D1651">
            <v>34000000</v>
          </cell>
          <cell r="E1651">
            <v>34000000</v>
          </cell>
          <cell r="F1651">
            <v>34000000</v>
          </cell>
          <cell r="G1651">
            <v>34000000</v>
          </cell>
          <cell r="H1651">
            <v>34000000</v>
          </cell>
          <cell r="I1651" t="str">
            <v/>
          </cell>
          <cell r="J1651" t="str">
            <v/>
          </cell>
          <cell r="K1651" t="str">
            <v/>
          </cell>
          <cell r="L1651" t="str">
            <v/>
          </cell>
        </row>
        <row r="1652">
          <cell r="A1652">
            <v>34000000</v>
          </cell>
          <cell r="C1652">
            <v>34000000</v>
          </cell>
          <cell r="D1652">
            <v>34000000</v>
          </cell>
          <cell r="E1652">
            <v>34000000</v>
          </cell>
          <cell r="F1652">
            <v>34000000</v>
          </cell>
          <cell r="G1652">
            <v>34000000</v>
          </cell>
          <cell r="H1652">
            <v>34000000</v>
          </cell>
          <cell r="I1652" t="str">
            <v/>
          </cell>
          <cell r="J1652" t="str">
            <v/>
          </cell>
          <cell r="K1652" t="str">
            <v/>
          </cell>
          <cell r="L1652" t="str">
            <v/>
          </cell>
        </row>
        <row r="1653">
          <cell r="A1653">
            <v>34000000</v>
          </cell>
          <cell r="C1653">
            <v>34000000</v>
          </cell>
          <cell r="D1653">
            <v>34000000</v>
          </cell>
          <cell r="E1653">
            <v>34000000</v>
          </cell>
          <cell r="F1653">
            <v>34000000</v>
          </cell>
          <cell r="G1653">
            <v>34000000</v>
          </cell>
          <cell r="H1653">
            <v>34000000</v>
          </cell>
          <cell r="I1653" t="str">
            <v/>
          </cell>
          <cell r="J1653" t="str">
            <v/>
          </cell>
          <cell r="K1653" t="str">
            <v/>
          </cell>
          <cell r="L1653" t="str">
            <v/>
          </cell>
        </row>
        <row r="1654">
          <cell r="A1654">
            <v>34000000</v>
          </cell>
          <cell r="C1654">
            <v>34000000</v>
          </cell>
          <cell r="D1654">
            <v>34000000</v>
          </cell>
          <cell r="E1654">
            <v>34000000</v>
          </cell>
          <cell r="F1654">
            <v>34000000</v>
          </cell>
          <cell r="G1654">
            <v>34000000</v>
          </cell>
          <cell r="H1654">
            <v>34000000</v>
          </cell>
          <cell r="I1654" t="str">
            <v/>
          </cell>
          <cell r="J1654" t="str">
            <v/>
          </cell>
          <cell r="K1654" t="str">
            <v/>
          </cell>
          <cell r="L1654" t="str">
            <v/>
          </cell>
        </row>
        <row r="1655">
          <cell r="A1655">
            <v>34000000</v>
          </cell>
          <cell r="C1655">
            <v>34000000</v>
          </cell>
          <cell r="D1655">
            <v>34000000</v>
          </cell>
          <cell r="E1655">
            <v>34000000</v>
          </cell>
          <cell r="F1655">
            <v>34000000</v>
          </cell>
          <cell r="G1655">
            <v>34000000</v>
          </cell>
          <cell r="H1655">
            <v>34000000</v>
          </cell>
          <cell r="I1655" t="str">
            <v/>
          </cell>
          <cell r="J1655" t="str">
            <v/>
          </cell>
          <cell r="K1655" t="str">
            <v/>
          </cell>
          <cell r="L1655" t="str">
            <v/>
          </cell>
        </row>
        <row r="1656">
          <cell r="A1656">
            <v>34000000</v>
          </cell>
          <cell r="C1656">
            <v>34000000</v>
          </cell>
          <cell r="D1656">
            <v>34000000</v>
          </cell>
          <cell r="E1656">
            <v>34000000</v>
          </cell>
          <cell r="F1656">
            <v>34000000</v>
          </cell>
          <cell r="G1656">
            <v>34000000</v>
          </cell>
          <cell r="H1656">
            <v>34000000</v>
          </cell>
          <cell r="I1656" t="str">
            <v/>
          </cell>
          <cell r="J1656" t="str">
            <v/>
          </cell>
          <cell r="K1656" t="str">
            <v/>
          </cell>
          <cell r="L1656" t="str">
            <v/>
          </cell>
        </row>
        <row r="1657">
          <cell r="A1657">
            <v>34000000</v>
          </cell>
          <cell r="C1657">
            <v>34000000</v>
          </cell>
          <cell r="D1657">
            <v>34000000</v>
          </cell>
          <cell r="E1657">
            <v>34000000</v>
          </cell>
          <cell r="F1657">
            <v>34000000</v>
          </cell>
          <cell r="G1657">
            <v>34000000</v>
          </cell>
          <cell r="H1657">
            <v>34000000</v>
          </cell>
          <cell r="I1657" t="str">
            <v/>
          </cell>
          <cell r="J1657" t="str">
            <v/>
          </cell>
          <cell r="K1657" t="str">
            <v/>
          </cell>
          <cell r="L1657" t="str">
            <v/>
          </cell>
        </row>
        <row r="1658">
          <cell r="A1658">
            <v>34000000</v>
          </cell>
          <cell r="C1658">
            <v>34000000</v>
          </cell>
          <cell r="D1658">
            <v>34000000</v>
          </cell>
          <cell r="E1658">
            <v>34000000</v>
          </cell>
          <cell r="F1658">
            <v>34000000</v>
          </cell>
          <cell r="G1658">
            <v>34000000</v>
          </cell>
          <cell r="H1658">
            <v>34000000</v>
          </cell>
          <cell r="I1658" t="str">
            <v/>
          </cell>
          <cell r="J1658" t="str">
            <v/>
          </cell>
          <cell r="K1658" t="str">
            <v/>
          </cell>
          <cell r="L1658" t="str">
            <v/>
          </cell>
        </row>
        <row r="1659">
          <cell r="A1659">
            <v>34000000</v>
          </cell>
          <cell r="C1659">
            <v>34000000</v>
          </cell>
          <cell r="D1659">
            <v>34000000</v>
          </cell>
          <cell r="E1659">
            <v>34000000</v>
          </cell>
          <cell r="F1659">
            <v>34000000</v>
          </cell>
          <cell r="G1659">
            <v>34000000</v>
          </cell>
          <cell r="H1659">
            <v>34000000</v>
          </cell>
          <cell r="I1659" t="str">
            <v/>
          </cell>
          <cell r="J1659" t="str">
            <v/>
          </cell>
          <cell r="K1659" t="str">
            <v/>
          </cell>
          <cell r="L1659" t="str">
            <v/>
          </cell>
        </row>
        <row r="1660">
          <cell r="A1660">
            <v>34000000</v>
          </cell>
          <cell r="C1660">
            <v>34000000</v>
          </cell>
          <cell r="D1660">
            <v>34000000</v>
          </cell>
          <cell r="E1660">
            <v>34000000</v>
          </cell>
          <cell r="F1660">
            <v>34000000</v>
          </cell>
          <cell r="G1660">
            <v>34000000</v>
          </cell>
          <cell r="H1660">
            <v>34000000</v>
          </cell>
          <cell r="I1660" t="str">
            <v/>
          </cell>
          <cell r="J1660" t="str">
            <v/>
          </cell>
          <cell r="K1660" t="str">
            <v/>
          </cell>
          <cell r="L1660" t="str">
            <v/>
          </cell>
        </row>
        <row r="1661">
          <cell r="A1661">
            <v>34000000</v>
          </cell>
          <cell r="C1661">
            <v>34000000</v>
          </cell>
          <cell r="D1661">
            <v>34000000</v>
          </cell>
          <cell r="E1661">
            <v>34000000</v>
          </cell>
          <cell r="F1661">
            <v>34000000</v>
          </cell>
          <cell r="G1661">
            <v>34000000</v>
          </cell>
          <cell r="H1661">
            <v>34000000</v>
          </cell>
          <cell r="I1661" t="str">
            <v/>
          </cell>
          <cell r="J1661" t="str">
            <v/>
          </cell>
          <cell r="K1661" t="str">
            <v/>
          </cell>
          <cell r="L1661" t="str">
            <v/>
          </cell>
        </row>
        <row r="1662">
          <cell r="A1662">
            <v>34000000</v>
          </cell>
          <cell r="C1662">
            <v>34000000</v>
          </cell>
          <cell r="D1662">
            <v>34000000</v>
          </cell>
          <cell r="E1662">
            <v>34000000</v>
          </cell>
          <cell r="F1662">
            <v>34000000</v>
          </cell>
          <cell r="G1662">
            <v>34000000</v>
          </cell>
          <cell r="H1662">
            <v>34000000</v>
          </cell>
          <cell r="I1662" t="str">
            <v/>
          </cell>
          <cell r="J1662" t="str">
            <v/>
          </cell>
          <cell r="K1662" t="str">
            <v/>
          </cell>
          <cell r="L1662" t="str">
            <v/>
          </cell>
        </row>
        <row r="1663">
          <cell r="A1663">
            <v>34000000</v>
          </cell>
          <cell r="C1663">
            <v>34000000</v>
          </cell>
          <cell r="D1663">
            <v>34000000</v>
          </cell>
          <cell r="E1663">
            <v>34000000</v>
          </cell>
          <cell r="F1663">
            <v>34000000</v>
          </cell>
          <cell r="G1663">
            <v>34000000</v>
          </cell>
          <cell r="H1663">
            <v>34000000</v>
          </cell>
          <cell r="I1663" t="str">
            <v/>
          </cell>
          <cell r="J1663" t="str">
            <v/>
          </cell>
          <cell r="K1663" t="str">
            <v/>
          </cell>
          <cell r="L1663" t="str">
            <v/>
          </cell>
        </row>
        <row r="1664">
          <cell r="A1664">
            <v>34000000</v>
          </cell>
          <cell r="C1664">
            <v>34000000</v>
          </cell>
          <cell r="D1664">
            <v>34000000</v>
          </cell>
          <cell r="E1664">
            <v>34000000</v>
          </cell>
          <cell r="F1664">
            <v>34000000</v>
          </cell>
          <cell r="G1664">
            <v>34000000</v>
          </cell>
          <cell r="H1664">
            <v>34000000</v>
          </cell>
          <cell r="I1664" t="str">
            <v/>
          </cell>
          <cell r="J1664" t="str">
            <v/>
          </cell>
          <cell r="K1664" t="str">
            <v/>
          </cell>
          <cell r="L1664" t="str">
            <v/>
          </cell>
        </row>
        <row r="1665">
          <cell r="A1665">
            <v>34000000</v>
          </cell>
          <cell r="C1665">
            <v>34000000</v>
          </cell>
          <cell r="D1665">
            <v>34000000</v>
          </cell>
          <cell r="E1665">
            <v>34000000</v>
          </cell>
          <cell r="F1665">
            <v>34000000</v>
          </cell>
          <cell r="G1665">
            <v>34000000</v>
          </cell>
          <cell r="H1665">
            <v>34000000</v>
          </cell>
          <cell r="I1665" t="str">
            <v/>
          </cell>
          <cell r="J1665" t="str">
            <v/>
          </cell>
          <cell r="K1665" t="str">
            <v/>
          </cell>
          <cell r="L1665" t="str">
            <v/>
          </cell>
        </row>
        <row r="1666">
          <cell r="A1666">
            <v>34000000</v>
          </cell>
          <cell r="C1666">
            <v>34000000</v>
          </cell>
          <cell r="D1666">
            <v>34000000</v>
          </cell>
          <cell r="E1666">
            <v>34000000</v>
          </cell>
          <cell r="F1666">
            <v>34000000</v>
          </cell>
          <cell r="G1666">
            <v>34000000</v>
          </cell>
          <cell r="H1666">
            <v>34000000</v>
          </cell>
          <cell r="I1666" t="str">
            <v/>
          </cell>
          <cell r="J1666" t="str">
            <v/>
          </cell>
          <cell r="K1666" t="str">
            <v/>
          </cell>
          <cell r="L1666" t="str">
            <v/>
          </cell>
        </row>
        <row r="1667">
          <cell r="A1667">
            <v>34000000</v>
          </cell>
          <cell r="C1667">
            <v>34000000</v>
          </cell>
          <cell r="D1667">
            <v>34000000</v>
          </cell>
          <cell r="E1667">
            <v>34000000</v>
          </cell>
          <cell r="F1667">
            <v>34000000</v>
          </cell>
          <cell r="G1667">
            <v>34000000</v>
          </cell>
          <cell r="H1667">
            <v>34000000</v>
          </cell>
          <cell r="I1667" t="str">
            <v/>
          </cell>
          <cell r="J1667" t="str">
            <v/>
          </cell>
          <cell r="K1667" t="str">
            <v/>
          </cell>
          <cell r="L1667" t="str">
            <v/>
          </cell>
        </row>
        <row r="1668">
          <cell r="A1668">
            <v>34000000</v>
          </cell>
          <cell r="C1668">
            <v>34000000</v>
          </cell>
          <cell r="D1668">
            <v>34000000</v>
          </cell>
          <cell r="E1668">
            <v>34000000</v>
          </cell>
          <cell r="F1668">
            <v>34000000</v>
          </cell>
          <cell r="G1668">
            <v>34000000</v>
          </cell>
          <cell r="H1668">
            <v>34000000</v>
          </cell>
          <cell r="I1668" t="str">
            <v/>
          </cell>
          <cell r="J1668" t="str">
            <v/>
          </cell>
          <cell r="K1668" t="str">
            <v/>
          </cell>
          <cell r="L1668" t="str">
            <v/>
          </cell>
        </row>
        <row r="1669">
          <cell r="A1669">
            <v>34000000</v>
          </cell>
          <cell r="C1669">
            <v>34000000</v>
          </cell>
          <cell r="D1669">
            <v>34000000</v>
          </cell>
          <cell r="E1669">
            <v>34000000</v>
          </cell>
          <cell r="F1669">
            <v>34000000</v>
          </cell>
          <cell r="G1669">
            <v>34000000</v>
          </cell>
          <cell r="H1669">
            <v>34000000</v>
          </cell>
          <cell r="I1669" t="str">
            <v/>
          </cell>
          <cell r="J1669" t="str">
            <v/>
          </cell>
          <cell r="K1669" t="str">
            <v/>
          </cell>
          <cell r="L1669" t="str">
            <v/>
          </cell>
        </row>
        <row r="1670">
          <cell r="A1670">
            <v>34000000</v>
          </cell>
          <cell r="C1670">
            <v>34000000</v>
          </cell>
          <cell r="D1670">
            <v>34000000</v>
          </cell>
          <cell r="E1670">
            <v>34000000</v>
          </cell>
          <cell r="F1670">
            <v>34000000</v>
          </cell>
          <cell r="G1670">
            <v>34000000</v>
          </cell>
          <cell r="H1670">
            <v>34000000</v>
          </cell>
          <cell r="I1670" t="str">
            <v/>
          </cell>
          <cell r="J1670" t="str">
            <v/>
          </cell>
          <cell r="K1670" t="str">
            <v/>
          </cell>
          <cell r="L1670" t="str">
            <v/>
          </cell>
        </row>
        <row r="1671">
          <cell r="A1671">
            <v>34000000</v>
          </cell>
          <cell r="C1671">
            <v>34000000</v>
          </cell>
          <cell r="D1671">
            <v>34000000</v>
          </cell>
          <cell r="E1671">
            <v>34000000</v>
          </cell>
          <cell r="F1671">
            <v>34000000</v>
          </cell>
          <cell r="G1671">
            <v>34000000</v>
          </cell>
          <cell r="H1671">
            <v>34000000</v>
          </cell>
          <cell r="I1671" t="str">
            <v/>
          </cell>
          <cell r="J1671" t="str">
            <v/>
          </cell>
          <cell r="K1671" t="str">
            <v/>
          </cell>
          <cell r="L1671" t="str">
            <v/>
          </cell>
        </row>
        <row r="1672">
          <cell r="A1672">
            <v>34000000</v>
          </cell>
          <cell r="C1672">
            <v>34000000</v>
          </cell>
          <cell r="D1672">
            <v>34000000</v>
          </cell>
          <cell r="E1672">
            <v>34000000</v>
          </cell>
          <cell r="F1672">
            <v>34000000</v>
          </cell>
          <cell r="G1672">
            <v>34000000</v>
          </cell>
          <cell r="H1672">
            <v>34000000</v>
          </cell>
          <cell r="I1672" t="str">
            <v/>
          </cell>
          <cell r="J1672" t="str">
            <v/>
          </cell>
          <cell r="K1672" t="str">
            <v/>
          </cell>
          <cell r="L1672" t="str">
            <v/>
          </cell>
        </row>
        <row r="1673">
          <cell r="A1673">
            <v>34000000</v>
          </cell>
          <cell r="C1673">
            <v>34000000</v>
          </cell>
          <cell r="D1673">
            <v>34000000</v>
          </cell>
          <cell r="E1673">
            <v>34000000</v>
          </cell>
          <cell r="F1673">
            <v>34000000</v>
          </cell>
          <cell r="G1673">
            <v>34000000</v>
          </cell>
          <cell r="H1673">
            <v>34000000</v>
          </cell>
          <cell r="I1673" t="str">
            <v/>
          </cell>
          <cell r="J1673" t="str">
            <v/>
          </cell>
          <cell r="K1673" t="str">
            <v/>
          </cell>
          <cell r="L1673" t="str">
            <v/>
          </cell>
        </row>
        <row r="1674">
          <cell r="A1674">
            <v>34000000</v>
          </cell>
          <cell r="C1674">
            <v>34000000</v>
          </cell>
          <cell r="D1674">
            <v>34000000</v>
          </cell>
          <cell r="E1674">
            <v>34000000</v>
          </cell>
          <cell r="F1674">
            <v>34000000</v>
          </cell>
          <cell r="G1674">
            <v>34000000</v>
          </cell>
          <cell r="H1674">
            <v>34000000</v>
          </cell>
          <cell r="I1674" t="str">
            <v/>
          </cell>
          <cell r="J1674" t="str">
            <v/>
          </cell>
          <cell r="K1674" t="str">
            <v/>
          </cell>
          <cell r="L1674" t="str">
            <v/>
          </cell>
        </row>
        <row r="1675">
          <cell r="A1675">
            <v>34000000</v>
          </cell>
          <cell r="C1675">
            <v>34000000</v>
          </cell>
          <cell r="D1675">
            <v>34000000</v>
          </cell>
          <cell r="E1675">
            <v>34000000</v>
          </cell>
          <cell r="F1675">
            <v>34000000</v>
          </cell>
          <cell r="G1675">
            <v>34000000</v>
          </cell>
          <cell r="H1675">
            <v>34000000</v>
          </cell>
          <cell r="I1675" t="str">
            <v/>
          </cell>
          <cell r="J1675" t="str">
            <v/>
          </cell>
          <cell r="K1675" t="str">
            <v/>
          </cell>
          <cell r="L1675" t="str">
            <v/>
          </cell>
        </row>
        <row r="1676">
          <cell r="A1676">
            <v>34000000</v>
          </cell>
          <cell r="C1676">
            <v>34000000</v>
          </cell>
          <cell r="D1676">
            <v>34000000</v>
          </cell>
          <cell r="E1676">
            <v>34000000</v>
          </cell>
          <cell r="F1676">
            <v>34000000</v>
          </cell>
          <cell r="G1676">
            <v>34000000</v>
          </cell>
          <cell r="H1676">
            <v>34000000</v>
          </cell>
          <cell r="I1676" t="str">
            <v/>
          </cell>
          <cell r="J1676" t="str">
            <v/>
          </cell>
          <cell r="K1676" t="str">
            <v/>
          </cell>
          <cell r="L1676" t="str">
            <v/>
          </cell>
        </row>
        <row r="1677">
          <cell r="A1677">
            <v>34000000</v>
          </cell>
          <cell r="C1677">
            <v>34000000</v>
          </cell>
          <cell r="D1677">
            <v>34000000</v>
          </cell>
          <cell r="E1677">
            <v>34000000</v>
          </cell>
          <cell r="F1677">
            <v>34000000</v>
          </cell>
          <cell r="G1677">
            <v>34000000</v>
          </cell>
          <cell r="H1677">
            <v>34000000</v>
          </cell>
          <cell r="I1677" t="str">
            <v/>
          </cell>
          <cell r="J1677" t="str">
            <v/>
          </cell>
          <cell r="K1677" t="str">
            <v/>
          </cell>
          <cell r="L1677" t="str">
            <v/>
          </cell>
        </row>
        <row r="1678">
          <cell r="A1678">
            <v>34000000</v>
          </cell>
          <cell r="C1678">
            <v>34000000</v>
          </cell>
          <cell r="D1678">
            <v>34000000</v>
          </cell>
          <cell r="E1678">
            <v>34000000</v>
          </cell>
          <cell r="F1678">
            <v>34000000</v>
          </cell>
          <cell r="G1678">
            <v>34000000</v>
          </cell>
          <cell r="H1678">
            <v>34000000</v>
          </cell>
          <cell r="I1678" t="str">
            <v/>
          </cell>
          <cell r="J1678" t="str">
            <v/>
          </cell>
          <cell r="K1678" t="str">
            <v/>
          </cell>
          <cell r="L1678" t="str">
            <v/>
          </cell>
        </row>
        <row r="1679">
          <cell r="A1679">
            <v>34000000</v>
          </cell>
          <cell r="C1679">
            <v>34000000</v>
          </cell>
          <cell r="D1679">
            <v>34000000</v>
          </cell>
          <cell r="E1679">
            <v>34000000</v>
          </cell>
          <cell r="F1679">
            <v>34000000</v>
          </cell>
          <cell r="G1679">
            <v>34000000</v>
          </cell>
          <cell r="H1679">
            <v>34000000</v>
          </cell>
          <cell r="I1679" t="str">
            <v/>
          </cell>
          <cell r="J1679" t="str">
            <v/>
          </cell>
          <cell r="K1679" t="str">
            <v/>
          </cell>
          <cell r="L1679" t="str">
            <v/>
          </cell>
        </row>
        <row r="1680">
          <cell r="A1680">
            <v>34000000</v>
          </cell>
          <cell r="C1680">
            <v>34000000</v>
          </cell>
          <cell r="D1680">
            <v>34000000</v>
          </cell>
          <cell r="E1680">
            <v>34000000</v>
          </cell>
          <cell r="F1680">
            <v>34000000</v>
          </cell>
          <cell r="G1680">
            <v>34000000</v>
          </cell>
          <cell r="H1680">
            <v>34000000</v>
          </cell>
          <cell r="I1680" t="str">
            <v/>
          </cell>
          <cell r="J1680" t="str">
            <v/>
          </cell>
          <cell r="K1680" t="str">
            <v/>
          </cell>
          <cell r="L1680" t="str">
            <v/>
          </cell>
        </row>
        <row r="1681">
          <cell r="A1681">
            <v>34000000</v>
          </cell>
          <cell r="C1681">
            <v>34000000</v>
          </cell>
          <cell r="D1681">
            <v>34000000</v>
          </cell>
          <cell r="E1681">
            <v>34000000</v>
          </cell>
          <cell r="F1681">
            <v>34000000</v>
          </cell>
          <cell r="G1681">
            <v>34000000</v>
          </cell>
          <cell r="H1681">
            <v>34000000</v>
          </cell>
          <cell r="I1681" t="str">
            <v/>
          </cell>
          <cell r="J1681" t="str">
            <v/>
          </cell>
          <cell r="K1681" t="str">
            <v/>
          </cell>
          <cell r="L1681" t="str">
            <v/>
          </cell>
        </row>
        <row r="1682">
          <cell r="A1682">
            <v>34000000</v>
          </cell>
          <cell r="C1682">
            <v>34000000</v>
          </cell>
          <cell r="D1682">
            <v>34000000</v>
          </cell>
          <cell r="E1682">
            <v>34000000</v>
          </cell>
          <cell r="F1682">
            <v>34000000</v>
          </cell>
          <cell r="G1682">
            <v>34000000</v>
          </cell>
          <cell r="H1682">
            <v>34000000</v>
          </cell>
          <cell r="I1682" t="str">
            <v/>
          </cell>
          <cell r="J1682" t="str">
            <v/>
          </cell>
          <cell r="K1682" t="str">
            <v/>
          </cell>
          <cell r="L1682" t="str">
            <v/>
          </cell>
        </row>
        <row r="1683">
          <cell r="A1683">
            <v>34000000</v>
          </cell>
          <cell r="C1683">
            <v>34000000</v>
          </cell>
          <cell r="D1683">
            <v>34000000</v>
          </cell>
          <cell r="E1683">
            <v>34000000</v>
          </cell>
          <cell r="F1683">
            <v>34000000</v>
          </cell>
          <cell r="G1683">
            <v>34000000</v>
          </cell>
          <cell r="H1683">
            <v>34000000</v>
          </cell>
          <cell r="I1683" t="str">
            <v/>
          </cell>
          <cell r="J1683" t="str">
            <v/>
          </cell>
          <cell r="K1683" t="str">
            <v/>
          </cell>
          <cell r="L1683" t="str">
            <v/>
          </cell>
        </row>
        <row r="1684">
          <cell r="A1684">
            <v>34000000</v>
          </cell>
          <cell r="C1684">
            <v>34000000</v>
          </cell>
          <cell r="D1684">
            <v>34000000</v>
          </cell>
          <cell r="E1684">
            <v>34000000</v>
          </cell>
          <cell r="F1684">
            <v>34000000</v>
          </cell>
          <cell r="G1684">
            <v>34000000</v>
          </cell>
          <cell r="H1684">
            <v>34000000</v>
          </cell>
          <cell r="I1684" t="str">
            <v/>
          </cell>
          <cell r="J1684" t="str">
            <v/>
          </cell>
          <cell r="K1684" t="str">
            <v/>
          </cell>
          <cell r="L1684" t="str">
            <v/>
          </cell>
        </row>
        <row r="1685">
          <cell r="A1685">
            <v>34000000</v>
          </cell>
          <cell r="C1685">
            <v>34000000</v>
          </cell>
          <cell r="D1685">
            <v>34000000</v>
          </cell>
          <cell r="E1685">
            <v>34000000</v>
          </cell>
          <cell r="F1685">
            <v>34000000</v>
          </cell>
          <cell r="G1685">
            <v>34000000</v>
          </cell>
          <cell r="H1685">
            <v>34000000</v>
          </cell>
          <cell r="I1685" t="str">
            <v/>
          </cell>
          <cell r="J1685" t="str">
            <v/>
          </cell>
          <cell r="K1685" t="str">
            <v/>
          </cell>
          <cell r="L1685" t="str">
            <v/>
          </cell>
        </row>
        <row r="1686">
          <cell r="A1686">
            <v>34000000</v>
          </cell>
          <cell r="C1686">
            <v>34000000</v>
          </cell>
          <cell r="D1686">
            <v>34000000</v>
          </cell>
          <cell r="E1686">
            <v>34000000</v>
          </cell>
          <cell r="F1686">
            <v>34000000</v>
          </cell>
          <cell r="G1686">
            <v>34000000</v>
          </cell>
          <cell r="H1686">
            <v>34000000</v>
          </cell>
          <cell r="I1686" t="str">
            <v/>
          </cell>
          <cell r="J1686" t="str">
            <v/>
          </cell>
          <cell r="K1686" t="str">
            <v/>
          </cell>
          <cell r="L1686" t="str">
            <v/>
          </cell>
        </row>
        <row r="1687">
          <cell r="A1687">
            <v>34000000</v>
          </cell>
          <cell r="C1687">
            <v>34000000</v>
          </cell>
          <cell r="D1687">
            <v>34000000</v>
          </cell>
          <cell r="E1687">
            <v>34000000</v>
          </cell>
          <cell r="F1687">
            <v>34000000</v>
          </cell>
          <cell r="G1687">
            <v>34000000</v>
          </cell>
          <cell r="H1687">
            <v>34000000</v>
          </cell>
          <cell r="I1687" t="str">
            <v/>
          </cell>
          <cell r="J1687" t="str">
            <v/>
          </cell>
          <cell r="K1687" t="str">
            <v/>
          </cell>
          <cell r="L1687" t="str">
            <v/>
          </cell>
        </row>
        <row r="1688">
          <cell r="A1688">
            <v>34000000</v>
          </cell>
          <cell r="C1688">
            <v>34000000</v>
          </cell>
          <cell r="D1688">
            <v>34000000</v>
          </cell>
          <cell r="E1688">
            <v>34000000</v>
          </cell>
          <cell r="F1688">
            <v>34000000</v>
          </cell>
          <cell r="G1688">
            <v>34000000</v>
          </cell>
          <cell r="H1688">
            <v>34000000</v>
          </cell>
          <cell r="I1688" t="str">
            <v/>
          </cell>
          <cell r="J1688" t="str">
            <v/>
          </cell>
          <cell r="K1688" t="str">
            <v/>
          </cell>
          <cell r="L1688" t="str">
            <v/>
          </cell>
        </row>
        <row r="1689">
          <cell r="A1689">
            <v>34000000</v>
          </cell>
          <cell r="C1689">
            <v>34000000</v>
          </cell>
          <cell r="D1689">
            <v>34000000</v>
          </cell>
          <cell r="E1689">
            <v>34000000</v>
          </cell>
          <cell r="F1689">
            <v>34000000</v>
          </cell>
          <cell r="G1689">
            <v>34000000</v>
          </cell>
          <cell r="H1689">
            <v>34000000</v>
          </cell>
          <cell r="I1689" t="str">
            <v/>
          </cell>
          <cell r="J1689" t="str">
            <v/>
          </cell>
          <cell r="K1689" t="str">
            <v/>
          </cell>
          <cell r="L1689" t="str">
            <v/>
          </cell>
        </row>
        <row r="1690">
          <cell r="A1690">
            <v>34000000</v>
          </cell>
          <cell r="C1690">
            <v>34000000</v>
          </cell>
          <cell r="D1690">
            <v>34000000</v>
          </cell>
          <cell r="E1690">
            <v>34000000</v>
          </cell>
          <cell r="F1690">
            <v>34000000</v>
          </cell>
          <cell r="G1690">
            <v>34000000</v>
          </cell>
          <cell r="H1690">
            <v>34000000</v>
          </cell>
          <cell r="I1690" t="str">
            <v/>
          </cell>
          <cell r="J1690" t="str">
            <v/>
          </cell>
          <cell r="K1690" t="str">
            <v/>
          </cell>
          <cell r="L1690" t="str">
            <v/>
          </cell>
        </row>
        <row r="1691">
          <cell r="A1691">
            <v>34000000</v>
          </cell>
          <cell r="C1691">
            <v>34000000</v>
          </cell>
          <cell r="D1691">
            <v>34000000</v>
          </cell>
          <cell r="E1691">
            <v>34000000</v>
          </cell>
          <cell r="F1691">
            <v>34000000</v>
          </cell>
          <cell r="G1691">
            <v>34000000</v>
          </cell>
          <cell r="H1691">
            <v>34000000</v>
          </cell>
          <cell r="I1691" t="str">
            <v/>
          </cell>
          <cell r="J1691" t="str">
            <v/>
          </cell>
          <cell r="K1691" t="str">
            <v/>
          </cell>
          <cell r="L1691" t="str">
            <v/>
          </cell>
        </row>
        <row r="1692">
          <cell r="A1692">
            <v>34000000</v>
          </cell>
          <cell r="C1692">
            <v>34000000</v>
          </cell>
          <cell r="D1692">
            <v>34000000</v>
          </cell>
          <cell r="E1692">
            <v>34000000</v>
          </cell>
          <cell r="F1692">
            <v>34000000</v>
          </cell>
          <cell r="G1692">
            <v>34000000</v>
          </cell>
          <cell r="H1692">
            <v>34000000</v>
          </cell>
          <cell r="I1692" t="str">
            <v/>
          </cell>
          <cell r="J1692" t="str">
            <v/>
          </cell>
          <cell r="K1692" t="str">
            <v/>
          </cell>
          <cell r="L1692" t="str">
            <v/>
          </cell>
        </row>
        <row r="1693">
          <cell r="A1693">
            <v>34000000</v>
          </cell>
          <cell r="C1693">
            <v>34000000</v>
          </cell>
          <cell r="D1693">
            <v>34000000</v>
          </cell>
          <cell r="E1693">
            <v>34000000</v>
          </cell>
          <cell r="F1693">
            <v>34000000</v>
          </cell>
          <cell r="G1693">
            <v>34000000</v>
          </cell>
          <cell r="H1693">
            <v>34000000</v>
          </cell>
          <cell r="I1693" t="str">
            <v/>
          </cell>
          <cell r="J1693" t="str">
            <v/>
          </cell>
          <cell r="K1693" t="str">
            <v/>
          </cell>
          <cell r="L1693" t="str">
            <v/>
          </cell>
        </row>
        <row r="1694">
          <cell r="A1694">
            <v>34000000</v>
          </cell>
          <cell r="C1694">
            <v>34000000</v>
          </cell>
          <cell r="D1694">
            <v>34000000</v>
          </cell>
          <cell r="E1694">
            <v>34000000</v>
          </cell>
          <cell r="F1694">
            <v>34000000</v>
          </cell>
          <cell r="G1694">
            <v>34000000</v>
          </cell>
          <cell r="H1694">
            <v>34000000</v>
          </cell>
          <cell r="I1694" t="str">
            <v/>
          </cell>
          <cell r="J1694" t="str">
            <v/>
          </cell>
          <cell r="K1694" t="str">
            <v/>
          </cell>
          <cell r="L1694" t="str">
            <v/>
          </cell>
        </row>
        <row r="1695">
          <cell r="A1695">
            <v>34000000</v>
          </cell>
          <cell r="C1695">
            <v>34000000</v>
          </cell>
          <cell r="D1695">
            <v>34000000</v>
          </cell>
          <cell r="E1695">
            <v>34000000</v>
          </cell>
          <cell r="F1695">
            <v>34000000</v>
          </cell>
          <cell r="G1695">
            <v>34000000</v>
          </cell>
          <cell r="H1695">
            <v>34000000</v>
          </cell>
          <cell r="I1695" t="str">
            <v/>
          </cell>
          <cell r="J1695" t="str">
            <v/>
          </cell>
          <cell r="K1695" t="str">
            <v/>
          </cell>
          <cell r="L1695" t="str">
            <v/>
          </cell>
        </row>
        <row r="1696">
          <cell r="A1696">
            <v>34000000</v>
          </cell>
          <cell r="C1696">
            <v>34000000</v>
          </cell>
          <cell r="D1696">
            <v>34000000</v>
          </cell>
          <cell r="E1696">
            <v>34000000</v>
          </cell>
          <cell r="F1696">
            <v>34000000</v>
          </cell>
          <cell r="G1696">
            <v>34000000</v>
          </cell>
          <cell r="H1696">
            <v>34000000</v>
          </cell>
          <cell r="I1696" t="str">
            <v/>
          </cell>
          <cell r="J1696" t="str">
            <v/>
          </cell>
          <cell r="K1696" t="str">
            <v/>
          </cell>
          <cell r="L1696" t="str">
            <v/>
          </cell>
        </row>
        <row r="1697">
          <cell r="A1697">
            <v>34000000</v>
          </cell>
          <cell r="C1697">
            <v>34000000</v>
          </cell>
          <cell r="D1697">
            <v>34000000</v>
          </cell>
          <cell r="E1697">
            <v>34000000</v>
          </cell>
          <cell r="F1697">
            <v>34000000</v>
          </cell>
          <cell r="G1697">
            <v>34000000</v>
          </cell>
          <cell r="H1697">
            <v>34000000</v>
          </cell>
          <cell r="I1697" t="str">
            <v/>
          </cell>
          <cell r="J1697" t="str">
            <v/>
          </cell>
          <cell r="K1697" t="str">
            <v/>
          </cell>
          <cell r="L1697" t="str">
            <v/>
          </cell>
        </row>
        <row r="1698">
          <cell r="A1698">
            <v>34000000</v>
          </cell>
          <cell r="C1698">
            <v>34000000</v>
          </cell>
          <cell r="D1698">
            <v>34000000</v>
          </cell>
          <cell r="E1698">
            <v>34000000</v>
          </cell>
          <cell r="F1698">
            <v>34000000</v>
          </cell>
          <cell r="G1698">
            <v>34000000</v>
          </cell>
          <cell r="H1698">
            <v>34000000</v>
          </cell>
          <cell r="I1698" t="str">
            <v/>
          </cell>
          <cell r="J1698" t="str">
            <v/>
          </cell>
          <cell r="K1698" t="str">
            <v/>
          </cell>
          <cell r="L1698" t="str">
            <v/>
          </cell>
        </row>
        <row r="1699">
          <cell r="A1699">
            <v>34000000</v>
          </cell>
          <cell r="C1699">
            <v>34000000</v>
          </cell>
          <cell r="D1699">
            <v>34000000</v>
          </cell>
          <cell r="E1699">
            <v>34000000</v>
          </cell>
          <cell r="F1699">
            <v>34000000</v>
          </cell>
          <cell r="G1699">
            <v>34000000</v>
          </cell>
          <cell r="H1699">
            <v>34000000</v>
          </cell>
          <cell r="I1699" t="str">
            <v/>
          </cell>
          <cell r="J1699" t="str">
            <v/>
          </cell>
          <cell r="K1699" t="str">
            <v/>
          </cell>
          <cell r="L1699" t="str">
            <v/>
          </cell>
        </row>
        <row r="1700">
          <cell r="A1700">
            <v>34000000</v>
          </cell>
          <cell r="C1700">
            <v>34000000</v>
          </cell>
          <cell r="D1700">
            <v>34000000</v>
          </cell>
          <cell r="E1700">
            <v>34000000</v>
          </cell>
          <cell r="F1700">
            <v>34000000</v>
          </cell>
          <cell r="G1700">
            <v>34000000</v>
          </cell>
          <cell r="H1700">
            <v>34000000</v>
          </cell>
          <cell r="I1700" t="str">
            <v/>
          </cell>
          <cell r="J1700" t="str">
            <v/>
          </cell>
          <cell r="K1700" t="str">
            <v/>
          </cell>
          <cell r="L1700" t="str">
            <v/>
          </cell>
        </row>
        <row r="1701">
          <cell r="A1701">
            <v>34000000</v>
          </cell>
          <cell r="C1701">
            <v>34000000</v>
          </cell>
          <cell r="D1701">
            <v>34000000</v>
          </cell>
          <cell r="E1701">
            <v>34000000</v>
          </cell>
          <cell r="F1701">
            <v>34000000</v>
          </cell>
          <cell r="G1701">
            <v>34000000</v>
          </cell>
          <cell r="H1701">
            <v>34000000</v>
          </cell>
          <cell r="I1701" t="str">
            <v/>
          </cell>
          <cell r="J1701" t="str">
            <v/>
          </cell>
          <cell r="K1701" t="str">
            <v/>
          </cell>
          <cell r="L1701" t="str">
            <v/>
          </cell>
        </row>
        <row r="1702">
          <cell r="A1702">
            <v>34000000</v>
          </cell>
          <cell r="C1702">
            <v>34000000</v>
          </cell>
          <cell r="D1702">
            <v>34000000</v>
          </cell>
          <cell r="E1702">
            <v>34000000</v>
          </cell>
          <cell r="F1702">
            <v>34000000</v>
          </cell>
          <cell r="G1702">
            <v>34000000</v>
          </cell>
          <cell r="H1702">
            <v>34000000</v>
          </cell>
          <cell r="I1702" t="str">
            <v/>
          </cell>
          <cell r="J1702" t="str">
            <v/>
          </cell>
          <cell r="K1702" t="str">
            <v/>
          </cell>
          <cell r="L1702" t="str">
            <v/>
          </cell>
        </row>
        <row r="1703">
          <cell r="A1703">
            <v>34000000</v>
          </cell>
          <cell r="C1703">
            <v>34000000</v>
          </cell>
          <cell r="D1703">
            <v>34000000</v>
          </cell>
          <cell r="E1703">
            <v>34000000</v>
          </cell>
          <cell r="F1703">
            <v>34000000</v>
          </cell>
          <cell r="G1703">
            <v>34000000</v>
          </cell>
          <cell r="H1703">
            <v>34000000</v>
          </cell>
          <cell r="I1703" t="str">
            <v/>
          </cell>
          <cell r="J1703" t="str">
            <v/>
          </cell>
          <cell r="K1703" t="str">
            <v/>
          </cell>
          <cell r="L1703" t="str">
            <v/>
          </cell>
        </row>
        <row r="1704">
          <cell r="A1704">
            <v>34000000</v>
          </cell>
          <cell r="C1704">
            <v>34000000</v>
          </cell>
          <cell r="D1704">
            <v>34000000</v>
          </cell>
          <cell r="E1704">
            <v>34000000</v>
          </cell>
          <cell r="F1704">
            <v>34000000</v>
          </cell>
          <cell r="G1704">
            <v>34000000</v>
          </cell>
          <cell r="H1704">
            <v>34000000</v>
          </cell>
          <cell r="I1704" t="str">
            <v/>
          </cell>
          <cell r="J1704" t="str">
            <v/>
          </cell>
          <cell r="K1704" t="str">
            <v/>
          </cell>
          <cell r="L1704" t="str">
            <v/>
          </cell>
        </row>
        <row r="1705">
          <cell r="A1705">
            <v>34000000</v>
          </cell>
          <cell r="C1705">
            <v>34000000</v>
          </cell>
          <cell r="D1705">
            <v>34000000</v>
          </cell>
          <cell r="E1705">
            <v>34000000</v>
          </cell>
          <cell r="F1705">
            <v>34000000</v>
          </cell>
          <cell r="G1705">
            <v>34000000</v>
          </cell>
          <cell r="H1705">
            <v>34000000</v>
          </cell>
          <cell r="I1705" t="str">
            <v/>
          </cell>
          <cell r="J1705" t="str">
            <v/>
          </cell>
          <cell r="K1705" t="str">
            <v/>
          </cell>
          <cell r="L1705" t="str">
            <v/>
          </cell>
        </row>
        <row r="1706">
          <cell r="A1706">
            <v>34000000</v>
          </cell>
          <cell r="C1706">
            <v>34000000</v>
          </cell>
          <cell r="D1706">
            <v>34000000</v>
          </cell>
          <cell r="E1706">
            <v>34000000</v>
          </cell>
          <cell r="F1706">
            <v>34000000</v>
          </cell>
          <cell r="G1706">
            <v>34000000</v>
          </cell>
          <cell r="H1706">
            <v>34000000</v>
          </cell>
          <cell r="I1706" t="str">
            <v/>
          </cell>
          <cell r="J1706" t="str">
            <v/>
          </cell>
          <cell r="K1706" t="str">
            <v/>
          </cell>
          <cell r="L1706" t="str">
            <v/>
          </cell>
        </row>
        <row r="1707">
          <cell r="A1707">
            <v>34000000</v>
          </cell>
          <cell r="C1707">
            <v>34000000</v>
          </cell>
          <cell r="D1707">
            <v>34000000</v>
          </cell>
          <cell r="E1707">
            <v>34000000</v>
          </cell>
          <cell r="F1707">
            <v>34000000</v>
          </cell>
          <cell r="G1707">
            <v>34000000</v>
          </cell>
          <cell r="H1707">
            <v>34000000</v>
          </cell>
          <cell r="I1707" t="str">
            <v/>
          </cell>
          <cell r="J1707" t="str">
            <v/>
          </cell>
          <cell r="K1707" t="str">
            <v/>
          </cell>
          <cell r="L1707" t="str">
            <v/>
          </cell>
        </row>
        <row r="1708">
          <cell r="A1708">
            <v>34000000</v>
          </cell>
          <cell r="C1708">
            <v>34000000</v>
          </cell>
          <cell r="D1708">
            <v>34000000</v>
          </cell>
          <cell r="E1708">
            <v>34000000</v>
          </cell>
          <cell r="F1708">
            <v>34000000</v>
          </cell>
          <cell r="G1708">
            <v>34000000</v>
          </cell>
          <cell r="H1708">
            <v>34000000</v>
          </cell>
          <cell r="I1708" t="str">
            <v/>
          </cell>
          <cell r="J1708" t="str">
            <v/>
          </cell>
          <cell r="K1708" t="str">
            <v/>
          </cell>
          <cell r="L1708" t="str">
            <v/>
          </cell>
        </row>
        <row r="1709">
          <cell r="A1709">
            <v>34000000</v>
          </cell>
          <cell r="C1709">
            <v>34000000</v>
          </cell>
          <cell r="D1709">
            <v>34000000</v>
          </cell>
          <cell r="E1709">
            <v>34000000</v>
          </cell>
          <cell r="F1709">
            <v>34000000</v>
          </cell>
          <cell r="G1709">
            <v>34000000</v>
          </cell>
          <cell r="H1709">
            <v>34000000</v>
          </cell>
          <cell r="I1709" t="str">
            <v/>
          </cell>
          <cell r="J1709" t="str">
            <v/>
          </cell>
          <cell r="K1709" t="str">
            <v/>
          </cell>
          <cell r="L1709" t="str">
            <v/>
          </cell>
        </row>
        <row r="1710">
          <cell r="A1710">
            <v>34000000</v>
          </cell>
          <cell r="C1710">
            <v>34000000</v>
          </cell>
          <cell r="D1710">
            <v>34000000</v>
          </cell>
          <cell r="E1710">
            <v>34000000</v>
          </cell>
          <cell r="F1710">
            <v>34000000</v>
          </cell>
          <cell r="G1710">
            <v>34000000</v>
          </cell>
          <cell r="H1710">
            <v>34000000</v>
          </cell>
          <cell r="I1710" t="str">
            <v/>
          </cell>
          <cell r="J1710" t="str">
            <v/>
          </cell>
          <cell r="K1710" t="str">
            <v/>
          </cell>
          <cell r="L1710" t="str">
            <v/>
          </cell>
        </row>
        <row r="1711">
          <cell r="A1711">
            <v>34000000</v>
          </cell>
          <cell r="C1711">
            <v>34000000</v>
          </cell>
          <cell r="D1711">
            <v>34000000</v>
          </cell>
          <cell r="E1711">
            <v>34000000</v>
          </cell>
          <cell r="F1711">
            <v>34000000</v>
          </cell>
          <cell r="G1711">
            <v>34000000</v>
          </cell>
          <cell r="H1711">
            <v>34000000</v>
          </cell>
          <cell r="I1711" t="str">
            <v/>
          </cell>
          <cell r="J1711" t="str">
            <v/>
          </cell>
          <cell r="K1711" t="str">
            <v/>
          </cell>
          <cell r="L1711" t="str">
            <v/>
          </cell>
        </row>
        <row r="1712">
          <cell r="A1712">
            <v>34000000</v>
          </cell>
          <cell r="C1712">
            <v>34000000</v>
          </cell>
          <cell r="D1712">
            <v>34000000</v>
          </cell>
          <cell r="E1712">
            <v>34000000</v>
          </cell>
          <cell r="F1712">
            <v>34000000</v>
          </cell>
          <cell r="G1712">
            <v>34000000</v>
          </cell>
          <cell r="H1712">
            <v>34000000</v>
          </cell>
          <cell r="I1712" t="str">
            <v/>
          </cell>
          <cell r="J1712" t="str">
            <v/>
          </cell>
          <cell r="K1712" t="str">
            <v/>
          </cell>
          <cell r="L1712" t="str">
            <v/>
          </cell>
        </row>
        <row r="1713">
          <cell r="A1713">
            <v>34000000</v>
          </cell>
          <cell r="C1713">
            <v>34000000</v>
          </cell>
          <cell r="D1713">
            <v>34000000</v>
          </cell>
          <cell r="E1713">
            <v>34000000</v>
          </cell>
          <cell r="F1713">
            <v>34000000</v>
          </cell>
          <cell r="G1713">
            <v>34000000</v>
          </cell>
          <cell r="H1713">
            <v>34000000</v>
          </cell>
          <cell r="I1713" t="str">
            <v/>
          </cell>
          <cell r="J1713" t="str">
            <v/>
          </cell>
          <cell r="K1713" t="str">
            <v/>
          </cell>
          <cell r="L1713" t="str">
            <v/>
          </cell>
        </row>
        <row r="1714">
          <cell r="A1714">
            <v>34000000</v>
          </cell>
          <cell r="C1714">
            <v>34000000</v>
          </cell>
          <cell r="D1714">
            <v>34000000</v>
          </cell>
          <cell r="E1714">
            <v>34000000</v>
          </cell>
          <cell r="F1714">
            <v>34000000</v>
          </cell>
          <cell r="G1714">
            <v>34000000</v>
          </cell>
          <cell r="H1714">
            <v>34000000</v>
          </cell>
          <cell r="I1714" t="str">
            <v/>
          </cell>
          <cell r="J1714" t="str">
            <v/>
          </cell>
          <cell r="K1714" t="str">
            <v/>
          </cell>
          <cell r="L1714" t="str">
            <v/>
          </cell>
        </row>
        <row r="1715">
          <cell r="A1715">
            <v>34000000</v>
          </cell>
          <cell r="C1715">
            <v>34000000</v>
          </cell>
          <cell r="D1715">
            <v>34000000</v>
          </cell>
          <cell r="E1715">
            <v>34000000</v>
          </cell>
          <cell r="F1715">
            <v>34000000</v>
          </cell>
          <cell r="G1715">
            <v>34000000</v>
          </cell>
          <cell r="H1715">
            <v>34000000</v>
          </cell>
          <cell r="I1715" t="str">
            <v/>
          </cell>
          <cell r="J1715" t="str">
            <v/>
          </cell>
          <cell r="K1715" t="str">
            <v/>
          </cell>
          <cell r="L1715" t="str">
            <v/>
          </cell>
        </row>
        <row r="1716">
          <cell r="A1716">
            <v>34000000</v>
          </cell>
          <cell r="C1716">
            <v>34000000</v>
          </cell>
          <cell r="D1716">
            <v>34000000</v>
          </cell>
          <cell r="E1716">
            <v>34000000</v>
          </cell>
          <cell r="F1716">
            <v>34000000</v>
          </cell>
          <cell r="G1716">
            <v>34000000</v>
          </cell>
          <cell r="H1716">
            <v>34000000</v>
          </cell>
          <cell r="I1716" t="str">
            <v/>
          </cell>
          <cell r="J1716" t="str">
            <v/>
          </cell>
          <cell r="K1716" t="str">
            <v/>
          </cell>
          <cell r="L1716" t="str">
            <v/>
          </cell>
        </row>
        <row r="1717">
          <cell r="A1717">
            <v>34000000</v>
          </cell>
          <cell r="C1717">
            <v>34000000</v>
          </cell>
          <cell r="D1717">
            <v>34000000</v>
          </cell>
          <cell r="E1717">
            <v>34000000</v>
          </cell>
          <cell r="F1717">
            <v>34000000</v>
          </cell>
          <cell r="G1717">
            <v>34000000</v>
          </cell>
          <cell r="H1717">
            <v>34000000</v>
          </cell>
          <cell r="I1717" t="str">
            <v/>
          </cell>
          <cell r="J1717" t="str">
            <v/>
          </cell>
          <cell r="K1717" t="str">
            <v/>
          </cell>
          <cell r="L1717" t="str">
            <v/>
          </cell>
        </row>
        <row r="1718">
          <cell r="A1718">
            <v>34000000</v>
          </cell>
          <cell r="C1718">
            <v>34000000</v>
          </cell>
          <cell r="D1718">
            <v>34000000</v>
          </cell>
          <cell r="E1718">
            <v>34000000</v>
          </cell>
          <cell r="F1718">
            <v>34000000</v>
          </cell>
          <cell r="G1718">
            <v>34000000</v>
          </cell>
          <cell r="H1718">
            <v>34000000</v>
          </cell>
          <cell r="I1718" t="str">
            <v/>
          </cell>
          <cell r="J1718" t="str">
            <v/>
          </cell>
          <cell r="K1718" t="str">
            <v/>
          </cell>
          <cell r="L1718" t="str">
            <v/>
          </cell>
        </row>
        <row r="1719">
          <cell r="A1719">
            <v>34000000</v>
          </cell>
          <cell r="C1719">
            <v>34000000</v>
          </cell>
          <cell r="D1719">
            <v>34000000</v>
          </cell>
          <cell r="E1719">
            <v>34000000</v>
          </cell>
          <cell r="F1719">
            <v>34000000</v>
          </cell>
          <cell r="G1719">
            <v>34000000</v>
          </cell>
          <cell r="H1719">
            <v>34000000</v>
          </cell>
          <cell r="I1719" t="str">
            <v/>
          </cell>
          <cell r="J1719" t="str">
            <v/>
          </cell>
          <cell r="K1719" t="str">
            <v/>
          </cell>
          <cell r="L1719" t="str">
            <v/>
          </cell>
        </row>
        <row r="1720">
          <cell r="A1720">
            <v>34000000</v>
          </cell>
          <cell r="C1720">
            <v>34000000</v>
          </cell>
          <cell r="D1720">
            <v>34000000</v>
          </cell>
          <cell r="E1720">
            <v>34000000</v>
          </cell>
          <cell r="F1720">
            <v>34000000</v>
          </cell>
          <cell r="G1720">
            <v>34000000</v>
          </cell>
          <cell r="H1720">
            <v>34000000</v>
          </cell>
          <cell r="I1720" t="str">
            <v/>
          </cell>
          <cell r="J1720" t="str">
            <v/>
          </cell>
          <cell r="K1720" t="str">
            <v/>
          </cell>
          <cell r="L1720" t="str">
            <v/>
          </cell>
        </row>
        <row r="1721">
          <cell r="A1721">
            <v>34000000</v>
          </cell>
          <cell r="C1721">
            <v>34000000</v>
          </cell>
          <cell r="D1721">
            <v>34000000</v>
          </cell>
          <cell r="E1721">
            <v>34000000</v>
          </cell>
          <cell r="F1721">
            <v>34000000</v>
          </cell>
          <cell r="G1721">
            <v>34000000</v>
          </cell>
          <cell r="H1721">
            <v>34000000</v>
          </cell>
          <cell r="I1721" t="str">
            <v/>
          </cell>
          <cell r="J1721" t="str">
            <v/>
          </cell>
          <cell r="K1721" t="str">
            <v/>
          </cell>
          <cell r="L1721" t="str">
            <v/>
          </cell>
        </row>
        <row r="1722">
          <cell r="A1722">
            <v>34000000</v>
          </cell>
          <cell r="C1722">
            <v>34000000</v>
          </cell>
          <cell r="D1722">
            <v>34000000</v>
          </cell>
          <cell r="E1722">
            <v>34000000</v>
          </cell>
          <cell r="F1722">
            <v>34000000</v>
          </cell>
          <cell r="G1722">
            <v>34000000</v>
          </cell>
          <cell r="H1722">
            <v>34000000</v>
          </cell>
          <cell r="I1722" t="str">
            <v/>
          </cell>
          <cell r="J1722" t="str">
            <v/>
          </cell>
          <cell r="K1722" t="str">
            <v/>
          </cell>
          <cell r="L1722" t="str">
            <v/>
          </cell>
        </row>
        <row r="1723">
          <cell r="A1723">
            <v>34000000</v>
          </cell>
          <cell r="C1723">
            <v>34000000</v>
          </cell>
          <cell r="D1723">
            <v>34000000</v>
          </cell>
          <cell r="E1723">
            <v>34000000</v>
          </cell>
          <cell r="F1723">
            <v>34000000</v>
          </cell>
          <cell r="G1723">
            <v>34000000</v>
          </cell>
          <cell r="H1723">
            <v>34000000</v>
          </cell>
          <cell r="I1723" t="str">
            <v/>
          </cell>
          <cell r="J1723" t="str">
            <v/>
          </cell>
          <cell r="K1723" t="str">
            <v/>
          </cell>
          <cell r="L1723" t="str">
            <v/>
          </cell>
        </row>
        <row r="1724">
          <cell r="A1724">
            <v>34000000</v>
          </cell>
          <cell r="C1724">
            <v>34000000</v>
          </cell>
          <cell r="D1724">
            <v>34000000</v>
          </cell>
          <cell r="E1724">
            <v>34000000</v>
          </cell>
          <cell r="F1724">
            <v>34000000</v>
          </cell>
          <cell r="G1724">
            <v>34000000</v>
          </cell>
          <cell r="H1724">
            <v>34000000</v>
          </cell>
          <cell r="I1724" t="str">
            <v/>
          </cell>
          <cell r="J1724" t="str">
            <v/>
          </cell>
          <cell r="K1724" t="str">
            <v/>
          </cell>
          <cell r="L1724" t="str">
            <v/>
          </cell>
        </row>
        <row r="1725">
          <cell r="A1725">
            <v>34000000</v>
          </cell>
          <cell r="C1725">
            <v>34000000</v>
          </cell>
          <cell r="D1725">
            <v>34000000</v>
          </cell>
          <cell r="E1725">
            <v>34000000</v>
          </cell>
          <cell r="F1725">
            <v>34000000</v>
          </cell>
          <cell r="G1725">
            <v>34000000</v>
          </cell>
          <cell r="H1725">
            <v>34000000</v>
          </cell>
          <cell r="I1725" t="str">
            <v/>
          </cell>
          <cell r="J1725" t="str">
            <v/>
          </cell>
          <cell r="K1725" t="str">
            <v/>
          </cell>
          <cell r="L1725" t="str">
            <v/>
          </cell>
        </row>
        <row r="1726">
          <cell r="A1726">
            <v>34000000</v>
          </cell>
          <cell r="C1726">
            <v>34000000</v>
          </cell>
          <cell r="D1726">
            <v>34000000</v>
          </cell>
          <cell r="E1726">
            <v>34000000</v>
          </cell>
          <cell r="F1726">
            <v>34000000</v>
          </cell>
          <cell r="G1726">
            <v>34000000</v>
          </cell>
          <cell r="H1726">
            <v>34000000</v>
          </cell>
          <cell r="I1726" t="str">
            <v/>
          </cell>
          <cell r="J1726" t="str">
            <v/>
          </cell>
          <cell r="K1726" t="str">
            <v/>
          </cell>
          <cell r="L1726" t="str">
            <v/>
          </cell>
        </row>
        <row r="1727">
          <cell r="A1727">
            <v>34000000</v>
          </cell>
          <cell r="C1727">
            <v>34000000</v>
          </cell>
          <cell r="D1727">
            <v>34000000</v>
          </cell>
          <cell r="E1727">
            <v>34000000</v>
          </cell>
          <cell r="F1727">
            <v>34000000</v>
          </cell>
          <cell r="G1727">
            <v>34000000</v>
          </cell>
          <cell r="H1727">
            <v>34000000</v>
          </cell>
          <cell r="I1727" t="str">
            <v/>
          </cell>
          <cell r="J1727" t="str">
            <v/>
          </cell>
          <cell r="K1727" t="str">
            <v/>
          </cell>
          <cell r="L1727" t="str">
            <v/>
          </cell>
        </row>
        <row r="1728">
          <cell r="A1728">
            <v>34000000</v>
          </cell>
          <cell r="C1728">
            <v>34000000</v>
          </cell>
          <cell r="D1728">
            <v>34000000</v>
          </cell>
          <cell r="E1728">
            <v>34000000</v>
          </cell>
          <cell r="F1728">
            <v>34000000</v>
          </cell>
          <cell r="G1728">
            <v>34000000</v>
          </cell>
          <cell r="H1728">
            <v>34000000</v>
          </cell>
          <cell r="I1728" t="str">
            <v/>
          </cell>
          <cell r="J1728" t="str">
            <v/>
          </cell>
          <cell r="K1728" t="str">
            <v/>
          </cell>
          <cell r="L1728" t="str">
            <v/>
          </cell>
        </row>
        <row r="1729">
          <cell r="A1729">
            <v>34000000</v>
          </cell>
          <cell r="C1729">
            <v>34000000</v>
          </cell>
          <cell r="D1729">
            <v>34000000</v>
          </cell>
          <cell r="E1729">
            <v>34000000</v>
          </cell>
          <cell r="F1729">
            <v>34000000</v>
          </cell>
          <cell r="G1729">
            <v>34000000</v>
          </cell>
          <cell r="H1729">
            <v>34000000</v>
          </cell>
          <cell r="I1729" t="str">
            <v/>
          </cell>
          <cell r="J1729" t="str">
            <v/>
          </cell>
          <cell r="K1729" t="str">
            <v/>
          </cell>
          <cell r="L1729" t="str">
            <v/>
          </cell>
        </row>
        <row r="1730">
          <cell r="A1730">
            <v>34000000</v>
          </cell>
          <cell r="C1730">
            <v>34000000</v>
          </cell>
          <cell r="D1730">
            <v>34000000</v>
          </cell>
          <cell r="E1730">
            <v>34000000</v>
          </cell>
          <cell r="F1730">
            <v>34000000</v>
          </cell>
          <cell r="G1730">
            <v>34000000</v>
          </cell>
          <cell r="H1730">
            <v>34000000</v>
          </cell>
          <cell r="I1730" t="str">
            <v/>
          </cell>
          <cell r="J1730" t="str">
            <v/>
          </cell>
          <cell r="K1730" t="str">
            <v/>
          </cell>
          <cell r="L1730" t="str">
            <v/>
          </cell>
        </row>
        <row r="1731">
          <cell r="A1731">
            <v>34000000</v>
          </cell>
          <cell r="C1731">
            <v>34000000</v>
          </cell>
          <cell r="D1731">
            <v>34000000</v>
          </cell>
          <cell r="E1731">
            <v>34000000</v>
          </cell>
          <cell r="F1731">
            <v>34000000</v>
          </cell>
          <cell r="G1731">
            <v>34000000</v>
          </cell>
          <cell r="H1731">
            <v>34000000</v>
          </cell>
          <cell r="I1731" t="str">
            <v/>
          </cell>
          <cell r="J1731" t="str">
            <v/>
          </cell>
          <cell r="K1731" t="str">
            <v/>
          </cell>
          <cell r="L1731" t="str">
            <v/>
          </cell>
        </row>
        <row r="1732">
          <cell r="A1732">
            <v>34000000</v>
          </cell>
          <cell r="C1732">
            <v>34000000</v>
          </cell>
          <cell r="D1732">
            <v>34000000</v>
          </cell>
          <cell r="E1732">
            <v>34000000</v>
          </cell>
          <cell r="F1732">
            <v>34000000</v>
          </cell>
          <cell r="G1732">
            <v>34000000</v>
          </cell>
          <cell r="H1732">
            <v>34000000</v>
          </cell>
          <cell r="I1732" t="str">
            <v/>
          </cell>
          <cell r="J1732" t="str">
            <v/>
          </cell>
          <cell r="K1732" t="str">
            <v/>
          </cell>
          <cell r="L1732" t="str">
            <v/>
          </cell>
        </row>
        <row r="1733">
          <cell r="A1733">
            <v>34000000</v>
          </cell>
          <cell r="C1733">
            <v>34000000</v>
          </cell>
          <cell r="D1733">
            <v>34000000</v>
          </cell>
          <cell r="E1733">
            <v>34000000</v>
          </cell>
          <cell r="F1733">
            <v>34000000</v>
          </cell>
          <cell r="G1733">
            <v>34000000</v>
          </cell>
          <cell r="H1733">
            <v>34000000</v>
          </cell>
          <cell r="I1733" t="str">
            <v/>
          </cell>
          <cell r="J1733" t="str">
            <v/>
          </cell>
          <cell r="K1733" t="str">
            <v/>
          </cell>
          <cell r="L1733" t="str">
            <v/>
          </cell>
        </row>
        <row r="1734">
          <cell r="A1734">
            <v>34000000</v>
          </cell>
          <cell r="C1734">
            <v>34000000</v>
          </cell>
          <cell r="D1734">
            <v>34000000</v>
          </cell>
          <cell r="E1734">
            <v>34000000</v>
          </cell>
          <cell r="F1734">
            <v>34000000</v>
          </cell>
          <cell r="G1734">
            <v>34000000</v>
          </cell>
          <cell r="H1734">
            <v>34000000</v>
          </cell>
          <cell r="I1734" t="str">
            <v/>
          </cell>
          <cell r="J1734" t="str">
            <v/>
          </cell>
          <cell r="K1734" t="str">
            <v/>
          </cell>
          <cell r="L1734" t="str">
            <v/>
          </cell>
        </row>
        <row r="1735">
          <cell r="A1735">
            <v>34000000</v>
          </cell>
          <cell r="C1735">
            <v>34000000</v>
          </cell>
          <cell r="D1735">
            <v>34000000</v>
          </cell>
          <cell r="E1735">
            <v>34000000</v>
          </cell>
          <cell r="F1735">
            <v>34000000</v>
          </cell>
          <cell r="G1735">
            <v>34000000</v>
          </cell>
          <cell r="H1735">
            <v>34000000</v>
          </cell>
          <cell r="I1735" t="str">
            <v/>
          </cell>
          <cell r="J1735" t="str">
            <v/>
          </cell>
          <cell r="K1735" t="str">
            <v/>
          </cell>
          <cell r="L1735" t="str">
            <v/>
          </cell>
        </row>
        <row r="1736">
          <cell r="A1736">
            <v>34000000</v>
          </cell>
          <cell r="C1736">
            <v>34000000</v>
          </cell>
          <cell r="D1736">
            <v>34000000</v>
          </cell>
          <cell r="E1736">
            <v>34000000</v>
          </cell>
          <cell r="F1736">
            <v>34000000</v>
          </cell>
          <cell r="G1736">
            <v>34000000</v>
          </cell>
          <cell r="H1736">
            <v>34000000</v>
          </cell>
          <cell r="I1736" t="str">
            <v/>
          </cell>
          <cell r="J1736" t="str">
            <v/>
          </cell>
          <cell r="K1736" t="str">
            <v/>
          </cell>
          <cell r="L1736" t="str">
            <v/>
          </cell>
        </row>
        <row r="1737">
          <cell r="A1737">
            <v>34000000</v>
          </cell>
          <cell r="C1737">
            <v>34000000</v>
          </cell>
          <cell r="D1737">
            <v>34000000</v>
          </cell>
          <cell r="E1737">
            <v>34000000</v>
          </cell>
          <cell r="F1737">
            <v>34000000</v>
          </cell>
          <cell r="G1737">
            <v>34000000</v>
          </cell>
          <cell r="H1737">
            <v>34000000</v>
          </cell>
          <cell r="I1737" t="str">
            <v/>
          </cell>
          <cell r="J1737" t="str">
            <v/>
          </cell>
          <cell r="K1737" t="str">
            <v/>
          </cell>
          <cell r="L1737" t="str">
            <v/>
          </cell>
        </row>
        <row r="1738">
          <cell r="A1738">
            <v>34000000</v>
          </cell>
          <cell r="C1738">
            <v>34000000</v>
          </cell>
          <cell r="D1738">
            <v>34000000</v>
          </cell>
          <cell r="E1738">
            <v>34000000</v>
          </cell>
          <cell r="F1738">
            <v>34000000</v>
          </cell>
          <cell r="G1738">
            <v>34000000</v>
          </cell>
          <cell r="H1738">
            <v>34000000</v>
          </cell>
          <cell r="I1738" t="str">
            <v/>
          </cell>
          <cell r="J1738" t="str">
            <v/>
          </cell>
          <cell r="K1738" t="str">
            <v/>
          </cell>
          <cell r="L1738" t="str">
            <v/>
          </cell>
        </row>
        <row r="1739">
          <cell r="A1739">
            <v>34000000</v>
          </cell>
          <cell r="C1739">
            <v>34000000</v>
          </cell>
          <cell r="D1739">
            <v>34000000</v>
          </cell>
          <cell r="E1739">
            <v>34000000</v>
          </cell>
          <cell r="F1739">
            <v>34000000</v>
          </cell>
          <cell r="G1739">
            <v>34000000</v>
          </cell>
          <cell r="H1739">
            <v>34000000</v>
          </cell>
          <cell r="I1739" t="str">
            <v/>
          </cell>
          <cell r="J1739" t="str">
            <v/>
          </cell>
          <cell r="K1739" t="str">
            <v/>
          </cell>
          <cell r="L1739" t="str">
            <v/>
          </cell>
        </row>
        <row r="1740">
          <cell r="A1740">
            <v>34000000</v>
          </cell>
          <cell r="C1740">
            <v>34000000</v>
          </cell>
          <cell r="D1740">
            <v>34000000</v>
          </cell>
          <cell r="E1740">
            <v>34000000</v>
          </cell>
          <cell r="F1740">
            <v>34000000</v>
          </cell>
          <cell r="G1740">
            <v>34000000</v>
          </cell>
          <cell r="H1740">
            <v>34000000</v>
          </cell>
          <cell r="I1740" t="str">
            <v/>
          </cell>
          <cell r="J1740" t="str">
            <v/>
          </cell>
          <cell r="K1740" t="str">
            <v/>
          </cell>
          <cell r="L1740" t="str">
            <v/>
          </cell>
        </row>
        <row r="1741">
          <cell r="A1741">
            <v>34000000</v>
          </cell>
          <cell r="C1741">
            <v>34000000</v>
          </cell>
          <cell r="D1741">
            <v>34000000</v>
          </cell>
          <cell r="E1741">
            <v>34000000</v>
          </cell>
          <cell r="F1741">
            <v>34000000</v>
          </cell>
          <cell r="G1741">
            <v>34000000</v>
          </cell>
          <cell r="H1741">
            <v>34000000</v>
          </cell>
          <cell r="I1741" t="str">
            <v/>
          </cell>
          <cell r="J1741" t="str">
            <v/>
          </cell>
          <cell r="K1741" t="str">
            <v/>
          </cell>
          <cell r="L1741" t="str">
            <v/>
          </cell>
        </row>
        <row r="1742">
          <cell r="A1742">
            <v>34000000</v>
          </cell>
          <cell r="C1742">
            <v>34000000</v>
          </cell>
          <cell r="D1742">
            <v>34000000</v>
          </cell>
          <cell r="E1742">
            <v>34000000</v>
          </cell>
          <cell r="F1742">
            <v>34000000</v>
          </cell>
          <cell r="G1742">
            <v>34000000</v>
          </cell>
          <cell r="H1742">
            <v>34000000</v>
          </cell>
          <cell r="I1742" t="str">
            <v/>
          </cell>
          <cell r="J1742" t="str">
            <v/>
          </cell>
          <cell r="K1742" t="str">
            <v/>
          </cell>
          <cell r="L1742" t="str">
            <v/>
          </cell>
        </row>
        <row r="1743">
          <cell r="A1743">
            <v>34000000</v>
          </cell>
          <cell r="C1743">
            <v>34000000</v>
          </cell>
          <cell r="D1743">
            <v>34000000</v>
          </cell>
          <cell r="E1743">
            <v>34000000</v>
          </cell>
          <cell r="F1743">
            <v>34000000</v>
          </cell>
          <cell r="G1743">
            <v>34000000</v>
          </cell>
          <cell r="H1743">
            <v>34000000</v>
          </cell>
          <cell r="I1743" t="str">
            <v/>
          </cell>
          <cell r="J1743" t="str">
            <v/>
          </cell>
          <cell r="K1743" t="str">
            <v/>
          </cell>
          <cell r="L1743" t="str">
            <v/>
          </cell>
        </row>
        <row r="1744">
          <cell r="A1744">
            <v>34000000</v>
          </cell>
          <cell r="C1744">
            <v>34000000</v>
          </cell>
          <cell r="D1744">
            <v>34000000</v>
          </cell>
          <cell r="E1744">
            <v>34000000</v>
          </cell>
          <cell r="F1744">
            <v>34000000</v>
          </cell>
          <cell r="G1744">
            <v>34000000</v>
          </cell>
          <cell r="H1744">
            <v>34000000</v>
          </cell>
          <cell r="I1744" t="str">
            <v/>
          </cell>
          <cell r="J1744" t="str">
            <v/>
          </cell>
          <cell r="K1744" t="str">
            <v/>
          </cell>
          <cell r="L1744" t="str">
            <v/>
          </cell>
        </row>
        <row r="1745">
          <cell r="A1745">
            <v>34000000</v>
          </cell>
          <cell r="C1745">
            <v>34000000</v>
          </cell>
          <cell r="D1745">
            <v>34000000</v>
          </cell>
          <cell r="E1745">
            <v>34000000</v>
          </cell>
          <cell r="F1745">
            <v>34000000</v>
          </cell>
          <cell r="G1745">
            <v>34000000</v>
          </cell>
          <cell r="H1745">
            <v>34000000</v>
          </cell>
          <cell r="I1745" t="str">
            <v/>
          </cell>
          <cell r="J1745" t="str">
            <v/>
          </cell>
          <cell r="K1745" t="str">
            <v/>
          </cell>
          <cell r="L1745" t="str">
            <v/>
          </cell>
        </row>
        <row r="1746">
          <cell r="A1746">
            <v>34000000</v>
          </cell>
          <cell r="C1746">
            <v>34000000</v>
          </cell>
          <cell r="D1746">
            <v>34000000</v>
          </cell>
          <cell r="E1746">
            <v>34000000</v>
          </cell>
          <cell r="F1746">
            <v>34000000</v>
          </cell>
          <cell r="G1746">
            <v>34000000</v>
          </cell>
          <cell r="H1746">
            <v>34000000</v>
          </cell>
          <cell r="I1746" t="str">
            <v/>
          </cell>
          <cell r="J1746" t="str">
            <v/>
          </cell>
          <cell r="K1746" t="str">
            <v/>
          </cell>
          <cell r="L1746" t="str">
            <v/>
          </cell>
        </row>
        <row r="1747">
          <cell r="A1747">
            <v>34000000</v>
          </cell>
          <cell r="C1747">
            <v>34000000</v>
          </cell>
          <cell r="D1747">
            <v>34000000</v>
          </cell>
          <cell r="E1747">
            <v>34000000</v>
          </cell>
          <cell r="F1747">
            <v>34000000</v>
          </cell>
          <cell r="G1747">
            <v>34000000</v>
          </cell>
          <cell r="H1747">
            <v>34000000</v>
          </cell>
          <cell r="I1747" t="str">
            <v/>
          </cell>
          <cell r="J1747" t="str">
            <v/>
          </cell>
          <cell r="K1747" t="str">
            <v/>
          </cell>
          <cell r="L1747" t="str">
            <v/>
          </cell>
        </row>
        <row r="1748">
          <cell r="A1748">
            <v>34000000</v>
          </cell>
          <cell r="C1748">
            <v>34000000</v>
          </cell>
          <cell r="D1748">
            <v>34000000</v>
          </cell>
          <cell r="E1748">
            <v>34000000</v>
          </cell>
          <cell r="F1748">
            <v>34000000</v>
          </cell>
          <cell r="G1748">
            <v>34000000</v>
          </cell>
          <cell r="H1748">
            <v>34000000</v>
          </cell>
          <cell r="I1748" t="str">
            <v/>
          </cell>
          <cell r="J1748" t="str">
            <v/>
          </cell>
          <cell r="K1748" t="str">
            <v/>
          </cell>
          <cell r="L1748" t="str">
            <v/>
          </cell>
        </row>
        <row r="1749">
          <cell r="A1749">
            <v>34000000</v>
          </cell>
          <cell r="C1749">
            <v>34000000</v>
          </cell>
          <cell r="D1749">
            <v>34000000</v>
          </cell>
          <cell r="E1749">
            <v>34000000</v>
          </cell>
          <cell r="F1749">
            <v>34000000</v>
          </cell>
          <cell r="G1749">
            <v>34000000</v>
          </cell>
          <cell r="H1749">
            <v>34000000</v>
          </cell>
          <cell r="I1749" t="str">
            <v/>
          </cell>
          <cell r="J1749" t="str">
            <v/>
          </cell>
          <cell r="K1749" t="str">
            <v/>
          </cell>
          <cell r="L1749" t="str">
            <v/>
          </cell>
        </row>
        <row r="1750">
          <cell r="A1750">
            <v>34000000</v>
          </cell>
          <cell r="C1750">
            <v>34000000</v>
          </cell>
          <cell r="D1750">
            <v>34000000</v>
          </cell>
          <cell r="E1750">
            <v>34000000</v>
          </cell>
          <cell r="F1750">
            <v>34000000</v>
          </cell>
          <cell r="G1750">
            <v>34000000</v>
          </cell>
          <cell r="H1750">
            <v>34000000</v>
          </cell>
          <cell r="I1750" t="str">
            <v/>
          </cell>
          <cell r="J1750" t="str">
            <v/>
          </cell>
          <cell r="K1750" t="str">
            <v/>
          </cell>
          <cell r="L1750" t="str">
            <v/>
          </cell>
        </row>
        <row r="1751">
          <cell r="A1751">
            <v>34000000</v>
          </cell>
          <cell r="C1751">
            <v>34000000</v>
          </cell>
          <cell r="D1751">
            <v>34000000</v>
          </cell>
          <cell r="E1751">
            <v>34000000</v>
          </cell>
          <cell r="F1751">
            <v>34000000</v>
          </cell>
          <cell r="G1751">
            <v>34000000</v>
          </cell>
          <cell r="H1751">
            <v>34000000</v>
          </cell>
          <cell r="I1751" t="str">
            <v/>
          </cell>
          <cell r="J1751" t="str">
            <v/>
          </cell>
          <cell r="K1751" t="str">
            <v/>
          </cell>
          <cell r="L1751" t="str">
            <v/>
          </cell>
        </row>
        <row r="1752">
          <cell r="A1752">
            <v>34000000</v>
          </cell>
          <cell r="C1752">
            <v>34000000</v>
          </cell>
          <cell r="D1752">
            <v>34000000</v>
          </cell>
          <cell r="E1752">
            <v>34000000</v>
          </cell>
          <cell r="F1752">
            <v>34000000</v>
          </cell>
          <cell r="G1752">
            <v>34000000</v>
          </cell>
          <cell r="H1752">
            <v>34000000</v>
          </cell>
          <cell r="I1752" t="str">
            <v/>
          </cell>
          <cell r="J1752" t="str">
            <v/>
          </cell>
          <cell r="K1752" t="str">
            <v/>
          </cell>
          <cell r="L1752" t="str">
            <v/>
          </cell>
        </row>
        <row r="1753">
          <cell r="A1753">
            <v>34000000</v>
          </cell>
          <cell r="C1753">
            <v>34000000</v>
          </cell>
          <cell r="D1753">
            <v>34000000</v>
          </cell>
          <cell r="E1753">
            <v>34000000</v>
          </cell>
          <cell r="F1753">
            <v>34000000</v>
          </cell>
          <cell r="G1753">
            <v>34000000</v>
          </cell>
          <cell r="H1753">
            <v>34000000</v>
          </cell>
          <cell r="I1753" t="str">
            <v/>
          </cell>
          <cell r="J1753" t="str">
            <v/>
          </cell>
          <cell r="K1753" t="str">
            <v/>
          </cell>
          <cell r="L1753" t="str">
            <v/>
          </cell>
        </row>
        <row r="1754">
          <cell r="A1754">
            <v>34000000</v>
          </cell>
          <cell r="C1754">
            <v>34000000</v>
          </cell>
          <cell r="D1754">
            <v>34000000</v>
          </cell>
          <cell r="E1754">
            <v>34000000</v>
          </cell>
          <cell r="F1754">
            <v>34000000</v>
          </cell>
          <cell r="G1754">
            <v>34000000</v>
          </cell>
          <cell r="H1754">
            <v>34000000</v>
          </cell>
          <cell r="I1754" t="str">
            <v/>
          </cell>
          <cell r="J1754" t="str">
            <v/>
          </cell>
          <cell r="K1754" t="str">
            <v/>
          </cell>
          <cell r="L1754" t="str">
            <v/>
          </cell>
        </row>
        <row r="1755">
          <cell r="A1755">
            <v>34000000</v>
          </cell>
          <cell r="C1755">
            <v>34000000</v>
          </cell>
          <cell r="D1755">
            <v>34000000</v>
          </cell>
          <cell r="E1755">
            <v>34000000</v>
          </cell>
          <cell r="F1755">
            <v>34000000</v>
          </cell>
          <cell r="G1755">
            <v>34000000</v>
          </cell>
          <cell r="H1755">
            <v>34000000</v>
          </cell>
          <cell r="I1755" t="str">
            <v/>
          </cell>
          <cell r="J1755" t="str">
            <v/>
          </cell>
          <cell r="K1755" t="str">
            <v/>
          </cell>
          <cell r="L1755" t="str">
            <v/>
          </cell>
        </row>
        <row r="1756">
          <cell r="A1756">
            <v>34000000</v>
          </cell>
          <cell r="C1756">
            <v>34000000</v>
          </cell>
          <cell r="D1756">
            <v>34000000</v>
          </cell>
          <cell r="E1756">
            <v>34000000</v>
          </cell>
          <cell r="F1756">
            <v>34000000</v>
          </cell>
          <cell r="G1756">
            <v>34000000</v>
          </cell>
          <cell r="H1756">
            <v>34000000</v>
          </cell>
          <cell r="I1756" t="str">
            <v/>
          </cell>
          <cell r="J1756" t="str">
            <v/>
          </cell>
          <cell r="K1756" t="str">
            <v/>
          </cell>
          <cell r="L1756" t="str">
            <v/>
          </cell>
        </row>
        <row r="1757">
          <cell r="A1757">
            <v>34000000</v>
          </cell>
          <cell r="C1757">
            <v>34000000</v>
          </cell>
          <cell r="D1757">
            <v>34000000</v>
          </cell>
          <cell r="E1757">
            <v>34000000</v>
          </cell>
          <cell r="F1757">
            <v>34000000</v>
          </cell>
          <cell r="G1757">
            <v>34000000</v>
          </cell>
          <cell r="H1757">
            <v>34000000</v>
          </cell>
          <cell r="I1757" t="str">
            <v/>
          </cell>
          <cell r="J1757" t="str">
            <v/>
          </cell>
          <cell r="K1757" t="str">
            <v/>
          </cell>
          <cell r="L1757" t="str">
            <v/>
          </cell>
        </row>
        <row r="1758">
          <cell r="A1758">
            <v>34000000</v>
          </cell>
          <cell r="C1758">
            <v>34000000</v>
          </cell>
          <cell r="D1758">
            <v>34000000</v>
          </cell>
          <cell r="E1758">
            <v>34000000</v>
          </cell>
          <cell r="F1758">
            <v>34000000</v>
          </cell>
          <cell r="G1758">
            <v>34000000</v>
          </cell>
          <cell r="H1758">
            <v>34000000</v>
          </cell>
          <cell r="I1758" t="str">
            <v/>
          </cell>
          <cell r="J1758" t="str">
            <v/>
          </cell>
          <cell r="K1758" t="str">
            <v/>
          </cell>
          <cell r="L1758" t="str">
            <v/>
          </cell>
        </row>
        <row r="1759">
          <cell r="A1759">
            <v>34000000</v>
          </cell>
          <cell r="C1759">
            <v>34000000</v>
          </cell>
          <cell r="D1759">
            <v>34000000</v>
          </cell>
          <cell r="E1759">
            <v>34000000</v>
          </cell>
          <cell r="F1759">
            <v>34000000</v>
          </cell>
          <cell r="G1759">
            <v>34000000</v>
          </cell>
          <cell r="H1759">
            <v>34000000</v>
          </cell>
          <cell r="I1759" t="str">
            <v/>
          </cell>
          <cell r="J1759" t="str">
            <v/>
          </cell>
          <cell r="K1759" t="str">
            <v/>
          </cell>
          <cell r="L1759" t="str">
            <v/>
          </cell>
        </row>
        <row r="1760">
          <cell r="A1760">
            <v>34000000</v>
          </cell>
          <cell r="C1760">
            <v>34000000</v>
          </cell>
          <cell r="D1760">
            <v>34000000</v>
          </cell>
          <cell r="E1760">
            <v>34000000</v>
          </cell>
          <cell r="F1760">
            <v>34000000</v>
          </cell>
          <cell r="G1760">
            <v>34000000</v>
          </cell>
          <cell r="H1760">
            <v>34000000</v>
          </cell>
          <cell r="I1760" t="str">
            <v/>
          </cell>
          <cell r="J1760" t="str">
            <v/>
          </cell>
          <cell r="K1760" t="str">
            <v/>
          </cell>
          <cell r="L1760" t="str">
            <v/>
          </cell>
        </row>
        <row r="1761">
          <cell r="A1761">
            <v>34000000</v>
          </cell>
          <cell r="C1761">
            <v>34000000</v>
          </cell>
          <cell r="D1761">
            <v>34000000</v>
          </cell>
          <cell r="E1761">
            <v>34000000</v>
          </cell>
          <cell r="F1761">
            <v>34000000</v>
          </cell>
          <cell r="G1761">
            <v>34000000</v>
          </cell>
          <cell r="H1761">
            <v>34000000</v>
          </cell>
          <cell r="I1761" t="str">
            <v/>
          </cell>
          <cell r="J1761" t="str">
            <v/>
          </cell>
          <cell r="K1761" t="str">
            <v/>
          </cell>
          <cell r="L1761" t="str">
            <v/>
          </cell>
        </row>
        <row r="1762">
          <cell r="A1762">
            <v>34000000</v>
          </cell>
          <cell r="C1762">
            <v>34000000</v>
          </cell>
          <cell r="D1762">
            <v>34000000</v>
          </cell>
          <cell r="E1762">
            <v>34000000</v>
          </cell>
          <cell r="F1762">
            <v>34000000</v>
          </cell>
          <cell r="G1762">
            <v>34000000</v>
          </cell>
          <cell r="H1762">
            <v>34000000</v>
          </cell>
          <cell r="I1762" t="str">
            <v/>
          </cell>
          <cell r="J1762" t="str">
            <v/>
          </cell>
          <cell r="K1762" t="str">
            <v/>
          </cell>
          <cell r="L1762" t="str">
            <v/>
          </cell>
        </row>
        <row r="1763">
          <cell r="A1763">
            <v>34000000</v>
          </cell>
          <cell r="C1763">
            <v>34000000</v>
          </cell>
          <cell r="D1763">
            <v>34000000</v>
          </cell>
          <cell r="E1763">
            <v>34000000</v>
          </cell>
          <cell r="F1763">
            <v>34000000</v>
          </cell>
          <cell r="G1763">
            <v>34000000</v>
          </cell>
          <cell r="H1763">
            <v>34000000</v>
          </cell>
          <cell r="I1763" t="str">
            <v/>
          </cell>
          <cell r="J1763" t="str">
            <v/>
          </cell>
          <cell r="K1763" t="str">
            <v/>
          </cell>
          <cell r="L1763" t="str">
            <v/>
          </cell>
        </row>
        <row r="1764">
          <cell r="A1764">
            <v>34000000</v>
          </cell>
          <cell r="C1764">
            <v>34000000</v>
          </cell>
          <cell r="D1764">
            <v>34000000</v>
          </cell>
          <cell r="E1764">
            <v>34000000</v>
          </cell>
          <cell r="F1764">
            <v>34000000</v>
          </cell>
          <cell r="G1764">
            <v>34000000</v>
          </cell>
          <cell r="H1764">
            <v>34000000</v>
          </cell>
          <cell r="I1764" t="str">
            <v/>
          </cell>
          <cell r="J1764" t="str">
            <v/>
          </cell>
          <cell r="K1764" t="str">
            <v/>
          </cell>
          <cell r="L1764" t="str">
            <v/>
          </cell>
        </row>
        <row r="1765">
          <cell r="A1765">
            <v>34000000</v>
          </cell>
          <cell r="C1765">
            <v>34000000</v>
          </cell>
          <cell r="D1765">
            <v>34000000</v>
          </cell>
          <cell r="E1765">
            <v>34000000</v>
          </cell>
          <cell r="F1765">
            <v>34000000</v>
          </cell>
          <cell r="G1765">
            <v>34000000</v>
          </cell>
          <cell r="H1765">
            <v>34000000</v>
          </cell>
          <cell r="I1765" t="str">
            <v/>
          </cell>
          <cell r="J1765" t="str">
            <v/>
          </cell>
          <cell r="K1765" t="str">
            <v/>
          </cell>
          <cell r="L1765" t="str">
            <v/>
          </cell>
        </row>
        <row r="1766">
          <cell r="A1766">
            <v>34000000</v>
          </cell>
          <cell r="C1766">
            <v>34000000</v>
          </cell>
          <cell r="D1766">
            <v>34000000</v>
          </cell>
          <cell r="E1766">
            <v>34000000</v>
          </cell>
          <cell r="F1766">
            <v>34000000</v>
          </cell>
          <cell r="G1766">
            <v>34000000</v>
          </cell>
          <cell r="H1766">
            <v>34000000</v>
          </cell>
          <cell r="I1766" t="str">
            <v/>
          </cell>
          <cell r="J1766" t="str">
            <v/>
          </cell>
          <cell r="K1766" t="str">
            <v/>
          </cell>
          <cell r="L1766" t="str">
            <v/>
          </cell>
        </row>
        <row r="1767">
          <cell r="A1767">
            <v>34000000</v>
          </cell>
          <cell r="C1767">
            <v>34000000</v>
          </cell>
          <cell r="D1767">
            <v>34000000</v>
          </cell>
          <cell r="E1767">
            <v>34000000</v>
          </cell>
          <cell r="F1767">
            <v>34000000</v>
          </cell>
          <cell r="G1767">
            <v>34000000</v>
          </cell>
          <cell r="H1767">
            <v>34000000</v>
          </cell>
          <cell r="I1767" t="str">
            <v/>
          </cell>
          <cell r="J1767" t="str">
            <v/>
          </cell>
          <cell r="K1767" t="str">
            <v/>
          </cell>
          <cell r="L1767" t="str">
            <v/>
          </cell>
        </row>
        <row r="1768">
          <cell r="A1768">
            <v>34000000</v>
          </cell>
          <cell r="C1768">
            <v>34000000</v>
          </cell>
          <cell r="D1768">
            <v>34000000</v>
          </cell>
          <cell r="E1768">
            <v>34000000</v>
          </cell>
          <cell r="F1768">
            <v>34000000</v>
          </cell>
          <cell r="G1768">
            <v>34000000</v>
          </cell>
          <cell r="H1768">
            <v>34000000</v>
          </cell>
          <cell r="I1768" t="str">
            <v/>
          </cell>
          <cell r="J1768" t="str">
            <v/>
          </cell>
          <cell r="K1768" t="str">
            <v/>
          </cell>
          <cell r="L1768" t="str">
            <v/>
          </cell>
        </row>
        <row r="1769">
          <cell r="A1769">
            <v>34000000</v>
          </cell>
          <cell r="C1769">
            <v>34000000</v>
          </cell>
          <cell r="D1769">
            <v>34000000</v>
          </cell>
          <cell r="E1769">
            <v>34000000</v>
          </cell>
          <cell r="F1769">
            <v>34000000</v>
          </cell>
          <cell r="G1769">
            <v>34000000</v>
          </cell>
          <cell r="H1769">
            <v>34000000</v>
          </cell>
          <cell r="I1769" t="str">
            <v/>
          </cell>
          <cell r="J1769" t="str">
            <v/>
          </cell>
          <cell r="K1769" t="str">
            <v/>
          </cell>
          <cell r="L1769" t="str">
            <v/>
          </cell>
        </row>
        <row r="1770">
          <cell r="A1770">
            <v>34000000</v>
          </cell>
          <cell r="C1770">
            <v>34000000</v>
          </cell>
          <cell r="D1770">
            <v>34000000</v>
          </cell>
          <cell r="E1770">
            <v>34000000</v>
          </cell>
          <cell r="F1770">
            <v>34000000</v>
          </cell>
          <cell r="G1770">
            <v>34000000</v>
          </cell>
          <cell r="H1770">
            <v>34000000</v>
          </cell>
          <cell r="I1770" t="str">
            <v/>
          </cell>
          <cell r="J1770" t="str">
            <v/>
          </cell>
          <cell r="K1770" t="str">
            <v/>
          </cell>
          <cell r="L1770" t="str">
            <v/>
          </cell>
        </row>
        <row r="1771">
          <cell r="A1771">
            <v>34000000</v>
          </cell>
          <cell r="C1771">
            <v>34000000</v>
          </cell>
          <cell r="D1771">
            <v>34000000</v>
          </cell>
          <cell r="E1771">
            <v>34000000</v>
          </cell>
          <cell r="F1771">
            <v>34000000</v>
          </cell>
          <cell r="G1771">
            <v>34000000</v>
          </cell>
          <cell r="H1771">
            <v>34000000</v>
          </cell>
          <cell r="I1771" t="str">
            <v/>
          </cell>
          <cell r="J1771" t="str">
            <v/>
          </cell>
          <cell r="K1771" t="str">
            <v/>
          </cell>
          <cell r="L1771" t="str">
            <v/>
          </cell>
        </row>
        <row r="1772">
          <cell r="A1772">
            <v>34000000</v>
          </cell>
          <cell r="C1772">
            <v>34000000</v>
          </cell>
          <cell r="D1772">
            <v>34000000</v>
          </cell>
          <cell r="E1772">
            <v>34000000</v>
          </cell>
          <cell r="F1772">
            <v>34000000</v>
          </cell>
          <cell r="G1772">
            <v>34000000</v>
          </cell>
          <cell r="H1772">
            <v>34000000</v>
          </cell>
          <cell r="I1772" t="str">
            <v/>
          </cell>
          <cell r="J1772" t="str">
            <v/>
          </cell>
          <cell r="K1772" t="str">
            <v/>
          </cell>
          <cell r="L1772" t="str">
            <v/>
          </cell>
        </row>
        <row r="1773">
          <cell r="A1773">
            <v>34000000</v>
          </cell>
          <cell r="C1773">
            <v>34000000</v>
          </cell>
          <cell r="D1773">
            <v>34000000</v>
          </cell>
          <cell r="E1773">
            <v>34000000</v>
          </cell>
          <cell r="F1773">
            <v>34000000</v>
          </cell>
          <cell r="G1773">
            <v>34000000</v>
          </cell>
          <cell r="H1773">
            <v>34000000</v>
          </cell>
          <cell r="I1773" t="str">
            <v/>
          </cell>
          <cell r="J1773" t="str">
            <v/>
          </cell>
          <cell r="K1773" t="str">
            <v/>
          </cell>
          <cell r="L1773" t="str">
            <v/>
          </cell>
        </row>
        <row r="1774">
          <cell r="A1774">
            <v>34000000</v>
          </cell>
          <cell r="C1774">
            <v>34000000</v>
          </cell>
          <cell r="D1774">
            <v>34000000</v>
          </cell>
          <cell r="E1774">
            <v>34000000</v>
          </cell>
          <cell r="F1774">
            <v>34000000</v>
          </cell>
          <cell r="G1774">
            <v>34000000</v>
          </cell>
          <cell r="H1774">
            <v>34000000</v>
          </cell>
          <cell r="I1774" t="str">
            <v/>
          </cell>
          <cell r="J1774" t="str">
            <v/>
          </cell>
          <cell r="K1774" t="str">
            <v/>
          </cell>
          <cell r="L1774" t="str">
            <v/>
          </cell>
        </row>
        <row r="1775">
          <cell r="A1775">
            <v>34000000</v>
          </cell>
          <cell r="C1775">
            <v>34000000</v>
          </cell>
          <cell r="D1775">
            <v>34000000</v>
          </cell>
          <cell r="E1775">
            <v>34000000</v>
          </cell>
          <cell r="F1775">
            <v>34000000</v>
          </cell>
          <cell r="G1775">
            <v>34000000</v>
          </cell>
          <cell r="H1775">
            <v>34000000</v>
          </cell>
          <cell r="I1775" t="str">
            <v/>
          </cell>
          <cell r="J1775" t="str">
            <v/>
          </cell>
          <cell r="K1775" t="str">
            <v/>
          </cell>
          <cell r="L1775" t="str">
            <v/>
          </cell>
        </row>
        <row r="1776">
          <cell r="A1776">
            <v>34000000</v>
          </cell>
          <cell r="C1776">
            <v>34000000</v>
          </cell>
          <cell r="D1776">
            <v>34000000</v>
          </cell>
          <cell r="E1776">
            <v>34000000</v>
          </cell>
          <cell r="F1776">
            <v>34000000</v>
          </cell>
          <cell r="G1776">
            <v>34000000</v>
          </cell>
          <cell r="H1776">
            <v>34000000</v>
          </cell>
          <cell r="I1776" t="str">
            <v/>
          </cell>
          <cell r="J1776" t="str">
            <v/>
          </cell>
          <cell r="K1776" t="str">
            <v/>
          </cell>
          <cell r="L1776" t="str">
            <v/>
          </cell>
        </row>
        <row r="1777">
          <cell r="A1777">
            <v>34000000</v>
          </cell>
          <cell r="C1777">
            <v>34000000</v>
          </cell>
          <cell r="D1777">
            <v>34000000</v>
          </cell>
          <cell r="E1777">
            <v>34000000</v>
          </cell>
          <cell r="F1777">
            <v>34000000</v>
          </cell>
          <cell r="G1777">
            <v>34000000</v>
          </cell>
          <cell r="H1777">
            <v>34000000</v>
          </cell>
          <cell r="I1777" t="str">
            <v/>
          </cell>
          <cell r="J1777" t="str">
            <v/>
          </cell>
          <cell r="K1777" t="str">
            <v/>
          </cell>
          <cell r="L1777" t="str">
            <v/>
          </cell>
        </row>
        <row r="1778">
          <cell r="A1778">
            <v>34000000</v>
          </cell>
          <cell r="C1778">
            <v>34000000</v>
          </cell>
          <cell r="D1778">
            <v>34000000</v>
          </cell>
          <cell r="E1778">
            <v>34000000</v>
          </cell>
          <cell r="F1778">
            <v>34000000</v>
          </cell>
          <cell r="G1778">
            <v>34000000</v>
          </cell>
          <cell r="H1778">
            <v>34000000</v>
          </cell>
          <cell r="I1778" t="str">
            <v/>
          </cell>
          <cell r="J1778" t="str">
            <v/>
          </cell>
          <cell r="K1778" t="str">
            <v/>
          </cell>
          <cell r="L1778" t="str">
            <v/>
          </cell>
        </row>
        <row r="1779">
          <cell r="A1779">
            <v>34000000</v>
          </cell>
          <cell r="C1779">
            <v>34000000</v>
          </cell>
          <cell r="D1779">
            <v>34000000</v>
          </cell>
          <cell r="E1779">
            <v>34000000</v>
          </cell>
          <cell r="F1779">
            <v>34000000</v>
          </cell>
          <cell r="G1779">
            <v>34000000</v>
          </cell>
          <cell r="H1779">
            <v>34000000</v>
          </cell>
          <cell r="I1779" t="str">
            <v/>
          </cell>
          <cell r="J1779" t="str">
            <v/>
          </cell>
          <cell r="K1779" t="str">
            <v/>
          </cell>
          <cell r="L1779" t="str">
            <v/>
          </cell>
        </row>
        <row r="1780">
          <cell r="A1780">
            <v>34000000</v>
          </cell>
          <cell r="C1780">
            <v>34000000</v>
          </cell>
          <cell r="D1780">
            <v>34000000</v>
          </cell>
          <cell r="E1780">
            <v>34000000</v>
          </cell>
          <cell r="F1780">
            <v>34000000</v>
          </cell>
          <cell r="G1780">
            <v>34000000</v>
          </cell>
          <cell r="H1780">
            <v>34000000</v>
          </cell>
          <cell r="I1780" t="str">
            <v/>
          </cell>
          <cell r="J1780" t="str">
            <v/>
          </cell>
          <cell r="K1780" t="str">
            <v/>
          </cell>
          <cell r="L1780" t="str">
            <v/>
          </cell>
        </row>
        <row r="1781">
          <cell r="A1781">
            <v>34000000</v>
          </cell>
          <cell r="C1781">
            <v>34000000</v>
          </cell>
          <cell r="D1781">
            <v>34000000</v>
          </cell>
          <cell r="E1781">
            <v>34000000</v>
          </cell>
          <cell r="F1781">
            <v>34000000</v>
          </cell>
          <cell r="G1781">
            <v>34000000</v>
          </cell>
          <cell r="H1781">
            <v>34000000</v>
          </cell>
          <cell r="I1781" t="str">
            <v/>
          </cell>
          <cell r="J1781" t="str">
            <v/>
          </cell>
          <cell r="K1781" t="str">
            <v/>
          </cell>
          <cell r="L1781" t="str">
            <v/>
          </cell>
        </row>
        <row r="1782">
          <cell r="A1782">
            <v>34000000</v>
          </cell>
          <cell r="C1782">
            <v>34000000</v>
          </cell>
          <cell r="D1782">
            <v>34000000</v>
          </cell>
          <cell r="E1782">
            <v>34000000</v>
          </cell>
          <cell r="F1782">
            <v>34000000</v>
          </cell>
          <cell r="G1782">
            <v>34000000</v>
          </cell>
          <cell r="H1782">
            <v>34000000</v>
          </cell>
          <cell r="I1782" t="str">
            <v/>
          </cell>
          <cell r="J1782" t="str">
            <v/>
          </cell>
          <cell r="K1782" t="str">
            <v/>
          </cell>
          <cell r="L1782" t="str">
            <v/>
          </cell>
        </row>
        <row r="1783">
          <cell r="A1783">
            <v>34000000</v>
          </cell>
          <cell r="C1783">
            <v>34000000</v>
          </cell>
          <cell r="D1783">
            <v>34000000</v>
          </cell>
          <cell r="E1783">
            <v>34000000</v>
          </cell>
          <cell r="F1783">
            <v>34000000</v>
          </cell>
          <cell r="G1783">
            <v>34000000</v>
          </cell>
          <cell r="H1783">
            <v>34000000</v>
          </cell>
          <cell r="I1783" t="str">
            <v/>
          </cell>
          <cell r="J1783" t="str">
            <v/>
          </cell>
          <cell r="K1783" t="str">
            <v/>
          </cell>
          <cell r="L1783" t="str">
            <v/>
          </cell>
        </row>
        <row r="1784">
          <cell r="A1784">
            <v>34000000</v>
          </cell>
          <cell r="C1784">
            <v>34000000</v>
          </cell>
          <cell r="D1784">
            <v>34000000</v>
          </cell>
          <cell r="E1784">
            <v>34000000</v>
          </cell>
          <cell r="F1784">
            <v>34000000</v>
          </cell>
          <cell r="G1784">
            <v>34000000</v>
          </cell>
          <cell r="H1784">
            <v>34000000</v>
          </cell>
          <cell r="I1784" t="str">
            <v/>
          </cell>
          <cell r="J1784" t="str">
            <v/>
          </cell>
          <cell r="K1784" t="str">
            <v/>
          </cell>
          <cell r="L1784" t="str">
            <v/>
          </cell>
        </row>
        <row r="1785">
          <cell r="A1785">
            <v>34000000</v>
          </cell>
          <cell r="C1785">
            <v>34000000</v>
          </cell>
          <cell r="D1785">
            <v>34000000</v>
          </cell>
          <cell r="E1785">
            <v>34000000</v>
          </cell>
          <cell r="F1785">
            <v>34000000</v>
          </cell>
          <cell r="G1785">
            <v>34000000</v>
          </cell>
          <cell r="H1785">
            <v>34000000</v>
          </cell>
          <cell r="I1785" t="str">
            <v/>
          </cell>
          <cell r="J1785" t="str">
            <v/>
          </cell>
          <cell r="K1785" t="str">
            <v/>
          </cell>
          <cell r="L1785" t="str">
            <v/>
          </cell>
        </row>
        <row r="1786">
          <cell r="A1786">
            <v>34000000</v>
          </cell>
          <cell r="C1786">
            <v>34000000</v>
          </cell>
          <cell r="D1786">
            <v>34000000</v>
          </cell>
          <cell r="E1786">
            <v>34000000</v>
          </cell>
          <cell r="F1786">
            <v>34000000</v>
          </cell>
          <cell r="G1786">
            <v>34000000</v>
          </cell>
          <cell r="H1786">
            <v>34000000</v>
          </cell>
          <cell r="I1786" t="str">
            <v/>
          </cell>
          <cell r="J1786" t="str">
            <v/>
          </cell>
          <cell r="K1786" t="str">
            <v/>
          </cell>
          <cell r="L1786" t="str">
            <v/>
          </cell>
        </row>
        <row r="1787">
          <cell r="A1787">
            <v>34000000</v>
          </cell>
          <cell r="C1787">
            <v>34000000</v>
          </cell>
          <cell r="D1787">
            <v>34000000</v>
          </cell>
          <cell r="E1787">
            <v>34000000</v>
          </cell>
          <cell r="F1787">
            <v>34000000</v>
          </cell>
          <cell r="G1787">
            <v>34000000</v>
          </cell>
          <cell r="H1787">
            <v>34000000</v>
          </cell>
          <cell r="I1787" t="str">
            <v/>
          </cell>
          <cell r="J1787" t="str">
            <v/>
          </cell>
          <cell r="K1787" t="str">
            <v/>
          </cell>
          <cell r="L1787" t="str">
            <v/>
          </cell>
        </row>
        <row r="1788">
          <cell r="A1788">
            <v>34000000</v>
          </cell>
          <cell r="C1788">
            <v>34000000</v>
          </cell>
          <cell r="D1788">
            <v>34000000</v>
          </cell>
          <cell r="E1788">
            <v>34000000</v>
          </cell>
          <cell r="F1788">
            <v>34000000</v>
          </cell>
          <cell r="G1788">
            <v>34000000</v>
          </cell>
          <cell r="H1788">
            <v>34000000</v>
          </cell>
          <cell r="I1788" t="str">
            <v/>
          </cell>
          <cell r="J1788" t="str">
            <v/>
          </cell>
          <cell r="K1788" t="str">
            <v/>
          </cell>
          <cell r="L1788" t="str">
            <v/>
          </cell>
        </row>
        <row r="1789">
          <cell r="A1789">
            <v>34000000</v>
          </cell>
          <cell r="C1789">
            <v>34000000</v>
          </cell>
          <cell r="D1789">
            <v>34000000</v>
          </cell>
          <cell r="E1789">
            <v>34000000</v>
          </cell>
          <cell r="F1789">
            <v>34000000</v>
          </cell>
          <cell r="G1789">
            <v>34000000</v>
          </cell>
          <cell r="H1789">
            <v>34000000</v>
          </cell>
          <cell r="I1789" t="str">
            <v/>
          </cell>
          <cell r="J1789" t="str">
            <v/>
          </cell>
          <cell r="K1789" t="str">
            <v/>
          </cell>
          <cell r="L1789" t="str">
            <v/>
          </cell>
        </row>
        <row r="1790">
          <cell r="A1790">
            <v>34000000</v>
          </cell>
          <cell r="C1790">
            <v>34000000</v>
          </cell>
          <cell r="D1790">
            <v>34000000</v>
          </cell>
          <cell r="E1790">
            <v>34000000</v>
          </cell>
          <cell r="F1790">
            <v>34000000</v>
          </cell>
          <cell r="G1790">
            <v>34000000</v>
          </cell>
          <cell r="H1790">
            <v>34000000</v>
          </cell>
          <cell r="I1790" t="str">
            <v/>
          </cell>
          <cell r="J1790" t="str">
            <v/>
          </cell>
          <cell r="K1790" t="str">
            <v/>
          </cell>
          <cell r="L1790" t="str">
            <v/>
          </cell>
        </row>
        <row r="1791">
          <cell r="A1791">
            <v>34000000</v>
          </cell>
          <cell r="C1791">
            <v>34000000</v>
          </cell>
          <cell r="D1791">
            <v>34000000</v>
          </cell>
          <cell r="E1791">
            <v>34000000</v>
          </cell>
          <cell r="F1791">
            <v>34000000</v>
          </cell>
          <cell r="G1791">
            <v>34000000</v>
          </cell>
          <cell r="H1791">
            <v>34000000</v>
          </cell>
          <cell r="I1791" t="str">
            <v/>
          </cell>
          <cell r="J1791" t="str">
            <v/>
          </cell>
          <cell r="K1791" t="str">
            <v/>
          </cell>
          <cell r="L1791" t="str">
            <v/>
          </cell>
        </row>
        <row r="1792">
          <cell r="A1792">
            <v>34000000</v>
          </cell>
          <cell r="C1792">
            <v>34000000</v>
          </cell>
          <cell r="D1792">
            <v>34000000</v>
          </cell>
          <cell r="E1792">
            <v>34000000</v>
          </cell>
          <cell r="F1792">
            <v>34000000</v>
          </cell>
          <cell r="G1792">
            <v>34000000</v>
          </cell>
          <cell r="H1792">
            <v>34000000</v>
          </cell>
          <cell r="I1792" t="str">
            <v/>
          </cell>
          <cell r="J1792" t="str">
            <v/>
          </cell>
          <cell r="K1792" t="str">
            <v/>
          </cell>
          <cell r="L1792" t="str">
            <v/>
          </cell>
        </row>
        <row r="1793">
          <cell r="A1793">
            <v>34000000</v>
          </cell>
          <cell r="C1793">
            <v>34000000</v>
          </cell>
          <cell r="D1793">
            <v>34000000</v>
          </cell>
          <cell r="E1793">
            <v>34000000</v>
          </cell>
          <cell r="F1793">
            <v>34000000</v>
          </cell>
          <cell r="G1793">
            <v>34000000</v>
          </cell>
          <cell r="H1793">
            <v>34000000</v>
          </cell>
          <cell r="I1793" t="str">
            <v/>
          </cell>
          <cell r="J1793" t="str">
            <v/>
          </cell>
          <cell r="K1793" t="str">
            <v/>
          </cell>
          <cell r="L1793" t="str">
            <v/>
          </cell>
        </row>
        <row r="1794">
          <cell r="A1794">
            <v>34000000</v>
          </cell>
          <cell r="C1794">
            <v>34000000</v>
          </cell>
          <cell r="D1794">
            <v>34000000</v>
          </cell>
          <cell r="E1794">
            <v>34000000</v>
          </cell>
          <cell r="F1794">
            <v>34000000</v>
          </cell>
          <cell r="G1794">
            <v>34000000</v>
          </cell>
          <cell r="H1794">
            <v>34000000</v>
          </cell>
          <cell r="I1794" t="str">
            <v/>
          </cell>
          <cell r="J1794" t="str">
            <v/>
          </cell>
          <cell r="K1794" t="str">
            <v/>
          </cell>
          <cell r="L1794" t="str">
            <v/>
          </cell>
        </row>
        <row r="1795">
          <cell r="A1795">
            <v>34000000</v>
          </cell>
          <cell r="C1795">
            <v>34000000</v>
          </cell>
          <cell r="D1795">
            <v>34000000</v>
          </cell>
          <cell r="E1795">
            <v>34000000</v>
          </cell>
          <cell r="F1795">
            <v>34000000</v>
          </cell>
          <cell r="G1795">
            <v>34000000</v>
          </cell>
          <cell r="H1795">
            <v>34000000</v>
          </cell>
          <cell r="I1795" t="str">
            <v/>
          </cell>
          <cell r="J1795" t="str">
            <v/>
          </cell>
          <cell r="K1795" t="str">
            <v/>
          </cell>
          <cell r="L1795" t="str">
            <v/>
          </cell>
        </row>
        <row r="1796">
          <cell r="A1796">
            <v>34000000</v>
          </cell>
          <cell r="C1796">
            <v>34000000</v>
          </cell>
          <cell r="D1796">
            <v>34000000</v>
          </cell>
          <cell r="E1796">
            <v>34000000</v>
          </cell>
          <cell r="F1796">
            <v>34000000</v>
          </cell>
          <cell r="G1796">
            <v>34000000</v>
          </cell>
          <cell r="H1796">
            <v>34000000</v>
          </cell>
          <cell r="I1796" t="str">
            <v/>
          </cell>
          <cell r="J1796" t="str">
            <v/>
          </cell>
          <cell r="K1796" t="str">
            <v/>
          </cell>
          <cell r="L1796" t="str">
            <v/>
          </cell>
        </row>
        <row r="1797">
          <cell r="A1797">
            <v>34000000</v>
          </cell>
          <cell r="C1797">
            <v>34000000</v>
          </cell>
          <cell r="D1797">
            <v>34000000</v>
          </cell>
          <cell r="E1797">
            <v>34000000</v>
          </cell>
          <cell r="F1797">
            <v>34000000</v>
          </cell>
          <cell r="G1797">
            <v>34000000</v>
          </cell>
          <cell r="H1797">
            <v>34000000</v>
          </cell>
          <cell r="I1797" t="str">
            <v/>
          </cell>
          <cell r="J1797" t="str">
            <v/>
          </cell>
          <cell r="K1797" t="str">
            <v/>
          </cell>
          <cell r="L1797" t="str">
            <v/>
          </cell>
        </row>
        <row r="1798">
          <cell r="A1798">
            <v>34000000</v>
          </cell>
          <cell r="C1798">
            <v>34000000</v>
          </cell>
          <cell r="D1798">
            <v>34000000</v>
          </cell>
          <cell r="E1798">
            <v>34000000</v>
          </cell>
          <cell r="F1798">
            <v>34000000</v>
          </cell>
          <cell r="G1798">
            <v>34000000</v>
          </cell>
          <cell r="H1798">
            <v>34000000</v>
          </cell>
          <cell r="I1798" t="str">
            <v/>
          </cell>
          <cell r="J1798" t="str">
            <v/>
          </cell>
          <cell r="K1798" t="str">
            <v/>
          </cell>
          <cell r="L1798" t="str">
            <v/>
          </cell>
        </row>
        <row r="1799">
          <cell r="A1799">
            <v>34000000</v>
          </cell>
          <cell r="C1799">
            <v>34000000</v>
          </cell>
          <cell r="D1799">
            <v>34000000</v>
          </cell>
          <cell r="E1799">
            <v>34000000</v>
          </cell>
          <cell r="F1799">
            <v>34000000</v>
          </cell>
          <cell r="G1799">
            <v>34000000</v>
          </cell>
          <cell r="H1799">
            <v>34000000</v>
          </cell>
          <cell r="I1799" t="str">
            <v/>
          </cell>
          <cell r="J1799" t="str">
            <v/>
          </cell>
          <cell r="K1799" t="str">
            <v/>
          </cell>
          <cell r="L1799" t="str">
            <v/>
          </cell>
        </row>
        <row r="1800">
          <cell r="A1800">
            <v>34000000</v>
          </cell>
          <cell r="C1800">
            <v>34000000</v>
          </cell>
          <cell r="D1800">
            <v>34000000</v>
          </cell>
          <cell r="E1800">
            <v>34000000</v>
          </cell>
          <cell r="F1800">
            <v>34000000</v>
          </cell>
          <cell r="G1800">
            <v>34000000</v>
          </cell>
          <cell r="H1800">
            <v>34000000</v>
          </cell>
          <cell r="I1800" t="str">
            <v/>
          </cell>
          <cell r="J1800" t="str">
            <v/>
          </cell>
          <cell r="K1800" t="str">
            <v/>
          </cell>
          <cell r="L1800" t="str">
            <v/>
          </cell>
        </row>
        <row r="1801">
          <cell r="A1801">
            <v>34000000</v>
          </cell>
          <cell r="C1801">
            <v>34000000</v>
          </cell>
          <cell r="D1801">
            <v>34000000</v>
          </cell>
          <cell r="E1801">
            <v>34000000</v>
          </cell>
          <cell r="F1801">
            <v>34000000</v>
          </cell>
          <cell r="G1801">
            <v>34000000</v>
          </cell>
          <cell r="H1801">
            <v>34000000</v>
          </cell>
          <cell r="I1801" t="str">
            <v/>
          </cell>
          <cell r="J1801" t="str">
            <v/>
          </cell>
          <cell r="K1801" t="str">
            <v/>
          </cell>
          <cell r="L1801" t="str">
            <v/>
          </cell>
        </row>
        <row r="1802">
          <cell r="A1802">
            <v>34000000</v>
          </cell>
          <cell r="C1802">
            <v>34000000</v>
          </cell>
          <cell r="D1802">
            <v>34000000</v>
          </cell>
          <cell r="E1802">
            <v>34000000</v>
          </cell>
          <cell r="F1802">
            <v>34000000</v>
          </cell>
          <cell r="G1802">
            <v>34000000</v>
          </cell>
          <cell r="H1802">
            <v>34000000</v>
          </cell>
          <cell r="I1802" t="str">
            <v/>
          </cell>
          <cell r="J1802" t="str">
            <v/>
          </cell>
          <cell r="K1802" t="str">
            <v/>
          </cell>
          <cell r="L1802" t="str">
            <v/>
          </cell>
        </row>
        <row r="1803">
          <cell r="A1803">
            <v>34000000</v>
          </cell>
          <cell r="C1803">
            <v>34000000</v>
          </cell>
          <cell r="D1803">
            <v>34000000</v>
          </cell>
          <cell r="E1803">
            <v>34000000</v>
          </cell>
          <cell r="F1803">
            <v>34000000</v>
          </cell>
          <cell r="G1803">
            <v>34000000</v>
          </cell>
          <cell r="H1803">
            <v>34000000</v>
          </cell>
          <cell r="I1803" t="str">
            <v/>
          </cell>
          <cell r="J1803" t="str">
            <v/>
          </cell>
          <cell r="K1803" t="str">
            <v/>
          </cell>
          <cell r="L1803" t="str">
            <v/>
          </cell>
        </row>
        <row r="1804">
          <cell r="A1804">
            <v>34000000</v>
          </cell>
          <cell r="C1804">
            <v>34000000</v>
          </cell>
          <cell r="D1804">
            <v>34000000</v>
          </cell>
          <cell r="E1804">
            <v>34000000</v>
          </cell>
          <cell r="F1804">
            <v>34000000</v>
          </cell>
          <cell r="G1804">
            <v>34000000</v>
          </cell>
          <cell r="H1804">
            <v>34000000</v>
          </cell>
          <cell r="I1804" t="str">
            <v/>
          </cell>
          <cell r="J1804" t="str">
            <v/>
          </cell>
          <cell r="K1804" t="str">
            <v/>
          </cell>
          <cell r="L1804" t="str">
            <v/>
          </cell>
        </row>
        <row r="1805">
          <cell r="A1805">
            <v>34000000</v>
          </cell>
          <cell r="C1805">
            <v>34000000</v>
          </cell>
          <cell r="D1805">
            <v>34000000</v>
          </cell>
          <cell r="E1805">
            <v>34000000</v>
          </cell>
          <cell r="F1805">
            <v>34000000</v>
          </cell>
          <cell r="G1805">
            <v>34000000</v>
          </cell>
          <cell r="H1805">
            <v>34000000</v>
          </cell>
          <cell r="I1805" t="str">
            <v/>
          </cell>
          <cell r="J1805" t="str">
            <v/>
          </cell>
          <cell r="K1805" t="str">
            <v/>
          </cell>
          <cell r="L1805" t="str">
            <v/>
          </cell>
        </row>
        <row r="1806">
          <cell r="A1806">
            <v>34000000</v>
          </cell>
          <cell r="C1806">
            <v>34000000</v>
          </cell>
          <cell r="D1806">
            <v>34000000</v>
          </cell>
          <cell r="E1806">
            <v>34000000</v>
          </cell>
          <cell r="F1806">
            <v>34000000</v>
          </cell>
          <cell r="G1806">
            <v>34000000</v>
          </cell>
          <cell r="H1806">
            <v>34000000</v>
          </cell>
          <cell r="I1806" t="str">
            <v/>
          </cell>
          <cell r="J1806" t="str">
            <v/>
          </cell>
          <cell r="K1806" t="str">
            <v/>
          </cell>
          <cell r="L1806" t="str">
            <v/>
          </cell>
        </row>
        <row r="1807">
          <cell r="A1807">
            <v>34000000</v>
          </cell>
          <cell r="C1807">
            <v>34000000</v>
          </cell>
          <cell r="D1807">
            <v>34000000</v>
          </cell>
          <cell r="E1807">
            <v>34000000</v>
          </cell>
          <cell r="F1807">
            <v>34000000</v>
          </cell>
          <cell r="G1807">
            <v>34000000</v>
          </cell>
          <cell r="H1807">
            <v>34000000</v>
          </cell>
          <cell r="I1807" t="str">
            <v/>
          </cell>
          <cell r="J1807" t="str">
            <v/>
          </cell>
          <cell r="K1807" t="str">
            <v/>
          </cell>
          <cell r="L1807" t="str">
            <v/>
          </cell>
        </row>
        <row r="1808">
          <cell r="A1808">
            <v>34000000</v>
          </cell>
          <cell r="C1808">
            <v>34000000</v>
          </cell>
          <cell r="D1808">
            <v>34000000</v>
          </cell>
          <cell r="E1808">
            <v>34000000</v>
          </cell>
          <cell r="F1808">
            <v>34000000</v>
          </cell>
          <cell r="G1808">
            <v>34000000</v>
          </cell>
          <cell r="H1808">
            <v>34000000</v>
          </cell>
          <cell r="I1808" t="str">
            <v/>
          </cell>
          <cell r="J1808" t="str">
            <v/>
          </cell>
          <cell r="K1808" t="str">
            <v/>
          </cell>
          <cell r="L1808" t="str">
            <v/>
          </cell>
        </row>
        <row r="1809">
          <cell r="A1809">
            <v>34000000</v>
          </cell>
          <cell r="C1809">
            <v>34000000</v>
          </cell>
          <cell r="D1809">
            <v>34000000</v>
          </cell>
          <cell r="E1809">
            <v>34000000</v>
          </cell>
          <cell r="F1809">
            <v>34000000</v>
          </cell>
          <cell r="G1809">
            <v>34000000</v>
          </cell>
          <cell r="H1809">
            <v>34000000</v>
          </cell>
          <cell r="I1809" t="str">
            <v/>
          </cell>
          <cell r="J1809" t="str">
            <v/>
          </cell>
          <cell r="K1809" t="str">
            <v/>
          </cell>
          <cell r="L1809" t="str">
            <v/>
          </cell>
        </row>
        <row r="1810">
          <cell r="A1810">
            <v>34000000</v>
          </cell>
          <cell r="C1810">
            <v>34000000</v>
          </cell>
          <cell r="D1810">
            <v>34000000</v>
          </cell>
          <cell r="E1810">
            <v>34000000</v>
          </cell>
          <cell r="F1810">
            <v>34000000</v>
          </cell>
          <cell r="G1810">
            <v>34000000</v>
          </cell>
          <cell r="H1810">
            <v>34000000</v>
          </cell>
          <cell r="I1810" t="str">
            <v/>
          </cell>
          <cell r="J1810" t="str">
            <v/>
          </cell>
          <cell r="K1810" t="str">
            <v/>
          </cell>
          <cell r="L1810" t="str">
            <v/>
          </cell>
        </row>
        <row r="1811">
          <cell r="A1811">
            <v>34000000</v>
          </cell>
          <cell r="C1811">
            <v>34000000</v>
          </cell>
          <cell r="D1811">
            <v>34000000</v>
          </cell>
          <cell r="E1811">
            <v>34000000</v>
          </cell>
          <cell r="F1811">
            <v>34000000</v>
          </cell>
          <cell r="G1811">
            <v>34000000</v>
          </cell>
          <cell r="H1811">
            <v>34000000</v>
          </cell>
          <cell r="I1811" t="str">
            <v/>
          </cell>
          <cell r="J1811" t="str">
            <v/>
          </cell>
          <cell r="K1811" t="str">
            <v/>
          </cell>
          <cell r="L1811" t="str">
            <v/>
          </cell>
        </row>
        <row r="1812">
          <cell r="A1812">
            <v>34000000</v>
          </cell>
          <cell r="C1812">
            <v>34000000</v>
          </cell>
          <cell r="D1812">
            <v>34000000</v>
          </cell>
          <cell r="E1812">
            <v>34000000</v>
          </cell>
          <cell r="F1812">
            <v>34000000</v>
          </cell>
          <cell r="G1812">
            <v>34000000</v>
          </cell>
          <cell r="H1812">
            <v>34000000</v>
          </cell>
          <cell r="I1812" t="str">
            <v/>
          </cell>
          <cell r="J1812" t="str">
            <v/>
          </cell>
          <cell r="K1812" t="str">
            <v/>
          </cell>
          <cell r="L1812" t="str">
            <v/>
          </cell>
        </row>
        <row r="1813">
          <cell r="A1813">
            <v>34000000</v>
          </cell>
          <cell r="C1813">
            <v>34000000</v>
          </cell>
          <cell r="D1813">
            <v>34000000</v>
          </cell>
          <cell r="E1813">
            <v>34000000</v>
          </cell>
          <cell r="F1813">
            <v>34000000</v>
          </cell>
          <cell r="G1813">
            <v>34000000</v>
          </cell>
          <cell r="H1813">
            <v>34000000</v>
          </cell>
          <cell r="I1813" t="str">
            <v/>
          </cell>
          <cell r="J1813" t="str">
            <v/>
          </cell>
          <cell r="K1813" t="str">
            <v/>
          </cell>
          <cell r="L1813" t="str">
            <v/>
          </cell>
        </row>
        <row r="1814">
          <cell r="A1814">
            <v>34000000</v>
          </cell>
          <cell r="C1814">
            <v>34000000</v>
          </cell>
          <cell r="D1814">
            <v>34000000</v>
          </cell>
          <cell r="E1814">
            <v>34000000</v>
          </cell>
          <cell r="F1814">
            <v>34000000</v>
          </cell>
          <cell r="G1814">
            <v>34000000</v>
          </cell>
          <cell r="H1814">
            <v>34000000</v>
          </cell>
          <cell r="I1814" t="str">
            <v/>
          </cell>
          <cell r="J1814" t="str">
            <v/>
          </cell>
          <cell r="K1814" t="str">
            <v/>
          </cell>
          <cell r="L1814" t="str">
            <v/>
          </cell>
        </row>
        <row r="1815">
          <cell r="A1815">
            <v>34000000</v>
          </cell>
          <cell r="C1815">
            <v>34000000</v>
          </cell>
          <cell r="D1815">
            <v>34000000</v>
          </cell>
          <cell r="E1815">
            <v>34000000</v>
          </cell>
          <cell r="F1815">
            <v>34000000</v>
          </cell>
          <cell r="G1815">
            <v>34000000</v>
          </cell>
          <cell r="H1815">
            <v>34000000</v>
          </cell>
          <cell r="I1815" t="str">
            <v/>
          </cell>
          <cell r="J1815" t="str">
            <v/>
          </cell>
          <cell r="K1815" t="str">
            <v/>
          </cell>
          <cell r="L1815" t="str">
            <v/>
          </cell>
        </row>
        <row r="1816">
          <cell r="A1816">
            <v>34000000</v>
          </cell>
          <cell r="C1816">
            <v>34000000</v>
          </cell>
          <cell r="D1816">
            <v>34000000</v>
          </cell>
          <cell r="E1816">
            <v>34000000</v>
          </cell>
          <cell r="F1816">
            <v>34000000</v>
          </cell>
          <cell r="G1816">
            <v>34000000</v>
          </cell>
          <cell r="H1816">
            <v>34000000</v>
          </cell>
          <cell r="I1816" t="str">
            <v/>
          </cell>
          <cell r="J1816" t="str">
            <v/>
          </cell>
          <cell r="K1816" t="str">
            <v/>
          </cell>
          <cell r="L1816" t="str">
            <v/>
          </cell>
        </row>
        <row r="1817">
          <cell r="A1817">
            <v>34000000</v>
          </cell>
          <cell r="C1817">
            <v>34000000</v>
          </cell>
          <cell r="D1817">
            <v>34000000</v>
          </cell>
          <cell r="E1817">
            <v>34000000</v>
          </cell>
          <cell r="F1817">
            <v>34000000</v>
          </cell>
          <cell r="G1817">
            <v>34000000</v>
          </cell>
          <cell r="H1817">
            <v>34000000</v>
          </cell>
          <cell r="I1817" t="str">
            <v/>
          </cell>
          <cell r="J1817" t="str">
            <v/>
          </cell>
          <cell r="K1817" t="str">
            <v/>
          </cell>
          <cell r="L1817" t="str">
            <v/>
          </cell>
        </row>
        <row r="1818">
          <cell r="A1818">
            <v>34000000</v>
          </cell>
          <cell r="C1818">
            <v>34000000</v>
          </cell>
          <cell r="D1818">
            <v>34000000</v>
          </cell>
          <cell r="E1818">
            <v>34000000</v>
          </cell>
          <cell r="F1818">
            <v>34000000</v>
          </cell>
          <cell r="G1818">
            <v>34000000</v>
          </cell>
          <cell r="H1818">
            <v>34000000</v>
          </cell>
          <cell r="I1818" t="str">
            <v/>
          </cell>
          <cell r="J1818" t="str">
            <v/>
          </cell>
          <cell r="K1818" t="str">
            <v/>
          </cell>
          <cell r="L1818" t="str">
            <v/>
          </cell>
        </row>
        <row r="1819">
          <cell r="A1819">
            <v>34000000</v>
          </cell>
          <cell r="C1819">
            <v>34000000</v>
          </cell>
          <cell r="D1819">
            <v>34000000</v>
          </cell>
          <cell r="E1819">
            <v>34000000</v>
          </cell>
          <cell r="F1819">
            <v>34000000</v>
          </cell>
          <cell r="G1819">
            <v>34000000</v>
          </cell>
          <cell r="H1819">
            <v>34000000</v>
          </cell>
          <cell r="I1819" t="str">
            <v/>
          </cell>
          <cell r="J1819" t="str">
            <v/>
          </cell>
          <cell r="K1819" t="str">
            <v/>
          </cell>
          <cell r="L1819" t="str">
            <v/>
          </cell>
        </row>
        <row r="1820">
          <cell r="A1820">
            <v>34000000</v>
          </cell>
          <cell r="C1820">
            <v>34000000</v>
          </cell>
          <cell r="D1820">
            <v>34000000</v>
          </cell>
          <cell r="E1820">
            <v>34000000</v>
          </cell>
          <cell r="F1820">
            <v>34000000</v>
          </cell>
          <cell r="G1820">
            <v>34000000</v>
          </cell>
          <cell r="H1820">
            <v>34000000</v>
          </cell>
          <cell r="I1820" t="str">
            <v/>
          </cell>
          <cell r="J1820" t="str">
            <v/>
          </cell>
          <cell r="K1820" t="str">
            <v/>
          </cell>
          <cell r="L1820" t="str">
            <v/>
          </cell>
        </row>
        <row r="1821">
          <cell r="A1821">
            <v>34000000</v>
          </cell>
          <cell r="C1821">
            <v>34000000</v>
          </cell>
          <cell r="D1821">
            <v>34000000</v>
          </cell>
          <cell r="E1821">
            <v>34000000</v>
          </cell>
          <cell r="F1821">
            <v>34000000</v>
          </cell>
          <cell r="G1821">
            <v>34000000</v>
          </cell>
          <cell r="H1821">
            <v>34000000</v>
          </cell>
          <cell r="I1821" t="str">
            <v/>
          </cell>
          <cell r="J1821" t="str">
            <v/>
          </cell>
          <cell r="K1821" t="str">
            <v/>
          </cell>
          <cell r="L1821" t="str">
            <v/>
          </cell>
        </row>
        <row r="1822">
          <cell r="A1822">
            <v>34000000</v>
          </cell>
          <cell r="C1822">
            <v>34000000</v>
          </cell>
          <cell r="D1822">
            <v>34000000</v>
          </cell>
          <cell r="E1822">
            <v>34000000</v>
          </cell>
          <cell r="F1822">
            <v>34000000</v>
          </cell>
          <cell r="G1822">
            <v>34000000</v>
          </cell>
          <cell r="H1822">
            <v>34000000</v>
          </cell>
          <cell r="I1822" t="str">
            <v/>
          </cell>
          <cell r="J1822" t="str">
            <v/>
          </cell>
          <cell r="K1822" t="str">
            <v/>
          </cell>
          <cell r="L1822" t="str">
            <v/>
          </cell>
        </row>
        <row r="1823">
          <cell r="A1823">
            <v>34000000</v>
          </cell>
          <cell r="C1823">
            <v>34000000</v>
          </cell>
          <cell r="D1823">
            <v>34000000</v>
          </cell>
          <cell r="E1823">
            <v>34000000</v>
          </cell>
          <cell r="F1823">
            <v>34000000</v>
          </cell>
          <cell r="G1823">
            <v>34000000</v>
          </cell>
          <cell r="H1823">
            <v>34000000</v>
          </cell>
          <cell r="I1823" t="str">
            <v/>
          </cell>
          <cell r="J1823" t="str">
            <v/>
          </cell>
          <cell r="K1823" t="str">
            <v/>
          </cell>
          <cell r="L1823" t="str">
            <v/>
          </cell>
        </row>
        <row r="1824">
          <cell r="A1824">
            <v>34000000</v>
          </cell>
          <cell r="C1824">
            <v>34000000</v>
          </cell>
          <cell r="D1824">
            <v>34000000</v>
          </cell>
          <cell r="E1824">
            <v>34000000</v>
          </cell>
          <cell r="F1824">
            <v>34000000</v>
          </cell>
          <cell r="G1824">
            <v>34000000</v>
          </cell>
          <cell r="H1824">
            <v>34000000</v>
          </cell>
          <cell r="I1824" t="str">
            <v/>
          </cell>
          <cell r="J1824" t="str">
            <v/>
          </cell>
          <cell r="K1824" t="str">
            <v/>
          </cell>
          <cell r="L1824" t="str">
            <v/>
          </cell>
        </row>
        <row r="1825">
          <cell r="A1825">
            <v>34000000</v>
          </cell>
          <cell r="C1825">
            <v>34000000</v>
          </cell>
          <cell r="D1825">
            <v>34000000</v>
          </cell>
          <cell r="E1825">
            <v>34000000</v>
          </cell>
          <cell r="F1825">
            <v>34000000</v>
          </cell>
          <cell r="G1825">
            <v>34000000</v>
          </cell>
          <cell r="H1825">
            <v>34000000</v>
          </cell>
          <cell r="I1825" t="str">
            <v/>
          </cell>
          <cell r="J1825" t="str">
            <v/>
          </cell>
          <cell r="K1825" t="str">
            <v/>
          </cell>
          <cell r="L1825" t="str">
            <v/>
          </cell>
        </row>
        <row r="1826">
          <cell r="A1826">
            <v>34000000</v>
          </cell>
          <cell r="C1826">
            <v>34000000</v>
          </cell>
          <cell r="D1826">
            <v>34000000</v>
          </cell>
          <cell r="E1826">
            <v>34000000</v>
          </cell>
          <cell r="F1826">
            <v>34000000</v>
          </cell>
          <cell r="G1826">
            <v>34000000</v>
          </cell>
          <cell r="H1826">
            <v>34000000</v>
          </cell>
          <cell r="I1826" t="str">
            <v/>
          </cell>
          <cell r="J1826" t="str">
            <v/>
          </cell>
          <cell r="K1826" t="str">
            <v/>
          </cell>
          <cell r="L1826" t="str">
            <v/>
          </cell>
        </row>
        <row r="1827">
          <cell r="A1827">
            <v>34000000</v>
          </cell>
          <cell r="C1827">
            <v>34000000</v>
          </cell>
          <cell r="D1827">
            <v>34000000</v>
          </cell>
          <cell r="E1827">
            <v>34000000</v>
          </cell>
          <cell r="F1827">
            <v>34000000</v>
          </cell>
          <cell r="G1827">
            <v>34000000</v>
          </cell>
          <cell r="H1827">
            <v>34000000</v>
          </cell>
          <cell r="I1827" t="str">
            <v/>
          </cell>
          <cell r="J1827" t="str">
            <v/>
          </cell>
          <cell r="K1827" t="str">
            <v/>
          </cell>
          <cell r="L1827" t="str">
            <v/>
          </cell>
        </row>
        <row r="1828">
          <cell r="A1828">
            <v>34000000</v>
          </cell>
          <cell r="C1828">
            <v>34000000</v>
          </cell>
          <cell r="D1828">
            <v>34000000</v>
          </cell>
          <cell r="E1828">
            <v>34000000</v>
          </cell>
          <cell r="F1828">
            <v>34000000</v>
          </cell>
          <cell r="G1828">
            <v>34000000</v>
          </cell>
          <cell r="H1828">
            <v>34000000</v>
          </cell>
          <cell r="I1828" t="str">
            <v/>
          </cell>
          <cell r="J1828" t="str">
            <v/>
          </cell>
          <cell r="K1828" t="str">
            <v/>
          </cell>
          <cell r="L1828" t="str">
            <v/>
          </cell>
        </row>
        <row r="1829">
          <cell r="A1829">
            <v>34000000</v>
          </cell>
          <cell r="C1829">
            <v>34000000</v>
          </cell>
          <cell r="D1829">
            <v>34000000</v>
          </cell>
          <cell r="E1829">
            <v>34000000</v>
          </cell>
          <cell r="F1829">
            <v>34000000</v>
          </cell>
          <cell r="G1829">
            <v>34000000</v>
          </cell>
          <cell r="H1829">
            <v>34000000</v>
          </cell>
          <cell r="I1829" t="str">
            <v/>
          </cell>
          <cell r="J1829" t="str">
            <v/>
          </cell>
          <cell r="K1829" t="str">
            <v/>
          </cell>
          <cell r="L1829" t="str">
            <v/>
          </cell>
        </row>
        <row r="1830">
          <cell r="A1830">
            <v>34000000</v>
          </cell>
          <cell r="C1830">
            <v>34000000</v>
          </cell>
          <cell r="D1830">
            <v>34000000</v>
          </cell>
          <cell r="E1830">
            <v>34000000</v>
          </cell>
          <cell r="F1830">
            <v>34000000</v>
          </cell>
          <cell r="G1830">
            <v>34000000</v>
          </cell>
          <cell r="H1830">
            <v>34000000</v>
          </cell>
          <cell r="I1830" t="str">
            <v/>
          </cell>
          <cell r="J1830" t="str">
            <v/>
          </cell>
          <cell r="K1830" t="str">
            <v/>
          </cell>
          <cell r="L1830" t="str">
            <v/>
          </cell>
        </row>
        <row r="1831">
          <cell r="A1831">
            <v>34000000</v>
          </cell>
          <cell r="C1831">
            <v>34000000</v>
          </cell>
          <cell r="D1831">
            <v>34000000</v>
          </cell>
          <cell r="E1831">
            <v>34000000</v>
          </cell>
          <cell r="F1831">
            <v>34000000</v>
          </cell>
          <cell r="G1831">
            <v>34000000</v>
          </cell>
          <cell r="H1831">
            <v>34000000</v>
          </cell>
          <cell r="I1831" t="str">
            <v/>
          </cell>
          <cell r="J1831" t="str">
            <v/>
          </cell>
          <cell r="K1831" t="str">
            <v/>
          </cell>
          <cell r="L1831" t="str">
            <v/>
          </cell>
        </row>
        <row r="1832">
          <cell r="A1832">
            <v>34000000</v>
          </cell>
          <cell r="C1832">
            <v>34000000</v>
          </cell>
          <cell r="D1832">
            <v>34000000</v>
          </cell>
          <cell r="E1832">
            <v>34000000</v>
          </cell>
          <cell r="F1832">
            <v>34000000</v>
          </cell>
          <cell r="G1832">
            <v>34000000</v>
          </cell>
          <cell r="H1832">
            <v>34000000</v>
          </cell>
          <cell r="I1832" t="str">
            <v/>
          </cell>
          <cell r="J1832" t="str">
            <v/>
          </cell>
          <cell r="K1832" t="str">
            <v/>
          </cell>
          <cell r="L1832" t="str">
            <v/>
          </cell>
        </row>
        <row r="1833">
          <cell r="A1833">
            <v>34000000</v>
          </cell>
          <cell r="C1833">
            <v>34000000</v>
          </cell>
          <cell r="D1833">
            <v>34000000</v>
          </cell>
          <cell r="E1833">
            <v>34000000</v>
          </cell>
          <cell r="F1833">
            <v>34000000</v>
          </cell>
          <cell r="G1833">
            <v>34000000</v>
          </cell>
          <cell r="H1833">
            <v>34000000</v>
          </cell>
          <cell r="I1833" t="str">
            <v/>
          </cell>
          <cell r="J1833" t="str">
            <v/>
          </cell>
          <cell r="K1833" t="str">
            <v/>
          </cell>
          <cell r="L1833" t="str">
            <v/>
          </cell>
        </row>
        <row r="1834">
          <cell r="A1834">
            <v>34000000</v>
          </cell>
          <cell r="C1834">
            <v>34000000</v>
          </cell>
          <cell r="D1834">
            <v>34000000</v>
          </cell>
          <cell r="E1834">
            <v>34000000</v>
          </cell>
          <cell r="F1834">
            <v>34000000</v>
          </cell>
          <cell r="G1834">
            <v>34000000</v>
          </cell>
          <cell r="H1834">
            <v>34000000</v>
          </cell>
          <cell r="I1834" t="str">
            <v/>
          </cell>
          <cell r="J1834" t="str">
            <v/>
          </cell>
          <cell r="K1834" t="str">
            <v/>
          </cell>
          <cell r="L1834" t="str">
            <v/>
          </cell>
        </row>
        <row r="1835">
          <cell r="A1835">
            <v>34000000</v>
          </cell>
          <cell r="C1835">
            <v>34000000</v>
          </cell>
          <cell r="D1835">
            <v>34000000</v>
          </cell>
          <cell r="E1835">
            <v>34000000</v>
          </cell>
          <cell r="F1835">
            <v>34000000</v>
          </cell>
          <cell r="G1835">
            <v>34000000</v>
          </cell>
          <cell r="H1835">
            <v>34000000</v>
          </cell>
          <cell r="I1835" t="str">
            <v/>
          </cell>
          <cell r="J1835" t="str">
            <v/>
          </cell>
          <cell r="K1835" t="str">
            <v/>
          </cell>
          <cell r="L1835" t="str">
            <v/>
          </cell>
        </row>
        <row r="1836">
          <cell r="A1836">
            <v>34000000</v>
          </cell>
          <cell r="C1836">
            <v>34000000</v>
          </cell>
          <cell r="D1836">
            <v>34000000</v>
          </cell>
          <cell r="E1836">
            <v>34000000</v>
          </cell>
          <cell r="F1836">
            <v>34000000</v>
          </cell>
          <cell r="G1836">
            <v>34000000</v>
          </cell>
          <cell r="H1836">
            <v>34000000</v>
          </cell>
          <cell r="I1836" t="str">
            <v/>
          </cell>
          <cell r="J1836" t="str">
            <v/>
          </cell>
          <cell r="K1836" t="str">
            <v/>
          </cell>
          <cell r="L1836" t="str">
            <v/>
          </cell>
        </row>
        <row r="1837">
          <cell r="A1837">
            <v>34000000</v>
          </cell>
          <cell r="C1837">
            <v>34000000</v>
          </cell>
          <cell r="D1837">
            <v>34000000</v>
          </cell>
          <cell r="E1837">
            <v>34000000</v>
          </cell>
          <cell r="F1837">
            <v>34000000</v>
          </cell>
          <cell r="G1837">
            <v>34000000</v>
          </cell>
          <cell r="H1837">
            <v>34000000</v>
          </cell>
          <cell r="I1837" t="str">
            <v/>
          </cell>
          <cell r="J1837" t="str">
            <v/>
          </cell>
          <cell r="K1837" t="str">
            <v/>
          </cell>
          <cell r="L1837" t="str">
            <v/>
          </cell>
        </row>
        <row r="1838">
          <cell r="A1838">
            <v>34000000</v>
          </cell>
          <cell r="C1838">
            <v>34000000</v>
          </cell>
          <cell r="D1838">
            <v>34000000</v>
          </cell>
          <cell r="E1838">
            <v>34000000</v>
          </cell>
          <cell r="F1838">
            <v>34000000</v>
          </cell>
          <cell r="G1838">
            <v>34000000</v>
          </cell>
          <cell r="H1838">
            <v>34000000</v>
          </cell>
          <cell r="I1838" t="str">
            <v/>
          </cell>
          <cell r="J1838" t="str">
            <v/>
          </cell>
          <cell r="K1838" t="str">
            <v/>
          </cell>
          <cell r="L1838" t="str">
            <v/>
          </cell>
        </row>
        <row r="1839">
          <cell r="A1839">
            <v>34000000</v>
          </cell>
          <cell r="C1839">
            <v>34000000</v>
          </cell>
          <cell r="D1839">
            <v>34000000</v>
          </cell>
          <cell r="E1839">
            <v>34000000</v>
          </cell>
          <cell r="F1839">
            <v>34000000</v>
          </cell>
          <cell r="G1839">
            <v>34000000</v>
          </cell>
          <cell r="H1839">
            <v>34000000</v>
          </cell>
          <cell r="I1839" t="str">
            <v/>
          </cell>
          <cell r="J1839" t="str">
            <v/>
          </cell>
          <cell r="K1839" t="str">
            <v/>
          </cell>
          <cell r="L1839" t="str">
            <v/>
          </cell>
        </row>
        <row r="1840">
          <cell r="A1840">
            <v>34000000</v>
          </cell>
          <cell r="C1840">
            <v>34000000</v>
          </cell>
          <cell r="D1840">
            <v>34000000</v>
          </cell>
          <cell r="E1840">
            <v>34000000</v>
          </cell>
          <cell r="F1840">
            <v>34000000</v>
          </cell>
          <cell r="G1840">
            <v>34000000</v>
          </cell>
          <cell r="H1840">
            <v>34000000</v>
          </cell>
          <cell r="I1840" t="str">
            <v/>
          </cell>
          <cell r="J1840" t="str">
            <v/>
          </cell>
          <cell r="K1840" t="str">
            <v/>
          </cell>
          <cell r="L1840" t="str">
            <v/>
          </cell>
        </row>
        <row r="1841">
          <cell r="A1841">
            <v>34000000</v>
          </cell>
          <cell r="C1841">
            <v>34000000</v>
          </cell>
          <cell r="D1841">
            <v>34000000</v>
          </cell>
          <cell r="E1841">
            <v>34000000</v>
          </cell>
          <cell r="F1841">
            <v>34000000</v>
          </cell>
          <cell r="G1841">
            <v>34000000</v>
          </cell>
          <cell r="H1841">
            <v>34000000</v>
          </cell>
          <cell r="I1841" t="str">
            <v/>
          </cell>
          <cell r="J1841" t="str">
            <v/>
          </cell>
          <cell r="K1841" t="str">
            <v/>
          </cell>
          <cell r="L1841" t="str">
            <v/>
          </cell>
        </row>
        <row r="1842">
          <cell r="A1842">
            <v>34000000</v>
          </cell>
          <cell r="C1842">
            <v>34000000</v>
          </cell>
          <cell r="D1842">
            <v>34000000</v>
          </cell>
          <cell r="E1842">
            <v>34000000</v>
          </cell>
          <cell r="F1842">
            <v>34000000</v>
          </cell>
          <cell r="G1842">
            <v>34000000</v>
          </cell>
          <cell r="H1842">
            <v>34000000</v>
          </cell>
          <cell r="I1842" t="str">
            <v/>
          </cell>
          <cell r="J1842" t="str">
            <v/>
          </cell>
          <cell r="K1842" t="str">
            <v/>
          </cell>
          <cell r="L1842" t="str">
            <v/>
          </cell>
        </row>
        <row r="1843">
          <cell r="A1843">
            <v>34000000</v>
          </cell>
          <cell r="C1843">
            <v>34000000</v>
          </cell>
          <cell r="D1843">
            <v>34000000</v>
          </cell>
          <cell r="E1843">
            <v>34000000</v>
          </cell>
          <cell r="F1843">
            <v>34000000</v>
          </cell>
          <cell r="G1843">
            <v>34000000</v>
          </cell>
          <cell r="H1843">
            <v>34000000</v>
          </cell>
          <cell r="I1843" t="str">
            <v/>
          </cell>
          <cell r="J1843" t="str">
            <v/>
          </cell>
          <cell r="K1843" t="str">
            <v/>
          </cell>
          <cell r="L1843" t="str">
            <v/>
          </cell>
        </row>
        <row r="1844">
          <cell r="A1844">
            <v>34000000</v>
          </cell>
          <cell r="C1844">
            <v>34000000</v>
          </cell>
          <cell r="D1844">
            <v>34000000</v>
          </cell>
          <cell r="E1844">
            <v>34000000</v>
          </cell>
          <cell r="F1844">
            <v>34000000</v>
          </cell>
          <cell r="G1844">
            <v>34000000</v>
          </cell>
          <cell r="H1844">
            <v>34000000</v>
          </cell>
          <cell r="I1844" t="str">
            <v/>
          </cell>
          <cell r="J1844" t="str">
            <v/>
          </cell>
          <cell r="K1844" t="str">
            <v/>
          </cell>
          <cell r="L1844" t="str">
            <v/>
          </cell>
        </row>
        <row r="1845">
          <cell r="A1845">
            <v>34000000</v>
          </cell>
          <cell r="C1845">
            <v>34000000</v>
          </cell>
          <cell r="D1845">
            <v>34000000</v>
          </cell>
          <cell r="E1845">
            <v>34000000</v>
          </cell>
          <cell r="F1845">
            <v>34000000</v>
          </cell>
          <cell r="G1845">
            <v>34000000</v>
          </cell>
          <cell r="H1845">
            <v>34000000</v>
          </cell>
          <cell r="I1845" t="str">
            <v/>
          </cell>
          <cell r="J1845" t="str">
            <v/>
          </cell>
          <cell r="K1845" t="str">
            <v/>
          </cell>
          <cell r="L1845" t="str">
            <v/>
          </cell>
        </row>
        <row r="1846">
          <cell r="A1846">
            <v>34000000</v>
          </cell>
          <cell r="C1846">
            <v>34000000</v>
          </cell>
          <cell r="D1846">
            <v>34000000</v>
          </cell>
          <cell r="E1846">
            <v>34000000</v>
          </cell>
          <cell r="F1846">
            <v>34000000</v>
          </cell>
          <cell r="G1846">
            <v>34000000</v>
          </cell>
          <cell r="H1846">
            <v>34000000</v>
          </cell>
          <cell r="I1846" t="str">
            <v/>
          </cell>
          <cell r="J1846" t="str">
            <v/>
          </cell>
          <cell r="K1846" t="str">
            <v/>
          </cell>
          <cell r="L1846" t="str">
            <v/>
          </cell>
        </row>
        <row r="1847">
          <cell r="A1847">
            <v>34000000</v>
          </cell>
          <cell r="C1847">
            <v>34000000</v>
          </cell>
          <cell r="D1847">
            <v>34000000</v>
          </cell>
          <cell r="E1847">
            <v>34000000</v>
          </cell>
          <cell r="F1847">
            <v>34000000</v>
          </cell>
          <cell r="G1847">
            <v>34000000</v>
          </cell>
          <cell r="H1847">
            <v>34000000</v>
          </cell>
          <cell r="I1847" t="str">
            <v/>
          </cell>
          <cell r="J1847" t="str">
            <v/>
          </cell>
          <cell r="K1847" t="str">
            <v/>
          </cell>
          <cell r="L1847" t="str">
            <v/>
          </cell>
        </row>
        <row r="1848">
          <cell r="A1848">
            <v>34000000</v>
          </cell>
          <cell r="C1848">
            <v>34000000</v>
          </cell>
          <cell r="D1848">
            <v>34000000</v>
          </cell>
          <cell r="E1848">
            <v>34000000</v>
          </cell>
          <cell r="F1848">
            <v>34000000</v>
          </cell>
          <cell r="G1848">
            <v>34000000</v>
          </cell>
          <cell r="H1848">
            <v>34000000</v>
          </cell>
          <cell r="I1848" t="str">
            <v/>
          </cell>
          <cell r="J1848" t="str">
            <v/>
          </cell>
          <cell r="K1848" t="str">
            <v/>
          </cell>
          <cell r="L1848" t="str">
            <v/>
          </cell>
        </row>
        <row r="1849">
          <cell r="A1849">
            <v>34000000</v>
          </cell>
          <cell r="C1849">
            <v>34000000</v>
          </cell>
          <cell r="D1849">
            <v>34000000</v>
          </cell>
          <cell r="E1849">
            <v>34000000</v>
          </cell>
          <cell r="F1849">
            <v>34000000</v>
          </cell>
          <cell r="G1849">
            <v>34000000</v>
          </cell>
          <cell r="H1849">
            <v>34000000</v>
          </cell>
          <cell r="I1849" t="str">
            <v/>
          </cell>
          <cell r="J1849" t="str">
            <v/>
          </cell>
          <cell r="K1849" t="str">
            <v/>
          </cell>
          <cell r="L1849" t="str">
            <v/>
          </cell>
        </row>
        <row r="1850">
          <cell r="A1850">
            <v>34000000</v>
          </cell>
          <cell r="C1850">
            <v>34000000</v>
          </cell>
          <cell r="D1850">
            <v>34000000</v>
          </cell>
          <cell r="E1850">
            <v>34000000</v>
          </cell>
          <cell r="F1850">
            <v>34000000</v>
          </cell>
          <cell r="G1850">
            <v>34000000</v>
          </cell>
          <cell r="H1850">
            <v>34000000</v>
          </cell>
          <cell r="I1850" t="str">
            <v/>
          </cell>
          <cell r="J1850" t="str">
            <v/>
          </cell>
          <cell r="K1850" t="str">
            <v/>
          </cell>
          <cell r="L1850" t="str">
            <v/>
          </cell>
        </row>
        <row r="1851">
          <cell r="A1851">
            <v>34000000</v>
          </cell>
          <cell r="C1851">
            <v>34000000</v>
          </cell>
          <cell r="D1851">
            <v>34000000</v>
          </cell>
          <cell r="E1851">
            <v>34000000</v>
          </cell>
          <cell r="F1851">
            <v>34000000</v>
          </cell>
          <cell r="G1851">
            <v>34000000</v>
          </cell>
          <cell r="H1851">
            <v>34000000</v>
          </cell>
          <cell r="I1851" t="str">
            <v/>
          </cell>
          <cell r="J1851" t="str">
            <v/>
          </cell>
          <cell r="K1851" t="str">
            <v/>
          </cell>
          <cell r="L1851" t="str">
            <v/>
          </cell>
        </row>
        <row r="1852">
          <cell r="A1852">
            <v>34000000</v>
          </cell>
          <cell r="C1852">
            <v>34000000</v>
          </cell>
          <cell r="D1852">
            <v>34000000</v>
          </cell>
          <cell r="E1852">
            <v>34000000</v>
          </cell>
          <cell r="F1852">
            <v>34000000</v>
          </cell>
          <cell r="G1852">
            <v>34000000</v>
          </cell>
          <cell r="H1852">
            <v>34000000</v>
          </cell>
          <cell r="I1852" t="str">
            <v/>
          </cell>
          <cell r="J1852" t="str">
            <v/>
          </cell>
          <cell r="K1852" t="str">
            <v/>
          </cell>
          <cell r="L1852" t="str">
            <v/>
          </cell>
        </row>
        <row r="1853">
          <cell r="A1853">
            <v>34000000</v>
          </cell>
          <cell r="C1853">
            <v>34000000</v>
          </cell>
          <cell r="D1853">
            <v>34000000</v>
          </cell>
          <cell r="E1853">
            <v>34000000</v>
          </cell>
          <cell r="F1853">
            <v>34000000</v>
          </cell>
          <cell r="G1853">
            <v>34000000</v>
          </cell>
          <cell r="H1853">
            <v>34000000</v>
          </cell>
          <cell r="I1853" t="str">
            <v/>
          </cell>
          <cell r="J1853" t="str">
            <v/>
          </cell>
          <cell r="K1853" t="str">
            <v/>
          </cell>
          <cell r="L1853" t="str">
            <v/>
          </cell>
        </row>
        <row r="1854">
          <cell r="A1854">
            <v>34000000</v>
          </cell>
          <cell r="C1854">
            <v>34000000</v>
          </cell>
          <cell r="D1854">
            <v>34000000</v>
          </cell>
          <cell r="E1854">
            <v>34000000</v>
          </cell>
          <cell r="F1854">
            <v>34000000</v>
          </cell>
          <cell r="G1854">
            <v>34000000</v>
          </cell>
          <cell r="H1854">
            <v>34000000</v>
          </cell>
          <cell r="I1854" t="str">
            <v/>
          </cell>
          <cell r="J1854" t="str">
            <v/>
          </cell>
          <cell r="K1854" t="str">
            <v/>
          </cell>
          <cell r="L1854" t="str">
            <v/>
          </cell>
        </row>
        <row r="1855">
          <cell r="A1855">
            <v>34000000</v>
          </cell>
          <cell r="C1855">
            <v>34000000</v>
          </cell>
          <cell r="D1855">
            <v>34000000</v>
          </cell>
          <cell r="E1855">
            <v>34000000</v>
          </cell>
          <cell r="F1855">
            <v>34000000</v>
          </cell>
          <cell r="G1855">
            <v>34000000</v>
          </cell>
          <cell r="H1855">
            <v>34000000</v>
          </cell>
          <cell r="I1855" t="str">
            <v/>
          </cell>
          <cell r="J1855" t="str">
            <v/>
          </cell>
          <cell r="K1855" t="str">
            <v/>
          </cell>
          <cell r="L1855" t="str">
            <v/>
          </cell>
        </row>
        <row r="1856">
          <cell r="A1856">
            <v>34000000</v>
          </cell>
          <cell r="C1856">
            <v>34000000</v>
          </cell>
          <cell r="D1856">
            <v>34000000</v>
          </cell>
          <cell r="E1856">
            <v>34000000</v>
          </cell>
          <cell r="F1856">
            <v>34000000</v>
          </cell>
          <cell r="G1856">
            <v>34000000</v>
          </cell>
          <cell r="H1856">
            <v>34000000</v>
          </cell>
          <cell r="I1856" t="str">
            <v/>
          </cell>
          <cell r="J1856" t="str">
            <v/>
          </cell>
          <cell r="K1856" t="str">
            <v/>
          </cell>
          <cell r="L1856" t="str">
            <v/>
          </cell>
        </row>
        <row r="1857">
          <cell r="A1857">
            <v>34000000</v>
          </cell>
          <cell r="C1857">
            <v>34000000</v>
          </cell>
          <cell r="D1857">
            <v>34000000</v>
          </cell>
          <cell r="E1857">
            <v>34000000</v>
          </cell>
          <cell r="F1857">
            <v>34000000</v>
          </cell>
          <cell r="G1857">
            <v>34000000</v>
          </cell>
          <cell r="H1857">
            <v>34000000</v>
          </cell>
          <cell r="I1857" t="str">
            <v/>
          </cell>
          <cell r="J1857" t="str">
            <v/>
          </cell>
          <cell r="K1857" t="str">
            <v/>
          </cell>
          <cell r="L1857" t="str">
            <v/>
          </cell>
        </row>
        <row r="1858">
          <cell r="A1858">
            <v>34000000</v>
          </cell>
          <cell r="C1858">
            <v>34000000</v>
          </cell>
          <cell r="D1858">
            <v>34000000</v>
          </cell>
          <cell r="E1858">
            <v>34000000</v>
          </cell>
          <cell r="F1858">
            <v>34000000</v>
          </cell>
          <cell r="G1858">
            <v>34000000</v>
          </cell>
          <cell r="H1858">
            <v>34000000</v>
          </cell>
          <cell r="I1858" t="str">
            <v/>
          </cell>
          <cell r="J1858" t="str">
            <v/>
          </cell>
          <cell r="K1858" t="str">
            <v/>
          </cell>
          <cell r="L1858" t="str">
            <v/>
          </cell>
        </row>
        <row r="1859">
          <cell r="A1859">
            <v>34000000</v>
          </cell>
          <cell r="C1859">
            <v>34000000</v>
          </cell>
          <cell r="D1859">
            <v>34000000</v>
          </cell>
          <cell r="E1859">
            <v>34000000</v>
          </cell>
          <cell r="F1859">
            <v>34000000</v>
          </cell>
          <cell r="G1859">
            <v>34000000</v>
          </cell>
          <cell r="H1859">
            <v>34000000</v>
          </cell>
          <cell r="I1859" t="str">
            <v/>
          </cell>
          <cell r="J1859" t="str">
            <v/>
          </cell>
          <cell r="K1859" t="str">
            <v/>
          </cell>
          <cell r="L1859" t="str">
            <v/>
          </cell>
        </row>
        <row r="1860">
          <cell r="A1860">
            <v>34000000</v>
          </cell>
          <cell r="C1860">
            <v>34000000</v>
          </cell>
          <cell r="D1860">
            <v>34000000</v>
          </cell>
          <cell r="E1860">
            <v>34000000</v>
          </cell>
          <cell r="F1860">
            <v>34000000</v>
          </cell>
          <cell r="G1860">
            <v>34000000</v>
          </cell>
          <cell r="H1860">
            <v>34000000</v>
          </cell>
          <cell r="I1860" t="str">
            <v/>
          </cell>
          <cell r="J1860" t="str">
            <v/>
          </cell>
          <cell r="K1860" t="str">
            <v/>
          </cell>
          <cell r="L1860" t="str">
            <v/>
          </cell>
        </row>
        <row r="1861">
          <cell r="A1861">
            <v>34000000</v>
          </cell>
          <cell r="C1861">
            <v>34000000</v>
          </cell>
          <cell r="D1861">
            <v>34000000</v>
          </cell>
          <cell r="E1861">
            <v>34000000</v>
          </cell>
          <cell r="F1861">
            <v>34000000</v>
          </cell>
          <cell r="G1861">
            <v>34000000</v>
          </cell>
          <cell r="H1861">
            <v>34000000</v>
          </cell>
          <cell r="I1861" t="str">
            <v/>
          </cell>
          <cell r="J1861" t="str">
            <v/>
          </cell>
          <cell r="K1861" t="str">
            <v/>
          </cell>
          <cell r="L1861" t="str">
            <v/>
          </cell>
        </row>
        <row r="1862">
          <cell r="A1862">
            <v>34000000</v>
          </cell>
          <cell r="C1862">
            <v>34000000</v>
          </cell>
          <cell r="D1862">
            <v>34000000</v>
          </cell>
          <cell r="E1862">
            <v>34000000</v>
          </cell>
          <cell r="F1862">
            <v>34000000</v>
          </cell>
          <cell r="G1862">
            <v>34000000</v>
          </cell>
          <cell r="H1862">
            <v>34000000</v>
          </cell>
          <cell r="I1862" t="str">
            <v/>
          </cell>
          <cell r="J1862" t="str">
            <v/>
          </cell>
          <cell r="K1862" t="str">
            <v/>
          </cell>
          <cell r="L1862" t="str">
            <v/>
          </cell>
        </row>
        <row r="1863">
          <cell r="A1863">
            <v>34000000</v>
          </cell>
          <cell r="C1863">
            <v>34000000</v>
          </cell>
          <cell r="D1863">
            <v>34000000</v>
          </cell>
          <cell r="E1863">
            <v>34000000</v>
          </cell>
          <cell r="F1863">
            <v>34000000</v>
          </cell>
          <cell r="G1863">
            <v>34000000</v>
          </cell>
          <cell r="H1863">
            <v>34000000</v>
          </cell>
          <cell r="I1863" t="str">
            <v/>
          </cell>
          <cell r="J1863" t="str">
            <v/>
          </cell>
          <cell r="K1863" t="str">
            <v/>
          </cell>
          <cell r="L1863" t="str">
            <v/>
          </cell>
        </row>
        <row r="1864">
          <cell r="A1864">
            <v>34000000</v>
          </cell>
          <cell r="C1864">
            <v>34000000</v>
          </cell>
          <cell r="D1864">
            <v>34000000</v>
          </cell>
          <cell r="E1864">
            <v>34000000</v>
          </cell>
          <cell r="F1864">
            <v>34000000</v>
          </cell>
          <cell r="G1864">
            <v>34000000</v>
          </cell>
          <cell r="H1864">
            <v>34000000</v>
          </cell>
          <cell r="I1864" t="str">
            <v/>
          </cell>
          <cell r="J1864" t="str">
            <v/>
          </cell>
          <cell r="K1864" t="str">
            <v/>
          </cell>
          <cell r="L1864" t="str">
            <v/>
          </cell>
        </row>
        <row r="1865">
          <cell r="A1865">
            <v>34000000</v>
          </cell>
          <cell r="C1865">
            <v>34000000</v>
          </cell>
          <cell r="D1865">
            <v>34000000</v>
          </cell>
          <cell r="E1865">
            <v>34000000</v>
          </cell>
          <cell r="F1865">
            <v>34000000</v>
          </cell>
          <cell r="G1865">
            <v>34000000</v>
          </cell>
          <cell r="H1865">
            <v>34000000</v>
          </cell>
          <cell r="I1865" t="str">
            <v/>
          </cell>
          <cell r="J1865" t="str">
            <v/>
          </cell>
          <cell r="K1865" t="str">
            <v/>
          </cell>
          <cell r="L1865" t="str">
            <v/>
          </cell>
        </row>
        <row r="1866">
          <cell r="A1866">
            <v>34000000</v>
          </cell>
          <cell r="C1866">
            <v>34000000</v>
          </cell>
          <cell r="D1866">
            <v>34000000</v>
          </cell>
          <cell r="E1866">
            <v>34000000</v>
          </cell>
          <cell r="F1866">
            <v>34000000</v>
          </cell>
          <cell r="G1866">
            <v>34000000</v>
          </cell>
          <cell r="H1866">
            <v>34000000</v>
          </cell>
          <cell r="I1866" t="str">
            <v/>
          </cell>
          <cell r="J1866" t="str">
            <v/>
          </cell>
          <cell r="K1866" t="str">
            <v/>
          </cell>
          <cell r="L1866" t="str">
            <v/>
          </cell>
        </row>
        <row r="1867">
          <cell r="A1867">
            <v>34000000</v>
          </cell>
          <cell r="C1867">
            <v>34000000</v>
          </cell>
          <cell r="D1867">
            <v>34000000</v>
          </cell>
          <cell r="E1867">
            <v>34000000</v>
          </cell>
          <cell r="F1867">
            <v>34000000</v>
          </cell>
          <cell r="G1867">
            <v>34000000</v>
          </cell>
          <cell r="H1867">
            <v>34000000</v>
          </cell>
          <cell r="I1867" t="str">
            <v/>
          </cell>
          <cell r="J1867" t="str">
            <v/>
          </cell>
          <cell r="K1867" t="str">
            <v/>
          </cell>
          <cell r="L1867" t="str">
            <v/>
          </cell>
        </row>
        <row r="1868">
          <cell r="A1868">
            <v>34000000</v>
          </cell>
          <cell r="C1868">
            <v>34000000</v>
          </cell>
          <cell r="D1868">
            <v>34000000</v>
          </cell>
          <cell r="E1868">
            <v>34000000</v>
          </cell>
          <cell r="F1868">
            <v>34000000</v>
          </cell>
          <cell r="G1868">
            <v>34000000</v>
          </cell>
          <cell r="H1868">
            <v>34000000</v>
          </cell>
          <cell r="I1868" t="str">
            <v/>
          </cell>
          <cell r="J1868" t="str">
            <v/>
          </cell>
          <cell r="K1868" t="str">
            <v/>
          </cell>
          <cell r="L1868" t="str">
            <v/>
          </cell>
        </row>
        <row r="1869">
          <cell r="A1869">
            <v>34000000</v>
          </cell>
          <cell r="C1869">
            <v>34000000</v>
          </cell>
          <cell r="D1869">
            <v>34000000</v>
          </cell>
          <cell r="E1869">
            <v>34000000</v>
          </cell>
          <cell r="F1869">
            <v>34000000</v>
          </cell>
          <cell r="G1869">
            <v>34000000</v>
          </cell>
          <cell r="H1869">
            <v>34000000</v>
          </cell>
          <cell r="I1869" t="str">
            <v/>
          </cell>
          <cell r="J1869" t="str">
            <v/>
          </cell>
          <cell r="K1869" t="str">
            <v/>
          </cell>
          <cell r="L1869" t="str">
            <v/>
          </cell>
        </row>
        <row r="1870">
          <cell r="A1870">
            <v>34000000</v>
          </cell>
          <cell r="C1870">
            <v>34000000</v>
          </cell>
          <cell r="D1870">
            <v>34000000</v>
          </cell>
          <cell r="E1870">
            <v>34000000</v>
          </cell>
          <cell r="F1870">
            <v>34000000</v>
          </cell>
          <cell r="G1870">
            <v>34000000</v>
          </cell>
          <cell r="H1870">
            <v>34000000</v>
          </cell>
          <cell r="I1870" t="str">
            <v/>
          </cell>
          <cell r="J1870" t="str">
            <v/>
          </cell>
          <cell r="K1870" t="str">
            <v/>
          </cell>
          <cell r="L1870" t="str">
            <v/>
          </cell>
        </row>
        <row r="1871">
          <cell r="A1871">
            <v>34000000</v>
          </cell>
          <cell r="C1871">
            <v>34000000</v>
          </cell>
          <cell r="D1871">
            <v>34000000</v>
          </cell>
          <cell r="E1871">
            <v>34000000</v>
          </cell>
          <cell r="F1871">
            <v>34000000</v>
          </cell>
          <cell r="G1871">
            <v>34000000</v>
          </cell>
          <cell r="H1871">
            <v>34000000</v>
          </cell>
          <cell r="I1871" t="str">
            <v/>
          </cell>
          <cell r="J1871" t="str">
            <v/>
          </cell>
          <cell r="K1871" t="str">
            <v/>
          </cell>
          <cell r="L1871" t="str">
            <v/>
          </cell>
        </row>
        <row r="1872">
          <cell r="A1872">
            <v>34000000</v>
          </cell>
          <cell r="C1872">
            <v>34000000</v>
          </cell>
          <cell r="D1872">
            <v>34000000</v>
          </cell>
          <cell r="E1872">
            <v>34000000</v>
          </cell>
          <cell r="F1872">
            <v>34000000</v>
          </cell>
          <cell r="G1872">
            <v>34000000</v>
          </cell>
          <cell r="H1872">
            <v>34000000</v>
          </cell>
          <cell r="I1872" t="str">
            <v/>
          </cell>
          <cell r="J1872" t="str">
            <v/>
          </cell>
          <cell r="K1872" t="str">
            <v/>
          </cell>
          <cell r="L1872" t="str">
            <v/>
          </cell>
        </row>
        <row r="1873">
          <cell r="A1873">
            <v>34000000</v>
          </cell>
          <cell r="C1873">
            <v>34000000</v>
          </cell>
          <cell r="D1873">
            <v>34000000</v>
          </cell>
          <cell r="E1873">
            <v>34000000</v>
          </cell>
          <cell r="F1873">
            <v>34000000</v>
          </cell>
          <cell r="G1873">
            <v>34000000</v>
          </cell>
          <cell r="H1873">
            <v>34000000</v>
          </cell>
          <cell r="I1873" t="str">
            <v/>
          </cell>
          <cell r="J1873" t="str">
            <v/>
          </cell>
          <cell r="K1873" t="str">
            <v/>
          </cell>
          <cell r="L1873" t="str">
            <v/>
          </cell>
        </row>
        <row r="1874">
          <cell r="A1874">
            <v>34000000</v>
          </cell>
          <cell r="C1874">
            <v>34000000</v>
          </cell>
          <cell r="D1874">
            <v>34000000</v>
          </cell>
          <cell r="E1874">
            <v>34000000</v>
          </cell>
          <cell r="F1874">
            <v>34000000</v>
          </cell>
          <cell r="G1874">
            <v>34000000</v>
          </cell>
          <cell r="H1874">
            <v>34000000</v>
          </cell>
          <cell r="I1874" t="str">
            <v/>
          </cell>
          <cell r="J1874" t="str">
            <v/>
          </cell>
          <cell r="K1874" t="str">
            <v/>
          </cell>
          <cell r="L1874" t="str">
            <v/>
          </cell>
        </row>
        <row r="1875">
          <cell r="A1875">
            <v>34000000</v>
          </cell>
          <cell r="C1875">
            <v>34000000</v>
          </cell>
          <cell r="D1875">
            <v>34000000</v>
          </cell>
          <cell r="E1875">
            <v>34000000</v>
          </cell>
          <cell r="F1875">
            <v>34000000</v>
          </cell>
          <cell r="G1875">
            <v>34000000</v>
          </cell>
          <cell r="H1875">
            <v>34000000</v>
          </cell>
          <cell r="I1875" t="str">
            <v/>
          </cell>
          <cell r="J1875" t="str">
            <v/>
          </cell>
          <cell r="K1875" t="str">
            <v/>
          </cell>
          <cell r="L1875" t="str">
            <v/>
          </cell>
        </row>
        <row r="1876">
          <cell r="A1876">
            <v>34000000</v>
          </cell>
          <cell r="C1876">
            <v>34000000</v>
          </cell>
          <cell r="D1876">
            <v>34000000</v>
          </cell>
          <cell r="E1876">
            <v>34000000</v>
          </cell>
          <cell r="F1876">
            <v>34000000</v>
          </cell>
          <cell r="G1876">
            <v>34000000</v>
          </cell>
          <cell r="H1876">
            <v>34000000</v>
          </cell>
          <cell r="I1876" t="str">
            <v/>
          </cell>
          <cell r="J1876" t="str">
            <v/>
          </cell>
          <cell r="K1876" t="str">
            <v/>
          </cell>
          <cell r="L1876" t="str">
            <v/>
          </cell>
        </row>
        <row r="1877">
          <cell r="A1877">
            <v>34000000</v>
          </cell>
          <cell r="C1877">
            <v>34000000</v>
          </cell>
          <cell r="D1877">
            <v>34000000</v>
          </cell>
          <cell r="E1877">
            <v>34000000</v>
          </cell>
          <cell r="F1877">
            <v>34000000</v>
          </cell>
          <cell r="G1877">
            <v>34000000</v>
          </cell>
          <cell r="H1877">
            <v>34000000</v>
          </cell>
          <cell r="I1877" t="str">
            <v/>
          </cell>
          <cell r="J1877" t="str">
            <v/>
          </cell>
          <cell r="K1877" t="str">
            <v/>
          </cell>
          <cell r="L1877" t="str">
            <v/>
          </cell>
        </row>
        <row r="1878">
          <cell r="A1878">
            <v>34000000</v>
          </cell>
          <cell r="C1878">
            <v>34000000</v>
          </cell>
          <cell r="D1878">
            <v>34000000</v>
          </cell>
          <cell r="E1878">
            <v>34000000</v>
          </cell>
          <cell r="F1878">
            <v>34000000</v>
          </cell>
          <cell r="G1878">
            <v>34000000</v>
          </cell>
          <cell r="H1878">
            <v>34000000</v>
          </cell>
          <cell r="I1878" t="str">
            <v/>
          </cell>
          <cell r="J1878" t="str">
            <v/>
          </cell>
          <cell r="K1878" t="str">
            <v/>
          </cell>
          <cell r="L1878" t="str">
            <v/>
          </cell>
        </row>
        <row r="1879">
          <cell r="A1879">
            <v>34000000</v>
          </cell>
          <cell r="C1879">
            <v>34000000</v>
          </cell>
          <cell r="D1879">
            <v>34000000</v>
          </cell>
          <cell r="E1879">
            <v>34000000</v>
          </cell>
          <cell r="F1879">
            <v>34000000</v>
          </cell>
          <cell r="G1879">
            <v>34000000</v>
          </cell>
          <cell r="H1879">
            <v>34000000</v>
          </cell>
          <cell r="I1879" t="str">
            <v/>
          </cell>
          <cell r="J1879" t="str">
            <v/>
          </cell>
          <cell r="K1879" t="str">
            <v/>
          </cell>
          <cell r="L1879" t="str">
            <v/>
          </cell>
        </row>
        <row r="1880">
          <cell r="A1880">
            <v>34000000</v>
          </cell>
          <cell r="C1880">
            <v>34000000</v>
          </cell>
          <cell r="D1880">
            <v>34000000</v>
          </cell>
          <cell r="E1880">
            <v>34000000</v>
          </cell>
          <cell r="F1880">
            <v>34000000</v>
          </cell>
          <cell r="G1880">
            <v>34000000</v>
          </cell>
          <cell r="H1880">
            <v>34000000</v>
          </cell>
          <cell r="I1880" t="str">
            <v/>
          </cell>
          <cell r="J1880" t="str">
            <v/>
          </cell>
          <cell r="K1880" t="str">
            <v/>
          </cell>
          <cell r="L1880" t="str">
            <v/>
          </cell>
        </row>
        <row r="1881">
          <cell r="A1881">
            <v>34000000</v>
          </cell>
          <cell r="C1881">
            <v>34000000</v>
          </cell>
          <cell r="D1881">
            <v>34000000</v>
          </cell>
          <cell r="E1881">
            <v>34000000</v>
          </cell>
          <cell r="F1881">
            <v>34000000</v>
          </cell>
          <cell r="G1881">
            <v>34000000</v>
          </cell>
          <cell r="H1881">
            <v>34000000</v>
          </cell>
          <cell r="I1881" t="str">
            <v/>
          </cell>
          <cell r="J1881" t="str">
            <v/>
          </cell>
          <cell r="K1881" t="str">
            <v/>
          </cell>
          <cell r="L1881" t="str">
            <v/>
          </cell>
        </row>
        <row r="1882">
          <cell r="A1882">
            <v>34000000</v>
          </cell>
          <cell r="C1882">
            <v>34000000</v>
          </cell>
          <cell r="D1882">
            <v>34000000</v>
          </cell>
          <cell r="E1882">
            <v>34000000</v>
          </cell>
          <cell r="F1882">
            <v>34000000</v>
          </cell>
          <cell r="G1882">
            <v>34000000</v>
          </cell>
          <cell r="H1882">
            <v>34000000</v>
          </cell>
          <cell r="I1882" t="str">
            <v/>
          </cell>
          <cell r="J1882" t="str">
            <v/>
          </cell>
          <cell r="K1882" t="str">
            <v/>
          </cell>
          <cell r="L1882" t="str">
            <v/>
          </cell>
        </row>
        <row r="1883">
          <cell r="A1883">
            <v>34000000</v>
          </cell>
          <cell r="C1883">
            <v>34000000</v>
          </cell>
          <cell r="D1883">
            <v>34000000</v>
          </cell>
          <cell r="E1883">
            <v>34000000</v>
          </cell>
          <cell r="F1883">
            <v>34000000</v>
          </cell>
          <cell r="G1883">
            <v>34000000</v>
          </cell>
          <cell r="H1883">
            <v>34000000</v>
          </cell>
          <cell r="I1883" t="str">
            <v/>
          </cell>
          <cell r="J1883" t="str">
            <v/>
          </cell>
          <cell r="K1883" t="str">
            <v/>
          </cell>
          <cell r="L1883" t="str">
            <v/>
          </cell>
        </row>
        <row r="1884">
          <cell r="A1884">
            <v>34000000</v>
          </cell>
          <cell r="C1884">
            <v>34000000</v>
          </cell>
          <cell r="D1884">
            <v>34000000</v>
          </cell>
          <cell r="E1884">
            <v>34000000</v>
          </cell>
          <cell r="F1884">
            <v>34000000</v>
          </cell>
          <cell r="G1884">
            <v>34000000</v>
          </cell>
          <cell r="H1884">
            <v>34000000</v>
          </cell>
          <cell r="I1884" t="str">
            <v/>
          </cell>
          <cell r="J1884" t="str">
            <v/>
          </cell>
          <cell r="K1884" t="str">
            <v/>
          </cell>
          <cell r="L1884" t="str">
            <v/>
          </cell>
        </row>
        <row r="1885">
          <cell r="A1885">
            <v>34000000</v>
          </cell>
          <cell r="C1885">
            <v>34000000</v>
          </cell>
          <cell r="D1885">
            <v>34000000</v>
          </cell>
          <cell r="E1885">
            <v>34000000</v>
          </cell>
          <cell r="F1885">
            <v>34000000</v>
          </cell>
          <cell r="G1885">
            <v>34000000</v>
          </cell>
          <cell r="H1885">
            <v>34000000</v>
          </cell>
          <cell r="I1885" t="str">
            <v/>
          </cell>
          <cell r="J1885" t="str">
            <v/>
          </cell>
          <cell r="K1885" t="str">
            <v/>
          </cell>
          <cell r="L1885" t="str">
            <v/>
          </cell>
        </row>
        <row r="1886">
          <cell r="A1886">
            <v>34000000</v>
          </cell>
          <cell r="C1886">
            <v>34000000</v>
          </cell>
          <cell r="D1886">
            <v>34000000</v>
          </cell>
          <cell r="E1886">
            <v>34000000</v>
          </cell>
          <cell r="F1886">
            <v>34000000</v>
          </cell>
          <cell r="G1886">
            <v>34000000</v>
          </cell>
          <cell r="H1886">
            <v>34000000</v>
          </cell>
          <cell r="I1886" t="str">
            <v/>
          </cell>
          <cell r="J1886" t="str">
            <v/>
          </cell>
          <cell r="K1886" t="str">
            <v/>
          </cell>
          <cell r="L1886" t="str">
            <v/>
          </cell>
        </row>
        <row r="1887">
          <cell r="A1887">
            <v>34000000</v>
          </cell>
          <cell r="C1887">
            <v>34000000</v>
          </cell>
          <cell r="D1887">
            <v>34000000</v>
          </cell>
          <cell r="E1887">
            <v>34000000</v>
          </cell>
          <cell r="F1887">
            <v>34000000</v>
          </cell>
          <cell r="G1887">
            <v>34000000</v>
          </cell>
          <cell r="H1887">
            <v>34000000</v>
          </cell>
          <cell r="I1887" t="str">
            <v/>
          </cell>
          <cell r="J1887" t="str">
            <v/>
          </cell>
          <cell r="K1887" t="str">
            <v/>
          </cell>
          <cell r="L1887" t="str">
            <v/>
          </cell>
        </row>
        <row r="1888">
          <cell r="A1888">
            <v>34000000</v>
          </cell>
          <cell r="C1888">
            <v>34000000</v>
          </cell>
          <cell r="D1888">
            <v>34000000</v>
          </cell>
          <cell r="E1888">
            <v>34000000</v>
          </cell>
          <cell r="F1888">
            <v>34000000</v>
          </cell>
          <cell r="G1888">
            <v>34000000</v>
          </cell>
          <cell r="H1888">
            <v>34000000</v>
          </cell>
          <cell r="I1888" t="str">
            <v/>
          </cell>
          <cell r="J1888" t="str">
            <v/>
          </cell>
          <cell r="K1888" t="str">
            <v/>
          </cell>
          <cell r="L1888" t="str">
            <v/>
          </cell>
        </row>
        <row r="1889">
          <cell r="A1889">
            <v>34000000</v>
          </cell>
          <cell r="C1889">
            <v>34000000</v>
          </cell>
          <cell r="D1889">
            <v>34000000</v>
          </cell>
          <cell r="E1889">
            <v>34000000</v>
          </cell>
          <cell r="F1889">
            <v>34000000</v>
          </cell>
          <cell r="G1889">
            <v>34000000</v>
          </cell>
          <cell r="H1889">
            <v>34000000</v>
          </cell>
          <cell r="I1889" t="str">
            <v/>
          </cell>
          <cell r="J1889" t="str">
            <v/>
          </cell>
          <cell r="K1889" t="str">
            <v/>
          </cell>
          <cell r="L1889" t="str">
            <v/>
          </cell>
        </row>
        <row r="1890">
          <cell r="A1890">
            <v>34000000</v>
          </cell>
          <cell r="C1890">
            <v>34000000</v>
          </cell>
          <cell r="D1890">
            <v>34000000</v>
          </cell>
          <cell r="E1890">
            <v>34000000</v>
          </cell>
          <cell r="F1890">
            <v>34000000</v>
          </cell>
          <cell r="G1890">
            <v>34000000</v>
          </cell>
          <cell r="H1890">
            <v>34000000</v>
          </cell>
          <cell r="I1890" t="str">
            <v/>
          </cell>
          <cell r="J1890" t="str">
            <v/>
          </cell>
          <cell r="K1890" t="str">
            <v/>
          </cell>
          <cell r="L1890" t="str">
            <v/>
          </cell>
        </row>
        <row r="1891">
          <cell r="A1891">
            <v>34000000</v>
          </cell>
          <cell r="C1891">
            <v>34000000</v>
          </cell>
          <cell r="D1891">
            <v>34000000</v>
          </cell>
          <cell r="E1891">
            <v>34000000</v>
          </cell>
          <cell r="F1891">
            <v>34000000</v>
          </cell>
          <cell r="G1891">
            <v>34000000</v>
          </cell>
          <cell r="H1891">
            <v>34000000</v>
          </cell>
          <cell r="I1891" t="str">
            <v/>
          </cell>
          <cell r="J1891" t="str">
            <v/>
          </cell>
          <cell r="K1891" t="str">
            <v/>
          </cell>
          <cell r="L1891" t="str">
            <v/>
          </cell>
        </row>
        <row r="1892">
          <cell r="A1892">
            <v>34000000</v>
          </cell>
          <cell r="C1892">
            <v>34000000</v>
          </cell>
          <cell r="D1892">
            <v>34000000</v>
          </cell>
          <cell r="E1892">
            <v>34000000</v>
          </cell>
          <cell r="F1892">
            <v>34000000</v>
          </cell>
          <cell r="G1892">
            <v>34000000</v>
          </cell>
          <cell r="H1892">
            <v>34000000</v>
          </cell>
          <cell r="I1892" t="str">
            <v/>
          </cell>
          <cell r="J1892" t="str">
            <v/>
          </cell>
          <cell r="K1892" t="str">
            <v/>
          </cell>
          <cell r="L1892" t="str">
            <v/>
          </cell>
        </row>
        <row r="1893">
          <cell r="A1893">
            <v>34000000</v>
          </cell>
          <cell r="C1893">
            <v>34000000</v>
          </cell>
          <cell r="D1893">
            <v>34000000</v>
          </cell>
          <cell r="E1893">
            <v>34000000</v>
          </cell>
          <cell r="F1893">
            <v>34000000</v>
          </cell>
          <cell r="G1893">
            <v>34000000</v>
          </cell>
          <cell r="H1893">
            <v>34000000</v>
          </cell>
          <cell r="I1893" t="str">
            <v/>
          </cell>
          <cell r="J1893" t="str">
            <v/>
          </cell>
          <cell r="K1893" t="str">
            <v/>
          </cell>
          <cell r="L1893" t="str">
            <v/>
          </cell>
        </row>
        <row r="1894">
          <cell r="A1894">
            <v>34000000</v>
          </cell>
          <cell r="C1894">
            <v>34000000</v>
          </cell>
          <cell r="D1894">
            <v>34000000</v>
          </cell>
          <cell r="E1894">
            <v>34000000</v>
          </cell>
          <cell r="F1894">
            <v>34000000</v>
          </cell>
          <cell r="G1894">
            <v>34000000</v>
          </cell>
          <cell r="H1894">
            <v>34000000</v>
          </cell>
          <cell r="I1894" t="str">
            <v/>
          </cell>
          <cell r="J1894" t="str">
            <v/>
          </cell>
          <cell r="K1894" t="str">
            <v/>
          </cell>
          <cell r="L1894" t="str">
            <v/>
          </cell>
        </row>
        <row r="1895">
          <cell r="A1895">
            <v>34000000</v>
          </cell>
          <cell r="C1895">
            <v>34000000</v>
          </cell>
          <cell r="D1895">
            <v>34000000</v>
          </cell>
          <cell r="E1895">
            <v>34000000</v>
          </cell>
          <cell r="F1895">
            <v>34000000</v>
          </cell>
          <cell r="G1895">
            <v>34000000</v>
          </cell>
          <cell r="H1895">
            <v>34000000</v>
          </cell>
          <cell r="I1895" t="str">
            <v/>
          </cell>
          <cell r="J1895" t="str">
            <v/>
          </cell>
          <cell r="K1895" t="str">
            <v/>
          </cell>
          <cell r="L1895" t="str">
            <v/>
          </cell>
        </row>
        <row r="1896">
          <cell r="A1896">
            <v>34000000</v>
          </cell>
          <cell r="C1896">
            <v>34000000</v>
          </cell>
          <cell r="D1896">
            <v>34000000</v>
          </cell>
          <cell r="E1896">
            <v>34000000</v>
          </cell>
          <cell r="F1896">
            <v>34000000</v>
          </cell>
          <cell r="G1896">
            <v>34000000</v>
          </cell>
          <cell r="H1896">
            <v>34000000</v>
          </cell>
          <cell r="I1896" t="str">
            <v/>
          </cell>
          <cell r="J1896" t="str">
            <v/>
          </cell>
          <cell r="K1896" t="str">
            <v/>
          </cell>
          <cell r="L1896" t="str">
            <v/>
          </cell>
        </row>
        <row r="1897">
          <cell r="A1897">
            <v>34000000</v>
          </cell>
          <cell r="C1897">
            <v>34000000</v>
          </cell>
          <cell r="D1897">
            <v>34000000</v>
          </cell>
          <cell r="E1897">
            <v>34000000</v>
          </cell>
          <cell r="F1897">
            <v>34000000</v>
          </cell>
          <cell r="G1897">
            <v>34000000</v>
          </cell>
          <cell r="H1897">
            <v>34000000</v>
          </cell>
          <cell r="I1897" t="str">
            <v/>
          </cell>
          <cell r="J1897" t="str">
            <v/>
          </cell>
          <cell r="K1897" t="str">
            <v/>
          </cell>
          <cell r="L1897" t="str">
            <v/>
          </cell>
        </row>
        <row r="1898">
          <cell r="A1898">
            <v>34000000</v>
          </cell>
          <cell r="C1898">
            <v>34000000</v>
          </cell>
          <cell r="D1898">
            <v>34000000</v>
          </cell>
          <cell r="E1898">
            <v>34000000</v>
          </cell>
          <cell r="F1898">
            <v>34000000</v>
          </cell>
          <cell r="G1898">
            <v>34000000</v>
          </cell>
          <cell r="H1898">
            <v>34000000</v>
          </cell>
          <cell r="I1898" t="str">
            <v/>
          </cell>
          <cell r="J1898" t="str">
            <v/>
          </cell>
          <cell r="K1898" t="str">
            <v/>
          </cell>
          <cell r="L1898" t="str">
            <v/>
          </cell>
        </row>
        <row r="1899">
          <cell r="A1899">
            <v>34000000</v>
          </cell>
          <cell r="C1899">
            <v>34000000</v>
          </cell>
          <cell r="D1899">
            <v>34000000</v>
          </cell>
          <cell r="E1899">
            <v>34000000</v>
          </cell>
          <cell r="F1899">
            <v>34000000</v>
          </cell>
          <cell r="G1899">
            <v>34000000</v>
          </cell>
          <cell r="H1899">
            <v>34000000</v>
          </cell>
          <cell r="I1899" t="str">
            <v/>
          </cell>
          <cell r="J1899" t="str">
            <v/>
          </cell>
          <cell r="K1899" t="str">
            <v/>
          </cell>
          <cell r="L1899" t="str">
            <v/>
          </cell>
        </row>
        <row r="1900">
          <cell r="A1900">
            <v>34000000</v>
          </cell>
          <cell r="C1900">
            <v>34000000</v>
          </cell>
          <cell r="D1900">
            <v>34000000</v>
          </cell>
          <cell r="E1900">
            <v>34000000</v>
          </cell>
          <cell r="F1900">
            <v>34000000</v>
          </cell>
          <cell r="G1900">
            <v>34000000</v>
          </cell>
          <cell r="H1900">
            <v>34000000</v>
          </cell>
          <cell r="I1900" t="str">
            <v/>
          </cell>
          <cell r="J1900" t="str">
            <v/>
          </cell>
          <cell r="K1900" t="str">
            <v/>
          </cell>
          <cell r="L1900" t="str">
            <v/>
          </cell>
        </row>
        <row r="1901">
          <cell r="A1901">
            <v>34000000</v>
          </cell>
          <cell r="C1901">
            <v>34000000</v>
          </cell>
          <cell r="D1901">
            <v>34000000</v>
          </cell>
          <cell r="E1901">
            <v>34000000</v>
          </cell>
          <cell r="F1901">
            <v>34000000</v>
          </cell>
          <cell r="G1901">
            <v>34000000</v>
          </cell>
          <cell r="H1901">
            <v>34000000</v>
          </cell>
          <cell r="I1901" t="str">
            <v/>
          </cell>
          <cell r="J1901" t="str">
            <v/>
          </cell>
          <cell r="K1901" t="str">
            <v/>
          </cell>
          <cell r="L1901" t="str">
            <v/>
          </cell>
        </row>
        <row r="1902">
          <cell r="A1902">
            <v>34000000</v>
          </cell>
          <cell r="C1902">
            <v>34000000</v>
          </cell>
          <cell r="D1902">
            <v>34000000</v>
          </cell>
          <cell r="E1902">
            <v>34000000</v>
          </cell>
          <cell r="F1902">
            <v>34000000</v>
          </cell>
          <cell r="G1902">
            <v>34000000</v>
          </cell>
          <cell r="H1902">
            <v>34000000</v>
          </cell>
          <cell r="I1902" t="str">
            <v/>
          </cell>
          <cell r="J1902" t="str">
            <v/>
          </cell>
          <cell r="K1902" t="str">
            <v/>
          </cell>
          <cell r="L1902" t="str">
            <v/>
          </cell>
        </row>
        <row r="1903">
          <cell r="A1903">
            <v>34000000</v>
          </cell>
          <cell r="C1903">
            <v>34000000</v>
          </cell>
          <cell r="D1903">
            <v>34000000</v>
          </cell>
          <cell r="E1903">
            <v>34000000</v>
          </cell>
          <cell r="F1903">
            <v>34000000</v>
          </cell>
          <cell r="G1903">
            <v>34000000</v>
          </cell>
          <cell r="H1903">
            <v>34000000</v>
          </cell>
          <cell r="I1903" t="str">
            <v/>
          </cell>
          <cell r="J1903" t="str">
            <v/>
          </cell>
          <cell r="K1903" t="str">
            <v/>
          </cell>
          <cell r="L1903" t="str">
            <v/>
          </cell>
        </row>
        <row r="1904">
          <cell r="A1904">
            <v>34000000</v>
          </cell>
          <cell r="C1904">
            <v>34000000</v>
          </cell>
          <cell r="D1904">
            <v>34000000</v>
          </cell>
          <cell r="E1904">
            <v>34000000</v>
          </cell>
          <cell r="F1904">
            <v>34000000</v>
          </cell>
          <cell r="G1904">
            <v>34000000</v>
          </cell>
          <cell r="H1904">
            <v>34000000</v>
          </cell>
          <cell r="I1904" t="str">
            <v/>
          </cell>
          <cell r="J1904" t="str">
            <v/>
          </cell>
          <cell r="K1904" t="str">
            <v/>
          </cell>
          <cell r="L1904" t="str">
            <v/>
          </cell>
        </row>
        <row r="1905">
          <cell r="A1905">
            <v>34000000</v>
          </cell>
          <cell r="C1905">
            <v>34000000</v>
          </cell>
          <cell r="D1905">
            <v>34000000</v>
          </cell>
          <cell r="E1905">
            <v>34000000</v>
          </cell>
          <cell r="F1905">
            <v>34000000</v>
          </cell>
          <cell r="G1905">
            <v>34000000</v>
          </cell>
          <cell r="H1905">
            <v>34000000</v>
          </cell>
          <cell r="I1905" t="str">
            <v/>
          </cell>
          <cell r="J1905" t="str">
            <v/>
          </cell>
          <cell r="K1905" t="str">
            <v/>
          </cell>
          <cell r="L1905" t="str">
            <v/>
          </cell>
        </row>
        <row r="1906">
          <cell r="A1906">
            <v>34000000</v>
          </cell>
          <cell r="C1906">
            <v>34000000</v>
          </cell>
          <cell r="D1906">
            <v>34000000</v>
          </cell>
          <cell r="E1906">
            <v>34000000</v>
          </cell>
          <cell r="F1906">
            <v>34000000</v>
          </cell>
          <cell r="G1906">
            <v>34000000</v>
          </cell>
          <cell r="H1906">
            <v>34000000</v>
          </cell>
          <cell r="I1906" t="str">
            <v/>
          </cell>
          <cell r="J1906" t="str">
            <v/>
          </cell>
          <cell r="K1906" t="str">
            <v/>
          </cell>
          <cell r="L1906" t="str">
            <v/>
          </cell>
        </row>
        <row r="1907">
          <cell r="A1907">
            <v>34000000</v>
          </cell>
          <cell r="C1907">
            <v>34000000</v>
          </cell>
          <cell r="D1907">
            <v>34000000</v>
          </cell>
          <cell r="E1907">
            <v>34000000</v>
          </cell>
          <cell r="F1907">
            <v>34000000</v>
          </cell>
          <cell r="G1907">
            <v>34000000</v>
          </cell>
          <cell r="H1907">
            <v>34000000</v>
          </cell>
          <cell r="I1907" t="str">
            <v/>
          </cell>
          <cell r="J1907" t="str">
            <v/>
          </cell>
          <cell r="K1907" t="str">
            <v/>
          </cell>
          <cell r="L1907" t="str">
            <v/>
          </cell>
        </row>
        <row r="1908">
          <cell r="A1908">
            <v>34000000</v>
          </cell>
          <cell r="C1908">
            <v>34000000</v>
          </cell>
          <cell r="D1908">
            <v>34000000</v>
          </cell>
          <cell r="E1908">
            <v>34000000</v>
          </cell>
          <cell r="F1908">
            <v>34000000</v>
          </cell>
          <cell r="G1908">
            <v>34000000</v>
          </cell>
          <cell r="H1908">
            <v>34000000</v>
          </cell>
          <cell r="I1908" t="str">
            <v/>
          </cell>
          <cell r="J1908" t="str">
            <v/>
          </cell>
          <cell r="K1908" t="str">
            <v/>
          </cell>
          <cell r="L1908" t="str">
            <v/>
          </cell>
        </row>
        <row r="1909">
          <cell r="A1909">
            <v>34000000</v>
          </cell>
          <cell r="C1909">
            <v>34000000</v>
          </cell>
          <cell r="D1909">
            <v>34000000</v>
          </cell>
          <cell r="E1909">
            <v>34000000</v>
          </cell>
          <cell r="F1909">
            <v>34000000</v>
          </cell>
          <cell r="G1909">
            <v>34000000</v>
          </cell>
          <cell r="H1909">
            <v>34000000</v>
          </cell>
          <cell r="I1909" t="str">
            <v/>
          </cell>
          <cell r="J1909" t="str">
            <v/>
          </cell>
          <cell r="K1909" t="str">
            <v/>
          </cell>
          <cell r="L1909" t="str">
            <v/>
          </cell>
        </row>
        <row r="1910">
          <cell r="A1910">
            <v>34000000</v>
          </cell>
          <cell r="C1910">
            <v>34000000</v>
          </cell>
          <cell r="D1910">
            <v>34000000</v>
          </cell>
          <cell r="E1910">
            <v>34000000</v>
          </cell>
          <cell r="F1910">
            <v>34000000</v>
          </cell>
          <cell r="G1910">
            <v>34000000</v>
          </cell>
          <cell r="H1910">
            <v>34000000</v>
          </cell>
          <cell r="I1910" t="str">
            <v/>
          </cell>
          <cell r="J1910" t="str">
            <v/>
          </cell>
          <cell r="K1910" t="str">
            <v/>
          </cell>
          <cell r="L1910" t="str">
            <v/>
          </cell>
        </row>
        <row r="1911">
          <cell r="A1911">
            <v>34000000</v>
          </cell>
          <cell r="C1911">
            <v>34000000</v>
          </cell>
          <cell r="D1911">
            <v>34000000</v>
          </cell>
          <cell r="E1911">
            <v>34000000</v>
          </cell>
          <cell r="F1911">
            <v>34000000</v>
          </cell>
          <cell r="G1911">
            <v>34000000</v>
          </cell>
          <cell r="H1911">
            <v>34000000</v>
          </cell>
          <cell r="I1911" t="str">
            <v/>
          </cell>
          <cell r="J1911" t="str">
            <v/>
          </cell>
          <cell r="K1911" t="str">
            <v/>
          </cell>
          <cell r="L1911" t="str">
            <v/>
          </cell>
        </row>
        <row r="1912">
          <cell r="A1912">
            <v>34000000</v>
          </cell>
          <cell r="C1912">
            <v>34000000</v>
          </cell>
          <cell r="D1912">
            <v>34000000</v>
          </cell>
          <cell r="E1912">
            <v>34000000</v>
          </cell>
          <cell r="F1912">
            <v>34000000</v>
          </cell>
          <cell r="G1912">
            <v>34000000</v>
          </cell>
          <cell r="H1912">
            <v>34000000</v>
          </cell>
          <cell r="I1912" t="str">
            <v/>
          </cell>
          <cell r="J1912" t="str">
            <v/>
          </cell>
          <cell r="K1912" t="str">
            <v/>
          </cell>
          <cell r="L1912" t="str">
            <v/>
          </cell>
        </row>
        <row r="1913">
          <cell r="A1913">
            <v>34000000</v>
          </cell>
          <cell r="C1913">
            <v>34000000</v>
          </cell>
          <cell r="D1913">
            <v>34000000</v>
          </cell>
          <cell r="E1913">
            <v>34000000</v>
          </cell>
          <cell r="F1913">
            <v>34000000</v>
          </cell>
          <cell r="G1913">
            <v>34000000</v>
          </cell>
          <cell r="H1913">
            <v>34000000</v>
          </cell>
          <cell r="I1913" t="str">
            <v/>
          </cell>
          <cell r="J1913" t="str">
            <v/>
          </cell>
          <cell r="K1913" t="str">
            <v/>
          </cell>
          <cell r="L1913" t="str">
            <v/>
          </cell>
        </row>
        <row r="1914">
          <cell r="A1914">
            <v>34000000</v>
          </cell>
          <cell r="C1914">
            <v>34000000</v>
          </cell>
          <cell r="D1914">
            <v>34000000</v>
          </cell>
          <cell r="E1914">
            <v>34000000</v>
          </cell>
          <cell r="F1914">
            <v>34000000</v>
          </cell>
          <cell r="G1914">
            <v>34000000</v>
          </cell>
          <cell r="H1914">
            <v>34000000</v>
          </cell>
          <cell r="I1914" t="str">
            <v/>
          </cell>
          <cell r="J1914" t="str">
            <v/>
          </cell>
          <cell r="K1914" t="str">
            <v/>
          </cell>
          <cell r="L1914" t="str">
            <v/>
          </cell>
        </row>
        <row r="1915">
          <cell r="A1915">
            <v>34000000</v>
          </cell>
          <cell r="C1915">
            <v>34000000</v>
          </cell>
          <cell r="D1915">
            <v>34000000</v>
          </cell>
          <cell r="E1915">
            <v>34000000</v>
          </cell>
          <cell r="F1915">
            <v>34000000</v>
          </cell>
          <cell r="G1915">
            <v>34000000</v>
          </cell>
          <cell r="H1915">
            <v>34000000</v>
          </cell>
          <cell r="I1915" t="str">
            <v/>
          </cell>
          <cell r="J1915" t="str">
            <v/>
          </cell>
          <cell r="K1915" t="str">
            <v/>
          </cell>
          <cell r="L1915" t="str">
            <v/>
          </cell>
        </row>
        <row r="1916">
          <cell r="A1916">
            <v>34000000</v>
          </cell>
          <cell r="C1916">
            <v>34000000</v>
          </cell>
          <cell r="D1916">
            <v>34000000</v>
          </cell>
          <cell r="E1916">
            <v>34000000</v>
          </cell>
          <cell r="F1916">
            <v>34000000</v>
          </cell>
          <cell r="G1916">
            <v>34000000</v>
          </cell>
          <cell r="H1916">
            <v>34000000</v>
          </cell>
          <cell r="I1916" t="str">
            <v/>
          </cell>
          <cell r="J1916" t="str">
            <v/>
          </cell>
          <cell r="K1916" t="str">
            <v/>
          </cell>
          <cell r="L1916" t="str">
            <v/>
          </cell>
        </row>
        <row r="1917">
          <cell r="A1917">
            <v>34000000</v>
          </cell>
          <cell r="C1917">
            <v>34000000</v>
          </cell>
          <cell r="D1917">
            <v>34000000</v>
          </cell>
          <cell r="E1917">
            <v>34000000</v>
          </cell>
          <cell r="F1917">
            <v>34000000</v>
          </cell>
          <cell r="G1917">
            <v>34000000</v>
          </cell>
          <cell r="H1917">
            <v>34000000</v>
          </cell>
          <cell r="I1917" t="str">
            <v/>
          </cell>
          <cell r="J1917" t="str">
            <v/>
          </cell>
          <cell r="K1917" t="str">
            <v/>
          </cell>
          <cell r="L1917" t="str">
            <v/>
          </cell>
        </row>
        <row r="1918">
          <cell r="A1918">
            <v>34000000</v>
          </cell>
          <cell r="C1918">
            <v>34000000</v>
          </cell>
          <cell r="D1918">
            <v>34000000</v>
          </cell>
          <cell r="E1918">
            <v>34000000</v>
          </cell>
          <cell r="F1918">
            <v>34000000</v>
          </cell>
          <cell r="G1918">
            <v>34000000</v>
          </cell>
          <cell r="H1918">
            <v>34000000</v>
          </cell>
          <cell r="I1918" t="str">
            <v/>
          </cell>
          <cell r="J1918" t="str">
            <v/>
          </cell>
          <cell r="K1918" t="str">
            <v/>
          </cell>
          <cell r="L1918" t="str">
            <v/>
          </cell>
        </row>
        <row r="1919">
          <cell r="A1919">
            <v>34000000</v>
          </cell>
          <cell r="C1919">
            <v>34000000</v>
          </cell>
          <cell r="D1919">
            <v>34000000</v>
          </cell>
          <cell r="E1919">
            <v>34000000</v>
          </cell>
          <cell r="F1919">
            <v>34000000</v>
          </cell>
          <cell r="G1919">
            <v>34000000</v>
          </cell>
          <cell r="H1919">
            <v>34000000</v>
          </cell>
          <cell r="I1919" t="str">
            <v/>
          </cell>
          <cell r="J1919" t="str">
            <v/>
          </cell>
          <cell r="K1919" t="str">
            <v/>
          </cell>
          <cell r="L1919" t="str">
            <v/>
          </cell>
        </row>
        <row r="1920">
          <cell r="A1920">
            <v>34000000</v>
          </cell>
          <cell r="C1920">
            <v>34000000</v>
          </cell>
          <cell r="D1920">
            <v>34000000</v>
          </cell>
          <cell r="E1920">
            <v>34000000</v>
          </cell>
          <cell r="F1920">
            <v>34000000</v>
          </cell>
          <cell r="G1920">
            <v>34000000</v>
          </cell>
          <cell r="H1920">
            <v>34000000</v>
          </cell>
          <cell r="I1920" t="str">
            <v/>
          </cell>
          <cell r="J1920" t="str">
            <v/>
          </cell>
          <cell r="K1920" t="str">
            <v/>
          </cell>
          <cell r="L1920" t="str">
            <v/>
          </cell>
        </row>
        <row r="1921">
          <cell r="A1921">
            <v>34000000</v>
          </cell>
          <cell r="C1921">
            <v>34000000</v>
          </cell>
          <cell r="D1921">
            <v>34000000</v>
          </cell>
          <cell r="E1921">
            <v>34000000</v>
          </cell>
          <cell r="F1921">
            <v>34000000</v>
          </cell>
          <cell r="G1921">
            <v>34000000</v>
          </cell>
          <cell r="H1921">
            <v>34000000</v>
          </cell>
          <cell r="I1921" t="str">
            <v/>
          </cell>
          <cell r="J1921" t="str">
            <v/>
          </cell>
          <cell r="K1921" t="str">
            <v/>
          </cell>
          <cell r="L1921" t="str">
            <v/>
          </cell>
        </row>
        <row r="1922">
          <cell r="A1922">
            <v>34000000</v>
          </cell>
          <cell r="C1922">
            <v>34000000</v>
          </cell>
          <cell r="D1922">
            <v>34000000</v>
          </cell>
          <cell r="E1922">
            <v>34000000</v>
          </cell>
          <cell r="F1922">
            <v>34000000</v>
          </cell>
          <cell r="G1922">
            <v>34000000</v>
          </cell>
          <cell r="H1922">
            <v>34000000</v>
          </cell>
          <cell r="I1922" t="str">
            <v/>
          </cell>
          <cell r="J1922" t="str">
            <v/>
          </cell>
          <cell r="K1922" t="str">
            <v/>
          </cell>
          <cell r="L1922" t="str">
            <v/>
          </cell>
        </row>
        <row r="1923">
          <cell r="A1923">
            <v>34000000</v>
          </cell>
          <cell r="C1923">
            <v>34000000</v>
          </cell>
          <cell r="D1923">
            <v>34000000</v>
          </cell>
          <cell r="E1923">
            <v>34000000</v>
          </cell>
          <cell r="F1923">
            <v>34000000</v>
          </cell>
          <cell r="G1923">
            <v>34000000</v>
          </cell>
          <cell r="H1923">
            <v>34000000</v>
          </cell>
          <cell r="I1923" t="str">
            <v/>
          </cell>
          <cell r="J1923" t="str">
            <v/>
          </cell>
          <cell r="K1923" t="str">
            <v/>
          </cell>
          <cell r="L1923" t="str">
            <v/>
          </cell>
        </row>
        <row r="1924">
          <cell r="A1924">
            <v>34000000</v>
          </cell>
          <cell r="C1924">
            <v>34000000</v>
          </cell>
          <cell r="D1924">
            <v>34000000</v>
          </cell>
          <cell r="E1924">
            <v>34000000</v>
          </cell>
          <cell r="F1924">
            <v>34000000</v>
          </cell>
          <cell r="G1924">
            <v>34000000</v>
          </cell>
          <cell r="H1924">
            <v>34000000</v>
          </cell>
          <cell r="I1924" t="str">
            <v/>
          </cell>
          <cell r="J1924" t="str">
            <v/>
          </cell>
          <cell r="K1924" t="str">
            <v/>
          </cell>
          <cell r="L1924" t="str">
            <v/>
          </cell>
        </row>
        <row r="1925">
          <cell r="A1925">
            <v>34000000</v>
          </cell>
          <cell r="C1925">
            <v>34000000</v>
          </cell>
          <cell r="D1925">
            <v>34000000</v>
          </cell>
          <cell r="E1925">
            <v>34000000</v>
          </cell>
          <cell r="F1925">
            <v>34000000</v>
          </cell>
          <cell r="G1925">
            <v>34000000</v>
          </cell>
          <cell r="H1925">
            <v>34000000</v>
          </cell>
          <cell r="I1925" t="str">
            <v/>
          </cell>
          <cell r="J1925" t="str">
            <v/>
          </cell>
          <cell r="K1925" t="str">
            <v/>
          </cell>
          <cell r="L1925" t="str">
            <v/>
          </cell>
        </row>
        <row r="1926">
          <cell r="A1926">
            <v>34000000</v>
          </cell>
          <cell r="C1926">
            <v>34000000</v>
          </cell>
          <cell r="D1926">
            <v>34000000</v>
          </cell>
          <cell r="E1926">
            <v>34000000</v>
          </cell>
          <cell r="F1926">
            <v>34000000</v>
          </cell>
          <cell r="G1926">
            <v>34000000</v>
          </cell>
          <cell r="H1926">
            <v>34000000</v>
          </cell>
          <cell r="I1926" t="str">
            <v/>
          </cell>
          <cell r="J1926" t="str">
            <v/>
          </cell>
          <cell r="K1926" t="str">
            <v/>
          </cell>
          <cell r="L1926" t="str">
            <v/>
          </cell>
        </row>
        <row r="1927">
          <cell r="A1927">
            <v>34000000</v>
          </cell>
          <cell r="C1927">
            <v>34000000</v>
          </cell>
          <cell r="D1927">
            <v>34000000</v>
          </cell>
          <cell r="E1927">
            <v>34000000</v>
          </cell>
          <cell r="F1927">
            <v>34000000</v>
          </cell>
          <cell r="G1927">
            <v>34000000</v>
          </cell>
          <cell r="H1927">
            <v>34000000</v>
          </cell>
          <cell r="I1927" t="str">
            <v/>
          </cell>
          <cell r="J1927" t="str">
            <v/>
          </cell>
          <cell r="K1927" t="str">
            <v/>
          </cell>
          <cell r="L1927" t="str">
            <v/>
          </cell>
        </row>
        <row r="1928">
          <cell r="A1928">
            <v>34000000</v>
          </cell>
          <cell r="C1928">
            <v>34000000</v>
          </cell>
          <cell r="D1928">
            <v>34000000</v>
          </cell>
          <cell r="E1928">
            <v>34000000</v>
          </cell>
          <cell r="F1928">
            <v>34000000</v>
          </cell>
          <cell r="G1928">
            <v>34000000</v>
          </cell>
          <cell r="H1928">
            <v>34000000</v>
          </cell>
          <cell r="I1928" t="str">
            <v/>
          </cell>
          <cell r="J1928" t="str">
            <v/>
          </cell>
          <cell r="K1928" t="str">
            <v/>
          </cell>
          <cell r="L1928" t="str">
            <v/>
          </cell>
        </row>
        <row r="1929">
          <cell r="A1929">
            <v>34000000</v>
          </cell>
          <cell r="C1929">
            <v>34000000</v>
          </cell>
          <cell r="D1929">
            <v>34000000</v>
          </cell>
          <cell r="E1929">
            <v>34000000</v>
          </cell>
          <cell r="F1929">
            <v>34000000</v>
          </cell>
          <cell r="G1929">
            <v>34000000</v>
          </cell>
          <cell r="H1929">
            <v>34000000</v>
          </cell>
          <cell r="I1929" t="str">
            <v/>
          </cell>
          <cell r="J1929" t="str">
            <v/>
          </cell>
          <cell r="K1929" t="str">
            <v/>
          </cell>
          <cell r="L1929" t="str">
            <v/>
          </cell>
        </row>
        <row r="1930">
          <cell r="A1930">
            <v>34000000</v>
          </cell>
          <cell r="C1930">
            <v>34000000</v>
          </cell>
          <cell r="D1930">
            <v>34000000</v>
          </cell>
          <cell r="E1930">
            <v>34000000</v>
          </cell>
          <cell r="F1930">
            <v>34000000</v>
          </cell>
          <cell r="G1930">
            <v>34000000</v>
          </cell>
          <cell r="H1930">
            <v>34000000</v>
          </cell>
          <cell r="I1930" t="str">
            <v/>
          </cell>
          <cell r="J1930" t="str">
            <v/>
          </cell>
          <cell r="K1930" t="str">
            <v/>
          </cell>
          <cell r="L1930" t="str">
            <v/>
          </cell>
        </row>
        <row r="1931">
          <cell r="A1931">
            <v>34000000</v>
          </cell>
          <cell r="C1931">
            <v>34000000</v>
          </cell>
          <cell r="D1931">
            <v>34000000</v>
          </cell>
          <cell r="E1931">
            <v>34000000</v>
          </cell>
          <cell r="F1931">
            <v>34000000</v>
          </cell>
          <cell r="G1931">
            <v>34000000</v>
          </cell>
          <cell r="H1931">
            <v>34000000</v>
          </cell>
          <cell r="I1931" t="str">
            <v/>
          </cell>
          <cell r="J1931" t="str">
            <v/>
          </cell>
          <cell r="K1931" t="str">
            <v/>
          </cell>
          <cell r="L1931" t="str">
            <v/>
          </cell>
        </row>
        <row r="1932">
          <cell r="A1932">
            <v>34000000</v>
          </cell>
          <cell r="C1932">
            <v>34000000</v>
          </cell>
          <cell r="D1932">
            <v>34000000</v>
          </cell>
          <cell r="E1932">
            <v>34000000</v>
          </cell>
          <cell r="F1932">
            <v>34000000</v>
          </cell>
          <cell r="G1932">
            <v>34000000</v>
          </cell>
          <cell r="H1932">
            <v>34000000</v>
          </cell>
          <cell r="I1932" t="str">
            <v/>
          </cell>
          <cell r="J1932" t="str">
            <v/>
          </cell>
          <cell r="K1932" t="str">
            <v/>
          </cell>
          <cell r="L1932" t="str">
            <v/>
          </cell>
        </row>
        <row r="1933">
          <cell r="A1933">
            <v>34000000</v>
          </cell>
          <cell r="C1933">
            <v>34000000</v>
          </cell>
          <cell r="D1933">
            <v>34000000</v>
          </cell>
          <cell r="E1933">
            <v>34000000</v>
          </cell>
          <cell r="F1933">
            <v>34000000</v>
          </cell>
          <cell r="G1933">
            <v>34000000</v>
          </cell>
          <cell r="H1933">
            <v>34000000</v>
          </cell>
          <cell r="I1933" t="str">
            <v/>
          </cell>
          <cell r="J1933" t="str">
            <v/>
          </cell>
          <cell r="K1933" t="str">
            <v/>
          </cell>
          <cell r="L1933" t="str">
            <v/>
          </cell>
        </row>
        <row r="1934">
          <cell r="A1934">
            <v>34000000</v>
          </cell>
          <cell r="C1934">
            <v>34000000</v>
          </cell>
          <cell r="D1934">
            <v>34000000</v>
          </cell>
          <cell r="E1934">
            <v>34000000</v>
          </cell>
          <cell r="F1934">
            <v>34000000</v>
          </cell>
          <cell r="G1934">
            <v>34000000</v>
          </cell>
          <cell r="H1934">
            <v>34000000</v>
          </cell>
          <cell r="I1934" t="str">
            <v/>
          </cell>
          <cell r="J1934" t="str">
            <v/>
          </cell>
          <cell r="K1934" t="str">
            <v/>
          </cell>
          <cell r="L1934" t="str">
            <v/>
          </cell>
        </row>
        <row r="1935">
          <cell r="A1935">
            <v>34000000</v>
          </cell>
          <cell r="C1935">
            <v>34000000</v>
          </cell>
          <cell r="D1935">
            <v>34000000</v>
          </cell>
          <cell r="E1935">
            <v>34000000</v>
          </cell>
          <cell r="F1935">
            <v>34000000</v>
          </cell>
          <cell r="G1935">
            <v>34000000</v>
          </cell>
          <cell r="H1935">
            <v>34000000</v>
          </cell>
          <cell r="I1935" t="str">
            <v/>
          </cell>
          <cell r="J1935" t="str">
            <v/>
          </cell>
          <cell r="K1935" t="str">
            <v/>
          </cell>
          <cell r="L1935" t="str">
            <v/>
          </cell>
        </row>
        <row r="1936">
          <cell r="A1936">
            <v>34000000</v>
          </cell>
          <cell r="C1936">
            <v>34000000</v>
          </cell>
          <cell r="D1936">
            <v>34000000</v>
          </cell>
          <cell r="E1936">
            <v>34000000</v>
          </cell>
          <cell r="F1936">
            <v>34000000</v>
          </cell>
          <cell r="G1936">
            <v>34000000</v>
          </cell>
          <cell r="H1936">
            <v>34000000</v>
          </cell>
          <cell r="I1936" t="str">
            <v/>
          </cell>
          <cell r="J1936" t="str">
            <v/>
          </cell>
          <cell r="K1936" t="str">
            <v/>
          </cell>
          <cell r="L1936" t="str">
            <v/>
          </cell>
        </row>
        <row r="1937">
          <cell r="A1937">
            <v>34000000</v>
          </cell>
          <cell r="C1937">
            <v>34000000</v>
          </cell>
          <cell r="D1937">
            <v>34000000</v>
          </cell>
          <cell r="E1937">
            <v>34000000</v>
          </cell>
          <cell r="F1937">
            <v>34000000</v>
          </cell>
          <cell r="G1937">
            <v>34000000</v>
          </cell>
          <cell r="H1937">
            <v>34000000</v>
          </cell>
          <cell r="I1937" t="str">
            <v/>
          </cell>
          <cell r="J1937" t="str">
            <v/>
          </cell>
          <cell r="K1937" t="str">
            <v/>
          </cell>
          <cell r="L1937" t="str">
            <v/>
          </cell>
        </row>
        <row r="1938">
          <cell r="A1938">
            <v>34000000</v>
          </cell>
          <cell r="C1938">
            <v>34000000</v>
          </cell>
          <cell r="D1938">
            <v>34000000</v>
          </cell>
          <cell r="E1938">
            <v>34000000</v>
          </cell>
          <cell r="F1938">
            <v>34000000</v>
          </cell>
          <cell r="G1938">
            <v>34000000</v>
          </cell>
          <cell r="H1938">
            <v>34000000</v>
          </cell>
          <cell r="I1938" t="str">
            <v/>
          </cell>
          <cell r="J1938" t="str">
            <v/>
          </cell>
          <cell r="K1938" t="str">
            <v/>
          </cell>
          <cell r="L1938" t="str">
            <v/>
          </cell>
        </row>
        <row r="1939">
          <cell r="A1939">
            <v>34000000</v>
          </cell>
          <cell r="C1939">
            <v>34000000</v>
          </cell>
          <cell r="D1939">
            <v>34000000</v>
          </cell>
          <cell r="E1939">
            <v>34000000</v>
          </cell>
          <cell r="F1939">
            <v>34000000</v>
          </cell>
          <cell r="G1939">
            <v>34000000</v>
          </cell>
          <cell r="H1939">
            <v>34000000</v>
          </cell>
          <cell r="I1939" t="str">
            <v/>
          </cell>
          <cell r="J1939" t="str">
            <v/>
          </cell>
          <cell r="K1939" t="str">
            <v/>
          </cell>
          <cell r="L1939" t="str">
            <v/>
          </cell>
        </row>
        <row r="1940">
          <cell r="A1940">
            <v>34000000</v>
          </cell>
          <cell r="C1940">
            <v>34000000</v>
          </cell>
          <cell r="D1940">
            <v>34000000</v>
          </cell>
          <cell r="E1940">
            <v>34000000</v>
          </cell>
          <cell r="F1940">
            <v>34000000</v>
          </cell>
          <cell r="G1940">
            <v>34000000</v>
          </cell>
          <cell r="H1940">
            <v>34000000</v>
          </cell>
          <cell r="I1940" t="str">
            <v/>
          </cell>
          <cell r="J1940" t="str">
            <v/>
          </cell>
          <cell r="K1940" t="str">
            <v/>
          </cell>
          <cell r="L1940" t="str">
            <v/>
          </cell>
        </row>
        <row r="1941">
          <cell r="A1941">
            <v>34000000</v>
          </cell>
          <cell r="C1941">
            <v>34000000</v>
          </cell>
          <cell r="D1941">
            <v>34000000</v>
          </cell>
          <cell r="E1941">
            <v>34000000</v>
          </cell>
          <cell r="F1941">
            <v>34000000</v>
          </cell>
          <cell r="G1941">
            <v>34000000</v>
          </cell>
          <cell r="H1941">
            <v>34000000</v>
          </cell>
          <cell r="I1941" t="str">
            <v/>
          </cell>
          <cell r="J1941" t="str">
            <v/>
          </cell>
          <cell r="K1941" t="str">
            <v/>
          </cell>
          <cell r="L1941" t="str">
            <v/>
          </cell>
        </row>
        <row r="1942">
          <cell r="A1942">
            <v>34000000</v>
          </cell>
          <cell r="C1942">
            <v>34000000</v>
          </cell>
          <cell r="D1942">
            <v>34000000</v>
          </cell>
          <cell r="E1942">
            <v>34000000</v>
          </cell>
          <cell r="F1942">
            <v>34000000</v>
          </cell>
          <cell r="G1942">
            <v>34000000</v>
          </cell>
          <cell r="H1942">
            <v>34000000</v>
          </cell>
          <cell r="I1942" t="str">
            <v/>
          </cell>
          <cell r="J1942" t="str">
            <v/>
          </cell>
          <cell r="K1942" t="str">
            <v/>
          </cell>
          <cell r="L1942" t="str">
            <v/>
          </cell>
        </row>
        <row r="1943">
          <cell r="A1943">
            <v>34000000</v>
          </cell>
          <cell r="C1943">
            <v>34000000</v>
          </cell>
          <cell r="D1943">
            <v>34000000</v>
          </cell>
          <cell r="E1943">
            <v>34000000</v>
          </cell>
          <cell r="F1943">
            <v>34000000</v>
          </cell>
          <cell r="G1943">
            <v>34000000</v>
          </cell>
          <cell r="H1943">
            <v>34000000</v>
          </cell>
          <cell r="I1943" t="str">
            <v/>
          </cell>
          <cell r="J1943" t="str">
            <v/>
          </cell>
          <cell r="K1943" t="str">
            <v/>
          </cell>
          <cell r="L1943" t="str">
            <v/>
          </cell>
        </row>
        <row r="1944">
          <cell r="A1944">
            <v>34000000</v>
          </cell>
          <cell r="C1944">
            <v>34000000</v>
          </cell>
          <cell r="D1944">
            <v>34000000</v>
          </cell>
          <cell r="E1944">
            <v>34000000</v>
          </cell>
          <cell r="F1944">
            <v>34000000</v>
          </cell>
          <cell r="G1944">
            <v>34000000</v>
          </cell>
          <cell r="H1944">
            <v>34000000</v>
          </cell>
          <cell r="I1944" t="str">
            <v/>
          </cell>
          <cell r="J1944" t="str">
            <v/>
          </cell>
          <cell r="K1944" t="str">
            <v/>
          </cell>
          <cell r="L1944" t="str">
            <v/>
          </cell>
        </row>
        <row r="1945">
          <cell r="A1945">
            <v>34000000</v>
          </cell>
          <cell r="C1945">
            <v>34000000</v>
          </cell>
          <cell r="D1945">
            <v>34000000</v>
          </cell>
          <cell r="E1945">
            <v>34000000</v>
          </cell>
          <cell r="F1945">
            <v>34000000</v>
          </cell>
          <cell r="G1945">
            <v>34000000</v>
          </cell>
          <cell r="H1945">
            <v>34000000</v>
          </cell>
          <cell r="I1945" t="str">
            <v/>
          </cell>
          <cell r="J1945" t="str">
            <v/>
          </cell>
          <cell r="K1945" t="str">
            <v/>
          </cell>
          <cell r="L1945" t="str">
            <v/>
          </cell>
        </row>
        <row r="1946">
          <cell r="A1946">
            <v>34000000</v>
          </cell>
          <cell r="C1946">
            <v>34000000</v>
          </cell>
          <cell r="D1946">
            <v>34000000</v>
          </cell>
          <cell r="E1946">
            <v>34000000</v>
          </cell>
          <cell r="F1946">
            <v>34000000</v>
          </cell>
          <cell r="G1946">
            <v>34000000</v>
          </cell>
          <cell r="H1946">
            <v>34000000</v>
          </cell>
          <cell r="I1946" t="str">
            <v/>
          </cell>
          <cell r="J1946" t="str">
            <v/>
          </cell>
          <cell r="K1946" t="str">
            <v/>
          </cell>
          <cell r="L1946" t="str">
            <v/>
          </cell>
        </row>
        <row r="1947">
          <cell r="A1947">
            <v>34000000</v>
          </cell>
          <cell r="C1947">
            <v>34000000</v>
          </cell>
          <cell r="D1947">
            <v>34000000</v>
          </cell>
          <cell r="E1947">
            <v>34000000</v>
          </cell>
          <cell r="F1947">
            <v>34000000</v>
          </cell>
          <cell r="G1947">
            <v>34000000</v>
          </cell>
          <cell r="H1947">
            <v>34000000</v>
          </cell>
          <cell r="I1947" t="str">
            <v/>
          </cell>
          <cell r="J1947" t="str">
            <v/>
          </cell>
          <cell r="K1947" t="str">
            <v/>
          </cell>
          <cell r="L1947" t="str">
            <v/>
          </cell>
        </row>
        <row r="1948">
          <cell r="A1948">
            <v>34000000</v>
          </cell>
          <cell r="C1948">
            <v>34000000</v>
          </cell>
          <cell r="D1948">
            <v>34000000</v>
          </cell>
          <cell r="E1948">
            <v>34000000</v>
          </cell>
          <cell r="F1948">
            <v>34000000</v>
          </cell>
          <cell r="G1948">
            <v>34000000</v>
          </cell>
          <cell r="H1948">
            <v>34000000</v>
          </cell>
          <cell r="I1948" t="str">
            <v/>
          </cell>
          <cell r="J1948" t="str">
            <v/>
          </cell>
          <cell r="K1948" t="str">
            <v/>
          </cell>
          <cell r="L1948" t="str">
            <v/>
          </cell>
        </row>
        <row r="1949">
          <cell r="A1949">
            <v>34000000</v>
          </cell>
          <cell r="C1949">
            <v>34000000</v>
          </cell>
          <cell r="D1949">
            <v>34000000</v>
          </cell>
          <cell r="E1949">
            <v>34000000</v>
          </cell>
          <cell r="F1949">
            <v>34000000</v>
          </cell>
          <cell r="G1949">
            <v>34000000</v>
          </cell>
          <cell r="H1949">
            <v>34000000</v>
          </cell>
          <cell r="I1949" t="str">
            <v/>
          </cell>
          <cell r="J1949" t="str">
            <v/>
          </cell>
          <cell r="K1949" t="str">
            <v/>
          </cell>
          <cell r="L1949" t="str">
            <v/>
          </cell>
        </row>
        <row r="1950">
          <cell r="A1950">
            <v>34000000</v>
          </cell>
          <cell r="C1950">
            <v>34000000</v>
          </cell>
          <cell r="D1950">
            <v>34000000</v>
          </cell>
          <cell r="E1950">
            <v>34000000</v>
          </cell>
          <cell r="F1950">
            <v>34000000</v>
          </cell>
          <cell r="G1950">
            <v>34000000</v>
          </cell>
          <cell r="H1950">
            <v>34000000</v>
          </cell>
          <cell r="I1950" t="str">
            <v/>
          </cell>
          <cell r="J1950" t="str">
            <v/>
          </cell>
          <cell r="K1950" t="str">
            <v/>
          </cell>
          <cell r="L1950" t="str">
            <v/>
          </cell>
        </row>
        <row r="1951">
          <cell r="A1951">
            <v>34000000</v>
          </cell>
          <cell r="C1951">
            <v>34000000</v>
          </cell>
          <cell r="D1951">
            <v>34000000</v>
          </cell>
          <cell r="E1951">
            <v>34000000</v>
          </cell>
          <cell r="F1951">
            <v>34000000</v>
          </cell>
          <cell r="G1951">
            <v>34000000</v>
          </cell>
          <cell r="H1951">
            <v>34000000</v>
          </cell>
          <cell r="I1951" t="str">
            <v/>
          </cell>
          <cell r="J1951" t="str">
            <v/>
          </cell>
          <cell r="K1951" t="str">
            <v/>
          </cell>
          <cell r="L1951" t="str">
            <v/>
          </cell>
        </row>
        <row r="1952">
          <cell r="A1952">
            <v>34000000</v>
          </cell>
          <cell r="C1952">
            <v>34000000</v>
          </cell>
          <cell r="D1952">
            <v>34000000</v>
          </cell>
          <cell r="E1952">
            <v>34000000</v>
          </cell>
          <cell r="F1952">
            <v>34000000</v>
          </cell>
          <cell r="G1952">
            <v>34000000</v>
          </cell>
          <cell r="H1952">
            <v>34000000</v>
          </cell>
          <cell r="I1952" t="str">
            <v/>
          </cell>
          <cell r="J1952" t="str">
            <v/>
          </cell>
          <cell r="K1952" t="str">
            <v/>
          </cell>
          <cell r="L1952" t="str">
            <v/>
          </cell>
        </row>
        <row r="1953">
          <cell r="A1953">
            <v>34000000</v>
          </cell>
          <cell r="C1953">
            <v>34000000</v>
          </cell>
          <cell r="D1953">
            <v>34000000</v>
          </cell>
          <cell r="E1953">
            <v>34000000</v>
          </cell>
          <cell r="F1953">
            <v>34000000</v>
          </cell>
          <cell r="G1953">
            <v>34000000</v>
          </cell>
          <cell r="H1953">
            <v>34000000</v>
          </cell>
          <cell r="I1953" t="str">
            <v/>
          </cell>
          <cell r="J1953" t="str">
            <v/>
          </cell>
          <cell r="K1953" t="str">
            <v/>
          </cell>
          <cell r="L1953" t="str">
            <v/>
          </cell>
        </row>
        <row r="1954">
          <cell r="A1954">
            <v>34000000</v>
          </cell>
          <cell r="C1954">
            <v>34000000</v>
          </cell>
          <cell r="D1954">
            <v>34000000</v>
          </cell>
          <cell r="E1954">
            <v>34000000</v>
          </cell>
          <cell r="F1954">
            <v>34000000</v>
          </cell>
          <cell r="G1954">
            <v>34000000</v>
          </cell>
          <cell r="H1954">
            <v>34000000</v>
          </cell>
          <cell r="I1954" t="str">
            <v/>
          </cell>
          <cell r="J1954" t="str">
            <v/>
          </cell>
          <cell r="K1954" t="str">
            <v/>
          </cell>
          <cell r="L1954" t="str">
            <v/>
          </cell>
        </row>
        <row r="1955">
          <cell r="A1955">
            <v>34000000</v>
          </cell>
          <cell r="C1955">
            <v>34000000</v>
          </cell>
          <cell r="D1955">
            <v>34000000</v>
          </cell>
          <cell r="E1955">
            <v>34000000</v>
          </cell>
          <cell r="F1955">
            <v>34000000</v>
          </cell>
          <cell r="G1955">
            <v>34000000</v>
          </cell>
          <cell r="H1955">
            <v>34000000</v>
          </cell>
          <cell r="I1955" t="str">
            <v/>
          </cell>
          <cell r="J1955" t="str">
            <v/>
          </cell>
          <cell r="K1955" t="str">
            <v/>
          </cell>
          <cell r="L1955" t="str">
            <v/>
          </cell>
        </row>
        <row r="1956">
          <cell r="A1956">
            <v>34000000</v>
          </cell>
          <cell r="C1956">
            <v>34000000</v>
          </cell>
          <cell r="D1956">
            <v>34000000</v>
          </cell>
          <cell r="E1956">
            <v>34000000</v>
          </cell>
          <cell r="F1956">
            <v>34000000</v>
          </cell>
          <cell r="G1956">
            <v>34000000</v>
          </cell>
          <cell r="H1956">
            <v>34000000</v>
          </cell>
          <cell r="I1956" t="str">
            <v/>
          </cell>
          <cell r="J1956" t="str">
            <v/>
          </cell>
          <cell r="K1956" t="str">
            <v/>
          </cell>
          <cell r="L1956" t="str">
            <v/>
          </cell>
        </row>
        <row r="1957">
          <cell r="A1957">
            <v>34000000</v>
          </cell>
          <cell r="C1957">
            <v>34000000</v>
          </cell>
          <cell r="D1957">
            <v>34000000</v>
          </cell>
          <cell r="E1957">
            <v>34000000</v>
          </cell>
          <cell r="F1957">
            <v>34000000</v>
          </cell>
          <cell r="G1957">
            <v>34000000</v>
          </cell>
          <cell r="H1957">
            <v>34000000</v>
          </cell>
          <cell r="I1957" t="str">
            <v/>
          </cell>
          <cell r="J1957" t="str">
            <v/>
          </cell>
          <cell r="K1957" t="str">
            <v/>
          </cell>
          <cell r="L1957" t="str">
            <v/>
          </cell>
        </row>
        <row r="1958">
          <cell r="A1958">
            <v>34000000</v>
          </cell>
          <cell r="C1958">
            <v>34000000</v>
          </cell>
          <cell r="D1958">
            <v>34000000</v>
          </cell>
          <cell r="E1958">
            <v>34000000</v>
          </cell>
          <cell r="F1958">
            <v>34000000</v>
          </cell>
          <cell r="G1958">
            <v>34000000</v>
          </cell>
          <cell r="H1958">
            <v>34000000</v>
          </cell>
          <cell r="I1958" t="str">
            <v/>
          </cell>
          <cell r="J1958" t="str">
            <v/>
          </cell>
          <cell r="K1958" t="str">
            <v/>
          </cell>
          <cell r="L1958" t="str">
            <v/>
          </cell>
        </row>
        <row r="1959">
          <cell r="A1959">
            <v>34000000</v>
          </cell>
          <cell r="C1959">
            <v>34000000</v>
          </cell>
          <cell r="D1959">
            <v>34000000</v>
          </cell>
          <cell r="E1959">
            <v>34000000</v>
          </cell>
          <cell r="F1959">
            <v>34000000</v>
          </cell>
          <cell r="G1959">
            <v>34000000</v>
          </cell>
          <cell r="H1959">
            <v>34000000</v>
          </cell>
          <cell r="I1959" t="str">
            <v/>
          </cell>
          <cell r="J1959" t="str">
            <v/>
          </cell>
          <cell r="K1959" t="str">
            <v/>
          </cell>
          <cell r="L1959" t="str">
            <v/>
          </cell>
        </row>
        <row r="1960">
          <cell r="A1960">
            <v>34000000</v>
          </cell>
          <cell r="C1960">
            <v>34000000</v>
          </cell>
          <cell r="D1960">
            <v>34000000</v>
          </cell>
          <cell r="E1960">
            <v>34000000</v>
          </cell>
          <cell r="F1960">
            <v>34000000</v>
          </cell>
          <cell r="G1960">
            <v>34000000</v>
          </cell>
          <cell r="H1960">
            <v>34000000</v>
          </cell>
          <cell r="I1960" t="str">
            <v/>
          </cell>
          <cell r="J1960" t="str">
            <v/>
          </cell>
          <cell r="K1960" t="str">
            <v/>
          </cell>
          <cell r="L1960" t="str">
            <v/>
          </cell>
        </row>
        <row r="1961">
          <cell r="A1961">
            <v>34000000</v>
          </cell>
          <cell r="C1961">
            <v>34000000</v>
          </cell>
          <cell r="D1961">
            <v>34000000</v>
          </cell>
          <cell r="E1961">
            <v>34000000</v>
          </cell>
          <cell r="F1961">
            <v>34000000</v>
          </cell>
          <cell r="G1961">
            <v>34000000</v>
          </cell>
          <cell r="H1961">
            <v>34000000</v>
          </cell>
          <cell r="I1961" t="str">
            <v/>
          </cell>
          <cell r="J1961" t="str">
            <v/>
          </cell>
          <cell r="K1961" t="str">
            <v/>
          </cell>
          <cell r="L1961" t="str">
            <v/>
          </cell>
        </row>
        <row r="1962">
          <cell r="A1962">
            <v>34000000</v>
          </cell>
          <cell r="C1962">
            <v>34000000</v>
          </cell>
          <cell r="D1962">
            <v>34000000</v>
          </cell>
          <cell r="E1962">
            <v>34000000</v>
          </cell>
          <cell r="F1962">
            <v>34000000</v>
          </cell>
          <cell r="G1962">
            <v>34000000</v>
          </cell>
          <cell r="H1962">
            <v>34000000</v>
          </cell>
          <cell r="I1962" t="str">
            <v/>
          </cell>
          <cell r="J1962" t="str">
            <v/>
          </cell>
          <cell r="K1962" t="str">
            <v/>
          </cell>
          <cell r="L1962" t="str">
            <v/>
          </cell>
        </row>
        <row r="1963">
          <cell r="A1963">
            <v>34000000</v>
          </cell>
          <cell r="C1963">
            <v>34000000</v>
          </cell>
          <cell r="D1963">
            <v>34000000</v>
          </cell>
          <cell r="E1963">
            <v>34000000</v>
          </cell>
          <cell r="F1963">
            <v>34000000</v>
          </cell>
          <cell r="G1963">
            <v>34000000</v>
          </cell>
          <cell r="H1963">
            <v>34000000</v>
          </cell>
          <cell r="I1963" t="str">
            <v/>
          </cell>
          <cell r="J1963" t="str">
            <v/>
          </cell>
          <cell r="K1963" t="str">
            <v/>
          </cell>
          <cell r="L1963" t="str">
            <v/>
          </cell>
        </row>
        <row r="1964">
          <cell r="A1964">
            <v>34000000</v>
          </cell>
          <cell r="C1964">
            <v>34000000</v>
          </cell>
          <cell r="D1964">
            <v>34000000</v>
          </cell>
          <cell r="E1964">
            <v>34000000</v>
          </cell>
          <cell r="F1964">
            <v>34000000</v>
          </cell>
          <cell r="G1964">
            <v>34000000</v>
          </cell>
          <cell r="H1964">
            <v>34000000</v>
          </cell>
          <cell r="I1964" t="str">
            <v/>
          </cell>
          <cell r="J1964" t="str">
            <v/>
          </cell>
          <cell r="K1964" t="str">
            <v/>
          </cell>
          <cell r="L1964" t="str">
            <v/>
          </cell>
        </row>
        <row r="1965">
          <cell r="A1965">
            <v>34000000</v>
          </cell>
          <cell r="C1965">
            <v>34000000</v>
          </cell>
          <cell r="D1965">
            <v>34000000</v>
          </cell>
          <cell r="E1965">
            <v>34000000</v>
          </cell>
          <cell r="F1965">
            <v>34000000</v>
          </cell>
          <cell r="G1965">
            <v>34000000</v>
          </cell>
          <cell r="H1965">
            <v>34000000</v>
          </cell>
          <cell r="I1965" t="str">
            <v/>
          </cell>
          <cell r="J1965" t="str">
            <v/>
          </cell>
          <cell r="K1965" t="str">
            <v/>
          </cell>
          <cell r="L1965" t="str">
            <v/>
          </cell>
        </row>
        <row r="1966">
          <cell r="A1966">
            <v>34000000</v>
          </cell>
          <cell r="C1966">
            <v>34000000</v>
          </cell>
          <cell r="D1966">
            <v>34000000</v>
          </cell>
          <cell r="E1966">
            <v>34000000</v>
          </cell>
          <cell r="F1966">
            <v>34000000</v>
          </cell>
          <cell r="G1966">
            <v>34000000</v>
          </cell>
          <cell r="H1966">
            <v>34000000</v>
          </cell>
          <cell r="I1966" t="str">
            <v/>
          </cell>
          <cell r="J1966" t="str">
            <v/>
          </cell>
          <cell r="K1966" t="str">
            <v/>
          </cell>
          <cell r="L1966" t="str">
            <v/>
          </cell>
        </row>
        <row r="1967">
          <cell r="A1967">
            <v>34000000</v>
          </cell>
          <cell r="C1967">
            <v>34000000</v>
          </cell>
          <cell r="D1967">
            <v>34000000</v>
          </cell>
          <cell r="E1967">
            <v>34000000</v>
          </cell>
          <cell r="F1967">
            <v>34000000</v>
          </cell>
          <cell r="G1967">
            <v>34000000</v>
          </cell>
          <cell r="H1967">
            <v>34000000</v>
          </cell>
          <cell r="I1967" t="str">
            <v/>
          </cell>
          <cell r="J1967" t="str">
            <v/>
          </cell>
          <cell r="K1967" t="str">
            <v/>
          </cell>
          <cell r="L1967" t="str">
            <v/>
          </cell>
        </row>
        <row r="1968">
          <cell r="A1968">
            <v>34000000</v>
          </cell>
          <cell r="C1968">
            <v>34000000</v>
          </cell>
          <cell r="D1968">
            <v>34000000</v>
          </cell>
          <cell r="E1968">
            <v>34000000</v>
          </cell>
          <cell r="F1968">
            <v>34000000</v>
          </cell>
          <cell r="G1968">
            <v>34000000</v>
          </cell>
          <cell r="H1968">
            <v>34000000</v>
          </cell>
          <cell r="I1968" t="str">
            <v/>
          </cell>
          <cell r="J1968" t="str">
            <v/>
          </cell>
          <cell r="K1968" t="str">
            <v/>
          </cell>
          <cell r="L1968" t="str">
            <v/>
          </cell>
        </row>
        <row r="1969">
          <cell r="A1969">
            <v>34000000</v>
          </cell>
          <cell r="C1969">
            <v>34000000</v>
          </cell>
          <cell r="D1969">
            <v>34000000</v>
          </cell>
          <cell r="E1969">
            <v>34000000</v>
          </cell>
          <cell r="F1969">
            <v>34000000</v>
          </cell>
          <cell r="G1969">
            <v>34000000</v>
          </cell>
          <cell r="H1969">
            <v>34000000</v>
          </cell>
          <cell r="I1969" t="str">
            <v/>
          </cell>
          <cell r="J1969" t="str">
            <v/>
          </cell>
          <cell r="K1969" t="str">
            <v/>
          </cell>
          <cell r="L1969" t="str">
            <v/>
          </cell>
        </row>
        <row r="1970">
          <cell r="A1970">
            <v>34000000</v>
          </cell>
          <cell r="C1970">
            <v>34000000</v>
          </cell>
          <cell r="D1970">
            <v>34000000</v>
          </cell>
          <cell r="E1970">
            <v>34000000</v>
          </cell>
          <cell r="F1970">
            <v>34000000</v>
          </cell>
          <cell r="G1970">
            <v>34000000</v>
          </cell>
          <cell r="H1970">
            <v>34000000</v>
          </cell>
          <cell r="I1970" t="str">
            <v/>
          </cell>
          <cell r="J1970" t="str">
            <v/>
          </cell>
          <cell r="K1970" t="str">
            <v/>
          </cell>
          <cell r="L1970" t="str">
            <v/>
          </cell>
        </row>
        <row r="1971">
          <cell r="A1971">
            <v>34000000</v>
          </cell>
          <cell r="C1971">
            <v>34000000</v>
          </cell>
          <cell r="D1971">
            <v>34000000</v>
          </cell>
          <cell r="E1971">
            <v>34000000</v>
          </cell>
          <cell r="F1971">
            <v>34000000</v>
          </cell>
          <cell r="G1971">
            <v>34000000</v>
          </cell>
          <cell r="H1971">
            <v>34000000</v>
          </cell>
          <cell r="I1971" t="str">
            <v/>
          </cell>
          <cell r="J1971" t="str">
            <v/>
          </cell>
          <cell r="K1971" t="str">
            <v/>
          </cell>
          <cell r="L1971" t="str">
            <v/>
          </cell>
        </row>
        <row r="1972">
          <cell r="A1972">
            <v>34000000</v>
          </cell>
          <cell r="C1972">
            <v>34000000</v>
          </cell>
          <cell r="D1972">
            <v>34000000</v>
          </cell>
          <cell r="E1972">
            <v>34000000</v>
          </cell>
          <cell r="F1972">
            <v>34000000</v>
          </cell>
          <cell r="G1972">
            <v>34000000</v>
          </cell>
          <cell r="H1972">
            <v>34000000</v>
          </cell>
          <cell r="I1972" t="str">
            <v/>
          </cell>
          <cell r="J1972" t="str">
            <v/>
          </cell>
          <cell r="K1972" t="str">
            <v/>
          </cell>
          <cell r="L1972" t="str">
            <v/>
          </cell>
        </row>
        <row r="1973">
          <cell r="A1973">
            <v>34000000</v>
          </cell>
          <cell r="C1973">
            <v>34000000</v>
          </cell>
          <cell r="D1973">
            <v>34000000</v>
          </cell>
          <cell r="E1973">
            <v>34000000</v>
          </cell>
          <cell r="F1973">
            <v>34000000</v>
          </cell>
          <cell r="G1973">
            <v>34000000</v>
          </cell>
          <cell r="H1973">
            <v>34000000</v>
          </cell>
          <cell r="I1973" t="str">
            <v/>
          </cell>
          <cell r="J1973" t="str">
            <v/>
          </cell>
          <cell r="K1973" t="str">
            <v/>
          </cell>
          <cell r="L1973" t="str">
            <v/>
          </cell>
        </row>
        <row r="1974">
          <cell r="A1974">
            <v>34000000</v>
          </cell>
          <cell r="C1974">
            <v>34000000</v>
          </cell>
          <cell r="D1974">
            <v>34000000</v>
          </cell>
          <cell r="E1974">
            <v>34000000</v>
          </cell>
          <cell r="F1974">
            <v>34000000</v>
          </cell>
          <cell r="G1974">
            <v>34000000</v>
          </cell>
          <cell r="H1974">
            <v>34000000</v>
          </cell>
          <cell r="I1974" t="str">
            <v/>
          </cell>
          <cell r="J1974" t="str">
            <v/>
          </cell>
          <cell r="K1974" t="str">
            <v/>
          </cell>
          <cell r="L1974" t="str">
            <v/>
          </cell>
        </row>
        <row r="1975">
          <cell r="A1975">
            <v>34000000</v>
          </cell>
          <cell r="C1975">
            <v>34000000</v>
          </cell>
          <cell r="D1975">
            <v>34000000</v>
          </cell>
          <cell r="E1975">
            <v>34000000</v>
          </cell>
          <cell r="F1975">
            <v>34000000</v>
          </cell>
          <cell r="G1975">
            <v>34000000</v>
          </cell>
          <cell r="H1975">
            <v>34000000</v>
          </cell>
          <cell r="I1975" t="str">
            <v/>
          </cell>
          <cell r="J1975" t="str">
            <v/>
          </cell>
          <cell r="K1975" t="str">
            <v/>
          </cell>
          <cell r="L1975" t="str">
            <v/>
          </cell>
        </row>
        <row r="1976">
          <cell r="A1976">
            <v>34000000</v>
          </cell>
          <cell r="C1976">
            <v>34000000</v>
          </cell>
          <cell r="D1976">
            <v>34000000</v>
          </cell>
          <cell r="E1976">
            <v>34000000</v>
          </cell>
          <cell r="F1976">
            <v>34000000</v>
          </cell>
          <cell r="G1976">
            <v>34000000</v>
          </cell>
          <cell r="H1976">
            <v>34000000</v>
          </cell>
          <cell r="I1976" t="str">
            <v/>
          </cell>
          <cell r="J1976" t="str">
            <v/>
          </cell>
          <cell r="K1976" t="str">
            <v/>
          </cell>
          <cell r="L1976" t="str">
            <v/>
          </cell>
        </row>
        <row r="1977">
          <cell r="A1977">
            <v>34000000</v>
          </cell>
          <cell r="C1977">
            <v>34000000</v>
          </cell>
          <cell r="D1977">
            <v>34000000</v>
          </cell>
          <cell r="E1977">
            <v>34000000</v>
          </cell>
          <cell r="F1977">
            <v>34000000</v>
          </cell>
          <cell r="G1977">
            <v>34000000</v>
          </cell>
          <cell r="H1977">
            <v>34000000</v>
          </cell>
          <cell r="I1977" t="str">
            <v/>
          </cell>
          <cell r="J1977" t="str">
            <v/>
          </cell>
          <cell r="K1977" t="str">
            <v/>
          </cell>
          <cell r="L1977" t="str">
            <v/>
          </cell>
        </row>
        <row r="1978">
          <cell r="A1978">
            <v>34000000</v>
          </cell>
          <cell r="C1978">
            <v>34000000</v>
          </cell>
          <cell r="D1978">
            <v>34000000</v>
          </cell>
          <cell r="E1978">
            <v>34000000</v>
          </cell>
          <cell r="F1978">
            <v>34000000</v>
          </cell>
          <cell r="G1978">
            <v>34000000</v>
          </cell>
          <cell r="H1978">
            <v>34000000</v>
          </cell>
          <cell r="I1978" t="str">
            <v/>
          </cell>
          <cell r="J1978" t="str">
            <v/>
          </cell>
          <cell r="K1978" t="str">
            <v/>
          </cell>
          <cell r="L1978" t="str">
            <v/>
          </cell>
        </row>
        <row r="1979">
          <cell r="A1979">
            <v>34000000</v>
          </cell>
          <cell r="C1979">
            <v>34000000</v>
          </cell>
          <cell r="D1979">
            <v>34000000</v>
          </cell>
          <cell r="E1979">
            <v>34000000</v>
          </cell>
          <cell r="F1979">
            <v>34000000</v>
          </cell>
          <cell r="G1979">
            <v>34000000</v>
          </cell>
          <cell r="H1979">
            <v>34000000</v>
          </cell>
          <cell r="I1979" t="str">
            <v/>
          </cell>
          <cell r="J1979" t="str">
            <v/>
          </cell>
          <cell r="K1979" t="str">
            <v/>
          </cell>
          <cell r="L1979" t="str">
            <v/>
          </cell>
        </row>
        <row r="1980">
          <cell r="A1980">
            <v>34000000</v>
          </cell>
          <cell r="C1980">
            <v>34000000</v>
          </cell>
          <cell r="D1980">
            <v>34000000</v>
          </cell>
          <cell r="E1980">
            <v>34000000</v>
          </cell>
          <cell r="F1980">
            <v>34000000</v>
          </cell>
          <cell r="G1980">
            <v>34000000</v>
          </cell>
          <cell r="H1980">
            <v>34000000</v>
          </cell>
          <cell r="I1980" t="str">
            <v/>
          </cell>
          <cell r="J1980" t="str">
            <v/>
          </cell>
          <cell r="K1980" t="str">
            <v/>
          </cell>
          <cell r="L1980" t="str">
            <v/>
          </cell>
        </row>
        <row r="1981">
          <cell r="A1981">
            <v>34000000</v>
          </cell>
          <cell r="C1981">
            <v>34000000</v>
          </cell>
          <cell r="D1981">
            <v>34000000</v>
          </cell>
          <cell r="E1981">
            <v>34000000</v>
          </cell>
          <cell r="F1981">
            <v>34000000</v>
          </cell>
          <cell r="G1981">
            <v>34000000</v>
          </cell>
          <cell r="H1981">
            <v>34000000</v>
          </cell>
          <cell r="I1981" t="str">
            <v/>
          </cell>
          <cell r="J1981" t="str">
            <v/>
          </cell>
          <cell r="K1981" t="str">
            <v/>
          </cell>
          <cell r="L1981" t="str">
            <v/>
          </cell>
        </row>
        <row r="1982">
          <cell r="A1982">
            <v>34000000</v>
          </cell>
          <cell r="C1982">
            <v>34000000</v>
          </cell>
          <cell r="D1982">
            <v>34000000</v>
          </cell>
          <cell r="E1982">
            <v>34000000</v>
          </cell>
          <cell r="F1982">
            <v>34000000</v>
          </cell>
          <cell r="G1982">
            <v>34000000</v>
          </cell>
          <cell r="H1982">
            <v>34000000</v>
          </cell>
          <cell r="I1982" t="str">
            <v/>
          </cell>
          <cell r="J1982" t="str">
            <v/>
          </cell>
          <cell r="K1982" t="str">
            <v/>
          </cell>
          <cell r="L1982" t="str">
            <v/>
          </cell>
        </row>
        <row r="1983">
          <cell r="A1983">
            <v>34000000</v>
          </cell>
          <cell r="C1983">
            <v>34000000</v>
          </cell>
          <cell r="D1983">
            <v>34000000</v>
          </cell>
          <cell r="E1983">
            <v>34000000</v>
          </cell>
          <cell r="F1983">
            <v>34000000</v>
          </cell>
          <cell r="G1983">
            <v>34000000</v>
          </cell>
          <cell r="H1983">
            <v>34000000</v>
          </cell>
          <cell r="I1983" t="str">
            <v/>
          </cell>
          <cell r="J1983" t="str">
            <v/>
          </cell>
          <cell r="K1983" t="str">
            <v/>
          </cell>
          <cell r="L1983" t="str">
            <v/>
          </cell>
        </row>
        <row r="1984">
          <cell r="A1984">
            <v>34000000</v>
          </cell>
          <cell r="C1984">
            <v>34000000</v>
          </cell>
          <cell r="D1984">
            <v>34000000</v>
          </cell>
          <cell r="E1984">
            <v>34000000</v>
          </cell>
          <cell r="F1984">
            <v>34000000</v>
          </cell>
          <cell r="G1984">
            <v>34000000</v>
          </cell>
          <cell r="H1984">
            <v>34000000</v>
          </cell>
          <cell r="I1984" t="str">
            <v/>
          </cell>
          <cell r="J1984" t="str">
            <v/>
          </cell>
          <cell r="K1984" t="str">
            <v/>
          </cell>
          <cell r="L1984" t="str">
            <v/>
          </cell>
        </row>
        <row r="1985">
          <cell r="A1985">
            <v>34000000</v>
          </cell>
          <cell r="C1985">
            <v>34000000</v>
          </cell>
          <cell r="D1985">
            <v>34000000</v>
          </cell>
          <cell r="E1985">
            <v>34000000</v>
          </cell>
          <cell r="F1985">
            <v>34000000</v>
          </cell>
          <cell r="G1985">
            <v>34000000</v>
          </cell>
          <cell r="H1985">
            <v>34000000</v>
          </cell>
          <cell r="I1985" t="str">
            <v/>
          </cell>
          <cell r="J1985" t="str">
            <v/>
          </cell>
          <cell r="K1985" t="str">
            <v/>
          </cell>
          <cell r="L1985" t="str">
            <v/>
          </cell>
        </row>
        <row r="1986">
          <cell r="A1986">
            <v>34000000</v>
          </cell>
          <cell r="C1986">
            <v>34000000</v>
          </cell>
          <cell r="D1986">
            <v>34000000</v>
          </cell>
          <cell r="E1986">
            <v>34000000</v>
          </cell>
          <cell r="F1986">
            <v>34000000</v>
          </cell>
          <cell r="G1986">
            <v>34000000</v>
          </cell>
          <cell r="H1986">
            <v>34000000</v>
          </cell>
          <cell r="I1986" t="str">
            <v/>
          </cell>
          <cell r="J1986" t="str">
            <v/>
          </cell>
          <cell r="K1986" t="str">
            <v/>
          </cell>
          <cell r="L1986" t="str">
            <v/>
          </cell>
        </row>
        <row r="1987">
          <cell r="A1987">
            <v>34000000</v>
          </cell>
          <cell r="C1987">
            <v>34000000</v>
          </cell>
          <cell r="D1987">
            <v>34000000</v>
          </cell>
          <cell r="E1987">
            <v>34000000</v>
          </cell>
          <cell r="F1987">
            <v>34000000</v>
          </cell>
          <cell r="G1987">
            <v>34000000</v>
          </cell>
          <cell r="H1987">
            <v>34000000</v>
          </cell>
          <cell r="I1987" t="str">
            <v/>
          </cell>
          <cell r="J1987" t="str">
            <v/>
          </cell>
          <cell r="K1987" t="str">
            <v/>
          </cell>
          <cell r="L1987" t="str">
            <v/>
          </cell>
        </row>
        <row r="1988">
          <cell r="A1988">
            <v>34000000</v>
          </cell>
          <cell r="C1988">
            <v>34000000</v>
          </cell>
          <cell r="D1988">
            <v>34000000</v>
          </cell>
          <cell r="E1988">
            <v>34000000</v>
          </cell>
          <cell r="F1988">
            <v>34000000</v>
          </cell>
          <cell r="G1988">
            <v>34000000</v>
          </cell>
          <cell r="H1988">
            <v>34000000</v>
          </cell>
          <cell r="I1988" t="str">
            <v/>
          </cell>
          <cell r="J1988" t="str">
            <v/>
          </cell>
          <cell r="K1988" t="str">
            <v/>
          </cell>
          <cell r="L1988" t="str">
            <v/>
          </cell>
        </row>
        <row r="1989">
          <cell r="A1989">
            <v>34000000</v>
          </cell>
          <cell r="C1989">
            <v>34000000</v>
          </cell>
          <cell r="D1989">
            <v>34000000</v>
          </cell>
          <cell r="E1989">
            <v>34000000</v>
          </cell>
          <cell r="F1989">
            <v>34000000</v>
          </cell>
          <cell r="G1989">
            <v>34000000</v>
          </cell>
          <cell r="H1989">
            <v>34000000</v>
          </cell>
          <cell r="I1989" t="str">
            <v/>
          </cell>
          <cell r="J1989" t="str">
            <v/>
          </cell>
          <cell r="K1989" t="str">
            <v/>
          </cell>
          <cell r="L1989" t="str">
            <v/>
          </cell>
        </row>
        <row r="1990">
          <cell r="A1990">
            <v>34000000</v>
          </cell>
          <cell r="C1990">
            <v>34000000</v>
          </cell>
          <cell r="D1990">
            <v>34000000</v>
          </cell>
          <cell r="E1990">
            <v>34000000</v>
          </cell>
          <cell r="F1990">
            <v>34000000</v>
          </cell>
          <cell r="G1990">
            <v>34000000</v>
          </cell>
          <cell r="H1990">
            <v>34000000</v>
          </cell>
          <cell r="I1990" t="str">
            <v/>
          </cell>
          <cell r="J1990" t="str">
            <v/>
          </cell>
          <cell r="K1990" t="str">
            <v/>
          </cell>
          <cell r="L1990" t="str">
            <v/>
          </cell>
        </row>
        <row r="1991">
          <cell r="A1991">
            <v>34000000</v>
          </cell>
          <cell r="C1991">
            <v>34000000</v>
          </cell>
          <cell r="D1991">
            <v>34000000</v>
          </cell>
          <cell r="E1991">
            <v>34000000</v>
          </cell>
          <cell r="F1991">
            <v>34000000</v>
          </cell>
          <cell r="G1991">
            <v>34000000</v>
          </cell>
          <cell r="H1991">
            <v>34000000</v>
          </cell>
          <cell r="I1991" t="str">
            <v/>
          </cell>
          <cell r="J1991" t="str">
            <v/>
          </cell>
          <cell r="K1991" t="str">
            <v/>
          </cell>
          <cell r="L1991" t="str">
            <v/>
          </cell>
        </row>
        <row r="1992">
          <cell r="A1992">
            <v>34000000</v>
          </cell>
          <cell r="C1992">
            <v>34000000</v>
          </cell>
          <cell r="D1992">
            <v>34000000</v>
          </cell>
          <cell r="E1992">
            <v>34000000</v>
          </cell>
          <cell r="F1992">
            <v>34000000</v>
          </cell>
          <cell r="G1992">
            <v>34000000</v>
          </cell>
          <cell r="H1992">
            <v>34000000</v>
          </cell>
          <cell r="I1992" t="str">
            <v/>
          </cell>
          <cell r="J1992" t="str">
            <v/>
          </cell>
          <cell r="K1992" t="str">
            <v/>
          </cell>
          <cell r="L1992" t="str">
            <v/>
          </cell>
        </row>
        <row r="1993">
          <cell r="A1993">
            <v>34000000</v>
          </cell>
          <cell r="C1993">
            <v>34000000</v>
          </cell>
          <cell r="D1993">
            <v>34000000</v>
          </cell>
          <cell r="E1993">
            <v>34000000</v>
          </cell>
          <cell r="F1993">
            <v>34000000</v>
          </cell>
          <cell r="G1993">
            <v>34000000</v>
          </cell>
          <cell r="H1993">
            <v>34000000</v>
          </cell>
          <cell r="I1993" t="str">
            <v/>
          </cell>
          <cell r="J1993" t="str">
            <v/>
          </cell>
          <cell r="K1993" t="str">
            <v/>
          </cell>
          <cell r="L1993" t="str">
            <v/>
          </cell>
        </row>
        <row r="1994">
          <cell r="A1994">
            <v>34000000</v>
          </cell>
          <cell r="C1994">
            <v>34000000</v>
          </cell>
          <cell r="D1994">
            <v>34000000</v>
          </cell>
          <cell r="E1994">
            <v>34000000</v>
          </cell>
          <cell r="F1994">
            <v>34000000</v>
          </cell>
          <cell r="G1994">
            <v>34000000</v>
          </cell>
          <cell r="H1994">
            <v>34000000</v>
          </cell>
          <cell r="I1994" t="str">
            <v/>
          </cell>
          <cell r="J1994" t="str">
            <v/>
          </cell>
          <cell r="K1994" t="str">
            <v/>
          </cell>
          <cell r="L1994" t="str">
            <v/>
          </cell>
        </row>
        <row r="1995">
          <cell r="A1995">
            <v>34000000</v>
          </cell>
          <cell r="C1995">
            <v>34000000</v>
          </cell>
          <cell r="D1995">
            <v>34000000</v>
          </cell>
          <cell r="E1995">
            <v>34000000</v>
          </cell>
          <cell r="F1995">
            <v>34000000</v>
          </cell>
          <cell r="G1995">
            <v>34000000</v>
          </cell>
          <cell r="H1995">
            <v>34000000</v>
          </cell>
          <cell r="I1995" t="str">
            <v/>
          </cell>
          <cell r="J1995" t="str">
            <v/>
          </cell>
          <cell r="K1995" t="str">
            <v/>
          </cell>
          <cell r="L1995" t="str">
            <v/>
          </cell>
        </row>
        <row r="1996">
          <cell r="A1996">
            <v>34000000</v>
          </cell>
          <cell r="C1996">
            <v>34000000</v>
          </cell>
          <cell r="D1996">
            <v>34000000</v>
          </cell>
          <cell r="E1996">
            <v>34000000</v>
          </cell>
          <cell r="F1996">
            <v>34000000</v>
          </cell>
          <cell r="G1996">
            <v>34000000</v>
          </cell>
          <cell r="H1996">
            <v>34000000</v>
          </cell>
          <cell r="I1996" t="str">
            <v/>
          </cell>
          <cell r="J1996" t="str">
            <v/>
          </cell>
          <cell r="K1996" t="str">
            <v/>
          </cell>
          <cell r="L1996" t="str">
            <v/>
          </cell>
        </row>
        <row r="1997">
          <cell r="A1997">
            <v>34000000</v>
          </cell>
          <cell r="C1997">
            <v>34000000</v>
          </cell>
          <cell r="D1997">
            <v>34000000</v>
          </cell>
          <cell r="E1997">
            <v>34000000</v>
          </cell>
          <cell r="F1997">
            <v>34000000</v>
          </cell>
          <cell r="G1997">
            <v>34000000</v>
          </cell>
          <cell r="H1997">
            <v>34000000</v>
          </cell>
          <cell r="I1997" t="str">
            <v/>
          </cell>
          <cell r="J1997" t="str">
            <v/>
          </cell>
          <cell r="K1997" t="str">
            <v/>
          </cell>
          <cell r="L1997" t="str">
            <v/>
          </cell>
        </row>
        <row r="1998">
          <cell r="A1998">
            <v>34000000</v>
          </cell>
          <cell r="C1998">
            <v>34000000</v>
          </cell>
          <cell r="D1998">
            <v>34000000</v>
          </cell>
          <cell r="E1998">
            <v>34000000</v>
          </cell>
          <cell r="F1998">
            <v>34000000</v>
          </cell>
          <cell r="G1998">
            <v>34000000</v>
          </cell>
          <cell r="H1998">
            <v>34000000</v>
          </cell>
          <cell r="I1998" t="str">
            <v/>
          </cell>
          <cell r="J1998" t="str">
            <v/>
          </cell>
          <cell r="K1998" t="str">
            <v/>
          </cell>
          <cell r="L1998" t="str">
            <v/>
          </cell>
        </row>
        <row r="1999">
          <cell r="A1999">
            <v>34000000</v>
          </cell>
          <cell r="C1999">
            <v>34000000</v>
          </cell>
          <cell r="D1999">
            <v>34000000</v>
          </cell>
          <cell r="E1999">
            <v>34000000</v>
          </cell>
          <cell r="F1999">
            <v>34000000</v>
          </cell>
          <cell r="G1999">
            <v>34000000</v>
          </cell>
          <cell r="H1999">
            <v>34000000</v>
          </cell>
          <cell r="I1999" t="str">
            <v/>
          </cell>
          <cell r="J1999" t="str">
            <v/>
          </cell>
          <cell r="K1999" t="str">
            <v/>
          </cell>
          <cell r="L1999" t="str">
            <v/>
          </cell>
        </row>
        <row r="2000">
          <cell r="A2000">
            <v>34000000</v>
          </cell>
          <cell r="C2000">
            <v>34000000</v>
          </cell>
          <cell r="D2000">
            <v>34000000</v>
          </cell>
          <cell r="E2000">
            <v>34000000</v>
          </cell>
          <cell r="F2000">
            <v>34000000</v>
          </cell>
          <cell r="G2000">
            <v>34000000</v>
          </cell>
          <cell r="H2000">
            <v>34000000</v>
          </cell>
          <cell r="I2000" t="str">
            <v/>
          </cell>
          <cell r="J2000" t="str">
            <v/>
          </cell>
          <cell r="K2000" t="str">
            <v/>
          </cell>
          <cell r="L2000" t="str">
            <v/>
          </cell>
        </row>
        <row r="2001">
          <cell r="A2001">
            <v>34000000</v>
          </cell>
          <cell r="C2001">
            <v>34000000</v>
          </cell>
          <cell r="D2001">
            <v>34000000</v>
          </cell>
          <cell r="E2001">
            <v>34000000</v>
          </cell>
          <cell r="F2001">
            <v>34000000</v>
          </cell>
          <cell r="G2001">
            <v>34000000</v>
          </cell>
          <cell r="H2001">
            <v>34000000</v>
          </cell>
          <cell r="I2001" t="str">
            <v/>
          </cell>
          <cell r="J2001" t="str">
            <v/>
          </cell>
          <cell r="K2001" t="str">
            <v/>
          </cell>
          <cell r="L2001" t="str">
            <v/>
          </cell>
        </row>
        <row r="2002">
          <cell r="A2002">
            <v>34000000</v>
          </cell>
          <cell r="C2002">
            <v>34000000</v>
          </cell>
          <cell r="D2002">
            <v>34000000</v>
          </cell>
          <cell r="E2002">
            <v>34000000</v>
          </cell>
          <cell r="F2002">
            <v>34000000</v>
          </cell>
          <cell r="G2002">
            <v>34000000</v>
          </cell>
          <cell r="H2002">
            <v>34000000</v>
          </cell>
          <cell r="I2002" t="str">
            <v/>
          </cell>
          <cell r="J2002" t="str">
            <v/>
          </cell>
          <cell r="K2002" t="str">
            <v/>
          </cell>
          <cell r="L2002" t="str">
            <v/>
          </cell>
        </row>
        <row r="2003">
          <cell r="A2003">
            <v>34000000</v>
          </cell>
          <cell r="C2003">
            <v>34000000</v>
          </cell>
          <cell r="D2003">
            <v>34000000</v>
          </cell>
          <cell r="E2003">
            <v>34000000</v>
          </cell>
          <cell r="F2003">
            <v>34000000</v>
          </cell>
          <cell r="G2003">
            <v>34000000</v>
          </cell>
          <cell r="H2003">
            <v>34000000</v>
          </cell>
          <cell r="I2003" t="str">
            <v/>
          </cell>
          <cell r="J2003" t="str">
            <v/>
          </cell>
          <cell r="K2003" t="str">
            <v/>
          </cell>
          <cell r="L2003" t="str">
            <v/>
          </cell>
        </row>
        <row r="2004">
          <cell r="A2004">
            <v>34000000</v>
          </cell>
          <cell r="C2004">
            <v>34000000</v>
          </cell>
          <cell r="D2004">
            <v>34000000</v>
          </cell>
          <cell r="E2004">
            <v>34000000</v>
          </cell>
          <cell r="F2004">
            <v>34000000</v>
          </cell>
          <cell r="G2004">
            <v>34000000</v>
          </cell>
          <cell r="H2004">
            <v>34000000</v>
          </cell>
          <cell r="I2004" t="str">
            <v/>
          </cell>
          <cell r="J2004" t="str">
            <v/>
          </cell>
          <cell r="K2004" t="str">
            <v/>
          </cell>
          <cell r="L2004" t="str">
            <v/>
          </cell>
        </row>
        <row r="2005">
          <cell r="A2005">
            <v>34000000</v>
          </cell>
          <cell r="C2005">
            <v>34000000</v>
          </cell>
          <cell r="D2005">
            <v>34000000</v>
          </cell>
          <cell r="E2005">
            <v>34000000</v>
          </cell>
          <cell r="F2005">
            <v>34000000</v>
          </cell>
          <cell r="G2005">
            <v>34000000</v>
          </cell>
          <cell r="H2005">
            <v>34000000</v>
          </cell>
          <cell r="I2005" t="str">
            <v/>
          </cell>
          <cell r="J2005" t="str">
            <v/>
          </cell>
          <cell r="K2005" t="str">
            <v/>
          </cell>
          <cell r="L2005" t="str">
            <v/>
          </cell>
        </row>
        <row r="2006">
          <cell r="A2006">
            <v>34000000</v>
          </cell>
          <cell r="C2006">
            <v>34000000</v>
          </cell>
          <cell r="D2006">
            <v>34000000</v>
          </cell>
          <cell r="E2006">
            <v>34000000</v>
          </cell>
          <cell r="F2006">
            <v>34000000</v>
          </cell>
          <cell r="G2006">
            <v>34000000</v>
          </cell>
          <cell r="H2006">
            <v>34000000</v>
          </cell>
          <cell r="I2006" t="str">
            <v/>
          </cell>
          <cell r="J2006" t="str">
            <v/>
          </cell>
          <cell r="K2006" t="str">
            <v/>
          </cell>
          <cell r="L2006" t="str">
            <v/>
          </cell>
        </row>
        <row r="2007">
          <cell r="A2007">
            <v>34000000</v>
          </cell>
          <cell r="C2007">
            <v>34000000</v>
          </cell>
          <cell r="D2007">
            <v>34000000</v>
          </cell>
          <cell r="E2007">
            <v>34000000</v>
          </cell>
          <cell r="F2007">
            <v>34000000</v>
          </cell>
          <cell r="G2007">
            <v>34000000</v>
          </cell>
          <cell r="H2007">
            <v>34000000</v>
          </cell>
          <cell r="I2007" t="str">
            <v/>
          </cell>
          <cell r="J2007" t="str">
            <v/>
          </cell>
          <cell r="K2007" t="str">
            <v/>
          </cell>
          <cell r="L2007" t="str">
            <v/>
          </cell>
        </row>
        <row r="2008">
          <cell r="A2008">
            <v>34000000</v>
          </cell>
          <cell r="C2008">
            <v>34000000</v>
          </cell>
          <cell r="D2008">
            <v>34000000</v>
          </cell>
          <cell r="E2008">
            <v>34000000</v>
          </cell>
          <cell r="F2008">
            <v>34000000</v>
          </cell>
          <cell r="G2008">
            <v>34000000</v>
          </cell>
          <cell r="H2008">
            <v>34000000</v>
          </cell>
          <cell r="I2008" t="str">
            <v/>
          </cell>
          <cell r="J2008" t="str">
            <v/>
          </cell>
          <cell r="K2008" t="str">
            <v/>
          </cell>
          <cell r="L2008" t="str">
            <v/>
          </cell>
        </row>
        <row r="2009">
          <cell r="A2009">
            <v>34000000</v>
          </cell>
          <cell r="C2009">
            <v>34000000</v>
          </cell>
          <cell r="D2009">
            <v>34000000</v>
          </cell>
          <cell r="E2009">
            <v>34000000</v>
          </cell>
          <cell r="F2009">
            <v>34000000</v>
          </cell>
          <cell r="G2009">
            <v>34000000</v>
          </cell>
          <cell r="H2009">
            <v>34000000</v>
          </cell>
          <cell r="I2009" t="str">
            <v/>
          </cell>
          <cell r="J2009" t="str">
            <v/>
          </cell>
          <cell r="K2009" t="str">
            <v/>
          </cell>
          <cell r="L2009" t="str">
            <v/>
          </cell>
        </row>
        <row r="2010">
          <cell r="A2010">
            <v>34000000</v>
          </cell>
          <cell r="C2010">
            <v>34000000</v>
          </cell>
          <cell r="D2010">
            <v>34000000</v>
          </cell>
          <cell r="E2010">
            <v>34000000</v>
          </cell>
          <cell r="F2010">
            <v>34000000</v>
          </cell>
          <cell r="G2010">
            <v>34000000</v>
          </cell>
          <cell r="H2010">
            <v>34000000</v>
          </cell>
          <cell r="I2010" t="str">
            <v/>
          </cell>
          <cell r="J2010" t="str">
            <v/>
          </cell>
          <cell r="K2010" t="str">
            <v/>
          </cell>
          <cell r="L2010" t="str">
            <v/>
          </cell>
        </row>
        <row r="2011">
          <cell r="A2011">
            <v>34000000</v>
          </cell>
          <cell r="C2011">
            <v>34000000</v>
          </cell>
          <cell r="D2011">
            <v>34000000</v>
          </cell>
          <cell r="E2011">
            <v>34000000</v>
          </cell>
          <cell r="F2011">
            <v>34000000</v>
          </cell>
          <cell r="G2011">
            <v>34000000</v>
          </cell>
          <cell r="H2011">
            <v>34000000</v>
          </cell>
          <cell r="I2011" t="str">
            <v/>
          </cell>
          <cell r="J2011" t="str">
            <v/>
          </cell>
          <cell r="K2011" t="str">
            <v/>
          </cell>
          <cell r="L2011" t="str">
            <v/>
          </cell>
        </row>
        <row r="2012">
          <cell r="A2012">
            <v>34000000</v>
          </cell>
          <cell r="C2012">
            <v>34000000</v>
          </cell>
          <cell r="D2012">
            <v>34000000</v>
          </cell>
          <cell r="E2012">
            <v>34000000</v>
          </cell>
          <cell r="F2012">
            <v>34000000</v>
          </cell>
          <cell r="G2012">
            <v>34000000</v>
          </cell>
          <cell r="H2012">
            <v>34000000</v>
          </cell>
          <cell r="I2012" t="str">
            <v/>
          </cell>
          <cell r="J2012" t="str">
            <v/>
          </cell>
          <cell r="K2012" t="str">
            <v/>
          </cell>
          <cell r="L2012" t="str">
            <v/>
          </cell>
        </row>
        <row r="2013">
          <cell r="A2013">
            <v>34000000</v>
          </cell>
          <cell r="C2013">
            <v>34000000</v>
          </cell>
          <cell r="D2013">
            <v>34000000</v>
          </cell>
          <cell r="E2013">
            <v>34000000</v>
          </cell>
          <cell r="F2013">
            <v>34000000</v>
          </cell>
          <cell r="G2013">
            <v>34000000</v>
          </cell>
          <cell r="H2013">
            <v>34000000</v>
          </cell>
          <cell r="I2013" t="str">
            <v/>
          </cell>
          <cell r="J2013" t="str">
            <v/>
          </cell>
          <cell r="K2013" t="str">
            <v/>
          </cell>
          <cell r="L2013" t="str">
            <v/>
          </cell>
        </row>
        <row r="2014">
          <cell r="A2014">
            <v>34000000</v>
          </cell>
          <cell r="C2014">
            <v>34000000</v>
          </cell>
          <cell r="D2014">
            <v>34000000</v>
          </cell>
          <cell r="E2014">
            <v>34000000</v>
          </cell>
          <cell r="F2014">
            <v>34000000</v>
          </cell>
          <cell r="G2014">
            <v>34000000</v>
          </cell>
          <cell r="H2014">
            <v>34000000</v>
          </cell>
          <cell r="I2014" t="str">
            <v/>
          </cell>
          <cell r="J2014" t="str">
            <v/>
          </cell>
          <cell r="K2014" t="str">
            <v/>
          </cell>
          <cell r="L2014" t="str">
            <v/>
          </cell>
        </row>
        <row r="2015">
          <cell r="A2015">
            <v>34000000</v>
          </cell>
          <cell r="C2015">
            <v>34000000</v>
          </cell>
          <cell r="D2015">
            <v>34000000</v>
          </cell>
          <cell r="E2015">
            <v>34000000</v>
          </cell>
          <cell r="F2015">
            <v>34000000</v>
          </cell>
          <cell r="G2015">
            <v>34000000</v>
          </cell>
          <cell r="H2015">
            <v>34000000</v>
          </cell>
          <cell r="I2015" t="str">
            <v/>
          </cell>
          <cell r="J2015" t="str">
            <v/>
          </cell>
          <cell r="K2015" t="str">
            <v/>
          </cell>
          <cell r="L2015" t="str">
            <v/>
          </cell>
        </row>
        <row r="2016">
          <cell r="A2016">
            <v>34000000</v>
          </cell>
          <cell r="C2016">
            <v>34000000</v>
          </cell>
          <cell r="D2016">
            <v>34000000</v>
          </cell>
          <cell r="E2016">
            <v>34000000</v>
          </cell>
          <cell r="F2016">
            <v>34000000</v>
          </cell>
          <cell r="G2016">
            <v>34000000</v>
          </cell>
          <cell r="H2016">
            <v>34000000</v>
          </cell>
          <cell r="I2016" t="str">
            <v/>
          </cell>
          <cell r="J2016" t="str">
            <v/>
          </cell>
          <cell r="K2016" t="str">
            <v/>
          </cell>
          <cell r="L2016" t="str">
            <v/>
          </cell>
        </row>
        <row r="2017">
          <cell r="A2017">
            <v>34000000</v>
          </cell>
          <cell r="C2017">
            <v>34000000</v>
          </cell>
          <cell r="D2017">
            <v>34000000</v>
          </cell>
          <cell r="E2017">
            <v>34000000</v>
          </cell>
          <cell r="F2017">
            <v>34000000</v>
          </cell>
          <cell r="G2017">
            <v>34000000</v>
          </cell>
          <cell r="H2017">
            <v>34000000</v>
          </cell>
          <cell r="I2017" t="str">
            <v/>
          </cell>
          <cell r="J2017" t="str">
            <v/>
          </cell>
          <cell r="K2017" t="str">
            <v/>
          </cell>
          <cell r="L2017" t="str">
            <v/>
          </cell>
        </row>
        <row r="2018">
          <cell r="A2018">
            <v>34000000</v>
          </cell>
          <cell r="C2018">
            <v>34000000</v>
          </cell>
          <cell r="D2018">
            <v>34000000</v>
          </cell>
          <cell r="E2018">
            <v>34000000</v>
          </cell>
          <cell r="F2018">
            <v>34000000</v>
          </cell>
          <cell r="G2018">
            <v>34000000</v>
          </cell>
          <cell r="H2018">
            <v>34000000</v>
          </cell>
          <cell r="I2018" t="str">
            <v/>
          </cell>
          <cell r="J2018" t="str">
            <v/>
          </cell>
          <cell r="K2018" t="str">
            <v/>
          </cell>
          <cell r="L2018" t="str">
            <v/>
          </cell>
        </row>
        <row r="2019">
          <cell r="A2019">
            <v>34000000</v>
          </cell>
          <cell r="C2019">
            <v>34000000</v>
          </cell>
          <cell r="D2019">
            <v>34000000</v>
          </cell>
          <cell r="E2019">
            <v>34000000</v>
          </cell>
          <cell r="F2019">
            <v>34000000</v>
          </cell>
          <cell r="G2019">
            <v>34000000</v>
          </cell>
          <cell r="H2019">
            <v>34000000</v>
          </cell>
          <cell r="I2019" t="str">
            <v/>
          </cell>
          <cell r="J2019" t="str">
            <v/>
          </cell>
          <cell r="K2019" t="str">
            <v/>
          </cell>
          <cell r="L2019" t="str">
            <v/>
          </cell>
        </row>
        <row r="2020">
          <cell r="A2020">
            <v>34000000</v>
          </cell>
          <cell r="C2020">
            <v>34000000</v>
          </cell>
          <cell r="D2020">
            <v>34000000</v>
          </cell>
          <cell r="E2020">
            <v>34000000</v>
          </cell>
          <cell r="F2020">
            <v>34000000</v>
          </cell>
          <cell r="G2020">
            <v>34000000</v>
          </cell>
          <cell r="H2020">
            <v>34000000</v>
          </cell>
          <cell r="I2020" t="str">
            <v/>
          </cell>
          <cell r="J2020" t="str">
            <v/>
          </cell>
          <cell r="K2020" t="str">
            <v/>
          </cell>
          <cell r="L2020" t="str">
            <v/>
          </cell>
        </row>
        <row r="2021">
          <cell r="A2021">
            <v>34000000</v>
          </cell>
          <cell r="C2021">
            <v>34000000</v>
          </cell>
          <cell r="D2021">
            <v>34000000</v>
          </cell>
          <cell r="E2021">
            <v>34000000</v>
          </cell>
          <cell r="F2021">
            <v>34000000</v>
          </cell>
          <cell r="G2021">
            <v>34000000</v>
          </cell>
          <cell r="H2021">
            <v>34000000</v>
          </cell>
          <cell r="I2021" t="str">
            <v/>
          </cell>
          <cell r="J2021" t="str">
            <v/>
          </cell>
          <cell r="K2021" t="str">
            <v/>
          </cell>
          <cell r="L2021" t="str">
            <v/>
          </cell>
        </row>
        <row r="2022">
          <cell r="A2022">
            <v>34000000</v>
          </cell>
          <cell r="C2022">
            <v>34000000</v>
          </cell>
          <cell r="D2022">
            <v>34000000</v>
          </cell>
          <cell r="E2022">
            <v>34000000</v>
          </cell>
          <cell r="F2022">
            <v>34000000</v>
          </cell>
          <cell r="G2022">
            <v>34000000</v>
          </cell>
          <cell r="H2022">
            <v>34000000</v>
          </cell>
          <cell r="I2022" t="str">
            <v/>
          </cell>
          <cell r="J2022" t="str">
            <v/>
          </cell>
          <cell r="K2022" t="str">
            <v/>
          </cell>
          <cell r="L2022" t="str">
            <v/>
          </cell>
        </row>
        <row r="2023">
          <cell r="A2023">
            <v>34000000</v>
          </cell>
          <cell r="C2023">
            <v>34000000</v>
          </cell>
          <cell r="D2023">
            <v>34000000</v>
          </cell>
          <cell r="E2023">
            <v>34000000</v>
          </cell>
          <cell r="F2023">
            <v>34000000</v>
          </cell>
          <cell r="G2023">
            <v>34000000</v>
          </cell>
          <cell r="H2023">
            <v>34000000</v>
          </cell>
          <cell r="I2023" t="str">
            <v/>
          </cell>
          <cell r="J2023" t="str">
            <v/>
          </cell>
          <cell r="K2023" t="str">
            <v/>
          </cell>
          <cell r="L2023" t="str">
            <v/>
          </cell>
        </row>
        <row r="2024">
          <cell r="A2024">
            <v>34000000</v>
          </cell>
          <cell r="C2024">
            <v>34000000</v>
          </cell>
          <cell r="D2024">
            <v>34000000</v>
          </cell>
          <cell r="E2024">
            <v>34000000</v>
          </cell>
          <cell r="F2024">
            <v>34000000</v>
          </cell>
          <cell r="G2024">
            <v>34000000</v>
          </cell>
          <cell r="H2024">
            <v>34000000</v>
          </cell>
          <cell r="I2024" t="str">
            <v/>
          </cell>
          <cell r="J2024" t="str">
            <v/>
          </cell>
          <cell r="K2024" t="str">
            <v/>
          </cell>
          <cell r="L2024" t="str">
            <v/>
          </cell>
        </row>
        <row r="2025">
          <cell r="A2025">
            <v>34000000</v>
          </cell>
          <cell r="C2025">
            <v>34000000</v>
          </cell>
          <cell r="D2025">
            <v>34000000</v>
          </cell>
          <cell r="E2025">
            <v>34000000</v>
          </cell>
          <cell r="F2025">
            <v>34000000</v>
          </cell>
          <cell r="G2025">
            <v>34000000</v>
          </cell>
          <cell r="H2025">
            <v>34000000</v>
          </cell>
          <cell r="I2025" t="str">
            <v/>
          </cell>
          <cell r="J2025" t="str">
            <v/>
          </cell>
          <cell r="K2025" t="str">
            <v/>
          </cell>
          <cell r="L2025" t="str">
            <v/>
          </cell>
        </row>
        <row r="2026">
          <cell r="A2026">
            <v>34000000</v>
          </cell>
          <cell r="C2026">
            <v>34000000</v>
          </cell>
          <cell r="D2026">
            <v>34000000</v>
          </cell>
          <cell r="E2026">
            <v>34000000</v>
          </cell>
          <cell r="F2026">
            <v>34000000</v>
          </cell>
          <cell r="G2026">
            <v>34000000</v>
          </cell>
          <cell r="H2026">
            <v>34000000</v>
          </cell>
          <cell r="I2026" t="str">
            <v/>
          </cell>
          <cell r="J2026" t="str">
            <v/>
          </cell>
          <cell r="K2026" t="str">
            <v/>
          </cell>
          <cell r="L2026" t="str">
            <v/>
          </cell>
        </row>
        <row r="2027">
          <cell r="A2027">
            <v>34000000</v>
          </cell>
          <cell r="C2027">
            <v>34000000</v>
          </cell>
          <cell r="D2027">
            <v>34000000</v>
          </cell>
          <cell r="E2027">
            <v>34000000</v>
          </cell>
          <cell r="F2027">
            <v>34000000</v>
          </cell>
          <cell r="G2027">
            <v>34000000</v>
          </cell>
          <cell r="H2027">
            <v>34000000</v>
          </cell>
          <cell r="I2027" t="str">
            <v/>
          </cell>
          <cell r="J2027" t="str">
            <v/>
          </cell>
          <cell r="K2027" t="str">
            <v/>
          </cell>
          <cell r="L2027" t="str">
            <v/>
          </cell>
        </row>
        <row r="2028">
          <cell r="A2028">
            <v>34000000</v>
          </cell>
          <cell r="C2028">
            <v>34000000</v>
          </cell>
          <cell r="D2028">
            <v>34000000</v>
          </cell>
          <cell r="E2028">
            <v>34000000</v>
          </cell>
          <cell r="F2028">
            <v>34000000</v>
          </cell>
          <cell r="G2028">
            <v>34000000</v>
          </cell>
          <cell r="H2028">
            <v>34000000</v>
          </cell>
          <cell r="I2028" t="str">
            <v/>
          </cell>
          <cell r="J2028" t="str">
            <v/>
          </cell>
          <cell r="K2028" t="str">
            <v/>
          </cell>
          <cell r="L2028" t="str">
            <v/>
          </cell>
        </row>
        <row r="2029">
          <cell r="A2029">
            <v>34000000</v>
          </cell>
          <cell r="C2029">
            <v>34000000</v>
          </cell>
          <cell r="D2029">
            <v>34000000</v>
          </cell>
          <cell r="E2029">
            <v>34000000</v>
          </cell>
          <cell r="F2029">
            <v>34000000</v>
          </cell>
          <cell r="G2029">
            <v>34000000</v>
          </cell>
          <cell r="H2029">
            <v>34000000</v>
          </cell>
          <cell r="I2029" t="str">
            <v/>
          </cell>
          <cell r="J2029" t="str">
            <v/>
          </cell>
          <cell r="K2029" t="str">
            <v/>
          </cell>
          <cell r="L2029" t="str">
            <v/>
          </cell>
        </row>
        <row r="2030">
          <cell r="A2030">
            <v>34000000</v>
          </cell>
          <cell r="C2030">
            <v>34000000</v>
          </cell>
          <cell r="D2030">
            <v>34000000</v>
          </cell>
          <cell r="E2030">
            <v>34000000</v>
          </cell>
          <cell r="F2030">
            <v>34000000</v>
          </cell>
          <cell r="G2030">
            <v>34000000</v>
          </cell>
          <cell r="H2030">
            <v>34000000</v>
          </cell>
          <cell r="I2030" t="str">
            <v/>
          </cell>
          <cell r="J2030" t="str">
            <v/>
          </cell>
          <cell r="K2030" t="str">
            <v/>
          </cell>
          <cell r="L2030" t="str">
            <v/>
          </cell>
        </row>
        <row r="2031">
          <cell r="A2031">
            <v>34000000</v>
          </cell>
          <cell r="C2031">
            <v>34000000</v>
          </cell>
          <cell r="D2031">
            <v>34000000</v>
          </cell>
          <cell r="E2031">
            <v>34000000</v>
          </cell>
          <cell r="F2031">
            <v>34000000</v>
          </cell>
          <cell r="G2031">
            <v>34000000</v>
          </cell>
          <cell r="H2031">
            <v>34000000</v>
          </cell>
          <cell r="I2031" t="str">
            <v/>
          </cell>
          <cell r="J2031" t="str">
            <v/>
          </cell>
          <cell r="K2031" t="str">
            <v/>
          </cell>
          <cell r="L2031" t="str">
            <v/>
          </cell>
        </row>
        <row r="2032">
          <cell r="A2032">
            <v>34000000</v>
          </cell>
          <cell r="C2032">
            <v>34000000</v>
          </cell>
          <cell r="D2032">
            <v>34000000</v>
          </cell>
          <cell r="E2032">
            <v>34000000</v>
          </cell>
          <cell r="F2032">
            <v>34000000</v>
          </cell>
          <cell r="G2032">
            <v>34000000</v>
          </cell>
          <cell r="H2032">
            <v>34000000</v>
          </cell>
          <cell r="I2032" t="str">
            <v/>
          </cell>
          <cell r="J2032" t="str">
            <v/>
          </cell>
          <cell r="K2032" t="str">
            <v/>
          </cell>
          <cell r="L2032" t="str">
            <v/>
          </cell>
        </row>
        <row r="2033">
          <cell r="A2033">
            <v>34000000</v>
          </cell>
          <cell r="C2033">
            <v>34000000</v>
          </cell>
          <cell r="D2033">
            <v>34000000</v>
          </cell>
          <cell r="E2033">
            <v>34000000</v>
          </cell>
          <cell r="F2033">
            <v>34000000</v>
          </cell>
          <cell r="G2033">
            <v>34000000</v>
          </cell>
          <cell r="H2033">
            <v>34000000</v>
          </cell>
          <cell r="I2033" t="str">
            <v/>
          </cell>
          <cell r="J2033" t="str">
            <v/>
          </cell>
          <cell r="K2033" t="str">
            <v/>
          </cell>
          <cell r="L2033" t="str">
            <v/>
          </cell>
        </row>
        <row r="2034">
          <cell r="A2034">
            <v>34000000</v>
          </cell>
          <cell r="C2034">
            <v>34000000</v>
          </cell>
          <cell r="D2034">
            <v>34000000</v>
          </cell>
          <cell r="E2034">
            <v>34000000</v>
          </cell>
          <cell r="F2034">
            <v>34000000</v>
          </cell>
          <cell r="G2034">
            <v>34000000</v>
          </cell>
          <cell r="H2034">
            <v>34000000</v>
          </cell>
          <cell r="I2034" t="str">
            <v/>
          </cell>
          <cell r="J2034" t="str">
            <v/>
          </cell>
          <cell r="K2034" t="str">
            <v/>
          </cell>
          <cell r="L2034" t="str">
            <v/>
          </cell>
        </row>
        <row r="2035">
          <cell r="A2035">
            <v>34000000</v>
          </cell>
          <cell r="C2035">
            <v>34000000</v>
          </cell>
          <cell r="D2035">
            <v>34000000</v>
          </cell>
          <cell r="E2035">
            <v>34000000</v>
          </cell>
          <cell r="F2035">
            <v>34000000</v>
          </cell>
          <cell r="G2035">
            <v>34000000</v>
          </cell>
          <cell r="H2035">
            <v>34000000</v>
          </cell>
          <cell r="I2035" t="str">
            <v/>
          </cell>
          <cell r="J2035" t="str">
            <v/>
          </cell>
          <cell r="K2035" t="str">
            <v/>
          </cell>
          <cell r="L2035" t="str">
            <v/>
          </cell>
        </row>
        <row r="2036">
          <cell r="A2036">
            <v>34000000</v>
          </cell>
          <cell r="C2036">
            <v>34000000</v>
          </cell>
          <cell r="D2036">
            <v>34000000</v>
          </cell>
          <cell r="E2036">
            <v>34000000</v>
          </cell>
          <cell r="F2036">
            <v>34000000</v>
          </cell>
          <cell r="G2036">
            <v>34000000</v>
          </cell>
          <cell r="H2036">
            <v>34000000</v>
          </cell>
          <cell r="I2036" t="str">
            <v/>
          </cell>
          <cell r="J2036" t="str">
            <v/>
          </cell>
          <cell r="K2036" t="str">
            <v/>
          </cell>
          <cell r="L2036" t="str">
            <v/>
          </cell>
        </row>
        <row r="2037">
          <cell r="A2037">
            <v>34000000</v>
          </cell>
          <cell r="C2037">
            <v>34000000</v>
          </cell>
          <cell r="D2037">
            <v>34000000</v>
          </cell>
          <cell r="E2037">
            <v>34000000</v>
          </cell>
          <cell r="F2037">
            <v>34000000</v>
          </cell>
          <cell r="G2037">
            <v>34000000</v>
          </cell>
          <cell r="H2037">
            <v>34000000</v>
          </cell>
          <cell r="I2037" t="str">
            <v/>
          </cell>
          <cell r="J2037" t="str">
            <v/>
          </cell>
          <cell r="K2037" t="str">
            <v/>
          </cell>
          <cell r="L2037" t="str">
            <v/>
          </cell>
        </row>
        <row r="2038">
          <cell r="A2038">
            <v>34000000</v>
          </cell>
          <cell r="C2038">
            <v>34000000</v>
          </cell>
          <cell r="D2038">
            <v>34000000</v>
          </cell>
          <cell r="E2038">
            <v>34000000</v>
          </cell>
          <cell r="F2038">
            <v>34000000</v>
          </cell>
          <cell r="G2038">
            <v>34000000</v>
          </cell>
          <cell r="H2038">
            <v>34000000</v>
          </cell>
          <cell r="I2038" t="str">
            <v/>
          </cell>
          <cell r="J2038" t="str">
            <v/>
          </cell>
          <cell r="K2038" t="str">
            <v/>
          </cell>
          <cell r="L2038" t="str">
            <v/>
          </cell>
        </row>
        <row r="2039">
          <cell r="A2039">
            <v>34000000</v>
          </cell>
          <cell r="C2039">
            <v>34000000</v>
          </cell>
          <cell r="D2039">
            <v>34000000</v>
          </cell>
          <cell r="E2039">
            <v>34000000</v>
          </cell>
          <cell r="F2039">
            <v>34000000</v>
          </cell>
          <cell r="G2039">
            <v>34000000</v>
          </cell>
          <cell r="H2039">
            <v>34000000</v>
          </cell>
          <cell r="I2039" t="str">
            <v/>
          </cell>
          <cell r="J2039" t="str">
            <v/>
          </cell>
          <cell r="K2039" t="str">
            <v/>
          </cell>
          <cell r="L2039" t="str">
            <v/>
          </cell>
        </row>
        <row r="2040">
          <cell r="A2040">
            <v>34000000</v>
          </cell>
          <cell r="C2040">
            <v>34000000</v>
          </cell>
          <cell r="D2040">
            <v>34000000</v>
          </cell>
          <cell r="E2040">
            <v>34000000</v>
          </cell>
          <cell r="F2040">
            <v>34000000</v>
          </cell>
          <cell r="G2040">
            <v>34000000</v>
          </cell>
          <cell r="H2040">
            <v>34000000</v>
          </cell>
          <cell r="I2040" t="str">
            <v/>
          </cell>
          <cell r="J2040" t="str">
            <v/>
          </cell>
          <cell r="K2040" t="str">
            <v/>
          </cell>
          <cell r="L2040" t="str">
            <v/>
          </cell>
        </row>
        <row r="2041">
          <cell r="A2041">
            <v>34000000</v>
          </cell>
          <cell r="C2041">
            <v>34000000</v>
          </cell>
          <cell r="D2041">
            <v>34000000</v>
          </cell>
          <cell r="E2041">
            <v>34000000</v>
          </cell>
          <cell r="F2041">
            <v>34000000</v>
          </cell>
          <cell r="G2041">
            <v>34000000</v>
          </cell>
          <cell r="H2041">
            <v>34000000</v>
          </cell>
          <cell r="I2041" t="str">
            <v/>
          </cell>
          <cell r="J2041" t="str">
            <v/>
          </cell>
          <cell r="K2041" t="str">
            <v/>
          </cell>
          <cell r="L2041" t="str">
            <v/>
          </cell>
        </row>
        <row r="2042">
          <cell r="A2042">
            <v>34000000</v>
          </cell>
          <cell r="C2042">
            <v>34000000</v>
          </cell>
          <cell r="D2042">
            <v>34000000</v>
          </cell>
          <cell r="E2042">
            <v>34000000</v>
          </cell>
          <cell r="F2042">
            <v>34000000</v>
          </cell>
          <cell r="G2042">
            <v>34000000</v>
          </cell>
          <cell r="H2042">
            <v>34000000</v>
          </cell>
          <cell r="I2042" t="str">
            <v/>
          </cell>
          <cell r="J2042" t="str">
            <v/>
          </cell>
          <cell r="K2042" t="str">
            <v/>
          </cell>
          <cell r="L2042" t="str">
            <v/>
          </cell>
        </row>
        <row r="2043">
          <cell r="A2043">
            <v>34000000</v>
          </cell>
          <cell r="C2043">
            <v>34000000</v>
          </cell>
          <cell r="D2043">
            <v>34000000</v>
          </cell>
          <cell r="E2043">
            <v>34000000</v>
          </cell>
          <cell r="F2043">
            <v>34000000</v>
          </cell>
          <cell r="G2043">
            <v>34000000</v>
          </cell>
          <cell r="H2043">
            <v>34000000</v>
          </cell>
          <cell r="I2043" t="str">
            <v/>
          </cell>
          <cell r="J2043" t="str">
            <v/>
          </cell>
          <cell r="K2043" t="str">
            <v/>
          </cell>
          <cell r="L2043" t="str">
            <v/>
          </cell>
        </row>
        <row r="2044">
          <cell r="A2044">
            <v>34000000</v>
          </cell>
          <cell r="C2044">
            <v>34000000</v>
          </cell>
          <cell r="D2044">
            <v>34000000</v>
          </cell>
          <cell r="E2044">
            <v>34000000</v>
          </cell>
          <cell r="F2044">
            <v>34000000</v>
          </cell>
          <cell r="G2044">
            <v>34000000</v>
          </cell>
          <cell r="H2044">
            <v>34000000</v>
          </cell>
          <cell r="I2044" t="str">
            <v/>
          </cell>
          <cell r="J2044" t="str">
            <v/>
          </cell>
          <cell r="K2044" t="str">
            <v/>
          </cell>
          <cell r="L2044" t="str">
            <v/>
          </cell>
        </row>
        <row r="2045">
          <cell r="A2045">
            <v>34000000</v>
          </cell>
          <cell r="C2045">
            <v>34000000</v>
          </cell>
          <cell r="D2045">
            <v>34000000</v>
          </cell>
          <cell r="E2045">
            <v>34000000</v>
          </cell>
          <cell r="F2045">
            <v>34000000</v>
          </cell>
          <cell r="G2045">
            <v>34000000</v>
          </cell>
          <cell r="H2045">
            <v>34000000</v>
          </cell>
          <cell r="I2045" t="str">
            <v/>
          </cell>
          <cell r="J2045" t="str">
            <v/>
          </cell>
          <cell r="K2045" t="str">
            <v/>
          </cell>
          <cell r="L2045" t="str">
            <v/>
          </cell>
        </row>
        <row r="2046">
          <cell r="A2046">
            <v>34000000</v>
          </cell>
          <cell r="C2046">
            <v>34000000</v>
          </cell>
          <cell r="D2046">
            <v>34000000</v>
          </cell>
          <cell r="E2046">
            <v>34000000</v>
          </cell>
          <cell r="F2046">
            <v>34000000</v>
          </cell>
          <cell r="G2046">
            <v>34000000</v>
          </cell>
          <cell r="H2046">
            <v>34000000</v>
          </cell>
          <cell r="I2046" t="str">
            <v/>
          </cell>
          <cell r="J2046" t="str">
            <v/>
          </cell>
          <cell r="K2046" t="str">
            <v/>
          </cell>
          <cell r="L2046" t="str">
            <v/>
          </cell>
        </row>
        <row r="2047">
          <cell r="A2047">
            <v>34000000</v>
          </cell>
          <cell r="C2047">
            <v>34000000</v>
          </cell>
          <cell r="D2047">
            <v>34000000</v>
          </cell>
          <cell r="E2047">
            <v>34000000</v>
          </cell>
          <cell r="F2047">
            <v>34000000</v>
          </cell>
          <cell r="G2047">
            <v>34000000</v>
          </cell>
          <cell r="H2047">
            <v>34000000</v>
          </cell>
          <cell r="I2047" t="str">
            <v/>
          </cell>
          <cell r="J2047" t="str">
            <v/>
          </cell>
          <cell r="K2047" t="str">
            <v/>
          </cell>
          <cell r="L2047" t="str">
            <v/>
          </cell>
        </row>
        <row r="2048">
          <cell r="A2048">
            <v>34000000</v>
          </cell>
          <cell r="C2048">
            <v>34000000</v>
          </cell>
          <cell r="D2048">
            <v>34000000</v>
          </cell>
          <cell r="E2048">
            <v>34000000</v>
          </cell>
          <cell r="F2048">
            <v>34000000</v>
          </cell>
          <cell r="G2048">
            <v>34000000</v>
          </cell>
          <cell r="H2048">
            <v>34000000</v>
          </cell>
          <cell r="I2048" t="str">
            <v/>
          </cell>
          <cell r="J2048" t="str">
            <v/>
          </cell>
          <cell r="K2048" t="str">
            <v/>
          </cell>
          <cell r="L2048" t="str">
            <v/>
          </cell>
        </row>
        <row r="2049">
          <cell r="A2049">
            <v>34000000</v>
          </cell>
          <cell r="C2049">
            <v>34000000</v>
          </cell>
          <cell r="D2049">
            <v>34000000</v>
          </cell>
          <cell r="E2049">
            <v>34000000</v>
          </cell>
          <cell r="F2049">
            <v>34000000</v>
          </cell>
          <cell r="G2049">
            <v>34000000</v>
          </cell>
          <cell r="H2049">
            <v>34000000</v>
          </cell>
          <cell r="I2049" t="str">
            <v/>
          </cell>
          <cell r="J2049" t="str">
            <v/>
          </cell>
          <cell r="K2049" t="str">
            <v/>
          </cell>
          <cell r="L2049" t="str">
            <v/>
          </cell>
        </row>
        <row r="2050">
          <cell r="A2050">
            <v>34000000</v>
          </cell>
          <cell r="C2050">
            <v>34000000</v>
          </cell>
          <cell r="D2050">
            <v>34000000</v>
          </cell>
          <cell r="E2050">
            <v>34000000</v>
          </cell>
          <cell r="F2050">
            <v>34000000</v>
          </cell>
          <cell r="G2050">
            <v>34000000</v>
          </cell>
          <cell r="H2050">
            <v>34000000</v>
          </cell>
          <cell r="I2050" t="str">
            <v/>
          </cell>
          <cell r="J2050" t="str">
            <v/>
          </cell>
          <cell r="K2050" t="str">
            <v/>
          </cell>
          <cell r="L2050" t="str">
            <v/>
          </cell>
        </row>
        <row r="2051">
          <cell r="A2051">
            <v>34000000</v>
          </cell>
          <cell r="C2051">
            <v>34000000</v>
          </cell>
          <cell r="D2051">
            <v>34000000</v>
          </cell>
          <cell r="E2051">
            <v>34000000</v>
          </cell>
          <cell r="F2051">
            <v>34000000</v>
          </cell>
          <cell r="G2051">
            <v>34000000</v>
          </cell>
          <cell r="H2051">
            <v>34000000</v>
          </cell>
          <cell r="I2051" t="str">
            <v/>
          </cell>
          <cell r="J2051" t="str">
            <v/>
          </cell>
          <cell r="K2051" t="str">
            <v/>
          </cell>
          <cell r="L2051" t="str">
            <v/>
          </cell>
        </row>
        <row r="2052">
          <cell r="A2052">
            <v>34000000</v>
          </cell>
          <cell r="C2052">
            <v>34000000</v>
          </cell>
          <cell r="D2052">
            <v>34000000</v>
          </cell>
          <cell r="E2052">
            <v>34000000</v>
          </cell>
          <cell r="F2052">
            <v>34000000</v>
          </cell>
          <cell r="G2052">
            <v>34000000</v>
          </cell>
          <cell r="H2052">
            <v>34000000</v>
          </cell>
          <cell r="I2052" t="str">
            <v/>
          </cell>
          <cell r="J2052" t="str">
            <v/>
          </cell>
          <cell r="K2052" t="str">
            <v/>
          </cell>
          <cell r="L2052" t="str">
            <v/>
          </cell>
        </row>
        <row r="2053">
          <cell r="A2053">
            <v>34000000</v>
          </cell>
          <cell r="C2053">
            <v>34000000</v>
          </cell>
          <cell r="D2053">
            <v>34000000</v>
          </cell>
          <cell r="E2053">
            <v>34000000</v>
          </cell>
          <cell r="F2053">
            <v>34000000</v>
          </cell>
          <cell r="G2053">
            <v>34000000</v>
          </cell>
          <cell r="H2053">
            <v>34000000</v>
          </cell>
          <cell r="I2053" t="str">
            <v/>
          </cell>
          <cell r="J2053" t="str">
            <v/>
          </cell>
          <cell r="K2053" t="str">
            <v/>
          </cell>
          <cell r="L2053" t="str">
            <v/>
          </cell>
        </row>
        <row r="2054">
          <cell r="A2054">
            <v>34000000</v>
          </cell>
          <cell r="C2054">
            <v>34000000</v>
          </cell>
          <cell r="D2054">
            <v>34000000</v>
          </cell>
          <cell r="E2054">
            <v>34000000</v>
          </cell>
          <cell r="F2054">
            <v>34000000</v>
          </cell>
          <cell r="G2054">
            <v>34000000</v>
          </cell>
          <cell r="H2054">
            <v>34000000</v>
          </cell>
          <cell r="I2054" t="str">
            <v/>
          </cell>
          <cell r="J2054" t="str">
            <v/>
          </cell>
          <cell r="K2054" t="str">
            <v/>
          </cell>
          <cell r="L2054" t="str">
            <v/>
          </cell>
        </row>
        <row r="2055">
          <cell r="A2055">
            <v>34000000</v>
          </cell>
          <cell r="C2055">
            <v>34000000</v>
          </cell>
          <cell r="D2055">
            <v>34000000</v>
          </cell>
          <cell r="E2055">
            <v>34000000</v>
          </cell>
          <cell r="F2055">
            <v>34000000</v>
          </cell>
          <cell r="G2055">
            <v>34000000</v>
          </cell>
          <cell r="H2055">
            <v>34000000</v>
          </cell>
          <cell r="I2055" t="str">
            <v/>
          </cell>
          <cell r="J2055" t="str">
            <v/>
          </cell>
          <cell r="K2055" t="str">
            <v/>
          </cell>
          <cell r="L2055" t="str">
            <v/>
          </cell>
        </row>
        <row r="2056">
          <cell r="A2056">
            <v>34000000</v>
          </cell>
          <cell r="C2056">
            <v>34000000</v>
          </cell>
          <cell r="D2056">
            <v>34000000</v>
          </cell>
          <cell r="E2056">
            <v>34000000</v>
          </cell>
          <cell r="F2056">
            <v>34000000</v>
          </cell>
          <cell r="G2056">
            <v>34000000</v>
          </cell>
          <cell r="H2056">
            <v>34000000</v>
          </cell>
          <cell r="I2056" t="str">
            <v/>
          </cell>
          <cell r="J2056" t="str">
            <v/>
          </cell>
          <cell r="K2056" t="str">
            <v/>
          </cell>
          <cell r="L2056" t="str">
            <v/>
          </cell>
        </row>
        <row r="2057">
          <cell r="A2057">
            <v>34000000</v>
          </cell>
          <cell r="C2057">
            <v>34000000</v>
          </cell>
          <cell r="D2057">
            <v>34000000</v>
          </cell>
          <cell r="E2057">
            <v>34000000</v>
          </cell>
          <cell r="F2057">
            <v>34000000</v>
          </cell>
          <cell r="G2057">
            <v>34000000</v>
          </cell>
          <cell r="H2057">
            <v>34000000</v>
          </cell>
          <cell r="I2057" t="str">
            <v/>
          </cell>
          <cell r="J2057" t="str">
            <v/>
          </cell>
          <cell r="K2057" t="str">
            <v/>
          </cell>
          <cell r="L2057" t="str">
            <v/>
          </cell>
        </row>
        <row r="2058">
          <cell r="A2058">
            <v>34000000</v>
          </cell>
          <cell r="C2058">
            <v>34000000</v>
          </cell>
          <cell r="D2058">
            <v>34000000</v>
          </cell>
          <cell r="E2058">
            <v>34000000</v>
          </cell>
          <cell r="F2058">
            <v>34000000</v>
          </cell>
          <cell r="G2058">
            <v>34000000</v>
          </cell>
          <cell r="H2058">
            <v>34000000</v>
          </cell>
          <cell r="I2058" t="str">
            <v/>
          </cell>
          <cell r="J2058" t="str">
            <v/>
          </cell>
          <cell r="K2058" t="str">
            <v/>
          </cell>
          <cell r="L2058" t="str">
            <v/>
          </cell>
        </row>
        <row r="2059">
          <cell r="A2059">
            <v>34000000</v>
          </cell>
          <cell r="C2059">
            <v>34000000</v>
          </cell>
          <cell r="D2059">
            <v>34000000</v>
          </cell>
          <cell r="E2059">
            <v>34000000</v>
          </cell>
          <cell r="F2059">
            <v>34000000</v>
          </cell>
          <cell r="G2059">
            <v>34000000</v>
          </cell>
          <cell r="H2059">
            <v>34000000</v>
          </cell>
          <cell r="I2059" t="str">
            <v/>
          </cell>
          <cell r="J2059" t="str">
            <v/>
          </cell>
          <cell r="K2059" t="str">
            <v/>
          </cell>
          <cell r="L2059" t="str">
            <v/>
          </cell>
        </row>
        <row r="2060">
          <cell r="A2060">
            <v>34000000</v>
          </cell>
          <cell r="C2060">
            <v>34000000</v>
          </cell>
          <cell r="D2060">
            <v>34000000</v>
          </cell>
          <cell r="E2060">
            <v>34000000</v>
          </cell>
          <cell r="F2060">
            <v>34000000</v>
          </cell>
          <cell r="G2060">
            <v>34000000</v>
          </cell>
          <cell r="H2060">
            <v>34000000</v>
          </cell>
          <cell r="I2060" t="str">
            <v/>
          </cell>
          <cell r="J2060" t="str">
            <v/>
          </cell>
          <cell r="K2060" t="str">
            <v/>
          </cell>
          <cell r="L2060" t="str">
            <v/>
          </cell>
        </row>
        <row r="2061">
          <cell r="A2061">
            <v>34000000</v>
          </cell>
          <cell r="C2061">
            <v>34000000</v>
          </cell>
          <cell r="D2061">
            <v>34000000</v>
          </cell>
          <cell r="E2061">
            <v>34000000</v>
          </cell>
          <cell r="F2061">
            <v>34000000</v>
          </cell>
          <cell r="G2061">
            <v>34000000</v>
          </cell>
          <cell r="H2061">
            <v>34000000</v>
          </cell>
          <cell r="I2061" t="str">
            <v/>
          </cell>
          <cell r="J2061" t="str">
            <v/>
          </cell>
          <cell r="K2061" t="str">
            <v/>
          </cell>
          <cell r="L2061" t="str">
            <v/>
          </cell>
        </row>
        <row r="2062">
          <cell r="A2062">
            <v>34000000</v>
          </cell>
          <cell r="C2062">
            <v>34000000</v>
          </cell>
          <cell r="D2062">
            <v>34000000</v>
          </cell>
          <cell r="E2062">
            <v>34000000</v>
          </cell>
          <cell r="F2062">
            <v>34000000</v>
          </cell>
          <cell r="G2062">
            <v>34000000</v>
          </cell>
          <cell r="H2062">
            <v>34000000</v>
          </cell>
          <cell r="I2062" t="str">
            <v/>
          </cell>
          <cell r="J2062" t="str">
            <v/>
          </cell>
          <cell r="K2062" t="str">
            <v/>
          </cell>
          <cell r="L2062" t="str">
            <v/>
          </cell>
        </row>
        <row r="2063">
          <cell r="A2063">
            <v>34000000</v>
          </cell>
          <cell r="C2063">
            <v>34000000</v>
          </cell>
          <cell r="D2063">
            <v>34000000</v>
          </cell>
          <cell r="E2063">
            <v>34000000</v>
          </cell>
          <cell r="F2063">
            <v>34000000</v>
          </cell>
          <cell r="G2063">
            <v>34000000</v>
          </cell>
          <cell r="H2063">
            <v>34000000</v>
          </cell>
          <cell r="I2063" t="str">
            <v/>
          </cell>
          <cell r="J2063" t="str">
            <v/>
          </cell>
          <cell r="K2063" t="str">
            <v/>
          </cell>
          <cell r="L2063" t="str">
            <v/>
          </cell>
        </row>
        <row r="2064">
          <cell r="A2064">
            <v>34000000</v>
          </cell>
          <cell r="C2064">
            <v>34000000</v>
          </cell>
          <cell r="D2064">
            <v>34000000</v>
          </cell>
          <cell r="E2064">
            <v>34000000</v>
          </cell>
          <cell r="F2064">
            <v>34000000</v>
          </cell>
          <cell r="G2064">
            <v>34000000</v>
          </cell>
          <cell r="H2064">
            <v>34000000</v>
          </cell>
          <cell r="I2064" t="str">
            <v/>
          </cell>
          <cell r="J2064" t="str">
            <v/>
          </cell>
          <cell r="K2064" t="str">
            <v/>
          </cell>
          <cell r="L2064" t="str">
            <v/>
          </cell>
        </row>
        <row r="2065">
          <cell r="A2065">
            <v>34000000</v>
          </cell>
          <cell r="C2065">
            <v>34000000</v>
          </cell>
          <cell r="D2065">
            <v>34000000</v>
          </cell>
          <cell r="E2065">
            <v>34000000</v>
          </cell>
          <cell r="F2065">
            <v>34000000</v>
          </cell>
          <cell r="G2065">
            <v>34000000</v>
          </cell>
          <cell r="H2065">
            <v>34000000</v>
          </cell>
          <cell r="I2065" t="str">
            <v/>
          </cell>
          <cell r="J2065" t="str">
            <v/>
          </cell>
          <cell r="K2065" t="str">
            <v/>
          </cell>
          <cell r="L2065" t="str">
            <v/>
          </cell>
        </row>
        <row r="2066">
          <cell r="A2066">
            <v>34000000</v>
          </cell>
          <cell r="C2066">
            <v>34000000</v>
          </cell>
          <cell r="D2066">
            <v>34000000</v>
          </cell>
          <cell r="E2066">
            <v>34000000</v>
          </cell>
          <cell r="F2066">
            <v>34000000</v>
          </cell>
          <cell r="G2066">
            <v>34000000</v>
          </cell>
          <cell r="H2066">
            <v>34000000</v>
          </cell>
          <cell r="I2066" t="str">
            <v/>
          </cell>
          <cell r="J2066" t="str">
            <v/>
          </cell>
          <cell r="K2066" t="str">
            <v/>
          </cell>
          <cell r="L2066" t="str">
            <v/>
          </cell>
        </row>
        <row r="2067">
          <cell r="A2067">
            <v>34000000</v>
          </cell>
          <cell r="C2067">
            <v>34000000</v>
          </cell>
          <cell r="D2067">
            <v>34000000</v>
          </cell>
          <cell r="E2067">
            <v>34000000</v>
          </cell>
          <cell r="F2067">
            <v>34000000</v>
          </cell>
          <cell r="G2067">
            <v>34000000</v>
          </cell>
          <cell r="H2067">
            <v>34000000</v>
          </cell>
          <cell r="I2067" t="str">
            <v/>
          </cell>
          <cell r="J2067" t="str">
            <v/>
          </cell>
          <cell r="K2067" t="str">
            <v/>
          </cell>
          <cell r="L2067" t="str">
            <v/>
          </cell>
        </row>
        <row r="2068">
          <cell r="A2068">
            <v>34000000</v>
          </cell>
          <cell r="C2068">
            <v>34000000</v>
          </cell>
          <cell r="D2068">
            <v>34000000</v>
          </cell>
          <cell r="E2068">
            <v>34000000</v>
          </cell>
          <cell r="F2068">
            <v>34000000</v>
          </cell>
          <cell r="G2068">
            <v>34000000</v>
          </cell>
          <cell r="H2068">
            <v>34000000</v>
          </cell>
          <cell r="I2068" t="str">
            <v/>
          </cell>
          <cell r="J2068" t="str">
            <v/>
          </cell>
          <cell r="K2068" t="str">
            <v/>
          </cell>
          <cell r="L2068" t="str">
            <v/>
          </cell>
        </row>
        <row r="2069">
          <cell r="A2069">
            <v>34000000</v>
          </cell>
          <cell r="C2069">
            <v>34000000</v>
          </cell>
          <cell r="D2069">
            <v>34000000</v>
          </cell>
          <cell r="E2069">
            <v>34000000</v>
          </cell>
          <cell r="F2069">
            <v>34000000</v>
          </cell>
          <cell r="G2069">
            <v>34000000</v>
          </cell>
          <cell r="H2069">
            <v>34000000</v>
          </cell>
          <cell r="I2069" t="str">
            <v/>
          </cell>
          <cell r="J2069" t="str">
            <v/>
          </cell>
          <cell r="K2069" t="str">
            <v/>
          </cell>
          <cell r="L2069" t="str">
            <v/>
          </cell>
        </row>
        <row r="2070">
          <cell r="A2070">
            <v>34000000</v>
          </cell>
          <cell r="C2070">
            <v>34000000</v>
          </cell>
          <cell r="D2070">
            <v>34000000</v>
          </cell>
          <cell r="E2070">
            <v>34000000</v>
          </cell>
          <cell r="F2070">
            <v>34000000</v>
          </cell>
          <cell r="G2070">
            <v>34000000</v>
          </cell>
          <cell r="H2070">
            <v>34000000</v>
          </cell>
          <cell r="I2070" t="str">
            <v/>
          </cell>
          <cell r="J2070" t="str">
            <v/>
          </cell>
          <cell r="K2070" t="str">
            <v/>
          </cell>
          <cell r="L2070" t="str">
            <v/>
          </cell>
        </row>
        <row r="2071">
          <cell r="A2071">
            <v>34000000</v>
          </cell>
          <cell r="C2071">
            <v>34000000</v>
          </cell>
          <cell r="D2071">
            <v>34000000</v>
          </cell>
          <cell r="E2071">
            <v>34000000</v>
          </cell>
          <cell r="F2071">
            <v>34000000</v>
          </cell>
          <cell r="G2071">
            <v>34000000</v>
          </cell>
          <cell r="H2071">
            <v>34000000</v>
          </cell>
          <cell r="I2071" t="str">
            <v/>
          </cell>
          <cell r="J2071" t="str">
            <v/>
          </cell>
          <cell r="K2071" t="str">
            <v/>
          </cell>
          <cell r="L2071" t="str">
            <v/>
          </cell>
        </row>
        <row r="2072">
          <cell r="A2072">
            <v>34000000</v>
          </cell>
          <cell r="C2072">
            <v>34000000</v>
          </cell>
          <cell r="D2072">
            <v>34000000</v>
          </cell>
          <cell r="E2072">
            <v>34000000</v>
          </cell>
          <cell r="F2072">
            <v>34000000</v>
          </cell>
          <cell r="G2072">
            <v>34000000</v>
          </cell>
          <cell r="H2072">
            <v>34000000</v>
          </cell>
          <cell r="I2072" t="str">
            <v/>
          </cell>
          <cell r="J2072" t="str">
            <v/>
          </cell>
          <cell r="K2072" t="str">
            <v/>
          </cell>
          <cell r="L2072" t="str">
            <v/>
          </cell>
        </row>
        <row r="2073">
          <cell r="A2073">
            <v>34000000</v>
          </cell>
          <cell r="C2073">
            <v>34000000</v>
          </cell>
          <cell r="D2073">
            <v>34000000</v>
          </cell>
          <cell r="E2073">
            <v>34000000</v>
          </cell>
          <cell r="F2073">
            <v>34000000</v>
          </cell>
          <cell r="G2073">
            <v>34000000</v>
          </cell>
          <cell r="H2073">
            <v>34000000</v>
          </cell>
          <cell r="I2073" t="str">
            <v/>
          </cell>
          <cell r="J2073" t="str">
            <v/>
          </cell>
          <cell r="K2073" t="str">
            <v/>
          </cell>
          <cell r="L2073" t="str">
            <v/>
          </cell>
        </row>
        <row r="2074">
          <cell r="A2074">
            <v>34000000</v>
          </cell>
          <cell r="C2074">
            <v>34000000</v>
          </cell>
          <cell r="D2074">
            <v>34000000</v>
          </cell>
          <cell r="E2074">
            <v>34000000</v>
          </cell>
          <cell r="F2074">
            <v>34000000</v>
          </cell>
          <cell r="G2074">
            <v>34000000</v>
          </cell>
          <cell r="H2074">
            <v>34000000</v>
          </cell>
          <cell r="I2074" t="str">
            <v/>
          </cell>
          <cell r="J2074" t="str">
            <v/>
          </cell>
          <cell r="K2074" t="str">
            <v/>
          </cell>
          <cell r="L2074" t="str">
            <v/>
          </cell>
        </row>
        <row r="2075">
          <cell r="A2075">
            <v>34000000</v>
          </cell>
          <cell r="C2075">
            <v>34000000</v>
          </cell>
          <cell r="D2075">
            <v>34000000</v>
          </cell>
          <cell r="E2075">
            <v>34000000</v>
          </cell>
          <cell r="F2075">
            <v>34000000</v>
          </cell>
          <cell r="G2075">
            <v>34000000</v>
          </cell>
          <cell r="H2075">
            <v>34000000</v>
          </cell>
          <cell r="I2075" t="str">
            <v/>
          </cell>
          <cell r="J2075" t="str">
            <v/>
          </cell>
          <cell r="K2075" t="str">
            <v/>
          </cell>
          <cell r="L2075" t="str">
            <v/>
          </cell>
        </row>
        <row r="2076">
          <cell r="A2076">
            <v>34000000</v>
          </cell>
          <cell r="C2076">
            <v>34000000</v>
          </cell>
          <cell r="D2076">
            <v>34000000</v>
          </cell>
          <cell r="E2076">
            <v>34000000</v>
          </cell>
          <cell r="F2076">
            <v>34000000</v>
          </cell>
          <cell r="G2076">
            <v>34000000</v>
          </cell>
          <cell r="H2076">
            <v>34000000</v>
          </cell>
          <cell r="I2076" t="str">
            <v/>
          </cell>
          <cell r="J2076" t="str">
            <v/>
          </cell>
          <cell r="K2076" t="str">
            <v/>
          </cell>
          <cell r="L2076" t="str">
            <v/>
          </cell>
        </row>
        <row r="2077">
          <cell r="A2077">
            <v>34000000</v>
          </cell>
          <cell r="C2077">
            <v>34000000</v>
          </cell>
          <cell r="D2077">
            <v>34000000</v>
          </cell>
          <cell r="E2077">
            <v>34000000</v>
          </cell>
          <cell r="F2077">
            <v>34000000</v>
          </cell>
          <cell r="G2077">
            <v>34000000</v>
          </cell>
          <cell r="H2077">
            <v>34000000</v>
          </cell>
          <cell r="I2077" t="str">
            <v/>
          </cell>
          <cell r="J2077" t="str">
            <v/>
          </cell>
          <cell r="K2077" t="str">
            <v/>
          </cell>
          <cell r="L2077" t="str">
            <v/>
          </cell>
        </row>
        <row r="2078">
          <cell r="A2078">
            <v>34000000</v>
          </cell>
          <cell r="C2078">
            <v>34000000</v>
          </cell>
          <cell r="D2078">
            <v>34000000</v>
          </cell>
          <cell r="E2078">
            <v>34000000</v>
          </cell>
          <cell r="F2078">
            <v>34000000</v>
          </cell>
          <cell r="G2078">
            <v>34000000</v>
          </cell>
          <cell r="H2078">
            <v>34000000</v>
          </cell>
          <cell r="I2078" t="str">
            <v/>
          </cell>
          <cell r="J2078" t="str">
            <v/>
          </cell>
          <cell r="K2078" t="str">
            <v/>
          </cell>
          <cell r="L2078" t="str">
            <v/>
          </cell>
        </row>
        <row r="2079">
          <cell r="A2079">
            <v>34000000</v>
          </cell>
          <cell r="C2079">
            <v>34000000</v>
          </cell>
          <cell r="D2079">
            <v>34000000</v>
          </cell>
          <cell r="E2079">
            <v>34000000</v>
          </cell>
          <cell r="F2079">
            <v>34000000</v>
          </cell>
          <cell r="G2079">
            <v>34000000</v>
          </cell>
          <cell r="H2079">
            <v>34000000</v>
          </cell>
          <cell r="I2079" t="str">
            <v/>
          </cell>
          <cell r="J2079" t="str">
            <v/>
          </cell>
          <cell r="K2079" t="str">
            <v/>
          </cell>
          <cell r="L2079" t="str">
            <v/>
          </cell>
        </row>
        <row r="2080">
          <cell r="A2080">
            <v>34000000</v>
          </cell>
          <cell r="C2080">
            <v>34000000</v>
          </cell>
          <cell r="D2080">
            <v>34000000</v>
          </cell>
          <cell r="E2080">
            <v>34000000</v>
          </cell>
          <cell r="F2080">
            <v>34000000</v>
          </cell>
          <cell r="G2080">
            <v>34000000</v>
          </cell>
          <cell r="H2080">
            <v>34000000</v>
          </cell>
          <cell r="I2080" t="str">
            <v/>
          </cell>
          <cell r="J2080" t="str">
            <v/>
          </cell>
          <cell r="K2080" t="str">
            <v/>
          </cell>
          <cell r="L2080" t="str">
            <v/>
          </cell>
        </row>
        <row r="2081">
          <cell r="A2081">
            <v>34000000</v>
          </cell>
          <cell r="C2081">
            <v>34000000</v>
          </cell>
          <cell r="D2081">
            <v>34000000</v>
          </cell>
          <cell r="E2081">
            <v>34000000</v>
          </cell>
          <cell r="F2081">
            <v>34000000</v>
          </cell>
          <cell r="G2081">
            <v>34000000</v>
          </cell>
          <cell r="H2081">
            <v>34000000</v>
          </cell>
          <cell r="I2081" t="str">
            <v/>
          </cell>
          <cell r="J2081" t="str">
            <v/>
          </cell>
          <cell r="K2081" t="str">
            <v/>
          </cell>
          <cell r="L2081" t="str">
            <v/>
          </cell>
        </row>
        <row r="2082">
          <cell r="A2082">
            <v>34000000</v>
          </cell>
          <cell r="C2082">
            <v>34000000</v>
          </cell>
          <cell r="D2082">
            <v>34000000</v>
          </cell>
          <cell r="E2082">
            <v>34000000</v>
          </cell>
          <cell r="F2082">
            <v>34000000</v>
          </cell>
          <cell r="G2082">
            <v>34000000</v>
          </cell>
          <cell r="H2082">
            <v>34000000</v>
          </cell>
          <cell r="I2082" t="str">
            <v/>
          </cell>
          <cell r="J2082" t="str">
            <v/>
          </cell>
          <cell r="K2082" t="str">
            <v/>
          </cell>
          <cell r="L2082" t="str">
            <v/>
          </cell>
        </row>
        <row r="2083">
          <cell r="A2083">
            <v>34000000</v>
          </cell>
          <cell r="C2083">
            <v>34000000</v>
          </cell>
          <cell r="D2083">
            <v>34000000</v>
          </cell>
          <cell r="E2083">
            <v>34000000</v>
          </cell>
          <cell r="F2083">
            <v>34000000</v>
          </cell>
          <cell r="G2083">
            <v>34000000</v>
          </cell>
          <cell r="H2083">
            <v>34000000</v>
          </cell>
          <cell r="I2083" t="str">
            <v/>
          </cell>
          <cell r="J2083" t="str">
            <v/>
          </cell>
          <cell r="K2083" t="str">
            <v/>
          </cell>
          <cell r="L2083" t="str">
            <v/>
          </cell>
        </row>
        <row r="2084">
          <cell r="A2084">
            <v>34000000</v>
          </cell>
          <cell r="C2084">
            <v>34000000</v>
          </cell>
          <cell r="D2084">
            <v>34000000</v>
          </cell>
          <cell r="E2084">
            <v>34000000</v>
          </cell>
          <cell r="F2084">
            <v>34000000</v>
          </cell>
          <cell r="G2084">
            <v>34000000</v>
          </cell>
          <cell r="H2084">
            <v>34000000</v>
          </cell>
          <cell r="I2084" t="str">
            <v/>
          </cell>
          <cell r="J2084" t="str">
            <v/>
          </cell>
          <cell r="K2084" t="str">
            <v/>
          </cell>
          <cell r="L2084" t="str">
            <v/>
          </cell>
        </row>
        <row r="2085">
          <cell r="A2085">
            <v>34000000</v>
          </cell>
          <cell r="C2085">
            <v>34000000</v>
          </cell>
          <cell r="D2085">
            <v>34000000</v>
          </cell>
          <cell r="E2085">
            <v>34000000</v>
          </cell>
          <cell r="F2085">
            <v>34000000</v>
          </cell>
          <cell r="G2085">
            <v>34000000</v>
          </cell>
          <cell r="H2085">
            <v>34000000</v>
          </cell>
          <cell r="I2085" t="str">
            <v/>
          </cell>
          <cell r="J2085" t="str">
            <v/>
          </cell>
          <cell r="K2085" t="str">
            <v/>
          </cell>
          <cell r="L2085" t="str">
            <v/>
          </cell>
        </row>
        <row r="2086">
          <cell r="A2086">
            <v>34000000</v>
          </cell>
          <cell r="C2086">
            <v>34000000</v>
          </cell>
          <cell r="D2086">
            <v>34000000</v>
          </cell>
          <cell r="E2086">
            <v>34000000</v>
          </cell>
          <cell r="F2086">
            <v>34000000</v>
          </cell>
          <cell r="G2086">
            <v>34000000</v>
          </cell>
          <cell r="H2086">
            <v>34000000</v>
          </cell>
          <cell r="I2086" t="str">
            <v/>
          </cell>
          <cell r="J2086" t="str">
            <v/>
          </cell>
          <cell r="K2086" t="str">
            <v/>
          </cell>
          <cell r="L2086" t="str">
            <v/>
          </cell>
        </row>
        <row r="2087">
          <cell r="A2087">
            <v>34000000</v>
          </cell>
          <cell r="C2087">
            <v>34000000</v>
          </cell>
          <cell r="D2087">
            <v>34000000</v>
          </cell>
          <cell r="E2087">
            <v>34000000</v>
          </cell>
          <cell r="F2087">
            <v>34000000</v>
          </cell>
          <cell r="G2087">
            <v>34000000</v>
          </cell>
          <cell r="H2087">
            <v>34000000</v>
          </cell>
          <cell r="I2087" t="str">
            <v/>
          </cell>
          <cell r="J2087" t="str">
            <v/>
          </cell>
          <cell r="K2087" t="str">
            <v/>
          </cell>
          <cell r="L2087" t="str">
            <v/>
          </cell>
        </row>
        <row r="2088">
          <cell r="A2088">
            <v>34000000</v>
          </cell>
          <cell r="C2088">
            <v>34000000</v>
          </cell>
          <cell r="D2088">
            <v>34000000</v>
          </cell>
          <cell r="E2088">
            <v>34000000</v>
          </cell>
          <cell r="F2088">
            <v>34000000</v>
          </cell>
          <cell r="G2088">
            <v>34000000</v>
          </cell>
          <cell r="H2088">
            <v>34000000</v>
          </cell>
          <cell r="I2088" t="str">
            <v/>
          </cell>
          <cell r="J2088" t="str">
            <v/>
          </cell>
          <cell r="K2088" t="str">
            <v/>
          </cell>
          <cell r="L2088" t="str">
            <v/>
          </cell>
        </row>
        <row r="2089">
          <cell r="A2089">
            <v>34000000</v>
          </cell>
          <cell r="C2089">
            <v>34000000</v>
          </cell>
          <cell r="D2089">
            <v>34000000</v>
          </cell>
          <cell r="E2089">
            <v>34000000</v>
          </cell>
          <cell r="F2089">
            <v>34000000</v>
          </cell>
          <cell r="G2089">
            <v>34000000</v>
          </cell>
          <cell r="H2089">
            <v>34000000</v>
          </cell>
          <cell r="I2089" t="str">
            <v/>
          </cell>
          <cell r="J2089" t="str">
            <v/>
          </cell>
          <cell r="K2089" t="str">
            <v/>
          </cell>
          <cell r="L2089" t="str">
            <v/>
          </cell>
        </row>
        <row r="2090">
          <cell r="A2090">
            <v>34000000</v>
          </cell>
          <cell r="C2090">
            <v>34000000</v>
          </cell>
          <cell r="D2090">
            <v>34000000</v>
          </cell>
          <cell r="E2090">
            <v>34000000</v>
          </cell>
          <cell r="F2090">
            <v>34000000</v>
          </cell>
          <cell r="G2090">
            <v>34000000</v>
          </cell>
          <cell r="H2090">
            <v>34000000</v>
          </cell>
          <cell r="I2090" t="str">
            <v/>
          </cell>
          <cell r="J2090" t="str">
            <v/>
          </cell>
          <cell r="K2090" t="str">
            <v/>
          </cell>
          <cell r="L2090" t="str">
            <v/>
          </cell>
        </row>
        <row r="2091">
          <cell r="A2091">
            <v>34000000</v>
          </cell>
          <cell r="C2091">
            <v>34000000</v>
          </cell>
          <cell r="D2091">
            <v>34000000</v>
          </cell>
          <cell r="E2091">
            <v>34000000</v>
          </cell>
          <cell r="F2091">
            <v>34000000</v>
          </cell>
          <cell r="G2091">
            <v>34000000</v>
          </cell>
          <cell r="H2091">
            <v>34000000</v>
          </cell>
          <cell r="I2091" t="str">
            <v/>
          </cell>
          <cell r="J2091" t="str">
            <v/>
          </cell>
          <cell r="K2091" t="str">
            <v/>
          </cell>
          <cell r="L2091" t="str">
            <v/>
          </cell>
        </row>
        <row r="2092">
          <cell r="A2092">
            <v>34000000</v>
          </cell>
          <cell r="C2092">
            <v>34000000</v>
          </cell>
          <cell r="D2092">
            <v>34000000</v>
          </cell>
          <cell r="E2092">
            <v>34000000</v>
          </cell>
          <cell r="F2092">
            <v>34000000</v>
          </cell>
          <cell r="G2092">
            <v>34000000</v>
          </cell>
          <cell r="H2092">
            <v>34000000</v>
          </cell>
          <cell r="I2092" t="str">
            <v/>
          </cell>
          <cell r="J2092" t="str">
            <v/>
          </cell>
          <cell r="K2092" t="str">
            <v/>
          </cell>
          <cell r="L2092" t="str">
            <v/>
          </cell>
        </row>
        <row r="2093">
          <cell r="A2093">
            <v>34000000</v>
          </cell>
          <cell r="C2093">
            <v>34000000</v>
          </cell>
          <cell r="D2093">
            <v>34000000</v>
          </cell>
          <cell r="E2093">
            <v>34000000</v>
          </cell>
          <cell r="F2093">
            <v>34000000</v>
          </cell>
          <cell r="G2093">
            <v>34000000</v>
          </cell>
          <cell r="H2093">
            <v>34000000</v>
          </cell>
          <cell r="I2093" t="str">
            <v/>
          </cell>
          <cell r="J2093" t="str">
            <v/>
          </cell>
          <cell r="K2093" t="str">
            <v/>
          </cell>
          <cell r="L2093" t="str">
            <v/>
          </cell>
        </row>
        <row r="2094">
          <cell r="A2094">
            <v>34000000</v>
          </cell>
          <cell r="C2094">
            <v>34000000</v>
          </cell>
          <cell r="D2094">
            <v>34000000</v>
          </cell>
          <cell r="E2094">
            <v>34000000</v>
          </cell>
          <cell r="F2094">
            <v>34000000</v>
          </cell>
          <cell r="G2094">
            <v>34000000</v>
          </cell>
          <cell r="H2094">
            <v>34000000</v>
          </cell>
          <cell r="I2094" t="str">
            <v/>
          </cell>
          <cell r="J2094" t="str">
            <v/>
          </cell>
          <cell r="K2094" t="str">
            <v/>
          </cell>
          <cell r="L2094" t="str">
            <v/>
          </cell>
        </row>
        <row r="2095">
          <cell r="A2095">
            <v>34000000</v>
          </cell>
          <cell r="C2095">
            <v>34000000</v>
          </cell>
          <cell r="D2095">
            <v>34000000</v>
          </cell>
          <cell r="E2095">
            <v>34000000</v>
          </cell>
          <cell r="F2095">
            <v>34000000</v>
          </cell>
          <cell r="G2095">
            <v>34000000</v>
          </cell>
          <cell r="H2095">
            <v>34000000</v>
          </cell>
          <cell r="I2095" t="str">
            <v/>
          </cell>
          <cell r="J2095" t="str">
            <v/>
          </cell>
          <cell r="K2095" t="str">
            <v/>
          </cell>
          <cell r="L2095" t="str">
            <v/>
          </cell>
        </row>
        <row r="2096">
          <cell r="A2096">
            <v>34000000</v>
          </cell>
          <cell r="C2096">
            <v>34000000</v>
          </cell>
          <cell r="D2096">
            <v>34000000</v>
          </cell>
          <cell r="E2096">
            <v>34000000</v>
          </cell>
          <cell r="F2096">
            <v>34000000</v>
          </cell>
          <cell r="G2096">
            <v>34000000</v>
          </cell>
          <cell r="H2096">
            <v>34000000</v>
          </cell>
          <cell r="I2096" t="str">
            <v/>
          </cell>
          <cell r="J2096" t="str">
            <v/>
          </cell>
          <cell r="K2096" t="str">
            <v/>
          </cell>
          <cell r="L2096" t="str">
            <v/>
          </cell>
        </row>
        <row r="2097">
          <cell r="A2097">
            <v>34000000</v>
          </cell>
          <cell r="C2097">
            <v>34000000</v>
          </cell>
          <cell r="D2097">
            <v>34000000</v>
          </cell>
          <cell r="E2097">
            <v>34000000</v>
          </cell>
          <cell r="F2097">
            <v>34000000</v>
          </cell>
          <cell r="G2097">
            <v>34000000</v>
          </cell>
          <cell r="H2097">
            <v>34000000</v>
          </cell>
          <cell r="I2097" t="str">
            <v/>
          </cell>
          <cell r="J2097" t="str">
            <v/>
          </cell>
          <cell r="K2097" t="str">
            <v/>
          </cell>
          <cell r="L2097" t="str">
            <v/>
          </cell>
        </row>
        <row r="2098">
          <cell r="A2098">
            <v>34000000</v>
          </cell>
          <cell r="C2098">
            <v>34000000</v>
          </cell>
          <cell r="D2098">
            <v>34000000</v>
          </cell>
          <cell r="E2098">
            <v>34000000</v>
          </cell>
          <cell r="F2098">
            <v>34000000</v>
          </cell>
          <cell r="G2098">
            <v>34000000</v>
          </cell>
          <cell r="H2098">
            <v>34000000</v>
          </cell>
          <cell r="I2098" t="str">
            <v/>
          </cell>
          <cell r="J2098" t="str">
            <v/>
          </cell>
          <cell r="K2098" t="str">
            <v/>
          </cell>
          <cell r="L2098" t="str">
            <v/>
          </cell>
        </row>
        <row r="2099">
          <cell r="A2099">
            <v>34000000</v>
          </cell>
          <cell r="C2099">
            <v>34000000</v>
          </cell>
          <cell r="D2099">
            <v>34000000</v>
          </cell>
          <cell r="E2099">
            <v>34000000</v>
          </cell>
          <cell r="F2099">
            <v>34000000</v>
          </cell>
          <cell r="G2099">
            <v>34000000</v>
          </cell>
          <cell r="H2099">
            <v>34000000</v>
          </cell>
          <cell r="I2099" t="str">
            <v/>
          </cell>
          <cell r="J2099" t="str">
            <v/>
          </cell>
          <cell r="K2099" t="str">
            <v/>
          </cell>
          <cell r="L2099" t="str">
            <v/>
          </cell>
        </row>
        <row r="2100">
          <cell r="A2100">
            <v>34000000</v>
          </cell>
          <cell r="C2100">
            <v>34000000</v>
          </cell>
          <cell r="D2100">
            <v>34000000</v>
          </cell>
          <cell r="E2100">
            <v>34000000</v>
          </cell>
          <cell r="F2100">
            <v>34000000</v>
          </cell>
          <cell r="G2100">
            <v>34000000</v>
          </cell>
          <cell r="H2100">
            <v>34000000</v>
          </cell>
          <cell r="I2100" t="str">
            <v/>
          </cell>
          <cell r="J2100" t="str">
            <v/>
          </cell>
          <cell r="K2100" t="str">
            <v/>
          </cell>
          <cell r="L2100" t="str">
            <v/>
          </cell>
        </row>
        <row r="2101">
          <cell r="A2101">
            <v>34000000</v>
          </cell>
          <cell r="C2101">
            <v>34000000</v>
          </cell>
          <cell r="D2101">
            <v>34000000</v>
          </cell>
          <cell r="E2101">
            <v>34000000</v>
          </cell>
          <cell r="F2101">
            <v>34000000</v>
          </cell>
          <cell r="G2101">
            <v>34000000</v>
          </cell>
          <cell r="H2101">
            <v>34000000</v>
          </cell>
          <cell r="I2101" t="str">
            <v/>
          </cell>
          <cell r="J2101" t="str">
            <v/>
          </cell>
          <cell r="K2101" t="str">
            <v/>
          </cell>
          <cell r="L2101" t="str">
            <v/>
          </cell>
        </row>
        <row r="2102">
          <cell r="A2102">
            <v>34000000</v>
          </cell>
          <cell r="C2102">
            <v>34000000</v>
          </cell>
          <cell r="D2102">
            <v>34000000</v>
          </cell>
          <cell r="E2102">
            <v>34000000</v>
          </cell>
          <cell r="F2102">
            <v>34000000</v>
          </cell>
          <cell r="G2102">
            <v>34000000</v>
          </cell>
          <cell r="H2102">
            <v>34000000</v>
          </cell>
          <cell r="I2102" t="str">
            <v/>
          </cell>
          <cell r="J2102" t="str">
            <v/>
          </cell>
          <cell r="K2102" t="str">
            <v/>
          </cell>
          <cell r="L2102" t="str">
            <v/>
          </cell>
        </row>
        <row r="2103">
          <cell r="A2103">
            <v>34000000</v>
          </cell>
          <cell r="C2103">
            <v>34000000</v>
          </cell>
          <cell r="D2103">
            <v>34000000</v>
          </cell>
          <cell r="E2103">
            <v>34000000</v>
          </cell>
          <cell r="F2103">
            <v>34000000</v>
          </cell>
          <cell r="G2103">
            <v>34000000</v>
          </cell>
          <cell r="H2103">
            <v>34000000</v>
          </cell>
          <cell r="I2103" t="str">
            <v/>
          </cell>
          <cell r="J2103" t="str">
            <v/>
          </cell>
          <cell r="K2103" t="str">
            <v/>
          </cell>
          <cell r="L2103" t="str">
            <v/>
          </cell>
        </row>
        <row r="2104">
          <cell r="A2104">
            <v>34000000</v>
          </cell>
          <cell r="C2104">
            <v>34000000</v>
          </cell>
          <cell r="D2104">
            <v>34000000</v>
          </cell>
          <cell r="E2104">
            <v>34000000</v>
          </cell>
          <cell r="F2104">
            <v>34000000</v>
          </cell>
          <cell r="G2104">
            <v>34000000</v>
          </cell>
          <cell r="H2104">
            <v>34000000</v>
          </cell>
          <cell r="I2104" t="str">
            <v/>
          </cell>
          <cell r="J2104" t="str">
            <v/>
          </cell>
          <cell r="K2104" t="str">
            <v/>
          </cell>
          <cell r="L2104" t="str">
            <v/>
          </cell>
        </row>
        <row r="2105">
          <cell r="A2105">
            <v>34000000</v>
          </cell>
          <cell r="C2105">
            <v>34000000</v>
          </cell>
          <cell r="D2105">
            <v>34000000</v>
          </cell>
          <cell r="E2105">
            <v>34000000</v>
          </cell>
          <cell r="F2105">
            <v>34000000</v>
          </cell>
          <cell r="G2105">
            <v>34000000</v>
          </cell>
          <cell r="H2105">
            <v>34000000</v>
          </cell>
          <cell r="I2105" t="str">
            <v/>
          </cell>
          <cell r="J2105" t="str">
            <v/>
          </cell>
          <cell r="K2105" t="str">
            <v/>
          </cell>
          <cell r="L2105" t="str">
            <v/>
          </cell>
        </row>
        <row r="2106">
          <cell r="A2106">
            <v>34000000</v>
          </cell>
          <cell r="C2106">
            <v>34000000</v>
          </cell>
          <cell r="D2106">
            <v>34000000</v>
          </cell>
          <cell r="E2106">
            <v>34000000</v>
          </cell>
          <cell r="F2106">
            <v>34000000</v>
          </cell>
          <cell r="G2106">
            <v>34000000</v>
          </cell>
          <cell r="H2106">
            <v>34000000</v>
          </cell>
          <cell r="I2106" t="str">
            <v/>
          </cell>
          <cell r="J2106" t="str">
            <v/>
          </cell>
          <cell r="K2106" t="str">
            <v/>
          </cell>
          <cell r="L2106" t="str">
            <v/>
          </cell>
        </row>
        <row r="2107">
          <cell r="A2107">
            <v>34000000</v>
          </cell>
          <cell r="C2107">
            <v>34000000</v>
          </cell>
          <cell r="D2107">
            <v>34000000</v>
          </cell>
          <cell r="E2107">
            <v>34000000</v>
          </cell>
          <cell r="F2107">
            <v>34000000</v>
          </cell>
          <cell r="G2107">
            <v>34000000</v>
          </cell>
          <cell r="H2107">
            <v>34000000</v>
          </cell>
          <cell r="I2107" t="str">
            <v/>
          </cell>
          <cell r="J2107" t="str">
            <v/>
          </cell>
          <cell r="K2107" t="str">
            <v/>
          </cell>
          <cell r="L2107" t="str">
            <v/>
          </cell>
        </row>
        <row r="2108">
          <cell r="A2108">
            <v>34000000</v>
          </cell>
          <cell r="C2108">
            <v>34000000</v>
          </cell>
          <cell r="D2108">
            <v>34000000</v>
          </cell>
          <cell r="E2108">
            <v>34000000</v>
          </cell>
          <cell r="F2108">
            <v>34000000</v>
          </cell>
          <cell r="G2108">
            <v>34000000</v>
          </cell>
          <cell r="H2108">
            <v>34000000</v>
          </cell>
          <cell r="I2108" t="str">
            <v/>
          </cell>
          <cell r="J2108" t="str">
            <v/>
          </cell>
          <cell r="K2108" t="str">
            <v/>
          </cell>
          <cell r="L2108" t="str">
            <v/>
          </cell>
        </row>
        <row r="2109">
          <cell r="A2109">
            <v>34000000</v>
          </cell>
          <cell r="C2109">
            <v>34000000</v>
          </cell>
          <cell r="D2109">
            <v>34000000</v>
          </cell>
          <cell r="E2109">
            <v>34000000</v>
          </cell>
          <cell r="F2109">
            <v>34000000</v>
          </cell>
          <cell r="G2109">
            <v>34000000</v>
          </cell>
          <cell r="H2109">
            <v>34000000</v>
          </cell>
          <cell r="I2109" t="str">
            <v/>
          </cell>
          <cell r="J2109" t="str">
            <v/>
          </cell>
          <cell r="K2109" t="str">
            <v/>
          </cell>
          <cell r="L2109" t="str">
            <v/>
          </cell>
        </row>
        <row r="2110">
          <cell r="A2110">
            <v>34000000</v>
          </cell>
          <cell r="C2110">
            <v>34000000</v>
          </cell>
          <cell r="D2110">
            <v>34000000</v>
          </cell>
          <cell r="E2110">
            <v>34000000</v>
          </cell>
          <cell r="F2110">
            <v>34000000</v>
          </cell>
          <cell r="G2110">
            <v>34000000</v>
          </cell>
          <cell r="H2110">
            <v>34000000</v>
          </cell>
          <cell r="I2110" t="str">
            <v/>
          </cell>
          <cell r="J2110" t="str">
            <v/>
          </cell>
          <cell r="K2110" t="str">
            <v/>
          </cell>
          <cell r="L2110" t="str">
            <v/>
          </cell>
        </row>
        <row r="2111">
          <cell r="A2111">
            <v>34000000</v>
          </cell>
          <cell r="C2111">
            <v>34000000</v>
          </cell>
          <cell r="D2111">
            <v>34000000</v>
          </cell>
          <cell r="E2111">
            <v>34000000</v>
          </cell>
          <cell r="F2111">
            <v>34000000</v>
          </cell>
          <cell r="G2111">
            <v>34000000</v>
          </cell>
          <cell r="H2111">
            <v>34000000</v>
          </cell>
          <cell r="I2111" t="str">
            <v/>
          </cell>
          <cell r="J2111" t="str">
            <v/>
          </cell>
          <cell r="K2111" t="str">
            <v/>
          </cell>
          <cell r="L2111" t="str">
            <v/>
          </cell>
        </row>
        <row r="2112">
          <cell r="A2112">
            <v>34000000</v>
          </cell>
          <cell r="C2112">
            <v>34000000</v>
          </cell>
          <cell r="D2112">
            <v>34000000</v>
          </cell>
          <cell r="E2112">
            <v>34000000</v>
          </cell>
          <cell r="F2112">
            <v>34000000</v>
          </cell>
          <cell r="G2112">
            <v>34000000</v>
          </cell>
          <cell r="H2112">
            <v>34000000</v>
          </cell>
          <cell r="I2112" t="str">
            <v/>
          </cell>
          <cell r="J2112" t="str">
            <v/>
          </cell>
          <cell r="K2112" t="str">
            <v/>
          </cell>
          <cell r="L2112" t="str">
            <v/>
          </cell>
        </row>
        <row r="2113">
          <cell r="A2113">
            <v>34000000</v>
          </cell>
          <cell r="C2113">
            <v>34000000</v>
          </cell>
          <cell r="D2113">
            <v>34000000</v>
          </cell>
          <cell r="E2113">
            <v>34000000</v>
          </cell>
          <cell r="F2113">
            <v>34000000</v>
          </cell>
          <cell r="G2113">
            <v>34000000</v>
          </cell>
          <cell r="H2113">
            <v>34000000</v>
          </cell>
          <cell r="I2113" t="str">
            <v/>
          </cell>
          <cell r="J2113" t="str">
            <v/>
          </cell>
          <cell r="K2113" t="str">
            <v/>
          </cell>
          <cell r="L2113" t="str">
            <v/>
          </cell>
        </row>
        <row r="2114">
          <cell r="A2114">
            <v>34000000</v>
          </cell>
          <cell r="C2114">
            <v>34000000</v>
          </cell>
          <cell r="D2114">
            <v>34000000</v>
          </cell>
          <cell r="E2114">
            <v>34000000</v>
          </cell>
          <cell r="F2114">
            <v>34000000</v>
          </cell>
          <cell r="G2114">
            <v>34000000</v>
          </cell>
          <cell r="H2114">
            <v>34000000</v>
          </cell>
          <cell r="I2114" t="str">
            <v/>
          </cell>
          <cell r="J2114" t="str">
            <v/>
          </cell>
          <cell r="K2114" t="str">
            <v/>
          </cell>
          <cell r="L2114" t="str">
            <v/>
          </cell>
        </row>
        <row r="2115">
          <cell r="A2115">
            <v>34000000</v>
          </cell>
          <cell r="C2115">
            <v>34000000</v>
          </cell>
          <cell r="D2115">
            <v>34000000</v>
          </cell>
          <cell r="E2115">
            <v>34000000</v>
          </cell>
          <cell r="F2115">
            <v>34000000</v>
          </cell>
          <cell r="G2115">
            <v>34000000</v>
          </cell>
          <cell r="H2115">
            <v>34000000</v>
          </cell>
          <cell r="I2115" t="str">
            <v/>
          </cell>
          <cell r="J2115" t="str">
            <v/>
          </cell>
          <cell r="K2115" t="str">
            <v/>
          </cell>
          <cell r="L2115" t="str">
            <v/>
          </cell>
        </row>
        <row r="2116">
          <cell r="A2116">
            <v>34000000</v>
          </cell>
          <cell r="C2116">
            <v>34000000</v>
          </cell>
          <cell r="D2116">
            <v>34000000</v>
          </cell>
          <cell r="E2116">
            <v>34000000</v>
          </cell>
          <cell r="F2116">
            <v>34000000</v>
          </cell>
          <cell r="G2116">
            <v>34000000</v>
          </cell>
          <cell r="H2116">
            <v>34000000</v>
          </cell>
          <cell r="I2116" t="str">
            <v/>
          </cell>
          <cell r="J2116" t="str">
            <v/>
          </cell>
          <cell r="K2116" t="str">
            <v/>
          </cell>
          <cell r="L2116" t="str">
            <v/>
          </cell>
        </row>
        <row r="2117">
          <cell r="A2117">
            <v>34000000</v>
          </cell>
          <cell r="C2117">
            <v>34000000</v>
          </cell>
          <cell r="D2117">
            <v>34000000</v>
          </cell>
          <cell r="E2117">
            <v>34000000</v>
          </cell>
          <cell r="F2117">
            <v>34000000</v>
          </cell>
          <cell r="G2117">
            <v>34000000</v>
          </cell>
          <cell r="H2117">
            <v>34000000</v>
          </cell>
          <cell r="I2117" t="str">
            <v/>
          </cell>
          <cell r="J2117" t="str">
            <v/>
          </cell>
          <cell r="K2117" t="str">
            <v/>
          </cell>
          <cell r="L2117" t="str">
            <v/>
          </cell>
        </row>
        <row r="2118">
          <cell r="A2118">
            <v>34000000</v>
          </cell>
          <cell r="C2118">
            <v>34000000</v>
          </cell>
          <cell r="D2118">
            <v>34000000</v>
          </cell>
          <cell r="E2118">
            <v>34000000</v>
          </cell>
          <cell r="F2118">
            <v>34000000</v>
          </cell>
          <cell r="G2118">
            <v>34000000</v>
          </cell>
          <cell r="H2118">
            <v>34000000</v>
          </cell>
          <cell r="I2118" t="str">
            <v/>
          </cell>
          <cell r="J2118" t="str">
            <v/>
          </cell>
          <cell r="K2118" t="str">
            <v/>
          </cell>
          <cell r="L2118" t="str">
            <v/>
          </cell>
        </row>
        <row r="2119">
          <cell r="A2119">
            <v>34000000</v>
          </cell>
          <cell r="C2119">
            <v>34000000</v>
          </cell>
          <cell r="D2119">
            <v>34000000</v>
          </cell>
          <cell r="E2119">
            <v>34000000</v>
          </cell>
          <cell r="F2119">
            <v>34000000</v>
          </cell>
          <cell r="G2119">
            <v>34000000</v>
          </cell>
          <cell r="H2119">
            <v>34000000</v>
          </cell>
          <cell r="I2119" t="str">
            <v/>
          </cell>
          <cell r="J2119" t="str">
            <v/>
          </cell>
          <cell r="K2119" t="str">
            <v/>
          </cell>
          <cell r="L2119" t="str">
            <v/>
          </cell>
        </row>
        <row r="2120">
          <cell r="A2120">
            <v>34000000</v>
          </cell>
          <cell r="C2120">
            <v>34000000</v>
          </cell>
          <cell r="D2120">
            <v>34000000</v>
          </cell>
          <cell r="E2120">
            <v>34000000</v>
          </cell>
          <cell r="F2120">
            <v>34000000</v>
          </cell>
          <cell r="G2120">
            <v>34000000</v>
          </cell>
          <cell r="H2120">
            <v>34000000</v>
          </cell>
          <cell r="I2120" t="str">
            <v/>
          </cell>
          <cell r="J2120" t="str">
            <v/>
          </cell>
          <cell r="K2120" t="str">
            <v/>
          </cell>
          <cell r="L2120" t="str">
            <v/>
          </cell>
        </row>
        <row r="2121">
          <cell r="A2121">
            <v>34000000</v>
          </cell>
          <cell r="C2121">
            <v>34000000</v>
          </cell>
          <cell r="D2121">
            <v>34000000</v>
          </cell>
          <cell r="E2121">
            <v>34000000</v>
          </cell>
          <cell r="F2121">
            <v>34000000</v>
          </cell>
          <cell r="G2121">
            <v>34000000</v>
          </cell>
          <cell r="H2121">
            <v>34000000</v>
          </cell>
          <cell r="I2121" t="str">
            <v/>
          </cell>
          <cell r="J2121" t="str">
            <v/>
          </cell>
          <cell r="K2121" t="str">
            <v/>
          </cell>
          <cell r="L2121" t="str">
            <v/>
          </cell>
        </row>
        <row r="2122">
          <cell r="A2122">
            <v>34000000</v>
          </cell>
          <cell r="C2122">
            <v>34000000</v>
          </cell>
          <cell r="D2122">
            <v>34000000</v>
          </cell>
          <cell r="E2122">
            <v>34000000</v>
          </cell>
          <cell r="F2122">
            <v>34000000</v>
          </cell>
          <cell r="G2122">
            <v>34000000</v>
          </cell>
          <cell r="H2122">
            <v>34000000</v>
          </cell>
          <cell r="I2122" t="str">
            <v/>
          </cell>
          <cell r="J2122" t="str">
            <v/>
          </cell>
          <cell r="K2122" t="str">
            <v/>
          </cell>
          <cell r="L2122" t="str">
            <v/>
          </cell>
        </row>
        <row r="2123">
          <cell r="A2123">
            <v>34000000</v>
          </cell>
          <cell r="C2123">
            <v>34000000</v>
          </cell>
          <cell r="D2123">
            <v>34000000</v>
          </cell>
          <cell r="E2123">
            <v>34000000</v>
          </cell>
          <cell r="F2123">
            <v>34000000</v>
          </cell>
          <cell r="G2123">
            <v>34000000</v>
          </cell>
          <cell r="H2123">
            <v>34000000</v>
          </cell>
          <cell r="I2123" t="str">
            <v/>
          </cell>
          <cell r="J2123" t="str">
            <v/>
          </cell>
          <cell r="K2123" t="str">
            <v/>
          </cell>
          <cell r="L2123" t="str">
            <v/>
          </cell>
        </row>
        <row r="2124">
          <cell r="A2124">
            <v>34000000</v>
          </cell>
          <cell r="C2124">
            <v>34000000</v>
          </cell>
          <cell r="D2124">
            <v>34000000</v>
          </cell>
          <cell r="E2124">
            <v>34000000</v>
          </cell>
          <cell r="F2124">
            <v>34000000</v>
          </cell>
          <cell r="G2124">
            <v>34000000</v>
          </cell>
          <cell r="H2124">
            <v>34000000</v>
          </cell>
          <cell r="I2124" t="str">
            <v/>
          </cell>
          <cell r="J2124" t="str">
            <v/>
          </cell>
          <cell r="K2124" t="str">
            <v/>
          </cell>
          <cell r="L2124" t="str">
            <v/>
          </cell>
        </row>
        <row r="2125">
          <cell r="A2125">
            <v>34000000</v>
          </cell>
          <cell r="C2125">
            <v>34000000</v>
          </cell>
          <cell r="D2125">
            <v>34000000</v>
          </cell>
          <cell r="E2125">
            <v>34000000</v>
          </cell>
          <cell r="F2125">
            <v>34000000</v>
          </cell>
          <cell r="G2125">
            <v>34000000</v>
          </cell>
          <cell r="H2125">
            <v>34000000</v>
          </cell>
          <cell r="I2125" t="str">
            <v/>
          </cell>
          <cell r="J2125" t="str">
            <v/>
          </cell>
          <cell r="K2125" t="str">
            <v/>
          </cell>
          <cell r="L2125" t="str">
            <v/>
          </cell>
        </row>
        <row r="2126">
          <cell r="A2126">
            <v>34000000</v>
          </cell>
          <cell r="C2126">
            <v>34000000</v>
          </cell>
          <cell r="D2126">
            <v>34000000</v>
          </cell>
          <cell r="E2126">
            <v>34000000</v>
          </cell>
          <cell r="F2126">
            <v>34000000</v>
          </cell>
          <cell r="G2126">
            <v>34000000</v>
          </cell>
          <cell r="H2126">
            <v>34000000</v>
          </cell>
          <cell r="I2126" t="str">
            <v/>
          </cell>
          <cell r="J2126" t="str">
            <v/>
          </cell>
          <cell r="K2126" t="str">
            <v/>
          </cell>
          <cell r="L2126" t="str">
            <v/>
          </cell>
        </row>
        <row r="2127">
          <cell r="A2127">
            <v>34000000</v>
          </cell>
          <cell r="C2127">
            <v>34000000</v>
          </cell>
          <cell r="D2127">
            <v>34000000</v>
          </cell>
          <cell r="E2127">
            <v>34000000</v>
          </cell>
          <cell r="F2127">
            <v>34000000</v>
          </cell>
          <cell r="G2127">
            <v>34000000</v>
          </cell>
          <cell r="H2127">
            <v>34000000</v>
          </cell>
          <cell r="I2127" t="str">
            <v/>
          </cell>
          <cell r="J2127" t="str">
            <v/>
          </cell>
          <cell r="K2127" t="str">
            <v/>
          </cell>
          <cell r="L2127" t="str">
            <v/>
          </cell>
        </row>
        <row r="2128">
          <cell r="A2128">
            <v>34000000</v>
          </cell>
          <cell r="C2128">
            <v>34000000</v>
          </cell>
          <cell r="D2128">
            <v>34000000</v>
          </cell>
          <cell r="E2128">
            <v>34000000</v>
          </cell>
          <cell r="F2128">
            <v>34000000</v>
          </cell>
          <cell r="G2128">
            <v>34000000</v>
          </cell>
          <cell r="H2128">
            <v>34000000</v>
          </cell>
          <cell r="I2128" t="str">
            <v/>
          </cell>
          <cell r="J2128" t="str">
            <v/>
          </cell>
          <cell r="K2128" t="str">
            <v/>
          </cell>
          <cell r="L2128" t="str">
            <v/>
          </cell>
        </row>
        <row r="2129">
          <cell r="A2129">
            <v>34000000</v>
          </cell>
          <cell r="C2129">
            <v>34000000</v>
          </cell>
          <cell r="D2129">
            <v>34000000</v>
          </cell>
          <cell r="E2129">
            <v>34000000</v>
          </cell>
          <cell r="F2129">
            <v>34000000</v>
          </cell>
          <cell r="G2129">
            <v>34000000</v>
          </cell>
          <cell r="H2129">
            <v>34000000</v>
          </cell>
          <cell r="I2129" t="str">
            <v/>
          </cell>
          <cell r="J2129" t="str">
            <v/>
          </cell>
          <cell r="K2129" t="str">
            <v/>
          </cell>
          <cell r="L2129" t="str">
            <v/>
          </cell>
        </row>
        <row r="2130">
          <cell r="A2130">
            <v>34000000</v>
          </cell>
          <cell r="C2130">
            <v>34000000</v>
          </cell>
          <cell r="D2130">
            <v>34000000</v>
          </cell>
          <cell r="E2130">
            <v>34000000</v>
          </cell>
          <cell r="F2130">
            <v>34000000</v>
          </cell>
          <cell r="G2130">
            <v>34000000</v>
          </cell>
          <cell r="H2130">
            <v>34000000</v>
          </cell>
          <cell r="I2130" t="str">
            <v/>
          </cell>
          <cell r="J2130" t="str">
            <v/>
          </cell>
          <cell r="K2130" t="str">
            <v/>
          </cell>
          <cell r="L2130" t="str">
            <v/>
          </cell>
        </row>
        <row r="2131">
          <cell r="A2131">
            <v>34000000</v>
          </cell>
          <cell r="C2131">
            <v>34000000</v>
          </cell>
          <cell r="D2131">
            <v>34000000</v>
          </cell>
          <cell r="E2131">
            <v>34000000</v>
          </cell>
          <cell r="F2131">
            <v>34000000</v>
          </cell>
          <cell r="G2131">
            <v>34000000</v>
          </cell>
          <cell r="H2131">
            <v>34000000</v>
          </cell>
          <cell r="I2131" t="str">
            <v/>
          </cell>
          <cell r="J2131" t="str">
            <v/>
          </cell>
          <cell r="K2131" t="str">
            <v/>
          </cell>
          <cell r="L2131" t="str">
            <v/>
          </cell>
        </row>
        <row r="2132">
          <cell r="A2132">
            <v>34000000</v>
          </cell>
          <cell r="C2132">
            <v>34000000</v>
          </cell>
          <cell r="D2132">
            <v>34000000</v>
          </cell>
          <cell r="E2132">
            <v>34000000</v>
          </cell>
          <cell r="F2132">
            <v>34000000</v>
          </cell>
          <cell r="G2132">
            <v>34000000</v>
          </cell>
          <cell r="H2132">
            <v>34000000</v>
          </cell>
          <cell r="I2132" t="str">
            <v/>
          </cell>
          <cell r="J2132" t="str">
            <v/>
          </cell>
          <cell r="K2132" t="str">
            <v/>
          </cell>
          <cell r="L2132" t="str">
            <v/>
          </cell>
        </row>
        <row r="2133">
          <cell r="A2133">
            <v>34000000</v>
          </cell>
          <cell r="C2133">
            <v>34000000</v>
          </cell>
          <cell r="D2133">
            <v>34000000</v>
          </cell>
          <cell r="E2133">
            <v>34000000</v>
          </cell>
          <cell r="F2133">
            <v>34000000</v>
          </cell>
          <cell r="G2133">
            <v>34000000</v>
          </cell>
          <cell r="H2133">
            <v>34000000</v>
          </cell>
          <cell r="I2133" t="str">
            <v/>
          </cell>
          <cell r="J2133" t="str">
            <v/>
          </cell>
          <cell r="K2133" t="str">
            <v/>
          </cell>
          <cell r="L2133" t="str">
            <v/>
          </cell>
        </row>
        <row r="2134">
          <cell r="A2134">
            <v>34000000</v>
          </cell>
          <cell r="C2134">
            <v>34000000</v>
          </cell>
          <cell r="D2134">
            <v>34000000</v>
          </cell>
          <cell r="E2134">
            <v>34000000</v>
          </cell>
          <cell r="F2134">
            <v>34000000</v>
          </cell>
          <cell r="G2134">
            <v>34000000</v>
          </cell>
          <cell r="H2134">
            <v>34000000</v>
          </cell>
          <cell r="I2134" t="str">
            <v/>
          </cell>
          <cell r="J2134" t="str">
            <v/>
          </cell>
          <cell r="K2134" t="str">
            <v/>
          </cell>
          <cell r="L2134" t="str">
            <v/>
          </cell>
        </row>
        <row r="2135">
          <cell r="A2135">
            <v>34000000</v>
          </cell>
          <cell r="C2135">
            <v>34000000</v>
          </cell>
          <cell r="D2135">
            <v>34000000</v>
          </cell>
          <cell r="E2135">
            <v>34000000</v>
          </cell>
          <cell r="F2135">
            <v>34000000</v>
          </cell>
          <cell r="G2135">
            <v>34000000</v>
          </cell>
          <cell r="H2135">
            <v>34000000</v>
          </cell>
          <cell r="I2135" t="str">
            <v/>
          </cell>
          <cell r="J2135" t="str">
            <v/>
          </cell>
          <cell r="K2135" t="str">
            <v/>
          </cell>
          <cell r="L2135" t="str">
            <v/>
          </cell>
        </row>
        <row r="2136">
          <cell r="A2136">
            <v>34000000</v>
          </cell>
          <cell r="C2136">
            <v>34000000</v>
          </cell>
          <cell r="D2136">
            <v>34000000</v>
          </cell>
          <cell r="E2136">
            <v>34000000</v>
          </cell>
          <cell r="F2136">
            <v>34000000</v>
          </cell>
          <cell r="G2136">
            <v>34000000</v>
          </cell>
          <cell r="H2136">
            <v>34000000</v>
          </cell>
          <cell r="I2136" t="str">
            <v/>
          </cell>
          <cell r="J2136" t="str">
            <v/>
          </cell>
          <cell r="K2136" t="str">
            <v/>
          </cell>
          <cell r="L2136" t="str">
            <v/>
          </cell>
        </row>
        <row r="2137">
          <cell r="A2137">
            <v>34000000</v>
          </cell>
          <cell r="C2137">
            <v>34000000</v>
          </cell>
          <cell r="D2137">
            <v>34000000</v>
          </cell>
          <cell r="E2137">
            <v>34000000</v>
          </cell>
          <cell r="F2137">
            <v>34000000</v>
          </cell>
          <cell r="G2137">
            <v>34000000</v>
          </cell>
          <cell r="H2137">
            <v>34000000</v>
          </cell>
          <cell r="I2137" t="str">
            <v/>
          </cell>
          <cell r="J2137" t="str">
            <v/>
          </cell>
          <cell r="K2137" t="str">
            <v/>
          </cell>
          <cell r="L2137" t="str">
            <v/>
          </cell>
        </row>
        <row r="2138">
          <cell r="A2138">
            <v>34000000</v>
          </cell>
          <cell r="C2138">
            <v>34000000</v>
          </cell>
          <cell r="D2138">
            <v>34000000</v>
          </cell>
          <cell r="E2138">
            <v>34000000</v>
          </cell>
          <cell r="F2138">
            <v>34000000</v>
          </cell>
          <cell r="G2138">
            <v>34000000</v>
          </cell>
          <cell r="H2138">
            <v>34000000</v>
          </cell>
          <cell r="I2138" t="str">
            <v/>
          </cell>
          <cell r="J2138" t="str">
            <v/>
          </cell>
          <cell r="K2138" t="str">
            <v/>
          </cell>
          <cell r="L2138" t="str">
            <v/>
          </cell>
        </row>
        <row r="2139">
          <cell r="A2139">
            <v>34000000</v>
          </cell>
          <cell r="C2139">
            <v>34000000</v>
          </cell>
          <cell r="D2139">
            <v>34000000</v>
          </cell>
          <cell r="E2139">
            <v>34000000</v>
          </cell>
          <cell r="F2139">
            <v>34000000</v>
          </cell>
          <cell r="G2139">
            <v>34000000</v>
          </cell>
          <cell r="H2139">
            <v>34000000</v>
          </cell>
          <cell r="I2139" t="str">
            <v/>
          </cell>
          <cell r="J2139" t="str">
            <v/>
          </cell>
          <cell r="K2139" t="str">
            <v/>
          </cell>
          <cell r="L2139" t="str">
            <v/>
          </cell>
        </row>
        <row r="2140">
          <cell r="A2140">
            <v>34000000</v>
          </cell>
          <cell r="C2140">
            <v>34000000</v>
          </cell>
          <cell r="D2140">
            <v>34000000</v>
          </cell>
          <cell r="E2140">
            <v>34000000</v>
          </cell>
          <cell r="F2140">
            <v>34000000</v>
          </cell>
          <cell r="G2140">
            <v>34000000</v>
          </cell>
          <cell r="H2140">
            <v>34000000</v>
          </cell>
          <cell r="I2140" t="str">
            <v/>
          </cell>
          <cell r="J2140" t="str">
            <v/>
          </cell>
          <cell r="K2140" t="str">
            <v/>
          </cell>
          <cell r="L2140" t="str">
            <v/>
          </cell>
        </row>
        <row r="2141">
          <cell r="A2141">
            <v>34000000</v>
          </cell>
          <cell r="C2141">
            <v>34000000</v>
          </cell>
          <cell r="D2141">
            <v>34000000</v>
          </cell>
          <cell r="E2141">
            <v>34000000</v>
          </cell>
          <cell r="F2141">
            <v>34000000</v>
          </cell>
          <cell r="G2141">
            <v>34000000</v>
          </cell>
          <cell r="H2141">
            <v>34000000</v>
          </cell>
          <cell r="I2141" t="str">
            <v/>
          </cell>
          <cell r="J2141" t="str">
            <v/>
          </cell>
          <cell r="K2141" t="str">
            <v/>
          </cell>
          <cell r="L2141" t="str">
            <v/>
          </cell>
        </row>
        <row r="2142">
          <cell r="A2142">
            <v>34000000</v>
          </cell>
          <cell r="C2142">
            <v>34000000</v>
          </cell>
          <cell r="D2142">
            <v>34000000</v>
          </cell>
          <cell r="E2142">
            <v>34000000</v>
          </cell>
          <cell r="F2142">
            <v>34000000</v>
          </cell>
          <cell r="G2142">
            <v>34000000</v>
          </cell>
          <cell r="H2142">
            <v>34000000</v>
          </cell>
          <cell r="I2142" t="str">
            <v/>
          </cell>
          <cell r="J2142" t="str">
            <v/>
          </cell>
          <cell r="K2142" t="str">
            <v/>
          </cell>
          <cell r="L2142" t="str">
            <v/>
          </cell>
        </row>
        <row r="2143">
          <cell r="A2143">
            <v>34000000</v>
          </cell>
          <cell r="C2143">
            <v>34000000</v>
          </cell>
          <cell r="D2143">
            <v>34000000</v>
          </cell>
          <cell r="E2143">
            <v>34000000</v>
          </cell>
          <cell r="F2143">
            <v>34000000</v>
          </cell>
          <cell r="G2143">
            <v>34000000</v>
          </cell>
          <cell r="H2143">
            <v>34000000</v>
          </cell>
          <cell r="I2143" t="str">
            <v/>
          </cell>
          <cell r="J2143" t="str">
            <v/>
          </cell>
          <cell r="K2143" t="str">
            <v/>
          </cell>
          <cell r="L2143" t="str">
            <v/>
          </cell>
        </row>
        <row r="2144">
          <cell r="A2144">
            <v>34000000</v>
          </cell>
          <cell r="C2144">
            <v>34000000</v>
          </cell>
          <cell r="D2144">
            <v>34000000</v>
          </cell>
          <cell r="E2144">
            <v>34000000</v>
          </cell>
          <cell r="F2144">
            <v>34000000</v>
          </cell>
          <cell r="G2144">
            <v>34000000</v>
          </cell>
          <cell r="H2144">
            <v>34000000</v>
          </cell>
          <cell r="I2144" t="str">
            <v/>
          </cell>
          <cell r="J2144" t="str">
            <v/>
          </cell>
          <cell r="K2144" t="str">
            <v/>
          </cell>
          <cell r="L2144" t="str">
            <v/>
          </cell>
        </row>
        <row r="2145">
          <cell r="A2145">
            <v>34000000</v>
          </cell>
          <cell r="C2145">
            <v>34000000</v>
          </cell>
          <cell r="D2145">
            <v>34000000</v>
          </cell>
          <cell r="E2145">
            <v>34000000</v>
          </cell>
          <cell r="F2145">
            <v>34000000</v>
          </cell>
          <cell r="G2145">
            <v>34000000</v>
          </cell>
          <cell r="H2145">
            <v>34000000</v>
          </cell>
          <cell r="I2145" t="str">
            <v/>
          </cell>
          <cell r="J2145" t="str">
            <v/>
          </cell>
          <cell r="K2145" t="str">
            <v/>
          </cell>
          <cell r="L2145" t="str">
            <v/>
          </cell>
        </row>
        <row r="2146">
          <cell r="A2146">
            <v>34000000</v>
          </cell>
          <cell r="C2146">
            <v>34000000</v>
          </cell>
          <cell r="D2146">
            <v>34000000</v>
          </cell>
          <cell r="E2146">
            <v>34000000</v>
          </cell>
          <cell r="F2146">
            <v>34000000</v>
          </cell>
          <cell r="G2146">
            <v>34000000</v>
          </cell>
          <cell r="H2146">
            <v>34000000</v>
          </cell>
          <cell r="I2146" t="str">
            <v/>
          </cell>
          <cell r="J2146" t="str">
            <v/>
          </cell>
          <cell r="K2146" t="str">
            <v/>
          </cell>
          <cell r="L2146" t="str">
            <v/>
          </cell>
        </row>
        <row r="2147">
          <cell r="A2147">
            <v>34000000</v>
          </cell>
          <cell r="C2147">
            <v>34000000</v>
          </cell>
          <cell r="D2147">
            <v>34000000</v>
          </cell>
          <cell r="E2147">
            <v>34000000</v>
          </cell>
          <cell r="F2147">
            <v>34000000</v>
          </cell>
          <cell r="G2147">
            <v>34000000</v>
          </cell>
          <cell r="H2147">
            <v>34000000</v>
          </cell>
          <cell r="I2147" t="str">
            <v/>
          </cell>
          <cell r="J2147" t="str">
            <v/>
          </cell>
          <cell r="K2147" t="str">
            <v/>
          </cell>
          <cell r="L2147" t="str">
            <v/>
          </cell>
        </row>
        <row r="2148">
          <cell r="A2148">
            <v>34000000</v>
          </cell>
          <cell r="C2148">
            <v>34000000</v>
          </cell>
          <cell r="D2148">
            <v>34000000</v>
          </cell>
          <cell r="E2148">
            <v>34000000</v>
          </cell>
          <cell r="F2148">
            <v>34000000</v>
          </cell>
          <cell r="G2148">
            <v>34000000</v>
          </cell>
          <cell r="H2148">
            <v>34000000</v>
          </cell>
          <cell r="I2148" t="str">
            <v/>
          </cell>
          <cell r="J2148" t="str">
            <v/>
          </cell>
          <cell r="K2148" t="str">
            <v/>
          </cell>
          <cell r="L2148" t="str">
            <v/>
          </cell>
        </row>
        <row r="2149">
          <cell r="A2149">
            <v>34000000</v>
          </cell>
          <cell r="C2149">
            <v>34000000</v>
          </cell>
          <cell r="D2149">
            <v>34000000</v>
          </cell>
          <cell r="E2149">
            <v>34000000</v>
          </cell>
          <cell r="F2149">
            <v>34000000</v>
          </cell>
          <cell r="G2149">
            <v>34000000</v>
          </cell>
          <cell r="H2149">
            <v>34000000</v>
          </cell>
          <cell r="I2149" t="str">
            <v/>
          </cell>
          <cell r="J2149" t="str">
            <v/>
          </cell>
          <cell r="K2149" t="str">
            <v/>
          </cell>
          <cell r="L2149" t="str">
            <v/>
          </cell>
        </row>
        <row r="2150">
          <cell r="A2150">
            <v>34000000</v>
          </cell>
          <cell r="C2150">
            <v>34000000</v>
          </cell>
          <cell r="D2150">
            <v>34000000</v>
          </cell>
          <cell r="E2150">
            <v>34000000</v>
          </cell>
          <cell r="F2150">
            <v>34000000</v>
          </cell>
          <cell r="G2150">
            <v>34000000</v>
          </cell>
          <cell r="H2150">
            <v>34000000</v>
          </cell>
          <cell r="I2150" t="str">
            <v/>
          </cell>
          <cell r="J2150" t="str">
            <v/>
          </cell>
          <cell r="K2150" t="str">
            <v/>
          </cell>
          <cell r="L2150" t="str">
            <v/>
          </cell>
        </row>
        <row r="2151">
          <cell r="A2151">
            <v>34000000</v>
          </cell>
          <cell r="C2151">
            <v>34000000</v>
          </cell>
          <cell r="D2151">
            <v>34000000</v>
          </cell>
          <cell r="E2151">
            <v>34000000</v>
          </cell>
          <cell r="F2151">
            <v>34000000</v>
          </cell>
          <cell r="G2151">
            <v>34000000</v>
          </cell>
          <cell r="H2151">
            <v>34000000</v>
          </cell>
          <cell r="I2151" t="str">
            <v/>
          </cell>
          <cell r="J2151" t="str">
            <v/>
          </cell>
          <cell r="K2151" t="str">
            <v/>
          </cell>
          <cell r="L2151" t="str">
            <v/>
          </cell>
        </row>
        <row r="2152">
          <cell r="A2152">
            <v>34000000</v>
          </cell>
          <cell r="C2152">
            <v>34000000</v>
          </cell>
          <cell r="D2152">
            <v>34000000</v>
          </cell>
          <cell r="E2152">
            <v>34000000</v>
          </cell>
          <cell r="F2152">
            <v>34000000</v>
          </cell>
          <cell r="G2152">
            <v>34000000</v>
          </cell>
          <cell r="H2152">
            <v>34000000</v>
          </cell>
          <cell r="I2152" t="str">
            <v/>
          </cell>
          <cell r="J2152" t="str">
            <v/>
          </cell>
          <cell r="K2152" t="str">
            <v/>
          </cell>
          <cell r="L2152" t="str">
            <v/>
          </cell>
        </row>
        <row r="2153">
          <cell r="A2153">
            <v>34000000</v>
          </cell>
          <cell r="C2153">
            <v>34000000</v>
          </cell>
          <cell r="D2153">
            <v>34000000</v>
          </cell>
          <cell r="E2153">
            <v>34000000</v>
          </cell>
          <cell r="F2153">
            <v>34000000</v>
          </cell>
          <cell r="G2153">
            <v>34000000</v>
          </cell>
          <cell r="H2153">
            <v>34000000</v>
          </cell>
          <cell r="I2153" t="str">
            <v/>
          </cell>
          <cell r="J2153" t="str">
            <v/>
          </cell>
          <cell r="K2153" t="str">
            <v/>
          </cell>
          <cell r="L2153" t="str">
            <v/>
          </cell>
        </row>
        <row r="2154">
          <cell r="A2154">
            <v>34000000</v>
          </cell>
          <cell r="C2154">
            <v>34000000</v>
          </cell>
          <cell r="D2154">
            <v>34000000</v>
          </cell>
          <cell r="E2154">
            <v>34000000</v>
          </cell>
          <cell r="F2154">
            <v>34000000</v>
          </cell>
          <cell r="G2154">
            <v>34000000</v>
          </cell>
          <cell r="H2154">
            <v>34000000</v>
          </cell>
          <cell r="I2154" t="str">
            <v/>
          </cell>
          <cell r="J2154" t="str">
            <v/>
          </cell>
          <cell r="K2154" t="str">
            <v/>
          </cell>
          <cell r="L2154" t="str">
            <v/>
          </cell>
        </row>
        <row r="2155">
          <cell r="A2155">
            <v>34000000</v>
          </cell>
          <cell r="C2155">
            <v>34000000</v>
          </cell>
          <cell r="D2155">
            <v>34000000</v>
          </cell>
          <cell r="E2155">
            <v>34000000</v>
          </cell>
          <cell r="F2155">
            <v>34000000</v>
          </cell>
          <cell r="G2155">
            <v>34000000</v>
          </cell>
          <cell r="H2155">
            <v>34000000</v>
          </cell>
          <cell r="I2155" t="str">
            <v/>
          </cell>
          <cell r="J2155" t="str">
            <v/>
          </cell>
          <cell r="K2155" t="str">
            <v/>
          </cell>
          <cell r="L2155" t="str">
            <v/>
          </cell>
        </row>
        <row r="2156">
          <cell r="A2156">
            <v>34000000</v>
          </cell>
          <cell r="C2156">
            <v>34000000</v>
          </cell>
          <cell r="D2156">
            <v>34000000</v>
          </cell>
          <cell r="E2156">
            <v>34000000</v>
          </cell>
          <cell r="F2156">
            <v>34000000</v>
          </cell>
          <cell r="G2156">
            <v>34000000</v>
          </cell>
          <cell r="H2156">
            <v>34000000</v>
          </cell>
          <cell r="I2156" t="str">
            <v/>
          </cell>
          <cell r="J2156" t="str">
            <v/>
          </cell>
          <cell r="K2156" t="str">
            <v/>
          </cell>
          <cell r="L2156" t="str">
            <v/>
          </cell>
        </row>
        <row r="2157">
          <cell r="A2157">
            <v>34000000</v>
          </cell>
          <cell r="C2157">
            <v>34000000</v>
          </cell>
          <cell r="D2157">
            <v>34000000</v>
          </cell>
          <cell r="E2157">
            <v>34000000</v>
          </cell>
          <cell r="F2157">
            <v>34000000</v>
          </cell>
          <cell r="G2157">
            <v>34000000</v>
          </cell>
          <cell r="H2157">
            <v>34000000</v>
          </cell>
          <cell r="I2157" t="str">
            <v/>
          </cell>
          <cell r="J2157" t="str">
            <v/>
          </cell>
          <cell r="K2157" t="str">
            <v/>
          </cell>
          <cell r="L2157" t="str">
            <v/>
          </cell>
        </row>
        <row r="2158">
          <cell r="A2158">
            <v>34000000</v>
          </cell>
          <cell r="C2158">
            <v>34000000</v>
          </cell>
          <cell r="D2158">
            <v>34000000</v>
          </cell>
          <cell r="E2158">
            <v>34000000</v>
          </cell>
          <cell r="F2158">
            <v>34000000</v>
          </cell>
          <cell r="G2158">
            <v>34000000</v>
          </cell>
          <cell r="H2158">
            <v>34000000</v>
          </cell>
          <cell r="I2158" t="str">
            <v/>
          </cell>
          <cell r="J2158" t="str">
            <v/>
          </cell>
          <cell r="K2158" t="str">
            <v/>
          </cell>
          <cell r="L2158" t="str">
            <v/>
          </cell>
        </row>
        <row r="2159">
          <cell r="A2159">
            <v>34000000</v>
          </cell>
          <cell r="C2159">
            <v>34000000</v>
          </cell>
          <cell r="D2159">
            <v>34000000</v>
          </cell>
          <cell r="E2159">
            <v>34000000</v>
          </cell>
          <cell r="F2159">
            <v>34000000</v>
          </cell>
          <cell r="G2159">
            <v>34000000</v>
          </cell>
          <cell r="H2159">
            <v>34000000</v>
          </cell>
          <cell r="I2159" t="str">
            <v/>
          </cell>
          <cell r="J2159" t="str">
            <v/>
          </cell>
          <cell r="K2159" t="str">
            <v/>
          </cell>
          <cell r="L2159" t="str">
            <v/>
          </cell>
        </row>
        <row r="2160">
          <cell r="A2160">
            <v>34000000</v>
          </cell>
          <cell r="C2160">
            <v>34000000</v>
          </cell>
          <cell r="D2160">
            <v>34000000</v>
          </cell>
          <cell r="E2160">
            <v>34000000</v>
          </cell>
          <cell r="F2160">
            <v>34000000</v>
          </cell>
          <cell r="G2160">
            <v>34000000</v>
          </cell>
          <cell r="H2160">
            <v>34000000</v>
          </cell>
          <cell r="I2160" t="str">
            <v/>
          </cell>
          <cell r="J2160" t="str">
            <v/>
          </cell>
          <cell r="K2160" t="str">
            <v/>
          </cell>
          <cell r="L2160" t="str">
            <v/>
          </cell>
        </row>
        <row r="2161">
          <cell r="A2161">
            <v>34000000</v>
          </cell>
          <cell r="C2161">
            <v>34000000</v>
          </cell>
          <cell r="D2161">
            <v>34000000</v>
          </cell>
          <cell r="E2161">
            <v>34000000</v>
          </cell>
          <cell r="F2161">
            <v>34000000</v>
          </cell>
          <cell r="G2161">
            <v>34000000</v>
          </cell>
          <cell r="H2161">
            <v>34000000</v>
          </cell>
          <cell r="I2161" t="str">
            <v/>
          </cell>
          <cell r="J2161" t="str">
            <v/>
          </cell>
          <cell r="K2161" t="str">
            <v/>
          </cell>
          <cell r="L2161" t="str">
            <v/>
          </cell>
        </row>
        <row r="2162">
          <cell r="A2162">
            <v>34000000</v>
          </cell>
          <cell r="C2162">
            <v>34000000</v>
          </cell>
          <cell r="D2162">
            <v>34000000</v>
          </cell>
          <cell r="E2162">
            <v>34000000</v>
          </cell>
          <cell r="F2162">
            <v>34000000</v>
          </cell>
          <cell r="G2162">
            <v>34000000</v>
          </cell>
          <cell r="H2162">
            <v>34000000</v>
          </cell>
          <cell r="I2162" t="str">
            <v/>
          </cell>
          <cell r="J2162" t="str">
            <v/>
          </cell>
          <cell r="K2162" t="str">
            <v/>
          </cell>
          <cell r="L2162" t="str">
            <v/>
          </cell>
        </row>
        <row r="2163">
          <cell r="A2163">
            <v>34000000</v>
          </cell>
          <cell r="C2163">
            <v>34000000</v>
          </cell>
          <cell r="D2163">
            <v>34000000</v>
          </cell>
          <cell r="E2163">
            <v>34000000</v>
          </cell>
          <cell r="F2163">
            <v>34000000</v>
          </cell>
          <cell r="G2163">
            <v>34000000</v>
          </cell>
          <cell r="H2163">
            <v>34000000</v>
          </cell>
          <cell r="I2163" t="str">
            <v/>
          </cell>
          <cell r="J2163" t="str">
            <v/>
          </cell>
          <cell r="K2163" t="str">
            <v/>
          </cell>
          <cell r="L2163" t="str">
            <v/>
          </cell>
        </row>
        <row r="2164">
          <cell r="A2164">
            <v>34000000</v>
          </cell>
          <cell r="C2164">
            <v>34000000</v>
          </cell>
          <cell r="D2164">
            <v>34000000</v>
          </cell>
          <cell r="E2164">
            <v>34000000</v>
          </cell>
          <cell r="F2164">
            <v>34000000</v>
          </cell>
          <cell r="G2164">
            <v>34000000</v>
          </cell>
          <cell r="H2164">
            <v>34000000</v>
          </cell>
          <cell r="I2164" t="str">
            <v/>
          </cell>
          <cell r="J2164" t="str">
            <v/>
          </cell>
          <cell r="K2164" t="str">
            <v/>
          </cell>
          <cell r="L2164" t="str">
            <v/>
          </cell>
        </row>
        <row r="2165">
          <cell r="A2165">
            <v>34000000</v>
          </cell>
          <cell r="C2165">
            <v>34000000</v>
          </cell>
          <cell r="D2165">
            <v>34000000</v>
          </cell>
          <cell r="E2165">
            <v>34000000</v>
          </cell>
          <cell r="F2165">
            <v>34000000</v>
          </cell>
          <cell r="G2165">
            <v>34000000</v>
          </cell>
          <cell r="H2165">
            <v>34000000</v>
          </cell>
          <cell r="I2165" t="str">
            <v/>
          </cell>
          <cell r="J2165" t="str">
            <v/>
          </cell>
          <cell r="K2165" t="str">
            <v/>
          </cell>
          <cell r="L2165" t="str">
            <v/>
          </cell>
        </row>
        <row r="2166">
          <cell r="A2166">
            <v>34000000</v>
          </cell>
          <cell r="C2166">
            <v>34000000</v>
          </cell>
          <cell r="D2166">
            <v>34000000</v>
          </cell>
          <cell r="E2166">
            <v>34000000</v>
          </cell>
          <cell r="F2166">
            <v>34000000</v>
          </cell>
          <cell r="G2166">
            <v>34000000</v>
          </cell>
          <cell r="H2166">
            <v>34000000</v>
          </cell>
          <cell r="I2166" t="str">
            <v/>
          </cell>
          <cell r="J2166" t="str">
            <v/>
          </cell>
          <cell r="K2166" t="str">
            <v/>
          </cell>
          <cell r="L2166" t="str">
            <v/>
          </cell>
        </row>
        <row r="2167">
          <cell r="A2167">
            <v>34000000</v>
          </cell>
          <cell r="C2167">
            <v>34000000</v>
          </cell>
          <cell r="D2167">
            <v>34000000</v>
          </cell>
          <cell r="E2167">
            <v>34000000</v>
          </cell>
          <cell r="F2167">
            <v>34000000</v>
          </cell>
          <cell r="G2167">
            <v>34000000</v>
          </cell>
          <cell r="H2167">
            <v>34000000</v>
          </cell>
          <cell r="I2167" t="str">
            <v/>
          </cell>
          <cell r="J2167" t="str">
            <v/>
          </cell>
          <cell r="K2167" t="str">
            <v/>
          </cell>
          <cell r="L2167" t="str">
            <v/>
          </cell>
        </row>
        <row r="2168">
          <cell r="A2168">
            <v>34000000</v>
          </cell>
          <cell r="C2168">
            <v>34000000</v>
          </cell>
          <cell r="D2168">
            <v>34000000</v>
          </cell>
          <cell r="E2168">
            <v>34000000</v>
          </cell>
          <cell r="F2168">
            <v>34000000</v>
          </cell>
          <cell r="G2168">
            <v>34000000</v>
          </cell>
          <cell r="H2168">
            <v>34000000</v>
          </cell>
          <cell r="I2168" t="str">
            <v/>
          </cell>
          <cell r="J2168" t="str">
            <v/>
          </cell>
          <cell r="K2168" t="str">
            <v/>
          </cell>
          <cell r="L2168" t="str">
            <v/>
          </cell>
        </row>
        <row r="2169">
          <cell r="A2169">
            <v>34000000</v>
          </cell>
          <cell r="C2169">
            <v>34000000</v>
          </cell>
          <cell r="D2169">
            <v>34000000</v>
          </cell>
          <cell r="E2169">
            <v>34000000</v>
          </cell>
          <cell r="F2169">
            <v>34000000</v>
          </cell>
          <cell r="G2169">
            <v>34000000</v>
          </cell>
          <cell r="H2169">
            <v>34000000</v>
          </cell>
          <cell r="I2169" t="str">
            <v/>
          </cell>
          <cell r="J2169" t="str">
            <v/>
          </cell>
          <cell r="K2169" t="str">
            <v/>
          </cell>
          <cell r="L2169" t="str">
            <v/>
          </cell>
        </row>
        <row r="2170">
          <cell r="A2170">
            <v>34000000</v>
          </cell>
          <cell r="C2170">
            <v>34000000</v>
          </cell>
          <cell r="D2170">
            <v>34000000</v>
          </cell>
          <cell r="E2170">
            <v>34000000</v>
          </cell>
          <cell r="F2170">
            <v>34000000</v>
          </cell>
          <cell r="G2170">
            <v>34000000</v>
          </cell>
          <cell r="H2170">
            <v>34000000</v>
          </cell>
          <cell r="I2170" t="str">
            <v/>
          </cell>
          <cell r="J2170" t="str">
            <v/>
          </cell>
          <cell r="K2170" t="str">
            <v/>
          </cell>
          <cell r="L2170" t="str">
            <v/>
          </cell>
        </row>
        <row r="2171">
          <cell r="A2171">
            <v>34000000</v>
          </cell>
          <cell r="C2171">
            <v>34000000</v>
          </cell>
          <cell r="D2171">
            <v>34000000</v>
          </cell>
          <cell r="E2171">
            <v>34000000</v>
          </cell>
          <cell r="F2171">
            <v>34000000</v>
          </cell>
          <cell r="G2171">
            <v>34000000</v>
          </cell>
          <cell r="H2171">
            <v>34000000</v>
          </cell>
          <cell r="I2171" t="str">
            <v/>
          </cell>
          <cell r="J2171" t="str">
            <v/>
          </cell>
          <cell r="K2171" t="str">
            <v/>
          </cell>
          <cell r="L2171" t="str">
            <v/>
          </cell>
        </row>
        <row r="2172">
          <cell r="A2172">
            <v>34000000</v>
          </cell>
          <cell r="C2172">
            <v>34000000</v>
          </cell>
          <cell r="D2172">
            <v>34000000</v>
          </cell>
          <cell r="E2172">
            <v>34000000</v>
          </cell>
          <cell r="F2172">
            <v>34000000</v>
          </cell>
          <cell r="G2172">
            <v>34000000</v>
          </cell>
          <cell r="H2172">
            <v>34000000</v>
          </cell>
          <cell r="I2172" t="str">
            <v/>
          </cell>
          <cell r="J2172" t="str">
            <v/>
          </cell>
          <cell r="K2172" t="str">
            <v/>
          </cell>
          <cell r="L2172" t="str">
            <v/>
          </cell>
        </row>
        <row r="2173">
          <cell r="A2173">
            <v>34000000</v>
          </cell>
          <cell r="C2173">
            <v>34000000</v>
          </cell>
          <cell r="D2173">
            <v>34000000</v>
          </cell>
          <cell r="E2173">
            <v>34000000</v>
          </cell>
          <cell r="F2173">
            <v>34000000</v>
          </cell>
          <cell r="G2173">
            <v>34000000</v>
          </cell>
          <cell r="H2173">
            <v>34000000</v>
          </cell>
          <cell r="I2173" t="str">
            <v/>
          </cell>
          <cell r="J2173" t="str">
            <v/>
          </cell>
          <cell r="K2173" t="str">
            <v/>
          </cell>
          <cell r="L2173" t="str">
            <v/>
          </cell>
        </row>
        <row r="2174">
          <cell r="A2174">
            <v>34000000</v>
          </cell>
          <cell r="C2174">
            <v>34000000</v>
          </cell>
          <cell r="D2174">
            <v>34000000</v>
          </cell>
          <cell r="E2174">
            <v>34000000</v>
          </cell>
          <cell r="F2174">
            <v>34000000</v>
          </cell>
          <cell r="G2174">
            <v>34000000</v>
          </cell>
          <cell r="H2174">
            <v>34000000</v>
          </cell>
          <cell r="I2174" t="str">
            <v/>
          </cell>
          <cell r="J2174" t="str">
            <v/>
          </cell>
          <cell r="K2174" t="str">
            <v/>
          </cell>
          <cell r="L2174" t="str">
            <v/>
          </cell>
        </row>
        <row r="2175">
          <cell r="A2175">
            <v>34000000</v>
          </cell>
          <cell r="C2175">
            <v>34000000</v>
          </cell>
          <cell r="D2175">
            <v>34000000</v>
          </cell>
          <cell r="E2175">
            <v>34000000</v>
          </cell>
          <cell r="F2175">
            <v>34000000</v>
          </cell>
          <cell r="G2175">
            <v>34000000</v>
          </cell>
          <cell r="H2175">
            <v>34000000</v>
          </cell>
          <cell r="I2175" t="str">
            <v/>
          </cell>
          <cell r="J2175" t="str">
            <v/>
          </cell>
          <cell r="K2175" t="str">
            <v/>
          </cell>
          <cell r="L2175" t="str">
            <v/>
          </cell>
        </row>
        <row r="2176">
          <cell r="A2176">
            <v>34000000</v>
          </cell>
          <cell r="C2176">
            <v>34000000</v>
          </cell>
          <cell r="D2176">
            <v>34000000</v>
          </cell>
          <cell r="E2176">
            <v>34000000</v>
          </cell>
          <cell r="F2176">
            <v>34000000</v>
          </cell>
          <cell r="G2176">
            <v>34000000</v>
          </cell>
          <cell r="H2176">
            <v>34000000</v>
          </cell>
          <cell r="I2176" t="str">
            <v/>
          </cell>
          <cell r="J2176" t="str">
            <v/>
          </cell>
          <cell r="K2176" t="str">
            <v/>
          </cell>
          <cell r="L2176" t="str">
            <v/>
          </cell>
        </row>
        <row r="2177">
          <cell r="A2177">
            <v>34000000</v>
          </cell>
          <cell r="C2177">
            <v>34000000</v>
          </cell>
          <cell r="D2177">
            <v>34000000</v>
          </cell>
          <cell r="E2177">
            <v>34000000</v>
          </cell>
          <cell r="F2177">
            <v>34000000</v>
          </cell>
          <cell r="G2177">
            <v>34000000</v>
          </cell>
          <cell r="H2177">
            <v>34000000</v>
          </cell>
          <cell r="I2177" t="str">
            <v/>
          </cell>
          <cell r="J2177" t="str">
            <v/>
          </cell>
          <cell r="K2177" t="str">
            <v/>
          </cell>
          <cell r="L2177" t="str">
            <v/>
          </cell>
        </row>
        <row r="2178">
          <cell r="A2178">
            <v>34000000</v>
          </cell>
          <cell r="C2178">
            <v>34000000</v>
          </cell>
          <cell r="D2178">
            <v>34000000</v>
          </cell>
          <cell r="E2178">
            <v>34000000</v>
          </cell>
          <cell r="F2178">
            <v>34000000</v>
          </cell>
          <cell r="G2178">
            <v>34000000</v>
          </cell>
          <cell r="H2178">
            <v>34000000</v>
          </cell>
          <cell r="I2178" t="str">
            <v/>
          </cell>
          <cell r="J2178" t="str">
            <v/>
          </cell>
          <cell r="K2178" t="str">
            <v/>
          </cell>
          <cell r="L2178" t="str">
            <v/>
          </cell>
        </row>
        <row r="2179">
          <cell r="A2179">
            <v>34000000</v>
          </cell>
          <cell r="C2179">
            <v>34000000</v>
          </cell>
          <cell r="D2179">
            <v>34000000</v>
          </cell>
          <cell r="E2179">
            <v>34000000</v>
          </cell>
          <cell r="F2179">
            <v>34000000</v>
          </cell>
          <cell r="G2179">
            <v>34000000</v>
          </cell>
          <cell r="H2179">
            <v>34000000</v>
          </cell>
          <cell r="I2179" t="str">
            <v/>
          </cell>
          <cell r="J2179" t="str">
            <v/>
          </cell>
          <cell r="K2179" t="str">
            <v/>
          </cell>
          <cell r="L2179" t="str">
            <v/>
          </cell>
        </row>
        <row r="2180">
          <cell r="A2180">
            <v>34000000</v>
          </cell>
          <cell r="C2180">
            <v>34000000</v>
          </cell>
          <cell r="D2180">
            <v>34000000</v>
          </cell>
          <cell r="E2180">
            <v>34000000</v>
          </cell>
          <cell r="F2180">
            <v>34000000</v>
          </cell>
          <cell r="G2180">
            <v>34000000</v>
          </cell>
          <cell r="H2180">
            <v>34000000</v>
          </cell>
          <cell r="I2180" t="str">
            <v/>
          </cell>
          <cell r="J2180" t="str">
            <v/>
          </cell>
          <cell r="K2180" t="str">
            <v/>
          </cell>
          <cell r="L2180" t="str">
            <v/>
          </cell>
        </row>
        <row r="2181">
          <cell r="A2181">
            <v>34000000</v>
          </cell>
          <cell r="C2181">
            <v>34000000</v>
          </cell>
          <cell r="D2181">
            <v>34000000</v>
          </cell>
          <cell r="E2181">
            <v>34000000</v>
          </cell>
          <cell r="F2181">
            <v>34000000</v>
          </cell>
          <cell r="G2181">
            <v>34000000</v>
          </cell>
          <cell r="H2181">
            <v>34000000</v>
          </cell>
          <cell r="I2181" t="str">
            <v/>
          </cell>
          <cell r="J2181" t="str">
            <v/>
          </cell>
          <cell r="K2181" t="str">
            <v/>
          </cell>
          <cell r="L2181" t="str">
            <v/>
          </cell>
        </row>
        <row r="2182">
          <cell r="A2182">
            <v>34000000</v>
          </cell>
          <cell r="C2182">
            <v>34000000</v>
          </cell>
          <cell r="D2182">
            <v>34000000</v>
          </cell>
          <cell r="E2182">
            <v>34000000</v>
          </cell>
          <cell r="F2182">
            <v>34000000</v>
          </cell>
          <cell r="G2182">
            <v>34000000</v>
          </cell>
          <cell r="H2182">
            <v>34000000</v>
          </cell>
          <cell r="I2182" t="str">
            <v/>
          </cell>
          <cell r="J2182" t="str">
            <v/>
          </cell>
          <cell r="K2182" t="str">
            <v/>
          </cell>
          <cell r="L2182" t="str">
            <v/>
          </cell>
        </row>
        <row r="2183">
          <cell r="A2183">
            <v>34000000</v>
          </cell>
          <cell r="C2183">
            <v>34000000</v>
          </cell>
          <cell r="D2183">
            <v>34000000</v>
          </cell>
          <cell r="E2183">
            <v>34000000</v>
          </cell>
          <cell r="F2183">
            <v>34000000</v>
          </cell>
          <cell r="G2183">
            <v>34000000</v>
          </cell>
          <cell r="H2183">
            <v>34000000</v>
          </cell>
          <cell r="I2183" t="str">
            <v/>
          </cell>
          <cell r="J2183" t="str">
            <v/>
          </cell>
          <cell r="K2183" t="str">
            <v/>
          </cell>
          <cell r="L2183" t="str">
            <v/>
          </cell>
        </row>
        <row r="2184">
          <cell r="A2184">
            <v>34000000</v>
          </cell>
          <cell r="C2184">
            <v>34000000</v>
          </cell>
          <cell r="D2184">
            <v>34000000</v>
          </cell>
          <cell r="E2184">
            <v>34000000</v>
          </cell>
          <cell r="F2184">
            <v>34000000</v>
          </cell>
          <cell r="G2184">
            <v>34000000</v>
          </cell>
          <cell r="H2184">
            <v>34000000</v>
          </cell>
          <cell r="I2184" t="str">
            <v/>
          </cell>
          <cell r="J2184" t="str">
            <v/>
          </cell>
          <cell r="K2184" t="str">
            <v/>
          </cell>
          <cell r="L2184" t="str">
            <v/>
          </cell>
        </row>
        <row r="2185">
          <cell r="A2185">
            <v>34000000</v>
          </cell>
          <cell r="C2185">
            <v>34000000</v>
          </cell>
          <cell r="D2185">
            <v>34000000</v>
          </cell>
          <cell r="E2185">
            <v>34000000</v>
          </cell>
          <cell r="F2185">
            <v>34000000</v>
          </cell>
          <cell r="G2185">
            <v>34000000</v>
          </cell>
          <cell r="H2185">
            <v>34000000</v>
          </cell>
          <cell r="I2185" t="str">
            <v/>
          </cell>
          <cell r="J2185" t="str">
            <v/>
          </cell>
          <cell r="K2185" t="str">
            <v/>
          </cell>
          <cell r="L2185" t="str">
            <v/>
          </cell>
        </row>
        <row r="2186">
          <cell r="A2186">
            <v>34000000</v>
          </cell>
          <cell r="C2186">
            <v>34000000</v>
          </cell>
          <cell r="D2186">
            <v>34000000</v>
          </cell>
          <cell r="E2186">
            <v>34000000</v>
          </cell>
          <cell r="F2186">
            <v>34000000</v>
          </cell>
          <cell r="G2186">
            <v>34000000</v>
          </cell>
          <cell r="H2186">
            <v>34000000</v>
          </cell>
          <cell r="I2186" t="str">
            <v/>
          </cell>
          <cell r="J2186" t="str">
            <v/>
          </cell>
          <cell r="K2186" t="str">
            <v/>
          </cell>
          <cell r="L2186" t="str">
            <v/>
          </cell>
        </row>
        <row r="2187">
          <cell r="A2187">
            <v>34000000</v>
          </cell>
          <cell r="C2187">
            <v>34000000</v>
          </cell>
          <cell r="D2187">
            <v>34000000</v>
          </cell>
          <cell r="E2187">
            <v>34000000</v>
          </cell>
          <cell r="F2187">
            <v>34000000</v>
          </cell>
          <cell r="G2187">
            <v>34000000</v>
          </cell>
          <cell r="H2187">
            <v>34000000</v>
          </cell>
          <cell r="I2187" t="str">
            <v/>
          </cell>
          <cell r="J2187" t="str">
            <v/>
          </cell>
          <cell r="K2187" t="str">
            <v/>
          </cell>
          <cell r="L2187" t="str">
            <v/>
          </cell>
        </row>
        <row r="2188">
          <cell r="A2188">
            <v>34000000</v>
          </cell>
          <cell r="C2188">
            <v>34000000</v>
          </cell>
          <cell r="D2188">
            <v>34000000</v>
          </cell>
          <cell r="E2188">
            <v>34000000</v>
          </cell>
          <cell r="F2188">
            <v>34000000</v>
          </cell>
          <cell r="G2188">
            <v>34000000</v>
          </cell>
          <cell r="H2188">
            <v>34000000</v>
          </cell>
          <cell r="I2188" t="str">
            <v/>
          </cell>
          <cell r="J2188" t="str">
            <v/>
          </cell>
          <cell r="K2188" t="str">
            <v/>
          </cell>
          <cell r="L2188" t="str">
            <v/>
          </cell>
        </row>
        <row r="2189">
          <cell r="A2189">
            <v>34000000</v>
          </cell>
          <cell r="C2189">
            <v>34000000</v>
          </cell>
          <cell r="D2189">
            <v>34000000</v>
          </cell>
          <cell r="E2189">
            <v>34000000</v>
          </cell>
          <cell r="F2189">
            <v>34000000</v>
          </cell>
          <cell r="G2189">
            <v>34000000</v>
          </cell>
          <cell r="H2189">
            <v>34000000</v>
          </cell>
          <cell r="I2189" t="str">
            <v/>
          </cell>
          <cell r="J2189" t="str">
            <v/>
          </cell>
          <cell r="K2189" t="str">
            <v/>
          </cell>
          <cell r="L2189" t="str">
            <v/>
          </cell>
        </row>
        <row r="2190">
          <cell r="A2190">
            <v>34000000</v>
          </cell>
          <cell r="C2190">
            <v>34000000</v>
          </cell>
          <cell r="D2190">
            <v>34000000</v>
          </cell>
          <cell r="E2190">
            <v>34000000</v>
          </cell>
          <cell r="F2190">
            <v>34000000</v>
          </cell>
          <cell r="G2190">
            <v>34000000</v>
          </cell>
          <cell r="H2190">
            <v>34000000</v>
          </cell>
          <cell r="I2190" t="str">
            <v/>
          </cell>
          <cell r="J2190" t="str">
            <v/>
          </cell>
          <cell r="K2190" t="str">
            <v/>
          </cell>
          <cell r="L2190" t="str">
            <v/>
          </cell>
        </row>
        <row r="2191">
          <cell r="A2191">
            <v>34000000</v>
          </cell>
          <cell r="C2191">
            <v>34000000</v>
          </cell>
          <cell r="D2191">
            <v>34000000</v>
          </cell>
          <cell r="E2191">
            <v>34000000</v>
          </cell>
          <cell r="F2191">
            <v>34000000</v>
          </cell>
          <cell r="G2191">
            <v>34000000</v>
          </cell>
          <cell r="H2191">
            <v>34000000</v>
          </cell>
          <cell r="I2191" t="str">
            <v/>
          </cell>
          <cell r="J2191" t="str">
            <v/>
          </cell>
          <cell r="K2191" t="str">
            <v/>
          </cell>
          <cell r="L2191" t="str">
            <v/>
          </cell>
        </row>
        <row r="2192">
          <cell r="A2192">
            <v>34000000</v>
          </cell>
          <cell r="C2192">
            <v>34000000</v>
          </cell>
          <cell r="D2192">
            <v>34000000</v>
          </cell>
          <cell r="E2192">
            <v>34000000</v>
          </cell>
          <cell r="F2192">
            <v>34000000</v>
          </cell>
          <cell r="G2192">
            <v>34000000</v>
          </cell>
          <cell r="H2192">
            <v>34000000</v>
          </cell>
          <cell r="I2192" t="str">
            <v/>
          </cell>
          <cell r="J2192" t="str">
            <v/>
          </cell>
          <cell r="K2192" t="str">
            <v/>
          </cell>
          <cell r="L2192" t="str">
            <v/>
          </cell>
        </row>
        <row r="2193">
          <cell r="A2193">
            <v>34000000</v>
          </cell>
          <cell r="C2193">
            <v>34000000</v>
          </cell>
          <cell r="D2193">
            <v>34000000</v>
          </cell>
          <cell r="E2193">
            <v>34000000</v>
          </cell>
          <cell r="F2193">
            <v>34000000</v>
          </cell>
          <cell r="G2193">
            <v>34000000</v>
          </cell>
          <cell r="H2193">
            <v>34000000</v>
          </cell>
          <cell r="I2193" t="str">
            <v/>
          </cell>
          <cell r="J2193" t="str">
            <v/>
          </cell>
          <cell r="K2193" t="str">
            <v/>
          </cell>
          <cell r="L2193" t="str">
            <v/>
          </cell>
        </row>
        <row r="2194">
          <cell r="A2194">
            <v>34000000</v>
          </cell>
          <cell r="C2194">
            <v>34000000</v>
          </cell>
          <cell r="D2194">
            <v>34000000</v>
          </cell>
          <cell r="E2194">
            <v>34000000</v>
          </cell>
          <cell r="F2194">
            <v>34000000</v>
          </cell>
          <cell r="G2194">
            <v>34000000</v>
          </cell>
          <cell r="H2194">
            <v>34000000</v>
          </cell>
          <cell r="I2194" t="str">
            <v/>
          </cell>
          <cell r="J2194" t="str">
            <v/>
          </cell>
          <cell r="K2194" t="str">
            <v/>
          </cell>
          <cell r="L2194" t="str">
            <v/>
          </cell>
        </row>
        <row r="2195">
          <cell r="A2195">
            <v>34000000</v>
          </cell>
          <cell r="C2195">
            <v>34000000</v>
          </cell>
          <cell r="D2195">
            <v>34000000</v>
          </cell>
          <cell r="E2195">
            <v>34000000</v>
          </cell>
          <cell r="F2195">
            <v>34000000</v>
          </cell>
          <cell r="G2195">
            <v>34000000</v>
          </cell>
          <cell r="H2195">
            <v>34000000</v>
          </cell>
          <cell r="I2195" t="str">
            <v/>
          </cell>
          <cell r="J2195" t="str">
            <v/>
          </cell>
          <cell r="K2195" t="str">
            <v/>
          </cell>
          <cell r="L2195" t="str">
            <v/>
          </cell>
        </row>
        <row r="2196">
          <cell r="A2196">
            <v>34000000</v>
          </cell>
          <cell r="C2196">
            <v>34000000</v>
          </cell>
          <cell r="D2196">
            <v>34000000</v>
          </cell>
          <cell r="E2196">
            <v>34000000</v>
          </cell>
          <cell r="F2196">
            <v>34000000</v>
          </cell>
          <cell r="G2196">
            <v>34000000</v>
          </cell>
          <cell r="H2196">
            <v>34000000</v>
          </cell>
          <cell r="I2196" t="str">
            <v/>
          </cell>
          <cell r="J2196" t="str">
            <v/>
          </cell>
          <cell r="K2196" t="str">
            <v/>
          </cell>
          <cell r="L2196" t="str">
            <v/>
          </cell>
        </row>
        <row r="2197">
          <cell r="A2197">
            <v>34000000</v>
          </cell>
          <cell r="C2197">
            <v>34000000</v>
          </cell>
          <cell r="D2197">
            <v>34000000</v>
          </cell>
          <cell r="E2197">
            <v>34000000</v>
          </cell>
          <cell r="F2197">
            <v>34000000</v>
          </cell>
          <cell r="G2197">
            <v>34000000</v>
          </cell>
          <cell r="H2197">
            <v>34000000</v>
          </cell>
          <cell r="I2197" t="str">
            <v/>
          </cell>
          <cell r="J2197" t="str">
            <v/>
          </cell>
          <cell r="K2197" t="str">
            <v/>
          </cell>
          <cell r="L2197" t="str">
            <v/>
          </cell>
        </row>
        <row r="2198">
          <cell r="A2198">
            <v>34000000</v>
          </cell>
          <cell r="C2198">
            <v>34000000</v>
          </cell>
          <cell r="D2198">
            <v>34000000</v>
          </cell>
          <cell r="E2198">
            <v>34000000</v>
          </cell>
          <cell r="F2198">
            <v>34000000</v>
          </cell>
          <cell r="G2198">
            <v>34000000</v>
          </cell>
          <cell r="H2198">
            <v>34000000</v>
          </cell>
          <cell r="I2198" t="str">
            <v/>
          </cell>
          <cell r="J2198" t="str">
            <v/>
          </cell>
          <cell r="K2198" t="str">
            <v/>
          </cell>
          <cell r="L2198" t="str">
            <v/>
          </cell>
        </row>
        <row r="2199">
          <cell r="A2199">
            <v>34000000</v>
          </cell>
          <cell r="C2199">
            <v>34000000</v>
          </cell>
          <cell r="D2199">
            <v>34000000</v>
          </cell>
          <cell r="E2199">
            <v>34000000</v>
          </cell>
          <cell r="F2199">
            <v>34000000</v>
          </cell>
          <cell r="G2199">
            <v>34000000</v>
          </cell>
          <cell r="H2199">
            <v>34000000</v>
          </cell>
          <cell r="I2199" t="str">
            <v/>
          </cell>
          <cell r="J2199" t="str">
            <v/>
          </cell>
          <cell r="K2199" t="str">
            <v/>
          </cell>
          <cell r="L2199" t="str">
            <v/>
          </cell>
        </row>
        <row r="2200">
          <cell r="A2200">
            <v>34000000</v>
          </cell>
          <cell r="C2200">
            <v>34000000</v>
          </cell>
          <cell r="D2200">
            <v>34000000</v>
          </cell>
          <cell r="E2200">
            <v>34000000</v>
          </cell>
          <cell r="F2200">
            <v>34000000</v>
          </cell>
          <cell r="G2200">
            <v>34000000</v>
          </cell>
          <cell r="H2200">
            <v>34000000</v>
          </cell>
          <cell r="I2200" t="str">
            <v/>
          </cell>
          <cell r="J2200" t="str">
            <v/>
          </cell>
          <cell r="K2200" t="str">
            <v/>
          </cell>
          <cell r="L2200" t="str">
            <v/>
          </cell>
        </row>
        <row r="2201">
          <cell r="A2201">
            <v>34000000</v>
          </cell>
          <cell r="C2201">
            <v>34000000</v>
          </cell>
          <cell r="D2201">
            <v>34000000</v>
          </cell>
          <cell r="E2201">
            <v>34000000</v>
          </cell>
          <cell r="F2201">
            <v>34000000</v>
          </cell>
          <cell r="G2201">
            <v>34000000</v>
          </cell>
          <cell r="H2201">
            <v>34000000</v>
          </cell>
          <cell r="I2201" t="str">
            <v/>
          </cell>
          <cell r="J2201" t="str">
            <v/>
          </cell>
          <cell r="K2201" t="str">
            <v/>
          </cell>
          <cell r="L2201" t="str">
            <v/>
          </cell>
        </row>
        <row r="2202">
          <cell r="A2202">
            <v>34000000</v>
          </cell>
          <cell r="C2202">
            <v>34000000</v>
          </cell>
          <cell r="D2202">
            <v>34000000</v>
          </cell>
          <cell r="E2202">
            <v>34000000</v>
          </cell>
          <cell r="F2202">
            <v>34000000</v>
          </cell>
          <cell r="G2202">
            <v>34000000</v>
          </cell>
          <cell r="H2202">
            <v>34000000</v>
          </cell>
          <cell r="I2202" t="str">
            <v/>
          </cell>
          <cell r="J2202" t="str">
            <v/>
          </cell>
          <cell r="K2202" t="str">
            <v/>
          </cell>
          <cell r="L2202" t="str">
            <v/>
          </cell>
        </row>
        <row r="2203">
          <cell r="A2203">
            <v>34000000</v>
          </cell>
          <cell r="C2203">
            <v>34000000</v>
          </cell>
          <cell r="D2203">
            <v>34000000</v>
          </cell>
          <cell r="E2203">
            <v>34000000</v>
          </cell>
          <cell r="F2203">
            <v>34000000</v>
          </cell>
          <cell r="G2203">
            <v>34000000</v>
          </cell>
          <cell r="H2203">
            <v>34000000</v>
          </cell>
          <cell r="I2203" t="str">
            <v/>
          </cell>
          <cell r="J2203" t="str">
            <v/>
          </cell>
          <cell r="K2203" t="str">
            <v/>
          </cell>
          <cell r="L2203" t="str">
            <v/>
          </cell>
        </row>
        <row r="2204">
          <cell r="A2204">
            <v>34000000</v>
          </cell>
          <cell r="C2204">
            <v>34000000</v>
          </cell>
          <cell r="D2204">
            <v>34000000</v>
          </cell>
          <cell r="E2204">
            <v>34000000</v>
          </cell>
          <cell r="F2204">
            <v>34000000</v>
          </cell>
          <cell r="G2204">
            <v>34000000</v>
          </cell>
          <cell r="H2204">
            <v>34000000</v>
          </cell>
          <cell r="I2204" t="str">
            <v/>
          </cell>
          <cell r="J2204" t="str">
            <v/>
          </cell>
          <cell r="K2204" t="str">
            <v/>
          </cell>
          <cell r="L2204" t="str">
            <v/>
          </cell>
        </row>
        <row r="2205">
          <cell r="A2205">
            <v>34000000</v>
          </cell>
          <cell r="C2205">
            <v>34000000</v>
          </cell>
          <cell r="D2205">
            <v>34000000</v>
          </cell>
          <cell r="E2205">
            <v>34000000</v>
          </cell>
          <cell r="F2205">
            <v>34000000</v>
          </cell>
          <cell r="G2205">
            <v>34000000</v>
          </cell>
          <cell r="H2205">
            <v>34000000</v>
          </cell>
          <cell r="I2205" t="str">
            <v/>
          </cell>
          <cell r="J2205" t="str">
            <v/>
          </cell>
          <cell r="K2205" t="str">
            <v/>
          </cell>
          <cell r="L2205" t="str">
            <v/>
          </cell>
        </row>
        <row r="2206">
          <cell r="A2206">
            <v>34000000</v>
          </cell>
          <cell r="C2206">
            <v>34000000</v>
          </cell>
          <cell r="D2206">
            <v>34000000</v>
          </cell>
          <cell r="E2206">
            <v>34000000</v>
          </cell>
          <cell r="F2206">
            <v>34000000</v>
          </cell>
          <cell r="G2206">
            <v>34000000</v>
          </cell>
          <cell r="H2206">
            <v>34000000</v>
          </cell>
          <cell r="I2206" t="str">
            <v/>
          </cell>
          <cell r="J2206" t="str">
            <v/>
          </cell>
          <cell r="K2206" t="str">
            <v/>
          </cell>
          <cell r="L2206" t="str">
            <v/>
          </cell>
        </row>
        <row r="2207">
          <cell r="A2207">
            <v>34000000</v>
          </cell>
          <cell r="C2207">
            <v>34000000</v>
          </cell>
          <cell r="D2207">
            <v>34000000</v>
          </cell>
          <cell r="E2207">
            <v>34000000</v>
          </cell>
          <cell r="F2207">
            <v>34000000</v>
          </cell>
          <cell r="G2207">
            <v>34000000</v>
          </cell>
          <cell r="H2207">
            <v>34000000</v>
          </cell>
          <cell r="I2207" t="str">
            <v/>
          </cell>
          <cell r="J2207" t="str">
            <v/>
          </cell>
          <cell r="K2207" t="str">
            <v/>
          </cell>
          <cell r="L2207" t="str">
            <v/>
          </cell>
        </row>
        <row r="2208">
          <cell r="A2208">
            <v>34000000</v>
          </cell>
          <cell r="C2208">
            <v>34000000</v>
          </cell>
          <cell r="D2208">
            <v>34000000</v>
          </cell>
          <cell r="E2208">
            <v>34000000</v>
          </cell>
          <cell r="F2208">
            <v>34000000</v>
          </cell>
          <cell r="G2208">
            <v>34000000</v>
          </cell>
          <cell r="H2208">
            <v>34000000</v>
          </cell>
          <cell r="I2208" t="str">
            <v/>
          </cell>
          <cell r="J2208" t="str">
            <v/>
          </cell>
          <cell r="K2208" t="str">
            <v/>
          </cell>
          <cell r="L2208" t="str">
            <v/>
          </cell>
        </row>
        <row r="2209">
          <cell r="A2209">
            <v>34000000</v>
          </cell>
          <cell r="C2209">
            <v>34000000</v>
          </cell>
          <cell r="D2209">
            <v>34000000</v>
          </cell>
          <cell r="E2209">
            <v>34000000</v>
          </cell>
          <cell r="F2209">
            <v>34000000</v>
          </cell>
          <cell r="G2209">
            <v>34000000</v>
          </cell>
          <cell r="H2209">
            <v>34000000</v>
          </cell>
          <cell r="I2209" t="str">
            <v/>
          </cell>
          <cell r="J2209" t="str">
            <v/>
          </cell>
          <cell r="K2209" t="str">
            <v/>
          </cell>
          <cell r="L2209" t="str">
            <v/>
          </cell>
        </row>
        <row r="2210">
          <cell r="A2210">
            <v>34000000</v>
          </cell>
          <cell r="C2210">
            <v>34000000</v>
          </cell>
          <cell r="D2210">
            <v>34000000</v>
          </cell>
          <cell r="E2210">
            <v>34000000</v>
          </cell>
          <cell r="F2210">
            <v>34000000</v>
          </cell>
          <cell r="G2210">
            <v>34000000</v>
          </cell>
          <cell r="H2210">
            <v>34000000</v>
          </cell>
          <cell r="I2210" t="str">
            <v/>
          </cell>
          <cell r="J2210" t="str">
            <v/>
          </cell>
          <cell r="K2210" t="str">
            <v/>
          </cell>
          <cell r="L2210" t="str">
            <v/>
          </cell>
        </row>
        <row r="2211">
          <cell r="A2211">
            <v>34000000</v>
          </cell>
          <cell r="C2211">
            <v>34000000</v>
          </cell>
          <cell r="D2211">
            <v>34000000</v>
          </cell>
          <cell r="E2211">
            <v>34000000</v>
          </cell>
          <cell r="F2211">
            <v>34000000</v>
          </cell>
          <cell r="G2211">
            <v>34000000</v>
          </cell>
          <cell r="H2211">
            <v>34000000</v>
          </cell>
          <cell r="I2211" t="str">
            <v/>
          </cell>
          <cell r="J2211" t="str">
            <v/>
          </cell>
          <cell r="K2211" t="str">
            <v/>
          </cell>
          <cell r="L2211" t="str">
            <v/>
          </cell>
        </row>
        <row r="2212">
          <cell r="A2212">
            <v>34000000</v>
          </cell>
          <cell r="C2212">
            <v>34000000</v>
          </cell>
          <cell r="D2212">
            <v>34000000</v>
          </cell>
          <cell r="E2212">
            <v>34000000</v>
          </cell>
          <cell r="F2212">
            <v>34000000</v>
          </cell>
          <cell r="G2212">
            <v>34000000</v>
          </cell>
          <cell r="H2212">
            <v>34000000</v>
          </cell>
          <cell r="I2212" t="str">
            <v/>
          </cell>
          <cell r="J2212" t="str">
            <v/>
          </cell>
          <cell r="K2212" t="str">
            <v/>
          </cell>
          <cell r="L2212" t="str">
            <v/>
          </cell>
        </row>
        <row r="2213">
          <cell r="A2213">
            <v>34000000</v>
          </cell>
          <cell r="C2213">
            <v>34000000</v>
          </cell>
          <cell r="D2213">
            <v>34000000</v>
          </cell>
          <cell r="E2213">
            <v>34000000</v>
          </cell>
          <cell r="F2213">
            <v>34000000</v>
          </cell>
          <cell r="G2213">
            <v>34000000</v>
          </cell>
          <cell r="H2213">
            <v>34000000</v>
          </cell>
          <cell r="I2213" t="str">
            <v/>
          </cell>
          <cell r="J2213" t="str">
            <v/>
          </cell>
          <cell r="K2213" t="str">
            <v/>
          </cell>
          <cell r="L2213" t="str">
            <v/>
          </cell>
        </row>
        <row r="2214">
          <cell r="A2214">
            <v>34000000</v>
          </cell>
          <cell r="C2214">
            <v>34000000</v>
          </cell>
          <cell r="D2214">
            <v>34000000</v>
          </cell>
          <cell r="E2214">
            <v>34000000</v>
          </cell>
          <cell r="F2214">
            <v>34000000</v>
          </cell>
          <cell r="G2214">
            <v>34000000</v>
          </cell>
          <cell r="H2214">
            <v>34000000</v>
          </cell>
          <cell r="I2214" t="str">
            <v/>
          </cell>
          <cell r="J2214" t="str">
            <v/>
          </cell>
          <cell r="K2214" t="str">
            <v/>
          </cell>
          <cell r="L2214" t="str">
            <v/>
          </cell>
        </row>
        <row r="2215">
          <cell r="A2215">
            <v>34000000</v>
          </cell>
          <cell r="C2215">
            <v>34000000</v>
          </cell>
          <cell r="D2215">
            <v>34000000</v>
          </cell>
          <cell r="E2215">
            <v>34000000</v>
          </cell>
          <cell r="F2215">
            <v>34000000</v>
          </cell>
          <cell r="G2215">
            <v>34000000</v>
          </cell>
          <cell r="H2215">
            <v>34000000</v>
          </cell>
          <cell r="I2215" t="str">
            <v/>
          </cell>
          <cell r="J2215" t="str">
            <v/>
          </cell>
          <cell r="K2215" t="str">
            <v/>
          </cell>
          <cell r="L2215" t="str">
            <v/>
          </cell>
        </row>
        <row r="2216">
          <cell r="A2216">
            <v>34000000</v>
          </cell>
          <cell r="C2216">
            <v>34000000</v>
          </cell>
          <cell r="D2216">
            <v>34000000</v>
          </cell>
          <cell r="E2216">
            <v>34000000</v>
          </cell>
          <cell r="F2216">
            <v>34000000</v>
          </cell>
          <cell r="G2216">
            <v>34000000</v>
          </cell>
          <cell r="H2216">
            <v>34000000</v>
          </cell>
          <cell r="I2216" t="str">
            <v/>
          </cell>
          <cell r="J2216" t="str">
            <v/>
          </cell>
          <cell r="K2216" t="str">
            <v/>
          </cell>
          <cell r="L2216" t="str">
            <v/>
          </cell>
        </row>
        <row r="2217">
          <cell r="A2217">
            <v>34000000</v>
          </cell>
          <cell r="C2217">
            <v>34000000</v>
          </cell>
          <cell r="D2217">
            <v>34000000</v>
          </cell>
          <cell r="E2217">
            <v>34000000</v>
          </cell>
          <cell r="F2217">
            <v>34000000</v>
          </cell>
          <cell r="G2217">
            <v>34000000</v>
          </cell>
          <cell r="H2217">
            <v>34000000</v>
          </cell>
          <cell r="I2217" t="str">
            <v/>
          </cell>
          <cell r="J2217" t="str">
            <v/>
          </cell>
          <cell r="K2217" t="str">
            <v/>
          </cell>
          <cell r="L2217" t="str">
            <v/>
          </cell>
        </row>
        <row r="2218">
          <cell r="A2218">
            <v>34000000</v>
          </cell>
          <cell r="C2218">
            <v>34000000</v>
          </cell>
          <cell r="D2218">
            <v>34000000</v>
          </cell>
          <cell r="E2218">
            <v>34000000</v>
          </cell>
          <cell r="F2218">
            <v>34000000</v>
          </cell>
          <cell r="G2218">
            <v>34000000</v>
          </cell>
          <cell r="H2218">
            <v>34000000</v>
          </cell>
          <cell r="I2218" t="str">
            <v/>
          </cell>
          <cell r="J2218" t="str">
            <v/>
          </cell>
          <cell r="K2218" t="str">
            <v/>
          </cell>
          <cell r="L2218" t="str">
            <v/>
          </cell>
        </row>
        <row r="2219">
          <cell r="A2219">
            <v>34000000</v>
          </cell>
          <cell r="C2219">
            <v>34000000</v>
          </cell>
          <cell r="D2219">
            <v>34000000</v>
          </cell>
          <cell r="E2219">
            <v>34000000</v>
          </cell>
          <cell r="F2219">
            <v>34000000</v>
          </cell>
          <cell r="G2219">
            <v>34000000</v>
          </cell>
          <cell r="H2219">
            <v>34000000</v>
          </cell>
          <cell r="I2219" t="str">
            <v/>
          </cell>
          <cell r="J2219" t="str">
            <v/>
          </cell>
          <cell r="K2219" t="str">
            <v/>
          </cell>
          <cell r="L2219" t="str">
            <v/>
          </cell>
        </row>
        <row r="2220">
          <cell r="A2220">
            <v>34000000</v>
          </cell>
          <cell r="C2220">
            <v>34000000</v>
          </cell>
          <cell r="D2220">
            <v>34000000</v>
          </cell>
          <cell r="E2220">
            <v>34000000</v>
          </cell>
          <cell r="F2220">
            <v>34000000</v>
          </cell>
          <cell r="G2220">
            <v>34000000</v>
          </cell>
          <cell r="H2220">
            <v>34000000</v>
          </cell>
          <cell r="I2220" t="str">
            <v/>
          </cell>
          <cell r="J2220" t="str">
            <v/>
          </cell>
          <cell r="K2220" t="str">
            <v/>
          </cell>
          <cell r="L2220" t="str">
            <v/>
          </cell>
        </row>
        <row r="2221">
          <cell r="A2221">
            <v>34000000</v>
          </cell>
          <cell r="C2221">
            <v>34000000</v>
          </cell>
          <cell r="D2221">
            <v>34000000</v>
          </cell>
          <cell r="E2221">
            <v>34000000</v>
          </cell>
          <cell r="F2221">
            <v>34000000</v>
          </cell>
          <cell r="G2221">
            <v>34000000</v>
          </cell>
          <cell r="H2221">
            <v>34000000</v>
          </cell>
          <cell r="I2221" t="str">
            <v/>
          </cell>
          <cell r="J2221" t="str">
            <v/>
          </cell>
          <cell r="K2221" t="str">
            <v/>
          </cell>
          <cell r="L2221" t="str">
            <v/>
          </cell>
        </row>
        <row r="2222">
          <cell r="A2222">
            <v>34000000</v>
          </cell>
          <cell r="C2222">
            <v>34000000</v>
          </cell>
          <cell r="D2222">
            <v>34000000</v>
          </cell>
          <cell r="E2222">
            <v>34000000</v>
          </cell>
          <cell r="F2222">
            <v>34000000</v>
          </cell>
          <cell r="G2222">
            <v>34000000</v>
          </cell>
          <cell r="H2222">
            <v>34000000</v>
          </cell>
          <cell r="I2222" t="str">
            <v/>
          </cell>
          <cell r="J2222" t="str">
            <v/>
          </cell>
          <cell r="K2222" t="str">
            <v/>
          </cell>
          <cell r="L2222" t="str">
            <v/>
          </cell>
        </row>
        <row r="2223">
          <cell r="A2223">
            <v>34000000</v>
          </cell>
          <cell r="C2223">
            <v>34000000</v>
          </cell>
          <cell r="D2223">
            <v>34000000</v>
          </cell>
          <cell r="E2223">
            <v>34000000</v>
          </cell>
          <cell r="F2223">
            <v>34000000</v>
          </cell>
          <cell r="G2223">
            <v>34000000</v>
          </cell>
          <cell r="H2223">
            <v>34000000</v>
          </cell>
          <cell r="I2223" t="str">
            <v/>
          </cell>
          <cell r="J2223" t="str">
            <v/>
          </cell>
          <cell r="K2223" t="str">
            <v/>
          </cell>
          <cell r="L2223" t="str">
            <v/>
          </cell>
        </row>
        <row r="2224">
          <cell r="A2224">
            <v>34000000</v>
          </cell>
          <cell r="C2224">
            <v>34000000</v>
          </cell>
          <cell r="D2224">
            <v>34000000</v>
          </cell>
          <cell r="E2224">
            <v>34000000</v>
          </cell>
          <cell r="F2224">
            <v>34000000</v>
          </cell>
          <cell r="G2224">
            <v>34000000</v>
          </cell>
          <cell r="H2224">
            <v>34000000</v>
          </cell>
          <cell r="I2224" t="str">
            <v/>
          </cell>
          <cell r="J2224" t="str">
            <v/>
          </cell>
          <cell r="K2224" t="str">
            <v/>
          </cell>
          <cell r="L2224" t="str">
            <v/>
          </cell>
        </row>
        <row r="2225">
          <cell r="A2225">
            <v>34000000</v>
          </cell>
          <cell r="C2225">
            <v>34000000</v>
          </cell>
          <cell r="D2225">
            <v>34000000</v>
          </cell>
          <cell r="E2225">
            <v>34000000</v>
          </cell>
          <cell r="F2225">
            <v>34000000</v>
          </cell>
          <cell r="G2225">
            <v>34000000</v>
          </cell>
          <cell r="H2225">
            <v>34000000</v>
          </cell>
          <cell r="I2225" t="str">
            <v/>
          </cell>
          <cell r="J2225" t="str">
            <v/>
          </cell>
          <cell r="K2225" t="str">
            <v/>
          </cell>
          <cell r="L2225" t="str">
            <v/>
          </cell>
        </row>
        <row r="2226">
          <cell r="A2226">
            <v>34000000</v>
          </cell>
          <cell r="C2226">
            <v>34000000</v>
          </cell>
          <cell r="D2226">
            <v>34000000</v>
          </cell>
          <cell r="E2226">
            <v>34000000</v>
          </cell>
          <cell r="F2226">
            <v>34000000</v>
          </cell>
          <cell r="G2226">
            <v>34000000</v>
          </cell>
          <cell r="H2226">
            <v>34000000</v>
          </cell>
          <cell r="I2226" t="str">
            <v/>
          </cell>
          <cell r="J2226" t="str">
            <v/>
          </cell>
          <cell r="K2226" t="str">
            <v/>
          </cell>
          <cell r="L2226" t="str">
            <v/>
          </cell>
        </row>
        <row r="2227">
          <cell r="A2227">
            <v>34000000</v>
          </cell>
          <cell r="C2227">
            <v>34000000</v>
          </cell>
          <cell r="D2227">
            <v>34000000</v>
          </cell>
          <cell r="E2227">
            <v>34000000</v>
          </cell>
          <cell r="F2227">
            <v>34000000</v>
          </cell>
          <cell r="G2227">
            <v>34000000</v>
          </cell>
          <cell r="H2227">
            <v>34000000</v>
          </cell>
          <cell r="I2227" t="str">
            <v/>
          </cell>
          <cell r="J2227" t="str">
            <v/>
          </cell>
          <cell r="K2227" t="str">
            <v/>
          </cell>
          <cell r="L2227" t="str">
            <v/>
          </cell>
        </row>
        <row r="2228">
          <cell r="A2228">
            <v>34000000</v>
          </cell>
          <cell r="C2228">
            <v>34000000</v>
          </cell>
          <cell r="D2228">
            <v>34000000</v>
          </cell>
          <cell r="E2228">
            <v>34000000</v>
          </cell>
          <cell r="F2228">
            <v>34000000</v>
          </cell>
          <cell r="G2228">
            <v>34000000</v>
          </cell>
          <cell r="H2228">
            <v>34000000</v>
          </cell>
          <cell r="I2228" t="str">
            <v/>
          </cell>
          <cell r="J2228" t="str">
            <v/>
          </cell>
          <cell r="K2228" t="str">
            <v/>
          </cell>
          <cell r="L2228" t="str">
            <v/>
          </cell>
        </row>
        <row r="2229">
          <cell r="A2229">
            <v>34000000</v>
          </cell>
          <cell r="C2229">
            <v>34000000</v>
          </cell>
          <cell r="D2229">
            <v>34000000</v>
          </cell>
          <cell r="E2229">
            <v>34000000</v>
          </cell>
          <cell r="F2229">
            <v>34000000</v>
          </cell>
          <cell r="G2229">
            <v>34000000</v>
          </cell>
          <cell r="H2229">
            <v>34000000</v>
          </cell>
          <cell r="I2229" t="str">
            <v/>
          </cell>
          <cell r="J2229" t="str">
            <v/>
          </cell>
          <cell r="K2229" t="str">
            <v/>
          </cell>
          <cell r="L2229" t="str">
            <v/>
          </cell>
        </row>
        <row r="2230">
          <cell r="A2230">
            <v>34000000</v>
          </cell>
          <cell r="C2230">
            <v>34000000</v>
          </cell>
          <cell r="D2230">
            <v>34000000</v>
          </cell>
          <cell r="E2230">
            <v>34000000</v>
          </cell>
          <cell r="F2230">
            <v>34000000</v>
          </cell>
          <cell r="G2230">
            <v>34000000</v>
          </cell>
          <cell r="H2230">
            <v>34000000</v>
          </cell>
          <cell r="I2230" t="str">
            <v/>
          </cell>
          <cell r="J2230" t="str">
            <v/>
          </cell>
          <cell r="K2230" t="str">
            <v/>
          </cell>
          <cell r="L2230" t="str">
            <v/>
          </cell>
        </row>
        <row r="2231">
          <cell r="A2231">
            <v>34000000</v>
          </cell>
          <cell r="C2231">
            <v>34000000</v>
          </cell>
          <cell r="D2231">
            <v>34000000</v>
          </cell>
          <cell r="E2231">
            <v>34000000</v>
          </cell>
          <cell r="F2231">
            <v>34000000</v>
          </cell>
          <cell r="G2231">
            <v>34000000</v>
          </cell>
          <cell r="H2231">
            <v>34000000</v>
          </cell>
          <cell r="I2231" t="str">
            <v/>
          </cell>
          <cell r="J2231" t="str">
            <v/>
          </cell>
          <cell r="K2231" t="str">
            <v/>
          </cell>
          <cell r="L2231" t="str">
            <v/>
          </cell>
        </row>
        <row r="2232">
          <cell r="A2232">
            <v>34000000</v>
          </cell>
          <cell r="C2232">
            <v>34000000</v>
          </cell>
          <cell r="D2232">
            <v>34000000</v>
          </cell>
          <cell r="E2232">
            <v>34000000</v>
          </cell>
          <cell r="F2232">
            <v>34000000</v>
          </cell>
          <cell r="G2232">
            <v>34000000</v>
          </cell>
          <cell r="H2232">
            <v>34000000</v>
          </cell>
          <cell r="I2232" t="str">
            <v/>
          </cell>
          <cell r="J2232" t="str">
            <v/>
          </cell>
          <cell r="K2232" t="str">
            <v/>
          </cell>
          <cell r="L2232" t="str">
            <v/>
          </cell>
        </row>
        <row r="2233">
          <cell r="A2233">
            <v>34000000</v>
          </cell>
          <cell r="C2233">
            <v>34000000</v>
          </cell>
          <cell r="D2233">
            <v>34000000</v>
          </cell>
          <cell r="E2233">
            <v>34000000</v>
          </cell>
          <cell r="F2233">
            <v>34000000</v>
          </cell>
          <cell r="G2233">
            <v>34000000</v>
          </cell>
          <cell r="H2233">
            <v>34000000</v>
          </cell>
          <cell r="I2233" t="str">
            <v/>
          </cell>
          <cell r="J2233" t="str">
            <v/>
          </cell>
          <cell r="K2233" t="str">
            <v/>
          </cell>
          <cell r="L2233" t="str">
            <v/>
          </cell>
        </row>
        <row r="2234">
          <cell r="A2234">
            <v>34000000</v>
          </cell>
          <cell r="C2234">
            <v>34000000</v>
          </cell>
          <cell r="D2234">
            <v>34000000</v>
          </cell>
          <cell r="E2234">
            <v>34000000</v>
          </cell>
          <cell r="F2234">
            <v>34000000</v>
          </cell>
          <cell r="G2234">
            <v>34000000</v>
          </cell>
          <cell r="H2234">
            <v>34000000</v>
          </cell>
          <cell r="I2234" t="str">
            <v/>
          </cell>
          <cell r="J2234" t="str">
            <v/>
          </cell>
          <cell r="K2234" t="str">
            <v/>
          </cell>
          <cell r="L2234" t="str">
            <v/>
          </cell>
        </row>
        <row r="2235">
          <cell r="A2235">
            <v>34000000</v>
          </cell>
          <cell r="C2235">
            <v>34000000</v>
          </cell>
          <cell r="D2235">
            <v>34000000</v>
          </cell>
          <cell r="E2235">
            <v>34000000</v>
          </cell>
          <cell r="F2235">
            <v>34000000</v>
          </cell>
          <cell r="G2235">
            <v>34000000</v>
          </cell>
          <cell r="H2235">
            <v>34000000</v>
          </cell>
          <cell r="I2235" t="str">
            <v/>
          </cell>
          <cell r="J2235" t="str">
            <v/>
          </cell>
          <cell r="K2235" t="str">
            <v/>
          </cell>
          <cell r="L2235" t="str">
            <v/>
          </cell>
        </row>
        <row r="2236">
          <cell r="A2236">
            <v>34000000</v>
          </cell>
          <cell r="C2236">
            <v>34000000</v>
          </cell>
          <cell r="D2236">
            <v>34000000</v>
          </cell>
          <cell r="E2236">
            <v>34000000</v>
          </cell>
          <cell r="F2236">
            <v>34000000</v>
          </cell>
          <cell r="G2236">
            <v>34000000</v>
          </cell>
          <cell r="H2236">
            <v>34000000</v>
          </cell>
          <cell r="I2236" t="str">
            <v/>
          </cell>
          <cell r="J2236" t="str">
            <v/>
          </cell>
          <cell r="K2236" t="str">
            <v/>
          </cell>
          <cell r="L2236" t="str">
            <v/>
          </cell>
        </row>
        <row r="2237">
          <cell r="A2237">
            <v>34000000</v>
          </cell>
          <cell r="C2237">
            <v>34000000</v>
          </cell>
          <cell r="D2237">
            <v>34000000</v>
          </cell>
          <cell r="E2237">
            <v>34000000</v>
          </cell>
          <cell r="F2237">
            <v>34000000</v>
          </cell>
          <cell r="G2237">
            <v>34000000</v>
          </cell>
          <cell r="H2237">
            <v>34000000</v>
          </cell>
          <cell r="I2237" t="str">
            <v/>
          </cell>
          <cell r="J2237" t="str">
            <v/>
          </cell>
          <cell r="K2237" t="str">
            <v/>
          </cell>
          <cell r="L2237" t="str">
            <v/>
          </cell>
        </row>
        <row r="2238">
          <cell r="A2238">
            <v>34000000</v>
          </cell>
          <cell r="C2238">
            <v>34000000</v>
          </cell>
          <cell r="D2238">
            <v>34000000</v>
          </cell>
          <cell r="E2238">
            <v>34000000</v>
          </cell>
          <cell r="F2238">
            <v>34000000</v>
          </cell>
          <cell r="G2238">
            <v>34000000</v>
          </cell>
          <cell r="H2238">
            <v>34000000</v>
          </cell>
          <cell r="I2238" t="str">
            <v/>
          </cell>
          <cell r="J2238" t="str">
            <v/>
          </cell>
          <cell r="K2238" t="str">
            <v/>
          </cell>
          <cell r="L2238" t="str">
            <v/>
          </cell>
        </row>
        <row r="2239">
          <cell r="A2239">
            <v>34000000</v>
          </cell>
          <cell r="C2239">
            <v>34000000</v>
          </cell>
          <cell r="D2239">
            <v>34000000</v>
          </cell>
          <cell r="E2239">
            <v>34000000</v>
          </cell>
          <cell r="F2239">
            <v>34000000</v>
          </cell>
          <cell r="G2239">
            <v>34000000</v>
          </cell>
          <cell r="H2239">
            <v>34000000</v>
          </cell>
          <cell r="I2239" t="str">
            <v/>
          </cell>
          <cell r="J2239" t="str">
            <v/>
          </cell>
          <cell r="K2239" t="str">
            <v/>
          </cell>
          <cell r="L2239" t="str">
            <v/>
          </cell>
        </row>
        <row r="2240">
          <cell r="A2240">
            <v>34000000</v>
          </cell>
          <cell r="C2240">
            <v>34000000</v>
          </cell>
          <cell r="D2240">
            <v>34000000</v>
          </cell>
          <cell r="E2240">
            <v>34000000</v>
          </cell>
          <cell r="F2240">
            <v>34000000</v>
          </cell>
          <cell r="G2240">
            <v>34000000</v>
          </cell>
          <cell r="H2240">
            <v>34000000</v>
          </cell>
          <cell r="I2240" t="str">
            <v/>
          </cell>
          <cell r="J2240" t="str">
            <v/>
          </cell>
          <cell r="K2240" t="str">
            <v/>
          </cell>
          <cell r="L2240" t="str">
            <v/>
          </cell>
        </row>
        <row r="2241">
          <cell r="A2241">
            <v>34000000</v>
          </cell>
          <cell r="C2241">
            <v>34000000</v>
          </cell>
          <cell r="D2241">
            <v>34000000</v>
          </cell>
          <cell r="E2241">
            <v>34000000</v>
          </cell>
          <cell r="F2241">
            <v>34000000</v>
          </cell>
          <cell r="G2241">
            <v>34000000</v>
          </cell>
          <cell r="H2241">
            <v>34000000</v>
          </cell>
          <cell r="I2241" t="str">
            <v/>
          </cell>
          <cell r="J2241" t="str">
            <v/>
          </cell>
          <cell r="K2241" t="str">
            <v/>
          </cell>
          <cell r="L2241" t="str">
            <v/>
          </cell>
        </row>
        <row r="2242">
          <cell r="A2242">
            <v>34000000</v>
          </cell>
          <cell r="C2242">
            <v>34000000</v>
          </cell>
          <cell r="D2242">
            <v>34000000</v>
          </cell>
          <cell r="E2242">
            <v>34000000</v>
          </cell>
          <cell r="F2242">
            <v>34000000</v>
          </cell>
          <cell r="G2242">
            <v>34000000</v>
          </cell>
          <cell r="H2242">
            <v>34000000</v>
          </cell>
          <cell r="I2242" t="str">
            <v/>
          </cell>
          <cell r="J2242" t="str">
            <v/>
          </cell>
          <cell r="K2242" t="str">
            <v/>
          </cell>
          <cell r="L2242" t="str">
            <v/>
          </cell>
        </row>
        <row r="2243">
          <cell r="A2243">
            <v>34000000</v>
          </cell>
          <cell r="C2243">
            <v>34000000</v>
          </cell>
          <cell r="D2243">
            <v>34000000</v>
          </cell>
          <cell r="E2243">
            <v>34000000</v>
          </cell>
          <cell r="F2243">
            <v>34000000</v>
          </cell>
          <cell r="G2243">
            <v>34000000</v>
          </cell>
          <cell r="H2243">
            <v>34000000</v>
          </cell>
          <cell r="I2243" t="str">
            <v/>
          </cell>
          <cell r="J2243" t="str">
            <v/>
          </cell>
          <cell r="K2243" t="str">
            <v/>
          </cell>
          <cell r="L2243" t="str">
            <v/>
          </cell>
        </row>
        <row r="2244">
          <cell r="A2244">
            <v>34000000</v>
          </cell>
          <cell r="C2244">
            <v>34000000</v>
          </cell>
          <cell r="D2244">
            <v>34000000</v>
          </cell>
          <cell r="E2244">
            <v>34000000</v>
          </cell>
          <cell r="F2244">
            <v>34000000</v>
          </cell>
          <cell r="G2244">
            <v>34000000</v>
          </cell>
          <cell r="H2244">
            <v>34000000</v>
          </cell>
          <cell r="I2244" t="str">
            <v/>
          </cell>
          <cell r="J2244" t="str">
            <v/>
          </cell>
          <cell r="K2244" t="str">
            <v/>
          </cell>
          <cell r="L2244" t="str">
            <v/>
          </cell>
        </row>
        <row r="2245">
          <cell r="A2245">
            <v>34000000</v>
          </cell>
          <cell r="C2245">
            <v>34000000</v>
          </cell>
          <cell r="D2245">
            <v>34000000</v>
          </cell>
          <cell r="E2245">
            <v>34000000</v>
          </cell>
          <cell r="F2245">
            <v>34000000</v>
          </cell>
          <cell r="G2245">
            <v>34000000</v>
          </cell>
          <cell r="H2245">
            <v>34000000</v>
          </cell>
          <cell r="I2245" t="str">
            <v/>
          </cell>
          <cell r="J2245" t="str">
            <v/>
          </cell>
          <cell r="K2245" t="str">
            <v/>
          </cell>
          <cell r="L2245" t="str">
            <v/>
          </cell>
        </row>
        <row r="2246">
          <cell r="A2246">
            <v>34000000</v>
          </cell>
          <cell r="C2246">
            <v>34000000</v>
          </cell>
          <cell r="D2246">
            <v>34000000</v>
          </cell>
          <cell r="E2246">
            <v>34000000</v>
          </cell>
          <cell r="F2246">
            <v>34000000</v>
          </cell>
          <cell r="G2246">
            <v>34000000</v>
          </cell>
          <cell r="H2246">
            <v>34000000</v>
          </cell>
          <cell r="I2246" t="str">
            <v/>
          </cell>
          <cell r="J2246" t="str">
            <v/>
          </cell>
          <cell r="K2246" t="str">
            <v/>
          </cell>
          <cell r="L2246" t="str">
            <v/>
          </cell>
        </row>
        <row r="2247">
          <cell r="A2247">
            <v>34000000</v>
          </cell>
          <cell r="C2247">
            <v>34000000</v>
          </cell>
          <cell r="D2247">
            <v>34000000</v>
          </cell>
          <cell r="E2247">
            <v>34000000</v>
          </cell>
          <cell r="F2247">
            <v>34000000</v>
          </cell>
          <cell r="G2247">
            <v>34000000</v>
          </cell>
          <cell r="H2247">
            <v>34000000</v>
          </cell>
          <cell r="I2247" t="str">
            <v/>
          </cell>
          <cell r="J2247" t="str">
            <v/>
          </cell>
          <cell r="K2247" t="str">
            <v/>
          </cell>
          <cell r="L2247" t="str">
            <v/>
          </cell>
        </row>
        <row r="2248">
          <cell r="A2248">
            <v>34000000</v>
          </cell>
          <cell r="C2248">
            <v>34000000</v>
          </cell>
          <cell r="D2248">
            <v>34000000</v>
          </cell>
          <cell r="E2248">
            <v>34000000</v>
          </cell>
          <cell r="F2248">
            <v>34000000</v>
          </cell>
          <cell r="G2248">
            <v>34000000</v>
          </cell>
          <cell r="H2248">
            <v>34000000</v>
          </cell>
          <cell r="I2248" t="str">
            <v/>
          </cell>
          <cell r="J2248" t="str">
            <v/>
          </cell>
          <cell r="K2248" t="str">
            <v/>
          </cell>
          <cell r="L2248" t="str">
            <v/>
          </cell>
        </row>
        <row r="2249">
          <cell r="A2249">
            <v>34000000</v>
          </cell>
          <cell r="C2249">
            <v>34000000</v>
          </cell>
          <cell r="D2249">
            <v>34000000</v>
          </cell>
          <cell r="E2249">
            <v>34000000</v>
          </cell>
          <cell r="F2249">
            <v>34000000</v>
          </cell>
          <cell r="G2249">
            <v>34000000</v>
          </cell>
          <cell r="H2249">
            <v>34000000</v>
          </cell>
          <cell r="I2249" t="str">
            <v/>
          </cell>
          <cell r="J2249" t="str">
            <v/>
          </cell>
          <cell r="K2249" t="str">
            <v/>
          </cell>
          <cell r="L2249" t="str">
            <v/>
          </cell>
        </row>
        <row r="2250">
          <cell r="A2250">
            <v>34000000</v>
          </cell>
          <cell r="C2250">
            <v>34000000</v>
          </cell>
          <cell r="D2250">
            <v>34000000</v>
          </cell>
          <cell r="E2250">
            <v>34000000</v>
          </cell>
          <cell r="F2250">
            <v>34000000</v>
          </cell>
          <cell r="G2250">
            <v>34000000</v>
          </cell>
          <cell r="H2250">
            <v>34000000</v>
          </cell>
          <cell r="I2250" t="str">
            <v/>
          </cell>
          <cell r="J2250" t="str">
            <v/>
          </cell>
          <cell r="K2250" t="str">
            <v/>
          </cell>
          <cell r="L2250" t="str">
            <v/>
          </cell>
        </row>
        <row r="2251">
          <cell r="A2251">
            <v>34000000</v>
          </cell>
          <cell r="C2251">
            <v>34000000</v>
          </cell>
          <cell r="D2251">
            <v>34000000</v>
          </cell>
          <cell r="E2251">
            <v>34000000</v>
          </cell>
          <cell r="F2251">
            <v>34000000</v>
          </cell>
          <cell r="G2251">
            <v>34000000</v>
          </cell>
          <cell r="H2251">
            <v>34000000</v>
          </cell>
          <cell r="I2251" t="str">
            <v/>
          </cell>
          <cell r="J2251" t="str">
            <v/>
          </cell>
          <cell r="K2251" t="str">
            <v/>
          </cell>
          <cell r="L2251" t="str">
            <v/>
          </cell>
        </row>
        <row r="2252">
          <cell r="A2252">
            <v>34000000</v>
          </cell>
          <cell r="C2252">
            <v>34000000</v>
          </cell>
          <cell r="D2252">
            <v>34000000</v>
          </cell>
          <cell r="E2252">
            <v>34000000</v>
          </cell>
          <cell r="F2252">
            <v>34000000</v>
          </cell>
          <cell r="G2252">
            <v>34000000</v>
          </cell>
          <cell r="H2252">
            <v>34000000</v>
          </cell>
          <cell r="I2252" t="str">
            <v/>
          </cell>
          <cell r="J2252" t="str">
            <v/>
          </cell>
          <cell r="K2252" t="str">
            <v/>
          </cell>
          <cell r="L2252" t="str">
            <v/>
          </cell>
        </row>
        <row r="2253">
          <cell r="A2253">
            <v>34000000</v>
          </cell>
          <cell r="C2253">
            <v>34000000</v>
          </cell>
          <cell r="D2253">
            <v>34000000</v>
          </cell>
          <cell r="E2253">
            <v>34000000</v>
          </cell>
          <cell r="F2253">
            <v>34000000</v>
          </cell>
          <cell r="G2253">
            <v>34000000</v>
          </cell>
          <cell r="H2253">
            <v>34000000</v>
          </cell>
          <cell r="I2253" t="str">
            <v/>
          </cell>
          <cell r="J2253" t="str">
            <v/>
          </cell>
          <cell r="K2253" t="str">
            <v/>
          </cell>
          <cell r="L2253" t="str">
            <v/>
          </cell>
        </row>
        <row r="2254">
          <cell r="A2254">
            <v>34000000</v>
          </cell>
          <cell r="C2254">
            <v>34000000</v>
          </cell>
          <cell r="D2254">
            <v>34000000</v>
          </cell>
          <cell r="E2254">
            <v>34000000</v>
          </cell>
          <cell r="F2254">
            <v>34000000</v>
          </cell>
          <cell r="G2254">
            <v>34000000</v>
          </cell>
          <cell r="H2254">
            <v>34000000</v>
          </cell>
          <cell r="I2254" t="str">
            <v/>
          </cell>
          <cell r="J2254" t="str">
            <v/>
          </cell>
          <cell r="K2254" t="str">
            <v/>
          </cell>
          <cell r="L2254" t="str">
            <v/>
          </cell>
        </row>
        <row r="2255">
          <cell r="A2255">
            <v>34000000</v>
          </cell>
          <cell r="C2255">
            <v>34000000</v>
          </cell>
          <cell r="D2255">
            <v>34000000</v>
          </cell>
          <cell r="E2255">
            <v>34000000</v>
          </cell>
          <cell r="F2255">
            <v>34000000</v>
          </cell>
          <cell r="G2255">
            <v>34000000</v>
          </cell>
          <cell r="H2255">
            <v>34000000</v>
          </cell>
          <cell r="I2255" t="str">
            <v/>
          </cell>
          <cell r="J2255" t="str">
            <v/>
          </cell>
          <cell r="K2255" t="str">
            <v/>
          </cell>
          <cell r="L2255" t="str">
            <v/>
          </cell>
        </row>
        <row r="2256">
          <cell r="A2256">
            <v>34000000</v>
          </cell>
          <cell r="C2256">
            <v>34000000</v>
          </cell>
          <cell r="D2256">
            <v>34000000</v>
          </cell>
          <cell r="E2256">
            <v>34000000</v>
          </cell>
          <cell r="F2256">
            <v>34000000</v>
          </cell>
          <cell r="G2256">
            <v>34000000</v>
          </cell>
          <cell r="H2256">
            <v>34000000</v>
          </cell>
          <cell r="I2256" t="str">
            <v/>
          </cell>
          <cell r="J2256" t="str">
            <v/>
          </cell>
          <cell r="K2256" t="str">
            <v/>
          </cell>
          <cell r="L2256" t="str">
            <v/>
          </cell>
        </row>
        <row r="2257">
          <cell r="A2257">
            <v>34000000</v>
          </cell>
          <cell r="C2257">
            <v>34000000</v>
          </cell>
          <cell r="D2257">
            <v>34000000</v>
          </cell>
          <cell r="E2257">
            <v>34000000</v>
          </cell>
          <cell r="F2257">
            <v>34000000</v>
          </cell>
          <cell r="G2257">
            <v>34000000</v>
          </cell>
          <cell r="H2257">
            <v>34000000</v>
          </cell>
          <cell r="I2257" t="str">
            <v/>
          </cell>
          <cell r="J2257" t="str">
            <v/>
          </cell>
          <cell r="K2257" t="str">
            <v/>
          </cell>
          <cell r="L2257" t="str">
            <v/>
          </cell>
        </row>
        <row r="2258">
          <cell r="A2258">
            <v>34000000</v>
          </cell>
          <cell r="C2258">
            <v>34000000</v>
          </cell>
          <cell r="D2258">
            <v>34000000</v>
          </cell>
          <cell r="E2258">
            <v>34000000</v>
          </cell>
          <cell r="F2258">
            <v>34000000</v>
          </cell>
          <cell r="G2258">
            <v>34000000</v>
          </cell>
          <cell r="H2258">
            <v>34000000</v>
          </cell>
          <cell r="I2258" t="str">
            <v/>
          </cell>
          <cell r="J2258" t="str">
            <v/>
          </cell>
          <cell r="K2258" t="str">
            <v/>
          </cell>
          <cell r="L2258" t="str">
            <v/>
          </cell>
        </row>
        <row r="2259">
          <cell r="A2259">
            <v>34000000</v>
          </cell>
          <cell r="C2259">
            <v>34000000</v>
          </cell>
          <cell r="D2259">
            <v>34000000</v>
          </cell>
          <cell r="E2259">
            <v>34000000</v>
          </cell>
          <cell r="F2259">
            <v>34000000</v>
          </cell>
          <cell r="G2259">
            <v>34000000</v>
          </cell>
          <cell r="H2259">
            <v>34000000</v>
          </cell>
          <cell r="I2259" t="str">
            <v/>
          </cell>
          <cell r="J2259" t="str">
            <v/>
          </cell>
          <cell r="K2259" t="str">
            <v/>
          </cell>
          <cell r="L2259" t="str">
            <v/>
          </cell>
        </row>
        <row r="2260">
          <cell r="A2260">
            <v>34000000</v>
          </cell>
          <cell r="C2260">
            <v>34000000</v>
          </cell>
          <cell r="D2260">
            <v>34000000</v>
          </cell>
          <cell r="E2260">
            <v>34000000</v>
          </cell>
          <cell r="F2260">
            <v>34000000</v>
          </cell>
          <cell r="G2260">
            <v>34000000</v>
          </cell>
          <cell r="H2260">
            <v>34000000</v>
          </cell>
          <cell r="I2260" t="str">
            <v/>
          </cell>
          <cell r="J2260" t="str">
            <v/>
          </cell>
          <cell r="K2260" t="str">
            <v/>
          </cell>
          <cell r="L2260" t="str">
            <v/>
          </cell>
        </row>
        <row r="2261">
          <cell r="A2261">
            <v>34000000</v>
          </cell>
          <cell r="C2261">
            <v>34000000</v>
          </cell>
          <cell r="D2261">
            <v>34000000</v>
          </cell>
          <cell r="E2261">
            <v>34000000</v>
          </cell>
          <cell r="F2261">
            <v>34000000</v>
          </cell>
          <cell r="G2261">
            <v>34000000</v>
          </cell>
          <cell r="H2261">
            <v>34000000</v>
          </cell>
          <cell r="I2261" t="str">
            <v/>
          </cell>
          <cell r="J2261" t="str">
            <v/>
          </cell>
          <cell r="K2261" t="str">
            <v/>
          </cell>
          <cell r="L2261" t="str">
            <v/>
          </cell>
        </row>
        <row r="2262">
          <cell r="A2262">
            <v>34000000</v>
          </cell>
          <cell r="C2262">
            <v>34000000</v>
          </cell>
          <cell r="D2262">
            <v>34000000</v>
          </cell>
          <cell r="E2262">
            <v>34000000</v>
          </cell>
          <cell r="F2262">
            <v>34000000</v>
          </cell>
          <cell r="G2262">
            <v>34000000</v>
          </cell>
          <cell r="H2262">
            <v>34000000</v>
          </cell>
          <cell r="I2262" t="str">
            <v/>
          </cell>
          <cell r="J2262" t="str">
            <v/>
          </cell>
          <cell r="K2262" t="str">
            <v/>
          </cell>
          <cell r="L2262" t="str">
            <v/>
          </cell>
        </row>
        <row r="2263">
          <cell r="A2263">
            <v>34000000</v>
          </cell>
          <cell r="C2263">
            <v>34000000</v>
          </cell>
          <cell r="D2263">
            <v>34000000</v>
          </cell>
          <cell r="E2263">
            <v>34000000</v>
          </cell>
          <cell r="F2263">
            <v>34000000</v>
          </cell>
          <cell r="G2263">
            <v>34000000</v>
          </cell>
          <cell r="H2263">
            <v>34000000</v>
          </cell>
          <cell r="I2263" t="str">
            <v/>
          </cell>
          <cell r="J2263" t="str">
            <v/>
          </cell>
          <cell r="K2263" t="str">
            <v/>
          </cell>
          <cell r="L2263" t="str">
            <v/>
          </cell>
        </row>
        <row r="2264">
          <cell r="A2264">
            <v>34000000</v>
          </cell>
          <cell r="C2264">
            <v>34000000</v>
          </cell>
          <cell r="D2264">
            <v>34000000</v>
          </cell>
          <cell r="E2264">
            <v>34000000</v>
          </cell>
          <cell r="F2264">
            <v>34000000</v>
          </cell>
          <cell r="G2264">
            <v>34000000</v>
          </cell>
          <cell r="H2264">
            <v>34000000</v>
          </cell>
          <cell r="I2264" t="str">
            <v/>
          </cell>
          <cell r="J2264" t="str">
            <v/>
          </cell>
          <cell r="K2264" t="str">
            <v/>
          </cell>
          <cell r="L2264" t="str">
            <v/>
          </cell>
        </row>
        <row r="2265">
          <cell r="A2265">
            <v>34000000</v>
          </cell>
          <cell r="C2265">
            <v>34000000</v>
          </cell>
          <cell r="D2265">
            <v>34000000</v>
          </cell>
          <cell r="E2265">
            <v>34000000</v>
          </cell>
          <cell r="F2265">
            <v>34000000</v>
          </cell>
          <cell r="G2265">
            <v>34000000</v>
          </cell>
          <cell r="H2265">
            <v>34000000</v>
          </cell>
          <cell r="I2265" t="str">
            <v/>
          </cell>
          <cell r="J2265" t="str">
            <v/>
          </cell>
          <cell r="K2265" t="str">
            <v/>
          </cell>
          <cell r="L2265" t="str">
            <v/>
          </cell>
        </row>
        <row r="2266">
          <cell r="A2266">
            <v>34000000</v>
          </cell>
          <cell r="C2266">
            <v>34000000</v>
          </cell>
          <cell r="D2266">
            <v>34000000</v>
          </cell>
          <cell r="E2266">
            <v>34000000</v>
          </cell>
          <cell r="F2266">
            <v>34000000</v>
          </cell>
          <cell r="G2266">
            <v>34000000</v>
          </cell>
          <cell r="H2266">
            <v>34000000</v>
          </cell>
          <cell r="I2266" t="str">
            <v/>
          </cell>
          <cell r="J2266" t="str">
            <v/>
          </cell>
          <cell r="K2266" t="str">
            <v/>
          </cell>
          <cell r="L2266" t="str">
            <v/>
          </cell>
        </row>
        <row r="2267">
          <cell r="A2267">
            <v>34000000</v>
          </cell>
          <cell r="C2267">
            <v>34000000</v>
          </cell>
          <cell r="D2267">
            <v>34000000</v>
          </cell>
          <cell r="E2267">
            <v>34000000</v>
          </cell>
          <cell r="F2267">
            <v>34000000</v>
          </cell>
          <cell r="G2267">
            <v>34000000</v>
          </cell>
          <cell r="H2267">
            <v>34000000</v>
          </cell>
          <cell r="I2267" t="str">
            <v/>
          </cell>
          <cell r="J2267" t="str">
            <v/>
          </cell>
          <cell r="K2267" t="str">
            <v/>
          </cell>
          <cell r="L2267" t="str">
            <v/>
          </cell>
        </row>
        <row r="2268">
          <cell r="A2268">
            <v>34000000</v>
          </cell>
          <cell r="C2268">
            <v>34000000</v>
          </cell>
          <cell r="D2268">
            <v>34000000</v>
          </cell>
          <cell r="E2268">
            <v>34000000</v>
          </cell>
          <cell r="F2268">
            <v>34000000</v>
          </cell>
          <cell r="G2268">
            <v>34000000</v>
          </cell>
          <cell r="H2268">
            <v>34000000</v>
          </cell>
          <cell r="I2268" t="str">
            <v/>
          </cell>
          <cell r="J2268" t="str">
            <v/>
          </cell>
          <cell r="K2268" t="str">
            <v/>
          </cell>
          <cell r="L2268" t="str">
            <v/>
          </cell>
        </row>
        <row r="2269">
          <cell r="A2269">
            <v>34000000</v>
          </cell>
          <cell r="C2269">
            <v>34000000</v>
          </cell>
          <cell r="D2269">
            <v>34000000</v>
          </cell>
          <cell r="E2269">
            <v>34000000</v>
          </cell>
          <cell r="F2269">
            <v>34000000</v>
          </cell>
          <cell r="G2269">
            <v>34000000</v>
          </cell>
          <cell r="H2269">
            <v>34000000</v>
          </cell>
          <cell r="I2269" t="str">
            <v/>
          </cell>
          <cell r="J2269" t="str">
            <v/>
          </cell>
          <cell r="K2269" t="str">
            <v/>
          </cell>
          <cell r="L2269" t="str">
            <v/>
          </cell>
        </row>
        <row r="2270">
          <cell r="A2270">
            <v>34000000</v>
          </cell>
          <cell r="C2270">
            <v>34000000</v>
          </cell>
          <cell r="D2270">
            <v>34000000</v>
          </cell>
          <cell r="E2270">
            <v>34000000</v>
          </cell>
          <cell r="F2270">
            <v>34000000</v>
          </cell>
          <cell r="G2270">
            <v>34000000</v>
          </cell>
          <cell r="H2270">
            <v>34000000</v>
          </cell>
          <cell r="I2270" t="str">
            <v/>
          </cell>
          <cell r="J2270" t="str">
            <v/>
          </cell>
          <cell r="K2270" t="str">
            <v/>
          </cell>
          <cell r="L2270" t="str">
            <v/>
          </cell>
        </row>
        <row r="2271">
          <cell r="A2271">
            <v>34000000</v>
          </cell>
          <cell r="C2271">
            <v>34000000</v>
          </cell>
          <cell r="D2271">
            <v>34000000</v>
          </cell>
          <cell r="E2271">
            <v>34000000</v>
          </cell>
          <cell r="F2271">
            <v>34000000</v>
          </cell>
          <cell r="G2271">
            <v>34000000</v>
          </cell>
          <cell r="H2271">
            <v>34000000</v>
          </cell>
          <cell r="I2271" t="str">
            <v/>
          </cell>
          <cell r="J2271" t="str">
            <v/>
          </cell>
          <cell r="K2271" t="str">
            <v/>
          </cell>
          <cell r="L2271" t="str">
            <v/>
          </cell>
        </row>
        <row r="2272">
          <cell r="A2272">
            <v>34000000</v>
          </cell>
          <cell r="C2272">
            <v>34000000</v>
          </cell>
          <cell r="D2272">
            <v>34000000</v>
          </cell>
          <cell r="E2272">
            <v>34000000</v>
          </cell>
          <cell r="F2272">
            <v>34000000</v>
          </cell>
          <cell r="G2272">
            <v>34000000</v>
          </cell>
          <cell r="H2272">
            <v>34000000</v>
          </cell>
          <cell r="I2272" t="str">
            <v/>
          </cell>
          <cell r="J2272" t="str">
            <v/>
          </cell>
          <cell r="K2272" t="str">
            <v/>
          </cell>
          <cell r="L2272" t="str">
            <v/>
          </cell>
        </row>
        <row r="2273">
          <cell r="A2273">
            <v>34000000</v>
          </cell>
          <cell r="C2273">
            <v>34000000</v>
          </cell>
          <cell r="D2273">
            <v>34000000</v>
          </cell>
          <cell r="E2273">
            <v>34000000</v>
          </cell>
          <cell r="F2273">
            <v>34000000</v>
          </cell>
          <cell r="G2273">
            <v>34000000</v>
          </cell>
          <cell r="H2273">
            <v>34000000</v>
          </cell>
          <cell r="I2273" t="str">
            <v/>
          </cell>
          <cell r="J2273" t="str">
            <v/>
          </cell>
          <cell r="K2273" t="str">
            <v/>
          </cell>
          <cell r="L2273" t="str">
            <v/>
          </cell>
        </row>
        <row r="2274">
          <cell r="A2274">
            <v>34000000</v>
          </cell>
          <cell r="C2274">
            <v>34000000</v>
          </cell>
          <cell r="D2274">
            <v>34000000</v>
          </cell>
          <cell r="E2274">
            <v>34000000</v>
          </cell>
          <cell r="F2274">
            <v>34000000</v>
          </cell>
          <cell r="G2274">
            <v>34000000</v>
          </cell>
          <cell r="H2274">
            <v>34000000</v>
          </cell>
          <cell r="I2274" t="str">
            <v/>
          </cell>
          <cell r="J2274" t="str">
            <v/>
          </cell>
          <cell r="K2274" t="str">
            <v/>
          </cell>
          <cell r="L2274" t="str">
            <v/>
          </cell>
        </row>
        <row r="2275">
          <cell r="A2275">
            <v>34000000</v>
          </cell>
          <cell r="C2275">
            <v>34000000</v>
          </cell>
          <cell r="D2275">
            <v>34000000</v>
          </cell>
          <cell r="E2275">
            <v>34000000</v>
          </cell>
          <cell r="F2275">
            <v>34000000</v>
          </cell>
          <cell r="G2275">
            <v>34000000</v>
          </cell>
          <cell r="H2275">
            <v>34000000</v>
          </cell>
          <cell r="I2275" t="str">
            <v/>
          </cell>
          <cell r="J2275" t="str">
            <v/>
          </cell>
          <cell r="K2275" t="str">
            <v/>
          </cell>
          <cell r="L2275" t="str">
            <v/>
          </cell>
        </row>
        <row r="2276">
          <cell r="A2276">
            <v>34000000</v>
          </cell>
          <cell r="C2276">
            <v>34000000</v>
          </cell>
          <cell r="D2276">
            <v>34000000</v>
          </cell>
          <cell r="E2276">
            <v>34000000</v>
          </cell>
          <cell r="F2276">
            <v>34000000</v>
          </cell>
          <cell r="G2276">
            <v>34000000</v>
          </cell>
          <cell r="H2276">
            <v>34000000</v>
          </cell>
          <cell r="I2276" t="str">
            <v/>
          </cell>
          <cell r="J2276" t="str">
            <v/>
          </cell>
          <cell r="K2276" t="str">
            <v/>
          </cell>
          <cell r="L2276" t="str">
            <v/>
          </cell>
        </row>
        <row r="2277">
          <cell r="A2277">
            <v>34000000</v>
          </cell>
          <cell r="C2277">
            <v>34000000</v>
          </cell>
          <cell r="D2277">
            <v>34000000</v>
          </cell>
          <cell r="E2277">
            <v>34000000</v>
          </cell>
          <cell r="F2277">
            <v>34000000</v>
          </cell>
          <cell r="G2277">
            <v>34000000</v>
          </cell>
          <cell r="H2277">
            <v>34000000</v>
          </cell>
          <cell r="I2277" t="str">
            <v/>
          </cell>
          <cell r="J2277" t="str">
            <v/>
          </cell>
          <cell r="K2277" t="str">
            <v/>
          </cell>
          <cell r="L2277" t="str">
            <v/>
          </cell>
        </row>
        <row r="2278">
          <cell r="A2278">
            <v>34000000</v>
          </cell>
          <cell r="C2278">
            <v>34000000</v>
          </cell>
          <cell r="D2278">
            <v>34000000</v>
          </cell>
          <cell r="E2278">
            <v>34000000</v>
          </cell>
          <cell r="F2278">
            <v>34000000</v>
          </cell>
          <cell r="G2278">
            <v>34000000</v>
          </cell>
          <cell r="H2278">
            <v>34000000</v>
          </cell>
          <cell r="I2278" t="str">
            <v/>
          </cell>
          <cell r="J2278" t="str">
            <v/>
          </cell>
          <cell r="K2278" t="str">
            <v/>
          </cell>
          <cell r="L2278" t="str">
            <v/>
          </cell>
        </row>
        <row r="2279">
          <cell r="A2279">
            <v>34000000</v>
          </cell>
          <cell r="C2279">
            <v>34000000</v>
          </cell>
          <cell r="D2279">
            <v>34000000</v>
          </cell>
          <cell r="E2279">
            <v>34000000</v>
          </cell>
          <cell r="F2279">
            <v>34000000</v>
          </cell>
          <cell r="G2279">
            <v>34000000</v>
          </cell>
          <cell r="H2279">
            <v>34000000</v>
          </cell>
          <cell r="I2279" t="str">
            <v/>
          </cell>
          <cell r="J2279" t="str">
            <v/>
          </cell>
          <cell r="K2279" t="str">
            <v/>
          </cell>
          <cell r="L2279" t="str">
            <v/>
          </cell>
        </row>
        <row r="2280">
          <cell r="A2280">
            <v>34000000</v>
          </cell>
          <cell r="C2280">
            <v>34000000</v>
          </cell>
          <cell r="D2280">
            <v>34000000</v>
          </cell>
          <cell r="E2280">
            <v>34000000</v>
          </cell>
          <cell r="F2280">
            <v>34000000</v>
          </cell>
          <cell r="G2280">
            <v>34000000</v>
          </cell>
          <cell r="H2280">
            <v>34000000</v>
          </cell>
          <cell r="I2280" t="str">
            <v/>
          </cell>
          <cell r="J2280" t="str">
            <v/>
          </cell>
          <cell r="K2280" t="str">
            <v/>
          </cell>
          <cell r="L2280" t="str">
            <v/>
          </cell>
        </row>
        <row r="2281">
          <cell r="A2281">
            <v>34000000</v>
          </cell>
          <cell r="C2281">
            <v>34000000</v>
          </cell>
          <cell r="D2281">
            <v>34000000</v>
          </cell>
          <cell r="E2281">
            <v>34000000</v>
          </cell>
          <cell r="F2281">
            <v>34000000</v>
          </cell>
          <cell r="G2281">
            <v>34000000</v>
          </cell>
          <cell r="H2281">
            <v>34000000</v>
          </cell>
          <cell r="I2281" t="str">
            <v/>
          </cell>
          <cell r="J2281" t="str">
            <v/>
          </cell>
          <cell r="K2281" t="str">
            <v/>
          </cell>
          <cell r="L2281" t="str">
            <v/>
          </cell>
        </row>
        <row r="2282">
          <cell r="A2282">
            <v>34000000</v>
          </cell>
          <cell r="C2282">
            <v>34000000</v>
          </cell>
          <cell r="D2282">
            <v>34000000</v>
          </cell>
          <cell r="E2282">
            <v>34000000</v>
          </cell>
          <cell r="F2282">
            <v>34000000</v>
          </cell>
          <cell r="G2282">
            <v>34000000</v>
          </cell>
          <cell r="H2282">
            <v>34000000</v>
          </cell>
          <cell r="I2282" t="str">
            <v/>
          </cell>
          <cell r="J2282" t="str">
            <v/>
          </cell>
          <cell r="K2282" t="str">
            <v/>
          </cell>
          <cell r="L2282" t="str">
            <v/>
          </cell>
        </row>
        <row r="2283">
          <cell r="A2283">
            <v>34000000</v>
          </cell>
          <cell r="C2283">
            <v>34000000</v>
          </cell>
          <cell r="D2283">
            <v>34000000</v>
          </cell>
          <cell r="E2283">
            <v>34000000</v>
          </cell>
          <cell r="F2283">
            <v>34000000</v>
          </cell>
          <cell r="G2283">
            <v>34000000</v>
          </cell>
          <cell r="H2283">
            <v>34000000</v>
          </cell>
          <cell r="I2283" t="str">
            <v/>
          </cell>
          <cell r="J2283" t="str">
            <v/>
          </cell>
          <cell r="K2283" t="str">
            <v/>
          </cell>
          <cell r="L2283" t="str">
            <v/>
          </cell>
        </row>
        <row r="2284">
          <cell r="A2284">
            <v>34000000</v>
          </cell>
          <cell r="C2284">
            <v>34000000</v>
          </cell>
          <cell r="D2284">
            <v>34000000</v>
          </cell>
          <cell r="E2284">
            <v>34000000</v>
          </cell>
          <cell r="F2284">
            <v>34000000</v>
          </cell>
          <cell r="G2284">
            <v>34000000</v>
          </cell>
          <cell r="H2284">
            <v>34000000</v>
          </cell>
          <cell r="I2284" t="str">
            <v/>
          </cell>
          <cell r="J2284" t="str">
            <v/>
          </cell>
          <cell r="K2284" t="str">
            <v/>
          </cell>
          <cell r="L2284" t="str">
            <v/>
          </cell>
        </row>
        <row r="2285">
          <cell r="A2285">
            <v>34000000</v>
          </cell>
          <cell r="C2285">
            <v>34000000</v>
          </cell>
          <cell r="D2285">
            <v>34000000</v>
          </cell>
          <cell r="E2285">
            <v>34000000</v>
          </cell>
          <cell r="F2285">
            <v>34000000</v>
          </cell>
          <cell r="G2285">
            <v>34000000</v>
          </cell>
          <cell r="H2285">
            <v>34000000</v>
          </cell>
          <cell r="I2285" t="str">
            <v/>
          </cell>
          <cell r="J2285" t="str">
            <v/>
          </cell>
          <cell r="K2285" t="str">
            <v/>
          </cell>
          <cell r="L2285" t="str">
            <v/>
          </cell>
        </row>
        <row r="2286">
          <cell r="A2286">
            <v>34000000</v>
          </cell>
          <cell r="C2286">
            <v>34000000</v>
          </cell>
          <cell r="D2286">
            <v>34000000</v>
          </cell>
          <cell r="E2286">
            <v>34000000</v>
          </cell>
          <cell r="F2286">
            <v>34000000</v>
          </cell>
          <cell r="G2286">
            <v>34000000</v>
          </cell>
          <cell r="H2286">
            <v>34000000</v>
          </cell>
          <cell r="I2286" t="str">
            <v/>
          </cell>
          <cell r="J2286" t="str">
            <v/>
          </cell>
          <cell r="K2286" t="str">
            <v/>
          </cell>
          <cell r="L2286" t="str">
            <v/>
          </cell>
        </row>
        <row r="2287">
          <cell r="A2287">
            <v>34000000</v>
          </cell>
          <cell r="C2287">
            <v>34000000</v>
          </cell>
          <cell r="D2287">
            <v>34000000</v>
          </cell>
          <cell r="E2287">
            <v>34000000</v>
          </cell>
          <cell r="F2287">
            <v>34000000</v>
          </cell>
          <cell r="G2287">
            <v>34000000</v>
          </cell>
          <cell r="H2287">
            <v>34000000</v>
          </cell>
          <cell r="I2287" t="str">
            <v/>
          </cell>
          <cell r="J2287" t="str">
            <v/>
          </cell>
          <cell r="K2287" t="str">
            <v/>
          </cell>
          <cell r="L2287" t="str">
            <v/>
          </cell>
        </row>
        <row r="2288">
          <cell r="A2288">
            <v>34000000</v>
          </cell>
          <cell r="C2288">
            <v>34000000</v>
          </cell>
          <cell r="D2288">
            <v>34000000</v>
          </cell>
          <cell r="E2288">
            <v>34000000</v>
          </cell>
          <cell r="F2288">
            <v>34000000</v>
          </cell>
          <cell r="G2288">
            <v>34000000</v>
          </cell>
          <cell r="H2288">
            <v>34000000</v>
          </cell>
          <cell r="I2288" t="str">
            <v/>
          </cell>
          <cell r="J2288" t="str">
            <v/>
          </cell>
          <cell r="K2288" t="str">
            <v/>
          </cell>
          <cell r="L2288" t="str">
            <v/>
          </cell>
        </row>
        <row r="2289">
          <cell r="A2289">
            <v>34000000</v>
          </cell>
          <cell r="C2289">
            <v>34000000</v>
          </cell>
          <cell r="D2289">
            <v>34000000</v>
          </cell>
          <cell r="E2289">
            <v>34000000</v>
          </cell>
          <cell r="F2289">
            <v>34000000</v>
          </cell>
          <cell r="G2289">
            <v>34000000</v>
          </cell>
          <cell r="H2289">
            <v>34000000</v>
          </cell>
          <cell r="I2289" t="str">
            <v/>
          </cell>
          <cell r="J2289" t="str">
            <v/>
          </cell>
          <cell r="K2289" t="str">
            <v/>
          </cell>
          <cell r="L2289" t="str">
            <v/>
          </cell>
        </row>
        <row r="2290">
          <cell r="A2290">
            <v>34000000</v>
          </cell>
          <cell r="C2290">
            <v>34000000</v>
          </cell>
          <cell r="D2290">
            <v>34000000</v>
          </cell>
          <cell r="E2290">
            <v>34000000</v>
          </cell>
          <cell r="F2290">
            <v>34000000</v>
          </cell>
          <cell r="G2290">
            <v>34000000</v>
          </cell>
          <cell r="H2290">
            <v>34000000</v>
          </cell>
          <cell r="I2290" t="str">
            <v/>
          </cell>
          <cell r="J2290" t="str">
            <v/>
          </cell>
          <cell r="K2290" t="str">
            <v/>
          </cell>
          <cell r="L2290" t="str">
            <v/>
          </cell>
        </row>
        <row r="2291">
          <cell r="A2291">
            <v>34000000</v>
          </cell>
          <cell r="C2291">
            <v>34000000</v>
          </cell>
          <cell r="D2291">
            <v>34000000</v>
          </cell>
          <cell r="E2291">
            <v>34000000</v>
          </cell>
          <cell r="F2291">
            <v>34000000</v>
          </cell>
          <cell r="G2291">
            <v>34000000</v>
          </cell>
          <cell r="H2291">
            <v>34000000</v>
          </cell>
          <cell r="I2291" t="str">
            <v/>
          </cell>
          <cell r="J2291" t="str">
            <v/>
          </cell>
          <cell r="K2291" t="str">
            <v/>
          </cell>
          <cell r="L2291" t="str">
            <v/>
          </cell>
        </row>
        <row r="2292">
          <cell r="A2292">
            <v>34000000</v>
          </cell>
          <cell r="C2292">
            <v>34000000</v>
          </cell>
          <cell r="D2292">
            <v>34000000</v>
          </cell>
          <cell r="E2292">
            <v>34000000</v>
          </cell>
          <cell r="F2292">
            <v>34000000</v>
          </cell>
          <cell r="G2292">
            <v>34000000</v>
          </cell>
          <cell r="H2292">
            <v>34000000</v>
          </cell>
          <cell r="I2292" t="str">
            <v/>
          </cell>
          <cell r="J2292" t="str">
            <v/>
          </cell>
          <cell r="K2292" t="str">
            <v/>
          </cell>
          <cell r="L2292" t="str">
            <v/>
          </cell>
        </row>
        <row r="2293">
          <cell r="A2293">
            <v>34000000</v>
          </cell>
          <cell r="C2293">
            <v>34000000</v>
          </cell>
          <cell r="D2293">
            <v>34000000</v>
          </cell>
          <cell r="E2293">
            <v>34000000</v>
          </cell>
          <cell r="F2293">
            <v>34000000</v>
          </cell>
          <cell r="G2293">
            <v>34000000</v>
          </cell>
          <cell r="H2293">
            <v>34000000</v>
          </cell>
          <cell r="I2293" t="str">
            <v/>
          </cell>
          <cell r="J2293" t="str">
            <v/>
          </cell>
          <cell r="K2293" t="str">
            <v/>
          </cell>
          <cell r="L2293" t="str">
            <v/>
          </cell>
        </row>
        <row r="2294">
          <cell r="A2294">
            <v>34000000</v>
          </cell>
          <cell r="C2294">
            <v>34000000</v>
          </cell>
          <cell r="D2294">
            <v>34000000</v>
          </cell>
          <cell r="E2294">
            <v>34000000</v>
          </cell>
          <cell r="F2294">
            <v>34000000</v>
          </cell>
          <cell r="G2294">
            <v>34000000</v>
          </cell>
          <cell r="H2294">
            <v>34000000</v>
          </cell>
          <cell r="I2294" t="str">
            <v/>
          </cell>
          <cell r="J2294" t="str">
            <v/>
          </cell>
          <cell r="K2294" t="str">
            <v/>
          </cell>
          <cell r="L2294" t="str">
            <v/>
          </cell>
        </row>
        <row r="2295">
          <cell r="A2295">
            <v>34000000</v>
          </cell>
          <cell r="C2295">
            <v>34000000</v>
          </cell>
          <cell r="D2295">
            <v>34000000</v>
          </cell>
          <cell r="E2295">
            <v>34000000</v>
          </cell>
          <cell r="F2295">
            <v>34000000</v>
          </cell>
          <cell r="G2295">
            <v>34000000</v>
          </cell>
          <cell r="H2295">
            <v>34000000</v>
          </cell>
          <cell r="I2295" t="str">
            <v/>
          </cell>
          <cell r="J2295" t="str">
            <v/>
          </cell>
          <cell r="K2295" t="str">
            <v/>
          </cell>
          <cell r="L2295" t="str">
            <v/>
          </cell>
        </row>
        <row r="2296">
          <cell r="A2296">
            <v>34000000</v>
          </cell>
          <cell r="C2296">
            <v>34000000</v>
          </cell>
          <cell r="D2296">
            <v>34000000</v>
          </cell>
          <cell r="E2296">
            <v>34000000</v>
          </cell>
          <cell r="F2296">
            <v>34000000</v>
          </cell>
          <cell r="G2296">
            <v>34000000</v>
          </cell>
          <cell r="H2296">
            <v>34000000</v>
          </cell>
          <cell r="I2296" t="str">
            <v/>
          </cell>
          <cell r="J2296" t="str">
            <v/>
          </cell>
          <cell r="K2296" t="str">
            <v/>
          </cell>
          <cell r="L2296" t="str">
            <v/>
          </cell>
        </row>
        <row r="2297">
          <cell r="A2297">
            <v>34000000</v>
          </cell>
          <cell r="C2297">
            <v>34000000</v>
          </cell>
          <cell r="D2297">
            <v>34000000</v>
          </cell>
          <cell r="E2297">
            <v>34000000</v>
          </cell>
          <cell r="F2297">
            <v>34000000</v>
          </cell>
          <cell r="G2297">
            <v>34000000</v>
          </cell>
          <cell r="H2297">
            <v>34000000</v>
          </cell>
          <cell r="I2297" t="str">
            <v/>
          </cell>
          <cell r="J2297" t="str">
            <v/>
          </cell>
          <cell r="K2297" t="str">
            <v/>
          </cell>
          <cell r="L2297" t="str">
            <v/>
          </cell>
        </row>
        <row r="2298">
          <cell r="A2298">
            <v>34000000</v>
          </cell>
          <cell r="C2298">
            <v>34000000</v>
          </cell>
          <cell r="D2298">
            <v>34000000</v>
          </cell>
          <cell r="E2298">
            <v>34000000</v>
          </cell>
          <cell r="F2298">
            <v>34000000</v>
          </cell>
          <cell r="G2298">
            <v>34000000</v>
          </cell>
          <cell r="H2298">
            <v>34000000</v>
          </cell>
          <cell r="I2298" t="str">
            <v/>
          </cell>
          <cell r="J2298" t="str">
            <v/>
          </cell>
          <cell r="K2298" t="str">
            <v/>
          </cell>
          <cell r="L2298" t="str">
            <v/>
          </cell>
        </row>
        <row r="2299">
          <cell r="A2299">
            <v>34000000</v>
          </cell>
          <cell r="C2299">
            <v>34000000</v>
          </cell>
          <cell r="D2299">
            <v>34000000</v>
          </cell>
          <cell r="E2299">
            <v>34000000</v>
          </cell>
          <cell r="F2299">
            <v>34000000</v>
          </cell>
          <cell r="G2299">
            <v>34000000</v>
          </cell>
          <cell r="H2299">
            <v>34000000</v>
          </cell>
          <cell r="I2299" t="str">
            <v/>
          </cell>
          <cell r="J2299" t="str">
            <v/>
          </cell>
          <cell r="K2299" t="str">
            <v/>
          </cell>
          <cell r="L2299" t="str">
            <v/>
          </cell>
        </row>
        <row r="2300">
          <cell r="A2300">
            <v>34000000</v>
          </cell>
          <cell r="C2300">
            <v>34000000</v>
          </cell>
          <cell r="D2300">
            <v>34000000</v>
          </cell>
          <cell r="E2300">
            <v>34000000</v>
          </cell>
          <cell r="F2300">
            <v>34000000</v>
          </cell>
          <cell r="G2300">
            <v>34000000</v>
          </cell>
          <cell r="H2300">
            <v>34000000</v>
          </cell>
          <cell r="I2300" t="str">
            <v/>
          </cell>
          <cell r="J2300" t="str">
            <v/>
          </cell>
          <cell r="K2300" t="str">
            <v/>
          </cell>
          <cell r="L2300" t="str">
            <v/>
          </cell>
        </row>
        <row r="2301">
          <cell r="A2301">
            <v>34000000</v>
          </cell>
          <cell r="C2301">
            <v>34000000</v>
          </cell>
          <cell r="D2301">
            <v>34000000</v>
          </cell>
          <cell r="E2301">
            <v>34000000</v>
          </cell>
          <cell r="F2301">
            <v>34000000</v>
          </cell>
          <cell r="G2301">
            <v>34000000</v>
          </cell>
          <cell r="H2301">
            <v>34000000</v>
          </cell>
          <cell r="I2301" t="str">
            <v/>
          </cell>
          <cell r="J2301" t="str">
            <v/>
          </cell>
          <cell r="K2301" t="str">
            <v/>
          </cell>
          <cell r="L2301" t="str">
            <v/>
          </cell>
        </row>
        <row r="2302">
          <cell r="A2302">
            <v>34000000</v>
          </cell>
          <cell r="C2302">
            <v>34000000</v>
          </cell>
          <cell r="D2302">
            <v>34000000</v>
          </cell>
          <cell r="E2302">
            <v>34000000</v>
          </cell>
          <cell r="F2302">
            <v>34000000</v>
          </cell>
          <cell r="G2302">
            <v>34000000</v>
          </cell>
          <cell r="H2302">
            <v>34000000</v>
          </cell>
          <cell r="I2302" t="str">
            <v/>
          </cell>
          <cell r="J2302" t="str">
            <v/>
          </cell>
          <cell r="K2302" t="str">
            <v/>
          </cell>
          <cell r="L2302" t="str">
            <v/>
          </cell>
        </row>
        <row r="2303">
          <cell r="A2303">
            <v>34000000</v>
          </cell>
          <cell r="C2303">
            <v>34000000</v>
          </cell>
          <cell r="D2303">
            <v>34000000</v>
          </cell>
          <cell r="E2303">
            <v>34000000</v>
          </cell>
          <cell r="F2303">
            <v>34000000</v>
          </cell>
          <cell r="G2303">
            <v>34000000</v>
          </cell>
          <cell r="H2303">
            <v>34000000</v>
          </cell>
          <cell r="I2303" t="str">
            <v/>
          </cell>
          <cell r="J2303" t="str">
            <v/>
          </cell>
          <cell r="K2303" t="str">
            <v/>
          </cell>
          <cell r="L2303" t="str">
            <v/>
          </cell>
        </row>
        <row r="2304">
          <cell r="A2304">
            <v>34000000</v>
          </cell>
          <cell r="C2304">
            <v>34000000</v>
          </cell>
          <cell r="D2304">
            <v>34000000</v>
          </cell>
          <cell r="E2304">
            <v>34000000</v>
          </cell>
          <cell r="F2304">
            <v>34000000</v>
          </cell>
          <cell r="G2304">
            <v>34000000</v>
          </cell>
          <cell r="H2304">
            <v>34000000</v>
          </cell>
          <cell r="I2304" t="str">
            <v/>
          </cell>
          <cell r="J2304" t="str">
            <v/>
          </cell>
          <cell r="K2304" t="str">
            <v/>
          </cell>
          <cell r="L2304" t="str">
            <v/>
          </cell>
        </row>
        <row r="2305">
          <cell r="A2305">
            <v>34000000</v>
          </cell>
          <cell r="C2305">
            <v>34000000</v>
          </cell>
          <cell r="D2305">
            <v>34000000</v>
          </cell>
          <cell r="E2305">
            <v>34000000</v>
          </cell>
          <cell r="F2305">
            <v>34000000</v>
          </cell>
          <cell r="G2305">
            <v>34000000</v>
          </cell>
          <cell r="H2305">
            <v>34000000</v>
          </cell>
          <cell r="I2305" t="str">
            <v/>
          </cell>
          <cell r="J2305" t="str">
            <v/>
          </cell>
          <cell r="K2305" t="str">
            <v/>
          </cell>
          <cell r="L2305" t="str">
            <v/>
          </cell>
        </row>
        <row r="2306">
          <cell r="A2306">
            <v>34000000</v>
          </cell>
          <cell r="C2306">
            <v>34000000</v>
          </cell>
          <cell r="D2306">
            <v>34000000</v>
          </cell>
          <cell r="E2306">
            <v>34000000</v>
          </cell>
          <cell r="F2306">
            <v>34000000</v>
          </cell>
          <cell r="G2306">
            <v>34000000</v>
          </cell>
          <cell r="H2306">
            <v>34000000</v>
          </cell>
          <cell r="I2306" t="str">
            <v/>
          </cell>
          <cell r="J2306" t="str">
            <v/>
          </cell>
          <cell r="K2306" t="str">
            <v/>
          </cell>
          <cell r="L2306" t="str">
            <v/>
          </cell>
        </row>
        <row r="2307">
          <cell r="A2307">
            <v>34000000</v>
          </cell>
          <cell r="C2307">
            <v>34000000</v>
          </cell>
          <cell r="D2307">
            <v>34000000</v>
          </cell>
          <cell r="E2307">
            <v>34000000</v>
          </cell>
          <cell r="F2307">
            <v>34000000</v>
          </cell>
          <cell r="G2307">
            <v>34000000</v>
          </cell>
          <cell r="H2307">
            <v>34000000</v>
          </cell>
          <cell r="I2307" t="str">
            <v/>
          </cell>
          <cell r="J2307" t="str">
            <v/>
          </cell>
          <cell r="K2307" t="str">
            <v/>
          </cell>
          <cell r="L2307" t="str">
            <v/>
          </cell>
        </row>
        <row r="2308">
          <cell r="A2308">
            <v>34000000</v>
          </cell>
          <cell r="C2308">
            <v>34000000</v>
          </cell>
          <cell r="D2308">
            <v>34000000</v>
          </cell>
          <cell r="E2308">
            <v>34000000</v>
          </cell>
          <cell r="F2308">
            <v>34000000</v>
          </cell>
          <cell r="G2308">
            <v>34000000</v>
          </cell>
          <cell r="H2308">
            <v>34000000</v>
          </cell>
          <cell r="I2308" t="str">
            <v/>
          </cell>
          <cell r="J2308" t="str">
            <v/>
          </cell>
          <cell r="K2308" t="str">
            <v/>
          </cell>
          <cell r="L2308" t="str">
            <v/>
          </cell>
        </row>
        <row r="2309">
          <cell r="A2309">
            <v>34000000</v>
          </cell>
          <cell r="C2309">
            <v>34000000</v>
          </cell>
          <cell r="D2309">
            <v>34000000</v>
          </cell>
          <cell r="E2309">
            <v>34000000</v>
          </cell>
          <cell r="F2309">
            <v>34000000</v>
          </cell>
          <cell r="G2309">
            <v>34000000</v>
          </cell>
          <cell r="H2309">
            <v>34000000</v>
          </cell>
          <cell r="I2309" t="str">
            <v/>
          </cell>
          <cell r="J2309" t="str">
            <v/>
          </cell>
          <cell r="K2309" t="str">
            <v/>
          </cell>
          <cell r="L2309" t="str">
            <v/>
          </cell>
        </row>
        <row r="2310">
          <cell r="A2310">
            <v>34000000</v>
          </cell>
          <cell r="C2310">
            <v>34000000</v>
          </cell>
          <cell r="D2310">
            <v>34000000</v>
          </cell>
          <cell r="E2310">
            <v>34000000</v>
          </cell>
          <cell r="F2310">
            <v>34000000</v>
          </cell>
          <cell r="G2310">
            <v>34000000</v>
          </cell>
          <cell r="H2310">
            <v>34000000</v>
          </cell>
          <cell r="I2310" t="str">
            <v/>
          </cell>
          <cell r="J2310" t="str">
            <v/>
          </cell>
          <cell r="K2310" t="str">
            <v/>
          </cell>
          <cell r="L2310" t="str">
            <v/>
          </cell>
        </row>
        <row r="2311">
          <cell r="A2311">
            <v>34000000</v>
          </cell>
          <cell r="C2311">
            <v>34000000</v>
          </cell>
          <cell r="D2311">
            <v>34000000</v>
          </cell>
          <cell r="E2311">
            <v>34000000</v>
          </cell>
          <cell r="F2311">
            <v>34000000</v>
          </cell>
          <cell r="G2311">
            <v>34000000</v>
          </cell>
          <cell r="H2311">
            <v>34000000</v>
          </cell>
          <cell r="I2311" t="str">
            <v/>
          </cell>
          <cell r="J2311" t="str">
            <v/>
          </cell>
          <cell r="K2311" t="str">
            <v/>
          </cell>
          <cell r="L2311" t="str">
            <v/>
          </cell>
        </row>
        <row r="2312">
          <cell r="A2312">
            <v>34000000</v>
          </cell>
          <cell r="C2312">
            <v>34000000</v>
          </cell>
          <cell r="D2312">
            <v>34000000</v>
          </cell>
          <cell r="E2312">
            <v>34000000</v>
          </cell>
          <cell r="F2312">
            <v>34000000</v>
          </cell>
          <cell r="G2312">
            <v>34000000</v>
          </cell>
          <cell r="H2312">
            <v>34000000</v>
          </cell>
          <cell r="I2312" t="str">
            <v/>
          </cell>
          <cell r="J2312" t="str">
            <v/>
          </cell>
          <cell r="K2312" t="str">
            <v/>
          </cell>
          <cell r="L2312" t="str">
            <v/>
          </cell>
        </row>
        <row r="2313">
          <cell r="A2313">
            <v>34000000</v>
          </cell>
          <cell r="C2313">
            <v>34000000</v>
          </cell>
          <cell r="D2313">
            <v>34000000</v>
          </cell>
          <cell r="E2313">
            <v>34000000</v>
          </cell>
          <cell r="F2313">
            <v>34000000</v>
          </cell>
          <cell r="G2313">
            <v>34000000</v>
          </cell>
          <cell r="H2313">
            <v>34000000</v>
          </cell>
          <cell r="I2313" t="str">
            <v/>
          </cell>
          <cell r="J2313" t="str">
            <v/>
          </cell>
          <cell r="K2313" t="str">
            <v/>
          </cell>
          <cell r="L2313" t="str">
            <v/>
          </cell>
        </row>
        <row r="2314">
          <cell r="A2314">
            <v>34000000</v>
          </cell>
          <cell r="C2314">
            <v>34000000</v>
          </cell>
          <cell r="D2314">
            <v>34000000</v>
          </cell>
          <cell r="E2314">
            <v>34000000</v>
          </cell>
          <cell r="F2314">
            <v>34000000</v>
          </cell>
          <cell r="G2314">
            <v>34000000</v>
          </cell>
          <cell r="H2314">
            <v>34000000</v>
          </cell>
          <cell r="I2314" t="str">
            <v/>
          </cell>
          <cell r="J2314" t="str">
            <v/>
          </cell>
          <cell r="K2314" t="str">
            <v/>
          </cell>
          <cell r="L2314" t="str">
            <v/>
          </cell>
        </row>
        <row r="2315">
          <cell r="A2315">
            <v>34000000</v>
          </cell>
          <cell r="C2315">
            <v>34000000</v>
          </cell>
          <cell r="D2315">
            <v>34000000</v>
          </cell>
          <cell r="E2315">
            <v>34000000</v>
          </cell>
          <cell r="F2315">
            <v>34000000</v>
          </cell>
          <cell r="G2315">
            <v>34000000</v>
          </cell>
          <cell r="H2315">
            <v>34000000</v>
          </cell>
          <cell r="I2315" t="str">
            <v/>
          </cell>
          <cell r="J2315" t="str">
            <v/>
          </cell>
          <cell r="K2315" t="str">
            <v/>
          </cell>
          <cell r="L2315" t="str">
            <v/>
          </cell>
        </row>
        <row r="2316">
          <cell r="A2316">
            <v>34000000</v>
          </cell>
          <cell r="C2316">
            <v>34000000</v>
          </cell>
          <cell r="D2316">
            <v>34000000</v>
          </cell>
          <cell r="E2316">
            <v>34000000</v>
          </cell>
          <cell r="F2316">
            <v>34000000</v>
          </cell>
          <cell r="G2316">
            <v>34000000</v>
          </cell>
          <cell r="H2316">
            <v>34000000</v>
          </cell>
          <cell r="I2316" t="str">
            <v/>
          </cell>
          <cell r="J2316" t="str">
            <v/>
          </cell>
          <cell r="K2316" t="str">
            <v/>
          </cell>
          <cell r="L2316" t="str">
            <v/>
          </cell>
        </row>
        <row r="2317">
          <cell r="A2317">
            <v>34000000</v>
          </cell>
          <cell r="C2317">
            <v>34000000</v>
          </cell>
          <cell r="D2317">
            <v>34000000</v>
          </cell>
          <cell r="E2317">
            <v>34000000</v>
          </cell>
          <cell r="F2317">
            <v>34000000</v>
          </cell>
          <cell r="G2317">
            <v>34000000</v>
          </cell>
          <cell r="H2317">
            <v>34000000</v>
          </cell>
          <cell r="I2317" t="str">
            <v/>
          </cell>
          <cell r="J2317" t="str">
            <v/>
          </cell>
          <cell r="K2317" t="str">
            <v/>
          </cell>
          <cell r="L2317" t="str">
            <v/>
          </cell>
        </row>
        <row r="2318">
          <cell r="A2318">
            <v>34000000</v>
          </cell>
          <cell r="C2318">
            <v>34000000</v>
          </cell>
          <cell r="D2318">
            <v>34000000</v>
          </cell>
          <cell r="E2318">
            <v>34000000</v>
          </cell>
          <cell r="F2318">
            <v>34000000</v>
          </cell>
          <cell r="G2318">
            <v>34000000</v>
          </cell>
          <cell r="H2318">
            <v>34000000</v>
          </cell>
          <cell r="I2318" t="str">
            <v/>
          </cell>
          <cell r="J2318" t="str">
            <v/>
          </cell>
          <cell r="K2318" t="str">
            <v/>
          </cell>
          <cell r="L2318" t="str">
            <v/>
          </cell>
        </row>
        <row r="2319">
          <cell r="A2319">
            <v>34000000</v>
          </cell>
          <cell r="C2319">
            <v>34000000</v>
          </cell>
          <cell r="D2319">
            <v>34000000</v>
          </cell>
          <cell r="E2319">
            <v>34000000</v>
          </cell>
          <cell r="F2319">
            <v>34000000</v>
          </cell>
          <cell r="G2319">
            <v>34000000</v>
          </cell>
          <cell r="H2319">
            <v>34000000</v>
          </cell>
          <cell r="I2319" t="str">
            <v/>
          </cell>
          <cell r="J2319" t="str">
            <v/>
          </cell>
          <cell r="K2319" t="str">
            <v/>
          </cell>
          <cell r="L2319" t="str">
            <v/>
          </cell>
        </row>
        <row r="2320">
          <cell r="A2320">
            <v>34000000</v>
          </cell>
          <cell r="C2320">
            <v>34000000</v>
          </cell>
          <cell r="D2320">
            <v>34000000</v>
          </cell>
          <cell r="E2320">
            <v>34000000</v>
          </cell>
          <cell r="F2320">
            <v>34000000</v>
          </cell>
          <cell r="G2320">
            <v>34000000</v>
          </cell>
          <cell r="H2320">
            <v>34000000</v>
          </cell>
          <cell r="I2320" t="str">
            <v/>
          </cell>
          <cell r="J2320" t="str">
            <v/>
          </cell>
          <cell r="K2320" t="str">
            <v/>
          </cell>
          <cell r="L2320" t="str">
            <v/>
          </cell>
        </row>
        <row r="2321">
          <cell r="A2321">
            <v>34000000</v>
          </cell>
          <cell r="C2321">
            <v>34000000</v>
          </cell>
          <cell r="D2321">
            <v>34000000</v>
          </cell>
          <cell r="E2321">
            <v>34000000</v>
          </cell>
          <cell r="F2321">
            <v>34000000</v>
          </cell>
          <cell r="G2321">
            <v>34000000</v>
          </cell>
          <cell r="H2321">
            <v>34000000</v>
          </cell>
          <cell r="I2321" t="str">
            <v/>
          </cell>
          <cell r="J2321" t="str">
            <v/>
          </cell>
          <cell r="K2321" t="str">
            <v/>
          </cell>
          <cell r="L2321" t="str">
            <v/>
          </cell>
        </row>
        <row r="2322">
          <cell r="A2322">
            <v>34000000</v>
          </cell>
          <cell r="C2322">
            <v>34000000</v>
          </cell>
          <cell r="D2322">
            <v>34000000</v>
          </cell>
          <cell r="E2322">
            <v>34000000</v>
          </cell>
          <cell r="F2322">
            <v>34000000</v>
          </cell>
          <cell r="G2322">
            <v>34000000</v>
          </cell>
          <cell r="H2322">
            <v>34000000</v>
          </cell>
          <cell r="I2322" t="str">
            <v/>
          </cell>
          <cell r="J2322" t="str">
            <v/>
          </cell>
          <cell r="K2322" t="str">
            <v/>
          </cell>
          <cell r="L2322" t="str">
            <v/>
          </cell>
        </row>
        <row r="2323">
          <cell r="A2323">
            <v>34000000</v>
          </cell>
          <cell r="C2323">
            <v>34000000</v>
          </cell>
          <cell r="D2323">
            <v>34000000</v>
          </cell>
          <cell r="E2323">
            <v>34000000</v>
          </cell>
          <cell r="F2323">
            <v>34000000</v>
          </cell>
          <cell r="G2323">
            <v>34000000</v>
          </cell>
          <cell r="H2323">
            <v>34000000</v>
          </cell>
          <cell r="I2323" t="str">
            <v/>
          </cell>
          <cell r="J2323" t="str">
            <v/>
          </cell>
          <cell r="K2323" t="str">
            <v/>
          </cell>
          <cell r="L2323" t="str">
            <v/>
          </cell>
        </row>
        <row r="2324">
          <cell r="A2324">
            <v>34000000</v>
          </cell>
          <cell r="C2324">
            <v>34000000</v>
          </cell>
          <cell r="D2324">
            <v>34000000</v>
          </cell>
          <cell r="E2324">
            <v>34000000</v>
          </cell>
          <cell r="F2324">
            <v>34000000</v>
          </cell>
          <cell r="G2324">
            <v>34000000</v>
          </cell>
          <cell r="H2324">
            <v>34000000</v>
          </cell>
          <cell r="I2324" t="str">
            <v/>
          </cell>
          <cell r="J2324" t="str">
            <v/>
          </cell>
          <cell r="K2324" t="str">
            <v/>
          </cell>
          <cell r="L2324" t="str">
            <v/>
          </cell>
        </row>
        <row r="2325">
          <cell r="A2325">
            <v>34000000</v>
          </cell>
          <cell r="C2325">
            <v>34000000</v>
          </cell>
          <cell r="D2325">
            <v>34000000</v>
          </cell>
          <cell r="E2325">
            <v>34000000</v>
          </cell>
          <cell r="F2325">
            <v>34000000</v>
          </cell>
          <cell r="G2325">
            <v>34000000</v>
          </cell>
          <cell r="H2325">
            <v>34000000</v>
          </cell>
          <cell r="I2325" t="str">
            <v/>
          </cell>
          <cell r="J2325" t="str">
            <v/>
          </cell>
          <cell r="K2325" t="str">
            <v/>
          </cell>
          <cell r="L2325" t="str">
            <v/>
          </cell>
        </row>
        <row r="2326">
          <cell r="A2326">
            <v>34000000</v>
          </cell>
          <cell r="C2326">
            <v>34000000</v>
          </cell>
          <cell r="D2326">
            <v>34000000</v>
          </cell>
          <cell r="E2326">
            <v>34000000</v>
          </cell>
          <cell r="F2326">
            <v>34000000</v>
          </cell>
          <cell r="G2326">
            <v>34000000</v>
          </cell>
          <cell r="H2326">
            <v>34000000</v>
          </cell>
          <cell r="I2326" t="str">
            <v/>
          </cell>
          <cell r="J2326" t="str">
            <v/>
          </cell>
          <cell r="K2326" t="str">
            <v/>
          </cell>
          <cell r="L2326" t="str">
            <v/>
          </cell>
        </row>
        <row r="2327">
          <cell r="A2327">
            <v>34000000</v>
          </cell>
          <cell r="C2327">
            <v>34000000</v>
          </cell>
          <cell r="D2327">
            <v>34000000</v>
          </cell>
          <cell r="E2327">
            <v>34000000</v>
          </cell>
          <cell r="F2327">
            <v>34000000</v>
          </cell>
          <cell r="G2327">
            <v>34000000</v>
          </cell>
          <cell r="H2327">
            <v>34000000</v>
          </cell>
          <cell r="I2327" t="str">
            <v/>
          </cell>
          <cell r="J2327" t="str">
            <v/>
          </cell>
          <cell r="K2327" t="str">
            <v/>
          </cell>
          <cell r="L2327" t="str">
            <v/>
          </cell>
        </row>
        <row r="2328">
          <cell r="A2328">
            <v>34000000</v>
          </cell>
          <cell r="C2328">
            <v>34000000</v>
          </cell>
          <cell r="D2328">
            <v>34000000</v>
          </cell>
          <cell r="E2328">
            <v>34000000</v>
          </cell>
          <cell r="F2328">
            <v>34000000</v>
          </cell>
          <cell r="G2328">
            <v>34000000</v>
          </cell>
          <cell r="H2328">
            <v>34000000</v>
          </cell>
          <cell r="I2328" t="str">
            <v/>
          </cell>
          <cell r="J2328" t="str">
            <v/>
          </cell>
          <cell r="K2328" t="str">
            <v/>
          </cell>
          <cell r="L2328" t="str">
            <v/>
          </cell>
        </row>
        <row r="2329">
          <cell r="A2329">
            <v>34000000</v>
          </cell>
          <cell r="C2329">
            <v>34000000</v>
          </cell>
          <cell r="D2329">
            <v>34000000</v>
          </cell>
          <cell r="E2329">
            <v>34000000</v>
          </cell>
          <cell r="F2329">
            <v>34000000</v>
          </cell>
          <cell r="G2329">
            <v>34000000</v>
          </cell>
          <cell r="H2329">
            <v>34000000</v>
          </cell>
          <cell r="I2329" t="str">
            <v/>
          </cell>
          <cell r="J2329" t="str">
            <v/>
          </cell>
          <cell r="K2329" t="str">
            <v/>
          </cell>
          <cell r="L2329" t="str">
            <v/>
          </cell>
        </row>
        <row r="2330">
          <cell r="A2330">
            <v>34000000</v>
          </cell>
          <cell r="C2330">
            <v>34000000</v>
          </cell>
          <cell r="D2330">
            <v>34000000</v>
          </cell>
          <cell r="E2330">
            <v>34000000</v>
          </cell>
          <cell r="F2330">
            <v>34000000</v>
          </cell>
          <cell r="G2330">
            <v>34000000</v>
          </cell>
          <cell r="H2330">
            <v>34000000</v>
          </cell>
          <cell r="I2330" t="str">
            <v/>
          </cell>
          <cell r="J2330" t="str">
            <v/>
          </cell>
          <cell r="K2330" t="str">
            <v/>
          </cell>
          <cell r="L2330" t="str">
            <v/>
          </cell>
        </row>
        <row r="2331">
          <cell r="A2331">
            <v>34000000</v>
          </cell>
          <cell r="C2331">
            <v>34000000</v>
          </cell>
          <cell r="D2331">
            <v>34000000</v>
          </cell>
          <cell r="E2331">
            <v>34000000</v>
          </cell>
          <cell r="F2331">
            <v>34000000</v>
          </cell>
          <cell r="G2331">
            <v>34000000</v>
          </cell>
          <cell r="H2331">
            <v>34000000</v>
          </cell>
          <cell r="I2331" t="str">
            <v/>
          </cell>
          <cell r="J2331" t="str">
            <v/>
          </cell>
          <cell r="K2331" t="str">
            <v/>
          </cell>
          <cell r="L2331" t="str">
            <v/>
          </cell>
        </row>
        <row r="2332">
          <cell r="A2332">
            <v>34000000</v>
          </cell>
          <cell r="C2332">
            <v>34000000</v>
          </cell>
          <cell r="D2332">
            <v>34000000</v>
          </cell>
          <cell r="E2332">
            <v>34000000</v>
          </cell>
          <cell r="F2332">
            <v>34000000</v>
          </cell>
          <cell r="G2332">
            <v>34000000</v>
          </cell>
          <cell r="H2332">
            <v>34000000</v>
          </cell>
          <cell r="I2332" t="str">
            <v/>
          </cell>
          <cell r="J2332" t="str">
            <v/>
          </cell>
          <cell r="K2332" t="str">
            <v/>
          </cell>
          <cell r="L2332" t="str">
            <v/>
          </cell>
        </row>
        <row r="2333">
          <cell r="A2333">
            <v>34000000</v>
          </cell>
          <cell r="C2333">
            <v>34000000</v>
          </cell>
          <cell r="D2333">
            <v>34000000</v>
          </cell>
          <cell r="E2333">
            <v>34000000</v>
          </cell>
          <cell r="F2333">
            <v>34000000</v>
          </cell>
          <cell r="G2333">
            <v>34000000</v>
          </cell>
          <cell r="H2333">
            <v>34000000</v>
          </cell>
          <cell r="I2333" t="str">
            <v/>
          </cell>
          <cell r="J2333" t="str">
            <v/>
          </cell>
          <cell r="K2333" t="str">
            <v/>
          </cell>
          <cell r="L2333" t="str">
            <v/>
          </cell>
        </row>
        <row r="2334">
          <cell r="A2334">
            <v>34000000</v>
          </cell>
          <cell r="C2334">
            <v>34000000</v>
          </cell>
          <cell r="D2334">
            <v>34000000</v>
          </cell>
          <cell r="E2334">
            <v>34000000</v>
          </cell>
          <cell r="F2334">
            <v>34000000</v>
          </cell>
          <cell r="G2334">
            <v>34000000</v>
          </cell>
          <cell r="H2334">
            <v>34000000</v>
          </cell>
          <cell r="I2334" t="str">
            <v/>
          </cell>
          <cell r="J2334" t="str">
            <v/>
          </cell>
          <cell r="K2334" t="str">
            <v/>
          </cell>
          <cell r="L2334" t="str">
            <v/>
          </cell>
        </row>
        <row r="2335">
          <cell r="A2335">
            <v>34000000</v>
          </cell>
          <cell r="C2335">
            <v>34000000</v>
          </cell>
          <cell r="D2335">
            <v>34000000</v>
          </cell>
          <cell r="E2335">
            <v>34000000</v>
          </cell>
          <cell r="F2335">
            <v>34000000</v>
          </cell>
          <cell r="G2335">
            <v>34000000</v>
          </cell>
          <cell r="H2335">
            <v>34000000</v>
          </cell>
          <cell r="I2335" t="str">
            <v/>
          </cell>
          <cell r="J2335" t="str">
            <v/>
          </cell>
          <cell r="K2335" t="str">
            <v/>
          </cell>
          <cell r="L2335" t="str">
            <v/>
          </cell>
        </row>
        <row r="2336">
          <cell r="A2336">
            <v>34000000</v>
          </cell>
          <cell r="C2336">
            <v>34000000</v>
          </cell>
          <cell r="D2336">
            <v>34000000</v>
          </cell>
          <cell r="E2336">
            <v>34000000</v>
          </cell>
          <cell r="F2336">
            <v>34000000</v>
          </cell>
          <cell r="G2336">
            <v>34000000</v>
          </cell>
          <cell r="H2336">
            <v>34000000</v>
          </cell>
          <cell r="I2336" t="str">
            <v/>
          </cell>
          <cell r="J2336" t="str">
            <v/>
          </cell>
          <cell r="K2336" t="str">
            <v/>
          </cell>
          <cell r="L2336" t="str">
            <v/>
          </cell>
        </row>
        <row r="2337">
          <cell r="A2337">
            <v>34000000</v>
          </cell>
          <cell r="C2337">
            <v>34000000</v>
          </cell>
          <cell r="D2337">
            <v>34000000</v>
          </cell>
          <cell r="E2337">
            <v>34000000</v>
          </cell>
          <cell r="F2337">
            <v>34000000</v>
          </cell>
          <cell r="G2337">
            <v>34000000</v>
          </cell>
          <cell r="H2337">
            <v>34000000</v>
          </cell>
          <cell r="I2337" t="str">
            <v/>
          </cell>
          <cell r="J2337" t="str">
            <v/>
          </cell>
          <cell r="K2337" t="str">
            <v/>
          </cell>
          <cell r="L2337" t="str">
            <v/>
          </cell>
        </row>
        <row r="2338">
          <cell r="A2338">
            <v>34000000</v>
          </cell>
          <cell r="C2338">
            <v>34000000</v>
          </cell>
          <cell r="D2338">
            <v>34000000</v>
          </cell>
          <cell r="E2338">
            <v>34000000</v>
          </cell>
          <cell r="F2338">
            <v>34000000</v>
          </cell>
          <cell r="G2338">
            <v>34000000</v>
          </cell>
          <cell r="H2338">
            <v>34000000</v>
          </cell>
          <cell r="I2338" t="str">
            <v/>
          </cell>
          <cell r="J2338" t="str">
            <v/>
          </cell>
          <cell r="K2338" t="str">
            <v/>
          </cell>
          <cell r="L2338" t="str">
            <v/>
          </cell>
        </row>
        <row r="2339">
          <cell r="A2339">
            <v>34000000</v>
          </cell>
          <cell r="C2339">
            <v>34000000</v>
          </cell>
          <cell r="D2339">
            <v>34000000</v>
          </cell>
          <cell r="E2339">
            <v>34000000</v>
          </cell>
          <cell r="F2339">
            <v>34000000</v>
          </cell>
          <cell r="G2339">
            <v>34000000</v>
          </cell>
          <cell r="H2339">
            <v>34000000</v>
          </cell>
          <cell r="I2339" t="str">
            <v/>
          </cell>
          <cell r="J2339" t="str">
            <v/>
          </cell>
          <cell r="K2339" t="str">
            <v/>
          </cell>
          <cell r="L2339" t="str">
            <v/>
          </cell>
        </row>
        <row r="2340">
          <cell r="A2340">
            <v>34000000</v>
          </cell>
          <cell r="C2340">
            <v>34000000</v>
          </cell>
          <cell r="D2340">
            <v>34000000</v>
          </cell>
          <cell r="E2340">
            <v>34000000</v>
          </cell>
          <cell r="F2340">
            <v>34000000</v>
          </cell>
          <cell r="G2340">
            <v>34000000</v>
          </cell>
          <cell r="H2340">
            <v>34000000</v>
          </cell>
          <cell r="I2340" t="str">
            <v/>
          </cell>
          <cell r="J2340" t="str">
            <v/>
          </cell>
          <cell r="K2340" t="str">
            <v/>
          </cell>
          <cell r="L2340" t="str">
            <v/>
          </cell>
        </row>
        <row r="2341">
          <cell r="A2341">
            <v>34000000</v>
          </cell>
          <cell r="C2341">
            <v>34000000</v>
          </cell>
          <cell r="D2341">
            <v>34000000</v>
          </cell>
          <cell r="E2341">
            <v>34000000</v>
          </cell>
          <cell r="F2341">
            <v>34000000</v>
          </cell>
          <cell r="G2341">
            <v>34000000</v>
          </cell>
          <cell r="H2341">
            <v>34000000</v>
          </cell>
          <cell r="I2341" t="str">
            <v/>
          </cell>
          <cell r="J2341" t="str">
            <v/>
          </cell>
          <cell r="K2341" t="str">
            <v/>
          </cell>
          <cell r="L2341" t="str">
            <v/>
          </cell>
        </row>
        <row r="2342">
          <cell r="A2342">
            <v>34000000</v>
          </cell>
          <cell r="C2342">
            <v>34000000</v>
          </cell>
          <cell r="D2342">
            <v>34000000</v>
          </cell>
          <cell r="E2342">
            <v>34000000</v>
          </cell>
          <cell r="F2342">
            <v>34000000</v>
          </cell>
          <cell r="G2342">
            <v>34000000</v>
          </cell>
          <cell r="H2342">
            <v>34000000</v>
          </cell>
          <cell r="I2342" t="str">
            <v/>
          </cell>
          <cell r="J2342" t="str">
            <v/>
          </cell>
          <cell r="K2342" t="str">
            <v/>
          </cell>
          <cell r="L2342" t="str">
            <v/>
          </cell>
        </row>
        <row r="2343">
          <cell r="A2343">
            <v>34000000</v>
          </cell>
          <cell r="C2343">
            <v>34000000</v>
          </cell>
          <cell r="D2343">
            <v>34000000</v>
          </cell>
          <cell r="E2343">
            <v>34000000</v>
          </cell>
          <cell r="F2343">
            <v>34000000</v>
          </cell>
          <cell r="G2343">
            <v>34000000</v>
          </cell>
          <cell r="H2343">
            <v>34000000</v>
          </cell>
          <cell r="I2343" t="str">
            <v/>
          </cell>
          <cell r="J2343" t="str">
            <v/>
          </cell>
          <cell r="K2343" t="str">
            <v/>
          </cell>
          <cell r="L2343" t="str">
            <v/>
          </cell>
        </row>
        <row r="2344">
          <cell r="A2344">
            <v>34000000</v>
          </cell>
          <cell r="C2344">
            <v>34000000</v>
          </cell>
          <cell r="D2344">
            <v>34000000</v>
          </cell>
          <cell r="E2344">
            <v>34000000</v>
          </cell>
          <cell r="F2344">
            <v>34000000</v>
          </cell>
          <cell r="G2344">
            <v>34000000</v>
          </cell>
          <cell r="H2344">
            <v>34000000</v>
          </cell>
          <cell r="I2344" t="str">
            <v/>
          </cell>
          <cell r="J2344" t="str">
            <v/>
          </cell>
          <cell r="K2344" t="str">
            <v/>
          </cell>
          <cell r="L2344" t="str">
            <v/>
          </cell>
        </row>
        <row r="2345">
          <cell r="A2345">
            <v>34000000</v>
          </cell>
          <cell r="C2345">
            <v>34000000</v>
          </cell>
          <cell r="D2345">
            <v>34000000</v>
          </cell>
          <cell r="E2345">
            <v>34000000</v>
          </cell>
          <cell r="F2345">
            <v>34000000</v>
          </cell>
          <cell r="G2345">
            <v>34000000</v>
          </cell>
          <cell r="H2345">
            <v>34000000</v>
          </cell>
          <cell r="I2345" t="str">
            <v/>
          </cell>
          <cell r="J2345" t="str">
            <v/>
          </cell>
          <cell r="K2345" t="str">
            <v/>
          </cell>
          <cell r="L2345" t="str">
            <v/>
          </cell>
        </row>
        <row r="2346">
          <cell r="A2346">
            <v>34000000</v>
          </cell>
          <cell r="C2346">
            <v>34000000</v>
          </cell>
          <cell r="D2346">
            <v>34000000</v>
          </cell>
          <cell r="E2346">
            <v>34000000</v>
          </cell>
          <cell r="F2346">
            <v>34000000</v>
          </cell>
          <cell r="G2346">
            <v>34000000</v>
          </cell>
          <cell r="H2346">
            <v>34000000</v>
          </cell>
          <cell r="I2346" t="str">
            <v/>
          </cell>
          <cell r="J2346" t="str">
            <v/>
          </cell>
          <cell r="K2346" t="str">
            <v/>
          </cell>
          <cell r="L2346" t="str">
            <v/>
          </cell>
        </row>
        <row r="2347">
          <cell r="A2347">
            <v>34000000</v>
          </cell>
          <cell r="C2347">
            <v>34000000</v>
          </cell>
          <cell r="D2347">
            <v>34000000</v>
          </cell>
          <cell r="E2347">
            <v>34000000</v>
          </cell>
          <cell r="F2347">
            <v>34000000</v>
          </cell>
          <cell r="G2347">
            <v>34000000</v>
          </cell>
          <cell r="H2347">
            <v>34000000</v>
          </cell>
          <cell r="I2347" t="str">
            <v/>
          </cell>
          <cell r="J2347" t="str">
            <v/>
          </cell>
          <cell r="K2347" t="str">
            <v/>
          </cell>
          <cell r="L2347" t="str">
            <v/>
          </cell>
        </row>
        <row r="2348">
          <cell r="A2348">
            <v>34000000</v>
          </cell>
          <cell r="C2348">
            <v>34000000</v>
          </cell>
          <cell r="D2348">
            <v>34000000</v>
          </cell>
          <cell r="E2348">
            <v>34000000</v>
          </cell>
          <cell r="F2348">
            <v>34000000</v>
          </cell>
          <cell r="G2348">
            <v>34000000</v>
          </cell>
          <cell r="H2348">
            <v>34000000</v>
          </cell>
          <cell r="I2348" t="str">
            <v/>
          </cell>
          <cell r="J2348" t="str">
            <v/>
          </cell>
          <cell r="K2348" t="str">
            <v/>
          </cell>
          <cell r="L2348" t="str">
            <v/>
          </cell>
        </row>
        <row r="2349">
          <cell r="A2349">
            <v>34000000</v>
          </cell>
          <cell r="C2349">
            <v>34000000</v>
          </cell>
          <cell r="D2349">
            <v>34000000</v>
          </cell>
          <cell r="E2349">
            <v>34000000</v>
          </cell>
          <cell r="F2349">
            <v>34000000</v>
          </cell>
          <cell r="G2349">
            <v>34000000</v>
          </cell>
          <cell r="H2349">
            <v>34000000</v>
          </cell>
          <cell r="I2349" t="str">
            <v/>
          </cell>
          <cell r="J2349" t="str">
            <v/>
          </cell>
          <cell r="K2349" t="str">
            <v/>
          </cell>
          <cell r="L2349" t="str">
            <v/>
          </cell>
        </row>
        <row r="2350">
          <cell r="A2350">
            <v>34000000</v>
          </cell>
          <cell r="C2350">
            <v>34000000</v>
          </cell>
          <cell r="D2350">
            <v>34000000</v>
          </cell>
          <cell r="E2350">
            <v>34000000</v>
          </cell>
          <cell r="F2350">
            <v>34000000</v>
          </cell>
          <cell r="G2350">
            <v>34000000</v>
          </cell>
          <cell r="H2350">
            <v>34000000</v>
          </cell>
          <cell r="I2350" t="str">
            <v/>
          </cell>
          <cell r="J2350" t="str">
            <v/>
          </cell>
          <cell r="K2350" t="str">
            <v/>
          </cell>
          <cell r="L2350" t="str">
            <v/>
          </cell>
        </row>
        <row r="2351">
          <cell r="A2351">
            <v>34000000</v>
          </cell>
          <cell r="C2351">
            <v>34000000</v>
          </cell>
          <cell r="D2351">
            <v>34000000</v>
          </cell>
          <cell r="E2351">
            <v>34000000</v>
          </cell>
          <cell r="F2351">
            <v>34000000</v>
          </cell>
          <cell r="G2351">
            <v>34000000</v>
          </cell>
          <cell r="H2351">
            <v>34000000</v>
          </cell>
          <cell r="I2351" t="str">
            <v/>
          </cell>
          <cell r="J2351" t="str">
            <v/>
          </cell>
          <cell r="K2351" t="str">
            <v/>
          </cell>
          <cell r="L2351" t="str">
            <v/>
          </cell>
        </row>
        <row r="2352">
          <cell r="A2352">
            <v>34000000</v>
          </cell>
          <cell r="C2352">
            <v>34000000</v>
          </cell>
          <cell r="D2352">
            <v>34000000</v>
          </cell>
          <cell r="E2352">
            <v>34000000</v>
          </cell>
          <cell r="F2352">
            <v>34000000</v>
          </cell>
          <cell r="G2352">
            <v>34000000</v>
          </cell>
          <cell r="H2352">
            <v>34000000</v>
          </cell>
          <cell r="I2352" t="str">
            <v/>
          </cell>
          <cell r="J2352" t="str">
            <v/>
          </cell>
          <cell r="K2352" t="str">
            <v/>
          </cell>
          <cell r="L2352" t="str">
            <v/>
          </cell>
        </row>
        <row r="2353">
          <cell r="A2353">
            <v>34000000</v>
          </cell>
          <cell r="C2353">
            <v>34000000</v>
          </cell>
          <cell r="D2353">
            <v>34000000</v>
          </cell>
          <cell r="E2353">
            <v>34000000</v>
          </cell>
          <cell r="F2353">
            <v>34000000</v>
          </cell>
          <cell r="G2353">
            <v>34000000</v>
          </cell>
          <cell r="H2353">
            <v>34000000</v>
          </cell>
          <cell r="I2353" t="str">
            <v/>
          </cell>
          <cell r="J2353" t="str">
            <v/>
          </cell>
          <cell r="K2353" t="str">
            <v/>
          </cell>
          <cell r="L2353" t="str">
            <v/>
          </cell>
        </row>
        <row r="2354">
          <cell r="A2354">
            <v>34000000</v>
          </cell>
          <cell r="C2354">
            <v>34000000</v>
          </cell>
          <cell r="D2354">
            <v>34000000</v>
          </cell>
          <cell r="E2354">
            <v>34000000</v>
          </cell>
          <cell r="F2354">
            <v>34000000</v>
          </cell>
          <cell r="G2354">
            <v>34000000</v>
          </cell>
          <cell r="H2354">
            <v>34000000</v>
          </cell>
          <cell r="I2354" t="str">
            <v/>
          </cell>
          <cell r="J2354" t="str">
            <v/>
          </cell>
          <cell r="K2354" t="str">
            <v/>
          </cell>
          <cell r="L2354" t="str">
            <v/>
          </cell>
        </row>
        <row r="2355">
          <cell r="A2355">
            <v>34000000</v>
          </cell>
          <cell r="C2355">
            <v>34000000</v>
          </cell>
          <cell r="D2355">
            <v>34000000</v>
          </cell>
          <cell r="E2355">
            <v>34000000</v>
          </cell>
          <cell r="F2355">
            <v>34000000</v>
          </cell>
          <cell r="G2355">
            <v>34000000</v>
          </cell>
          <cell r="H2355">
            <v>34000000</v>
          </cell>
          <cell r="I2355" t="str">
            <v/>
          </cell>
          <cell r="J2355" t="str">
            <v/>
          </cell>
          <cell r="K2355" t="str">
            <v/>
          </cell>
          <cell r="L2355" t="str">
            <v/>
          </cell>
        </row>
        <row r="2356">
          <cell r="A2356">
            <v>34000000</v>
          </cell>
          <cell r="C2356">
            <v>34000000</v>
          </cell>
          <cell r="D2356">
            <v>34000000</v>
          </cell>
          <cell r="E2356">
            <v>34000000</v>
          </cell>
          <cell r="F2356">
            <v>34000000</v>
          </cell>
          <cell r="G2356">
            <v>34000000</v>
          </cell>
          <cell r="H2356">
            <v>34000000</v>
          </cell>
          <cell r="I2356" t="str">
            <v/>
          </cell>
          <cell r="J2356" t="str">
            <v/>
          </cell>
          <cell r="K2356" t="str">
            <v/>
          </cell>
          <cell r="L2356" t="str">
            <v/>
          </cell>
        </row>
        <row r="2357">
          <cell r="A2357">
            <v>34000000</v>
          </cell>
          <cell r="C2357">
            <v>34000000</v>
          </cell>
          <cell r="D2357">
            <v>34000000</v>
          </cell>
          <cell r="E2357">
            <v>34000000</v>
          </cell>
          <cell r="F2357">
            <v>34000000</v>
          </cell>
          <cell r="G2357">
            <v>34000000</v>
          </cell>
          <cell r="H2357">
            <v>34000000</v>
          </cell>
          <cell r="I2357" t="str">
            <v/>
          </cell>
          <cell r="J2357" t="str">
            <v/>
          </cell>
          <cell r="K2357" t="str">
            <v/>
          </cell>
          <cell r="L2357" t="str">
            <v/>
          </cell>
        </row>
        <row r="2358">
          <cell r="A2358">
            <v>34000000</v>
          </cell>
          <cell r="C2358">
            <v>34000000</v>
          </cell>
          <cell r="D2358">
            <v>34000000</v>
          </cell>
          <cell r="E2358">
            <v>34000000</v>
          </cell>
          <cell r="F2358">
            <v>34000000</v>
          </cell>
          <cell r="G2358">
            <v>34000000</v>
          </cell>
          <cell r="H2358">
            <v>34000000</v>
          </cell>
          <cell r="I2358" t="str">
            <v/>
          </cell>
          <cell r="J2358" t="str">
            <v/>
          </cell>
          <cell r="K2358" t="str">
            <v/>
          </cell>
          <cell r="L2358" t="str">
            <v/>
          </cell>
        </row>
        <row r="2359">
          <cell r="A2359">
            <v>34000000</v>
          </cell>
          <cell r="C2359">
            <v>34000000</v>
          </cell>
          <cell r="D2359">
            <v>34000000</v>
          </cell>
          <cell r="E2359">
            <v>34000000</v>
          </cell>
          <cell r="F2359">
            <v>34000000</v>
          </cell>
          <cell r="G2359">
            <v>34000000</v>
          </cell>
          <cell r="H2359">
            <v>34000000</v>
          </cell>
          <cell r="I2359" t="str">
            <v/>
          </cell>
          <cell r="J2359" t="str">
            <v/>
          </cell>
          <cell r="K2359" t="str">
            <v/>
          </cell>
          <cell r="L2359" t="str">
            <v/>
          </cell>
        </row>
        <row r="2360">
          <cell r="A2360">
            <v>34000000</v>
          </cell>
          <cell r="C2360">
            <v>34000000</v>
          </cell>
          <cell r="D2360">
            <v>34000000</v>
          </cell>
          <cell r="E2360">
            <v>34000000</v>
          </cell>
          <cell r="F2360">
            <v>34000000</v>
          </cell>
          <cell r="G2360">
            <v>34000000</v>
          </cell>
          <cell r="H2360">
            <v>34000000</v>
          </cell>
          <cell r="I2360" t="str">
            <v/>
          </cell>
          <cell r="J2360" t="str">
            <v/>
          </cell>
          <cell r="K2360" t="str">
            <v/>
          </cell>
          <cell r="L2360" t="str">
            <v/>
          </cell>
        </row>
        <row r="2361">
          <cell r="A2361">
            <v>34000000</v>
          </cell>
          <cell r="C2361">
            <v>34000000</v>
          </cell>
          <cell r="D2361">
            <v>34000000</v>
          </cell>
          <cell r="E2361">
            <v>34000000</v>
          </cell>
          <cell r="F2361">
            <v>34000000</v>
          </cell>
          <cell r="G2361">
            <v>34000000</v>
          </cell>
          <cell r="H2361">
            <v>34000000</v>
          </cell>
          <cell r="I2361" t="str">
            <v/>
          </cell>
          <cell r="J2361" t="str">
            <v/>
          </cell>
          <cell r="K2361" t="str">
            <v/>
          </cell>
          <cell r="L2361" t="str">
            <v/>
          </cell>
        </row>
        <row r="2362">
          <cell r="A2362">
            <v>34000000</v>
          </cell>
          <cell r="C2362">
            <v>34000000</v>
          </cell>
          <cell r="D2362">
            <v>34000000</v>
          </cell>
          <cell r="E2362">
            <v>34000000</v>
          </cell>
          <cell r="F2362">
            <v>34000000</v>
          </cell>
          <cell r="G2362">
            <v>34000000</v>
          </cell>
          <cell r="H2362">
            <v>34000000</v>
          </cell>
          <cell r="I2362" t="str">
            <v/>
          </cell>
          <cell r="J2362" t="str">
            <v/>
          </cell>
          <cell r="K2362" t="str">
            <v/>
          </cell>
          <cell r="L2362" t="str">
            <v/>
          </cell>
        </row>
        <row r="2363">
          <cell r="A2363">
            <v>34000000</v>
          </cell>
          <cell r="C2363">
            <v>34000000</v>
          </cell>
          <cell r="D2363">
            <v>34000000</v>
          </cell>
          <cell r="E2363">
            <v>34000000</v>
          </cell>
          <cell r="F2363">
            <v>34000000</v>
          </cell>
          <cell r="G2363">
            <v>34000000</v>
          </cell>
          <cell r="H2363">
            <v>34000000</v>
          </cell>
          <cell r="I2363" t="str">
            <v/>
          </cell>
          <cell r="J2363" t="str">
            <v/>
          </cell>
          <cell r="K2363" t="str">
            <v/>
          </cell>
          <cell r="L2363" t="str">
            <v/>
          </cell>
        </row>
        <row r="2364">
          <cell r="A2364">
            <v>34000000</v>
          </cell>
          <cell r="C2364">
            <v>34000000</v>
          </cell>
          <cell r="D2364">
            <v>34000000</v>
          </cell>
          <cell r="E2364">
            <v>34000000</v>
          </cell>
          <cell r="F2364">
            <v>34000000</v>
          </cell>
          <cell r="G2364">
            <v>34000000</v>
          </cell>
          <cell r="H2364">
            <v>34000000</v>
          </cell>
          <cell r="I2364" t="str">
            <v/>
          </cell>
          <cell r="J2364" t="str">
            <v/>
          </cell>
          <cell r="K2364" t="str">
            <v/>
          </cell>
          <cell r="L2364" t="str">
            <v/>
          </cell>
        </row>
        <row r="2365">
          <cell r="A2365">
            <v>34000000</v>
          </cell>
          <cell r="C2365">
            <v>34000000</v>
          </cell>
          <cell r="D2365">
            <v>34000000</v>
          </cell>
          <cell r="E2365">
            <v>34000000</v>
          </cell>
          <cell r="F2365">
            <v>34000000</v>
          </cell>
          <cell r="G2365">
            <v>34000000</v>
          </cell>
          <cell r="H2365">
            <v>34000000</v>
          </cell>
          <cell r="I2365" t="str">
            <v/>
          </cell>
          <cell r="J2365" t="str">
            <v/>
          </cell>
          <cell r="K2365" t="str">
            <v/>
          </cell>
          <cell r="L2365" t="str">
            <v/>
          </cell>
        </row>
        <row r="2366">
          <cell r="A2366">
            <v>34000000</v>
          </cell>
          <cell r="C2366">
            <v>34000000</v>
          </cell>
          <cell r="D2366">
            <v>34000000</v>
          </cell>
          <cell r="E2366">
            <v>34000000</v>
          </cell>
          <cell r="F2366">
            <v>34000000</v>
          </cell>
          <cell r="G2366">
            <v>34000000</v>
          </cell>
          <cell r="H2366">
            <v>34000000</v>
          </cell>
          <cell r="I2366" t="str">
            <v/>
          </cell>
          <cell r="J2366" t="str">
            <v/>
          </cell>
          <cell r="K2366" t="str">
            <v/>
          </cell>
          <cell r="L2366" t="str">
            <v/>
          </cell>
        </row>
        <row r="2367">
          <cell r="A2367">
            <v>34000000</v>
          </cell>
          <cell r="C2367">
            <v>34000000</v>
          </cell>
          <cell r="D2367">
            <v>34000000</v>
          </cell>
          <cell r="E2367">
            <v>34000000</v>
          </cell>
          <cell r="F2367">
            <v>34000000</v>
          </cell>
          <cell r="G2367">
            <v>34000000</v>
          </cell>
          <cell r="H2367">
            <v>34000000</v>
          </cell>
          <cell r="I2367" t="str">
            <v/>
          </cell>
          <cell r="J2367" t="str">
            <v/>
          </cell>
          <cell r="K2367" t="str">
            <v/>
          </cell>
          <cell r="L2367" t="str">
            <v/>
          </cell>
        </row>
        <row r="2368">
          <cell r="A2368">
            <v>34000000</v>
          </cell>
          <cell r="C2368">
            <v>34000000</v>
          </cell>
          <cell r="D2368">
            <v>34000000</v>
          </cell>
          <cell r="E2368">
            <v>34000000</v>
          </cell>
          <cell r="F2368">
            <v>34000000</v>
          </cell>
          <cell r="G2368">
            <v>34000000</v>
          </cell>
          <cell r="H2368">
            <v>34000000</v>
          </cell>
          <cell r="I2368" t="str">
            <v/>
          </cell>
          <cell r="J2368" t="str">
            <v/>
          </cell>
          <cell r="K2368" t="str">
            <v/>
          </cell>
          <cell r="L2368" t="str">
            <v/>
          </cell>
        </row>
        <row r="2369">
          <cell r="A2369">
            <v>34000000</v>
          </cell>
          <cell r="C2369">
            <v>34000000</v>
          </cell>
          <cell r="D2369">
            <v>34000000</v>
          </cell>
          <cell r="E2369">
            <v>34000000</v>
          </cell>
          <cell r="F2369">
            <v>34000000</v>
          </cell>
          <cell r="G2369">
            <v>34000000</v>
          </cell>
          <cell r="H2369">
            <v>34000000</v>
          </cell>
          <cell r="I2369" t="str">
            <v/>
          </cell>
          <cell r="J2369" t="str">
            <v/>
          </cell>
          <cell r="K2369" t="str">
            <v/>
          </cell>
          <cell r="L2369" t="str">
            <v/>
          </cell>
        </row>
        <row r="2370">
          <cell r="A2370">
            <v>34000000</v>
          </cell>
          <cell r="C2370">
            <v>34000000</v>
          </cell>
          <cell r="D2370">
            <v>34000000</v>
          </cell>
          <cell r="E2370">
            <v>34000000</v>
          </cell>
          <cell r="F2370">
            <v>34000000</v>
          </cell>
          <cell r="G2370">
            <v>34000000</v>
          </cell>
          <cell r="H2370">
            <v>34000000</v>
          </cell>
          <cell r="I2370" t="str">
            <v/>
          </cell>
          <cell r="J2370" t="str">
            <v/>
          </cell>
          <cell r="K2370" t="str">
            <v/>
          </cell>
          <cell r="L2370" t="str">
            <v/>
          </cell>
        </row>
        <row r="2371">
          <cell r="A2371">
            <v>34000000</v>
          </cell>
          <cell r="C2371">
            <v>34000000</v>
          </cell>
          <cell r="D2371">
            <v>34000000</v>
          </cell>
          <cell r="E2371">
            <v>34000000</v>
          </cell>
          <cell r="F2371">
            <v>34000000</v>
          </cell>
          <cell r="G2371">
            <v>34000000</v>
          </cell>
          <cell r="H2371">
            <v>34000000</v>
          </cell>
          <cell r="I2371" t="str">
            <v/>
          </cell>
          <cell r="J2371" t="str">
            <v/>
          </cell>
          <cell r="K2371" t="str">
            <v/>
          </cell>
          <cell r="L2371" t="str">
            <v/>
          </cell>
        </row>
        <row r="2372">
          <cell r="A2372">
            <v>34000000</v>
          </cell>
          <cell r="C2372">
            <v>34000000</v>
          </cell>
          <cell r="D2372">
            <v>34000000</v>
          </cell>
          <cell r="E2372">
            <v>34000000</v>
          </cell>
          <cell r="F2372">
            <v>34000000</v>
          </cell>
          <cell r="G2372">
            <v>34000000</v>
          </cell>
          <cell r="H2372">
            <v>34000000</v>
          </cell>
          <cell r="I2372" t="str">
            <v/>
          </cell>
          <cell r="J2372" t="str">
            <v/>
          </cell>
          <cell r="K2372" t="str">
            <v/>
          </cell>
          <cell r="L2372" t="str">
            <v/>
          </cell>
        </row>
        <row r="2373">
          <cell r="A2373">
            <v>34000000</v>
          </cell>
          <cell r="C2373">
            <v>34000000</v>
          </cell>
          <cell r="D2373">
            <v>34000000</v>
          </cell>
          <cell r="E2373">
            <v>34000000</v>
          </cell>
          <cell r="F2373">
            <v>34000000</v>
          </cell>
          <cell r="G2373">
            <v>34000000</v>
          </cell>
          <cell r="H2373">
            <v>34000000</v>
          </cell>
          <cell r="I2373" t="str">
            <v/>
          </cell>
          <cell r="J2373" t="str">
            <v/>
          </cell>
          <cell r="K2373" t="str">
            <v/>
          </cell>
          <cell r="L2373" t="str">
            <v/>
          </cell>
        </row>
        <row r="2374">
          <cell r="A2374">
            <v>34000000</v>
          </cell>
          <cell r="C2374">
            <v>34000000</v>
          </cell>
          <cell r="D2374">
            <v>34000000</v>
          </cell>
          <cell r="E2374">
            <v>34000000</v>
          </cell>
          <cell r="F2374">
            <v>34000000</v>
          </cell>
          <cell r="G2374">
            <v>34000000</v>
          </cell>
          <cell r="H2374">
            <v>34000000</v>
          </cell>
          <cell r="I2374" t="str">
            <v/>
          </cell>
          <cell r="J2374" t="str">
            <v/>
          </cell>
          <cell r="K2374" t="str">
            <v/>
          </cell>
          <cell r="L2374" t="str">
            <v/>
          </cell>
        </row>
        <row r="2375">
          <cell r="A2375">
            <v>34000000</v>
          </cell>
          <cell r="C2375">
            <v>34000000</v>
          </cell>
          <cell r="D2375">
            <v>34000000</v>
          </cell>
          <cell r="E2375">
            <v>34000000</v>
          </cell>
          <cell r="F2375">
            <v>34000000</v>
          </cell>
          <cell r="G2375">
            <v>34000000</v>
          </cell>
          <cell r="H2375">
            <v>34000000</v>
          </cell>
          <cell r="I2375" t="str">
            <v/>
          </cell>
          <cell r="J2375" t="str">
            <v/>
          </cell>
          <cell r="K2375" t="str">
            <v/>
          </cell>
          <cell r="L2375" t="str">
            <v/>
          </cell>
        </row>
        <row r="2376">
          <cell r="A2376">
            <v>34000000</v>
          </cell>
          <cell r="C2376">
            <v>34000000</v>
          </cell>
          <cell r="D2376">
            <v>34000000</v>
          </cell>
          <cell r="E2376">
            <v>34000000</v>
          </cell>
          <cell r="F2376">
            <v>34000000</v>
          </cell>
          <cell r="G2376">
            <v>34000000</v>
          </cell>
          <cell r="H2376">
            <v>34000000</v>
          </cell>
          <cell r="I2376" t="str">
            <v/>
          </cell>
          <cell r="J2376" t="str">
            <v/>
          </cell>
          <cell r="K2376" t="str">
            <v/>
          </cell>
          <cell r="L2376" t="str">
            <v/>
          </cell>
        </row>
        <row r="2377">
          <cell r="A2377">
            <v>34000000</v>
          </cell>
          <cell r="C2377">
            <v>34000000</v>
          </cell>
          <cell r="D2377">
            <v>34000000</v>
          </cell>
          <cell r="E2377">
            <v>34000000</v>
          </cell>
          <cell r="F2377">
            <v>34000000</v>
          </cell>
          <cell r="G2377">
            <v>34000000</v>
          </cell>
          <cell r="H2377">
            <v>34000000</v>
          </cell>
          <cell r="I2377" t="str">
            <v/>
          </cell>
          <cell r="J2377" t="str">
            <v/>
          </cell>
          <cell r="K2377" t="str">
            <v/>
          </cell>
          <cell r="L2377" t="str">
            <v/>
          </cell>
        </row>
        <row r="2378">
          <cell r="A2378">
            <v>34000000</v>
          </cell>
          <cell r="C2378">
            <v>34000000</v>
          </cell>
          <cell r="D2378">
            <v>34000000</v>
          </cell>
          <cell r="E2378">
            <v>34000000</v>
          </cell>
          <cell r="F2378">
            <v>34000000</v>
          </cell>
          <cell r="G2378">
            <v>34000000</v>
          </cell>
          <cell r="H2378">
            <v>34000000</v>
          </cell>
          <cell r="I2378" t="str">
            <v/>
          </cell>
          <cell r="J2378" t="str">
            <v/>
          </cell>
          <cell r="K2378" t="str">
            <v/>
          </cell>
          <cell r="L2378" t="str">
            <v/>
          </cell>
        </row>
        <row r="2379">
          <cell r="A2379">
            <v>34000000</v>
          </cell>
          <cell r="C2379">
            <v>34000000</v>
          </cell>
          <cell r="D2379">
            <v>34000000</v>
          </cell>
          <cell r="E2379">
            <v>34000000</v>
          </cell>
          <cell r="F2379">
            <v>34000000</v>
          </cell>
          <cell r="G2379">
            <v>34000000</v>
          </cell>
          <cell r="H2379">
            <v>34000000</v>
          </cell>
          <cell r="I2379" t="str">
            <v/>
          </cell>
          <cell r="J2379" t="str">
            <v/>
          </cell>
          <cell r="K2379" t="str">
            <v/>
          </cell>
          <cell r="L2379" t="str">
            <v/>
          </cell>
        </row>
        <row r="2380">
          <cell r="A2380">
            <v>34000000</v>
          </cell>
          <cell r="C2380">
            <v>34000000</v>
          </cell>
          <cell r="D2380">
            <v>34000000</v>
          </cell>
          <cell r="E2380">
            <v>34000000</v>
          </cell>
          <cell r="F2380">
            <v>34000000</v>
          </cell>
          <cell r="G2380">
            <v>34000000</v>
          </cell>
          <cell r="H2380">
            <v>34000000</v>
          </cell>
          <cell r="I2380" t="str">
            <v/>
          </cell>
          <cell r="J2380" t="str">
            <v/>
          </cell>
          <cell r="K2380" t="str">
            <v/>
          </cell>
          <cell r="L2380" t="str">
            <v/>
          </cell>
        </row>
        <row r="2381">
          <cell r="A2381">
            <v>34000000</v>
          </cell>
          <cell r="C2381">
            <v>34000000</v>
          </cell>
          <cell r="D2381">
            <v>34000000</v>
          </cell>
          <cell r="E2381">
            <v>34000000</v>
          </cell>
          <cell r="F2381">
            <v>34000000</v>
          </cell>
          <cell r="G2381">
            <v>34000000</v>
          </cell>
          <cell r="H2381">
            <v>34000000</v>
          </cell>
          <cell r="I2381" t="str">
            <v/>
          </cell>
          <cell r="J2381" t="str">
            <v/>
          </cell>
          <cell r="K2381" t="str">
            <v/>
          </cell>
          <cell r="L2381" t="str">
            <v/>
          </cell>
        </row>
        <row r="2382">
          <cell r="A2382">
            <v>34000000</v>
          </cell>
          <cell r="C2382">
            <v>34000000</v>
          </cell>
          <cell r="D2382">
            <v>34000000</v>
          </cell>
          <cell r="E2382">
            <v>34000000</v>
          </cell>
          <cell r="F2382">
            <v>34000000</v>
          </cell>
          <cell r="G2382">
            <v>34000000</v>
          </cell>
          <cell r="H2382">
            <v>34000000</v>
          </cell>
          <cell r="I2382" t="str">
            <v/>
          </cell>
          <cell r="J2382" t="str">
            <v/>
          </cell>
          <cell r="K2382" t="str">
            <v/>
          </cell>
          <cell r="L2382" t="str">
            <v/>
          </cell>
        </row>
        <row r="2383">
          <cell r="A2383">
            <v>34000000</v>
          </cell>
          <cell r="C2383">
            <v>34000000</v>
          </cell>
          <cell r="D2383">
            <v>34000000</v>
          </cell>
          <cell r="E2383">
            <v>34000000</v>
          </cell>
          <cell r="F2383">
            <v>34000000</v>
          </cell>
          <cell r="G2383">
            <v>34000000</v>
          </cell>
          <cell r="H2383">
            <v>34000000</v>
          </cell>
          <cell r="I2383" t="str">
            <v/>
          </cell>
          <cell r="J2383" t="str">
            <v/>
          </cell>
          <cell r="K2383" t="str">
            <v/>
          </cell>
          <cell r="L2383" t="str">
            <v/>
          </cell>
        </row>
        <row r="2384">
          <cell r="A2384">
            <v>34000000</v>
          </cell>
          <cell r="C2384">
            <v>34000000</v>
          </cell>
          <cell r="D2384">
            <v>34000000</v>
          </cell>
          <cell r="E2384">
            <v>34000000</v>
          </cell>
          <cell r="F2384">
            <v>34000000</v>
          </cell>
          <cell r="G2384">
            <v>34000000</v>
          </cell>
          <cell r="H2384">
            <v>34000000</v>
          </cell>
          <cell r="I2384" t="str">
            <v/>
          </cell>
          <cell r="J2384" t="str">
            <v/>
          </cell>
          <cell r="K2384" t="str">
            <v/>
          </cell>
          <cell r="L2384" t="str">
            <v/>
          </cell>
        </row>
        <row r="2385">
          <cell r="A2385">
            <v>34000000</v>
          </cell>
          <cell r="C2385">
            <v>34000000</v>
          </cell>
          <cell r="D2385">
            <v>34000000</v>
          </cell>
          <cell r="E2385">
            <v>34000000</v>
          </cell>
          <cell r="F2385">
            <v>34000000</v>
          </cell>
          <cell r="G2385">
            <v>34000000</v>
          </cell>
          <cell r="H2385">
            <v>34000000</v>
          </cell>
          <cell r="I2385" t="str">
            <v/>
          </cell>
          <cell r="J2385" t="str">
            <v/>
          </cell>
          <cell r="K2385" t="str">
            <v/>
          </cell>
          <cell r="L2385" t="str">
            <v/>
          </cell>
        </row>
        <row r="2386">
          <cell r="A2386">
            <v>34000000</v>
          </cell>
          <cell r="C2386">
            <v>34000000</v>
          </cell>
          <cell r="D2386">
            <v>34000000</v>
          </cell>
          <cell r="E2386">
            <v>34000000</v>
          </cell>
          <cell r="F2386">
            <v>34000000</v>
          </cell>
          <cell r="G2386">
            <v>34000000</v>
          </cell>
          <cell r="H2386">
            <v>34000000</v>
          </cell>
          <cell r="I2386" t="str">
            <v/>
          </cell>
          <cell r="J2386" t="str">
            <v/>
          </cell>
          <cell r="K2386" t="str">
            <v/>
          </cell>
          <cell r="L2386" t="str">
            <v/>
          </cell>
        </row>
        <row r="2387">
          <cell r="A2387">
            <v>34000000</v>
          </cell>
          <cell r="C2387">
            <v>34000000</v>
          </cell>
          <cell r="D2387">
            <v>34000000</v>
          </cell>
          <cell r="E2387">
            <v>34000000</v>
          </cell>
          <cell r="F2387">
            <v>34000000</v>
          </cell>
          <cell r="G2387">
            <v>34000000</v>
          </cell>
          <cell r="H2387">
            <v>34000000</v>
          </cell>
          <cell r="I2387" t="str">
            <v/>
          </cell>
          <cell r="J2387" t="str">
            <v/>
          </cell>
          <cell r="K2387" t="str">
            <v/>
          </cell>
          <cell r="L2387" t="str">
            <v/>
          </cell>
        </row>
        <row r="2388">
          <cell r="A2388">
            <v>34000000</v>
          </cell>
          <cell r="C2388">
            <v>34000000</v>
          </cell>
          <cell r="D2388">
            <v>34000000</v>
          </cell>
          <cell r="E2388">
            <v>34000000</v>
          </cell>
          <cell r="F2388">
            <v>34000000</v>
          </cell>
          <cell r="G2388">
            <v>34000000</v>
          </cell>
          <cell r="H2388">
            <v>34000000</v>
          </cell>
          <cell r="I2388" t="str">
            <v/>
          </cell>
          <cell r="J2388" t="str">
            <v/>
          </cell>
          <cell r="K2388" t="str">
            <v/>
          </cell>
          <cell r="L2388" t="str">
            <v/>
          </cell>
        </row>
        <row r="2389">
          <cell r="A2389">
            <v>34000000</v>
          </cell>
          <cell r="C2389">
            <v>34000000</v>
          </cell>
          <cell r="D2389">
            <v>34000000</v>
          </cell>
          <cell r="E2389">
            <v>34000000</v>
          </cell>
          <cell r="F2389">
            <v>34000000</v>
          </cell>
          <cell r="G2389">
            <v>34000000</v>
          </cell>
          <cell r="H2389">
            <v>34000000</v>
          </cell>
          <cell r="I2389" t="str">
            <v/>
          </cell>
          <cell r="J2389" t="str">
            <v/>
          </cell>
          <cell r="K2389" t="str">
            <v/>
          </cell>
          <cell r="L2389" t="str">
            <v/>
          </cell>
        </row>
        <row r="2390">
          <cell r="A2390">
            <v>34000000</v>
          </cell>
          <cell r="C2390">
            <v>34000000</v>
          </cell>
          <cell r="D2390">
            <v>34000000</v>
          </cell>
          <cell r="E2390">
            <v>34000000</v>
          </cell>
          <cell r="F2390">
            <v>34000000</v>
          </cell>
          <cell r="G2390">
            <v>34000000</v>
          </cell>
          <cell r="H2390">
            <v>34000000</v>
          </cell>
          <cell r="I2390" t="str">
            <v/>
          </cell>
          <cell r="J2390" t="str">
            <v/>
          </cell>
          <cell r="K2390" t="str">
            <v/>
          </cell>
          <cell r="L2390" t="str">
            <v/>
          </cell>
        </row>
        <row r="2391">
          <cell r="A2391">
            <v>34000000</v>
          </cell>
          <cell r="C2391">
            <v>34000000</v>
          </cell>
          <cell r="D2391">
            <v>34000000</v>
          </cell>
          <cell r="E2391">
            <v>34000000</v>
          </cell>
          <cell r="F2391">
            <v>34000000</v>
          </cell>
          <cell r="G2391">
            <v>34000000</v>
          </cell>
          <cell r="H2391">
            <v>34000000</v>
          </cell>
          <cell r="I2391" t="str">
            <v/>
          </cell>
          <cell r="J2391" t="str">
            <v/>
          </cell>
          <cell r="K2391" t="str">
            <v/>
          </cell>
          <cell r="L2391" t="str">
            <v/>
          </cell>
        </row>
        <row r="2392">
          <cell r="A2392">
            <v>34000000</v>
          </cell>
          <cell r="C2392">
            <v>34000000</v>
          </cell>
          <cell r="D2392">
            <v>34000000</v>
          </cell>
          <cell r="E2392">
            <v>34000000</v>
          </cell>
          <cell r="F2392">
            <v>34000000</v>
          </cell>
          <cell r="G2392">
            <v>34000000</v>
          </cell>
          <cell r="H2392">
            <v>34000000</v>
          </cell>
          <cell r="I2392" t="str">
            <v/>
          </cell>
          <cell r="J2392" t="str">
            <v/>
          </cell>
          <cell r="K2392" t="str">
            <v/>
          </cell>
          <cell r="L2392" t="str">
            <v/>
          </cell>
        </row>
        <row r="2393">
          <cell r="A2393">
            <v>34000000</v>
          </cell>
          <cell r="C2393">
            <v>34000000</v>
          </cell>
          <cell r="D2393">
            <v>34000000</v>
          </cell>
          <cell r="E2393">
            <v>34000000</v>
          </cell>
          <cell r="F2393">
            <v>34000000</v>
          </cell>
          <cell r="G2393">
            <v>34000000</v>
          </cell>
          <cell r="H2393">
            <v>34000000</v>
          </cell>
          <cell r="I2393" t="str">
            <v/>
          </cell>
          <cell r="J2393" t="str">
            <v/>
          </cell>
          <cell r="K2393" t="str">
            <v/>
          </cell>
          <cell r="L2393" t="str">
            <v/>
          </cell>
        </row>
        <row r="2394">
          <cell r="A2394">
            <v>34000000</v>
          </cell>
          <cell r="C2394">
            <v>34000000</v>
          </cell>
          <cell r="D2394">
            <v>34000000</v>
          </cell>
          <cell r="E2394">
            <v>34000000</v>
          </cell>
          <cell r="F2394">
            <v>34000000</v>
          </cell>
          <cell r="G2394">
            <v>34000000</v>
          </cell>
          <cell r="H2394">
            <v>34000000</v>
          </cell>
          <cell r="I2394" t="str">
            <v/>
          </cell>
          <cell r="J2394" t="str">
            <v/>
          </cell>
          <cell r="K2394" t="str">
            <v/>
          </cell>
          <cell r="L2394" t="str">
            <v/>
          </cell>
        </row>
        <row r="2395">
          <cell r="A2395">
            <v>34000000</v>
          </cell>
          <cell r="C2395">
            <v>34000000</v>
          </cell>
          <cell r="D2395">
            <v>34000000</v>
          </cell>
          <cell r="E2395">
            <v>34000000</v>
          </cell>
          <cell r="F2395">
            <v>34000000</v>
          </cell>
          <cell r="G2395">
            <v>34000000</v>
          </cell>
          <cell r="H2395">
            <v>34000000</v>
          </cell>
          <cell r="I2395" t="str">
            <v/>
          </cell>
          <cell r="J2395" t="str">
            <v/>
          </cell>
          <cell r="K2395" t="str">
            <v/>
          </cell>
          <cell r="L2395" t="str">
            <v/>
          </cell>
        </row>
        <row r="2396">
          <cell r="A2396">
            <v>34000000</v>
          </cell>
          <cell r="C2396">
            <v>34000000</v>
          </cell>
          <cell r="D2396">
            <v>34000000</v>
          </cell>
          <cell r="E2396">
            <v>34000000</v>
          </cell>
          <cell r="F2396">
            <v>34000000</v>
          </cell>
          <cell r="G2396">
            <v>34000000</v>
          </cell>
          <cell r="H2396">
            <v>34000000</v>
          </cell>
          <cell r="I2396" t="str">
            <v/>
          </cell>
          <cell r="J2396" t="str">
            <v/>
          </cell>
          <cell r="K2396" t="str">
            <v/>
          </cell>
          <cell r="L2396" t="str">
            <v/>
          </cell>
        </row>
        <row r="2397">
          <cell r="A2397">
            <v>34000000</v>
          </cell>
          <cell r="C2397">
            <v>34000000</v>
          </cell>
          <cell r="D2397">
            <v>34000000</v>
          </cell>
          <cell r="E2397">
            <v>34000000</v>
          </cell>
          <cell r="F2397">
            <v>34000000</v>
          </cell>
          <cell r="G2397">
            <v>34000000</v>
          </cell>
          <cell r="H2397">
            <v>34000000</v>
          </cell>
          <cell r="I2397" t="str">
            <v/>
          </cell>
          <cell r="J2397" t="str">
            <v/>
          </cell>
          <cell r="K2397" t="str">
            <v/>
          </cell>
          <cell r="L2397" t="str">
            <v/>
          </cell>
        </row>
        <row r="2398">
          <cell r="A2398">
            <v>34000000</v>
          </cell>
          <cell r="C2398">
            <v>34000000</v>
          </cell>
          <cell r="D2398">
            <v>34000000</v>
          </cell>
          <cell r="E2398">
            <v>34000000</v>
          </cell>
          <cell r="F2398">
            <v>34000000</v>
          </cell>
          <cell r="G2398">
            <v>34000000</v>
          </cell>
          <cell r="H2398">
            <v>34000000</v>
          </cell>
          <cell r="I2398" t="str">
            <v/>
          </cell>
          <cell r="J2398" t="str">
            <v/>
          </cell>
          <cell r="K2398" t="str">
            <v/>
          </cell>
          <cell r="L2398" t="str">
            <v/>
          </cell>
        </row>
        <row r="2399">
          <cell r="A2399">
            <v>34000000</v>
          </cell>
          <cell r="C2399">
            <v>34000000</v>
          </cell>
          <cell r="D2399">
            <v>34000000</v>
          </cell>
          <cell r="E2399">
            <v>34000000</v>
          </cell>
          <cell r="F2399">
            <v>34000000</v>
          </cell>
          <cell r="G2399">
            <v>34000000</v>
          </cell>
          <cell r="H2399">
            <v>34000000</v>
          </cell>
          <cell r="I2399" t="str">
            <v/>
          </cell>
          <cell r="J2399" t="str">
            <v/>
          </cell>
          <cell r="K2399" t="str">
            <v/>
          </cell>
          <cell r="L2399" t="str">
            <v/>
          </cell>
        </row>
        <row r="2400">
          <cell r="A2400">
            <v>34000000</v>
          </cell>
          <cell r="C2400">
            <v>34000000</v>
          </cell>
          <cell r="D2400">
            <v>34000000</v>
          </cell>
          <cell r="E2400">
            <v>34000000</v>
          </cell>
          <cell r="F2400">
            <v>34000000</v>
          </cell>
          <cell r="G2400">
            <v>34000000</v>
          </cell>
          <cell r="H2400">
            <v>34000000</v>
          </cell>
          <cell r="I2400" t="str">
            <v/>
          </cell>
          <cell r="J2400" t="str">
            <v/>
          </cell>
          <cell r="K2400" t="str">
            <v/>
          </cell>
          <cell r="L2400" t="str">
            <v/>
          </cell>
        </row>
        <row r="2401">
          <cell r="A2401">
            <v>34000000</v>
          </cell>
          <cell r="C2401">
            <v>34000000</v>
          </cell>
          <cell r="D2401">
            <v>34000000</v>
          </cell>
          <cell r="E2401">
            <v>34000000</v>
          </cell>
          <cell r="F2401">
            <v>34000000</v>
          </cell>
          <cell r="G2401">
            <v>34000000</v>
          </cell>
          <cell r="H2401">
            <v>34000000</v>
          </cell>
          <cell r="I2401" t="str">
            <v/>
          </cell>
          <cell r="J2401" t="str">
            <v/>
          </cell>
          <cell r="K2401" t="str">
            <v/>
          </cell>
          <cell r="L2401" t="str">
            <v/>
          </cell>
        </row>
        <row r="2402">
          <cell r="A2402">
            <v>34000000</v>
          </cell>
          <cell r="C2402">
            <v>34000000</v>
          </cell>
          <cell r="D2402">
            <v>34000000</v>
          </cell>
          <cell r="E2402">
            <v>34000000</v>
          </cell>
          <cell r="F2402">
            <v>34000000</v>
          </cell>
          <cell r="G2402">
            <v>34000000</v>
          </cell>
          <cell r="H2402">
            <v>34000000</v>
          </cell>
          <cell r="I2402" t="str">
            <v/>
          </cell>
          <cell r="J2402" t="str">
            <v/>
          </cell>
          <cell r="K2402" t="str">
            <v/>
          </cell>
          <cell r="L2402" t="str">
            <v/>
          </cell>
        </row>
        <row r="2403">
          <cell r="A2403">
            <v>34000000</v>
          </cell>
          <cell r="C2403">
            <v>34000000</v>
          </cell>
          <cell r="D2403">
            <v>34000000</v>
          </cell>
          <cell r="E2403">
            <v>34000000</v>
          </cell>
          <cell r="F2403">
            <v>34000000</v>
          </cell>
          <cell r="G2403">
            <v>34000000</v>
          </cell>
          <cell r="H2403">
            <v>34000000</v>
          </cell>
          <cell r="I2403" t="str">
            <v/>
          </cell>
          <cell r="J2403" t="str">
            <v/>
          </cell>
          <cell r="K2403" t="str">
            <v/>
          </cell>
          <cell r="L2403" t="str">
            <v/>
          </cell>
        </row>
        <row r="2404">
          <cell r="A2404">
            <v>34000000</v>
          </cell>
          <cell r="C2404">
            <v>34000000</v>
          </cell>
          <cell r="D2404">
            <v>34000000</v>
          </cell>
          <cell r="E2404">
            <v>34000000</v>
          </cell>
          <cell r="F2404">
            <v>34000000</v>
          </cell>
          <cell r="G2404">
            <v>34000000</v>
          </cell>
          <cell r="H2404">
            <v>34000000</v>
          </cell>
          <cell r="I2404" t="str">
            <v/>
          </cell>
          <cell r="J2404" t="str">
            <v/>
          </cell>
          <cell r="K2404" t="str">
            <v/>
          </cell>
          <cell r="L2404" t="str">
            <v/>
          </cell>
        </row>
        <row r="2405">
          <cell r="A2405">
            <v>34000000</v>
          </cell>
          <cell r="C2405">
            <v>34000000</v>
          </cell>
          <cell r="D2405">
            <v>34000000</v>
          </cell>
          <cell r="E2405">
            <v>34000000</v>
          </cell>
          <cell r="F2405">
            <v>34000000</v>
          </cell>
          <cell r="G2405">
            <v>34000000</v>
          </cell>
          <cell r="H2405">
            <v>34000000</v>
          </cell>
          <cell r="I2405" t="str">
            <v/>
          </cell>
          <cell r="J2405" t="str">
            <v/>
          </cell>
          <cell r="K2405" t="str">
            <v/>
          </cell>
          <cell r="L2405" t="str">
            <v/>
          </cell>
        </row>
        <row r="2406">
          <cell r="A2406">
            <v>34000000</v>
          </cell>
          <cell r="C2406">
            <v>34000000</v>
          </cell>
          <cell r="D2406">
            <v>34000000</v>
          </cell>
          <cell r="E2406">
            <v>34000000</v>
          </cell>
          <cell r="F2406">
            <v>34000000</v>
          </cell>
          <cell r="G2406">
            <v>34000000</v>
          </cell>
          <cell r="H2406">
            <v>34000000</v>
          </cell>
          <cell r="I2406" t="str">
            <v/>
          </cell>
          <cell r="J2406" t="str">
            <v/>
          </cell>
          <cell r="K2406" t="str">
            <v/>
          </cell>
          <cell r="L2406" t="str">
            <v/>
          </cell>
        </row>
        <row r="2407">
          <cell r="A2407">
            <v>34000000</v>
          </cell>
          <cell r="C2407">
            <v>34000000</v>
          </cell>
          <cell r="D2407">
            <v>34000000</v>
          </cell>
          <cell r="E2407">
            <v>34000000</v>
          </cell>
          <cell r="F2407">
            <v>34000000</v>
          </cell>
          <cell r="G2407">
            <v>34000000</v>
          </cell>
          <cell r="H2407">
            <v>34000000</v>
          </cell>
          <cell r="I2407" t="str">
            <v/>
          </cell>
          <cell r="J2407" t="str">
            <v/>
          </cell>
          <cell r="K2407" t="str">
            <v/>
          </cell>
          <cell r="L2407" t="str">
            <v/>
          </cell>
        </row>
        <row r="2408">
          <cell r="A2408">
            <v>34000000</v>
          </cell>
          <cell r="C2408">
            <v>34000000</v>
          </cell>
          <cell r="D2408">
            <v>34000000</v>
          </cell>
          <cell r="E2408">
            <v>34000000</v>
          </cell>
          <cell r="F2408">
            <v>34000000</v>
          </cell>
          <cell r="G2408">
            <v>34000000</v>
          </cell>
          <cell r="H2408">
            <v>34000000</v>
          </cell>
          <cell r="I2408" t="str">
            <v/>
          </cell>
          <cell r="J2408" t="str">
            <v/>
          </cell>
          <cell r="K2408" t="str">
            <v/>
          </cell>
          <cell r="L2408" t="str">
            <v/>
          </cell>
        </row>
        <row r="2409">
          <cell r="A2409">
            <v>34000000</v>
          </cell>
          <cell r="C2409">
            <v>34000000</v>
          </cell>
          <cell r="D2409">
            <v>34000000</v>
          </cell>
          <cell r="E2409">
            <v>34000000</v>
          </cell>
          <cell r="F2409">
            <v>34000000</v>
          </cell>
          <cell r="G2409">
            <v>34000000</v>
          </cell>
          <cell r="H2409">
            <v>34000000</v>
          </cell>
          <cell r="I2409" t="str">
            <v/>
          </cell>
          <cell r="J2409" t="str">
            <v/>
          </cell>
          <cell r="K2409" t="str">
            <v/>
          </cell>
          <cell r="L2409" t="str">
            <v/>
          </cell>
        </row>
        <row r="2410">
          <cell r="A2410">
            <v>34000000</v>
          </cell>
          <cell r="C2410">
            <v>34000000</v>
          </cell>
          <cell r="D2410">
            <v>34000000</v>
          </cell>
          <cell r="E2410">
            <v>34000000</v>
          </cell>
          <cell r="F2410">
            <v>34000000</v>
          </cell>
          <cell r="G2410">
            <v>34000000</v>
          </cell>
          <cell r="H2410">
            <v>34000000</v>
          </cell>
          <cell r="I2410" t="str">
            <v/>
          </cell>
          <cell r="J2410" t="str">
            <v/>
          </cell>
          <cell r="K2410" t="str">
            <v/>
          </cell>
          <cell r="L2410" t="str">
            <v/>
          </cell>
        </row>
        <row r="2411">
          <cell r="A2411">
            <v>34000000</v>
          </cell>
          <cell r="C2411">
            <v>34000000</v>
          </cell>
          <cell r="D2411">
            <v>34000000</v>
          </cell>
          <cell r="E2411">
            <v>34000000</v>
          </cell>
          <cell r="F2411">
            <v>34000000</v>
          </cell>
          <cell r="G2411">
            <v>34000000</v>
          </cell>
          <cell r="H2411">
            <v>34000000</v>
          </cell>
          <cell r="I2411" t="str">
            <v/>
          </cell>
          <cell r="J2411" t="str">
            <v/>
          </cell>
          <cell r="K2411" t="str">
            <v/>
          </cell>
          <cell r="L2411" t="str">
            <v/>
          </cell>
        </row>
        <row r="2412">
          <cell r="A2412">
            <v>34000000</v>
          </cell>
          <cell r="C2412">
            <v>34000000</v>
          </cell>
          <cell r="D2412">
            <v>34000000</v>
          </cell>
          <cell r="E2412">
            <v>34000000</v>
          </cell>
          <cell r="F2412">
            <v>34000000</v>
          </cell>
          <cell r="G2412">
            <v>34000000</v>
          </cell>
          <cell r="H2412">
            <v>34000000</v>
          </cell>
          <cell r="I2412" t="str">
            <v/>
          </cell>
          <cell r="J2412" t="str">
            <v/>
          </cell>
          <cell r="K2412" t="str">
            <v/>
          </cell>
          <cell r="L2412" t="str">
            <v/>
          </cell>
        </row>
        <row r="2413">
          <cell r="A2413">
            <v>34000000</v>
          </cell>
          <cell r="C2413">
            <v>34000000</v>
          </cell>
          <cell r="D2413">
            <v>34000000</v>
          </cell>
          <cell r="E2413">
            <v>34000000</v>
          </cell>
          <cell r="F2413">
            <v>34000000</v>
          </cell>
          <cell r="G2413">
            <v>34000000</v>
          </cell>
          <cell r="H2413">
            <v>34000000</v>
          </cell>
          <cell r="I2413" t="str">
            <v/>
          </cell>
          <cell r="J2413" t="str">
            <v/>
          </cell>
          <cell r="K2413" t="str">
            <v/>
          </cell>
          <cell r="L2413" t="str">
            <v/>
          </cell>
        </row>
        <row r="2414">
          <cell r="A2414">
            <v>34000000</v>
          </cell>
          <cell r="C2414">
            <v>34000000</v>
          </cell>
          <cell r="D2414">
            <v>34000000</v>
          </cell>
          <cell r="E2414">
            <v>34000000</v>
          </cell>
          <cell r="F2414">
            <v>34000000</v>
          </cell>
          <cell r="G2414">
            <v>34000000</v>
          </cell>
          <cell r="H2414">
            <v>34000000</v>
          </cell>
          <cell r="I2414" t="str">
            <v/>
          </cell>
          <cell r="J2414" t="str">
            <v/>
          </cell>
          <cell r="K2414" t="str">
            <v/>
          </cell>
          <cell r="L2414" t="str">
            <v/>
          </cell>
        </row>
        <row r="2415">
          <cell r="A2415">
            <v>34000000</v>
          </cell>
          <cell r="C2415">
            <v>34000000</v>
          </cell>
          <cell r="D2415">
            <v>34000000</v>
          </cell>
          <cell r="E2415">
            <v>34000000</v>
          </cell>
          <cell r="F2415">
            <v>34000000</v>
          </cell>
          <cell r="G2415">
            <v>34000000</v>
          </cell>
          <cell r="H2415">
            <v>34000000</v>
          </cell>
          <cell r="I2415" t="str">
            <v/>
          </cell>
          <cell r="J2415" t="str">
            <v/>
          </cell>
          <cell r="K2415" t="str">
            <v/>
          </cell>
          <cell r="L2415" t="str">
            <v/>
          </cell>
        </row>
        <row r="2416">
          <cell r="A2416">
            <v>34000000</v>
          </cell>
          <cell r="C2416">
            <v>34000000</v>
          </cell>
          <cell r="D2416">
            <v>34000000</v>
          </cell>
          <cell r="E2416">
            <v>34000000</v>
          </cell>
          <cell r="F2416">
            <v>34000000</v>
          </cell>
          <cell r="G2416">
            <v>34000000</v>
          </cell>
          <cell r="H2416">
            <v>34000000</v>
          </cell>
          <cell r="I2416" t="str">
            <v/>
          </cell>
          <cell r="J2416" t="str">
            <v/>
          </cell>
          <cell r="K2416" t="str">
            <v/>
          </cell>
          <cell r="L2416" t="str">
            <v/>
          </cell>
        </row>
        <row r="2417">
          <cell r="A2417">
            <v>34000000</v>
          </cell>
          <cell r="C2417">
            <v>34000000</v>
          </cell>
          <cell r="D2417">
            <v>34000000</v>
          </cell>
          <cell r="E2417">
            <v>34000000</v>
          </cell>
          <cell r="F2417">
            <v>34000000</v>
          </cell>
          <cell r="G2417">
            <v>34000000</v>
          </cell>
          <cell r="H2417">
            <v>34000000</v>
          </cell>
          <cell r="I2417" t="str">
            <v/>
          </cell>
          <cell r="J2417" t="str">
            <v/>
          </cell>
          <cell r="K2417" t="str">
            <v/>
          </cell>
          <cell r="L2417" t="str">
            <v/>
          </cell>
        </row>
        <row r="2418">
          <cell r="A2418">
            <v>34000000</v>
          </cell>
          <cell r="C2418">
            <v>34000000</v>
          </cell>
          <cell r="D2418">
            <v>34000000</v>
          </cell>
          <cell r="E2418">
            <v>34000000</v>
          </cell>
          <cell r="F2418">
            <v>34000000</v>
          </cell>
          <cell r="G2418">
            <v>34000000</v>
          </cell>
          <cell r="H2418">
            <v>34000000</v>
          </cell>
          <cell r="I2418" t="str">
            <v/>
          </cell>
          <cell r="J2418" t="str">
            <v/>
          </cell>
          <cell r="K2418" t="str">
            <v/>
          </cell>
          <cell r="L2418" t="str">
            <v/>
          </cell>
        </row>
        <row r="2419">
          <cell r="A2419">
            <v>34000000</v>
          </cell>
          <cell r="C2419">
            <v>34000000</v>
          </cell>
          <cell r="D2419">
            <v>34000000</v>
          </cell>
          <cell r="E2419">
            <v>34000000</v>
          </cell>
          <cell r="F2419">
            <v>34000000</v>
          </cell>
          <cell r="G2419">
            <v>34000000</v>
          </cell>
          <cell r="H2419">
            <v>34000000</v>
          </cell>
          <cell r="I2419" t="str">
            <v/>
          </cell>
          <cell r="J2419" t="str">
            <v/>
          </cell>
          <cell r="K2419" t="str">
            <v/>
          </cell>
          <cell r="L2419" t="str">
            <v/>
          </cell>
        </row>
        <row r="2420">
          <cell r="A2420">
            <v>34000000</v>
          </cell>
          <cell r="C2420">
            <v>34000000</v>
          </cell>
          <cell r="D2420">
            <v>34000000</v>
          </cell>
          <cell r="E2420">
            <v>34000000</v>
          </cell>
          <cell r="F2420">
            <v>34000000</v>
          </cell>
          <cell r="G2420">
            <v>34000000</v>
          </cell>
          <cell r="H2420">
            <v>34000000</v>
          </cell>
          <cell r="I2420" t="str">
            <v/>
          </cell>
          <cell r="J2420" t="str">
            <v/>
          </cell>
          <cell r="K2420" t="str">
            <v/>
          </cell>
          <cell r="L2420" t="str">
            <v/>
          </cell>
        </row>
        <row r="2421">
          <cell r="A2421">
            <v>34000000</v>
          </cell>
          <cell r="C2421">
            <v>34000000</v>
          </cell>
          <cell r="D2421">
            <v>34000000</v>
          </cell>
          <cell r="E2421">
            <v>34000000</v>
          </cell>
          <cell r="F2421">
            <v>34000000</v>
          </cell>
          <cell r="G2421">
            <v>34000000</v>
          </cell>
          <cell r="H2421">
            <v>34000000</v>
          </cell>
          <cell r="I2421" t="str">
            <v/>
          </cell>
          <cell r="J2421" t="str">
            <v/>
          </cell>
          <cell r="K2421" t="str">
            <v/>
          </cell>
          <cell r="L2421" t="str">
            <v/>
          </cell>
        </row>
        <row r="2422">
          <cell r="A2422">
            <v>34000000</v>
          </cell>
          <cell r="C2422">
            <v>34000000</v>
          </cell>
          <cell r="D2422">
            <v>34000000</v>
          </cell>
          <cell r="E2422">
            <v>34000000</v>
          </cell>
          <cell r="F2422">
            <v>34000000</v>
          </cell>
          <cell r="G2422">
            <v>34000000</v>
          </cell>
          <cell r="H2422">
            <v>34000000</v>
          </cell>
          <cell r="I2422" t="str">
            <v/>
          </cell>
          <cell r="J2422" t="str">
            <v/>
          </cell>
          <cell r="K2422" t="str">
            <v/>
          </cell>
          <cell r="L2422" t="str">
            <v/>
          </cell>
        </row>
        <row r="2423">
          <cell r="A2423">
            <v>34000000</v>
          </cell>
          <cell r="C2423">
            <v>34000000</v>
          </cell>
          <cell r="D2423">
            <v>34000000</v>
          </cell>
          <cell r="E2423">
            <v>34000000</v>
          </cell>
          <cell r="F2423">
            <v>34000000</v>
          </cell>
          <cell r="G2423">
            <v>34000000</v>
          </cell>
          <cell r="H2423">
            <v>34000000</v>
          </cell>
          <cell r="I2423" t="str">
            <v/>
          </cell>
          <cell r="J2423" t="str">
            <v/>
          </cell>
          <cell r="K2423" t="str">
            <v/>
          </cell>
          <cell r="L2423" t="str">
            <v/>
          </cell>
        </row>
        <row r="2424">
          <cell r="A2424">
            <v>34000000</v>
          </cell>
          <cell r="C2424">
            <v>34000000</v>
          </cell>
          <cell r="D2424">
            <v>34000000</v>
          </cell>
          <cell r="E2424">
            <v>34000000</v>
          </cell>
          <cell r="F2424">
            <v>34000000</v>
          </cell>
          <cell r="G2424">
            <v>34000000</v>
          </cell>
          <cell r="H2424">
            <v>34000000</v>
          </cell>
          <cell r="I2424" t="str">
            <v/>
          </cell>
          <cell r="J2424" t="str">
            <v/>
          </cell>
          <cell r="K2424" t="str">
            <v/>
          </cell>
          <cell r="L2424" t="str">
            <v/>
          </cell>
        </row>
        <row r="2425">
          <cell r="A2425">
            <v>34000000</v>
          </cell>
          <cell r="C2425">
            <v>34000000</v>
          </cell>
          <cell r="D2425">
            <v>34000000</v>
          </cell>
          <cell r="E2425">
            <v>34000000</v>
          </cell>
          <cell r="F2425">
            <v>34000000</v>
          </cell>
          <cell r="G2425">
            <v>34000000</v>
          </cell>
          <cell r="H2425">
            <v>34000000</v>
          </cell>
          <cell r="I2425" t="str">
            <v/>
          </cell>
          <cell r="J2425" t="str">
            <v/>
          </cell>
          <cell r="K2425" t="str">
            <v/>
          </cell>
          <cell r="L2425" t="str">
            <v/>
          </cell>
        </row>
        <row r="2426">
          <cell r="A2426">
            <v>34000000</v>
          </cell>
          <cell r="C2426">
            <v>34000000</v>
          </cell>
          <cell r="D2426">
            <v>34000000</v>
          </cell>
          <cell r="E2426">
            <v>34000000</v>
          </cell>
          <cell r="F2426">
            <v>34000000</v>
          </cell>
          <cell r="G2426">
            <v>34000000</v>
          </cell>
          <cell r="H2426">
            <v>34000000</v>
          </cell>
          <cell r="I2426" t="str">
            <v/>
          </cell>
          <cell r="J2426" t="str">
            <v/>
          </cell>
          <cell r="K2426" t="str">
            <v/>
          </cell>
          <cell r="L2426" t="str">
            <v/>
          </cell>
        </row>
        <row r="2427">
          <cell r="A2427">
            <v>34000000</v>
          </cell>
          <cell r="C2427">
            <v>34000000</v>
          </cell>
          <cell r="D2427">
            <v>34000000</v>
          </cell>
          <cell r="E2427">
            <v>34000000</v>
          </cell>
          <cell r="F2427">
            <v>34000000</v>
          </cell>
          <cell r="G2427">
            <v>34000000</v>
          </cell>
          <cell r="H2427">
            <v>34000000</v>
          </cell>
          <cell r="I2427" t="str">
            <v/>
          </cell>
          <cell r="J2427" t="str">
            <v/>
          </cell>
          <cell r="K2427" t="str">
            <v/>
          </cell>
          <cell r="L2427" t="str">
            <v/>
          </cell>
        </row>
        <row r="2428">
          <cell r="A2428">
            <v>34000000</v>
          </cell>
          <cell r="C2428">
            <v>34000000</v>
          </cell>
          <cell r="D2428">
            <v>34000000</v>
          </cell>
          <cell r="E2428">
            <v>34000000</v>
          </cell>
          <cell r="F2428">
            <v>34000000</v>
          </cell>
          <cell r="G2428">
            <v>34000000</v>
          </cell>
          <cell r="H2428">
            <v>34000000</v>
          </cell>
          <cell r="I2428" t="str">
            <v/>
          </cell>
          <cell r="J2428" t="str">
            <v/>
          </cell>
          <cell r="K2428" t="str">
            <v/>
          </cell>
          <cell r="L2428" t="str">
            <v/>
          </cell>
        </row>
        <row r="2429">
          <cell r="A2429">
            <v>34000000</v>
          </cell>
          <cell r="C2429">
            <v>34000000</v>
          </cell>
          <cell r="D2429">
            <v>34000000</v>
          </cell>
          <cell r="E2429">
            <v>34000000</v>
          </cell>
          <cell r="F2429">
            <v>34000000</v>
          </cell>
          <cell r="G2429">
            <v>34000000</v>
          </cell>
          <cell r="H2429">
            <v>34000000</v>
          </cell>
          <cell r="I2429" t="str">
            <v/>
          </cell>
          <cell r="J2429" t="str">
            <v/>
          </cell>
          <cell r="K2429" t="str">
            <v/>
          </cell>
          <cell r="L2429" t="str">
            <v/>
          </cell>
        </row>
        <row r="2430">
          <cell r="A2430">
            <v>34000000</v>
          </cell>
          <cell r="C2430">
            <v>34000000</v>
          </cell>
          <cell r="D2430">
            <v>34000000</v>
          </cell>
          <cell r="E2430">
            <v>34000000</v>
          </cell>
          <cell r="F2430">
            <v>34000000</v>
          </cell>
          <cell r="G2430">
            <v>34000000</v>
          </cell>
          <cell r="H2430">
            <v>34000000</v>
          </cell>
          <cell r="I2430" t="str">
            <v/>
          </cell>
          <cell r="J2430" t="str">
            <v/>
          </cell>
          <cell r="K2430" t="str">
            <v/>
          </cell>
          <cell r="L2430" t="str">
            <v/>
          </cell>
        </row>
        <row r="2431">
          <cell r="A2431">
            <v>34000000</v>
          </cell>
          <cell r="C2431">
            <v>34000000</v>
          </cell>
          <cell r="D2431">
            <v>34000000</v>
          </cell>
          <cell r="E2431">
            <v>34000000</v>
          </cell>
          <cell r="F2431">
            <v>34000000</v>
          </cell>
          <cell r="G2431">
            <v>34000000</v>
          </cell>
          <cell r="H2431">
            <v>34000000</v>
          </cell>
          <cell r="I2431" t="str">
            <v/>
          </cell>
          <cell r="J2431" t="str">
            <v/>
          </cell>
          <cell r="K2431" t="str">
            <v/>
          </cell>
          <cell r="L2431" t="str">
            <v/>
          </cell>
        </row>
        <row r="2432">
          <cell r="A2432">
            <v>34000000</v>
          </cell>
          <cell r="C2432">
            <v>34000000</v>
          </cell>
          <cell r="D2432">
            <v>34000000</v>
          </cell>
          <cell r="E2432">
            <v>34000000</v>
          </cell>
          <cell r="F2432">
            <v>34000000</v>
          </cell>
          <cell r="G2432">
            <v>34000000</v>
          </cell>
          <cell r="H2432">
            <v>34000000</v>
          </cell>
          <cell r="I2432" t="str">
            <v/>
          </cell>
          <cell r="J2432" t="str">
            <v/>
          </cell>
          <cell r="K2432" t="str">
            <v/>
          </cell>
          <cell r="L2432" t="str">
            <v/>
          </cell>
        </row>
        <row r="2433">
          <cell r="A2433">
            <v>34000000</v>
          </cell>
          <cell r="C2433">
            <v>34000000</v>
          </cell>
          <cell r="D2433">
            <v>34000000</v>
          </cell>
          <cell r="E2433">
            <v>34000000</v>
          </cell>
          <cell r="F2433">
            <v>34000000</v>
          </cell>
          <cell r="G2433">
            <v>34000000</v>
          </cell>
          <cell r="H2433">
            <v>34000000</v>
          </cell>
          <cell r="I2433" t="str">
            <v/>
          </cell>
          <cell r="J2433" t="str">
            <v/>
          </cell>
          <cell r="K2433" t="str">
            <v/>
          </cell>
          <cell r="L2433" t="str">
            <v/>
          </cell>
        </row>
        <row r="2434">
          <cell r="A2434">
            <v>34000000</v>
          </cell>
          <cell r="C2434">
            <v>34000000</v>
          </cell>
          <cell r="D2434">
            <v>34000000</v>
          </cell>
          <cell r="E2434">
            <v>34000000</v>
          </cell>
          <cell r="F2434">
            <v>34000000</v>
          </cell>
          <cell r="G2434">
            <v>34000000</v>
          </cell>
          <cell r="H2434">
            <v>34000000</v>
          </cell>
          <cell r="I2434" t="str">
            <v/>
          </cell>
          <cell r="J2434" t="str">
            <v/>
          </cell>
          <cell r="K2434" t="str">
            <v/>
          </cell>
          <cell r="L2434" t="str">
            <v/>
          </cell>
        </row>
        <row r="2435">
          <cell r="A2435">
            <v>34000000</v>
          </cell>
          <cell r="C2435">
            <v>34000000</v>
          </cell>
          <cell r="D2435">
            <v>34000000</v>
          </cell>
          <cell r="E2435">
            <v>34000000</v>
          </cell>
          <cell r="F2435">
            <v>34000000</v>
          </cell>
          <cell r="G2435">
            <v>34000000</v>
          </cell>
          <cell r="H2435">
            <v>34000000</v>
          </cell>
          <cell r="I2435" t="str">
            <v/>
          </cell>
          <cell r="J2435" t="str">
            <v/>
          </cell>
          <cell r="K2435" t="str">
            <v/>
          </cell>
          <cell r="L2435" t="str">
            <v/>
          </cell>
        </row>
        <row r="2436">
          <cell r="A2436">
            <v>34000000</v>
          </cell>
          <cell r="C2436">
            <v>34000000</v>
          </cell>
          <cell r="D2436">
            <v>34000000</v>
          </cell>
          <cell r="E2436">
            <v>34000000</v>
          </cell>
          <cell r="F2436">
            <v>34000000</v>
          </cell>
          <cell r="G2436">
            <v>34000000</v>
          </cell>
          <cell r="H2436">
            <v>34000000</v>
          </cell>
          <cell r="I2436" t="str">
            <v/>
          </cell>
          <cell r="J2436" t="str">
            <v/>
          </cell>
          <cell r="K2436" t="str">
            <v/>
          </cell>
          <cell r="L2436" t="str">
            <v/>
          </cell>
        </row>
        <row r="2437">
          <cell r="A2437">
            <v>34000000</v>
          </cell>
          <cell r="C2437">
            <v>34000000</v>
          </cell>
          <cell r="D2437">
            <v>34000000</v>
          </cell>
          <cell r="E2437">
            <v>34000000</v>
          </cell>
          <cell r="F2437">
            <v>34000000</v>
          </cell>
          <cell r="G2437">
            <v>34000000</v>
          </cell>
          <cell r="H2437">
            <v>34000000</v>
          </cell>
          <cell r="I2437" t="str">
            <v/>
          </cell>
          <cell r="J2437" t="str">
            <v/>
          </cell>
          <cell r="K2437" t="str">
            <v/>
          </cell>
          <cell r="L2437" t="str">
            <v/>
          </cell>
        </row>
        <row r="2438">
          <cell r="A2438">
            <v>34000000</v>
          </cell>
          <cell r="C2438">
            <v>34000000</v>
          </cell>
          <cell r="D2438">
            <v>34000000</v>
          </cell>
          <cell r="E2438">
            <v>34000000</v>
          </cell>
          <cell r="F2438">
            <v>34000000</v>
          </cell>
          <cell r="G2438">
            <v>34000000</v>
          </cell>
          <cell r="H2438">
            <v>34000000</v>
          </cell>
          <cell r="I2438" t="str">
            <v/>
          </cell>
          <cell r="J2438" t="str">
            <v/>
          </cell>
          <cell r="K2438" t="str">
            <v/>
          </cell>
          <cell r="L2438" t="str">
            <v/>
          </cell>
        </row>
        <row r="2439">
          <cell r="A2439">
            <v>34000000</v>
          </cell>
          <cell r="C2439">
            <v>34000000</v>
          </cell>
          <cell r="D2439">
            <v>34000000</v>
          </cell>
          <cell r="E2439">
            <v>34000000</v>
          </cell>
          <cell r="F2439">
            <v>34000000</v>
          </cell>
          <cell r="G2439">
            <v>34000000</v>
          </cell>
          <cell r="H2439">
            <v>34000000</v>
          </cell>
          <cell r="I2439" t="str">
            <v/>
          </cell>
          <cell r="J2439" t="str">
            <v/>
          </cell>
          <cell r="K2439" t="str">
            <v/>
          </cell>
          <cell r="L2439" t="str">
            <v/>
          </cell>
        </row>
        <row r="2440">
          <cell r="A2440">
            <v>34000000</v>
          </cell>
          <cell r="C2440">
            <v>34000000</v>
          </cell>
          <cell r="D2440">
            <v>34000000</v>
          </cell>
          <cell r="E2440">
            <v>34000000</v>
          </cell>
          <cell r="F2440">
            <v>34000000</v>
          </cell>
          <cell r="G2440">
            <v>34000000</v>
          </cell>
          <cell r="H2440">
            <v>34000000</v>
          </cell>
          <cell r="I2440" t="str">
            <v/>
          </cell>
          <cell r="J2440" t="str">
            <v/>
          </cell>
          <cell r="K2440" t="str">
            <v/>
          </cell>
          <cell r="L2440" t="str">
            <v/>
          </cell>
        </row>
        <row r="2441">
          <cell r="A2441">
            <v>34000000</v>
          </cell>
          <cell r="C2441">
            <v>34000000</v>
          </cell>
          <cell r="D2441">
            <v>34000000</v>
          </cell>
          <cell r="E2441">
            <v>34000000</v>
          </cell>
          <cell r="F2441">
            <v>34000000</v>
          </cell>
          <cell r="G2441">
            <v>34000000</v>
          </cell>
          <cell r="H2441">
            <v>34000000</v>
          </cell>
          <cell r="I2441" t="str">
            <v/>
          </cell>
          <cell r="J2441" t="str">
            <v/>
          </cell>
          <cell r="K2441" t="str">
            <v/>
          </cell>
          <cell r="L2441" t="str">
            <v/>
          </cell>
        </row>
        <row r="2442">
          <cell r="A2442">
            <v>34000000</v>
          </cell>
          <cell r="C2442">
            <v>34000000</v>
          </cell>
          <cell r="D2442">
            <v>34000000</v>
          </cell>
          <cell r="E2442">
            <v>34000000</v>
          </cell>
          <cell r="F2442">
            <v>34000000</v>
          </cell>
          <cell r="G2442">
            <v>34000000</v>
          </cell>
          <cell r="H2442">
            <v>34000000</v>
          </cell>
          <cell r="I2442" t="str">
            <v/>
          </cell>
          <cell r="J2442" t="str">
            <v/>
          </cell>
          <cell r="K2442" t="str">
            <v/>
          </cell>
          <cell r="L2442" t="str">
            <v/>
          </cell>
        </row>
        <row r="2443">
          <cell r="A2443">
            <v>34000000</v>
          </cell>
          <cell r="C2443">
            <v>34000000</v>
          </cell>
          <cell r="D2443">
            <v>34000000</v>
          </cell>
          <cell r="E2443">
            <v>34000000</v>
          </cell>
          <cell r="F2443">
            <v>34000000</v>
          </cell>
          <cell r="G2443">
            <v>34000000</v>
          </cell>
          <cell r="H2443">
            <v>34000000</v>
          </cell>
          <cell r="I2443" t="str">
            <v/>
          </cell>
          <cell r="J2443" t="str">
            <v/>
          </cell>
          <cell r="K2443" t="str">
            <v/>
          </cell>
          <cell r="L2443" t="str">
            <v/>
          </cell>
        </row>
        <row r="2444">
          <cell r="A2444">
            <v>34000000</v>
          </cell>
          <cell r="C2444">
            <v>34000000</v>
          </cell>
          <cell r="D2444">
            <v>34000000</v>
          </cell>
          <cell r="E2444">
            <v>34000000</v>
          </cell>
          <cell r="F2444">
            <v>34000000</v>
          </cell>
          <cell r="G2444">
            <v>34000000</v>
          </cell>
          <cell r="H2444">
            <v>34000000</v>
          </cell>
          <cell r="I2444" t="str">
            <v/>
          </cell>
          <cell r="J2444" t="str">
            <v/>
          </cell>
          <cell r="K2444" t="str">
            <v/>
          </cell>
          <cell r="L2444" t="str">
            <v/>
          </cell>
        </row>
        <row r="2445">
          <cell r="A2445">
            <v>34000000</v>
          </cell>
          <cell r="C2445">
            <v>34000000</v>
          </cell>
          <cell r="D2445">
            <v>34000000</v>
          </cell>
          <cell r="E2445">
            <v>34000000</v>
          </cell>
          <cell r="F2445">
            <v>34000000</v>
          </cell>
          <cell r="G2445">
            <v>34000000</v>
          </cell>
          <cell r="H2445">
            <v>34000000</v>
          </cell>
          <cell r="I2445" t="str">
            <v/>
          </cell>
          <cell r="J2445" t="str">
            <v/>
          </cell>
          <cell r="K2445" t="str">
            <v/>
          </cell>
          <cell r="L2445" t="str">
            <v/>
          </cell>
        </row>
        <row r="2446">
          <cell r="A2446">
            <v>34000000</v>
          </cell>
          <cell r="C2446">
            <v>34000000</v>
          </cell>
          <cell r="D2446">
            <v>34000000</v>
          </cell>
          <cell r="E2446">
            <v>34000000</v>
          </cell>
          <cell r="F2446">
            <v>34000000</v>
          </cell>
          <cell r="G2446">
            <v>34000000</v>
          </cell>
          <cell r="H2446">
            <v>34000000</v>
          </cell>
          <cell r="I2446" t="str">
            <v/>
          </cell>
          <cell r="J2446" t="str">
            <v/>
          </cell>
          <cell r="K2446" t="str">
            <v/>
          </cell>
          <cell r="L2446" t="str">
            <v/>
          </cell>
        </row>
        <row r="2447">
          <cell r="A2447">
            <v>34000000</v>
          </cell>
          <cell r="C2447">
            <v>34000000</v>
          </cell>
          <cell r="D2447">
            <v>34000000</v>
          </cell>
          <cell r="E2447">
            <v>34000000</v>
          </cell>
          <cell r="F2447">
            <v>34000000</v>
          </cell>
          <cell r="G2447">
            <v>34000000</v>
          </cell>
          <cell r="H2447">
            <v>34000000</v>
          </cell>
          <cell r="I2447" t="str">
            <v/>
          </cell>
          <cell r="J2447" t="str">
            <v/>
          </cell>
          <cell r="K2447" t="str">
            <v/>
          </cell>
          <cell r="L2447" t="str">
            <v/>
          </cell>
        </row>
        <row r="2448">
          <cell r="A2448">
            <v>34000000</v>
          </cell>
          <cell r="C2448">
            <v>34000000</v>
          </cell>
          <cell r="D2448">
            <v>34000000</v>
          </cell>
          <cell r="E2448">
            <v>34000000</v>
          </cell>
          <cell r="F2448">
            <v>34000000</v>
          </cell>
          <cell r="G2448">
            <v>34000000</v>
          </cell>
          <cell r="H2448">
            <v>34000000</v>
          </cell>
          <cell r="I2448" t="str">
            <v/>
          </cell>
          <cell r="J2448" t="str">
            <v/>
          </cell>
          <cell r="K2448" t="str">
            <v/>
          </cell>
          <cell r="L2448" t="str">
            <v/>
          </cell>
        </row>
        <row r="2449">
          <cell r="A2449">
            <v>34000000</v>
          </cell>
          <cell r="C2449">
            <v>34000000</v>
          </cell>
          <cell r="D2449">
            <v>34000000</v>
          </cell>
          <cell r="E2449">
            <v>34000000</v>
          </cell>
          <cell r="F2449">
            <v>34000000</v>
          </cell>
          <cell r="G2449">
            <v>34000000</v>
          </cell>
          <cell r="H2449">
            <v>34000000</v>
          </cell>
          <cell r="I2449" t="str">
            <v/>
          </cell>
          <cell r="J2449" t="str">
            <v/>
          </cell>
          <cell r="K2449" t="str">
            <v/>
          </cell>
          <cell r="L2449" t="str">
            <v/>
          </cell>
        </row>
        <row r="2450">
          <cell r="A2450">
            <v>34000000</v>
          </cell>
          <cell r="C2450">
            <v>34000000</v>
          </cell>
          <cell r="D2450">
            <v>34000000</v>
          </cell>
          <cell r="E2450">
            <v>34000000</v>
          </cell>
          <cell r="F2450">
            <v>34000000</v>
          </cell>
          <cell r="G2450">
            <v>34000000</v>
          </cell>
          <cell r="H2450">
            <v>34000000</v>
          </cell>
          <cell r="I2450" t="str">
            <v/>
          </cell>
          <cell r="J2450" t="str">
            <v/>
          </cell>
          <cell r="K2450" t="str">
            <v/>
          </cell>
          <cell r="L2450" t="str">
            <v/>
          </cell>
        </row>
        <row r="2451">
          <cell r="A2451">
            <v>34000000</v>
          </cell>
          <cell r="C2451">
            <v>34000000</v>
          </cell>
          <cell r="D2451">
            <v>34000000</v>
          </cell>
          <cell r="E2451">
            <v>34000000</v>
          </cell>
          <cell r="F2451">
            <v>34000000</v>
          </cell>
          <cell r="G2451">
            <v>34000000</v>
          </cell>
          <cell r="H2451">
            <v>34000000</v>
          </cell>
          <cell r="I2451" t="str">
            <v/>
          </cell>
          <cell r="J2451" t="str">
            <v/>
          </cell>
          <cell r="K2451" t="str">
            <v/>
          </cell>
          <cell r="L2451" t="str">
            <v/>
          </cell>
        </row>
        <row r="2452">
          <cell r="A2452">
            <v>34000000</v>
          </cell>
          <cell r="C2452">
            <v>34000000</v>
          </cell>
          <cell r="D2452">
            <v>34000000</v>
          </cell>
          <cell r="E2452">
            <v>34000000</v>
          </cell>
          <cell r="F2452">
            <v>34000000</v>
          </cell>
          <cell r="G2452">
            <v>34000000</v>
          </cell>
          <cell r="H2452">
            <v>34000000</v>
          </cell>
          <cell r="I2452" t="str">
            <v/>
          </cell>
          <cell r="J2452" t="str">
            <v/>
          </cell>
          <cell r="K2452" t="str">
            <v/>
          </cell>
          <cell r="L2452" t="str">
            <v/>
          </cell>
        </row>
        <row r="2453">
          <cell r="A2453">
            <v>34000000</v>
          </cell>
          <cell r="C2453">
            <v>34000000</v>
          </cell>
          <cell r="D2453">
            <v>34000000</v>
          </cell>
          <cell r="E2453">
            <v>34000000</v>
          </cell>
          <cell r="F2453">
            <v>34000000</v>
          </cell>
          <cell r="G2453">
            <v>34000000</v>
          </cell>
          <cell r="H2453">
            <v>34000000</v>
          </cell>
          <cell r="I2453" t="str">
            <v/>
          </cell>
          <cell r="J2453" t="str">
            <v/>
          </cell>
          <cell r="K2453" t="str">
            <v/>
          </cell>
          <cell r="L2453" t="str">
            <v/>
          </cell>
        </row>
        <row r="2454">
          <cell r="A2454">
            <v>34000000</v>
          </cell>
          <cell r="C2454">
            <v>34000000</v>
          </cell>
          <cell r="D2454">
            <v>34000000</v>
          </cell>
          <cell r="E2454">
            <v>34000000</v>
          </cell>
          <cell r="F2454">
            <v>34000000</v>
          </cell>
          <cell r="G2454">
            <v>34000000</v>
          </cell>
          <cell r="H2454">
            <v>34000000</v>
          </cell>
          <cell r="I2454" t="str">
            <v/>
          </cell>
          <cell r="J2454" t="str">
            <v/>
          </cell>
          <cell r="K2454" t="str">
            <v/>
          </cell>
          <cell r="L2454" t="str">
            <v/>
          </cell>
        </row>
        <row r="2455">
          <cell r="A2455">
            <v>34000000</v>
          </cell>
          <cell r="C2455">
            <v>34000000</v>
          </cell>
          <cell r="D2455">
            <v>34000000</v>
          </cell>
          <cell r="E2455">
            <v>34000000</v>
          </cell>
          <cell r="F2455">
            <v>34000000</v>
          </cell>
          <cell r="G2455">
            <v>34000000</v>
          </cell>
          <cell r="H2455">
            <v>34000000</v>
          </cell>
          <cell r="I2455" t="str">
            <v/>
          </cell>
          <cell r="J2455" t="str">
            <v/>
          </cell>
          <cell r="K2455" t="str">
            <v/>
          </cell>
          <cell r="L2455" t="str">
            <v/>
          </cell>
        </row>
        <row r="2456">
          <cell r="A2456">
            <v>34000000</v>
          </cell>
          <cell r="C2456">
            <v>34000000</v>
          </cell>
          <cell r="D2456">
            <v>34000000</v>
          </cell>
          <cell r="E2456">
            <v>34000000</v>
          </cell>
          <cell r="F2456">
            <v>34000000</v>
          </cell>
          <cell r="G2456">
            <v>34000000</v>
          </cell>
          <cell r="H2456">
            <v>34000000</v>
          </cell>
          <cell r="I2456" t="str">
            <v/>
          </cell>
          <cell r="J2456" t="str">
            <v/>
          </cell>
          <cell r="K2456" t="str">
            <v/>
          </cell>
          <cell r="L2456" t="str">
            <v/>
          </cell>
        </row>
        <row r="2457">
          <cell r="A2457">
            <v>34000000</v>
          </cell>
          <cell r="C2457">
            <v>34000000</v>
          </cell>
          <cell r="D2457">
            <v>34000000</v>
          </cell>
          <cell r="E2457">
            <v>34000000</v>
          </cell>
          <cell r="F2457">
            <v>34000000</v>
          </cell>
          <cell r="G2457">
            <v>34000000</v>
          </cell>
          <cell r="H2457">
            <v>34000000</v>
          </cell>
          <cell r="I2457" t="str">
            <v/>
          </cell>
          <cell r="J2457" t="str">
            <v/>
          </cell>
          <cell r="K2457" t="str">
            <v/>
          </cell>
          <cell r="L2457" t="str">
            <v/>
          </cell>
        </row>
        <row r="2458">
          <cell r="A2458">
            <v>34000000</v>
          </cell>
          <cell r="C2458">
            <v>34000000</v>
          </cell>
          <cell r="D2458">
            <v>34000000</v>
          </cell>
          <cell r="E2458">
            <v>34000000</v>
          </cell>
          <cell r="F2458">
            <v>34000000</v>
          </cell>
          <cell r="G2458">
            <v>34000000</v>
          </cell>
          <cell r="H2458">
            <v>34000000</v>
          </cell>
          <cell r="I2458" t="str">
            <v/>
          </cell>
          <cell r="J2458" t="str">
            <v/>
          </cell>
          <cell r="K2458" t="str">
            <v/>
          </cell>
          <cell r="L2458" t="str">
            <v/>
          </cell>
        </row>
        <row r="2459">
          <cell r="A2459">
            <v>34000000</v>
          </cell>
          <cell r="C2459">
            <v>34000000</v>
          </cell>
          <cell r="D2459">
            <v>34000000</v>
          </cell>
          <cell r="E2459">
            <v>34000000</v>
          </cell>
          <cell r="F2459">
            <v>34000000</v>
          </cell>
          <cell r="G2459">
            <v>34000000</v>
          </cell>
          <cell r="H2459">
            <v>34000000</v>
          </cell>
          <cell r="I2459" t="str">
            <v/>
          </cell>
          <cell r="J2459" t="str">
            <v/>
          </cell>
          <cell r="K2459" t="str">
            <v/>
          </cell>
          <cell r="L2459" t="str">
            <v/>
          </cell>
        </row>
        <row r="2460">
          <cell r="A2460">
            <v>34000000</v>
          </cell>
          <cell r="C2460">
            <v>34000000</v>
          </cell>
          <cell r="D2460">
            <v>34000000</v>
          </cell>
          <cell r="E2460">
            <v>34000000</v>
          </cell>
          <cell r="F2460">
            <v>34000000</v>
          </cell>
          <cell r="G2460">
            <v>34000000</v>
          </cell>
          <cell r="H2460">
            <v>34000000</v>
          </cell>
          <cell r="I2460" t="str">
            <v/>
          </cell>
          <cell r="J2460" t="str">
            <v/>
          </cell>
          <cell r="K2460" t="str">
            <v/>
          </cell>
          <cell r="L2460" t="str">
            <v/>
          </cell>
        </row>
        <row r="2461">
          <cell r="A2461">
            <v>34000000</v>
          </cell>
          <cell r="C2461">
            <v>34000000</v>
          </cell>
          <cell r="D2461">
            <v>34000000</v>
          </cell>
          <cell r="E2461">
            <v>34000000</v>
          </cell>
          <cell r="F2461">
            <v>34000000</v>
          </cell>
          <cell r="G2461">
            <v>34000000</v>
          </cell>
          <cell r="H2461">
            <v>34000000</v>
          </cell>
          <cell r="I2461" t="str">
            <v/>
          </cell>
          <cell r="J2461" t="str">
            <v/>
          </cell>
          <cell r="K2461" t="str">
            <v/>
          </cell>
          <cell r="L2461" t="str">
            <v/>
          </cell>
        </row>
        <row r="2462">
          <cell r="A2462">
            <v>34000000</v>
          </cell>
          <cell r="C2462">
            <v>34000000</v>
          </cell>
          <cell r="D2462">
            <v>34000000</v>
          </cell>
          <cell r="E2462">
            <v>34000000</v>
          </cell>
          <cell r="F2462">
            <v>34000000</v>
          </cell>
          <cell r="G2462">
            <v>34000000</v>
          </cell>
          <cell r="H2462">
            <v>34000000</v>
          </cell>
          <cell r="I2462" t="str">
            <v/>
          </cell>
          <cell r="J2462" t="str">
            <v/>
          </cell>
          <cell r="K2462" t="str">
            <v/>
          </cell>
          <cell r="L2462" t="str">
            <v/>
          </cell>
        </row>
        <row r="2463">
          <cell r="A2463">
            <v>34000000</v>
          </cell>
          <cell r="C2463">
            <v>34000000</v>
          </cell>
          <cell r="D2463">
            <v>34000000</v>
          </cell>
          <cell r="E2463">
            <v>34000000</v>
          </cell>
          <cell r="F2463">
            <v>34000000</v>
          </cell>
          <cell r="G2463">
            <v>34000000</v>
          </cell>
          <cell r="H2463">
            <v>34000000</v>
          </cell>
          <cell r="I2463" t="str">
            <v/>
          </cell>
          <cell r="J2463" t="str">
            <v/>
          </cell>
          <cell r="K2463" t="str">
            <v/>
          </cell>
          <cell r="L2463" t="str">
            <v/>
          </cell>
        </row>
        <row r="2464">
          <cell r="A2464">
            <v>34000000</v>
          </cell>
          <cell r="C2464">
            <v>34000000</v>
          </cell>
          <cell r="D2464">
            <v>34000000</v>
          </cell>
          <cell r="E2464">
            <v>34000000</v>
          </cell>
          <cell r="F2464">
            <v>34000000</v>
          </cell>
          <cell r="G2464">
            <v>34000000</v>
          </cell>
          <cell r="H2464">
            <v>34000000</v>
          </cell>
          <cell r="I2464" t="str">
            <v/>
          </cell>
          <cell r="J2464" t="str">
            <v/>
          </cell>
          <cell r="K2464" t="str">
            <v/>
          </cell>
          <cell r="L2464" t="str">
            <v/>
          </cell>
        </row>
        <row r="2465">
          <cell r="A2465">
            <v>34000000</v>
          </cell>
          <cell r="C2465">
            <v>34000000</v>
          </cell>
          <cell r="D2465">
            <v>34000000</v>
          </cell>
          <cell r="E2465">
            <v>34000000</v>
          </cell>
          <cell r="F2465">
            <v>34000000</v>
          </cell>
          <cell r="G2465">
            <v>34000000</v>
          </cell>
          <cell r="H2465">
            <v>34000000</v>
          </cell>
          <cell r="I2465" t="str">
            <v/>
          </cell>
          <cell r="J2465" t="str">
            <v/>
          </cell>
          <cell r="K2465" t="str">
            <v/>
          </cell>
          <cell r="L2465" t="str">
            <v/>
          </cell>
        </row>
        <row r="2466">
          <cell r="A2466">
            <v>34000000</v>
          </cell>
          <cell r="C2466">
            <v>34000000</v>
          </cell>
          <cell r="D2466">
            <v>34000000</v>
          </cell>
          <cell r="E2466">
            <v>34000000</v>
          </cell>
          <cell r="F2466">
            <v>34000000</v>
          </cell>
          <cell r="G2466">
            <v>34000000</v>
          </cell>
          <cell r="H2466">
            <v>34000000</v>
          </cell>
          <cell r="I2466" t="str">
            <v/>
          </cell>
          <cell r="J2466" t="str">
            <v/>
          </cell>
          <cell r="K2466" t="str">
            <v/>
          </cell>
          <cell r="L2466" t="str">
            <v/>
          </cell>
        </row>
        <row r="2467">
          <cell r="A2467">
            <v>34000000</v>
          </cell>
          <cell r="C2467">
            <v>34000000</v>
          </cell>
          <cell r="D2467">
            <v>34000000</v>
          </cell>
          <cell r="E2467">
            <v>34000000</v>
          </cell>
          <cell r="F2467">
            <v>34000000</v>
          </cell>
          <cell r="G2467">
            <v>34000000</v>
          </cell>
          <cell r="H2467">
            <v>34000000</v>
          </cell>
          <cell r="I2467" t="str">
            <v/>
          </cell>
          <cell r="J2467" t="str">
            <v/>
          </cell>
          <cell r="K2467" t="str">
            <v/>
          </cell>
          <cell r="L2467" t="str">
            <v/>
          </cell>
        </row>
        <row r="2468">
          <cell r="A2468">
            <v>34000000</v>
          </cell>
          <cell r="C2468">
            <v>34000000</v>
          </cell>
          <cell r="D2468">
            <v>34000000</v>
          </cell>
          <cell r="E2468">
            <v>34000000</v>
          </cell>
          <cell r="F2468">
            <v>34000000</v>
          </cell>
          <cell r="G2468">
            <v>34000000</v>
          </cell>
          <cell r="H2468">
            <v>34000000</v>
          </cell>
          <cell r="I2468" t="str">
            <v/>
          </cell>
          <cell r="J2468" t="str">
            <v/>
          </cell>
          <cell r="K2468" t="str">
            <v/>
          </cell>
          <cell r="L2468" t="str">
            <v/>
          </cell>
        </row>
        <row r="2469">
          <cell r="A2469">
            <v>34000000</v>
          </cell>
          <cell r="C2469">
            <v>34000000</v>
          </cell>
          <cell r="D2469">
            <v>34000000</v>
          </cell>
          <cell r="E2469">
            <v>34000000</v>
          </cell>
          <cell r="F2469">
            <v>34000000</v>
          </cell>
          <cell r="G2469">
            <v>34000000</v>
          </cell>
          <cell r="H2469">
            <v>34000000</v>
          </cell>
          <cell r="I2469" t="str">
            <v/>
          </cell>
          <cell r="J2469" t="str">
            <v/>
          </cell>
          <cell r="K2469" t="str">
            <v/>
          </cell>
          <cell r="L2469" t="str">
            <v/>
          </cell>
        </row>
        <row r="2470">
          <cell r="A2470">
            <v>34000000</v>
          </cell>
          <cell r="C2470">
            <v>34000000</v>
          </cell>
          <cell r="D2470">
            <v>34000000</v>
          </cell>
          <cell r="E2470">
            <v>34000000</v>
          </cell>
          <cell r="F2470">
            <v>34000000</v>
          </cell>
          <cell r="G2470">
            <v>34000000</v>
          </cell>
          <cell r="H2470">
            <v>34000000</v>
          </cell>
          <cell r="I2470" t="str">
            <v/>
          </cell>
          <cell r="J2470" t="str">
            <v/>
          </cell>
          <cell r="K2470" t="str">
            <v/>
          </cell>
          <cell r="L2470" t="str">
            <v/>
          </cell>
        </row>
        <row r="2471">
          <cell r="A2471">
            <v>34000000</v>
          </cell>
          <cell r="C2471">
            <v>34000000</v>
          </cell>
          <cell r="D2471">
            <v>34000000</v>
          </cell>
          <cell r="E2471">
            <v>34000000</v>
          </cell>
          <cell r="F2471">
            <v>34000000</v>
          </cell>
          <cell r="G2471">
            <v>34000000</v>
          </cell>
          <cell r="H2471">
            <v>34000000</v>
          </cell>
          <cell r="I2471" t="str">
            <v/>
          </cell>
          <cell r="J2471" t="str">
            <v/>
          </cell>
          <cell r="K2471" t="str">
            <v/>
          </cell>
          <cell r="L2471" t="str">
            <v/>
          </cell>
        </row>
        <row r="2472">
          <cell r="A2472">
            <v>34000000</v>
          </cell>
          <cell r="C2472">
            <v>34000000</v>
          </cell>
          <cell r="D2472">
            <v>34000000</v>
          </cell>
          <cell r="E2472">
            <v>34000000</v>
          </cell>
          <cell r="F2472">
            <v>34000000</v>
          </cell>
          <cell r="G2472">
            <v>34000000</v>
          </cell>
          <cell r="H2472">
            <v>34000000</v>
          </cell>
          <cell r="I2472" t="str">
            <v/>
          </cell>
          <cell r="J2472" t="str">
            <v/>
          </cell>
          <cell r="K2472" t="str">
            <v/>
          </cell>
          <cell r="L2472" t="str">
            <v/>
          </cell>
        </row>
        <row r="2473">
          <cell r="A2473">
            <v>34000000</v>
          </cell>
          <cell r="C2473">
            <v>34000000</v>
          </cell>
          <cell r="D2473">
            <v>34000000</v>
          </cell>
          <cell r="E2473">
            <v>34000000</v>
          </cell>
          <cell r="F2473">
            <v>34000000</v>
          </cell>
          <cell r="G2473">
            <v>34000000</v>
          </cell>
          <cell r="H2473">
            <v>34000000</v>
          </cell>
          <cell r="I2473" t="str">
            <v/>
          </cell>
          <cell r="J2473" t="str">
            <v/>
          </cell>
          <cell r="K2473" t="str">
            <v/>
          </cell>
          <cell r="L2473" t="str">
            <v/>
          </cell>
        </row>
        <row r="2474">
          <cell r="A2474">
            <v>34000000</v>
          </cell>
          <cell r="C2474">
            <v>34000000</v>
          </cell>
          <cell r="D2474">
            <v>34000000</v>
          </cell>
          <cell r="E2474">
            <v>34000000</v>
          </cell>
          <cell r="F2474">
            <v>34000000</v>
          </cell>
          <cell r="G2474">
            <v>34000000</v>
          </cell>
          <cell r="H2474">
            <v>34000000</v>
          </cell>
          <cell r="I2474" t="str">
            <v/>
          </cell>
          <cell r="J2474" t="str">
            <v/>
          </cell>
          <cell r="K2474" t="str">
            <v/>
          </cell>
          <cell r="L2474" t="str">
            <v/>
          </cell>
        </row>
        <row r="2475">
          <cell r="A2475">
            <v>34000000</v>
          </cell>
          <cell r="C2475">
            <v>34000000</v>
          </cell>
          <cell r="D2475">
            <v>34000000</v>
          </cell>
          <cell r="E2475">
            <v>34000000</v>
          </cell>
          <cell r="F2475">
            <v>34000000</v>
          </cell>
          <cell r="G2475">
            <v>34000000</v>
          </cell>
          <cell r="H2475">
            <v>34000000</v>
          </cell>
          <cell r="I2475" t="str">
            <v/>
          </cell>
          <cell r="J2475" t="str">
            <v/>
          </cell>
          <cell r="K2475" t="str">
            <v/>
          </cell>
          <cell r="L2475" t="str">
            <v/>
          </cell>
        </row>
        <row r="2476">
          <cell r="A2476">
            <v>34000000</v>
          </cell>
          <cell r="C2476">
            <v>34000000</v>
          </cell>
          <cell r="D2476">
            <v>34000000</v>
          </cell>
          <cell r="E2476">
            <v>34000000</v>
          </cell>
          <cell r="F2476">
            <v>34000000</v>
          </cell>
          <cell r="G2476">
            <v>34000000</v>
          </cell>
          <cell r="H2476">
            <v>34000000</v>
          </cell>
          <cell r="I2476" t="str">
            <v/>
          </cell>
          <cell r="J2476" t="str">
            <v/>
          </cell>
          <cell r="K2476" t="str">
            <v/>
          </cell>
          <cell r="L2476" t="str">
            <v/>
          </cell>
        </row>
        <row r="2477">
          <cell r="A2477">
            <v>34000000</v>
          </cell>
          <cell r="C2477">
            <v>34000000</v>
          </cell>
          <cell r="D2477">
            <v>34000000</v>
          </cell>
          <cell r="E2477">
            <v>34000000</v>
          </cell>
          <cell r="F2477">
            <v>34000000</v>
          </cell>
          <cell r="G2477">
            <v>34000000</v>
          </cell>
          <cell r="H2477">
            <v>34000000</v>
          </cell>
          <cell r="I2477" t="str">
            <v/>
          </cell>
          <cell r="J2477" t="str">
            <v/>
          </cell>
          <cell r="K2477" t="str">
            <v/>
          </cell>
          <cell r="L2477" t="str">
            <v/>
          </cell>
        </row>
        <row r="2478">
          <cell r="A2478">
            <v>34000000</v>
          </cell>
          <cell r="C2478">
            <v>34000000</v>
          </cell>
          <cell r="D2478">
            <v>34000000</v>
          </cell>
          <cell r="E2478">
            <v>34000000</v>
          </cell>
          <cell r="F2478">
            <v>34000000</v>
          </cell>
          <cell r="G2478">
            <v>34000000</v>
          </cell>
          <cell r="H2478">
            <v>34000000</v>
          </cell>
          <cell r="I2478" t="str">
            <v/>
          </cell>
          <cell r="J2478" t="str">
            <v/>
          </cell>
          <cell r="K2478" t="str">
            <v/>
          </cell>
          <cell r="L2478" t="str">
            <v/>
          </cell>
        </row>
        <row r="2479">
          <cell r="A2479">
            <v>34000000</v>
          </cell>
          <cell r="C2479">
            <v>34000000</v>
          </cell>
          <cell r="D2479">
            <v>34000000</v>
          </cell>
          <cell r="E2479">
            <v>34000000</v>
          </cell>
          <cell r="F2479">
            <v>34000000</v>
          </cell>
          <cell r="G2479">
            <v>34000000</v>
          </cell>
          <cell r="H2479">
            <v>34000000</v>
          </cell>
          <cell r="I2479" t="str">
            <v/>
          </cell>
          <cell r="J2479" t="str">
            <v/>
          </cell>
          <cell r="K2479" t="str">
            <v/>
          </cell>
          <cell r="L2479" t="str">
            <v/>
          </cell>
        </row>
        <row r="2480">
          <cell r="A2480">
            <v>34000000</v>
          </cell>
          <cell r="C2480">
            <v>34000000</v>
          </cell>
          <cell r="D2480">
            <v>34000000</v>
          </cell>
          <cell r="E2480">
            <v>34000000</v>
          </cell>
          <cell r="F2480">
            <v>34000000</v>
          </cell>
          <cell r="G2480">
            <v>34000000</v>
          </cell>
          <cell r="H2480">
            <v>34000000</v>
          </cell>
          <cell r="I2480" t="str">
            <v/>
          </cell>
          <cell r="J2480" t="str">
            <v/>
          </cell>
          <cell r="K2480" t="str">
            <v/>
          </cell>
          <cell r="L2480" t="str">
            <v/>
          </cell>
        </row>
        <row r="2481">
          <cell r="A2481">
            <v>34000000</v>
          </cell>
          <cell r="C2481">
            <v>34000000</v>
          </cell>
          <cell r="D2481">
            <v>34000000</v>
          </cell>
          <cell r="E2481">
            <v>34000000</v>
          </cell>
          <cell r="F2481">
            <v>34000000</v>
          </cell>
          <cell r="G2481">
            <v>34000000</v>
          </cell>
          <cell r="H2481">
            <v>34000000</v>
          </cell>
          <cell r="I2481" t="str">
            <v/>
          </cell>
          <cell r="J2481" t="str">
            <v/>
          </cell>
          <cell r="K2481" t="str">
            <v/>
          </cell>
          <cell r="L2481" t="str">
            <v/>
          </cell>
        </row>
        <row r="2482">
          <cell r="A2482">
            <v>34000000</v>
          </cell>
          <cell r="C2482">
            <v>34000000</v>
          </cell>
          <cell r="D2482">
            <v>34000000</v>
          </cell>
          <cell r="E2482">
            <v>34000000</v>
          </cell>
          <cell r="F2482">
            <v>34000000</v>
          </cell>
          <cell r="G2482">
            <v>34000000</v>
          </cell>
          <cell r="H2482">
            <v>34000000</v>
          </cell>
          <cell r="I2482" t="str">
            <v/>
          </cell>
          <cell r="J2482" t="str">
            <v/>
          </cell>
          <cell r="K2482" t="str">
            <v/>
          </cell>
          <cell r="L2482" t="str">
            <v/>
          </cell>
        </row>
        <row r="2483">
          <cell r="A2483">
            <v>34000000</v>
          </cell>
          <cell r="C2483">
            <v>34000000</v>
          </cell>
          <cell r="D2483">
            <v>34000000</v>
          </cell>
          <cell r="E2483">
            <v>34000000</v>
          </cell>
          <cell r="F2483">
            <v>34000000</v>
          </cell>
          <cell r="G2483">
            <v>34000000</v>
          </cell>
          <cell r="H2483">
            <v>34000000</v>
          </cell>
          <cell r="I2483" t="str">
            <v/>
          </cell>
          <cell r="J2483" t="str">
            <v/>
          </cell>
          <cell r="K2483" t="str">
            <v/>
          </cell>
          <cell r="L2483" t="str">
            <v/>
          </cell>
        </row>
        <row r="2484">
          <cell r="A2484">
            <v>34000000</v>
          </cell>
          <cell r="C2484">
            <v>34000000</v>
          </cell>
          <cell r="D2484">
            <v>34000000</v>
          </cell>
          <cell r="E2484">
            <v>34000000</v>
          </cell>
          <cell r="F2484">
            <v>34000000</v>
          </cell>
          <cell r="G2484">
            <v>34000000</v>
          </cell>
          <cell r="H2484">
            <v>34000000</v>
          </cell>
          <cell r="I2484" t="str">
            <v/>
          </cell>
          <cell r="J2484" t="str">
            <v/>
          </cell>
          <cell r="K2484" t="str">
            <v/>
          </cell>
          <cell r="L2484" t="str">
            <v/>
          </cell>
        </row>
        <row r="2485">
          <cell r="A2485">
            <v>34000000</v>
          </cell>
          <cell r="C2485">
            <v>34000000</v>
          </cell>
          <cell r="D2485">
            <v>34000000</v>
          </cell>
          <cell r="E2485">
            <v>34000000</v>
          </cell>
          <cell r="F2485">
            <v>34000000</v>
          </cell>
          <cell r="G2485">
            <v>34000000</v>
          </cell>
          <cell r="H2485">
            <v>34000000</v>
          </cell>
          <cell r="I2485" t="str">
            <v/>
          </cell>
          <cell r="J2485" t="str">
            <v/>
          </cell>
          <cell r="K2485" t="str">
            <v/>
          </cell>
          <cell r="L2485" t="str">
            <v/>
          </cell>
        </row>
        <row r="2486">
          <cell r="A2486">
            <v>34000000</v>
          </cell>
          <cell r="C2486">
            <v>34000000</v>
          </cell>
          <cell r="D2486">
            <v>34000000</v>
          </cell>
          <cell r="E2486">
            <v>34000000</v>
          </cell>
          <cell r="F2486">
            <v>34000000</v>
          </cell>
          <cell r="G2486">
            <v>34000000</v>
          </cell>
          <cell r="H2486">
            <v>34000000</v>
          </cell>
          <cell r="I2486" t="str">
            <v/>
          </cell>
          <cell r="J2486" t="str">
            <v/>
          </cell>
          <cell r="K2486" t="str">
            <v/>
          </cell>
          <cell r="L2486" t="str">
            <v/>
          </cell>
        </row>
        <row r="2487">
          <cell r="A2487">
            <v>34000000</v>
          </cell>
          <cell r="C2487">
            <v>34000000</v>
          </cell>
          <cell r="D2487">
            <v>34000000</v>
          </cell>
          <cell r="E2487">
            <v>34000000</v>
          </cell>
          <cell r="F2487">
            <v>34000000</v>
          </cell>
          <cell r="G2487">
            <v>34000000</v>
          </cell>
          <cell r="H2487">
            <v>34000000</v>
          </cell>
          <cell r="I2487" t="str">
            <v/>
          </cell>
          <cell r="J2487" t="str">
            <v/>
          </cell>
          <cell r="K2487" t="str">
            <v/>
          </cell>
          <cell r="L2487" t="str">
            <v/>
          </cell>
        </row>
        <row r="2488">
          <cell r="A2488">
            <v>34000000</v>
          </cell>
          <cell r="C2488">
            <v>34000000</v>
          </cell>
          <cell r="D2488">
            <v>34000000</v>
          </cell>
          <cell r="E2488">
            <v>34000000</v>
          </cell>
          <cell r="F2488">
            <v>34000000</v>
          </cell>
          <cell r="G2488">
            <v>34000000</v>
          </cell>
          <cell r="H2488">
            <v>34000000</v>
          </cell>
          <cell r="I2488" t="str">
            <v/>
          </cell>
          <cell r="J2488" t="str">
            <v/>
          </cell>
          <cell r="K2488" t="str">
            <v/>
          </cell>
          <cell r="L2488" t="str">
            <v/>
          </cell>
        </row>
        <row r="2489">
          <cell r="A2489">
            <v>34000000</v>
          </cell>
          <cell r="C2489">
            <v>34000000</v>
          </cell>
          <cell r="D2489">
            <v>34000000</v>
          </cell>
          <cell r="E2489">
            <v>34000000</v>
          </cell>
          <cell r="F2489">
            <v>34000000</v>
          </cell>
          <cell r="G2489">
            <v>34000000</v>
          </cell>
          <cell r="H2489">
            <v>34000000</v>
          </cell>
          <cell r="I2489" t="str">
            <v/>
          </cell>
          <cell r="J2489" t="str">
            <v/>
          </cell>
          <cell r="K2489" t="str">
            <v/>
          </cell>
          <cell r="L2489" t="str">
            <v/>
          </cell>
        </row>
        <row r="2490">
          <cell r="A2490">
            <v>34000000</v>
          </cell>
          <cell r="C2490">
            <v>34000000</v>
          </cell>
          <cell r="D2490">
            <v>34000000</v>
          </cell>
          <cell r="E2490">
            <v>34000000</v>
          </cell>
          <cell r="F2490">
            <v>34000000</v>
          </cell>
          <cell r="G2490">
            <v>34000000</v>
          </cell>
          <cell r="H2490">
            <v>34000000</v>
          </cell>
          <cell r="I2490" t="str">
            <v/>
          </cell>
          <cell r="J2490" t="str">
            <v/>
          </cell>
          <cell r="K2490" t="str">
            <v/>
          </cell>
          <cell r="L2490" t="str">
            <v/>
          </cell>
        </row>
        <row r="2491">
          <cell r="A2491">
            <v>34000000</v>
          </cell>
          <cell r="C2491">
            <v>34000000</v>
          </cell>
          <cell r="D2491">
            <v>34000000</v>
          </cell>
          <cell r="E2491">
            <v>34000000</v>
          </cell>
          <cell r="F2491">
            <v>34000000</v>
          </cell>
          <cell r="G2491">
            <v>34000000</v>
          </cell>
          <cell r="H2491">
            <v>34000000</v>
          </cell>
          <cell r="I2491" t="str">
            <v/>
          </cell>
          <cell r="J2491" t="str">
            <v/>
          </cell>
          <cell r="K2491" t="str">
            <v/>
          </cell>
          <cell r="L2491" t="str">
            <v/>
          </cell>
        </row>
        <row r="2492">
          <cell r="A2492">
            <v>34000000</v>
          </cell>
          <cell r="C2492">
            <v>34000000</v>
          </cell>
          <cell r="D2492">
            <v>34000000</v>
          </cell>
          <cell r="E2492">
            <v>34000000</v>
          </cell>
          <cell r="F2492">
            <v>34000000</v>
          </cell>
          <cell r="G2492">
            <v>34000000</v>
          </cell>
          <cell r="H2492">
            <v>34000000</v>
          </cell>
          <cell r="I2492" t="str">
            <v/>
          </cell>
          <cell r="J2492" t="str">
            <v/>
          </cell>
          <cell r="K2492" t="str">
            <v/>
          </cell>
          <cell r="L2492" t="str">
            <v/>
          </cell>
        </row>
        <row r="2493">
          <cell r="A2493">
            <v>34000000</v>
          </cell>
          <cell r="C2493">
            <v>34000000</v>
          </cell>
          <cell r="D2493">
            <v>34000000</v>
          </cell>
          <cell r="E2493">
            <v>34000000</v>
          </cell>
          <cell r="F2493">
            <v>34000000</v>
          </cell>
          <cell r="G2493">
            <v>34000000</v>
          </cell>
          <cell r="H2493">
            <v>34000000</v>
          </cell>
          <cell r="I2493" t="str">
            <v/>
          </cell>
          <cell r="J2493" t="str">
            <v/>
          </cell>
          <cell r="K2493" t="str">
            <v/>
          </cell>
          <cell r="L2493" t="str">
            <v/>
          </cell>
        </row>
        <row r="2494">
          <cell r="A2494">
            <v>34000000</v>
          </cell>
          <cell r="C2494">
            <v>34000000</v>
          </cell>
          <cell r="D2494">
            <v>34000000</v>
          </cell>
          <cell r="E2494">
            <v>34000000</v>
          </cell>
          <cell r="F2494">
            <v>34000000</v>
          </cell>
          <cell r="G2494">
            <v>34000000</v>
          </cell>
          <cell r="H2494">
            <v>34000000</v>
          </cell>
          <cell r="I2494" t="str">
            <v/>
          </cell>
          <cell r="J2494" t="str">
            <v/>
          </cell>
          <cell r="K2494" t="str">
            <v/>
          </cell>
          <cell r="L2494" t="str">
            <v/>
          </cell>
        </row>
        <row r="2495">
          <cell r="A2495">
            <v>34000000</v>
          </cell>
          <cell r="C2495">
            <v>34000000</v>
          </cell>
          <cell r="D2495">
            <v>34000000</v>
          </cell>
          <cell r="E2495">
            <v>34000000</v>
          </cell>
          <cell r="F2495">
            <v>34000000</v>
          </cell>
          <cell r="G2495">
            <v>34000000</v>
          </cell>
          <cell r="H2495">
            <v>34000000</v>
          </cell>
          <cell r="I2495" t="str">
            <v/>
          </cell>
          <cell r="J2495" t="str">
            <v/>
          </cell>
          <cell r="K2495" t="str">
            <v/>
          </cell>
          <cell r="L2495" t="str">
            <v/>
          </cell>
        </row>
        <row r="2496">
          <cell r="A2496">
            <v>34000000</v>
          </cell>
          <cell r="C2496">
            <v>34000000</v>
          </cell>
          <cell r="D2496">
            <v>34000000</v>
          </cell>
          <cell r="E2496">
            <v>34000000</v>
          </cell>
          <cell r="F2496">
            <v>34000000</v>
          </cell>
          <cell r="G2496">
            <v>34000000</v>
          </cell>
          <cell r="H2496">
            <v>34000000</v>
          </cell>
          <cell r="I2496" t="str">
            <v/>
          </cell>
          <cell r="J2496" t="str">
            <v/>
          </cell>
          <cell r="K2496" t="str">
            <v/>
          </cell>
          <cell r="L2496" t="str">
            <v/>
          </cell>
        </row>
        <row r="2497">
          <cell r="A2497">
            <v>34000000</v>
          </cell>
          <cell r="C2497">
            <v>34000000</v>
          </cell>
          <cell r="D2497">
            <v>34000000</v>
          </cell>
          <cell r="E2497">
            <v>34000000</v>
          </cell>
          <cell r="F2497">
            <v>34000000</v>
          </cell>
          <cell r="G2497">
            <v>34000000</v>
          </cell>
          <cell r="H2497">
            <v>34000000</v>
          </cell>
          <cell r="I2497" t="str">
            <v/>
          </cell>
          <cell r="J2497" t="str">
            <v/>
          </cell>
          <cell r="K2497" t="str">
            <v/>
          </cell>
          <cell r="L2497" t="str">
            <v/>
          </cell>
        </row>
        <row r="2498">
          <cell r="A2498">
            <v>34000000</v>
          </cell>
          <cell r="C2498">
            <v>34000000</v>
          </cell>
          <cell r="D2498">
            <v>34000000</v>
          </cell>
          <cell r="E2498">
            <v>34000000</v>
          </cell>
          <cell r="F2498">
            <v>34000000</v>
          </cell>
          <cell r="G2498">
            <v>34000000</v>
          </cell>
          <cell r="H2498">
            <v>34000000</v>
          </cell>
          <cell r="I2498" t="str">
            <v/>
          </cell>
          <cell r="J2498" t="str">
            <v/>
          </cell>
          <cell r="K2498" t="str">
            <v/>
          </cell>
          <cell r="L2498" t="str">
            <v/>
          </cell>
        </row>
        <row r="2499">
          <cell r="A2499">
            <v>34000000</v>
          </cell>
          <cell r="C2499">
            <v>34000000</v>
          </cell>
          <cell r="D2499">
            <v>34000000</v>
          </cell>
          <cell r="E2499">
            <v>34000000</v>
          </cell>
          <cell r="F2499">
            <v>34000000</v>
          </cell>
          <cell r="G2499">
            <v>34000000</v>
          </cell>
          <cell r="H2499">
            <v>34000000</v>
          </cell>
          <cell r="I2499" t="str">
            <v/>
          </cell>
          <cell r="J2499" t="str">
            <v/>
          </cell>
          <cell r="K2499" t="str">
            <v/>
          </cell>
          <cell r="L2499" t="str">
            <v/>
          </cell>
        </row>
        <row r="2500">
          <cell r="A2500">
            <v>34000000</v>
          </cell>
          <cell r="C2500">
            <v>34000000</v>
          </cell>
          <cell r="D2500">
            <v>34000000</v>
          </cell>
          <cell r="E2500">
            <v>34000000</v>
          </cell>
          <cell r="F2500">
            <v>34000000</v>
          </cell>
          <cell r="G2500">
            <v>34000000</v>
          </cell>
          <cell r="H2500">
            <v>34000000</v>
          </cell>
          <cell r="I2500" t="str">
            <v/>
          </cell>
          <cell r="J2500" t="str">
            <v/>
          </cell>
          <cell r="K2500" t="str">
            <v/>
          </cell>
          <cell r="L2500" t="str">
            <v/>
          </cell>
        </row>
        <row r="2501">
          <cell r="A2501">
            <v>34000000</v>
          </cell>
          <cell r="C2501">
            <v>34000000</v>
          </cell>
          <cell r="D2501">
            <v>34000000</v>
          </cell>
          <cell r="E2501">
            <v>34000000</v>
          </cell>
          <cell r="F2501">
            <v>34000000</v>
          </cell>
          <cell r="G2501">
            <v>34000000</v>
          </cell>
          <cell r="H2501">
            <v>34000000</v>
          </cell>
          <cell r="I2501" t="str">
            <v/>
          </cell>
          <cell r="J2501" t="str">
            <v/>
          </cell>
          <cell r="K2501" t="str">
            <v/>
          </cell>
          <cell r="L2501" t="str">
            <v/>
          </cell>
        </row>
        <row r="2502">
          <cell r="A2502">
            <v>34000000</v>
          </cell>
          <cell r="C2502">
            <v>34000000</v>
          </cell>
          <cell r="D2502">
            <v>34000000</v>
          </cell>
          <cell r="E2502">
            <v>34000000</v>
          </cell>
          <cell r="F2502">
            <v>34000000</v>
          </cell>
          <cell r="G2502">
            <v>34000000</v>
          </cell>
          <cell r="H2502">
            <v>34000000</v>
          </cell>
          <cell r="I2502" t="str">
            <v/>
          </cell>
          <cell r="J2502" t="str">
            <v/>
          </cell>
          <cell r="K2502" t="str">
            <v/>
          </cell>
          <cell r="L2502" t="str">
            <v/>
          </cell>
        </row>
        <row r="2503">
          <cell r="A2503">
            <v>34000000</v>
          </cell>
          <cell r="C2503">
            <v>34000000</v>
          </cell>
          <cell r="D2503">
            <v>34000000</v>
          </cell>
          <cell r="E2503">
            <v>34000000</v>
          </cell>
          <cell r="F2503">
            <v>34000000</v>
          </cell>
          <cell r="G2503">
            <v>34000000</v>
          </cell>
          <cell r="H2503">
            <v>34000000</v>
          </cell>
          <cell r="I2503" t="str">
            <v/>
          </cell>
          <cell r="J2503" t="str">
            <v/>
          </cell>
          <cell r="K2503" t="str">
            <v/>
          </cell>
          <cell r="L2503" t="str">
            <v/>
          </cell>
        </row>
        <row r="2504">
          <cell r="A2504">
            <v>34000000</v>
          </cell>
          <cell r="C2504">
            <v>34000000</v>
          </cell>
          <cell r="D2504">
            <v>34000000</v>
          </cell>
          <cell r="E2504">
            <v>34000000</v>
          </cell>
          <cell r="F2504">
            <v>34000000</v>
          </cell>
          <cell r="G2504">
            <v>34000000</v>
          </cell>
          <cell r="H2504">
            <v>34000000</v>
          </cell>
          <cell r="I2504" t="str">
            <v/>
          </cell>
          <cell r="J2504" t="str">
            <v/>
          </cell>
          <cell r="K2504" t="str">
            <v/>
          </cell>
          <cell r="L2504" t="str">
            <v/>
          </cell>
        </row>
        <row r="2505">
          <cell r="A2505">
            <v>34000000</v>
          </cell>
          <cell r="C2505">
            <v>34000000</v>
          </cell>
          <cell r="D2505">
            <v>34000000</v>
          </cell>
          <cell r="E2505">
            <v>34000000</v>
          </cell>
          <cell r="F2505">
            <v>34000000</v>
          </cell>
          <cell r="G2505">
            <v>34000000</v>
          </cell>
          <cell r="H2505">
            <v>34000000</v>
          </cell>
          <cell r="I2505" t="str">
            <v/>
          </cell>
          <cell r="J2505" t="str">
            <v/>
          </cell>
          <cell r="K2505" t="str">
            <v/>
          </cell>
          <cell r="L2505" t="str">
            <v/>
          </cell>
        </row>
        <row r="2506">
          <cell r="A2506">
            <v>34000000</v>
          </cell>
          <cell r="C2506">
            <v>34000000</v>
          </cell>
          <cell r="D2506">
            <v>34000000</v>
          </cell>
          <cell r="E2506">
            <v>34000000</v>
          </cell>
          <cell r="F2506">
            <v>34000000</v>
          </cell>
          <cell r="G2506">
            <v>34000000</v>
          </cell>
          <cell r="H2506">
            <v>34000000</v>
          </cell>
          <cell r="I2506" t="str">
            <v/>
          </cell>
          <cell r="J2506" t="str">
            <v/>
          </cell>
          <cell r="K2506" t="str">
            <v/>
          </cell>
          <cell r="L2506" t="str">
            <v/>
          </cell>
        </row>
        <row r="2507">
          <cell r="A2507">
            <v>34000000</v>
          </cell>
          <cell r="C2507">
            <v>34000000</v>
          </cell>
          <cell r="D2507">
            <v>34000000</v>
          </cell>
          <cell r="E2507">
            <v>34000000</v>
          </cell>
          <cell r="F2507">
            <v>34000000</v>
          </cell>
          <cell r="G2507">
            <v>34000000</v>
          </cell>
          <cell r="H2507">
            <v>34000000</v>
          </cell>
          <cell r="I2507" t="str">
            <v/>
          </cell>
          <cell r="J2507" t="str">
            <v/>
          </cell>
          <cell r="K2507" t="str">
            <v/>
          </cell>
          <cell r="L2507" t="str">
            <v/>
          </cell>
        </row>
        <row r="2508">
          <cell r="A2508">
            <v>34000000</v>
          </cell>
          <cell r="C2508">
            <v>34000000</v>
          </cell>
          <cell r="D2508">
            <v>34000000</v>
          </cell>
          <cell r="E2508">
            <v>34000000</v>
          </cell>
          <cell r="F2508">
            <v>34000000</v>
          </cell>
          <cell r="G2508">
            <v>34000000</v>
          </cell>
          <cell r="H2508">
            <v>34000000</v>
          </cell>
          <cell r="I2508" t="str">
            <v/>
          </cell>
          <cell r="J2508" t="str">
            <v/>
          </cell>
          <cell r="K2508" t="str">
            <v/>
          </cell>
          <cell r="L2508" t="str">
            <v/>
          </cell>
        </row>
        <row r="2509">
          <cell r="A2509">
            <v>34000000</v>
          </cell>
          <cell r="C2509">
            <v>34000000</v>
          </cell>
          <cell r="D2509">
            <v>34000000</v>
          </cell>
          <cell r="E2509">
            <v>34000000</v>
          </cell>
          <cell r="F2509">
            <v>34000000</v>
          </cell>
          <cell r="G2509">
            <v>34000000</v>
          </cell>
          <cell r="H2509">
            <v>34000000</v>
          </cell>
          <cell r="I2509" t="str">
            <v/>
          </cell>
          <cell r="J2509" t="str">
            <v/>
          </cell>
          <cell r="K2509" t="str">
            <v/>
          </cell>
          <cell r="L2509" t="str">
            <v/>
          </cell>
        </row>
        <row r="2510">
          <cell r="A2510">
            <v>34000000</v>
          </cell>
          <cell r="C2510">
            <v>34000000</v>
          </cell>
          <cell r="D2510">
            <v>34000000</v>
          </cell>
          <cell r="E2510">
            <v>34000000</v>
          </cell>
          <cell r="F2510">
            <v>34000000</v>
          </cell>
          <cell r="G2510">
            <v>34000000</v>
          </cell>
          <cell r="H2510">
            <v>34000000</v>
          </cell>
          <cell r="I2510" t="str">
            <v/>
          </cell>
          <cell r="J2510" t="str">
            <v/>
          </cell>
          <cell r="K2510" t="str">
            <v/>
          </cell>
          <cell r="L2510" t="str">
            <v/>
          </cell>
        </row>
        <row r="2511">
          <cell r="A2511">
            <v>34000000</v>
          </cell>
          <cell r="C2511">
            <v>34000000</v>
          </cell>
          <cell r="D2511">
            <v>34000000</v>
          </cell>
          <cell r="E2511">
            <v>34000000</v>
          </cell>
          <cell r="F2511">
            <v>34000000</v>
          </cell>
          <cell r="G2511">
            <v>34000000</v>
          </cell>
          <cell r="H2511">
            <v>34000000</v>
          </cell>
          <cell r="I2511" t="str">
            <v/>
          </cell>
          <cell r="J2511" t="str">
            <v/>
          </cell>
          <cell r="K2511" t="str">
            <v/>
          </cell>
          <cell r="L2511" t="str">
            <v/>
          </cell>
        </row>
        <row r="2512">
          <cell r="A2512">
            <v>34000000</v>
          </cell>
          <cell r="C2512">
            <v>34000000</v>
          </cell>
          <cell r="D2512">
            <v>34000000</v>
          </cell>
          <cell r="E2512">
            <v>34000000</v>
          </cell>
          <cell r="F2512">
            <v>34000000</v>
          </cell>
          <cell r="G2512">
            <v>34000000</v>
          </cell>
          <cell r="H2512">
            <v>34000000</v>
          </cell>
          <cell r="I2512" t="str">
            <v/>
          </cell>
          <cell r="J2512" t="str">
            <v/>
          </cell>
          <cell r="K2512" t="str">
            <v/>
          </cell>
          <cell r="L2512" t="str">
            <v/>
          </cell>
        </row>
        <row r="2513">
          <cell r="A2513">
            <v>34000000</v>
          </cell>
          <cell r="C2513">
            <v>34000000</v>
          </cell>
          <cell r="D2513">
            <v>34000000</v>
          </cell>
          <cell r="E2513">
            <v>34000000</v>
          </cell>
          <cell r="F2513">
            <v>34000000</v>
          </cell>
          <cell r="G2513">
            <v>34000000</v>
          </cell>
          <cell r="H2513">
            <v>34000000</v>
          </cell>
          <cell r="I2513" t="str">
            <v/>
          </cell>
          <cell r="J2513" t="str">
            <v/>
          </cell>
          <cell r="K2513" t="str">
            <v/>
          </cell>
          <cell r="L2513" t="str">
            <v/>
          </cell>
        </row>
        <row r="2514">
          <cell r="A2514">
            <v>34000000</v>
          </cell>
          <cell r="C2514">
            <v>34000000</v>
          </cell>
          <cell r="D2514">
            <v>34000000</v>
          </cell>
          <cell r="E2514">
            <v>34000000</v>
          </cell>
          <cell r="F2514">
            <v>34000000</v>
          </cell>
          <cell r="G2514">
            <v>34000000</v>
          </cell>
          <cell r="H2514">
            <v>34000000</v>
          </cell>
          <cell r="I2514" t="str">
            <v/>
          </cell>
          <cell r="J2514" t="str">
            <v/>
          </cell>
          <cell r="K2514" t="str">
            <v/>
          </cell>
          <cell r="L2514" t="str">
            <v/>
          </cell>
        </row>
        <row r="2515">
          <cell r="A2515">
            <v>34000000</v>
          </cell>
          <cell r="C2515">
            <v>34000000</v>
          </cell>
          <cell r="D2515">
            <v>34000000</v>
          </cell>
          <cell r="E2515">
            <v>34000000</v>
          </cell>
          <cell r="F2515">
            <v>34000000</v>
          </cell>
          <cell r="G2515">
            <v>34000000</v>
          </cell>
          <cell r="H2515">
            <v>34000000</v>
          </cell>
          <cell r="I2515" t="str">
            <v/>
          </cell>
          <cell r="J2515" t="str">
            <v/>
          </cell>
          <cell r="K2515" t="str">
            <v/>
          </cell>
          <cell r="L2515" t="str">
            <v/>
          </cell>
        </row>
        <row r="2516">
          <cell r="A2516">
            <v>34000000</v>
          </cell>
          <cell r="C2516">
            <v>34000000</v>
          </cell>
          <cell r="D2516">
            <v>34000000</v>
          </cell>
          <cell r="E2516">
            <v>34000000</v>
          </cell>
          <cell r="F2516">
            <v>34000000</v>
          </cell>
          <cell r="G2516">
            <v>34000000</v>
          </cell>
          <cell r="H2516">
            <v>34000000</v>
          </cell>
          <cell r="I2516" t="str">
            <v/>
          </cell>
          <cell r="J2516" t="str">
            <v/>
          </cell>
          <cell r="K2516" t="str">
            <v/>
          </cell>
          <cell r="L2516" t="str">
            <v/>
          </cell>
        </row>
        <row r="2517">
          <cell r="A2517">
            <v>34000000</v>
          </cell>
          <cell r="C2517">
            <v>34000000</v>
          </cell>
          <cell r="D2517">
            <v>34000000</v>
          </cell>
          <cell r="E2517">
            <v>34000000</v>
          </cell>
          <cell r="F2517">
            <v>34000000</v>
          </cell>
          <cell r="G2517">
            <v>34000000</v>
          </cell>
          <cell r="H2517">
            <v>34000000</v>
          </cell>
          <cell r="I2517" t="str">
            <v/>
          </cell>
          <cell r="J2517" t="str">
            <v/>
          </cell>
          <cell r="K2517" t="str">
            <v/>
          </cell>
          <cell r="L2517" t="str">
            <v/>
          </cell>
        </row>
        <row r="2518">
          <cell r="A2518">
            <v>34000000</v>
          </cell>
          <cell r="C2518">
            <v>34000000</v>
          </cell>
          <cell r="D2518">
            <v>34000000</v>
          </cell>
          <cell r="E2518">
            <v>34000000</v>
          </cell>
          <cell r="F2518">
            <v>34000000</v>
          </cell>
          <cell r="G2518">
            <v>34000000</v>
          </cell>
          <cell r="H2518">
            <v>34000000</v>
          </cell>
          <cell r="I2518" t="str">
            <v/>
          </cell>
          <cell r="J2518" t="str">
            <v/>
          </cell>
          <cell r="K2518" t="str">
            <v/>
          </cell>
          <cell r="L2518" t="str">
            <v/>
          </cell>
        </row>
        <row r="2519">
          <cell r="A2519">
            <v>34000000</v>
          </cell>
          <cell r="C2519">
            <v>34000000</v>
          </cell>
          <cell r="D2519">
            <v>34000000</v>
          </cell>
          <cell r="E2519">
            <v>34000000</v>
          </cell>
          <cell r="F2519">
            <v>34000000</v>
          </cell>
          <cell r="G2519">
            <v>34000000</v>
          </cell>
          <cell r="H2519">
            <v>34000000</v>
          </cell>
          <cell r="I2519" t="str">
            <v/>
          </cell>
          <cell r="J2519" t="str">
            <v/>
          </cell>
          <cell r="K2519" t="str">
            <v/>
          </cell>
          <cell r="L2519" t="str">
            <v/>
          </cell>
        </row>
        <row r="2520">
          <cell r="A2520">
            <v>34000000</v>
          </cell>
          <cell r="C2520">
            <v>34000000</v>
          </cell>
          <cell r="D2520">
            <v>34000000</v>
          </cell>
          <cell r="E2520">
            <v>34000000</v>
          </cell>
          <cell r="F2520">
            <v>34000000</v>
          </cell>
          <cell r="G2520">
            <v>34000000</v>
          </cell>
          <cell r="H2520">
            <v>34000000</v>
          </cell>
          <cell r="I2520" t="str">
            <v/>
          </cell>
          <cell r="J2520" t="str">
            <v/>
          </cell>
          <cell r="K2520" t="str">
            <v/>
          </cell>
          <cell r="L2520" t="str">
            <v/>
          </cell>
        </row>
        <row r="2521">
          <cell r="A2521">
            <v>34000000</v>
          </cell>
          <cell r="C2521">
            <v>34000000</v>
          </cell>
          <cell r="D2521">
            <v>34000000</v>
          </cell>
          <cell r="E2521">
            <v>34000000</v>
          </cell>
          <cell r="F2521">
            <v>34000000</v>
          </cell>
          <cell r="G2521">
            <v>34000000</v>
          </cell>
          <cell r="H2521">
            <v>34000000</v>
          </cell>
          <cell r="I2521" t="str">
            <v/>
          </cell>
          <cell r="J2521" t="str">
            <v/>
          </cell>
          <cell r="K2521" t="str">
            <v/>
          </cell>
          <cell r="L2521" t="str">
            <v/>
          </cell>
        </row>
        <row r="2522">
          <cell r="A2522">
            <v>34000000</v>
          </cell>
          <cell r="C2522">
            <v>34000000</v>
          </cell>
          <cell r="D2522">
            <v>34000000</v>
          </cell>
          <cell r="E2522">
            <v>34000000</v>
          </cell>
          <cell r="F2522">
            <v>34000000</v>
          </cell>
          <cell r="G2522">
            <v>34000000</v>
          </cell>
          <cell r="H2522">
            <v>34000000</v>
          </cell>
          <cell r="I2522" t="str">
            <v/>
          </cell>
          <cell r="J2522" t="str">
            <v/>
          </cell>
          <cell r="K2522" t="str">
            <v/>
          </cell>
          <cell r="L2522" t="str">
            <v/>
          </cell>
        </row>
        <row r="2523">
          <cell r="A2523">
            <v>34000000</v>
          </cell>
          <cell r="C2523">
            <v>34000000</v>
          </cell>
          <cell r="D2523">
            <v>34000000</v>
          </cell>
          <cell r="E2523">
            <v>34000000</v>
          </cell>
          <cell r="F2523">
            <v>34000000</v>
          </cell>
          <cell r="G2523">
            <v>34000000</v>
          </cell>
          <cell r="H2523">
            <v>34000000</v>
          </cell>
          <cell r="I2523" t="str">
            <v/>
          </cell>
          <cell r="J2523" t="str">
            <v/>
          </cell>
          <cell r="K2523" t="str">
            <v/>
          </cell>
          <cell r="L2523" t="str">
            <v/>
          </cell>
        </row>
        <row r="2524">
          <cell r="A2524">
            <v>34000000</v>
          </cell>
          <cell r="C2524">
            <v>34000000</v>
          </cell>
          <cell r="D2524">
            <v>34000000</v>
          </cell>
          <cell r="E2524">
            <v>34000000</v>
          </cell>
          <cell r="F2524">
            <v>34000000</v>
          </cell>
          <cell r="G2524">
            <v>34000000</v>
          </cell>
          <cell r="H2524">
            <v>34000000</v>
          </cell>
          <cell r="I2524" t="str">
            <v/>
          </cell>
          <cell r="J2524" t="str">
            <v/>
          </cell>
          <cell r="K2524" t="str">
            <v/>
          </cell>
          <cell r="L2524" t="str">
            <v/>
          </cell>
        </row>
        <row r="2525">
          <cell r="A2525">
            <v>34000000</v>
          </cell>
          <cell r="C2525">
            <v>34000000</v>
          </cell>
          <cell r="D2525">
            <v>34000000</v>
          </cell>
          <cell r="E2525">
            <v>34000000</v>
          </cell>
          <cell r="F2525">
            <v>34000000</v>
          </cell>
          <cell r="G2525">
            <v>34000000</v>
          </cell>
          <cell r="H2525">
            <v>34000000</v>
          </cell>
          <cell r="I2525" t="str">
            <v/>
          </cell>
          <cell r="J2525" t="str">
            <v/>
          </cell>
          <cell r="K2525" t="str">
            <v/>
          </cell>
          <cell r="L2525" t="str">
            <v/>
          </cell>
        </row>
        <row r="2526">
          <cell r="A2526">
            <v>34000000</v>
          </cell>
          <cell r="C2526">
            <v>34000000</v>
          </cell>
          <cell r="D2526">
            <v>34000000</v>
          </cell>
          <cell r="E2526">
            <v>34000000</v>
          </cell>
          <cell r="F2526">
            <v>34000000</v>
          </cell>
          <cell r="G2526">
            <v>34000000</v>
          </cell>
          <cell r="H2526">
            <v>34000000</v>
          </cell>
          <cell r="I2526" t="str">
            <v/>
          </cell>
          <cell r="J2526" t="str">
            <v/>
          </cell>
          <cell r="K2526" t="str">
            <v/>
          </cell>
          <cell r="L2526" t="str">
            <v/>
          </cell>
        </row>
        <row r="2527">
          <cell r="A2527">
            <v>34000000</v>
          </cell>
          <cell r="C2527">
            <v>34000000</v>
          </cell>
          <cell r="D2527">
            <v>34000000</v>
          </cell>
          <cell r="E2527">
            <v>34000000</v>
          </cell>
          <cell r="F2527">
            <v>34000000</v>
          </cell>
          <cell r="G2527">
            <v>34000000</v>
          </cell>
          <cell r="H2527">
            <v>34000000</v>
          </cell>
          <cell r="I2527" t="str">
            <v/>
          </cell>
          <cell r="J2527" t="str">
            <v/>
          </cell>
          <cell r="K2527" t="str">
            <v/>
          </cell>
          <cell r="L2527" t="str">
            <v/>
          </cell>
        </row>
        <row r="2528">
          <cell r="A2528">
            <v>34000000</v>
          </cell>
          <cell r="C2528">
            <v>34000000</v>
          </cell>
          <cell r="D2528">
            <v>34000000</v>
          </cell>
          <cell r="E2528">
            <v>34000000</v>
          </cell>
          <cell r="F2528">
            <v>34000000</v>
          </cell>
          <cell r="G2528">
            <v>34000000</v>
          </cell>
          <cell r="H2528">
            <v>34000000</v>
          </cell>
          <cell r="I2528" t="str">
            <v/>
          </cell>
          <cell r="J2528" t="str">
            <v/>
          </cell>
          <cell r="K2528" t="str">
            <v/>
          </cell>
          <cell r="L2528" t="str">
            <v/>
          </cell>
        </row>
        <row r="2529">
          <cell r="A2529">
            <v>34000000</v>
          </cell>
          <cell r="C2529">
            <v>34000000</v>
          </cell>
          <cell r="D2529">
            <v>34000000</v>
          </cell>
          <cell r="E2529">
            <v>34000000</v>
          </cell>
          <cell r="F2529">
            <v>34000000</v>
          </cell>
          <cell r="G2529">
            <v>34000000</v>
          </cell>
          <cell r="H2529">
            <v>34000000</v>
          </cell>
          <cell r="I2529" t="str">
            <v/>
          </cell>
          <cell r="J2529" t="str">
            <v/>
          </cell>
          <cell r="K2529" t="str">
            <v/>
          </cell>
          <cell r="L2529" t="str">
            <v/>
          </cell>
        </row>
        <row r="2530">
          <cell r="A2530">
            <v>34000000</v>
          </cell>
          <cell r="C2530">
            <v>34000000</v>
          </cell>
          <cell r="D2530">
            <v>34000000</v>
          </cell>
          <cell r="E2530">
            <v>34000000</v>
          </cell>
          <cell r="F2530">
            <v>34000000</v>
          </cell>
          <cell r="G2530">
            <v>34000000</v>
          </cell>
          <cell r="H2530">
            <v>34000000</v>
          </cell>
          <cell r="I2530" t="str">
            <v/>
          </cell>
          <cell r="J2530" t="str">
            <v/>
          </cell>
          <cell r="K2530" t="str">
            <v/>
          </cell>
          <cell r="L2530" t="str">
            <v/>
          </cell>
        </row>
        <row r="2531">
          <cell r="A2531">
            <v>34000000</v>
          </cell>
          <cell r="C2531">
            <v>34000000</v>
          </cell>
          <cell r="D2531">
            <v>34000000</v>
          </cell>
          <cell r="E2531">
            <v>34000000</v>
          </cell>
          <cell r="F2531">
            <v>34000000</v>
          </cell>
          <cell r="G2531">
            <v>34000000</v>
          </cell>
          <cell r="H2531">
            <v>34000000</v>
          </cell>
          <cell r="I2531" t="str">
            <v/>
          </cell>
          <cell r="J2531" t="str">
            <v/>
          </cell>
          <cell r="K2531" t="str">
            <v/>
          </cell>
          <cell r="L2531" t="str">
            <v/>
          </cell>
        </row>
        <row r="2532">
          <cell r="A2532">
            <v>34000000</v>
          </cell>
          <cell r="C2532">
            <v>34000000</v>
          </cell>
          <cell r="D2532">
            <v>34000000</v>
          </cell>
          <cell r="E2532">
            <v>34000000</v>
          </cell>
          <cell r="F2532">
            <v>34000000</v>
          </cell>
          <cell r="G2532">
            <v>34000000</v>
          </cell>
          <cell r="H2532">
            <v>34000000</v>
          </cell>
          <cell r="I2532" t="str">
            <v/>
          </cell>
          <cell r="J2532" t="str">
            <v/>
          </cell>
          <cell r="K2532" t="str">
            <v/>
          </cell>
          <cell r="L2532" t="str">
            <v/>
          </cell>
        </row>
        <row r="2533">
          <cell r="A2533">
            <v>34000000</v>
          </cell>
          <cell r="C2533">
            <v>34000000</v>
          </cell>
          <cell r="D2533">
            <v>34000000</v>
          </cell>
          <cell r="E2533">
            <v>34000000</v>
          </cell>
          <cell r="F2533">
            <v>34000000</v>
          </cell>
          <cell r="G2533">
            <v>34000000</v>
          </cell>
          <cell r="H2533">
            <v>34000000</v>
          </cell>
          <cell r="I2533" t="str">
            <v/>
          </cell>
          <cell r="J2533" t="str">
            <v/>
          </cell>
          <cell r="K2533" t="str">
            <v/>
          </cell>
          <cell r="L2533" t="str">
            <v/>
          </cell>
        </row>
        <row r="2534">
          <cell r="A2534">
            <v>34000000</v>
          </cell>
          <cell r="C2534">
            <v>34000000</v>
          </cell>
          <cell r="D2534">
            <v>34000000</v>
          </cell>
          <cell r="E2534">
            <v>34000000</v>
          </cell>
          <cell r="F2534">
            <v>34000000</v>
          </cell>
          <cell r="G2534">
            <v>34000000</v>
          </cell>
          <cell r="H2534">
            <v>34000000</v>
          </cell>
          <cell r="I2534" t="str">
            <v/>
          </cell>
          <cell r="J2534" t="str">
            <v/>
          </cell>
          <cell r="K2534" t="str">
            <v/>
          </cell>
          <cell r="L2534" t="str">
            <v/>
          </cell>
        </row>
        <row r="2535">
          <cell r="A2535">
            <v>34000000</v>
          </cell>
          <cell r="C2535">
            <v>34000000</v>
          </cell>
          <cell r="D2535">
            <v>34000000</v>
          </cell>
          <cell r="E2535">
            <v>34000000</v>
          </cell>
          <cell r="F2535">
            <v>34000000</v>
          </cell>
          <cell r="G2535">
            <v>34000000</v>
          </cell>
          <cell r="H2535">
            <v>34000000</v>
          </cell>
          <cell r="I2535" t="str">
            <v/>
          </cell>
          <cell r="J2535" t="str">
            <v/>
          </cell>
          <cell r="K2535" t="str">
            <v/>
          </cell>
          <cell r="L2535" t="str">
            <v/>
          </cell>
        </row>
        <row r="2536">
          <cell r="A2536">
            <v>34000000</v>
          </cell>
          <cell r="C2536">
            <v>34000000</v>
          </cell>
          <cell r="D2536">
            <v>34000000</v>
          </cell>
          <cell r="E2536">
            <v>34000000</v>
          </cell>
          <cell r="F2536">
            <v>34000000</v>
          </cell>
          <cell r="G2536">
            <v>34000000</v>
          </cell>
          <cell r="H2536">
            <v>34000000</v>
          </cell>
          <cell r="I2536" t="str">
            <v/>
          </cell>
          <cell r="J2536" t="str">
            <v/>
          </cell>
          <cell r="K2536" t="str">
            <v/>
          </cell>
          <cell r="L2536" t="str">
            <v/>
          </cell>
        </row>
        <row r="2537">
          <cell r="A2537">
            <v>34000000</v>
          </cell>
          <cell r="C2537">
            <v>34000000</v>
          </cell>
          <cell r="D2537">
            <v>34000000</v>
          </cell>
          <cell r="E2537">
            <v>34000000</v>
          </cell>
          <cell r="F2537">
            <v>34000000</v>
          </cell>
          <cell r="G2537">
            <v>34000000</v>
          </cell>
          <cell r="H2537">
            <v>34000000</v>
          </cell>
          <cell r="I2537" t="str">
            <v/>
          </cell>
          <cell r="J2537" t="str">
            <v/>
          </cell>
          <cell r="K2537" t="str">
            <v/>
          </cell>
          <cell r="L2537" t="str">
            <v/>
          </cell>
        </row>
        <row r="2538">
          <cell r="A2538">
            <v>34000000</v>
          </cell>
          <cell r="C2538">
            <v>34000000</v>
          </cell>
          <cell r="D2538">
            <v>34000000</v>
          </cell>
          <cell r="E2538">
            <v>34000000</v>
          </cell>
          <cell r="F2538">
            <v>34000000</v>
          </cell>
          <cell r="G2538">
            <v>34000000</v>
          </cell>
          <cell r="H2538">
            <v>34000000</v>
          </cell>
          <cell r="I2538" t="str">
            <v/>
          </cell>
          <cell r="J2538" t="str">
            <v/>
          </cell>
          <cell r="K2538" t="str">
            <v/>
          </cell>
          <cell r="L2538" t="str">
            <v/>
          </cell>
        </row>
        <row r="2539">
          <cell r="A2539">
            <v>34000000</v>
          </cell>
          <cell r="C2539">
            <v>34000000</v>
          </cell>
          <cell r="D2539">
            <v>34000000</v>
          </cell>
          <cell r="E2539">
            <v>34000000</v>
          </cell>
          <cell r="F2539">
            <v>34000000</v>
          </cell>
          <cell r="G2539">
            <v>34000000</v>
          </cell>
          <cell r="H2539">
            <v>34000000</v>
          </cell>
          <cell r="I2539" t="str">
            <v/>
          </cell>
          <cell r="J2539" t="str">
            <v/>
          </cell>
          <cell r="K2539" t="str">
            <v/>
          </cell>
          <cell r="L2539" t="str">
            <v/>
          </cell>
        </row>
        <row r="2540">
          <cell r="A2540">
            <v>34000000</v>
          </cell>
          <cell r="C2540">
            <v>34000000</v>
          </cell>
          <cell r="D2540">
            <v>34000000</v>
          </cell>
          <cell r="E2540">
            <v>34000000</v>
          </cell>
          <cell r="F2540">
            <v>34000000</v>
          </cell>
          <cell r="G2540">
            <v>34000000</v>
          </cell>
          <cell r="H2540">
            <v>34000000</v>
          </cell>
          <cell r="I2540" t="str">
            <v/>
          </cell>
          <cell r="J2540" t="str">
            <v/>
          </cell>
          <cell r="K2540" t="str">
            <v/>
          </cell>
          <cell r="L2540" t="str">
            <v/>
          </cell>
        </row>
        <row r="2541">
          <cell r="A2541">
            <v>34000000</v>
          </cell>
          <cell r="C2541">
            <v>34000000</v>
          </cell>
          <cell r="D2541">
            <v>34000000</v>
          </cell>
          <cell r="E2541">
            <v>34000000</v>
          </cell>
          <cell r="F2541">
            <v>34000000</v>
          </cell>
          <cell r="G2541">
            <v>34000000</v>
          </cell>
          <cell r="H2541">
            <v>34000000</v>
          </cell>
          <cell r="I2541" t="str">
            <v/>
          </cell>
          <cell r="J2541" t="str">
            <v/>
          </cell>
          <cell r="K2541" t="str">
            <v/>
          </cell>
          <cell r="L2541" t="str">
            <v/>
          </cell>
        </row>
        <row r="2542">
          <cell r="A2542">
            <v>34000000</v>
          </cell>
          <cell r="C2542">
            <v>34000000</v>
          </cell>
          <cell r="D2542">
            <v>34000000</v>
          </cell>
          <cell r="E2542">
            <v>34000000</v>
          </cell>
          <cell r="F2542">
            <v>34000000</v>
          </cell>
          <cell r="G2542">
            <v>34000000</v>
          </cell>
          <cell r="H2542">
            <v>34000000</v>
          </cell>
          <cell r="I2542" t="str">
            <v/>
          </cell>
          <cell r="J2542" t="str">
            <v/>
          </cell>
          <cell r="K2542" t="str">
            <v/>
          </cell>
          <cell r="L2542" t="str">
            <v/>
          </cell>
        </row>
        <row r="2543">
          <cell r="A2543">
            <v>34000000</v>
          </cell>
          <cell r="C2543">
            <v>34000000</v>
          </cell>
          <cell r="D2543">
            <v>34000000</v>
          </cell>
          <cell r="E2543">
            <v>34000000</v>
          </cell>
          <cell r="F2543">
            <v>34000000</v>
          </cell>
          <cell r="G2543">
            <v>34000000</v>
          </cell>
          <cell r="H2543">
            <v>34000000</v>
          </cell>
          <cell r="I2543" t="str">
            <v/>
          </cell>
          <cell r="J2543" t="str">
            <v/>
          </cell>
          <cell r="K2543" t="str">
            <v/>
          </cell>
          <cell r="L2543" t="str">
            <v/>
          </cell>
        </row>
        <row r="2544">
          <cell r="A2544">
            <v>34000000</v>
          </cell>
          <cell r="C2544">
            <v>34000000</v>
          </cell>
          <cell r="D2544">
            <v>34000000</v>
          </cell>
          <cell r="E2544">
            <v>34000000</v>
          </cell>
          <cell r="F2544">
            <v>34000000</v>
          </cell>
          <cell r="G2544">
            <v>34000000</v>
          </cell>
          <cell r="H2544">
            <v>34000000</v>
          </cell>
          <cell r="I2544" t="str">
            <v/>
          </cell>
          <cell r="J2544" t="str">
            <v/>
          </cell>
          <cell r="K2544" t="str">
            <v/>
          </cell>
          <cell r="L2544" t="str">
            <v/>
          </cell>
        </row>
        <row r="2545">
          <cell r="A2545">
            <v>34000000</v>
          </cell>
          <cell r="C2545">
            <v>34000000</v>
          </cell>
          <cell r="D2545">
            <v>34000000</v>
          </cell>
          <cell r="E2545">
            <v>34000000</v>
          </cell>
          <cell r="F2545">
            <v>34000000</v>
          </cell>
          <cell r="G2545">
            <v>34000000</v>
          </cell>
          <cell r="H2545">
            <v>34000000</v>
          </cell>
          <cell r="I2545" t="str">
            <v/>
          </cell>
          <cell r="J2545" t="str">
            <v/>
          </cell>
          <cell r="K2545" t="str">
            <v/>
          </cell>
          <cell r="L2545" t="str">
            <v/>
          </cell>
        </row>
        <row r="2546">
          <cell r="A2546">
            <v>34000000</v>
          </cell>
          <cell r="C2546">
            <v>34000000</v>
          </cell>
          <cell r="D2546">
            <v>34000000</v>
          </cell>
          <cell r="E2546">
            <v>34000000</v>
          </cell>
          <cell r="F2546">
            <v>34000000</v>
          </cell>
          <cell r="G2546">
            <v>34000000</v>
          </cell>
          <cell r="H2546">
            <v>34000000</v>
          </cell>
          <cell r="I2546" t="str">
            <v/>
          </cell>
          <cell r="J2546" t="str">
            <v/>
          </cell>
          <cell r="K2546" t="str">
            <v/>
          </cell>
          <cell r="L2546" t="str">
            <v/>
          </cell>
        </row>
        <row r="2547">
          <cell r="A2547">
            <v>34000000</v>
          </cell>
          <cell r="C2547">
            <v>34000000</v>
          </cell>
          <cell r="D2547">
            <v>34000000</v>
          </cell>
          <cell r="E2547">
            <v>34000000</v>
          </cell>
          <cell r="F2547">
            <v>34000000</v>
          </cell>
          <cell r="G2547">
            <v>34000000</v>
          </cell>
          <cell r="H2547">
            <v>34000000</v>
          </cell>
          <cell r="I2547" t="str">
            <v/>
          </cell>
          <cell r="J2547" t="str">
            <v/>
          </cell>
          <cell r="K2547" t="str">
            <v/>
          </cell>
          <cell r="L2547" t="str">
            <v/>
          </cell>
        </row>
        <row r="2548">
          <cell r="A2548">
            <v>34000000</v>
          </cell>
          <cell r="C2548">
            <v>34000000</v>
          </cell>
          <cell r="D2548">
            <v>34000000</v>
          </cell>
          <cell r="E2548">
            <v>34000000</v>
          </cell>
          <cell r="F2548">
            <v>34000000</v>
          </cell>
          <cell r="G2548">
            <v>34000000</v>
          </cell>
          <cell r="H2548">
            <v>34000000</v>
          </cell>
          <cell r="I2548" t="str">
            <v/>
          </cell>
          <cell r="J2548" t="str">
            <v/>
          </cell>
          <cell r="K2548" t="str">
            <v/>
          </cell>
          <cell r="L2548" t="str">
            <v/>
          </cell>
        </row>
        <row r="2549">
          <cell r="A2549">
            <v>34000000</v>
          </cell>
          <cell r="C2549">
            <v>34000000</v>
          </cell>
          <cell r="D2549">
            <v>34000000</v>
          </cell>
          <cell r="E2549">
            <v>34000000</v>
          </cell>
          <cell r="F2549">
            <v>34000000</v>
          </cell>
          <cell r="G2549">
            <v>34000000</v>
          </cell>
          <cell r="H2549">
            <v>34000000</v>
          </cell>
          <cell r="I2549" t="str">
            <v/>
          </cell>
          <cell r="J2549" t="str">
            <v/>
          </cell>
          <cell r="K2549" t="str">
            <v/>
          </cell>
          <cell r="L2549" t="str">
            <v/>
          </cell>
        </row>
        <row r="2550">
          <cell r="A2550">
            <v>34000000</v>
          </cell>
          <cell r="C2550">
            <v>34000000</v>
          </cell>
          <cell r="D2550">
            <v>34000000</v>
          </cell>
          <cell r="E2550">
            <v>34000000</v>
          </cell>
          <cell r="F2550">
            <v>34000000</v>
          </cell>
          <cell r="G2550">
            <v>34000000</v>
          </cell>
          <cell r="H2550">
            <v>34000000</v>
          </cell>
          <cell r="I2550" t="str">
            <v/>
          </cell>
          <cell r="J2550" t="str">
            <v/>
          </cell>
          <cell r="K2550" t="str">
            <v/>
          </cell>
          <cell r="L2550" t="str">
            <v/>
          </cell>
        </row>
        <row r="2551">
          <cell r="A2551">
            <v>34000000</v>
          </cell>
          <cell r="C2551">
            <v>34000000</v>
          </cell>
          <cell r="D2551">
            <v>34000000</v>
          </cell>
          <cell r="E2551">
            <v>34000000</v>
          </cell>
          <cell r="F2551">
            <v>34000000</v>
          </cell>
          <cell r="G2551">
            <v>34000000</v>
          </cell>
          <cell r="H2551">
            <v>34000000</v>
          </cell>
          <cell r="I2551" t="str">
            <v/>
          </cell>
          <cell r="J2551" t="str">
            <v/>
          </cell>
          <cell r="K2551" t="str">
            <v/>
          </cell>
          <cell r="L2551" t="str">
            <v/>
          </cell>
        </row>
        <row r="2552">
          <cell r="A2552">
            <v>34000000</v>
          </cell>
          <cell r="C2552">
            <v>34000000</v>
          </cell>
          <cell r="D2552">
            <v>34000000</v>
          </cell>
          <cell r="E2552">
            <v>34000000</v>
          </cell>
          <cell r="F2552">
            <v>34000000</v>
          </cell>
          <cell r="G2552">
            <v>34000000</v>
          </cell>
          <cell r="H2552">
            <v>34000000</v>
          </cell>
          <cell r="I2552" t="str">
            <v/>
          </cell>
          <cell r="J2552" t="str">
            <v/>
          </cell>
          <cell r="K2552" t="str">
            <v/>
          </cell>
          <cell r="L2552" t="str">
            <v/>
          </cell>
        </row>
        <row r="2553">
          <cell r="A2553">
            <v>34000000</v>
          </cell>
          <cell r="C2553">
            <v>34000000</v>
          </cell>
          <cell r="D2553">
            <v>34000000</v>
          </cell>
          <cell r="E2553">
            <v>34000000</v>
          </cell>
          <cell r="F2553">
            <v>34000000</v>
          </cell>
          <cell r="G2553">
            <v>34000000</v>
          </cell>
          <cell r="H2553">
            <v>34000000</v>
          </cell>
          <cell r="I2553" t="str">
            <v/>
          </cell>
          <cell r="J2553" t="str">
            <v/>
          </cell>
          <cell r="K2553" t="str">
            <v/>
          </cell>
          <cell r="L2553" t="str">
            <v/>
          </cell>
        </row>
        <row r="2554">
          <cell r="A2554">
            <v>34000000</v>
          </cell>
          <cell r="C2554">
            <v>34000000</v>
          </cell>
          <cell r="D2554">
            <v>34000000</v>
          </cell>
          <cell r="E2554">
            <v>34000000</v>
          </cell>
          <cell r="F2554">
            <v>34000000</v>
          </cell>
          <cell r="G2554">
            <v>34000000</v>
          </cell>
          <cell r="H2554">
            <v>34000000</v>
          </cell>
          <cell r="I2554" t="str">
            <v/>
          </cell>
          <cell r="J2554" t="str">
            <v/>
          </cell>
          <cell r="K2554" t="str">
            <v/>
          </cell>
          <cell r="L2554" t="str">
            <v/>
          </cell>
        </row>
        <row r="2555">
          <cell r="A2555">
            <v>34000000</v>
          </cell>
          <cell r="C2555">
            <v>34000000</v>
          </cell>
          <cell r="D2555">
            <v>34000000</v>
          </cell>
          <cell r="E2555">
            <v>34000000</v>
          </cell>
          <cell r="F2555">
            <v>34000000</v>
          </cell>
          <cell r="G2555">
            <v>34000000</v>
          </cell>
          <cell r="H2555">
            <v>34000000</v>
          </cell>
          <cell r="I2555" t="str">
            <v/>
          </cell>
          <cell r="J2555" t="str">
            <v/>
          </cell>
          <cell r="K2555" t="str">
            <v/>
          </cell>
          <cell r="L2555" t="str">
            <v/>
          </cell>
        </row>
        <row r="2556">
          <cell r="A2556">
            <v>34000000</v>
          </cell>
          <cell r="C2556">
            <v>34000000</v>
          </cell>
          <cell r="D2556">
            <v>34000000</v>
          </cell>
          <cell r="E2556">
            <v>34000000</v>
          </cell>
          <cell r="F2556">
            <v>34000000</v>
          </cell>
          <cell r="G2556">
            <v>34000000</v>
          </cell>
          <cell r="H2556">
            <v>34000000</v>
          </cell>
          <cell r="I2556" t="str">
            <v/>
          </cell>
          <cell r="J2556" t="str">
            <v/>
          </cell>
          <cell r="K2556" t="str">
            <v/>
          </cell>
          <cell r="L2556" t="str">
            <v/>
          </cell>
        </row>
        <row r="2557">
          <cell r="A2557">
            <v>34000000</v>
          </cell>
          <cell r="C2557">
            <v>34000000</v>
          </cell>
          <cell r="D2557">
            <v>34000000</v>
          </cell>
          <cell r="E2557">
            <v>34000000</v>
          </cell>
          <cell r="F2557">
            <v>34000000</v>
          </cell>
          <cell r="G2557">
            <v>34000000</v>
          </cell>
          <cell r="H2557">
            <v>34000000</v>
          </cell>
          <cell r="I2557" t="str">
            <v/>
          </cell>
          <cell r="J2557" t="str">
            <v/>
          </cell>
          <cell r="K2557" t="str">
            <v/>
          </cell>
          <cell r="L2557" t="str">
            <v/>
          </cell>
        </row>
        <row r="2558">
          <cell r="A2558">
            <v>34000000</v>
          </cell>
          <cell r="C2558">
            <v>34000000</v>
          </cell>
          <cell r="D2558">
            <v>34000000</v>
          </cell>
          <cell r="E2558">
            <v>34000000</v>
          </cell>
          <cell r="F2558">
            <v>34000000</v>
          </cell>
          <cell r="G2558">
            <v>34000000</v>
          </cell>
          <cell r="H2558">
            <v>34000000</v>
          </cell>
          <cell r="I2558" t="str">
            <v/>
          </cell>
          <cell r="J2558" t="str">
            <v/>
          </cell>
          <cell r="K2558" t="str">
            <v/>
          </cell>
          <cell r="L2558" t="str">
            <v/>
          </cell>
        </row>
        <row r="2559">
          <cell r="A2559">
            <v>34000000</v>
          </cell>
          <cell r="C2559">
            <v>34000000</v>
          </cell>
          <cell r="D2559">
            <v>34000000</v>
          </cell>
          <cell r="E2559">
            <v>34000000</v>
          </cell>
          <cell r="F2559">
            <v>34000000</v>
          </cell>
          <cell r="G2559">
            <v>34000000</v>
          </cell>
          <cell r="H2559">
            <v>34000000</v>
          </cell>
          <cell r="I2559" t="str">
            <v/>
          </cell>
          <cell r="J2559" t="str">
            <v/>
          </cell>
          <cell r="K2559" t="str">
            <v/>
          </cell>
          <cell r="L2559" t="str">
            <v/>
          </cell>
        </row>
        <row r="2560">
          <cell r="A2560">
            <v>34000000</v>
          </cell>
          <cell r="C2560">
            <v>34000000</v>
          </cell>
          <cell r="D2560">
            <v>34000000</v>
          </cell>
          <cell r="E2560">
            <v>34000000</v>
          </cell>
          <cell r="F2560">
            <v>34000000</v>
          </cell>
          <cell r="G2560">
            <v>34000000</v>
          </cell>
          <cell r="H2560">
            <v>34000000</v>
          </cell>
          <cell r="I2560" t="str">
            <v/>
          </cell>
          <cell r="J2560" t="str">
            <v/>
          </cell>
          <cell r="K2560" t="str">
            <v/>
          </cell>
          <cell r="L2560" t="str">
            <v/>
          </cell>
        </row>
        <row r="2561">
          <cell r="A2561">
            <v>34000000</v>
          </cell>
          <cell r="C2561">
            <v>34000000</v>
          </cell>
          <cell r="D2561">
            <v>34000000</v>
          </cell>
          <cell r="E2561">
            <v>34000000</v>
          </cell>
          <cell r="F2561">
            <v>34000000</v>
          </cell>
          <cell r="G2561">
            <v>34000000</v>
          </cell>
          <cell r="H2561">
            <v>34000000</v>
          </cell>
          <cell r="I2561" t="str">
            <v/>
          </cell>
          <cell r="J2561" t="str">
            <v/>
          </cell>
          <cell r="K2561" t="str">
            <v/>
          </cell>
          <cell r="L2561" t="str">
            <v/>
          </cell>
        </row>
        <row r="2562">
          <cell r="A2562">
            <v>34000000</v>
          </cell>
          <cell r="C2562">
            <v>34000000</v>
          </cell>
          <cell r="D2562">
            <v>34000000</v>
          </cell>
          <cell r="E2562">
            <v>34000000</v>
          </cell>
          <cell r="F2562">
            <v>34000000</v>
          </cell>
          <cell r="G2562">
            <v>34000000</v>
          </cell>
          <cell r="H2562">
            <v>34000000</v>
          </cell>
          <cell r="I2562" t="str">
            <v/>
          </cell>
          <cell r="J2562" t="str">
            <v/>
          </cell>
          <cell r="K2562" t="str">
            <v/>
          </cell>
          <cell r="L2562" t="str">
            <v/>
          </cell>
        </row>
        <row r="2563">
          <cell r="A2563">
            <v>34000000</v>
          </cell>
          <cell r="C2563">
            <v>34000000</v>
          </cell>
          <cell r="D2563">
            <v>34000000</v>
          </cell>
          <cell r="E2563">
            <v>34000000</v>
          </cell>
          <cell r="F2563">
            <v>34000000</v>
          </cell>
          <cell r="G2563">
            <v>34000000</v>
          </cell>
          <cell r="H2563">
            <v>34000000</v>
          </cell>
          <cell r="I2563" t="str">
            <v/>
          </cell>
          <cell r="J2563" t="str">
            <v/>
          </cell>
          <cell r="K2563" t="str">
            <v/>
          </cell>
          <cell r="L2563" t="str">
            <v/>
          </cell>
        </row>
        <row r="2564">
          <cell r="A2564">
            <v>34000000</v>
          </cell>
          <cell r="C2564">
            <v>34000000</v>
          </cell>
          <cell r="D2564">
            <v>34000000</v>
          </cell>
          <cell r="E2564">
            <v>34000000</v>
          </cell>
          <cell r="F2564">
            <v>34000000</v>
          </cell>
          <cell r="G2564">
            <v>34000000</v>
          </cell>
          <cell r="H2564">
            <v>34000000</v>
          </cell>
          <cell r="I2564" t="str">
            <v/>
          </cell>
          <cell r="J2564" t="str">
            <v/>
          </cell>
          <cell r="K2564" t="str">
            <v/>
          </cell>
          <cell r="L2564" t="str">
            <v/>
          </cell>
        </row>
        <row r="2565">
          <cell r="A2565">
            <v>34000000</v>
          </cell>
          <cell r="C2565">
            <v>34000000</v>
          </cell>
          <cell r="D2565">
            <v>34000000</v>
          </cell>
          <cell r="E2565">
            <v>34000000</v>
          </cell>
          <cell r="F2565">
            <v>34000000</v>
          </cell>
          <cell r="G2565">
            <v>34000000</v>
          </cell>
          <cell r="H2565">
            <v>34000000</v>
          </cell>
          <cell r="I2565" t="str">
            <v/>
          </cell>
          <cell r="J2565" t="str">
            <v/>
          </cell>
          <cell r="K2565" t="str">
            <v/>
          </cell>
          <cell r="L2565" t="str">
            <v/>
          </cell>
        </row>
        <row r="2566">
          <cell r="A2566">
            <v>34000000</v>
          </cell>
          <cell r="C2566">
            <v>34000000</v>
          </cell>
          <cell r="D2566">
            <v>34000000</v>
          </cell>
          <cell r="E2566">
            <v>34000000</v>
          </cell>
          <cell r="F2566">
            <v>34000000</v>
          </cell>
          <cell r="G2566">
            <v>34000000</v>
          </cell>
          <cell r="H2566">
            <v>34000000</v>
          </cell>
          <cell r="I2566" t="str">
            <v/>
          </cell>
          <cell r="J2566" t="str">
            <v/>
          </cell>
          <cell r="K2566" t="str">
            <v/>
          </cell>
          <cell r="L2566" t="str">
            <v/>
          </cell>
        </row>
        <row r="2567">
          <cell r="A2567">
            <v>34000000</v>
          </cell>
          <cell r="C2567">
            <v>34000000</v>
          </cell>
          <cell r="D2567">
            <v>34000000</v>
          </cell>
          <cell r="E2567">
            <v>34000000</v>
          </cell>
          <cell r="F2567">
            <v>34000000</v>
          </cell>
          <cell r="G2567">
            <v>34000000</v>
          </cell>
          <cell r="H2567">
            <v>34000000</v>
          </cell>
          <cell r="I2567" t="str">
            <v/>
          </cell>
          <cell r="J2567" t="str">
            <v/>
          </cell>
          <cell r="K2567" t="str">
            <v/>
          </cell>
          <cell r="L2567" t="str">
            <v/>
          </cell>
        </row>
        <row r="2568">
          <cell r="A2568">
            <v>34000000</v>
          </cell>
          <cell r="C2568">
            <v>34000000</v>
          </cell>
          <cell r="D2568">
            <v>34000000</v>
          </cell>
          <cell r="E2568">
            <v>34000000</v>
          </cell>
          <cell r="F2568">
            <v>34000000</v>
          </cell>
          <cell r="G2568">
            <v>34000000</v>
          </cell>
          <cell r="H2568">
            <v>34000000</v>
          </cell>
          <cell r="I2568" t="str">
            <v/>
          </cell>
          <cell r="J2568" t="str">
            <v/>
          </cell>
          <cell r="K2568" t="str">
            <v/>
          </cell>
          <cell r="L2568" t="str">
            <v/>
          </cell>
        </row>
        <row r="2569">
          <cell r="A2569">
            <v>34000000</v>
          </cell>
          <cell r="C2569">
            <v>34000000</v>
          </cell>
          <cell r="D2569">
            <v>34000000</v>
          </cell>
          <cell r="E2569">
            <v>34000000</v>
          </cell>
          <cell r="F2569">
            <v>34000000</v>
          </cell>
          <cell r="G2569">
            <v>34000000</v>
          </cell>
          <cell r="H2569">
            <v>34000000</v>
          </cell>
          <cell r="I2569" t="str">
            <v/>
          </cell>
          <cell r="J2569" t="str">
            <v/>
          </cell>
          <cell r="K2569" t="str">
            <v/>
          </cell>
          <cell r="L2569" t="str">
            <v/>
          </cell>
        </row>
        <row r="2570">
          <cell r="A2570">
            <v>34000000</v>
          </cell>
          <cell r="C2570">
            <v>34000000</v>
          </cell>
          <cell r="D2570">
            <v>34000000</v>
          </cell>
          <cell r="E2570">
            <v>34000000</v>
          </cell>
          <cell r="F2570">
            <v>34000000</v>
          </cell>
          <cell r="G2570">
            <v>34000000</v>
          </cell>
          <cell r="H2570">
            <v>34000000</v>
          </cell>
          <cell r="I2570" t="str">
            <v/>
          </cell>
          <cell r="J2570" t="str">
            <v/>
          </cell>
          <cell r="K2570" t="str">
            <v/>
          </cell>
          <cell r="L2570" t="str">
            <v/>
          </cell>
        </row>
        <row r="2571">
          <cell r="A2571">
            <v>34000000</v>
          </cell>
          <cell r="C2571">
            <v>34000000</v>
          </cell>
          <cell r="D2571">
            <v>34000000</v>
          </cell>
          <cell r="E2571">
            <v>34000000</v>
          </cell>
          <cell r="F2571">
            <v>34000000</v>
          </cell>
          <cell r="G2571">
            <v>34000000</v>
          </cell>
          <cell r="H2571">
            <v>34000000</v>
          </cell>
          <cell r="I2571" t="str">
            <v/>
          </cell>
          <cell r="J2571" t="str">
            <v/>
          </cell>
          <cell r="K2571" t="str">
            <v/>
          </cell>
          <cell r="L2571" t="str">
            <v/>
          </cell>
        </row>
        <row r="2572">
          <cell r="A2572">
            <v>34000000</v>
          </cell>
          <cell r="C2572">
            <v>34000000</v>
          </cell>
          <cell r="D2572">
            <v>34000000</v>
          </cell>
          <cell r="E2572">
            <v>34000000</v>
          </cell>
          <cell r="F2572">
            <v>34000000</v>
          </cell>
          <cell r="G2572">
            <v>34000000</v>
          </cell>
          <cell r="H2572">
            <v>34000000</v>
          </cell>
          <cell r="I2572" t="str">
            <v/>
          </cell>
          <cell r="J2572" t="str">
            <v/>
          </cell>
          <cell r="K2572" t="str">
            <v/>
          </cell>
          <cell r="L2572" t="str">
            <v/>
          </cell>
        </row>
        <row r="2573">
          <cell r="A2573">
            <v>34000000</v>
          </cell>
          <cell r="C2573">
            <v>34000000</v>
          </cell>
          <cell r="D2573">
            <v>34000000</v>
          </cell>
          <cell r="E2573">
            <v>34000000</v>
          </cell>
          <cell r="F2573">
            <v>34000000</v>
          </cell>
          <cell r="G2573">
            <v>34000000</v>
          </cell>
          <cell r="H2573">
            <v>34000000</v>
          </cell>
          <cell r="I2573" t="str">
            <v/>
          </cell>
          <cell r="J2573" t="str">
            <v/>
          </cell>
          <cell r="K2573" t="str">
            <v/>
          </cell>
          <cell r="L2573" t="str">
            <v/>
          </cell>
        </row>
        <row r="2574">
          <cell r="A2574">
            <v>34000000</v>
          </cell>
          <cell r="C2574">
            <v>34000000</v>
          </cell>
          <cell r="D2574">
            <v>34000000</v>
          </cell>
          <cell r="E2574">
            <v>34000000</v>
          </cell>
          <cell r="F2574">
            <v>34000000</v>
          </cell>
          <cell r="G2574">
            <v>34000000</v>
          </cell>
          <cell r="H2574">
            <v>34000000</v>
          </cell>
          <cell r="I2574" t="str">
            <v/>
          </cell>
          <cell r="J2574" t="str">
            <v/>
          </cell>
          <cell r="K2574" t="str">
            <v/>
          </cell>
          <cell r="L2574" t="str">
            <v/>
          </cell>
        </row>
        <row r="2575">
          <cell r="A2575">
            <v>34000000</v>
          </cell>
          <cell r="C2575">
            <v>34000000</v>
          </cell>
          <cell r="D2575">
            <v>34000000</v>
          </cell>
          <cell r="E2575">
            <v>34000000</v>
          </cell>
          <cell r="F2575">
            <v>34000000</v>
          </cell>
          <cell r="G2575">
            <v>34000000</v>
          </cell>
          <cell r="H2575">
            <v>34000000</v>
          </cell>
          <cell r="I2575" t="str">
            <v/>
          </cell>
          <cell r="J2575" t="str">
            <v/>
          </cell>
          <cell r="K2575" t="str">
            <v/>
          </cell>
          <cell r="L2575" t="str">
            <v/>
          </cell>
        </row>
        <row r="2576">
          <cell r="A2576">
            <v>34000000</v>
          </cell>
          <cell r="C2576">
            <v>34000000</v>
          </cell>
          <cell r="D2576">
            <v>34000000</v>
          </cell>
          <cell r="E2576">
            <v>34000000</v>
          </cell>
          <cell r="F2576">
            <v>34000000</v>
          </cell>
          <cell r="G2576">
            <v>34000000</v>
          </cell>
          <cell r="H2576">
            <v>34000000</v>
          </cell>
          <cell r="I2576" t="str">
            <v/>
          </cell>
          <cell r="J2576" t="str">
            <v/>
          </cell>
          <cell r="K2576" t="str">
            <v/>
          </cell>
          <cell r="L2576" t="str">
            <v/>
          </cell>
        </row>
        <row r="2577">
          <cell r="A2577">
            <v>34000000</v>
          </cell>
          <cell r="C2577">
            <v>34000000</v>
          </cell>
          <cell r="D2577">
            <v>34000000</v>
          </cell>
          <cell r="E2577">
            <v>34000000</v>
          </cell>
          <cell r="F2577">
            <v>34000000</v>
          </cell>
          <cell r="G2577">
            <v>34000000</v>
          </cell>
          <cell r="H2577">
            <v>34000000</v>
          </cell>
          <cell r="I2577" t="str">
            <v/>
          </cell>
          <cell r="J2577" t="str">
            <v/>
          </cell>
          <cell r="K2577" t="str">
            <v/>
          </cell>
          <cell r="L2577" t="str">
            <v/>
          </cell>
        </row>
        <row r="2578">
          <cell r="A2578">
            <v>34000000</v>
          </cell>
          <cell r="C2578">
            <v>34000000</v>
          </cell>
          <cell r="D2578">
            <v>34000000</v>
          </cell>
          <cell r="E2578">
            <v>34000000</v>
          </cell>
          <cell r="F2578">
            <v>34000000</v>
          </cell>
          <cell r="G2578">
            <v>34000000</v>
          </cell>
          <cell r="H2578">
            <v>34000000</v>
          </cell>
          <cell r="I2578" t="str">
            <v/>
          </cell>
          <cell r="J2578" t="str">
            <v/>
          </cell>
          <cell r="K2578" t="str">
            <v/>
          </cell>
          <cell r="L2578" t="str">
            <v/>
          </cell>
        </row>
        <row r="2579">
          <cell r="A2579">
            <v>34000000</v>
          </cell>
          <cell r="C2579">
            <v>34000000</v>
          </cell>
          <cell r="D2579">
            <v>34000000</v>
          </cell>
          <cell r="E2579">
            <v>34000000</v>
          </cell>
          <cell r="F2579">
            <v>34000000</v>
          </cell>
          <cell r="G2579">
            <v>34000000</v>
          </cell>
          <cell r="H2579">
            <v>34000000</v>
          </cell>
          <cell r="I2579" t="str">
            <v/>
          </cell>
          <cell r="J2579" t="str">
            <v/>
          </cell>
          <cell r="K2579" t="str">
            <v/>
          </cell>
          <cell r="L2579" t="str">
            <v/>
          </cell>
        </row>
        <row r="2580">
          <cell r="A2580">
            <v>34000000</v>
          </cell>
          <cell r="C2580">
            <v>34000000</v>
          </cell>
          <cell r="D2580">
            <v>34000000</v>
          </cell>
          <cell r="E2580">
            <v>34000000</v>
          </cell>
          <cell r="F2580">
            <v>34000000</v>
          </cell>
          <cell r="G2580">
            <v>34000000</v>
          </cell>
          <cell r="H2580">
            <v>34000000</v>
          </cell>
          <cell r="I2580" t="str">
            <v/>
          </cell>
          <cell r="J2580" t="str">
            <v/>
          </cell>
          <cell r="K2580" t="str">
            <v/>
          </cell>
          <cell r="L2580" t="str">
            <v/>
          </cell>
        </row>
        <row r="2581">
          <cell r="A2581">
            <v>34000000</v>
          </cell>
          <cell r="C2581">
            <v>34000000</v>
          </cell>
          <cell r="D2581">
            <v>34000000</v>
          </cell>
          <cell r="E2581">
            <v>34000000</v>
          </cell>
          <cell r="F2581">
            <v>34000000</v>
          </cell>
          <cell r="G2581">
            <v>34000000</v>
          </cell>
          <cell r="H2581">
            <v>34000000</v>
          </cell>
          <cell r="I2581" t="str">
            <v/>
          </cell>
          <cell r="J2581" t="str">
            <v/>
          </cell>
          <cell r="K2581" t="str">
            <v/>
          </cell>
          <cell r="L2581" t="str">
            <v/>
          </cell>
        </row>
        <row r="2582">
          <cell r="A2582">
            <v>34000000</v>
          </cell>
          <cell r="C2582">
            <v>34000000</v>
          </cell>
          <cell r="D2582">
            <v>34000000</v>
          </cell>
          <cell r="E2582">
            <v>34000000</v>
          </cell>
          <cell r="F2582">
            <v>34000000</v>
          </cell>
          <cell r="G2582">
            <v>34000000</v>
          </cell>
          <cell r="H2582">
            <v>34000000</v>
          </cell>
          <cell r="I2582" t="str">
            <v/>
          </cell>
          <cell r="J2582" t="str">
            <v/>
          </cell>
          <cell r="K2582" t="str">
            <v/>
          </cell>
          <cell r="L2582" t="str">
            <v/>
          </cell>
        </row>
        <row r="2583">
          <cell r="A2583">
            <v>34000000</v>
          </cell>
          <cell r="C2583">
            <v>34000000</v>
          </cell>
          <cell r="D2583">
            <v>34000000</v>
          </cell>
          <cell r="E2583">
            <v>34000000</v>
          </cell>
          <cell r="F2583">
            <v>34000000</v>
          </cell>
          <cell r="G2583">
            <v>34000000</v>
          </cell>
          <cell r="H2583">
            <v>34000000</v>
          </cell>
          <cell r="I2583" t="str">
            <v/>
          </cell>
          <cell r="J2583" t="str">
            <v/>
          </cell>
          <cell r="K2583" t="str">
            <v/>
          </cell>
          <cell r="L2583" t="str">
            <v/>
          </cell>
        </row>
        <row r="2584">
          <cell r="A2584">
            <v>34000000</v>
          </cell>
          <cell r="C2584">
            <v>34000000</v>
          </cell>
          <cell r="D2584">
            <v>34000000</v>
          </cell>
          <cell r="E2584">
            <v>34000000</v>
          </cell>
          <cell r="F2584">
            <v>34000000</v>
          </cell>
          <cell r="G2584">
            <v>34000000</v>
          </cell>
          <cell r="H2584">
            <v>34000000</v>
          </cell>
          <cell r="I2584" t="str">
            <v/>
          </cell>
          <cell r="J2584" t="str">
            <v/>
          </cell>
          <cell r="K2584" t="str">
            <v/>
          </cell>
          <cell r="L2584" t="str">
            <v/>
          </cell>
        </row>
        <row r="2585">
          <cell r="A2585">
            <v>34000000</v>
          </cell>
          <cell r="C2585">
            <v>34000000</v>
          </cell>
          <cell r="D2585">
            <v>34000000</v>
          </cell>
          <cell r="E2585">
            <v>34000000</v>
          </cell>
          <cell r="F2585">
            <v>34000000</v>
          </cell>
          <cell r="G2585">
            <v>34000000</v>
          </cell>
          <cell r="H2585">
            <v>34000000</v>
          </cell>
          <cell r="I2585" t="str">
            <v/>
          </cell>
          <cell r="J2585" t="str">
            <v/>
          </cell>
          <cell r="K2585" t="str">
            <v/>
          </cell>
          <cell r="L2585" t="str">
            <v/>
          </cell>
        </row>
        <row r="2586">
          <cell r="A2586">
            <v>34000000</v>
          </cell>
          <cell r="C2586">
            <v>34000000</v>
          </cell>
          <cell r="D2586">
            <v>34000000</v>
          </cell>
          <cell r="E2586">
            <v>34000000</v>
          </cell>
          <cell r="F2586">
            <v>34000000</v>
          </cell>
          <cell r="G2586">
            <v>34000000</v>
          </cell>
          <cell r="H2586">
            <v>34000000</v>
          </cell>
          <cell r="I2586" t="str">
            <v/>
          </cell>
          <cell r="J2586" t="str">
            <v/>
          </cell>
          <cell r="K2586" t="str">
            <v/>
          </cell>
          <cell r="L2586" t="str">
            <v/>
          </cell>
        </row>
        <row r="2587">
          <cell r="A2587">
            <v>34000000</v>
          </cell>
          <cell r="C2587">
            <v>34000000</v>
          </cell>
          <cell r="D2587">
            <v>34000000</v>
          </cell>
          <cell r="E2587">
            <v>34000000</v>
          </cell>
          <cell r="F2587">
            <v>34000000</v>
          </cell>
          <cell r="G2587">
            <v>34000000</v>
          </cell>
          <cell r="H2587">
            <v>34000000</v>
          </cell>
          <cell r="I2587" t="str">
            <v/>
          </cell>
          <cell r="J2587" t="str">
            <v/>
          </cell>
          <cell r="K2587" t="str">
            <v/>
          </cell>
          <cell r="L2587" t="str">
            <v/>
          </cell>
        </row>
        <row r="2588">
          <cell r="A2588">
            <v>34000000</v>
          </cell>
          <cell r="C2588">
            <v>34000000</v>
          </cell>
          <cell r="D2588">
            <v>34000000</v>
          </cell>
          <cell r="E2588">
            <v>34000000</v>
          </cell>
          <cell r="F2588">
            <v>34000000</v>
          </cell>
          <cell r="G2588">
            <v>34000000</v>
          </cell>
          <cell r="H2588">
            <v>34000000</v>
          </cell>
          <cell r="I2588" t="str">
            <v/>
          </cell>
          <cell r="J2588" t="str">
            <v/>
          </cell>
          <cell r="K2588" t="str">
            <v/>
          </cell>
          <cell r="L2588" t="str">
            <v/>
          </cell>
        </row>
        <row r="2589">
          <cell r="A2589">
            <v>34000000</v>
          </cell>
          <cell r="C2589">
            <v>34000000</v>
          </cell>
          <cell r="D2589">
            <v>34000000</v>
          </cell>
          <cell r="E2589">
            <v>34000000</v>
          </cell>
          <cell r="F2589">
            <v>34000000</v>
          </cell>
          <cell r="G2589">
            <v>34000000</v>
          </cell>
          <cell r="H2589">
            <v>34000000</v>
          </cell>
          <cell r="I2589" t="str">
            <v/>
          </cell>
          <cell r="J2589" t="str">
            <v/>
          </cell>
          <cell r="K2589" t="str">
            <v/>
          </cell>
          <cell r="L2589" t="str">
            <v/>
          </cell>
        </row>
        <row r="2590">
          <cell r="A2590">
            <v>34000000</v>
          </cell>
          <cell r="C2590">
            <v>34000000</v>
          </cell>
          <cell r="D2590">
            <v>34000000</v>
          </cell>
          <cell r="E2590">
            <v>34000000</v>
          </cell>
          <cell r="F2590">
            <v>34000000</v>
          </cell>
          <cell r="G2590">
            <v>34000000</v>
          </cell>
          <cell r="H2590">
            <v>34000000</v>
          </cell>
          <cell r="I2590" t="str">
            <v/>
          </cell>
          <cell r="J2590" t="str">
            <v/>
          </cell>
          <cell r="K2590" t="str">
            <v/>
          </cell>
          <cell r="L2590" t="str">
            <v/>
          </cell>
        </row>
        <row r="2591">
          <cell r="A2591">
            <v>34000000</v>
          </cell>
          <cell r="C2591">
            <v>34000000</v>
          </cell>
          <cell r="D2591">
            <v>34000000</v>
          </cell>
          <cell r="E2591">
            <v>34000000</v>
          </cell>
          <cell r="F2591">
            <v>34000000</v>
          </cell>
          <cell r="G2591">
            <v>34000000</v>
          </cell>
          <cell r="H2591">
            <v>34000000</v>
          </cell>
          <cell r="I2591" t="str">
            <v/>
          </cell>
          <cell r="J2591" t="str">
            <v/>
          </cell>
          <cell r="K2591" t="str">
            <v/>
          </cell>
          <cell r="L2591" t="str">
            <v/>
          </cell>
        </row>
        <row r="2592">
          <cell r="A2592">
            <v>34000000</v>
          </cell>
          <cell r="C2592">
            <v>34000000</v>
          </cell>
          <cell r="D2592">
            <v>34000000</v>
          </cell>
          <cell r="E2592">
            <v>34000000</v>
          </cell>
          <cell r="F2592">
            <v>34000000</v>
          </cell>
          <cell r="G2592">
            <v>34000000</v>
          </cell>
          <cell r="H2592">
            <v>34000000</v>
          </cell>
          <cell r="I2592" t="str">
            <v/>
          </cell>
          <cell r="J2592" t="str">
            <v/>
          </cell>
          <cell r="K2592" t="str">
            <v/>
          </cell>
          <cell r="L2592" t="str">
            <v/>
          </cell>
        </row>
        <row r="2593">
          <cell r="A2593">
            <v>34000000</v>
          </cell>
          <cell r="C2593">
            <v>34000000</v>
          </cell>
          <cell r="D2593">
            <v>34000000</v>
          </cell>
          <cell r="E2593">
            <v>34000000</v>
          </cell>
          <cell r="F2593">
            <v>34000000</v>
          </cell>
          <cell r="G2593">
            <v>34000000</v>
          </cell>
          <cell r="H2593">
            <v>34000000</v>
          </cell>
          <cell r="I2593" t="str">
            <v/>
          </cell>
          <cell r="J2593" t="str">
            <v/>
          </cell>
          <cell r="K2593" t="str">
            <v/>
          </cell>
          <cell r="L2593" t="str">
            <v/>
          </cell>
        </row>
        <row r="2594">
          <cell r="A2594">
            <v>34000000</v>
          </cell>
          <cell r="C2594">
            <v>34000000</v>
          </cell>
          <cell r="D2594">
            <v>34000000</v>
          </cell>
          <cell r="E2594">
            <v>34000000</v>
          </cell>
          <cell r="F2594">
            <v>34000000</v>
          </cell>
          <cell r="G2594">
            <v>34000000</v>
          </cell>
          <cell r="H2594">
            <v>34000000</v>
          </cell>
          <cell r="I2594" t="str">
            <v/>
          </cell>
          <cell r="J2594" t="str">
            <v/>
          </cell>
          <cell r="K2594" t="str">
            <v/>
          </cell>
          <cell r="L2594" t="str">
            <v/>
          </cell>
        </row>
        <row r="2595">
          <cell r="A2595">
            <v>34000000</v>
          </cell>
          <cell r="C2595">
            <v>34000000</v>
          </cell>
          <cell r="D2595">
            <v>34000000</v>
          </cell>
          <cell r="E2595">
            <v>34000000</v>
          </cell>
          <cell r="F2595">
            <v>34000000</v>
          </cell>
          <cell r="G2595">
            <v>34000000</v>
          </cell>
          <cell r="H2595">
            <v>34000000</v>
          </cell>
          <cell r="I2595" t="str">
            <v/>
          </cell>
          <cell r="J2595" t="str">
            <v/>
          </cell>
          <cell r="K2595" t="str">
            <v/>
          </cell>
          <cell r="L2595" t="str">
            <v/>
          </cell>
        </row>
        <row r="2596">
          <cell r="A2596">
            <v>34000000</v>
          </cell>
          <cell r="C2596">
            <v>34000000</v>
          </cell>
          <cell r="D2596">
            <v>34000000</v>
          </cell>
          <cell r="E2596">
            <v>34000000</v>
          </cell>
          <cell r="F2596">
            <v>34000000</v>
          </cell>
          <cell r="G2596">
            <v>34000000</v>
          </cell>
          <cell r="H2596">
            <v>34000000</v>
          </cell>
          <cell r="I2596" t="str">
            <v/>
          </cell>
          <cell r="J2596" t="str">
            <v/>
          </cell>
          <cell r="K2596" t="str">
            <v/>
          </cell>
          <cell r="L2596" t="str">
            <v/>
          </cell>
        </row>
        <row r="2597">
          <cell r="A2597">
            <v>34000000</v>
          </cell>
          <cell r="C2597">
            <v>34000000</v>
          </cell>
          <cell r="D2597">
            <v>34000000</v>
          </cell>
          <cell r="E2597">
            <v>34000000</v>
          </cell>
          <cell r="F2597">
            <v>34000000</v>
          </cell>
          <cell r="G2597">
            <v>34000000</v>
          </cell>
          <cell r="H2597">
            <v>34000000</v>
          </cell>
          <cell r="I2597" t="str">
            <v/>
          </cell>
          <cell r="J2597" t="str">
            <v/>
          </cell>
          <cell r="K2597" t="str">
            <v/>
          </cell>
          <cell r="L2597" t="str">
            <v/>
          </cell>
        </row>
        <row r="2598">
          <cell r="A2598">
            <v>34000000</v>
          </cell>
          <cell r="C2598">
            <v>34000000</v>
          </cell>
          <cell r="D2598">
            <v>34000000</v>
          </cell>
          <cell r="E2598">
            <v>34000000</v>
          </cell>
          <cell r="F2598">
            <v>34000000</v>
          </cell>
          <cell r="G2598">
            <v>34000000</v>
          </cell>
          <cell r="H2598">
            <v>34000000</v>
          </cell>
          <cell r="I2598" t="str">
            <v/>
          </cell>
          <cell r="J2598" t="str">
            <v/>
          </cell>
          <cell r="K2598" t="str">
            <v/>
          </cell>
          <cell r="L2598" t="str">
            <v/>
          </cell>
        </row>
        <row r="2599">
          <cell r="A2599">
            <v>34000000</v>
          </cell>
          <cell r="C2599">
            <v>34000000</v>
          </cell>
          <cell r="D2599">
            <v>34000000</v>
          </cell>
          <cell r="E2599">
            <v>34000000</v>
          </cell>
          <cell r="F2599">
            <v>34000000</v>
          </cell>
          <cell r="G2599">
            <v>34000000</v>
          </cell>
          <cell r="H2599">
            <v>34000000</v>
          </cell>
          <cell r="I2599" t="str">
            <v/>
          </cell>
          <cell r="J2599" t="str">
            <v/>
          </cell>
          <cell r="K2599" t="str">
            <v/>
          </cell>
          <cell r="L2599" t="str">
            <v/>
          </cell>
        </row>
        <row r="2600">
          <cell r="A2600">
            <v>34000000</v>
          </cell>
          <cell r="C2600">
            <v>34000000</v>
          </cell>
          <cell r="D2600">
            <v>34000000</v>
          </cell>
          <cell r="E2600">
            <v>34000000</v>
          </cell>
          <cell r="F2600">
            <v>34000000</v>
          </cell>
          <cell r="G2600">
            <v>34000000</v>
          </cell>
          <cell r="H2600">
            <v>34000000</v>
          </cell>
          <cell r="I2600" t="str">
            <v/>
          </cell>
          <cell r="J2600" t="str">
            <v/>
          </cell>
          <cell r="K2600" t="str">
            <v/>
          </cell>
          <cell r="L2600" t="str">
            <v/>
          </cell>
        </row>
        <row r="2601">
          <cell r="A2601">
            <v>34000000</v>
          </cell>
          <cell r="C2601">
            <v>34000000</v>
          </cell>
          <cell r="D2601">
            <v>34000000</v>
          </cell>
          <cell r="E2601">
            <v>34000000</v>
          </cell>
          <cell r="F2601">
            <v>34000000</v>
          </cell>
          <cell r="G2601">
            <v>34000000</v>
          </cell>
          <cell r="H2601">
            <v>34000000</v>
          </cell>
          <cell r="I2601" t="str">
            <v/>
          </cell>
          <cell r="J2601" t="str">
            <v/>
          </cell>
          <cell r="K2601" t="str">
            <v/>
          </cell>
          <cell r="L2601" t="str">
            <v/>
          </cell>
        </row>
        <row r="2602">
          <cell r="A2602">
            <v>34000000</v>
          </cell>
          <cell r="C2602">
            <v>34000000</v>
          </cell>
          <cell r="D2602">
            <v>34000000</v>
          </cell>
          <cell r="E2602">
            <v>34000000</v>
          </cell>
          <cell r="F2602">
            <v>34000000</v>
          </cell>
          <cell r="G2602">
            <v>34000000</v>
          </cell>
          <cell r="H2602">
            <v>34000000</v>
          </cell>
          <cell r="I2602" t="str">
            <v/>
          </cell>
          <cell r="J2602" t="str">
            <v/>
          </cell>
          <cell r="K2602" t="str">
            <v/>
          </cell>
          <cell r="L2602" t="str">
            <v/>
          </cell>
        </row>
        <row r="2603">
          <cell r="A2603">
            <v>34000000</v>
          </cell>
          <cell r="C2603">
            <v>34000000</v>
          </cell>
          <cell r="D2603">
            <v>34000000</v>
          </cell>
          <cell r="E2603">
            <v>34000000</v>
          </cell>
          <cell r="F2603">
            <v>34000000</v>
          </cell>
          <cell r="G2603">
            <v>34000000</v>
          </cell>
          <cell r="H2603">
            <v>34000000</v>
          </cell>
          <cell r="I2603" t="str">
            <v/>
          </cell>
          <cell r="J2603" t="str">
            <v/>
          </cell>
          <cell r="K2603" t="str">
            <v/>
          </cell>
          <cell r="L2603" t="str">
            <v/>
          </cell>
        </row>
        <row r="2604">
          <cell r="A2604">
            <v>34000000</v>
          </cell>
          <cell r="C2604">
            <v>34000000</v>
          </cell>
          <cell r="D2604">
            <v>34000000</v>
          </cell>
          <cell r="E2604">
            <v>34000000</v>
          </cell>
          <cell r="F2604">
            <v>34000000</v>
          </cell>
          <cell r="G2604">
            <v>34000000</v>
          </cell>
          <cell r="H2604">
            <v>34000000</v>
          </cell>
          <cell r="I2604" t="str">
            <v/>
          </cell>
          <cell r="J2604" t="str">
            <v/>
          </cell>
          <cell r="K2604" t="str">
            <v/>
          </cell>
          <cell r="L2604" t="str">
            <v/>
          </cell>
        </row>
        <row r="2605">
          <cell r="A2605">
            <v>34000000</v>
          </cell>
          <cell r="C2605">
            <v>34000000</v>
          </cell>
          <cell r="D2605">
            <v>34000000</v>
          </cell>
          <cell r="E2605">
            <v>34000000</v>
          </cell>
          <cell r="F2605">
            <v>34000000</v>
          </cell>
          <cell r="G2605">
            <v>34000000</v>
          </cell>
          <cell r="H2605">
            <v>34000000</v>
          </cell>
          <cell r="I2605" t="str">
            <v/>
          </cell>
          <cell r="J2605" t="str">
            <v/>
          </cell>
          <cell r="K2605" t="str">
            <v/>
          </cell>
          <cell r="L2605" t="str">
            <v/>
          </cell>
        </row>
        <row r="2606">
          <cell r="A2606">
            <v>34000000</v>
          </cell>
          <cell r="C2606">
            <v>34000000</v>
          </cell>
          <cell r="D2606">
            <v>34000000</v>
          </cell>
          <cell r="E2606">
            <v>34000000</v>
          </cell>
          <cell r="F2606">
            <v>34000000</v>
          </cell>
          <cell r="G2606">
            <v>34000000</v>
          </cell>
          <cell r="H2606">
            <v>34000000</v>
          </cell>
          <cell r="I2606" t="str">
            <v/>
          </cell>
          <cell r="J2606" t="str">
            <v/>
          </cell>
          <cell r="K2606" t="str">
            <v/>
          </cell>
          <cell r="L2606" t="str">
            <v/>
          </cell>
        </row>
        <row r="2607">
          <cell r="A2607">
            <v>34000000</v>
          </cell>
          <cell r="C2607">
            <v>34000000</v>
          </cell>
          <cell r="D2607">
            <v>34000000</v>
          </cell>
          <cell r="E2607">
            <v>34000000</v>
          </cell>
          <cell r="F2607">
            <v>34000000</v>
          </cell>
          <cell r="G2607">
            <v>34000000</v>
          </cell>
          <cell r="H2607">
            <v>34000000</v>
          </cell>
          <cell r="I2607" t="str">
            <v/>
          </cell>
          <cell r="J2607" t="str">
            <v/>
          </cell>
          <cell r="K2607" t="str">
            <v/>
          </cell>
          <cell r="L2607" t="str">
            <v/>
          </cell>
        </row>
        <row r="2608">
          <cell r="A2608">
            <v>34000000</v>
          </cell>
          <cell r="C2608">
            <v>34000000</v>
          </cell>
          <cell r="D2608">
            <v>34000000</v>
          </cell>
          <cell r="E2608">
            <v>34000000</v>
          </cell>
          <cell r="F2608">
            <v>34000000</v>
          </cell>
          <cell r="G2608">
            <v>34000000</v>
          </cell>
          <cell r="H2608">
            <v>34000000</v>
          </cell>
          <cell r="I2608" t="str">
            <v/>
          </cell>
          <cell r="J2608" t="str">
            <v/>
          </cell>
          <cell r="K2608" t="str">
            <v/>
          </cell>
          <cell r="L2608" t="str">
            <v/>
          </cell>
        </row>
        <row r="2609">
          <cell r="A2609">
            <v>34000000</v>
          </cell>
          <cell r="C2609">
            <v>34000000</v>
          </cell>
          <cell r="D2609">
            <v>34000000</v>
          </cell>
          <cell r="E2609">
            <v>34000000</v>
          </cell>
          <cell r="F2609">
            <v>34000000</v>
          </cell>
          <cell r="G2609">
            <v>34000000</v>
          </cell>
          <cell r="H2609">
            <v>34000000</v>
          </cell>
          <cell r="I2609" t="str">
            <v/>
          </cell>
          <cell r="J2609" t="str">
            <v/>
          </cell>
          <cell r="K2609" t="str">
            <v/>
          </cell>
          <cell r="L2609" t="str">
            <v/>
          </cell>
        </row>
        <row r="2610">
          <cell r="A2610">
            <v>34000000</v>
          </cell>
          <cell r="C2610">
            <v>34000000</v>
          </cell>
          <cell r="D2610">
            <v>34000000</v>
          </cell>
          <cell r="E2610">
            <v>34000000</v>
          </cell>
          <cell r="F2610">
            <v>34000000</v>
          </cell>
          <cell r="G2610">
            <v>34000000</v>
          </cell>
          <cell r="H2610">
            <v>34000000</v>
          </cell>
          <cell r="I2610" t="str">
            <v/>
          </cell>
          <cell r="J2610" t="str">
            <v/>
          </cell>
          <cell r="K2610" t="str">
            <v/>
          </cell>
          <cell r="L2610" t="str">
            <v/>
          </cell>
        </row>
        <row r="2611">
          <cell r="A2611">
            <v>34000000</v>
          </cell>
          <cell r="C2611">
            <v>34000000</v>
          </cell>
          <cell r="D2611">
            <v>34000000</v>
          </cell>
          <cell r="E2611">
            <v>34000000</v>
          </cell>
          <cell r="F2611">
            <v>34000000</v>
          </cell>
          <cell r="G2611">
            <v>34000000</v>
          </cell>
          <cell r="H2611">
            <v>34000000</v>
          </cell>
          <cell r="I2611" t="str">
            <v/>
          </cell>
          <cell r="J2611" t="str">
            <v/>
          </cell>
          <cell r="K2611" t="str">
            <v/>
          </cell>
          <cell r="L2611" t="str">
            <v/>
          </cell>
        </row>
        <row r="2612">
          <cell r="A2612">
            <v>34000000</v>
          </cell>
          <cell r="C2612">
            <v>34000000</v>
          </cell>
          <cell r="D2612">
            <v>34000000</v>
          </cell>
          <cell r="E2612">
            <v>34000000</v>
          </cell>
          <cell r="F2612">
            <v>34000000</v>
          </cell>
          <cell r="G2612">
            <v>34000000</v>
          </cell>
          <cell r="H2612">
            <v>34000000</v>
          </cell>
          <cell r="I2612" t="str">
            <v/>
          </cell>
          <cell r="J2612" t="str">
            <v/>
          </cell>
          <cell r="K2612" t="str">
            <v/>
          </cell>
          <cell r="L2612" t="str">
            <v/>
          </cell>
        </row>
        <row r="2613">
          <cell r="A2613">
            <v>34000000</v>
          </cell>
          <cell r="C2613">
            <v>34000000</v>
          </cell>
          <cell r="D2613">
            <v>34000000</v>
          </cell>
          <cell r="E2613">
            <v>34000000</v>
          </cell>
          <cell r="F2613">
            <v>34000000</v>
          </cell>
          <cell r="G2613">
            <v>34000000</v>
          </cell>
          <cell r="H2613">
            <v>34000000</v>
          </cell>
          <cell r="I2613" t="str">
            <v/>
          </cell>
          <cell r="J2613" t="str">
            <v/>
          </cell>
          <cell r="K2613" t="str">
            <v/>
          </cell>
          <cell r="L2613" t="str">
            <v/>
          </cell>
        </row>
        <row r="2614">
          <cell r="A2614">
            <v>34000000</v>
          </cell>
          <cell r="C2614">
            <v>34000000</v>
          </cell>
          <cell r="D2614">
            <v>34000000</v>
          </cell>
          <cell r="E2614">
            <v>34000000</v>
          </cell>
          <cell r="F2614">
            <v>34000000</v>
          </cell>
          <cell r="G2614">
            <v>34000000</v>
          </cell>
          <cell r="H2614">
            <v>34000000</v>
          </cell>
          <cell r="I2614" t="str">
            <v/>
          </cell>
          <cell r="J2614" t="str">
            <v/>
          </cell>
          <cell r="K2614" t="str">
            <v/>
          </cell>
          <cell r="L2614" t="str">
            <v/>
          </cell>
        </row>
        <row r="2615">
          <cell r="A2615">
            <v>34000000</v>
          </cell>
          <cell r="C2615">
            <v>34000000</v>
          </cell>
          <cell r="D2615">
            <v>34000000</v>
          </cell>
          <cell r="E2615">
            <v>34000000</v>
          </cell>
          <cell r="F2615">
            <v>34000000</v>
          </cell>
          <cell r="G2615">
            <v>34000000</v>
          </cell>
          <cell r="H2615">
            <v>34000000</v>
          </cell>
          <cell r="I2615" t="str">
            <v/>
          </cell>
          <cell r="J2615" t="str">
            <v/>
          </cell>
          <cell r="K2615" t="str">
            <v/>
          </cell>
          <cell r="L2615" t="str">
            <v/>
          </cell>
        </row>
        <row r="2616">
          <cell r="A2616">
            <v>34000000</v>
          </cell>
          <cell r="C2616">
            <v>34000000</v>
          </cell>
          <cell r="D2616">
            <v>34000000</v>
          </cell>
          <cell r="E2616">
            <v>34000000</v>
          </cell>
          <cell r="F2616">
            <v>34000000</v>
          </cell>
          <cell r="G2616">
            <v>34000000</v>
          </cell>
          <cell r="H2616">
            <v>34000000</v>
          </cell>
          <cell r="I2616" t="str">
            <v/>
          </cell>
          <cell r="J2616" t="str">
            <v/>
          </cell>
          <cell r="K2616" t="str">
            <v/>
          </cell>
          <cell r="L2616" t="str">
            <v/>
          </cell>
        </row>
        <row r="2617">
          <cell r="A2617">
            <v>34000000</v>
          </cell>
          <cell r="C2617">
            <v>34000000</v>
          </cell>
          <cell r="D2617">
            <v>34000000</v>
          </cell>
          <cell r="E2617">
            <v>34000000</v>
          </cell>
          <cell r="F2617">
            <v>34000000</v>
          </cell>
          <cell r="G2617">
            <v>34000000</v>
          </cell>
          <cell r="H2617">
            <v>34000000</v>
          </cell>
          <cell r="I2617" t="str">
            <v/>
          </cell>
          <cell r="J2617" t="str">
            <v/>
          </cell>
          <cell r="K2617" t="str">
            <v/>
          </cell>
          <cell r="L2617" t="str">
            <v/>
          </cell>
        </row>
        <row r="2618">
          <cell r="A2618">
            <v>34000000</v>
          </cell>
          <cell r="C2618">
            <v>34000000</v>
          </cell>
          <cell r="D2618">
            <v>34000000</v>
          </cell>
          <cell r="E2618">
            <v>34000000</v>
          </cell>
          <cell r="F2618">
            <v>34000000</v>
          </cell>
          <cell r="G2618">
            <v>34000000</v>
          </cell>
          <cell r="H2618">
            <v>34000000</v>
          </cell>
          <cell r="I2618" t="str">
            <v/>
          </cell>
          <cell r="J2618" t="str">
            <v/>
          </cell>
          <cell r="K2618" t="str">
            <v/>
          </cell>
          <cell r="L2618" t="str">
            <v/>
          </cell>
        </row>
        <row r="2619">
          <cell r="A2619">
            <v>34000000</v>
          </cell>
          <cell r="C2619">
            <v>34000000</v>
          </cell>
          <cell r="D2619">
            <v>34000000</v>
          </cell>
          <cell r="E2619">
            <v>34000000</v>
          </cell>
          <cell r="F2619">
            <v>34000000</v>
          </cell>
          <cell r="G2619">
            <v>34000000</v>
          </cell>
          <cell r="H2619">
            <v>34000000</v>
          </cell>
          <cell r="I2619" t="str">
            <v/>
          </cell>
          <cell r="J2619" t="str">
            <v/>
          </cell>
          <cell r="K2619" t="str">
            <v/>
          </cell>
          <cell r="L2619" t="str">
            <v/>
          </cell>
        </row>
        <row r="2620">
          <cell r="A2620">
            <v>34000000</v>
          </cell>
          <cell r="C2620">
            <v>34000000</v>
          </cell>
          <cell r="D2620">
            <v>34000000</v>
          </cell>
          <cell r="E2620">
            <v>34000000</v>
          </cell>
          <cell r="F2620">
            <v>34000000</v>
          </cell>
          <cell r="G2620">
            <v>34000000</v>
          </cell>
          <cell r="H2620">
            <v>34000000</v>
          </cell>
          <cell r="I2620" t="str">
            <v/>
          </cell>
          <cell r="J2620" t="str">
            <v/>
          </cell>
          <cell r="K2620" t="str">
            <v/>
          </cell>
          <cell r="L2620" t="str">
            <v/>
          </cell>
        </row>
        <row r="2621">
          <cell r="A2621">
            <v>34000000</v>
          </cell>
          <cell r="C2621">
            <v>34000000</v>
          </cell>
          <cell r="D2621">
            <v>34000000</v>
          </cell>
          <cell r="E2621">
            <v>34000000</v>
          </cell>
          <cell r="F2621">
            <v>34000000</v>
          </cell>
          <cell r="G2621">
            <v>34000000</v>
          </cell>
          <cell r="H2621">
            <v>34000000</v>
          </cell>
          <cell r="I2621" t="str">
            <v/>
          </cell>
          <cell r="J2621" t="str">
            <v/>
          </cell>
          <cell r="K2621" t="str">
            <v/>
          </cell>
          <cell r="L2621" t="str">
            <v/>
          </cell>
        </row>
        <row r="2622">
          <cell r="A2622">
            <v>34000000</v>
          </cell>
          <cell r="C2622">
            <v>34000000</v>
          </cell>
          <cell r="D2622">
            <v>34000000</v>
          </cell>
          <cell r="E2622">
            <v>34000000</v>
          </cell>
          <cell r="F2622">
            <v>34000000</v>
          </cell>
          <cell r="G2622">
            <v>34000000</v>
          </cell>
          <cell r="H2622">
            <v>34000000</v>
          </cell>
          <cell r="I2622" t="str">
            <v/>
          </cell>
          <cell r="J2622" t="str">
            <v/>
          </cell>
          <cell r="K2622" t="str">
            <v/>
          </cell>
          <cell r="L2622" t="str">
            <v/>
          </cell>
        </row>
        <row r="2623">
          <cell r="A2623">
            <v>34000000</v>
          </cell>
          <cell r="C2623">
            <v>34000000</v>
          </cell>
          <cell r="D2623">
            <v>34000000</v>
          </cell>
          <cell r="E2623">
            <v>34000000</v>
          </cell>
          <cell r="F2623">
            <v>34000000</v>
          </cell>
          <cell r="G2623">
            <v>34000000</v>
          </cell>
          <cell r="H2623">
            <v>34000000</v>
          </cell>
          <cell r="I2623" t="str">
            <v/>
          </cell>
          <cell r="J2623" t="str">
            <v/>
          </cell>
          <cell r="K2623" t="str">
            <v/>
          </cell>
          <cell r="L2623" t="str">
            <v/>
          </cell>
        </row>
        <row r="2624">
          <cell r="A2624">
            <v>34000000</v>
          </cell>
          <cell r="C2624">
            <v>34000000</v>
          </cell>
          <cell r="D2624">
            <v>34000000</v>
          </cell>
          <cell r="E2624">
            <v>34000000</v>
          </cell>
          <cell r="F2624">
            <v>34000000</v>
          </cell>
          <cell r="G2624">
            <v>34000000</v>
          </cell>
          <cell r="H2624">
            <v>34000000</v>
          </cell>
          <cell r="I2624" t="str">
            <v/>
          </cell>
          <cell r="J2624" t="str">
            <v/>
          </cell>
          <cell r="K2624" t="str">
            <v/>
          </cell>
          <cell r="L2624" t="str">
            <v/>
          </cell>
        </row>
        <row r="2625">
          <cell r="A2625">
            <v>34000000</v>
          </cell>
          <cell r="C2625">
            <v>34000000</v>
          </cell>
          <cell r="D2625">
            <v>34000000</v>
          </cell>
          <cell r="E2625">
            <v>34000000</v>
          </cell>
          <cell r="F2625">
            <v>34000000</v>
          </cell>
          <cell r="G2625">
            <v>34000000</v>
          </cell>
          <cell r="H2625">
            <v>34000000</v>
          </cell>
          <cell r="I2625" t="str">
            <v/>
          </cell>
          <cell r="J2625" t="str">
            <v/>
          </cell>
          <cell r="K2625" t="str">
            <v/>
          </cell>
          <cell r="L2625" t="str">
            <v/>
          </cell>
        </row>
        <row r="2626">
          <cell r="A2626">
            <v>34000000</v>
          </cell>
          <cell r="C2626">
            <v>34000000</v>
          </cell>
          <cell r="D2626">
            <v>34000000</v>
          </cell>
          <cell r="E2626">
            <v>34000000</v>
          </cell>
          <cell r="F2626">
            <v>34000000</v>
          </cell>
          <cell r="G2626">
            <v>34000000</v>
          </cell>
          <cell r="H2626">
            <v>34000000</v>
          </cell>
          <cell r="I2626" t="str">
            <v/>
          </cell>
          <cell r="J2626" t="str">
            <v/>
          </cell>
          <cell r="K2626" t="str">
            <v/>
          </cell>
          <cell r="L2626" t="str">
            <v/>
          </cell>
        </row>
        <row r="2627">
          <cell r="A2627">
            <v>34000000</v>
          </cell>
          <cell r="C2627">
            <v>34000000</v>
          </cell>
          <cell r="D2627">
            <v>34000000</v>
          </cell>
          <cell r="E2627">
            <v>34000000</v>
          </cell>
          <cell r="F2627">
            <v>34000000</v>
          </cell>
          <cell r="G2627">
            <v>34000000</v>
          </cell>
          <cell r="H2627">
            <v>34000000</v>
          </cell>
          <cell r="I2627" t="str">
            <v/>
          </cell>
          <cell r="J2627" t="str">
            <v/>
          </cell>
          <cell r="K2627" t="str">
            <v/>
          </cell>
          <cell r="L2627" t="str">
            <v/>
          </cell>
        </row>
        <row r="2628">
          <cell r="A2628">
            <v>34000000</v>
          </cell>
          <cell r="C2628">
            <v>34000000</v>
          </cell>
          <cell r="D2628">
            <v>34000000</v>
          </cell>
          <cell r="E2628">
            <v>34000000</v>
          </cell>
          <cell r="F2628">
            <v>34000000</v>
          </cell>
          <cell r="G2628">
            <v>34000000</v>
          </cell>
          <cell r="H2628">
            <v>34000000</v>
          </cell>
          <cell r="I2628" t="str">
            <v/>
          </cell>
          <cell r="J2628" t="str">
            <v/>
          </cell>
          <cell r="K2628" t="str">
            <v/>
          </cell>
          <cell r="L2628" t="str">
            <v/>
          </cell>
        </row>
        <row r="2629">
          <cell r="A2629">
            <v>34000000</v>
          </cell>
          <cell r="C2629">
            <v>34000000</v>
          </cell>
          <cell r="D2629">
            <v>34000000</v>
          </cell>
          <cell r="E2629">
            <v>34000000</v>
          </cell>
          <cell r="F2629">
            <v>34000000</v>
          </cell>
          <cell r="G2629">
            <v>34000000</v>
          </cell>
          <cell r="H2629">
            <v>34000000</v>
          </cell>
          <cell r="I2629" t="str">
            <v/>
          </cell>
          <cell r="J2629" t="str">
            <v/>
          </cell>
          <cell r="K2629" t="str">
            <v/>
          </cell>
          <cell r="L2629" t="str">
            <v/>
          </cell>
        </row>
        <row r="2630">
          <cell r="A2630">
            <v>34000000</v>
          </cell>
          <cell r="C2630">
            <v>34000000</v>
          </cell>
          <cell r="D2630">
            <v>34000000</v>
          </cell>
          <cell r="E2630">
            <v>34000000</v>
          </cell>
          <cell r="F2630">
            <v>34000000</v>
          </cell>
          <cell r="G2630">
            <v>34000000</v>
          </cell>
          <cell r="H2630">
            <v>34000000</v>
          </cell>
          <cell r="I2630" t="str">
            <v/>
          </cell>
          <cell r="J2630" t="str">
            <v/>
          </cell>
          <cell r="K2630" t="str">
            <v/>
          </cell>
          <cell r="L2630" t="str">
            <v/>
          </cell>
        </row>
        <row r="2631">
          <cell r="A2631">
            <v>34000000</v>
          </cell>
          <cell r="C2631">
            <v>34000000</v>
          </cell>
          <cell r="D2631">
            <v>34000000</v>
          </cell>
          <cell r="E2631">
            <v>34000000</v>
          </cell>
          <cell r="F2631">
            <v>34000000</v>
          </cell>
          <cell r="G2631">
            <v>34000000</v>
          </cell>
          <cell r="H2631">
            <v>34000000</v>
          </cell>
          <cell r="I2631" t="str">
            <v/>
          </cell>
          <cell r="J2631" t="str">
            <v/>
          </cell>
          <cell r="K2631" t="str">
            <v/>
          </cell>
          <cell r="L2631" t="str">
            <v/>
          </cell>
        </row>
        <row r="2632">
          <cell r="A2632">
            <v>34000000</v>
          </cell>
          <cell r="C2632">
            <v>34000000</v>
          </cell>
          <cell r="D2632">
            <v>34000000</v>
          </cell>
          <cell r="E2632">
            <v>34000000</v>
          </cell>
          <cell r="F2632">
            <v>34000000</v>
          </cell>
          <cell r="G2632">
            <v>34000000</v>
          </cell>
          <cell r="H2632">
            <v>34000000</v>
          </cell>
          <cell r="I2632" t="str">
            <v/>
          </cell>
          <cell r="J2632" t="str">
            <v/>
          </cell>
          <cell r="K2632" t="str">
            <v/>
          </cell>
          <cell r="L2632" t="str">
            <v/>
          </cell>
        </row>
        <row r="2633">
          <cell r="A2633">
            <v>34000000</v>
          </cell>
          <cell r="C2633">
            <v>34000000</v>
          </cell>
          <cell r="D2633">
            <v>34000000</v>
          </cell>
          <cell r="E2633">
            <v>34000000</v>
          </cell>
          <cell r="F2633">
            <v>34000000</v>
          </cell>
          <cell r="G2633">
            <v>34000000</v>
          </cell>
          <cell r="H2633">
            <v>34000000</v>
          </cell>
          <cell r="I2633" t="str">
            <v/>
          </cell>
          <cell r="J2633" t="str">
            <v/>
          </cell>
          <cell r="K2633" t="str">
            <v/>
          </cell>
          <cell r="L2633" t="str">
            <v/>
          </cell>
        </row>
        <row r="2634">
          <cell r="A2634">
            <v>34000000</v>
          </cell>
          <cell r="C2634">
            <v>34000000</v>
          </cell>
          <cell r="D2634">
            <v>34000000</v>
          </cell>
          <cell r="E2634">
            <v>34000000</v>
          </cell>
          <cell r="F2634">
            <v>34000000</v>
          </cell>
          <cell r="G2634">
            <v>34000000</v>
          </cell>
          <cell r="H2634">
            <v>34000000</v>
          </cell>
          <cell r="I2634" t="str">
            <v/>
          </cell>
          <cell r="J2634" t="str">
            <v/>
          </cell>
          <cell r="K2634" t="str">
            <v/>
          </cell>
          <cell r="L2634" t="str">
            <v/>
          </cell>
        </row>
        <row r="2635">
          <cell r="A2635">
            <v>34000000</v>
          </cell>
          <cell r="C2635">
            <v>34000000</v>
          </cell>
          <cell r="D2635">
            <v>34000000</v>
          </cell>
          <cell r="E2635">
            <v>34000000</v>
          </cell>
          <cell r="F2635">
            <v>34000000</v>
          </cell>
          <cell r="G2635">
            <v>34000000</v>
          </cell>
          <cell r="H2635">
            <v>34000000</v>
          </cell>
          <cell r="I2635" t="str">
            <v/>
          </cell>
          <cell r="J2635" t="str">
            <v/>
          </cell>
          <cell r="K2635" t="str">
            <v/>
          </cell>
          <cell r="L2635" t="str">
            <v/>
          </cell>
        </row>
        <row r="2636">
          <cell r="A2636">
            <v>34000000</v>
          </cell>
          <cell r="C2636">
            <v>34000000</v>
          </cell>
          <cell r="D2636">
            <v>34000000</v>
          </cell>
          <cell r="E2636">
            <v>34000000</v>
          </cell>
          <cell r="F2636">
            <v>34000000</v>
          </cell>
          <cell r="G2636">
            <v>34000000</v>
          </cell>
          <cell r="H2636">
            <v>34000000</v>
          </cell>
          <cell r="I2636" t="str">
            <v/>
          </cell>
          <cell r="J2636" t="str">
            <v/>
          </cell>
          <cell r="K2636" t="str">
            <v/>
          </cell>
          <cell r="L2636" t="str">
            <v/>
          </cell>
        </row>
        <row r="2637">
          <cell r="A2637">
            <v>34000000</v>
          </cell>
          <cell r="C2637">
            <v>34000000</v>
          </cell>
          <cell r="D2637">
            <v>34000000</v>
          </cell>
          <cell r="E2637">
            <v>34000000</v>
          </cell>
          <cell r="F2637">
            <v>34000000</v>
          </cell>
          <cell r="G2637">
            <v>34000000</v>
          </cell>
          <cell r="H2637">
            <v>34000000</v>
          </cell>
          <cell r="I2637" t="str">
            <v/>
          </cell>
          <cell r="J2637" t="str">
            <v/>
          </cell>
          <cell r="K2637" t="str">
            <v/>
          </cell>
          <cell r="L2637" t="str">
            <v/>
          </cell>
        </row>
        <row r="2638">
          <cell r="A2638">
            <v>34000000</v>
          </cell>
          <cell r="C2638">
            <v>34000000</v>
          </cell>
          <cell r="D2638">
            <v>34000000</v>
          </cell>
          <cell r="E2638">
            <v>34000000</v>
          </cell>
          <cell r="F2638">
            <v>34000000</v>
          </cell>
          <cell r="G2638">
            <v>34000000</v>
          </cell>
          <cell r="H2638">
            <v>34000000</v>
          </cell>
          <cell r="I2638" t="str">
            <v/>
          </cell>
          <cell r="J2638" t="str">
            <v/>
          </cell>
          <cell r="K2638" t="str">
            <v/>
          </cell>
          <cell r="L2638" t="str">
            <v/>
          </cell>
        </row>
        <row r="2639">
          <cell r="A2639">
            <v>34000000</v>
          </cell>
          <cell r="C2639">
            <v>34000000</v>
          </cell>
          <cell r="D2639">
            <v>34000000</v>
          </cell>
          <cell r="E2639">
            <v>34000000</v>
          </cell>
          <cell r="F2639">
            <v>34000000</v>
          </cell>
          <cell r="G2639">
            <v>34000000</v>
          </cell>
          <cell r="H2639">
            <v>34000000</v>
          </cell>
          <cell r="I2639" t="str">
            <v/>
          </cell>
          <cell r="J2639" t="str">
            <v/>
          </cell>
          <cell r="K2639" t="str">
            <v/>
          </cell>
          <cell r="L2639" t="str">
            <v/>
          </cell>
        </row>
        <row r="2640">
          <cell r="A2640">
            <v>34000000</v>
          </cell>
          <cell r="C2640">
            <v>34000000</v>
          </cell>
          <cell r="D2640">
            <v>34000000</v>
          </cell>
          <cell r="E2640">
            <v>34000000</v>
          </cell>
          <cell r="F2640">
            <v>34000000</v>
          </cell>
          <cell r="G2640">
            <v>34000000</v>
          </cell>
          <cell r="H2640">
            <v>34000000</v>
          </cell>
          <cell r="I2640" t="str">
            <v/>
          </cell>
          <cell r="J2640" t="str">
            <v/>
          </cell>
          <cell r="K2640" t="str">
            <v/>
          </cell>
          <cell r="L2640" t="str">
            <v/>
          </cell>
        </row>
        <row r="2641">
          <cell r="A2641">
            <v>34000000</v>
          </cell>
          <cell r="C2641">
            <v>34000000</v>
          </cell>
          <cell r="D2641">
            <v>34000000</v>
          </cell>
          <cell r="E2641">
            <v>34000000</v>
          </cell>
          <cell r="F2641">
            <v>34000000</v>
          </cell>
          <cell r="G2641">
            <v>34000000</v>
          </cell>
          <cell r="H2641">
            <v>34000000</v>
          </cell>
          <cell r="I2641" t="str">
            <v/>
          </cell>
          <cell r="J2641" t="str">
            <v/>
          </cell>
          <cell r="K2641" t="str">
            <v/>
          </cell>
          <cell r="L2641" t="str">
            <v/>
          </cell>
        </row>
        <row r="2642">
          <cell r="A2642">
            <v>34000000</v>
          </cell>
          <cell r="C2642">
            <v>34000000</v>
          </cell>
          <cell r="D2642">
            <v>34000000</v>
          </cell>
          <cell r="E2642">
            <v>34000000</v>
          </cell>
          <cell r="F2642">
            <v>34000000</v>
          </cell>
          <cell r="G2642">
            <v>34000000</v>
          </cell>
          <cell r="H2642">
            <v>34000000</v>
          </cell>
          <cell r="I2642" t="str">
            <v/>
          </cell>
          <cell r="J2642" t="str">
            <v/>
          </cell>
          <cell r="K2642" t="str">
            <v/>
          </cell>
          <cell r="L2642" t="str">
            <v/>
          </cell>
        </row>
        <row r="2643">
          <cell r="A2643">
            <v>34000000</v>
          </cell>
          <cell r="C2643">
            <v>34000000</v>
          </cell>
          <cell r="D2643">
            <v>34000000</v>
          </cell>
          <cell r="E2643">
            <v>34000000</v>
          </cell>
          <cell r="F2643">
            <v>34000000</v>
          </cell>
          <cell r="G2643">
            <v>34000000</v>
          </cell>
          <cell r="H2643">
            <v>34000000</v>
          </cell>
          <cell r="I2643" t="str">
            <v/>
          </cell>
          <cell r="J2643" t="str">
            <v/>
          </cell>
          <cell r="K2643" t="str">
            <v/>
          </cell>
          <cell r="L2643" t="str">
            <v/>
          </cell>
        </row>
        <row r="2644">
          <cell r="A2644">
            <v>34000000</v>
          </cell>
          <cell r="C2644">
            <v>34000000</v>
          </cell>
          <cell r="D2644">
            <v>34000000</v>
          </cell>
          <cell r="E2644">
            <v>34000000</v>
          </cell>
          <cell r="F2644">
            <v>34000000</v>
          </cell>
          <cell r="G2644">
            <v>34000000</v>
          </cell>
          <cell r="H2644">
            <v>34000000</v>
          </cell>
          <cell r="I2644" t="str">
            <v/>
          </cell>
          <cell r="J2644" t="str">
            <v/>
          </cell>
          <cell r="K2644" t="str">
            <v/>
          </cell>
          <cell r="L2644" t="str">
            <v/>
          </cell>
        </row>
        <row r="2645">
          <cell r="A2645">
            <v>34000000</v>
          </cell>
          <cell r="C2645">
            <v>34000000</v>
          </cell>
          <cell r="D2645">
            <v>34000000</v>
          </cell>
          <cell r="E2645">
            <v>34000000</v>
          </cell>
          <cell r="F2645">
            <v>34000000</v>
          </cell>
          <cell r="G2645">
            <v>34000000</v>
          </cell>
          <cell r="H2645">
            <v>34000000</v>
          </cell>
          <cell r="I2645" t="str">
            <v/>
          </cell>
          <cell r="J2645" t="str">
            <v/>
          </cell>
          <cell r="K2645" t="str">
            <v/>
          </cell>
          <cell r="L2645" t="str">
            <v/>
          </cell>
        </row>
        <row r="2646">
          <cell r="A2646">
            <v>34000000</v>
          </cell>
          <cell r="C2646">
            <v>34000000</v>
          </cell>
          <cell r="D2646">
            <v>34000000</v>
          </cell>
          <cell r="E2646">
            <v>34000000</v>
          </cell>
          <cell r="F2646">
            <v>34000000</v>
          </cell>
          <cell r="G2646">
            <v>34000000</v>
          </cell>
          <cell r="H2646">
            <v>34000000</v>
          </cell>
          <cell r="I2646" t="str">
            <v/>
          </cell>
          <cell r="J2646" t="str">
            <v/>
          </cell>
          <cell r="K2646" t="str">
            <v/>
          </cell>
          <cell r="L2646" t="str">
            <v/>
          </cell>
        </row>
        <row r="2647">
          <cell r="A2647">
            <v>34000000</v>
          </cell>
          <cell r="C2647">
            <v>34000000</v>
          </cell>
          <cell r="D2647">
            <v>34000000</v>
          </cell>
          <cell r="E2647">
            <v>34000000</v>
          </cell>
          <cell r="F2647">
            <v>34000000</v>
          </cell>
          <cell r="G2647">
            <v>34000000</v>
          </cell>
          <cell r="H2647">
            <v>34000000</v>
          </cell>
          <cell r="I2647" t="str">
            <v/>
          </cell>
          <cell r="J2647" t="str">
            <v/>
          </cell>
          <cell r="K2647" t="str">
            <v/>
          </cell>
          <cell r="L2647" t="str">
            <v/>
          </cell>
        </row>
        <row r="2648">
          <cell r="A2648">
            <v>34000000</v>
          </cell>
          <cell r="C2648">
            <v>34000000</v>
          </cell>
          <cell r="D2648">
            <v>34000000</v>
          </cell>
          <cell r="E2648">
            <v>34000000</v>
          </cell>
          <cell r="F2648">
            <v>34000000</v>
          </cell>
          <cell r="G2648">
            <v>34000000</v>
          </cell>
          <cell r="H2648">
            <v>34000000</v>
          </cell>
          <cell r="I2648" t="str">
            <v/>
          </cell>
          <cell r="J2648" t="str">
            <v/>
          </cell>
          <cell r="K2648" t="str">
            <v/>
          </cell>
          <cell r="L2648" t="str">
            <v/>
          </cell>
        </row>
        <row r="2649">
          <cell r="A2649">
            <v>34000000</v>
          </cell>
          <cell r="C2649">
            <v>34000000</v>
          </cell>
          <cell r="D2649">
            <v>34000000</v>
          </cell>
          <cell r="E2649">
            <v>34000000</v>
          </cell>
          <cell r="F2649">
            <v>34000000</v>
          </cell>
          <cell r="G2649">
            <v>34000000</v>
          </cell>
          <cell r="H2649">
            <v>34000000</v>
          </cell>
          <cell r="I2649" t="str">
            <v/>
          </cell>
          <cell r="J2649" t="str">
            <v/>
          </cell>
          <cell r="K2649" t="str">
            <v/>
          </cell>
          <cell r="L2649" t="str">
            <v/>
          </cell>
        </row>
        <row r="2650">
          <cell r="A2650">
            <v>34000000</v>
          </cell>
          <cell r="C2650">
            <v>34000000</v>
          </cell>
          <cell r="D2650">
            <v>34000000</v>
          </cell>
          <cell r="E2650">
            <v>34000000</v>
          </cell>
          <cell r="F2650">
            <v>34000000</v>
          </cell>
          <cell r="G2650">
            <v>34000000</v>
          </cell>
          <cell r="H2650">
            <v>34000000</v>
          </cell>
          <cell r="I2650" t="str">
            <v/>
          </cell>
          <cell r="J2650" t="str">
            <v/>
          </cell>
          <cell r="K2650" t="str">
            <v/>
          </cell>
          <cell r="L2650" t="str">
            <v/>
          </cell>
        </row>
        <row r="2651">
          <cell r="A2651">
            <v>34000000</v>
          </cell>
          <cell r="C2651">
            <v>34000000</v>
          </cell>
          <cell r="D2651">
            <v>34000000</v>
          </cell>
          <cell r="E2651">
            <v>34000000</v>
          </cell>
          <cell r="F2651">
            <v>34000000</v>
          </cell>
          <cell r="G2651">
            <v>34000000</v>
          </cell>
          <cell r="H2651">
            <v>34000000</v>
          </cell>
          <cell r="I2651" t="str">
            <v/>
          </cell>
          <cell r="J2651" t="str">
            <v/>
          </cell>
          <cell r="K2651" t="str">
            <v/>
          </cell>
          <cell r="L2651" t="str">
            <v/>
          </cell>
        </row>
        <row r="2652">
          <cell r="A2652">
            <v>34000000</v>
          </cell>
          <cell r="C2652">
            <v>34000000</v>
          </cell>
          <cell r="D2652">
            <v>34000000</v>
          </cell>
          <cell r="E2652">
            <v>34000000</v>
          </cell>
          <cell r="F2652">
            <v>34000000</v>
          </cell>
          <cell r="G2652">
            <v>34000000</v>
          </cell>
          <cell r="H2652">
            <v>34000000</v>
          </cell>
          <cell r="I2652" t="str">
            <v/>
          </cell>
          <cell r="J2652" t="str">
            <v/>
          </cell>
          <cell r="K2652" t="str">
            <v/>
          </cell>
          <cell r="L2652" t="str">
            <v/>
          </cell>
        </row>
        <row r="2653">
          <cell r="A2653">
            <v>34000000</v>
          </cell>
          <cell r="C2653">
            <v>34000000</v>
          </cell>
          <cell r="D2653">
            <v>34000000</v>
          </cell>
          <cell r="E2653">
            <v>34000000</v>
          </cell>
          <cell r="F2653">
            <v>34000000</v>
          </cell>
          <cell r="G2653">
            <v>34000000</v>
          </cell>
          <cell r="H2653">
            <v>34000000</v>
          </cell>
          <cell r="I2653" t="str">
            <v/>
          </cell>
          <cell r="J2653" t="str">
            <v/>
          </cell>
          <cell r="K2653" t="str">
            <v/>
          </cell>
          <cell r="L2653" t="str">
            <v/>
          </cell>
        </row>
        <row r="2654">
          <cell r="A2654">
            <v>34000000</v>
          </cell>
          <cell r="C2654">
            <v>34000000</v>
          </cell>
          <cell r="D2654">
            <v>34000000</v>
          </cell>
          <cell r="E2654">
            <v>34000000</v>
          </cell>
          <cell r="F2654">
            <v>34000000</v>
          </cell>
          <cell r="G2654">
            <v>34000000</v>
          </cell>
          <cell r="H2654">
            <v>34000000</v>
          </cell>
          <cell r="I2654" t="str">
            <v/>
          </cell>
          <cell r="J2654" t="str">
            <v/>
          </cell>
          <cell r="K2654" t="str">
            <v/>
          </cell>
          <cell r="L2654" t="str">
            <v/>
          </cell>
        </row>
        <row r="2655">
          <cell r="A2655">
            <v>34000000</v>
          </cell>
          <cell r="C2655">
            <v>34000000</v>
          </cell>
          <cell r="D2655">
            <v>34000000</v>
          </cell>
          <cell r="E2655">
            <v>34000000</v>
          </cell>
          <cell r="F2655">
            <v>34000000</v>
          </cell>
          <cell r="G2655">
            <v>34000000</v>
          </cell>
          <cell r="H2655">
            <v>34000000</v>
          </cell>
          <cell r="I2655" t="str">
            <v/>
          </cell>
          <cell r="J2655" t="str">
            <v/>
          </cell>
          <cell r="K2655" t="str">
            <v/>
          </cell>
          <cell r="L2655" t="str">
            <v/>
          </cell>
        </row>
        <row r="2656">
          <cell r="A2656">
            <v>34000000</v>
          </cell>
          <cell r="C2656">
            <v>34000000</v>
          </cell>
          <cell r="D2656">
            <v>34000000</v>
          </cell>
          <cell r="E2656">
            <v>34000000</v>
          </cell>
          <cell r="F2656">
            <v>34000000</v>
          </cell>
          <cell r="G2656">
            <v>34000000</v>
          </cell>
          <cell r="H2656">
            <v>34000000</v>
          </cell>
          <cell r="I2656" t="str">
            <v/>
          </cell>
          <cell r="J2656" t="str">
            <v/>
          </cell>
          <cell r="K2656" t="str">
            <v/>
          </cell>
          <cell r="L2656" t="str">
            <v/>
          </cell>
        </row>
        <row r="2657">
          <cell r="A2657">
            <v>34000000</v>
          </cell>
          <cell r="C2657">
            <v>34000000</v>
          </cell>
          <cell r="D2657">
            <v>34000000</v>
          </cell>
          <cell r="E2657">
            <v>34000000</v>
          </cell>
          <cell r="F2657">
            <v>34000000</v>
          </cell>
          <cell r="G2657">
            <v>34000000</v>
          </cell>
          <cell r="H2657">
            <v>34000000</v>
          </cell>
          <cell r="I2657" t="str">
            <v/>
          </cell>
          <cell r="J2657" t="str">
            <v/>
          </cell>
          <cell r="K2657" t="str">
            <v/>
          </cell>
          <cell r="L2657" t="str">
            <v/>
          </cell>
        </row>
        <row r="2658">
          <cell r="A2658">
            <v>34000000</v>
          </cell>
          <cell r="C2658">
            <v>34000000</v>
          </cell>
          <cell r="D2658">
            <v>34000000</v>
          </cell>
          <cell r="E2658">
            <v>34000000</v>
          </cell>
          <cell r="F2658">
            <v>34000000</v>
          </cell>
          <cell r="G2658">
            <v>34000000</v>
          </cell>
          <cell r="H2658">
            <v>34000000</v>
          </cell>
          <cell r="I2658" t="str">
            <v/>
          </cell>
          <cell r="J2658" t="str">
            <v/>
          </cell>
          <cell r="K2658" t="str">
            <v/>
          </cell>
          <cell r="L2658" t="str">
            <v/>
          </cell>
        </row>
        <row r="2659">
          <cell r="A2659">
            <v>34000000</v>
          </cell>
          <cell r="C2659">
            <v>34000000</v>
          </cell>
          <cell r="D2659">
            <v>34000000</v>
          </cell>
          <cell r="E2659">
            <v>34000000</v>
          </cell>
          <cell r="F2659">
            <v>34000000</v>
          </cell>
          <cell r="G2659">
            <v>34000000</v>
          </cell>
          <cell r="H2659">
            <v>34000000</v>
          </cell>
          <cell r="I2659" t="str">
            <v/>
          </cell>
          <cell r="J2659" t="str">
            <v/>
          </cell>
          <cell r="K2659" t="str">
            <v/>
          </cell>
          <cell r="L2659" t="str">
            <v/>
          </cell>
        </row>
        <row r="2660">
          <cell r="A2660">
            <v>34000000</v>
          </cell>
          <cell r="C2660">
            <v>34000000</v>
          </cell>
          <cell r="D2660">
            <v>34000000</v>
          </cell>
          <cell r="E2660">
            <v>34000000</v>
          </cell>
          <cell r="F2660">
            <v>34000000</v>
          </cell>
          <cell r="G2660">
            <v>34000000</v>
          </cell>
          <cell r="H2660">
            <v>34000000</v>
          </cell>
          <cell r="I2660" t="str">
            <v/>
          </cell>
          <cell r="J2660" t="str">
            <v/>
          </cell>
          <cell r="K2660" t="str">
            <v/>
          </cell>
          <cell r="L2660" t="str">
            <v/>
          </cell>
        </row>
        <row r="2661">
          <cell r="A2661">
            <v>34000000</v>
          </cell>
          <cell r="C2661">
            <v>34000000</v>
          </cell>
          <cell r="D2661">
            <v>34000000</v>
          </cell>
          <cell r="E2661">
            <v>34000000</v>
          </cell>
          <cell r="F2661">
            <v>34000000</v>
          </cell>
          <cell r="G2661">
            <v>34000000</v>
          </cell>
          <cell r="H2661">
            <v>34000000</v>
          </cell>
          <cell r="I2661" t="str">
            <v/>
          </cell>
          <cell r="J2661" t="str">
            <v/>
          </cell>
          <cell r="K2661" t="str">
            <v/>
          </cell>
          <cell r="L2661" t="str">
            <v/>
          </cell>
        </row>
        <row r="2662">
          <cell r="A2662">
            <v>34000000</v>
          </cell>
          <cell r="C2662">
            <v>34000000</v>
          </cell>
          <cell r="D2662">
            <v>34000000</v>
          </cell>
          <cell r="E2662">
            <v>34000000</v>
          </cell>
          <cell r="F2662">
            <v>34000000</v>
          </cell>
          <cell r="G2662">
            <v>34000000</v>
          </cell>
          <cell r="H2662">
            <v>34000000</v>
          </cell>
          <cell r="I2662" t="str">
            <v/>
          </cell>
          <cell r="J2662" t="str">
            <v/>
          </cell>
          <cell r="K2662" t="str">
            <v/>
          </cell>
          <cell r="L2662" t="str">
            <v/>
          </cell>
        </row>
        <row r="2663">
          <cell r="A2663">
            <v>34000000</v>
          </cell>
          <cell r="C2663">
            <v>34000000</v>
          </cell>
          <cell r="D2663">
            <v>34000000</v>
          </cell>
          <cell r="E2663">
            <v>34000000</v>
          </cell>
          <cell r="F2663">
            <v>34000000</v>
          </cell>
          <cell r="G2663">
            <v>34000000</v>
          </cell>
          <cell r="H2663">
            <v>34000000</v>
          </cell>
          <cell r="I2663" t="str">
            <v/>
          </cell>
          <cell r="J2663" t="str">
            <v/>
          </cell>
          <cell r="K2663" t="str">
            <v/>
          </cell>
          <cell r="L2663" t="str">
            <v/>
          </cell>
        </row>
        <row r="2664">
          <cell r="A2664">
            <v>34000000</v>
          </cell>
          <cell r="C2664">
            <v>34000000</v>
          </cell>
          <cell r="D2664">
            <v>34000000</v>
          </cell>
          <cell r="E2664">
            <v>34000000</v>
          </cell>
          <cell r="F2664">
            <v>34000000</v>
          </cell>
          <cell r="G2664">
            <v>34000000</v>
          </cell>
          <cell r="H2664">
            <v>34000000</v>
          </cell>
          <cell r="I2664" t="str">
            <v/>
          </cell>
          <cell r="J2664" t="str">
            <v/>
          </cell>
          <cell r="K2664" t="str">
            <v/>
          </cell>
          <cell r="L2664" t="str">
            <v/>
          </cell>
        </row>
        <row r="2665">
          <cell r="A2665">
            <v>34000000</v>
          </cell>
          <cell r="C2665">
            <v>34000000</v>
          </cell>
          <cell r="D2665">
            <v>34000000</v>
          </cell>
          <cell r="E2665">
            <v>34000000</v>
          </cell>
          <cell r="F2665">
            <v>34000000</v>
          </cell>
          <cell r="G2665">
            <v>34000000</v>
          </cell>
          <cell r="H2665">
            <v>34000000</v>
          </cell>
          <cell r="I2665" t="str">
            <v/>
          </cell>
          <cell r="J2665" t="str">
            <v/>
          </cell>
          <cell r="K2665" t="str">
            <v/>
          </cell>
          <cell r="L2665" t="str">
            <v/>
          </cell>
        </row>
        <row r="2666">
          <cell r="A2666">
            <v>34000000</v>
          </cell>
          <cell r="C2666">
            <v>34000000</v>
          </cell>
          <cell r="D2666">
            <v>34000000</v>
          </cell>
          <cell r="E2666">
            <v>34000000</v>
          </cell>
          <cell r="F2666">
            <v>34000000</v>
          </cell>
          <cell r="G2666">
            <v>34000000</v>
          </cell>
          <cell r="H2666">
            <v>34000000</v>
          </cell>
          <cell r="I2666" t="str">
            <v/>
          </cell>
          <cell r="J2666" t="str">
            <v/>
          </cell>
          <cell r="K2666" t="str">
            <v/>
          </cell>
          <cell r="L2666" t="str">
            <v/>
          </cell>
        </row>
        <row r="2667">
          <cell r="A2667">
            <v>34000000</v>
          </cell>
          <cell r="C2667">
            <v>34000000</v>
          </cell>
          <cell r="D2667">
            <v>34000000</v>
          </cell>
          <cell r="E2667">
            <v>34000000</v>
          </cell>
          <cell r="F2667">
            <v>34000000</v>
          </cell>
          <cell r="G2667">
            <v>34000000</v>
          </cell>
          <cell r="H2667">
            <v>34000000</v>
          </cell>
          <cell r="I2667" t="str">
            <v/>
          </cell>
          <cell r="J2667" t="str">
            <v/>
          </cell>
          <cell r="K2667" t="str">
            <v/>
          </cell>
          <cell r="L2667" t="str">
            <v/>
          </cell>
        </row>
        <row r="2668">
          <cell r="A2668">
            <v>34000000</v>
          </cell>
          <cell r="C2668">
            <v>34000000</v>
          </cell>
          <cell r="D2668">
            <v>34000000</v>
          </cell>
          <cell r="E2668">
            <v>34000000</v>
          </cell>
          <cell r="F2668">
            <v>34000000</v>
          </cell>
          <cell r="G2668">
            <v>34000000</v>
          </cell>
          <cell r="H2668">
            <v>34000000</v>
          </cell>
          <cell r="I2668" t="str">
            <v/>
          </cell>
          <cell r="J2668" t="str">
            <v/>
          </cell>
          <cell r="K2668" t="str">
            <v/>
          </cell>
          <cell r="L2668" t="str">
            <v/>
          </cell>
        </row>
        <row r="2669">
          <cell r="A2669">
            <v>34000000</v>
          </cell>
          <cell r="C2669">
            <v>34000000</v>
          </cell>
          <cell r="D2669">
            <v>34000000</v>
          </cell>
          <cell r="E2669">
            <v>34000000</v>
          </cell>
          <cell r="F2669">
            <v>34000000</v>
          </cell>
          <cell r="G2669">
            <v>34000000</v>
          </cell>
          <cell r="H2669">
            <v>34000000</v>
          </cell>
          <cell r="I2669" t="str">
            <v/>
          </cell>
          <cell r="J2669" t="str">
            <v/>
          </cell>
          <cell r="K2669" t="str">
            <v/>
          </cell>
          <cell r="L2669" t="str">
            <v/>
          </cell>
        </row>
        <row r="2670">
          <cell r="A2670">
            <v>34000000</v>
          </cell>
          <cell r="C2670">
            <v>34000000</v>
          </cell>
          <cell r="D2670">
            <v>34000000</v>
          </cell>
          <cell r="E2670">
            <v>34000000</v>
          </cell>
          <cell r="F2670">
            <v>34000000</v>
          </cell>
          <cell r="G2670">
            <v>34000000</v>
          </cell>
          <cell r="H2670">
            <v>34000000</v>
          </cell>
          <cell r="I2670" t="str">
            <v/>
          </cell>
          <cell r="J2670" t="str">
            <v/>
          </cell>
          <cell r="K2670" t="str">
            <v/>
          </cell>
          <cell r="L2670" t="str">
            <v/>
          </cell>
        </row>
        <row r="2671">
          <cell r="A2671">
            <v>34000000</v>
          </cell>
          <cell r="C2671">
            <v>34000000</v>
          </cell>
          <cell r="D2671">
            <v>34000000</v>
          </cell>
          <cell r="E2671">
            <v>34000000</v>
          </cell>
          <cell r="F2671">
            <v>34000000</v>
          </cell>
          <cell r="G2671">
            <v>34000000</v>
          </cell>
          <cell r="H2671">
            <v>34000000</v>
          </cell>
          <cell r="I2671" t="str">
            <v/>
          </cell>
          <cell r="J2671" t="str">
            <v/>
          </cell>
          <cell r="K2671" t="str">
            <v/>
          </cell>
          <cell r="L2671" t="str">
            <v/>
          </cell>
        </row>
        <row r="2672">
          <cell r="A2672">
            <v>34000000</v>
          </cell>
          <cell r="C2672">
            <v>34000000</v>
          </cell>
          <cell r="D2672">
            <v>34000000</v>
          </cell>
          <cell r="E2672">
            <v>34000000</v>
          </cell>
          <cell r="F2672">
            <v>34000000</v>
          </cell>
          <cell r="G2672">
            <v>34000000</v>
          </cell>
          <cell r="H2672">
            <v>34000000</v>
          </cell>
          <cell r="I2672" t="str">
            <v/>
          </cell>
          <cell r="J2672" t="str">
            <v/>
          </cell>
          <cell r="K2672" t="str">
            <v/>
          </cell>
          <cell r="L2672" t="str">
            <v/>
          </cell>
        </row>
        <row r="2673">
          <cell r="A2673">
            <v>34000000</v>
          </cell>
          <cell r="C2673">
            <v>34000000</v>
          </cell>
          <cell r="D2673">
            <v>34000000</v>
          </cell>
          <cell r="E2673">
            <v>34000000</v>
          </cell>
          <cell r="F2673">
            <v>34000000</v>
          </cell>
          <cell r="G2673">
            <v>34000000</v>
          </cell>
          <cell r="H2673">
            <v>34000000</v>
          </cell>
          <cell r="I2673" t="str">
            <v/>
          </cell>
          <cell r="J2673" t="str">
            <v/>
          </cell>
          <cell r="K2673" t="str">
            <v/>
          </cell>
          <cell r="L2673" t="str">
            <v/>
          </cell>
        </row>
        <row r="2674">
          <cell r="A2674">
            <v>34000000</v>
          </cell>
          <cell r="C2674">
            <v>34000000</v>
          </cell>
          <cell r="D2674">
            <v>34000000</v>
          </cell>
          <cell r="E2674">
            <v>34000000</v>
          </cell>
          <cell r="F2674">
            <v>34000000</v>
          </cell>
          <cell r="G2674">
            <v>34000000</v>
          </cell>
          <cell r="H2674">
            <v>34000000</v>
          </cell>
          <cell r="I2674" t="str">
            <v/>
          </cell>
          <cell r="J2674" t="str">
            <v/>
          </cell>
          <cell r="K2674" t="str">
            <v/>
          </cell>
          <cell r="L2674" t="str">
            <v/>
          </cell>
        </row>
        <row r="2675">
          <cell r="A2675">
            <v>34000000</v>
          </cell>
          <cell r="C2675">
            <v>34000000</v>
          </cell>
          <cell r="D2675">
            <v>34000000</v>
          </cell>
          <cell r="E2675">
            <v>34000000</v>
          </cell>
          <cell r="F2675">
            <v>34000000</v>
          </cell>
          <cell r="G2675">
            <v>34000000</v>
          </cell>
          <cell r="H2675">
            <v>34000000</v>
          </cell>
          <cell r="I2675" t="str">
            <v/>
          </cell>
          <cell r="J2675" t="str">
            <v/>
          </cell>
          <cell r="K2675" t="str">
            <v/>
          </cell>
          <cell r="L2675" t="str">
            <v/>
          </cell>
        </row>
        <row r="2676">
          <cell r="A2676">
            <v>34000000</v>
          </cell>
          <cell r="C2676">
            <v>34000000</v>
          </cell>
          <cell r="D2676">
            <v>34000000</v>
          </cell>
          <cell r="E2676">
            <v>34000000</v>
          </cell>
          <cell r="F2676">
            <v>34000000</v>
          </cell>
          <cell r="G2676">
            <v>34000000</v>
          </cell>
          <cell r="H2676">
            <v>34000000</v>
          </cell>
          <cell r="I2676" t="str">
            <v/>
          </cell>
          <cell r="J2676" t="str">
            <v/>
          </cell>
          <cell r="K2676" t="str">
            <v/>
          </cell>
          <cell r="L2676" t="str">
            <v/>
          </cell>
        </row>
        <row r="2677">
          <cell r="A2677">
            <v>34000000</v>
          </cell>
          <cell r="C2677">
            <v>34000000</v>
          </cell>
          <cell r="D2677">
            <v>34000000</v>
          </cell>
          <cell r="E2677">
            <v>34000000</v>
          </cell>
          <cell r="F2677">
            <v>34000000</v>
          </cell>
          <cell r="G2677">
            <v>34000000</v>
          </cell>
          <cell r="H2677">
            <v>34000000</v>
          </cell>
          <cell r="I2677" t="str">
            <v/>
          </cell>
          <cell r="J2677" t="str">
            <v/>
          </cell>
          <cell r="K2677" t="str">
            <v/>
          </cell>
          <cell r="L2677" t="str">
            <v/>
          </cell>
        </row>
        <row r="2678">
          <cell r="A2678">
            <v>34000000</v>
          </cell>
          <cell r="C2678">
            <v>34000000</v>
          </cell>
          <cell r="D2678">
            <v>34000000</v>
          </cell>
          <cell r="E2678">
            <v>34000000</v>
          </cell>
          <cell r="F2678">
            <v>34000000</v>
          </cell>
          <cell r="G2678">
            <v>34000000</v>
          </cell>
          <cell r="H2678">
            <v>34000000</v>
          </cell>
          <cell r="I2678" t="str">
            <v/>
          </cell>
          <cell r="J2678" t="str">
            <v/>
          </cell>
          <cell r="K2678" t="str">
            <v/>
          </cell>
          <cell r="L2678" t="str">
            <v/>
          </cell>
        </row>
        <row r="2679">
          <cell r="A2679">
            <v>34000000</v>
          </cell>
          <cell r="C2679">
            <v>34000000</v>
          </cell>
          <cell r="D2679">
            <v>34000000</v>
          </cell>
          <cell r="E2679">
            <v>34000000</v>
          </cell>
          <cell r="F2679">
            <v>34000000</v>
          </cell>
          <cell r="G2679">
            <v>34000000</v>
          </cell>
          <cell r="H2679">
            <v>34000000</v>
          </cell>
          <cell r="I2679" t="str">
            <v/>
          </cell>
          <cell r="J2679" t="str">
            <v/>
          </cell>
          <cell r="K2679" t="str">
            <v/>
          </cell>
          <cell r="L2679" t="str">
            <v/>
          </cell>
        </row>
        <row r="2680">
          <cell r="A2680">
            <v>34000000</v>
          </cell>
          <cell r="C2680">
            <v>34000000</v>
          </cell>
          <cell r="D2680">
            <v>34000000</v>
          </cell>
          <cell r="E2680">
            <v>34000000</v>
          </cell>
          <cell r="F2680">
            <v>34000000</v>
          </cell>
          <cell r="G2680">
            <v>34000000</v>
          </cell>
          <cell r="H2680">
            <v>34000000</v>
          </cell>
          <cell r="I2680" t="str">
            <v/>
          </cell>
          <cell r="J2680" t="str">
            <v/>
          </cell>
          <cell r="K2680" t="str">
            <v/>
          </cell>
          <cell r="L2680" t="str">
            <v/>
          </cell>
        </row>
        <row r="2681">
          <cell r="A2681">
            <v>34000000</v>
          </cell>
          <cell r="C2681">
            <v>34000000</v>
          </cell>
          <cell r="D2681">
            <v>34000000</v>
          </cell>
          <cell r="E2681">
            <v>34000000</v>
          </cell>
          <cell r="F2681">
            <v>34000000</v>
          </cell>
          <cell r="G2681">
            <v>34000000</v>
          </cell>
          <cell r="H2681">
            <v>34000000</v>
          </cell>
          <cell r="I2681" t="str">
            <v/>
          </cell>
          <cell r="J2681" t="str">
            <v/>
          </cell>
          <cell r="K2681" t="str">
            <v/>
          </cell>
          <cell r="L2681" t="str">
            <v/>
          </cell>
        </row>
        <row r="2682">
          <cell r="A2682">
            <v>34000000</v>
          </cell>
          <cell r="C2682">
            <v>34000000</v>
          </cell>
          <cell r="D2682">
            <v>34000000</v>
          </cell>
          <cell r="E2682">
            <v>34000000</v>
          </cell>
          <cell r="F2682">
            <v>34000000</v>
          </cell>
          <cell r="G2682">
            <v>34000000</v>
          </cell>
          <cell r="H2682">
            <v>34000000</v>
          </cell>
          <cell r="I2682" t="str">
            <v/>
          </cell>
          <cell r="J2682" t="str">
            <v/>
          </cell>
          <cell r="K2682" t="str">
            <v/>
          </cell>
          <cell r="L2682" t="str">
            <v/>
          </cell>
        </row>
        <row r="2683">
          <cell r="A2683">
            <v>34000000</v>
          </cell>
          <cell r="C2683">
            <v>34000000</v>
          </cell>
          <cell r="D2683">
            <v>34000000</v>
          </cell>
          <cell r="E2683">
            <v>34000000</v>
          </cell>
          <cell r="F2683">
            <v>34000000</v>
          </cell>
          <cell r="G2683">
            <v>34000000</v>
          </cell>
          <cell r="H2683">
            <v>34000000</v>
          </cell>
          <cell r="I2683" t="str">
            <v/>
          </cell>
          <cell r="J2683" t="str">
            <v/>
          </cell>
          <cell r="K2683" t="str">
            <v/>
          </cell>
          <cell r="L2683" t="str">
            <v/>
          </cell>
        </row>
        <row r="2684">
          <cell r="A2684">
            <v>34000000</v>
          </cell>
          <cell r="C2684">
            <v>34000000</v>
          </cell>
          <cell r="D2684">
            <v>34000000</v>
          </cell>
          <cell r="E2684">
            <v>34000000</v>
          </cell>
          <cell r="F2684">
            <v>34000000</v>
          </cell>
          <cell r="G2684">
            <v>34000000</v>
          </cell>
          <cell r="H2684">
            <v>34000000</v>
          </cell>
          <cell r="I2684" t="str">
            <v/>
          </cell>
          <cell r="J2684" t="str">
            <v/>
          </cell>
          <cell r="K2684" t="str">
            <v/>
          </cell>
          <cell r="L2684" t="str">
            <v/>
          </cell>
        </row>
        <row r="2685">
          <cell r="A2685">
            <v>34000000</v>
          </cell>
          <cell r="C2685">
            <v>34000000</v>
          </cell>
          <cell r="D2685">
            <v>34000000</v>
          </cell>
          <cell r="E2685">
            <v>34000000</v>
          </cell>
          <cell r="F2685">
            <v>34000000</v>
          </cell>
          <cell r="G2685">
            <v>34000000</v>
          </cell>
          <cell r="H2685">
            <v>34000000</v>
          </cell>
          <cell r="I2685" t="str">
            <v/>
          </cell>
          <cell r="J2685" t="str">
            <v/>
          </cell>
          <cell r="K2685" t="str">
            <v/>
          </cell>
          <cell r="L2685" t="str">
            <v/>
          </cell>
        </row>
        <row r="2686">
          <cell r="A2686">
            <v>34000000</v>
          </cell>
          <cell r="C2686">
            <v>34000000</v>
          </cell>
          <cell r="D2686">
            <v>34000000</v>
          </cell>
          <cell r="E2686">
            <v>34000000</v>
          </cell>
          <cell r="F2686">
            <v>34000000</v>
          </cell>
          <cell r="G2686">
            <v>34000000</v>
          </cell>
          <cell r="H2686">
            <v>34000000</v>
          </cell>
          <cell r="I2686" t="str">
            <v/>
          </cell>
          <cell r="J2686" t="str">
            <v/>
          </cell>
          <cell r="K2686" t="str">
            <v/>
          </cell>
          <cell r="L2686" t="str">
            <v/>
          </cell>
        </row>
        <row r="2687">
          <cell r="A2687">
            <v>34000000</v>
          </cell>
          <cell r="C2687">
            <v>34000000</v>
          </cell>
          <cell r="D2687">
            <v>34000000</v>
          </cell>
          <cell r="E2687">
            <v>34000000</v>
          </cell>
          <cell r="F2687">
            <v>34000000</v>
          </cell>
          <cell r="G2687">
            <v>34000000</v>
          </cell>
          <cell r="H2687">
            <v>34000000</v>
          </cell>
          <cell r="I2687" t="str">
            <v/>
          </cell>
          <cell r="J2687" t="str">
            <v/>
          </cell>
          <cell r="K2687" t="str">
            <v/>
          </cell>
          <cell r="L2687" t="str">
            <v/>
          </cell>
        </row>
        <row r="2688">
          <cell r="A2688">
            <v>34000000</v>
          </cell>
          <cell r="C2688">
            <v>34000000</v>
          </cell>
          <cell r="D2688">
            <v>34000000</v>
          </cell>
          <cell r="E2688">
            <v>34000000</v>
          </cell>
          <cell r="F2688">
            <v>34000000</v>
          </cell>
          <cell r="G2688">
            <v>34000000</v>
          </cell>
          <cell r="H2688">
            <v>34000000</v>
          </cell>
          <cell r="I2688" t="str">
            <v/>
          </cell>
          <cell r="J2688" t="str">
            <v/>
          </cell>
          <cell r="K2688" t="str">
            <v/>
          </cell>
          <cell r="L2688" t="str">
            <v/>
          </cell>
        </row>
        <row r="2689">
          <cell r="A2689">
            <v>34000000</v>
          </cell>
          <cell r="C2689">
            <v>34000000</v>
          </cell>
          <cell r="D2689">
            <v>34000000</v>
          </cell>
          <cell r="E2689">
            <v>34000000</v>
          </cell>
          <cell r="F2689">
            <v>34000000</v>
          </cell>
          <cell r="G2689">
            <v>34000000</v>
          </cell>
          <cell r="H2689">
            <v>34000000</v>
          </cell>
          <cell r="I2689" t="str">
            <v/>
          </cell>
          <cell r="J2689" t="str">
            <v/>
          </cell>
          <cell r="K2689" t="str">
            <v/>
          </cell>
          <cell r="L2689" t="str">
            <v/>
          </cell>
        </row>
        <row r="2690">
          <cell r="A2690">
            <v>34000000</v>
          </cell>
          <cell r="C2690">
            <v>34000000</v>
          </cell>
          <cell r="D2690">
            <v>34000000</v>
          </cell>
          <cell r="E2690">
            <v>34000000</v>
          </cell>
          <cell r="F2690">
            <v>34000000</v>
          </cell>
          <cell r="G2690">
            <v>34000000</v>
          </cell>
          <cell r="H2690">
            <v>34000000</v>
          </cell>
          <cell r="I2690" t="str">
            <v/>
          </cell>
          <cell r="J2690" t="str">
            <v/>
          </cell>
          <cell r="K2690" t="str">
            <v/>
          </cell>
          <cell r="L2690" t="str">
            <v/>
          </cell>
        </row>
        <row r="2691">
          <cell r="A2691">
            <v>34000000</v>
          </cell>
          <cell r="C2691">
            <v>34000000</v>
          </cell>
          <cell r="D2691">
            <v>34000000</v>
          </cell>
          <cell r="E2691">
            <v>34000000</v>
          </cell>
          <cell r="F2691">
            <v>34000000</v>
          </cell>
          <cell r="G2691">
            <v>34000000</v>
          </cell>
          <cell r="H2691">
            <v>34000000</v>
          </cell>
          <cell r="I2691" t="str">
            <v/>
          </cell>
          <cell r="J2691" t="str">
            <v/>
          </cell>
          <cell r="K2691" t="str">
            <v/>
          </cell>
          <cell r="L2691" t="str">
            <v/>
          </cell>
        </row>
        <row r="2692">
          <cell r="A2692">
            <v>34000000</v>
          </cell>
          <cell r="C2692">
            <v>34000000</v>
          </cell>
          <cell r="D2692">
            <v>34000000</v>
          </cell>
          <cell r="E2692">
            <v>34000000</v>
          </cell>
          <cell r="F2692">
            <v>34000000</v>
          </cell>
          <cell r="G2692">
            <v>34000000</v>
          </cell>
          <cell r="H2692">
            <v>34000000</v>
          </cell>
          <cell r="I2692" t="str">
            <v/>
          </cell>
          <cell r="J2692" t="str">
            <v/>
          </cell>
          <cell r="K2692" t="str">
            <v/>
          </cell>
          <cell r="L2692" t="str">
            <v/>
          </cell>
        </row>
        <row r="2693">
          <cell r="A2693">
            <v>34000000</v>
          </cell>
          <cell r="C2693">
            <v>34000000</v>
          </cell>
          <cell r="D2693">
            <v>34000000</v>
          </cell>
          <cell r="E2693">
            <v>34000000</v>
          </cell>
          <cell r="F2693">
            <v>34000000</v>
          </cell>
          <cell r="G2693">
            <v>34000000</v>
          </cell>
          <cell r="H2693">
            <v>34000000</v>
          </cell>
          <cell r="I2693" t="str">
            <v/>
          </cell>
          <cell r="J2693" t="str">
            <v/>
          </cell>
          <cell r="K2693" t="str">
            <v/>
          </cell>
          <cell r="L2693" t="str">
            <v/>
          </cell>
        </row>
        <row r="2694">
          <cell r="A2694">
            <v>34000000</v>
          </cell>
          <cell r="C2694">
            <v>34000000</v>
          </cell>
          <cell r="D2694">
            <v>34000000</v>
          </cell>
          <cell r="E2694">
            <v>34000000</v>
          </cell>
          <cell r="F2694">
            <v>34000000</v>
          </cell>
          <cell r="G2694">
            <v>34000000</v>
          </cell>
          <cell r="H2694">
            <v>34000000</v>
          </cell>
          <cell r="I2694" t="str">
            <v/>
          </cell>
          <cell r="J2694" t="str">
            <v/>
          </cell>
          <cell r="K2694" t="str">
            <v/>
          </cell>
          <cell r="L2694" t="str">
            <v/>
          </cell>
        </row>
        <row r="2695">
          <cell r="A2695">
            <v>34000000</v>
          </cell>
          <cell r="C2695">
            <v>34000000</v>
          </cell>
          <cell r="D2695">
            <v>34000000</v>
          </cell>
          <cell r="E2695">
            <v>34000000</v>
          </cell>
          <cell r="F2695">
            <v>34000000</v>
          </cell>
          <cell r="G2695">
            <v>34000000</v>
          </cell>
          <cell r="H2695">
            <v>34000000</v>
          </cell>
          <cell r="I2695" t="str">
            <v/>
          </cell>
          <cell r="J2695" t="str">
            <v/>
          </cell>
          <cell r="K2695" t="str">
            <v/>
          </cell>
          <cell r="L2695" t="str">
            <v/>
          </cell>
        </row>
        <row r="2696">
          <cell r="A2696">
            <v>34000000</v>
          </cell>
          <cell r="C2696">
            <v>34000000</v>
          </cell>
          <cell r="D2696">
            <v>34000000</v>
          </cell>
          <cell r="E2696">
            <v>34000000</v>
          </cell>
          <cell r="F2696">
            <v>34000000</v>
          </cell>
          <cell r="G2696">
            <v>34000000</v>
          </cell>
          <cell r="H2696">
            <v>34000000</v>
          </cell>
          <cell r="I2696" t="str">
            <v/>
          </cell>
          <cell r="J2696" t="str">
            <v/>
          </cell>
          <cell r="K2696" t="str">
            <v/>
          </cell>
          <cell r="L2696" t="str">
            <v/>
          </cell>
        </row>
        <row r="2697">
          <cell r="A2697">
            <v>34000000</v>
          </cell>
          <cell r="C2697">
            <v>34000000</v>
          </cell>
          <cell r="D2697">
            <v>34000000</v>
          </cell>
          <cell r="E2697">
            <v>34000000</v>
          </cell>
          <cell r="F2697">
            <v>34000000</v>
          </cell>
          <cell r="G2697">
            <v>34000000</v>
          </cell>
          <cell r="H2697">
            <v>34000000</v>
          </cell>
          <cell r="I2697" t="str">
            <v/>
          </cell>
          <cell r="J2697" t="str">
            <v/>
          </cell>
          <cell r="K2697" t="str">
            <v/>
          </cell>
          <cell r="L2697" t="str">
            <v/>
          </cell>
        </row>
        <row r="2698">
          <cell r="A2698">
            <v>34000000</v>
          </cell>
          <cell r="C2698">
            <v>34000000</v>
          </cell>
          <cell r="D2698">
            <v>34000000</v>
          </cell>
          <cell r="E2698">
            <v>34000000</v>
          </cell>
          <cell r="F2698">
            <v>34000000</v>
          </cell>
          <cell r="G2698">
            <v>34000000</v>
          </cell>
          <cell r="H2698">
            <v>34000000</v>
          </cell>
          <cell r="I2698" t="str">
            <v/>
          </cell>
          <cell r="J2698" t="str">
            <v/>
          </cell>
          <cell r="K2698" t="str">
            <v/>
          </cell>
          <cell r="L2698" t="str">
            <v/>
          </cell>
        </row>
        <row r="2699">
          <cell r="A2699">
            <v>34000000</v>
          </cell>
          <cell r="C2699">
            <v>34000000</v>
          </cell>
          <cell r="D2699">
            <v>34000000</v>
          </cell>
          <cell r="E2699">
            <v>34000000</v>
          </cell>
          <cell r="F2699">
            <v>34000000</v>
          </cell>
          <cell r="G2699">
            <v>34000000</v>
          </cell>
          <cell r="H2699">
            <v>34000000</v>
          </cell>
          <cell r="I2699" t="str">
            <v/>
          </cell>
          <cell r="J2699" t="str">
            <v/>
          </cell>
          <cell r="K2699" t="str">
            <v/>
          </cell>
          <cell r="L2699" t="str">
            <v/>
          </cell>
        </row>
        <row r="2700">
          <cell r="A2700">
            <v>34000000</v>
          </cell>
          <cell r="C2700">
            <v>34000000</v>
          </cell>
          <cell r="D2700">
            <v>34000000</v>
          </cell>
          <cell r="E2700">
            <v>34000000</v>
          </cell>
          <cell r="F2700">
            <v>34000000</v>
          </cell>
          <cell r="G2700">
            <v>34000000</v>
          </cell>
          <cell r="H2700">
            <v>34000000</v>
          </cell>
          <cell r="I2700" t="str">
            <v/>
          </cell>
          <cell r="J2700" t="str">
            <v/>
          </cell>
          <cell r="K2700" t="str">
            <v/>
          </cell>
          <cell r="L2700" t="str">
            <v/>
          </cell>
        </row>
        <row r="2701">
          <cell r="A2701">
            <v>34000000</v>
          </cell>
          <cell r="C2701">
            <v>34000000</v>
          </cell>
          <cell r="D2701">
            <v>34000000</v>
          </cell>
          <cell r="E2701">
            <v>34000000</v>
          </cell>
          <cell r="F2701">
            <v>34000000</v>
          </cell>
          <cell r="G2701">
            <v>34000000</v>
          </cell>
          <cell r="H2701">
            <v>34000000</v>
          </cell>
          <cell r="I2701" t="str">
            <v/>
          </cell>
          <cell r="J2701" t="str">
            <v/>
          </cell>
          <cell r="K2701" t="str">
            <v/>
          </cell>
          <cell r="L2701" t="str">
            <v/>
          </cell>
        </row>
        <row r="2702">
          <cell r="A2702">
            <v>34000000</v>
          </cell>
          <cell r="C2702">
            <v>34000000</v>
          </cell>
          <cell r="D2702">
            <v>34000000</v>
          </cell>
          <cell r="E2702">
            <v>34000000</v>
          </cell>
          <cell r="F2702">
            <v>34000000</v>
          </cell>
          <cell r="G2702">
            <v>34000000</v>
          </cell>
          <cell r="H2702">
            <v>34000000</v>
          </cell>
          <cell r="I2702" t="str">
            <v/>
          </cell>
          <cell r="J2702" t="str">
            <v/>
          </cell>
          <cell r="K2702" t="str">
            <v/>
          </cell>
          <cell r="L2702" t="str">
            <v/>
          </cell>
        </row>
        <row r="2703">
          <cell r="A2703">
            <v>34000000</v>
          </cell>
          <cell r="C2703">
            <v>34000000</v>
          </cell>
          <cell r="D2703">
            <v>34000000</v>
          </cell>
          <cell r="E2703">
            <v>34000000</v>
          </cell>
          <cell r="F2703">
            <v>34000000</v>
          </cell>
          <cell r="G2703">
            <v>34000000</v>
          </cell>
          <cell r="H2703">
            <v>34000000</v>
          </cell>
          <cell r="I2703" t="str">
            <v/>
          </cell>
          <cell r="J2703" t="str">
            <v/>
          </cell>
          <cell r="K2703" t="str">
            <v/>
          </cell>
          <cell r="L2703" t="str">
            <v/>
          </cell>
        </row>
        <row r="2704">
          <cell r="A2704">
            <v>34000000</v>
          </cell>
          <cell r="C2704">
            <v>34000000</v>
          </cell>
          <cell r="D2704">
            <v>34000000</v>
          </cell>
          <cell r="E2704">
            <v>34000000</v>
          </cell>
          <cell r="F2704">
            <v>34000000</v>
          </cell>
          <cell r="G2704">
            <v>34000000</v>
          </cell>
          <cell r="H2704">
            <v>34000000</v>
          </cell>
          <cell r="I2704" t="str">
            <v/>
          </cell>
          <cell r="J2704" t="str">
            <v/>
          </cell>
          <cell r="K2704" t="str">
            <v/>
          </cell>
          <cell r="L2704" t="str">
            <v/>
          </cell>
        </row>
        <row r="2705">
          <cell r="A2705">
            <v>34000000</v>
          </cell>
          <cell r="C2705">
            <v>34000000</v>
          </cell>
          <cell r="D2705">
            <v>34000000</v>
          </cell>
          <cell r="E2705">
            <v>34000000</v>
          </cell>
          <cell r="F2705">
            <v>34000000</v>
          </cell>
          <cell r="G2705">
            <v>34000000</v>
          </cell>
          <cell r="H2705">
            <v>34000000</v>
          </cell>
          <cell r="I2705" t="str">
            <v/>
          </cell>
          <cell r="J2705" t="str">
            <v/>
          </cell>
          <cell r="K2705" t="str">
            <v/>
          </cell>
          <cell r="L2705" t="str">
            <v/>
          </cell>
        </row>
        <row r="2706">
          <cell r="A2706">
            <v>34000000</v>
          </cell>
          <cell r="C2706">
            <v>34000000</v>
          </cell>
          <cell r="D2706">
            <v>34000000</v>
          </cell>
          <cell r="E2706">
            <v>34000000</v>
          </cell>
          <cell r="F2706">
            <v>34000000</v>
          </cell>
          <cell r="G2706">
            <v>34000000</v>
          </cell>
          <cell r="H2706">
            <v>34000000</v>
          </cell>
          <cell r="I2706" t="str">
            <v/>
          </cell>
          <cell r="J2706" t="str">
            <v/>
          </cell>
          <cell r="K2706" t="str">
            <v/>
          </cell>
          <cell r="L2706" t="str">
            <v/>
          </cell>
        </row>
        <row r="2707">
          <cell r="A2707">
            <v>34000000</v>
          </cell>
          <cell r="C2707">
            <v>34000000</v>
          </cell>
          <cell r="D2707">
            <v>34000000</v>
          </cell>
          <cell r="E2707">
            <v>34000000</v>
          </cell>
          <cell r="F2707">
            <v>34000000</v>
          </cell>
          <cell r="G2707">
            <v>34000000</v>
          </cell>
          <cell r="H2707">
            <v>34000000</v>
          </cell>
          <cell r="I2707" t="str">
            <v/>
          </cell>
          <cell r="J2707" t="str">
            <v/>
          </cell>
          <cell r="K2707" t="str">
            <v/>
          </cell>
          <cell r="L2707" t="str">
            <v/>
          </cell>
        </row>
        <row r="2708">
          <cell r="A2708">
            <v>34000000</v>
          </cell>
          <cell r="C2708">
            <v>34000000</v>
          </cell>
          <cell r="D2708">
            <v>34000000</v>
          </cell>
          <cell r="E2708">
            <v>34000000</v>
          </cell>
          <cell r="F2708">
            <v>34000000</v>
          </cell>
          <cell r="G2708">
            <v>34000000</v>
          </cell>
          <cell r="H2708">
            <v>34000000</v>
          </cell>
          <cell r="I2708" t="str">
            <v/>
          </cell>
          <cell r="J2708" t="str">
            <v/>
          </cell>
          <cell r="K2708" t="str">
            <v/>
          </cell>
          <cell r="L2708" t="str">
            <v/>
          </cell>
        </row>
        <row r="2709">
          <cell r="A2709">
            <v>34000000</v>
          </cell>
          <cell r="C2709">
            <v>34000000</v>
          </cell>
          <cell r="D2709">
            <v>34000000</v>
          </cell>
          <cell r="E2709">
            <v>34000000</v>
          </cell>
          <cell r="F2709">
            <v>34000000</v>
          </cell>
          <cell r="G2709">
            <v>34000000</v>
          </cell>
          <cell r="H2709">
            <v>34000000</v>
          </cell>
          <cell r="I2709" t="str">
            <v/>
          </cell>
          <cell r="J2709" t="str">
            <v/>
          </cell>
          <cell r="K2709" t="str">
            <v/>
          </cell>
          <cell r="L2709" t="str">
            <v/>
          </cell>
        </row>
        <row r="2710">
          <cell r="A2710">
            <v>34000000</v>
          </cell>
          <cell r="C2710">
            <v>34000000</v>
          </cell>
          <cell r="D2710">
            <v>34000000</v>
          </cell>
          <cell r="E2710">
            <v>34000000</v>
          </cell>
          <cell r="F2710">
            <v>34000000</v>
          </cell>
          <cell r="G2710">
            <v>34000000</v>
          </cell>
          <cell r="H2710">
            <v>34000000</v>
          </cell>
          <cell r="I2710" t="str">
            <v/>
          </cell>
          <cell r="J2710" t="str">
            <v/>
          </cell>
          <cell r="K2710" t="str">
            <v/>
          </cell>
          <cell r="L2710" t="str">
            <v/>
          </cell>
        </row>
        <row r="2711">
          <cell r="A2711">
            <v>34000000</v>
          </cell>
          <cell r="C2711">
            <v>34000000</v>
          </cell>
          <cell r="D2711">
            <v>34000000</v>
          </cell>
          <cell r="E2711">
            <v>34000000</v>
          </cell>
          <cell r="F2711">
            <v>34000000</v>
          </cell>
          <cell r="G2711">
            <v>34000000</v>
          </cell>
          <cell r="H2711">
            <v>34000000</v>
          </cell>
          <cell r="I2711" t="str">
            <v/>
          </cell>
          <cell r="J2711" t="str">
            <v/>
          </cell>
          <cell r="K2711" t="str">
            <v/>
          </cell>
          <cell r="L2711" t="str">
            <v/>
          </cell>
        </row>
        <row r="2712">
          <cell r="A2712">
            <v>34000000</v>
          </cell>
          <cell r="C2712">
            <v>34000000</v>
          </cell>
          <cell r="D2712">
            <v>34000000</v>
          </cell>
          <cell r="E2712">
            <v>34000000</v>
          </cell>
          <cell r="F2712">
            <v>34000000</v>
          </cell>
          <cell r="G2712">
            <v>34000000</v>
          </cell>
          <cell r="H2712">
            <v>34000000</v>
          </cell>
          <cell r="I2712" t="str">
            <v/>
          </cell>
          <cell r="J2712" t="str">
            <v/>
          </cell>
          <cell r="K2712" t="str">
            <v/>
          </cell>
          <cell r="L2712" t="str">
            <v/>
          </cell>
        </row>
        <row r="2713">
          <cell r="A2713">
            <v>34000000</v>
          </cell>
          <cell r="C2713">
            <v>34000000</v>
          </cell>
          <cell r="D2713">
            <v>34000000</v>
          </cell>
          <cell r="E2713">
            <v>34000000</v>
          </cell>
          <cell r="F2713">
            <v>34000000</v>
          </cell>
          <cell r="G2713">
            <v>34000000</v>
          </cell>
          <cell r="H2713">
            <v>34000000</v>
          </cell>
          <cell r="I2713" t="str">
            <v/>
          </cell>
          <cell r="J2713" t="str">
            <v/>
          </cell>
          <cell r="K2713" t="str">
            <v/>
          </cell>
          <cell r="L2713" t="str">
            <v/>
          </cell>
        </row>
        <row r="2714">
          <cell r="A2714">
            <v>34000000</v>
          </cell>
          <cell r="C2714">
            <v>34000000</v>
          </cell>
          <cell r="D2714">
            <v>34000000</v>
          </cell>
          <cell r="E2714">
            <v>34000000</v>
          </cell>
          <cell r="F2714">
            <v>34000000</v>
          </cell>
          <cell r="G2714">
            <v>34000000</v>
          </cell>
          <cell r="H2714">
            <v>34000000</v>
          </cell>
          <cell r="I2714" t="str">
            <v/>
          </cell>
          <cell r="J2714" t="str">
            <v/>
          </cell>
          <cell r="K2714" t="str">
            <v/>
          </cell>
          <cell r="L2714" t="str">
            <v/>
          </cell>
        </row>
        <row r="2715">
          <cell r="A2715">
            <v>34000000</v>
          </cell>
          <cell r="C2715">
            <v>34000000</v>
          </cell>
          <cell r="D2715">
            <v>34000000</v>
          </cell>
          <cell r="E2715">
            <v>34000000</v>
          </cell>
          <cell r="F2715">
            <v>34000000</v>
          </cell>
          <cell r="G2715">
            <v>34000000</v>
          </cell>
          <cell r="H2715">
            <v>34000000</v>
          </cell>
          <cell r="I2715" t="str">
            <v/>
          </cell>
          <cell r="J2715" t="str">
            <v/>
          </cell>
          <cell r="K2715" t="str">
            <v/>
          </cell>
          <cell r="L2715" t="str">
            <v/>
          </cell>
        </row>
        <row r="2716">
          <cell r="A2716">
            <v>34000000</v>
          </cell>
          <cell r="C2716">
            <v>34000000</v>
          </cell>
          <cell r="D2716">
            <v>34000000</v>
          </cell>
          <cell r="E2716">
            <v>34000000</v>
          </cell>
          <cell r="F2716">
            <v>34000000</v>
          </cell>
          <cell r="G2716">
            <v>34000000</v>
          </cell>
          <cell r="H2716">
            <v>34000000</v>
          </cell>
          <cell r="I2716" t="str">
            <v/>
          </cell>
          <cell r="J2716" t="str">
            <v/>
          </cell>
          <cell r="K2716" t="str">
            <v/>
          </cell>
          <cell r="L2716" t="str">
            <v/>
          </cell>
        </row>
        <row r="2717">
          <cell r="A2717">
            <v>34000000</v>
          </cell>
          <cell r="C2717">
            <v>34000000</v>
          </cell>
          <cell r="D2717">
            <v>34000000</v>
          </cell>
          <cell r="E2717">
            <v>34000000</v>
          </cell>
          <cell r="F2717">
            <v>34000000</v>
          </cell>
          <cell r="G2717">
            <v>34000000</v>
          </cell>
          <cell r="H2717">
            <v>34000000</v>
          </cell>
          <cell r="I2717" t="str">
            <v/>
          </cell>
          <cell r="J2717" t="str">
            <v/>
          </cell>
          <cell r="K2717" t="str">
            <v/>
          </cell>
          <cell r="L2717" t="str">
            <v/>
          </cell>
        </row>
        <row r="2718">
          <cell r="A2718">
            <v>34000000</v>
          </cell>
          <cell r="C2718">
            <v>34000000</v>
          </cell>
          <cell r="D2718">
            <v>34000000</v>
          </cell>
          <cell r="E2718">
            <v>34000000</v>
          </cell>
          <cell r="F2718">
            <v>34000000</v>
          </cell>
          <cell r="G2718">
            <v>34000000</v>
          </cell>
          <cell r="H2718">
            <v>34000000</v>
          </cell>
          <cell r="I2718" t="str">
            <v/>
          </cell>
          <cell r="J2718" t="str">
            <v/>
          </cell>
          <cell r="K2718" t="str">
            <v/>
          </cell>
          <cell r="L2718" t="str">
            <v/>
          </cell>
        </row>
        <row r="2719">
          <cell r="A2719">
            <v>34000000</v>
          </cell>
          <cell r="C2719">
            <v>34000000</v>
          </cell>
          <cell r="D2719">
            <v>34000000</v>
          </cell>
          <cell r="E2719">
            <v>34000000</v>
          </cell>
          <cell r="F2719">
            <v>34000000</v>
          </cell>
          <cell r="G2719">
            <v>34000000</v>
          </cell>
          <cell r="H2719">
            <v>34000000</v>
          </cell>
          <cell r="I2719" t="str">
            <v/>
          </cell>
          <cell r="J2719" t="str">
            <v/>
          </cell>
          <cell r="K2719" t="str">
            <v/>
          </cell>
          <cell r="L2719" t="str">
            <v/>
          </cell>
        </row>
        <row r="2720">
          <cell r="A2720">
            <v>34000000</v>
          </cell>
          <cell r="C2720">
            <v>34000000</v>
          </cell>
          <cell r="D2720">
            <v>34000000</v>
          </cell>
          <cell r="E2720">
            <v>34000000</v>
          </cell>
          <cell r="F2720">
            <v>34000000</v>
          </cell>
          <cell r="G2720">
            <v>34000000</v>
          </cell>
          <cell r="H2720">
            <v>34000000</v>
          </cell>
          <cell r="I2720" t="str">
            <v/>
          </cell>
          <cell r="J2720" t="str">
            <v/>
          </cell>
          <cell r="K2720" t="str">
            <v/>
          </cell>
          <cell r="L2720" t="str">
            <v/>
          </cell>
        </row>
        <row r="2721">
          <cell r="A2721">
            <v>34000000</v>
          </cell>
          <cell r="C2721">
            <v>34000000</v>
          </cell>
          <cell r="D2721">
            <v>34000000</v>
          </cell>
          <cell r="E2721">
            <v>34000000</v>
          </cell>
          <cell r="F2721">
            <v>34000000</v>
          </cell>
          <cell r="G2721">
            <v>34000000</v>
          </cell>
          <cell r="H2721">
            <v>34000000</v>
          </cell>
          <cell r="I2721" t="str">
            <v/>
          </cell>
          <cell r="J2721" t="str">
            <v/>
          </cell>
          <cell r="K2721" t="str">
            <v/>
          </cell>
          <cell r="L2721" t="str">
            <v/>
          </cell>
        </row>
        <row r="2722">
          <cell r="A2722">
            <v>34000000</v>
          </cell>
          <cell r="C2722">
            <v>34000000</v>
          </cell>
          <cell r="D2722">
            <v>34000000</v>
          </cell>
          <cell r="E2722">
            <v>34000000</v>
          </cell>
          <cell r="F2722">
            <v>34000000</v>
          </cell>
          <cell r="G2722">
            <v>34000000</v>
          </cell>
          <cell r="H2722">
            <v>34000000</v>
          </cell>
          <cell r="I2722" t="str">
            <v/>
          </cell>
          <cell r="J2722" t="str">
            <v/>
          </cell>
          <cell r="K2722" t="str">
            <v/>
          </cell>
          <cell r="L2722" t="str">
            <v/>
          </cell>
        </row>
        <row r="2723">
          <cell r="A2723">
            <v>34000000</v>
          </cell>
          <cell r="C2723">
            <v>34000000</v>
          </cell>
          <cell r="D2723">
            <v>34000000</v>
          </cell>
          <cell r="E2723">
            <v>34000000</v>
          </cell>
          <cell r="F2723">
            <v>34000000</v>
          </cell>
          <cell r="G2723">
            <v>34000000</v>
          </cell>
          <cell r="H2723">
            <v>34000000</v>
          </cell>
          <cell r="I2723" t="str">
            <v/>
          </cell>
          <cell r="J2723" t="str">
            <v/>
          </cell>
          <cell r="K2723" t="str">
            <v/>
          </cell>
          <cell r="L2723" t="str">
            <v/>
          </cell>
        </row>
        <row r="2724">
          <cell r="A2724">
            <v>34000000</v>
          </cell>
          <cell r="C2724">
            <v>34000000</v>
          </cell>
          <cell r="D2724">
            <v>34000000</v>
          </cell>
          <cell r="E2724">
            <v>34000000</v>
          </cell>
          <cell r="F2724">
            <v>34000000</v>
          </cell>
          <cell r="G2724">
            <v>34000000</v>
          </cell>
          <cell r="H2724">
            <v>34000000</v>
          </cell>
          <cell r="I2724" t="str">
            <v/>
          </cell>
          <cell r="J2724" t="str">
            <v/>
          </cell>
          <cell r="K2724" t="str">
            <v/>
          </cell>
          <cell r="L2724" t="str">
            <v/>
          </cell>
        </row>
        <row r="2725">
          <cell r="A2725">
            <v>34000000</v>
          </cell>
          <cell r="C2725">
            <v>34000000</v>
          </cell>
          <cell r="D2725">
            <v>34000000</v>
          </cell>
          <cell r="E2725">
            <v>34000000</v>
          </cell>
          <cell r="F2725">
            <v>34000000</v>
          </cell>
          <cell r="G2725">
            <v>34000000</v>
          </cell>
          <cell r="H2725">
            <v>34000000</v>
          </cell>
          <cell r="I2725" t="str">
            <v/>
          </cell>
          <cell r="J2725" t="str">
            <v/>
          </cell>
          <cell r="K2725" t="str">
            <v/>
          </cell>
          <cell r="L2725" t="str">
            <v/>
          </cell>
        </row>
        <row r="2726">
          <cell r="A2726">
            <v>34000000</v>
          </cell>
          <cell r="C2726">
            <v>34000000</v>
          </cell>
          <cell r="D2726">
            <v>34000000</v>
          </cell>
          <cell r="E2726">
            <v>34000000</v>
          </cell>
          <cell r="F2726">
            <v>34000000</v>
          </cell>
          <cell r="G2726">
            <v>34000000</v>
          </cell>
          <cell r="H2726">
            <v>34000000</v>
          </cell>
          <cell r="I2726" t="str">
            <v/>
          </cell>
          <cell r="J2726" t="str">
            <v/>
          </cell>
          <cell r="K2726" t="str">
            <v/>
          </cell>
          <cell r="L2726" t="str">
            <v/>
          </cell>
        </row>
        <row r="2727">
          <cell r="A2727">
            <v>34000000</v>
          </cell>
          <cell r="C2727">
            <v>34000000</v>
          </cell>
          <cell r="D2727">
            <v>34000000</v>
          </cell>
          <cell r="E2727">
            <v>34000000</v>
          </cell>
          <cell r="F2727">
            <v>34000000</v>
          </cell>
          <cell r="G2727">
            <v>34000000</v>
          </cell>
          <cell r="H2727">
            <v>34000000</v>
          </cell>
          <cell r="I2727" t="str">
            <v/>
          </cell>
          <cell r="J2727" t="str">
            <v/>
          </cell>
          <cell r="K2727" t="str">
            <v/>
          </cell>
          <cell r="L2727" t="str">
            <v/>
          </cell>
        </row>
        <row r="2728">
          <cell r="A2728">
            <v>34000000</v>
          </cell>
          <cell r="C2728">
            <v>34000000</v>
          </cell>
          <cell r="D2728">
            <v>34000000</v>
          </cell>
          <cell r="E2728">
            <v>34000000</v>
          </cell>
          <cell r="F2728">
            <v>34000000</v>
          </cell>
          <cell r="G2728">
            <v>34000000</v>
          </cell>
          <cell r="H2728">
            <v>34000000</v>
          </cell>
          <cell r="I2728" t="str">
            <v/>
          </cell>
          <cell r="J2728" t="str">
            <v/>
          </cell>
          <cell r="K2728" t="str">
            <v/>
          </cell>
          <cell r="L2728" t="str">
            <v/>
          </cell>
        </row>
        <row r="2729">
          <cell r="A2729">
            <v>34000000</v>
          </cell>
          <cell r="C2729">
            <v>34000000</v>
          </cell>
          <cell r="D2729">
            <v>34000000</v>
          </cell>
          <cell r="E2729">
            <v>34000000</v>
          </cell>
          <cell r="F2729">
            <v>34000000</v>
          </cell>
          <cell r="G2729">
            <v>34000000</v>
          </cell>
          <cell r="H2729">
            <v>34000000</v>
          </cell>
          <cell r="I2729" t="str">
            <v/>
          </cell>
          <cell r="J2729" t="str">
            <v/>
          </cell>
          <cell r="K2729" t="str">
            <v/>
          </cell>
          <cell r="L2729" t="str">
            <v/>
          </cell>
        </row>
        <row r="2730">
          <cell r="A2730">
            <v>34000000</v>
          </cell>
          <cell r="C2730">
            <v>34000000</v>
          </cell>
          <cell r="D2730">
            <v>34000000</v>
          </cell>
          <cell r="E2730">
            <v>34000000</v>
          </cell>
          <cell r="F2730">
            <v>34000000</v>
          </cell>
          <cell r="G2730">
            <v>34000000</v>
          </cell>
          <cell r="H2730">
            <v>34000000</v>
          </cell>
          <cell r="I2730" t="str">
            <v/>
          </cell>
          <cell r="J2730" t="str">
            <v/>
          </cell>
          <cell r="K2730" t="str">
            <v/>
          </cell>
          <cell r="L2730" t="str">
            <v/>
          </cell>
        </row>
        <row r="2731">
          <cell r="A2731">
            <v>34000000</v>
          </cell>
          <cell r="C2731">
            <v>34000000</v>
          </cell>
          <cell r="D2731">
            <v>34000000</v>
          </cell>
          <cell r="E2731">
            <v>34000000</v>
          </cell>
          <cell r="F2731">
            <v>34000000</v>
          </cell>
          <cell r="G2731">
            <v>34000000</v>
          </cell>
          <cell r="H2731">
            <v>34000000</v>
          </cell>
          <cell r="I2731" t="str">
            <v/>
          </cell>
          <cell r="J2731" t="str">
            <v/>
          </cell>
          <cell r="K2731" t="str">
            <v/>
          </cell>
          <cell r="L2731" t="str">
            <v/>
          </cell>
        </row>
        <row r="2732">
          <cell r="A2732">
            <v>34000000</v>
          </cell>
          <cell r="C2732">
            <v>34000000</v>
          </cell>
          <cell r="D2732">
            <v>34000000</v>
          </cell>
          <cell r="E2732">
            <v>34000000</v>
          </cell>
          <cell r="F2732">
            <v>34000000</v>
          </cell>
          <cell r="G2732">
            <v>34000000</v>
          </cell>
          <cell r="H2732">
            <v>34000000</v>
          </cell>
          <cell r="I2732" t="str">
            <v/>
          </cell>
          <cell r="J2732" t="str">
            <v/>
          </cell>
          <cell r="K2732" t="str">
            <v/>
          </cell>
          <cell r="L2732" t="str">
            <v/>
          </cell>
        </row>
        <row r="2733">
          <cell r="A2733">
            <v>34000000</v>
          </cell>
          <cell r="C2733">
            <v>34000000</v>
          </cell>
          <cell r="D2733">
            <v>34000000</v>
          </cell>
          <cell r="E2733">
            <v>34000000</v>
          </cell>
          <cell r="F2733">
            <v>34000000</v>
          </cell>
          <cell r="G2733">
            <v>34000000</v>
          </cell>
          <cell r="H2733">
            <v>34000000</v>
          </cell>
          <cell r="I2733" t="str">
            <v/>
          </cell>
          <cell r="J2733" t="str">
            <v/>
          </cell>
          <cell r="K2733" t="str">
            <v/>
          </cell>
          <cell r="L2733" t="str">
            <v/>
          </cell>
        </row>
        <row r="2734">
          <cell r="A2734">
            <v>34000000</v>
          </cell>
          <cell r="C2734">
            <v>34000000</v>
          </cell>
          <cell r="D2734">
            <v>34000000</v>
          </cell>
          <cell r="E2734">
            <v>34000000</v>
          </cell>
          <cell r="F2734">
            <v>34000000</v>
          </cell>
          <cell r="G2734">
            <v>34000000</v>
          </cell>
          <cell r="H2734">
            <v>34000000</v>
          </cell>
          <cell r="I2734" t="str">
            <v/>
          </cell>
          <cell r="J2734" t="str">
            <v/>
          </cell>
          <cell r="K2734" t="str">
            <v/>
          </cell>
          <cell r="L2734" t="str">
            <v/>
          </cell>
        </row>
        <row r="2735">
          <cell r="A2735">
            <v>34000000</v>
          </cell>
          <cell r="C2735">
            <v>34000000</v>
          </cell>
          <cell r="D2735">
            <v>34000000</v>
          </cell>
          <cell r="E2735">
            <v>34000000</v>
          </cell>
          <cell r="F2735">
            <v>34000000</v>
          </cell>
          <cell r="G2735">
            <v>34000000</v>
          </cell>
          <cell r="H2735">
            <v>34000000</v>
          </cell>
          <cell r="I2735" t="str">
            <v/>
          </cell>
          <cell r="J2735" t="str">
            <v/>
          </cell>
          <cell r="K2735" t="str">
            <v/>
          </cell>
          <cell r="L2735" t="str">
            <v/>
          </cell>
        </row>
        <row r="2736">
          <cell r="A2736">
            <v>34000000</v>
          </cell>
          <cell r="C2736">
            <v>34000000</v>
          </cell>
          <cell r="D2736">
            <v>34000000</v>
          </cell>
          <cell r="E2736">
            <v>34000000</v>
          </cell>
          <cell r="F2736">
            <v>34000000</v>
          </cell>
          <cell r="G2736">
            <v>34000000</v>
          </cell>
          <cell r="H2736">
            <v>34000000</v>
          </cell>
          <cell r="I2736" t="str">
            <v/>
          </cell>
          <cell r="J2736" t="str">
            <v/>
          </cell>
          <cell r="K2736" t="str">
            <v/>
          </cell>
          <cell r="L2736" t="str">
            <v/>
          </cell>
        </row>
        <row r="2737">
          <cell r="A2737">
            <v>34000000</v>
          </cell>
          <cell r="C2737">
            <v>34000000</v>
          </cell>
          <cell r="D2737">
            <v>34000000</v>
          </cell>
          <cell r="E2737">
            <v>34000000</v>
          </cell>
          <cell r="F2737">
            <v>34000000</v>
          </cell>
          <cell r="G2737">
            <v>34000000</v>
          </cell>
          <cell r="H2737">
            <v>34000000</v>
          </cell>
          <cell r="I2737" t="str">
            <v/>
          </cell>
          <cell r="J2737" t="str">
            <v/>
          </cell>
          <cell r="K2737" t="str">
            <v/>
          </cell>
          <cell r="L2737" t="str">
            <v/>
          </cell>
        </row>
        <row r="2738">
          <cell r="A2738">
            <v>34000000</v>
          </cell>
          <cell r="C2738">
            <v>34000000</v>
          </cell>
          <cell r="D2738">
            <v>34000000</v>
          </cell>
          <cell r="E2738">
            <v>34000000</v>
          </cell>
          <cell r="F2738">
            <v>34000000</v>
          </cell>
          <cell r="G2738">
            <v>34000000</v>
          </cell>
          <cell r="H2738">
            <v>34000000</v>
          </cell>
          <cell r="I2738" t="str">
            <v/>
          </cell>
          <cell r="J2738" t="str">
            <v/>
          </cell>
          <cell r="K2738" t="str">
            <v/>
          </cell>
          <cell r="L2738" t="str">
            <v/>
          </cell>
        </row>
        <row r="2739">
          <cell r="A2739">
            <v>34000000</v>
          </cell>
          <cell r="C2739">
            <v>34000000</v>
          </cell>
          <cell r="D2739">
            <v>34000000</v>
          </cell>
          <cell r="E2739">
            <v>34000000</v>
          </cell>
          <cell r="F2739">
            <v>34000000</v>
          </cell>
          <cell r="G2739">
            <v>34000000</v>
          </cell>
          <cell r="H2739">
            <v>34000000</v>
          </cell>
          <cell r="I2739" t="str">
            <v/>
          </cell>
          <cell r="J2739" t="str">
            <v/>
          </cell>
          <cell r="K2739" t="str">
            <v/>
          </cell>
          <cell r="L2739" t="str">
            <v/>
          </cell>
        </row>
        <row r="2740">
          <cell r="A2740">
            <v>34000000</v>
          </cell>
          <cell r="C2740">
            <v>34000000</v>
          </cell>
          <cell r="D2740">
            <v>34000000</v>
          </cell>
          <cell r="E2740">
            <v>34000000</v>
          </cell>
          <cell r="F2740">
            <v>34000000</v>
          </cell>
          <cell r="G2740">
            <v>34000000</v>
          </cell>
          <cell r="H2740">
            <v>34000000</v>
          </cell>
          <cell r="I2740" t="str">
            <v/>
          </cell>
          <cell r="J2740" t="str">
            <v/>
          </cell>
          <cell r="K2740" t="str">
            <v/>
          </cell>
          <cell r="L2740" t="str">
            <v/>
          </cell>
        </row>
        <row r="2741">
          <cell r="A2741">
            <v>34000000</v>
          </cell>
          <cell r="C2741">
            <v>34000000</v>
          </cell>
          <cell r="D2741">
            <v>34000000</v>
          </cell>
          <cell r="E2741">
            <v>34000000</v>
          </cell>
          <cell r="F2741">
            <v>34000000</v>
          </cell>
          <cell r="G2741">
            <v>34000000</v>
          </cell>
          <cell r="H2741">
            <v>34000000</v>
          </cell>
          <cell r="I2741" t="str">
            <v/>
          </cell>
          <cell r="J2741" t="str">
            <v/>
          </cell>
          <cell r="K2741" t="str">
            <v/>
          </cell>
          <cell r="L2741" t="str">
            <v/>
          </cell>
        </row>
        <row r="2742">
          <cell r="A2742">
            <v>34000000</v>
          </cell>
          <cell r="C2742">
            <v>34000000</v>
          </cell>
          <cell r="D2742">
            <v>34000000</v>
          </cell>
          <cell r="E2742">
            <v>34000000</v>
          </cell>
          <cell r="F2742">
            <v>34000000</v>
          </cell>
          <cell r="G2742">
            <v>34000000</v>
          </cell>
          <cell r="H2742">
            <v>34000000</v>
          </cell>
          <cell r="I2742" t="str">
            <v/>
          </cell>
          <cell r="J2742" t="str">
            <v/>
          </cell>
          <cell r="K2742" t="str">
            <v/>
          </cell>
          <cell r="L2742" t="str">
            <v/>
          </cell>
        </row>
        <row r="2743">
          <cell r="A2743">
            <v>34000000</v>
          </cell>
          <cell r="C2743">
            <v>34000000</v>
          </cell>
          <cell r="D2743">
            <v>34000000</v>
          </cell>
          <cell r="E2743">
            <v>34000000</v>
          </cell>
          <cell r="F2743">
            <v>34000000</v>
          </cell>
          <cell r="G2743">
            <v>34000000</v>
          </cell>
          <cell r="H2743">
            <v>34000000</v>
          </cell>
          <cell r="I2743" t="str">
            <v/>
          </cell>
          <cell r="J2743" t="str">
            <v/>
          </cell>
          <cell r="K2743" t="str">
            <v/>
          </cell>
          <cell r="L2743" t="str">
            <v/>
          </cell>
        </row>
        <row r="2744">
          <cell r="A2744">
            <v>34000000</v>
          </cell>
          <cell r="C2744">
            <v>34000000</v>
          </cell>
          <cell r="D2744">
            <v>34000000</v>
          </cell>
          <cell r="E2744">
            <v>34000000</v>
          </cell>
          <cell r="F2744">
            <v>34000000</v>
          </cell>
          <cell r="G2744">
            <v>34000000</v>
          </cell>
          <cell r="H2744">
            <v>34000000</v>
          </cell>
          <cell r="I2744" t="str">
            <v/>
          </cell>
          <cell r="J2744" t="str">
            <v/>
          </cell>
          <cell r="K2744" t="str">
            <v/>
          </cell>
          <cell r="L2744" t="str">
            <v/>
          </cell>
        </row>
        <row r="2745">
          <cell r="A2745">
            <v>34000000</v>
          </cell>
          <cell r="C2745">
            <v>34000000</v>
          </cell>
          <cell r="D2745">
            <v>34000000</v>
          </cell>
          <cell r="E2745">
            <v>34000000</v>
          </cell>
          <cell r="F2745">
            <v>34000000</v>
          </cell>
          <cell r="G2745">
            <v>34000000</v>
          </cell>
          <cell r="H2745">
            <v>34000000</v>
          </cell>
          <cell r="I2745" t="str">
            <v/>
          </cell>
          <cell r="J2745" t="str">
            <v/>
          </cell>
          <cell r="K2745" t="str">
            <v/>
          </cell>
          <cell r="L2745" t="str">
            <v/>
          </cell>
        </row>
        <row r="2746">
          <cell r="A2746">
            <v>34000000</v>
          </cell>
          <cell r="C2746">
            <v>34000000</v>
          </cell>
          <cell r="D2746">
            <v>34000000</v>
          </cell>
          <cell r="E2746">
            <v>34000000</v>
          </cell>
          <cell r="F2746">
            <v>34000000</v>
          </cell>
          <cell r="G2746">
            <v>34000000</v>
          </cell>
          <cell r="H2746">
            <v>34000000</v>
          </cell>
          <cell r="I2746" t="str">
            <v/>
          </cell>
          <cell r="J2746" t="str">
            <v/>
          </cell>
          <cell r="K2746" t="str">
            <v/>
          </cell>
          <cell r="L2746" t="str">
            <v/>
          </cell>
        </row>
        <row r="2747">
          <cell r="A2747">
            <v>34000000</v>
          </cell>
          <cell r="C2747">
            <v>34000000</v>
          </cell>
          <cell r="D2747">
            <v>34000000</v>
          </cell>
          <cell r="E2747">
            <v>34000000</v>
          </cell>
          <cell r="F2747">
            <v>34000000</v>
          </cell>
          <cell r="G2747">
            <v>34000000</v>
          </cell>
          <cell r="H2747">
            <v>34000000</v>
          </cell>
          <cell r="I2747" t="str">
            <v/>
          </cell>
          <cell r="J2747" t="str">
            <v/>
          </cell>
          <cell r="K2747" t="str">
            <v/>
          </cell>
          <cell r="L2747" t="str">
            <v/>
          </cell>
        </row>
        <row r="2748">
          <cell r="A2748">
            <v>34000000</v>
          </cell>
          <cell r="C2748">
            <v>34000000</v>
          </cell>
          <cell r="D2748">
            <v>34000000</v>
          </cell>
          <cell r="E2748">
            <v>34000000</v>
          </cell>
          <cell r="F2748">
            <v>34000000</v>
          </cell>
          <cell r="G2748">
            <v>34000000</v>
          </cell>
          <cell r="H2748">
            <v>34000000</v>
          </cell>
          <cell r="I2748" t="str">
            <v/>
          </cell>
          <cell r="J2748" t="str">
            <v/>
          </cell>
          <cell r="K2748" t="str">
            <v/>
          </cell>
          <cell r="L2748" t="str">
            <v/>
          </cell>
        </row>
        <row r="2749">
          <cell r="A2749">
            <v>34000000</v>
          </cell>
          <cell r="C2749">
            <v>34000000</v>
          </cell>
          <cell r="D2749">
            <v>34000000</v>
          </cell>
          <cell r="E2749">
            <v>34000000</v>
          </cell>
          <cell r="F2749">
            <v>34000000</v>
          </cell>
          <cell r="G2749">
            <v>34000000</v>
          </cell>
          <cell r="H2749">
            <v>34000000</v>
          </cell>
          <cell r="I2749" t="str">
            <v/>
          </cell>
          <cell r="J2749" t="str">
            <v/>
          </cell>
          <cell r="K2749" t="str">
            <v/>
          </cell>
          <cell r="L2749" t="str">
            <v/>
          </cell>
        </row>
        <row r="2750">
          <cell r="A2750">
            <v>34000000</v>
          </cell>
          <cell r="C2750">
            <v>34000000</v>
          </cell>
          <cell r="D2750">
            <v>34000000</v>
          </cell>
          <cell r="E2750">
            <v>34000000</v>
          </cell>
          <cell r="F2750">
            <v>34000000</v>
          </cell>
          <cell r="G2750">
            <v>34000000</v>
          </cell>
          <cell r="H2750">
            <v>34000000</v>
          </cell>
          <cell r="I2750" t="str">
            <v/>
          </cell>
          <cell r="J2750" t="str">
            <v/>
          </cell>
          <cell r="K2750" t="str">
            <v/>
          </cell>
          <cell r="L2750" t="str">
            <v/>
          </cell>
        </row>
        <row r="2751">
          <cell r="A2751">
            <v>34000000</v>
          </cell>
          <cell r="C2751">
            <v>34000000</v>
          </cell>
          <cell r="D2751">
            <v>34000000</v>
          </cell>
          <cell r="E2751">
            <v>34000000</v>
          </cell>
          <cell r="F2751">
            <v>34000000</v>
          </cell>
          <cell r="G2751">
            <v>34000000</v>
          </cell>
          <cell r="H2751">
            <v>34000000</v>
          </cell>
          <cell r="I2751" t="str">
            <v/>
          </cell>
          <cell r="J2751" t="str">
            <v/>
          </cell>
          <cell r="K2751" t="str">
            <v/>
          </cell>
          <cell r="L2751" t="str">
            <v/>
          </cell>
        </row>
        <row r="2752">
          <cell r="A2752">
            <v>34000000</v>
          </cell>
          <cell r="C2752">
            <v>34000000</v>
          </cell>
          <cell r="D2752">
            <v>34000000</v>
          </cell>
          <cell r="E2752">
            <v>34000000</v>
          </cell>
          <cell r="F2752">
            <v>34000000</v>
          </cell>
          <cell r="G2752">
            <v>34000000</v>
          </cell>
          <cell r="H2752">
            <v>34000000</v>
          </cell>
          <cell r="I2752" t="str">
            <v/>
          </cell>
          <cell r="J2752" t="str">
            <v/>
          </cell>
          <cell r="K2752" t="str">
            <v/>
          </cell>
          <cell r="L2752" t="str">
            <v/>
          </cell>
        </row>
        <row r="2753">
          <cell r="A2753">
            <v>34000000</v>
          </cell>
          <cell r="C2753">
            <v>34000000</v>
          </cell>
          <cell r="D2753">
            <v>34000000</v>
          </cell>
          <cell r="E2753">
            <v>34000000</v>
          </cell>
          <cell r="F2753">
            <v>34000000</v>
          </cell>
          <cell r="G2753">
            <v>34000000</v>
          </cell>
          <cell r="H2753">
            <v>34000000</v>
          </cell>
          <cell r="I2753" t="str">
            <v/>
          </cell>
          <cell r="J2753" t="str">
            <v/>
          </cell>
          <cell r="K2753" t="str">
            <v/>
          </cell>
          <cell r="L2753" t="str">
            <v/>
          </cell>
        </row>
        <row r="2754">
          <cell r="A2754">
            <v>34000000</v>
          </cell>
          <cell r="C2754">
            <v>34000000</v>
          </cell>
          <cell r="D2754">
            <v>34000000</v>
          </cell>
          <cell r="E2754">
            <v>34000000</v>
          </cell>
          <cell r="F2754">
            <v>34000000</v>
          </cell>
          <cell r="G2754">
            <v>34000000</v>
          </cell>
          <cell r="H2754">
            <v>34000000</v>
          </cell>
          <cell r="I2754" t="str">
            <v/>
          </cell>
          <cell r="J2754" t="str">
            <v/>
          </cell>
          <cell r="K2754" t="str">
            <v/>
          </cell>
          <cell r="L2754" t="str">
            <v/>
          </cell>
        </row>
        <row r="2755">
          <cell r="A2755">
            <v>34000000</v>
          </cell>
          <cell r="C2755">
            <v>34000000</v>
          </cell>
          <cell r="D2755">
            <v>34000000</v>
          </cell>
          <cell r="E2755">
            <v>34000000</v>
          </cell>
          <cell r="F2755">
            <v>34000000</v>
          </cell>
          <cell r="G2755">
            <v>34000000</v>
          </cell>
          <cell r="H2755">
            <v>34000000</v>
          </cell>
          <cell r="I2755" t="str">
            <v/>
          </cell>
          <cell r="J2755" t="str">
            <v/>
          </cell>
          <cell r="K2755" t="str">
            <v/>
          </cell>
          <cell r="L2755" t="str">
            <v/>
          </cell>
        </row>
        <row r="2756">
          <cell r="A2756">
            <v>34000000</v>
          </cell>
          <cell r="C2756">
            <v>34000000</v>
          </cell>
          <cell r="D2756">
            <v>34000000</v>
          </cell>
          <cell r="E2756">
            <v>34000000</v>
          </cell>
          <cell r="F2756">
            <v>34000000</v>
          </cell>
          <cell r="G2756">
            <v>34000000</v>
          </cell>
          <cell r="H2756">
            <v>34000000</v>
          </cell>
          <cell r="I2756" t="str">
            <v/>
          </cell>
          <cell r="J2756" t="str">
            <v/>
          </cell>
          <cell r="K2756" t="str">
            <v/>
          </cell>
          <cell r="L2756" t="str">
            <v/>
          </cell>
        </row>
        <row r="2757">
          <cell r="A2757">
            <v>34000000</v>
          </cell>
          <cell r="C2757">
            <v>34000000</v>
          </cell>
          <cell r="D2757">
            <v>34000000</v>
          </cell>
          <cell r="E2757">
            <v>34000000</v>
          </cell>
          <cell r="F2757">
            <v>34000000</v>
          </cell>
          <cell r="G2757">
            <v>34000000</v>
          </cell>
          <cell r="H2757">
            <v>34000000</v>
          </cell>
          <cell r="I2757" t="str">
            <v/>
          </cell>
          <cell r="J2757" t="str">
            <v/>
          </cell>
          <cell r="K2757" t="str">
            <v/>
          </cell>
          <cell r="L2757" t="str">
            <v/>
          </cell>
        </row>
        <row r="2758">
          <cell r="A2758">
            <v>34000000</v>
          </cell>
          <cell r="C2758">
            <v>34000000</v>
          </cell>
          <cell r="D2758">
            <v>34000000</v>
          </cell>
          <cell r="E2758">
            <v>34000000</v>
          </cell>
          <cell r="F2758">
            <v>34000000</v>
          </cell>
          <cell r="G2758">
            <v>34000000</v>
          </cell>
          <cell r="H2758">
            <v>34000000</v>
          </cell>
          <cell r="I2758" t="str">
            <v/>
          </cell>
          <cell r="J2758" t="str">
            <v/>
          </cell>
          <cell r="K2758" t="str">
            <v/>
          </cell>
          <cell r="L2758" t="str">
            <v/>
          </cell>
        </row>
        <row r="2759">
          <cell r="A2759">
            <v>34000000</v>
          </cell>
          <cell r="C2759">
            <v>34000000</v>
          </cell>
          <cell r="D2759">
            <v>34000000</v>
          </cell>
          <cell r="E2759">
            <v>34000000</v>
          </cell>
          <cell r="F2759">
            <v>34000000</v>
          </cell>
          <cell r="G2759">
            <v>34000000</v>
          </cell>
          <cell r="H2759">
            <v>34000000</v>
          </cell>
          <cell r="I2759" t="str">
            <v/>
          </cell>
          <cell r="J2759" t="str">
            <v/>
          </cell>
          <cell r="K2759" t="str">
            <v/>
          </cell>
          <cell r="L2759" t="str">
            <v/>
          </cell>
        </row>
        <row r="2760">
          <cell r="A2760">
            <v>34000000</v>
          </cell>
          <cell r="C2760">
            <v>34000000</v>
          </cell>
          <cell r="D2760">
            <v>34000000</v>
          </cell>
          <cell r="E2760">
            <v>34000000</v>
          </cell>
          <cell r="F2760">
            <v>34000000</v>
          </cell>
          <cell r="G2760">
            <v>34000000</v>
          </cell>
          <cell r="H2760">
            <v>34000000</v>
          </cell>
          <cell r="I2760" t="str">
            <v/>
          </cell>
          <cell r="J2760" t="str">
            <v/>
          </cell>
          <cell r="K2760" t="str">
            <v/>
          </cell>
          <cell r="L2760" t="str">
            <v/>
          </cell>
        </row>
        <row r="2761">
          <cell r="A2761">
            <v>34000000</v>
          </cell>
          <cell r="C2761">
            <v>34000000</v>
          </cell>
          <cell r="D2761">
            <v>34000000</v>
          </cell>
          <cell r="E2761">
            <v>34000000</v>
          </cell>
          <cell r="F2761">
            <v>34000000</v>
          </cell>
          <cell r="G2761">
            <v>34000000</v>
          </cell>
          <cell r="H2761">
            <v>34000000</v>
          </cell>
          <cell r="I2761" t="str">
            <v/>
          </cell>
          <cell r="J2761" t="str">
            <v/>
          </cell>
          <cell r="K2761" t="str">
            <v/>
          </cell>
          <cell r="L2761" t="str">
            <v/>
          </cell>
        </row>
        <row r="2762">
          <cell r="A2762">
            <v>34000000</v>
          </cell>
          <cell r="C2762">
            <v>34000000</v>
          </cell>
          <cell r="D2762">
            <v>34000000</v>
          </cell>
          <cell r="E2762">
            <v>34000000</v>
          </cell>
          <cell r="F2762">
            <v>34000000</v>
          </cell>
          <cell r="G2762">
            <v>34000000</v>
          </cell>
          <cell r="H2762">
            <v>34000000</v>
          </cell>
          <cell r="I2762" t="str">
            <v/>
          </cell>
          <cell r="J2762" t="str">
            <v/>
          </cell>
          <cell r="K2762" t="str">
            <v/>
          </cell>
          <cell r="L2762" t="str">
            <v/>
          </cell>
        </row>
        <row r="2763">
          <cell r="A2763">
            <v>34000000</v>
          </cell>
          <cell r="C2763">
            <v>34000000</v>
          </cell>
          <cell r="D2763">
            <v>34000000</v>
          </cell>
          <cell r="E2763">
            <v>34000000</v>
          </cell>
          <cell r="F2763">
            <v>34000000</v>
          </cell>
          <cell r="G2763">
            <v>34000000</v>
          </cell>
          <cell r="H2763">
            <v>34000000</v>
          </cell>
          <cell r="I2763" t="str">
            <v/>
          </cell>
          <cell r="J2763" t="str">
            <v/>
          </cell>
          <cell r="K2763" t="str">
            <v/>
          </cell>
          <cell r="L2763" t="str">
            <v/>
          </cell>
        </row>
        <row r="2764">
          <cell r="A2764">
            <v>34000000</v>
          </cell>
          <cell r="C2764">
            <v>34000000</v>
          </cell>
          <cell r="D2764">
            <v>34000000</v>
          </cell>
          <cell r="E2764">
            <v>34000000</v>
          </cell>
          <cell r="F2764">
            <v>34000000</v>
          </cell>
          <cell r="G2764">
            <v>34000000</v>
          </cell>
          <cell r="H2764">
            <v>34000000</v>
          </cell>
          <cell r="I2764" t="str">
            <v/>
          </cell>
          <cell r="J2764" t="str">
            <v/>
          </cell>
          <cell r="K2764" t="str">
            <v/>
          </cell>
          <cell r="L2764" t="str">
            <v/>
          </cell>
        </row>
        <row r="2765">
          <cell r="A2765">
            <v>34000000</v>
          </cell>
          <cell r="C2765">
            <v>34000000</v>
          </cell>
          <cell r="D2765">
            <v>34000000</v>
          </cell>
          <cell r="E2765">
            <v>34000000</v>
          </cell>
          <cell r="F2765">
            <v>34000000</v>
          </cell>
          <cell r="G2765">
            <v>34000000</v>
          </cell>
          <cell r="H2765">
            <v>34000000</v>
          </cell>
          <cell r="I2765" t="str">
            <v/>
          </cell>
          <cell r="J2765" t="str">
            <v/>
          </cell>
          <cell r="K2765" t="str">
            <v/>
          </cell>
          <cell r="L2765" t="str">
            <v/>
          </cell>
        </row>
        <row r="2766">
          <cell r="A2766">
            <v>34000000</v>
          </cell>
          <cell r="C2766">
            <v>34000000</v>
          </cell>
          <cell r="D2766">
            <v>34000000</v>
          </cell>
          <cell r="E2766">
            <v>34000000</v>
          </cell>
          <cell r="F2766">
            <v>34000000</v>
          </cell>
          <cell r="G2766">
            <v>34000000</v>
          </cell>
          <cell r="H2766">
            <v>34000000</v>
          </cell>
          <cell r="I2766" t="str">
            <v/>
          </cell>
          <cell r="J2766" t="str">
            <v/>
          </cell>
          <cell r="K2766" t="str">
            <v/>
          </cell>
          <cell r="L2766" t="str">
            <v/>
          </cell>
        </row>
        <row r="2767">
          <cell r="A2767">
            <v>34000000</v>
          </cell>
          <cell r="C2767">
            <v>34000000</v>
          </cell>
          <cell r="D2767">
            <v>34000000</v>
          </cell>
          <cell r="E2767">
            <v>34000000</v>
          </cell>
          <cell r="F2767">
            <v>34000000</v>
          </cell>
          <cell r="G2767">
            <v>34000000</v>
          </cell>
          <cell r="H2767">
            <v>34000000</v>
          </cell>
          <cell r="I2767" t="str">
            <v/>
          </cell>
          <cell r="J2767" t="str">
            <v/>
          </cell>
          <cell r="K2767" t="str">
            <v/>
          </cell>
          <cell r="L2767" t="str">
            <v/>
          </cell>
        </row>
        <row r="2768">
          <cell r="A2768">
            <v>34000000</v>
          </cell>
          <cell r="C2768">
            <v>34000000</v>
          </cell>
          <cell r="D2768">
            <v>34000000</v>
          </cell>
          <cell r="E2768">
            <v>34000000</v>
          </cell>
          <cell r="F2768">
            <v>34000000</v>
          </cell>
          <cell r="G2768">
            <v>34000000</v>
          </cell>
          <cell r="H2768">
            <v>34000000</v>
          </cell>
          <cell r="I2768" t="str">
            <v/>
          </cell>
          <cell r="J2768" t="str">
            <v/>
          </cell>
          <cell r="K2768" t="str">
            <v/>
          </cell>
          <cell r="L2768" t="str">
            <v/>
          </cell>
        </row>
        <row r="2769">
          <cell r="A2769">
            <v>34000000</v>
          </cell>
          <cell r="C2769">
            <v>34000000</v>
          </cell>
          <cell r="D2769">
            <v>34000000</v>
          </cell>
          <cell r="E2769">
            <v>34000000</v>
          </cell>
          <cell r="F2769">
            <v>34000000</v>
          </cell>
          <cell r="G2769">
            <v>34000000</v>
          </cell>
          <cell r="H2769">
            <v>34000000</v>
          </cell>
          <cell r="I2769" t="str">
            <v/>
          </cell>
          <cell r="J2769" t="str">
            <v/>
          </cell>
          <cell r="K2769" t="str">
            <v/>
          </cell>
          <cell r="L2769" t="str">
            <v/>
          </cell>
        </row>
        <row r="2770">
          <cell r="A2770">
            <v>34000000</v>
          </cell>
          <cell r="C2770">
            <v>34000000</v>
          </cell>
          <cell r="D2770">
            <v>34000000</v>
          </cell>
          <cell r="E2770">
            <v>34000000</v>
          </cell>
          <cell r="F2770">
            <v>34000000</v>
          </cell>
          <cell r="G2770">
            <v>34000000</v>
          </cell>
          <cell r="H2770">
            <v>34000000</v>
          </cell>
          <cell r="I2770" t="str">
            <v/>
          </cell>
          <cell r="J2770" t="str">
            <v/>
          </cell>
          <cell r="K2770" t="str">
            <v/>
          </cell>
          <cell r="L2770" t="str">
            <v/>
          </cell>
        </row>
        <row r="2771">
          <cell r="A2771">
            <v>34000000</v>
          </cell>
          <cell r="C2771">
            <v>34000000</v>
          </cell>
          <cell r="D2771">
            <v>34000000</v>
          </cell>
          <cell r="E2771">
            <v>34000000</v>
          </cell>
          <cell r="F2771">
            <v>34000000</v>
          </cell>
          <cell r="G2771">
            <v>34000000</v>
          </cell>
          <cell r="H2771">
            <v>34000000</v>
          </cell>
          <cell r="I2771" t="str">
            <v/>
          </cell>
          <cell r="J2771" t="str">
            <v/>
          </cell>
          <cell r="K2771" t="str">
            <v/>
          </cell>
          <cell r="L2771" t="str">
            <v/>
          </cell>
        </row>
        <row r="2772">
          <cell r="A2772">
            <v>34000000</v>
          </cell>
          <cell r="C2772">
            <v>34000000</v>
          </cell>
          <cell r="D2772">
            <v>34000000</v>
          </cell>
          <cell r="E2772">
            <v>34000000</v>
          </cell>
          <cell r="F2772">
            <v>34000000</v>
          </cell>
          <cell r="G2772">
            <v>34000000</v>
          </cell>
          <cell r="H2772">
            <v>34000000</v>
          </cell>
          <cell r="I2772" t="str">
            <v/>
          </cell>
          <cell r="J2772" t="str">
            <v/>
          </cell>
          <cell r="K2772" t="str">
            <v/>
          </cell>
          <cell r="L2772" t="str">
            <v/>
          </cell>
        </row>
        <row r="2773">
          <cell r="A2773">
            <v>34000000</v>
          </cell>
          <cell r="C2773">
            <v>34000000</v>
          </cell>
          <cell r="D2773">
            <v>34000000</v>
          </cell>
          <cell r="E2773">
            <v>34000000</v>
          </cell>
          <cell r="F2773">
            <v>34000000</v>
          </cell>
          <cell r="G2773">
            <v>34000000</v>
          </cell>
          <cell r="H2773">
            <v>34000000</v>
          </cell>
          <cell r="I2773" t="str">
            <v/>
          </cell>
          <cell r="J2773" t="str">
            <v/>
          </cell>
          <cell r="K2773" t="str">
            <v/>
          </cell>
          <cell r="L2773" t="str">
            <v/>
          </cell>
        </row>
        <row r="2774">
          <cell r="A2774">
            <v>34000000</v>
          </cell>
          <cell r="C2774">
            <v>34000000</v>
          </cell>
          <cell r="D2774">
            <v>34000000</v>
          </cell>
          <cell r="E2774">
            <v>34000000</v>
          </cell>
          <cell r="F2774">
            <v>34000000</v>
          </cell>
          <cell r="G2774">
            <v>34000000</v>
          </cell>
          <cell r="H2774">
            <v>34000000</v>
          </cell>
          <cell r="I2774" t="str">
            <v/>
          </cell>
          <cell r="J2774" t="str">
            <v/>
          </cell>
          <cell r="K2774" t="str">
            <v/>
          </cell>
          <cell r="L2774" t="str">
            <v/>
          </cell>
        </row>
        <row r="2775">
          <cell r="A2775">
            <v>34000000</v>
          </cell>
          <cell r="C2775">
            <v>34000000</v>
          </cell>
          <cell r="D2775">
            <v>34000000</v>
          </cell>
          <cell r="E2775">
            <v>34000000</v>
          </cell>
          <cell r="F2775">
            <v>34000000</v>
          </cell>
          <cell r="G2775">
            <v>34000000</v>
          </cell>
          <cell r="H2775">
            <v>34000000</v>
          </cell>
          <cell r="I2775" t="str">
            <v/>
          </cell>
          <cell r="J2775" t="str">
            <v/>
          </cell>
          <cell r="K2775" t="str">
            <v/>
          </cell>
          <cell r="L2775" t="str">
            <v/>
          </cell>
        </row>
        <row r="2776">
          <cell r="A2776">
            <v>34000000</v>
          </cell>
          <cell r="C2776">
            <v>34000000</v>
          </cell>
          <cell r="D2776">
            <v>34000000</v>
          </cell>
          <cell r="E2776">
            <v>34000000</v>
          </cell>
          <cell r="F2776">
            <v>34000000</v>
          </cell>
          <cell r="G2776">
            <v>34000000</v>
          </cell>
          <cell r="H2776">
            <v>34000000</v>
          </cell>
          <cell r="I2776" t="str">
            <v/>
          </cell>
          <cell r="J2776" t="str">
            <v/>
          </cell>
          <cell r="K2776" t="str">
            <v/>
          </cell>
          <cell r="L2776" t="str">
            <v/>
          </cell>
        </row>
        <row r="2777">
          <cell r="A2777">
            <v>34000000</v>
          </cell>
          <cell r="C2777">
            <v>34000000</v>
          </cell>
          <cell r="D2777">
            <v>34000000</v>
          </cell>
          <cell r="E2777">
            <v>34000000</v>
          </cell>
          <cell r="F2777">
            <v>34000000</v>
          </cell>
          <cell r="G2777">
            <v>34000000</v>
          </cell>
          <cell r="H2777">
            <v>34000000</v>
          </cell>
          <cell r="I2777" t="str">
            <v/>
          </cell>
          <cell r="J2777" t="str">
            <v/>
          </cell>
          <cell r="K2777" t="str">
            <v/>
          </cell>
          <cell r="L2777" t="str">
            <v/>
          </cell>
        </row>
        <row r="2778">
          <cell r="A2778">
            <v>34000000</v>
          </cell>
          <cell r="C2778">
            <v>34000000</v>
          </cell>
          <cell r="D2778">
            <v>34000000</v>
          </cell>
          <cell r="E2778">
            <v>34000000</v>
          </cell>
          <cell r="F2778">
            <v>34000000</v>
          </cell>
          <cell r="G2778">
            <v>34000000</v>
          </cell>
          <cell r="H2778">
            <v>34000000</v>
          </cell>
          <cell r="I2778" t="str">
            <v/>
          </cell>
          <cell r="J2778" t="str">
            <v/>
          </cell>
          <cell r="K2778" t="str">
            <v/>
          </cell>
          <cell r="L2778" t="str">
            <v/>
          </cell>
        </row>
        <row r="2779">
          <cell r="A2779">
            <v>34000000</v>
          </cell>
          <cell r="C2779">
            <v>34000000</v>
          </cell>
          <cell r="D2779">
            <v>34000000</v>
          </cell>
          <cell r="E2779">
            <v>34000000</v>
          </cell>
          <cell r="F2779">
            <v>34000000</v>
          </cell>
          <cell r="G2779">
            <v>34000000</v>
          </cell>
          <cell r="H2779">
            <v>34000000</v>
          </cell>
          <cell r="I2779" t="str">
            <v/>
          </cell>
          <cell r="J2779" t="str">
            <v/>
          </cell>
          <cell r="K2779" t="str">
            <v/>
          </cell>
          <cell r="L2779" t="str">
            <v/>
          </cell>
        </row>
        <row r="2780">
          <cell r="A2780">
            <v>34000000</v>
          </cell>
          <cell r="C2780">
            <v>34000000</v>
          </cell>
          <cell r="D2780">
            <v>34000000</v>
          </cell>
          <cell r="E2780">
            <v>34000000</v>
          </cell>
          <cell r="F2780">
            <v>34000000</v>
          </cell>
          <cell r="G2780">
            <v>34000000</v>
          </cell>
          <cell r="H2780">
            <v>34000000</v>
          </cell>
          <cell r="I2780" t="str">
            <v/>
          </cell>
          <cell r="J2780" t="str">
            <v/>
          </cell>
          <cell r="K2780" t="str">
            <v/>
          </cell>
          <cell r="L2780" t="str">
            <v/>
          </cell>
        </row>
        <row r="2781">
          <cell r="A2781">
            <v>34000000</v>
          </cell>
          <cell r="C2781">
            <v>34000000</v>
          </cell>
          <cell r="D2781">
            <v>34000000</v>
          </cell>
          <cell r="E2781">
            <v>34000000</v>
          </cell>
          <cell r="F2781">
            <v>34000000</v>
          </cell>
          <cell r="G2781">
            <v>34000000</v>
          </cell>
          <cell r="H2781">
            <v>34000000</v>
          </cell>
          <cell r="I2781" t="str">
            <v/>
          </cell>
          <cell r="J2781" t="str">
            <v/>
          </cell>
          <cell r="K2781" t="str">
            <v/>
          </cell>
          <cell r="L2781" t="str">
            <v/>
          </cell>
        </row>
        <row r="2782">
          <cell r="A2782">
            <v>34000000</v>
          </cell>
          <cell r="C2782">
            <v>34000000</v>
          </cell>
          <cell r="D2782">
            <v>34000000</v>
          </cell>
          <cell r="E2782">
            <v>34000000</v>
          </cell>
          <cell r="F2782">
            <v>34000000</v>
          </cell>
          <cell r="G2782">
            <v>34000000</v>
          </cell>
          <cell r="H2782">
            <v>34000000</v>
          </cell>
          <cell r="I2782" t="str">
            <v/>
          </cell>
          <cell r="J2782" t="str">
            <v/>
          </cell>
          <cell r="K2782" t="str">
            <v/>
          </cell>
          <cell r="L2782" t="str">
            <v/>
          </cell>
        </row>
        <row r="2783">
          <cell r="A2783">
            <v>34000000</v>
          </cell>
          <cell r="C2783">
            <v>34000000</v>
          </cell>
          <cell r="D2783">
            <v>34000000</v>
          </cell>
          <cell r="E2783">
            <v>34000000</v>
          </cell>
          <cell r="F2783">
            <v>34000000</v>
          </cell>
          <cell r="G2783">
            <v>34000000</v>
          </cell>
          <cell r="H2783">
            <v>34000000</v>
          </cell>
          <cell r="I2783" t="str">
            <v/>
          </cell>
          <cell r="J2783" t="str">
            <v/>
          </cell>
          <cell r="K2783" t="str">
            <v/>
          </cell>
          <cell r="L2783" t="str">
            <v/>
          </cell>
        </row>
        <row r="2784">
          <cell r="A2784">
            <v>34000000</v>
          </cell>
          <cell r="C2784">
            <v>34000000</v>
          </cell>
          <cell r="D2784">
            <v>34000000</v>
          </cell>
          <cell r="E2784">
            <v>34000000</v>
          </cell>
          <cell r="F2784">
            <v>34000000</v>
          </cell>
          <cell r="G2784">
            <v>34000000</v>
          </cell>
          <cell r="H2784">
            <v>34000000</v>
          </cell>
          <cell r="I2784" t="str">
            <v/>
          </cell>
          <cell r="J2784" t="str">
            <v/>
          </cell>
          <cell r="K2784" t="str">
            <v/>
          </cell>
          <cell r="L2784" t="str">
            <v/>
          </cell>
        </row>
        <row r="2785">
          <cell r="A2785">
            <v>34000000</v>
          </cell>
          <cell r="C2785">
            <v>34000000</v>
          </cell>
          <cell r="D2785">
            <v>34000000</v>
          </cell>
          <cell r="E2785">
            <v>34000000</v>
          </cell>
          <cell r="F2785">
            <v>34000000</v>
          </cell>
          <cell r="G2785">
            <v>34000000</v>
          </cell>
          <cell r="H2785">
            <v>34000000</v>
          </cell>
          <cell r="I2785" t="str">
            <v/>
          </cell>
          <cell r="J2785" t="str">
            <v/>
          </cell>
          <cell r="K2785" t="str">
            <v/>
          </cell>
          <cell r="L2785" t="str">
            <v/>
          </cell>
        </row>
        <row r="2786">
          <cell r="A2786">
            <v>34000000</v>
          </cell>
          <cell r="C2786">
            <v>34000000</v>
          </cell>
          <cell r="D2786">
            <v>34000000</v>
          </cell>
          <cell r="E2786">
            <v>34000000</v>
          </cell>
          <cell r="F2786">
            <v>34000000</v>
          </cell>
          <cell r="G2786">
            <v>34000000</v>
          </cell>
          <cell r="H2786">
            <v>34000000</v>
          </cell>
          <cell r="I2786" t="str">
            <v/>
          </cell>
          <cell r="J2786" t="str">
            <v/>
          </cell>
          <cell r="K2786" t="str">
            <v/>
          </cell>
          <cell r="L2786" t="str">
            <v/>
          </cell>
        </row>
        <row r="2787">
          <cell r="A2787">
            <v>34000000</v>
          </cell>
          <cell r="C2787">
            <v>34000000</v>
          </cell>
          <cell r="D2787">
            <v>34000000</v>
          </cell>
          <cell r="E2787">
            <v>34000000</v>
          </cell>
          <cell r="F2787">
            <v>34000000</v>
          </cell>
          <cell r="G2787">
            <v>34000000</v>
          </cell>
          <cell r="H2787">
            <v>34000000</v>
          </cell>
          <cell r="I2787" t="str">
            <v/>
          </cell>
          <cell r="J2787" t="str">
            <v/>
          </cell>
          <cell r="K2787" t="str">
            <v/>
          </cell>
          <cell r="L2787" t="str">
            <v/>
          </cell>
        </row>
        <row r="2788">
          <cell r="A2788">
            <v>34000000</v>
          </cell>
          <cell r="C2788">
            <v>34000000</v>
          </cell>
          <cell r="D2788">
            <v>34000000</v>
          </cell>
          <cell r="E2788">
            <v>34000000</v>
          </cell>
          <cell r="F2788">
            <v>34000000</v>
          </cell>
          <cell r="G2788">
            <v>34000000</v>
          </cell>
          <cell r="H2788">
            <v>34000000</v>
          </cell>
          <cell r="I2788" t="str">
            <v/>
          </cell>
          <cell r="J2788" t="str">
            <v/>
          </cell>
          <cell r="K2788" t="str">
            <v/>
          </cell>
          <cell r="L2788" t="str">
            <v/>
          </cell>
        </row>
        <row r="2789">
          <cell r="A2789">
            <v>34000000</v>
          </cell>
          <cell r="C2789">
            <v>34000000</v>
          </cell>
          <cell r="D2789">
            <v>34000000</v>
          </cell>
          <cell r="E2789">
            <v>34000000</v>
          </cell>
          <cell r="F2789">
            <v>34000000</v>
          </cell>
          <cell r="G2789">
            <v>34000000</v>
          </cell>
          <cell r="H2789">
            <v>34000000</v>
          </cell>
          <cell r="I2789" t="str">
            <v/>
          </cell>
          <cell r="J2789" t="str">
            <v/>
          </cell>
          <cell r="K2789" t="str">
            <v/>
          </cell>
          <cell r="L2789" t="str">
            <v/>
          </cell>
        </row>
        <row r="2790">
          <cell r="A2790">
            <v>34000000</v>
          </cell>
          <cell r="C2790">
            <v>34000000</v>
          </cell>
          <cell r="D2790">
            <v>34000000</v>
          </cell>
          <cell r="E2790">
            <v>34000000</v>
          </cell>
          <cell r="F2790">
            <v>34000000</v>
          </cell>
          <cell r="G2790">
            <v>34000000</v>
          </cell>
          <cell r="H2790">
            <v>34000000</v>
          </cell>
          <cell r="I2790" t="str">
            <v/>
          </cell>
          <cell r="J2790" t="str">
            <v/>
          </cell>
          <cell r="K2790" t="str">
            <v/>
          </cell>
          <cell r="L2790" t="str">
            <v/>
          </cell>
        </row>
        <row r="2791">
          <cell r="A2791">
            <v>34000000</v>
          </cell>
          <cell r="C2791">
            <v>34000000</v>
          </cell>
          <cell r="D2791">
            <v>34000000</v>
          </cell>
          <cell r="E2791">
            <v>34000000</v>
          </cell>
          <cell r="F2791">
            <v>34000000</v>
          </cell>
          <cell r="G2791">
            <v>34000000</v>
          </cell>
          <cell r="H2791">
            <v>34000000</v>
          </cell>
          <cell r="I2791" t="str">
            <v/>
          </cell>
          <cell r="J2791" t="str">
            <v/>
          </cell>
          <cell r="K2791" t="str">
            <v/>
          </cell>
          <cell r="L2791" t="str">
            <v/>
          </cell>
        </row>
        <row r="2792">
          <cell r="A2792">
            <v>34000000</v>
          </cell>
          <cell r="C2792">
            <v>34000000</v>
          </cell>
          <cell r="D2792">
            <v>34000000</v>
          </cell>
          <cell r="E2792">
            <v>34000000</v>
          </cell>
          <cell r="F2792">
            <v>34000000</v>
          </cell>
          <cell r="G2792">
            <v>34000000</v>
          </cell>
          <cell r="H2792">
            <v>34000000</v>
          </cell>
          <cell r="I2792" t="str">
            <v/>
          </cell>
          <cell r="J2792" t="str">
            <v/>
          </cell>
          <cell r="K2792" t="str">
            <v/>
          </cell>
          <cell r="L2792" t="str">
            <v/>
          </cell>
        </row>
        <row r="2793">
          <cell r="A2793">
            <v>34000000</v>
          </cell>
          <cell r="C2793">
            <v>34000000</v>
          </cell>
          <cell r="D2793">
            <v>34000000</v>
          </cell>
          <cell r="E2793">
            <v>34000000</v>
          </cell>
          <cell r="F2793">
            <v>34000000</v>
          </cell>
          <cell r="G2793">
            <v>34000000</v>
          </cell>
          <cell r="H2793">
            <v>34000000</v>
          </cell>
          <cell r="I2793" t="str">
            <v/>
          </cell>
          <cell r="J2793" t="str">
            <v/>
          </cell>
          <cell r="K2793" t="str">
            <v/>
          </cell>
          <cell r="L2793" t="str">
            <v/>
          </cell>
        </row>
        <row r="2794">
          <cell r="A2794">
            <v>34000000</v>
          </cell>
          <cell r="C2794">
            <v>34000000</v>
          </cell>
          <cell r="D2794">
            <v>34000000</v>
          </cell>
          <cell r="E2794">
            <v>34000000</v>
          </cell>
          <cell r="F2794">
            <v>34000000</v>
          </cell>
          <cell r="G2794">
            <v>34000000</v>
          </cell>
          <cell r="H2794">
            <v>34000000</v>
          </cell>
          <cell r="I2794" t="str">
            <v/>
          </cell>
          <cell r="J2794" t="str">
            <v/>
          </cell>
          <cell r="K2794" t="str">
            <v/>
          </cell>
          <cell r="L2794" t="str">
            <v/>
          </cell>
        </row>
        <row r="2795">
          <cell r="A2795">
            <v>34000000</v>
          </cell>
          <cell r="C2795">
            <v>34000000</v>
          </cell>
          <cell r="D2795">
            <v>34000000</v>
          </cell>
          <cell r="E2795">
            <v>34000000</v>
          </cell>
          <cell r="F2795">
            <v>34000000</v>
          </cell>
          <cell r="G2795">
            <v>34000000</v>
          </cell>
          <cell r="H2795">
            <v>34000000</v>
          </cell>
          <cell r="I2795" t="str">
            <v/>
          </cell>
          <cell r="J2795" t="str">
            <v/>
          </cell>
          <cell r="K2795" t="str">
            <v/>
          </cell>
          <cell r="L2795" t="str">
            <v/>
          </cell>
        </row>
        <row r="2796">
          <cell r="A2796">
            <v>34000000</v>
          </cell>
          <cell r="C2796">
            <v>34000000</v>
          </cell>
          <cell r="D2796">
            <v>34000000</v>
          </cell>
          <cell r="E2796">
            <v>34000000</v>
          </cell>
          <cell r="F2796">
            <v>34000000</v>
          </cell>
          <cell r="G2796">
            <v>34000000</v>
          </cell>
          <cell r="H2796">
            <v>34000000</v>
          </cell>
          <cell r="I2796" t="str">
            <v/>
          </cell>
          <cell r="J2796" t="str">
            <v/>
          </cell>
          <cell r="K2796" t="str">
            <v/>
          </cell>
          <cell r="L2796" t="str">
            <v/>
          </cell>
        </row>
        <row r="2797">
          <cell r="A2797">
            <v>34000000</v>
          </cell>
          <cell r="C2797">
            <v>34000000</v>
          </cell>
          <cell r="D2797">
            <v>34000000</v>
          </cell>
          <cell r="E2797">
            <v>34000000</v>
          </cell>
          <cell r="F2797">
            <v>34000000</v>
          </cell>
          <cell r="G2797">
            <v>34000000</v>
          </cell>
          <cell r="H2797">
            <v>34000000</v>
          </cell>
          <cell r="I2797" t="str">
            <v/>
          </cell>
          <cell r="J2797" t="str">
            <v/>
          </cell>
          <cell r="K2797" t="str">
            <v/>
          </cell>
          <cell r="L2797" t="str">
            <v/>
          </cell>
        </row>
        <row r="2798">
          <cell r="A2798">
            <v>34000000</v>
          </cell>
          <cell r="C2798">
            <v>34000000</v>
          </cell>
          <cell r="D2798">
            <v>34000000</v>
          </cell>
          <cell r="E2798">
            <v>34000000</v>
          </cell>
          <cell r="F2798">
            <v>34000000</v>
          </cell>
          <cell r="G2798">
            <v>34000000</v>
          </cell>
          <cell r="H2798">
            <v>34000000</v>
          </cell>
          <cell r="I2798" t="str">
            <v/>
          </cell>
          <cell r="J2798" t="str">
            <v/>
          </cell>
          <cell r="K2798" t="str">
            <v/>
          </cell>
          <cell r="L2798" t="str">
            <v/>
          </cell>
        </row>
        <row r="2799">
          <cell r="A2799">
            <v>34000000</v>
          </cell>
          <cell r="C2799">
            <v>34000000</v>
          </cell>
          <cell r="D2799">
            <v>34000000</v>
          </cell>
          <cell r="E2799">
            <v>34000000</v>
          </cell>
          <cell r="F2799">
            <v>34000000</v>
          </cell>
          <cell r="G2799">
            <v>34000000</v>
          </cell>
          <cell r="H2799">
            <v>34000000</v>
          </cell>
          <cell r="I2799" t="str">
            <v/>
          </cell>
          <cell r="J2799" t="str">
            <v/>
          </cell>
          <cell r="K2799" t="str">
            <v/>
          </cell>
          <cell r="L2799" t="str">
            <v/>
          </cell>
        </row>
        <row r="2800">
          <cell r="A2800">
            <v>34000000</v>
          </cell>
          <cell r="C2800">
            <v>34000000</v>
          </cell>
          <cell r="D2800">
            <v>34000000</v>
          </cell>
          <cell r="E2800">
            <v>34000000</v>
          </cell>
          <cell r="F2800">
            <v>34000000</v>
          </cell>
          <cell r="G2800">
            <v>34000000</v>
          </cell>
          <cell r="H2800">
            <v>34000000</v>
          </cell>
          <cell r="I2800" t="str">
            <v/>
          </cell>
          <cell r="J2800" t="str">
            <v/>
          </cell>
          <cell r="K2800" t="str">
            <v/>
          </cell>
          <cell r="L2800" t="str">
            <v/>
          </cell>
        </row>
        <row r="2801">
          <cell r="A2801">
            <v>34000000</v>
          </cell>
          <cell r="C2801">
            <v>34000000</v>
          </cell>
          <cell r="D2801">
            <v>34000000</v>
          </cell>
          <cell r="E2801">
            <v>34000000</v>
          </cell>
          <cell r="F2801">
            <v>34000000</v>
          </cell>
          <cell r="G2801">
            <v>34000000</v>
          </cell>
          <cell r="H2801">
            <v>34000000</v>
          </cell>
          <cell r="I2801" t="str">
            <v/>
          </cell>
          <cell r="J2801" t="str">
            <v/>
          </cell>
          <cell r="K2801" t="str">
            <v/>
          </cell>
          <cell r="L2801" t="str">
            <v/>
          </cell>
        </row>
        <row r="2802">
          <cell r="A2802">
            <v>34000000</v>
          </cell>
          <cell r="C2802">
            <v>34000000</v>
          </cell>
          <cell r="D2802">
            <v>34000000</v>
          </cell>
          <cell r="E2802">
            <v>34000000</v>
          </cell>
          <cell r="F2802">
            <v>34000000</v>
          </cell>
          <cell r="G2802">
            <v>34000000</v>
          </cell>
          <cell r="H2802">
            <v>34000000</v>
          </cell>
          <cell r="I2802" t="str">
            <v/>
          </cell>
          <cell r="J2802" t="str">
            <v/>
          </cell>
          <cell r="K2802" t="str">
            <v/>
          </cell>
          <cell r="L2802" t="str">
            <v/>
          </cell>
        </row>
        <row r="2803">
          <cell r="A2803">
            <v>34000000</v>
          </cell>
          <cell r="C2803">
            <v>34000000</v>
          </cell>
          <cell r="D2803">
            <v>34000000</v>
          </cell>
          <cell r="E2803">
            <v>34000000</v>
          </cell>
          <cell r="F2803">
            <v>34000000</v>
          </cell>
          <cell r="G2803">
            <v>34000000</v>
          </cell>
          <cell r="H2803">
            <v>34000000</v>
          </cell>
          <cell r="I2803" t="str">
            <v/>
          </cell>
          <cell r="J2803" t="str">
            <v/>
          </cell>
          <cell r="K2803" t="str">
            <v/>
          </cell>
          <cell r="L2803" t="str">
            <v/>
          </cell>
        </row>
        <row r="2804">
          <cell r="A2804">
            <v>34000000</v>
          </cell>
          <cell r="C2804">
            <v>34000000</v>
          </cell>
          <cell r="D2804">
            <v>34000000</v>
          </cell>
          <cell r="E2804">
            <v>34000000</v>
          </cell>
          <cell r="F2804">
            <v>34000000</v>
          </cell>
          <cell r="G2804">
            <v>34000000</v>
          </cell>
          <cell r="H2804">
            <v>34000000</v>
          </cell>
          <cell r="I2804" t="str">
            <v/>
          </cell>
          <cell r="J2804" t="str">
            <v/>
          </cell>
          <cell r="K2804" t="str">
            <v/>
          </cell>
          <cell r="L2804" t="str">
            <v/>
          </cell>
        </row>
        <row r="2805">
          <cell r="A2805">
            <v>34000000</v>
          </cell>
          <cell r="C2805">
            <v>34000000</v>
          </cell>
          <cell r="D2805">
            <v>34000000</v>
          </cell>
          <cell r="E2805">
            <v>34000000</v>
          </cell>
          <cell r="F2805">
            <v>34000000</v>
          </cell>
          <cell r="G2805">
            <v>34000000</v>
          </cell>
          <cell r="H2805">
            <v>34000000</v>
          </cell>
          <cell r="I2805" t="str">
            <v/>
          </cell>
          <cell r="J2805" t="str">
            <v/>
          </cell>
          <cell r="K2805" t="str">
            <v/>
          </cell>
          <cell r="L2805" t="str">
            <v/>
          </cell>
        </row>
        <row r="2806">
          <cell r="A2806">
            <v>34000000</v>
          </cell>
          <cell r="C2806">
            <v>34000000</v>
          </cell>
          <cell r="D2806">
            <v>34000000</v>
          </cell>
          <cell r="E2806">
            <v>34000000</v>
          </cell>
          <cell r="F2806">
            <v>34000000</v>
          </cell>
          <cell r="G2806">
            <v>34000000</v>
          </cell>
          <cell r="H2806">
            <v>34000000</v>
          </cell>
          <cell r="I2806" t="str">
            <v/>
          </cell>
          <cell r="J2806" t="str">
            <v/>
          </cell>
          <cell r="K2806" t="str">
            <v/>
          </cell>
          <cell r="L2806" t="str">
            <v/>
          </cell>
        </row>
        <row r="2807">
          <cell r="A2807">
            <v>34000000</v>
          </cell>
          <cell r="C2807">
            <v>34000000</v>
          </cell>
          <cell r="D2807">
            <v>34000000</v>
          </cell>
          <cell r="E2807">
            <v>34000000</v>
          </cell>
          <cell r="F2807">
            <v>34000000</v>
          </cell>
          <cell r="G2807">
            <v>34000000</v>
          </cell>
          <cell r="H2807">
            <v>34000000</v>
          </cell>
          <cell r="I2807" t="str">
            <v/>
          </cell>
          <cell r="J2807" t="str">
            <v/>
          </cell>
          <cell r="K2807" t="str">
            <v/>
          </cell>
          <cell r="L2807" t="str">
            <v/>
          </cell>
        </row>
        <row r="2808">
          <cell r="A2808">
            <v>34000000</v>
          </cell>
          <cell r="C2808">
            <v>34000000</v>
          </cell>
          <cell r="D2808">
            <v>34000000</v>
          </cell>
          <cell r="E2808">
            <v>34000000</v>
          </cell>
          <cell r="F2808">
            <v>34000000</v>
          </cell>
          <cell r="G2808">
            <v>34000000</v>
          </cell>
          <cell r="H2808">
            <v>34000000</v>
          </cell>
          <cell r="I2808" t="str">
            <v/>
          </cell>
          <cell r="J2808" t="str">
            <v/>
          </cell>
          <cell r="K2808" t="str">
            <v/>
          </cell>
          <cell r="L2808" t="str">
            <v/>
          </cell>
        </row>
        <row r="2809">
          <cell r="A2809">
            <v>34000000</v>
          </cell>
          <cell r="C2809">
            <v>34000000</v>
          </cell>
          <cell r="D2809">
            <v>34000000</v>
          </cell>
          <cell r="E2809">
            <v>34000000</v>
          </cell>
          <cell r="F2809">
            <v>34000000</v>
          </cell>
          <cell r="G2809">
            <v>34000000</v>
          </cell>
          <cell r="H2809">
            <v>34000000</v>
          </cell>
          <cell r="I2809" t="str">
            <v/>
          </cell>
          <cell r="J2809" t="str">
            <v/>
          </cell>
          <cell r="K2809" t="str">
            <v/>
          </cell>
          <cell r="L2809" t="str">
            <v/>
          </cell>
        </row>
        <row r="2810">
          <cell r="A2810">
            <v>34000000</v>
          </cell>
          <cell r="C2810">
            <v>34000000</v>
          </cell>
          <cell r="D2810">
            <v>34000000</v>
          </cell>
          <cell r="E2810">
            <v>34000000</v>
          </cell>
          <cell r="F2810">
            <v>34000000</v>
          </cell>
          <cell r="G2810">
            <v>34000000</v>
          </cell>
          <cell r="H2810">
            <v>34000000</v>
          </cell>
          <cell r="I2810" t="str">
            <v/>
          </cell>
          <cell r="J2810" t="str">
            <v/>
          </cell>
          <cell r="K2810" t="str">
            <v/>
          </cell>
          <cell r="L2810" t="str">
            <v/>
          </cell>
        </row>
        <row r="2811">
          <cell r="A2811">
            <v>34000000</v>
          </cell>
          <cell r="C2811">
            <v>34000000</v>
          </cell>
          <cell r="D2811">
            <v>34000000</v>
          </cell>
          <cell r="E2811">
            <v>34000000</v>
          </cell>
          <cell r="F2811">
            <v>34000000</v>
          </cell>
          <cell r="G2811">
            <v>34000000</v>
          </cell>
          <cell r="H2811">
            <v>34000000</v>
          </cell>
          <cell r="I2811" t="str">
            <v/>
          </cell>
          <cell r="J2811" t="str">
            <v/>
          </cell>
          <cell r="K2811" t="str">
            <v/>
          </cell>
          <cell r="L2811" t="str">
            <v/>
          </cell>
        </row>
        <row r="2812">
          <cell r="A2812">
            <v>34000000</v>
          </cell>
          <cell r="C2812">
            <v>34000000</v>
          </cell>
          <cell r="D2812">
            <v>34000000</v>
          </cell>
          <cell r="E2812">
            <v>34000000</v>
          </cell>
          <cell r="F2812">
            <v>34000000</v>
          </cell>
          <cell r="G2812">
            <v>34000000</v>
          </cell>
          <cell r="H2812">
            <v>34000000</v>
          </cell>
          <cell r="I2812" t="str">
            <v/>
          </cell>
          <cell r="J2812" t="str">
            <v/>
          </cell>
          <cell r="K2812" t="str">
            <v/>
          </cell>
          <cell r="L2812" t="str">
            <v/>
          </cell>
        </row>
        <row r="2813">
          <cell r="A2813">
            <v>34000000</v>
          </cell>
          <cell r="C2813">
            <v>34000000</v>
          </cell>
          <cell r="D2813">
            <v>34000000</v>
          </cell>
          <cell r="E2813">
            <v>34000000</v>
          </cell>
          <cell r="F2813">
            <v>34000000</v>
          </cell>
          <cell r="G2813">
            <v>34000000</v>
          </cell>
          <cell r="H2813">
            <v>34000000</v>
          </cell>
          <cell r="I2813" t="str">
            <v/>
          </cell>
          <cell r="J2813" t="str">
            <v/>
          </cell>
          <cell r="K2813" t="str">
            <v/>
          </cell>
          <cell r="L2813" t="str">
            <v/>
          </cell>
        </row>
        <row r="2814">
          <cell r="A2814">
            <v>34000000</v>
          </cell>
          <cell r="C2814">
            <v>34000000</v>
          </cell>
          <cell r="D2814">
            <v>34000000</v>
          </cell>
          <cell r="E2814">
            <v>34000000</v>
          </cell>
          <cell r="F2814">
            <v>34000000</v>
          </cell>
          <cell r="G2814">
            <v>34000000</v>
          </cell>
          <cell r="H2814">
            <v>34000000</v>
          </cell>
          <cell r="I2814" t="str">
            <v/>
          </cell>
          <cell r="J2814" t="str">
            <v/>
          </cell>
          <cell r="K2814" t="str">
            <v/>
          </cell>
          <cell r="L2814" t="str">
            <v/>
          </cell>
        </row>
        <row r="2815">
          <cell r="A2815">
            <v>34000000</v>
          </cell>
          <cell r="C2815">
            <v>34000000</v>
          </cell>
          <cell r="D2815">
            <v>34000000</v>
          </cell>
          <cell r="E2815">
            <v>34000000</v>
          </cell>
          <cell r="F2815">
            <v>34000000</v>
          </cell>
          <cell r="G2815">
            <v>34000000</v>
          </cell>
          <cell r="H2815">
            <v>34000000</v>
          </cell>
          <cell r="I2815" t="str">
            <v/>
          </cell>
          <cell r="J2815" t="str">
            <v/>
          </cell>
          <cell r="K2815" t="str">
            <v/>
          </cell>
          <cell r="L2815" t="str">
            <v/>
          </cell>
        </row>
        <row r="2816">
          <cell r="A2816">
            <v>34000000</v>
          </cell>
          <cell r="C2816">
            <v>34000000</v>
          </cell>
          <cell r="D2816">
            <v>34000000</v>
          </cell>
          <cell r="E2816">
            <v>34000000</v>
          </cell>
          <cell r="F2816">
            <v>34000000</v>
          </cell>
          <cell r="G2816">
            <v>34000000</v>
          </cell>
          <cell r="H2816">
            <v>34000000</v>
          </cell>
          <cell r="I2816" t="str">
            <v/>
          </cell>
          <cell r="J2816" t="str">
            <v/>
          </cell>
          <cell r="K2816" t="str">
            <v/>
          </cell>
          <cell r="L2816" t="str">
            <v/>
          </cell>
        </row>
        <row r="2817">
          <cell r="A2817">
            <v>34000000</v>
          </cell>
          <cell r="C2817">
            <v>34000000</v>
          </cell>
          <cell r="D2817">
            <v>34000000</v>
          </cell>
          <cell r="E2817">
            <v>34000000</v>
          </cell>
          <cell r="F2817">
            <v>34000000</v>
          </cell>
          <cell r="G2817">
            <v>34000000</v>
          </cell>
          <cell r="H2817">
            <v>34000000</v>
          </cell>
          <cell r="I2817" t="str">
            <v/>
          </cell>
          <cell r="J2817" t="str">
            <v/>
          </cell>
          <cell r="K2817" t="str">
            <v/>
          </cell>
          <cell r="L2817" t="str">
            <v/>
          </cell>
        </row>
        <row r="2818">
          <cell r="A2818">
            <v>34000000</v>
          </cell>
          <cell r="C2818">
            <v>34000000</v>
          </cell>
          <cell r="D2818">
            <v>34000000</v>
          </cell>
          <cell r="E2818">
            <v>34000000</v>
          </cell>
          <cell r="F2818">
            <v>34000000</v>
          </cell>
          <cell r="G2818">
            <v>34000000</v>
          </cell>
          <cell r="H2818">
            <v>34000000</v>
          </cell>
          <cell r="I2818" t="str">
            <v/>
          </cell>
          <cell r="J2818" t="str">
            <v/>
          </cell>
          <cell r="K2818" t="str">
            <v/>
          </cell>
          <cell r="L2818" t="str">
            <v/>
          </cell>
        </row>
        <row r="2819">
          <cell r="A2819">
            <v>34000000</v>
          </cell>
          <cell r="C2819">
            <v>34000000</v>
          </cell>
          <cell r="D2819">
            <v>34000000</v>
          </cell>
          <cell r="E2819">
            <v>34000000</v>
          </cell>
          <cell r="F2819">
            <v>34000000</v>
          </cell>
          <cell r="G2819">
            <v>34000000</v>
          </cell>
          <cell r="H2819">
            <v>34000000</v>
          </cell>
          <cell r="I2819" t="str">
            <v/>
          </cell>
          <cell r="J2819" t="str">
            <v/>
          </cell>
          <cell r="K2819" t="str">
            <v/>
          </cell>
          <cell r="L2819" t="str">
            <v/>
          </cell>
        </row>
        <row r="2820">
          <cell r="A2820">
            <v>34000000</v>
          </cell>
          <cell r="C2820">
            <v>34000000</v>
          </cell>
          <cell r="D2820">
            <v>34000000</v>
          </cell>
          <cell r="E2820">
            <v>34000000</v>
          </cell>
          <cell r="F2820">
            <v>34000000</v>
          </cell>
          <cell r="G2820">
            <v>34000000</v>
          </cell>
          <cell r="H2820">
            <v>34000000</v>
          </cell>
          <cell r="I2820" t="str">
            <v/>
          </cell>
          <cell r="J2820" t="str">
            <v/>
          </cell>
          <cell r="K2820" t="str">
            <v/>
          </cell>
          <cell r="L2820" t="str">
            <v/>
          </cell>
        </row>
        <row r="2821">
          <cell r="A2821">
            <v>34000000</v>
          </cell>
          <cell r="C2821">
            <v>34000000</v>
          </cell>
          <cell r="D2821">
            <v>34000000</v>
          </cell>
          <cell r="E2821">
            <v>34000000</v>
          </cell>
          <cell r="F2821">
            <v>34000000</v>
          </cell>
          <cell r="G2821">
            <v>34000000</v>
          </cell>
          <cell r="H2821">
            <v>34000000</v>
          </cell>
          <cell r="I2821" t="str">
            <v/>
          </cell>
          <cell r="J2821" t="str">
            <v/>
          </cell>
          <cell r="K2821" t="str">
            <v/>
          </cell>
          <cell r="L2821" t="str">
            <v/>
          </cell>
        </row>
        <row r="2822">
          <cell r="A2822">
            <v>34000000</v>
          </cell>
          <cell r="C2822">
            <v>34000000</v>
          </cell>
          <cell r="D2822">
            <v>34000000</v>
          </cell>
          <cell r="E2822">
            <v>34000000</v>
          </cell>
          <cell r="F2822">
            <v>34000000</v>
          </cell>
          <cell r="G2822">
            <v>34000000</v>
          </cell>
          <cell r="H2822">
            <v>34000000</v>
          </cell>
          <cell r="I2822" t="str">
            <v/>
          </cell>
          <cell r="J2822" t="str">
            <v/>
          </cell>
          <cell r="K2822" t="str">
            <v/>
          </cell>
          <cell r="L2822" t="str">
            <v/>
          </cell>
        </row>
        <row r="2823">
          <cell r="A2823">
            <v>34000000</v>
          </cell>
          <cell r="C2823">
            <v>34000000</v>
          </cell>
          <cell r="D2823">
            <v>34000000</v>
          </cell>
          <cell r="E2823">
            <v>34000000</v>
          </cell>
          <cell r="F2823">
            <v>34000000</v>
          </cell>
          <cell r="G2823">
            <v>34000000</v>
          </cell>
          <cell r="H2823">
            <v>34000000</v>
          </cell>
          <cell r="I2823" t="str">
            <v/>
          </cell>
          <cell r="J2823" t="str">
            <v/>
          </cell>
          <cell r="K2823" t="str">
            <v/>
          </cell>
          <cell r="L2823" t="str">
            <v/>
          </cell>
        </row>
        <row r="2824">
          <cell r="A2824">
            <v>34000000</v>
          </cell>
          <cell r="C2824">
            <v>34000000</v>
          </cell>
          <cell r="D2824">
            <v>34000000</v>
          </cell>
          <cell r="E2824">
            <v>34000000</v>
          </cell>
          <cell r="F2824">
            <v>34000000</v>
          </cell>
          <cell r="G2824">
            <v>34000000</v>
          </cell>
          <cell r="H2824">
            <v>34000000</v>
          </cell>
          <cell r="I2824" t="str">
            <v/>
          </cell>
          <cell r="J2824" t="str">
            <v/>
          </cell>
          <cell r="K2824" t="str">
            <v/>
          </cell>
          <cell r="L2824" t="str">
            <v/>
          </cell>
        </row>
        <row r="2825">
          <cell r="A2825">
            <v>34000000</v>
          </cell>
          <cell r="C2825">
            <v>34000000</v>
          </cell>
          <cell r="D2825">
            <v>34000000</v>
          </cell>
          <cell r="E2825">
            <v>34000000</v>
          </cell>
          <cell r="F2825">
            <v>34000000</v>
          </cell>
          <cell r="G2825">
            <v>34000000</v>
          </cell>
          <cell r="H2825">
            <v>34000000</v>
          </cell>
          <cell r="I2825" t="str">
            <v/>
          </cell>
          <cell r="J2825" t="str">
            <v/>
          </cell>
          <cell r="K2825" t="str">
            <v/>
          </cell>
          <cell r="L2825" t="str">
            <v/>
          </cell>
        </row>
        <row r="2826">
          <cell r="A2826">
            <v>34000000</v>
          </cell>
          <cell r="C2826">
            <v>34000000</v>
          </cell>
          <cell r="D2826">
            <v>34000000</v>
          </cell>
          <cell r="E2826">
            <v>34000000</v>
          </cell>
          <cell r="F2826">
            <v>34000000</v>
          </cell>
          <cell r="G2826">
            <v>34000000</v>
          </cell>
          <cell r="H2826">
            <v>34000000</v>
          </cell>
          <cell r="I2826" t="str">
            <v/>
          </cell>
          <cell r="J2826" t="str">
            <v/>
          </cell>
          <cell r="K2826" t="str">
            <v/>
          </cell>
          <cell r="L2826" t="str">
            <v/>
          </cell>
        </row>
        <row r="2827">
          <cell r="A2827">
            <v>34000000</v>
          </cell>
          <cell r="C2827">
            <v>34000000</v>
          </cell>
          <cell r="D2827">
            <v>34000000</v>
          </cell>
          <cell r="E2827">
            <v>34000000</v>
          </cell>
          <cell r="F2827">
            <v>34000000</v>
          </cell>
          <cell r="G2827">
            <v>34000000</v>
          </cell>
          <cell r="H2827">
            <v>34000000</v>
          </cell>
          <cell r="I2827" t="str">
            <v/>
          </cell>
          <cell r="J2827" t="str">
            <v/>
          </cell>
          <cell r="K2827" t="str">
            <v/>
          </cell>
          <cell r="L2827" t="str">
            <v/>
          </cell>
        </row>
        <row r="2828">
          <cell r="A2828">
            <v>34000000</v>
          </cell>
          <cell r="C2828">
            <v>34000000</v>
          </cell>
          <cell r="D2828">
            <v>34000000</v>
          </cell>
          <cell r="E2828">
            <v>34000000</v>
          </cell>
          <cell r="F2828">
            <v>34000000</v>
          </cell>
          <cell r="G2828">
            <v>34000000</v>
          </cell>
          <cell r="H2828">
            <v>34000000</v>
          </cell>
          <cell r="I2828" t="str">
            <v/>
          </cell>
          <cell r="J2828" t="str">
            <v/>
          </cell>
          <cell r="K2828" t="str">
            <v/>
          </cell>
          <cell r="L2828" t="str">
            <v/>
          </cell>
        </row>
        <row r="2829">
          <cell r="A2829">
            <v>34000000</v>
          </cell>
          <cell r="C2829">
            <v>34000000</v>
          </cell>
          <cell r="D2829">
            <v>34000000</v>
          </cell>
          <cell r="E2829">
            <v>34000000</v>
          </cell>
          <cell r="F2829">
            <v>34000000</v>
          </cell>
          <cell r="G2829">
            <v>34000000</v>
          </cell>
          <cell r="H2829">
            <v>34000000</v>
          </cell>
          <cell r="I2829" t="str">
            <v/>
          </cell>
          <cell r="J2829" t="str">
            <v/>
          </cell>
          <cell r="K2829" t="str">
            <v/>
          </cell>
          <cell r="L2829" t="str">
            <v/>
          </cell>
        </row>
        <row r="2830">
          <cell r="A2830">
            <v>34000000</v>
          </cell>
          <cell r="C2830">
            <v>34000000</v>
          </cell>
          <cell r="D2830">
            <v>34000000</v>
          </cell>
          <cell r="E2830">
            <v>34000000</v>
          </cell>
          <cell r="F2830">
            <v>34000000</v>
          </cell>
          <cell r="G2830">
            <v>34000000</v>
          </cell>
          <cell r="H2830">
            <v>34000000</v>
          </cell>
          <cell r="I2830" t="str">
            <v/>
          </cell>
          <cell r="J2830" t="str">
            <v/>
          </cell>
          <cell r="K2830" t="str">
            <v/>
          </cell>
          <cell r="L2830" t="str">
            <v/>
          </cell>
        </row>
        <row r="2831">
          <cell r="A2831">
            <v>34000000</v>
          </cell>
          <cell r="C2831">
            <v>34000000</v>
          </cell>
          <cell r="D2831">
            <v>34000000</v>
          </cell>
          <cell r="E2831">
            <v>34000000</v>
          </cell>
          <cell r="F2831">
            <v>34000000</v>
          </cell>
          <cell r="G2831">
            <v>34000000</v>
          </cell>
          <cell r="H2831">
            <v>34000000</v>
          </cell>
          <cell r="I2831" t="str">
            <v/>
          </cell>
          <cell r="J2831" t="str">
            <v/>
          </cell>
          <cell r="K2831" t="str">
            <v/>
          </cell>
          <cell r="L2831" t="str">
            <v/>
          </cell>
        </row>
        <row r="2832">
          <cell r="A2832">
            <v>34000000</v>
          </cell>
          <cell r="C2832">
            <v>34000000</v>
          </cell>
          <cell r="D2832">
            <v>34000000</v>
          </cell>
          <cell r="E2832">
            <v>34000000</v>
          </cell>
          <cell r="F2832">
            <v>34000000</v>
          </cell>
          <cell r="G2832">
            <v>34000000</v>
          </cell>
          <cell r="H2832">
            <v>34000000</v>
          </cell>
          <cell r="I2832" t="str">
            <v/>
          </cell>
          <cell r="J2832" t="str">
            <v/>
          </cell>
          <cell r="K2832" t="str">
            <v/>
          </cell>
          <cell r="L2832" t="str">
            <v/>
          </cell>
        </row>
        <row r="2833">
          <cell r="A2833">
            <v>34000000</v>
          </cell>
          <cell r="C2833">
            <v>34000000</v>
          </cell>
          <cell r="D2833">
            <v>34000000</v>
          </cell>
          <cell r="E2833">
            <v>34000000</v>
          </cell>
          <cell r="F2833">
            <v>34000000</v>
          </cell>
          <cell r="G2833">
            <v>34000000</v>
          </cell>
          <cell r="H2833">
            <v>34000000</v>
          </cell>
          <cell r="I2833" t="str">
            <v/>
          </cell>
          <cell r="J2833" t="str">
            <v/>
          </cell>
          <cell r="K2833" t="str">
            <v/>
          </cell>
          <cell r="L2833" t="str">
            <v/>
          </cell>
        </row>
        <row r="2834">
          <cell r="A2834">
            <v>34000000</v>
          </cell>
          <cell r="C2834">
            <v>34000000</v>
          </cell>
          <cell r="D2834">
            <v>34000000</v>
          </cell>
          <cell r="E2834">
            <v>34000000</v>
          </cell>
          <cell r="F2834">
            <v>34000000</v>
          </cell>
          <cell r="G2834">
            <v>34000000</v>
          </cell>
          <cell r="H2834">
            <v>34000000</v>
          </cell>
          <cell r="I2834" t="str">
            <v/>
          </cell>
          <cell r="J2834" t="str">
            <v/>
          </cell>
          <cell r="K2834" t="str">
            <v/>
          </cell>
          <cell r="L2834" t="str">
            <v/>
          </cell>
        </row>
        <row r="2835">
          <cell r="A2835">
            <v>34000000</v>
          </cell>
          <cell r="C2835">
            <v>34000000</v>
          </cell>
          <cell r="D2835">
            <v>34000000</v>
          </cell>
          <cell r="E2835">
            <v>34000000</v>
          </cell>
          <cell r="F2835">
            <v>34000000</v>
          </cell>
          <cell r="G2835">
            <v>34000000</v>
          </cell>
          <cell r="H2835">
            <v>34000000</v>
          </cell>
          <cell r="I2835" t="str">
            <v/>
          </cell>
          <cell r="J2835" t="str">
            <v/>
          </cell>
          <cell r="K2835" t="str">
            <v/>
          </cell>
          <cell r="L2835" t="str">
            <v/>
          </cell>
        </row>
        <row r="2836">
          <cell r="A2836">
            <v>34000000</v>
          </cell>
          <cell r="C2836">
            <v>34000000</v>
          </cell>
          <cell r="D2836">
            <v>34000000</v>
          </cell>
          <cell r="E2836">
            <v>34000000</v>
          </cell>
          <cell r="F2836">
            <v>34000000</v>
          </cell>
          <cell r="G2836">
            <v>34000000</v>
          </cell>
          <cell r="H2836">
            <v>34000000</v>
          </cell>
          <cell r="I2836" t="str">
            <v/>
          </cell>
          <cell r="J2836" t="str">
            <v/>
          </cell>
          <cell r="K2836" t="str">
            <v/>
          </cell>
          <cell r="L2836" t="str">
            <v/>
          </cell>
        </row>
        <row r="2837">
          <cell r="A2837">
            <v>34000000</v>
          </cell>
          <cell r="C2837">
            <v>34000000</v>
          </cell>
          <cell r="D2837">
            <v>34000000</v>
          </cell>
          <cell r="E2837">
            <v>34000000</v>
          </cell>
          <cell r="F2837">
            <v>34000000</v>
          </cell>
          <cell r="G2837">
            <v>34000000</v>
          </cell>
          <cell r="H2837">
            <v>34000000</v>
          </cell>
          <cell r="I2837" t="str">
            <v/>
          </cell>
          <cell r="J2837" t="str">
            <v/>
          </cell>
          <cell r="K2837" t="str">
            <v/>
          </cell>
          <cell r="L2837" t="str">
            <v/>
          </cell>
        </row>
        <row r="2838">
          <cell r="A2838">
            <v>34000000</v>
          </cell>
          <cell r="C2838">
            <v>34000000</v>
          </cell>
          <cell r="D2838">
            <v>34000000</v>
          </cell>
          <cell r="E2838">
            <v>34000000</v>
          </cell>
          <cell r="F2838">
            <v>34000000</v>
          </cell>
          <cell r="G2838">
            <v>34000000</v>
          </cell>
          <cell r="H2838">
            <v>34000000</v>
          </cell>
          <cell r="I2838" t="str">
            <v/>
          </cell>
          <cell r="J2838" t="str">
            <v/>
          </cell>
          <cell r="K2838" t="str">
            <v/>
          </cell>
          <cell r="L2838" t="str">
            <v/>
          </cell>
        </row>
        <row r="2839">
          <cell r="A2839">
            <v>34000000</v>
          </cell>
          <cell r="C2839">
            <v>34000000</v>
          </cell>
          <cell r="D2839">
            <v>34000000</v>
          </cell>
          <cell r="E2839">
            <v>34000000</v>
          </cell>
          <cell r="F2839">
            <v>34000000</v>
          </cell>
          <cell r="G2839">
            <v>34000000</v>
          </cell>
          <cell r="H2839">
            <v>34000000</v>
          </cell>
          <cell r="I2839" t="str">
            <v/>
          </cell>
          <cell r="J2839" t="str">
            <v/>
          </cell>
          <cell r="K2839" t="str">
            <v/>
          </cell>
          <cell r="L2839" t="str">
            <v/>
          </cell>
        </row>
        <row r="2840">
          <cell r="A2840">
            <v>34000000</v>
          </cell>
          <cell r="C2840">
            <v>34000000</v>
          </cell>
          <cell r="D2840">
            <v>34000000</v>
          </cell>
          <cell r="E2840">
            <v>34000000</v>
          </cell>
          <cell r="F2840">
            <v>34000000</v>
          </cell>
          <cell r="G2840">
            <v>34000000</v>
          </cell>
          <cell r="H2840">
            <v>34000000</v>
          </cell>
          <cell r="I2840" t="str">
            <v/>
          </cell>
          <cell r="J2840" t="str">
            <v/>
          </cell>
          <cell r="K2840" t="str">
            <v/>
          </cell>
          <cell r="L2840" t="str">
            <v/>
          </cell>
        </row>
        <row r="2841">
          <cell r="A2841">
            <v>34000000</v>
          </cell>
          <cell r="C2841">
            <v>34000000</v>
          </cell>
          <cell r="D2841">
            <v>34000000</v>
          </cell>
          <cell r="E2841">
            <v>34000000</v>
          </cell>
          <cell r="F2841">
            <v>34000000</v>
          </cell>
          <cell r="G2841">
            <v>34000000</v>
          </cell>
          <cell r="H2841">
            <v>34000000</v>
          </cell>
          <cell r="I2841" t="str">
            <v/>
          </cell>
          <cell r="J2841" t="str">
            <v/>
          </cell>
          <cell r="K2841" t="str">
            <v/>
          </cell>
          <cell r="L2841" t="str">
            <v/>
          </cell>
        </row>
        <row r="2842">
          <cell r="A2842">
            <v>34000000</v>
          </cell>
          <cell r="C2842">
            <v>34000000</v>
          </cell>
          <cell r="D2842">
            <v>34000000</v>
          </cell>
          <cell r="E2842">
            <v>34000000</v>
          </cell>
          <cell r="F2842">
            <v>34000000</v>
          </cell>
          <cell r="G2842">
            <v>34000000</v>
          </cell>
          <cell r="H2842">
            <v>34000000</v>
          </cell>
          <cell r="I2842" t="str">
            <v/>
          </cell>
          <cell r="J2842" t="str">
            <v/>
          </cell>
          <cell r="K2842" t="str">
            <v/>
          </cell>
          <cell r="L2842" t="str">
            <v/>
          </cell>
        </row>
        <row r="2843">
          <cell r="A2843">
            <v>34000000</v>
          </cell>
          <cell r="C2843">
            <v>34000000</v>
          </cell>
          <cell r="D2843">
            <v>34000000</v>
          </cell>
          <cell r="E2843">
            <v>34000000</v>
          </cell>
          <cell r="F2843">
            <v>34000000</v>
          </cell>
          <cell r="G2843">
            <v>34000000</v>
          </cell>
          <cell r="H2843">
            <v>34000000</v>
          </cell>
          <cell r="I2843" t="str">
            <v/>
          </cell>
          <cell r="J2843" t="str">
            <v/>
          </cell>
          <cell r="K2843" t="str">
            <v/>
          </cell>
          <cell r="L2843" t="str">
            <v/>
          </cell>
        </row>
        <row r="2844">
          <cell r="A2844">
            <v>34000000</v>
          </cell>
          <cell r="C2844">
            <v>34000000</v>
          </cell>
          <cell r="D2844">
            <v>34000000</v>
          </cell>
          <cell r="E2844">
            <v>34000000</v>
          </cell>
          <cell r="F2844">
            <v>34000000</v>
          </cell>
          <cell r="G2844">
            <v>34000000</v>
          </cell>
          <cell r="H2844">
            <v>34000000</v>
          </cell>
          <cell r="I2844" t="str">
            <v/>
          </cell>
          <cell r="J2844" t="str">
            <v/>
          </cell>
          <cell r="K2844" t="str">
            <v/>
          </cell>
          <cell r="L2844" t="str">
            <v/>
          </cell>
        </row>
        <row r="2845">
          <cell r="A2845">
            <v>34000000</v>
          </cell>
          <cell r="C2845">
            <v>34000000</v>
          </cell>
          <cell r="D2845">
            <v>34000000</v>
          </cell>
          <cell r="E2845">
            <v>34000000</v>
          </cell>
          <cell r="F2845">
            <v>34000000</v>
          </cell>
          <cell r="G2845">
            <v>34000000</v>
          </cell>
          <cell r="H2845">
            <v>34000000</v>
          </cell>
          <cell r="I2845" t="str">
            <v/>
          </cell>
          <cell r="J2845" t="str">
            <v/>
          </cell>
          <cell r="K2845" t="str">
            <v/>
          </cell>
          <cell r="L2845" t="str">
            <v/>
          </cell>
        </row>
        <row r="2846">
          <cell r="A2846">
            <v>34000000</v>
          </cell>
          <cell r="C2846">
            <v>34000000</v>
          </cell>
          <cell r="D2846">
            <v>34000000</v>
          </cell>
          <cell r="E2846">
            <v>34000000</v>
          </cell>
          <cell r="F2846">
            <v>34000000</v>
          </cell>
          <cell r="G2846">
            <v>34000000</v>
          </cell>
          <cell r="H2846">
            <v>34000000</v>
          </cell>
          <cell r="I2846" t="str">
            <v/>
          </cell>
          <cell r="J2846" t="str">
            <v/>
          </cell>
          <cell r="K2846" t="str">
            <v/>
          </cell>
          <cell r="L2846" t="str">
            <v/>
          </cell>
        </row>
        <row r="2847">
          <cell r="A2847">
            <v>34000000</v>
          </cell>
          <cell r="C2847">
            <v>34000000</v>
          </cell>
          <cell r="D2847">
            <v>34000000</v>
          </cell>
          <cell r="E2847">
            <v>34000000</v>
          </cell>
          <cell r="F2847">
            <v>34000000</v>
          </cell>
          <cell r="G2847">
            <v>34000000</v>
          </cell>
          <cell r="H2847">
            <v>34000000</v>
          </cell>
          <cell r="I2847" t="str">
            <v/>
          </cell>
          <cell r="J2847" t="str">
            <v/>
          </cell>
          <cell r="K2847" t="str">
            <v/>
          </cell>
          <cell r="L2847" t="str">
            <v/>
          </cell>
        </row>
        <row r="2848">
          <cell r="A2848">
            <v>34000000</v>
          </cell>
          <cell r="C2848">
            <v>34000000</v>
          </cell>
          <cell r="D2848">
            <v>34000000</v>
          </cell>
          <cell r="E2848">
            <v>34000000</v>
          </cell>
          <cell r="F2848">
            <v>34000000</v>
          </cell>
          <cell r="G2848">
            <v>34000000</v>
          </cell>
          <cell r="H2848">
            <v>34000000</v>
          </cell>
          <cell r="I2848" t="str">
            <v/>
          </cell>
          <cell r="J2848" t="str">
            <v/>
          </cell>
          <cell r="K2848" t="str">
            <v/>
          </cell>
          <cell r="L2848" t="str">
            <v/>
          </cell>
        </row>
        <row r="2849">
          <cell r="A2849">
            <v>34000000</v>
          </cell>
          <cell r="C2849">
            <v>34000000</v>
          </cell>
          <cell r="D2849">
            <v>34000000</v>
          </cell>
          <cell r="E2849">
            <v>34000000</v>
          </cell>
          <cell r="F2849">
            <v>34000000</v>
          </cell>
          <cell r="G2849">
            <v>34000000</v>
          </cell>
          <cell r="H2849">
            <v>34000000</v>
          </cell>
          <cell r="I2849" t="str">
            <v/>
          </cell>
          <cell r="J2849" t="str">
            <v/>
          </cell>
          <cell r="K2849" t="str">
            <v/>
          </cell>
          <cell r="L2849" t="str">
            <v/>
          </cell>
        </row>
        <row r="2850">
          <cell r="A2850">
            <v>34000000</v>
          </cell>
          <cell r="C2850">
            <v>34000000</v>
          </cell>
          <cell r="D2850">
            <v>34000000</v>
          </cell>
          <cell r="E2850">
            <v>34000000</v>
          </cell>
          <cell r="F2850">
            <v>34000000</v>
          </cell>
          <cell r="G2850">
            <v>34000000</v>
          </cell>
          <cell r="H2850">
            <v>34000000</v>
          </cell>
          <cell r="I2850" t="str">
            <v/>
          </cell>
          <cell r="J2850" t="str">
            <v/>
          </cell>
          <cell r="K2850" t="str">
            <v/>
          </cell>
          <cell r="L2850" t="str">
            <v/>
          </cell>
        </row>
        <row r="2851">
          <cell r="A2851">
            <v>34000000</v>
          </cell>
          <cell r="C2851">
            <v>34000000</v>
          </cell>
          <cell r="D2851">
            <v>34000000</v>
          </cell>
          <cell r="E2851">
            <v>34000000</v>
          </cell>
          <cell r="F2851">
            <v>34000000</v>
          </cell>
          <cell r="G2851">
            <v>34000000</v>
          </cell>
          <cell r="H2851">
            <v>34000000</v>
          </cell>
          <cell r="I2851" t="str">
            <v/>
          </cell>
          <cell r="J2851" t="str">
            <v/>
          </cell>
          <cell r="K2851" t="str">
            <v/>
          </cell>
          <cell r="L2851" t="str">
            <v/>
          </cell>
        </row>
        <row r="2852">
          <cell r="A2852">
            <v>34000000</v>
          </cell>
          <cell r="C2852">
            <v>34000000</v>
          </cell>
          <cell r="D2852">
            <v>34000000</v>
          </cell>
          <cell r="E2852">
            <v>34000000</v>
          </cell>
          <cell r="F2852">
            <v>34000000</v>
          </cell>
          <cell r="G2852">
            <v>34000000</v>
          </cell>
          <cell r="H2852">
            <v>34000000</v>
          </cell>
          <cell r="I2852" t="str">
            <v/>
          </cell>
          <cell r="J2852" t="str">
            <v/>
          </cell>
          <cell r="K2852" t="str">
            <v/>
          </cell>
          <cell r="L2852" t="str">
            <v/>
          </cell>
        </row>
        <row r="2853">
          <cell r="A2853">
            <v>34000000</v>
          </cell>
          <cell r="C2853">
            <v>34000000</v>
          </cell>
          <cell r="D2853">
            <v>34000000</v>
          </cell>
          <cell r="E2853">
            <v>34000000</v>
          </cell>
          <cell r="F2853">
            <v>34000000</v>
          </cell>
          <cell r="G2853">
            <v>34000000</v>
          </cell>
          <cell r="H2853">
            <v>34000000</v>
          </cell>
          <cell r="I2853" t="str">
            <v/>
          </cell>
          <cell r="J2853" t="str">
            <v/>
          </cell>
          <cell r="K2853" t="str">
            <v/>
          </cell>
          <cell r="L2853" t="str">
            <v/>
          </cell>
        </row>
        <row r="2854">
          <cell r="A2854">
            <v>34000000</v>
          </cell>
          <cell r="C2854">
            <v>34000000</v>
          </cell>
          <cell r="D2854">
            <v>34000000</v>
          </cell>
          <cell r="E2854">
            <v>34000000</v>
          </cell>
          <cell r="F2854">
            <v>34000000</v>
          </cell>
          <cell r="G2854">
            <v>34000000</v>
          </cell>
          <cell r="H2854">
            <v>34000000</v>
          </cell>
          <cell r="I2854" t="str">
            <v/>
          </cell>
          <cell r="J2854" t="str">
            <v/>
          </cell>
          <cell r="K2854" t="str">
            <v/>
          </cell>
          <cell r="L2854" t="str">
            <v/>
          </cell>
        </row>
        <row r="2855">
          <cell r="A2855">
            <v>34000000</v>
          </cell>
          <cell r="C2855">
            <v>34000000</v>
          </cell>
          <cell r="D2855">
            <v>34000000</v>
          </cell>
          <cell r="E2855">
            <v>34000000</v>
          </cell>
          <cell r="F2855">
            <v>34000000</v>
          </cell>
          <cell r="G2855">
            <v>34000000</v>
          </cell>
          <cell r="H2855">
            <v>34000000</v>
          </cell>
          <cell r="I2855" t="str">
            <v/>
          </cell>
          <cell r="J2855" t="str">
            <v/>
          </cell>
          <cell r="K2855" t="str">
            <v/>
          </cell>
          <cell r="L2855" t="str">
            <v/>
          </cell>
        </row>
        <row r="2856">
          <cell r="A2856">
            <v>34000000</v>
          </cell>
          <cell r="C2856">
            <v>34000000</v>
          </cell>
          <cell r="D2856">
            <v>34000000</v>
          </cell>
          <cell r="E2856">
            <v>34000000</v>
          </cell>
          <cell r="F2856">
            <v>34000000</v>
          </cell>
          <cell r="G2856">
            <v>34000000</v>
          </cell>
          <cell r="H2856">
            <v>34000000</v>
          </cell>
          <cell r="I2856" t="str">
            <v/>
          </cell>
          <cell r="J2856" t="str">
            <v/>
          </cell>
          <cell r="K2856" t="str">
            <v/>
          </cell>
          <cell r="L2856" t="str">
            <v/>
          </cell>
        </row>
        <row r="2857">
          <cell r="A2857">
            <v>34000000</v>
          </cell>
          <cell r="C2857">
            <v>34000000</v>
          </cell>
          <cell r="D2857">
            <v>34000000</v>
          </cell>
          <cell r="E2857">
            <v>34000000</v>
          </cell>
          <cell r="F2857">
            <v>34000000</v>
          </cell>
          <cell r="G2857">
            <v>34000000</v>
          </cell>
          <cell r="H2857">
            <v>34000000</v>
          </cell>
          <cell r="I2857" t="str">
            <v/>
          </cell>
          <cell r="J2857" t="str">
            <v/>
          </cell>
          <cell r="K2857" t="str">
            <v/>
          </cell>
          <cell r="L2857" t="str">
            <v/>
          </cell>
        </row>
        <row r="2858">
          <cell r="A2858">
            <v>34000000</v>
          </cell>
          <cell r="C2858">
            <v>34000000</v>
          </cell>
          <cell r="D2858">
            <v>34000000</v>
          </cell>
          <cell r="E2858">
            <v>34000000</v>
          </cell>
          <cell r="F2858">
            <v>34000000</v>
          </cell>
          <cell r="G2858">
            <v>34000000</v>
          </cell>
          <cell r="H2858">
            <v>34000000</v>
          </cell>
          <cell r="I2858" t="str">
            <v/>
          </cell>
          <cell r="J2858" t="str">
            <v/>
          </cell>
          <cell r="K2858" t="str">
            <v/>
          </cell>
          <cell r="L2858" t="str">
            <v/>
          </cell>
        </row>
        <row r="2859">
          <cell r="A2859">
            <v>34000000</v>
          </cell>
          <cell r="C2859">
            <v>34000000</v>
          </cell>
          <cell r="D2859">
            <v>34000000</v>
          </cell>
          <cell r="E2859">
            <v>34000000</v>
          </cell>
          <cell r="F2859">
            <v>34000000</v>
          </cell>
          <cell r="G2859">
            <v>34000000</v>
          </cell>
          <cell r="H2859">
            <v>34000000</v>
          </cell>
          <cell r="I2859" t="str">
            <v/>
          </cell>
          <cell r="J2859" t="str">
            <v/>
          </cell>
          <cell r="K2859" t="str">
            <v/>
          </cell>
          <cell r="L2859" t="str">
            <v/>
          </cell>
        </row>
        <row r="2860">
          <cell r="A2860">
            <v>34000000</v>
          </cell>
          <cell r="C2860">
            <v>34000000</v>
          </cell>
          <cell r="D2860">
            <v>34000000</v>
          </cell>
          <cell r="E2860">
            <v>34000000</v>
          </cell>
          <cell r="F2860">
            <v>34000000</v>
          </cell>
          <cell r="G2860">
            <v>34000000</v>
          </cell>
          <cell r="H2860">
            <v>34000000</v>
          </cell>
          <cell r="I2860" t="str">
            <v/>
          </cell>
          <cell r="J2860" t="str">
            <v/>
          </cell>
          <cell r="K2860" t="str">
            <v/>
          </cell>
          <cell r="L2860" t="str">
            <v/>
          </cell>
        </row>
        <row r="2861">
          <cell r="A2861">
            <v>34000000</v>
          </cell>
          <cell r="C2861">
            <v>34000000</v>
          </cell>
          <cell r="D2861">
            <v>34000000</v>
          </cell>
          <cell r="E2861">
            <v>34000000</v>
          </cell>
          <cell r="F2861">
            <v>34000000</v>
          </cell>
          <cell r="G2861">
            <v>34000000</v>
          </cell>
          <cell r="H2861">
            <v>34000000</v>
          </cell>
          <cell r="I2861" t="str">
            <v/>
          </cell>
          <cell r="J2861" t="str">
            <v/>
          </cell>
          <cell r="K2861" t="str">
            <v/>
          </cell>
          <cell r="L2861" t="str">
            <v/>
          </cell>
        </row>
        <row r="2862">
          <cell r="A2862">
            <v>34000000</v>
          </cell>
          <cell r="C2862">
            <v>34000000</v>
          </cell>
          <cell r="D2862">
            <v>34000000</v>
          </cell>
          <cell r="E2862">
            <v>34000000</v>
          </cell>
          <cell r="F2862">
            <v>34000000</v>
          </cell>
          <cell r="G2862">
            <v>34000000</v>
          </cell>
          <cell r="H2862">
            <v>34000000</v>
          </cell>
          <cell r="I2862" t="str">
            <v/>
          </cell>
          <cell r="J2862" t="str">
            <v/>
          </cell>
          <cell r="K2862" t="str">
            <v/>
          </cell>
          <cell r="L2862" t="str">
            <v/>
          </cell>
        </row>
        <row r="2863">
          <cell r="A2863">
            <v>34000000</v>
          </cell>
          <cell r="C2863">
            <v>34000000</v>
          </cell>
          <cell r="D2863">
            <v>34000000</v>
          </cell>
          <cell r="E2863">
            <v>34000000</v>
          </cell>
          <cell r="F2863">
            <v>34000000</v>
          </cell>
          <cell r="G2863">
            <v>34000000</v>
          </cell>
          <cell r="H2863">
            <v>34000000</v>
          </cell>
          <cell r="I2863" t="str">
            <v/>
          </cell>
          <cell r="J2863" t="str">
            <v/>
          </cell>
          <cell r="K2863" t="str">
            <v/>
          </cell>
          <cell r="L2863" t="str">
            <v/>
          </cell>
        </row>
        <row r="2864">
          <cell r="A2864">
            <v>34000000</v>
          </cell>
          <cell r="C2864">
            <v>34000000</v>
          </cell>
          <cell r="D2864">
            <v>34000000</v>
          </cell>
          <cell r="E2864">
            <v>34000000</v>
          </cell>
          <cell r="F2864">
            <v>34000000</v>
          </cell>
          <cell r="G2864">
            <v>34000000</v>
          </cell>
          <cell r="H2864">
            <v>34000000</v>
          </cell>
          <cell r="I2864" t="str">
            <v/>
          </cell>
          <cell r="J2864" t="str">
            <v/>
          </cell>
          <cell r="K2864" t="str">
            <v/>
          </cell>
          <cell r="L2864" t="str">
            <v/>
          </cell>
        </row>
        <row r="2865">
          <cell r="A2865">
            <v>34000000</v>
          </cell>
          <cell r="C2865">
            <v>34000000</v>
          </cell>
          <cell r="D2865">
            <v>34000000</v>
          </cell>
          <cell r="E2865">
            <v>34000000</v>
          </cell>
          <cell r="F2865">
            <v>34000000</v>
          </cell>
          <cell r="G2865">
            <v>34000000</v>
          </cell>
          <cell r="H2865">
            <v>34000000</v>
          </cell>
          <cell r="I2865" t="str">
            <v/>
          </cell>
          <cell r="J2865" t="str">
            <v/>
          </cell>
          <cell r="K2865" t="str">
            <v/>
          </cell>
          <cell r="L2865" t="str">
            <v/>
          </cell>
        </row>
        <row r="2866">
          <cell r="A2866">
            <v>34000000</v>
          </cell>
          <cell r="C2866">
            <v>34000000</v>
          </cell>
          <cell r="D2866">
            <v>34000000</v>
          </cell>
          <cell r="E2866">
            <v>34000000</v>
          </cell>
          <cell r="F2866">
            <v>34000000</v>
          </cell>
          <cell r="G2866">
            <v>34000000</v>
          </cell>
          <cell r="H2866">
            <v>34000000</v>
          </cell>
          <cell r="I2866" t="str">
            <v/>
          </cell>
          <cell r="J2866" t="str">
            <v/>
          </cell>
          <cell r="K2866" t="str">
            <v/>
          </cell>
          <cell r="L2866" t="str">
            <v/>
          </cell>
        </row>
        <row r="2867">
          <cell r="A2867">
            <v>34000000</v>
          </cell>
          <cell r="C2867">
            <v>34000000</v>
          </cell>
          <cell r="D2867">
            <v>34000000</v>
          </cell>
          <cell r="E2867">
            <v>34000000</v>
          </cell>
          <cell r="F2867">
            <v>34000000</v>
          </cell>
          <cell r="G2867">
            <v>34000000</v>
          </cell>
          <cell r="H2867">
            <v>34000000</v>
          </cell>
          <cell r="I2867" t="str">
            <v/>
          </cell>
          <cell r="J2867" t="str">
            <v/>
          </cell>
          <cell r="K2867" t="str">
            <v/>
          </cell>
          <cell r="L2867" t="str">
            <v/>
          </cell>
        </row>
        <row r="2868">
          <cell r="A2868">
            <v>34000000</v>
          </cell>
          <cell r="C2868">
            <v>34000000</v>
          </cell>
          <cell r="D2868">
            <v>34000000</v>
          </cell>
          <cell r="E2868">
            <v>34000000</v>
          </cell>
          <cell r="F2868">
            <v>34000000</v>
          </cell>
          <cell r="G2868">
            <v>34000000</v>
          </cell>
          <cell r="H2868">
            <v>34000000</v>
          </cell>
          <cell r="I2868" t="str">
            <v/>
          </cell>
          <cell r="J2868" t="str">
            <v/>
          </cell>
          <cell r="K2868" t="str">
            <v/>
          </cell>
          <cell r="L2868" t="str">
            <v/>
          </cell>
        </row>
        <row r="2869">
          <cell r="A2869">
            <v>34000000</v>
          </cell>
          <cell r="C2869">
            <v>34000000</v>
          </cell>
          <cell r="D2869">
            <v>34000000</v>
          </cell>
          <cell r="E2869">
            <v>34000000</v>
          </cell>
          <cell r="F2869">
            <v>34000000</v>
          </cell>
          <cell r="G2869">
            <v>34000000</v>
          </cell>
          <cell r="H2869">
            <v>34000000</v>
          </cell>
          <cell r="I2869" t="str">
            <v/>
          </cell>
          <cell r="J2869" t="str">
            <v/>
          </cell>
          <cell r="K2869" t="str">
            <v/>
          </cell>
          <cell r="L2869" t="str">
            <v/>
          </cell>
        </row>
        <row r="2870">
          <cell r="A2870">
            <v>34000000</v>
          </cell>
          <cell r="C2870">
            <v>34000000</v>
          </cell>
          <cell r="D2870">
            <v>34000000</v>
          </cell>
          <cell r="E2870">
            <v>34000000</v>
          </cell>
          <cell r="F2870">
            <v>34000000</v>
          </cell>
          <cell r="G2870">
            <v>34000000</v>
          </cell>
          <cell r="H2870">
            <v>34000000</v>
          </cell>
          <cell r="I2870" t="str">
            <v/>
          </cell>
          <cell r="J2870" t="str">
            <v/>
          </cell>
          <cell r="K2870" t="str">
            <v/>
          </cell>
          <cell r="L2870" t="str">
            <v/>
          </cell>
        </row>
        <row r="2871">
          <cell r="A2871">
            <v>34000000</v>
          </cell>
          <cell r="C2871">
            <v>34000000</v>
          </cell>
          <cell r="D2871">
            <v>34000000</v>
          </cell>
          <cell r="E2871">
            <v>34000000</v>
          </cell>
          <cell r="F2871">
            <v>34000000</v>
          </cell>
          <cell r="G2871">
            <v>34000000</v>
          </cell>
          <cell r="H2871">
            <v>34000000</v>
          </cell>
          <cell r="I2871" t="str">
            <v/>
          </cell>
          <cell r="J2871" t="str">
            <v/>
          </cell>
          <cell r="K2871" t="str">
            <v/>
          </cell>
          <cell r="L2871" t="str">
            <v/>
          </cell>
        </row>
        <row r="2872">
          <cell r="A2872">
            <v>34000000</v>
          </cell>
          <cell r="C2872">
            <v>34000000</v>
          </cell>
          <cell r="D2872">
            <v>34000000</v>
          </cell>
          <cell r="E2872">
            <v>34000000</v>
          </cell>
          <cell r="F2872">
            <v>34000000</v>
          </cell>
          <cell r="G2872">
            <v>34000000</v>
          </cell>
          <cell r="H2872">
            <v>34000000</v>
          </cell>
          <cell r="I2872" t="str">
            <v/>
          </cell>
          <cell r="J2872" t="str">
            <v/>
          </cell>
          <cell r="K2872" t="str">
            <v/>
          </cell>
          <cell r="L2872" t="str">
            <v/>
          </cell>
        </row>
        <row r="2873">
          <cell r="A2873">
            <v>34000000</v>
          </cell>
          <cell r="C2873">
            <v>34000000</v>
          </cell>
          <cell r="D2873">
            <v>34000000</v>
          </cell>
          <cell r="E2873">
            <v>34000000</v>
          </cell>
          <cell r="F2873">
            <v>34000000</v>
          </cell>
          <cell r="G2873">
            <v>34000000</v>
          </cell>
          <cell r="H2873">
            <v>34000000</v>
          </cell>
          <cell r="I2873" t="str">
            <v/>
          </cell>
          <cell r="J2873" t="str">
            <v/>
          </cell>
          <cell r="K2873" t="str">
            <v/>
          </cell>
          <cell r="L2873" t="str">
            <v/>
          </cell>
        </row>
        <row r="2874">
          <cell r="A2874">
            <v>34000000</v>
          </cell>
          <cell r="C2874">
            <v>34000000</v>
          </cell>
          <cell r="D2874">
            <v>34000000</v>
          </cell>
          <cell r="E2874">
            <v>34000000</v>
          </cell>
          <cell r="F2874">
            <v>34000000</v>
          </cell>
          <cell r="G2874">
            <v>34000000</v>
          </cell>
          <cell r="H2874">
            <v>34000000</v>
          </cell>
          <cell r="I2874" t="str">
            <v/>
          </cell>
          <cell r="J2874" t="str">
            <v/>
          </cell>
          <cell r="K2874" t="str">
            <v/>
          </cell>
          <cell r="L2874" t="str">
            <v/>
          </cell>
        </row>
        <row r="2875">
          <cell r="A2875">
            <v>34000000</v>
          </cell>
          <cell r="C2875">
            <v>34000000</v>
          </cell>
          <cell r="D2875">
            <v>34000000</v>
          </cell>
          <cell r="E2875">
            <v>34000000</v>
          </cell>
          <cell r="F2875">
            <v>34000000</v>
          </cell>
          <cell r="G2875">
            <v>34000000</v>
          </cell>
          <cell r="H2875">
            <v>34000000</v>
          </cell>
          <cell r="I2875" t="str">
            <v/>
          </cell>
          <cell r="J2875" t="str">
            <v/>
          </cell>
          <cell r="K2875" t="str">
            <v/>
          </cell>
          <cell r="L2875" t="str">
            <v/>
          </cell>
        </row>
        <row r="2876">
          <cell r="A2876">
            <v>34000000</v>
          </cell>
          <cell r="C2876">
            <v>34000000</v>
          </cell>
          <cell r="D2876">
            <v>34000000</v>
          </cell>
          <cell r="E2876">
            <v>34000000</v>
          </cell>
          <cell r="F2876">
            <v>34000000</v>
          </cell>
          <cell r="G2876">
            <v>34000000</v>
          </cell>
          <cell r="H2876">
            <v>34000000</v>
          </cell>
          <cell r="I2876" t="str">
            <v/>
          </cell>
          <cell r="J2876" t="str">
            <v/>
          </cell>
          <cell r="K2876" t="str">
            <v/>
          </cell>
          <cell r="L2876" t="str">
            <v/>
          </cell>
        </row>
        <row r="2877">
          <cell r="A2877">
            <v>34000000</v>
          </cell>
          <cell r="C2877">
            <v>34000000</v>
          </cell>
          <cell r="D2877">
            <v>34000000</v>
          </cell>
          <cell r="E2877">
            <v>34000000</v>
          </cell>
          <cell r="F2877">
            <v>34000000</v>
          </cell>
          <cell r="G2877">
            <v>34000000</v>
          </cell>
          <cell r="H2877">
            <v>34000000</v>
          </cell>
          <cell r="I2877" t="str">
            <v/>
          </cell>
          <cell r="J2877" t="str">
            <v/>
          </cell>
          <cell r="K2877" t="str">
            <v/>
          </cell>
          <cell r="L2877" t="str">
            <v/>
          </cell>
        </row>
        <row r="2878">
          <cell r="A2878">
            <v>34000000</v>
          </cell>
          <cell r="C2878">
            <v>34000000</v>
          </cell>
          <cell r="D2878">
            <v>34000000</v>
          </cell>
          <cell r="E2878">
            <v>34000000</v>
          </cell>
          <cell r="F2878">
            <v>34000000</v>
          </cell>
          <cell r="G2878">
            <v>34000000</v>
          </cell>
          <cell r="H2878">
            <v>34000000</v>
          </cell>
          <cell r="I2878" t="str">
            <v/>
          </cell>
          <cell r="J2878" t="str">
            <v/>
          </cell>
          <cell r="K2878" t="str">
            <v/>
          </cell>
          <cell r="L2878" t="str">
            <v/>
          </cell>
        </row>
        <row r="2879">
          <cell r="A2879">
            <v>34000000</v>
          </cell>
          <cell r="C2879">
            <v>34000000</v>
          </cell>
          <cell r="D2879">
            <v>34000000</v>
          </cell>
          <cell r="E2879">
            <v>34000000</v>
          </cell>
          <cell r="F2879">
            <v>34000000</v>
          </cell>
          <cell r="G2879">
            <v>34000000</v>
          </cell>
          <cell r="H2879">
            <v>34000000</v>
          </cell>
          <cell r="I2879" t="str">
            <v/>
          </cell>
          <cell r="J2879" t="str">
            <v/>
          </cell>
          <cell r="K2879" t="str">
            <v/>
          </cell>
          <cell r="L2879" t="str">
            <v/>
          </cell>
        </row>
        <row r="2880">
          <cell r="A2880">
            <v>34000000</v>
          </cell>
          <cell r="C2880">
            <v>34000000</v>
          </cell>
          <cell r="D2880">
            <v>34000000</v>
          </cell>
          <cell r="E2880">
            <v>34000000</v>
          </cell>
          <cell r="F2880">
            <v>34000000</v>
          </cell>
          <cell r="G2880">
            <v>34000000</v>
          </cell>
          <cell r="H2880">
            <v>34000000</v>
          </cell>
          <cell r="I2880" t="str">
            <v/>
          </cell>
          <cell r="J2880" t="str">
            <v/>
          </cell>
          <cell r="K2880" t="str">
            <v/>
          </cell>
          <cell r="L2880" t="str">
            <v/>
          </cell>
        </row>
        <row r="2881">
          <cell r="A2881">
            <v>34000000</v>
          </cell>
          <cell r="C2881">
            <v>34000000</v>
          </cell>
          <cell r="D2881">
            <v>34000000</v>
          </cell>
          <cell r="E2881">
            <v>34000000</v>
          </cell>
          <cell r="F2881">
            <v>34000000</v>
          </cell>
          <cell r="G2881">
            <v>34000000</v>
          </cell>
          <cell r="H2881">
            <v>34000000</v>
          </cell>
          <cell r="I2881" t="str">
            <v/>
          </cell>
          <cell r="J2881" t="str">
            <v/>
          </cell>
          <cell r="K2881" t="str">
            <v/>
          </cell>
          <cell r="L2881" t="str">
            <v/>
          </cell>
        </row>
        <row r="2882">
          <cell r="A2882">
            <v>34000000</v>
          </cell>
          <cell r="C2882">
            <v>34000000</v>
          </cell>
          <cell r="D2882">
            <v>34000000</v>
          </cell>
          <cell r="E2882">
            <v>34000000</v>
          </cell>
          <cell r="F2882">
            <v>34000000</v>
          </cell>
          <cell r="G2882">
            <v>34000000</v>
          </cell>
          <cell r="H2882">
            <v>34000000</v>
          </cell>
          <cell r="I2882" t="str">
            <v/>
          </cell>
          <cell r="J2882" t="str">
            <v/>
          </cell>
          <cell r="K2882" t="str">
            <v/>
          </cell>
          <cell r="L2882" t="str">
            <v/>
          </cell>
        </row>
        <row r="2883">
          <cell r="A2883">
            <v>34000000</v>
          </cell>
          <cell r="C2883">
            <v>34000000</v>
          </cell>
          <cell r="D2883">
            <v>34000000</v>
          </cell>
          <cell r="E2883">
            <v>34000000</v>
          </cell>
          <cell r="F2883">
            <v>34000000</v>
          </cell>
          <cell r="G2883">
            <v>34000000</v>
          </cell>
          <cell r="H2883">
            <v>34000000</v>
          </cell>
          <cell r="I2883" t="str">
            <v/>
          </cell>
          <cell r="J2883" t="str">
            <v/>
          </cell>
          <cell r="K2883" t="str">
            <v/>
          </cell>
          <cell r="L2883" t="str">
            <v/>
          </cell>
        </row>
        <row r="2884">
          <cell r="A2884">
            <v>34000000</v>
          </cell>
          <cell r="C2884">
            <v>34000000</v>
          </cell>
          <cell r="D2884">
            <v>34000000</v>
          </cell>
          <cell r="E2884">
            <v>34000000</v>
          </cell>
          <cell r="F2884">
            <v>34000000</v>
          </cell>
          <cell r="G2884">
            <v>34000000</v>
          </cell>
          <cell r="H2884">
            <v>34000000</v>
          </cell>
          <cell r="I2884" t="str">
            <v/>
          </cell>
          <cell r="J2884" t="str">
            <v/>
          </cell>
          <cell r="K2884" t="str">
            <v/>
          </cell>
          <cell r="L2884" t="str">
            <v/>
          </cell>
        </row>
        <row r="2885">
          <cell r="A2885">
            <v>34000000</v>
          </cell>
          <cell r="C2885">
            <v>34000000</v>
          </cell>
          <cell r="D2885">
            <v>34000000</v>
          </cell>
          <cell r="E2885">
            <v>34000000</v>
          </cell>
          <cell r="F2885">
            <v>34000000</v>
          </cell>
          <cell r="G2885">
            <v>34000000</v>
          </cell>
          <cell r="H2885">
            <v>34000000</v>
          </cell>
          <cell r="I2885" t="str">
            <v/>
          </cell>
          <cell r="J2885" t="str">
            <v/>
          </cell>
          <cell r="K2885" t="str">
            <v/>
          </cell>
          <cell r="L2885" t="str">
            <v/>
          </cell>
        </row>
        <row r="2886">
          <cell r="A2886">
            <v>34000000</v>
          </cell>
          <cell r="C2886">
            <v>34000000</v>
          </cell>
          <cell r="D2886">
            <v>34000000</v>
          </cell>
          <cell r="E2886">
            <v>34000000</v>
          </cell>
          <cell r="F2886">
            <v>34000000</v>
          </cell>
          <cell r="G2886">
            <v>34000000</v>
          </cell>
          <cell r="H2886">
            <v>34000000</v>
          </cell>
          <cell r="I2886" t="str">
            <v/>
          </cell>
          <cell r="J2886" t="str">
            <v/>
          </cell>
          <cell r="K2886" t="str">
            <v/>
          </cell>
          <cell r="L2886" t="str">
            <v/>
          </cell>
        </row>
        <row r="2887">
          <cell r="A2887">
            <v>34000000</v>
          </cell>
          <cell r="C2887">
            <v>34000000</v>
          </cell>
          <cell r="D2887">
            <v>34000000</v>
          </cell>
          <cell r="E2887">
            <v>34000000</v>
          </cell>
          <cell r="F2887">
            <v>34000000</v>
          </cell>
          <cell r="G2887">
            <v>34000000</v>
          </cell>
          <cell r="H2887">
            <v>34000000</v>
          </cell>
          <cell r="I2887" t="str">
            <v/>
          </cell>
          <cell r="J2887" t="str">
            <v/>
          </cell>
          <cell r="K2887" t="str">
            <v/>
          </cell>
          <cell r="L2887" t="str">
            <v/>
          </cell>
        </row>
        <row r="2888">
          <cell r="A2888">
            <v>34000000</v>
          </cell>
          <cell r="C2888">
            <v>34000000</v>
          </cell>
          <cell r="D2888">
            <v>34000000</v>
          </cell>
          <cell r="E2888">
            <v>34000000</v>
          </cell>
          <cell r="F2888">
            <v>34000000</v>
          </cell>
          <cell r="G2888">
            <v>34000000</v>
          </cell>
          <cell r="H2888">
            <v>34000000</v>
          </cell>
          <cell r="I2888" t="str">
            <v/>
          </cell>
          <cell r="J2888" t="str">
            <v/>
          </cell>
          <cell r="K2888" t="str">
            <v/>
          </cell>
          <cell r="L2888" t="str">
            <v/>
          </cell>
        </row>
        <row r="2889">
          <cell r="A2889">
            <v>34000000</v>
          </cell>
          <cell r="C2889">
            <v>34000000</v>
          </cell>
          <cell r="D2889">
            <v>34000000</v>
          </cell>
          <cell r="E2889">
            <v>34000000</v>
          </cell>
          <cell r="F2889">
            <v>34000000</v>
          </cell>
          <cell r="G2889">
            <v>34000000</v>
          </cell>
          <cell r="H2889">
            <v>34000000</v>
          </cell>
          <cell r="I2889" t="str">
            <v/>
          </cell>
          <cell r="J2889" t="str">
            <v/>
          </cell>
          <cell r="K2889" t="str">
            <v/>
          </cell>
          <cell r="L2889" t="str">
            <v/>
          </cell>
        </row>
        <row r="2890">
          <cell r="A2890">
            <v>34000000</v>
          </cell>
          <cell r="C2890">
            <v>34000000</v>
          </cell>
          <cell r="D2890">
            <v>34000000</v>
          </cell>
          <cell r="E2890">
            <v>34000000</v>
          </cell>
          <cell r="F2890">
            <v>34000000</v>
          </cell>
          <cell r="G2890">
            <v>34000000</v>
          </cell>
          <cell r="H2890">
            <v>34000000</v>
          </cell>
          <cell r="I2890" t="str">
            <v/>
          </cell>
          <cell r="J2890" t="str">
            <v/>
          </cell>
          <cell r="K2890" t="str">
            <v/>
          </cell>
          <cell r="L2890" t="str">
            <v/>
          </cell>
        </row>
        <row r="2891">
          <cell r="A2891">
            <v>34000000</v>
          </cell>
          <cell r="C2891">
            <v>34000000</v>
          </cell>
          <cell r="D2891">
            <v>34000000</v>
          </cell>
          <cell r="E2891">
            <v>34000000</v>
          </cell>
          <cell r="F2891">
            <v>34000000</v>
          </cell>
          <cell r="G2891">
            <v>34000000</v>
          </cell>
          <cell r="H2891">
            <v>34000000</v>
          </cell>
          <cell r="I2891" t="str">
            <v/>
          </cell>
          <cell r="J2891" t="str">
            <v/>
          </cell>
          <cell r="K2891" t="str">
            <v/>
          </cell>
          <cell r="L2891" t="str">
            <v/>
          </cell>
        </row>
        <row r="2892">
          <cell r="A2892">
            <v>34000000</v>
          </cell>
          <cell r="C2892">
            <v>34000000</v>
          </cell>
          <cell r="D2892">
            <v>34000000</v>
          </cell>
          <cell r="E2892">
            <v>34000000</v>
          </cell>
          <cell r="F2892">
            <v>34000000</v>
          </cell>
          <cell r="G2892">
            <v>34000000</v>
          </cell>
          <cell r="H2892">
            <v>34000000</v>
          </cell>
          <cell r="I2892" t="str">
            <v/>
          </cell>
          <cell r="J2892" t="str">
            <v/>
          </cell>
          <cell r="K2892" t="str">
            <v/>
          </cell>
          <cell r="L2892" t="str">
            <v/>
          </cell>
        </row>
        <row r="2893">
          <cell r="A2893">
            <v>34000000</v>
          </cell>
          <cell r="C2893">
            <v>34000000</v>
          </cell>
          <cell r="D2893">
            <v>34000000</v>
          </cell>
          <cell r="E2893">
            <v>34000000</v>
          </cell>
          <cell r="F2893">
            <v>34000000</v>
          </cell>
          <cell r="G2893">
            <v>34000000</v>
          </cell>
          <cell r="H2893">
            <v>34000000</v>
          </cell>
          <cell r="I2893" t="str">
            <v/>
          </cell>
          <cell r="J2893" t="str">
            <v/>
          </cell>
          <cell r="K2893" t="str">
            <v/>
          </cell>
          <cell r="L2893" t="str">
            <v/>
          </cell>
        </row>
        <row r="2894">
          <cell r="A2894">
            <v>34000000</v>
          </cell>
          <cell r="C2894">
            <v>34000000</v>
          </cell>
          <cell r="D2894">
            <v>34000000</v>
          </cell>
          <cell r="E2894">
            <v>34000000</v>
          </cell>
          <cell r="F2894">
            <v>34000000</v>
          </cell>
          <cell r="G2894">
            <v>34000000</v>
          </cell>
          <cell r="H2894">
            <v>34000000</v>
          </cell>
          <cell r="I2894" t="str">
            <v/>
          </cell>
          <cell r="J2894" t="str">
            <v/>
          </cell>
          <cell r="K2894" t="str">
            <v/>
          </cell>
          <cell r="L2894" t="str">
            <v/>
          </cell>
        </row>
        <row r="2895">
          <cell r="A2895">
            <v>34000000</v>
          </cell>
          <cell r="C2895">
            <v>34000000</v>
          </cell>
          <cell r="D2895">
            <v>34000000</v>
          </cell>
          <cell r="E2895">
            <v>34000000</v>
          </cell>
          <cell r="F2895">
            <v>34000000</v>
          </cell>
          <cell r="G2895">
            <v>34000000</v>
          </cell>
          <cell r="H2895">
            <v>34000000</v>
          </cell>
          <cell r="I2895" t="str">
            <v/>
          </cell>
          <cell r="J2895" t="str">
            <v/>
          </cell>
          <cell r="K2895" t="str">
            <v/>
          </cell>
          <cell r="L2895" t="str">
            <v/>
          </cell>
        </row>
        <row r="2896">
          <cell r="A2896">
            <v>34000000</v>
          </cell>
          <cell r="C2896">
            <v>34000000</v>
          </cell>
          <cell r="D2896">
            <v>34000000</v>
          </cell>
          <cell r="E2896">
            <v>34000000</v>
          </cell>
          <cell r="F2896">
            <v>34000000</v>
          </cell>
          <cell r="G2896">
            <v>34000000</v>
          </cell>
          <cell r="H2896">
            <v>34000000</v>
          </cell>
          <cell r="I2896" t="str">
            <v/>
          </cell>
          <cell r="J2896" t="str">
            <v/>
          </cell>
          <cell r="K2896" t="str">
            <v/>
          </cell>
          <cell r="L2896" t="str">
            <v/>
          </cell>
        </row>
        <row r="2897">
          <cell r="A2897">
            <v>34000000</v>
          </cell>
          <cell r="C2897">
            <v>34000000</v>
          </cell>
          <cell r="D2897">
            <v>34000000</v>
          </cell>
          <cell r="E2897">
            <v>34000000</v>
          </cell>
          <cell r="F2897">
            <v>34000000</v>
          </cell>
          <cell r="G2897">
            <v>34000000</v>
          </cell>
          <cell r="H2897">
            <v>34000000</v>
          </cell>
          <cell r="I2897" t="str">
            <v/>
          </cell>
          <cell r="J2897" t="str">
            <v/>
          </cell>
          <cell r="K2897" t="str">
            <v/>
          </cell>
          <cell r="L2897" t="str">
            <v/>
          </cell>
        </row>
        <row r="2898">
          <cell r="A2898">
            <v>34000000</v>
          </cell>
          <cell r="C2898">
            <v>34000000</v>
          </cell>
          <cell r="D2898">
            <v>34000000</v>
          </cell>
          <cell r="E2898">
            <v>34000000</v>
          </cell>
          <cell r="F2898">
            <v>34000000</v>
          </cell>
          <cell r="G2898">
            <v>34000000</v>
          </cell>
          <cell r="H2898">
            <v>34000000</v>
          </cell>
          <cell r="I2898" t="str">
            <v/>
          </cell>
          <cell r="J2898" t="str">
            <v/>
          </cell>
          <cell r="K2898" t="str">
            <v/>
          </cell>
          <cell r="L2898" t="str">
            <v/>
          </cell>
        </row>
        <row r="2899">
          <cell r="A2899">
            <v>34000000</v>
          </cell>
          <cell r="C2899">
            <v>34000000</v>
          </cell>
          <cell r="D2899">
            <v>34000000</v>
          </cell>
          <cell r="E2899">
            <v>34000000</v>
          </cell>
          <cell r="F2899">
            <v>34000000</v>
          </cell>
          <cell r="G2899">
            <v>34000000</v>
          </cell>
          <cell r="H2899">
            <v>34000000</v>
          </cell>
          <cell r="I2899" t="str">
            <v/>
          </cell>
          <cell r="J2899" t="str">
            <v/>
          </cell>
          <cell r="K2899" t="str">
            <v/>
          </cell>
          <cell r="L2899" t="str">
            <v/>
          </cell>
        </row>
        <row r="2900">
          <cell r="A2900">
            <v>34000000</v>
          </cell>
          <cell r="C2900">
            <v>34000000</v>
          </cell>
          <cell r="D2900">
            <v>34000000</v>
          </cell>
          <cell r="E2900">
            <v>34000000</v>
          </cell>
          <cell r="F2900">
            <v>34000000</v>
          </cell>
          <cell r="G2900">
            <v>34000000</v>
          </cell>
          <cell r="H2900">
            <v>34000000</v>
          </cell>
          <cell r="I2900" t="str">
            <v/>
          </cell>
          <cell r="J2900" t="str">
            <v/>
          </cell>
          <cell r="K2900" t="str">
            <v/>
          </cell>
          <cell r="L2900" t="str">
            <v/>
          </cell>
        </row>
        <row r="2901">
          <cell r="A2901">
            <v>34000000</v>
          </cell>
          <cell r="C2901">
            <v>34000000</v>
          </cell>
          <cell r="D2901">
            <v>34000000</v>
          </cell>
          <cell r="E2901">
            <v>34000000</v>
          </cell>
          <cell r="F2901">
            <v>34000000</v>
          </cell>
          <cell r="G2901">
            <v>34000000</v>
          </cell>
          <cell r="H2901">
            <v>34000000</v>
          </cell>
          <cell r="I2901" t="str">
            <v/>
          </cell>
          <cell r="J2901" t="str">
            <v/>
          </cell>
          <cell r="K2901" t="str">
            <v/>
          </cell>
          <cell r="L2901" t="str">
            <v/>
          </cell>
        </row>
        <row r="2902">
          <cell r="A2902">
            <v>34000000</v>
          </cell>
          <cell r="C2902">
            <v>34000000</v>
          </cell>
          <cell r="D2902">
            <v>34000000</v>
          </cell>
          <cell r="E2902">
            <v>34000000</v>
          </cell>
          <cell r="F2902">
            <v>34000000</v>
          </cell>
          <cell r="G2902">
            <v>34000000</v>
          </cell>
          <cell r="H2902">
            <v>34000000</v>
          </cell>
          <cell r="I2902" t="str">
            <v/>
          </cell>
          <cell r="J2902" t="str">
            <v/>
          </cell>
          <cell r="K2902" t="str">
            <v/>
          </cell>
          <cell r="L2902" t="str">
            <v/>
          </cell>
        </row>
        <row r="2903">
          <cell r="A2903">
            <v>34000000</v>
          </cell>
          <cell r="C2903">
            <v>34000000</v>
          </cell>
          <cell r="D2903">
            <v>34000000</v>
          </cell>
          <cell r="E2903">
            <v>34000000</v>
          </cell>
          <cell r="F2903">
            <v>34000000</v>
          </cell>
          <cell r="G2903">
            <v>34000000</v>
          </cell>
          <cell r="H2903">
            <v>34000000</v>
          </cell>
          <cell r="I2903" t="str">
            <v/>
          </cell>
          <cell r="J2903" t="str">
            <v/>
          </cell>
          <cell r="K2903" t="str">
            <v/>
          </cell>
          <cell r="L2903" t="str">
            <v/>
          </cell>
        </row>
        <row r="2904">
          <cell r="A2904">
            <v>34000000</v>
          </cell>
          <cell r="C2904">
            <v>34000000</v>
          </cell>
          <cell r="D2904">
            <v>34000000</v>
          </cell>
          <cell r="E2904">
            <v>34000000</v>
          </cell>
          <cell r="F2904">
            <v>34000000</v>
          </cell>
          <cell r="G2904">
            <v>34000000</v>
          </cell>
          <cell r="H2904">
            <v>34000000</v>
          </cell>
          <cell r="I2904" t="str">
            <v/>
          </cell>
          <cell r="J2904" t="str">
            <v/>
          </cell>
          <cell r="K2904" t="str">
            <v/>
          </cell>
          <cell r="L2904" t="str">
            <v/>
          </cell>
        </row>
        <row r="2905">
          <cell r="A2905">
            <v>34000000</v>
          </cell>
          <cell r="C2905">
            <v>34000000</v>
          </cell>
          <cell r="D2905">
            <v>34000000</v>
          </cell>
          <cell r="E2905">
            <v>34000000</v>
          </cell>
          <cell r="F2905">
            <v>34000000</v>
          </cell>
          <cell r="G2905">
            <v>34000000</v>
          </cell>
          <cell r="H2905">
            <v>34000000</v>
          </cell>
          <cell r="I2905" t="str">
            <v/>
          </cell>
          <cell r="J2905" t="str">
            <v/>
          </cell>
          <cell r="K2905" t="str">
            <v/>
          </cell>
          <cell r="L2905" t="str">
            <v/>
          </cell>
        </row>
        <row r="2906">
          <cell r="A2906">
            <v>34000000</v>
          </cell>
          <cell r="C2906">
            <v>34000000</v>
          </cell>
          <cell r="D2906">
            <v>34000000</v>
          </cell>
          <cell r="E2906">
            <v>34000000</v>
          </cell>
          <cell r="F2906">
            <v>34000000</v>
          </cell>
          <cell r="G2906">
            <v>34000000</v>
          </cell>
          <cell r="H2906">
            <v>34000000</v>
          </cell>
          <cell r="I2906" t="str">
            <v/>
          </cell>
          <cell r="J2906" t="str">
            <v/>
          </cell>
          <cell r="K2906" t="str">
            <v/>
          </cell>
          <cell r="L2906" t="str">
            <v/>
          </cell>
        </row>
        <row r="2907">
          <cell r="A2907">
            <v>34000000</v>
          </cell>
          <cell r="C2907">
            <v>34000000</v>
          </cell>
          <cell r="D2907">
            <v>34000000</v>
          </cell>
          <cell r="E2907">
            <v>34000000</v>
          </cell>
          <cell r="F2907">
            <v>34000000</v>
          </cell>
          <cell r="G2907">
            <v>34000000</v>
          </cell>
          <cell r="H2907">
            <v>34000000</v>
          </cell>
          <cell r="I2907" t="str">
            <v/>
          </cell>
          <cell r="J2907" t="str">
            <v/>
          </cell>
          <cell r="K2907" t="str">
            <v/>
          </cell>
          <cell r="L2907" t="str">
            <v/>
          </cell>
        </row>
        <row r="2908">
          <cell r="A2908">
            <v>34000000</v>
          </cell>
          <cell r="C2908">
            <v>34000000</v>
          </cell>
          <cell r="D2908">
            <v>34000000</v>
          </cell>
          <cell r="E2908">
            <v>34000000</v>
          </cell>
          <cell r="F2908">
            <v>34000000</v>
          </cell>
          <cell r="G2908">
            <v>34000000</v>
          </cell>
          <cell r="H2908">
            <v>34000000</v>
          </cell>
          <cell r="I2908" t="str">
            <v/>
          </cell>
          <cell r="J2908" t="str">
            <v/>
          </cell>
          <cell r="K2908" t="str">
            <v/>
          </cell>
          <cell r="L2908" t="str">
            <v/>
          </cell>
        </row>
        <row r="2909">
          <cell r="A2909">
            <v>34000000</v>
          </cell>
          <cell r="C2909">
            <v>34000000</v>
          </cell>
          <cell r="D2909">
            <v>34000000</v>
          </cell>
          <cell r="E2909">
            <v>34000000</v>
          </cell>
          <cell r="F2909">
            <v>34000000</v>
          </cell>
          <cell r="G2909">
            <v>34000000</v>
          </cell>
          <cell r="H2909">
            <v>34000000</v>
          </cell>
          <cell r="I2909" t="str">
            <v/>
          </cell>
          <cell r="J2909" t="str">
            <v/>
          </cell>
          <cell r="K2909" t="str">
            <v/>
          </cell>
          <cell r="L2909" t="str">
            <v/>
          </cell>
        </row>
        <row r="2910">
          <cell r="A2910">
            <v>34000000</v>
          </cell>
          <cell r="C2910">
            <v>34000000</v>
          </cell>
          <cell r="D2910">
            <v>34000000</v>
          </cell>
          <cell r="E2910">
            <v>34000000</v>
          </cell>
          <cell r="F2910">
            <v>34000000</v>
          </cell>
          <cell r="G2910">
            <v>34000000</v>
          </cell>
          <cell r="H2910">
            <v>34000000</v>
          </cell>
          <cell r="I2910" t="str">
            <v/>
          </cell>
          <cell r="J2910" t="str">
            <v/>
          </cell>
          <cell r="K2910" t="str">
            <v/>
          </cell>
          <cell r="L2910" t="str">
            <v/>
          </cell>
        </row>
        <row r="2911">
          <cell r="A2911">
            <v>34000000</v>
          </cell>
          <cell r="C2911">
            <v>34000000</v>
          </cell>
          <cell r="D2911">
            <v>34000000</v>
          </cell>
          <cell r="E2911">
            <v>34000000</v>
          </cell>
          <cell r="F2911">
            <v>34000000</v>
          </cell>
          <cell r="G2911">
            <v>34000000</v>
          </cell>
          <cell r="H2911">
            <v>34000000</v>
          </cell>
          <cell r="I2911" t="str">
            <v/>
          </cell>
          <cell r="J2911" t="str">
            <v/>
          </cell>
          <cell r="K2911" t="str">
            <v/>
          </cell>
          <cell r="L2911" t="str">
            <v/>
          </cell>
        </row>
        <row r="2912">
          <cell r="A2912">
            <v>34000000</v>
          </cell>
          <cell r="C2912">
            <v>34000000</v>
          </cell>
          <cell r="D2912">
            <v>34000000</v>
          </cell>
          <cell r="E2912">
            <v>34000000</v>
          </cell>
          <cell r="F2912">
            <v>34000000</v>
          </cell>
          <cell r="G2912">
            <v>34000000</v>
          </cell>
          <cell r="H2912">
            <v>34000000</v>
          </cell>
          <cell r="I2912" t="str">
            <v/>
          </cell>
          <cell r="J2912" t="str">
            <v/>
          </cell>
          <cell r="K2912" t="str">
            <v/>
          </cell>
          <cell r="L2912" t="str">
            <v/>
          </cell>
        </row>
        <row r="2913">
          <cell r="A2913">
            <v>34000000</v>
          </cell>
          <cell r="C2913">
            <v>34000000</v>
          </cell>
          <cell r="D2913">
            <v>34000000</v>
          </cell>
          <cell r="E2913">
            <v>34000000</v>
          </cell>
          <cell r="F2913">
            <v>34000000</v>
          </cell>
          <cell r="G2913">
            <v>34000000</v>
          </cell>
          <cell r="H2913">
            <v>34000000</v>
          </cell>
          <cell r="I2913" t="str">
            <v/>
          </cell>
          <cell r="J2913" t="str">
            <v/>
          </cell>
          <cell r="K2913" t="str">
            <v/>
          </cell>
          <cell r="L2913" t="str">
            <v/>
          </cell>
        </row>
        <row r="2914">
          <cell r="A2914">
            <v>34000000</v>
          </cell>
          <cell r="C2914">
            <v>34000000</v>
          </cell>
          <cell r="D2914">
            <v>34000000</v>
          </cell>
          <cell r="E2914">
            <v>34000000</v>
          </cell>
          <cell r="F2914">
            <v>34000000</v>
          </cell>
          <cell r="G2914">
            <v>34000000</v>
          </cell>
          <cell r="H2914">
            <v>34000000</v>
          </cell>
          <cell r="I2914" t="str">
            <v/>
          </cell>
          <cell r="J2914" t="str">
            <v/>
          </cell>
          <cell r="K2914" t="str">
            <v/>
          </cell>
          <cell r="L2914" t="str">
            <v/>
          </cell>
        </row>
        <row r="2915">
          <cell r="A2915">
            <v>34000000</v>
          </cell>
          <cell r="C2915">
            <v>34000000</v>
          </cell>
          <cell r="D2915">
            <v>34000000</v>
          </cell>
          <cell r="E2915">
            <v>34000000</v>
          </cell>
          <cell r="F2915">
            <v>34000000</v>
          </cell>
          <cell r="G2915">
            <v>34000000</v>
          </cell>
          <cell r="H2915">
            <v>34000000</v>
          </cell>
          <cell r="I2915" t="str">
            <v/>
          </cell>
          <cell r="J2915" t="str">
            <v/>
          </cell>
          <cell r="K2915" t="str">
            <v/>
          </cell>
          <cell r="L2915" t="str">
            <v/>
          </cell>
        </row>
        <row r="2916">
          <cell r="A2916">
            <v>34000000</v>
          </cell>
          <cell r="C2916">
            <v>34000000</v>
          </cell>
          <cell r="D2916">
            <v>34000000</v>
          </cell>
          <cell r="E2916">
            <v>34000000</v>
          </cell>
          <cell r="F2916">
            <v>34000000</v>
          </cell>
          <cell r="G2916">
            <v>34000000</v>
          </cell>
          <cell r="H2916">
            <v>34000000</v>
          </cell>
          <cell r="I2916" t="str">
            <v/>
          </cell>
          <cell r="J2916" t="str">
            <v/>
          </cell>
          <cell r="K2916" t="str">
            <v/>
          </cell>
          <cell r="L2916" t="str">
            <v/>
          </cell>
        </row>
        <row r="2917">
          <cell r="A2917">
            <v>34000000</v>
          </cell>
          <cell r="C2917">
            <v>34000000</v>
          </cell>
          <cell r="D2917">
            <v>34000000</v>
          </cell>
          <cell r="E2917">
            <v>34000000</v>
          </cell>
          <cell r="F2917">
            <v>34000000</v>
          </cell>
          <cell r="G2917">
            <v>34000000</v>
          </cell>
          <cell r="H2917">
            <v>34000000</v>
          </cell>
          <cell r="I2917" t="str">
            <v/>
          </cell>
          <cell r="J2917" t="str">
            <v/>
          </cell>
          <cell r="K2917" t="str">
            <v/>
          </cell>
          <cell r="L2917" t="str">
            <v/>
          </cell>
        </row>
        <row r="2918">
          <cell r="A2918">
            <v>34000000</v>
          </cell>
          <cell r="C2918">
            <v>34000000</v>
          </cell>
          <cell r="D2918">
            <v>34000000</v>
          </cell>
          <cell r="E2918">
            <v>34000000</v>
          </cell>
          <cell r="F2918">
            <v>34000000</v>
          </cell>
          <cell r="G2918">
            <v>34000000</v>
          </cell>
          <cell r="H2918">
            <v>34000000</v>
          </cell>
          <cell r="I2918" t="str">
            <v/>
          </cell>
          <cell r="J2918" t="str">
            <v/>
          </cell>
          <cell r="K2918" t="str">
            <v/>
          </cell>
          <cell r="L2918" t="str">
            <v/>
          </cell>
        </row>
        <row r="2919">
          <cell r="A2919">
            <v>34000000</v>
          </cell>
          <cell r="C2919">
            <v>34000000</v>
          </cell>
          <cell r="D2919">
            <v>34000000</v>
          </cell>
          <cell r="E2919">
            <v>34000000</v>
          </cell>
          <cell r="F2919">
            <v>34000000</v>
          </cell>
          <cell r="G2919">
            <v>34000000</v>
          </cell>
          <cell r="H2919">
            <v>34000000</v>
          </cell>
          <cell r="I2919" t="str">
            <v/>
          </cell>
          <cell r="J2919" t="str">
            <v/>
          </cell>
          <cell r="K2919" t="str">
            <v/>
          </cell>
          <cell r="L2919" t="str">
            <v/>
          </cell>
        </row>
        <row r="2920">
          <cell r="A2920">
            <v>34000000</v>
          </cell>
          <cell r="C2920">
            <v>34000000</v>
          </cell>
          <cell r="D2920">
            <v>34000000</v>
          </cell>
          <cell r="E2920">
            <v>34000000</v>
          </cell>
          <cell r="F2920">
            <v>34000000</v>
          </cell>
          <cell r="G2920">
            <v>34000000</v>
          </cell>
          <cell r="H2920">
            <v>34000000</v>
          </cell>
          <cell r="I2920" t="str">
            <v/>
          </cell>
          <cell r="J2920" t="str">
            <v/>
          </cell>
          <cell r="K2920" t="str">
            <v/>
          </cell>
          <cell r="L2920" t="str">
            <v/>
          </cell>
        </row>
        <row r="2921">
          <cell r="A2921">
            <v>34000000</v>
          </cell>
          <cell r="C2921">
            <v>34000000</v>
          </cell>
          <cell r="D2921">
            <v>34000000</v>
          </cell>
          <cell r="E2921">
            <v>34000000</v>
          </cell>
          <cell r="F2921">
            <v>34000000</v>
          </cell>
          <cell r="G2921">
            <v>34000000</v>
          </cell>
          <cell r="H2921">
            <v>34000000</v>
          </cell>
          <cell r="I2921" t="str">
            <v/>
          </cell>
          <cell r="J2921" t="str">
            <v/>
          </cell>
          <cell r="K2921" t="str">
            <v/>
          </cell>
          <cell r="L2921" t="str">
            <v/>
          </cell>
        </row>
        <row r="2922">
          <cell r="A2922">
            <v>34000000</v>
          </cell>
          <cell r="C2922">
            <v>34000000</v>
          </cell>
          <cell r="D2922">
            <v>34000000</v>
          </cell>
          <cell r="E2922">
            <v>34000000</v>
          </cell>
          <cell r="F2922">
            <v>34000000</v>
          </cell>
          <cell r="G2922">
            <v>34000000</v>
          </cell>
          <cell r="H2922">
            <v>34000000</v>
          </cell>
          <cell r="I2922" t="str">
            <v/>
          </cell>
          <cell r="J2922" t="str">
            <v/>
          </cell>
          <cell r="K2922" t="str">
            <v/>
          </cell>
          <cell r="L2922" t="str">
            <v/>
          </cell>
        </row>
        <row r="2923">
          <cell r="A2923">
            <v>34000000</v>
          </cell>
          <cell r="C2923">
            <v>34000000</v>
          </cell>
          <cell r="D2923">
            <v>34000000</v>
          </cell>
          <cell r="E2923">
            <v>34000000</v>
          </cell>
          <cell r="F2923">
            <v>34000000</v>
          </cell>
          <cell r="G2923">
            <v>34000000</v>
          </cell>
          <cell r="H2923">
            <v>34000000</v>
          </cell>
          <cell r="I2923" t="str">
            <v/>
          </cell>
          <cell r="J2923" t="str">
            <v/>
          </cell>
          <cell r="K2923" t="str">
            <v/>
          </cell>
          <cell r="L2923" t="str">
            <v/>
          </cell>
        </row>
        <row r="2924">
          <cell r="A2924">
            <v>34000000</v>
          </cell>
          <cell r="C2924">
            <v>34000000</v>
          </cell>
          <cell r="D2924">
            <v>34000000</v>
          </cell>
          <cell r="E2924">
            <v>34000000</v>
          </cell>
          <cell r="F2924">
            <v>34000000</v>
          </cell>
          <cell r="G2924">
            <v>34000000</v>
          </cell>
          <cell r="H2924">
            <v>34000000</v>
          </cell>
          <cell r="I2924" t="str">
            <v/>
          </cell>
          <cell r="J2924" t="str">
            <v/>
          </cell>
          <cell r="K2924" t="str">
            <v/>
          </cell>
          <cell r="L2924" t="str">
            <v/>
          </cell>
        </row>
        <row r="2925">
          <cell r="A2925">
            <v>34000000</v>
          </cell>
          <cell r="C2925">
            <v>34000000</v>
          </cell>
          <cell r="D2925">
            <v>34000000</v>
          </cell>
          <cell r="E2925">
            <v>34000000</v>
          </cell>
          <cell r="F2925">
            <v>34000000</v>
          </cell>
          <cell r="G2925">
            <v>34000000</v>
          </cell>
          <cell r="H2925">
            <v>34000000</v>
          </cell>
          <cell r="I2925" t="str">
            <v/>
          </cell>
          <cell r="J2925" t="str">
            <v/>
          </cell>
          <cell r="K2925" t="str">
            <v/>
          </cell>
          <cell r="L2925" t="str">
            <v/>
          </cell>
        </row>
        <row r="2926">
          <cell r="A2926">
            <v>34000000</v>
          </cell>
          <cell r="C2926">
            <v>34000000</v>
          </cell>
          <cell r="D2926">
            <v>34000000</v>
          </cell>
          <cell r="E2926">
            <v>34000000</v>
          </cell>
          <cell r="F2926">
            <v>34000000</v>
          </cell>
          <cell r="G2926">
            <v>34000000</v>
          </cell>
          <cell r="H2926">
            <v>34000000</v>
          </cell>
          <cell r="I2926" t="str">
            <v/>
          </cell>
          <cell r="J2926" t="str">
            <v/>
          </cell>
          <cell r="K2926" t="str">
            <v/>
          </cell>
          <cell r="L2926" t="str">
            <v/>
          </cell>
        </row>
        <row r="2927">
          <cell r="A2927">
            <v>34000000</v>
          </cell>
          <cell r="C2927">
            <v>34000000</v>
          </cell>
          <cell r="D2927">
            <v>34000000</v>
          </cell>
          <cell r="E2927">
            <v>34000000</v>
          </cell>
          <cell r="F2927">
            <v>34000000</v>
          </cell>
          <cell r="G2927">
            <v>34000000</v>
          </cell>
          <cell r="H2927">
            <v>34000000</v>
          </cell>
          <cell r="I2927" t="str">
            <v/>
          </cell>
          <cell r="J2927" t="str">
            <v/>
          </cell>
          <cell r="K2927" t="str">
            <v/>
          </cell>
          <cell r="L2927" t="str">
            <v/>
          </cell>
        </row>
        <row r="2928">
          <cell r="A2928">
            <v>34000000</v>
          </cell>
          <cell r="C2928">
            <v>34000000</v>
          </cell>
          <cell r="D2928">
            <v>34000000</v>
          </cell>
          <cell r="E2928">
            <v>34000000</v>
          </cell>
          <cell r="F2928">
            <v>34000000</v>
          </cell>
          <cell r="G2928">
            <v>34000000</v>
          </cell>
          <cell r="H2928">
            <v>34000000</v>
          </cell>
          <cell r="I2928" t="str">
            <v/>
          </cell>
          <cell r="J2928" t="str">
            <v/>
          </cell>
          <cell r="K2928" t="str">
            <v/>
          </cell>
          <cell r="L2928" t="str">
            <v/>
          </cell>
        </row>
        <row r="2929">
          <cell r="A2929">
            <v>34000000</v>
          </cell>
          <cell r="C2929">
            <v>34000000</v>
          </cell>
          <cell r="D2929">
            <v>34000000</v>
          </cell>
          <cell r="E2929">
            <v>34000000</v>
          </cell>
          <cell r="F2929">
            <v>34000000</v>
          </cell>
          <cell r="G2929">
            <v>34000000</v>
          </cell>
          <cell r="H2929">
            <v>34000000</v>
          </cell>
          <cell r="I2929" t="str">
            <v/>
          </cell>
          <cell r="J2929" t="str">
            <v/>
          </cell>
          <cell r="K2929" t="str">
            <v/>
          </cell>
          <cell r="L2929" t="str">
            <v/>
          </cell>
        </row>
        <row r="2930">
          <cell r="A2930">
            <v>34000000</v>
          </cell>
          <cell r="C2930">
            <v>34000000</v>
          </cell>
          <cell r="D2930">
            <v>34000000</v>
          </cell>
          <cell r="E2930">
            <v>34000000</v>
          </cell>
          <cell r="F2930">
            <v>34000000</v>
          </cell>
          <cell r="G2930">
            <v>34000000</v>
          </cell>
          <cell r="H2930">
            <v>34000000</v>
          </cell>
          <cell r="I2930" t="str">
            <v/>
          </cell>
          <cell r="J2930" t="str">
            <v/>
          </cell>
          <cell r="K2930" t="str">
            <v/>
          </cell>
          <cell r="L2930" t="str">
            <v/>
          </cell>
        </row>
        <row r="2931">
          <cell r="A2931">
            <v>34000000</v>
          </cell>
          <cell r="C2931">
            <v>34000000</v>
          </cell>
          <cell r="D2931">
            <v>34000000</v>
          </cell>
          <cell r="E2931">
            <v>34000000</v>
          </cell>
          <cell r="F2931">
            <v>34000000</v>
          </cell>
          <cell r="G2931">
            <v>34000000</v>
          </cell>
          <cell r="H2931">
            <v>34000000</v>
          </cell>
          <cell r="I2931" t="str">
            <v/>
          </cell>
          <cell r="J2931" t="str">
            <v/>
          </cell>
          <cell r="K2931" t="str">
            <v/>
          </cell>
          <cell r="L2931" t="str">
            <v/>
          </cell>
        </row>
        <row r="2932">
          <cell r="A2932">
            <v>34000000</v>
          </cell>
          <cell r="C2932">
            <v>34000000</v>
          </cell>
          <cell r="D2932">
            <v>34000000</v>
          </cell>
          <cell r="E2932">
            <v>34000000</v>
          </cell>
          <cell r="F2932">
            <v>34000000</v>
          </cell>
          <cell r="G2932">
            <v>34000000</v>
          </cell>
          <cell r="H2932">
            <v>34000000</v>
          </cell>
          <cell r="I2932" t="str">
            <v/>
          </cell>
          <cell r="J2932" t="str">
            <v/>
          </cell>
          <cell r="K2932" t="str">
            <v/>
          </cell>
          <cell r="L2932" t="str">
            <v/>
          </cell>
        </row>
        <row r="2933">
          <cell r="A2933">
            <v>34000000</v>
          </cell>
          <cell r="C2933">
            <v>34000000</v>
          </cell>
          <cell r="D2933">
            <v>34000000</v>
          </cell>
          <cell r="E2933">
            <v>34000000</v>
          </cell>
          <cell r="F2933">
            <v>34000000</v>
          </cell>
          <cell r="G2933">
            <v>34000000</v>
          </cell>
          <cell r="H2933">
            <v>34000000</v>
          </cell>
          <cell r="I2933" t="str">
            <v/>
          </cell>
          <cell r="J2933" t="str">
            <v/>
          </cell>
          <cell r="K2933" t="str">
            <v/>
          </cell>
          <cell r="L2933" t="str">
            <v/>
          </cell>
        </row>
        <row r="2934">
          <cell r="A2934">
            <v>34000000</v>
          </cell>
          <cell r="C2934">
            <v>34000000</v>
          </cell>
          <cell r="D2934">
            <v>34000000</v>
          </cell>
          <cell r="E2934">
            <v>34000000</v>
          </cell>
          <cell r="F2934">
            <v>34000000</v>
          </cell>
          <cell r="G2934">
            <v>34000000</v>
          </cell>
          <cell r="H2934">
            <v>34000000</v>
          </cell>
          <cell r="I2934" t="str">
            <v/>
          </cell>
          <cell r="J2934" t="str">
            <v/>
          </cell>
          <cell r="K2934" t="str">
            <v/>
          </cell>
          <cell r="L2934" t="str">
            <v/>
          </cell>
        </row>
        <row r="2935">
          <cell r="A2935">
            <v>34000000</v>
          </cell>
          <cell r="C2935">
            <v>34000000</v>
          </cell>
          <cell r="D2935">
            <v>34000000</v>
          </cell>
          <cell r="E2935">
            <v>34000000</v>
          </cell>
          <cell r="F2935">
            <v>34000000</v>
          </cell>
          <cell r="G2935">
            <v>34000000</v>
          </cell>
          <cell r="H2935">
            <v>34000000</v>
          </cell>
          <cell r="I2935" t="str">
            <v/>
          </cell>
          <cell r="J2935" t="str">
            <v/>
          </cell>
          <cell r="K2935" t="str">
            <v/>
          </cell>
          <cell r="L2935" t="str">
            <v/>
          </cell>
        </row>
        <row r="2936">
          <cell r="A2936">
            <v>34000000</v>
          </cell>
          <cell r="C2936">
            <v>34000000</v>
          </cell>
          <cell r="D2936">
            <v>34000000</v>
          </cell>
          <cell r="E2936">
            <v>34000000</v>
          </cell>
          <cell r="F2936">
            <v>34000000</v>
          </cell>
          <cell r="G2936">
            <v>34000000</v>
          </cell>
          <cell r="H2936">
            <v>34000000</v>
          </cell>
          <cell r="I2936" t="str">
            <v/>
          </cell>
          <cell r="J2936" t="str">
            <v/>
          </cell>
          <cell r="K2936" t="str">
            <v/>
          </cell>
          <cell r="L2936" t="str">
            <v/>
          </cell>
        </row>
        <row r="2937">
          <cell r="A2937">
            <v>34000000</v>
          </cell>
          <cell r="C2937">
            <v>34000000</v>
          </cell>
          <cell r="D2937">
            <v>34000000</v>
          </cell>
          <cell r="E2937">
            <v>34000000</v>
          </cell>
          <cell r="F2937">
            <v>34000000</v>
          </cell>
          <cell r="G2937">
            <v>34000000</v>
          </cell>
          <cell r="H2937">
            <v>34000000</v>
          </cell>
          <cell r="I2937" t="str">
            <v/>
          </cell>
          <cell r="J2937" t="str">
            <v/>
          </cell>
          <cell r="K2937" t="str">
            <v/>
          </cell>
          <cell r="L2937" t="str">
            <v/>
          </cell>
        </row>
        <row r="2938">
          <cell r="A2938">
            <v>34000000</v>
          </cell>
          <cell r="C2938">
            <v>34000000</v>
          </cell>
          <cell r="D2938">
            <v>34000000</v>
          </cell>
          <cell r="E2938">
            <v>34000000</v>
          </cell>
          <cell r="F2938">
            <v>34000000</v>
          </cell>
          <cell r="G2938">
            <v>34000000</v>
          </cell>
          <cell r="H2938">
            <v>34000000</v>
          </cell>
          <cell r="I2938" t="str">
            <v/>
          </cell>
          <cell r="J2938" t="str">
            <v/>
          </cell>
          <cell r="K2938" t="str">
            <v/>
          </cell>
          <cell r="L2938" t="str">
            <v/>
          </cell>
        </row>
        <row r="2939">
          <cell r="A2939">
            <v>34000000</v>
          </cell>
          <cell r="C2939">
            <v>34000000</v>
          </cell>
          <cell r="D2939">
            <v>34000000</v>
          </cell>
          <cell r="E2939">
            <v>34000000</v>
          </cell>
          <cell r="F2939">
            <v>34000000</v>
          </cell>
          <cell r="G2939">
            <v>34000000</v>
          </cell>
          <cell r="H2939">
            <v>34000000</v>
          </cell>
          <cell r="I2939" t="str">
            <v/>
          </cell>
          <cell r="J2939" t="str">
            <v/>
          </cell>
          <cell r="K2939" t="str">
            <v/>
          </cell>
          <cell r="L2939" t="str">
            <v/>
          </cell>
        </row>
        <row r="2940">
          <cell r="A2940">
            <v>34000000</v>
          </cell>
          <cell r="C2940">
            <v>34000000</v>
          </cell>
          <cell r="D2940">
            <v>34000000</v>
          </cell>
          <cell r="E2940">
            <v>34000000</v>
          </cell>
          <cell r="F2940">
            <v>34000000</v>
          </cell>
          <cell r="G2940">
            <v>34000000</v>
          </cell>
          <cell r="H2940">
            <v>34000000</v>
          </cell>
          <cell r="I2940" t="str">
            <v/>
          </cell>
          <cell r="J2940" t="str">
            <v/>
          </cell>
          <cell r="K2940" t="str">
            <v/>
          </cell>
          <cell r="L2940" t="str">
            <v/>
          </cell>
        </row>
        <row r="2941">
          <cell r="A2941">
            <v>34000000</v>
          </cell>
          <cell r="C2941">
            <v>34000000</v>
          </cell>
          <cell r="D2941">
            <v>34000000</v>
          </cell>
          <cell r="E2941">
            <v>34000000</v>
          </cell>
          <cell r="F2941">
            <v>34000000</v>
          </cell>
          <cell r="G2941">
            <v>34000000</v>
          </cell>
          <cell r="H2941">
            <v>34000000</v>
          </cell>
          <cell r="I2941" t="str">
            <v/>
          </cell>
          <cell r="J2941" t="str">
            <v/>
          </cell>
          <cell r="K2941" t="str">
            <v/>
          </cell>
          <cell r="L2941" t="str">
            <v/>
          </cell>
        </row>
        <row r="2942">
          <cell r="A2942">
            <v>34000000</v>
          </cell>
          <cell r="C2942">
            <v>34000000</v>
          </cell>
          <cell r="D2942">
            <v>34000000</v>
          </cell>
          <cell r="E2942">
            <v>34000000</v>
          </cell>
          <cell r="F2942">
            <v>34000000</v>
          </cell>
          <cell r="G2942">
            <v>34000000</v>
          </cell>
          <cell r="H2942">
            <v>34000000</v>
          </cell>
          <cell r="I2942" t="str">
            <v/>
          </cell>
          <cell r="J2942" t="str">
            <v/>
          </cell>
          <cell r="K2942" t="str">
            <v/>
          </cell>
          <cell r="L2942" t="str">
            <v/>
          </cell>
        </row>
        <row r="2943">
          <cell r="A2943">
            <v>34000000</v>
          </cell>
          <cell r="C2943">
            <v>34000000</v>
          </cell>
          <cell r="D2943">
            <v>34000000</v>
          </cell>
          <cell r="E2943">
            <v>34000000</v>
          </cell>
          <cell r="F2943">
            <v>34000000</v>
          </cell>
          <cell r="G2943">
            <v>34000000</v>
          </cell>
          <cell r="H2943">
            <v>34000000</v>
          </cell>
          <cell r="I2943" t="str">
            <v/>
          </cell>
          <cell r="J2943" t="str">
            <v/>
          </cell>
          <cell r="K2943" t="str">
            <v/>
          </cell>
          <cell r="L2943" t="str">
            <v/>
          </cell>
        </row>
        <row r="2944">
          <cell r="A2944">
            <v>34000000</v>
          </cell>
          <cell r="C2944">
            <v>34000000</v>
          </cell>
          <cell r="D2944">
            <v>34000000</v>
          </cell>
          <cell r="E2944">
            <v>34000000</v>
          </cell>
          <cell r="F2944">
            <v>34000000</v>
          </cell>
          <cell r="G2944">
            <v>34000000</v>
          </cell>
          <cell r="H2944">
            <v>34000000</v>
          </cell>
          <cell r="I2944" t="str">
            <v/>
          </cell>
          <cell r="J2944" t="str">
            <v/>
          </cell>
          <cell r="K2944" t="str">
            <v/>
          </cell>
          <cell r="L2944" t="str">
            <v/>
          </cell>
        </row>
        <row r="2945">
          <cell r="A2945">
            <v>34000000</v>
          </cell>
          <cell r="C2945">
            <v>34000000</v>
          </cell>
          <cell r="D2945">
            <v>34000000</v>
          </cell>
          <cell r="E2945">
            <v>34000000</v>
          </cell>
          <cell r="F2945">
            <v>34000000</v>
          </cell>
          <cell r="G2945">
            <v>34000000</v>
          </cell>
          <cell r="H2945">
            <v>34000000</v>
          </cell>
          <cell r="I2945" t="str">
            <v/>
          </cell>
          <cell r="J2945" t="str">
            <v/>
          </cell>
          <cell r="K2945" t="str">
            <v/>
          </cell>
          <cell r="L2945" t="str">
            <v/>
          </cell>
        </row>
        <row r="2946">
          <cell r="A2946">
            <v>34000000</v>
          </cell>
          <cell r="C2946">
            <v>34000000</v>
          </cell>
          <cell r="D2946">
            <v>34000000</v>
          </cell>
          <cell r="E2946">
            <v>34000000</v>
          </cell>
          <cell r="F2946">
            <v>34000000</v>
          </cell>
          <cell r="G2946">
            <v>34000000</v>
          </cell>
          <cell r="H2946">
            <v>34000000</v>
          </cell>
          <cell r="I2946" t="str">
            <v/>
          </cell>
          <cell r="J2946" t="str">
            <v/>
          </cell>
          <cell r="K2946" t="str">
            <v/>
          </cell>
          <cell r="L2946" t="str">
            <v/>
          </cell>
        </row>
        <row r="2947">
          <cell r="A2947">
            <v>34000000</v>
          </cell>
          <cell r="C2947">
            <v>34000000</v>
          </cell>
          <cell r="D2947">
            <v>34000000</v>
          </cell>
          <cell r="E2947">
            <v>34000000</v>
          </cell>
          <cell r="F2947">
            <v>34000000</v>
          </cell>
          <cell r="G2947">
            <v>34000000</v>
          </cell>
          <cell r="H2947">
            <v>34000000</v>
          </cell>
          <cell r="I2947" t="str">
            <v/>
          </cell>
          <cell r="J2947" t="str">
            <v/>
          </cell>
          <cell r="K2947" t="str">
            <v/>
          </cell>
          <cell r="L2947" t="str">
            <v/>
          </cell>
        </row>
        <row r="2948">
          <cell r="A2948">
            <v>34000000</v>
          </cell>
          <cell r="C2948">
            <v>34000000</v>
          </cell>
          <cell r="D2948">
            <v>34000000</v>
          </cell>
          <cell r="E2948">
            <v>34000000</v>
          </cell>
          <cell r="F2948">
            <v>34000000</v>
          </cell>
          <cell r="G2948">
            <v>34000000</v>
          </cell>
          <cell r="H2948">
            <v>34000000</v>
          </cell>
          <cell r="I2948" t="str">
            <v/>
          </cell>
          <cell r="J2948" t="str">
            <v/>
          </cell>
          <cell r="K2948" t="str">
            <v/>
          </cell>
          <cell r="L2948" t="str">
            <v/>
          </cell>
        </row>
        <row r="2949">
          <cell r="A2949">
            <v>34000000</v>
          </cell>
          <cell r="C2949">
            <v>34000000</v>
          </cell>
          <cell r="D2949">
            <v>34000000</v>
          </cell>
          <cell r="E2949">
            <v>34000000</v>
          </cell>
          <cell r="F2949">
            <v>34000000</v>
          </cell>
          <cell r="G2949">
            <v>34000000</v>
          </cell>
          <cell r="H2949">
            <v>34000000</v>
          </cell>
          <cell r="I2949" t="str">
            <v/>
          </cell>
          <cell r="J2949" t="str">
            <v/>
          </cell>
          <cell r="K2949" t="str">
            <v/>
          </cell>
          <cell r="L2949" t="str">
            <v/>
          </cell>
        </row>
        <row r="2950">
          <cell r="A2950">
            <v>34000000</v>
          </cell>
          <cell r="C2950">
            <v>34000000</v>
          </cell>
          <cell r="D2950">
            <v>34000000</v>
          </cell>
          <cell r="E2950">
            <v>34000000</v>
          </cell>
          <cell r="F2950">
            <v>34000000</v>
          </cell>
          <cell r="G2950">
            <v>34000000</v>
          </cell>
          <cell r="H2950">
            <v>34000000</v>
          </cell>
          <cell r="I2950" t="str">
            <v/>
          </cell>
          <cell r="J2950" t="str">
            <v/>
          </cell>
          <cell r="K2950" t="str">
            <v/>
          </cell>
          <cell r="L2950" t="str">
            <v/>
          </cell>
        </row>
        <row r="2951">
          <cell r="A2951">
            <v>34000000</v>
          </cell>
          <cell r="C2951">
            <v>34000000</v>
          </cell>
          <cell r="D2951">
            <v>34000000</v>
          </cell>
          <cell r="E2951">
            <v>34000000</v>
          </cell>
          <cell r="F2951">
            <v>34000000</v>
          </cell>
          <cell r="G2951">
            <v>34000000</v>
          </cell>
          <cell r="H2951">
            <v>34000000</v>
          </cell>
          <cell r="I2951" t="str">
            <v/>
          </cell>
          <cell r="J2951" t="str">
            <v/>
          </cell>
          <cell r="K2951" t="str">
            <v/>
          </cell>
          <cell r="L2951" t="str">
            <v/>
          </cell>
        </row>
        <row r="2952">
          <cell r="A2952">
            <v>34000000</v>
          </cell>
          <cell r="C2952">
            <v>34000000</v>
          </cell>
          <cell r="D2952">
            <v>34000000</v>
          </cell>
          <cell r="E2952">
            <v>34000000</v>
          </cell>
          <cell r="F2952">
            <v>34000000</v>
          </cell>
          <cell r="G2952">
            <v>34000000</v>
          </cell>
          <cell r="H2952">
            <v>34000000</v>
          </cell>
          <cell r="I2952" t="str">
            <v/>
          </cell>
          <cell r="J2952" t="str">
            <v/>
          </cell>
          <cell r="K2952" t="str">
            <v/>
          </cell>
          <cell r="L2952" t="str">
            <v/>
          </cell>
        </row>
        <row r="2953">
          <cell r="A2953">
            <v>34000000</v>
          </cell>
          <cell r="C2953">
            <v>34000000</v>
          </cell>
          <cell r="D2953">
            <v>34000000</v>
          </cell>
          <cell r="E2953">
            <v>34000000</v>
          </cell>
          <cell r="F2953">
            <v>34000000</v>
          </cell>
          <cell r="G2953">
            <v>34000000</v>
          </cell>
          <cell r="H2953">
            <v>34000000</v>
          </cell>
          <cell r="I2953" t="str">
            <v/>
          </cell>
          <cell r="J2953" t="str">
            <v/>
          </cell>
          <cell r="K2953" t="str">
            <v/>
          </cell>
          <cell r="L2953" t="str">
            <v/>
          </cell>
        </row>
        <row r="2954">
          <cell r="A2954">
            <v>34000000</v>
          </cell>
          <cell r="C2954">
            <v>34000000</v>
          </cell>
          <cell r="D2954">
            <v>34000000</v>
          </cell>
          <cell r="E2954">
            <v>34000000</v>
          </cell>
          <cell r="F2954">
            <v>34000000</v>
          </cell>
          <cell r="G2954">
            <v>34000000</v>
          </cell>
          <cell r="H2954">
            <v>34000000</v>
          </cell>
          <cell r="I2954" t="str">
            <v/>
          </cell>
          <cell r="J2954" t="str">
            <v/>
          </cell>
          <cell r="K2954" t="str">
            <v/>
          </cell>
          <cell r="L2954" t="str">
            <v/>
          </cell>
        </row>
        <row r="2955">
          <cell r="A2955">
            <v>34000000</v>
          </cell>
          <cell r="C2955">
            <v>34000000</v>
          </cell>
          <cell r="D2955">
            <v>34000000</v>
          </cell>
          <cell r="E2955">
            <v>34000000</v>
          </cell>
          <cell r="F2955">
            <v>34000000</v>
          </cell>
          <cell r="G2955">
            <v>34000000</v>
          </cell>
          <cell r="H2955">
            <v>34000000</v>
          </cell>
          <cell r="I2955" t="str">
            <v/>
          </cell>
          <cell r="J2955" t="str">
            <v/>
          </cell>
          <cell r="K2955" t="str">
            <v/>
          </cell>
          <cell r="L2955" t="str">
            <v/>
          </cell>
        </row>
        <row r="2956">
          <cell r="A2956">
            <v>34000000</v>
          </cell>
          <cell r="C2956">
            <v>34000000</v>
          </cell>
          <cell r="D2956">
            <v>34000000</v>
          </cell>
          <cell r="E2956">
            <v>34000000</v>
          </cell>
          <cell r="F2956">
            <v>34000000</v>
          </cell>
          <cell r="G2956">
            <v>34000000</v>
          </cell>
          <cell r="H2956">
            <v>34000000</v>
          </cell>
          <cell r="I2956" t="str">
            <v/>
          </cell>
          <cell r="J2956" t="str">
            <v/>
          </cell>
          <cell r="K2956" t="str">
            <v/>
          </cell>
          <cell r="L2956" t="str">
            <v/>
          </cell>
        </row>
        <row r="2957">
          <cell r="A2957">
            <v>34000000</v>
          </cell>
          <cell r="C2957">
            <v>34000000</v>
          </cell>
          <cell r="D2957">
            <v>34000000</v>
          </cell>
          <cell r="E2957">
            <v>34000000</v>
          </cell>
          <cell r="F2957">
            <v>34000000</v>
          </cell>
          <cell r="G2957">
            <v>34000000</v>
          </cell>
          <cell r="H2957">
            <v>34000000</v>
          </cell>
          <cell r="I2957" t="str">
            <v/>
          </cell>
          <cell r="J2957" t="str">
            <v/>
          </cell>
          <cell r="K2957" t="str">
            <v/>
          </cell>
          <cell r="L2957" t="str">
            <v/>
          </cell>
        </row>
        <row r="2958">
          <cell r="A2958">
            <v>34000000</v>
          </cell>
          <cell r="C2958">
            <v>34000000</v>
          </cell>
          <cell r="D2958">
            <v>34000000</v>
          </cell>
          <cell r="E2958">
            <v>34000000</v>
          </cell>
          <cell r="F2958">
            <v>34000000</v>
          </cell>
          <cell r="G2958">
            <v>34000000</v>
          </cell>
          <cell r="H2958">
            <v>34000000</v>
          </cell>
          <cell r="I2958" t="str">
            <v/>
          </cell>
          <cell r="J2958" t="str">
            <v/>
          </cell>
          <cell r="K2958" t="str">
            <v/>
          </cell>
          <cell r="L2958" t="str">
            <v/>
          </cell>
        </row>
        <row r="2959">
          <cell r="A2959">
            <v>34000000</v>
          </cell>
          <cell r="C2959">
            <v>34000000</v>
          </cell>
          <cell r="D2959">
            <v>34000000</v>
          </cell>
          <cell r="E2959">
            <v>34000000</v>
          </cell>
          <cell r="F2959">
            <v>34000000</v>
          </cell>
          <cell r="G2959">
            <v>34000000</v>
          </cell>
          <cell r="H2959">
            <v>34000000</v>
          </cell>
          <cell r="I2959" t="str">
            <v/>
          </cell>
          <cell r="J2959" t="str">
            <v/>
          </cell>
          <cell r="K2959" t="str">
            <v/>
          </cell>
          <cell r="L2959" t="str">
            <v/>
          </cell>
        </row>
        <row r="2960">
          <cell r="A2960">
            <v>34000000</v>
          </cell>
          <cell r="C2960">
            <v>34000000</v>
          </cell>
          <cell r="D2960">
            <v>34000000</v>
          </cell>
          <cell r="E2960">
            <v>34000000</v>
          </cell>
          <cell r="F2960">
            <v>34000000</v>
          </cell>
          <cell r="G2960">
            <v>34000000</v>
          </cell>
          <cell r="H2960">
            <v>34000000</v>
          </cell>
          <cell r="I2960" t="str">
            <v/>
          </cell>
          <cell r="J2960" t="str">
            <v/>
          </cell>
          <cell r="K2960" t="str">
            <v/>
          </cell>
          <cell r="L2960" t="str">
            <v/>
          </cell>
        </row>
        <row r="2961">
          <cell r="A2961">
            <v>34000000</v>
          </cell>
          <cell r="C2961">
            <v>34000000</v>
          </cell>
          <cell r="D2961">
            <v>34000000</v>
          </cell>
          <cell r="E2961">
            <v>34000000</v>
          </cell>
          <cell r="F2961">
            <v>34000000</v>
          </cell>
          <cell r="G2961">
            <v>34000000</v>
          </cell>
          <cell r="H2961">
            <v>34000000</v>
          </cell>
          <cell r="I2961" t="str">
            <v/>
          </cell>
          <cell r="J2961" t="str">
            <v/>
          </cell>
          <cell r="K2961" t="str">
            <v/>
          </cell>
          <cell r="L2961" t="str">
            <v/>
          </cell>
        </row>
        <row r="2962">
          <cell r="A2962">
            <v>34000000</v>
          </cell>
          <cell r="C2962">
            <v>34000000</v>
          </cell>
          <cell r="D2962">
            <v>34000000</v>
          </cell>
          <cell r="E2962">
            <v>34000000</v>
          </cell>
          <cell r="F2962">
            <v>34000000</v>
          </cell>
          <cell r="G2962">
            <v>34000000</v>
          </cell>
          <cell r="H2962">
            <v>34000000</v>
          </cell>
          <cell r="I2962" t="str">
            <v/>
          </cell>
          <cell r="J2962" t="str">
            <v/>
          </cell>
          <cell r="K2962" t="str">
            <v/>
          </cell>
          <cell r="L2962" t="str">
            <v/>
          </cell>
        </row>
        <row r="2963">
          <cell r="A2963">
            <v>34000000</v>
          </cell>
          <cell r="C2963">
            <v>34000000</v>
          </cell>
          <cell r="D2963">
            <v>34000000</v>
          </cell>
          <cell r="E2963">
            <v>34000000</v>
          </cell>
          <cell r="F2963">
            <v>34000000</v>
          </cell>
          <cell r="G2963">
            <v>34000000</v>
          </cell>
          <cell r="H2963">
            <v>34000000</v>
          </cell>
          <cell r="I2963" t="str">
            <v/>
          </cell>
          <cell r="J2963" t="str">
            <v/>
          </cell>
          <cell r="K2963" t="str">
            <v/>
          </cell>
          <cell r="L2963" t="str">
            <v/>
          </cell>
        </row>
        <row r="2964">
          <cell r="A2964">
            <v>34000000</v>
          </cell>
          <cell r="C2964">
            <v>34000000</v>
          </cell>
          <cell r="D2964">
            <v>34000000</v>
          </cell>
          <cell r="E2964">
            <v>34000000</v>
          </cell>
          <cell r="F2964">
            <v>34000000</v>
          </cell>
          <cell r="G2964">
            <v>34000000</v>
          </cell>
          <cell r="H2964">
            <v>34000000</v>
          </cell>
          <cell r="I2964" t="str">
            <v/>
          </cell>
          <cell r="J2964" t="str">
            <v/>
          </cell>
          <cell r="K2964" t="str">
            <v/>
          </cell>
          <cell r="L2964" t="str">
            <v/>
          </cell>
        </row>
        <row r="2965">
          <cell r="A2965">
            <v>34000000</v>
          </cell>
          <cell r="C2965">
            <v>34000000</v>
          </cell>
          <cell r="D2965">
            <v>34000000</v>
          </cell>
          <cell r="E2965">
            <v>34000000</v>
          </cell>
          <cell r="F2965">
            <v>34000000</v>
          </cell>
          <cell r="G2965">
            <v>34000000</v>
          </cell>
          <cell r="H2965">
            <v>34000000</v>
          </cell>
          <cell r="I2965" t="str">
            <v/>
          </cell>
          <cell r="J2965" t="str">
            <v/>
          </cell>
          <cell r="K2965" t="str">
            <v/>
          </cell>
          <cell r="L2965" t="str">
            <v/>
          </cell>
        </row>
        <row r="2966">
          <cell r="A2966">
            <v>34000000</v>
          </cell>
          <cell r="C2966">
            <v>34000000</v>
          </cell>
          <cell r="D2966">
            <v>34000000</v>
          </cell>
          <cell r="E2966">
            <v>34000000</v>
          </cell>
          <cell r="F2966">
            <v>34000000</v>
          </cell>
          <cell r="G2966">
            <v>34000000</v>
          </cell>
          <cell r="H2966">
            <v>34000000</v>
          </cell>
          <cell r="I2966" t="str">
            <v/>
          </cell>
          <cell r="J2966" t="str">
            <v/>
          </cell>
          <cell r="K2966" t="str">
            <v/>
          </cell>
          <cell r="L2966" t="str">
            <v/>
          </cell>
        </row>
        <row r="2967">
          <cell r="A2967">
            <v>34000000</v>
          </cell>
          <cell r="C2967">
            <v>34000000</v>
          </cell>
          <cell r="D2967">
            <v>34000000</v>
          </cell>
          <cell r="E2967">
            <v>34000000</v>
          </cell>
          <cell r="F2967">
            <v>34000000</v>
          </cell>
          <cell r="G2967">
            <v>34000000</v>
          </cell>
          <cell r="H2967">
            <v>34000000</v>
          </cell>
          <cell r="I2967" t="str">
            <v/>
          </cell>
          <cell r="J2967" t="str">
            <v/>
          </cell>
          <cell r="K2967" t="str">
            <v/>
          </cell>
          <cell r="L2967" t="str">
            <v/>
          </cell>
        </row>
        <row r="2968">
          <cell r="A2968">
            <v>34000000</v>
          </cell>
          <cell r="C2968">
            <v>34000000</v>
          </cell>
          <cell r="D2968">
            <v>34000000</v>
          </cell>
          <cell r="E2968">
            <v>34000000</v>
          </cell>
          <cell r="F2968">
            <v>34000000</v>
          </cell>
          <cell r="G2968">
            <v>34000000</v>
          </cell>
          <cell r="H2968">
            <v>34000000</v>
          </cell>
          <cell r="I2968" t="str">
            <v/>
          </cell>
          <cell r="J2968" t="str">
            <v/>
          </cell>
          <cell r="K2968" t="str">
            <v/>
          </cell>
          <cell r="L2968" t="str">
            <v/>
          </cell>
        </row>
        <row r="2969">
          <cell r="A2969">
            <v>34000000</v>
          </cell>
          <cell r="C2969">
            <v>34000000</v>
          </cell>
          <cell r="D2969">
            <v>34000000</v>
          </cell>
          <cell r="E2969">
            <v>34000000</v>
          </cell>
          <cell r="F2969">
            <v>34000000</v>
          </cell>
          <cell r="G2969">
            <v>34000000</v>
          </cell>
          <cell r="H2969">
            <v>34000000</v>
          </cell>
          <cell r="I2969" t="str">
            <v/>
          </cell>
          <cell r="J2969" t="str">
            <v/>
          </cell>
          <cell r="K2969" t="str">
            <v/>
          </cell>
          <cell r="L2969" t="str">
            <v/>
          </cell>
        </row>
        <row r="2970">
          <cell r="A2970">
            <v>34000000</v>
          </cell>
          <cell r="C2970">
            <v>34000000</v>
          </cell>
          <cell r="D2970">
            <v>34000000</v>
          </cell>
          <cell r="E2970">
            <v>34000000</v>
          </cell>
          <cell r="F2970">
            <v>34000000</v>
          </cell>
          <cell r="G2970">
            <v>34000000</v>
          </cell>
          <cell r="H2970">
            <v>34000000</v>
          </cell>
          <cell r="I2970" t="str">
            <v/>
          </cell>
          <cell r="J2970" t="str">
            <v/>
          </cell>
          <cell r="K2970" t="str">
            <v/>
          </cell>
          <cell r="L2970" t="str">
            <v/>
          </cell>
        </row>
        <row r="2971">
          <cell r="A2971">
            <v>34000000</v>
          </cell>
          <cell r="C2971">
            <v>34000000</v>
          </cell>
          <cell r="D2971">
            <v>34000000</v>
          </cell>
          <cell r="E2971">
            <v>34000000</v>
          </cell>
          <cell r="F2971">
            <v>34000000</v>
          </cell>
          <cell r="G2971">
            <v>34000000</v>
          </cell>
          <cell r="H2971">
            <v>34000000</v>
          </cell>
          <cell r="I2971" t="str">
            <v/>
          </cell>
          <cell r="J2971" t="str">
            <v/>
          </cell>
          <cell r="K2971" t="str">
            <v/>
          </cell>
          <cell r="L2971" t="str">
            <v/>
          </cell>
        </row>
        <row r="2972">
          <cell r="A2972">
            <v>34000000</v>
          </cell>
          <cell r="C2972">
            <v>34000000</v>
          </cell>
          <cell r="D2972">
            <v>34000000</v>
          </cell>
          <cell r="E2972">
            <v>34000000</v>
          </cell>
          <cell r="F2972">
            <v>34000000</v>
          </cell>
          <cell r="G2972">
            <v>34000000</v>
          </cell>
          <cell r="H2972">
            <v>34000000</v>
          </cell>
          <cell r="I2972" t="str">
            <v/>
          </cell>
          <cell r="J2972" t="str">
            <v/>
          </cell>
          <cell r="K2972" t="str">
            <v/>
          </cell>
          <cell r="L2972" t="str">
            <v/>
          </cell>
        </row>
        <row r="2973">
          <cell r="A2973">
            <v>34000000</v>
          </cell>
          <cell r="C2973">
            <v>34000000</v>
          </cell>
          <cell r="D2973">
            <v>34000000</v>
          </cell>
          <cell r="E2973">
            <v>34000000</v>
          </cell>
          <cell r="F2973">
            <v>34000000</v>
          </cell>
          <cell r="G2973">
            <v>34000000</v>
          </cell>
          <cell r="H2973">
            <v>34000000</v>
          </cell>
          <cell r="I2973" t="str">
            <v/>
          </cell>
          <cell r="J2973" t="str">
            <v/>
          </cell>
          <cell r="K2973" t="str">
            <v/>
          </cell>
          <cell r="L2973" t="str">
            <v/>
          </cell>
        </row>
        <row r="2974">
          <cell r="A2974">
            <v>34000000</v>
          </cell>
          <cell r="C2974">
            <v>34000000</v>
          </cell>
          <cell r="D2974">
            <v>34000000</v>
          </cell>
          <cell r="E2974">
            <v>34000000</v>
          </cell>
          <cell r="F2974">
            <v>34000000</v>
          </cell>
          <cell r="G2974">
            <v>34000000</v>
          </cell>
          <cell r="H2974">
            <v>34000000</v>
          </cell>
          <cell r="I2974" t="str">
            <v/>
          </cell>
          <cell r="J2974" t="str">
            <v/>
          </cell>
          <cell r="K2974" t="str">
            <v/>
          </cell>
          <cell r="L2974" t="str">
            <v/>
          </cell>
        </row>
        <row r="2975">
          <cell r="A2975">
            <v>34000000</v>
          </cell>
          <cell r="C2975">
            <v>34000000</v>
          </cell>
          <cell r="D2975">
            <v>34000000</v>
          </cell>
          <cell r="E2975">
            <v>34000000</v>
          </cell>
          <cell r="F2975">
            <v>34000000</v>
          </cell>
          <cell r="G2975">
            <v>34000000</v>
          </cell>
          <cell r="H2975">
            <v>34000000</v>
          </cell>
          <cell r="I2975" t="str">
            <v/>
          </cell>
          <cell r="J2975" t="str">
            <v/>
          </cell>
          <cell r="K2975" t="str">
            <v/>
          </cell>
          <cell r="L2975" t="str">
            <v/>
          </cell>
        </row>
        <row r="2976">
          <cell r="A2976">
            <v>34000000</v>
          </cell>
          <cell r="C2976">
            <v>34000000</v>
          </cell>
          <cell r="D2976">
            <v>34000000</v>
          </cell>
          <cell r="E2976">
            <v>34000000</v>
          </cell>
          <cell r="F2976">
            <v>34000000</v>
          </cell>
          <cell r="G2976">
            <v>34000000</v>
          </cell>
          <cell r="H2976">
            <v>34000000</v>
          </cell>
          <cell r="I2976" t="str">
            <v/>
          </cell>
          <cell r="J2976" t="str">
            <v/>
          </cell>
          <cell r="K2976" t="str">
            <v/>
          </cell>
          <cell r="L2976" t="str">
            <v/>
          </cell>
        </row>
        <row r="2977">
          <cell r="A2977">
            <v>34000000</v>
          </cell>
          <cell r="C2977">
            <v>34000000</v>
          </cell>
          <cell r="D2977">
            <v>34000000</v>
          </cell>
          <cell r="E2977">
            <v>34000000</v>
          </cell>
          <cell r="F2977">
            <v>34000000</v>
          </cell>
          <cell r="G2977">
            <v>34000000</v>
          </cell>
          <cell r="H2977">
            <v>34000000</v>
          </cell>
          <cell r="I2977" t="str">
            <v/>
          </cell>
          <cell r="J2977" t="str">
            <v/>
          </cell>
          <cell r="K2977" t="str">
            <v/>
          </cell>
          <cell r="L2977" t="str">
            <v/>
          </cell>
        </row>
        <row r="2978">
          <cell r="A2978">
            <v>34000000</v>
          </cell>
          <cell r="C2978">
            <v>34000000</v>
          </cell>
          <cell r="D2978">
            <v>34000000</v>
          </cell>
          <cell r="E2978">
            <v>34000000</v>
          </cell>
          <cell r="F2978">
            <v>34000000</v>
          </cell>
          <cell r="G2978">
            <v>34000000</v>
          </cell>
          <cell r="H2978">
            <v>34000000</v>
          </cell>
          <cell r="I2978" t="str">
            <v/>
          </cell>
          <cell r="J2978" t="str">
            <v/>
          </cell>
          <cell r="K2978" t="str">
            <v/>
          </cell>
          <cell r="L2978" t="str">
            <v/>
          </cell>
        </row>
        <row r="2979">
          <cell r="A2979">
            <v>34000000</v>
          </cell>
          <cell r="C2979">
            <v>34000000</v>
          </cell>
          <cell r="D2979">
            <v>34000000</v>
          </cell>
          <cell r="E2979">
            <v>34000000</v>
          </cell>
          <cell r="F2979">
            <v>34000000</v>
          </cell>
          <cell r="G2979">
            <v>34000000</v>
          </cell>
          <cell r="H2979">
            <v>34000000</v>
          </cell>
          <cell r="I2979" t="str">
            <v/>
          </cell>
          <cell r="J2979" t="str">
            <v/>
          </cell>
          <cell r="K2979" t="str">
            <v/>
          </cell>
          <cell r="L2979" t="str">
            <v/>
          </cell>
        </row>
        <row r="2980">
          <cell r="A2980">
            <v>34000000</v>
          </cell>
          <cell r="C2980">
            <v>34000000</v>
          </cell>
          <cell r="D2980">
            <v>34000000</v>
          </cell>
          <cell r="E2980">
            <v>34000000</v>
          </cell>
          <cell r="F2980">
            <v>34000000</v>
          </cell>
          <cell r="G2980">
            <v>34000000</v>
          </cell>
          <cell r="H2980">
            <v>34000000</v>
          </cell>
          <cell r="I2980" t="str">
            <v/>
          </cell>
          <cell r="J2980" t="str">
            <v/>
          </cell>
          <cell r="K2980" t="str">
            <v/>
          </cell>
          <cell r="L2980" t="str">
            <v/>
          </cell>
        </row>
        <row r="2981">
          <cell r="A2981">
            <v>34000000</v>
          </cell>
          <cell r="C2981">
            <v>34000000</v>
          </cell>
          <cell r="D2981">
            <v>34000000</v>
          </cell>
          <cell r="E2981">
            <v>34000000</v>
          </cell>
          <cell r="F2981">
            <v>34000000</v>
          </cell>
          <cell r="G2981">
            <v>34000000</v>
          </cell>
          <cell r="H2981">
            <v>34000000</v>
          </cell>
          <cell r="I2981" t="str">
            <v/>
          </cell>
          <cell r="J2981" t="str">
            <v/>
          </cell>
          <cell r="K2981" t="str">
            <v/>
          </cell>
          <cell r="L2981" t="str">
            <v/>
          </cell>
        </row>
        <row r="2982">
          <cell r="A2982">
            <v>34000000</v>
          </cell>
          <cell r="C2982">
            <v>34000000</v>
          </cell>
          <cell r="D2982">
            <v>34000000</v>
          </cell>
          <cell r="E2982">
            <v>34000000</v>
          </cell>
          <cell r="F2982">
            <v>34000000</v>
          </cell>
          <cell r="G2982">
            <v>34000000</v>
          </cell>
          <cell r="H2982">
            <v>34000000</v>
          </cell>
          <cell r="I2982" t="str">
            <v/>
          </cell>
          <cell r="J2982" t="str">
            <v/>
          </cell>
          <cell r="K2982" t="str">
            <v/>
          </cell>
          <cell r="L2982" t="str">
            <v/>
          </cell>
        </row>
        <row r="2983">
          <cell r="A2983">
            <v>34000000</v>
          </cell>
          <cell r="C2983">
            <v>34000000</v>
          </cell>
          <cell r="D2983">
            <v>34000000</v>
          </cell>
          <cell r="E2983">
            <v>34000000</v>
          </cell>
          <cell r="F2983">
            <v>34000000</v>
          </cell>
          <cell r="G2983">
            <v>34000000</v>
          </cell>
          <cell r="H2983">
            <v>34000000</v>
          </cell>
          <cell r="I2983" t="str">
            <v/>
          </cell>
          <cell r="J2983" t="str">
            <v/>
          </cell>
          <cell r="K2983" t="str">
            <v/>
          </cell>
          <cell r="L2983" t="str">
            <v/>
          </cell>
        </row>
        <row r="2984">
          <cell r="A2984">
            <v>34000000</v>
          </cell>
          <cell r="C2984">
            <v>34000000</v>
          </cell>
          <cell r="D2984">
            <v>34000000</v>
          </cell>
          <cell r="E2984">
            <v>34000000</v>
          </cell>
          <cell r="F2984">
            <v>34000000</v>
          </cell>
          <cell r="G2984">
            <v>34000000</v>
          </cell>
          <cell r="H2984">
            <v>34000000</v>
          </cell>
          <cell r="I2984" t="str">
            <v/>
          </cell>
          <cell r="J2984" t="str">
            <v/>
          </cell>
          <cell r="K2984" t="str">
            <v/>
          </cell>
          <cell r="L2984" t="str">
            <v/>
          </cell>
        </row>
        <row r="2985">
          <cell r="A2985">
            <v>34000000</v>
          </cell>
          <cell r="C2985">
            <v>34000000</v>
          </cell>
          <cell r="D2985">
            <v>34000000</v>
          </cell>
          <cell r="E2985">
            <v>34000000</v>
          </cell>
          <cell r="F2985">
            <v>34000000</v>
          </cell>
          <cell r="G2985">
            <v>34000000</v>
          </cell>
          <cell r="H2985">
            <v>34000000</v>
          </cell>
          <cell r="I2985" t="str">
            <v/>
          </cell>
          <cell r="J2985" t="str">
            <v/>
          </cell>
          <cell r="K2985" t="str">
            <v/>
          </cell>
          <cell r="L2985" t="str">
            <v/>
          </cell>
        </row>
        <row r="2986">
          <cell r="A2986">
            <v>34000000</v>
          </cell>
          <cell r="C2986">
            <v>34000000</v>
          </cell>
          <cell r="D2986">
            <v>34000000</v>
          </cell>
          <cell r="E2986">
            <v>34000000</v>
          </cell>
          <cell r="F2986">
            <v>34000000</v>
          </cell>
          <cell r="G2986">
            <v>34000000</v>
          </cell>
          <cell r="H2986">
            <v>34000000</v>
          </cell>
          <cell r="I2986" t="str">
            <v/>
          </cell>
          <cell r="J2986" t="str">
            <v/>
          </cell>
          <cell r="K2986" t="str">
            <v/>
          </cell>
          <cell r="L2986" t="str">
            <v/>
          </cell>
        </row>
        <row r="2987">
          <cell r="A2987">
            <v>34000000</v>
          </cell>
          <cell r="C2987">
            <v>34000000</v>
          </cell>
          <cell r="D2987">
            <v>34000000</v>
          </cell>
          <cell r="E2987">
            <v>34000000</v>
          </cell>
          <cell r="F2987">
            <v>34000000</v>
          </cell>
          <cell r="G2987">
            <v>34000000</v>
          </cell>
          <cell r="H2987">
            <v>34000000</v>
          </cell>
          <cell r="I2987" t="str">
            <v/>
          </cell>
          <cell r="J2987" t="str">
            <v/>
          </cell>
          <cell r="K2987" t="str">
            <v/>
          </cell>
          <cell r="L2987" t="str">
            <v/>
          </cell>
        </row>
        <row r="2988">
          <cell r="A2988">
            <v>34000000</v>
          </cell>
          <cell r="C2988">
            <v>34000000</v>
          </cell>
          <cell r="D2988">
            <v>34000000</v>
          </cell>
          <cell r="E2988">
            <v>34000000</v>
          </cell>
          <cell r="F2988">
            <v>34000000</v>
          </cell>
          <cell r="G2988">
            <v>34000000</v>
          </cell>
          <cell r="H2988">
            <v>34000000</v>
          </cell>
          <cell r="I2988" t="str">
            <v/>
          </cell>
          <cell r="J2988" t="str">
            <v/>
          </cell>
          <cell r="K2988" t="str">
            <v/>
          </cell>
          <cell r="L2988" t="str">
            <v/>
          </cell>
        </row>
        <row r="2989">
          <cell r="A2989">
            <v>34000000</v>
          </cell>
          <cell r="C2989">
            <v>34000000</v>
          </cell>
          <cell r="D2989">
            <v>34000000</v>
          </cell>
          <cell r="E2989">
            <v>34000000</v>
          </cell>
          <cell r="F2989">
            <v>34000000</v>
          </cell>
          <cell r="G2989">
            <v>34000000</v>
          </cell>
          <cell r="H2989">
            <v>34000000</v>
          </cell>
          <cell r="I2989" t="str">
            <v/>
          </cell>
          <cell r="J2989" t="str">
            <v/>
          </cell>
          <cell r="K2989" t="str">
            <v/>
          </cell>
          <cell r="L2989" t="str">
            <v/>
          </cell>
        </row>
        <row r="2990">
          <cell r="A2990">
            <v>34000000</v>
          </cell>
          <cell r="C2990">
            <v>34000000</v>
          </cell>
          <cell r="D2990">
            <v>34000000</v>
          </cell>
          <cell r="E2990">
            <v>34000000</v>
          </cell>
          <cell r="F2990">
            <v>34000000</v>
          </cell>
          <cell r="G2990">
            <v>34000000</v>
          </cell>
          <cell r="H2990">
            <v>34000000</v>
          </cell>
          <cell r="I2990" t="str">
            <v/>
          </cell>
          <cell r="J2990" t="str">
            <v/>
          </cell>
          <cell r="K2990" t="str">
            <v/>
          </cell>
          <cell r="L2990" t="str">
            <v/>
          </cell>
        </row>
        <row r="2991">
          <cell r="A2991">
            <v>34000000</v>
          </cell>
          <cell r="C2991">
            <v>34000000</v>
          </cell>
          <cell r="D2991">
            <v>34000000</v>
          </cell>
          <cell r="E2991">
            <v>34000000</v>
          </cell>
          <cell r="F2991">
            <v>34000000</v>
          </cell>
          <cell r="G2991">
            <v>34000000</v>
          </cell>
          <cell r="H2991">
            <v>34000000</v>
          </cell>
          <cell r="I2991" t="str">
            <v/>
          </cell>
          <cell r="J2991" t="str">
            <v/>
          </cell>
          <cell r="K2991" t="str">
            <v/>
          </cell>
          <cell r="L2991" t="str">
            <v/>
          </cell>
        </row>
        <row r="2992">
          <cell r="A2992">
            <v>34000000</v>
          </cell>
          <cell r="C2992">
            <v>34000000</v>
          </cell>
          <cell r="D2992">
            <v>34000000</v>
          </cell>
          <cell r="E2992">
            <v>34000000</v>
          </cell>
          <cell r="F2992">
            <v>34000000</v>
          </cell>
          <cell r="G2992">
            <v>34000000</v>
          </cell>
          <cell r="H2992">
            <v>34000000</v>
          </cell>
          <cell r="I2992" t="str">
            <v/>
          </cell>
          <cell r="J2992" t="str">
            <v/>
          </cell>
          <cell r="K2992" t="str">
            <v/>
          </cell>
          <cell r="L2992" t="str">
            <v/>
          </cell>
        </row>
        <row r="2993">
          <cell r="A2993">
            <v>34000000</v>
          </cell>
          <cell r="C2993">
            <v>34000000</v>
          </cell>
          <cell r="D2993">
            <v>34000000</v>
          </cell>
          <cell r="E2993">
            <v>34000000</v>
          </cell>
          <cell r="F2993">
            <v>34000000</v>
          </cell>
          <cell r="G2993">
            <v>34000000</v>
          </cell>
          <cell r="H2993">
            <v>34000000</v>
          </cell>
          <cell r="I2993" t="str">
            <v/>
          </cell>
          <cell r="J2993" t="str">
            <v/>
          </cell>
          <cell r="K2993" t="str">
            <v/>
          </cell>
          <cell r="L2993" t="str">
            <v/>
          </cell>
        </row>
        <row r="2994">
          <cell r="A2994">
            <v>34000000</v>
          </cell>
          <cell r="C2994">
            <v>34000000</v>
          </cell>
          <cell r="D2994">
            <v>34000000</v>
          </cell>
          <cell r="E2994">
            <v>34000000</v>
          </cell>
          <cell r="F2994">
            <v>34000000</v>
          </cell>
          <cell r="G2994">
            <v>34000000</v>
          </cell>
          <cell r="H2994">
            <v>34000000</v>
          </cell>
          <cell r="I2994" t="str">
            <v/>
          </cell>
          <cell r="J2994" t="str">
            <v/>
          </cell>
          <cell r="K2994" t="str">
            <v/>
          </cell>
          <cell r="L2994" t="str">
            <v/>
          </cell>
        </row>
        <row r="2995">
          <cell r="A2995">
            <v>34000000</v>
          </cell>
          <cell r="C2995">
            <v>34000000</v>
          </cell>
          <cell r="D2995">
            <v>34000000</v>
          </cell>
          <cell r="E2995">
            <v>34000000</v>
          </cell>
          <cell r="F2995">
            <v>34000000</v>
          </cell>
          <cell r="G2995">
            <v>34000000</v>
          </cell>
          <cell r="H2995">
            <v>34000000</v>
          </cell>
          <cell r="I2995" t="str">
            <v/>
          </cell>
          <cell r="J2995" t="str">
            <v/>
          </cell>
          <cell r="K2995" t="str">
            <v/>
          </cell>
          <cell r="L2995" t="str">
            <v/>
          </cell>
        </row>
        <row r="2996">
          <cell r="A2996">
            <v>34000000</v>
          </cell>
          <cell r="C2996">
            <v>34000000</v>
          </cell>
          <cell r="D2996">
            <v>34000000</v>
          </cell>
          <cell r="E2996">
            <v>34000000</v>
          </cell>
          <cell r="F2996">
            <v>34000000</v>
          </cell>
          <cell r="G2996">
            <v>34000000</v>
          </cell>
          <cell r="H2996">
            <v>34000000</v>
          </cell>
          <cell r="I2996" t="str">
            <v/>
          </cell>
          <cell r="J2996" t="str">
            <v/>
          </cell>
          <cell r="K2996" t="str">
            <v/>
          </cell>
          <cell r="L2996" t="str">
            <v/>
          </cell>
        </row>
        <row r="2997">
          <cell r="A2997">
            <v>34000000</v>
          </cell>
          <cell r="C2997">
            <v>34000000</v>
          </cell>
          <cell r="D2997">
            <v>34000000</v>
          </cell>
          <cell r="E2997">
            <v>34000000</v>
          </cell>
          <cell r="F2997">
            <v>34000000</v>
          </cell>
          <cell r="G2997">
            <v>34000000</v>
          </cell>
          <cell r="H2997">
            <v>34000000</v>
          </cell>
          <cell r="I2997" t="str">
            <v/>
          </cell>
          <cell r="J2997" t="str">
            <v/>
          </cell>
          <cell r="K2997" t="str">
            <v/>
          </cell>
          <cell r="L2997" t="str">
            <v/>
          </cell>
        </row>
        <row r="2998">
          <cell r="A2998">
            <v>34000000</v>
          </cell>
          <cell r="C2998">
            <v>34000000</v>
          </cell>
          <cell r="D2998">
            <v>34000000</v>
          </cell>
          <cell r="E2998">
            <v>34000000</v>
          </cell>
          <cell r="F2998">
            <v>34000000</v>
          </cell>
          <cell r="G2998">
            <v>34000000</v>
          </cell>
          <cell r="H2998">
            <v>34000000</v>
          </cell>
          <cell r="I2998" t="str">
            <v/>
          </cell>
          <cell r="J2998" t="str">
            <v/>
          </cell>
          <cell r="K2998" t="str">
            <v/>
          </cell>
          <cell r="L2998" t="str">
            <v/>
          </cell>
        </row>
        <row r="2999">
          <cell r="A2999">
            <v>34000000</v>
          </cell>
          <cell r="C2999">
            <v>34000000</v>
          </cell>
          <cell r="D2999">
            <v>34000000</v>
          </cell>
          <cell r="E2999">
            <v>34000000</v>
          </cell>
          <cell r="F2999">
            <v>34000000</v>
          </cell>
          <cell r="G2999">
            <v>34000000</v>
          </cell>
          <cell r="H2999">
            <v>34000000</v>
          </cell>
          <cell r="I2999" t="str">
            <v/>
          </cell>
          <cell r="J2999" t="str">
            <v/>
          </cell>
          <cell r="K2999" t="str">
            <v/>
          </cell>
          <cell r="L2999" t="str">
            <v/>
          </cell>
        </row>
        <row r="3000">
          <cell r="A3000">
            <v>34000000</v>
          </cell>
          <cell r="C3000">
            <v>34000000</v>
          </cell>
          <cell r="D3000">
            <v>34000000</v>
          </cell>
          <cell r="E3000">
            <v>34000000</v>
          </cell>
          <cell r="F3000">
            <v>34000000</v>
          </cell>
          <cell r="G3000">
            <v>34000000</v>
          </cell>
          <cell r="H3000">
            <v>34000000</v>
          </cell>
          <cell r="I3000" t="str">
            <v/>
          </cell>
          <cell r="J3000" t="str">
            <v/>
          </cell>
          <cell r="K3000" t="str">
            <v/>
          </cell>
          <cell r="L3000" t="str">
            <v/>
          </cell>
        </row>
        <row r="3001">
          <cell r="A3001">
            <v>34000000</v>
          </cell>
          <cell r="C3001">
            <v>34000000</v>
          </cell>
          <cell r="D3001">
            <v>34000000</v>
          </cell>
          <cell r="E3001">
            <v>34000000</v>
          </cell>
          <cell r="F3001">
            <v>34000000</v>
          </cell>
          <cell r="G3001">
            <v>34000000</v>
          </cell>
          <cell r="H3001">
            <v>34000000</v>
          </cell>
          <cell r="I3001" t="str">
            <v/>
          </cell>
          <cell r="J3001" t="str">
            <v/>
          </cell>
          <cell r="K3001" t="str">
            <v/>
          </cell>
          <cell r="L3001" t="str">
            <v/>
          </cell>
        </row>
        <row r="3002">
          <cell r="A3002">
            <v>34000000</v>
          </cell>
          <cell r="C3002">
            <v>34000000</v>
          </cell>
          <cell r="D3002">
            <v>34000000</v>
          </cell>
          <cell r="E3002">
            <v>34000000</v>
          </cell>
          <cell r="F3002">
            <v>34000000</v>
          </cell>
          <cell r="G3002">
            <v>34000000</v>
          </cell>
          <cell r="H3002">
            <v>34000000</v>
          </cell>
          <cell r="I3002" t="str">
            <v/>
          </cell>
          <cell r="J3002" t="str">
            <v/>
          </cell>
          <cell r="K3002" t="str">
            <v/>
          </cell>
          <cell r="L3002" t="str">
            <v/>
          </cell>
        </row>
        <row r="3003">
          <cell r="A3003">
            <v>34000000</v>
          </cell>
          <cell r="C3003">
            <v>34000000</v>
          </cell>
          <cell r="D3003">
            <v>34000000</v>
          </cell>
          <cell r="E3003">
            <v>34000000</v>
          </cell>
          <cell r="F3003">
            <v>34000000</v>
          </cell>
          <cell r="G3003">
            <v>34000000</v>
          </cell>
          <cell r="H3003">
            <v>34000000</v>
          </cell>
          <cell r="I3003" t="str">
            <v/>
          </cell>
          <cell r="J3003" t="str">
            <v/>
          </cell>
          <cell r="K3003" t="str">
            <v/>
          </cell>
          <cell r="L3003" t="str">
            <v/>
          </cell>
        </row>
        <row r="3004">
          <cell r="A3004">
            <v>34000000</v>
          </cell>
          <cell r="C3004">
            <v>34000000</v>
          </cell>
          <cell r="D3004">
            <v>34000000</v>
          </cell>
          <cell r="E3004">
            <v>34000000</v>
          </cell>
          <cell r="F3004">
            <v>34000000</v>
          </cell>
          <cell r="G3004">
            <v>34000000</v>
          </cell>
          <cell r="H3004">
            <v>34000000</v>
          </cell>
          <cell r="I3004" t="str">
            <v/>
          </cell>
          <cell r="J3004" t="str">
            <v/>
          </cell>
          <cell r="K3004" t="str">
            <v/>
          </cell>
          <cell r="L3004" t="str">
            <v/>
          </cell>
        </row>
        <row r="3005">
          <cell r="A3005">
            <v>34000000</v>
          </cell>
          <cell r="C3005">
            <v>34000000</v>
          </cell>
          <cell r="D3005">
            <v>34000000</v>
          </cell>
          <cell r="E3005">
            <v>34000000</v>
          </cell>
          <cell r="F3005">
            <v>34000000</v>
          </cell>
          <cell r="G3005">
            <v>34000000</v>
          </cell>
          <cell r="H3005">
            <v>34000000</v>
          </cell>
          <cell r="I3005" t="str">
            <v/>
          </cell>
          <cell r="J3005" t="str">
            <v/>
          </cell>
          <cell r="K3005" t="str">
            <v/>
          </cell>
          <cell r="L3005" t="str">
            <v/>
          </cell>
        </row>
        <row r="3006">
          <cell r="A3006">
            <v>34000000</v>
          </cell>
          <cell r="C3006">
            <v>34000000</v>
          </cell>
          <cell r="D3006">
            <v>34000000</v>
          </cell>
          <cell r="E3006">
            <v>34000000</v>
          </cell>
          <cell r="F3006">
            <v>34000000</v>
          </cell>
          <cell r="G3006">
            <v>34000000</v>
          </cell>
          <cell r="H3006">
            <v>34000000</v>
          </cell>
          <cell r="I3006" t="str">
            <v/>
          </cell>
          <cell r="J3006" t="str">
            <v/>
          </cell>
          <cell r="K3006" t="str">
            <v/>
          </cell>
          <cell r="L3006" t="str">
            <v/>
          </cell>
        </row>
        <row r="3007">
          <cell r="A3007">
            <v>34000000</v>
          </cell>
          <cell r="C3007">
            <v>34000000</v>
          </cell>
          <cell r="D3007">
            <v>34000000</v>
          </cell>
          <cell r="E3007">
            <v>34000000</v>
          </cell>
          <cell r="F3007">
            <v>34000000</v>
          </cell>
          <cell r="G3007">
            <v>34000000</v>
          </cell>
          <cell r="H3007">
            <v>34000000</v>
          </cell>
          <cell r="I3007" t="str">
            <v/>
          </cell>
          <cell r="J3007" t="str">
            <v/>
          </cell>
          <cell r="K3007" t="str">
            <v/>
          </cell>
          <cell r="L3007" t="str">
            <v/>
          </cell>
        </row>
        <row r="3008">
          <cell r="A3008">
            <v>34000000</v>
          </cell>
          <cell r="C3008">
            <v>34000000</v>
          </cell>
          <cell r="D3008">
            <v>34000000</v>
          </cell>
          <cell r="E3008">
            <v>34000000</v>
          </cell>
          <cell r="F3008">
            <v>34000000</v>
          </cell>
          <cell r="G3008">
            <v>34000000</v>
          </cell>
          <cell r="H3008">
            <v>34000000</v>
          </cell>
          <cell r="I3008" t="str">
            <v/>
          </cell>
          <cell r="J3008" t="str">
            <v/>
          </cell>
          <cell r="K3008" t="str">
            <v/>
          </cell>
          <cell r="L3008" t="str">
            <v/>
          </cell>
        </row>
        <row r="3009">
          <cell r="A3009">
            <v>34000000</v>
          </cell>
          <cell r="C3009">
            <v>34000000</v>
          </cell>
          <cell r="D3009">
            <v>34000000</v>
          </cell>
          <cell r="E3009">
            <v>34000000</v>
          </cell>
          <cell r="F3009">
            <v>34000000</v>
          </cell>
          <cell r="G3009">
            <v>34000000</v>
          </cell>
          <cell r="H3009">
            <v>34000000</v>
          </cell>
          <cell r="I3009" t="str">
            <v/>
          </cell>
          <cell r="J3009" t="str">
            <v/>
          </cell>
          <cell r="K3009" t="str">
            <v/>
          </cell>
          <cell r="L3009" t="str">
            <v/>
          </cell>
        </row>
        <row r="3010">
          <cell r="A3010">
            <v>34000000</v>
          </cell>
          <cell r="C3010">
            <v>34000000</v>
          </cell>
          <cell r="D3010">
            <v>34000000</v>
          </cell>
          <cell r="E3010">
            <v>34000000</v>
          </cell>
          <cell r="F3010">
            <v>34000000</v>
          </cell>
          <cell r="G3010">
            <v>34000000</v>
          </cell>
          <cell r="H3010">
            <v>34000000</v>
          </cell>
          <cell r="I3010" t="str">
            <v/>
          </cell>
          <cell r="J3010" t="str">
            <v/>
          </cell>
          <cell r="K3010" t="str">
            <v/>
          </cell>
          <cell r="L3010" t="str">
            <v/>
          </cell>
        </row>
        <row r="3011">
          <cell r="A3011">
            <v>34000000</v>
          </cell>
          <cell r="C3011">
            <v>34000000</v>
          </cell>
          <cell r="D3011">
            <v>34000000</v>
          </cell>
          <cell r="E3011">
            <v>34000000</v>
          </cell>
          <cell r="F3011">
            <v>34000000</v>
          </cell>
          <cell r="G3011">
            <v>34000000</v>
          </cell>
          <cell r="H3011">
            <v>34000000</v>
          </cell>
          <cell r="I3011" t="str">
            <v/>
          </cell>
          <cell r="J3011" t="str">
            <v/>
          </cell>
          <cell r="K3011" t="str">
            <v/>
          </cell>
          <cell r="L3011" t="str">
            <v/>
          </cell>
        </row>
        <row r="3012">
          <cell r="A3012">
            <v>34000000</v>
          </cell>
          <cell r="C3012">
            <v>34000000</v>
          </cell>
          <cell r="D3012">
            <v>34000000</v>
          </cell>
          <cell r="E3012">
            <v>34000000</v>
          </cell>
          <cell r="F3012">
            <v>34000000</v>
          </cell>
          <cell r="G3012">
            <v>34000000</v>
          </cell>
          <cell r="H3012">
            <v>34000000</v>
          </cell>
          <cell r="I3012" t="str">
            <v/>
          </cell>
          <cell r="J3012" t="str">
            <v/>
          </cell>
          <cell r="K3012" t="str">
            <v/>
          </cell>
          <cell r="L3012" t="str">
            <v/>
          </cell>
        </row>
        <row r="3013">
          <cell r="A3013">
            <v>34000000</v>
          </cell>
          <cell r="C3013">
            <v>34000000</v>
          </cell>
          <cell r="D3013">
            <v>34000000</v>
          </cell>
          <cell r="E3013">
            <v>34000000</v>
          </cell>
          <cell r="F3013">
            <v>34000000</v>
          </cell>
          <cell r="G3013">
            <v>34000000</v>
          </cell>
          <cell r="H3013">
            <v>34000000</v>
          </cell>
          <cell r="I3013" t="str">
            <v/>
          </cell>
          <cell r="J3013" t="str">
            <v/>
          </cell>
          <cell r="K3013" t="str">
            <v/>
          </cell>
          <cell r="L3013" t="str">
            <v/>
          </cell>
        </row>
        <row r="3014">
          <cell r="A3014">
            <v>34000000</v>
          </cell>
          <cell r="C3014">
            <v>34000000</v>
          </cell>
          <cell r="D3014">
            <v>34000000</v>
          </cell>
          <cell r="E3014">
            <v>34000000</v>
          </cell>
          <cell r="F3014">
            <v>34000000</v>
          </cell>
          <cell r="G3014">
            <v>34000000</v>
          </cell>
          <cell r="H3014">
            <v>34000000</v>
          </cell>
          <cell r="I3014" t="str">
            <v/>
          </cell>
          <cell r="J3014" t="str">
            <v/>
          </cell>
          <cell r="K3014" t="str">
            <v/>
          </cell>
          <cell r="L3014" t="str">
            <v/>
          </cell>
        </row>
        <row r="3015">
          <cell r="A3015">
            <v>34000000</v>
          </cell>
          <cell r="C3015">
            <v>34000000</v>
          </cell>
          <cell r="D3015">
            <v>34000000</v>
          </cell>
          <cell r="E3015">
            <v>34000000</v>
          </cell>
          <cell r="F3015">
            <v>34000000</v>
          </cell>
          <cell r="G3015">
            <v>34000000</v>
          </cell>
          <cell r="H3015">
            <v>34000000</v>
          </cell>
          <cell r="I3015" t="str">
            <v/>
          </cell>
          <cell r="J3015" t="str">
            <v/>
          </cell>
          <cell r="K3015" t="str">
            <v/>
          </cell>
          <cell r="L3015" t="str">
            <v/>
          </cell>
        </row>
        <row r="3016">
          <cell r="A3016">
            <v>34000000</v>
          </cell>
          <cell r="C3016">
            <v>34000000</v>
          </cell>
          <cell r="D3016">
            <v>34000000</v>
          </cell>
          <cell r="E3016">
            <v>34000000</v>
          </cell>
          <cell r="F3016">
            <v>34000000</v>
          </cell>
          <cell r="G3016">
            <v>34000000</v>
          </cell>
          <cell r="H3016">
            <v>34000000</v>
          </cell>
          <cell r="I3016" t="str">
            <v/>
          </cell>
          <cell r="J3016" t="str">
            <v/>
          </cell>
          <cell r="K3016" t="str">
            <v/>
          </cell>
          <cell r="L3016" t="str">
            <v/>
          </cell>
        </row>
        <row r="3017">
          <cell r="A3017">
            <v>34000000</v>
          </cell>
          <cell r="C3017">
            <v>34000000</v>
          </cell>
          <cell r="D3017">
            <v>34000000</v>
          </cell>
          <cell r="E3017">
            <v>34000000</v>
          </cell>
          <cell r="F3017">
            <v>34000000</v>
          </cell>
          <cell r="G3017">
            <v>34000000</v>
          </cell>
          <cell r="H3017">
            <v>34000000</v>
          </cell>
          <cell r="I3017" t="str">
            <v/>
          </cell>
          <cell r="J3017" t="str">
            <v/>
          </cell>
          <cell r="K3017" t="str">
            <v/>
          </cell>
          <cell r="L3017" t="str">
            <v/>
          </cell>
        </row>
        <row r="3018">
          <cell r="A3018">
            <v>34000000</v>
          </cell>
          <cell r="C3018">
            <v>34000000</v>
          </cell>
          <cell r="D3018">
            <v>34000000</v>
          </cell>
          <cell r="E3018">
            <v>34000000</v>
          </cell>
          <cell r="F3018">
            <v>34000000</v>
          </cell>
          <cell r="G3018">
            <v>34000000</v>
          </cell>
          <cell r="H3018">
            <v>34000000</v>
          </cell>
          <cell r="I3018" t="str">
            <v/>
          </cell>
          <cell r="J3018" t="str">
            <v/>
          </cell>
          <cell r="K3018" t="str">
            <v/>
          </cell>
          <cell r="L3018" t="str">
            <v/>
          </cell>
        </row>
        <row r="3019">
          <cell r="A3019">
            <v>34000000</v>
          </cell>
          <cell r="C3019">
            <v>34000000</v>
          </cell>
          <cell r="D3019">
            <v>34000000</v>
          </cell>
          <cell r="E3019">
            <v>34000000</v>
          </cell>
          <cell r="F3019">
            <v>34000000</v>
          </cell>
          <cell r="G3019">
            <v>34000000</v>
          </cell>
          <cell r="H3019">
            <v>34000000</v>
          </cell>
          <cell r="I3019" t="str">
            <v/>
          </cell>
          <cell r="J3019" t="str">
            <v/>
          </cell>
          <cell r="K3019" t="str">
            <v/>
          </cell>
          <cell r="L3019" t="str">
            <v/>
          </cell>
        </row>
        <row r="3020">
          <cell r="A3020">
            <v>34000000</v>
          </cell>
          <cell r="C3020">
            <v>34000000</v>
          </cell>
          <cell r="D3020">
            <v>34000000</v>
          </cell>
          <cell r="E3020">
            <v>34000000</v>
          </cell>
          <cell r="F3020">
            <v>34000000</v>
          </cell>
          <cell r="G3020">
            <v>34000000</v>
          </cell>
          <cell r="H3020">
            <v>34000000</v>
          </cell>
          <cell r="I3020" t="str">
            <v/>
          </cell>
          <cell r="J3020" t="str">
            <v/>
          </cell>
          <cell r="K3020" t="str">
            <v/>
          </cell>
          <cell r="L3020" t="str">
            <v/>
          </cell>
        </row>
        <row r="3021">
          <cell r="A3021">
            <v>34000000</v>
          </cell>
          <cell r="C3021">
            <v>34000000</v>
          </cell>
          <cell r="D3021">
            <v>34000000</v>
          </cell>
          <cell r="E3021">
            <v>34000000</v>
          </cell>
          <cell r="F3021">
            <v>34000000</v>
          </cell>
          <cell r="G3021">
            <v>34000000</v>
          </cell>
          <cell r="H3021">
            <v>34000000</v>
          </cell>
          <cell r="I3021" t="str">
            <v/>
          </cell>
          <cell r="J3021" t="str">
            <v/>
          </cell>
          <cell r="K3021" t="str">
            <v/>
          </cell>
          <cell r="L3021" t="str">
            <v/>
          </cell>
        </row>
        <row r="3022">
          <cell r="A3022">
            <v>34000000</v>
          </cell>
          <cell r="C3022">
            <v>34000000</v>
          </cell>
          <cell r="D3022">
            <v>34000000</v>
          </cell>
          <cell r="E3022">
            <v>34000000</v>
          </cell>
          <cell r="F3022">
            <v>34000000</v>
          </cell>
          <cell r="G3022">
            <v>34000000</v>
          </cell>
          <cell r="H3022">
            <v>34000000</v>
          </cell>
          <cell r="I3022" t="str">
            <v/>
          </cell>
          <cell r="J3022" t="str">
            <v/>
          </cell>
          <cell r="K3022" t="str">
            <v/>
          </cell>
          <cell r="L3022" t="str">
            <v/>
          </cell>
        </row>
        <row r="3023">
          <cell r="A3023">
            <v>34000000</v>
          </cell>
          <cell r="C3023">
            <v>34000000</v>
          </cell>
          <cell r="D3023">
            <v>34000000</v>
          </cell>
          <cell r="E3023">
            <v>34000000</v>
          </cell>
          <cell r="F3023">
            <v>34000000</v>
          </cell>
          <cell r="G3023">
            <v>34000000</v>
          </cell>
          <cell r="H3023">
            <v>34000000</v>
          </cell>
          <cell r="I3023" t="str">
            <v/>
          </cell>
          <cell r="J3023" t="str">
            <v/>
          </cell>
          <cell r="K3023" t="str">
            <v/>
          </cell>
          <cell r="L3023" t="str">
            <v/>
          </cell>
        </row>
        <row r="3024">
          <cell r="A3024">
            <v>34000000</v>
          </cell>
          <cell r="C3024">
            <v>34000000</v>
          </cell>
          <cell r="D3024">
            <v>34000000</v>
          </cell>
          <cell r="E3024">
            <v>34000000</v>
          </cell>
          <cell r="F3024">
            <v>34000000</v>
          </cell>
          <cell r="G3024">
            <v>34000000</v>
          </cell>
          <cell r="H3024">
            <v>34000000</v>
          </cell>
          <cell r="I3024" t="str">
            <v/>
          </cell>
          <cell r="J3024" t="str">
            <v/>
          </cell>
          <cell r="K3024" t="str">
            <v/>
          </cell>
          <cell r="L3024" t="str">
            <v/>
          </cell>
        </row>
        <row r="3025">
          <cell r="A3025">
            <v>34000000</v>
          </cell>
          <cell r="C3025">
            <v>34000000</v>
          </cell>
          <cell r="D3025">
            <v>34000000</v>
          </cell>
          <cell r="E3025">
            <v>34000000</v>
          </cell>
          <cell r="F3025">
            <v>34000000</v>
          </cell>
          <cell r="G3025">
            <v>34000000</v>
          </cell>
          <cell r="H3025">
            <v>34000000</v>
          </cell>
          <cell r="I3025" t="str">
            <v/>
          </cell>
          <cell r="J3025" t="str">
            <v/>
          </cell>
          <cell r="K3025" t="str">
            <v/>
          </cell>
          <cell r="L3025" t="str">
            <v/>
          </cell>
        </row>
        <row r="3026">
          <cell r="A3026">
            <v>34000000</v>
          </cell>
          <cell r="C3026">
            <v>34000000</v>
          </cell>
          <cell r="D3026">
            <v>34000000</v>
          </cell>
          <cell r="E3026">
            <v>34000000</v>
          </cell>
          <cell r="F3026">
            <v>34000000</v>
          </cell>
          <cell r="G3026">
            <v>34000000</v>
          </cell>
          <cell r="H3026">
            <v>34000000</v>
          </cell>
          <cell r="I3026" t="str">
            <v/>
          </cell>
          <cell r="J3026" t="str">
            <v/>
          </cell>
          <cell r="K3026" t="str">
            <v/>
          </cell>
          <cell r="L3026" t="str">
            <v/>
          </cell>
        </row>
        <row r="3027">
          <cell r="A3027">
            <v>34000000</v>
          </cell>
          <cell r="C3027">
            <v>34000000</v>
          </cell>
          <cell r="D3027">
            <v>34000000</v>
          </cell>
          <cell r="E3027">
            <v>34000000</v>
          </cell>
          <cell r="F3027">
            <v>34000000</v>
          </cell>
          <cell r="G3027">
            <v>34000000</v>
          </cell>
          <cell r="H3027">
            <v>34000000</v>
          </cell>
          <cell r="I3027" t="str">
            <v/>
          </cell>
          <cell r="J3027" t="str">
            <v/>
          </cell>
          <cell r="K3027" t="str">
            <v/>
          </cell>
          <cell r="L3027" t="str">
            <v/>
          </cell>
        </row>
        <row r="3028">
          <cell r="A3028">
            <v>34000000</v>
          </cell>
          <cell r="C3028">
            <v>34000000</v>
          </cell>
          <cell r="D3028">
            <v>34000000</v>
          </cell>
          <cell r="E3028">
            <v>34000000</v>
          </cell>
          <cell r="F3028">
            <v>34000000</v>
          </cell>
          <cell r="G3028">
            <v>34000000</v>
          </cell>
          <cell r="H3028">
            <v>34000000</v>
          </cell>
          <cell r="I3028" t="str">
            <v/>
          </cell>
          <cell r="J3028" t="str">
            <v/>
          </cell>
          <cell r="K3028" t="str">
            <v/>
          </cell>
          <cell r="L3028" t="str">
            <v/>
          </cell>
        </row>
        <row r="3029">
          <cell r="A3029">
            <v>34000000</v>
          </cell>
          <cell r="C3029">
            <v>34000000</v>
          </cell>
          <cell r="D3029">
            <v>34000000</v>
          </cell>
          <cell r="E3029">
            <v>34000000</v>
          </cell>
          <cell r="F3029">
            <v>34000000</v>
          </cell>
          <cell r="G3029">
            <v>34000000</v>
          </cell>
          <cell r="H3029">
            <v>34000000</v>
          </cell>
          <cell r="I3029" t="str">
            <v/>
          </cell>
          <cell r="J3029" t="str">
            <v/>
          </cell>
          <cell r="K3029" t="str">
            <v/>
          </cell>
          <cell r="L3029" t="str">
            <v/>
          </cell>
        </row>
        <row r="3030">
          <cell r="A3030">
            <v>34000000</v>
          </cell>
          <cell r="C3030">
            <v>34000000</v>
          </cell>
          <cell r="D3030">
            <v>34000000</v>
          </cell>
          <cell r="E3030">
            <v>34000000</v>
          </cell>
          <cell r="F3030">
            <v>34000000</v>
          </cell>
          <cell r="G3030">
            <v>34000000</v>
          </cell>
          <cell r="H3030">
            <v>34000000</v>
          </cell>
          <cell r="I3030" t="str">
            <v/>
          </cell>
          <cell r="J3030" t="str">
            <v/>
          </cell>
          <cell r="K3030" t="str">
            <v/>
          </cell>
          <cell r="L3030" t="str">
            <v/>
          </cell>
        </row>
        <row r="3031">
          <cell r="A3031">
            <v>34000000</v>
          </cell>
          <cell r="C3031">
            <v>34000000</v>
          </cell>
          <cell r="D3031">
            <v>34000000</v>
          </cell>
          <cell r="E3031">
            <v>34000000</v>
          </cell>
          <cell r="F3031">
            <v>34000000</v>
          </cell>
          <cell r="G3031">
            <v>34000000</v>
          </cell>
          <cell r="H3031">
            <v>34000000</v>
          </cell>
          <cell r="I3031" t="str">
            <v/>
          </cell>
          <cell r="J3031" t="str">
            <v/>
          </cell>
          <cell r="K3031" t="str">
            <v/>
          </cell>
          <cell r="L3031" t="str">
            <v/>
          </cell>
        </row>
        <row r="3032">
          <cell r="A3032">
            <v>34000000</v>
          </cell>
          <cell r="C3032">
            <v>34000000</v>
          </cell>
          <cell r="D3032">
            <v>34000000</v>
          </cell>
          <cell r="E3032">
            <v>34000000</v>
          </cell>
          <cell r="F3032">
            <v>34000000</v>
          </cell>
          <cell r="G3032">
            <v>34000000</v>
          </cell>
          <cell r="H3032">
            <v>34000000</v>
          </cell>
          <cell r="I3032" t="str">
            <v/>
          </cell>
          <cell r="J3032" t="str">
            <v/>
          </cell>
          <cell r="K3032" t="str">
            <v/>
          </cell>
          <cell r="L3032" t="str">
            <v/>
          </cell>
        </row>
        <row r="3033">
          <cell r="A3033">
            <v>34000000</v>
          </cell>
          <cell r="C3033">
            <v>34000000</v>
          </cell>
          <cell r="D3033">
            <v>34000000</v>
          </cell>
          <cell r="E3033">
            <v>34000000</v>
          </cell>
          <cell r="F3033">
            <v>34000000</v>
          </cell>
          <cell r="G3033">
            <v>34000000</v>
          </cell>
          <cell r="H3033">
            <v>34000000</v>
          </cell>
          <cell r="I3033" t="str">
            <v/>
          </cell>
          <cell r="J3033" t="str">
            <v/>
          </cell>
          <cell r="K3033" t="str">
            <v/>
          </cell>
          <cell r="L3033" t="str">
            <v/>
          </cell>
        </row>
        <row r="3034">
          <cell r="A3034">
            <v>34000000</v>
          </cell>
          <cell r="C3034">
            <v>34000000</v>
          </cell>
          <cell r="D3034">
            <v>34000000</v>
          </cell>
          <cell r="E3034">
            <v>34000000</v>
          </cell>
          <cell r="F3034">
            <v>34000000</v>
          </cell>
          <cell r="G3034">
            <v>34000000</v>
          </cell>
          <cell r="H3034">
            <v>34000000</v>
          </cell>
          <cell r="I3034" t="str">
            <v/>
          </cell>
          <cell r="J3034" t="str">
            <v/>
          </cell>
          <cell r="K3034" t="str">
            <v/>
          </cell>
          <cell r="L3034" t="str">
            <v/>
          </cell>
        </row>
        <row r="3035">
          <cell r="A3035">
            <v>34000000</v>
          </cell>
          <cell r="C3035">
            <v>34000000</v>
          </cell>
          <cell r="D3035">
            <v>34000000</v>
          </cell>
          <cell r="E3035">
            <v>34000000</v>
          </cell>
          <cell r="F3035">
            <v>34000000</v>
          </cell>
          <cell r="G3035">
            <v>34000000</v>
          </cell>
          <cell r="H3035">
            <v>34000000</v>
          </cell>
          <cell r="I3035" t="str">
            <v/>
          </cell>
          <cell r="J3035" t="str">
            <v/>
          </cell>
          <cell r="K3035" t="str">
            <v/>
          </cell>
          <cell r="L3035" t="str">
            <v/>
          </cell>
        </row>
        <row r="3036">
          <cell r="A3036">
            <v>34000000</v>
          </cell>
          <cell r="C3036">
            <v>34000000</v>
          </cell>
          <cell r="D3036">
            <v>34000000</v>
          </cell>
          <cell r="E3036">
            <v>34000000</v>
          </cell>
          <cell r="F3036">
            <v>34000000</v>
          </cell>
          <cell r="G3036">
            <v>34000000</v>
          </cell>
          <cell r="H3036">
            <v>34000000</v>
          </cell>
          <cell r="I3036" t="str">
            <v/>
          </cell>
          <cell r="J3036" t="str">
            <v/>
          </cell>
          <cell r="K3036" t="str">
            <v/>
          </cell>
          <cell r="L3036" t="str">
            <v/>
          </cell>
        </row>
        <row r="3037">
          <cell r="A3037">
            <v>34000000</v>
          </cell>
          <cell r="C3037">
            <v>34000000</v>
          </cell>
          <cell r="D3037">
            <v>34000000</v>
          </cell>
          <cell r="E3037">
            <v>34000000</v>
          </cell>
          <cell r="F3037">
            <v>34000000</v>
          </cell>
          <cell r="G3037">
            <v>34000000</v>
          </cell>
          <cell r="H3037">
            <v>34000000</v>
          </cell>
          <cell r="I3037" t="str">
            <v/>
          </cell>
          <cell r="J3037" t="str">
            <v/>
          </cell>
          <cell r="K3037" t="str">
            <v/>
          </cell>
          <cell r="L3037" t="str">
            <v/>
          </cell>
        </row>
        <row r="3038">
          <cell r="A3038">
            <v>34000000</v>
          </cell>
          <cell r="C3038">
            <v>34000000</v>
          </cell>
          <cell r="D3038">
            <v>34000000</v>
          </cell>
          <cell r="E3038">
            <v>34000000</v>
          </cell>
          <cell r="F3038">
            <v>34000000</v>
          </cell>
          <cell r="G3038">
            <v>34000000</v>
          </cell>
          <cell r="H3038">
            <v>34000000</v>
          </cell>
          <cell r="I3038" t="str">
            <v/>
          </cell>
          <cell r="J3038" t="str">
            <v/>
          </cell>
          <cell r="K3038" t="str">
            <v/>
          </cell>
          <cell r="L3038" t="str">
            <v/>
          </cell>
        </row>
        <row r="3039">
          <cell r="A3039">
            <v>34000000</v>
          </cell>
          <cell r="C3039">
            <v>34000000</v>
          </cell>
          <cell r="D3039">
            <v>34000000</v>
          </cell>
          <cell r="E3039">
            <v>34000000</v>
          </cell>
          <cell r="F3039">
            <v>34000000</v>
          </cell>
          <cell r="G3039">
            <v>34000000</v>
          </cell>
          <cell r="H3039">
            <v>34000000</v>
          </cell>
          <cell r="I3039" t="str">
            <v/>
          </cell>
          <cell r="J3039" t="str">
            <v/>
          </cell>
          <cell r="K3039" t="str">
            <v/>
          </cell>
          <cell r="L3039" t="str">
            <v/>
          </cell>
        </row>
        <row r="3040">
          <cell r="A3040">
            <v>34000000</v>
          </cell>
          <cell r="C3040">
            <v>34000000</v>
          </cell>
          <cell r="D3040">
            <v>34000000</v>
          </cell>
          <cell r="E3040">
            <v>34000000</v>
          </cell>
          <cell r="F3040">
            <v>34000000</v>
          </cell>
          <cell r="G3040">
            <v>34000000</v>
          </cell>
          <cell r="H3040">
            <v>34000000</v>
          </cell>
          <cell r="I3040" t="str">
            <v/>
          </cell>
          <cell r="J3040" t="str">
            <v/>
          </cell>
          <cell r="K3040" t="str">
            <v/>
          </cell>
          <cell r="L3040" t="str">
            <v/>
          </cell>
        </row>
        <row r="3041">
          <cell r="A3041">
            <v>34000000</v>
          </cell>
          <cell r="C3041">
            <v>34000000</v>
          </cell>
          <cell r="D3041">
            <v>34000000</v>
          </cell>
          <cell r="E3041">
            <v>34000000</v>
          </cell>
          <cell r="F3041">
            <v>34000000</v>
          </cell>
          <cell r="G3041">
            <v>34000000</v>
          </cell>
          <cell r="H3041">
            <v>34000000</v>
          </cell>
          <cell r="I3041" t="str">
            <v/>
          </cell>
          <cell r="J3041" t="str">
            <v/>
          </cell>
          <cell r="K3041" t="str">
            <v/>
          </cell>
          <cell r="L3041" t="str">
            <v/>
          </cell>
        </row>
        <row r="3042">
          <cell r="A3042">
            <v>34000000</v>
          </cell>
          <cell r="C3042">
            <v>34000000</v>
          </cell>
          <cell r="D3042">
            <v>34000000</v>
          </cell>
          <cell r="E3042">
            <v>34000000</v>
          </cell>
          <cell r="F3042">
            <v>34000000</v>
          </cell>
          <cell r="G3042">
            <v>34000000</v>
          </cell>
          <cell r="H3042">
            <v>34000000</v>
          </cell>
          <cell r="I3042" t="str">
            <v/>
          </cell>
          <cell r="J3042" t="str">
            <v/>
          </cell>
          <cell r="K3042" t="str">
            <v/>
          </cell>
          <cell r="L3042" t="str">
            <v/>
          </cell>
        </row>
        <row r="3043">
          <cell r="A3043">
            <v>34000000</v>
          </cell>
          <cell r="C3043">
            <v>34000000</v>
          </cell>
          <cell r="D3043">
            <v>34000000</v>
          </cell>
          <cell r="E3043">
            <v>34000000</v>
          </cell>
          <cell r="F3043">
            <v>34000000</v>
          </cell>
          <cell r="G3043">
            <v>34000000</v>
          </cell>
          <cell r="H3043">
            <v>34000000</v>
          </cell>
          <cell r="I3043" t="str">
            <v/>
          </cell>
          <cell r="J3043" t="str">
            <v/>
          </cell>
          <cell r="K3043" t="str">
            <v/>
          </cell>
          <cell r="L3043" t="str">
            <v/>
          </cell>
        </row>
        <row r="3044">
          <cell r="A3044">
            <v>34000000</v>
          </cell>
          <cell r="C3044">
            <v>34000000</v>
          </cell>
          <cell r="D3044">
            <v>34000000</v>
          </cell>
          <cell r="E3044">
            <v>34000000</v>
          </cell>
          <cell r="F3044">
            <v>34000000</v>
          </cell>
          <cell r="G3044">
            <v>34000000</v>
          </cell>
          <cell r="H3044">
            <v>34000000</v>
          </cell>
          <cell r="I3044" t="str">
            <v/>
          </cell>
          <cell r="J3044" t="str">
            <v/>
          </cell>
          <cell r="K3044" t="str">
            <v/>
          </cell>
          <cell r="L3044" t="str">
            <v/>
          </cell>
        </row>
        <row r="3045">
          <cell r="A3045">
            <v>34000000</v>
          </cell>
          <cell r="C3045">
            <v>34000000</v>
          </cell>
          <cell r="D3045">
            <v>34000000</v>
          </cell>
          <cell r="E3045">
            <v>34000000</v>
          </cell>
          <cell r="F3045">
            <v>34000000</v>
          </cell>
          <cell r="G3045">
            <v>34000000</v>
          </cell>
          <cell r="H3045">
            <v>34000000</v>
          </cell>
          <cell r="I3045" t="str">
            <v/>
          </cell>
          <cell r="J3045" t="str">
            <v/>
          </cell>
          <cell r="K3045" t="str">
            <v/>
          </cell>
          <cell r="L3045" t="str">
            <v/>
          </cell>
        </row>
        <row r="3046">
          <cell r="A3046">
            <v>34000000</v>
          </cell>
          <cell r="C3046">
            <v>34000000</v>
          </cell>
          <cell r="D3046">
            <v>34000000</v>
          </cell>
          <cell r="E3046">
            <v>34000000</v>
          </cell>
          <cell r="F3046">
            <v>34000000</v>
          </cell>
          <cell r="G3046">
            <v>34000000</v>
          </cell>
          <cell r="H3046">
            <v>34000000</v>
          </cell>
          <cell r="I3046" t="str">
            <v/>
          </cell>
          <cell r="J3046" t="str">
            <v/>
          </cell>
          <cell r="K3046" t="str">
            <v/>
          </cell>
          <cell r="L3046" t="str">
            <v/>
          </cell>
        </row>
        <row r="3047">
          <cell r="A3047">
            <v>34000000</v>
          </cell>
          <cell r="C3047">
            <v>34000000</v>
          </cell>
          <cell r="D3047">
            <v>34000000</v>
          </cell>
          <cell r="E3047">
            <v>34000000</v>
          </cell>
          <cell r="F3047">
            <v>34000000</v>
          </cell>
          <cell r="G3047">
            <v>34000000</v>
          </cell>
          <cell r="H3047">
            <v>34000000</v>
          </cell>
          <cell r="I3047" t="str">
            <v/>
          </cell>
          <cell r="J3047" t="str">
            <v/>
          </cell>
          <cell r="K3047" t="str">
            <v/>
          </cell>
          <cell r="L3047" t="str">
            <v/>
          </cell>
        </row>
        <row r="3048">
          <cell r="A3048">
            <v>34000000</v>
          </cell>
          <cell r="C3048">
            <v>34000000</v>
          </cell>
          <cell r="D3048">
            <v>34000000</v>
          </cell>
          <cell r="E3048">
            <v>34000000</v>
          </cell>
          <cell r="F3048">
            <v>34000000</v>
          </cell>
          <cell r="G3048">
            <v>34000000</v>
          </cell>
          <cell r="H3048">
            <v>34000000</v>
          </cell>
          <cell r="I3048" t="str">
            <v/>
          </cell>
          <cell r="J3048" t="str">
            <v/>
          </cell>
          <cell r="K3048" t="str">
            <v/>
          </cell>
          <cell r="L3048" t="str">
            <v/>
          </cell>
        </row>
        <row r="3049">
          <cell r="A3049">
            <v>34000000</v>
          </cell>
          <cell r="C3049">
            <v>34000000</v>
          </cell>
          <cell r="D3049">
            <v>34000000</v>
          </cell>
          <cell r="E3049">
            <v>34000000</v>
          </cell>
          <cell r="F3049">
            <v>34000000</v>
          </cell>
          <cell r="G3049">
            <v>34000000</v>
          </cell>
          <cell r="H3049">
            <v>34000000</v>
          </cell>
          <cell r="I3049" t="str">
            <v/>
          </cell>
          <cell r="J3049" t="str">
            <v/>
          </cell>
          <cell r="K3049" t="str">
            <v/>
          </cell>
          <cell r="L3049" t="str">
            <v/>
          </cell>
        </row>
        <row r="3050">
          <cell r="A3050">
            <v>34000000</v>
          </cell>
          <cell r="C3050">
            <v>34000000</v>
          </cell>
          <cell r="D3050">
            <v>34000000</v>
          </cell>
          <cell r="E3050">
            <v>34000000</v>
          </cell>
          <cell r="F3050">
            <v>34000000</v>
          </cell>
          <cell r="G3050">
            <v>34000000</v>
          </cell>
          <cell r="H3050">
            <v>34000000</v>
          </cell>
          <cell r="I3050" t="str">
            <v/>
          </cell>
          <cell r="J3050" t="str">
            <v/>
          </cell>
          <cell r="K3050" t="str">
            <v/>
          </cell>
          <cell r="L3050" t="str">
            <v/>
          </cell>
        </row>
        <row r="3051">
          <cell r="A3051">
            <v>34000000</v>
          </cell>
          <cell r="C3051">
            <v>34000000</v>
          </cell>
          <cell r="D3051">
            <v>34000000</v>
          </cell>
          <cell r="E3051">
            <v>34000000</v>
          </cell>
          <cell r="F3051">
            <v>34000000</v>
          </cell>
          <cell r="G3051">
            <v>34000000</v>
          </cell>
          <cell r="H3051">
            <v>34000000</v>
          </cell>
          <cell r="I3051" t="str">
            <v/>
          </cell>
          <cell r="J3051" t="str">
            <v/>
          </cell>
          <cell r="K3051" t="str">
            <v/>
          </cell>
          <cell r="L3051" t="str">
            <v/>
          </cell>
        </row>
        <row r="3052">
          <cell r="A3052">
            <v>34000000</v>
          </cell>
          <cell r="C3052">
            <v>34000000</v>
          </cell>
          <cell r="D3052">
            <v>34000000</v>
          </cell>
          <cell r="E3052">
            <v>34000000</v>
          </cell>
          <cell r="F3052">
            <v>34000000</v>
          </cell>
          <cell r="G3052">
            <v>34000000</v>
          </cell>
          <cell r="H3052">
            <v>34000000</v>
          </cell>
          <cell r="I3052" t="str">
            <v/>
          </cell>
          <cell r="J3052" t="str">
            <v/>
          </cell>
          <cell r="K3052" t="str">
            <v/>
          </cell>
          <cell r="L3052" t="str">
            <v/>
          </cell>
        </row>
        <row r="3053">
          <cell r="A3053">
            <v>34000000</v>
          </cell>
          <cell r="C3053">
            <v>34000000</v>
          </cell>
          <cell r="D3053">
            <v>34000000</v>
          </cell>
          <cell r="E3053">
            <v>34000000</v>
          </cell>
          <cell r="F3053">
            <v>34000000</v>
          </cell>
          <cell r="G3053">
            <v>34000000</v>
          </cell>
          <cell r="H3053">
            <v>34000000</v>
          </cell>
          <cell r="I3053" t="str">
            <v/>
          </cell>
          <cell r="J3053" t="str">
            <v/>
          </cell>
          <cell r="K3053" t="str">
            <v/>
          </cell>
          <cell r="L3053" t="str">
            <v/>
          </cell>
        </row>
        <row r="3054">
          <cell r="A3054">
            <v>34000000</v>
          </cell>
          <cell r="C3054">
            <v>34000000</v>
          </cell>
          <cell r="D3054">
            <v>34000000</v>
          </cell>
          <cell r="E3054">
            <v>34000000</v>
          </cell>
          <cell r="F3054">
            <v>34000000</v>
          </cell>
          <cell r="G3054">
            <v>34000000</v>
          </cell>
          <cell r="H3054">
            <v>34000000</v>
          </cell>
          <cell r="I3054" t="str">
            <v/>
          </cell>
          <cell r="J3054" t="str">
            <v/>
          </cell>
          <cell r="K3054" t="str">
            <v/>
          </cell>
          <cell r="L3054" t="str">
            <v/>
          </cell>
        </row>
        <row r="3055">
          <cell r="A3055">
            <v>34000000</v>
          </cell>
          <cell r="C3055">
            <v>34000000</v>
          </cell>
          <cell r="D3055">
            <v>34000000</v>
          </cell>
          <cell r="E3055">
            <v>34000000</v>
          </cell>
          <cell r="F3055">
            <v>34000000</v>
          </cell>
          <cell r="G3055">
            <v>34000000</v>
          </cell>
          <cell r="H3055">
            <v>34000000</v>
          </cell>
          <cell r="I3055" t="str">
            <v/>
          </cell>
          <cell r="J3055" t="str">
            <v/>
          </cell>
          <cell r="K3055" t="str">
            <v/>
          </cell>
          <cell r="L3055" t="str">
            <v/>
          </cell>
        </row>
        <row r="3056">
          <cell r="A3056">
            <v>34000000</v>
          </cell>
          <cell r="C3056">
            <v>34000000</v>
          </cell>
          <cell r="D3056">
            <v>34000000</v>
          </cell>
          <cell r="E3056">
            <v>34000000</v>
          </cell>
          <cell r="F3056">
            <v>34000000</v>
          </cell>
          <cell r="G3056">
            <v>34000000</v>
          </cell>
          <cell r="H3056">
            <v>34000000</v>
          </cell>
          <cell r="I3056" t="str">
            <v/>
          </cell>
          <cell r="J3056" t="str">
            <v/>
          </cell>
          <cell r="K3056" t="str">
            <v/>
          </cell>
          <cell r="L3056" t="str">
            <v/>
          </cell>
        </row>
        <row r="3057">
          <cell r="A3057">
            <v>34000000</v>
          </cell>
          <cell r="C3057">
            <v>34000000</v>
          </cell>
          <cell r="D3057">
            <v>34000000</v>
          </cell>
          <cell r="E3057">
            <v>34000000</v>
          </cell>
          <cell r="F3057">
            <v>34000000</v>
          </cell>
          <cell r="G3057">
            <v>34000000</v>
          </cell>
          <cell r="H3057">
            <v>34000000</v>
          </cell>
          <cell r="I3057" t="str">
            <v/>
          </cell>
          <cell r="J3057" t="str">
            <v/>
          </cell>
          <cell r="K3057" t="str">
            <v/>
          </cell>
          <cell r="L3057" t="str">
            <v/>
          </cell>
        </row>
        <row r="3058">
          <cell r="A3058">
            <v>34000000</v>
          </cell>
          <cell r="C3058">
            <v>34000000</v>
          </cell>
          <cell r="D3058">
            <v>34000000</v>
          </cell>
          <cell r="E3058">
            <v>34000000</v>
          </cell>
          <cell r="F3058">
            <v>34000000</v>
          </cell>
          <cell r="G3058">
            <v>34000000</v>
          </cell>
          <cell r="H3058">
            <v>34000000</v>
          </cell>
          <cell r="I3058" t="str">
            <v/>
          </cell>
          <cell r="J3058" t="str">
            <v/>
          </cell>
          <cell r="K3058" t="str">
            <v/>
          </cell>
          <cell r="L3058" t="str">
            <v/>
          </cell>
        </row>
        <row r="3059">
          <cell r="A3059">
            <v>34000000</v>
          </cell>
          <cell r="C3059">
            <v>34000000</v>
          </cell>
          <cell r="D3059">
            <v>34000000</v>
          </cell>
          <cell r="E3059">
            <v>34000000</v>
          </cell>
          <cell r="F3059">
            <v>34000000</v>
          </cell>
          <cell r="G3059">
            <v>34000000</v>
          </cell>
          <cell r="H3059">
            <v>34000000</v>
          </cell>
          <cell r="I3059" t="str">
            <v/>
          </cell>
          <cell r="J3059" t="str">
            <v/>
          </cell>
          <cell r="K3059" t="str">
            <v/>
          </cell>
          <cell r="L3059" t="str">
            <v/>
          </cell>
        </row>
        <row r="3060">
          <cell r="A3060">
            <v>34000000</v>
          </cell>
          <cell r="C3060">
            <v>34000000</v>
          </cell>
          <cell r="D3060">
            <v>34000000</v>
          </cell>
          <cell r="E3060">
            <v>34000000</v>
          </cell>
          <cell r="F3060">
            <v>34000000</v>
          </cell>
          <cell r="G3060">
            <v>34000000</v>
          </cell>
          <cell r="H3060">
            <v>34000000</v>
          </cell>
          <cell r="I3060" t="str">
            <v/>
          </cell>
          <cell r="J3060" t="str">
            <v/>
          </cell>
          <cell r="K3060" t="str">
            <v/>
          </cell>
          <cell r="L3060" t="str">
            <v/>
          </cell>
        </row>
        <row r="3061">
          <cell r="A3061">
            <v>34000000</v>
          </cell>
          <cell r="C3061">
            <v>34000000</v>
          </cell>
          <cell r="D3061">
            <v>34000000</v>
          </cell>
          <cell r="E3061">
            <v>34000000</v>
          </cell>
          <cell r="F3061">
            <v>34000000</v>
          </cell>
          <cell r="G3061">
            <v>34000000</v>
          </cell>
          <cell r="H3061">
            <v>34000000</v>
          </cell>
          <cell r="I3061" t="str">
            <v/>
          </cell>
          <cell r="J3061" t="str">
            <v/>
          </cell>
          <cell r="K3061" t="str">
            <v/>
          </cell>
          <cell r="L3061" t="str">
            <v/>
          </cell>
        </row>
        <row r="3062">
          <cell r="A3062">
            <v>34000000</v>
          </cell>
          <cell r="C3062">
            <v>34000000</v>
          </cell>
          <cell r="D3062">
            <v>34000000</v>
          </cell>
          <cell r="E3062">
            <v>34000000</v>
          </cell>
          <cell r="F3062">
            <v>34000000</v>
          </cell>
          <cell r="G3062">
            <v>34000000</v>
          </cell>
          <cell r="H3062">
            <v>34000000</v>
          </cell>
          <cell r="I3062" t="str">
            <v/>
          </cell>
          <cell r="J3062" t="str">
            <v/>
          </cell>
          <cell r="K3062" t="str">
            <v/>
          </cell>
          <cell r="L3062" t="str">
            <v/>
          </cell>
        </row>
        <row r="3063">
          <cell r="A3063">
            <v>34000000</v>
          </cell>
          <cell r="C3063">
            <v>34000000</v>
          </cell>
          <cell r="D3063">
            <v>34000000</v>
          </cell>
          <cell r="E3063">
            <v>34000000</v>
          </cell>
          <cell r="F3063">
            <v>34000000</v>
          </cell>
          <cell r="G3063">
            <v>34000000</v>
          </cell>
          <cell r="H3063">
            <v>34000000</v>
          </cell>
          <cell r="I3063" t="str">
            <v/>
          </cell>
          <cell r="J3063" t="str">
            <v/>
          </cell>
          <cell r="K3063" t="str">
            <v/>
          </cell>
          <cell r="L3063" t="str">
            <v/>
          </cell>
        </row>
        <row r="3064">
          <cell r="A3064">
            <v>34000000</v>
          </cell>
          <cell r="C3064">
            <v>34000000</v>
          </cell>
          <cell r="D3064">
            <v>34000000</v>
          </cell>
          <cell r="E3064">
            <v>34000000</v>
          </cell>
          <cell r="F3064">
            <v>34000000</v>
          </cell>
          <cell r="G3064">
            <v>34000000</v>
          </cell>
          <cell r="H3064">
            <v>34000000</v>
          </cell>
          <cell r="I3064" t="str">
            <v/>
          </cell>
          <cell r="J3064" t="str">
            <v/>
          </cell>
          <cell r="K3064" t="str">
            <v/>
          </cell>
          <cell r="L3064" t="str">
            <v/>
          </cell>
        </row>
        <row r="3065">
          <cell r="A3065">
            <v>34000000</v>
          </cell>
          <cell r="C3065">
            <v>34000000</v>
          </cell>
          <cell r="D3065">
            <v>34000000</v>
          </cell>
          <cell r="E3065">
            <v>34000000</v>
          </cell>
          <cell r="F3065">
            <v>34000000</v>
          </cell>
          <cell r="G3065">
            <v>34000000</v>
          </cell>
          <cell r="H3065">
            <v>34000000</v>
          </cell>
          <cell r="I3065" t="str">
            <v/>
          </cell>
          <cell r="J3065" t="str">
            <v/>
          </cell>
          <cell r="K3065" t="str">
            <v/>
          </cell>
          <cell r="L3065" t="str">
            <v/>
          </cell>
        </row>
        <row r="3066">
          <cell r="A3066">
            <v>34000000</v>
          </cell>
          <cell r="C3066">
            <v>34000000</v>
          </cell>
          <cell r="D3066">
            <v>34000000</v>
          </cell>
          <cell r="E3066">
            <v>34000000</v>
          </cell>
          <cell r="F3066">
            <v>34000000</v>
          </cell>
          <cell r="G3066">
            <v>34000000</v>
          </cell>
          <cell r="H3066">
            <v>34000000</v>
          </cell>
          <cell r="I3066" t="str">
            <v/>
          </cell>
          <cell r="J3066" t="str">
            <v/>
          </cell>
          <cell r="K3066" t="str">
            <v/>
          </cell>
          <cell r="L3066" t="str">
            <v/>
          </cell>
        </row>
        <row r="3067">
          <cell r="A3067">
            <v>34000000</v>
          </cell>
          <cell r="C3067">
            <v>34000000</v>
          </cell>
          <cell r="D3067">
            <v>34000000</v>
          </cell>
          <cell r="E3067">
            <v>34000000</v>
          </cell>
          <cell r="F3067">
            <v>34000000</v>
          </cell>
          <cell r="G3067">
            <v>34000000</v>
          </cell>
          <cell r="H3067">
            <v>34000000</v>
          </cell>
          <cell r="I3067" t="str">
            <v/>
          </cell>
          <cell r="J3067" t="str">
            <v/>
          </cell>
          <cell r="K3067" t="str">
            <v/>
          </cell>
          <cell r="L3067" t="str">
            <v/>
          </cell>
        </row>
        <row r="3068">
          <cell r="A3068">
            <v>34000000</v>
          </cell>
          <cell r="C3068">
            <v>34000000</v>
          </cell>
          <cell r="D3068">
            <v>34000000</v>
          </cell>
          <cell r="E3068">
            <v>34000000</v>
          </cell>
          <cell r="F3068">
            <v>34000000</v>
          </cell>
          <cell r="G3068">
            <v>34000000</v>
          </cell>
          <cell r="H3068">
            <v>34000000</v>
          </cell>
          <cell r="I3068" t="str">
            <v/>
          </cell>
          <cell r="J3068" t="str">
            <v/>
          </cell>
          <cell r="K3068" t="str">
            <v/>
          </cell>
          <cell r="L3068" t="str">
            <v/>
          </cell>
        </row>
        <row r="3069">
          <cell r="A3069">
            <v>34000000</v>
          </cell>
          <cell r="C3069">
            <v>34000000</v>
          </cell>
          <cell r="D3069">
            <v>34000000</v>
          </cell>
          <cell r="E3069">
            <v>34000000</v>
          </cell>
          <cell r="F3069">
            <v>34000000</v>
          </cell>
          <cell r="G3069">
            <v>34000000</v>
          </cell>
          <cell r="H3069">
            <v>34000000</v>
          </cell>
          <cell r="I3069" t="str">
            <v/>
          </cell>
          <cell r="J3069" t="str">
            <v/>
          </cell>
          <cell r="K3069" t="str">
            <v/>
          </cell>
          <cell r="L3069" t="str">
            <v/>
          </cell>
        </row>
        <row r="3070">
          <cell r="A3070">
            <v>34000000</v>
          </cell>
          <cell r="C3070">
            <v>34000000</v>
          </cell>
          <cell r="D3070">
            <v>34000000</v>
          </cell>
          <cell r="E3070">
            <v>34000000</v>
          </cell>
          <cell r="F3070">
            <v>34000000</v>
          </cell>
          <cell r="G3070">
            <v>34000000</v>
          </cell>
          <cell r="H3070">
            <v>34000000</v>
          </cell>
          <cell r="I3070" t="str">
            <v/>
          </cell>
          <cell r="J3070" t="str">
            <v/>
          </cell>
          <cell r="K3070" t="str">
            <v/>
          </cell>
          <cell r="L3070" t="str">
            <v/>
          </cell>
        </row>
        <row r="3071">
          <cell r="A3071">
            <v>34000000</v>
          </cell>
          <cell r="C3071">
            <v>34000000</v>
          </cell>
          <cell r="D3071">
            <v>34000000</v>
          </cell>
          <cell r="E3071">
            <v>34000000</v>
          </cell>
          <cell r="F3071">
            <v>34000000</v>
          </cell>
          <cell r="G3071">
            <v>34000000</v>
          </cell>
          <cell r="H3071">
            <v>34000000</v>
          </cell>
          <cell r="I3071" t="str">
            <v/>
          </cell>
          <cell r="J3071" t="str">
            <v/>
          </cell>
          <cell r="K3071" t="str">
            <v/>
          </cell>
          <cell r="L3071" t="str">
            <v/>
          </cell>
        </row>
        <row r="3072">
          <cell r="A3072">
            <v>34000000</v>
          </cell>
          <cell r="C3072">
            <v>34000000</v>
          </cell>
          <cell r="D3072">
            <v>34000000</v>
          </cell>
          <cell r="E3072">
            <v>34000000</v>
          </cell>
          <cell r="F3072">
            <v>34000000</v>
          </cell>
          <cell r="G3072">
            <v>34000000</v>
          </cell>
          <cell r="H3072">
            <v>34000000</v>
          </cell>
          <cell r="I3072" t="str">
            <v/>
          </cell>
          <cell r="J3072" t="str">
            <v/>
          </cell>
          <cell r="K3072" t="str">
            <v/>
          </cell>
          <cell r="L3072" t="str">
            <v/>
          </cell>
        </row>
        <row r="3073">
          <cell r="A3073">
            <v>34000000</v>
          </cell>
          <cell r="C3073">
            <v>34000000</v>
          </cell>
          <cell r="D3073">
            <v>34000000</v>
          </cell>
          <cell r="E3073">
            <v>34000000</v>
          </cell>
          <cell r="F3073">
            <v>34000000</v>
          </cell>
          <cell r="G3073">
            <v>34000000</v>
          </cell>
          <cell r="H3073">
            <v>34000000</v>
          </cell>
          <cell r="I3073" t="str">
            <v/>
          </cell>
          <cell r="J3073" t="str">
            <v/>
          </cell>
          <cell r="K3073" t="str">
            <v/>
          </cell>
          <cell r="L3073" t="str">
            <v/>
          </cell>
        </row>
        <row r="3074">
          <cell r="A3074">
            <v>34000000</v>
          </cell>
          <cell r="C3074">
            <v>34000000</v>
          </cell>
          <cell r="D3074">
            <v>34000000</v>
          </cell>
          <cell r="E3074">
            <v>34000000</v>
          </cell>
          <cell r="F3074">
            <v>34000000</v>
          </cell>
          <cell r="G3074">
            <v>34000000</v>
          </cell>
          <cell r="H3074">
            <v>34000000</v>
          </cell>
          <cell r="I3074" t="str">
            <v/>
          </cell>
          <cell r="J3074" t="str">
            <v/>
          </cell>
          <cell r="K3074" t="str">
            <v/>
          </cell>
          <cell r="L3074" t="str">
            <v/>
          </cell>
        </row>
        <row r="3075">
          <cell r="A3075">
            <v>34000000</v>
          </cell>
          <cell r="C3075">
            <v>34000000</v>
          </cell>
          <cell r="D3075">
            <v>34000000</v>
          </cell>
          <cell r="E3075">
            <v>34000000</v>
          </cell>
          <cell r="F3075">
            <v>34000000</v>
          </cell>
          <cell r="G3075">
            <v>34000000</v>
          </cell>
          <cell r="H3075">
            <v>34000000</v>
          </cell>
          <cell r="I3075" t="str">
            <v/>
          </cell>
          <cell r="J3075" t="str">
            <v/>
          </cell>
          <cell r="K3075" t="str">
            <v/>
          </cell>
          <cell r="L3075" t="str">
            <v/>
          </cell>
        </row>
        <row r="3076">
          <cell r="A3076">
            <v>34000000</v>
          </cell>
          <cell r="C3076">
            <v>34000000</v>
          </cell>
          <cell r="D3076">
            <v>34000000</v>
          </cell>
          <cell r="E3076">
            <v>34000000</v>
          </cell>
          <cell r="F3076">
            <v>34000000</v>
          </cell>
          <cell r="G3076">
            <v>34000000</v>
          </cell>
          <cell r="H3076">
            <v>34000000</v>
          </cell>
          <cell r="I3076" t="str">
            <v/>
          </cell>
          <cell r="J3076" t="str">
            <v/>
          </cell>
          <cell r="K3076" t="str">
            <v/>
          </cell>
          <cell r="L3076" t="str">
            <v/>
          </cell>
        </row>
        <row r="3077">
          <cell r="A3077">
            <v>34000000</v>
          </cell>
          <cell r="C3077">
            <v>34000000</v>
          </cell>
          <cell r="D3077">
            <v>34000000</v>
          </cell>
          <cell r="E3077">
            <v>34000000</v>
          </cell>
          <cell r="F3077">
            <v>34000000</v>
          </cell>
          <cell r="G3077">
            <v>34000000</v>
          </cell>
          <cell r="H3077">
            <v>34000000</v>
          </cell>
          <cell r="I3077" t="str">
            <v/>
          </cell>
          <cell r="J3077" t="str">
            <v/>
          </cell>
          <cell r="K3077" t="str">
            <v/>
          </cell>
          <cell r="L3077" t="str">
            <v/>
          </cell>
        </row>
        <row r="3078">
          <cell r="A3078">
            <v>34000000</v>
          </cell>
          <cell r="C3078">
            <v>34000000</v>
          </cell>
          <cell r="D3078">
            <v>34000000</v>
          </cell>
          <cell r="E3078">
            <v>34000000</v>
          </cell>
          <cell r="F3078">
            <v>34000000</v>
          </cell>
          <cell r="G3078">
            <v>34000000</v>
          </cell>
          <cell r="H3078">
            <v>34000000</v>
          </cell>
          <cell r="I3078" t="str">
            <v/>
          </cell>
          <cell r="J3078" t="str">
            <v/>
          </cell>
          <cell r="K3078" t="str">
            <v/>
          </cell>
          <cell r="L3078" t="str">
            <v/>
          </cell>
        </row>
        <row r="3079">
          <cell r="A3079">
            <v>34000000</v>
          </cell>
          <cell r="C3079">
            <v>34000000</v>
          </cell>
          <cell r="D3079">
            <v>34000000</v>
          </cell>
          <cell r="E3079">
            <v>34000000</v>
          </cell>
          <cell r="F3079">
            <v>34000000</v>
          </cell>
          <cell r="G3079">
            <v>34000000</v>
          </cell>
          <cell r="H3079">
            <v>34000000</v>
          </cell>
          <cell r="I3079" t="str">
            <v/>
          </cell>
          <cell r="J3079" t="str">
            <v/>
          </cell>
          <cell r="K3079" t="str">
            <v/>
          </cell>
          <cell r="L3079" t="str">
            <v/>
          </cell>
        </row>
        <row r="3080">
          <cell r="A3080">
            <v>34000000</v>
          </cell>
          <cell r="C3080">
            <v>34000000</v>
          </cell>
          <cell r="D3080">
            <v>34000000</v>
          </cell>
          <cell r="E3080">
            <v>34000000</v>
          </cell>
          <cell r="F3080">
            <v>34000000</v>
          </cell>
          <cell r="G3080">
            <v>34000000</v>
          </cell>
          <cell r="H3080">
            <v>34000000</v>
          </cell>
          <cell r="I3080" t="str">
            <v/>
          </cell>
          <cell r="J3080" t="str">
            <v/>
          </cell>
          <cell r="K3080" t="str">
            <v/>
          </cell>
          <cell r="L3080" t="str">
            <v/>
          </cell>
        </row>
        <row r="3081">
          <cell r="A3081">
            <v>34000000</v>
          </cell>
          <cell r="C3081">
            <v>34000000</v>
          </cell>
          <cell r="D3081">
            <v>34000000</v>
          </cell>
          <cell r="E3081">
            <v>34000000</v>
          </cell>
          <cell r="F3081">
            <v>34000000</v>
          </cell>
          <cell r="G3081">
            <v>34000000</v>
          </cell>
          <cell r="H3081">
            <v>34000000</v>
          </cell>
          <cell r="I3081" t="str">
            <v/>
          </cell>
          <cell r="J3081" t="str">
            <v/>
          </cell>
          <cell r="K3081" t="str">
            <v/>
          </cell>
          <cell r="L3081" t="str">
            <v/>
          </cell>
        </row>
        <row r="3082">
          <cell r="A3082">
            <v>34000000</v>
          </cell>
          <cell r="C3082">
            <v>34000000</v>
          </cell>
          <cell r="D3082">
            <v>34000000</v>
          </cell>
          <cell r="E3082">
            <v>34000000</v>
          </cell>
          <cell r="F3082">
            <v>34000000</v>
          </cell>
          <cell r="G3082">
            <v>34000000</v>
          </cell>
          <cell r="H3082">
            <v>34000000</v>
          </cell>
          <cell r="I3082" t="str">
            <v/>
          </cell>
          <cell r="J3082" t="str">
            <v/>
          </cell>
          <cell r="K3082" t="str">
            <v/>
          </cell>
          <cell r="L3082" t="str">
            <v/>
          </cell>
        </row>
        <row r="3083">
          <cell r="A3083">
            <v>34000000</v>
          </cell>
          <cell r="C3083">
            <v>34000000</v>
          </cell>
          <cell r="D3083">
            <v>34000000</v>
          </cell>
          <cell r="E3083">
            <v>34000000</v>
          </cell>
          <cell r="F3083">
            <v>34000000</v>
          </cell>
          <cell r="G3083">
            <v>34000000</v>
          </cell>
          <cell r="H3083">
            <v>34000000</v>
          </cell>
          <cell r="I3083" t="str">
            <v/>
          </cell>
          <cell r="J3083" t="str">
            <v/>
          </cell>
          <cell r="K3083" t="str">
            <v/>
          </cell>
          <cell r="L3083" t="str">
            <v/>
          </cell>
        </row>
        <row r="3084">
          <cell r="A3084">
            <v>34000000</v>
          </cell>
          <cell r="C3084">
            <v>34000000</v>
          </cell>
          <cell r="D3084">
            <v>34000000</v>
          </cell>
          <cell r="E3084">
            <v>34000000</v>
          </cell>
          <cell r="F3084">
            <v>34000000</v>
          </cell>
          <cell r="G3084">
            <v>34000000</v>
          </cell>
          <cell r="H3084">
            <v>34000000</v>
          </cell>
          <cell r="I3084" t="str">
            <v/>
          </cell>
          <cell r="J3084" t="str">
            <v/>
          </cell>
          <cell r="K3084" t="str">
            <v/>
          </cell>
          <cell r="L3084" t="str">
            <v/>
          </cell>
        </row>
        <row r="3085">
          <cell r="A3085">
            <v>34000000</v>
          </cell>
          <cell r="C3085">
            <v>34000000</v>
          </cell>
          <cell r="D3085">
            <v>34000000</v>
          </cell>
          <cell r="E3085">
            <v>34000000</v>
          </cell>
          <cell r="F3085">
            <v>34000000</v>
          </cell>
          <cell r="G3085">
            <v>34000000</v>
          </cell>
          <cell r="H3085">
            <v>34000000</v>
          </cell>
          <cell r="I3085" t="str">
            <v/>
          </cell>
          <cell r="J3085" t="str">
            <v/>
          </cell>
          <cell r="K3085" t="str">
            <v/>
          </cell>
          <cell r="L3085" t="str">
            <v/>
          </cell>
        </row>
        <row r="3086">
          <cell r="A3086">
            <v>34000000</v>
          </cell>
          <cell r="C3086">
            <v>34000000</v>
          </cell>
          <cell r="D3086">
            <v>34000000</v>
          </cell>
          <cell r="E3086">
            <v>34000000</v>
          </cell>
          <cell r="F3086">
            <v>34000000</v>
          </cell>
          <cell r="G3086">
            <v>34000000</v>
          </cell>
          <cell r="H3086">
            <v>34000000</v>
          </cell>
          <cell r="I3086" t="str">
            <v/>
          </cell>
          <cell r="J3086" t="str">
            <v/>
          </cell>
          <cell r="K3086" t="str">
            <v/>
          </cell>
          <cell r="L3086" t="str">
            <v/>
          </cell>
        </row>
        <row r="3087">
          <cell r="A3087">
            <v>34000000</v>
          </cell>
          <cell r="C3087">
            <v>34000000</v>
          </cell>
          <cell r="D3087">
            <v>34000000</v>
          </cell>
          <cell r="E3087">
            <v>34000000</v>
          </cell>
          <cell r="F3087">
            <v>34000000</v>
          </cell>
          <cell r="G3087">
            <v>34000000</v>
          </cell>
          <cell r="H3087">
            <v>34000000</v>
          </cell>
          <cell r="I3087" t="str">
            <v/>
          </cell>
          <cell r="J3087" t="str">
            <v/>
          </cell>
          <cell r="K3087" t="str">
            <v/>
          </cell>
          <cell r="L3087" t="str">
            <v/>
          </cell>
        </row>
        <row r="3088">
          <cell r="A3088">
            <v>34000000</v>
          </cell>
          <cell r="C3088">
            <v>34000000</v>
          </cell>
          <cell r="D3088">
            <v>34000000</v>
          </cell>
          <cell r="E3088">
            <v>34000000</v>
          </cell>
          <cell r="F3088">
            <v>34000000</v>
          </cell>
          <cell r="G3088">
            <v>34000000</v>
          </cell>
          <cell r="H3088">
            <v>34000000</v>
          </cell>
          <cell r="I3088" t="str">
            <v/>
          </cell>
          <cell r="J3088" t="str">
            <v/>
          </cell>
          <cell r="K3088" t="str">
            <v/>
          </cell>
          <cell r="L3088" t="str">
            <v/>
          </cell>
        </row>
        <row r="3089">
          <cell r="A3089">
            <v>34000000</v>
          </cell>
          <cell r="C3089">
            <v>34000000</v>
          </cell>
          <cell r="D3089">
            <v>34000000</v>
          </cell>
          <cell r="E3089">
            <v>34000000</v>
          </cell>
          <cell r="F3089">
            <v>34000000</v>
          </cell>
          <cell r="G3089">
            <v>34000000</v>
          </cell>
          <cell r="H3089">
            <v>34000000</v>
          </cell>
          <cell r="I3089" t="str">
            <v/>
          </cell>
          <cell r="J3089" t="str">
            <v/>
          </cell>
          <cell r="K3089" t="str">
            <v/>
          </cell>
          <cell r="L3089" t="str">
            <v/>
          </cell>
        </row>
        <row r="3090">
          <cell r="A3090">
            <v>34000000</v>
          </cell>
          <cell r="C3090">
            <v>34000000</v>
          </cell>
          <cell r="D3090">
            <v>34000000</v>
          </cell>
          <cell r="E3090">
            <v>34000000</v>
          </cell>
          <cell r="F3090">
            <v>34000000</v>
          </cell>
          <cell r="G3090">
            <v>34000000</v>
          </cell>
          <cell r="H3090">
            <v>34000000</v>
          </cell>
          <cell r="I3090" t="str">
            <v/>
          </cell>
          <cell r="J3090" t="str">
            <v/>
          </cell>
          <cell r="K3090" t="str">
            <v/>
          </cell>
          <cell r="L3090" t="str">
            <v/>
          </cell>
        </row>
        <row r="3091">
          <cell r="A3091">
            <v>34000000</v>
          </cell>
          <cell r="C3091">
            <v>34000000</v>
          </cell>
          <cell r="D3091">
            <v>34000000</v>
          </cell>
          <cell r="E3091">
            <v>34000000</v>
          </cell>
          <cell r="F3091">
            <v>34000000</v>
          </cell>
          <cell r="G3091">
            <v>34000000</v>
          </cell>
          <cell r="H3091">
            <v>34000000</v>
          </cell>
          <cell r="I3091" t="str">
            <v/>
          </cell>
          <cell r="J3091" t="str">
            <v/>
          </cell>
          <cell r="K3091" t="str">
            <v/>
          </cell>
          <cell r="L3091" t="str">
            <v/>
          </cell>
        </row>
        <row r="3092">
          <cell r="A3092">
            <v>34000000</v>
          </cell>
          <cell r="C3092">
            <v>34000000</v>
          </cell>
          <cell r="D3092">
            <v>34000000</v>
          </cell>
          <cell r="E3092">
            <v>34000000</v>
          </cell>
          <cell r="F3092">
            <v>34000000</v>
          </cell>
          <cell r="G3092">
            <v>34000000</v>
          </cell>
          <cell r="H3092">
            <v>34000000</v>
          </cell>
          <cell r="I3092" t="str">
            <v/>
          </cell>
          <cell r="J3092" t="str">
            <v/>
          </cell>
          <cell r="K3092" t="str">
            <v/>
          </cell>
          <cell r="L3092" t="str">
            <v/>
          </cell>
        </row>
        <row r="3093">
          <cell r="A3093">
            <v>34000000</v>
          </cell>
          <cell r="C3093">
            <v>34000000</v>
          </cell>
          <cell r="D3093">
            <v>34000000</v>
          </cell>
          <cell r="E3093">
            <v>34000000</v>
          </cell>
          <cell r="F3093">
            <v>34000000</v>
          </cell>
          <cell r="G3093">
            <v>34000000</v>
          </cell>
          <cell r="H3093">
            <v>34000000</v>
          </cell>
          <cell r="I3093" t="str">
            <v/>
          </cell>
          <cell r="J3093" t="str">
            <v/>
          </cell>
          <cell r="K3093" t="str">
            <v/>
          </cell>
          <cell r="L3093" t="str">
            <v/>
          </cell>
        </row>
        <row r="3094">
          <cell r="A3094">
            <v>34000000</v>
          </cell>
          <cell r="C3094">
            <v>34000000</v>
          </cell>
          <cell r="D3094">
            <v>34000000</v>
          </cell>
          <cell r="E3094">
            <v>34000000</v>
          </cell>
          <cell r="F3094">
            <v>34000000</v>
          </cell>
          <cell r="G3094">
            <v>34000000</v>
          </cell>
          <cell r="H3094">
            <v>34000000</v>
          </cell>
          <cell r="I3094" t="str">
            <v/>
          </cell>
          <cell r="J3094" t="str">
            <v/>
          </cell>
          <cell r="K3094" t="str">
            <v/>
          </cell>
          <cell r="L3094" t="str">
            <v/>
          </cell>
        </row>
        <row r="3095">
          <cell r="A3095">
            <v>34000000</v>
          </cell>
          <cell r="C3095">
            <v>34000000</v>
          </cell>
          <cell r="D3095">
            <v>34000000</v>
          </cell>
          <cell r="E3095">
            <v>34000000</v>
          </cell>
          <cell r="F3095">
            <v>34000000</v>
          </cell>
          <cell r="G3095">
            <v>34000000</v>
          </cell>
          <cell r="H3095">
            <v>34000000</v>
          </cell>
          <cell r="I3095" t="str">
            <v/>
          </cell>
          <cell r="J3095" t="str">
            <v/>
          </cell>
          <cell r="K3095" t="str">
            <v/>
          </cell>
          <cell r="L3095" t="str">
            <v/>
          </cell>
        </row>
        <row r="3096">
          <cell r="A3096">
            <v>34000000</v>
          </cell>
          <cell r="C3096">
            <v>34000000</v>
          </cell>
          <cell r="D3096">
            <v>34000000</v>
          </cell>
          <cell r="E3096">
            <v>34000000</v>
          </cell>
          <cell r="F3096">
            <v>34000000</v>
          </cell>
          <cell r="G3096">
            <v>34000000</v>
          </cell>
          <cell r="H3096">
            <v>34000000</v>
          </cell>
          <cell r="I3096" t="str">
            <v/>
          </cell>
          <cell r="J3096" t="str">
            <v/>
          </cell>
          <cell r="K3096" t="str">
            <v/>
          </cell>
          <cell r="L3096" t="str">
            <v/>
          </cell>
        </row>
        <row r="3097">
          <cell r="A3097">
            <v>34000000</v>
          </cell>
          <cell r="C3097">
            <v>34000000</v>
          </cell>
          <cell r="D3097">
            <v>34000000</v>
          </cell>
          <cell r="E3097">
            <v>34000000</v>
          </cell>
          <cell r="F3097">
            <v>34000000</v>
          </cell>
          <cell r="G3097">
            <v>34000000</v>
          </cell>
          <cell r="H3097">
            <v>34000000</v>
          </cell>
          <cell r="I3097" t="str">
            <v/>
          </cell>
          <cell r="J3097" t="str">
            <v/>
          </cell>
          <cell r="K3097" t="str">
            <v/>
          </cell>
          <cell r="L3097" t="str">
            <v/>
          </cell>
        </row>
        <row r="3098">
          <cell r="A3098">
            <v>34000000</v>
          </cell>
          <cell r="C3098">
            <v>34000000</v>
          </cell>
          <cell r="D3098">
            <v>34000000</v>
          </cell>
          <cell r="E3098">
            <v>34000000</v>
          </cell>
          <cell r="F3098">
            <v>34000000</v>
          </cell>
          <cell r="G3098">
            <v>34000000</v>
          </cell>
          <cell r="H3098">
            <v>34000000</v>
          </cell>
          <cell r="I3098" t="str">
            <v/>
          </cell>
          <cell r="J3098" t="str">
            <v/>
          </cell>
          <cell r="K3098" t="str">
            <v/>
          </cell>
          <cell r="L3098" t="str">
            <v/>
          </cell>
        </row>
        <row r="3099">
          <cell r="A3099">
            <v>34000000</v>
          </cell>
          <cell r="C3099">
            <v>34000000</v>
          </cell>
          <cell r="D3099">
            <v>34000000</v>
          </cell>
          <cell r="E3099">
            <v>34000000</v>
          </cell>
          <cell r="F3099">
            <v>34000000</v>
          </cell>
          <cell r="G3099">
            <v>34000000</v>
          </cell>
          <cell r="H3099">
            <v>34000000</v>
          </cell>
          <cell r="I3099" t="str">
            <v/>
          </cell>
          <cell r="J3099" t="str">
            <v/>
          </cell>
          <cell r="K3099" t="str">
            <v/>
          </cell>
          <cell r="L3099" t="str">
            <v/>
          </cell>
        </row>
        <row r="3100">
          <cell r="A3100">
            <v>34000000</v>
          </cell>
          <cell r="C3100">
            <v>34000000</v>
          </cell>
          <cell r="D3100">
            <v>34000000</v>
          </cell>
          <cell r="E3100">
            <v>34000000</v>
          </cell>
          <cell r="F3100">
            <v>34000000</v>
          </cell>
          <cell r="G3100">
            <v>34000000</v>
          </cell>
          <cell r="H3100">
            <v>34000000</v>
          </cell>
          <cell r="I3100" t="str">
            <v/>
          </cell>
          <cell r="J3100" t="str">
            <v/>
          </cell>
          <cell r="K3100" t="str">
            <v/>
          </cell>
          <cell r="L3100" t="str">
            <v/>
          </cell>
        </row>
        <row r="3101">
          <cell r="A3101">
            <v>34000000</v>
          </cell>
          <cell r="C3101">
            <v>34000000</v>
          </cell>
          <cell r="D3101">
            <v>34000000</v>
          </cell>
          <cell r="E3101">
            <v>34000000</v>
          </cell>
          <cell r="F3101">
            <v>34000000</v>
          </cell>
          <cell r="G3101">
            <v>34000000</v>
          </cell>
          <cell r="H3101">
            <v>34000000</v>
          </cell>
          <cell r="I3101" t="str">
            <v/>
          </cell>
          <cell r="J3101" t="str">
            <v/>
          </cell>
          <cell r="K3101" t="str">
            <v/>
          </cell>
          <cell r="L3101" t="str">
            <v/>
          </cell>
        </row>
        <row r="3102">
          <cell r="A3102">
            <v>34000000</v>
          </cell>
          <cell r="C3102">
            <v>34000000</v>
          </cell>
          <cell r="D3102">
            <v>34000000</v>
          </cell>
          <cell r="E3102">
            <v>34000000</v>
          </cell>
          <cell r="F3102">
            <v>34000000</v>
          </cell>
          <cell r="G3102">
            <v>34000000</v>
          </cell>
          <cell r="H3102">
            <v>34000000</v>
          </cell>
          <cell r="I3102" t="str">
            <v/>
          </cell>
          <cell r="J3102" t="str">
            <v/>
          </cell>
          <cell r="K3102" t="str">
            <v/>
          </cell>
          <cell r="L3102" t="str">
            <v/>
          </cell>
        </row>
        <row r="3103">
          <cell r="A3103">
            <v>34000000</v>
          </cell>
          <cell r="C3103">
            <v>34000000</v>
          </cell>
          <cell r="D3103">
            <v>34000000</v>
          </cell>
          <cell r="E3103">
            <v>34000000</v>
          </cell>
          <cell r="F3103">
            <v>34000000</v>
          </cell>
          <cell r="G3103">
            <v>34000000</v>
          </cell>
          <cell r="H3103">
            <v>34000000</v>
          </cell>
          <cell r="I3103" t="str">
            <v/>
          </cell>
          <cell r="J3103" t="str">
            <v/>
          </cell>
          <cell r="K3103" t="str">
            <v/>
          </cell>
          <cell r="L3103" t="str">
            <v/>
          </cell>
        </row>
        <row r="3104">
          <cell r="A3104">
            <v>34000000</v>
          </cell>
          <cell r="C3104">
            <v>34000000</v>
          </cell>
          <cell r="D3104">
            <v>34000000</v>
          </cell>
          <cell r="E3104">
            <v>34000000</v>
          </cell>
          <cell r="F3104">
            <v>34000000</v>
          </cell>
          <cell r="G3104">
            <v>34000000</v>
          </cell>
          <cell r="H3104">
            <v>34000000</v>
          </cell>
          <cell r="I3104" t="str">
            <v/>
          </cell>
          <cell r="J3104" t="str">
            <v/>
          </cell>
          <cell r="K3104" t="str">
            <v/>
          </cell>
          <cell r="L3104" t="str">
            <v/>
          </cell>
        </row>
        <row r="3105">
          <cell r="A3105">
            <v>34000000</v>
          </cell>
          <cell r="C3105">
            <v>34000000</v>
          </cell>
          <cell r="D3105">
            <v>34000000</v>
          </cell>
          <cell r="E3105">
            <v>34000000</v>
          </cell>
          <cell r="F3105">
            <v>34000000</v>
          </cell>
          <cell r="G3105">
            <v>34000000</v>
          </cell>
          <cell r="H3105">
            <v>34000000</v>
          </cell>
          <cell r="I3105" t="str">
            <v/>
          </cell>
          <cell r="J3105" t="str">
            <v/>
          </cell>
          <cell r="K3105" t="str">
            <v/>
          </cell>
          <cell r="L3105" t="str">
            <v/>
          </cell>
        </row>
        <row r="3106">
          <cell r="A3106">
            <v>34000000</v>
          </cell>
          <cell r="C3106">
            <v>34000000</v>
          </cell>
          <cell r="D3106">
            <v>34000000</v>
          </cell>
          <cell r="E3106">
            <v>34000000</v>
          </cell>
          <cell r="F3106">
            <v>34000000</v>
          </cell>
          <cell r="G3106">
            <v>34000000</v>
          </cell>
          <cell r="H3106">
            <v>34000000</v>
          </cell>
          <cell r="I3106" t="str">
            <v/>
          </cell>
          <cell r="J3106" t="str">
            <v/>
          </cell>
          <cell r="K3106" t="str">
            <v/>
          </cell>
          <cell r="L3106" t="str">
            <v/>
          </cell>
        </row>
        <row r="3107">
          <cell r="A3107">
            <v>34000000</v>
          </cell>
          <cell r="C3107">
            <v>34000000</v>
          </cell>
          <cell r="D3107">
            <v>34000000</v>
          </cell>
          <cell r="E3107">
            <v>34000000</v>
          </cell>
          <cell r="F3107">
            <v>34000000</v>
          </cell>
          <cell r="G3107">
            <v>34000000</v>
          </cell>
          <cell r="H3107">
            <v>34000000</v>
          </cell>
          <cell r="I3107" t="str">
            <v/>
          </cell>
          <cell r="J3107" t="str">
            <v/>
          </cell>
          <cell r="K3107" t="str">
            <v/>
          </cell>
          <cell r="L3107" t="str">
            <v/>
          </cell>
        </row>
        <row r="3108">
          <cell r="A3108">
            <v>34000000</v>
          </cell>
          <cell r="C3108">
            <v>34000000</v>
          </cell>
          <cell r="D3108">
            <v>34000000</v>
          </cell>
          <cell r="E3108">
            <v>34000000</v>
          </cell>
          <cell r="F3108">
            <v>34000000</v>
          </cell>
          <cell r="G3108">
            <v>34000000</v>
          </cell>
          <cell r="H3108">
            <v>34000000</v>
          </cell>
          <cell r="I3108" t="str">
            <v/>
          </cell>
          <cell r="J3108" t="str">
            <v/>
          </cell>
          <cell r="K3108" t="str">
            <v/>
          </cell>
          <cell r="L3108" t="str">
            <v/>
          </cell>
        </row>
        <row r="3109">
          <cell r="A3109">
            <v>34000000</v>
          </cell>
          <cell r="C3109">
            <v>34000000</v>
          </cell>
          <cell r="D3109">
            <v>34000000</v>
          </cell>
          <cell r="E3109">
            <v>34000000</v>
          </cell>
          <cell r="F3109">
            <v>34000000</v>
          </cell>
          <cell r="G3109">
            <v>34000000</v>
          </cell>
          <cell r="H3109">
            <v>34000000</v>
          </cell>
          <cell r="I3109" t="str">
            <v/>
          </cell>
          <cell r="J3109" t="str">
            <v/>
          </cell>
          <cell r="K3109" t="str">
            <v/>
          </cell>
          <cell r="L3109" t="str">
            <v/>
          </cell>
        </row>
        <row r="3110">
          <cell r="A3110">
            <v>34000000</v>
          </cell>
          <cell r="C3110">
            <v>34000000</v>
          </cell>
          <cell r="D3110">
            <v>34000000</v>
          </cell>
          <cell r="E3110">
            <v>34000000</v>
          </cell>
          <cell r="F3110">
            <v>34000000</v>
          </cell>
          <cell r="G3110">
            <v>34000000</v>
          </cell>
          <cell r="H3110">
            <v>34000000</v>
          </cell>
          <cell r="I3110" t="str">
            <v/>
          </cell>
          <cell r="J3110" t="str">
            <v/>
          </cell>
          <cell r="K3110" t="str">
            <v/>
          </cell>
          <cell r="L3110" t="str">
            <v/>
          </cell>
        </row>
        <row r="3111">
          <cell r="A3111">
            <v>34000000</v>
          </cell>
          <cell r="C3111">
            <v>34000000</v>
          </cell>
          <cell r="D3111">
            <v>34000000</v>
          </cell>
          <cell r="E3111">
            <v>34000000</v>
          </cell>
          <cell r="F3111">
            <v>34000000</v>
          </cell>
          <cell r="G3111">
            <v>34000000</v>
          </cell>
          <cell r="H3111">
            <v>34000000</v>
          </cell>
          <cell r="I3111" t="str">
            <v/>
          </cell>
          <cell r="J3111" t="str">
            <v/>
          </cell>
          <cell r="K3111" t="str">
            <v/>
          </cell>
          <cell r="L3111" t="str">
            <v/>
          </cell>
        </row>
        <row r="3112">
          <cell r="A3112">
            <v>34000000</v>
          </cell>
          <cell r="C3112">
            <v>34000000</v>
          </cell>
          <cell r="D3112">
            <v>34000000</v>
          </cell>
          <cell r="E3112">
            <v>34000000</v>
          </cell>
          <cell r="F3112">
            <v>34000000</v>
          </cell>
          <cell r="G3112">
            <v>34000000</v>
          </cell>
          <cell r="H3112">
            <v>34000000</v>
          </cell>
          <cell r="I3112" t="str">
            <v/>
          </cell>
          <cell r="J3112" t="str">
            <v/>
          </cell>
          <cell r="K3112" t="str">
            <v/>
          </cell>
          <cell r="L3112" t="str">
            <v/>
          </cell>
        </row>
        <row r="3113">
          <cell r="A3113">
            <v>34000000</v>
          </cell>
          <cell r="C3113">
            <v>34000000</v>
          </cell>
          <cell r="D3113">
            <v>34000000</v>
          </cell>
          <cell r="E3113">
            <v>34000000</v>
          </cell>
          <cell r="F3113">
            <v>34000000</v>
          </cell>
          <cell r="G3113">
            <v>34000000</v>
          </cell>
          <cell r="H3113">
            <v>34000000</v>
          </cell>
          <cell r="I3113" t="str">
            <v/>
          </cell>
          <cell r="J3113" t="str">
            <v/>
          </cell>
          <cell r="K3113" t="str">
            <v/>
          </cell>
          <cell r="L3113" t="str">
            <v/>
          </cell>
        </row>
        <row r="3114">
          <cell r="A3114">
            <v>34000000</v>
          </cell>
          <cell r="C3114">
            <v>34000000</v>
          </cell>
          <cell r="D3114">
            <v>34000000</v>
          </cell>
          <cell r="E3114">
            <v>34000000</v>
          </cell>
          <cell r="F3114">
            <v>34000000</v>
          </cell>
          <cell r="G3114">
            <v>34000000</v>
          </cell>
          <cell r="H3114">
            <v>34000000</v>
          </cell>
          <cell r="I3114" t="str">
            <v/>
          </cell>
          <cell r="J3114" t="str">
            <v/>
          </cell>
          <cell r="K3114" t="str">
            <v/>
          </cell>
          <cell r="L3114" t="str">
            <v/>
          </cell>
        </row>
        <row r="3115">
          <cell r="A3115">
            <v>34000000</v>
          </cell>
          <cell r="C3115">
            <v>34000000</v>
          </cell>
          <cell r="D3115">
            <v>34000000</v>
          </cell>
          <cell r="E3115">
            <v>34000000</v>
          </cell>
          <cell r="F3115">
            <v>34000000</v>
          </cell>
          <cell r="G3115">
            <v>34000000</v>
          </cell>
          <cell r="H3115">
            <v>34000000</v>
          </cell>
          <cell r="I3115" t="str">
            <v/>
          </cell>
          <cell r="J3115" t="str">
            <v/>
          </cell>
          <cell r="K3115" t="str">
            <v/>
          </cell>
          <cell r="L3115" t="str">
            <v/>
          </cell>
        </row>
        <row r="3116">
          <cell r="A3116">
            <v>34000000</v>
          </cell>
          <cell r="C3116">
            <v>34000000</v>
          </cell>
          <cell r="D3116">
            <v>34000000</v>
          </cell>
          <cell r="E3116">
            <v>34000000</v>
          </cell>
          <cell r="F3116">
            <v>34000000</v>
          </cell>
          <cell r="G3116">
            <v>34000000</v>
          </cell>
          <cell r="H3116">
            <v>34000000</v>
          </cell>
          <cell r="I3116" t="str">
            <v/>
          </cell>
          <cell r="J3116" t="str">
            <v/>
          </cell>
          <cell r="K3116" t="str">
            <v/>
          </cell>
          <cell r="L3116" t="str">
            <v/>
          </cell>
        </row>
        <row r="3117">
          <cell r="A3117">
            <v>34000000</v>
          </cell>
          <cell r="C3117">
            <v>34000000</v>
          </cell>
          <cell r="D3117">
            <v>34000000</v>
          </cell>
          <cell r="E3117">
            <v>34000000</v>
          </cell>
          <cell r="F3117">
            <v>34000000</v>
          </cell>
          <cell r="G3117">
            <v>34000000</v>
          </cell>
          <cell r="H3117">
            <v>34000000</v>
          </cell>
          <cell r="I3117" t="str">
            <v/>
          </cell>
          <cell r="J3117" t="str">
            <v/>
          </cell>
          <cell r="K3117" t="str">
            <v/>
          </cell>
          <cell r="L3117" t="str">
            <v/>
          </cell>
        </row>
        <row r="3118">
          <cell r="A3118">
            <v>34000000</v>
          </cell>
          <cell r="C3118">
            <v>34000000</v>
          </cell>
          <cell r="D3118">
            <v>34000000</v>
          </cell>
          <cell r="E3118">
            <v>34000000</v>
          </cell>
          <cell r="F3118">
            <v>34000000</v>
          </cell>
          <cell r="G3118">
            <v>34000000</v>
          </cell>
          <cell r="H3118">
            <v>34000000</v>
          </cell>
          <cell r="I3118" t="str">
            <v/>
          </cell>
          <cell r="J3118" t="str">
            <v/>
          </cell>
          <cell r="K3118" t="str">
            <v/>
          </cell>
          <cell r="L3118" t="str">
            <v/>
          </cell>
        </row>
        <row r="3119">
          <cell r="A3119">
            <v>34000000</v>
          </cell>
          <cell r="C3119">
            <v>34000000</v>
          </cell>
          <cell r="D3119">
            <v>34000000</v>
          </cell>
          <cell r="E3119">
            <v>34000000</v>
          </cell>
          <cell r="F3119">
            <v>34000000</v>
          </cell>
          <cell r="G3119">
            <v>34000000</v>
          </cell>
          <cell r="H3119">
            <v>34000000</v>
          </cell>
          <cell r="I3119" t="str">
            <v/>
          </cell>
          <cell r="J3119" t="str">
            <v/>
          </cell>
          <cell r="K3119" t="str">
            <v/>
          </cell>
          <cell r="L3119" t="str">
            <v/>
          </cell>
        </row>
        <row r="3120">
          <cell r="A3120">
            <v>34000000</v>
          </cell>
          <cell r="C3120">
            <v>34000000</v>
          </cell>
          <cell r="D3120">
            <v>34000000</v>
          </cell>
          <cell r="E3120">
            <v>34000000</v>
          </cell>
          <cell r="F3120">
            <v>34000000</v>
          </cell>
          <cell r="G3120">
            <v>34000000</v>
          </cell>
          <cell r="H3120">
            <v>34000000</v>
          </cell>
          <cell r="I3120" t="str">
            <v/>
          </cell>
          <cell r="J3120" t="str">
            <v/>
          </cell>
          <cell r="K3120" t="str">
            <v/>
          </cell>
          <cell r="L3120" t="str">
            <v/>
          </cell>
        </row>
        <row r="3121">
          <cell r="A3121">
            <v>34000000</v>
          </cell>
          <cell r="C3121">
            <v>34000000</v>
          </cell>
          <cell r="D3121">
            <v>34000000</v>
          </cell>
          <cell r="E3121">
            <v>34000000</v>
          </cell>
          <cell r="F3121">
            <v>34000000</v>
          </cell>
          <cell r="G3121">
            <v>34000000</v>
          </cell>
          <cell r="H3121">
            <v>34000000</v>
          </cell>
          <cell r="I3121" t="str">
            <v/>
          </cell>
          <cell r="J3121" t="str">
            <v/>
          </cell>
          <cell r="K3121" t="str">
            <v/>
          </cell>
          <cell r="L3121" t="str">
            <v/>
          </cell>
        </row>
        <row r="3122">
          <cell r="A3122">
            <v>34000000</v>
          </cell>
          <cell r="C3122">
            <v>34000000</v>
          </cell>
          <cell r="D3122">
            <v>34000000</v>
          </cell>
          <cell r="E3122">
            <v>34000000</v>
          </cell>
          <cell r="F3122">
            <v>34000000</v>
          </cell>
          <cell r="G3122">
            <v>34000000</v>
          </cell>
          <cell r="H3122">
            <v>34000000</v>
          </cell>
          <cell r="I3122" t="str">
            <v/>
          </cell>
          <cell r="J3122" t="str">
            <v/>
          </cell>
          <cell r="K3122" t="str">
            <v/>
          </cell>
          <cell r="L3122" t="str">
            <v/>
          </cell>
        </row>
        <row r="3123">
          <cell r="A3123">
            <v>34000000</v>
          </cell>
          <cell r="C3123">
            <v>34000000</v>
          </cell>
          <cell r="D3123">
            <v>34000000</v>
          </cell>
          <cell r="E3123">
            <v>34000000</v>
          </cell>
          <cell r="F3123">
            <v>34000000</v>
          </cell>
          <cell r="G3123">
            <v>34000000</v>
          </cell>
          <cell r="H3123">
            <v>34000000</v>
          </cell>
          <cell r="I3123" t="str">
            <v/>
          </cell>
          <cell r="J3123" t="str">
            <v/>
          </cell>
          <cell r="K3123" t="str">
            <v/>
          </cell>
          <cell r="L3123" t="str">
            <v/>
          </cell>
        </row>
        <row r="3124">
          <cell r="A3124">
            <v>34000000</v>
          </cell>
          <cell r="C3124">
            <v>34000000</v>
          </cell>
          <cell r="D3124">
            <v>34000000</v>
          </cell>
          <cell r="E3124">
            <v>34000000</v>
          </cell>
          <cell r="F3124">
            <v>34000000</v>
          </cell>
          <cell r="G3124">
            <v>34000000</v>
          </cell>
          <cell r="H3124">
            <v>34000000</v>
          </cell>
          <cell r="I3124" t="str">
            <v/>
          </cell>
          <cell r="J3124" t="str">
            <v/>
          </cell>
          <cell r="K3124" t="str">
            <v/>
          </cell>
          <cell r="L3124" t="str">
            <v/>
          </cell>
        </row>
        <row r="3125">
          <cell r="A3125">
            <v>34000000</v>
          </cell>
          <cell r="C3125">
            <v>34000000</v>
          </cell>
          <cell r="D3125">
            <v>34000000</v>
          </cell>
          <cell r="E3125">
            <v>34000000</v>
          </cell>
          <cell r="F3125">
            <v>34000000</v>
          </cell>
          <cell r="G3125">
            <v>34000000</v>
          </cell>
          <cell r="H3125">
            <v>34000000</v>
          </cell>
          <cell r="I3125" t="str">
            <v/>
          </cell>
          <cell r="J3125" t="str">
            <v/>
          </cell>
          <cell r="K3125" t="str">
            <v/>
          </cell>
          <cell r="L3125" t="str">
            <v/>
          </cell>
        </row>
        <row r="3126">
          <cell r="A3126">
            <v>34000000</v>
          </cell>
          <cell r="C3126">
            <v>34000000</v>
          </cell>
          <cell r="D3126">
            <v>34000000</v>
          </cell>
          <cell r="E3126">
            <v>34000000</v>
          </cell>
          <cell r="F3126">
            <v>34000000</v>
          </cell>
          <cell r="G3126">
            <v>34000000</v>
          </cell>
          <cell r="H3126">
            <v>34000000</v>
          </cell>
          <cell r="I3126" t="str">
            <v/>
          </cell>
          <cell r="J3126" t="str">
            <v/>
          </cell>
          <cell r="K3126" t="str">
            <v/>
          </cell>
          <cell r="L3126" t="str">
            <v/>
          </cell>
        </row>
        <row r="3127">
          <cell r="A3127">
            <v>34000000</v>
          </cell>
          <cell r="C3127">
            <v>34000000</v>
          </cell>
          <cell r="D3127">
            <v>34000000</v>
          </cell>
          <cell r="E3127">
            <v>34000000</v>
          </cell>
          <cell r="F3127">
            <v>34000000</v>
          </cell>
          <cell r="G3127">
            <v>34000000</v>
          </cell>
          <cell r="H3127">
            <v>34000000</v>
          </cell>
          <cell r="I3127" t="str">
            <v/>
          </cell>
          <cell r="J3127" t="str">
            <v/>
          </cell>
          <cell r="K3127" t="str">
            <v/>
          </cell>
          <cell r="L3127" t="str">
            <v/>
          </cell>
        </row>
        <row r="3128">
          <cell r="A3128">
            <v>34000000</v>
          </cell>
          <cell r="C3128">
            <v>34000000</v>
          </cell>
          <cell r="D3128">
            <v>34000000</v>
          </cell>
          <cell r="E3128">
            <v>34000000</v>
          </cell>
          <cell r="F3128">
            <v>34000000</v>
          </cell>
          <cell r="G3128">
            <v>34000000</v>
          </cell>
          <cell r="H3128">
            <v>34000000</v>
          </cell>
          <cell r="I3128" t="str">
            <v/>
          </cell>
          <cell r="J3128" t="str">
            <v/>
          </cell>
          <cell r="K3128" t="str">
            <v/>
          </cell>
          <cell r="L3128" t="str">
            <v/>
          </cell>
        </row>
        <row r="3129">
          <cell r="A3129">
            <v>34000000</v>
          </cell>
          <cell r="C3129">
            <v>34000000</v>
          </cell>
          <cell r="D3129">
            <v>34000000</v>
          </cell>
          <cell r="E3129">
            <v>34000000</v>
          </cell>
          <cell r="F3129">
            <v>34000000</v>
          </cell>
          <cell r="G3129">
            <v>34000000</v>
          </cell>
          <cell r="H3129">
            <v>34000000</v>
          </cell>
          <cell r="I3129" t="str">
            <v/>
          </cell>
          <cell r="J3129" t="str">
            <v/>
          </cell>
          <cell r="K3129" t="str">
            <v/>
          </cell>
          <cell r="L3129" t="str">
            <v/>
          </cell>
        </row>
        <row r="3130">
          <cell r="A3130">
            <v>34000000</v>
          </cell>
          <cell r="C3130">
            <v>34000000</v>
          </cell>
          <cell r="D3130">
            <v>34000000</v>
          </cell>
          <cell r="E3130">
            <v>34000000</v>
          </cell>
          <cell r="F3130">
            <v>34000000</v>
          </cell>
          <cell r="G3130">
            <v>34000000</v>
          </cell>
          <cell r="H3130">
            <v>34000000</v>
          </cell>
          <cell r="I3130" t="str">
            <v/>
          </cell>
          <cell r="J3130" t="str">
            <v/>
          </cell>
          <cell r="K3130" t="str">
            <v/>
          </cell>
          <cell r="L3130" t="str">
            <v/>
          </cell>
        </row>
        <row r="3131">
          <cell r="A3131">
            <v>34000000</v>
          </cell>
          <cell r="C3131">
            <v>34000000</v>
          </cell>
          <cell r="D3131">
            <v>34000000</v>
          </cell>
          <cell r="E3131">
            <v>34000000</v>
          </cell>
          <cell r="F3131">
            <v>34000000</v>
          </cell>
          <cell r="G3131">
            <v>34000000</v>
          </cell>
          <cell r="H3131">
            <v>34000000</v>
          </cell>
          <cell r="I3131" t="str">
            <v/>
          </cell>
          <cell r="J3131" t="str">
            <v/>
          </cell>
          <cell r="K3131" t="str">
            <v/>
          </cell>
          <cell r="L3131" t="str">
            <v/>
          </cell>
        </row>
        <row r="3132">
          <cell r="A3132">
            <v>34000000</v>
          </cell>
          <cell r="C3132">
            <v>34000000</v>
          </cell>
          <cell r="D3132">
            <v>34000000</v>
          </cell>
          <cell r="E3132">
            <v>34000000</v>
          </cell>
          <cell r="F3132">
            <v>34000000</v>
          </cell>
          <cell r="G3132">
            <v>34000000</v>
          </cell>
          <cell r="H3132">
            <v>34000000</v>
          </cell>
          <cell r="I3132" t="str">
            <v/>
          </cell>
          <cell r="J3132" t="str">
            <v/>
          </cell>
          <cell r="K3132" t="str">
            <v/>
          </cell>
          <cell r="L3132" t="str">
            <v/>
          </cell>
        </row>
        <row r="3133">
          <cell r="A3133">
            <v>34000000</v>
          </cell>
          <cell r="C3133">
            <v>34000000</v>
          </cell>
          <cell r="D3133">
            <v>34000000</v>
          </cell>
          <cell r="E3133">
            <v>34000000</v>
          </cell>
          <cell r="F3133">
            <v>34000000</v>
          </cell>
          <cell r="G3133">
            <v>34000000</v>
          </cell>
          <cell r="H3133">
            <v>34000000</v>
          </cell>
          <cell r="I3133" t="str">
            <v/>
          </cell>
          <cell r="J3133" t="str">
            <v/>
          </cell>
          <cell r="K3133" t="str">
            <v/>
          </cell>
          <cell r="L3133" t="str">
            <v/>
          </cell>
        </row>
        <row r="3134">
          <cell r="A3134">
            <v>34000000</v>
          </cell>
          <cell r="C3134">
            <v>34000000</v>
          </cell>
          <cell r="D3134">
            <v>34000000</v>
          </cell>
          <cell r="E3134">
            <v>34000000</v>
          </cell>
          <cell r="F3134">
            <v>34000000</v>
          </cell>
          <cell r="G3134">
            <v>34000000</v>
          </cell>
          <cell r="H3134">
            <v>34000000</v>
          </cell>
          <cell r="I3134" t="str">
            <v/>
          </cell>
          <cell r="J3134" t="str">
            <v/>
          </cell>
          <cell r="K3134" t="str">
            <v/>
          </cell>
          <cell r="L3134" t="str">
            <v/>
          </cell>
        </row>
        <row r="3135">
          <cell r="A3135">
            <v>34000000</v>
          </cell>
          <cell r="C3135">
            <v>34000000</v>
          </cell>
          <cell r="D3135">
            <v>34000000</v>
          </cell>
          <cell r="E3135">
            <v>34000000</v>
          </cell>
          <cell r="F3135">
            <v>34000000</v>
          </cell>
          <cell r="G3135">
            <v>34000000</v>
          </cell>
          <cell r="H3135">
            <v>34000000</v>
          </cell>
          <cell r="I3135" t="str">
            <v/>
          </cell>
          <cell r="J3135" t="str">
            <v/>
          </cell>
          <cell r="K3135" t="str">
            <v/>
          </cell>
          <cell r="L3135" t="str">
            <v/>
          </cell>
        </row>
        <row r="3136">
          <cell r="A3136">
            <v>34000000</v>
          </cell>
          <cell r="C3136">
            <v>34000000</v>
          </cell>
          <cell r="D3136">
            <v>34000000</v>
          </cell>
          <cell r="E3136">
            <v>34000000</v>
          </cell>
          <cell r="F3136">
            <v>34000000</v>
          </cell>
          <cell r="G3136">
            <v>34000000</v>
          </cell>
          <cell r="H3136">
            <v>34000000</v>
          </cell>
          <cell r="I3136" t="str">
            <v/>
          </cell>
          <cell r="J3136" t="str">
            <v/>
          </cell>
          <cell r="K3136" t="str">
            <v/>
          </cell>
          <cell r="L3136" t="str">
            <v/>
          </cell>
        </row>
        <row r="3137">
          <cell r="A3137">
            <v>34000000</v>
          </cell>
          <cell r="C3137">
            <v>34000000</v>
          </cell>
          <cell r="D3137">
            <v>34000000</v>
          </cell>
          <cell r="E3137">
            <v>34000000</v>
          </cell>
          <cell r="F3137">
            <v>34000000</v>
          </cell>
          <cell r="G3137">
            <v>34000000</v>
          </cell>
          <cell r="H3137">
            <v>34000000</v>
          </cell>
          <cell r="I3137" t="str">
            <v/>
          </cell>
          <cell r="J3137" t="str">
            <v/>
          </cell>
          <cell r="K3137" t="str">
            <v/>
          </cell>
          <cell r="L3137" t="str">
            <v/>
          </cell>
        </row>
        <row r="3138">
          <cell r="A3138">
            <v>34000000</v>
          </cell>
          <cell r="C3138">
            <v>34000000</v>
          </cell>
          <cell r="D3138">
            <v>34000000</v>
          </cell>
          <cell r="E3138">
            <v>34000000</v>
          </cell>
          <cell r="F3138">
            <v>34000000</v>
          </cell>
          <cell r="G3138">
            <v>34000000</v>
          </cell>
          <cell r="H3138">
            <v>34000000</v>
          </cell>
          <cell r="I3138" t="str">
            <v/>
          </cell>
          <cell r="J3138" t="str">
            <v/>
          </cell>
          <cell r="K3138" t="str">
            <v/>
          </cell>
          <cell r="L3138" t="str">
            <v/>
          </cell>
        </row>
        <row r="3139">
          <cell r="A3139">
            <v>34000000</v>
          </cell>
          <cell r="C3139">
            <v>34000000</v>
          </cell>
          <cell r="D3139">
            <v>34000000</v>
          </cell>
          <cell r="E3139">
            <v>34000000</v>
          </cell>
          <cell r="F3139">
            <v>34000000</v>
          </cell>
          <cell r="G3139">
            <v>34000000</v>
          </cell>
          <cell r="H3139">
            <v>34000000</v>
          </cell>
          <cell r="I3139" t="str">
            <v/>
          </cell>
          <cell r="J3139" t="str">
            <v/>
          </cell>
          <cell r="K3139" t="str">
            <v/>
          </cell>
          <cell r="L3139" t="str">
            <v/>
          </cell>
        </row>
        <row r="3140">
          <cell r="A3140">
            <v>34000000</v>
          </cell>
          <cell r="C3140">
            <v>34000000</v>
          </cell>
          <cell r="D3140">
            <v>34000000</v>
          </cell>
          <cell r="E3140">
            <v>34000000</v>
          </cell>
          <cell r="F3140">
            <v>34000000</v>
          </cell>
          <cell r="G3140">
            <v>34000000</v>
          </cell>
          <cell r="H3140">
            <v>34000000</v>
          </cell>
          <cell r="I3140" t="str">
            <v/>
          </cell>
          <cell r="J3140" t="str">
            <v/>
          </cell>
          <cell r="K3140" t="str">
            <v/>
          </cell>
          <cell r="L3140" t="str">
            <v/>
          </cell>
        </row>
        <row r="3141">
          <cell r="A3141">
            <v>34000000</v>
          </cell>
          <cell r="C3141">
            <v>34000000</v>
          </cell>
          <cell r="D3141">
            <v>34000000</v>
          </cell>
          <cell r="E3141">
            <v>34000000</v>
          </cell>
          <cell r="F3141">
            <v>34000000</v>
          </cell>
          <cell r="G3141">
            <v>34000000</v>
          </cell>
          <cell r="H3141">
            <v>34000000</v>
          </cell>
          <cell r="I3141" t="str">
            <v/>
          </cell>
          <cell r="J3141" t="str">
            <v/>
          </cell>
          <cell r="K3141" t="str">
            <v/>
          </cell>
          <cell r="L3141" t="str">
            <v/>
          </cell>
        </row>
        <row r="3142">
          <cell r="A3142">
            <v>34000000</v>
          </cell>
          <cell r="C3142">
            <v>34000000</v>
          </cell>
          <cell r="D3142">
            <v>34000000</v>
          </cell>
          <cell r="E3142">
            <v>34000000</v>
          </cell>
          <cell r="F3142">
            <v>34000000</v>
          </cell>
          <cell r="G3142">
            <v>34000000</v>
          </cell>
          <cell r="H3142">
            <v>34000000</v>
          </cell>
          <cell r="I3142" t="str">
            <v/>
          </cell>
          <cell r="J3142" t="str">
            <v/>
          </cell>
          <cell r="K3142" t="str">
            <v/>
          </cell>
          <cell r="L3142" t="str">
            <v/>
          </cell>
        </row>
        <row r="3143">
          <cell r="A3143">
            <v>34000000</v>
          </cell>
          <cell r="C3143">
            <v>34000000</v>
          </cell>
          <cell r="D3143">
            <v>34000000</v>
          </cell>
          <cell r="E3143">
            <v>34000000</v>
          </cell>
          <cell r="F3143">
            <v>34000000</v>
          </cell>
          <cell r="G3143">
            <v>34000000</v>
          </cell>
          <cell r="H3143">
            <v>34000000</v>
          </cell>
          <cell r="I3143" t="str">
            <v/>
          </cell>
          <cell r="J3143" t="str">
            <v/>
          </cell>
          <cell r="K3143" t="str">
            <v/>
          </cell>
          <cell r="L3143" t="str">
            <v/>
          </cell>
        </row>
        <row r="3144">
          <cell r="A3144">
            <v>34000000</v>
          </cell>
          <cell r="C3144">
            <v>34000000</v>
          </cell>
          <cell r="D3144">
            <v>34000000</v>
          </cell>
          <cell r="E3144">
            <v>34000000</v>
          </cell>
          <cell r="F3144">
            <v>34000000</v>
          </cell>
          <cell r="G3144">
            <v>34000000</v>
          </cell>
          <cell r="H3144">
            <v>34000000</v>
          </cell>
          <cell r="I3144" t="str">
            <v/>
          </cell>
          <cell r="J3144" t="str">
            <v/>
          </cell>
          <cell r="K3144" t="str">
            <v/>
          </cell>
          <cell r="L3144" t="str">
            <v/>
          </cell>
        </row>
        <row r="3145">
          <cell r="A3145">
            <v>34000000</v>
          </cell>
          <cell r="C3145">
            <v>34000000</v>
          </cell>
          <cell r="D3145">
            <v>34000000</v>
          </cell>
          <cell r="E3145">
            <v>34000000</v>
          </cell>
          <cell r="F3145">
            <v>34000000</v>
          </cell>
          <cell r="G3145">
            <v>34000000</v>
          </cell>
          <cell r="H3145">
            <v>34000000</v>
          </cell>
          <cell r="I3145" t="str">
            <v/>
          </cell>
          <cell r="J3145" t="str">
            <v/>
          </cell>
          <cell r="K3145" t="str">
            <v/>
          </cell>
          <cell r="L3145" t="str">
            <v/>
          </cell>
        </row>
        <row r="3146">
          <cell r="A3146">
            <v>34000000</v>
          </cell>
          <cell r="C3146">
            <v>34000000</v>
          </cell>
          <cell r="D3146">
            <v>34000000</v>
          </cell>
          <cell r="E3146">
            <v>34000000</v>
          </cell>
          <cell r="F3146">
            <v>34000000</v>
          </cell>
          <cell r="G3146">
            <v>34000000</v>
          </cell>
          <cell r="H3146">
            <v>34000000</v>
          </cell>
          <cell r="I3146" t="str">
            <v/>
          </cell>
          <cell r="J3146" t="str">
            <v/>
          </cell>
          <cell r="K3146" t="str">
            <v/>
          </cell>
          <cell r="L3146" t="str">
            <v/>
          </cell>
        </row>
        <row r="3147">
          <cell r="A3147">
            <v>34000000</v>
          </cell>
          <cell r="C3147">
            <v>34000000</v>
          </cell>
          <cell r="D3147">
            <v>34000000</v>
          </cell>
          <cell r="E3147">
            <v>34000000</v>
          </cell>
          <cell r="F3147">
            <v>34000000</v>
          </cell>
          <cell r="G3147">
            <v>34000000</v>
          </cell>
          <cell r="H3147">
            <v>34000000</v>
          </cell>
          <cell r="I3147" t="str">
            <v/>
          </cell>
          <cell r="J3147" t="str">
            <v/>
          </cell>
          <cell r="K3147" t="str">
            <v/>
          </cell>
          <cell r="L3147" t="str">
            <v/>
          </cell>
        </row>
        <row r="3148">
          <cell r="A3148">
            <v>34000000</v>
          </cell>
          <cell r="C3148">
            <v>34000000</v>
          </cell>
          <cell r="D3148">
            <v>34000000</v>
          </cell>
          <cell r="E3148">
            <v>34000000</v>
          </cell>
          <cell r="F3148">
            <v>34000000</v>
          </cell>
          <cell r="G3148">
            <v>34000000</v>
          </cell>
          <cell r="H3148">
            <v>34000000</v>
          </cell>
          <cell r="I3148" t="str">
            <v/>
          </cell>
          <cell r="J3148" t="str">
            <v/>
          </cell>
          <cell r="K3148" t="str">
            <v/>
          </cell>
          <cell r="L3148" t="str">
            <v/>
          </cell>
        </row>
        <row r="3149">
          <cell r="A3149">
            <v>34000000</v>
          </cell>
          <cell r="C3149">
            <v>34000000</v>
          </cell>
          <cell r="D3149">
            <v>34000000</v>
          </cell>
          <cell r="E3149">
            <v>34000000</v>
          </cell>
          <cell r="F3149">
            <v>34000000</v>
          </cell>
          <cell r="G3149">
            <v>34000000</v>
          </cell>
          <cell r="H3149">
            <v>34000000</v>
          </cell>
          <cell r="I3149" t="str">
            <v/>
          </cell>
          <cell r="J3149" t="str">
            <v/>
          </cell>
          <cell r="K3149" t="str">
            <v/>
          </cell>
          <cell r="L3149" t="str">
            <v/>
          </cell>
        </row>
        <row r="3150">
          <cell r="A3150">
            <v>34000000</v>
          </cell>
          <cell r="C3150">
            <v>34000000</v>
          </cell>
          <cell r="D3150">
            <v>34000000</v>
          </cell>
          <cell r="E3150">
            <v>34000000</v>
          </cell>
          <cell r="F3150">
            <v>34000000</v>
          </cell>
          <cell r="G3150">
            <v>34000000</v>
          </cell>
          <cell r="H3150">
            <v>34000000</v>
          </cell>
          <cell r="I3150" t="str">
            <v/>
          </cell>
          <cell r="J3150" t="str">
            <v/>
          </cell>
          <cell r="K3150" t="str">
            <v/>
          </cell>
          <cell r="L3150" t="str">
            <v/>
          </cell>
        </row>
        <row r="3151">
          <cell r="A3151">
            <v>34000000</v>
          </cell>
          <cell r="C3151">
            <v>34000000</v>
          </cell>
          <cell r="D3151">
            <v>34000000</v>
          </cell>
          <cell r="E3151">
            <v>34000000</v>
          </cell>
          <cell r="F3151">
            <v>34000000</v>
          </cell>
          <cell r="G3151">
            <v>34000000</v>
          </cell>
          <cell r="H3151">
            <v>34000000</v>
          </cell>
          <cell r="I3151" t="str">
            <v/>
          </cell>
          <cell r="J3151" t="str">
            <v/>
          </cell>
          <cell r="K3151" t="str">
            <v/>
          </cell>
          <cell r="L3151" t="str">
            <v/>
          </cell>
        </row>
        <row r="3152">
          <cell r="A3152">
            <v>34000000</v>
          </cell>
          <cell r="C3152">
            <v>34000000</v>
          </cell>
          <cell r="D3152">
            <v>34000000</v>
          </cell>
          <cell r="E3152">
            <v>34000000</v>
          </cell>
          <cell r="F3152">
            <v>34000000</v>
          </cell>
          <cell r="G3152">
            <v>34000000</v>
          </cell>
          <cell r="H3152">
            <v>34000000</v>
          </cell>
          <cell r="I3152" t="str">
            <v/>
          </cell>
          <cell r="J3152" t="str">
            <v/>
          </cell>
          <cell r="K3152" t="str">
            <v/>
          </cell>
          <cell r="L3152" t="str">
            <v/>
          </cell>
        </row>
        <row r="3153">
          <cell r="A3153">
            <v>34000000</v>
          </cell>
          <cell r="C3153">
            <v>34000000</v>
          </cell>
          <cell r="D3153">
            <v>34000000</v>
          </cell>
          <cell r="E3153">
            <v>34000000</v>
          </cell>
          <cell r="F3153">
            <v>34000000</v>
          </cell>
          <cell r="G3153">
            <v>34000000</v>
          </cell>
          <cell r="H3153">
            <v>34000000</v>
          </cell>
          <cell r="I3153" t="str">
            <v/>
          </cell>
          <cell r="J3153" t="str">
            <v/>
          </cell>
          <cell r="K3153" t="str">
            <v/>
          </cell>
          <cell r="L3153" t="str">
            <v/>
          </cell>
        </row>
        <row r="3154">
          <cell r="A3154">
            <v>34000000</v>
          </cell>
          <cell r="C3154">
            <v>34000000</v>
          </cell>
          <cell r="D3154">
            <v>34000000</v>
          </cell>
          <cell r="E3154">
            <v>34000000</v>
          </cell>
          <cell r="F3154">
            <v>34000000</v>
          </cell>
          <cell r="G3154">
            <v>34000000</v>
          </cell>
          <cell r="H3154">
            <v>34000000</v>
          </cell>
          <cell r="I3154" t="str">
            <v/>
          </cell>
          <cell r="J3154" t="str">
            <v/>
          </cell>
          <cell r="K3154" t="str">
            <v/>
          </cell>
          <cell r="L3154" t="str">
            <v/>
          </cell>
        </row>
        <row r="3155">
          <cell r="A3155">
            <v>34000000</v>
          </cell>
          <cell r="C3155">
            <v>34000000</v>
          </cell>
          <cell r="D3155">
            <v>34000000</v>
          </cell>
          <cell r="E3155">
            <v>34000000</v>
          </cell>
          <cell r="F3155">
            <v>34000000</v>
          </cell>
          <cell r="G3155">
            <v>34000000</v>
          </cell>
          <cell r="H3155">
            <v>34000000</v>
          </cell>
          <cell r="I3155" t="str">
            <v/>
          </cell>
          <cell r="J3155" t="str">
            <v/>
          </cell>
          <cell r="K3155" t="str">
            <v/>
          </cell>
          <cell r="L3155" t="str">
            <v/>
          </cell>
        </row>
        <row r="3156">
          <cell r="A3156">
            <v>34000000</v>
          </cell>
          <cell r="C3156">
            <v>34000000</v>
          </cell>
          <cell r="D3156">
            <v>34000000</v>
          </cell>
          <cell r="E3156">
            <v>34000000</v>
          </cell>
          <cell r="F3156">
            <v>34000000</v>
          </cell>
          <cell r="G3156">
            <v>34000000</v>
          </cell>
          <cell r="H3156">
            <v>34000000</v>
          </cell>
          <cell r="I3156" t="str">
            <v/>
          </cell>
          <cell r="J3156" t="str">
            <v/>
          </cell>
          <cell r="K3156" t="str">
            <v/>
          </cell>
          <cell r="L3156" t="str">
            <v/>
          </cell>
        </row>
        <row r="3157">
          <cell r="A3157">
            <v>34000000</v>
          </cell>
          <cell r="C3157">
            <v>34000000</v>
          </cell>
          <cell r="D3157">
            <v>34000000</v>
          </cell>
          <cell r="E3157">
            <v>34000000</v>
          </cell>
          <cell r="F3157">
            <v>34000000</v>
          </cell>
          <cell r="G3157">
            <v>34000000</v>
          </cell>
          <cell r="H3157">
            <v>34000000</v>
          </cell>
          <cell r="I3157" t="str">
            <v/>
          </cell>
          <cell r="J3157" t="str">
            <v/>
          </cell>
          <cell r="K3157" t="str">
            <v/>
          </cell>
          <cell r="L3157" t="str">
            <v/>
          </cell>
        </row>
        <row r="3158">
          <cell r="A3158">
            <v>34000000</v>
          </cell>
          <cell r="C3158">
            <v>34000000</v>
          </cell>
          <cell r="D3158">
            <v>34000000</v>
          </cell>
          <cell r="E3158">
            <v>34000000</v>
          </cell>
          <cell r="F3158">
            <v>34000000</v>
          </cell>
          <cell r="G3158">
            <v>34000000</v>
          </cell>
          <cell r="H3158">
            <v>34000000</v>
          </cell>
          <cell r="I3158" t="str">
            <v/>
          </cell>
          <cell r="J3158" t="str">
            <v/>
          </cell>
          <cell r="K3158" t="str">
            <v/>
          </cell>
          <cell r="L3158" t="str">
            <v/>
          </cell>
        </row>
        <row r="3159">
          <cell r="A3159">
            <v>34000000</v>
          </cell>
          <cell r="C3159">
            <v>34000000</v>
          </cell>
          <cell r="D3159">
            <v>34000000</v>
          </cell>
          <cell r="E3159">
            <v>34000000</v>
          </cell>
          <cell r="F3159">
            <v>34000000</v>
          </cell>
          <cell r="G3159">
            <v>34000000</v>
          </cell>
          <cell r="H3159">
            <v>34000000</v>
          </cell>
          <cell r="I3159" t="str">
            <v/>
          </cell>
          <cell r="J3159" t="str">
            <v/>
          </cell>
          <cell r="K3159" t="str">
            <v/>
          </cell>
          <cell r="L3159" t="str">
            <v/>
          </cell>
        </row>
        <row r="3160">
          <cell r="A3160">
            <v>34000000</v>
          </cell>
          <cell r="C3160">
            <v>34000000</v>
          </cell>
          <cell r="D3160">
            <v>34000000</v>
          </cell>
          <cell r="E3160">
            <v>34000000</v>
          </cell>
          <cell r="F3160">
            <v>34000000</v>
          </cell>
          <cell r="G3160">
            <v>34000000</v>
          </cell>
          <cell r="H3160">
            <v>34000000</v>
          </cell>
          <cell r="I3160" t="str">
            <v/>
          </cell>
          <cell r="J3160" t="str">
            <v/>
          </cell>
          <cell r="K3160" t="str">
            <v/>
          </cell>
          <cell r="L3160" t="str">
            <v/>
          </cell>
        </row>
        <row r="3161">
          <cell r="A3161">
            <v>34000000</v>
          </cell>
          <cell r="C3161">
            <v>34000000</v>
          </cell>
          <cell r="D3161">
            <v>34000000</v>
          </cell>
          <cell r="E3161">
            <v>34000000</v>
          </cell>
          <cell r="F3161">
            <v>34000000</v>
          </cell>
          <cell r="G3161">
            <v>34000000</v>
          </cell>
          <cell r="H3161">
            <v>34000000</v>
          </cell>
          <cell r="I3161" t="str">
            <v/>
          </cell>
          <cell r="J3161" t="str">
            <v/>
          </cell>
          <cell r="K3161" t="str">
            <v/>
          </cell>
          <cell r="L3161" t="str">
            <v/>
          </cell>
        </row>
        <row r="3162">
          <cell r="A3162">
            <v>34000000</v>
          </cell>
          <cell r="C3162">
            <v>34000000</v>
          </cell>
          <cell r="D3162">
            <v>34000000</v>
          </cell>
          <cell r="E3162">
            <v>34000000</v>
          </cell>
          <cell r="F3162">
            <v>34000000</v>
          </cell>
          <cell r="G3162">
            <v>34000000</v>
          </cell>
          <cell r="H3162">
            <v>34000000</v>
          </cell>
          <cell r="I3162" t="str">
            <v/>
          </cell>
          <cell r="J3162" t="str">
            <v/>
          </cell>
          <cell r="K3162" t="str">
            <v/>
          </cell>
          <cell r="L3162" t="str">
            <v/>
          </cell>
        </row>
        <row r="3163">
          <cell r="A3163">
            <v>34000000</v>
          </cell>
          <cell r="C3163">
            <v>34000000</v>
          </cell>
          <cell r="D3163">
            <v>34000000</v>
          </cell>
          <cell r="E3163">
            <v>34000000</v>
          </cell>
          <cell r="F3163">
            <v>34000000</v>
          </cell>
          <cell r="G3163">
            <v>34000000</v>
          </cell>
          <cell r="H3163">
            <v>34000000</v>
          </cell>
          <cell r="I3163" t="str">
            <v/>
          </cell>
          <cell r="J3163" t="str">
            <v/>
          </cell>
          <cell r="K3163" t="str">
            <v/>
          </cell>
          <cell r="L3163" t="str">
            <v/>
          </cell>
        </row>
        <row r="3164">
          <cell r="A3164">
            <v>34000000</v>
          </cell>
          <cell r="C3164">
            <v>34000000</v>
          </cell>
          <cell r="D3164">
            <v>34000000</v>
          </cell>
          <cell r="E3164">
            <v>34000000</v>
          </cell>
          <cell r="F3164">
            <v>34000000</v>
          </cell>
          <cell r="G3164">
            <v>34000000</v>
          </cell>
          <cell r="H3164">
            <v>34000000</v>
          </cell>
          <cell r="I3164" t="str">
            <v/>
          </cell>
          <cell r="J3164" t="str">
            <v/>
          </cell>
          <cell r="K3164" t="str">
            <v/>
          </cell>
          <cell r="L3164" t="str">
            <v/>
          </cell>
        </row>
        <row r="3165">
          <cell r="A3165">
            <v>34000000</v>
          </cell>
          <cell r="C3165">
            <v>34000000</v>
          </cell>
          <cell r="D3165">
            <v>34000000</v>
          </cell>
          <cell r="E3165">
            <v>34000000</v>
          </cell>
          <cell r="F3165">
            <v>34000000</v>
          </cell>
          <cell r="G3165">
            <v>34000000</v>
          </cell>
          <cell r="H3165">
            <v>34000000</v>
          </cell>
          <cell r="I3165" t="str">
            <v/>
          </cell>
          <cell r="J3165" t="str">
            <v/>
          </cell>
          <cell r="K3165" t="str">
            <v/>
          </cell>
          <cell r="L3165" t="str">
            <v/>
          </cell>
        </row>
        <row r="3166">
          <cell r="A3166">
            <v>34000000</v>
          </cell>
          <cell r="C3166">
            <v>34000000</v>
          </cell>
          <cell r="D3166">
            <v>34000000</v>
          </cell>
          <cell r="E3166">
            <v>34000000</v>
          </cell>
          <cell r="F3166">
            <v>34000000</v>
          </cell>
          <cell r="G3166">
            <v>34000000</v>
          </cell>
          <cell r="H3166">
            <v>34000000</v>
          </cell>
          <cell r="I3166" t="str">
            <v/>
          </cell>
          <cell r="J3166" t="str">
            <v/>
          </cell>
          <cell r="K3166" t="str">
            <v/>
          </cell>
          <cell r="L3166" t="str">
            <v/>
          </cell>
        </row>
        <row r="3167">
          <cell r="A3167">
            <v>34000000</v>
          </cell>
          <cell r="C3167">
            <v>34000000</v>
          </cell>
          <cell r="D3167">
            <v>34000000</v>
          </cell>
          <cell r="E3167">
            <v>34000000</v>
          </cell>
          <cell r="F3167">
            <v>34000000</v>
          </cell>
          <cell r="G3167">
            <v>34000000</v>
          </cell>
          <cell r="H3167">
            <v>34000000</v>
          </cell>
          <cell r="I3167" t="str">
            <v/>
          </cell>
          <cell r="J3167" t="str">
            <v/>
          </cell>
          <cell r="K3167" t="str">
            <v/>
          </cell>
          <cell r="L3167" t="str">
            <v/>
          </cell>
        </row>
        <row r="3168">
          <cell r="A3168">
            <v>34000000</v>
          </cell>
          <cell r="C3168">
            <v>34000000</v>
          </cell>
          <cell r="D3168">
            <v>34000000</v>
          </cell>
          <cell r="E3168">
            <v>34000000</v>
          </cell>
          <cell r="F3168">
            <v>34000000</v>
          </cell>
          <cell r="G3168">
            <v>34000000</v>
          </cell>
          <cell r="H3168">
            <v>34000000</v>
          </cell>
          <cell r="I3168" t="str">
            <v/>
          </cell>
          <cell r="J3168" t="str">
            <v/>
          </cell>
          <cell r="K3168" t="str">
            <v/>
          </cell>
          <cell r="L3168" t="str">
            <v/>
          </cell>
        </row>
        <row r="3169">
          <cell r="A3169">
            <v>34000000</v>
          </cell>
          <cell r="C3169">
            <v>34000000</v>
          </cell>
          <cell r="D3169">
            <v>34000000</v>
          </cell>
          <cell r="E3169">
            <v>34000000</v>
          </cell>
          <cell r="F3169">
            <v>34000000</v>
          </cell>
          <cell r="G3169">
            <v>34000000</v>
          </cell>
          <cell r="H3169">
            <v>34000000</v>
          </cell>
          <cell r="I3169" t="str">
            <v/>
          </cell>
          <cell r="J3169" t="str">
            <v/>
          </cell>
          <cell r="K3169" t="str">
            <v/>
          </cell>
          <cell r="L3169" t="str">
            <v/>
          </cell>
        </row>
        <row r="3170">
          <cell r="A3170">
            <v>34000000</v>
          </cell>
          <cell r="C3170">
            <v>34000000</v>
          </cell>
          <cell r="D3170">
            <v>34000000</v>
          </cell>
          <cell r="E3170">
            <v>34000000</v>
          </cell>
          <cell r="F3170">
            <v>34000000</v>
          </cell>
          <cell r="G3170">
            <v>34000000</v>
          </cell>
          <cell r="H3170">
            <v>34000000</v>
          </cell>
          <cell r="I3170" t="str">
            <v/>
          </cell>
          <cell r="J3170" t="str">
            <v/>
          </cell>
          <cell r="K3170" t="str">
            <v/>
          </cell>
          <cell r="L3170" t="str">
            <v/>
          </cell>
        </row>
        <row r="3171">
          <cell r="A3171">
            <v>34000000</v>
          </cell>
          <cell r="C3171">
            <v>34000000</v>
          </cell>
          <cell r="D3171">
            <v>34000000</v>
          </cell>
          <cell r="E3171">
            <v>34000000</v>
          </cell>
          <cell r="F3171">
            <v>34000000</v>
          </cell>
          <cell r="G3171">
            <v>34000000</v>
          </cell>
          <cell r="H3171">
            <v>34000000</v>
          </cell>
          <cell r="I3171" t="str">
            <v/>
          </cell>
          <cell r="J3171" t="str">
            <v/>
          </cell>
          <cell r="K3171" t="str">
            <v/>
          </cell>
          <cell r="L3171" t="str">
            <v/>
          </cell>
        </row>
        <row r="3172">
          <cell r="A3172">
            <v>34000000</v>
          </cell>
          <cell r="C3172">
            <v>34000000</v>
          </cell>
          <cell r="D3172">
            <v>34000000</v>
          </cell>
          <cell r="E3172">
            <v>34000000</v>
          </cell>
          <cell r="F3172">
            <v>34000000</v>
          </cell>
          <cell r="G3172">
            <v>34000000</v>
          </cell>
          <cell r="H3172">
            <v>34000000</v>
          </cell>
          <cell r="I3172" t="str">
            <v/>
          </cell>
          <cell r="J3172" t="str">
            <v/>
          </cell>
          <cell r="K3172" t="str">
            <v/>
          </cell>
          <cell r="L3172" t="str">
            <v/>
          </cell>
        </row>
        <row r="3173">
          <cell r="A3173">
            <v>34000000</v>
          </cell>
          <cell r="C3173">
            <v>34000000</v>
          </cell>
          <cell r="D3173">
            <v>34000000</v>
          </cell>
          <cell r="E3173">
            <v>34000000</v>
          </cell>
          <cell r="F3173">
            <v>34000000</v>
          </cell>
          <cell r="G3173">
            <v>34000000</v>
          </cell>
          <cell r="H3173">
            <v>34000000</v>
          </cell>
          <cell r="I3173" t="str">
            <v/>
          </cell>
          <cell r="J3173" t="str">
            <v/>
          </cell>
          <cell r="K3173" t="str">
            <v/>
          </cell>
          <cell r="L3173" t="str">
            <v/>
          </cell>
        </row>
        <row r="3174">
          <cell r="A3174">
            <v>34000000</v>
          </cell>
          <cell r="C3174">
            <v>34000000</v>
          </cell>
          <cell r="D3174">
            <v>34000000</v>
          </cell>
          <cell r="E3174">
            <v>34000000</v>
          </cell>
          <cell r="F3174">
            <v>34000000</v>
          </cell>
          <cell r="G3174">
            <v>34000000</v>
          </cell>
          <cell r="H3174">
            <v>34000000</v>
          </cell>
          <cell r="I3174" t="str">
            <v/>
          </cell>
          <cell r="J3174" t="str">
            <v/>
          </cell>
          <cell r="K3174" t="str">
            <v/>
          </cell>
          <cell r="L3174" t="str">
            <v/>
          </cell>
        </row>
        <row r="3175">
          <cell r="A3175">
            <v>34000000</v>
          </cell>
          <cell r="C3175">
            <v>34000000</v>
          </cell>
          <cell r="D3175">
            <v>34000000</v>
          </cell>
          <cell r="E3175">
            <v>34000000</v>
          </cell>
          <cell r="F3175">
            <v>34000000</v>
          </cell>
          <cell r="G3175">
            <v>34000000</v>
          </cell>
          <cell r="H3175">
            <v>34000000</v>
          </cell>
          <cell r="I3175" t="str">
            <v/>
          </cell>
          <cell r="J3175" t="str">
            <v/>
          </cell>
          <cell r="K3175" t="str">
            <v/>
          </cell>
          <cell r="L3175" t="str">
            <v/>
          </cell>
        </row>
        <row r="3176">
          <cell r="A3176">
            <v>34000000</v>
          </cell>
          <cell r="C3176">
            <v>34000000</v>
          </cell>
          <cell r="D3176">
            <v>34000000</v>
          </cell>
          <cell r="E3176">
            <v>34000000</v>
          </cell>
          <cell r="F3176">
            <v>34000000</v>
          </cell>
          <cell r="G3176">
            <v>34000000</v>
          </cell>
          <cell r="H3176">
            <v>34000000</v>
          </cell>
          <cell r="I3176" t="str">
            <v/>
          </cell>
          <cell r="J3176" t="str">
            <v/>
          </cell>
          <cell r="K3176" t="str">
            <v/>
          </cell>
          <cell r="L3176" t="str">
            <v/>
          </cell>
        </row>
        <row r="3177">
          <cell r="A3177">
            <v>34000000</v>
          </cell>
          <cell r="C3177">
            <v>34000000</v>
          </cell>
          <cell r="D3177">
            <v>34000000</v>
          </cell>
          <cell r="E3177">
            <v>34000000</v>
          </cell>
          <cell r="F3177">
            <v>34000000</v>
          </cell>
          <cell r="G3177">
            <v>34000000</v>
          </cell>
          <cell r="H3177">
            <v>34000000</v>
          </cell>
          <cell r="I3177" t="str">
            <v/>
          </cell>
          <cell r="J3177" t="str">
            <v/>
          </cell>
          <cell r="K3177" t="str">
            <v/>
          </cell>
          <cell r="L3177" t="str">
            <v/>
          </cell>
        </row>
        <row r="3178">
          <cell r="A3178">
            <v>34000000</v>
          </cell>
          <cell r="C3178">
            <v>34000000</v>
          </cell>
          <cell r="D3178">
            <v>34000000</v>
          </cell>
          <cell r="E3178">
            <v>34000000</v>
          </cell>
          <cell r="F3178">
            <v>34000000</v>
          </cell>
          <cell r="G3178">
            <v>34000000</v>
          </cell>
          <cell r="H3178">
            <v>34000000</v>
          </cell>
          <cell r="I3178" t="str">
            <v/>
          </cell>
          <cell r="J3178" t="str">
            <v/>
          </cell>
          <cell r="K3178" t="str">
            <v/>
          </cell>
          <cell r="L3178" t="str">
            <v/>
          </cell>
        </row>
        <row r="3179">
          <cell r="A3179">
            <v>34000000</v>
          </cell>
          <cell r="C3179">
            <v>34000000</v>
          </cell>
          <cell r="D3179">
            <v>34000000</v>
          </cell>
          <cell r="E3179">
            <v>34000000</v>
          </cell>
          <cell r="F3179">
            <v>34000000</v>
          </cell>
          <cell r="G3179">
            <v>34000000</v>
          </cell>
          <cell r="H3179">
            <v>34000000</v>
          </cell>
          <cell r="I3179" t="str">
            <v/>
          </cell>
          <cell r="J3179" t="str">
            <v/>
          </cell>
          <cell r="K3179" t="str">
            <v/>
          </cell>
          <cell r="L3179" t="str">
            <v/>
          </cell>
        </row>
        <row r="3180">
          <cell r="A3180">
            <v>34000000</v>
          </cell>
          <cell r="C3180">
            <v>34000000</v>
          </cell>
          <cell r="D3180">
            <v>34000000</v>
          </cell>
          <cell r="E3180">
            <v>34000000</v>
          </cell>
          <cell r="F3180">
            <v>34000000</v>
          </cell>
          <cell r="G3180">
            <v>34000000</v>
          </cell>
          <cell r="H3180">
            <v>34000000</v>
          </cell>
          <cell r="I3180" t="str">
            <v/>
          </cell>
          <cell r="J3180" t="str">
            <v/>
          </cell>
          <cell r="K3180" t="str">
            <v/>
          </cell>
          <cell r="L3180" t="str">
            <v/>
          </cell>
        </row>
        <row r="3181">
          <cell r="A3181">
            <v>34000000</v>
          </cell>
          <cell r="C3181">
            <v>34000000</v>
          </cell>
          <cell r="D3181">
            <v>34000000</v>
          </cell>
          <cell r="E3181">
            <v>34000000</v>
          </cell>
          <cell r="F3181">
            <v>34000000</v>
          </cell>
          <cell r="G3181">
            <v>34000000</v>
          </cell>
          <cell r="H3181">
            <v>34000000</v>
          </cell>
          <cell r="I3181" t="str">
            <v/>
          </cell>
          <cell r="J3181" t="str">
            <v/>
          </cell>
          <cell r="K3181" t="str">
            <v/>
          </cell>
          <cell r="L3181" t="str">
            <v/>
          </cell>
        </row>
        <row r="3182">
          <cell r="A3182">
            <v>34000000</v>
          </cell>
          <cell r="C3182">
            <v>34000000</v>
          </cell>
          <cell r="D3182">
            <v>34000000</v>
          </cell>
          <cell r="E3182">
            <v>34000000</v>
          </cell>
          <cell r="F3182">
            <v>34000000</v>
          </cell>
          <cell r="G3182">
            <v>34000000</v>
          </cell>
          <cell r="H3182">
            <v>34000000</v>
          </cell>
          <cell r="I3182" t="str">
            <v/>
          </cell>
          <cell r="J3182" t="str">
            <v/>
          </cell>
          <cell r="K3182" t="str">
            <v/>
          </cell>
          <cell r="L3182" t="str">
            <v/>
          </cell>
        </row>
        <row r="3183">
          <cell r="A3183">
            <v>34000000</v>
          </cell>
          <cell r="C3183">
            <v>34000000</v>
          </cell>
          <cell r="D3183">
            <v>34000000</v>
          </cell>
          <cell r="E3183">
            <v>34000000</v>
          </cell>
          <cell r="F3183">
            <v>34000000</v>
          </cell>
          <cell r="G3183">
            <v>34000000</v>
          </cell>
          <cell r="H3183">
            <v>34000000</v>
          </cell>
          <cell r="I3183" t="str">
            <v/>
          </cell>
          <cell r="J3183" t="str">
            <v/>
          </cell>
          <cell r="K3183" t="str">
            <v/>
          </cell>
          <cell r="L3183" t="str">
            <v/>
          </cell>
        </row>
        <row r="3184">
          <cell r="A3184">
            <v>34000000</v>
          </cell>
          <cell r="C3184">
            <v>34000000</v>
          </cell>
          <cell r="D3184">
            <v>34000000</v>
          </cell>
          <cell r="E3184">
            <v>34000000</v>
          </cell>
          <cell r="F3184">
            <v>34000000</v>
          </cell>
          <cell r="G3184">
            <v>34000000</v>
          </cell>
          <cell r="H3184">
            <v>34000000</v>
          </cell>
          <cell r="I3184" t="str">
            <v/>
          </cell>
          <cell r="J3184" t="str">
            <v/>
          </cell>
          <cell r="K3184" t="str">
            <v/>
          </cell>
          <cell r="L3184" t="str">
            <v/>
          </cell>
        </row>
        <row r="3185">
          <cell r="A3185">
            <v>34000000</v>
          </cell>
          <cell r="C3185">
            <v>34000000</v>
          </cell>
          <cell r="D3185">
            <v>34000000</v>
          </cell>
          <cell r="E3185">
            <v>34000000</v>
          </cell>
          <cell r="F3185">
            <v>34000000</v>
          </cell>
          <cell r="G3185">
            <v>34000000</v>
          </cell>
          <cell r="H3185">
            <v>34000000</v>
          </cell>
          <cell r="I3185" t="str">
            <v/>
          </cell>
          <cell r="J3185" t="str">
            <v/>
          </cell>
          <cell r="K3185" t="str">
            <v/>
          </cell>
          <cell r="L3185" t="str">
            <v/>
          </cell>
        </row>
        <row r="3186">
          <cell r="A3186">
            <v>34000000</v>
          </cell>
          <cell r="C3186">
            <v>34000000</v>
          </cell>
          <cell r="D3186">
            <v>34000000</v>
          </cell>
          <cell r="E3186">
            <v>34000000</v>
          </cell>
          <cell r="F3186">
            <v>34000000</v>
          </cell>
          <cell r="G3186">
            <v>34000000</v>
          </cell>
          <cell r="H3186">
            <v>34000000</v>
          </cell>
          <cell r="I3186" t="str">
            <v/>
          </cell>
          <cell r="J3186" t="str">
            <v/>
          </cell>
          <cell r="K3186" t="str">
            <v/>
          </cell>
          <cell r="L3186" t="str">
            <v/>
          </cell>
        </row>
        <row r="3187">
          <cell r="A3187">
            <v>34000000</v>
          </cell>
          <cell r="C3187">
            <v>34000000</v>
          </cell>
          <cell r="D3187">
            <v>34000000</v>
          </cell>
          <cell r="E3187">
            <v>34000000</v>
          </cell>
          <cell r="F3187">
            <v>34000000</v>
          </cell>
          <cell r="G3187">
            <v>34000000</v>
          </cell>
          <cell r="H3187">
            <v>34000000</v>
          </cell>
          <cell r="I3187" t="str">
            <v/>
          </cell>
          <cell r="J3187" t="str">
            <v/>
          </cell>
          <cell r="K3187" t="str">
            <v/>
          </cell>
          <cell r="L3187" t="str">
            <v/>
          </cell>
        </row>
        <row r="3188">
          <cell r="A3188">
            <v>34000000</v>
          </cell>
          <cell r="C3188">
            <v>34000000</v>
          </cell>
          <cell r="D3188">
            <v>34000000</v>
          </cell>
          <cell r="E3188">
            <v>34000000</v>
          </cell>
          <cell r="F3188">
            <v>34000000</v>
          </cell>
          <cell r="G3188">
            <v>34000000</v>
          </cell>
          <cell r="H3188">
            <v>34000000</v>
          </cell>
          <cell r="I3188" t="str">
            <v/>
          </cell>
          <cell r="J3188" t="str">
            <v/>
          </cell>
          <cell r="K3188" t="str">
            <v/>
          </cell>
          <cell r="L3188" t="str">
            <v/>
          </cell>
        </row>
        <row r="3189">
          <cell r="A3189">
            <v>34000000</v>
          </cell>
          <cell r="C3189">
            <v>34000000</v>
          </cell>
          <cell r="D3189">
            <v>34000000</v>
          </cell>
          <cell r="E3189">
            <v>34000000</v>
          </cell>
          <cell r="F3189">
            <v>34000000</v>
          </cell>
          <cell r="G3189">
            <v>34000000</v>
          </cell>
          <cell r="H3189">
            <v>34000000</v>
          </cell>
          <cell r="I3189" t="str">
            <v/>
          </cell>
          <cell r="J3189" t="str">
            <v/>
          </cell>
          <cell r="K3189" t="str">
            <v/>
          </cell>
          <cell r="L3189" t="str">
            <v/>
          </cell>
        </row>
        <row r="3190">
          <cell r="A3190">
            <v>34000000</v>
          </cell>
          <cell r="C3190">
            <v>34000000</v>
          </cell>
          <cell r="D3190">
            <v>34000000</v>
          </cell>
          <cell r="E3190">
            <v>34000000</v>
          </cell>
          <cell r="F3190">
            <v>34000000</v>
          </cell>
          <cell r="G3190">
            <v>34000000</v>
          </cell>
          <cell r="H3190">
            <v>34000000</v>
          </cell>
          <cell r="I3190" t="str">
            <v/>
          </cell>
          <cell r="J3190" t="str">
            <v/>
          </cell>
          <cell r="K3190" t="str">
            <v/>
          </cell>
          <cell r="L3190" t="str">
            <v/>
          </cell>
        </row>
        <row r="3191">
          <cell r="A3191">
            <v>34000000</v>
          </cell>
          <cell r="C3191">
            <v>34000000</v>
          </cell>
          <cell r="D3191">
            <v>34000000</v>
          </cell>
          <cell r="E3191">
            <v>34000000</v>
          </cell>
          <cell r="F3191">
            <v>34000000</v>
          </cell>
          <cell r="G3191">
            <v>34000000</v>
          </cell>
          <cell r="H3191">
            <v>34000000</v>
          </cell>
          <cell r="I3191" t="str">
            <v/>
          </cell>
          <cell r="J3191" t="str">
            <v/>
          </cell>
          <cell r="K3191" t="str">
            <v/>
          </cell>
          <cell r="L3191" t="str">
            <v/>
          </cell>
        </row>
        <row r="3192">
          <cell r="A3192">
            <v>34000000</v>
          </cell>
          <cell r="C3192">
            <v>34000000</v>
          </cell>
          <cell r="D3192">
            <v>34000000</v>
          </cell>
          <cell r="E3192">
            <v>34000000</v>
          </cell>
          <cell r="F3192">
            <v>34000000</v>
          </cell>
          <cell r="G3192">
            <v>34000000</v>
          </cell>
          <cell r="H3192">
            <v>34000000</v>
          </cell>
          <cell r="I3192" t="str">
            <v/>
          </cell>
          <cell r="J3192" t="str">
            <v/>
          </cell>
          <cell r="K3192" t="str">
            <v/>
          </cell>
          <cell r="L3192" t="str">
            <v/>
          </cell>
        </row>
        <row r="3193">
          <cell r="A3193">
            <v>34000000</v>
          </cell>
          <cell r="C3193">
            <v>34000000</v>
          </cell>
          <cell r="D3193">
            <v>34000000</v>
          </cell>
          <cell r="E3193">
            <v>34000000</v>
          </cell>
          <cell r="F3193">
            <v>34000000</v>
          </cell>
          <cell r="G3193">
            <v>34000000</v>
          </cell>
          <cell r="H3193">
            <v>34000000</v>
          </cell>
          <cell r="I3193" t="str">
            <v/>
          </cell>
          <cell r="J3193" t="str">
            <v/>
          </cell>
          <cell r="K3193" t="str">
            <v/>
          </cell>
          <cell r="L3193" t="str">
            <v/>
          </cell>
        </row>
        <row r="3194">
          <cell r="A3194">
            <v>34000000</v>
          </cell>
          <cell r="C3194">
            <v>34000000</v>
          </cell>
          <cell r="D3194">
            <v>34000000</v>
          </cell>
          <cell r="E3194">
            <v>34000000</v>
          </cell>
          <cell r="F3194">
            <v>34000000</v>
          </cell>
          <cell r="G3194">
            <v>34000000</v>
          </cell>
          <cell r="H3194">
            <v>34000000</v>
          </cell>
          <cell r="I3194" t="str">
            <v/>
          </cell>
          <cell r="J3194" t="str">
            <v/>
          </cell>
          <cell r="K3194" t="str">
            <v/>
          </cell>
          <cell r="L3194" t="str">
            <v/>
          </cell>
        </row>
        <row r="3195">
          <cell r="A3195">
            <v>34000000</v>
          </cell>
          <cell r="C3195">
            <v>34000000</v>
          </cell>
          <cell r="D3195">
            <v>34000000</v>
          </cell>
          <cell r="E3195">
            <v>34000000</v>
          </cell>
          <cell r="F3195">
            <v>34000000</v>
          </cell>
          <cell r="G3195">
            <v>34000000</v>
          </cell>
          <cell r="H3195">
            <v>34000000</v>
          </cell>
          <cell r="I3195" t="str">
            <v/>
          </cell>
          <cell r="J3195" t="str">
            <v/>
          </cell>
          <cell r="K3195" t="str">
            <v/>
          </cell>
          <cell r="L3195" t="str">
            <v/>
          </cell>
        </row>
        <row r="3196">
          <cell r="A3196">
            <v>34000000</v>
          </cell>
          <cell r="C3196">
            <v>34000000</v>
          </cell>
          <cell r="D3196">
            <v>34000000</v>
          </cell>
          <cell r="E3196">
            <v>34000000</v>
          </cell>
          <cell r="F3196">
            <v>34000000</v>
          </cell>
          <cell r="G3196">
            <v>34000000</v>
          </cell>
          <cell r="H3196">
            <v>34000000</v>
          </cell>
          <cell r="I3196" t="str">
            <v/>
          </cell>
          <cell r="J3196" t="str">
            <v/>
          </cell>
          <cell r="K3196" t="str">
            <v/>
          </cell>
          <cell r="L3196" t="str">
            <v/>
          </cell>
        </row>
        <row r="3197">
          <cell r="A3197">
            <v>34000000</v>
          </cell>
          <cell r="C3197">
            <v>34000000</v>
          </cell>
          <cell r="D3197">
            <v>34000000</v>
          </cell>
          <cell r="E3197">
            <v>34000000</v>
          </cell>
          <cell r="F3197">
            <v>34000000</v>
          </cell>
          <cell r="G3197">
            <v>34000000</v>
          </cell>
          <cell r="H3197">
            <v>34000000</v>
          </cell>
          <cell r="I3197" t="str">
            <v/>
          </cell>
          <cell r="J3197" t="str">
            <v/>
          </cell>
          <cell r="K3197" t="str">
            <v/>
          </cell>
          <cell r="L3197" t="str">
            <v/>
          </cell>
        </row>
        <row r="3198">
          <cell r="A3198">
            <v>34000000</v>
          </cell>
          <cell r="C3198">
            <v>34000000</v>
          </cell>
          <cell r="D3198">
            <v>34000000</v>
          </cell>
          <cell r="E3198">
            <v>34000000</v>
          </cell>
          <cell r="F3198">
            <v>34000000</v>
          </cell>
          <cell r="G3198">
            <v>34000000</v>
          </cell>
          <cell r="H3198">
            <v>34000000</v>
          </cell>
          <cell r="I3198" t="str">
            <v/>
          </cell>
          <cell r="J3198" t="str">
            <v/>
          </cell>
          <cell r="K3198" t="str">
            <v/>
          </cell>
          <cell r="L3198" t="str">
            <v/>
          </cell>
        </row>
        <row r="3199">
          <cell r="A3199">
            <v>34000000</v>
          </cell>
          <cell r="C3199">
            <v>34000000</v>
          </cell>
          <cell r="D3199">
            <v>34000000</v>
          </cell>
          <cell r="E3199">
            <v>34000000</v>
          </cell>
          <cell r="F3199">
            <v>34000000</v>
          </cell>
          <cell r="G3199">
            <v>34000000</v>
          </cell>
          <cell r="H3199">
            <v>34000000</v>
          </cell>
          <cell r="I3199" t="str">
            <v/>
          </cell>
          <cell r="J3199" t="str">
            <v/>
          </cell>
          <cell r="K3199" t="str">
            <v/>
          </cell>
          <cell r="L3199" t="str">
            <v/>
          </cell>
        </row>
        <row r="3200">
          <cell r="A3200">
            <v>34000000</v>
          </cell>
          <cell r="C3200">
            <v>34000000</v>
          </cell>
          <cell r="D3200">
            <v>34000000</v>
          </cell>
          <cell r="E3200">
            <v>34000000</v>
          </cell>
          <cell r="F3200">
            <v>34000000</v>
          </cell>
          <cell r="G3200">
            <v>34000000</v>
          </cell>
          <cell r="H3200">
            <v>34000000</v>
          </cell>
          <cell r="I3200" t="str">
            <v/>
          </cell>
          <cell r="J3200" t="str">
            <v/>
          </cell>
          <cell r="K3200" t="str">
            <v/>
          </cell>
          <cell r="L3200" t="str">
            <v/>
          </cell>
        </row>
        <row r="3201">
          <cell r="A3201">
            <v>34000000</v>
          </cell>
          <cell r="C3201">
            <v>34000000</v>
          </cell>
          <cell r="D3201">
            <v>34000000</v>
          </cell>
          <cell r="E3201">
            <v>34000000</v>
          </cell>
          <cell r="F3201">
            <v>34000000</v>
          </cell>
          <cell r="G3201">
            <v>34000000</v>
          </cell>
          <cell r="H3201">
            <v>34000000</v>
          </cell>
          <cell r="I3201" t="str">
            <v/>
          </cell>
          <cell r="J3201" t="str">
            <v/>
          </cell>
          <cell r="K3201" t="str">
            <v/>
          </cell>
          <cell r="L3201" t="str">
            <v/>
          </cell>
        </row>
        <row r="3202">
          <cell r="A3202">
            <v>34000000</v>
          </cell>
          <cell r="C3202">
            <v>34000000</v>
          </cell>
          <cell r="D3202">
            <v>34000000</v>
          </cell>
          <cell r="E3202">
            <v>34000000</v>
          </cell>
          <cell r="F3202">
            <v>34000000</v>
          </cell>
          <cell r="G3202">
            <v>34000000</v>
          </cell>
          <cell r="H3202">
            <v>34000000</v>
          </cell>
          <cell r="I3202" t="str">
            <v/>
          </cell>
          <cell r="J3202" t="str">
            <v/>
          </cell>
          <cell r="K3202" t="str">
            <v/>
          </cell>
          <cell r="L3202" t="str">
            <v/>
          </cell>
        </row>
        <row r="3203">
          <cell r="A3203">
            <v>34000000</v>
          </cell>
          <cell r="C3203">
            <v>34000000</v>
          </cell>
          <cell r="D3203">
            <v>34000000</v>
          </cell>
          <cell r="E3203">
            <v>34000000</v>
          </cell>
          <cell r="F3203">
            <v>34000000</v>
          </cell>
          <cell r="G3203">
            <v>34000000</v>
          </cell>
          <cell r="H3203">
            <v>34000000</v>
          </cell>
          <cell r="I3203" t="str">
            <v/>
          </cell>
          <cell r="J3203" t="str">
            <v/>
          </cell>
          <cell r="K3203" t="str">
            <v/>
          </cell>
          <cell r="L3203" t="str">
            <v/>
          </cell>
        </row>
        <row r="3204">
          <cell r="A3204">
            <v>34000000</v>
          </cell>
          <cell r="C3204">
            <v>34000000</v>
          </cell>
          <cell r="D3204">
            <v>34000000</v>
          </cell>
          <cell r="E3204">
            <v>34000000</v>
          </cell>
          <cell r="F3204">
            <v>34000000</v>
          </cell>
          <cell r="G3204">
            <v>34000000</v>
          </cell>
          <cell r="H3204">
            <v>34000000</v>
          </cell>
          <cell r="I3204" t="str">
            <v/>
          </cell>
          <cell r="J3204" t="str">
            <v/>
          </cell>
          <cell r="K3204" t="str">
            <v/>
          </cell>
          <cell r="L3204" t="str">
            <v/>
          </cell>
        </row>
        <row r="3205">
          <cell r="A3205">
            <v>34000000</v>
          </cell>
          <cell r="C3205">
            <v>34000000</v>
          </cell>
          <cell r="D3205">
            <v>34000000</v>
          </cell>
          <cell r="E3205">
            <v>34000000</v>
          </cell>
          <cell r="F3205">
            <v>34000000</v>
          </cell>
          <cell r="G3205">
            <v>34000000</v>
          </cell>
          <cell r="H3205">
            <v>34000000</v>
          </cell>
          <cell r="I3205" t="str">
            <v/>
          </cell>
          <cell r="J3205" t="str">
            <v/>
          </cell>
          <cell r="K3205" t="str">
            <v/>
          </cell>
          <cell r="L3205" t="str">
            <v/>
          </cell>
        </row>
        <row r="3206">
          <cell r="A3206">
            <v>34000000</v>
          </cell>
          <cell r="C3206">
            <v>34000000</v>
          </cell>
          <cell r="D3206">
            <v>34000000</v>
          </cell>
          <cell r="E3206">
            <v>34000000</v>
          </cell>
          <cell r="F3206">
            <v>34000000</v>
          </cell>
          <cell r="G3206">
            <v>34000000</v>
          </cell>
          <cell r="H3206">
            <v>34000000</v>
          </cell>
          <cell r="I3206" t="str">
            <v/>
          </cell>
          <cell r="J3206" t="str">
            <v/>
          </cell>
          <cell r="K3206" t="str">
            <v/>
          </cell>
          <cell r="L3206" t="str">
            <v/>
          </cell>
        </row>
        <row r="3207">
          <cell r="A3207">
            <v>34000000</v>
          </cell>
          <cell r="C3207">
            <v>34000000</v>
          </cell>
          <cell r="D3207">
            <v>34000000</v>
          </cell>
          <cell r="E3207">
            <v>34000000</v>
          </cell>
          <cell r="F3207">
            <v>34000000</v>
          </cell>
          <cell r="G3207">
            <v>34000000</v>
          </cell>
          <cell r="H3207">
            <v>34000000</v>
          </cell>
          <cell r="I3207" t="str">
            <v/>
          </cell>
          <cell r="J3207" t="str">
            <v/>
          </cell>
          <cell r="K3207" t="str">
            <v/>
          </cell>
          <cell r="L3207" t="str">
            <v/>
          </cell>
        </row>
        <row r="3208">
          <cell r="A3208">
            <v>34000000</v>
          </cell>
          <cell r="C3208">
            <v>34000000</v>
          </cell>
          <cell r="D3208">
            <v>34000000</v>
          </cell>
          <cell r="E3208">
            <v>34000000</v>
          </cell>
          <cell r="F3208">
            <v>34000000</v>
          </cell>
          <cell r="G3208">
            <v>34000000</v>
          </cell>
          <cell r="H3208">
            <v>34000000</v>
          </cell>
          <cell r="I3208" t="str">
            <v/>
          </cell>
          <cell r="J3208" t="str">
            <v/>
          </cell>
          <cell r="K3208" t="str">
            <v/>
          </cell>
          <cell r="L3208" t="str">
            <v/>
          </cell>
        </row>
        <row r="3209">
          <cell r="A3209">
            <v>34000000</v>
          </cell>
          <cell r="C3209">
            <v>34000000</v>
          </cell>
          <cell r="D3209">
            <v>34000000</v>
          </cell>
          <cell r="E3209">
            <v>34000000</v>
          </cell>
          <cell r="F3209">
            <v>34000000</v>
          </cell>
          <cell r="G3209">
            <v>34000000</v>
          </cell>
          <cell r="H3209">
            <v>34000000</v>
          </cell>
          <cell r="I3209" t="str">
            <v/>
          </cell>
          <cell r="J3209" t="str">
            <v/>
          </cell>
          <cell r="K3209" t="str">
            <v/>
          </cell>
          <cell r="L3209" t="str">
            <v/>
          </cell>
        </row>
        <row r="3210">
          <cell r="A3210">
            <v>34000000</v>
          </cell>
          <cell r="C3210">
            <v>34000000</v>
          </cell>
          <cell r="D3210">
            <v>34000000</v>
          </cell>
          <cell r="E3210">
            <v>34000000</v>
          </cell>
          <cell r="F3210">
            <v>34000000</v>
          </cell>
          <cell r="G3210">
            <v>34000000</v>
          </cell>
          <cell r="H3210">
            <v>34000000</v>
          </cell>
          <cell r="I3210" t="str">
            <v/>
          </cell>
          <cell r="J3210" t="str">
            <v/>
          </cell>
          <cell r="K3210" t="str">
            <v/>
          </cell>
          <cell r="L3210" t="str">
            <v/>
          </cell>
        </row>
        <row r="3211">
          <cell r="A3211">
            <v>34000000</v>
          </cell>
          <cell r="C3211">
            <v>34000000</v>
          </cell>
          <cell r="D3211">
            <v>34000000</v>
          </cell>
          <cell r="E3211">
            <v>34000000</v>
          </cell>
          <cell r="F3211">
            <v>34000000</v>
          </cell>
          <cell r="G3211">
            <v>34000000</v>
          </cell>
          <cell r="H3211">
            <v>34000000</v>
          </cell>
          <cell r="I3211" t="str">
            <v/>
          </cell>
          <cell r="J3211" t="str">
            <v/>
          </cell>
          <cell r="K3211" t="str">
            <v/>
          </cell>
          <cell r="L3211" t="str">
            <v/>
          </cell>
        </row>
        <row r="3212">
          <cell r="A3212">
            <v>34000000</v>
          </cell>
          <cell r="C3212">
            <v>34000000</v>
          </cell>
          <cell r="D3212">
            <v>34000000</v>
          </cell>
          <cell r="E3212">
            <v>34000000</v>
          </cell>
          <cell r="F3212">
            <v>34000000</v>
          </cell>
          <cell r="G3212">
            <v>34000000</v>
          </cell>
          <cell r="H3212">
            <v>34000000</v>
          </cell>
          <cell r="I3212" t="str">
            <v/>
          </cell>
          <cell r="J3212" t="str">
            <v/>
          </cell>
          <cell r="K3212" t="str">
            <v/>
          </cell>
          <cell r="L3212" t="str">
            <v/>
          </cell>
        </row>
        <row r="3213">
          <cell r="A3213">
            <v>34000000</v>
          </cell>
          <cell r="C3213">
            <v>34000000</v>
          </cell>
          <cell r="D3213">
            <v>34000000</v>
          </cell>
          <cell r="E3213">
            <v>34000000</v>
          </cell>
          <cell r="F3213">
            <v>34000000</v>
          </cell>
          <cell r="G3213">
            <v>34000000</v>
          </cell>
          <cell r="H3213">
            <v>34000000</v>
          </cell>
          <cell r="I3213" t="str">
            <v/>
          </cell>
          <cell r="J3213" t="str">
            <v/>
          </cell>
          <cell r="K3213" t="str">
            <v/>
          </cell>
          <cell r="L3213" t="str">
            <v/>
          </cell>
        </row>
        <row r="3214">
          <cell r="A3214">
            <v>34000000</v>
          </cell>
          <cell r="C3214">
            <v>34000000</v>
          </cell>
          <cell r="D3214">
            <v>34000000</v>
          </cell>
          <cell r="E3214">
            <v>34000000</v>
          </cell>
          <cell r="F3214">
            <v>34000000</v>
          </cell>
          <cell r="G3214">
            <v>34000000</v>
          </cell>
          <cell r="H3214">
            <v>34000000</v>
          </cell>
          <cell r="I3214" t="str">
            <v/>
          </cell>
          <cell r="J3214" t="str">
            <v/>
          </cell>
          <cell r="K3214" t="str">
            <v/>
          </cell>
          <cell r="L3214" t="str">
            <v/>
          </cell>
        </row>
        <row r="3215">
          <cell r="A3215">
            <v>34000000</v>
          </cell>
          <cell r="C3215">
            <v>34000000</v>
          </cell>
          <cell r="D3215">
            <v>34000000</v>
          </cell>
          <cell r="E3215">
            <v>34000000</v>
          </cell>
          <cell r="F3215">
            <v>34000000</v>
          </cell>
          <cell r="G3215">
            <v>34000000</v>
          </cell>
          <cell r="H3215">
            <v>34000000</v>
          </cell>
          <cell r="I3215" t="str">
            <v/>
          </cell>
          <cell r="J3215" t="str">
            <v/>
          </cell>
          <cell r="K3215" t="str">
            <v/>
          </cell>
          <cell r="L3215" t="str">
            <v/>
          </cell>
        </row>
        <row r="3216">
          <cell r="A3216">
            <v>34000000</v>
          </cell>
          <cell r="C3216">
            <v>34000000</v>
          </cell>
          <cell r="D3216">
            <v>34000000</v>
          </cell>
          <cell r="E3216">
            <v>34000000</v>
          </cell>
          <cell r="F3216">
            <v>34000000</v>
          </cell>
          <cell r="G3216">
            <v>34000000</v>
          </cell>
          <cell r="H3216">
            <v>34000000</v>
          </cell>
          <cell r="I3216" t="str">
            <v/>
          </cell>
          <cell r="J3216" t="str">
            <v/>
          </cell>
          <cell r="K3216" t="str">
            <v/>
          </cell>
          <cell r="L3216" t="str">
            <v/>
          </cell>
        </row>
        <row r="3217">
          <cell r="A3217">
            <v>34000000</v>
          </cell>
          <cell r="C3217">
            <v>34000000</v>
          </cell>
          <cell r="D3217">
            <v>34000000</v>
          </cell>
          <cell r="E3217">
            <v>34000000</v>
          </cell>
          <cell r="F3217">
            <v>34000000</v>
          </cell>
          <cell r="G3217">
            <v>34000000</v>
          </cell>
          <cell r="H3217">
            <v>34000000</v>
          </cell>
          <cell r="I3217" t="str">
            <v/>
          </cell>
          <cell r="J3217" t="str">
            <v/>
          </cell>
          <cell r="K3217" t="str">
            <v/>
          </cell>
          <cell r="L3217" t="str">
            <v/>
          </cell>
        </row>
        <row r="3218">
          <cell r="A3218">
            <v>34000000</v>
          </cell>
          <cell r="C3218">
            <v>34000000</v>
          </cell>
          <cell r="D3218">
            <v>34000000</v>
          </cell>
          <cell r="E3218">
            <v>34000000</v>
          </cell>
          <cell r="F3218">
            <v>34000000</v>
          </cell>
          <cell r="G3218">
            <v>34000000</v>
          </cell>
          <cell r="H3218">
            <v>34000000</v>
          </cell>
          <cell r="I3218" t="str">
            <v/>
          </cell>
          <cell r="J3218" t="str">
            <v/>
          </cell>
          <cell r="K3218" t="str">
            <v/>
          </cell>
          <cell r="L3218" t="str">
            <v/>
          </cell>
        </row>
        <row r="3219">
          <cell r="A3219">
            <v>34000000</v>
          </cell>
          <cell r="C3219">
            <v>34000000</v>
          </cell>
          <cell r="D3219">
            <v>34000000</v>
          </cell>
          <cell r="E3219">
            <v>34000000</v>
          </cell>
          <cell r="F3219">
            <v>34000000</v>
          </cell>
          <cell r="G3219">
            <v>34000000</v>
          </cell>
          <cell r="H3219">
            <v>34000000</v>
          </cell>
          <cell r="I3219" t="str">
            <v/>
          </cell>
          <cell r="J3219" t="str">
            <v/>
          </cell>
          <cell r="K3219" t="str">
            <v/>
          </cell>
          <cell r="L3219" t="str">
            <v/>
          </cell>
        </row>
        <row r="3220">
          <cell r="A3220">
            <v>34000000</v>
          </cell>
          <cell r="C3220">
            <v>34000000</v>
          </cell>
          <cell r="D3220">
            <v>34000000</v>
          </cell>
          <cell r="E3220">
            <v>34000000</v>
          </cell>
          <cell r="F3220">
            <v>34000000</v>
          </cell>
          <cell r="G3220">
            <v>34000000</v>
          </cell>
          <cell r="H3220">
            <v>34000000</v>
          </cell>
          <cell r="I3220" t="str">
            <v/>
          </cell>
          <cell r="J3220" t="str">
            <v/>
          </cell>
          <cell r="K3220" t="str">
            <v/>
          </cell>
          <cell r="L3220" t="str">
            <v/>
          </cell>
        </row>
        <row r="3221">
          <cell r="A3221">
            <v>34000000</v>
          </cell>
          <cell r="C3221">
            <v>34000000</v>
          </cell>
          <cell r="D3221">
            <v>34000000</v>
          </cell>
          <cell r="E3221">
            <v>34000000</v>
          </cell>
          <cell r="F3221">
            <v>34000000</v>
          </cell>
          <cell r="G3221">
            <v>34000000</v>
          </cell>
          <cell r="H3221">
            <v>34000000</v>
          </cell>
          <cell r="I3221" t="str">
            <v/>
          </cell>
          <cell r="J3221" t="str">
            <v/>
          </cell>
          <cell r="K3221" t="str">
            <v/>
          </cell>
          <cell r="L3221" t="str">
            <v/>
          </cell>
        </row>
        <row r="3222">
          <cell r="A3222">
            <v>34000000</v>
          </cell>
          <cell r="C3222">
            <v>34000000</v>
          </cell>
          <cell r="D3222">
            <v>34000000</v>
          </cell>
          <cell r="E3222">
            <v>34000000</v>
          </cell>
          <cell r="F3222">
            <v>34000000</v>
          </cell>
          <cell r="G3222">
            <v>34000000</v>
          </cell>
          <cell r="H3222">
            <v>34000000</v>
          </cell>
          <cell r="I3222" t="str">
            <v/>
          </cell>
          <cell r="J3222" t="str">
            <v/>
          </cell>
          <cell r="K3222" t="str">
            <v/>
          </cell>
          <cell r="L3222" t="str">
            <v/>
          </cell>
        </row>
        <row r="3223">
          <cell r="A3223">
            <v>34000000</v>
          </cell>
          <cell r="C3223">
            <v>34000000</v>
          </cell>
          <cell r="D3223">
            <v>34000000</v>
          </cell>
          <cell r="E3223">
            <v>34000000</v>
          </cell>
          <cell r="F3223">
            <v>34000000</v>
          </cell>
          <cell r="G3223">
            <v>34000000</v>
          </cell>
          <cell r="H3223">
            <v>34000000</v>
          </cell>
          <cell r="I3223" t="str">
            <v/>
          </cell>
          <cell r="J3223" t="str">
            <v/>
          </cell>
          <cell r="K3223" t="str">
            <v/>
          </cell>
          <cell r="L3223" t="str">
            <v/>
          </cell>
        </row>
        <row r="3224">
          <cell r="A3224">
            <v>34000000</v>
          </cell>
          <cell r="C3224">
            <v>34000000</v>
          </cell>
          <cell r="D3224">
            <v>34000000</v>
          </cell>
          <cell r="E3224">
            <v>34000000</v>
          </cell>
          <cell r="F3224">
            <v>34000000</v>
          </cell>
          <cell r="G3224">
            <v>34000000</v>
          </cell>
          <cell r="H3224">
            <v>34000000</v>
          </cell>
          <cell r="I3224" t="str">
            <v/>
          </cell>
          <cell r="J3224" t="str">
            <v/>
          </cell>
          <cell r="K3224" t="str">
            <v/>
          </cell>
          <cell r="L3224" t="str">
            <v/>
          </cell>
        </row>
        <row r="3225">
          <cell r="A3225">
            <v>34000000</v>
          </cell>
          <cell r="C3225">
            <v>34000000</v>
          </cell>
          <cell r="D3225">
            <v>34000000</v>
          </cell>
          <cell r="E3225">
            <v>34000000</v>
          </cell>
          <cell r="F3225">
            <v>34000000</v>
          </cell>
          <cell r="G3225">
            <v>34000000</v>
          </cell>
          <cell r="H3225">
            <v>34000000</v>
          </cell>
          <cell r="I3225" t="str">
            <v/>
          </cell>
          <cell r="J3225" t="str">
            <v/>
          </cell>
          <cell r="K3225" t="str">
            <v/>
          </cell>
          <cell r="L3225" t="str">
            <v/>
          </cell>
        </row>
        <row r="3226">
          <cell r="A3226">
            <v>34000000</v>
          </cell>
          <cell r="C3226">
            <v>34000000</v>
          </cell>
          <cell r="D3226">
            <v>34000000</v>
          </cell>
          <cell r="E3226">
            <v>34000000</v>
          </cell>
          <cell r="F3226">
            <v>34000000</v>
          </cell>
          <cell r="G3226">
            <v>34000000</v>
          </cell>
          <cell r="H3226">
            <v>34000000</v>
          </cell>
          <cell r="I3226" t="str">
            <v/>
          </cell>
          <cell r="J3226" t="str">
            <v/>
          </cell>
          <cell r="K3226" t="str">
            <v/>
          </cell>
          <cell r="L3226" t="str">
            <v/>
          </cell>
        </row>
        <row r="3227">
          <cell r="A3227">
            <v>34000000</v>
          </cell>
          <cell r="C3227">
            <v>34000000</v>
          </cell>
          <cell r="D3227">
            <v>34000000</v>
          </cell>
          <cell r="E3227">
            <v>34000000</v>
          </cell>
          <cell r="F3227">
            <v>34000000</v>
          </cell>
          <cell r="G3227">
            <v>34000000</v>
          </cell>
          <cell r="H3227">
            <v>34000000</v>
          </cell>
          <cell r="I3227" t="str">
            <v/>
          </cell>
          <cell r="J3227" t="str">
            <v/>
          </cell>
          <cell r="K3227" t="str">
            <v/>
          </cell>
          <cell r="L3227" t="str">
            <v/>
          </cell>
        </row>
        <row r="3228">
          <cell r="A3228">
            <v>34000000</v>
          </cell>
          <cell r="C3228">
            <v>34000000</v>
          </cell>
          <cell r="D3228">
            <v>34000000</v>
          </cell>
          <cell r="E3228">
            <v>34000000</v>
          </cell>
          <cell r="F3228">
            <v>34000000</v>
          </cell>
          <cell r="G3228">
            <v>34000000</v>
          </cell>
          <cell r="H3228">
            <v>34000000</v>
          </cell>
          <cell r="I3228" t="str">
            <v/>
          </cell>
          <cell r="J3228" t="str">
            <v/>
          </cell>
          <cell r="K3228" t="str">
            <v/>
          </cell>
          <cell r="L3228" t="str">
            <v/>
          </cell>
        </row>
        <row r="3229">
          <cell r="A3229">
            <v>34000000</v>
          </cell>
          <cell r="C3229">
            <v>34000000</v>
          </cell>
          <cell r="D3229">
            <v>34000000</v>
          </cell>
          <cell r="E3229">
            <v>34000000</v>
          </cell>
          <cell r="F3229">
            <v>34000000</v>
          </cell>
          <cell r="G3229">
            <v>34000000</v>
          </cell>
          <cell r="H3229">
            <v>34000000</v>
          </cell>
          <cell r="I3229" t="str">
            <v/>
          </cell>
          <cell r="J3229" t="str">
            <v/>
          </cell>
          <cell r="K3229" t="str">
            <v/>
          </cell>
          <cell r="L3229" t="str">
            <v/>
          </cell>
        </row>
        <row r="3230">
          <cell r="A3230">
            <v>34000000</v>
          </cell>
          <cell r="C3230">
            <v>34000000</v>
          </cell>
          <cell r="D3230">
            <v>34000000</v>
          </cell>
          <cell r="E3230">
            <v>34000000</v>
          </cell>
          <cell r="F3230">
            <v>34000000</v>
          </cell>
          <cell r="G3230">
            <v>34000000</v>
          </cell>
          <cell r="H3230">
            <v>34000000</v>
          </cell>
          <cell r="I3230" t="str">
            <v/>
          </cell>
          <cell r="J3230" t="str">
            <v/>
          </cell>
          <cell r="K3230" t="str">
            <v/>
          </cell>
          <cell r="L3230" t="str">
            <v/>
          </cell>
        </row>
        <row r="3231">
          <cell r="A3231">
            <v>34000000</v>
          </cell>
          <cell r="C3231">
            <v>34000000</v>
          </cell>
          <cell r="D3231">
            <v>34000000</v>
          </cell>
          <cell r="E3231">
            <v>34000000</v>
          </cell>
          <cell r="F3231">
            <v>34000000</v>
          </cell>
          <cell r="G3231">
            <v>34000000</v>
          </cell>
          <cell r="H3231">
            <v>34000000</v>
          </cell>
          <cell r="I3231" t="str">
            <v/>
          </cell>
          <cell r="J3231" t="str">
            <v/>
          </cell>
          <cell r="K3231" t="str">
            <v/>
          </cell>
          <cell r="L3231" t="str">
            <v/>
          </cell>
        </row>
        <row r="3232">
          <cell r="A3232">
            <v>34000000</v>
          </cell>
          <cell r="C3232">
            <v>34000000</v>
          </cell>
          <cell r="D3232">
            <v>34000000</v>
          </cell>
          <cell r="E3232">
            <v>34000000</v>
          </cell>
          <cell r="F3232">
            <v>34000000</v>
          </cell>
          <cell r="G3232">
            <v>34000000</v>
          </cell>
          <cell r="H3232">
            <v>34000000</v>
          </cell>
          <cell r="I3232" t="str">
            <v/>
          </cell>
          <cell r="J3232" t="str">
            <v/>
          </cell>
          <cell r="K3232" t="str">
            <v/>
          </cell>
          <cell r="L3232" t="str">
            <v/>
          </cell>
        </row>
        <row r="3233">
          <cell r="A3233">
            <v>34000000</v>
          </cell>
          <cell r="C3233">
            <v>34000000</v>
          </cell>
          <cell r="D3233">
            <v>34000000</v>
          </cell>
          <cell r="E3233">
            <v>34000000</v>
          </cell>
          <cell r="F3233">
            <v>34000000</v>
          </cell>
          <cell r="G3233">
            <v>34000000</v>
          </cell>
          <cell r="H3233">
            <v>34000000</v>
          </cell>
          <cell r="I3233" t="str">
            <v/>
          </cell>
          <cell r="J3233" t="str">
            <v/>
          </cell>
          <cell r="K3233" t="str">
            <v/>
          </cell>
          <cell r="L3233" t="str">
            <v/>
          </cell>
        </row>
        <row r="3234">
          <cell r="A3234">
            <v>34000000</v>
          </cell>
          <cell r="C3234">
            <v>34000000</v>
          </cell>
          <cell r="D3234">
            <v>34000000</v>
          </cell>
          <cell r="E3234">
            <v>34000000</v>
          </cell>
          <cell r="F3234">
            <v>34000000</v>
          </cell>
          <cell r="G3234">
            <v>34000000</v>
          </cell>
          <cell r="H3234">
            <v>34000000</v>
          </cell>
          <cell r="I3234" t="str">
            <v/>
          </cell>
          <cell r="J3234" t="str">
            <v/>
          </cell>
          <cell r="K3234" t="str">
            <v/>
          </cell>
          <cell r="L3234" t="str">
            <v/>
          </cell>
        </row>
        <row r="3235">
          <cell r="A3235">
            <v>34000000</v>
          </cell>
          <cell r="C3235">
            <v>34000000</v>
          </cell>
          <cell r="D3235">
            <v>34000000</v>
          </cell>
          <cell r="E3235">
            <v>34000000</v>
          </cell>
          <cell r="F3235">
            <v>34000000</v>
          </cell>
          <cell r="G3235">
            <v>34000000</v>
          </cell>
          <cell r="H3235">
            <v>34000000</v>
          </cell>
          <cell r="I3235" t="str">
            <v/>
          </cell>
          <cell r="J3235" t="str">
            <v/>
          </cell>
          <cell r="K3235" t="str">
            <v/>
          </cell>
          <cell r="L3235" t="str">
            <v/>
          </cell>
        </row>
        <row r="3236">
          <cell r="A3236">
            <v>34000000</v>
          </cell>
          <cell r="C3236">
            <v>34000000</v>
          </cell>
          <cell r="D3236">
            <v>34000000</v>
          </cell>
          <cell r="E3236">
            <v>34000000</v>
          </cell>
          <cell r="F3236">
            <v>34000000</v>
          </cell>
          <cell r="G3236">
            <v>34000000</v>
          </cell>
          <cell r="H3236">
            <v>34000000</v>
          </cell>
          <cell r="I3236" t="str">
            <v/>
          </cell>
          <cell r="J3236" t="str">
            <v/>
          </cell>
          <cell r="K3236" t="str">
            <v/>
          </cell>
          <cell r="L3236" t="str">
            <v/>
          </cell>
        </row>
        <row r="3237">
          <cell r="A3237">
            <v>34000000</v>
          </cell>
          <cell r="C3237">
            <v>34000000</v>
          </cell>
          <cell r="D3237">
            <v>34000000</v>
          </cell>
          <cell r="E3237">
            <v>34000000</v>
          </cell>
          <cell r="F3237">
            <v>34000000</v>
          </cell>
          <cell r="G3237">
            <v>34000000</v>
          </cell>
          <cell r="H3237">
            <v>34000000</v>
          </cell>
          <cell r="I3237" t="str">
            <v/>
          </cell>
          <cell r="J3237" t="str">
            <v/>
          </cell>
          <cell r="K3237" t="str">
            <v/>
          </cell>
          <cell r="L3237" t="str">
            <v/>
          </cell>
        </row>
        <row r="3238">
          <cell r="A3238">
            <v>34000000</v>
          </cell>
          <cell r="C3238">
            <v>34000000</v>
          </cell>
          <cell r="D3238">
            <v>34000000</v>
          </cell>
          <cell r="E3238">
            <v>34000000</v>
          </cell>
          <cell r="F3238">
            <v>34000000</v>
          </cell>
          <cell r="G3238">
            <v>34000000</v>
          </cell>
          <cell r="H3238">
            <v>34000000</v>
          </cell>
          <cell r="I3238" t="str">
            <v/>
          </cell>
          <cell r="J3238" t="str">
            <v/>
          </cell>
          <cell r="K3238" t="str">
            <v/>
          </cell>
          <cell r="L3238" t="str">
            <v/>
          </cell>
        </row>
        <row r="3239">
          <cell r="A3239">
            <v>34000000</v>
          </cell>
          <cell r="C3239">
            <v>34000000</v>
          </cell>
          <cell r="D3239">
            <v>34000000</v>
          </cell>
          <cell r="E3239">
            <v>34000000</v>
          </cell>
          <cell r="F3239">
            <v>34000000</v>
          </cell>
          <cell r="G3239">
            <v>34000000</v>
          </cell>
          <cell r="H3239">
            <v>34000000</v>
          </cell>
          <cell r="I3239" t="str">
            <v/>
          </cell>
          <cell r="J3239" t="str">
            <v/>
          </cell>
          <cell r="K3239" t="str">
            <v/>
          </cell>
          <cell r="L3239" t="str">
            <v/>
          </cell>
        </row>
        <row r="3240">
          <cell r="A3240">
            <v>34000000</v>
          </cell>
          <cell r="C3240">
            <v>34000000</v>
          </cell>
          <cell r="D3240">
            <v>34000000</v>
          </cell>
          <cell r="E3240">
            <v>34000000</v>
          </cell>
          <cell r="F3240">
            <v>34000000</v>
          </cell>
          <cell r="G3240">
            <v>34000000</v>
          </cell>
          <cell r="H3240">
            <v>34000000</v>
          </cell>
          <cell r="I3240" t="str">
            <v/>
          </cell>
          <cell r="J3240" t="str">
            <v/>
          </cell>
          <cell r="K3240" t="str">
            <v/>
          </cell>
          <cell r="L3240" t="str">
            <v/>
          </cell>
        </row>
        <row r="3241">
          <cell r="A3241">
            <v>34000000</v>
          </cell>
          <cell r="C3241">
            <v>34000000</v>
          </cell>
          <cell r="D3241">
            <v>34000000</v>
          </cell>
          <cell r="E3241">
            <v>34000000</v>
          </cell>
          <cell r="F3241">
            <v>34000000</v>
          </cell>
          <cell r="G3241">
            <v>34000000</v>
          </cell>
          <cell r="H3241">
            <v>34000000</v>
          </cell>
          <cell r="I3241" t="str">
            <v/>
          </cell>
          <cell r="J3241" t="str">
            <v/>
          </cell>
          <cell r="K3241" t="str">
            <v/>
          </cell>
          <cell r="L3241" t="str">
            <v/>
          </cell>
        </row>
        <row r="3242">
          <cell r="A3242">
            <v>34000000</v>
          </cell>
          <cell r="C3242">
            <v>34000000</v>
          </cell>
          <cell r="D3242">
            <v>34000000</v>
          </cell>
          <cell r="E3242">
            <v>34000000</v>
          </cell>
          <cell r="F3242">
            <v>34000000</v>
          </cell>
          <cell r="G3242">
            <v>34000000</v>
          </cell>
          <cell r="H3242">
            <v>34000000</v>
          </cell>
          <cell r="I3242" t="str">
            <v/>
          </cell>
          <cell r="J3242" t="str">
            <v/>
          </cell>
          <cell r="K3242" t="str">
            <v/>
          </cell>
          <cell r="L3242" t="str">
            <v/>
          </cell>
        </row>
        <row r="3243">
          <cell r="A3243">
            <v>34000000</v>
          </cell>
          <cell r="C3243">
            <v>34000000</v>
          </cell>
          <cell r="D3243">
            <v>34000000</v>
          </cell>
          <cell r="E3243">
            <v>34000000</v>
          </cell>
          <cell r="F3243">
            <v>34000000</v>
          </cell>
          <cell r="G3243">
            <v>34000000</v>
          </cell>
          <cell r="H3243">
            <v>34000000</v>
          </cell>
          <cell r="I3243" t="str">
            <v/>
          </cell>
          <cell r="J3243" t="str">
            <v/>
          </cell>
          <cell r="K3243" t="str">
            <v/>
          </cell>
          <cell r="L3243" t="str">
            <v/>
          </cell>
        </row>
        <row r="3244">
          <cell r="A3244">
            <v>34000000</v>
          </cell>
          <cell r="C3244">
            <v>34000000</v>
          </cell>
          <cell r="D3244">
            <v>34000000</v>
          </cell>
          <cell r="E3244">
            <v>34000000</v>
          </cell>
          <cell r="F3244">
            <v>34000000</v>
          </cell>
          <cell r="G3244">
            <v>34000000</v>
          </cell>
          <cell r="H3244">
            <v>34000000</v>
          </cell>
          <cell r="I3244" t="str">
            <v/>
          </cell>
          <cell r="J3244" t="str">
            <v/>
          </cell>
          <cell r="K3244" t="str">
            <v/>
          </cell>
          <cell r="L3244" t="str">
            <v/>
          </cell>
        </row>
        <row r="3245">
          <cell r="A3245">
            <v>34000000</v>
          </cell>
          <cell r="C3245">
            <v>34000000</v>
          </cell>
          <cell r="D3245">
            <v>34000000</v>
          </cell>
          <cell r="E3245">
            <v>34000000</v>
          </cell>
          <cell r="F3245">
            <v>34000000</v>
          </cell>
          <cell r="G3245">
            <v>34000000</v>
          </cell>
          <cell r="H3245">
            <v>34000000</v>
          </cell>
          <cell r="I3245" t="str">
            <v/>
          </cell>
          <cell r="J3245" t="str">
            <v/>
          </cell>
          <cell r="K3245" t="str">
            <v/>
          </cell>
          <cell r="L3245" t="str">
            <v/>
          </cell>
        </row>
        <row r="3246">
          <cell r="A3246">
            <v>34000000</v>
          </cell>
          <cell r="C3246">
            <v>34000000</v>
          </cell>
          <cell r="D3246">
            <v>34000000</v>
          </cell>
          <cell r="E3246">
            <v>34000000</v>
          </cell>
          <cell r="F3246">
            <v>34000000</v>
          </cell>
          <cell r="G3246">
            <v>34000000</v>
          </cell>
          <cell r="H3246">
            <v>34000000</v>
          </cell>
          <cell r="I3246" t="str">
            <v/>
          </cell>
          <cell r="J3246" t="str">
            <v/>
          </cell>
          <cell r="K3246" t="str">
            <v/>
          </cell>
          <cell r="L3246" t="str">
            <v/>
          </cell>
        </row>
        <row r="3247">
          <cell r="A3247">
            <v>34000000</v>
          </cell>
          <cell r="C3247">
            <v>34000000</v>
          </cell>
          <cell r="D3247">
            <v>34000000</v>
          </cell>
          <cell r="E3247">
            <v>34000000</v>
          </cell>
          <cell r="F3247">
            <v>34000000</v>
          </cell>
          <cell r="G3247">
            <v>34000000</v>
          </cell>
          <cell r="H3247">
            <v>34000000</v>
          </cell>
          <cell r="I3247" t="str">
            <v/>
          </cell>
          <cell r="J3247" t="str">
            <v/>
          </cell>
          <cell r="K3247" t="str">
            <v/>
          </cell>
          <cell r="L3247" t="str">
            <v/>
          </cell>
        </row>
        <row r="3248">
          <cell r="A3248">
            <v>34000000</v>
          </cell>
          <cell r="C3248">
            <v>34000000</v>
          </cell>
          <cell r="D3248">
            <v>34000000</v>
          </cell>
          <cell r="E3248">
            <v>34000000</v>
          </cell>
          <cell r="F3248">
            <v>34000000</v>
          </cell>
          <cell r="G3248">
            <v>34000000</v>
          </cell>
          <cell r="H3248">
            <v>34000000</v>
          </cell>
          <cell r="I3248" t="str">
            <v/>
          </cell>
          <cell r="J3248" t="str">
            <v/>
          </cell>
          <cell r="K3248" t="str">
            <v/>
          </cell>
          <cell r="L3248" t="str">
            <v/>
          </cell>
        </row>
        <row r="3249">
          <cell r="A3249">
            <v>34000000</v>
          </cell>
          <cell r="C3249">
            <v>34000000</v>
          </cell>
          <cell r="D3249">
            <v>34000000</v>
          </cell>
          <cell r="E3249">
            <v>34000000</v>
          </cell>
          <cell r="F3249">
            <v>34000000</v>
          </cell>
          <cell r="G3249">
            <v>34000000</v>
          </cell>
          <cell r="H3249">
            <v>34000000</v>
          </cell>
          <cell r="I3249" t="str">
            <v/>
          </cell>
          <cell r="J3249" t="str">
            <v/>
          </cell>
          <cell r="K3249" t="str">
            <v/>
          </cell>
          <cell r="L3249" t="str">
            <v/>
          </cell>
        </row>
        <row r="3250">
          <cell r="A3250">
            <v>34000000</v>
          </cell>
          <cell r="C3250">
            <v>34000000</v>
          </cell>
          <cell r="D3250">
            <v>34000000</v>
          </cell>
          <cell r="E3250">
            <v>34000000</v>
          </cell>
          <cell r="F3250">
            <v>34000000</v>
          </cell>
          <cell r="G3250">
            <v>34000000</v>
          </cell>
          <cell r="H3250">
            <v>34000000</v>
          </cell>
          <cell r="I3250" t="str">
            <v/>
          </cell>
          <cell r="J3250" t="str">
            <v/>
          </cell>
          <cell r="K3250" t="str">
            <v/>
          </cell>
          <cell r="L3250" t="str">
            <v/>
          </cell>
        </row>
        <row r="3251">
          <cell r="A3251">
            <v>34000000</v>
          </cell>
          <cell r="C3251">
            <v>34000000</v>
          </cell>
          <cell r="D3251">
            <v>34000000</v>
          </cell>
          <cell r="E3251">
            <v>34000000</v>
          </cell>
          <cell r="F3251">
            <v>34000000</v>
          </cell>
          <cell r="G3251">
            <v>34000000</v>
          </cell>
          <cell r="H3251">
            <v>34000000</v>
          </cell>
          <cell r="I3251" t="str">
            <v/>
          </cell>
          <cell r="J3251" t="str">
            <v/>
          </cell>
          <cell r="K3251" t="str">
            <v/>
          </cell>
          <cell r="L3251" t="str">
            <v/>
          </cell>
        </row>
        <row r="3252">
          <cell r="A3252">
            <v>34000000</v>
          </cell>
          <cell r="C3252">
            <v>34000000</v>
          </cell>
          <cell r="D3252">
            <v>34000000</v>
          </cell>
          <cell r="E3252">
            <v>34000000</v>
          </cell>
          <cell r="F3252">
            <v>34000000</v>
          </cell>
          <cell r="G3252">
            <v>34000000</v>
          </cell>
          <cell r="H3252">
            <v>34000000</v>
          </cell>
          <cell r="I3252" t="str">
            <v/>
          </cell>
          <cell r="J3252" t="str">
            <v/>
          </cell>
          <cell r="K3252" t="str">
            <v/>
          </cell>
          <cell r="L3252" t="str">
            <v/>
          </cell>
        </row>
        <row r="3253">
          <cell r="A3253">
            <v>34000000</v>
          </cell>
          <cell r="C3253">
            <v>34000000</v>
          </cell>
          <cell r="D3253">
            <v>34000000</v>
          </cell>
          <cell r="E3253">
            <v>34000000</v>
          </cell>
          <cell r="F3253">
            <v>34000000</v>
          </cell>
          <cell r="G3253">
            <v>34000000</v>
          </cell>
          <cell r="H3253">
            <v>34000000</v>
          </cell>
          <cell r="I3253" t="str">
            <v/>
          </cell>
          <cell r="J3253" t="str">
            <v/>
          </cell>
          <cell r="K3253" t="str">
            <v/>
          </cell>
          <cell r="L3253" t="str">
            <v/>
          </cell>
        </row>
        <row r="3254">
          <cell r="A3254">
            <v>34000000</v>
          </cell>
          <cell r="C3254">
            <v>34000000</v>
          </cell>
          <cell r="D3254">
            <v>34000000</v>
          </cell>
          <cell r="E3254">
            <v>34000000</v>
          </cell>
          <cell r="F3254">
            <v>34000000</v>
          </cell>
          <cell r="G3254">
            <v>34000000</v>
          </cell>
          <cell r="H3254">
            <v>34000000</v>
          </cell>
          <cell r="I3254" t="str">
            <v/>
          </cell>
          <cell r="J3254" t="str">
            <v/>
          </cell>
          <cell r="K3254" t="str">
            <v/>
          </cell>
          <cell r="L3254" t="str">
            <v/>
          </cell>
        </row>
        <row r="3255">
          <cell r="A3255">
            <v>34000000</v>
          </cell>
          <cell r="C3255">
            <v>34000000</v>
          </cell>
          <cell r="D3255">
            <v>34000000</v>
          </cell>
          <cell r="E3255">
            <v>34000000</v>
          </cell>
          <cell r="F3255">
            <v>34000000</v>
          </cell>
          <cell r="G3255">
            <v>34000000</v>
          </cell>
          <cell r="H3255">
            <v>34000000</v>
          </cell>
          <cell r="I3255" t="str">
            <v/>
          </cell>
          <cell r="J3255" t="str">
            <v/>
          </cell>
          <cell r="K3255" t="str">
            <v/>
          </cell>
          <cell r="L3255" t="str">
            <v/>
          </cell>
        </row>
        <row r="3256">
          <cell r="A3256">
            <v>34000000</v>
          </cell>
          <cell r="C3256">
            <v>34000000</v>
          </cell>
          <cell r="D3256">
            <v>34000000</v>
          </cell>
          <cell r="E3256">
            <v>34000000</v>
          </cell>
          <cell r="F3256">
            <v>34000000</v>
          </cell>
          <cell r="G3256">
            <v>34000000</v>
          </cell>
          <cell r="H3256">
            <v>34000000</v>
          </cell>
          <cell r="I3256" t="str">
            <v/>
          </cell>
          <cell r="J3256" t="str">
            <v/>
          </cell>
          <cell r="K3256" t="str">
            <v/>
          </cell>
          <cell r="L3256" t="str">
            <v/>
          </cell>
        </row>
        <row r="3257">
          <cell r="A3257">
            <v>34000000</v>
          </cell>
          <cell r="C3257">
            <v>34000000</v>
          </cell>
          <cell r="D3257">
            <v>34000000</v>
          </cell>
          <cell r="E3257">
            <v>34000000</v>
          </cell>
          <cell r="F3257">
            <v>34000000</v>
          </cell>
          <cell r="G3257">
            <v>34000000</v>
          </cell>
          <cell r="H3257">
            <v>34000000</v>
          </cell>
          <cell r="I3257" t="str">
            <v/>
          </cell>
          <cell r="J3257" t="str">
            <v/>
          </cell>
          <cell r="K3257" t="str">
            <v/>
          </cell>
          <cell r="L3257" t="str">
            <v/>
          </cell>
        </row>
        <row r="3258">
          <cell r="A3258">
            <v>34000000</v>
          </cell>
          <cell r="C3258">
            <v>34000000</v>
          </cell>
          <cell r="D3258">
            <v>34000000</v>
          </cell>
          <cell r="E3258">
            <v>34000000</v>
          </cell>
          <cell r="F3258">
            <v>34000000</v>
          </cell>
          <cell r="G3258">
            <v>34000000</v>
          </cell>
          <cell r="H3258">
            <v>34000000</v>
          </cell>
          <cell r="I3258" t="str">
            <v/>
          </cell>
          <cell r="J3258" t="str">
            <v/>
          </cell>
          <cell r="K3258" t="str">
            <v/>
          </cell>
          <cell r="L3258" t="str">
            <v/>
          </cell>
        </row>
        <row r="3259">
          <cell r="A3259">
            <v>34000000</v>
          </cell>
          <cell r="C3259">
            <v>34000000</v>
          </cell>
          <cell r="D3259">
            <v>34000000</v>
          </cell>
          <cell r="E3259">
            <v>34000000</v>
          </cell>
          <cell r="F3259">
            <v>34000000</v>
          </cell>
          <cell r="G3259">
            <v>34000000</v>
          </cell>
          <cell r="H3259">
            <v>34000000</v>
          </cell>
          <cell r="I3259" t="str">
            <v/>
          </cell>
          <cell r="J3259" t="str">
            <v/>
          </cell>
          <cell r="K3259" t="str">
            <v/>
          </cell>
          <cell r="L3259" t="str">
            <v/>
          </cell>
        </row>
        <row r="3260">
          <cell r="A3260">
            <v>34000000</v>
          </cell>
          <cell r="C3260">
            <v>34000000</v>
          </cell>
          <cell r="D3260">
            <v>34000000</v>
          </cell>
          <cell r="E3260">
            <v>34000000</v>
          </cell>
          <cell r="F3260">
            <v>34000000</v>
          </cell>
          <cell r="G3260">
            <v>34000000</v>
          </cell>
          <cell r="H3260">
            <v>34000000</v>
          </cell>
          <cell r="I3260" t="str">
            <v/>
          </cell>
          <cell r="J3260" t="str">
            <v/>
          </cell>
          <cell r="K3260" t="str">
            <v/>
          </cell>
          <cell r="L3260" t="str">
            <v/>
          </cell>
        </row>
        <row r="3261">
          <cell r="A3261">
            <v>34000000</v>
          </cell>
          <cell r="C3261">
            <v>34000000</v>
          </cell>
          <cell r="D3261">
            <v>34000000</v>
          </cell>
          <cell r="E3261">
            <v>34000000</v>
          </cell>
          <cell r="F3261">
            <v>34000000</v>
          </cell>
          <cell r="G3261">
            <v>34000000</v>
          </cell>
          <cell r="H3261">
            <v>34000000</v>
          </cell>
          <cell r="I3261" t="str">
            <v/>
          </cell>
          <cell r="J3261" t="str">
            <v/>
          </cell>
          <cell r="K3261" t="str">
            <v/>
          </cell>
          <cell r="L3261" t="str">
            <v/>
          </cell>
        </row>
        <row r="3262">
          <cell r="A3262">
            <v>34000000</v>
          </cell>
          <cell r="C3262">
            <v>34000000</v>
          </cell>
          <cell r="D3262">
            <v>34000000</v>
          </cell>
          <cell r="E3262">
            <v>34000000</v>
          </cell>
          <cell r="F3262">
            <v>34000000</v>
          </cell>
          <cell r="G3262">
            <v>34000000</v>
          </cell>
          <cell r="H3262">
            <v>34000000</v>
          </cell>
          <cell r="I3262" t="str">
            <v/>
          </cell>
          <cell r="J3262" t="str">
            <v/>
          </cell>
          <cell r="K3262" t="str">
            <v/>
          </cell>
          <cell r="L3262" t="str">
            <v/>
          </cell>
        </row>
        <row r="3263">
          <cell r="A3263">
            <v>34000000</v>
          </cell>
          <cell r="C3263">
            <v>34000000</v>
          </cell>
          <cell r="D3263">
            <v>34000000</v>
          </cell>
          <cell r="E3263">
            <v>34000000</v>
          </cell>
          <cell r="F3263">
            <v>34000000</v>
          </cell>
          <cell r="G3263">
            <v>34000000</v>
          </cell>
          <cell r="H3263">
            <v>34000000</v>
          </cell>
          <cell r="I3263" t="str">
            <v/>
          </cell>
          <cell r="J3263" t="str">
            <v/>
          </cell>
          <cell r="K3263" t="str">
            <v/>
          </cell>
          <cell r="L3263" t="str">
            <v/>
          </cell>
        </row>
        <row r="3264">
          <cell r="A3264">
            <v>34000000</v>
          </cell>
          <cell r="C3264">
            <v>34000000</v>
          </cell>
          <cell r="D3264">
            <v>34000000</v>
          </cell>
          <cell r="E3264">
            <v>34000000</v>
          </cell>
          <cell r="F3264">
            <v>34000000</v>
          </cell>
          <cell r="G3264">
            <v>34000000</v>
          </cell>
          <cell r="H3264">
            <v>34000000</v>
          </cell>
          <cell r="I3264" t="str">
            <v/>
          </cell>
          <cell r="J3264" t="str">
            <v/>
          </cell>
          <cell r="K3264" t="str">
            <v/>
          </cell>
          <cell r="L3264" t="str">
            <v/>
          </cell>
        </row>
        <row r="3265">
          <cell r="A3265">
            <v>34000000</v>
          </cell>
          <cell r="C3265">
            <v>34000000</v>
          </cell>
          <cell r="D3265">
            <v>34000000</v>
          </cell>
          <cell r="E3265">
            <v>34000000</v>
          </cell>
          <cell r="F3265">
            <v>34000000</v>
          </cell>
          <cell r="G3265">
            <v>34000000</v>
          </cell>
          <cell r="H3265">
            <v>34000000</v>
          </cell>
          <cell r="I3265" t="str">
            <v/>
          </cell>
          <cell r="J3265" t="str">
            <v/>
          </cell>
          <cell r="K3265" t="str">
            <v/>
          </cell>
          <cell r="L3265" t="str">
            <v/>
          </cell>
        </row>
        <row r="3266">
          <cell r="A3266">
            <v>34000000</v>
          </cell>
          <cell r="C3266">
            <v>34000000</v>
          </cell>
          <cell r="D3266">
            <v>34000000</v>
          </cell>
          <cell r="E3266">
            <v>34000000</v>
          </cell>
          <cell r="F3266">
            <v>34000000</v>
          </cell>
          <cell r="G3266">
            <v>34000000</v>
          </cell>
          <cell r="H3266">
            <v>34000000</v>
          </cell>
          <cell r="I3266" t="str">
            <v/>
          </cell>
          <cell r="J3266" t="str">
            <v/>
          </cell>
          <cell r="K3266" t="str">
            <v/>
          </cell>
          <cell r="L3266" t="str">
            <v/>
          </cell>
        </row>
        <row r="3267">
          <cell r="A3267">
            <v>34000000</v>
          </cell>
          <cell r="C3267">
            <v>34000000</v>
          </cell>
          <cell r="D3267">
            <v>34000000</v>
          </cell>
          <cell r="E3267">
            <v>34000000</v>
          </cell>
          <cell r="F3267">
            <v>34000000</v>
          </cell>
          <cell r="G3267">
            <v>34000000</v>
          </cell>
          <cell r="H3267">
            <v>34000000</v>
          </cell>
          <cell r="I3267" t="str">
            <v/>
          </cell>
          <cell r="J3267" t="str">
            <v/>
          </cell>
          <cell r="K3267" t="str">
            <v/>
          </cell>
          <cell r="L3267" t="str">
            <v/>
          </cell>
        </row>
        <row r="3268">
          <cell r="A3268">
            <v>34000000</v>
          </cell>
          <cell r="C3268">
            <v>34000000</v>
          </cell>
          <cell r="D3268">
            <v>34000000</v>
          </cell>
          <cell r="E3268">
            <v>34000000</v>
          </cell>
          <cell r="F3268">
            <v>34000000</v>
          </cell>
          <cell r="G3268">
            <v>34000000</v>
          </cell>
          <cell r="H3268">
            <v>34000000</v>
          </cell>
          <cell r="I3268" t="str">
            <v/>
          </cell>
          <cell r="J3268" t="str">
            <v/>
          </cell>
          <cell r="K3268" t="str">
            <v/>
          </cell>
          <cell r="L3268" t="str">
            <v/>
          </cell>
        </row>
        <row r="3269">
          <cell r="A3269">
            <v>34000000</v>
          </cell>
          <cell r="C3269">
            <v>34000000</v>
          </cell>
          <cell r="D3269">
            <v>34000000</v>
          </cell>
          <cell r="E3269">
            <v>34000000</v>
          </cell>
          <cell r="F3269">
            <v>34000000</v>
          </cell>
          <cell r="G3269">
            <v>34000000</v>
          </cell>
          <cell r="H3269">
            <v>34000000</v>
          </cell>
          <cell r="I3269" t="str">
            <v/>
          </cell>
          <cell r="J3269" t="str">
            <v/>
          </cell>
          <cell r="K3269" t="str">
            <v/>
          </cell>
          <cell r="L3269" t="str">
            <v/>
          </cell>
        </row>
        <row r="3270">
          <cell r="A3270">
            <v>34000000</v>
          </cell>
          <cell r="C3270">
            <v>34000000</v>
          </cell>
          <cell r="D3270">
            <v>34000000</v>
          </cell>
          <cell r="E3270">
            <v>34000000</v>
          </cell>
          <cell r="F3270">
            <v>34000000</v>
          </cell>
          <cell r="G3270">
            <v>34000000</v>
          </cell>
          <cell r="H3270">
            <v>34000000</v>
          </cell>
          <cell r="I3270" t="str">
            <v/>
          </cell>
          <cell r="J3270" t="str">
            <v/>
          </cell>
          <cell r="K3270" t="str">
            <v/>
          </cell>
          <cell r="L3270" t="str">
            <v/>
          </cell>
        </row>
        <row r="3271">
          <cell r="A3271">
            <v>34000000</v>
          </cell>
          <cell r="C3271">
            <v>34000000</v>
          </cell>
          <cell r="D3271">
            <v>34000000</v>
          </cell>
          <cell r="E3271">
            <v>34000000</v>
          </cell>
          <cell r="F3271">
            <v>34000000</v>
          </cell>
          <cell r="G3271">
            <v>34000000</v>
          </cell>
          <cell r="H3271">
            <v>34000000</v>
          </cell>
          <cell r="I3271" t="str">
            <v/>
          </cell>
          <cell r="J3271" t="str">
            <v/>
          </cell>
          <cell r="K3271" t="str">
            <v/>
          </cell>
          <cell r="L3271" t="str">
            <v/>
          </cell>
        </row>
        <row r="3272">
          <cell r="A3272">
            <v>34000000</v>
          </cell>
          <cell r="C3272">
            <v>34000000</v>
          </cell>
          <cell r="D3272">
            <v>34000000</v>
          </cell>
          <cell r="E3272">
            <v>34000000</v>
          </cell>
          <cell r="F3272">
            <v>34000000</v>
          </cell>
          <cell r="G3272">
            <v>34000000</v>
          </cell>
          <cell r="H3272">
            <v>34000000</v>
          </cell>
          <cell r="I3272" t="str">
            <v/>
          </cell>
          <cell r="J3272" t="str">
            <v/>
          </cell>
          <cell r="K3272" t="str">
            <v/>
          </cell>
          <cell r="L3272" t="str">
            <v/>
          </cell>
        </row>
        <row r="3273">
          <cell r="A3273">
            <v>34000000</v>
          </cell>
          <cell r="C3273">
            <v>34000000</v>
          </cell>
          <cell r="D3273">
            <v>34000000</v>
          </cell>
          <cell r="E3273">
            <v>34000000</v>
          </cell>
          <cell r="F3273">
            <v>34000000</v>
          </cell>
          <cell r="G3273">
            <v>34000000</v>
          </cell>
          <cell r="H3273">
            <v>34000000</v>
          </cell>
          <cell r="I3273" t="str">
            <v/>
          </cell>
          <cell r="J3273" t="str">
            <v/>
          </cell>
          <cell r="K3273" t="str">
            <v/>
          </cell>
          <cell r="L3273" t="str">
            <v/>
          </cell>
        </row>
        <row r="3274">
          <cell r="A3274">
            <v>34000000</v>
          </cell>
          <cell r="C3274">
            <v>34000000</v>
          </cell>
          <cell r="D3274">
            <v>34000000</v>
          </cell>
          <cell r="E3274">
            <v>34000000</v>
          </cell>
          <cell r="F3274">
            <v>34000000</v>
          </cell>
          <cell r="G3274">
            <v>34000000</v>
          </cell>
          <cell r="H3274">
            <v>34000000</v>
          </cell>
          <cell r="I3274" t="str">
            <v/>
          </cell>
          <cell r="J3274" t="str">
            <v/>
          </cell>
          <cell r="K3274" t="str">
            <v/>
          </cell>
          <cell r="L3274" t="str">
            <v/>
          </cell>
        </row>
        <row r="3275">
          <cell r="A3275">
            <v>34000000</v>
          </cell>
          <cell r="C3275">
            <v>34000000</v>
          </cell>
          <cell r="D3275">
            <v>34000000</v>
          </cell>
          <cell r="E3275">
            <v>34000000</v>
          </cell>
          <cell r="F3275">
            <v>34000000</v>
          </cell>
          <cell r="G3275">
            <v>34000000</v>
          </cell>
          <cell r="H3275">
            <v>34000000</v>
          </cell>
          <cell r="I3275" t="str">
            <v/>
          </cell>
          <cell r="J3275" t="str">
            <v/>
          </cell>
          <cell r="K3275" t="str">
            <v/>
          </cell>
          <cell r="L3275" t="str">
            <v/>
          </cell>
        </row>
        <row r="3276">
          <cell r="A3276">
            <v>34000000</v>
          </cell>
          <cell r="C3276">
            <v>34000000</v>
          </cell>
          <cell r="D3276">
            <v>34000000</v>
          </cell>
          <cell r="E3276">
            <v>34000000</v>
          </cell>
          <cell r="F3276">
            <v>34000000</v>
          </cell>
          <cell r="G3276">
            <v>34000000</v>
          </cell>
          <cell r="H3276">
            <v>34000000</v>
          </cell>
          <cell r="I3276" t="str">
            <v/>
          </cell>
          <cell r="J3276" t="str">
            <v/>
          </cell>
          <cell r="K3276" t="str">
            <v/>
          </cell>
          <cell r="L3276" t="str">
            <v/>
          </cell>
        </row>
        <row r="3277">
          <cell r="A3277">
            <v>34000000</v>
          </cell>
          <cell r="C3277">
            <v>34000000</v>
          </cell>
          <cell r="D3277">
            <v>34000000</v>
          </cell>
          <cell r="E3277">
            <v>34000000</v>
          </cell>
          <cell r="F3277">
            <v>34000000</v>
          </cell>
          <cell r="G3277">
            <v>34000000</v>
          </cell>
          <cell r="H3277">
            <v>34000000</v>
          </cell>
          <cell r="I3277" t="str">
            <v/>
          </cell>
          <cell r="J3277" t="str">
            <v/>
          </cell>
          <cell r="K3277" t="str">
            <v/>
          </cell>
          <cell r="L3277" t="str">
            <v/>
          </cell>
        </row>
        <row r="3278">
          <cell r="A3278">
            <v>34000000</v>
          </cell>
          <cell r="C3278">
            <v>34000000</v>
          </cell>
          <cell r="D3278">
            <v>34000000</v>
          </cell>
          <cell r="E3278">
            <v>34000000</v>
          </cell>
          <cell r="F3278">
            <v>34000000</v>
          </cell>
          <cell r="G3278">
            <v>34000000</v>
          </cell>
          <cell r="H3278">
            <v>34000000</v>
          </cell>
          <cell r="I3278" t="str">
            <v/>
          </cell>
          <cell r="J3278" t="str">
            <v/>
          </cell>
          <cell r="K3278" t="str">
            <v/>
          </cell>
          <cell r="L3278" t="str">
            <v/>
          </cell>
        </row>
        <row r="3279">
          <cell r="A3279">
            <v>34000000</v>
          </cell>
          <cell r="C3279">
            <v>34000000</v>
          </cell>
          <cell r="D3279">
            <v>34000000</v>
          </cell>
          <cell r="E3279">
            <v>34000000</v>
          </cell>
          <cell r="F3279">
            <v>34000000</v>
          </cell>
          <cell r="G3279">
            <v>34000000</v>
          </cell>
          <cell r="H3279">
            <v>34000000</v>
          </cell>
          <cell r="I3279" t="str">
            <v/>
          </cell>
          <cell r="J3279" t="str">
            <v/>
          </cell>
          <cell r="K3279" t="str">
            <v/>
          </cell>
          <cell r="L3279" t="str">
            <v/>
          </cell>
        </row>
        <row r="3280">
          <cell r="A3280">
            <v>34000000</v>
          </cell>
          <cell r="C3280">
            <v>34000000</v>
          </cell>
          <cell r="D3280">
            <v>34000000</v>
          </cell>
          <cell r="E3280">
            <v>34000000</v>
          </cell>
          <cell r="F3280">
            <v>34000000</v>
          </cell>
          <cell r="G3280">
            <v>34000000</v>
          </cell>
          <cell r="H3280">
            <v>34000000</v>
          </cell>
          <cell r="I3280" t="str">
            <v/>
          </cell>
          <cell r="J3280" t="str">
            <v/>
          </cell>
          <cell r="K3280" t="str">
            <v/>
          </cell>
          <cell r="L3280" t="str">
            <v/>
          </cell>
        </row>
        <row r="3281">
          <cell r="A3281">
            <v>34000000</v>
          </cell>
          <cell r="C3281">
            <v>34000000</v>
          </cell>
          <cell r="D3281">
            <v>34000000</v>
          </cell>
          <cell r="E3281">
            <v>34000000</v>
          </cell>
          <cell r="F3281">
            <v>34000000</v>
          </cell>
          <cell r="G3281">
            <v>34000000</v>
          </cell>
          <cell r="H3281">
            <v>34000000</v>
          </cell>
          <cell r="I3281" t="str">
            <v/>
          </cell>
          <cell r="J3281" t="str">
            <v/>
          </cell>
          <cell r="K3281" t="str">
            <v/>
          </cell>
          <cell r="L3281" t="str">
            <v/>
          </cell>
        </row>
        <row r="3282">
          <cell r="A3282">
            <v>34000000</v>
          </cell>
          <cell r="C3282">
            <v>34000000</v>
          </cell>
          <cell r="D3282">
            <v>34000000</v>
          </cell>
          <cell r="E3282">
            <v>34000000</v>
          </cell>
          <cell r="F3282">
            <v>34000000</v>
          </cell>
          <cell r="G3282">
            <v>34000000</v>
          </cell>
          <cell r="H3282">
            <v>34000000</v>
          </cell>
          <cell r="I3282" t="str">
            <v/>
          </cell>
          <cell r="J3282" t="str">
            <v/>
          </cell>
          <cell r="K3282" t="str">
            <v/>
          </cell>
          <cell r="L3282" t="str">
            <v/>
          </cell>
        </row>
        <row r="3283">
          <cell r="A3283">
            <v>34000000</v>
          </cell>
          <cell r="C3283">
            <v>34000000</v>
          </cell>
          <cell r="D3283">
            <v>34000000</v>
          </cell>
          <cell r="E3283">
            <v>34000000</v>
          </cell>
          <cell r="F3283">
            <v>34000000</v>
          </cell>
          <cell r="G3283">
            <v>34000000</v>
          </cell>
          <cell r="H3283">
            <v>34000000</v>
          </cell>
          <cell r="I3283" t="str">
            <v/>
          </cell>
          <cell r="J3283" t="str">
            <v/>
          </cell>
          <cell r="K3283" t="str">
            <v/>
          </cell>
          <cell r="L3283" t="str">
            <v/>
          </cell>
        </row>
        <row r="3284">
          <cell r="A3284">
            <v>34000000</v>
          </cell>
          <cell r="C3284">
            <v>34000000</v>
          </cell>
          <cell r="D3284">
            <v>34000000</v>
          </cell>
          <cell r="E3284">
            <v>34000000</v>
          </cell>
          <cell r="F3284">
            <v>34000000</v>
          </cell>
          <cell r="G3284">
            <v>34000000</v>
          </cell>
          <cell r="H3284">
            <v>34000000</v>
          </cell>
          <cell r="I3284" t="str">
            <v/>
          </cell>
          <cell r="J3284" t="str">
            <v/>
          </cell>
          <cell r="K3284" t="str">
            <v/>
          </cell>
          <cell r="L3284" t="str">
            <v/>
          </cell>
        </row>
        <row r="3285">
          <cell r="A3285">
            <v>34000000</v>
          </cell>
          <cell r="C3285">
            <v>34000000</v>
          </cell>
          <cell r="D3285">
            <v>34000000</v>
          </cell>
          <cell r="E3285">
            <v>34000000</v>
          </cell>
          <cell r="F3285">
            <v>34000000</v>
          </cell>
          <cell r="G3285">
            <v>34000000</v>
          </cell>
          <cell r="H3285">
            <v>34000000</v>
          </cell>
          <cell r="I3285" t="str">
            <v/>
          </cell>
          <cell r="J3285" t="str">
            <v/>
          </cell>
          <cell r="K3285" t="str">
            <v/>
          </cell>
          <cell r="L3285" t="str">
            <v/>
          </cell>
        </row>
        <row r="3286">
          <cell r="A3286">
            <v>34000000</v>
          </cell>
          <cell r="C3286">
            <v>34000000</v>
          </cell>
          <cell r="D3286">
            <v>34000000</v>
          </cell>
          <cell r="E3286">
            <v>34000000</v>
          </cell>
          <cell r="F3286">
            <v>34000000</v>
          </cell>
          <cell r="G3286">
            <v>34000000</v>
          </cell>
          <cell r="H3286">
            <v>34000000</v>
          </cell>
          <cell r="I3286" t="str">
            <v/>
          </cell>
          <cell r="J3286" t="str">
            <v/>
          </cell>
          <cell r="K3286" t="str">
            <v/>
          </cell>
          <cell r="L3286" t="str">
            <v/>
          </cell>
        </row>
        <row r="3287">
          <cell r="A3287">
            <v>34000000</v>
          </cell>
          <cell r="C3287">
            <v>34000000</v>
          </cell>
          <cell r="D3287">
            <v>34000000</v>
          </cell>
          <cell r="E3287">
            <v>34000000</v>
          </cell>
          <cell r="F3287">
            <v>34000000</v>
          </cell>
          <cell r="G3287">
            <v>34000000</v>
          </cell>
          <cell r="H3287">
            <v>34000000</v>
          </cell>
          <cell r="I3287" t="str">
            <v/>
          </cell>
          <cell r="J3287" t="str">
            <v/>
          </cell>
          <cell r="K3287" t="str">
            <v/>
          </cell>
          <cell r="L3287" t="str">
            <v/>
          </cell>
        </row>
        <row r="3288">
          <cell r="A3288">
            <v>34000000</v>
          </cell>
          <cell r="C3288">
            <v>34000000</v>
          </cell>
          <cell r="D3288">
            <v>34000000</v>
          </cell>
          <cell r="E3288">
            <v>34000000</v>
          </cell>
          <cell r="F3288">
            <v>34000000</v>
          </cell>
          <cell r="G3288">
            <v>34000000</v>
          </cell>
          <cell r="H3288">
            <v>34000000</v>
          </cell>
          <cell r="I3288" t="str">
            <v/>
          </cell>
          <cell r="J3288" t="str">
            <v/>
          </cell>
          <cell r="K3288" t="str">
            <v/>
          </cell>
          <cell r="L3288" t="str">
            <v/>
          </cell>
        </row>
        <row r="3289">
          <cell r="A3289">
            <v>34000000</v>
          </cell>
          <cell r="C3289">
            <v>34000000</v>
          </cell>
          <cell r="D3289">
            <v>34000000</v>
          </cell>
          <cell r="E3289">
            <v>34000000</v>
          </cell>
          <cell r="F3289">
            <v>34000000</v>
          </cell>
          <cell r="G3289">
            <v>34000000</v>
          </cell>
          <cell r="H3289">
            <v>34000000</v>
          </cell>
          <cell r="I3289" t="str">
            <v/>
          </cell>
          <cell r="J3289" t="str">
            <v/>
          </cell>
          <cell r="K3289" t="str">
            <v/>
          </cell>
          <cell r="L3289" t="str">
            <v/>
          </cell>
        </row>
        <row r="3290">
          <cell r="A3290">
            <v>34000000</v>
          </cell>
          <cell r="C3290">
            <v>34000000</v>
          </cell>
          <cell r="D3290">
            <v>34000000</v>
          </cell>
          <cell r="E3290">
            <v>34000000</v>
          </cell>
          <cell r="F3290">
            <v>34000000</v>
          </cell>
          <cell r="G3290">
            <v>34000000</v>
          </cell>
          <cell r="H3290">
            <v>34000000</v>
          </cell>
          <cell r="I3290" t="str">
            <v/>
          </cell>
          <cell r="J3290" t="str">
            <v/>
          </cell>
          <cell r="K3290" t="str">
            <v/>
          </cell>
          <cell r="L3290" t="str">
            <v/>
          </cell>
        </row>
        <row r="3291">
          <cell r="A3291">
            <v>34000000</v>
          </cell>
          <cell r="C3291">
            <v>34000000</v>
          </cell>
          <cell r="D3291">
            <v>34000000</v>
          </cell>
          <cell r="E3291">
            <v>34000000</v>
          </cell>
          <cell r="F3291">
            <v>34000000</v>
          </cell>
          <cell r="G3291">
            <v>34000000</v>
          </cell>
          <cell r="H3291">
            <v>34000000</v>
          </cell>
          <cell r="I3291" t="str">
            <v/>
          </cell>
          <cell r="J3291" t="str">
            <v/>
          </cell>
          <cell r="K3291" t="str">
            <v/>
          </cell>
          <cell r="L3291" t="str">
            <v/>
          </cell>
        </row>
        <row r="3292">
          <cell r="A3292">
            <v>34000000</v>
          </cell>
          <cell r="C3292">
            <v>34000000</v>
          </cell>
          <cell r="D3292">
            <v>34000000</v>
          </cell>
          <cell r="E3292">
            <v>34000000</v>
          </cell>
          <cell r="F3292">
            <v>34000000</v>
          </cell>
          <cell r="G3292">
            <v>34000000</v>
          </cell>
          <cell r="H3292">
            <v>34000000</v>
          </cell>
          <cell r="I3292" t="str">
            <v/>
          </cell>
          <cell r="J3292" t="str">
            <v/>
          </cell>
          <cell r="K3292" t="str">
            <v/>
          </cell>
          <cell r="L3292" t="str">
            <v/>
          </cell>
        </row>
        <row r="3293">
          <cell r="A3293">
            <v>34000000</v>
          </cell>
          <cell r="C3293">
            <v>34000000</v>
          </cell>
          <cell r="D3293">
            <v>34000000</v>
          </cell>
          <cell r="E3293">
            <v>34000000</v>
          </cell>
          <cell r="F3293">
            <v>34000000</v>
          </cell>
          <cell r="G3293">
            <v>34000000</v>
          </cell>
          <cell r="H3293">
            <v>34000000</v>
          </cell>
          <cell r="I3293" t="str">
            <v/>
          </cell>
          <cell r="J3293" t="str">
            <v/>
          </cell>
          <cell r="K3293" t="str">
            <v/>
          </cell>
          <cell r="L3293" t="str">
            <v/>
          </cell>
        </row>
        <row r="3294">
          <cell r="A3294">
            <v>34000000</v>
          </cell>
          <cell r="C3294">
            <v>34000000</v>
          </cell>
          <cell r="D3294">
            <v>34000000</v>
          </cell>
          <cell r="E3294">
            <v>34000000</v>
          </cell>
          <cell r="F3294">
            <v>34000000</v>
          </cell>
          <cell r="G3294">
            <v>34000000</v>
          </cell>
          <cell r="H3294">
            <v>34000000</v>
          </cell>
          <cell r="I3294" t="str">
            <v/>
          </cell>
          <cell r="J3294" t="str">
            <v/>
          </cell>
          <cell r="K3294" t="str">
            <v/>
          </cell>
          <cell r="L3294" t="str">
            <v/>
          </cell>
        </row>
        <row r="3295">
          <cell r="A3295">
            <v>34000000</v>
          </cell>
          <cell r="C3295">
            <v>34000000</v>
          </cell>
          <cell r="D3295">
            <v>34000000</v>
          </cell>
          <cell r="E3295">
            <v>34000000</v>
          </cell>
          <cell r="F3295">
            <v>34000000</v>
          </cell>
          <cell r="G3295">
            <v>34000000</v>
          </cell>
          <cell r="H3295">
            <v>34000000</v>
          </cell>
          <cell r="I3295" t="str">
            <v/>
          </cell>
          <cell r="J3295" t="str">
            <v/>
          </cell>
          <cell r="K3295" t="str">
            <v/>
          </cell>
          <cell r="L3295" t="str">
            <v/>
          </cell>
        </row>
        <row r="3296">
          <cell r="A3296">
            <v>34000000</v>
          </cell>
          <cell r="C3296">
            <v>34000000</v>
          </cell>
          <cell r="D3296">
            <v>34000000</v>
          </cell>
          <cell r="E3296">
            <v>34000000</v>
          </cell>
          <cell r="F3296">
            <v>34000000</v>
          </cell>
          <cell r="G3296">
            <v>34000000</v>
          </cell>
          <cell r="H3296">
            <v>34000000</v>
          </cell>
          <cell r="I3296" t="str">
            <v/>
          </cell>
          <cell r="J3296" t="str">
            <v/>
          </cell>
          <cell r="K3296" t="str">
            <v/>
          </cell>
          <cell r="L3296" t="str">
            <v/>
          </cell>
        </row>
        <row r="3297">
          <cell r="A3297">
            <v>34000000</v>
          </cell>
          <cell r="C3297">
            <v>34000000</v>
          </cell>
          <cell r="D3297">
            <v>34000000</v>
          </cell>
          <cell r="E3297">
            <v>34000000</v>
          </cell>
          <cell r="F3297">
            <v>34000000</v>
          </cell>
          <cell r="G3297">
            <v>34000000</v>
          </cell>
          <cell r="H3297">
            <v>34000000</v>
          </cell>
          <cell r="I3297" t="str">
            <v/>
          </cell>
          <cell r="J3297" t="str">
            <v/>
          </cell>
          <cell r="K3297" t="str">
            <v/>
          </cell>
          <cell r="L3297" t="str">
            <v/>
          </cell>
        </row>
        <row r="3298">
          <cell r="A3298">
            <v>34000000</v>
          </cell>
          <cell r="C3298">
            <v>34000000</v>
          </cell>
          <cell r="D3298">
            <v>34000000</v>
          </cell>
          <cell r="E3298">
            <v>34000000</v>
          </cell>
          <cell r="F3298">
            <v>34000000</v>
          </cell>
          <cell r="G3298">
            <v>34000000</v>
          </cell>
          <cell r="H3298">
            <v>34000000</v>
          </cell>
          <cell r="I3298" t="str">
            <v/>
          </cell>
          <cell r="J3298" t="str">
            <v/>
          </cell>
          <cell r="K3298" t="str">
            <v/>
          </cell>
          <cell r="L3298" t="str">
            <v/>
          </cell>
        </row>
        <row r="3299">
          <cell r="A3299">
            <v>34000000</v>
          </cell>
          <cell r="C3299">
            <v>34000000</v>
          </cell>
          <cell r="D3299">
            <v>34000000</v>
          </cell>
          <cell r="E3299">
            <v>34000000</v>
          </cell>
          <cell r="F3299">
            <v>34000000</v>
          </cell>
          <cell r="G3299">
            <v>34000000</v>
          </cell>
          <cell r="H3299">
            <v>34000000</v>
          </cell>
          <cell r="I3299" t="str">
            <v/>
          </cell>
          <cell r="J3299" t="str">
            <v/>
          </cell>
          <cell r="K3299" t="str">
            <v/>
          </cell>
          <cell r="L3299" t="str">
            <v/>
          </cell>
        </row>
        <row r="3300">
          <cell r="A3300">
            <v>34000000</v>
          </cell>
          <cell r="C3300">
            <v>34000000</v>
          </cell>
          <cell r="D3300">
            <v>34000000</v>
          </cell>
          <cell r="E3300">
            <v>34000000</v>
          </cell>
          <cell r="F3300">
            <v>34000000</v>
          </cell>
          <cell r="G3300">
            <v>34000000</v>
          </cell>
          <cell r="H3300">
            <v>34000000</v>
          </cell>
          <cell r="I3300" t="str">
            <v/>
          </cell>
          <cell r="J3300" t="str">
            <v/>
          </cell>
          <cell r="K3300" t="str">
            <v/>
          </cell>
          <cell r="L3300" t="str">
            <v/>
          </cell>
        </row>
        <row r="3301">
          <cell r="A3301">
            <v>34000000</v>
          </cell>
          <cell r="C3301">
            <v>34000000</v>
          </cell>
          <cell r="D3301">
            <v>34000000</v>
          </cell>
          <cell r="E3301">
            <v>34000000</v>
          </cell>
          <cell r="F3301">
            <v>34000000</v>
          </cell>
          <cell r="G3301">
            <v>34000000</v>
          </cell>
          <cell r="H3301">
            <v>34000000</v>
          </cell>
          <cell r="I3301" t="str">
            <v/>
          </cell>
          <cell r="J3301" t="str">
            <v/>
          </cell>
          <cell r="K3301" t="str">
            <v/>
          </cell>
          <cell r="L3301" t="str">
            <v/>
          </cell>
        </row>
        <row r="3302">
          <cell r="A3302">
            <v>34000000</v>
          </cell>
          <cell r="C3302">
            <v>34000000</v>
          </cell>
          <cell r="D3302">
            <v>34000000</v>
          </cell>
          <cell r="E3302">
            <v>34000000</v>
          </cell>
          <cell r="F3302">
            <v>34000000</v>
          </cell>
          <cell r="G3302">
            <v>34000000</v>
          </cell>
          <cell r="H3302">
            <v>34000000</v>
          </cell>
          <cell r="I3302" t="str">
            <v/>
          </cell>
          <cell r="J3302" t="str">
            <v/>
          </cell>
          <cell r="K3302" t="str">
            <v/>
          </cell>
          <cell r="L3302" t="str">
            <v/>
          </cell>
        </row>
        <row r="3303">
          <cell r="A3303">
            <v>34000000</v>
          </cell>
          <cell r="C3303">
            <v>34000000</v>
          </cell>
          <cell r="D3303">
            <v>34000000</v>
          </cell>
          <cell r="E3303">
            <v>34000000</v>
          </cell>
          <cell r="F3303">
            <v>34000000</v>
          </cell>
          <cell r="G3303">
            <v>34000000</v>
          </cell>
          <cell r="H3303">
            <v>34000000</v>
          </cell>
          <cell r="I3303" t="str">
            <v/>
          </cell>
          <cell r="J3303" t="str">
            <v/>
          </cell>
          <cell r="K3303" t="str">
            <v/>
          </cell>
          <cell r="L3303" t="str">
            <v/>
          </cell>
        </row>
        <row r="3304">
          <cell r="A3304">
            <v>34000000</v>
          </cell>
          <cell r="C3304">
            <v>34000000</v>
          </cell>
          <cell r="D3304">
            <v>34000000</v>
          </cell>
          <cell r="E3304">
            <v>34000000</v>
          </cell>
          <cell r="F3304">
            <v>34000000</v>
          </cell>
          <cell r="G3304">
            <v>34000000</v>
          </cell>
          <cell r="H3304">
            <v>34000000</v>
          </cell>
          <cell r="I3304" t="str">
            <v/>
          </cell>
          <cell r="J3304" t="str">
            <v/>
          </cell>
          <cell r="K3304" t="str">
            <v/>
          </cell>
          <cell r="L3304" t="str">
            <v/>
          </cell>
        </row>
        <row r="3305">
          <cell r="A3305">
            <v>34000000</v>
          </cell>
          <cell r="C3305">
            <v>34000000</v>
          </cell>
          <cell r="D3305">
            <v>34000000</v>
          </cell>
          <cell r="E3305">
            <v>34000000</v>
          </cell>
          <cell r="F3305">
            <v>34000000</v>
          </cell>
          <cell r="G3305">
            <v>34000000</v>
          </cell>
          <cell r="H3305">
            <v>34000000</v>
          </cell>
          <cell r="I3305" t="str">
            <v/>
          </cell>
          <cell r="J3305" t="str">
            <v/>
          </cell>
          <cell r="K3305" t="str">
            <v/>
          </cell>
          <cell r="L3305" t="str">
            <v/>
          </cell>
        </row>
        <row r="3306">
          <cell r="A3306">
            <v>34000000</v>
          </cell>
          <cell r="C3306">
            <v>34000000</v>
          </cell>
          <cell r="D3306">
            <v>34000000</v>
          </cell>
          <cell r="E3306">
            <v>34000000</v>
          </cell>
          <cell r="F3306">
            <v>34000000</v>
          </cell>
          <cell r="G3306">
            <v>34000000</v>
          </cell>
          <cell r="H3306">
            <v>34000000</v>
          </cell>
          <cell r="I3306" t="str">
            <v/>
          </cell>
          <cell r="J3306" t="str">
            <v/>
          </cell>
          <cell r="K3306" t="str">
            <v/>
          </cell>
          <cell r="L3306" t="str">
            <v/>
          </cell>
        </row>
        <row r="3307">
          <cell r="A3307">
            <v>34000000</v>
          </cell>
          <cell r="C3307">
            <v>34000000</v>
          </cell>
          <cell r="D3307">
            <v>34000000</v>
          </cell>
          <cell r="E3307">
            <v>34000000</v>
          </cell>
          <cell r="F3307">
            <v>34000000</v>
          </cell>
          <cell r="G3307">
            <v>34000000</v>
          </cell>
          <cell r="H3307">
            <v>34000000</v>
          </cell>
          <cell r="I3307" t="str">
            <v/>
          </cell>
          <cell r="J3307" t="str">
            <v/>
          </cell>
          <cell r="K3307" t="str">
            <v/>
          </cell>
          <cell r="L3307" t="str">
            <v/>
          </cell>
        </row>
        <row r="3308">
          <cell r="A3308">
            <v>34000000</v>
          </cell>
          <cell r="C3308">
            <v>34000000</v>
          </cell>
          <cell r="D3308">
            <v>34000000</v>
          </cell>
          <cell r="E3308">
            <v>34000000</v>
          </cell>
          <cell r="F3308">
            <v>34000000</v>
          </cell>
          <cell r="G3308">
            <v>34000000</v>
          </cell>
          <cell r="H3308">
            <v>34000000</v>
          </cell>
          <cell r="I3308" t="str">
            <v/>
          </cell>
          <cell r="J3308" t="str">
            <v/>
          </cell>
          <cell r="K3308" t="str">
            <v/>
          </cell>
          <cell r="L3308" t="str">
            <v/>
          </cell>
        </row>
        <row r="3309">
          <cell r="A3309">
            <v>34000000</v>
          </cell>
          <cell r="C3309">
            <v>34000000</v>
          </cell>
          <cell r="D3309">
            <v>34000000</v>
          </cell>
          <cell r="E3309">
            <v>34000000</v>
          </cell>
          <cell r="F3309">
            <v>34000000</v>
          </cell>
          <cell r="G3309">
            <v>34000000</v>
          </cell>
          <cell r="H3309">
            <v>34000000</v>
          </cell>
          <cell r="I3309" t="str">
            <v/>
          </cell>
          <cell r="J3309" t="str">
            <v/>
          </cell>
          <cell r="K3309" t="str">
            <v/>
          </cell>
          <cell r="L3309" t="str">
            <v/>
          </cell>
        </row>
        <row r="3310">
          <cell r="A3310">
            <v>34000000</v>
          </cell>
          <cell r="C3310">
            <v>34000000</v>
          </cell>
          <cell r="D3310">
            <v>34000000</v>
          </cell>
          <cell r="E3310">
            <v>34000000</v>
          </cell>
          <cell r="F3310">
            <v>34000000</v>
          </cell>
          <cell r="G3310">
            <v>34000000</v>
          </cell>
          <cell r="H3310">
            <v>34000000</v>
          </cell>
          <cell r="I3310" t="str">
            <v/>
          </cell>
          <cell r="J3310" t="str">
            <v/>
          </cell>
          <cell r="K3310" t="str">
            <v/>
          </cell>
          <cell r="L3310" t="str">
            <v/>
          </cell>
        </row>
        <row r="3311">
          <cell r="A3311">
            <v>34000000</v>
          </cell>
          <cell r="C3311">
            <v>34000000</v>
          </cell>
          <cell r="D3311">
            <v>34000000</v>
          </cell>
          <cell r="E3311">
            <v>34000000</v>
          </cell>
          <cell r="F3311">
            <v>34000000</v>
          </cell>
          <cell r="G3311">
            <v>34000000</v>
          </cell>
          <cell r="H3311">
            <v>34000000</v>
          </cell>
          <cell r="I3311" t="str">
            <v/>
          </cell>
          <cell r="J3311" t="str">
            <v/>
          </cell>
          <cell r="K3311" t="str">
            <v/>
          </cell>
          <cell r="L3311" t="str">
            <v/>
          </cell>
        </row>
        <row r="3312">
          <cell r="A3312">
            <v>34000000</v>
          </cell>
          <cell r="C3312">
            <v>34000000</v>
          </cell>
          <cell r="D3312">
            <v>34000000</v>
          </cell>
          <cell r="E3312">
            <v>34000000</v>
          </cell>
          <cell r="F3312">
            <v>34000000</v>
          </cell>
          <cell r="G3312">
            <v>34000000</v>
          </cell>
          <cell r="H3312">
            <v>34000000</v>
          </cell>
          <cell r="I3312" t="str">
            <v/>
          </cell>
          <cell r="J3312" t="str">
            <v/>
          </cell>
          <cell r="K3312" t="str">
            <v/>
          </cell>
          <cell r="L3312" t="str">
            <v/>
          </cell>
        </row>
        <row r="3313">
          <cell r="A3313">
            <v>34000000</v>
          </cell>
          <cell r="C3313">
            <v>34000000</v>
          </cell>
          <cell r="D3313">
            <v>34000000</v>
          </cell>
          <cell r="E3313">
            <v>34000000</v>
          </cell>
          <cell r="F3313">
            <v>34000000</v>
          </cell>
          <cell r="G3313">
            <v>34000000</v>
          </cell>
          <cell r="H3313">
            <v>34000000</v>
          </cell>
          <cell r="I3313" t="str">
            <v/>
          </cell>
          <cell r="J3313" t="str">
            <v/>
          </cell>
          <cell r="K3313" t="str">
            <v/>
          </cell>
          <cell r="L3313" t="str">
            <v/>
          </cell>
        </row>
        <row r="3314">
          <cell r="A3314">
            <v>34000000</v>
          </cell>
          <cell r="C3314">
            <v>34000000</v>
          </cell>
          <cell r="D3314">
            <v>34000000</v>
          </cell>
          <cell r="E3314">
            <v>34000000</v>
          </cell>
          <cell r="F3314">
            <v>34000000</v>
          </cell>
          <cell r="G3314">
            <v>34000000</v>
          </cell>
          <cell r="H3314">
            <v>34000000</v>
          </cell>
          <cell r="I3314" t="str">
            <v/>
          </cell>
          <cell r="J3314" t="str">
            <v/>
          </cell>
          <cell r="K3314" t="str">
            <v/>
          </cell>
          <cell r="L3314" t="str">
            <v/>
          </cell>
        </row>
        <row r="3315">
          <cell r="A3315">
            <v>34000000</v>
          </cell>
          <cell r="C3315">
            <v>34000000</v>
          </cell>
          <cell r="D3315">
            <v>34000000</v>
          </cell>
          <cell r="E3315">
            <v>34000000</v>
          </cell>
          <cell r="F3315">
            <v>34000000</v>
          </cell>
          <cell r="G3315">
            <v>34000000</v>
          </cell>
          <cell r="H3315">
            <v>34000000</v>
          </cell>
          <cell r="I3315" t="str">
            <v/>
          </cell>
          <cell r="J3315" t="str">
            <v/>
          </cell>
          <cell r="K3315" t="str">
            <v/>
          </cell>
          <cell r="L3315" t="str">
            <v/>
          </cell>
        </row>
        <row r="3316">
          <cell r="A3316">
            <v>34000000</v>
          </cell>
          <cell r="C3316">
            <v>34000000</v>
          </cell>
          <cell r="D3316">
            <v>34000000</v>
          </cell>
          <cell r="E3316">
            <v>34000000</v>
          </cell>
          <cell r="F3316">
            <v>34000000</v>
          </cell>
          <cell r="G3316">
            <v>34000000</v>
          </cell>
          <cell r="H3316">
            <v>34000000</v>
          </cell>
          <cell r="I3316" t="str">
            <v/>
          </cell>
          <cell r="J3316" t="str">
            <v/>
          </cell>
          <cell r="K3316" t="str">
            <v/>
          </cell>
          <cell r="L3316" t="str">
            <v/>
          </cell>
        </row>
        <row r="3317">
          <cell r="A3317">
            <v>34000000</v>
          </cell>
          <cell r="C3317">
            <v>34000000</v>
          </cell>
          <cell r="D3317">
            <v>34000000</v>
          </cell>
          <cell r="E3317">
            <v>34000000</v>
          </cell>
          <cell r="F3317">
            <v>34000000</v>
          </cell>
          <cell r="G3317">
            <v>34000000</v>
          </cell>
          <cell r="H3317">
            <v>34000000</v>
          </cell>
          <cell r="I3317" t="str">
            <v/>
          </cell>
          <cell r="J3317" t="str">
            <v/>
          </cell>
          <cell r="K3317" t="str">
            <v/>
          </cell>
          <cell r="L3317" t="str">
            <v/>
          </cell>
        </row>
        <row r="3318">
          <cell r="A3318">
            <v>34000000</v>
          </cell>
          <cell r="C3318">
            <v>34000000</v>
          </cell>
          <cell r="D3318">
            <v>34000000</v>
          </cell>
          <cell r="E3318">
            <v>34000000</v>
          </cell>
          <cell r="F3318">
            <v>34000000</v>
          </cell>
          <cell r="G3318">
            <v>34000000</v>
          </cell>
          <cell r="H3318">
            <v>34000000</v>
          </cell>
          <cell r="I3318" t="str">
            <v/>
          </cell>
          <cell r="J3318" t="str">
            <v/>
          </cell>
          <cell r="K3318" t="str">
            <v/>
          </cell>
          <cell r="L3318" t="str">
            <v/>
          </cell>
        </row>
        <row r="3319">
          <cell r="A3319">
            <v>34000000</v>
          </cell>
          <cell r="C3319">
            <v>34000000</v>
          </cell>
          <cell r="D3319">
            <v>34000000</v>
          </cell>
          <cell r="E3319">
            <v>34000000</v>
          </cell>
          <cell r="F3319">
            <v>34000000</v>
          </cell>
          <cell r="G3319">
            <v>34000000</v>
          </cell>
          <cell r="H3319">
            <v>34000000</v>
          </cell>
          <cell r="I3319" t="str">
            <v/>
          </cell>
          <cell r="J3319" t="str">
            <v/>
          </cell>
          <cell r="K3319" t="str">
            <v/>
          </cell>
          <cell r="L3319" t="str">
            <v/>
          </cell>
        </row>
        <row r="3320">
          <cell r="A3320">
            <v>34000000</v>
          </cell>
          <cell r="C3320">
            <v>34000000</v>
          </cell>
          <cell r="D3320">
            <v>34000000</v>
          </cell>
          <cell r="E3320">
            <v>34000000</v>
          </cell>
          <cell r="F3320">
            <v>34000000</v>
          </cell>
          <cell r="G3320">
            <v>34000000</v>
          </cell>
          <cell r="H3320">
            <v>34000000</v>
          </cell>
          <cell r="I3320" t="str">
            <v/>
          </cell>
          <cell r="J3320" t="str">
            <v/>
          </cell>
          <cell r="K3320" t="str">
            <v/>
          </cell>
          <cell r="L3320" t="str">
            <v/>
          </cell>
        </row>
        <row r="3321">
          <cell r="A3321">
            <v>34000000</v>
          </cell>
          <cell r="C3321">
            <v>34000000</v>
          </cell>
          <cell r="D3321">
            <v>34000000</v>
          </cell>
          <cell r="E3321">
            <v>34000000</v>
          </cell>
          <cell r="F3321">
            <v>34000000</v>
          </cell>
          <cell r="G3321">
            <v>34000000</v>
          </cell>
          <cell r="H3321">
            <v>34000000</v>
          </cell>
          <cell r="I3321" t="str">
            <v/>
          </cell>
          <cell r="J3321" t="str">
            <v/>
          </cell>
          <cell r="K3321" t="str">
            <v/>
          </cell>
          <cell r="L3321" t="str">
            <v/>
          </cell>
        </row>
        <row r="3322">
          <cell r="A3322">
            <v>34000000</v>
          </cell>
          <cell r="C3322">
            <v>34000000</v>
          </cell>
          <cell r="D3322">
            <v>34000000</v>
          </cell>
          <cell r="E3322">
            <v>34000000</v>
          </cell>
          <cell r="F3322">
            <v>34000000</v>
          </cell>
          <cell r="G3322">
            <v>34000000</v>
          </cell>
          <cell r="H3322">
            <v>34000000</v>
          </cell>
          <cell r="I3322" t="str">
            <v/>
          </cell>
          <cell r="J3322" t="str">
            <v/>
          </cell>
          <cell r="K3322" t="str">
            <v/>
          </cell>
          <cell r="L3322" t="str">
            <v/>
          </cell>
        </row>
        <row r="3323">
          <cell r="A3323">
            <v>34000000</v>
          </cell>
          <cell r="C3323">
            <v>34000000</v>
          </cell>
          <cell r="D3323">
            <v>34000000</v>
          </cell>
          <cell r="E3323">
            <v>34000000</v>
          </cell>
          <cell r="F3323">
            <v>34000000</v>
          </cell>
          <cell r="G3323">
            <v>34000000</v>
          </cell>
          <cell r="H3323">
            <v>34000000</v>
          </cell>
          <cell r="I3323" t="str">
            <v/>
          </cell>
          <cell r="J3323" t="str">
            <v/>
          </cell>
          <cell r="K3323" t="str">
            <v/>
          </cell>
          <cell r="L3323" t="str">
            <v/>
          </cell>
        </row>
        <row r="3324">
          <cell r="A3324">
            <v>34000000</v>
          </cell>
          <cell r="C3324">
            <v>34000000</v>
          </cell>
          <cell r="D3324">
            <v>34000000</v>
          </cell>
          <cell r="E3324">
            <v>34000000</v>
          </cell>
          <cell r="F3324">
            <v>34000000</v>
          </cell>
          <cell r="G3324">
            <v>34000000</v>
          </cell>
          <cell r="H3324">
            <v>34000000</v>
          </cell>
          <cell r="I3324" t="str">
            <v/>
          </cell>
          <cell r="J3324" t="str">
            <v/>
          </cell>
          <cell r="K3324" t="str">
            <v/>
          </cell>
          <cell r="L3324" t="str">
            <v/>
          </cell>
        </row>
        <row r="3325">
          <cell r="A3325">
            <v>34000000</v>
          </cell>
          <cell r="C3325">
            <v>34000000</v>
          </cell>
          <cell r="D3325">
            <v>34000000</v>
          </cell>
          <cell r="E3325">
            <v>34000000</v>
          </cell>
          <cell r="F3325">
            <v>34000000</v>
          </cell>
          <cell r="G3325">
            <v>34000000</v>
          </cell>
          <cell r="H3325">
            <v>34000000</v>
          </cell>
          <cell r="I3325" t="str">
            <v/>
          </cell>
          <cell r="J3325" t="str">
            <v/>
          </cell>
          <cell r="K3325" t="str">
            <v/>
          </cell>
          <cell r="L3325" t="str">
            <v/>
          </cell>
        </row>
        <row r="3326">
          <cell r="A3326">
            <v>34000000</v>
          </cell>
          <cell r="C3326">
            <v>34000000</v>
          </cell>
          <cell r="D3326">
            <v>34000000</v>
          </cell>
          <cell r="E3326">
            <v>34000000</v>
          </cell>
          <cell r="F3326">
            <v>34000000</v>
          </cell>
          <cell r="G3326">
            <v>34000000</v>
          </cell>
          <cell r="H3326">
            <v>34000000</v>
          </cell>
          <cell r="I3326" t="str">
            <v/>
          </cell>
          <cell r="J3326" t="str">
            <v/>
          </cell>
          <cell r="K3326" t="str">
            <v/>
          </cell>
          <cell r="L3326" t="str">
            <v/>
          </cell>
        </row>
        <row r="3327">
          <cell r="A3327">
            <v>34000000</v>
          </cell>
          <cell r="C3327">
            <v>34000000</v>
          </cell>
          <cell r="D3327">
            <v>34000000</v>
          </cell>
          <cell r="E3327">
            <v>34000000</v>
          </cell>
          <cell r="F3327">
            <v>34000000</v>
          </cell>
          <cell r="G3327">
            <v>34000000</v>
          </cell>
          <cell r="H3327">
            <v>34000000</v>
          </cell>
          <cell r="I3327" t="str">
            <v/>
          </cell>
          <cell r="J3327" t="str">
            <v/>
          </cell>
          <cell r="K3327" t="str">
            <v/>
          </cell>
          <cell r="L3327" t="str">
            <v/>
          </cell>
        </row>
        <row r="3328">
          <cell r="A3328">
            <v>34000000</v>
          </cell>
          <cell r="C3328">
            <v>34000000</v>
          </cell>
          <cell r="D3328">
            <v>34000000</v>
          </cell>
          <cell r="E3328">
            <v>34000000</v>
          </cell>
          <cell r="F3328">
            <v>34000000</v>
          </cell>
          <cell r="G3328">
            <v>34000000</v>
          </cell>
          <cell r="H3328">
            <v>34000000</v>
          </cell>
          <cell r="I3328" t="str">
            <v/>
          </cell>
          <cell r="J3328" t="str">
            <v/>
          </cell>
          <cell r="K3328" t="str">
            <v/>
          </cell>
          <cell r="L3328" t="str">
            <v/>
          </cell>
        </row>
        <row r="3329">
          <cell r="A3329">
            <v>34000000</v>
          </cell>
          <cell r="C3329">
            <v>34000000</v>
          </cell>
          <cell r="D3329">
            <v>34000000</v>
          </cell>
          <cell r="E3329">
            <v>34000000</v>
          </cell>
          <cell r="F3329">
            <v>34000000</v>
          </cell>
          <cell r="G3329">
            <v>34000000</v>
          </cell>
          <cell r="H3329">
            <v>34000000</v>
          </cell>
          <cell r="I3329" t="str">
            <v/>
          </cell>
          <cell r="J3329" t="str">
            <v/>
          </cell>
          <cell r="K3329" t="str">
            <v/>
          </cell>
          <cell r="L3329" t="str">
            <v/>
          </cell>
        </row>
        <row r="3330">
          <cell r="A3330">
            <v>34000000</v>
          </cell>
          <cell r="C3330">
            <v>34000000</v>
          </cell>
          <cell r="D3330">
            <v>34000000</v>
          </cell>
          <cell r="E3330">
            <v>34000000</v>
          </cell>
          <cell r="F3330">
            <v>34000000</v>
          </cell>
          <cell r="G3330">
            <v>34000000</v>
          </cell>
          <cell r="H3330">
            <v>34000000</v>
          </cell>
          <cell r="I3330" t="str">
            <v/>
          </cell>
          <cell r="J3330" t="str">
            <v/>
          </cell>
          <cell r="K3330" t="str">
            <v/>
          </cell>
          <cell r="L3330" t="str">
            <v/>
          </cell>
        </row>
        <row r="3331">
          <cell r="A3331">
            <v>34000000</v>
          </cell>
          <cell r="C3331">
            <v>34000000</v>
          </cell>
          <cell r="D3331">
            <v>34000000</v>
          </cell>
          <cell r="E3331">
            <v>34000000</v>
          </cell>
          <cell r="F3331">
            <v>34000000</v>
          </cell>
          <cell r="G3331">
            <v>34000000</v>
          </cell>
          <cell r="H3331">
            <v>34000000</v>
          </cell>
          <cell r="I3331" t="str">
            <v/>
          </cell>
          <cell r="J3331" t="str">
            <v/>
          </cell>
          <cell r="K3331" t="str">
            <v/>
          </cell>
          <cell r="L3331" t="str">
            <v/>
          </cell>
        </row>
        <row r="3332">
          <cell r="A3332">
            <v>34000000</v>
          </cell>
          <cell r="C3332">
            <v>34000000</v>
          </cell>
          <cell r="D3332">
            <v>34000000</v>
          </cell>
          <cell r="E3332">
            <v>34000000</v>
          </cell>
          <cell r="F3332">
            <v>34000000</v>
          </cell>
          <cell r="G3332">
            <v>34000000</v>
          </cell>
          <cell r="H3332">
            <v>34000000</v>
          </cell>
          <cell r="I3332" t="str">
            <v/>
          </cell>
          <cell r="J3332" t="str">
            <v/>
          </cell>
          <cell r="K3332" t="str">
            <v/>
          </cell>
          <cell r="L3332" t="str">
            <v/>
          </cell>
        </row>
        <row r="3333">
          <cell r="A3333">
            <v>34000000</v>
          </cell>
          <cell r="C3333">
            <v>34000000</v>
          </cell>
          <cell r="D3333">
            <v>34000000</v>
          </cell>
          <cell r="E3333">
            <v>34000000</v>
          </cell>
          <cell r="F3333">
            <v>34000000</v>
          </cell>
          <cell r="G3333">
            <v>34000000</v>
          </cell>
          <cell r="H3333">
            <v>34000000</v>
          </cell>
          <cell r="I3333" t="str">
            <v/>
          </cell>
          <cell r="J3333" t="str">
            <v/>
          </cell>
          <cell r="K3333" t="str">
            <v/>
          </cell>
          <cell r="L3333" t="str">
            <v/>
          </cell>
        </row>
        <row r="3334">
          <cell r="A3334">
            <v>34000000</v>
          </cell>
          <cell r="C3334">
            <v>34000000</v>
          </cell>
          <cell r="D3334">
            <v>34000000</v>
          </cell>
          <cell r="E3334">
            <v>34000000</v>
          </cell>
          <cell r="F3334">
            <v>34000000</v>
          </cell>
          <cell r="G3334">
            <v>34000000</v>
          </cell>
          <cell r="H3334">
            <v>34000000</v>
          </cell>
          <cell r="I3334" t="str">
            <v/>
          </cell>
          <cell r="J3334" t="str">
            <v/>
          </cell>
          <cell r="K3334" t="str">
            <v/>
          </cell>
          <cell r="L3334" t="str">
            <v/>
          </cell>
        </row>
        <row r="3335">
          <cell r="A3335">
            <v>34000000</v>
          </cell>
          <cell r="C3335">
            <v>34000000</v>
          </cell>
          <cell r="D3335">
            <v>34000000</v>
          </cell>
          <cell r="E3335">
            <v>34000000</v>
          </cell>
          <cell r="F3335">
            <v>34000000</v>
          </cell>
          <cell r="G3335">
            <v>34000000</v>
          </cell>
          <cell r="H3335">
            <v>34000000</v>
          </cell>
          <cell r="I3335" t="str">
            <v/>
          </cell>
          <cell r="J3335" t="str">
            <v/>
          </cell>
          <cell r="K3335" t="str">
            <v/>
          </cell>
          <cell r="L3335" t="str">
            <v/>
          </cell>
        </row>
        <row r="3336">
          <cell r="A3336">
            <v>34000000</v>
          </cell>
          <cell r="C3336">
            <v>34000000</v>
          </cell>
          <cell r="D3336">
            <v>34000000</v>
          </cell>
          <cell r="E3336">
            <v>34000000</v>
          </cell>
          <cell r="F3336">
            <v>34000000</v>
          </cell>
          <cell r="G3336">
            <v>34000000</v>
          </cell>
          <cell r="H3336">
            <v>34000000</v>
          </cell>
          <cell r="I3336" t="str">
            <v/>
          </cell>
          <cell r="J3336" t="str">
            <v/>
          </cell>
          <cell r="K3336" t="str">
            <v/>
          </cell>
          <cell r="L3336" t="str">
            <v/>
          </cell>
        </row>
        <row r="3337">
          <cell r="A3337">
            <v>34000000</v>
          </cell>
          <cell r="C3337">
            <v>34000000</v>
          </cell>
          <cell r="D3337">
            <v>34000000</v>
          </cell>
          <cell r="E3337">
            <v>34000000</v>
          </cell>
          <cell r="F3337">
            <v>34000000</v>
          </cell>
          <cell r="G3337">
            <v>34000000</v>
          </cell>
          <cell r="H3337">
            <v>34000000</v>
          </cell>
          <cell r="I3337" t="str">
            <v/>
          </cell>
          <cell r="J3337" t="str">
            <v/>
          </cell>
          <cell r="K3337" t="str">
            <v/>
          </cell>
          <cell r="L3337" t="str">
            <v/>
          </cell>
        </row>
        <row r="3338">
          <cell r="A3338">
            <v>34000000</v>
          </cell>
          <cell r="C3338">
            <v>34000000</v>
          </cell>
          <cell r="D3338">
            <v>34000000</v>
          </cell>
          <cell r="E3338">
            <v>34000000</v>
          </cell>
          <cell r="F3338">
            <v>34000000</v>
          </cell>
          <cell r="G3338">
            <v>34000000</v>
          </cell>
          <cell r="H3338">
            <v>34000000</v>
          </cell>
          <cell r="I3338" t="str">
            <v/>
          </cell>
          <cell r="J3338" t="str">
            <v/>
          </cell>
          <cell r="K3338" t="str">
            <v/>
          </cell>
          <cell r="L3338" t="str">
            <v/>
          </cell>
        </row>
        <row r="3339">
          <cell r="A3339">
            <v>34000000</v>
          </cell>
          <cell r="C3339">
            <v>34000000</v>
          </cell>
          <cell r="D3339">
            <v>34000000</v>
          </cell>
          <cell r="E3339">
            <v>34000000</v>
          </cell>
          <cell r="F3339">
            <v>34000000</v>
          </cell>
          <cell r="G3339">
            <v>34000000</v>
          </cell>
          <cell r="H3339">
            <v>34000000</v>
          </cell>
          <cell r="I3339" t="str">
            <v/>
          </cell>
          <cell r="J3339" t="str">
            <v/>
          </cell>
          <cell r="K3339" t="str">
            <v/>
          </cell>
          <cell r="L3339" t="str">
            <v/>
          </cell>
        </row>
        <row r="3340">
          <cell r="A3340">
            <v>34000000</v>
          </cell>
          <cell r="C3340">
            <v>34000000</v>
          </cell>
          <cell r="D3340">
            <v>34000000</v>
          </cell>
          <cell r="E3340">
            <v>34000000</v>
          </cell>
          <cell r="F3340">
            <v>34000000</v>
          </cell>
          <cell r="G3340">
            <v>34000000</v>
          </cell>
          <cell r="H3340">
            <v>34000000</v>
          </cell>
          <cell r="I3340" t="str">
            <v/>
          </cell>
          <cell r="J3340" t="str">
            <v/>
          </cell>
          <cell r="K3340" t="str">
            <v/>
          </cell>
          <cell r="L3340" t="str">
            <v/>
          </cell>
        </row>
        <row r="3341">
          <cell r="A3341">
            <v>34000000</v>
          </cell>
          <cell r="C3341">
            <v>34000000</v>
          </cell>
          <cell r="D3341">
            <v>34000000</v>
          </cell>
          <cell r="E3341">
            <v>34000000</v>
          </cell>
          <cell r="F3341">
            <v>34000000</v>
          </cell>
          <cell r="G3341">
            <v>34000000</v>
          </cell>
          <cell r="H3341">
            <v>34000000</v>
          </cell>
          <cell r="I3341" t="str">
            <v/>
          </cell>
          <cell r="J3341" t="str">
            <v/>
          </cell>
          <cell r="K3341" t="str">
            <v/>
          </cell>
          <cell r="L3341" t="str">
            <v/>
          </cell>
        </row>
        <row r="3342">
          <cell r="A3342">
            <v>34000000</v>
          </cell>
          <cell r="C3342">
            <v>34000000</v>
          </cell>
          <cell r="D3342">
            <v>34000000</v>
          </cell>
          <cell r="E3342">
            <v>34000000</v>
          </cell>
          <cell r="F3342">
            <v>34000000</v>
          </cell>
          <cell r="G3342">
            <v>34000000</v>
          </cell>
          <cell r="H3342">
            <v>34000000</v>
          </cell>
          <cell r="I3342" t="str">
            <v/>
          </cell>
          <cell r="J3342" t="str">
            <v/>
          </cell>
          <cell r="K3342" t="str">
            <v/>
          </cell>
          <cell r="L3342" t="str">
            <v/>
          </cell>
        </row>
        <row r="3343">
          <cell r="A3343">
            <v>34000000</v>
          </cell>
          <cell r="C3343">
            <v>34000000</v>
          </cell>
          <cell r="D3343">
            <v>34000000</v>
          </cell>
          <cell r="E3343">
            <v>34000000</v>
          </cell>
          <cell r="F3343">
            <v>34000000</v>
          </cell>
          <cell r="G3343">
            <v>34000000</v>
          </cell>
          <cell r="H3343">
            <v>34000000</v>
          </cell>
          <cell r="I3343" t="str">
            <v/>
          </cell>
          <cell r="J3343" t="str">
            <v/>
          </cell>
          <cell r="K3343" t="str">
            <v/>
          </cell>
          <cell r="L3343" t="str">
            <v/>
          </cell>
        </row>
        <row r="3344">
          <cell r="A3344">
            <v>34000000</v>
          </cell>
          <cell r="C3344">
            <v>34000000</v>
          </cell>
          <cell r="D3344">
            <v>34000000</v>
          </cell>
          <cell r="E3344">
            <v>34000000</v>
          </cell>
          <cell r="F3344">
            <v>34000000</v>
          </cell>
          <cell r="G3344">
            <v>34000000</v>
          </cell>
          <cell r="H3344">
            <v>34000000</v>
          </cell>
          <cell r="I3344" t="str">
            <v/>
          </cell>
          <cell r="J3344" t="str">
            <v/>
          </cell>
          <cell r="K3344" t="str">
            <v/>
          </cell>
          <cell r="L3344" t="str">
            <v/>
          </cell>
        </row>
        <row r="3345">
          <cell r="A3345">
            <v>34000000</v>
          </cell>
          <cell r="C3345">
            <v>34000000</v>
          </cell>
          <cell r="D3345">
            <v>34000000</v>
          </cell>
          <cell r="E3345">
            <v>34000000</v>
          </cell>
          <cell r="F3345">
            <v>34000000</v>
          </cell>
          <cell r="G3345">
            <v>34000000</v>
          </cell>
          <cell r="H3345">
            <v>34000000</v>
          </cell>
          <cell r="I3345" t="str">
            <v/>
          </cell>
          <cell r="J3345" t="str">
            <v/>
          </cell>
          <cell r="K3345" t="str">
            <v/>
          </cell>
          <cell r="L3345" t="str">
            <v/>
          </cell>
        </row>
        <row r="3346">
          <cell r="A3346">
            <v>34000000</v>
          </cell>
          <cell r="C3346">
            <v>34000000</v>
          </cell>
          <cell r="D3346">
            <v>34000000</v>
          </cell>
          <cell r="E3346">
            <v>34000000</v>
          </cell>
          <cell r="F3346">
            <v>34000000</v>
          </cell>
          <cell r="G3346">
            <v>34000000</v>
          </cell>
          <cell r="H3346">
            <v>34000000</v>
          </cell>
          <cell r="I3346" t="str">
            <v/>
          </cell>
          <cell r="J3346" t="str">
            <v/>
          </cell>
          <cell r="K3346" t="str">
            <v/>
          </cell>
          <cell r="L3346" t="str">
            <v/>
          </cell>
        </row>
        <row r="3347">
          <cell r="A3347">
            <v>34000000</v>
          </cell>
          <cell r="C3347">
            <v>34000000</v>
          </cell>
          <cell r="D3347">
            <v>34000000</v>
          </cell>
          <cell r="E3347">
            <v>34000000</v>
          </cell>
          <cell r="F3347">
            <v>34000000</v>
          </cell>
          <cell r="G3347">
            <v>34000000</v>
          </cell>
          <cell r="H3347">
            <v>34000000</v>
          </cell>
          <cell r="I3347" t="str">
            <v/>
          </cell>
          <cell r="J3347" t="str">
            <v/>
          </cell>
          <cell r="K3347" t="str">
            <v/>
          </cell>
          <cell r="L3347" t="str">
            <v/>
          </cell>
        </row>
        <row r="3348">
          <cell r="A3348">
            <v>34000000</v>
          </cell>
          <cell r="C3348">
            <v>34000000</v>
          </cell>
          <cell r="D3348">
            <v>34000000</v>
          </cell>
          <cell r="E3348">
            <v>34000000</v>
          </cell>
          <cell r="F3348">
            <v>34000000</v>
          </cell>
          <cell r="G3348">
            <v>34000000</v>
          </cell>
          <cell r="H3348">
            <v>34000000</v>
          </cell>
          <cell r="I3348" t="str">
            <v/>
          </cell>
          <cell r="J3348" t="str">
            <v/>
          </cell>
          <cell r="K3348" t="str">
            <v/>
          </cell>
          <cell r="L3348" t="str">
            <v/>
          </cell>
        </row>
        <row r="3349">
          <cell r="A3349">
            <v>34000000</v>
          </cell>
          <cell r="C3349">
            <v>34000000</v>
          </cell>
          <cell r="D3349">
            <v>34000000</v>
          </cell>
          <cell r="E3349">
            <v>34000000</v>
          </cell>
          <cell r="F3349">
            <v>34000000</v>
          </cell>
          <cell r="G3349">
            <v>34000000</v>
          </cell>
          <cell r="H3349">
            <v>34000000</v>
          </cell>
          <cell r="I3349" t="str">
            <v/>
          </cell>
          <cell r="J3349" t="str">
            <v/>
          </cell>
          <cell r="K3349" t="str">
            <v/>
          </cell>
          <cell r="L3349" t="str">
            <v/>
          </cell>
        </row>
        <row r="3350">
          <cell r="A3350">
            <v>34000000</v>
          </cell>
          <cell r="C3350">
            <v>34000000</v>
          </cell>
          <cell r="D3350">
            <v>34000000</v>
          </cell>
          <cell r="E3350">
            <v>34000000</v>
          </cell>
          <cell r="F3350">
            <v>34000000</v>
          </cell>
          <cell r="G3350">
            <v>34000000</v>
          </cell>
          <cell r="H3350">
            <v>34000000</v>
          </cell>
          <cell r="I3350" t="str">
            <v/>
          </cell>
          <cell r="J3350" t="str">
            <v/>
          </cell>
          <cell r="K3350" t="str">
            <v/>
          </cell>
          <cell r="L3350" t="str">
            <v/>
          </cell>
        </row>
        <row r="3351">
          <cell r="A3351">
            <v>34000000</v>
          </cell>
          <cell r="C3351">
            <v>34000000</v>
          </cell>
          <cell r="D3351">
            <v>34000000</v>
          </cell>
          <cell r="E3351">
            <v>34000000</v>
          </cell>
          <cell r="F3351">
            <v>34000000</v>
          </cell>
          <cell r="G3351">
            <v>34000000</v>
          </cell>
          <cell r="H3351">
            <v>34000000</v>
          </cell>
          <cell r="I3351" t="str">
            <v/>
          </cell>
          <cell r="J3351" t="str">
            <v/>
          </cell>
          <cell r="K3351" t="str">
            <v/>
          </cell>
          <cell r="L3351" t="str">
            <v/>
          </cell>
        </row>
        <row r="3352">
          <cell r="A3352">
            <v>34000000</v>
          </cell>
          <cell r="C3352">
            <v>34000000</v>
          </cell>
          <cell r="D3352">
            <v>34000000</v>
          </cell>
          <cell r="E3352">
            <v>34000000</v>
          </cell>
          <cell r="F3352">
            <v>34000000</v>
          </cell>
          <cell r="G3352">
            <v>34000000</v>
          </cell>
          <cell r="H3352">
            <v>34000000</v>
          </cell>
          <cell r="I3352" t="str">
            <v/>
          </cell>
          <cell r="J3352" t="str">
            <v/>
          </cell>
          <cell r="K3352" t="str">
            <v/>
          </cell>
          <cell r="L3352" t="str">
            <v/>
          </cell>
        </row>
        <row r="3353">
          <cell r="A3353">
            <v>34000000</v>
          </cell>
          <cell r="C3353">
            <v>34000000</v>
          </cell>
          <cell r="D3353">
            <v>34000000</v>
          </cell>
          <cell r="E3353">
            <v>34000000</v>
          </cell>
          <cell r="F3353">
            <v>34000000</v>
          </cell>
          <cell r="G3353">
            <v>34000000</v>
          </cell>
          <cell r="H3353">
            <v>34000000</v>
          </cell>
          <cell r="I3353" t="str">
            <v/>
          </cell>
          <cell r="J3353" t="str">
            <v/>
          </cell>
          <cell r="K3353" t="str">
            <v/>
          </cell>
          <cell r="L3353" t="str">
            <v/>
          </cell>
        </row>
        <row r="3354">
          <cell r="A3354">
            <v>34000000</v>
          </cell>
          <cell r="C3354">
            <v>34000000</v>
          </cell>
          <cell r="D3354">
            <v>34000000</v>
          </cell>
          <cell r="E3354">
            <v>34000000</v>
          </cell>
          <cell r="F3354">
            <v>34000000</v>
          </cell>
          <cell r="G3354">
            <v>34000000</v>
          </cell>
          <cell r="H3354">
            <v>34000000</v>
          </cell>
          <cell r="I3354" t="str">
            <v/>
          </cell>
          <cell r="J3354" t="str">
            <v/>
          </cell>
          <cell r="K3354" t="str">
            <v/>
          </cell>
          <cell r="L3354" t="str">
            <v/>
          </cell>
        </row>
        <row r="3355">
          <cell r="A3355">
            <v>34000000</v>
          </cell>
          <cell r="C3355">
            <v>34000000</v>
          </cell>
          <cell r="D3355">
            <v>34000000</v>
          </cell>
          <cell r="E3355">
            <v>34000000</v>
          </cell>
          <cell r="F3355">
            <v>34000000</v>
          </cell>
          <cell r="G3355">
            <v>34000000</v>
          </cell>
          <cell r="H3355">
            <v>34000000</v>
          </cell>
          <cell r="I3355" t="str">
            <v/>
          </cell>
          <cell r="J3355" t="str">
            <v/>
          </cell>
          <cell r="K3355" t="str">
            <v/>
          </cell>
          <cell r="L3355" t="str">
            <v/>
          </cell>
        </row>
        <row r="3356">
          <cell r="A3356">
            <v>34000000</v>
          </cell>
          <cell r="C3356">
            <v>34000000</v>
          </cell>
          <cell r="D3356">
            <v>34000000</v>
          </cell>
          <cell r="E3356">
            <v>34000000</v>
          </cell>
          <cell r="F3356">
            <v>34000000</v>
          </cell>
          <cell r="G3356">
            <v>34000000</v>
          </cell>
          <cell r="H3356">
            <v>34000000</v>
          </cell>
          <cell r="I3356" t="str">
            <v/>
          </cell>
          <cell r="J3356" t="str">
            <v/>
          </cell>
          <cell r="K3356" t="str">
            <v/>
          </cell>
          <cell r="L3356" t="str">
            <v/>
          </cell>
        </row>
        <row r="3357">
          <cell r="A3357">
            <v>34000000</v>
          </cell>
          <cell r="C3357">
            <v>34000000</v>
          </cell>
          <cell r="D3357">
            <v>34000000</v>
          </cell>
          <cell r="E3357">
            <v>34000000</v>
          </cell>
          <cell r="F3357">
            <v>34000000</v>
          </cell>
          <cell r="G3357">
            <v>34000000</v>
          </cell>
          <cell r="H3357">
            <v>34000000</v>
          </cell>
          <cell r="I3357" t="str">
            <v/>
          </cell>
          <cell r="J3357" t="str">
            <v/>
          </cell>
          <cell r="K3357" t="str">
            <v/>
          </cell>
          <cell r="L3357" t="str">
            <v/>
          </cell>
        </row>
        <row r="3358">
          <cell r="A3358">
            <v>34000000</v>
          </cell>
          <cell r="C3358">
            <v>34000000</v>
          </cell>
          <cell r="D3358">
            <v>34000000</v>
          </cell>
          <cell r="E3358">
            <v>34000000</v>
          </cell>
          <cell r="F3358">
            <v>34000000</v>
          </cell>
          <cell r="G3358">
            <v>34000000</v>
          </cell>
          <cell r="H3358">
            <v>34000000</v>
          </cell>
          <cell r="I3358" t="str">
            <v/>
          </cell>
          <cell r="J3358" t="str">
            <v/>
          </cell>
          <cell r="K3358" t="str">
            <v/>
          </cell>
          <cell r="L3358" t="str">
            <v/>
          </cell>
        </row>
        <row r="3359">
          <cell r="A3359">
            <v>34000000</v>
          </cell>
          <cell r="C3359">
            <v>34000000</v>
          </cell>
          <cell r="D3359">
            <v>34000000</v>
          </cell>
          <cell r="E3359">
            <v>34000000</v>
          </cell>
          <cell r="F3359">
            <v>34000000</v>
          </cell>
          <cell r="G3359">
            <v>34000000</v>
          </cell>
          <cell r="H3359">
            <v>34000000</v>
          </cell>
          <cell r="I3359" t="str">
            <v/>
          </cell>
          <cell r="J3359" t="str">
            <v/>
          </cell>
          <cell r="K3359" t="str">
            <v/>
          </cell>
          <cell r="L3359" t="str">
            <v/>
          </cell>
        </row>
        <row r="3360">
          <cell r="A3360">
            <v>34000000</v>
          </cell>
          <cell r="C3360">
            <v>34000000</v>
          </cell>
          <cell r="D3360">
            <v>34000000</v>
          </cell>
          <cell r="E3360">
            <v>34000000</v>
          </cell>
          <cell r="F3360">
            <v>34000000</v>
          </cell>
          <cell r="G3360">
            <v>34000000</v>
          </cell>
          <cell r="H3360">
            <v>34000000</v>
          </cell>
          <cell r="I3360" t="str">
            <v/>
          </cell>
          <cell r="J3360" t="str">
            <v/>
          </cell>
          <cell r="K3360" t="str">
            <v/>
          </cell>
          <cell r="L3360" t="str">
            <v/>
          </cell>
        </row>
        <row r="3361">
          <cell r="A3361">
            <v>34000000</v>
          </cell>
          <cell r="C3361">
            <v>34000000</v>
          </cell>
          <cell r="D3361">
            <v>34000000</v>
          </cell>
          <cell r="E3361">
            <v>34000000</v>
          </cell>
          <cell r="F3361">
            <v>34000000</v>
          </cell>
          <cell r="G3361">
            <v>34000000</v>
          </cell>
          <cell r="H3361">
            <v>34000000</v>
          </cell>
          <cell r="I3361" t="str">
            <v/>
          </cell>
          <cell r="J3361" t="str">
            <v/>
          </cell>
          <cell r="K3361" t="str">
            <v/>
          </cell>
          <cell r="L3361" t="str">
            <v/>
          </cell>
        </row>
        <row r="3362">
          <cell r="A3362">
            <v>34000000</v>
          </cell>
          <cell r="C3362">
            <v>34000000</v>
          </cell>
          <cell r="D3362">
            <v>34000000</v>
          </cell>
          <cell r="E3362">
            <v>34000000</v>
          </cell>
          <cell r="F3362">
            <v>34000000</v>
          </cell>
          <cell r="G3362">
            <v>34000000</v>
          </cell>
          <cell r="H3362">
            <v>34000000</v>
          </cell>
          <cell r="I3362" t="str">
            <v/>
          </cell>
          <cell r="J3362" t="str">
            <v/>
          </cell>
          <cell r="K3362" t="str">
            <v/>
          </cell>
          <cell r="L3362" t="str">
            <v/>
          </cell>
        </row>
        <row r="3363">
          <cell r="A3363">
            <v>34000000</v>
          </cell>
          <cell r="C3363">
            <v>34000000</v>
          </cell>
          <cell r="D3363">
            <v>34000000</v>
          </cell>
          <cell r="E3363">
            <v>34000000</v>
          </cell>
          <cell r="F3363">
            <v>34000000</v>
          </cell>
          <cell r="G3363">
            <v>34000000</v>
          </cell>
          <cell r="H3363">
            <v>34000000</v>
          </cell>
          <cell r="I3363" t="str">
            <v/>
          </cell>
          <cell r="J3363" t="str">
            <v/>
          </cell>
          <cell r="K3363" t="str">
            <v/>
          </cell>
          <cell r="L3363" t="str">
            <v/>
          </cell>
        </row>
        <row r="3364">
          <cell r="A3364">
            <v>34000000</v>
          </cell>
          <cell r="C3364">
            <v>34000000</v>
          </cell>
          <cell r="D3364">
            <v>34000000</v>
          </cell>
          <cell r="E3364">
            <v>34000000</v>
          </cell>
          <cell r="F3364">
            <v>34000000</v>
          </cell>
          <cell r="G3364">
            <v>34000000</v>
          </cell>
          <cell r="H3364">
            <v>34000000</v>
          </cell>
          <cell r="I3364" t="str">
            <v/>
          </cell>
          <cell r="J3364" t="str">
            <v/>
          </cell>
          <cell r="K3364" t="str">
            <v/>
          </cell>
          <cell r="L3364" t="str">
            <v/>
          </cell>
        </row>
        <row r="3365">
          <cell r="A3365">
            <v>34000000</v>
          </cell>
          <cell r="C3365">
            <v>34000000</v>
          </cell>
          <cell r="D3365">
            <v>34000000</v>
          </cell>
          <cell r="E3365">
            <v>34000000</v>
          </cell>
          <cell r="F3365">
            <v>34000000</v>
          </cell>
          <cell r="G3365">
            <v>34000000</v>
          </cell>
          <cell r="H3365">
            <v>34000000</v>
          </cell>
          <cell r="I3365" t="str">
            <v/>
          </cell>
          <cell r="J3365" t="str">
            <v/>
          </cell>
          <cell r="K3365" t="str">
            <v/>
          </cell>
          <cell r="L3365" t="str">
            <v/>
          </cell>
        </row>
        <row r="3366">
          <cell r="A3366">
            <v>34000000</v>
          </cell>
          <cell r="C3366">
            <v>34000000</v>
          </cell>
          <cell r="D3366">
            <v>34000000</v>
          </cell>
          <cell r="E3366">
            <v>34000000</v>
          </cell>
          <cell r="F3366">
            <v>34000000</v>
          </cell>
          <cell r="G3366">
            <v>34000000</v>
          </cell>
          <cell r="H3366">
            <v>34000000</v>
          </cell>
          <cell r="I3366" t="str">
            <v/>
          </cell>
          <cell r="J3366" t="str">
            <v/>
          </cell>
          <cell r="K3366" t="str">
            <v/>
          </cell>
          <cell r="L3366" t="str">
            <v/>
          </cell>
        </row>
        <row r="3367">
          <cell r="A3367">
            <v>34000000</v>
          </cell>
          <cell r="C3367">
            <v>34000000</v>
          </cell>
          <cell r="D3367">
            <v>34000000</v>
          </cell>
          <cell r="E3367">
            <v>34000000</v>
          </cell>
          <cell r="F3367">
            <v>34000000</v>
          </cell>
          <cell r="G3367">
            <v>34000000</v>
          </cell>
          <cell r="H3367">
            <v>34000000</v>
          </cell>
          <cell r="I3367" t="str">
            <v/>
          </cell>
          <cell r="J3367" t="str">
            <v/>
          </cell>
          <cell r="K3367" t="str">
            <v/>
          </cell>
          <cell r="L3367" t="str">
            <v/>
          </cell>
        </row>
        <row r="3368">
          <cell r="A3368">
            <v>34000000</v>
          </cell>
          <cell r="C3368">
            <v>34000000</v>
          </cell>
          <cell r="D3368">
            <v>34000000</v>
          </cell>
          <cell r="E3368">
            <v>34000000</v>
          </cell>
          <cell r="F3368">
            <v>34000000</v>
          </cell>
          <cell r="G3368">
            <v>34000000</v>
          </cell>
          <cell r="H3368">
            <v>34000000</v>
          </cell>
          <cell r="I3368" t="str">
            <v/>
          </cell>
          <cell r="J3368" t="str">
            <v/>
          </cell>
          <cell r="K3368" t="str">
            <v/>
          </cell>
          <cell r="L3368" t="str">
            <v/>
          </cell>
        </row>
        <row r="3369">
          <cell r="A3369">
            <v>34000000</v>
          </cell>
          <cell r="C3369">
            <v>34000000</v>
          </cell>
          <cell r="D3369">
            <v>34000000</v>
          </cell>
          <cell r="E3369">
            <v>34000000</v>
          </cell>
          <cell r="F3369">
            <v>34000000</v>
          </cell>
          <cell r="G3369">
            <v>34000000</v>
          </cell>
          <cell r="H3369">
            <v>34000000</v>
          </cell>
          <cell r="I3369" t="str">
            <v/>
          </cell>
          <cell r="J3369" t="str">
            <v/>
          </cell>
          <cell r="K3369" t="str">
            <v/>
          </cell>
          <cell r="L3369" t="str">
            <v/>
          </cell>
        </row>
        <row r="3370">
          <cell r="A3370">
            <v>34000000</v>
          </cell>
          <cell r="C3370">
            <v>34000000</v>
          </cell>
          <cell r="D3370">
            <v>34000000</v>
          </cell>
          <cell r="E3370">
            <v>34000000</v>
          </cell>
          <cell r="F3370">
            <v>34000000</v>
          </cell>
          <cell r="G3370">
            <v>34000000</v>
          </cell>
          <cell r="H3370">
            <v>34000000</v>
          </cell>
          <cell r="I3370" t="str">
            <v/>
          </cell>
          <cell r="J3370" t="str">
            <v/>
          </cell>
          <cell r="K3370" t="str">
            <v/>
          </cell>
          <cell r="L3370" t="str">
            <v/>
          </cell>
        </row>
        <row r="3371">
          <cell r="A3371">
            <v>34000000</v>
          </cell>
          <cell r="C3371">
            <v>34000000</v>
          </cell>
          <cell r="D3371">
            <v>34000000</v>
          </cell>
          <cell r="E3371">
            <v>34000000</v>
          </cell>
          <cell r="F3371">
            <v>34000000</v>
          </cell>
          <cell r="G3371">
            <v>34000000</v>
          </cell>
          <cell r="H3371">
            <v>34000000</v>
          </cell>
          <cell r="I3371" t="str">
            <v/>
          </cell>
          <cell r="J3371" t="str">
            <v/>
          </cell>
          <cell r="K3371" t="str">
            <v/>
          </cell>
          <cell r="L3371" t="str">
            <v/>
          </cell>
        </row>
        <row r="3372">
          <cell r="A3372">
            <v>34000000</v>
          </cell>
          <cell r="C3372">
            <v>34000000</v>
          </cell>
          <cell r="D3372">
            <v>34000000</v>
          </cell>
          <cell r="E3372">
            <v>34000000</v>
          </cell>
          <cell r="F3372">
            <v>34000000</v>
          </cell>
          <cell r="G3372">
            <v>34000000</v>
          </cell>
          <cell r="H3372">
            <v>34000000</v>
          </cell>
          <cell r="I3372" t="str">
            <v/>
          </cell>
          <cell r="J3372" t="str">
            <v/>
          </cell>
          <cell r="K3372" t="str">
            <v/>
          </cell>
          <cell r="L3372" t="str">
            <v/>
          </cell>
        </row>
        <row r="3373">
          <cell r="A3373">
            <v>34000000</v>
          </cell>
          <cell r="C3373">
            <v>34000000</v>
          </cell>
          <cell r="D3373">
            <v>34000000</v>
          </cell>
          <cell r="E3373">
            <v>34000000</v>
          </cell>
          <cell r="F3373">
            <v>34000000</v>
          </cell>
          <cell r="G3373">
            <v>34000000</v>
          </cell>
          <cell r="H3373">
            <v>34000000</v>
          </cell>
          <cell r="I3373" t="str">
            <v/>
          </cell>
          <cell r="J3373" t="str">
            <v/>
          </cell>
          <cell r="K3373" t="str">
            <v/>
          </cell>
          <cell r="L3373" t="str">
            <v/>
          </cell>
        </row>
        <row r="3374">
          <cell r="A3374">
            <v>34000000</v>
          </cell>
          <cell r="C3374">
            <v>34000000</v>
          </cell>
          <cell r="D3374">
            <v>34000000</v>
          </cell>
          <cell r="E3374">
            <v>34000000</v>
          </cell>
          <cell r="F3374">
            <v>34000000</v>
          </cell>
          <cell r="G3374">
            <v>34000000</v>
          </cell>
          <cell r="H3374">
            <v>34000000</v>
          </cell>
          <cell r="I3374" t="str">
            <v/>
          </cell>
          <cell r="J3374" t="str">
            <v/>
          </cell>
          <cell r="K3374" t="str">
            <v/>
          </cell>
          <cell r="L3374" t="str">
            <v/>
          </cell>
        </row>
        <row r="3375">
          <cell r="A3375">
            <v>34000000</v>
          </cell>
          <cell r="C3375">
            <v>34000000</v>
          </cell>
          <cell r="D3375">
            <v>34000000</v>
          </cell>
          <cell r="E3375">
            <v>34000000</v>
          </cell>
          <cell r="F3375">
            <v>34000000</v>
          </cell>
          <cell r="G3375">
            <v>34000000</v>
          </cell>
          <cell r="H3375">
            <v>34000000</v>
          </cell>
          <cell r="I3375" t="str">
            <v/>
          </cell>
          <cell r="J3375" t="str">
            <v/>
          </cell>
          <cell r="K3375" t="str">
            <v/>
          </cell>
          <cell r="L3375" t="str">
            <v/>
          </cell>
        </row>
        <row r="3376">
          <cell r="A3376">
            <v>34000000</v>
          </cell>
          <cell r="C3376">
            <v>34000000</v>
          </cell>
          <cell r="D3376">
            <v>34000000</v>
          </cell>
          <cell r="E3376">
            <v>34000000</v>
          </cell>
          <cell r="F3376">
            <v>34000000</v>
          </cell>
          <cell r="G3376">
            <v>34000000</v>
          </cell>
          <cell r="H3376">
            <v>34000000</v>
          </cell>
          <cell r="I3376" t="str">
            <v/>
          </cell>
          <cell r="J3376" t="str">
            <v/>
          </cell>
          <cell r="K3376" t="str">
            <v/>
          </cell>
          <cell r="L3376" t="str">
            <v/>
          </cell>
        </row>
        <row r="3377">
          <cell r="A3377">
            <v>34000000</v>
          </cell>
          <cell r="C3377">
            <v>34000000</v>
          </cell>
          <cell r="D3377">
            <v>34000000</v>
          </cell>
          <cell r="E3377">
            <v>34000000</v>
          </cell>
          <cell r="F3377">
            <v>34000000</v>
          </cell>
          <cell r="G3377">
            <v>34000000</v>
          </cell>
          <cell r="H3377">
            <v>34000000</v>
          </cell>
          <cell r="I3377" t="str">
            <v/>
          </cell>
          <cell r="J3377" t="str">
            <v/>
          </cell>
          <cell r="K3377" t="str">
            <v/>
          </cell>
          <cell r="L3377" t="str">
            <v/>
          </cell>
        </row>
        <row r="3378">
          <cell r="A3378">
            <v>34000000</v>
          </cell>
          <cell r="C3378">
            <v>34000000</v>
          </cell>
          <cell r="D3378">
            <v>34000000</v>
          </cell>
          <cell r="E3378">
            <v>34000000</v>
          </cell>
          <cell r="F3378">
            <v>34000000</v>
          </cell>
          <cell r="G3378">
            <v>34000000</v>
          </cell>
          <cell r="H3378">
            <v>34000000</v>
          </cell>
          <cell r="I3378" t="str">
            <v/>
          </cell>
          <cell r="J3378" t="str">
            <v/>
          </cell>
          <cell r="K3378" t="str">
            <v/>
          </cell>
          <cell r="L3378" t="str">
            <v/>
          </cell>
        </row>
        <row r="3379">
          <cell r="A3379">
            <v>34000000</v>
          </cell>
          <cell r="C3379">
            <v>34000000</v>
          </cell>
          <cell r="D3379">
            <v>34000000</v>
          </cell>
          <cell r="E3379">
            <v>34000000</v>
          </cell>
          <cell r="F3379">
            <v>34000000</v>
          </cell>
          <cell r="G3379">
            <v>34000000</v>
          </cell>
          <cell r="H3379">
            <v>34000000</v>
          </cell>
          <cell r="I3379" t="str">
            <v/>
          </cell>
          <cell r="J3379" t="str">
            <v/>
          </cell>
          <cell r="K3379" t="str">
            <v/>
          </cell>
          <cell r="L3379" t="str">
            <v/>
          </cell>
        </row>
        <row r="3380">
          <cell r="A3380">
            <v>34000000</v>
          </cell>
          <cell r="C3380">
            <v>34000000</v>
          </cell>
          <cell r="D3380">
            <v>34000000</v>
          </cell>
          <cell r="E3380">
            <v>34000000</v>
          </cell>
          <cell r="F3380">
            <v>34000000</v>
          </cell>
          <cell r="G3380">
            <v>34000000</v>
          </cell>
          <cell r="H3380">
            <v>34000000</v>
          </cell>
          <cell r="I3380" t="str">
            <v/>
          </cell>
          <cell r="J3380" t="str">
            <v/>
          </cell>
          <cell r="K3380" t="str">
            <v/>
          </cell>
          <cell r="L3380" t="str">
            <v/>
          </cell>
        </row>
        <row r="3381">
          <cell r="A3381">
            <v>34000000</v>
          </cell>
          <cell r="C3381">
            <v>34000000</v>
          </cell>
          <cell r="D3381">
            <v>34000000</v>
          </cell>
          <cell r="E3381">
            <v>34000000</v>
          </cell>
          <cell r="F3381">
            <v>34000000</v>
          </cell>
          <cell r="G3381">
            <v>34000000</v>
          </cell>
          <cell r="H3381">
            <v>34000000</v>
          </cell>
          <cell r="I3381" t="str">
            <v/>
          </cell>
          <cell r="J3381" t="str">
            <v/>
          </cell>
          <cell r="K3381" t="str">
            <v/>
          </cell>
          <cell r="L3381" t="str">
            <v/>
          </cell>
        </row>
        <row r="3382">
          <cell r="A3382">
            <v>34000000</v>
          </cell>
          <cell r="C3382">
            <v>34000000</v>
          </cell>
          <cell r="D3382">
            <v>34000000</v>
          </cell>
          <cell r="E3382">
            <v>34000000</v>
          </cell>
          <cell r="F3382">
            <v>34000000</v>
          </cell>
          <cell r="G3382">
            <v>34000000</v>
          </cell>
          <cell r="H3382">
            <v>34000000</v>
          </cell>
          <cell r="I3382" t="str">
            <v/>
          </cell>
          <cell r="J3382" t="str">
            <v/>
          </cell>
          <cell r="K3382" t="str">
            <v/>
          </cell>
          <cell r="L3382" t="str">
            <v/>
          </cell>
        </row>
        <row r="3383">
          <cell r="A3383">
            <v>34000000</v>
          </cell>
          <cell r="C3383">
            <v>34000000</v>
          </cell>
          <cell r="D3383">
            <v>34000000</v>
          </cell>
          <cell r="E3383">
            <v>34000000</v>
          </cell>
          <cell r="F3383">
            <v>34000000</v>
          </cell>
          <cell r="G3383">
            <v>34000000</v>
          </cell>
          <cell r="H3383">
            <v>34000000</v>
          </cell>
          <cell r="I3383" t="str">
            <v/>
          </cell>
          <cell r="J3383" t="str">
            <v/>
          </cell>
          <cell r="K3383" t="str">
            <v/>
          </cell>
          <cell r="L3383" t="str">
            <v/>
          </cell>
        </row>
        <row r="3384">
          <cell r="A3384">
            <v>34000000</v>
          </cell>
          <cell r="C3384">
            <v>34000000</v>
          </cell>
          <cell r="D3384">
            <v>34000000</v>
          </cell>
          <cell r="E3384">
            <v>34000000</v>
          </cell>
          <cell r="F3384">
            <v>34000000</v>
          </cell>
          <cell r="G3384">
            <v>34000000</v>
          </cell>
          <cell r="H3384">
            <v>34000000</v>
          </cell>
          <cell r="I3384" t="str">
            <v/>
          </cell>
          <cell r="J3384" t="str">
            <v/>
          </cell>
          <cell r="K3384" t="str">
            <v/>
          </cell>
          <cell r="L3384" t="str">
            <v/>
          </cell>
        </row>
        <row r="3385">
          <cell r="A3385">
            <v>34000000</v>
          </cell>
          <cell r="C3385">
            <v>34000000</v>
          </cell>
          <cell r="D3385">
            <v>34000000</v>
          </cell>
          <cell r="E3385">
            <v>34000000</v>
          </cell>
          <cell r="F3385">
            <v>34000000</v>
          </cell>
          <cell r="G3385">
            <v>34000000</v>
          </cell>
          <cell r="H3385">
            <v>34000000</v>
          </cell>
          <cell r="I3385" t="str">
            <v/>
          </cell>
          <cell r="J3385" t="str">
            <v/>
          </cell>
          <cell r="K3385" t="str">
            <v/>
          </cell>
          <cell r="L3385" t="str">
            <v/>
          </cell>
        </row>
        <row r="3386">
          <cell r="A3386">
            <v>34000000</v>
          </cell>
          <cell r="C3386">
            <v>34000000</v>
          </cell>
          <cell r="D3386">
            <v>34000000</v>
          </cell>
          <cell r="E3386">
            <v>34000000</v>
          </cell>
          <cell r="F3386">
            <v>34000000</v>
          </cell>
          <cell r="G3386">
            <v>34000000</v>
          </cell>
          <cell r="H3386">
            <v>34000000</v>
          </cell>
          <cell r="I3386" t="str">
            <v/>
          </cell>
          <cell r="J3386" t="str">
            <v/>
          </cell>
          <cell r="K3386" t="str">
            <v/>
          </cell>
          <cell r="L3386" t="str">
            <v/>
          </cell>
        </row>
        <row r="3387">
          <cell r="A3387">
            <v>34000000</v>
          </cell>
          <cell r="C3387">
            <v>34000000</v>
          </cell>
          <cell r="D3387">
            <v>34000000</v>
          </cell>
          <cell r="E3387">
            <v>34000000</v>
          </cell>
          <cell r="F3387">
            <v>34000000</v>
          </cell>
          <cell r="G3387">
            <v>34000000</v>
          </cell>
          <cell r="H3387">
            <v>34000000</v>
          </cell>
          <cell r="I3387" t="str">
            <v/>
          </cell>
          <cell r="J3387" t="str">
            <v/>
          </cell>
          <cell r="K3387" t="str">
            <v/>
          </cell>
          <cell r="L3387" t="str">
            <v/>
          </cell>
        </row>
        <row r="3388">
          <cell r="A3388">
            <v>34000000</v>
          </cell>
          <cell r="C3388">
            <v>34000000</v>
          </cell>
          <cell r="D3388">
            <v>34000000</v>
          </cell>
          <cell r="E3388">
            <v>34000000</v>
          </cell>
          <cell r="F3388">
            <v>34000000</v>
          </cell>
          <cell r="G3388">
            <v>34000000</v>
          </cell>
          <cell r="H3388">
            <v>34000000</v>
          </cell>
          <cell r="I3388" t="str">
            <v/>
          </cell>
          <cell r="J3388" t="str">
            <v/>
          </cell>
          <cell r="K3388" t="str">
            <v/>
          </cell>
          <cell r="L3388" t="str">
            <v/>
          </cell>
        </row>
        <row r="3389">
          <cell r="A3389">
            <v>34000000</v>
          </cell>
          <cell r="C3389">
            <v>34000000</v>
          </cell>
          <cell r="D3389">
            <v>34000000</v>
          </cell>
          <cell r="E3389">
            <v>34000000</v>
          </cell>
          <cell r="F3389">
            <v>34000000</v>
          </cell>
          <cell r="G3389">
            <v>34000000</v>
          </cell>
          <cell r="H3389">
            <v>34000000</v>
          </cell>
          <cell r="I3389" t="str">
            <v/>
          </cell>
          <cell r="J3389" t="str">
            <v/>
          </cell>
          <cell r="K3389" t="str">
            <v/>
          </cell>
          <cell r="L3389" t="str">
            <v/>
          </cell>
        </row>
        <row r="3390">
          <cell r="A3390">
            <v>34000000</v>
          </cell>
          <cell r="C3390">
            <v>34000000</v>
          </cell>
          <cell r="D3390">
            <v>34000000</v>
          </cell>
          <cell r="E3390">
            <v>34000000</v>
          </cell>
          <cell r="F3390">
            <v>34000000</v>
          </cell>
          <cell r="G3390">
            <v>34000000</v>
          </cell>
          <cell r="H3390">
            <v>34000000</v>
          </cell>
          <cell r="I3390" t="str">
            <v/>
          </cell>
          <cell r="J3390" t="str">
            <v/>
          </cell>
          <cell r="K3390" t="str">
            <v/>
          </cell>
          <cell r="L3390" t="str">
            <v/>
          </cell>
        </row>
        <row r="3391">
          <cell r="A3391">
            <v>34000000</v>
          </cell>
          <cell r="C3391">
            <v>34000000</v>
          </cell>
          <cell r="D3391">
            <v>34000000</v>
          </cell>
          <cell r="E3391">
            <v>34000000</v>
          </cell>
          <cell r="F3391">
            <v>34000000</v>
          </cell>
          <cell r="G3391">
            <v>34000000</v>
          </cell>
          <cell r="H3391">
            <v>34000000</v>
          </cell>
          <cell r="I3391" t="str">
            <v/>
          </cell>
          <cell r="J3391" t="str">
            <v/>
          </cell>
          <cell r="K3391" t="str">
            <v/>
          </cell>
          <cell r="L3391" t="str">
            <v/>
          </cell>
        </row>
        <row r="3392">
          <cell r="A3392">
            <v>34000000</v>
          </cell>
          <cell r="C3392">
            <v>34000000</v>
          </cell>
          <cell r="D3392">
            <v>34000000</v>
          </cell>
          <cell r="E3392">
            <v>34000000</v>
          </cell>
          <cell r="F3392">
            <v>34000000</v>
          </cell>
          <cell r="G3392">
            <v>34000000</v>
          </cell>
          <cell r="H3392">
            <v>34000000</v>
          </cell>
          <cell r="I3392" t="str">
            <v/>
          </cell>
          <cell r="J3392" t="str">
            <v/>
          </cell>
          <cell r="K3392" t="str">
            <v/>
          </cell>
          <cell r="L3392" t="str">
            <v/>
          </cell>
        </row>
        <row r="3393">
          <cell r="A3393">
            <v>34000000</v>
          </cell>
          <cell r="C3393">
            <v>34000000</v>
          </cell>
          <cell r="D3393">
            <v>34000000</v>
          </cell>
          <cell r="E3393">
            <v>34000000</v>
          </cell>
          <cell r="F3393">
            <v>34000000</v>
          </cell>
          <cell r="G3393">
            <v>34000000</v>
          </cell>
          <cell r="H3393">
            <v>34000000</v>
          </cell>
          <cell r="I3393" t="str">
            <v/>
          </cell>
          <cell r="J3393" t="str">
            <v/>
          </cell>
          <cell r="K3393" t="str">
            <v/>
          </cell>
          <cell r="L3393" t="str">
            <v/>
          </cell>
        </row>
        <row r="3394">
          <cell r="A3394">
            <v>34000000</v>
          </cell>
          <cell r="C3394">
            <v>34000000</v>
          </cell>
          <cell r="D3394">
            <v>34000000</v>
          </cell>
          <cell r="E3394">
            <v>34000000</v>
          </cell>
          <cell r="F3394">
            <v>34000000</v>
          </cell>
          <cell r="G3394">
            <v>34000000</v>
          </cell>
          <cell r="H3394">
            <v>34000000</v>
          </cell>
          <cell r="I3394" t="str">
            <v/>
          </cell>
          <cell r="J3394" t="str">
            <v/>
          </cell>
          <cell r="K3394" t="str">
            <v/>
          </cell>
          <cell r="L3394" t="str">
            <v/>
          </cell>
        </row>
        <row r="3395">
          <cell r="A3395">
            <v>34000000</v>
          </cell>
          <cell r="C3395">
            <v>34000000</v>
          </cell>
          <cell r="D3395">
            <v>34000000</v>
          </cell>
          <cell r="E3395">
            <v>34000000</v>
          </cell>
          <cell r="F3395">
            <v>34000000</v>
          </cell>
          <cell r="G3395">
            <v>34000000</v>
          </cell>
          <cell r="H3395">
            <v>34000000</v>
          </cell>
          <cell r="I3395" t="str">
            <v/>
          </cell>
          <cell r="J3395" t="str">
            <v/>
          </cell>
          <cell r="K3395" t="str">
            <v/>
          </cell>
          <cell r="L3395" t="str">
            <v/>
          </cell>
        </row>
        <row r="3396">
          <cell r="A3396">
            <v>34000000</v>
          </cell>
          <cell r="C3396">
            <v>34000000</v>
          </cell>
          <cell r="D3396">
            <v>34000000</v>
          </cell>
          <cell r="E3396">
            <v>34000000</v>
          </cell>
          <cell r="F3396">
            <v>34000000</v>
          </cell>
          <cell r="G3396">
            <v>34000000</v>
          </cell>
          <cell r="H3396">
            <v>34000000</v>
          </cell>
          <cell r="I3396" t="str">
            <v/>
          </cell>
          <cell r="J3396" t="str">
            <v/>
          </cell>
          <cell r="K3396" t="str">
            <v/>
          </cell>
          <cell r="L3396" t="str">
            <v/>
          </cell>
        </row>
        <row r="3397">
          <cell r="A3397">
            <v>34000000</v>
          </cell>
          <cell r="C3397">
            <v>34000000</v>
          </cell>
          <cell r="D3397">
            <v>34000000</v>
          </cell>
          <cell r="E3397">
            <v>34000000</v>
          </cell>
          <cell r="F3397">
            <v>34000000</v>
          </cell>
          <cell r="G3397">
            <v>34000000</v>
          </cell>
          <cell r="H3397">
            <v>34000000</v>
          </cell>
          <cell r="I3397" t="str">
            <v/>
          </cell>
          <cell r="J3397" t="str">
            <v/>
          </cell>
          <cell r="K3397" t="str">
            <v/>
          </cell>
          <cell r="L3397" t="str">
            <v/>
          </cell>
        </row>
        <row r="3398">
          <cell r="A3398">
            <v>34000000</v>
          </cell>
          <cell r="C3398">
            <v>34000000</v>
          </cell>
          <cell r="D3398">
            <v>34000000</v>
          </cell>
          <cell r="E3398">
            <v>34000000</v>
          </cell>
          <cell r="F3398">
            <v>34000000</v>
          </cell>
          <cell r="G3398">
            <v>34000000</v>
          </cell>
          <cell r="H3398">
            <v>34000000</v>
          </cell>
          <cell r="I3398" t="str">
            <v/>
          </cell>
          <cell r="J3398" t="str">
            <v/>
          </cell>
          <cell r="K3398" t="str">
            <v/>
          </cell>
          <cell r="L3398" t="str">
            <v/>
          </cell>
        </row>
        <row r="3399">
          <cell r="A3399">
            <v>34000000</v>
          </cell>
          <cell r="C3399">
            <v>34000000</v>
          </cell>
          <cell r="D3399">
            <v>34000000</v>
          </cell>
          <cell r="E3399">
            <v>34000000</v>
          </cell>
          <cell r="F3399">
            <v>34000000</v>
          </cell>
          <cell r="G3399">
            <v>34000000</v>
          </cell>
          <cell r="H3399">
            <v>34000000</v>
          </cell>
          <cell r="I3399" t="str">
            <v/>
          </cell>
          <cell r="J3399" t="str">
            <v/>
          </cell>
          <cell r="K3399" t="str">
            <v/>
          </cell>
          <cell r="L3399" t="str">
            <v/>
          </cell>
        </row>
        <row r="3400">
          <cell r="A3400">
            <v>34000000</v>
          </cell>
          <cell r="C3400">
            <v>34000000</v>
          </cell>
          <cell r="D3400">
            <v>34000000</v>
          </cell>
          <cell r="E3400">
            <v>34000000</v>
          </cell>
          <cell r="F3400">
            <v>34000000</v>
          </cell>
          <cell r="G3400">
            <v>34000000</v>
          </cell>
          <cell r="H3400">
            <v>34000000</v>
          </cell>
          <cell r="I3400" t="str">
            <v/>
          </cell>
          <cell r="J3400" t="str">
            <v/>
          </cell>
          <cell r="K3400" t="str">
            <v/>
          </cell>
          <cell r="L3400" t="str">
            <v/>
          </cell>
        </row>
        <row r="3401">
          <cell r="A3401">
            <v>34000000</v>
          </cell>
          <cell r="C3401">
            <v>34000000</v>
          </cell>
          <cell r="D3401">
            <v>34000000</v>
          </cell>
          <cell r="E3401">
            <v>34000000</v>
          </cell>
          <cell r="F3401">
            <v>34000000</v>
          </cell>
          <cell r="G3401">
            <v>34000000</v>
          </cell>
          <cell r="H3401">
            <v>34000000</v>
          </cell>
          <cell r="I3401" t="str">
            <v/>
          </cell>
          <cell r="J3401" t="str">
            <v/>
          </cell>
          <cell r="K3401" t="str">
            <v/>
          </cell>
          <cell r="L3401" t="str">
            <v/>
          </cell>
        </row>
        <row r="3402">
          <cell r="A3402">
            <v>34000000</v>
          </cell>
          <cell r="C3402">
            <v>34000000</v>
          </cell>
          <cell r="D3402">
            <v>34000000</v>
          </cell>
          <cell r="E3402">
            <v>34000000</v>
          </cell>
          <cell r="F3402">
            <v>34000000</v>
          </cell>
          <cell r="G3402">
            <v>34000000</v>
          </cell>
          <cell r="H3402">
            <v>34000000</v>
          </cell>
          <cell r="I3402" t="str">
            <v/>
          </cell>
          <cell r="J3402" t="str">
            <v/>
          </cell>
          <cell r="K3402" t="str">
            <v/>
          </cell>
          <cell r="L3402" t="str">
            <v/>
          </cell>
        </row>
        <row r="3403">
          <cell r="A3403">
            <v>34000000</v>
          </cell>
          <cell r="C3403">
            <v>34000000</v>
          </cell>
          <cell r="D3403">
            <v>34000000</v>
          </cell>
          <cell r="E3403">
            <v>34000000</v>
          </cell>
          <cell r="F3403">
            <v>34000000</v>
          </cell>
          <cell r="G3403">
            <v>34000000</v>
          </cell>
          <cell r="H3403">
            <v>34000000</v>
          </cell>
          <cell r="I3403" t="str">
            <v/>
          </cell>
          <cell r="J3403" t="str">
            <v/>
          </cell>
          <cell r="K3403" t="str">
            <v/>
          </cell>
          <cell r="L3403" t="str">
            <v/>
          </cell>
        </row>
        <row r="3404">
          <cell r="A3404">
            <v>34000000</v>
          </cell>
          <cell r="C3404">
            <v>34000000</v>
          </cell>
          <cell r="D3404">
            <v>34000000</v>
          </cell>
          <cell r="E3404">
            <v>34000000</v>
          </cell>
          <cell r="F3404">
            <v>34000000</v>
          </cell>
          <cell r="G3404">
            <v>34000000</v>
          </cell>
          <cell r="H3404">
            <v>34000000</v>
          </cell>
          <cell r="I3404" t="str">
            <v/>
          </cell>
          <cell r="J3404" t="str">
            <v/>
          </cell>
          <cell r="K3404" t="str">
            <v/>
          </cell>
          <cell r="L3404" t="str">
            <v/>
          </cell>
        </row>
        <row r="3405">
          <cell r="A3405">
            <v>34000000</v>
          </cell>
          <cell r="C3405">
            <v>34000000</v>
          </cell>
          <cell r="D3405">
            <v>34000000</v>
          </cell>
          <cell r="E3405">
            <v>34000000</v>
          </cell>
          <cell r="F3405">
            <v>34000000</v>
          </cell>
          <cell r="G3405">
            <v>34000000</v>
          </cell>
          <cell r="H3405">
            <v>34000000</v>
          </cell>
          <cell r="I3405" t="str">
            <v/>
          </cell>
          <cell r="J3405" t="str">
            <v/>
          </cell>
          <cell r="K3405" t="str">
            <v/>
          </cell>
          <cell r="L3405" t="str">
            <v/>
          </cell>
        </row>
        <row r="3406">
          <cell r="A3406">
            <v>34000000</v>
          </cell>
          <cell r="C3406">
            <v>34000000</v>
          </cell>
          <cell r="D3406">
            <v>34000000</v>
          </cell>
          <cell r="E3406">
            <v>34000000</v>
          </cell>
          <cell r="F3406">
            <v>34000000</v>
          </cell>
          <cell r="G3406">
            <v>34000000</v>
          </cell>
          <cell r="H3406">
            <v>34000000</v>
          </cell>
          <cell r="I3406" t="str">
            <v/>
          </cell>
          <cell r="J3406" t="str">
            <v/>
          </cell>
          <cell r="K3406" t="str">
            <v/>
          </cell>
          <cell r="L3406" t="str">
            <v/>
          </cell>
        </row>
        <row r="3407">
          <cell r="A3407">
            <v>34000000</v>
          </cell>
          <cell r="C3407">
            <v>34000000</v>
          </cell>
          <cell r="D3407">
            <v>34000000</v>
          </cell>
          <cell r="E3407">
            <v>34000000</v>
          </cell>
          <cell r="F3407">
            <v>34000000</v>
          </cell>
          <cell r="G3407">
            <v>34000000</v>
          </cell>
          <cell r="H3407">
            <v>34000000</v>
          </cell>
          <cell r="I3407" t="str">
            <v/>
          </cell>
          <cell r="J3407" t="str">
            <v/>
          </cell>
          <cell r="K3407" t="str">
            <v/>
          </cell>
          <cell r="L3407" t="str">
            <v/>
          </cell>
        </row>
        <row r="3408">
          <cell r="A3408">
            <v>34000000</v>
          </cell>
          <cell r="C3408">
            <v>34000000</v>
          </cell>
          <cell r="D3408">
            <v>34000000</v>
          </cell>
          <cell r="E3408">
            <v>34000000</v>
          </cell>
          <cell r="F3408">
            <v>34000000</v>
          </cell>
          <cell r="G3408">
            <v>34000000</v>
          </cell>
          <cell r="H3408">
            <v>34000000</v>
          </cell>
          <cell r="I3408" t="str">
            <v/>
          </cell>
          <cell r="J3408" t="str">
            <v/>
          </cell>
          <cell r="K3408" t="str">
            <v/>
          </cell>
          <cell r="L3408" t="str">
            <v/>
          </cell>
        </row>
        <row r="3409">
          <cell r="A3409">
            <v>34000000</v>
          </cell>
          <cell r="C3409">
            <v>34000000</v>
          </cell>
          <cell r="D3409">
            <v>34000000</v>
          </cell>
          <cell r="E3409">
            <v>34000000</v>
          </cell>
          <cell r="F3409">
            <v>34000000</v>
          </cell>
          <cell r="G3409">
            <v>34000000</v>
          </cell>
          <cell r="H3409">
            <v>34000000</v>
          </cell>
          <cell r="I3409" t="str">
            <v/>
          </cell>
          <cell r="J3409" t="str">
            <v/>
          </cell>
          <cell r="K3409" t="str">
            <v/>
          </cell>
          <cell r="L3409" t="str">
            <v/>
          </cell>
        </row>
        <row r="3410">
          <cell r="A3410">
            <v>34000000</v>
          </cell>
          <cell r="C3410">
            <v>34000000</v>
          </cell>
          <cell r="D3410">
            <v>34000000</v>
          </cell>
          <cell r="E3410">
            <v>34000000</v>
          </cell>
          <cell r="F3410">
            <v>34000000</v>
          </cell>
          <cell r="G3410">
            <v>34000000</v>
          </cell>
          <cell r="H3410">
            <v>34000000</v>
          </cell>
          <cell r="I3410" t="str">
            <v/>
          </cell>
          <cell r="J3410" t="str">
            <v/>
          </cell>
          <cell r="K3410" t="str">
            <v/>
          </cell>
          <cell r="L3410" t="str">
            <v/>
          </cell>
        </row>
        <row r="3411">
          <cell r="A3411">
            <v>34000000</v>
          </cell>
          <cell r="C3411">
            <v>34000000</v>
          </cell>
          <cell r="D3411">
            <v>34000000</v>
          </cell>
          <cell r="E3411">
            <v>34000000</v>
          </cell>
          <cell r="F3411">
            <v>34000000</v>
          </cell>
          <cell r="G3411">
            <v>34000000</v>
          </cell>
          <cell r="H3411">
            <v>34000000</v>
          </cell>
          <cell r="I3411" t="str">
            <v/>
          </cell>
          <cell r="J3411" t="str">
            <v/>
          </cell>
          <cell r="K3411" t="str">
            <v/>
          </cell>
          <cell r="L3411" t="str">
            <v/>
          </cell>
        </row>
        <row r="3412">
          <cell r="A3412">
            <v>34000000</v>
          </cell>
          <cell r="C3412">
            <v>34000000</v>
          </cell>
          <cell r="D3412">
            <v>34000000</v>
          </cell>
          <cell r="E3412">
            <v>34000000</v>
          </cell>
          <cell r="F3412">
            <v>34000000</v>
          </cell>
          <cell r="G3412">
            <v>34000000</v>
          </cell>
          <cell r="H3412">
            <v>34000000</v>
          </cell>
          <cell r="I3412" t="str">
            <v/>
          </cell>
          <cell r="J3412" t="str">
            <v/>
          </cell>
          <cell r="K3412" t="str">
            <v/>
          </cell>
          <cell r="L3412" t="str">
            <v/>
          </cell>
        </row>
        <row r="3413">
          <cell r="A3413">
            <v>34000000</v>
          </cell>
          <cell r="C3413">
            <v>34000000</v>
          </cell>
          <cell r="D3413">
            <v>34000000</v>
          </cell>
          <cell r="E3413">
            <v>34000000</v>
          </cell>
          <cell r="F3413">
            <v>34000000</v>
          </cell>
          <cell r="G3413">
            <v>34000000</v>
          </cell>
          <cell r="H3413">
            <v>34000000</v>
          </cell>
          <cell r="I3413" t="str">
            <v/>
          </cell>
          <cell r="J3413" t="str">
            <v/>
          </cell>
          <cell r="K3413" t="str">
            <v/>
          </cell>
          <cell r="L3413" t="str">
            <v/>
          </cell>
        </row>
        <row r="3414">
          <cell r="A3414">
            <v>34000000</v>
          </cell>
          <cell r="C3414">
            <v>34000000</v>
          </cell>
          <cell r="D3414">
            <v>34000000</v>
          </cell>
          <cell r="E3414">
            <v>34000000</v>
          </cell>
          <cell r="F3414">
            <v>34000000</v>
          </cell>
          <cell r="G3414">
            <v>34000000</v>
          </cell>
          <cell r="H3414">
            <v>34000000</v>
          </cell>
          <cell r="I3414" t="str">
            <v/>
          </cell>
          <cell r="J3414" t="str">
            <v/>
          </cell>
          <cell r="K3414" t="str">
            <v/>
          </cell>
          <cell r="L3414" t="str">
            <v/>
          </cell>
        </row>
        <row r="3415">
          <cell r="A3415">
            <v>34000000</v>
          </cell>
          <cell r="C3415">
            <v>34000000</v>
          </cell>
          <cell r="D3415">
            <v>34000000</v>
          </cell>
          <cell r="E3415">
            <v>34000000</v>
          </cell>
          <cell r="F3415">
            <v>34000000</v>
          </cell>
          <cell r="G3415">
            <v>34000000</v>
          </cell>
          <cell r="H3415">
            <v>34000000</v>
          </cell>
          <cell r="I3415" t="str">
            <v/>
          </cell>
          <cell r="J3415" t="str">
            <v/>
          </cell>
          <cell r="K3415" t="str">
            <v/>
          </cell>
          <cell r="L3415" t="str">
            <v/>
          </cell>
        </row>
        <row r="3416">
          <cell r="A3416">
            <v>34000000</v>
          </cell>
          <cell r="C3416">
            <v>34000000</v>
          </cell>
          <cell r="D3416">
            <v>34000000</v>
          </cell>
          <cell r="E3416">
            <v>34000000</v>
          </cell>
          <cell r="F3416">
            <v>34000000</v>
          </cell>
          <cell r="G3416">
            <v>34000000</v>
          </cell>
          <cell r="H3416">
            <v>34000000</v>
          </cell>
          <cell r="I3416" t="str">
            <v/>
          </cell>
          <cell r="J3416" t="str">
            <v/>
          </cell>
          <cell r="K3416" t="str">
            <v/>
          </cell>
          <cell r="L3416" t="str">
            <v/>
          </cell>
        </row>
        <row r="3417">
          <cell r="A3417">
            <v>34000000</v>
          </cell>
          <cell r="C3417">
            <v>34000000</v>
          </cell>
          <cell r="D3417">
            <v>34000000</v>
          </cell>
          <cell r="E3417">
            <v>34000000</v>
          </cell>
          <cell r="F3417">
            <v>34000000</v>
          </cell>
          <cell r="G3417">
            <v>34000000</v>
          </cell>
          <cell r="H3417">
            <v>34000000</v>
          </cell>
          <cell r="I3417" t="str">
            <v/>
          </cell>
          <cell r="J3417" t="str">
            <v/>
          </cell>
          <cell r="K3417" t="str">
            <v/>
          </cell>
          <cell r="L3417" t="str">
            <v/>
          </cell>
        </row>
        <row r="3418">
          <cell r="A3418">
            <v>34000000</v>
          </cell>
          <cell r="C3418">
            <v>34000000</v>
          </cell>
          <cell r="D3418">
            <v>34000000</v>
          </cell>
          <cell r="E3418">
            <v>34000000</v>
          </cell>
          <cell r="F3418">
            <v>34000000</v>
          </cell>
          <cell r="G3418">
            <v>34000000</v>
          </cell>
          <cell r="H3418">
            <v>34000000</v>
          </cell>
          <cell r="I3418" t="str">
            <v/>
          </cell>
          <cell r="J3418" t="str">
            <v/>
          </cell>
          <cell r="K3418" t="str">
            <v/>
          </cell>
          <cell r="L3418" t="str">
            <v/>
          </cell>
        </row>
        <row r="3419">
          <cell r="A3419">
            <v>34000000</v>
          </cell>
          <cell r="C3419">
            <v>34000000</v>
          </cell>
          <cell r="D3419">
            <v>34000000</v>
          </cell>
          <cell r="E3419">
            <v>34000000</v>
          </cell>
          <cell r="F3419">
            <v>34000000</v>
          </cell>
          <cell r="G3419">
            <v>34000000</v>
          </cell>
          <cell r="H3419">
            <v>34000000</v>
          </cell>
          <cell r="I3419" t="str">
            <v/>
          </cell>
          <cell r="J3419" t="str">
            <v/>
          </cell>
          <cell r="K3419" t="str">
            <v/>
          </cell>
          <cell r="L3419" t="str">
            <v/>
          </cell>
        </row>
        <row r="3420">
          <cell r="A3420">
            <v>34000000</v>
          </cell>
          <cell r="C3420">
            <v>34000000</v>
          </cell>
          <cell r="D3420">
            <v>34000000</v>
          </cell>
          <cell r="E3420">
            <v>34000000</v>
          </cell>
          <cell r="F3420">
            <v>34000000</v>
          </cell>
          <cell r="G3420">
            <v>34000000</v>
          </cell>
          <cell r="H3420">
            <v>34000000</v>
          </cell>
          <cell r="I3420" t="str">
            <v/>
          </cell>
          <cell r="J3420" t="str">
            <v/>
          </cell>
          <cell r="K3420" t="str">
            <v/>
          </cell>
          <cell r="L3420" t="str">
            <v/>
          </cell>
        </row>
        <row r="3421">
          <cell r="A3421">
            <v>34000000</v>
          </cell>
          <cell r="C3421">
            <v>34000000</v>
          </cell>
          <cell r="D3421">
            <v>34000000</v>
          </cell>
          <cell r="E3421">
            <v>34000000</v>
          </cell>
          <cell r="F3421">
            <v>34000000</v>
          </cell>
          <cell r="G3421">
            <v>34000000</v>
          </cell>
          <cell r="H3421">
            <v>34000000</v>
          </cell>
          <cell r="I3421" t="str">
            <v/>
          </cell>
          <cell r="J3421" t="str">
            <v/>
          </cell>
          <cell r="K3421" t="str">
            <v/>
          </cell>
          <cell r="L3421" t="str">
            <v/>
          </cell>
        </row>
        <row r="3422">
          <cell r="A3422">
            <v>34000000</v>
          </cell>
          <cell r="C3422">
            <v>34000000</v>
          </cell>
          <cell r="D3422">
            <v>34000000</v>
          </cell>
          <cell r="E3422">
            <v>34000000</v>
          </cell>
          <cell r="F3422">
            <v>34000000</v>
          </cell>
          <cell r="G3422">
            <v>34000000</v>
          </cell>
          <cell r="H3422">
            <v>34000000</v>
          </cell>
          <cell r="I3422" t="str">
            <v/>
          </cell>
          <cell r="J3422" t="str">
            <v/>
          </cell>
          <cell r="K3422" t="str">
            <v/>
          </cell>
          <cell r="L3422" t="str">
            <v/>
          </cell>
        </row>
        <row r="3423">
          <cell r="A3423">
            <v>34000000</v>
          </cell>
          <cell r="C3423">
            <v>34000000</v>
          </cell>
          <cell r="D3423">
            <v>34000000</v>
          </cell>
          <cell r="E3423">
            <v>34000000</v>
          </cell>
          <cell r="F3423">
            <v>34000000</v>
          </cell>
          <cell r="G3423">
            <v>34000000</v>
          </cell>
          <cell r="H3423">
            <v>34000000</v>
          </cell>
          <cell r="I3423" t="str">
            <v/>
          </cell>
          <cell r="J3423" t="str">
            <v/>
          </cell>
          <cell r="K3423" t="str">
            <v/>
          </cell>
          <cell r="L3423" t="str">
            <v/>
          </cell>
        </row>
        <row r="3424">
          <cell r="A3424">
            <v>34000000</v>
          </cell>
          <cell r="C3424">
            <v>34000000</v>
          </cell>
          <cell r="D3424">
            <v>34000000</v>
          </cell>
          <cell r="E3424">
            <v>34000000</v>
          </cell>
          <cell r="F3424">
            <v>34000000</v>
          </cell>
          <cell r="G3424">
            <v>34000000</v>
          </cell>
          <cell r="H3424">
            <v>34000000</v>
          </cell>
          <cell r="I3424" t="str">
            <v/>
          </cell>
          <cell r="J3424" t="str">
            <v/>
          </cell>
          <cell r="K3424" t="str">
            <v/>
          </cell>
          <cell r="L3424" t="str">
            <v/>
          </cell>
        </row>
        <row r="3425">
          <cell r="A3425">
            <v>34000000</v>
          </cell>
          <cell r="C3425">
            <v>34000000</v>
          </cell>
          <cell r="D3425">
            <v>34000000</v>
          </cell>
          <cell r="E3425">
            <v>34000000</v>
          </cell>
          <cell r="F3425">
            <v>34000000</v>
          </cell>
          <cell r="G3425">
            <v>34000000</v>
          </cell>
          <cell r="H3425">
            <v>34000000</v>
          </cell>
          <cell r="I3425" t="str">
            <v/>
          </cell>
          <cell r="J3425" t="str">
            <v/>
          </cell>
          <cell r="K3425" t="str">
            <v/>
          </cell>
          <cell r="L3425" t="str">
            <v/>
          </cell>
        </row>
        <row r="3426">
          <cell r="A3426">
            <v>34000000</v>
          </cell>
          <cell r="C3426">
            <v>34000000</v>
          </cell>
          <cell r="D3426">
            <v>34000000</v>
          </cell>
          <cell r="E3426">
            <v>34000000</v>
          </cell>
          <cell r="F3426">
            <v>34000000</v>
          </cell>
          <cell r="G3426">
            <v>34000000</v>
          </cell>
          <cell r="H3426">
            <v>34000000</v>
          </cell>
          <cell r="I3426" t="str">
            <v/>
          </cell>
          <cell r="J3426" t="str">
            <v/>
          </cell>
          <cell r="K3426" t="str">
            <v/>
          </cell>
          <cell r="L3426" t="str">
            <v/>
          </cell>
        </row>
        <row r="3427">
          <cell r="A3427">
            <v>34000000</v>
          </cell>
          <cell r="C3427">
            <v>34000000</v>
          </cell>
          <cell r="D3427">
            <v>34000000</v>
          </cell>
          <cell r="E3427">
            <v>34000000</v>
          </cell>
          <cell r="F3427">
            <v>34000000</v>
          </cell>
          <cell r="G3427">
            <v>34000000</v>
          </cell>
          <cell r="H3427">
            <v>34000000</v>
          </cell>
          <cell r="I3427" t="str">
            <v/>
          </cell>
          <cell r="J3427" t="str">
            <v/>
          </cell>
          <cell r="K3427" t="str">
            <v/>
          </cell>
          <cell r="L3427" t="str">
            <v/>
          </cell>
        </row>
        <row r="3428">
          <cell r="A3428">
            <v>34000000</v>
          </cell>
          <cell r="C3428">
            <v>34000000</v>
          </cell>
          <cell r="D3428">
            <v>34000000</v>
          </cell>
          <cell r="E3428">
            <v>34000000</v>
          </cell>
          <cell r="F3428">
            <v>34000000</v>
          </cell>
          <cell r="G3428">
            <v>34000000</v>
          </cell>
          <cell r="H3428">
            <v>34000000</v>
          </cell>
          <cell r="I3428" t="str">
            <v/>
          </cell>
          <cell r="J3428" t="str">
            <v/>
          </cell>
          <cell r="K3428" t="str">
            <v/>
          </cell>
          <cell r="L3428" t="str">
            <v/>
          </cell>
        </row>
        <row r="3429">
          <cell r="A3429">
            <v>34000000</v>
          </cell>
          <cell r="C3429">
            <v>34000000</v>
          </cell>
          <cell r="D3429">
            <v>34000000</v>
          </cell>
          <cell r="E3429">
            <v>34000000</v>
          </cell>
          <cell r="F3429">
            <v>34000000</v>
          </cell>
          <cell r="G3429">
            <v>34000000</v>
          </cell>
          <cell r="H3429">
            <v>34000000</v>
          </cell>
          <cell r="I3429" t="str">
            <v/>
          </cell>
          <cell r="J3429" t="str">
            <v/>
          </cell>
          <cell r="K3429" t="str">
            <v/>
          </cell>
          <cell r="L3429" t="str">
            <v/>
          </cell>
        </row>
        <row r="3430">
          <cell r="A3430">
            <v>34000000</v>
          </cell>
          <cell r="C3430">
            <v>34000000</v>
          </cell>
          <cell r="D3430">
            <v>34000000</v>
          </cell>
          <cell r="E3430">
            <v>34000000</v>
          </cell>
          <cell r="F3430">
            <v>34000000</v>
          </cell>
          <cell r="G3430">
            <v>34000000</v>
          </cell>
          <cell r="H3430">
            <v>34000000</v>
          </cell>
          <cell r="I3430" t="str">
            <v/>
          </cell>
          <cell r="J3430" t="str">
            <v/>
          </cell>
          <cell r="K3430" t="str">
            <v/>
          </cell>
          <cell r="L3430" t="str">
            <v/>
          </cell>
        </row>
        <row r="3431">
          <cell r="A3431">
            <v>34000000</v>
          </cell>
          <cell r="C3431">
            <v>34000000</v>
          </cell>
          <cell r="D3431">
            <v>34000000</v>
          </cell>
          <cell r="E3431">
            <v>34000000</v>
          </cell>
          <cell r="F3431">
            <v>34000000</v>
          </cell>
          <cell r="G3431">
            <v>34000000</v>
          </cell>
          <cell r="H3431">
            <v>34000000</v>
          </cell>
          <cell r="I3431" t="str">
            <v/>
          </cell>
          <cell r="J3431" t="str">
            <v/>
          </cell>
          <cell r="K3431" t="str">
            <v/>
          </cell>
          <cell r="L3431" t="str">
            <v/>
          </cell>
        </row>
        <row r="3432">
          <cell r="A3432">
            <v>34000000</v>
          </cell>
          <cell r="C3432">
            <v>34000000</v>
          </cell>
          <cell r="D3432">
            <v>34000000</v>
          </cell>
          <cell r="E3432">
            <v>34000000</v>
          </cell>
          <cell r="F3432">
            <v>34000000</v>
          </cell>
          <cell r="G3432">
            <v>34000000</v>
          </cell>
          <cell r="H3432">
            <v>34000000</v>
          </cell>
          <cell r="I3432" t="str">
            <v/>
          </cell>
          <cell r="J3432" t="str">
            <v/>
          </cell>
          <cell r="K3432" t="str">
            <v/>
          </cell>
          <cell r="L3432" t="str">
            <v/>
          </cell>
        </row>
        <row r="3433">
          <cell r="A3433">
            <v>34000000</v>
          </cell>
          <cell r="C3433">
            <v>34000000</v>
          </cell>
          <cell r="D3433">
            <v>34000000</v>
          </cell>
          <cell r="E3433">
            <v>34000000</v>
          </cell>
          <cell r="F3433">
            <v>34000000</v>
          </cell>
          <cell r="G3433">
            <v>34000000</v>
          </cell>
          <cell r="H3433">
            <v>34000000</v>
          </cell>
          <cell r="I3433" t="str">
            <v/>
          </cell>
          <cell r="J3433" t="str">
            <v/>
          </cell>
          <cell r="K3433" t="str">
            <v/>
          </cell>
          <cell r="L3433" t="str">
            <v/>
          </cell>
        </row>
        <row r="3434">
          <cell r="A3434">
            <v>34000000</v>
          </cell>
          <cell r="C3434">
            <v>34000000</v>
          </cell>
          <cell r="D3434">
            <v>34000000</v>
          </cell>
          <cell r="E3434">
            <v>34000000</v>
          </cell>
          <cell r="F3434">
            <v>34000000</v>
          </cell>
          <cell r="G3434">
            <v>34000000</v>
          </cell>
          <cell r="H3434">
            <v>34000000</v>
          </cell>
          <cell r="I3434" t="str">
            <v/>
          </cell>
          <cell r="J3434" t="str">
            <v/>
          </cell>
          <cell r="K3434" t="str">
            <v/>
          </cell>
          <cell r="L3434" t="str">
            <v/>
          </cell>
        </row>
        <row r="3435">
          <cell r="A3435">
            <v>34000000</v>
          </cell>
          <cell r="C3435">
            <v>34000000</v>
          </cell>
          <cell r="D3435">
            <v>34000000</v>
          </cell>
          <cell r="E3435">
            <v>34000000</v>
          </cell>
          <cell r="F3435">
            <v>34000000</v>
          </cell>
          <cell r="G3435">
            <v>34000000</v>
          </cell>
          <cell r="H3435">
            <v>34000000</v>
          </cell>
          <cell r="I3435" t="str">
            <v/>
          </cell>
          <cell r="J3435" t="str">
            <v/>
          </cell>
          <cell r="K3435" t="str">
            <v/>
          </cell>
          <cell r="L3435" t="str">
            <v/>
          </cell>
        </row>
        <row r="3436">
          <cell r="A3436">
            <v>34000000</v>
          </cell>
          <cell r="C3436">
            <v>34000000</v>
          </cell>
          <cell r="D3436">
            <v>34000000</v>
          </cell>
          <cell r="E3436">
            <v>34000000</v>
          </cell>
          <cell r="F3436">
            <v>34000000</v>
          </cell>
          <cell r="G3436">
            <v>34000000</v>
          </cell>
          <cell r="H3436">
            <v>34000000</v>
          </cell>
          <cell r="I3436" t="str">
            <v/>
          </cell>
          <cell r="J3436" t="str">
            <v/>
          </cell>
          <cell r="K3436" t="str">
            <v/>
          </cell>
          <cell r="L3436" t="str">
            <v/>
          </cell>
        </row>
        <row r="3437">
          <cell r="A3437">
            <v>34000000</v>
          </cell>
          <cell r="C3437">
            <v>34000000</v>
          </cell>
          <cell r="D3437">
            <v>34000000</v>
          </cell>
          <cell r="E3437">
            <v>34000000</v>
          </cell>
          <cell r="F3437">
            <v>34000000</v>
          </cell>
          <cell r="G3437">
            <v>34000000</v>
          </cell>
          <cell r="H3437">
            <v>34000000</v>
          </cell>
          <cell r="I3437" t="str">
            <v/>
          </cell>
          <cell r="J3437" t="str">
            <v/>
          </cell>
          <cell r="K3437" t="str">
            <v/>
          </cell>
          <cell r="L3437" t="str">
            <v/>
          </cell>
        </row>
        <row r="3438">
          <cell r="A3438">
            <v>34000000</v>
          </cell>
          <cell r="C3438">
            <v>34000000</v>
          </cell>
          <cell r="D3438">
            <v>34000000</v>
          </cell>
          <cell r="E3438">
            <v>34000000</v>
          </cell>
          <cell r="F3438">
            <v>34000000</v>
          </cell>
          <cell r="G3438">
            <v>34000000</v>
          </cell>
          <cell r="H3438">
            <v>34000000</v>
          </cell>
          <cell r="I3438" t="str">
            <v/>
          </cell>
          <cell r="J3438" t="str">
            <v/>
          </cell>
          <cell r="K3438" t="str">
            <v/>
          </cell>
          <cell r="L3438" t="str">
            <v/>
          </cell>
        </row>
        <row r="3439">
          <cell r="A3439">
            <v>34000000</v>
          </cell>
          <cell r="C3439">
            <v>34000000</v>
          </cell>
          <cell r="D3439">
            <v>34000000</v>
          </cell>
          <cell r="E3439">
            <v>34000000</v>
          </cell>
          <cell r="F3439">
            <v>34000000</v>
          </cell>
          <cell r="G3439">
            <v>34000000</v>
          </cell>
          <cell r="H3439">
            <v>34000000</v>
          </cell>
          <cell r="I3439" t="str">
            <v/>
          </cell>
          <cell r="J3439" t="str">
            <v/>
          </cell>
          <cell r="K3439" t="str">
            <v/>
          </cell>
          <cell r="L3439" t="str">
            <v/>
          </cell>
        </row>
        <row r="3440">
          <cell r="A3440">
            <v>34000000</v>
          </cell>
          <cell r="C3440">
            <v>34000000</v>
          </cell>
          <cell r="D3440">
            <v>34000000</v>
          </cell>
          <cell r="E3440">
            <v>34000000</v>
          </cell>
          <cell r="F3440">
            <v>34000000</v>
          </cell>
          <cell r="G3440">
            <v>34000000</v>
          </cell>
          <cell r="H3440">
            <v>34000000</v>
          </cell>
          <cell r="I3440" t="str">
            <v/>
          </cell>
          <cell r="J3440" t="str">
            <v/>
          </cell>
          <cell r="K3440" t="str">
            <v/>
          </cell>
          <cell r="L3440" t="str">
            <v/>
          </cell>
        </row>
        <row r="3441">
          <cell r="A3441">
            <v>34000000</v>
          </cell>
          <cell r="C3441">
            <v>34000000</v>
          </cell>
          <cell r="D3441">
            <v>34000000</v>
          </cell>
          <cell r="E3441">
            <v>34000000</v>
          </cell>
          <cell r="F3441">
            <v>34000000</v>
          </cell>
          <cell r="G3441">
            <v>34000000</v>
          </cell>
          <cell r="H3441">
            <v>34000000</v>
          </cell>
          <cell r="I3441" t="str">
            <v/>
          </cell>
          <cell r="J3441" t="str">
            <v/>
          </cell>
          <cell r="K3441" t="str">
            <v/>
          </cell>
          <cell r="L3441" t="str">
            <v/>
          </cell>
        </row>
        <row r="3442">
          <cell r="A3442">
            <v>34000000</v>
          </cell>
          <cell r="C3442">
            <v>34000000</v>
          </cell>
          <cell r="D3442">
            <v>34000000</v>
          </cell>
          <cell r="E3442">
            <v>34000000</v>
          </cell>
          <cell r="F3442">
            <v>34000000</v>
          </cell>
          <cell r="G3442">
            <v>34000000</v>
          </cell>
          <cell r="H3442">
            <v>34000000</v>
          </cell>
          <cell r="I3442" t="str">
            <v/>
          </cell>
          <cell r="J3442" t="str">
            <v/>
          </cell>
          <cell r="K3442" t="str">
            <v/>
          </cell>
          <cell r="L3442" t="str">
            <v/>
          </cell>
        </row>
        <row r="3443">
          <cell r="A3443">
            <v>34000000</v>
          </cell>
          <cell r="C3443">
            <v>34000000</v>
          </cell>
          <cell r="D3443">
            <v>34000000</v>
          </cell>
          <cell r="E3443">
            <v>34000000</v>
          </cell>
          <cell r="F3443">
            <v>34000000</v>
          </cell>
          <cell r="G3443">
            <v>34000000</v>
          </cell>
          <cell r="H3443">
            <v>34000000</v>
          </cell>
          <cell r="I3443" t="str">
            <v/>
          </cell>
          <cell r="J3443" t="str">
            <v/>
          </cell>
          <cell r="K3443" t="str">
            <v/>
          </cell>
          <cell r="L3443" t="str">
            <v/>
          </cell>
        </row>
        <row r="3444">
          <cell r="A3444">
            <v>34000000</v>
          </cell>
          <cell r="C3444">
            <v>34000000</v>
          </cell>
          <cell r="D3444">
            <v>34000000</v>
          </cell>
          <cell r="E3444">
            <v>34000000</v>
          </cell>
          <cell r="F3444">
            <v>34000000</v>
          </cell>
          <cell r="G3444">
            <v>34000000</v>
          </cell>
          <cell r="H3444">
            <v>34000000</v>
          </cell>
          <cell r="I3444" t="str">
            <v/>
          </cell>
          <cell r="J3444" t="str">
            <v/>
          </cell>
          <cell r="K3444" t="str">
            <v/>
          </cell>
          <cell r="L3444" t="str">
            <v/>
          </cell>
        </row>
        <row r="3445">
          <cell r="A3445">
            <v>34000000</v>
          </cell>
          <cell r="C3445">
            <v>34000000</v>
          </cell>
          <cell r="D3445">
            <v>34000000</v>
          </cell>
          <cell r="E3445">
            <v>34000000</v>
          </cell>
          <cell r="F3445">
            <v>34000000</v>
          </cell>
          <cell r="G3445">
            <v>34000000</v>
          </cell>
          <cell r="H3445">
            <v>34000000</v>
          </cell>
          <cell r="I3445" t="str">
            <v/>
          </cell>
          <cell r="J3445" t="str">
            <v/>
          </cell>
          <cell r="K3445" t="str">
            <v/>
          </cell>
          <cell r="L3445" t="str">
            <v/>
          </cell>
        </row>
        <row r="3446">
          <cell r="A3446">
            <v>34000000</v>
          </cell>
          <cell r="C3446">
            <v>34000000</v>
          </cell>
          <cell r="D3446">
            <v>34000000</v>
          </cell>
          <cell r="E3446">
            <v>34000000</v>
          </cell>
          <cell r="F3446">
            <v>34000000</v>
          </cell>
          <cell r="G3446">
            <v>34000000</v>
          </cell>
          <cell r="H3446">
            <v>34000000</v>
          </cell>
          <cell r="I3446" t="str">
            <v/>
          </cell>
          <cell r="J3446" t="str">
            <v/>
          </cell>
          <cell r="K3446" t="str">
            <v/>
          </cell>
          <cell r="L3446" t="str">
            <v/>
          </cell>
        </row>
        <row r="3447">
          <cell r="A3447">
            <v>34000000</v>
          </cell>
          <cell r="C3447">
            <v>34000000</v>
          </cell>
          <cell r="D3447">
            <v>34000000</v>
          </cell>
          <cell r="E3447">
            <v>34000000</v>
          </cell>
          <cell r="F3447">
            <v>34000000</v>
          </cell>
          <cell r="G3447">
            <v>34000000</v>
          </cell>
          <cell r="H3447">
            <v>34000000</v>
          </cell>
          <cell r="I3447" t="str">
            <v/>
          </cell>
          <cell r="J3447" t="str">
            <v/>
          </cell>
          <cell r="K3447" t="str">
            <v/>
          </cell>
          <cell r="L3447" t="str">
            <v/>
          </cell>
        </row>
        <row r="3448">
          <cell r="A3448">
            <v>34000000</v>
          </cell>
          <cell r="C3448">
            <v>34000000</v>
          </cell>
          <cell r="D3448">
            <v>34000000</v>
          </cell>
          <cell r="E3448">
            <v>34000000</v>
          </cell>
          <cell r="F3448">
            <v>34000000</v>
          </cell>
          <cell r="G3448">
            <v>34000000</v>
          </cell>
          <cell r="H3448">
            <v>34000000</v>
          </cell>
          <cell r="I3448" t="str">
            <v/>
          </cell>
          <cell r="J3448" t="str">
            <v/>
          </cell>
          <cell r="K3448" t="str">
            <v/>
          </cell>
          <cell r="L3448" t="str">
            <v/>
          </cell>
        </row>
        <row r="3449">
          <cell r="A3449">
            <v>34000000</v>
          </cell>
          <cell r="C3449">
            <v>34000000</v>
          </cell>
          <cell r="D3449">
            <v>34000000</v>
          </cell>
          <cell r="E3449">
            <v>34000000</v>
          </cell>
          <cell r="F3449">
            <v>34000000</v>
          </cell>
          <cell r="G3449">
            <v>34000000</v>
          </cell>
          <cell r="H3449">
            <v>34000000</v>
          </cell>
          <cell r="I3449" t="str">
            <v/>
          </cell>
          <cell r="J3449" t="str">
            <v/>
          </cell>
          <cell r="K3449" t="str">
            <v/>
          </cell>
          <cell r="L3449" t="str">
            <v/>
          </cell>
        </row>
        <row r="3450">
          <cell r="A3450">
            <v>34000000</v>
          </cell>
          <cell r="C3450">
            <v>34000000</v>
          </cell>
          <cell r="D3450">
            <v>34000000</v>
          </cell>
          <cell r="E3450">
            <v>34000000</v>
          </cell>
          <cell r="F3450">
            <v>34000000</v>
          </cell>
          <cell r="G3450">
            <v>34000000</v>
          </cell>
          <cell r="H3450">
            <v>34000000</v>
          </cell>
          <cell r="I3450" t="str">
            <v/>
          </cell>
          <cell r="J3450" t="str">
            <v/>
          </cell>
          <cell r="K3450" t="str">
            <v/>
          </cell>
          <cell r="L3450" t="str">
            <v/>
          </cell>
        </row>
        <row r="3451">
          <cell r="A3451">
            <v>34000000</v>
          </cell>
          <cell r="C3451">
            <v>34000000</v>
          </cell>
          <cell r="D3451">
            <v>34000000</v>
          </cell>
          <cell r="E3451">
            <v>34000000</v>
          </cell>
          <cell r="F3451">
            <v>34000000</v>
          </cell>
          <cell r="G3451">
            <v>34000000</v>
          </cell>
          <cell r="H3451">
            <v>34000000</v>
          </cell>
          <cell r="I3451" t="str">
            <v/>
          </cell>
          <cell r="J3451" t="str">
            <v/>
          </cell>
          <cell r="K3451" t="str">
            <v/>
          </cell>
          <cell r="L3451" t="str">
            <v/>
          </cell>
        </row>
        <row r="3452">
          <cell r="A3452">
            <v>34000000</v>
          </cell>
          <cell r="C3452">
            <v>34000000</v>
          </cell>
          <cell r="D3452">
            <v>34000000</v>
          </cell>
          <cell r="E3452">
            <v>34000000</v>
          </cell>
          <cell r="F3452">
            <v>34000000</v>
          </cell>
          <cell r="G3452">
            <v>34000000</v>
          </cell>
          <cell r="H3452">
            <v>34000000</v>
          </cell>
          <cell r="I3452" t="str">
            <v/>
          </cell>
          <cell r="J3452" t="str">
            <v/>
          </cell>
          <cell r="K3452" t="str">
            <v/>
          </cell>
          <cell r="L3452" t="str">
            <v/>
          </cell>
        </row>
        <row r="3453">
          <cell r="A3453">
            <v>34000000</v>
          </cell>
          <cell r="C3453">
            <v>34000000</v>
          </cell>
          <cell r="D3453">
            <v>34000000</v>
          </cell>
          <cell r="E3453">
            <v>34000000</v>
          </cell>
          <cell r="F3453">
            <v>34000000</v>
          </cell>
          <cell r="G3453">
            <v>34000000</v>
          </cell>
          <cell r="H3453">
            <v>34000000</v>
          </cell>
          <cell r="I3453" t="str">
            <v/>
          </cell>
          <cell r="J3453" t="str">
            <v/>
          </cell>
          <cell r="K3453" t="str">
            <v/>
          </cell>
          <cell r="L3453" t="str">
            <v/>
          </cell>
        </row>
        <row r="3454">
          <cell r="A3454">
            <v>34000000</v>
          </cell>
          <cell r="C3454">
            <v>34000000</v>
          </cell>
          <cell r="D3454">
            <v>34000000</v>
          </cell>
          <cell r="E3454">
            <v>34000000</v>
          </cell>
          <cell r="F3454">
            <v>34000000</v>
          </cell>
          <cell r="G3454">
            <v>34000000</v>
          </cell>
          <cell r="H3454">
            <v>34000000</v>
          </cell>
          <cell r="I3454" t="str">
            <v/>
          </cell>
          <cell r="J3454" t="str">
            <v/>
          </cell>
          <cell r="K3454" t="str">
            <v/>
          </cell>
          <cell r="L3454" t="str">
            <v/>
          </cell>
        </row>
        <row r="3455">
          <cell r="A3455">
            <v>34000000</v>
          </cell>
          <cell r="C3455">
            <v>34000000</v>
          </cell>
          <cell r="D3455">
            <v>34000000</v>
          </cell>
          <cell r="E3455">
            <v>34000000</v>
          </cell>
          <cell r="F3455">
            <v>34000000</v>
          </cell>
          <cell r="G3455">
            <v>34000000</v>
          </cell>
          <cell r="H3455">
            <v>34000000</v>
          </cell>
          <cell r="I3455" t="str">
            <v/>
          </cell>
          <cell r="J3455" t="str">
            <v/>
          </cell>
          <cell r="K3455" t="str">
            <v/>
          </cell>
          <cell r="L3455" t="str">
            <v/>
          </cell>
        </row>
        <row r="3456">
          <cell r="A3456">
            <v>34000000</v>
          </cell>
          <cell r="C3456">
            <v>34000000</v>
          </cell>
          <cell r="D3456">
            <v>34000000</v>
          </cell>
          <cell r="E3456">
            <v>34000000</v>
          </cell>
          <cell r="F3456">
            <v>34000000</v>
          </cell>
          <cell r="G3456">
            <v>34000000</v>
          </cell>
          <cell r="H3456">
            <v>34000000</v>
          </cell>
          <cell r="I3456" t="str">
            <v/>
          </cell>
          <cell r="J3456" t="str">
            <v/>
          </cell>
          <cell r="K3456" t="str">
            <v/>
          </cell>
          <cell r="L3456" t="str">
            <v/>
          </cell>
        </row>
        <row r="3457">
          <cell r="A3457">
            <v>34000000</v>
          </cell>
          <cell r="C3457">
            <v>34000000</v>
          </cell>
          <cell r="D3457">
            <v>34000000</v>
          </cell>
          <cell r="E3457">
            <v>34000000</v>
          </cell>
          <cell r="F3457">
            <v>34000000</v>
          </cell>
          <cell r="G3457">
            <v>34000000</v>
          </cell>
          <cell r="H3457">
            <v>34000000</v>
          </cell>
          <cell r="I3457" t="str">
            <v/>
          </cell>
          <cell r="J3457" t="str">
            <v/>
          </cell>
          <cell r="K3457" t="str">
            <v/>
          </cell>
          <cell r="L3457" t="str">
            <v/>
          </cell>
        </row>
        <row r="3458">
          <cell r="A3458">
            <v>34000000</v>
          </cell>
          <cell r="C3458">
            <v>34000000</v>
          </cell>
          <cell r="D3458">
            <v>34000000</v>
          </cell>
          <cell r="E3458">
            <v>34000000</v>
          </cell>
          <cell r="F3458">
            <v>34000000</v>
          </cell>
          <cell r="G3458">
            <v>34000000</v>
          </cell>
          <cell r="H3458">
            <v>34000000</v>
          </cell>
          <cell r="I3458" t="str">
            <v/>
          </cell>
          <cell r="J3458" t="str">
            <v/>
          </cell>
          <cell r="K3458" t="str">
            <v/>
          </cell>
          <cell r="L3458" t="str">
            <v/>
          </cell>
        </row>
        <row r="3459">
          <cell r="A3459">
            <v>34000000</v>
          </cell>
          <cell r="C3459">
            <v>34000000</v>
          </cell>
          <cell r="D3459">
            <v>34000000</v>
          </cell>
          <cell r="E3459">
            <v>34000000</v>
          </cell>
          <cell r="F3459">
            <v>34000000</v>
          </cell>
          <cell r="G3459">
            <v>34000000</v>
          </cell>
          <cell r="H3459">
            <v>34000000</v>
          </cell>
          <cell r="I3459" t="str">
            <v/>
          </cell>
          <cell r="J3459" t="str">
            <v/>
          </cell>
          <cell r="K3459" t="str">
            <v/>
          </cell>
          <cell r="L3459" t="str">
            <v/>
          </cell>
        </row>
        <row r="3460">
          <cell r="A3460">
            <v>34000000</v>
          </cell>
          <cell r="C3460">
            <v>34000000</v>
          </cell>
          <cell r="D3460">
            <v>34000000</v>
          </cell>
          <cell r="E3460">
            <v>34000000</v>
          </cell>
          <cell r="F3460">
            <v>34000000</v>
          </cell>
          <cell r="G3460">
            <v>34000000</v>
          </cell>
          <cell r="H3460">
            <v>34000000</v>
          </cell>
          <cell r="I3460" t="str">
            <v/>
          </cell>
          <cell r="J3460" t="str">
            <v/>
          </cell>
          <cell r="K3460" t="str">
            <v/>
          </cell>
          <cell r="L3460" t="str">
            <v/>
          </cell>
        </row>
        <row r="3461">
          <cell r="A3461">
            <v>34000000</v>
          </cell>
          <cell r="C3461">
            <v>34000000</v>
          </cell>
          <cell r="D3461">
            <v>34000000</v>
          </cell>
          <cell r="E3461">
            <v>34000000</v>
          </cell>
          <cell r="F3461">
            <v>34000000</v>
          </cell>
          <cell r="G3461">
            <v>34000000</v>
          </cell>
          <cell r="H3461">
            <v>34000000</v>
          </cell>
          <cell r="I3461" t="str">
            <v/>
          </cell>
          <cell r="J3461" t="str">
            <v/>
          </cell>
          <cell r="K3461" t="str">
            <v/>
          </cell>
          <cell r="L3461" t="str">
            <v/>
          </cell>
        </row>
        <row r="3462">
          <cell r="A3462">
            <v>34000000</v>
          </cell>
          <cell r="C3462">
            <v>34000000</v>
          </cell>
          <cell r="D3462">
            <v>34000000</v>
          </cell>
          <cell r="E3462">
            <v>34000000</v>
          </cell>
          <cell r="F3462">
            <v>34000000</v>
          </cell>
          <cell r="G3462">
            <v>34000000</v>
          </cell>
          <cell r="H3462">
            <v>34000000</v>
          </cell>
          <cell r="I3462" t="str">
            <v/>
          </cell>
          <cell r="J3462" t="str">
            <v/>
          </cell>
          <cell r="K3462" t="str">
            <v/>
          </cell>
          <cell r="L3462" t="str">
            <v/>
          </cell>
        </row>
        <row r="3463">
          <cell r="A3463">
            <v>34000000</v>
          </cell>
          <cell r="C3463">
            <v>34000000</v>
          </cell>
          <cell r="D3463">
            <v>34000000</v>
          </cell>
          <cell r="E3463">
            <v>34000000</v>
          </cell>
          <cell r="F3463">
            <v>34000000</v>
          </cell>
          <cell r="G3463">
            <v>34000000</v>
          </cell>
          <cell r="H3463">
            <v>34000000</v>
          </cell>
          <cell r="I3463" t="str">
            <v/>
          </cell>
          <cell r="J3463" t="str">
            <v/>
          </cell>
          <cell r="K3463" t="str">
            <v/>
          </cell>
          <cell r="L3463" t="str">
            <v/>
          </cell>
        </row>
        <row r="3464">
          <cell r="A3464">
            <v>34000000</v>
          </cell>
          <cell r="C3464">
            <v>34000000</v>
          </cell>
          <cell r="D3464">
            <v>34000000</v>
          </cell>
          <cell r="E3464">
            <v>34000000</v>
          </cell>
          <cell r="F3464">
            <v>34000000</v>
          </cell>
          <cell r="G3464">
            <v>34000000</v>
          </cell>
          <cell r="H3464">
            <v>34000000</v>
          </cell>
          <cell r="I3464" t="str">
            <v/>
          </cell>
          <cell r="J3464" t="str">
            <v/>
          </cell>
          <cell r="K3464" t="str">
            <v/>
          </cell>
          <cell r="L3464" t="str">
            <v/>
          </cell>
        </row>
        <row r="3465">
          <cell r="A3465">
            <v>34000000</v>
          </cell>
          <cell r="C3465">
            <v>34000000</v>
          </cell>
          <cell r="D3465">
            <v>34000000</v>
          </cell>
          <cell r="E3465">
            <v>34000000</v>
          </cell>
          <cell r="F3465">
            <v>34000000</v>
          </cell>
          <cell r="G3465">
            <v>34000000</v>
          </cell>
          <cell r="H3465">
            <v>34000000</v>
          </cell>
          <cell r="I3465" t="str">
            <v/>
          </cell>
          <cell r="J3465" t="str">
            <v/>
          </cell>
          <cell r="K3465" t="str">
            <v/>
          </cell>
          <cell r="L3465" t="str">
            <v/>
          </cell>
        </row>
        <row r="3466">
          <cell r="A3466">
            <v>34000000</v>
          </cell>
          <cell r="C3466">
            <v>34000000</v>
          </cell>
          <cell r="D3466">
            <v>34000000</v>
          </cell>
          <cell r="E3466">
            <v>34000000</v>
          </cell>
          <cell r="F3466">
            <v>34000000</v>
          </cell>
          <cell r="G3466">
            <v>34000000</v>
          </cell>
          <cell r="H3466">
            <v>34000000</v>
          </cell>
          <cell r="I3466" t="str">
            <v/>
          </cell>
          <cell r="J3466" t="str">
            <v/>
          </cell>
          <cell r="K3466" t="str">
            <v/>
          </cell>
          <cell r="L3466" t="str">
            <v/>
          </cell>
        </row>
        <row r="3467">
          <cell r="A3467">
            <v>34000000</v>
          </cell>
          <cell r="C3467">
            <v>34000000</v>
          </cell>
          <cell r="D3467">
            <v>34000000</v>
          </cell>
          <cell r="E3467">
            <v>34000000</v>
          </cell>
          <cell r="F3467">
            <v>34000000</v>
          </cell>
          <cell r="G3467">
            <v>34000000</v>
          </cell>
          <cell r="H3467">
            <v>34000000</v>
          </cell>
          <cell r="I3467" t="str">
            <v/>
          </cell>
          <cell r="J3467" t="str">
            <v/>
          </cell>
          <cell r="K3467" t="str">
            <v/>
          </cell>
          <cell r="L3467" t="str">
            <v/>
          </cell>
        </row>
        <row r="3468">
          <cell r="A3468">
            <v>34000000</v>
          </cell>
          <cell r="C3468">
            <v>34000000</v>
          </cell>
          <cell r="D3468">
            <v>34000000</v>
          </cell>
          <cell r="E3468">
            <v>34000000</v>
          </cell>
          <cell r="F3468">
            <v>34000000</v>
          </cell>
          <cell r="G3468">
            <v>34000000</v>
          </cell>
          <cell r="H3468">
            <v>34000000</v>
          </cell>
          <cell r="I3468" t="str">
            <v/>
          </cell>
          <cell r="J3468" t="str">
            <v/>
          </cell>
          <cell r="K3468" t="str">
            <v/>
          </cell>
          <cell r="L3468" t="str">
            <v/>
          </cell>
        </row>
        <row r="3469">
          <cell r="A3469">
            <v>34000000</v>
          </cell>
          <cell r="C3469">
            <v>34000000</v>
          </cell>
          <cell r="D3469">
            <v>34000000</v>
          </cell>
          <cell r="E3469">
            <v>34000000</v>
          </cell>
          <cell r="F3469">
            <v>34000000</v>
          </cell>
          <cell r="G3469">
            <v>34000000</v>
          </cell>
          <cell r="H3469">
            <v>34000000</v>
          </cell>
          <cell r="I3469" t="str">
            <v/>
          </cell>
          <cell r="J3469" t="str">
            <v/>
          </cell>
          <cell r="K3469" t="str">
            <v/>
          </cell>
          <cell r="L3469" t="str">
            <v/>
          </cell>
        </row>
        <row r="3470">
          <cell r="A3470">
            <v>34000000</v>
          </cell>
          <cell r="C3470">
            <v>34000000</v>
          </cell>
          <cell r="D3470">
            <v>34000000</v>
          </cell>
          <cell r="E3470">
            <v>34000000</v>
          </cell>
          <cell r="F3470">
            <v>34000000</v>
          </cell>
          <cell r="G3470">
            <v>34000000</v>
          </cell>
          <cell r="H3470">
            <v>34000000</v>
          </cell>
          <cell r="I3470" t="str">
            <v/>
          </cell>
          <cell r="J3470" t="str">
            <v/>
          </cell>
          <cell r="K3470" t="str">
            <v/>
          </cell>
          <cell r="L3470" t="str">
            <v/>
          </cell>
        </row>
        <row r="3471">
          <cell r="A3471">
            <v>34000000</v>
          </cell>
          <cell r="C3471">
            <v>34000000</v>
          </cell>
          <cell r="D3471">
            <v>34000000</v>
          </cell>
          <cell r="E3471">
            <v>34000000</v>
          </cell>
          <cell r="F3471">
            <v>34000000</v>
          </cell>
          <cell r="G3471">
            <v>34000000</v>
          </cell>
          <cell r="H3471">
            <v>34000000</v>
          </cell>
          <cell r="I3471" t="str">
            <v/>
          </cell>
          <cell r="J3471" t="str">
            <v/>
          </cell>
          <cell r="K3471" t="str">
            <v/>
          </cell>
          <cell r="L3471" t="str">
            <v/>
          </cell>
        </row>
        <row r="3472">
          <cell r="A3472">
            <v>34000000</v>
          </cell>
          <cell r="C3472">
            <v>34000000</v>
          </cell>
          <cell r="D3472">
            <v>34000000</v>
          </cell>
          <cell r="E3472">
            <v>34000000</v>
          </cell>
          <cell r="F3472">
            <v>34000000</v>
          </cell>
          <cell r="G3472">
            <v>34000000</v>
          </cell>
          <cell r="H3472">
            <v>34000000</v>
          </cell>
          <cell r="I3472" t="str">
            <v/>
          </cell>
          <cell r="J3472" t="str">
            <v/>
          </cell>
          <cell r="K3472" t="str">
            <v/>
          </cell>
          <cell r="L3472" t="str">
            <v/>
          </cell>
        </row>
        <row r="3473">
          <cell r="A3473">
            <v>34000000</v>
          </cell>
          <cell r="C3473">
            <v>34000000</v>
          </cell>
          <cell r="D3473">
            <v>34000000</v>
          </cell>
          <cell r="E3473">
            <v>34000000</v>
          </cell>
          <cell r="F3473">
            <v>34000000</v>
          </cell>
          <cell r="G3473">
            <v>34000000</v>
          </cell>
          <cell r="H3473">
            <v>34000000</v>
          </cell>
          <cell r="I3473" t="str">
            <v/>
          </cell>
          <cell r="J3473" t="str">
            <v/>
          </cell>
          <cell r="K3473" t="str">
            <v/>
          </cell>
          <cell r="L3473" t="str">
            <v/>
          </cell>
        </row>
        <row r="3474">
          <cell r="A3474">
            <v>34000000</v>
          </cell>
          <cell r="C3474">
            <v>34000000</v>
          </cell>
          <cell r="D3474">
            <v>34000000</v>
          </cell>
          <cell r="E3474">
            <v>34000000</v>
          </cell>
          <cell r="F3474">
            <v>34000000</v>
          </cell>
          <cell r="G3474">
            <v>34000000</v>
          </cell>
          <cell r="H3474">
            <v>34000000</v>
          </cell>
          <cell r="I3474" t="str">
            <v/>
          </cell>
          <cell r="J3474" t="str">
            <v/>
          </cell>
          <cell r="K3474" t="str">
            <v/>
          </cell>
          <cell r="L3474" t="str">
            <v/>
          </cell>
        </row>
        <row r="3475">
          <cell r="A3475">
            <v>34000000</v>
          </cell>
          <cell r="C3475">
            <v>34000000</v>
          </cell>
          <cell r="D3475">
            <v>34000000</v>
          </cell>
          <cell r="E3475">
            <v>34000000</v>
          </cell>
          <cell r="F3475">
            <v>34000000</v>
          </cell>
          <cell r="G3475">
            <v>34000000</v>
          </cell>
          <cell r="H3475">
            <v>34000000</v>
          </cell>
          <cell r="I3475" t="str">
            <v/>
          </cell>
          <cell r="J3475" t="str">
            <v/>
          </cell>
          <cell r="K3475" t="str">
            <v/>
          </cell>
          <cell r="L3475" t="str">
            <v/>
          </cell>
        </row>
        <row r="3476">
          <cell r="A3476">
            <v>34000000</v>
          </cell>
          <cell r="C3476">
            <v>34000000</v>
          </cell>
          <cell r="D3476">
            <v>34000000</v>
          </cell>
          <cell r="E3476">
            <v>34000000</v>
          </cell>
          <cell r="F3476">
            <v>34000000</v>
          </cell>
          <cell r="G3476">
            <v>34000000</v>
          </cell>
          <cell r="H3476">
            <v>34000000</v>
          </cell>
          <cell r="I3476" t="str">
            <v/>
          </cell>
          <cell r="J3476" t="str">
            <v/>
          </cell>
          <cell r="K3476" t="str">
            <v/>
          </cell>
          <cell r="L3476" t="str">
            <v/>
          </cell>
        </row>
        <row r="3477">
          <cell r="A3477">
            <v>34000000</v>
          </cell>
          <cell r="C3477">
            <v>34000000</v>
          </cell>
          <cell r="D3477">
            <v>34000000</v>
          </cell>
          <cell r="E3477">
            <v>34000000</v>
          </cell>
          <cell r="F3477">
            <v>34000000</v>
          </cell>
          <cell r="G3477">
            <v>34000000</v>
          </cell>
          <cell r="H3477">
            <v>34000000</v>
          </cell>
          <cell r="I3477" t="str">
            <v/>
          </cell>
          <cell r="J3477" t="str">
            <v/>
          </cell>
          <cell r="K3477" t="str">
            <v/>
          </cell>
          <cell r="L3477" t="str">
            <v/>
          </cell>
        </row>
        <row r="3478">
          <cell r="A3478">
            <v>34000000</v>
          </cell>
          <cell r="C3478">
            <v>34000000</v>
          </cell>
          <cell r="D3478">
            <v>34000000</v>
          </cell>
          <cell r="E3478">
            <v>34000000</v>
          </cell>
          <cell r="F3478">
            <v>34000000</v>
          </cell>
          <cell r="G3478">
            <v>34000000</v>
          </cell>
          <cell r="H3478">
            <v>34000000</v>
          </cell>
          <cell r="I3478" t="str">
            <v/>
          </cell>
          <cell r="J3478" t="str">
            <v/>
          </cell>
          <cell r="K3478" t="str">
            <v/>
          </cell>
          <cell r="L3478" t="str">
            <v/>
          </cell>
        </row>
        <row r="3479">
          <cell r="A3479">
            <v>34000000</v>
          </cell>
          <cell r="C3479">
            <v>34000000</v>
          </cell>
          <cell r="D3479">
            <v>34000000</v>
          </cell>
          <cell r="E3479">
            <v>34000000</v>
          </cell>
          <cell r="F3479">
            <v>34000000</v>
          </cell>
          <cell r="G3479">
            <v>34000000</v>
          </cell>
          <cell r="H3479">
            <v>34000000</v>
          </cell>
          <cell r="I3479" t="str">
            <v/>
          </cell>
          <cell r="J3479" t="str">
            <v/>
          </cell>
          <cell r="K3479" t="str">
            <v/>
          </cell>
          <cell r="L3479" t="str">
            <v/>
          </cell>
        </row>
        <row r="3480">
          <cell r="A3480">
            <v>34000000</v>
          </cell>
          <cell r="C3480">
            <v>34000000</v>
          </cell>
          <cell r="D3480">
            <v>34000000</v>
          </cell>
          <cell r="E3480">
            <v>34000000</v>
          </cell>
          <cell r="F3480">
            <v>34000000</v>
          </cell>
          <cell r="G3480">
            <v>34000000</v>
          </cell>
          <cell r="H3480">
            <v>34000000</v>
          </cell>
          <cell r="I3480" t="str">
            <v/>
          </cell>
          <cell r="J3480" t="str">
            <v/>
          </cell>
          <cell r="K3480" t="str">
            <v/>
          </cell>
          <cell r="L3480" t="str">
            <v/>
          </cell>
        </row>
        <row r="3481">
          <cell r="A3481">
            <v>34000000</v>
          </cell>
          <cell r="C3481">
            <v>34000000</v>
          </cell>
          <cell r="D3481">
            <v>34000000</v>
          </cell>
          <cell r="E3481">
            <v>34000000</v>
          </cell>
          <cell r="F3481">
            <v>34000000</v>
          </cell>
          <cell r="G3481">
            <v>34000000</v>
          </cell>
          <cell r="H3481">
            <v>34000000</v>
          </cell>
          <cell r="I3481" t="str">
            <v/>
          </cell>
          <cell r="J3481" t="str">
            <v/>
          </cell>
          <cell r="K3481" t="str">
            <v/>
          </cell>
          <cell r="L3481" t="str">
            <v/>
          </cell>
        </row>
        <row r="3482">
          <cell r="A3482">
            <v>34000000</v>
          </cell>
          <cell r="C3482">
            <v>34000000</v>
          </cell>
          <cell r="D3482">
            <v>34000000</v>
          </cell>
          <cell r="E3482">
            <v>34000000</v>
          </cell>
          <cell r="F3482">
            <v>34000000</v>
          </cell>
          <cell r="G3482">
            <v>34000000</v>
          </cell>
          <cell r="H3482">
            <v>34000000</v>
          </cell>
          <cell r="I3482" t="str">
            <v/>
          </cell>
          <cell r="J3482" t="str">
            <v/>
          </cell>
          <cell r="K3482" t="str">
            <v/>
          </cell>
          <cell r="L3482" t="str">
            <v/>
          </cell>
        </row>
        <row r="3483">
          <cell r="A3483">
            <v>34000000</v>
          </cell>
          <cell r="C3483">
            <v>34000000</v>
          </cell>
          <cell r="D3483">
            <v>34000000</v>
          </cell>
          <cell r="E3483">
            <v>34000000</v>
          </cell>
          <cell r="F3483">
            <v>34000000</v>
          </cell>
          <cell r="G3483">
            <v>34000000</v>
          </cell>
          <cell r="H3483">
            <v>34000000</v>
          </cell>
          <cell r="I3483" t="str">
            <v/>
          </cell>
          <cell r="J3483" t="str">
            <v/>
          </cell>
          <cell r="K3483" t="str">
            <v/>
          </cell>
          <cell r="L3483" t="str">
            <v/>
          </cell>
        </row>
        <row r="3484">
          <cell r="A3484">
            <v>34000000</v>
          </cell>
          <cell r="C3484">
            <v>34000000</v>
          </cell>
          <cell r="D3484">
            <v>34000000</v>
          </cell>
          <cell r="E3484">
            <v>34000000</v>
          </cell>
          <cell r="F3484">
            <v>34000000</v>
          </cell>
          <cell r="G3484">
            <v>34000000</v>
          </cell>
          <cell r="H3484">
            <v>34000000</v>
          </cell>
          <cell r="I3484" t="str">
            <v/>
          </cell>
          <cell r="J3484" t="str">
            <v/>
          </cell>
          <cell r="K3484" t="str">
            <v/>
          </cell>
          <cell r="L3484" t="str">
            <v/>
          </cell>
        </row>
        <row r="3485">
          <cell r="A3485">
            <v>34000000</v>
          </cell>
          <cell r="C3485">
            <v>34000000</v>
          </cell>
          <cell r="D3485">
            <v>34000000</v>
          </cell>
          <cell r="E3485">
            <v>34000000</v>
          </cell>
          <cell r="F3485">
            <v>34000000</v>
          </cell>
          <cell r="G3485">
            <v>34000000</v>
          </cell>
          <cell r="H3485">
            <v>34000000</v>
          </cell>
          <cell r="I3485" t="str">
            <v/>
          </cell>
          <cell r="J3485" t="str">
            <v/>
          </cell>
          <cell r="K3485" t="str">
            <v/>
          </cell>
          <cell r="L3485" t="str">
            <v/>
          </cell>
        </row>
        <row r="3486">
          <cell r="A3486">
            <v>34000000</v>
          </cell>
          <cell r="C3486">
            <v>34000000</v>
          </cell>
          <cell r="D3486">
            <v>34000000</v>
          </cell>
          <cell r="E3486">
            <v>34000000</v>
          </cell>
          <cell r="F3486">
            <v>34000000</v>
          </cell>
          <cell r="G3486">
            <v>34000000</v>
          </cell>
          <cell r="H3486">
            <v>34000000</v>
          </cell>
          <cell r="I3486" t="str">
            <v/>
          </cell>
          <cell r="J3486" t="str">
            <v/>
          </cell>
          <cell r="K3486" t="str">
            <v/>
          </cell>
          <cell r="L3486" t="str">
            <v/>
          </cell>
        </row>
        <row r="3487">
          <cell r="A3487">
            <v>34000000</v>
          </cell>
          <cell r="C3487">
            <v>34000000</v>
          </cell>
          <cell r="D3487">
            <v>34000000</v>
          </cell>
          <cell r="E3487">
            <v>34000000</v>
          </cell>
          <cell r="F3487">
            <v>34000000</v>
          </cell>
          <cell r="G3487">
            <v>34000000</v>
          </cell>
          <cell r="H3487">
            <v>34000000</v>
          </cell>
          <cell r="I3487" t="str">
            <v/>
          </cell>
          <cell r="J3487" t="str">
            <v/>
          </cell>
          <cell r="K3487" t="str">
            <v/>
          </cell>
          <cell r="L3487" t="str">
            <v/>
          </cell>
        </row>
        <row r="3488">
          <cell r="A3488">
            <v>34000000</v>
          </cell>
          <cell r="C3488">
            <v>34000000</v>
          </cell>
          <cell r="D3488">
            <v>34000000</v>
          </cell>
          <cell r="E3488">
            <v>34000000</v>
          </cell>
          <cell r="F3488">
            <v>34000000</v>
          </cell>
          <cell r="G3488">
            <v>34000000</v>
          </cell>
          <cell r="H3488">
            <v>34000000</v>
          </cell>
          <cell r="I3488" t="str">
            <v/>
          </cell>
          <cell r="J3488" t="str">
            <v/>
          </cell>
          <cell r="K3488" t="str">
            <v/>
          </cell>
          <cell r="L3488" t="str">
            <v/>
          </cell>
        </row>
        <row r="3489">
          <cell r="A3489">
            <v>34000000</v>
          </cell>
          <cell r="C3489">
            <v>34000000</v>
          </cell>
          <cell r="D3489">
            <v>34000000</v>
          </cell>
          <cell r="E3489">
            <v>34000000</v>
          </cell>
          <cell r="F3489">
            <v>34000000</v>
          </cell>
          <cell r="G3489">
            <v>34000000</v>
          </cell>
          <cell r="H3489">
            <v>34000000</v>
          </cell>
          <cell r="I3489" t="str">
            <v/>
          </cell>
          <cell r="J3489" t="str">
            <v/>
          </cell>
          <cell r="K3489" t="str">
            <v/>
          </cell>
          <cell r="L3489" t="str">
            <v/>
          </cell>
        </row>
        <row r="3490">
          <cell r="A3490">
            <v>34000000</v>
          </cell>
          <cell r="C3490">
            <v>34000000</v>
          </cell>
          <cell r="D3490">
            <v>34000000</v>
          </cell>
          <cell r="E3490">
            <v>34000000</v>
          </cell>
          <cell r="F3490">
            <v>34000000</v>
          </cell>
          <cell r="G3490">
            <v>34000000</v>
          </cell>
          <cell r="H3490">
            <v>34000000</v>
          </cell>
          <cell r="I3490" t="str">
            <v/>
          </cell>
          <cell r="J3490" t="str">
            <v/>
          </cell>
          <cell r="K3490" t="str">
            <v/>
          </cell>
          <cell r="L3490" t="str">
            <v/>
          </cell>
        </row>
        <row r="3491">
          <cell r="A3491">
            <v>34000000</v>
          </cell>
          <cell r="C3491">
            <v>34000000</v>
          </cell>
          <cell r="D3491">
            <v>34000000</v>
          </cell>
          <cell r="E3491">
            <v>34000000</v>
          </cell>
          <cell r="F3491">
            <v>34000000</v>
          </cell>
          <cell r="G3491">
            <v>34000000</v>
          </cell>
          <cell r="H3491">
            <v>34000000</v>
          </cell>
          <cell r="I3491" t="str">
            <v/>
          </cell>
          <cell r="J3491" t="str">
            <v/>
          </cell>
          <cell r="K3491" t="str">
            <v/>
          </cell>
          <cell r="L3491" t="str">
            <v/>
          </cell>
        </row>
        <row r="3492">
          <cell r="A3492">
            <v>34000000</v>
          </cell>
          <cell r="C3492">
            <v>34000000</v>
          </cell>
          <cell r="D3492">
            <v>34000000</v>
          </cell>
          <cell r="E3492">
            <v>34000000</v>
          </cell>
          <cell r="F3492">
            <v>34000000</v>
          </cell>
          <cell r="G3492">
            <v>34000000</v>
          </cell>
          <cell r="H3492">
            <v>34000000</v>
          </cell>
          <cell r="I3492" t="str">
            <v/>
          </cell>
          <cell r="J3492" t="str">
            <v/>
          </cell>
          <cell r="K3492" t="str">
            <v/>
          </cell>
          <cell r="L3492" t="str">
            <v/>
          </cell>
        </row>
        <row r="3493">
          <cell r="A3493">
            <v>34000000</v>
          </cell>
          <cell r="C3493">
            <v>34000000</v>
          </cell>
          <cell r="D3493">
            <v>34000000</v>
          </cell>
          <cell r="E3493">
            <v>34000000</v>
          </cell>
          <cell r="F3493">
            <v>34000000</v>
          </cell>
          <cell r="G3493">
            <v>34000000</v>
          </cell>
          <cell r="H3493">
            <v>34000000</v>
          </cell>
          <cell r="I3493" t="str">
            <v/>
          </cell>
          <cell r="J3493" t="str">
            <v/>
          </cell>
          <cell r="K3493" t="str">
            <v/>
          </cell>
          <cell r="L3493" t="str">
            <v/>
          </cell>
        </row>
        <row r="3494">
          <cell r="A3494">
            <v>34000000</v>
          </cell>
          <cell r="C3494">
            <v>34000000</v>
          </cell>
          <cell r="D3494">
            <v>34000000</v>
          </cell>
          <cell r="E3494">
            <v>34000000</v>
          </cell>
          <cell r="F3494">
            <v>34000000</v>
          </cell>
          <cell r="G3494">
            <v>34000000</v>
          </cell>
          <cell r="H3494">
            <v>34000000</v>
          </cell>
          <cell r="I3494" t="str">
            <v/>
          </cell>
          <cell r="J3494" t="str">
            <v/>
          </cell>
          <cell r="K3494" t="str">
            <v/>
          </cell>
          <cell r="L3494" t="str">
            <v/>
          </cell>
        </row>
        <row r="3495">
          <cell r="A3495">
            <v>34000000</v>
          </cell>
          <cell r="C3495">
            <v>34000000</v>
          </cell>
          <cell r="D3495">
            <v>34000000</v>
          </cell>
          <cell r="E3495">
            <v>34000000</v>
          </cell>
          <cell r="F3495">
            <v>34000000</v>
          </cell>
          <cell r="G3495">
            <v>34000000</v>
          </cell>
          <cell r="H3495">
            <v>34000000</v>
          </cell>
          <cell r="I3495" t="str">
            <v/>
          </cell>
          <cell r="J3495" t="str">
            <v/>
          </cell>
          <cell r="K3495" t="str">
            <v/>
          </cell>
          <cell r="L3495" t="str">
            <v/>
          </cell>
        </row>
        <row r="3496">
          <cell r="A3496">
            <v>34000000</v>
          </cell>
          <cell r="C3496">
            <v>34000000</v>
          </cell>
          <cell r="D3496">
            <v>34000000</v>
          </cell>
          <cell r="E3496">
            <v>34000000</v>
          </cell>
          <cell r="F3496">
            <v>34000000</v>
          </cell>
          <cell r="G3496">
            <v>34000000</v>
          </cell>
          <cell r="H3496">
            <v>34000000</v>
          </cell>
          <cell r="I3496" t="str">
            <v/>
          </cell>
          <cell r="J3496" t="str">
            <v/>
          </cell>
          <cell r="K3496" t="str">
            <v/>
          </cell>
          <cell r="L3496" t="str">
            <v/>
          </cell>
        </row>
        <row r="3497">
          <cell r="A3497">
            <v>34000000</v>
          </cell>
          <cell r="C3497">
            <v>34000000</v>
          </cell>
          <cell r="D3497">
            <v>34000000</v>
          </cell>
          <cell r="E3497">
            <v>34000000</v>
          </cell>
          <cell r="F3497">
            <v>34000000</v>
          </cell>
          <cell r="G3497">
            <v>34000000</v>
          </cell>
          <cell r="H3497">
            <v>34000000</v>
          </cell>
          <cell r="I3497" t="str">
            <v/>
          </cell>
          <cell r="J3497" t="str">
            <v/>
          </cell>
          <cell r="K3497" t="str">
            <v/>
          </cell>
          <cell r="L3497" t="str">
            <v/>
          </cell>
        </row>
        <row r="3498">
          <cell r="A3498">
            <v>34000000</v>
          </cell>
          <cell r="C3498">
            <v>34000000</v>
          </cell>
          <cell r="D3498">
            <v>34000000</v>
          </cell>
          <cell r="E3498">
            <v>34000000</v>
          </cell>
          <cell r="F3498">
            <v>34000000</v>
          </cell>
          <cell r="G3498">
            <v>34000000</v>
          </cell>
          <cell r="H3498">
            <v>34000000</v>
          </cell>
          <cell r="I3498" t="str">
            <v/>
          </cell>
          <cell r="J3498" t="str">
            <v/>
          </cell>
          <cell r="K3498" t="str">
            <v/>
          </cell>
          <cell r="L3498" t="str">
            <v/>
          </cell>
        </row>
        <row r="3499">
          <cell r="A3499">
            <v>34000000</v>
          </cell>
          <cell r="C3499">
            <v>34000000</v>
          </cell>
          <cell r="D3499">
            <v>34000000</v>
          </cell>
          <cell r="E3499">
            <v>34000000</v>
          </cell>
          <cell r="F3499">
            <v>34000000</v>
          </cell>
          <cell r="G3499">
            <v>34000000</v>
          </cell>
          <cell r="H3499">
            <v>34000000</v>
          </cell>
          <cell r="I3499" t="str">
            <v/>
          </cell>
          <cell r="J3499" t="str">
            <v/>
          </cell>
          <cell r="K3499" t="str">
            <v/>
          </cell>
          <cell r="L3499" t="str">
            <v/>
          </cell>
        </row>
        <row r="3500">
          <cell r="A3500">
            <v>34000000</v>
          </cell>
          <cell r="C3500">
            <v>34000000</v>
          </cell>
          <cell r="D3500">
            <v>34000000</v>
          </cell>
          <cell r="E3500">
            <v>34000000</v>
          </cell>
          <cell r="F3500">
            <v>34000000</v>
          </cell>
          <cell r="G3500">
            <v>34000000</v>
          </cell>
          <cell r="H3500">
            <v>34000000</v>
          </cell>
          <cell r="I3500" t="str">
            <v/>
          </cell>
          <cell r="J3500" t="str">
            <v/>
          </cell>
          <cell r="K3500" t="str">
            <v/>
          </cell>
          <cell r="L3500" t="str">
            <v/>
          </cell>
        </row>
        <row r="3501">
          <cell r="A3501">
            <v>34000000</v>
          </cell>
          <cell r="C3501">
            <v>34000000</v>
          </cell>
          <cell r="D3501">
            <v>34000000</v>
          </cell>
          <cell r="E3501">
            <v>34000000</v>
          </cell>
          <cell r="F3501">
            <v>34000000</v>
          </cell>
          <cell r="G3501">
            <v>34000000</v>
          </cell>
          <cell r="H3501">
            <v>34000000</v>
          </cell>
          <cell r="I3501" t="str">
            <v/>
          </cell>
          <cell r="J3501" t="str">
            <v/>
          </cell>
          <cell r="K3501" t="str">
            <v/>
          </cell>
          <cell r="L3501" t="str">
            <v/>
          </cell>
        </row>
        <row r="3502">
          <cell r="A3502">
            <v>34000000</v>
          </cell>
          <cell r="C3502">
            <v>34000000</v>
          </cell>
          <cell r="D3502">
            <v>34000000</v>
          </cell>
          <cell r="E3502">
            <v>34000000</v>
          </cell>
          <cell r="F3502">
            <v>34000000</v>
          </cell>
          <cell r="G3502">
            <v>34000000</v>
          </cell>
          <cell r="H3502">
            <v>34000000</v>
          </cell>
          <cell r="I3502" t="str">
            <v/>
          </cell>
          <cell r="J3502" t="str">
            <v/>
          </cell>
          <cell r="K3502" t="str">
            <v/>
          </cell>
          <cell r="L3502" t="str">
            <v/>
          </cell>
        </row>
        <row r="3503">
          <cell r="A3503">
            <v>34000000</v>
          </cell>
          <cell r="C3503">
            <v>34000000</v>
          </cell>
          <cell r="D3503">
            <v>34000000</v>
          </cell>
          <cell r="E3503">
            <v>34000000</v>
          </cell>
          <cell r="F3503">
            <v>34000000</v>
          </cell>
          <cell r="G3503">
            <v>34000000</v>
          </cell>
          <cell r="H3503">
            <v>34000000</v>
          </cell>
          <cell r="I3503" t="str">
            <v/>
          </cell>
          <cell r="J3503" t="str">
            <v/>
          </cell>
          <cell r="K3503" t="str">
            <v/>
          </cell>
          <cell r="L3503" t="str">
            <v/>
          </cell>
        </row>
        <row r="3504">
          <cell r="A3504">
            <v>34000000</v>
          </cell>
          <cell r="C3504">
            <v>34000000</v>
          </cell>
          <cell r="D3504">
            <v>34000000</v>
          </cell>
          <cell r="E3504">
            <v>34000000</v>
          </cell>
          <cell r="F3504">
            <v>34000000</v>
          </cell>
          <cell r="G3504">
            <v>34000000</v>
          </cell>
          <cell r="H3504">
            <v>34000000</v>
          </cell>
          <cell r="I3504" t="str">
            <v/>
          </cell>
          <cell r="J3504" t="str">
            <v/>
          </cell>
          <cell r="K3504" t="str">
            <v/>
          </cell>
          <cell r="L3504" t="str">
            <v/>
          </cell>
        </row>
        <row r="3505">
          <cell r="A3505">
            <v>34000000</v>
          </cell>
          <cell r="C3505">
            <v>34000000</v>
          </cell>
          <cell r="D3505">
            <v>34000000</v>
          </cell>
          <cell r="E3505">
            <v>34000000</v>
          </cell>
          <cell r="F3505">
            <v>34000000</v>
          </cell>
          <cell r="G3505">
            <v>34000000</v>
          </cell>
          <cell r="H3505">
            <v>34000000</v>
          </cell>
          <cell r="I3505" t="str">
            <v/>
          </cell>
          <cell r="J3505" t="str">
            <v/>
          </cell>
          <cell r="K3505" t="str">
            <v/>
          </cell>
          <cell r="L3505" t="str">
            <v/>
          </cell>
        </row>
        <row r="3506">
          <cell r="A3506">
            <v>34000000</v>
          </cell>
          <cell r="C3506">
            <v>34000000</v>
          </cell>
          <cell r="D3506">
            <v>34000000</v>
          </cell>
          <cell r="E3506">
            <v>34000000</v>
          </cell>
          <cell r="F3506">
            <v>34000000</v>
          </cell>
          <cell r="G3506">
            <v>34000000</v>
          </cell>
          <cell r="H3506">
            <v>34000000</v>
          </cell>
          <cell r="I3506" t="str">
            <v/>
          </cell>
          <cell r="J3506" t="str">
            <v/>
          </cell>
          <cell r="K3506" t="str">
            <v/>
          </cell>
          <cell r="L3506" t="str">
            <v/>
          </cell>
        </row>
        <row r="3507">
          <cell r="A3507">
            <v>34000000</v>
          </cell>
          <cell r="C3507">
            <v>34000000</v>
          </cell>
          <cell r="D3507">
            <v>34000000</v>
          </cell>
          <cell r="E3507">
            <v>34000000</v>
          </cell>
          <cell r="F3507">
            <v>34000000</v>
          </cell>
          <cell r="G3507">
            <v>34000000</v>
          </cell>
          <cell r="H3507">
            <v>34000000</v>
          </cell>
          <cell r="I3507" t="str">
            <v/>
          </cell>
          <cell r="J3507" t="str">
            <v/>
          </cell>
          <cell r="K3507" t="str">
            <v/>
          </cell>
          <cell r="L3507" t="str">
            <v/>
          </cell>
        </row>
        <row r="3508">
          <cell r="A3508">
            <v>34000000</v>
          </cell>
          <cell r="C3508">
            <v>34000000</v>
          </cell>
          <cell r="D3508">
            <v>34000000</v>
          </cell>
          <cell r="E3508">
            <v>34000000</v>
          </cell>
          <cell r="F3508">
            <v>34000000</v>
          </cell>
          <cell r="G3508">
            <v>34000000</v>
          </cell>
          <cell r="H3508">
            <v>34000000</v>
          </cell>
          <cell r="I3508" t="str">
            <v/>
          </cell>
          <cell r="J3508" t="str">
            <v/>
          </cell>
          <cell r="K3508" t="str">
            <v/>
          </cell>
          <cell r="L3508" t="str">
            <v/>
          </cell>
        </row>
        <row r="3509">
          <cell r="A3509">
            <v>34000000</v>
          </cell>
          <cell r="C3509">
            <v>34000000</v>
          </cell>
          <cell r="D3509">
            <v>34000000</v>
          </cell>
          <cell r="E3509">
            <v>34000000</v>
          </cell>
          <cell r="F3509">
            <v>34000000</v>
          </cell>
          <cell r="G3509">
            <v>34000000</v>
          </cell>
          <cell r="H3509">
            <v>34000000</v>
          </cell>
          <cell r="I3509" t="str">
            <v/>
          </cell>
          <cell r="J3509" t="str">
            <v/>
          </cell>
          <cell r="K3509" t="str">
            <v/>
          </cell>
          <cell r="L3509" t="str">
            <v/>
          </cell>
        </row>
        <row r="3510">
          <cell r="A3510">
            <v>34000000</v>
          </cell>
          <cell r="C3510">
            <v>34000000</v>
          </cell>
          <cell r="D3510">
            <v>34000000</v>
          </cell>
          <cell r="E3510">
            <v>34000000</v>
          </cell>
          <cell r="F3510">
            <v>34000000</v>
          </cell>
          <cell r="G3510">
            <v>34000000</v>
          </cell>
          <cell r="H3510">
            <v>34000000</v>
          </cell>
          <cell r="I3510" t="str">
            <v/>
          </cell>
          <cell r="J3510" t="str">
            <v/>
          </cell>
          <cell r="K3510" t="str">
            <v/>
          </cell>
          <cell r="L3510" t="str">
            <v/>
          </cell>
        </row>
        <row r="3511">
          <cell r="A3511">
            <v>34000000</v>
          </cell>
          <cell r="C3511">
            <v>34000000</v>
          </cell>
          <cell r="D3511">
            <v>34000000</v>
          </cell>
          <cell r="E3511">
            <v>34000000</v>
          </cell>
          <cell r="F3511">
            <v>34000000</v>
          </cell>
          <cell r="G3511">
            <v>34000000</v>
          </cell>
          <cell r="H3511">
            <v>34000000</v>
          </cell>
          <cell r="I3511" t="str">
            <v/>
          </cell>
          <cell r="J3511" t="str">
            <v/>
          </cell>
          <cell r="K3511" t="str">
            <v/>
          </cell>
          <cell r="L3511" t="str">
            <v/>
          </cell>
        </row>
        <row r="3512">
          <cell r="A3512">
            <v>34000000</v>
          </cell>
          <cell r="C3512">
            <v>34000000</v>
          </cell>
          <cell r="D3512">
            <v>34000000</v>
          </cell>
          <cell r="E3512">
            <v>34000000</v>
          </cell>
          <cell r="F3512">
            <v>34000000</v>
          </cell>
          <cell r="G3512">
            <v>34000000</v>
          </cell>
          <cell r="H3512">
            <v>34000000</v>
          </cell>
          <cell r="I3512" t="str">
            <v/>
          </cell>
          <cell r="J3512" t="str">
            <v/>
          </cell>
          <cell r="K3512" t="str">
            <v/>
          </cell>
          <cell r="L3512" t="str">
            <v/>
          </cell>
        </row>
        <row r="3513">
          <cell r="A3513">
            <v>34000000</v>
          </cell>
          <cell r="C3513">
            <v>34000000</v>
          </cell>
          <cell r="D3513">
            <v>34000000</v>
          </cell>
          <cell r="E3513">
            <v>34000000</v>
          </cell>
          <cell r="F3513">
            <v>34000000</v>
          </cell>
          <cell r="G3513">
            <v>34000000</v>
          </cell>
          <cell r="H3513">
            <v>34000000</v>
          </cell>
          <cell r="I3513" t="str">
            <v/>
          </cell>
          <cell r="J3513" t="str">
            <v/>
          </cell>
          <cell r="K3513" t="str">
            <v/>
          </cell>
          <cell r="L3513" t="str">
            <v/>
          </cell>
        </row>
        <row r="3514">
          <cell r="A3514">
            <v>34000000</v>
          </cell>
          <cell r="C3514">
            <v>34000000</v>
          </cell>
          <cell r="D3514">
            <v>34000000</v>
          </cell>
          <cell r="E3514">
            <v>34000000</v>
          </cell>
          <cell r="F3514">
            <v>34000000</v>
          </cell>
          <cell r="G3514">
            <v>34000000</v>
          </cell>
          <cell r="H3514">
            <v>34000000</v>
          </cell>
          <cell r="I3514" t="str">
            <v/>
          </cell>
          <cell r="J3514" t="str">
            <v/>
          </cell>
          <cell r="K3514" t="str">
            <v/>
          </cell>
          <cell r="L3514" t="str">
            <v/>
          </cell>
        </row>
        <row r="3515">
          <cell r="A3515">
            <v>34000000</v>
          </cell>
          <cell r="C3515">
            <v>34000000</v>
          </cell>
          <cell r="D3515">
            <v>34000000</v>
          </cell>
          <cell r="E3515">
            <v>34000000</v>
          </cell>
          <cell r="F3515">
            <v>34000000</v>
          </cell>
          <cell r="G3515">
            <v>34000000</v>
          </cell>
          <cell r="H3515">
            <v>34000000</v>
          </cell>
          <cell r="I3515" t="str">
            <v/>
          </cell>
          <cell r="J3515" t="str">
            <v/>
          </cell>
          <cell r="K3515" t="str">
            <v/>
          </cell>
          <cell r="L3515" t="str">
            <v/>
          </cell>
        </row>
        <row r="3516">
          <cell r="A3516">
            <v>34000000</v>
          </cell>
          <cell r="C3516">
            <v>34000000</v>
          </cell>
          <cell r="D3516">
            <v>34000000</v>
          </cell>
          <cell r="E3516">
            <v>34000000</v>
          </cell>
          <cell r="F3516">
            <v>34000000</v>
          </cell>
          <cell r="G3516">
            <v>34000000</v>
          </cell>
          <cell r="H3516">
            <v>34000000</v>
          </cell>
          <cell r="I3516" t="str">
            <v/>
          </cell>
          <cell r="J3516" t="str">
            <v/>
          </cell>
          <cell r="K3516" t="str">
            <v/>
          </cell>
          <cell r="L3516" t="str">
            <v/>
          </cell>
        </row>
        <row r="3517">
          <cell r="A3517">
            <v>34000000</v>
          </cell>
          <cell r="C3517">
            <v>34000000</v>
          </cell>
          <cell r="D3517">
            <v>34000000</v>
          </cell>
          <cell r="E3517">
            <v>34000000</v>
          </cell>
          <cell r="F3517">
            <v>34000000</v>
          </cell>
          <cell r="G3517">
            <v>34000000</v>
          </cell>
          <cell r="H3517">
            <v>34000000</v>
          </cell>
          <cell r="I3517" t="str">
            <v/>
          </cell>
          <cell r="J3517" t="str">
            <v/>
          </cell>
          <cell r="K3517" t="str">
            <v/>
          </cell>
          <cell r="L3517" t="str">
            <v/>
          </cell>
        </row>
        <row r="3518">
          <cell r="A3518">
            <v>34000000</v>
          </cell>
          <cell r="C3518">
            <v>34000000</v>
          </cell>
          <cell r="D3518">
            <v>34000000</v>
          </cell>
          <cell r="E3518">
            <v>34000000</v>
          </cell>
          <cell r="F3518">
            <v>34000000</v>
          </cell>
          <cell r="G3518">
            <v>34000000</v>
          </cell>
          <cell r="H3518">
            <v>34000000</v>
          </cell>
          <cell r="I3518" t="str">
            <v/>
          </cell>
          <cell r="J3518" t="str">
            <v/>
          </cell>
          <cell r="K3518" t="str">
            <v/>
          </cell>
          <cell r="L3518" t="str">
            <v/>
          </cell>
        </row>
        <row r="3519">
          <cell r="A3519">
            <v>34000000</v>
          </cell>
          <cell r="C3519">
            <v>34000000</v>
          </cell>
          <cell r="D3519">
            <v>34000000</v>
          </cell>
          <cell r="E3519">
            <v>34000000</v>
          </cell>
          <cell r="F3519">
            <v>34000000</v>
          </cell>
          <cell r="G3519">
            <v>34000000</v>
          </cell>
          <cell r="H3519">
            <v>34000000</v>
          </cell>
          <cell r="I3519" t="str">
            <v/>
          </cell>
          <cell r="J3519" t="str">
            <v/>
          </cell>
          <cell r="K3519" t="str">
            <v/>
          </cell>
          <cell r="L3519" t="str">
            <v/>
          </cell>
        </row>
        <row r="3520">
          <cell r="A3520">
            <v>34000000</v>
          </cell>
          <cell r="C3520">
            <v>34000000</v>
          </cell>
          <cell r="D3520">
            <v>34000000</v>
          </cell>
          <cell r="E3520">
            <v>34000000</v>
          </cell>
          <cell r="F3520">
            <v>34000000</v>
          </cell>
          <cell r="G3520">
            <v>34000000</v>
          </cell>
          <cell r="H3520">
            <v>34000000</v>
          </cell>
          <cell r="I3520" t="str">
            <v/>
          </cell>
          <cell r="J3520" t="str">
            <v/>
          </cell>
          <cell r="K3520" t="str">
            <v/>
          </cell>
          <cell r="L3520" t="str">
            <v/>
          </cell>
        </row>
        <row r="3521">
          <cell r="A3521">
            <v>34000000</v>
          </cell>
          <cell r="C3521">
            <v>34000000</v>
          </cell>
          <cell r="D3521">
            <v>34000000</v>
          </cell>
          <cell r="E3521">
            <v>34000000</v>
          </cell>
          <cell r="F3521">
            <v>34000000</v>
          </cell>
          <cell r="G3521">
            <v>34000000</v>
          </cell>
          <cell r="H3521">
            <v>34000000</v>
          </cell>
          <cell r="I3521" t="str">
            <v/>
          </cell>
          <cell r="J3521" t="str">
            <v/>
          </cell>
          <cell r="K3521" t="str">
            <v/>
          </cell>
          <cell r="L3521" t="str">
            <v/>
          </cell>
        </row>
        <row r="3522">
          <cell r="A3522">
            <v>34000000</v>
          </cell>
          <cell r="C3522">
            <v>34000000</v>
          </cell>
          <cell r="D3522">
            <v>34000000</v>
          </cell>
          <cell r="E3522">
            <v>34000000</v>
          </cell>
          <cell r="F3522">
            <v>34000000</v>
          </cell>
          <cell r="G3522">
            <v>34000000</v>
          </cell>
          <cell r="H3522">
            <v>34000000</v>
          </cell>
          <cell r="I3522" t="str">
            <v/>
          </cell>
          <cell r="J3522" t="str">
            <v/>
          </cell>
          <cell r="K3522" t="str">
            <v/>
          </cell>
          <cell r="L3522" t="str">
            <v/>
          </cell>
        </row>
        <row r="3523">
          <cell r="A3523">
            <v>34000000</v>
          </cell>
          <cell r="C3523">
            <v>34000000</v>
          </cell>
          <cell r="D3523">
            <v>34000000</v>
          </cell>
          <cell r="E3523">
            <v>34000000</v>
          </cell>
          <cell r="F3523">
            <v>34000000</v>
          </cell>
          <cell r="G3523">
            <v>34000000</v>
          </cell>
          <cell r="H3523">
            <v>34000000</v>
          </cell>
          <cell r="I3523" t="str">
            <v/>
          </cell>
          <cell r="J3523" t="str">
            <v/>
          </cell>
          <cell r="K3523" t="str">
            <v/>
          </cell>
          <cell r="L3523" t="str">
            <v/>
          </cell>
        </row>
        <row r="3524">
          <cell r="A3524">
            <v>34000000</v>
          </cell>
          <cell r="C3524">
            <v>34000000</v>
          </cell>
          <cell r="D3524">
            <v>34000000</v>
          </cell>
          <cell r="E3524">
            <v>34000000</v>
          </cell>
          <cell r="F3524">
            <v>34000000</v>
          </cell>
          <cell r="G3524">
            <v>34000000</v>
          </cell>
          <cell r="H3524">
            <v>34000000</v>
          </cell>
          <cell r="I3524" t="str">
            <v/>
          </cell>
          <cell r="J3524" t="str">
            <v/>
          </cell>
          <cell r="K3524" t="str">
            <v/>
          </cell>
          <cell r="L3524" t="str">
            <v/>
          </cell>
        </row>
        <row r="3525">
          <cell r="A3525">
            <v>34000000</v>
          </cell>
          <cell r="C3525">
            <v>34000000</v>
          </cell>
          <cell r="D3525">
            <v>34000000</v>
          </cell>
          <cell r="E3525">
            <v>34000000</v>
          </cell>
          <cell r="F3525">
            <v>34000000</v>
          </cell>
          <cell r="G3525">
            <v>34000000</v>
          </cell>
          <cell r="H3525">
            <v>34000000</v>
          </cell>
          <cell r="I3525" t="str">
            <v/>
          </cell>
          <cell r="J3525" t="str">
            <v/>
          </cell>
          <cell r="K3525" t="str">
            <v/>
          </cell>
          <cell r="L3525" t="str">
            <v/>
          </cell>
        </row>
        <row r="3526">
          <cell r="A3526">
            <v>34000000</v>
          </cell>
          <cell r="C3526">
            <v>34000000</v>
          </cell>
          <cell r="D3526">
            <v>34000000</v>
          </cell>
          <cell r="E3526">
            <v>34000000</v>
          </cell>
          <cell r="F3526">
            <v>34000000</v>
          </cell>
          <cell r="G3526">
            <v>34000000</v>
          </cell>
          <cell r="H3526">
            <v>34000000</v>
          </cell>
          <cell r="I3526" t="str">
            <v/>
          </cell>
          <cell r="J3526" t="str">
            <v/>
          </cell>
          <cell r="K3526" t="str">
            <v/>
          </cell>
          <cell r="L3526" t="str">
            <v/>
          </cell>
        </row>
        <row r="3527">
          <cell r="A3527">
            <v>34000000</v>
          </cell>
          <cell r="C3527">
            <v>34000000</v>
          </cell>
          <cell r="D3527">
            <v>34000000</v>
          </cell>
          <cell r="E3527">
            <v>34000000</v>
          </cell>
          <cell r="F3527">
            <v>34000000</v>
          </cell>
          <cell r="G3527">
            <v>34000000</v>
          </cell>
          <cell r="H3527">
            <v>34000000</v>
          </cell>
          <cell r="I3527" t="str">
            <v/>
          </cell>
          <cell r="J3527" t="str">
            <v/>
          </cell>
          <cell r="K3527" t="str">
            <v/>
          </cell>
          <cell r="L3527" t="str">
            <v/>
          </cell>
        </row>
        <row r="3528">
          <cell r="A3528">
            <v>34000000</v>
          </cell>
          <cell r="C3528">
            <v>34000000</v>
          </cell>
          <cell r="D3528">
            <v>34000000</v>
          </cell>
          <cell r="E3528">
            <v>34000000</v>
          </cell>
          <cell r="F3528">
            <v>34000000</v>
          </cell>
          <cell r="G3528">
            <v>34000000</v>
          </cell>
          <cell r="H3528">
            <v>34000000</v>
          </cell>
          <cell r="I3528" t="str">
            <v/>
          </cell>
          <cell r="J3528" t="str">
            <v/>
          </cell>
          <cell r="K3528" t="str">
            <v/>
          </cell>
          <cell r="L3528" t="str">
            <v/>
          </cell>
        </row>
        <row r="3529">
          <cell r="A3529">
            <v>34000000</v>
          </cell>
          <cell r="C3529">
            <v>34000000</v>
          </cell>
          <cell r="D3529">
            <v>34000000</v>
          </cell>
          <cell r="E3529">
            <v>34000000</v>
          </cell>
          <cell r="F3529">
            <v>34000000</v>
          </cell>
          <cell r="G3529">
            <v>34000000</v>
          </cell>
          <cell r="H3529">
            <v>34000000</v>
          </cell>
          <cell r="I3529" t="str">
            <v/>
          </cell>
          <cell r="J3529" t="str">
            <v/>
          </cell>
          <cell r="K3529" t="str">
            <v/>
          </cell>
          <cell r="L3529" t="str">
            <v/>
          </cell>
        </row>
        <row r="3530">
          <cell r="A3530">
            <v>34000000</v>
          </cell>
          <cell r="C3530">
            <v>34000000</v>
          </cell>
          <cell r="D3530">
            <v>34000000</v>
          </cell>
          <cell r="E3530">
            <v>34000000</v>
          </cell>
          <cell r="F3530">
            <v>34000000</v>
          </cell>
          <cell r="G3530">
            <v>34000000</v>
          </cell>
          <cell r="H3530">
            <v>34000000</v>
          </cell>
          <cell r="I3530" t="str">
            <v/>
          </cell>
          <cell r="J3530" t="str">
            <v/>
          </cell>
          <cell r="K3530" t="str">
            <v/>
          </cell>
          <cell r="L3530" t="str">
            <v/>
          </cell>
        </row>
        <row r="3531">
          <cell r="A3531">
            <v>34000000</v>
          </cell>
          <cell r="C3531">
            <v>34000000</v>
          </cell>
          <cell r="D3531">
            <v>34000000</v>
          </cell>
          <cell r="E3531">
            <v>34000000</v>
          </cell>
          <cell r="F3531">
            <v>34000000</v>
          </cell>
          <cell r="G3531">
            <v>34000000</v>
          </cell>
          <cell r="H3531">
            <v>34000000</v>
          </cell>
          <cell r="I3531" t="str">
            <v/>
          </cell>
          <cell r="J3531" t="str">
            <v/>
          </cell>
          <cell r="K3531" t="str">
            <v/>
          </cell>
          <cell r="L3531" t="str">
            <v/>
          </cell>
        </row>
        <row r="3532">
          <cell r="A3532">
            <v>34000000</v>
          </cell>
          <cell r="C3532">
            <v>34000000</v>
          </cell>
          <cell r="D3532">
            <v>34000000</v>
          </cell>
          <cell r="E3532">
            <v>34000000</v>
          </cell>
          <cell r="F3532">
            <v>34000000</v>
          </cell>
          <cell r="G3532">
            <v>34000000</v>
          </cell>
          <cell r="H3532">
            <v>34000000</v>
          </cell>
          <cell r="I3532" t="str">
            <v/>
          </cell>
          <cell r="J3532" t="str">
            <v/>
          </cell>
          <cell r="K3532" t="str">
            <v/>
          </cell>
          <cell r="L3532" t="str">
            <v/>
          </cell>
        </row>
        <row r="3533">
          <cell r="A3533">
            <v>34000000</v>
          </cell>
          <cell r="C3533">
            <v>34000000</v>
          </cell>
          <cell r="D3533">
            <v>34000000</v>
          </cell>
          <cell r="E3533">
            <v>34000000</v>
          </cell>
          <cell r="F3533">
            <v>34000000</v>
          </cell>
          <cell r="G3533">
            <v>34000000</v>
          </cell>
          <cell r="H3533">
            <v>34000000</v>
          </cell>
          <cell r="I3533" t="str">
            <v/>
          </cell>
          <cell r="J3533" t="str">
            <v/>
          </cell>
          <cell r="K3533" t="str">
            <v/>
          </cell>
          <cell r="L3533" t="str">
            <v/>
          </cell>
        </row>
        <row r="3534">
          <cell r="A3534">
            <v>34000000</v>
          </cell>
          <cell r="C3534">
            <v>34000000</v>
          </cell>
          <cell r="D3534">
            <v>34000000</v>
          </cell>
          <cell r="E3534">
            <v>34000000</v>
          </cell>
          <cell r="F3534">
            <v>34000000</v>
          </cell>
          <cell r="G3534">
            <v>34000000</v>
          </cell>
          <cell r="H3534">
            <v>34000000</v>
          </cell>
          <cell r="I3534" t="str">
            <v/>
          </cell>
          <cell r="J3534" t="str">
            <v/>
          </cell>
          <cell r="K3534" t="str">
            <v/>
          </cell>
          <cell r="L3534" t="str">
            <v/>
          </cell>
        </row>
        <row r="3535">
          <cell r="A3535">
            <v>34000000</v>
          </cell>
          <cell r="C3535">
            <v>34000000</v>
          </cell>
          <cell r="D3535">
            <v>34000000</v>
          </cell>
          <cell r="E3535">
            <v>34000000</v>
          </cell>
          <cell r="F3535">
            <v>34000000</v>
          </cell>
          <cell r="G3535">
            <v>34000000</v>
          </cell>
          <cell r="H3535">
            <v>34000000</v>
          </cell>
          <cell r="I3535" t="str">
            <v/>
          </cell>
          <cell r="J3535" t="str">
            <v/>
          </cell>
          <cell r="K3535" t="str">
            <v/>
          </cell>
          <cell r="L3535" t="str">
            <v/>
          </cell>
        </row>
        <row r="3536">
          <cell r="A3536">
            <v>34000000</v>
          </cell>
          <cell r="C3536">
            <v>34000000</v>
          </cell>
          <cell r="D3536">
            <v>34000000</v>
          </cell>
          <cell r="E3536">
            <v>34000000</v>
          </cell>
          <cell r="F3536">
            <v>34000000</v>
          </cell>
          <cell r="G3536">
            <v>34000000</v>
          </cell>
          <cell r="H3536">
            <v>34000000</v>
          </cell>
          <cell r="I3536" t="str">
            <v/>
          </cell>
          <cell r="J3536" t="str">
            <v/>
          </cell>
          <cell r="K3536" t="str">
            <v/>
          </cell>
          <cell r="L3536" t="str">
            <v/>
          </cell>
        </row>
        <row r="3537">
          <cell r="A3537">
            <v>34000000</v>
          </cell>
          <cell r="C3537">
            <v>34000000</v>
          </cell>
          <cell r="D3537">
            <v>34000000</v>
          </cell>
          <cell r="E3537">
            <v>34000000</v>
          </cell>
          <cell r="F3537">
            <v>34000000</v>
          </cell>
          <cell r="G3537">
            <v>34000000</v>
          </cell>
          <cell r="H3537">
            <v>34000000</v>
          </cell>
          <cell r="I3537" t="str">
            <v/>
          </cell>
          <cell r="J3537" t="str">
            <v/>
          </cell>
          <cell r="K3537" t="str">
            <v/>
          </cell>
          <cell r="L3537" t="str">
            <v/>
          </cell>
        </row>
        <row r="3538">
          <cell r="A3538">
            <v>34000000</v>
          </cell>
          <cell r="C3538">
            <v>34000000</v>
          </cell>
          <cell r="D3538">
            <v>34000000</v>
          </cell>
          <cell r="E3538">
            <v>34000000</v>
          </cell>
          <cell r="F3538">
            <v>34000000</v>
          </cell>
          <cell r="G3538">
            <v>34000000</v>
          </cell>
          <cell r="H3538">
            <v>34000000</v>
          </cell>
          <cell r="I3538" t="str">
            <v/>
          </cell>
          <cell r="J3538" t="str">
            <v/>
          </cell>
          <cell r="K3538" t="str">
            <v/>
          </cell>
          <cell r="L3538" t="str">
            <v/>
          </cell>
        </row>
        <row r="3539">
          <cell r="A3539">
            <v>34000000</v>
          </cell>
          <cell r="C3539">
            <v>34000000</v>
          </cell>
          <cell r="D3539">
            <v>34000000</v>
          </cell>
          <cell r="E3539">
            <v>34000000</v>
          </cell>
          <cell r="F3539">
            <v>34000000</v>
          </cell>
          <cell r="G3539">
            <v>34000000</v>
          </cell>
          <cell r="H3539">
            <v>34000000</v>
          </cell>
          <cell r="I3539" t="str">
            <v/>
          </cell>
          <cell r="J3539" t="str">
            <v/>
          </cell>
          <cell r="K3539" t="str">
            <v/>
          </cell>
          <cell r="L3539" t="str">
            <v/>
          </cell>
        </row>
        <row r="3540">
          <cell r="A3540">
            <v>34000000</v>
          </cell>
          <cell r="C3540">
            <v>34000000</v>
          </cell>
          <cell r="D3540">
            <v>34000000</v>
          </cell>
          <cell r="E3540">
            <v>34000000</v>
          </cell>
          <cell r="F3540">
            <v>34000000</v>
          </cell>
          <cell r="G3540">
            <v>34000000</v>
          </cell>
          <cell r="H3540">
            <v>34000000</v>
          </cell>
          <cell r="I3540" t="str">
            <v/>
          </cell>
          <cell r="J3540" t="str">
            <v/>
          </cell>
          <cell r="K3540" t="str">
            <v/>
          </cell>
          <cell r="L3540" t="str">
            <v/>
          </cell>
        </row>
        <row r="3541">
          <cell r="A3541">
            <v>34000000</v>
          </cell>
          <cell r="C3541">
            <v>34000000</v>
          </cell>
          <cell r="D3541">
            <v>34000000</v>
          </cell>
          <cell r="E3541">
            <v>34000000</v>
          </cell>
          <cell r="F3541">
            <v>34000000</v>
          </cell>
          <cell r="G3541">
            <v>34000000</v>
          </cell>
          <cell r="H3541">
            <v>34000000</v>
          </cell>
          <cell r="I3541" t="str">
            <v/>
          </cell>
          <cell r="J3541" t="str">
            <v/>
          </cell>
          <cell r="K3541" t="str">
            <v/>
          </cell>
          <cell r="L3541" t="str">
            <v/>
          </cell>
        </row>
        <row r="3542">
          <cell r="A3542">
            <v>34000000</v>
          </cell>
          <cell r="C3542">
            <v>34000000</v>
          </cell>
          <cell r="D3542">
            <v>34000000</v>
          </cell>
          <cell r="E3542">
            <v>34000000</v>
          </cell>
          <cell r="F3542">
            <v>34000000</v>
          </cell>
          <cell r="G3542">
            <v>34000000</v>
          </cell>
          <cell r="H3542">
            <v>34000000</v>
          </cell>
          <cell r="I3542" t="str">
            <v/>
          </cell>
          <cell r="J3542" t="str">
            <v/>
          </cell>
          <cell r="K3542" t="str">
            <v/>
          </cell>
          <cell r="L3542" t="str">
            <v/>
          </cell>
        </row>
        <row r="3543">
          <cell r="A3543">
            <v>34000000</v>
          </cell>
          <cell r="C3543">
            <v>34000000</v>
          </cell>
          <cell r="D3543">
            <v>34000000</v>
          </cell>
          <cell r="E3543">
            <v>34000000</v>
          </cell>
          <cell r="F3543">
            <v>34000000</v>
          </cell>
          <cell r="G3543">
            <v>34000000</v>
          </cell>
          <cell r="H3543">
            <v>34000000</v>
          </cell>
          <cell r="I3543" t="str">
            <v/>
          </cell>
          <cell r="J3543" t="str">
            <v/>
          </cell>
          <cell r="K3543" t="str">
            <v/>
          </cell>
          <cell r="L3543" t="str">
            <v/>
          </cell>
        </row>
        <row r="3544">
          <cell r="A3544">
            <v>34000000</v>
          </cell>
          <cell r="C3544">
            <v>34000000</v>
          </cell>
          <cell r="D3544">
            <v>34000000</v>
          </cell>
          <cell r="E3544">
            <v>34000000</v>
          </cell>
          <cell r="F3544">
            <v>34000000</v>
          </cell>
          <cell r="G3544">
            <v>34000000</v>
          </cell>
          <cell r="H3544">
            <v>34000000</v>
          </cell>
          <cell r="I3544" t="str">
            <v/>
          </cell>
          <cell r="J3544" t="str">
            <v/>
          </cell>
          <cell r="K3544" t="str">
            <v/>
          </cell>
          <cell r="L3544" t="str">
            <v/>
          </cell>
        </row>
        <row r="3545">
          <cell r="A3545">
            <v>34000000</v>
          </cell>
          <cell r="C3545">
            <v>34000000</v>
          </cell>
          <cell r="D3545">
            <v>34000000</v>
          </cell>
          <cell r="E3545">
            <v>34000000</v>
          </cell>
          <cell r="F3545">
            <v>34000000</v>
          </cell>
          <cell r="G3545">
            <v>34000000</v>
          </cell>
          <cell r="H3545">
            <v>34000000</v>
          </cell>
          <cell r="I3545" t="str">
            <v/>
          </cell>
          <cell r="J3545" t="str">
            <v/>
          </cell>
          <cell r="K3545" t="str">
            <v/>
          </cell>
          <cell r="L3545" t="str">
            <v/>
          </cell>
        </row>
        <row r="3546">
          <cell r="A3546">
            <v>34000000</v>
          </cell>
          <cell r="C3546">
            <v>34000000</v>
          </cell>
          <cell r="D3546">
            <v>34000000</v>
          </cell>
          <cell r="E3546">
            <v>34000000</v>
          </cell>
          <cell r="F3546">
            <v>34000000</v>
          </cell>
          <cell r="G3546">
            <v>34000000</v>
          </cell>
          <cell r="H3546">
            <v>34000000</v>
          </cell>
          <cell r="I3546" t="str">
            <v/>
          </cell>
          <cell r="J3546" t="str">
            <v/>
          </cell>
          <cell r="K3546" t="str">
            <v/>
          </cell>
          <cell r="L3546" t="str">
            <v/>
          </cell>
        </row>
        <row r="3547">
          <cell r="A3547">
            <v>34000000</v>
          </cell>
          <cell r="C3547">
            <v>34000000</v>
          </cell>
          <cell r="D3547">
            <v>34000000</v>
          </cell>
          <cell r="E3547">
            <v>34000000</v>
          </cell>
          <cell r="F3547">
            <v>34000000</v>
          </cell>
          <cell r="G3547">
            <v>34000000</v>
          </cell>
          <cell r="H3547">
            <v>34000000</v>
          </cell>
          <cell r="I3547" t="str">
            <v/>
          </cell>
          <cell r="J3547" t="str">
            <v/>
          </cell>
          <cell r="K3547" t="str">
            <v/>
          </cell>
          <cell r="L3547" t="str">
            <v/>
          </cell>
        </row>
        <row r="3548">
          <cell r="A3548">
            <v>34000000</v>
          </cell>
          <cell r="C3548">
            <v>34000000</v>
          </cell>
          <cell r="D3548">
            <v>34000000</v>
          </cell>
          <cell r="E3548">
            <v>34000000</v>
          </cell>
          <cell r="F3548">
            <v>34000000</v>
          </cell>
          <cell r="G3548">
            <v>34000000</v>
          </cell>
          <cell r="H3548">
            <v>34000000</v>
          </cell>
          <cell r="I3548" t="str">
            <v/>
          </cell>
          <cell r="J3548" t="str">
            <v/>
          </cell>
          <cell r="K3548" t="str">
            <v/>
          </cell>
          <cell r="L3548" t="str">
            <v/>
          </cell>
        </row>
        <row r="3549">
          <cell r="A3549">
            <v>34000000</v>
          </cell>
          <cell r="C3549">
            <v>34000000</v>
          </cell>
          <cell r="D3549">
            <v>34000000</v>
          </cell>
          <cell r="E3549">
            <v>34000000</v>
          </cell>
          <cell r="F3549">
            <v>34000000</v>
          </cell>
          <cell r="G3549">
            <v>34000000</v>
          </cell>
          <cell r="H3549">
            <v>34000000</v>
          </cell>
          <cell r="I3549" t="str">
            <v/>
          </cell>
          <cell r="J3549" t="str">
            <v/>
          </cell>
          <cell r="K3549" t="str">
            <v/>
          </cell>
          <cell r="L3549" t="str">
            <v/>
          </cell>
        </row>
        <row r="3550">
          <cell r="A3550">
            <v>34000000</v>
          </cell>
          <cell r="C3550">
            <v>34000000</v>
          </cell>
          <cell r="D3550">
            <v>34000000</v>
          </cell>
          <cell r="E3550">
            <v>34000000</v>
          </cell>
          <cell r="F3550">
            <v>34000000</v>
          </cell>
          <cell r="G3550">
            <v>34000000</v>
          </cell>
          <cell r="H3550">
            <v>34000000</v>
          </cell>
          <cell r="I3550" t="str">
            <v/>
          </cell>
          <cell r="J3550" t="str">
            <v/>
          </cell>
          <cell r="K3550" t="str">
            <v/>
          </cell>
          <cell r="L3550" t="str">
            <v/>
          </cell>
        </row>
        <row r="3551">
          <cell r="A3551">
            <v>34000000</v>
          </cell>
          <cell r="C3551">
            <v>34000000</v>
          </cell>
          <cell r="D3551">
            <v>34000000</v>
          </cell>
          <cell r="E3551">
            <v>34000000</v>
          </cell>
          <cell r="F3551">
            <v>34000000</v>
          </cell>
          <cell r="G3551">
            <v>34000000</v>
          </cell>
          <cell r="H3551">
            <v>34000000</v>
          </cell>
          <cell r="I3551" t="str">
            <v/>
          </cell>
          <cell r="J3551" t="str">
            <v/>
          </cell>
          <cell r="K3551" t="str">
            <v/>
          </cell>
          <cell r="L3551" t="str">
            <v/>
          </cell>
        </row>
        <row r="3552">
          <cell r="A3552">
            <v>34000000</v>
          </cell>
          <cell r="C3552">
            <v>34000000</v>
          </cell>
          <cell r="D3552">
            <v>34000000</v>
          </cell>
          <cell r="E3552">
            <v>34000000</v>
          </cell>
          <cell r="F3552">
            <v>34000000</v>
          </cell>
          <cell r="G3552">
            <v>34000000</v>
          </cell>
          <cell r="H3552">
            <v>34000000</v>
          </cell>
          <cell r="I3552" t="str">
            <v/>
          </cell>
          <cell r="J3552" t="str">
            <v/>
          </cell>
          <cell r="K3552" t="str">
            <v/>
          </cell>
          <cell r="L3552" t="str">
            <v/>
          </cell>
        </row>
        <row r="3553">
          <cell r="A3553">
            <v>34000000</v>
          </cell>
          <cell r="C3553">
            <v>34000000</v>
          </cell>
          <cell r="D3553">
            <v>34000000</v>
          </cell>
          <cell r="E3553">
            <v>34000000</v>
          </cell>
          <cell r="F3553">
            <v>34000000</v>
          </cell>
          <cell r="G3553">
            <v>34000000</v>
          </cell>
          <cell r="H3553">
            <v>34000000</v>
          </cell>
          <cell r="I3553" t="str">
            <v/>
          </cell>
          <cell r="J3553" t="str">
            <v/>
          </cell>
          <cell r="K3553" t="str">
            <v/>
          </cell>
          <cell r="L3553" t="str">
            <v/>
          </cell>
        </row>
        <row r="3554">
          <cell r="A3554">
            <v>34000000</v>
          </cell>
          <cell r="C3554">
            <v>34000000</v>
          </cell>
          <cell r="D3554">
            <v>34000000</v>
          </cell>
          <cell r="E3554">
            <v>34000000</v>
          </cell>
          <cell r="F3554">
            <v>34000000</v>
          </cell>
          <cell r="G3554">
            <v>34000000</v>
          </cell>
          <cell r="H3554">
            <v>34000000</v>
          </cell>
          <cell r="I3554" t="str">
            <v/>
          </cell>
          <cell r="J3554" t="str">
            <v/>
          </cell>
          <cell r="K3554" t="str">
            <v/>
          </cell>
          <cell r="L3554" t="str">
            <v/>
          </cell>
        </row>
        <row r="3555">
          <cell r="A3555">
            <v>34000000</v>
          </cell>
          <cell r="C3555">
            <v>34000000</v>
          </cell>
          <cell r="D3555">
            <v>34000000</v>
          </cell>
          <cell r="E3555">
            <v>34000000</v>
          </cell>
          <cell r="F3555">
            <v>34000000</v>
          </cell>
          <cell r="G3555">
            <v>34000000</v>
          </cell>
          <cell r="H3555">
            <v>34000000</v>
          </cell>
          <cell r="I3555" t="str">
            <v/>
          </cell>
          <cell r="J3555" t="str">
            <v/>
          </cell>
          <cell r="K3555" t="str">
            <v/>
          </cell>
          <cell r="L3555" t="str">
            <v/>
          </cell>
        </row>
        <row r="3556">
          <cell r="A3556">
            <v>34000000</v>
          </cell>
          <cell r="C3556">
            <v>34000000</v>
          </cell>
          <cell r="D3556">
            <v>34000000</v>
          </cell>
          <cell r="E3556">
            <v>34000000</v>
          </cell>
          <cell r="F3556">
            <v>34000000</v>
          </cell>
          <cell r="G3556">
            <v>34000000</v>
          </cell>
          <cell r="H3556">
            <v>34000000</v>
          </cell>
          <cell r="I3556" t="str">
            <v/>
          </cell>
          <cell r="J3556" t="str">
            <v/>
          </cell>
          <cell r="K3556" t="str">
            <v/>
          </cell>
          <cell r="L3556" t="str">
            <v/>
          </cell>
        </row>
        <row r="3557">
          <cell r="A3557">
            <v>34000000</v>
          </cell>
          <cell r="C3557">
            <v>34000000</v>
          </cell>
          <cell r="D3557">
            <v>34000000</v>
          </cell>
          <cell r="E3557">
            <v>34000000</v>
          </cell>
          <cell r="F3557">
            <v>34000000</v>
          </cell>
          <cell r="G3557">
            <v>34000000</v>
          </cell>
          <cell r="H3557">
            <v>34000000</v>
          </cell>
          <cell r="I3557" t="str">
            <v/>
          </cell>
          <cell r="J3557" t="str">
            <v/>
          </cell>
          <cell r="K3557" t="str">
            <v/>
          </cell>
          <cell r="L3557" t="str">
            <v/>
          </cell>
        </row>
        <row r="3558">
          <cell r="A3558">
            <v>34000000</v>
          </cell>
          <cell r="C3558">
            <v>34000000</v>
          </cell>
          <cell r="D3558">
            <v>34000000</v>
          </cell>
          <cell r="E3558">
            <v>34000000</v>
          </cell>
          <cell r="F3558">
            <v>34000000</v>
          </cell>
          <cell r="G3558">
            <v>34000000</v>
          </cell>
          <cell r="H3558">
            <v>34000000</v>
          </cell>
          <cell r="I3558" t="str">
            <v/>
          </cell>
          <cell r="J3558" t="str">
            <v/>
          </cell>
          <cell r="K3558" t="str">
            <v/>
          </cell>
          <cell r="L3558" t="str">
            <v/>
          </cell>
        </row>
        <row r="3559">
          <cell r="A3559">
            <v>34000000</v>
          </cell>
          <cell r="C3559">
            <v>34000000</v>
          </cell>
          <cell r="D3559">
            <v>34000000</v>
          </cell>
          <cell r="E3559">
            <v>34000000</v>
          </cell>
          <cell r="F3559">
            <v>34000000</v>
          </cell>
          <cell r="G3559">
            <v>34000000</v>
          </cell>
          <cell r="H3559">
            <v>34000000</v>
          </cell>
          <cell r="I3559" t="str">
            <v/>
          </cell>
          <cell r="J3559" t="str">
            <v/>
          </cell>
          <cell r="K3559" t="str">
            <v/>
          </cell>
          <cell r="L3559" t="str">
            <v/>
          </cell>
        </row>
        <row r="3560">
          <cell r="A3560">
            <v>34000000</v>
          </cell>
          <cell r="C3560">
            <v>34000000</v>
          </cell>
          <cell r="D3560">
            <v>34000000</v>
          </cell>
          <cell r="E3560">
            <v>34000000</v>
          </cell>
          <cell r="F3560">
            <v>34000000</v>
          </cell>
          <cell r="G3560">
            <v>34000000</v>
          </cell>
          <cell r="H3560">
            <v>34000000</v>
          </cell>
          <cell r="I3560" t="str">
            <v/>
          </cell>
          <cell r="J3560" t="str">
            <v/>
          </cell>
          <cell r="K3560" t="str">
            <v/>
          </cell>
          <cell r="L3560" t="str">
            <v/>
          </cell>
        </row>
        <row r="3561">
          <cell r="A3561">
            <v>34000000</v>
          </cell>
          <cell r="C3561">
            <v>34000000</v>
          </cell>
          <cell r="D3561">
            <v>34000000</v>
          </cell>
          <cell r="E3561">
            <v>34000000</v>
          </cell>
          <cell r="F3561">
            <v>34000000</v>
          </cell>
          <cell r="G3561">
            <v>34000000</v>
          </cell>
          <cell r="H3561">
            <v>34000000</v>
          </cell>
          <cell r="I3561" t="str">
            <v/>
          </cell>
          <cell r="J3561" t="str">
            <v/>
          </cell>
          <cell r="K3561" t="str">
            <v/>
          </cell>
          <cell r="L3561" t="str">
            <v/>
          </cell>
        </row>
        <row r="3562">
          <cell r="A3562">
            <v>34000000</v>
          </cell>
          <cell r="C3562">
            <v>34000000</v>
          </cell>
          <cell r="D3562">
            <v>34000000</v>
          </cell>
          <cell r="E3562">
            <v>34000000</v>
          </cell>
          <cell r="F3562">
            <v>34000000</v>
          </cell>
          <cell r="G3562">
            <v>34000000</v>
          </cell>
          <cell r="H3562">
            <v>34000000</v>
          </cell>
          <cell r="I3562" t="str">
            <v/>
          </cell>
          <cell r="J3562" t="str">
            <v/>
          </cell>
          <cell r="K3562" t="str">
            <v/>
          </cell>
          <cell r="L3562" t="str">
            <v/>
          </cell>
        </row>
        <row r="3563">
          <cell r="A3563">
            <v>34000000</v>
          </cell>
          <cell r="C3563">
            <v>34000000</v>
          </cell>
          <cell r="D3563">
            <v>34000000</v>
          </cell>
          <cell r="E3563">
            <v>34000000</v>
          </cell>
          <cell r="F3563">
            <v>34000000</v>
          </cell>
          <cell r="G3563">
            <v>34000000</v>
          </cell>
          <cell r="H3563">
            <v>34000000</v>
          </cell>
          <cell r="I3563" t="str">
            <v/>
          </cell>
          <cell r="J3563" t="str">
            <v/>
          </cell>
          <cell r="K3563" t="str">
            <v/>
          </cell>
          <cell r="L3563" t="str">
            <v/>
          </cell>
        </row>
        <row r="3564">
          <cell r="A3564">
            <v>34000000</v>
          </cell>
          <cell r="C3564">
            <v>34000000</v>
          </cell>
          <cell r="D3564">
            <v>34000000</v>
          </cell>
          <cell r="E3564">
            <v>34000000</v>
          </cell>
          <cell r="F3564">
            <v>34000000</v>
          </cell>
          <cell r="G3564">
            <v>34000000</v>
          </cell>
          <cell r="H3564">
            <v>34000000</v>
          </cell>
          <cell r="I3564" t="str">
            <v/>
          </cell>
          <cell r="J3564" t="str">
            <v/>
          </cell>
          <cell r="K3564" t="str">
            <v/>
          </cell>
          <cell r="L3564" t="str">
            <v/>
          </cell>
        </row>
        <row r="3565">
          <cell r="A3565">
            <v>34000000</v>
          </cell>
          <cell r="C3565">
            <v>34000000</v>
          </cell>
          <cell r="D3565">
            <v>34000000</v>
          </cell>
          <cell r="E3565">
            <v>34000000</v>
          </cell>
          <cell r="F3565">
            <v>34000000</v>
          </cell>
          <cell r="G3565">
            <v>34000000</v>
          </cell>
          <cell r="H3565">
            <v>34000000</v>
          </cell>
          <cell r="I3565" t="str">
            <v/>
          </cell>
          <cell r="J3565" t="str">
            <v/>
          </cell>
          <cell r="K3565" t="str">
            <v/>
          </cell>
          <cell r="L3565" t="str">
            <v/>
          </cell>
        </row>
        <row r="3566">
          <cell r="A3566">
            <v>34000000</v>
          </cell>
          <cell r="C3566">
            <v>34000000</v>
          </cell>
          <cell r="D3566">
            <v>34000000</v>
          </cell>
          <cell r="E3566">
            <v>34000000</v>
          </cell>
          <cell r="F3566">
            <v>34000000</v>
          </cell>
          <cell r="G3566">
            <v>34000000</v>
          </cell>
          <cell r="H3566">
            <v>34000000</v>
          </cell>
          <cell r="I3566" t="str">
            <v/>
          </cell>
          <cell r="J3566" t="str">
            <v/>
          </cell>
          <cell r="K3566" t="str">
            <v/>
          </cell>
          <cell r="L3566" t="str">
            <v/>
          </cell>
        </row>
        <row r="3567">
          <cell r="A3567">
            <v>34000000</v>
          </cell>
          <cell r="C3567">
            <v>34000000</v>
          </cell>
          <cell r="D3567">
            <v>34000000</v>
          </cell>
          <cell r="E3567">
            <v>34000000</v>
          </cell>
          <cell r="F3567">
            <v>34000000</v>
          </cell>
          <cell r="G3567">
            <v>34000000</v>
          </cell>
          <cell r="H3567">
            <v>34000000</v>
          </cell>
          <cell r="I3567" t="str">
            <v/>
          </cell>
          <cell r="J3567" t="str">
            <v/>
          </cell>
          <cell r="K3567" t="str">
            <v/>
          </cell>
          <cell r="L3567" t="str">
            <v/>
          </cell>
        </row>
        <row r="3568">
          <cell r="A3568">
            <v>34000000</v>
          </cell>
          <cell r="C3568">
            <v>34000000</v>
          </cell>
          <cell r="D3568">
            <v>34000000</v>
          </cell>
          <cell r="E3568">
            <v>34000000</v>
          </cell>
          <cell r="F3568">
            <v>34000000</v>
          </cell>
          <cell r="G3568">
            <v>34000000</v>
          </cell>
          <cell r="H3568">
            <v>34000000</v>
          </cell>
          <cell r="I3568" t="str">
            <v/>
          </cell>
          <cell r="J3568" t="str">
            <v/>
          </cell>
          <cell r="K3568" t="str">
            <v/>
          </cell>
          <cell r="L3568" t="str">
            <v/>
          </cell>
        </row>
        <row r="3569">
          <cell r="A3569">
            <v>34000000</v>
          </cell>
          <cell r="C3569">
            <v>34000000</v>
          </cell>
          <cell r="D3569">
            <v>34000000</v>
          </cell>
          <cell r="E3569">
            <v>34000000</v>
          </cell>
          <cell r="F3569">
            <v>34000000</v>
          </cell>
          <cell r="G3569">
            <v>34000000</v>
          </cell>
          <cell r="H3569">
            <v>34000000</v>
          </cell>
          <cell r="I3569" t="str">
            <v/>
          </cell>
          <cell r="J3569" t="str">
            <v/>
          </cell>
          <cell r="K3569" t="str">
            <v/>
          </cell>
          <cell r="L3569" t="str">
            <v/>
          </cell>
        </row>
        <row r="3570">
          <cell r="A3570">
            <v>34000000</v>
          </cell>
          <cell r="C3570">
            <v>34000000</v>
          </cell>
          <cell r="D3570">
            <v>34000000</v>
          </cell>
          <cell r="E3570">
            <v>34000000</v>
          </cell>
          <cell r="F3570">
            <v>34000000</v>
          </cell>
          <cell r="G3570">
            <v>34000000</v>
          </cell>
          <cell r="H3570">
            <v>34000000</v>
          </cell>
          <cell r="I3570" t="str">
            <v/>
          </cell>
          <cell r="J3570" t="str">
            <v/>
          </cell>
          <cell r="K3570" t="str">
            <v/>
          </cell>
          <cell r="L3570" t="str">
            <v/>
          </cell>
        </row>
        <row r="3571">
          <cell r="A3571">
            <v>34000000</v>
          </cell>
          <cell r="C3571">
            <v>34000000</v>
          </cell>
          <cell r="D3571">
            <v>34000000</v>
          </cell>
          <cell r="E3571">
            <v>34000000</v>
          </cell>
          <cell r="F3571">
            <v>34000000</v>
          </cell>
          <cell r="G3571">
            <v>34000000</v>
          </cell>
          <cell r="H3571">
            <v>34000000</v>
          </cell>
          <cell r="I3571" t="str">
            <v/>
          </cell>
          <cell r="J3571" t="str">
            <v/>
          </cell>
          <cell r="K3571" t="str">
            <v/>
          </cell>
          <cell r="L3571" t="str">
            <v/>
          </cell>
        </row>
        <row r="3572">
          <cell r="A3572">
            <v>34000000</v>
          </cell>
          <cell r="C3572">
            <v>34000000</v>
          </cell>
          <cell r="D3572">
            <v>34000000</v>
          </cell>
          <cell r="E3572">
            <v>34000000</v>
          </cell>
          <cell r="F3572">
            <v>34000000</v>
          </cell>
          <cell r="G3572">
            <v>34000000</v>
          </cell>
          <cell r="H3572">
            <v>34000000</v>
          </cell>
          <cell r="I3572" t="str">
            <v/>
          </cell>
          <cell r="J3572" t="str">
            <v/>
          </cell>
          <cell r="K3572" t="str">
            <v/>
          </cell>
          <cell r="L3572" t="str">
            <v/>
          </cell>
        </row>
        <row r="3573">
          <cell r="A3573">
            <v>34000000</v>
          </cell>
          <cell r="C3573">
            <v>34000000</v>
          </cell>
          <cell r="D3573">
            <v>34000000</v>
          </cell>
          <cell r="E3573">
            <v>34000000</v>
          </cell>
          <cell r="F3573">
            <v>34000000</v>
          </cell>
          <cell r="G3573">
            <v>34000000</v>
          </cell>
          <cell r="H3573">
            <v>34000000</v>
          </cell>
          <cell r="I3573" t="str">
            <v/>
          </cell>
          <cell r="J3573" t="str">
            <v/>
          </cell>
          <cell r="K3573" t="str">
            <v/>
          </cell>
          <cell r="L3573" t="str">
            <v/>
          </cell>
        </row>
        <row r="3574">
          <cell r="A3574">
            <v>34000000</v>
          </cell>
          <cell r="C3574">
            <v>34000000</v>
          </cell>
          <cell r="D3574">
            <v>34000000</v>
          </cell>
          <cell r="E3574">
            <v>34000000</v>
          </cell>
          <cell r="F3574">
            <v>34000000</v>
          </cell>
          <cell r="G3574">
            <v>34000000</v>
          </cell>
          <cell r="H3574">
            <v>34000000</v>
          </cell>
          <cell r="I3574" t="str">
            <v/>
          </cell>
          <cell r="J3574" t="str">
            <v/>
          </cell>
          <cell r="K3574" t="str">
            <v/>
          </cell>
          <cell r="L3574" t="str">
            <v/>
          </cell>
        </row>
        <row r="3575">
          <cell r="A3575">
            <v>34000000</v>
          </cell>
          <cell r="C3575">
            <v>34000000</v>
          </cell>
          <cell r="D3575">
            <v>34000000</v>
          </cell>
          <cell r="E3575">
            <v>34000000</v>
          </cell>
          <cell r="F3575">
            <v>34000000</v>
          </cell>
          <cell r="G3575">
            <v>34000000</v>
          </cell>
          <cell r="H3575">
            <v>34000000</v>
          </cell>
          <cell r="I3575" t="str">
            <v/>
          </cell>
          <cell r="J3575" t="str">
            <v/>
          </cell>
          <cell r="K3575" t="str">
            <v/>
          </cell>
          <cell r="L3575" t="str">
            <v/>
          </cell>
        </row>
        <row r="3576">
          <cell r="A3576">
            <v>34000000</v>
          </cell>
          <cell r="C3576">
            <v>34000000</v>
          </cell>
          <cell r="D3576">
            <v>34000000</v>
          </cell>
          <cell r="E3576">
            <v>34000000</v>
          </cell>
          <cell r="F3576">
            <v>34000000</v>
          </cell>
          <cell r="G3576">
            <v>34000000</v>
          </cell>
          <cell r="H3576">
            <v>34000000</v>
          </cell>
          <cell r="I3576" t="str">
            <v/>
          </cell>
          <cell r="J3576" t="str">
            <v/>
          </cell>
          <cell r="K3576" t="str">
            <v/>
          </cell>
          <cell r="L3576" t="str">
            <v/>
          </cell>
        </row>
        <row r="3577">
          <cell r="A3577">
            <v>34000000</v>
          </cell>
          <cell r="C3577">
            <v>34000000</v>
          </cell>
          <cell r="D3577">
            <v>34000000</v>
          </cell>
          <cell r="E3577">
            <v>34000000</v>
          </cell>
          <cell r="F3577">
            <v>34000000</v>
          </cell>
          <cell r="G3577">
            <v>34000000</v>
          </cell>
          <cell r="H3577">
            <v>34000000</v>
          </cell>
          <cell r="I3577" t="str">
            <v/>
          </cell>
          <cell r="J3577" t="str">
            <v/>
          </cell>
          <cell r="K3577" t="str">
            <v/>
          </cell>
          <cell r="L3577" t="str">
            <v/>
          </cell>
        </row>
        <row r="3578">
          <cell r="A3578">
            <v>34000000</v>
          </cell>
          <cell r="C3578">
            <v>34000000</v>
          </cell>
          <cell r="D3578">
            <v>34000000</v>
          </cell>
          <cell r="E3578">
            <v>34000000</v>
          </cell>
          <cell r="F3578">
            <v>34000000</v>
          </cell>
          <cell r="G3578">
            <v>34000000</v>
          </cell>
          <cell r="H3578">
            <v>34000000</v>
          </cell>
          <cell r="I3578" t="str">
            <v/>
          </cell>
          <cell r="J3578" t="str">
            <v/>
          </cell>
          <cell r="K3578" t="str">
            <v/>
          </cell>
          <cell r="L3578" t="str">
            <v/>
          </cell>
        </row>
        <row r="3579">
          <cell r="A3579">
            <v>34000000</v>
          </cell>
          <cell r="C3579">
            <v>34000000</v>
          </cell>
          <cell r="D3579">
            <v>34000000</v>
          </cell>
          <cell r="E3579">
            <v>34000000</v>
          </cell>
          <cell r="F3579">
            <v>34000000</v>
          </cell>
          <cell r="G3579">
            <v>34000000</v>
          </cell>
          <cell r="H3579">
            <v>34000000</v>
          </cell>
          <cell r="I3579" t="str">
            <v/>
          </cell>
          <cell r="J3579" t="str">
            <v/>
          </cell>
          <cell r="K3579" t="str">
            <v/>
          </cell>
          <cell r="L3579" t="str">
            <v/>
          </cell>
        </row>
        <row r="3580">
          <cell r="A3580">
            <v>34000000</v>
          </cell>
          <cell r="C3580">
            <v>34000000</v>
          </cell>
          <cell r="D3580">
            <v>34000000</v>
          </cell>
          <cell r="E3580">
            <v>34000000</v>
          </cell>
          <cell r="F3580">
            <v>34000000</v>
          </cell>
          <cell r="G3580">
            <v>34000000</v>
          </cell>
          <cell r="H3580">
            <v>34000000</v>
          </cell>
          <cell r="I3580" t="str">
            <v/>
          </cell>
          <cell r="J3580" t="str">
            <v/>
          </cell>
          <cell r="K3580" t="str">
            <v/>
          </cell>
          <cell r="L3580" t="str">
            <v/>
          </cell>
        </row>
        <row r="3581">
          <cell r="A3581">
            <v>34000000</v>
          </cell>
          <cell r="C3581">
            <v>34000000</v>
          </cell>
          <cell r="D3581">
            <v>34000000</v>
          </cell>
          <cell r="E3581">
            <v>34000000</v>
          </cell>
          <cell r="F3581">
            <v>34000000</v>
          </cell>
          <cell r="G3581">
            <v>34000000</v>
          </cell>
          <cell r="H3581">
            <v>34000000</v>
          </cell>
          <cell r="I3581" t="str">
            <v/>
          </cell>
          <cell r="J3581" t="str">
            <v/>
          </cell>
          <cell r="K3581" t="str">
            <v/>
          </cell>
          <cell r="L3581" t="str">
            <v/>
          </cell>
        </row>
        <row r="3582">
          <cell r="A3582">
            <v>34000000</v>
          </cell>
          <cell r="C3582">
            <v>34000000</v>
          </cell>
          <cell r="D3582">
            <v>34000000</v>
          </cell>
          <cell r="E3582">
            <v>34000000</v>
          </cell>
          <cell r="F3582">
            <v>34000000</v>
          </cell>
          <cell r="G3582">
            <v>34000000</v>
          </cell>
          <cell r="H3582">
            <v>34000000</v>
          </cell>
          <cell r="I3582" t="str">
            <v/>
          </cell>
          <cell r="J3582" t="str">
            <v/>
          </cell>
          <cell r="K3582" t="str">
            <v/>
          </cell>
          <cell r="L3582" t="str">
            <v/>
          </cell>
        </row>
        <row r="3583">
          <cell r="A3583">
            <v>34000000</v>
          </cell>
          <cell r="C3583">
            <v>34000000</v>
          </cell>
          <cell r="D3583">
            <v>34000000</v>
          </cell>
          <cell r="E3583">
            <v>34000000</v>
          </cell>
          <cell r="F3583">
            <v>34000000</v>
          </cell>
          <cell r="G3583">
            <v>34000000</v>
          </cell>
          <cell r="H3583">
            <v>34000000</v>
          </cell>
          <cell r="I3583" t="str">
            <v/>
          </cell>
          <cell r="J3583" t="str">
            <v/>
          </cell>
          <cell r="K3583" t="str">
            <v/>
          </cell>
          <cell r="L3583" t="str">
            <v/>
          </cell>
        </row>
        <row r="3584">
          <cell r="A3584">
            <v>34000000</v>
          </cell>
          <cell r="C3584">
            <v>34000000</v>
          </cell>
          <cell r="D3584">
            <v>34000000</v>
          </cell>
          <cell r="E3584">
            <v>34000000</v>
          </cell>
          <cell r="F3584">
            <v>34000000</v>
          </cell>
          <cell r="G3584">
            <v>34000000</v>
          </cell>
          <cell r="H3584">
            <v>34000000</v>
          </cell>
          <cell r="I3584" t="str">
            <v/>
          </cell>
          <cell r="J3584" t="str">
            <v/>
          </cell>
          <cell r="K3584" t="str">
            <v/>
          </cell>
          <cell r="L3584" t="str">
            <v/>
          </cell>
        </row>
        <row r="3585">
          <cell r="A3585">
            <v>34000000</v>
          </cell>
          <cell r="C3585">
            <v>34000000</v>
          </cell>
          <cell r="D3585">
            <v>34000000</v>
          </cell>
          <cell r="E3585">
            <v>34000000</v>
          </cell>
          <cell r="F3585">
            <v>34000000</v>
          </cell>
          <cell r="G3585">
            <v>34000000</v>
          </cell>
          <cell r="H3585">
            <v>34000000</v>
          </cell>
          <cell r="I3585" t="str">
            <v/>
          </cell>
          <cell r="J3585" t="str">
            <v/>
          </cell>
          <cell r="K3585" t="str">
            <v/>
          </cell>
          <cell r="L3585" t="str">
            <v/>
          </cell>
        </row>
        <row r="3586">
          <cell r="A3586">
            <v>34000000</v>
          </cell>
          <cell r="C3586">
            <v>34000000</v>
          </cell>
          <cell r="D3586">
            <v>34000000</v>
          </cell>
          <cell r="E3586">
            <v>34000000</v>
          </cell>
          <cell r="F3586">
            <v>34000000</v>
          </cell>
          <cell r="G3586">
            <v>34000000</v>
          </cell>
          <cell r="H3586">
            <v>34000000</v>
          </cell>
          <cell r="I3586" t="str">
            <v/>
          </cell>
          <cell r="J3586" t="str">
            <v/>
          </cell>
          <cell r="K3586" t="str">
            <v/>
          </cell>
          <cell r="L3586" t="str">
            <v/>
          </cell>
        </row>
        <row r="3587">
          <cell r="A3587">
            <v>34000000</v>
          </cell>
          <cell r="C3587">
            <v>34000000</v>
          </cell>
          <cell r="D3587">
            <v>34000000</v>
          </cell>
          <cell r="E3587">
            <v>34000000</v>
          </cell>
          <cell r="F3587">
            <v>34000000</v>
          </cell>
          <cell r="G3587">
            <v>34000000</v>
          </cell>
          <cell r="H3587">
            <v>34000000</v>
          </cell>
          <cell r="I3587" t="str">
            <v/>
          </cell>
          <cell r="J3587" t="str">
            <v/>
          </cell>
          <cell r="K3587" t="str">
            <v/>
          </cell>
          <cell r="L3587" t="str">
            <v/>
          </cell>
        </row>
        <row r="3588">
          <cell r="A3588">
            <v>34000000</v>
          </cell>
          <cell r="C3588">
            <v>34000000</v>
          </cell>
          <cell r="D3588">
            <v>34000000</v>
          </cell>
          <cell r="E3588">
            <v>34000000</v>
          </cell>
          <cell r="F3588">
            <v>34000000</v>
          </cell>
          <cell r="G3588">
            <v>34000000</v>
          </cell>
          <cell r="H3588">
            <v>34000000</v>
          </cell>
          <cell r="I3588" t="str">
            <v/>
          </cell>
          <cell r="J3588" t="str">
            <v/>
          </cell>
          <cell r="K3588" t="str">
            <v/>
          </cell>
          <cell r="L3588" t="str">
            <v/>
          </cell>
        </row>
        <row r="3589">
          <cell r="A3589">
            <v>34000000</v>
          </cell>
          <cell r="C3589">
            <v>34000000</v>
          </cell>
          <cell r="D3589">
            <v>34000000</v>
          </cell>
          <cell r="E3589">
            <v>34000000</v>
          </cell>
          <cell r="F3589">
            <v>34000000</v>
          </cell>
          <cell r="G3589">
            <v>34000000</v>
          </cell>
          <cell r="H3589">
            <v>34000000</v>
          </cell>
          <cell r="I3589" t="str">
            <v/>
          </cell>
          <cell r="J3589" t="str">
            <v/>
          </cell>
          <cell r="K3589" t="str">
            <v/>
          </cell>
          <cell r="L3589" t="str">
            <v/>
          </cell>
        </row>
        <row r="3590">
          <cell r="A3590">
            <v>34000000</v>
          </cell>
          <cell r="C3590">
            <v>34000000</v>
          </cell>
          <cell r="D3590">
            <v>34000000</v>
          </cell>
          <cell r="E3590">
            <v>34000000</v>
          </cell>
          <cell r="F3590">
            <v>34000000</v>
          </cell>
          <cell r="G3590">
            <v>34000000</v>
          </cell>
          <cell r="H3590">
            <v>34000000</v>
          </cell>
          <cell r="I3590" t="str">
            <v/>
          </cell>
          <cell r="J3590" t="str">
            <v/>
          </cell>
          <cell r="K3590" t="str">
            <v/>
          </cell>
          <cell r="L3590" t="str">
            <v/>
          </cell>
        </row>
        <row r="3591">
          <cell r="A3591">
            <v>34000000</v>
          </cell>
          <cell r="C3591">
            <v>34000000</v>
          </cell>
          <cell r="D3591">
            <v>34000000</v>
          </cell>
          <cell r="E3591">
            <v>34000000</v>
          </cell>
          <cell r="F3591">
            <v>34000000</v>
          </cell>
          <cell r="G3591">
            <v>34000000</v>
          </cell>
          <cell r="H3591">
            <v>34000000</v>
          </cell>
          <cell r="I3591" t="str">
            <v/>
          </cell>
          <cell r="J3591" t="str">
            <v/>
          </cell>
          <cell r="K3591" t="str">
            <v/>
          </cell>
          <cell r="L3591" t="str">
            <v/>
          </cell>
        </row>
        <row r="3592">
          <cell r="A3592">
            <v>34000000</v>
          </cell>
          <cell r="C3592">
            <v>34000000</v>
          </cell>
          <cell r="D3592">
            <v>34000000</v>
          </cell>
          <cell r="E3592">
            <v>34000000</v>
          </cell>
          <cell r="F3592">
            <v>34000000</v>
          </cell>
          <cell r="G3592">
            <v>34000000</v>
          </cell>
          <cell r="H3592">
            <v>34000000</v>
          </cell>
          <cell r="I3592" t="str">
            <v/>
          </cell>
          <cell r="J3592" t="str">
            <v/>
          </cell>
          <cell r="K3592" t="str">
            <v/>
          </cell>
          <cell r="L3592" t="str">
            <v/>
          </cell>
        </row>
        <row r="3593">
          <cell r="A3593">
            <v>34000000</v>
          </cell>
          <cell r="C3593">
            <v>34000000</v>
          </cell>
          <cell r="D3593">
            <v>34000000</v>
          </cell>
          <cell r="E3593">
            <v>34000000</v>
          </cell>
          <cell r="F3593">
            <v>34000000</v>
          </cell>
          <cell r="G3593">
            <v>34000000</v>
          </cell>
          <cell r="H3593">
            <v>34000000</v>
          </cell>
          <cell r="I3593" t="str">
            <v/>
          </cell>
          <cell r="J3593" t="str">
            <v/>
          </cell>
          <cell r="K3593" t="str">
            <v/>
          </cell>
          <cell r="L3593" t="str">
            <v/>
          </cell>
        </row>
        <row r="3594">
          <cell r="A3594">
            <v>34000000</v>
          </cell>
          <cell r="C3594">
            <v>34000000</v>
          </cell>
          <cell r="D3594">
            <v>34000000</v>
          </cell>
          <cell r="E3594">
            <v>34000000</v>
          </cell>
          <cell r="F3594">
            <v>34000000</v>
          </cell>
          <cell r="G3594">
            <v>34000000</v>
          </cell>
          <cell r="H3594">
            <v>34000000</v>
          </cell>
          <cell r="I3594" t="str">
            <v/>
          </cell>
          <cell r="J3594" t="str">
            <v/>
          </cell>
          <cell r="K3594" t="str">
            <v/>
          </cell>
          <cell r="L3594" t="str">
            <v/>
          </cell>
        </row>
        <row r="3595">
          <cell r="A3595">
            <v>34000000</v>
          </cell>
          <cell r="C3595">
            <v>34000000</v>
          </cell>
          <cell r="D3595">
            <v>34000000</v>
          </cell>
          <cell r="E3595">
            <v>34000000</v>
          </cell>
          <cell r="F3595">
            <v>34000000</v>
          </cell>
          <cell r="G3595">
            <v>34000000</v>
          </cell>
          <cell r="H3595">
            <v>34000000</v>
          </cell>
          <cell r="I3595" t="str">
            <v/>
          </cell>
          <cell r="J3595" t="str">
            <v/>
          </cell>
          <cell r="K3595" t="str">
            <v/>
          </cell>
          <cell r="L3595" t="str">
            <v/>
          </cell>
        </row>
        <row r="3596">
          <cell r="A3596">
            <v>34000000</v>
          </cell>
          <cell r="C3596">
            <v>34000000</v>
          </cell>
          <cell r="D3596">
            <v>34000000</v>
          </cell>
          <cell r="E3596">
            <v>34000000</v>
          </cell>
          <cell r="F3596">
            <v>34000000</v>
          </cell>
          <cell r="G3596">
            <v>34000000</v>
          </cell>
          <cell r="H3596">
            <v>34000000</v>
          </cell>
          <cell r="I3596" t="str">
            <v/>
          </cell>
          <cell r="J3596" t="str">
            <v/>
          </cell>
          <cell r="K3596" t="str">
            <v/>
          </cell>
          <cell r="L3596" t="str">
            <v/>
          </cell>
        </row>
        <row r="3597">
          <cell r="A3597">
            <v>34000000</v>
          </cell>
          <cell r="C3597">
            <v>34000000</v>
          </cell>
          <cell r="D3597">
            <v>34000000</v>
          </cell>
          <cell r="E3597">
            <v>34000000</v>
          </cell>
          <cell r="F3597">
            <v>34000000</v>
          </cell>
          <cell r="G3597">
            <v>34000000</v>
          </cell>
          <cell r="H3597">
            <v>34000000</v>
          </cell>
          <cell r="I3597" t="str">
            <v/>
          </cell>
          <cell r="J3597" t="str">
            <v/>
          </cell>
          <cell r="K3597" t="str">
            <v/>
          </cell>
          <cell r="L3597" t="str">
            <v/>
          </cell>
        </row>
        <row r="3598">
          <cell r="A3598">
            <v>34000000</v>
          </cell>
          <cell r="C3598">
            <v>34000000</v>
          </cell>
          <cell r="D3598">
            <v>34000000</v>
          </cell>
          <cell r="E3598">
            <v>34000000</v>
          </cell>
          <cell r="F3598">
            <v>34000000</v>
          </cell>
          <cell r="G3598">
            <v>34000000</v>
          </cell>
          <cell r="H3598">
            <v>34000000</v>
          </cell>
          <cell r="I3598" t="str">
            <v/>
          </cell>
          <cell r="J3598" t="str">
            <v/>
          </cell>
          <cell r="K3598" t="str">
            <v/>
          </cell>
          <cell r="L3598" t="str">
            <v/>
          </cell>
        </row>
        <row r="3599">
          <cell r="A3599">
            <v>34000000</v>
          </cell>
          <cell r="C3599">
            <v>34000000</v>
          </cell>
          <cell r="D3599">
            <v>34000000</v>
          </cell>
          <cell r="E3599">
            <v>34000000</v>
          </cell>
          <cell r="F3599">
            <v>34000000</v>
          </cell>
          <cell r="G3599">
            <v>34000000</v>
          </cell>
          <cell r="H3599">
            <v>34000000</v>
          </cell>
          <cell r="I3599" t="str">
            <v/>
          </cell>
          <cell r="J3599" t="str">
            <v/>
          </cell>
          <cell r="K3599" t="str">
            <v/>
          </cell>
          <cell r="L3599" t="str">
            <v/>
          </cell>
        </row>
        <row r="3600">
          <cell r="A3600">
            <v>34000000</v>
          </cell>
          <cell r="C3600">
            <v>34000000</v>
          </cell>
          <cell r="D3600">
            <v>34000000</v>
          </cell>
          <cell r="E3600">
            <v>34000000</v>
          </cell>
          <cell r="F3600">
            <v>34000000</v>
          </cell>
          <cell r="G3600">
            <v>34000000</v>
          </cell>
          <cell r="H3600">
            <v>34000000</v>
          </cell>
          <cell r="I3600" t="str">
            <v/>
          </cell>
          <cell r="J3600" t="str">
            <v/>
          </cell>
          <cell r="K3600" t="str">
            <v/>
          </cell>
          <cell r="L3600" t="str">
            <v/>
          </cell>
        </row>
        <row r="3601">
          <cell r="A3601">
            <v>34000000</v>
          </cell>
          <cell r="C3601">
            <v>34000000</v>
          </cell>
          <cell r="D3601">
            <v>34000000</v>
          </cell>
          <cell r="E3601">
            <v>34000000</v>
          </cell>
          <cell r="F3601">
            <v>34000000</v>
          </cell>
          <cell r="G3601">
            <v>34000000</v>
          </cell>
          <cell r="H3601">
            <v>34000000</v>
          </cell>
          <cell r="I3601" t="str">
            <v/>
          </cell>
          <cell r="J3601" t="str">
            <v/>
          </cell>
          <cell r="K3601" t="str">
            <v/>
          </cell>
          <cell r="L3601" t="str">
            <v/>
          </cell>
        </row>
        <row r="3602">
          <cell r="A3602">
            <v>34000000</v>
          </cell>
          <cell r="C3602">
            <v>34000000</v>
          </cell>
          <cell r="D3602">
            <v>34000000</v>
          </cell>
          <cell r="E3602">
            <v>34000000</v>
          </cell>
          <cell r="F3602">
            <v>34000000</v>
          </cell>
          <cell r="G3602">
            <v>34000000</v>
          </cell>
          <cell r="H3602">
            <v>34000000</v>
          </cell>
          <cell r="I3602" t="str">
            <v/>
          </cell>
          <cell r="J3602" t="str">
            <v/>
          </cell>
          <cell r="K3602" t="str">
            <v/>
          </cell>
          <cell r="L3602" t="str">
            <v/>
          </cell>
        </row>
        <row r="3603">
          <cell r="A3603">
            <v>34000000</v>
          </cell>
          <cell r="C3603">
            <v>34000000</v>
          </cell>
          <cell r="D3603">
            <v>34000000</v>
          </cell>
          <cell r="E3603">
            <v>34000000</v>
          </cell>
          <cell r="F3603">
            <v>34000000</v>
          </cell>
          <cell r="G3603">
            <v>34000000</v>
          </cell>
          <cell r="H3603">
            <v>34000000</v>
          </cell>
          <cell r="I3603" t="str">
            <v/>
          </cell>
          <cell r="J3603" t="str">
            <v/>
          </cell>
          <cell r="K3603" t="str">
            <v/>
          </cell>
          <cell r="L3603" t="str">
            <v/>
          </cell>
        </row>
        <row r="3604">
          <cell r="A3604">
            <v>34000000</v>
          </cell>
          <cell r="C3604">
            <v>34000000</v>
          </cell>
          <cell r="D3604">
            <v>34000000</v>
          </cell>
          <cell r="E3604">
            <v>34000000</v>
          </cell>
          <cell r="F3604">
            <v>34000000</v>
          </cell>
          <cell r="G3604">
            <v>34000000</v>
          </cell>
          <cell r="H3604">
            <v>34000000</v>
          </cell>
          <cell r="I3604" t="str">
            <v/>
          </cell>
          <cell r="J3604" t="str">
            <v/>
          </cell>
          <cell r="K3604" t="str">
            <v/>
          </cell>
          <cell r="L3604" t="str">
            <v/>
          </cell>
        </row>
        <row r="3605">
          <cell r="A3605">
            <v>34000000</v>
          </cell>
          <cell r="C3605">
            <v>34000000</v>
          </cell>
          <cell r="D3605">
            <v>34000000</v>
          </cell>
          <cell r="E3605">
            <v>34000000</v>
          </cell>
          <cell r="F3605">
            <v>34000000</v>
          </cell>
          <cell r="G3605">
            <v>34000000</v>
          </cell>
          <cell r="H3605">
            <v>34000000</v>
          </cell>
          <cell r="I3605" t="str">
            <v/>
          </cell>
          <cell r="J3605" t="str">
            <v/>
          </cell>
          <cell r="K3605" t="str">
            <v/>
          </cell>
          <cell r="L3605" t="str">
            <v/>
          </cell>
        </row>
        <row r="3606">
          <cell r="A3606">
            <v>34000000</v>
          </cell>
          <cell r="C3606">
            <v>34000000</v>
          </cell>
          <cell r="D3606">
            <v>34000000</v>
          </cell>
          <cell r="E3606">
            <v>34000000</v>
          </cell>
          <cell r="F3606">
            <v>34000000</v>
          </cell>
          <cell r="G3606">
            <v>34000000</v>
          </cell>
          <cell r="H3606">
            <v>34000000</v>
          </cell>
          <cell r="I3606" t="str">
            <v/>
          </cell>
          <cell r="J3606" t="str">
            <v/>
          </cell>
          <cell r="K3606" t="str">
            <v/>
          </cell>
          <cell r="L3606" t="str">
            <v/>
          </cell>
        </row>
        <row r="3607">
          <cell r="A3607">
            <v>34000000</v>
          </cell>
          <cell r="C3607">
            <v>34000000</v>
          </cell>
          <cell r="D3607">
            <v>34000000</v>
          </cell>
          <cell r="E3607">
            <v>34000000</v>
          </cell>
          <cell r="F3607">
            <v>34000000</v>
          </cell>
          <cell r="G3607">
            <v>34000000</v>
          </cell>
          <cell r="H3607">
            <v>34000000</v>
          </cell>
          <cell r="I3607" t="str">
            <v/>
          </cell>
          <cell r="J3607" t="str">
            <v/>
          </cell>
          <cell r="K3607" t="str">
            <v/>
          </cell>
          <cell r="L3607" t="str">
            <v/>
          </cell>
        </row>
        <row r="3608">
          <cell r="A3608">
            <v>34000000</v>
          </cell>
          <cell r="C3608">
            <v>34000000</v>
          </cell>
          <cell r="D3608">
            <v>34000000</v>
          </cell>
          <cell r="E3608">
            <v>34000000</v>
          </cell>
          <cell r="F3608">
            <v>34000000</v>
          </cell>
          <cell r="G3608">
            <v>34000000</v>
          </cell>
          <cell r="H3608">
            <v>34000000</v>
          </cell>
          <cell r="I3608" t="str">
            <v/>
          </cell>
          <cell r="J3608" t="str">
            <v/>
          </cell>
          <cell r="K3608" t="str">
            <v/>
          </cell>
          <cell r="L3608" t="str">
            <v/>
          </cell>
        </row>
        <row r="3609">
          <cell r="A3609">
            <v>34000000</v>
          </cell>
          <cell r="C3609">
            <v>34000000</v>
          </cell>
          <cell r="D3609">
            <v>34000000</v>
          </cell>
          <cell r="E3609">
            <v>34000000</v>
          </cell>
          <cell r="F3609">
            <v>34000000</v>
          </cell>
          <cell r="G3609">
            <v>34000000</v>
          </cell>
          <cell r="H3609">
            <v>34000000</v>
          </cell>
          <cell r="I3609" t="str">
            <v/>
          </cell>
          <cell r="J3609" t="str">
            <v/>
          </cell>
          <cell r="K3609" t="str">
            <v/>
          </cell>
          <cell r="L3609" t="str">
            <v/>
          </cell>
        </row>
        <row r="3610">
          <cell r="A3610">
            <v>34000000</v>
          </cell>
          <cell r="C3610">
            <v>34000000</v>
          </cell>
          <cell r="D3610">
            <v>34000000</v>
          </cell>
          <cell r="E3610">
            <v>34000000</v>
          </cell>
          <cell r="F3610">
            <v>34000000</v>
          </cell>
          <cell r="G3610">
            <v>34000000</v>
          </cell>
          <cell r="H3610">
            <v>34000000</v>
          </cell>
          <cell r="I3610" t="str">
            <v/>
          </cell>
          <cell r="J3610" t="str">
            <v/>
          </cell>
          <cell r="K3610" t="str">
            <v/>
          </cell>
          <cell r="L3610" t="str">
            <v/>
          </cell>
        </row>
        <row r="3611">
          <cell r="A3611">
            <v>34000000</v>
          </cell>
          <cell r="C3611">
            <v>34000000</v>
          </cell>
          <cell r="D3611">
            <v>34000000</v>
          </cell>
          <cell r="E3611">
            <v>34000000</v>
          </cell>
          <cell r="F3611">
            <v>34000000</v>
          </cell>
          <cell r="G3611">
            <v>34000000</v>
          </cell>
          <cell r="H3611">
            <v>34000000</v>
          </cell>
          <cell r="I3611" t="str">
            <v/>
          </cell>
          <cell r="J3611" t="str">
            <v/>
          </cell>
          <cell r="K3611" t="str">
            <v/>
          </cell>
          <cell r="L3611" t="str">
            <v/>
          </cell>
        </row>
        <row r="3612">
          <cell r="A3612">
            <v>34000000</v>
          </cell>
          <cell r="C3612">
            <v>34000000</v>
          </cell>
          <cell r="D3612">
            <v>34000000</v>
          </cell>
          <cell r="E3612">
            <v>34000000</v>
          </cell>
          <cell r="F3612">
            <v>34000000</v>
          </cell>
          <cell r="G3612">
            <v>34000000</v>
          </cell>
          <cell r="H3612">
            <v>34000000</v>
          </cell>
          <cell r="I3612" t="str">
            <v/>
          </cell>
          <cell r="J3612" t="str">
            <v/>
          </cell>
          <cell r="K3612" t="str">
            <v/>
          </cell>
          <cell r="L3612" t="str">
            <v/>
          </cell>
        </row>
        <row r="3613">
          <cell r="A3613">
            <v>34000000</v>
          </cell>
          <cell r="C3613">
            <v>34000000</v>
          </cell>
          <cell r="D3613">
            <v>34000000</v>
          </cell>
          <cell r="E3613">
            <v>34000000</v>
          </cell>
          <cell r="F3613">
            <v>34000000</v>
          </cell>
          <cell r="G3613">
            <v>34000000</v>
          </cell>
          <cell r="H3613">
            <v>34000000</v>
          </cell>
          <cell r="I3613" t="str">
            <v/>
          </cell>
          <cell r="J3613" t="str">
            <v/>
          </cell>
          <cell r="K3613" t="str">
            <v/>
          </cell>
          <cell r="L3613" t="str">
            <v/>
          </cell>
        </row>
        <row r="3614">
          <cell r="A3614">
            <v>34000000</v>
          </cell>
          <cell r="C3614">
            <v>34000000</v>
          </cell>
          <cell r="D3614">
            <v>34000000</v>
          </cell>
          <cell r="E3614">
            <v>34000000</v>
          </cell>
          <cell r="F3614">
            <v>34000000</v>
          </cell>
          <cell r="G3614">
            <v>34000000</v>
          </cell>
          <cell r="H3614">
            <v>34000000</v>
          </cell>
          <cell r="I3614" t="str">
            <v/>
          </cell>
          <cell r="J3614" t="str">
            <v/>
          </cell>
          <cell r="K3614" t="str">
            <v/>
          </cell>
          <cell r="L3614" t="str">
            <v/>
          </cell>
        </row>
        <row r="3615">
          <cell r="A3615">
            <v>34000000</v>
          </cell>
          <cell r="C3615">
            <v>34000000</v>
          </cell>
          <cell r="D3615">
            <v>34000000</v>
          </cell>
          <cell r="E3615">
            <v>34000000</v>
          </cell>
          <cell r="F3615">
            <v>34000000</v>
          </cell>
          <cell r="G3615">
            <v>34000000</v>
          </cell>
          <cell r="H3615">
            <v>34000000</v>
          </cell>
          <cell r="I3615" t="str">
            <v/>
          </cell>
          <cell r="J3615" t="str">
            <v/>
          </cell>
          <cell r="K3615" t="str">
            <v/>
          </cell>
          <cell r="L3615" t="str">
            <v/>
          </cell>
        </row>
        <row r="3616">
          <cell r="A3616">
            <v>34000000</v>
          </cell>
          <cell r="C3616">
            <v>34000000</v>
          </cell>
          <cell r="D3616">
            <v>34000000</v>
          </cell>
          <cell r="E3616">
            <v>34000000</v>
          </cell>
          <cell r="F3616">
            <v>34000000</v>
          </cell>
          <cell r="G3616">
            <v>34000000</v>
          </cell>
          <cell r="H3616">
            <v>34000000</v>
          </cell>
          <cell r="I3616" t="str">
            <v/>
          </cell>
          <cell r="J3616" t="str">
            <v/>
          </cell>
          <cell r="K3616" t="str">
            <v/>
          </cell>
          <cell r="L3616" t="str">
            <v/>
          </cell>
        </row>
        <row r="3617">
          <cell r="A3617">
            <v>34000000</v>
          </cell>
          <cell r="C3617">
            <v>34000000</v>
          </cell>
          <cell r="D3617">
            <v>34000000</v>
          </cell>
          <cell r="E3617">
            <v>34000000</v>
          </cell>
          <cell r="F3617">
            <v>34000000</v>
          </cell>
          <cell r="G3617">
            <v>34000000</v>
          </cell>
          <cell r="H3617">
            <v>34000000</v>
          </cell>
          <cell r="I3617" t="str">
            <v/>
          </cell>
          <cell r="J3617" t="str">
            <v/>
          </cell>
          <cell r="K3617" t="str">
            <v/>
          </cell>
          <cell r="L3617" t="str">
            <v/>
          </cell>
        </row>
        <row r="3618">
          <cell r="A3618">
            <v>34000000</v>
          </cell>
          <cell r="C3618">
            <v>34000000</v>
          </cell>
          <cell r="D3618">
            <v>34000000</v>
          </cell>
          <cell r="E3618">
            <v>34000000</v>
          </cell>
          <cell r="F3618">
            <v>34000000</v>
          </cell>
          <cell r="G3618">
            <v>34000000</v>
          </cell>
          <cell r="H3618">
            <v>34000000</v>
          </cell>
          <cell r="I3618" t="str">
            <v/>
          </cell>
          <cell r="J3618" t="str">
            <v/>
          </cell>
          <cell r="K3618" t="str">
            <v/>
          </cell>
          <cell r="L3618" t="str">
            <v/>
          </cell>
        </row>
        <row r="3619">
          <cell r="A3619">
            <v>34000000</v>
          </cell>
          <cell r="C3619">
            <v>34000000</v>
          </cell>
          <cell r="D3619">
            <v>34000000</v>
          </cell>
          <cell r="E3619">
            <v>34000000</v>
          </cell>
          <cell r="F3619">
            <v>34000000</v>
          </cell>
          <cell r="G3619">
            <v>34000000</v>
          </cell>
          <cell r="H3619">
            <v>34000000</v>
          </cell>
          <cell r="I3619" t="str">
            <v/>
          </cell>
          <cell r="J3619" t="str">
            <v/>
          </cell>
          <cell r="K3619" t="str">
            <v/>
          </cell>
          <cell r="L3619" t="str">
            <v/>
          </cell>
        </row>
        <row r="3620">
          <cell r="A3620">
            <v>34000000</v>
          </cell>
          <cell r="C3620">
            <v>34000000</v>
          </cell>
          <cell r="D3620">
            <v>34000000</v>
          </cell>
          <cell r="E3620">
            <v>34000000</v>
          </cell>
          <cell r="F3620">
            <v>34000000</v>
          </cell>
          <cell r="G3620">
            <v>34000000</v>
          </cell>
          <cell r="H3620">
            <v>34000000</v>
          </cell>
          <cell r="I3620" t="str">
            <v/>
          </cell>
          <cell r="J3620" t="str">
            <v/>
          </cell>
          <cell r="K3620" t="str">
            <v/>
          </cell>
          <cell r="L3620" t="str">
            <v/>
          </cell>
        </row>
        <row r="3621">
          <cell r="A3621">
            <v>34000000</v>
          </cell>
          <cell r="C3621">
            <v>34000000</v>
          </cell>
          <cell r="D3621">
            <v>34000000</v>
          </cell>
          <cell r="E3621">
            <v>34000000</v>
          </cell>
          <cell r="F3621">
            <v>34000000</v>
          </cell>
          <cell r="G3621">
            <v>34000000</v>
          </cell>
          <cell r="H3621">
            <v>34000000</v>
          </cell>
          <cell r="I3621" t="str">
            <v/>
          </cell>
          <cell r="J3621" t="str">
            <v/>
          </cell>
          <cell r="K3621" t="str">
            <v/>
          </cell>
          <cell r="L3621" t="str">
            <v/>
          </cell>
        </row>
        <row r="3622">
          <cell r="A3622">
            <v>34000000</v>
          </cell>
          <cell r="C3622">
            <v>34000000</v>
          </cell>
          <cell r="D3622">
            <v>34000000</v>
          </cell>
          <cell r="E3622">
            <v>34000000</v>
          </cell>
          <cell r="F3622">
            <v>34000000</v>
          </cell>
          <cell r="G3622">
            <v>34000000</v>
          </cell>
          <cell r="H3622">
            <v>34000000</v>
          </cell>
          <cell r="I3622" t="str">
            <v/>
          </cell>
          <cell r="J3622" t="str">
            <v/>
          </cell>
          <cell r="K3622" t="str">
            <v/>
          </cell>
          <cell r="L3622" t="str">
            <v/>
          </cell>
        </row>
        <row r="3623">
          <cell r="A3623">
            <v>34000000</v>
          </cell>
          <cell r="C3623">
            <v>34000000</v>
          </cell>
          <cell r="D3623">
            <v>34000000</v>
          </cell>
          <cell r="E3623">
            <v>34000000</v>
          </cell>
          <cell r="F3623">
            <v>34000000</v>
          </cell>
          <cell r="G3623">
            <v>34000000</v>
          </cell>
          <cell r="H3623">
            <v>34000000</v>
          </cell>
          <cell r="I3623" t="str">
            <v/>
          </cell>
          <cell r="J3623" t="str">
            <v/>
          </cell>
          <cell r="K3623" t="str">
            <v/>
          </cell>
          <cell r="L3623" t="str">
            <v/>
          </cell>
        </row>
        <row r="3624">
          <cell r="A3624">
            <v>34000000</v>
          </cell>
          <cell r="C3624">
            <v>34000000</v>
          </cell>
          <cell r="D3624">
            <v>34000000</v>
          </cell>
          <cell r="E3624">
            <v>34000000</v>
          </cell>
          <cell r="F3624">
            <v>34000000</v>
          </cell>
          <cell r="G3624">
            <v>34000000</v>
          </cell>
          <cell r="H3624">
            <v>34000000</v>
          </cell>
          <cell r="I3624" t="str">
            <v/>
          </cell>
          <cell r="J3624" t="str">
            <v/>
          </cell>
          <cell r="K3624" t="str">
            <v/>
          </cell>
          <cell r="L3624" t="str">
            <v/>
          </cell>
        </row>
        <row r="3625">
          <cell r="A3625">
            <v>34000000</v>
          </cell>
          <cell r="C3625">
            <v>34000000</v>
          </cell>
          <cell r="D3625">
            <v>34000000</v>
          </cell>
          <cell r="E3625">
            <v>34000000</v>
          </cell>
          <cell r="F3625">
            <v>34000000</v>
          </cell>
          <cell r="G3625">
            <v>34000000</v>
          </cell>
          <cell r="H3625">
            <v>34000000</v>
          </cell>
          <cell r="I3625" t="str">
            <v/>
          </cell>
          <cell r="J3625" t="str">
            <v/>
          </cell>
          <cell r="K3625" t="str">
            <v/>
          </cell>
          <cell r="L3625" t="str">
            <v/>
          </cell>
        </row>
        <row r="3626">
          <cell r="A3626">
            <v>34000000</v>
          </cell>
          <cell r="C3626">
            <v>34000000</v>
          </cell>
          <cell r="D3626">
            <v>34000000</v>
          </cell>
          <cell r="E3626">
            <v>34000000</v>
          </cell>
          <cell r="F3626">
            <v>34000000</v>
          </cell>
          <cell r="G3626">
            <v>34000000</v>
          </cell>
          <cell r="H3626">
            <v>34000000</v>
          </cell>
          <cell r="I3626" t="str">
            <v/>
          </cell>
          <cell r="J3626" t="str">
            <v/>
          </cell>
          <cell r="K3626" t="str">
            <v/>
          </cell>
          <cell r="L3626" t="str">
            <v/>
          </cell>
        </row>
        <row r="3627">
          <cell r="A3627">
            <v>34000000</v>
          </cell>
          <cell r="C3627">
            <v>34000000</v>
          </cell>
          <cell r="D3627">
            <v>34000000</v>
          </cell>
          <cell r="E3627">
            <v>34000000</v>
          </cell>
          <cell r="F3627">
            <v>34000000</v>
          </cell>
          <cell r="G3627">
            <v>34000000</v>
          </cell>
          <cell r="H3627">
            <v>34000000</v>
          </cell>
          <cell r="I3627" t="str">
            <v/>
          </cell>
          <cell r="J3627" t="str">
            <v/>
          </cell>
          <cell r="K3627" t="str">
            <v/>
          </cell>
          <cell r="L3627" t="str">
            <v/>
          </cell>
        </row>
        <row r="3628">
          <cell r="A3628">
            <v>34000000</v>
          </cell>
          <cell r="C3628">
            <v>34000000</v>
          </cell>
          <cell r="D3628">
            <v>34000000</v>
          </cell>
          <cell r="E3628">
            <v>34000000</v>
          </cell>
          <cell r="F3628">
            <v>34000000</v>
          </cell>
          <cell r="G3628">
            <v>34000000</v>
          </cell>
          <cell r="H3628">
            <v>34000000</v>
          </cell>
          <cell r="I3628" t="str">
            <v/>
          </cell>
          <cell r="J3628" t="str">
            <v/>
          </cell>
          <cell r="K3628" t="str">
            <v/>
          </cell>
          <cell r="L3628" t="str">
            <v/>
          </cell>
        </row>
        <row r="3629">
          <cell r="A3629">
            <v>34000000</v>
          </cell>
          <cell r="C3629">
            <v>34000000</v>
          </cell>
          <cell r="D3629">
            <v>34000000</v>
          </cell>
          <cell r="E3629">
            <v>34000000</v>
          </cell>
          <cell r="F3629">
            <v>34000000</v>
          </cell>
          <cell r="G3629">
            <v>34000000</v>
          </cell>
          <cell r="H3629">
            <v>34000000</v>
          </cell>
          <cell r="I3629" t="str">
            <v/>
          </cell>
          <cell r="J3629" t="str">
            <v/>
          </cell>
          <cell r="K3629" t="str">
            <v/>
          </cell>
          <cell r="L3629" t="str">
            <v/>
          </cell>
        </row>
        <row r="3630">
          <cell r="A3630">
            <v>34000000</v>
          </cell>
          <cell r="C3630">
            <v>34000000</v>
          </cell>
          <cell r="D3630">
            <v>34000000</v>
          </cell>
          <cell r="E3630">
            <v>34000000</v>
          </cell>
          <cell r="F3630">
            <v>34000000</v>
          </cell>
          <cell r="G3630">
            <v>34000000</v>
          </cell>
          <cell r="H3630">
            <v>34000000</v>
          </cell>
          <cell r="I3630" t="str">
            <v/>
          </cell>
          <cell r="J3630" t="str">
            <v/>
          </cell>
          <cell r="K3630" t="str">
            <v/>
          </cell>
          <cell r="L3630" t="str">
            <v/>
          </cell>
        </row>
        <row r="3631">
          <cell r="A3631">
            <v>34000000</v>
          </cell>
          <cell r="C3631">
            <v>34000000</v>
          </cell>
          <cell r="D3631">
            <v>34000000</v>
          </cell>
          <cell r="E3631">
            <v>34000000</v>
          </cell>
          <cell r="F3631">
            <v>34000000</v>
          </cell>
          <cell r="G3631">
            <v>34000000</v>
          </cell>
          <cell r="H3631">
            <v>34000000</v>
          </cell>
          <cell r="I3631" t="str">
            <v/>
          </cell>
          <cell r="J3631" t="str">
            <v/>
          </cell>
          <cell r="K3631" t="str">
            <v/>
          </cell>
          <cell r="L3631" t="str">
            <v/>
          </cell>
        </row>
        <row r="3632">
          <cell r="A3632">
            <v>34000000</v>
          </cell>
          <cell r="C3632">
            <v>34000000</v>
          </cell>
          <cell r="D3632">
            <v>34000000</v>
          </cell>
          <cell r="E3632">
            <v>34000000</v>
          </cell>
          <cell r="F3632">
            <v>34000000</v>
          </cell>
          <cell r="G3632">
            <v>34000000</v>
          </cell>
          <cell r="H3632">
            <v>34000000</v>
          </cell>
          <cell r="I3632" t="str">
            <v/>
          </cell>
          <cell r="J3632" t="str">
            <v/>
          </cell>
          <cell r="K3632" t="str">
            <v/>
          </cell>
          <cell r="L3632" t="str">
            <v/>
          </cell>
        </row>
        <row r="3633">
          <cell r="A3633">
            <v>34000000</v>
          </cell>
          <cell r="C3633">
            <v>34000000</v>
          </cell>
          <cell r="D3633">
            <v>34000000</v>
          </cell>
          <cell r="E3633">
            <v>34000000</v>
          </cell>
          <cell r="F3633">
            <v>34000000</v>
          </cell>
          <cell r="G3633">
            <v>34000000</v>
          </cell>
          <cell r="H3633">
            <v>34000000</v>
          </cell>
          <cell r="I3633" t="str">
            <v/>
          </cell>
          <cell r="J3633" t="str">
            <v/>
          </cell>
          <cell r="K3633" t="str">
            <v/>
          </cell>
          <cell r="L3633" t="str">
            <v/>
          </cell>
        </row>
        <row r="3634">
          <cell r="A3634">
            <v>34000000</v>
          </cell>
          <cell r="C3634">
            <v>34000000</v>
          </cell>
          <cell r="D3634">
            <v>34000000</v>
          </cell>
          <cell r="E3634">
            <v>34000000</v>
          </cell>
          <cell r="F3634">
            <v>34000000</v>
          </cell>
          <cell r="G3634">
            <v>34000000</v>
          </cell>
          <cell r="H3634">
            <v>34000000</v>
          </cell>
          <cell r="I3634" t="str">
            <v/>
          </cell>
          <cell r="J3634" t="str">
            <v/>
          </cell>
          <cell r="K3634" t="str">
            <v/>
          </cell>
          <cell r="L3634" t="str">
            <v/>
          </cell>
        </row>
        <row r="3635">
          <cell r="A3635">
            <v>34000000</v>
          </cell>
          <cell r="C3635">
            <v>34000000</v>
          </cell>
          <cell r="D3635">
            <v>34000000</v>
          </cell>
          <cell r="E3635">
            <v>34000000</v>
          </cell>
          <cell r="F3635">
            <v>34000000</v>
          </cell>
          <cell r="G3635">
            <v>34000000</v>
          </cell>
          <cell r="H3635">
            <v>34000000</v>
          </cell>
          <cell r="I3635" t="str">
            <v/>
          </cell>
          <cell r="J3635" t="str">
            <v/>
          </cell>
          <cell r="K3635" t="str">
            <v/>
          </cell>
          <cell r="L3635" t="str">
            <v/>
          </cell>
        </row>
        <row r="3636">
          <cell r="A3636">
            <v>34000000</v>
          </cell>
          <cell r="C3636">
            <v>34000000</v>
          </cell>
          <cell r="D3636">
            <v>34000000</v>
          </cell>
          <cell r="E3636">
            <v>34000000</v>
          </cell>
          <cell r="F3636">
            <v>34000000</v>
          </cell>
          <cell r="G3636">
            <v>34000000</v>
          </cell>
          <cell r="H3636">
            <v>34000000</v>
          </cell>
          <cell r="I3636" t="str">
            <v/>
          </cell>
          <cell r="J3636" t="str">
            <v/>
          </cell>
          <cell r="K3636" t="str">
            <v/>
          </cell>
          <cell r="L3636" t="str">
            <v/>
          </cell>
        </row>
        <row r="3637">
          <cell r="A3637">
            <v>34000000</v>
          </cell>
          <cell r="C3637">
            <v>34000000</v>
          </cell>
          <cell r="D3637">
            <v>34000000</v>
          </cell>
          <cell r="E3637">
            <v>34000000</v>
          </cell>
          <cell r="F3637">
            <v>34000000</v>
          </cell>
          <cell r="G3637">
            <v>34000000</v>
          </cell>
          <cell r="H3637">
            <v>34000000</v>
          </cell>
          <cell r="I3637" t="str">
            <v/>
          </cell>
          <cell r="J3637" t="str">
            <v/>
          </cell>
          <cell r="K3637" t="str">
            <v/>
          </cell>
          <cell r="L3637" t="str">
            <v/>
          </cell>
        </row>
        <row r="3638">
          <cell r="A3638">
            <v>34000000</v>
          </cell>
          <cell r="C3638">
            <v>34000000</v>
          </cell>
          <cell r="D3638">
            <v>34000000</v>
          </cell>
          <cell r="E3638">
            <v>34000000</v>
          </cell>
          <cell r="F3638">
            <v>34000000</v>
          </cell>
          <cell r="G3638">
            <v>34000000</v>
          </cell>
          <cell r="H3638">
            <v>34000000</v>
          </cell>
          <cell r="I3638" t="str">
            <v/>
          </cell>
          <cell r="J3638" t="str">
            <v/>
          </cell>
          <cell r="K3638" t="str">
            <v/>
          </cell>
          <cell r="L3638" t="str">
            <v/>
          </cell>
        </row>
        <row r="3639">
          <cell r="A3639">
            <v>34000000</v>
          </cell>
          <cell r="C3639">
            <v>34000000</v>
          </cell>
          <cell r="D3639">
            <v>34000000</v>
          </cell>
          <cell r="E3639">
            <v>34000000</v>
          </cell>
          <cell r="F3639">
            <v>34000000</v>
          </cell>
          <cell r="G3639">
            <v>34000000</v>
          </cell>
          <cell r="H3639">
            <v>34000000</v>
          </cell>
          <cell r="I3639" t="str">
            <v/>
          </cell>
          <cell r="J3639" t="str">
            <v/>
          </cell>
          <cell r="K3639" t="str">
            <v/>
          </cell>
          <cell r="L3639" t="str">
            <v/>
          </cell>
        </row>
        <row r="3640">
          <cell r="A3640">
            <v>34000000</v>
          </cell>
          <cell r="C3640">
            <v>34000000</v>
          </cell>
          <cell r="D3640">
            <v>34000000</v>
          </cell>
          <cell r="E3640">
            <v>34000000</v>
          </cell>
          <cell r="F3640">
            <v>34000000</v>
          </cell>
          <cell r="G3640">
            <v>34000000</v>
          </cell>
          <cell r="H3640">
            <v>34000000</v>
          </cell>
          <cell r="I3640" t="str">
            <v/>
          </cell>
          <cell r="J3640" t="str">
            <v/>
          </cell>
          <cell r="K3640" t="str">
            <v/>
          </cell>
          <cell r="L3640" t="str">
            <v/>
          </cell>
        </row>
        <row r="3641">
          <cell r="A3641">
            <v>34000000</v>
          </cell>
          <cell r="C3641">
            <v>34000000</v>
          </cell>
          <cell r="D3641">
            <v>34000000</v>
          </cell>
          <cell r="E3641">
            <v>34000000</v>
          </cell>
          <cell r="F3641">
            <v>34000000</v>
          </cell>
          <cell r="G3641">
            <v>34000000</v>
          </cell>
          <cell r="H3641">
            <v>34000000</v>
          </cell>
          <cell r="I3641" t="str">
            <v/>
          </cell>
          <cell r="J3641" t="str">
            <v/>
          </cell>
          <cell r="K3641" t="str">
            <v/>
          </cell>
          <cell r="L3641" t="str">
            <v/>
          </cell>
        </row>
        <row r="3642">
          <cell r="A3642">
            <v>34000000</v>
          </cell>
          <cell r="C3642">
            <v>34000000</v>
          </cell>
          <cell r="D3642">
            <v>34000000</v>
          </cell>
          <cell r="E3642">
            <v>34000000</v>
          </cell>
          <cell r="F3642">
            <v>34000000</v>
          </cell>
          <cell r="G3642">
            <v>34000000</v>
          </cell>
          <cell r="H3642">
            <v>34000000</v>
          </cell>
          <cell r="I3642" t="str">
            <v/>
          </cell>
          <cell r="J3642" t="str">
            <v/>
          </cell>
          <cell r="K3642" t="str">
            <v/>
          </cell>
          <cell r="L3642" t="str">
            <v/>
          </cell>
        </row>
        <row r="3643">
          <cell r="A3643">
            <v>34000000</v>
          </cell>
          <cell r="C3643">
            <v>34000000</v>
          </cell>
          <cell r="D3643">
            <v>34000000</v>
          </cell>
          <cell r="E3643">
            <v>34000000</v>
          </cell>
          <cell r="F3643">
            <v>34000000</v>
          </cell>
          <cell r="G3643">
            <v>34000000</v>
          </cell>
          <cell r="H3643">
            <v>34000000</v>
          </cell>
          <cell r="I3643" t="str">
            <v/>
          </cell>
          <cell r="J3643" t="str">
            <v/>
          </cell>
          <cell r="K3643" t="str">
            <v/>
          </cell>
          <cell r="L3643" t="str">
            <v/>
          </cell>
        </row>
        <row r="3644">
          <cell r="A3644">
            <v>34000000</v>
          </cell>
          <cell r="C3644">
            <v>34000000</v>
          </cell>
          <cell r="D3644">
            <v>34000000</v>
          </cell>
          <cell r="E3644">
            <v>34000000</v>
          </cell>
          <cell r="F3644">
            <v>34000000</v>
          </cell>
          <cell r="G3644">
            <v>34000000</v>
          </cell>
          <cell r="H3644">
            <v>34000000</v>
          </cell>
          <cell r="I3644" t="str">
            <v/>
          </cell>
          <cell r="J3644" t="str">
            <v/>
          </cell>
          <cell r="K3644" t="str">
            <v/>
          </cell>
          <cell r="L3644" t="str">
            <v/>
          </cell>
        </row>
        <row r="3645">
          <cell r="A3645">
            <v>34000000</v>
          </cell>
          <cell r="C3645">
            <v>34000000</v>
          </cell>
          <cell r="D3645">
            <v>34000000</v>
          </cell>
          <cell r="E3645">
            <v>34000000</v>
          </cell>
          <cell r="F3645">
            <v>34000000</v>
          </cell>
          <cell r="G3645">
            <v>34000000</v>
          </cell>
          <cell r="H3645">
            <v>34000000</v>
          </cell>
          <cell r="I3645" t="str">
            <v/>
          </cell>
          <cell r="J3645" t="str">
            <v/>
          </cell>
          <cell r="K3645" t="str">
            <v/>
          </cell>
          <cell r="L3645" t="str">
            <v/>
          </cell>
        </row>
        <row r="3646">
          <cell r="A3646">
            <v>34000000</v>
          </cell>
          <cell r="C3646">
            <v>34000000</v>
          </cell>
          <cell r="D3646">
            <v>34000000</v>
          </cell>
          <cell r="E3646">
            <v>34000000</v>
          </cell>
          <cell r="F3646">
            <v>34000000</v>
          </cell>
          <cell r="G3646">
            <v>34000000</v>
          </cell>
          <cell r="H3646">
            <v>34000000</v>
          </cell>
          <cell r="I3646" t="str">
            <v/>
          </cell>
          <cell r="J3646" t="str">
            <v/>
          </cell>
          <cell r="K3646" t="str">
            <v/>
          </cell>
          <cell r="L3646" t="str">
            <v/>
          </cell>
        </row>
        <row r="3647">
          <cell r="A3647">
            <v>34000000</v>
          </cell>
          <cell r="C3647">
            <v>34000000</v>
          </cell>
          <cell r="D3647">
            <v>34000000</v>
          </cell>
          <cell r="E3647">
            <v>34000000</v>
          </cell>
          <cell r="F3647">
            <v>34000000</v>
          </cell>
          <cell r="G3647">
            <v>34000000</v>
          </cell>
          <cell r="H3647">
            <v>34000000</v>
          </cell>
          <cell r="I3647" t="str">
            <v/>
          </cell>
          <cell r="J3647" t="str">
            <v/>
          </cell>
          <cell r="K3647" t="str">
            <v/>
          </cell>
          <cell r="L3647" t="str">
            <v/>
          </cell>
        </row>
        <row r="3648">
          <cell r="A3648">
            <v>34000000</v>
          </cell>
          <cell r="C3648">
            <v>34000000</v>
          </cell>
          <cell r="D3648">
            <v>34000000</v>
          </cell>
          <cell r="E3648">
            <v>34000000</v>
          </cell>
          <cell r="F3648">
            <v>34000000</v>
          </cell>
          <cell r="G3648">
            <v>34000000</v>
          </cell>
          <cell r="H3648">
            <v>34000000</v>
          </cell>
          <cell r="I3648" t="str">
            <v/>
          </cell>
          <cell r="J3648" t="str">
            <v/>
          </cell>
          <cell r="K3648" t="str">
            <v/>
          </cell>
          <cell r="L3648" t="str">
            <v/>
          </cell>
        </row>
        <row r="3649">
          <cell r="A3649">
            <v>34000000</v>
          </cell>
          <cell r="C3649">
            <v>34000000</v>
          </cell>
          <cell r="D3649">
            <v>34000000</v>
          </cell>
          <cell r="E3649">
            <v>34000000</v>
          </cell>
          <cell r="F3649">
            <v>34000000</v>
          </cell>
          <cell r="G3649">
            <v>34000000</v>
          </cell>
          <cell r="H3649">
            <v>34000000</v>
          </cell>
          <cell r="I3649" t="str">
            <v/>
          </cell>
          <cell r="J3649" t="str">
            <v/>
          </cell>
          <cell r="K3649" t="str">
            <v/>
          </cell>
          <cell r="L3649" t="str">
            <v/>
          </cell>
        </row>
        <row r="3650">
          <cell r="A3650">
            <v>34000000</v>
          </cell>
          <cell r="C3650">
            <v>34000000</v>
          </cell>
          <cell r="D3650">
            <v>34000000</v>
          </cell>
          <cell r="E3650">
            <v>34000000</v>
          </cell>
          <cell r="F3650">
            <v>34000000</v>
          </cell>
          <cell r="G3650">
            <v>34000000</v>
          </cell>
          <cell r="H3650">
            <v>34000000</v>
          </cell>
          <cell r="I3650" t="str">
            <v/>
          </cell>
          <cell r="J3650" t="str">
            <v/>
          </cell>
          <cell r="K3650" t="str">
            <v/>
          </cell>
          <cell r="L3650" t="str">
            <v/>
          </cell>
        </row>
        <row r="3651">
          <cell r="A3651">
            <v>34000000</v>
          </cell>
          <cell r="C3651">
            <v>34000000</v>
          </cell>
          <cell r="D3651">
            <v>34000000</v>
          </cell>
          <cell r="E3651">
            <v>34000000</v>
          </cell>
          <cell r="F3651">
            <v>34000000</v>
          </cell>
          <cell r="G3651">
            <v>34000000</v>
          </cell>
          <cell r="H3651">
            <v>34000000</v>
          </cell>
          <cell r="I3651" t="str">
            <v/>
          </cell>
          <cell r="J3651" t="str">
            <v/>
          </cell>
          <cell r="K3651" t="str">
            <v/>
          </cell>
          <cell r="L3651" t="str">
            <v/>
          </cell>
        </row>
        <row r="3652">
          <cell r="A3652">
            <v>34000000</v>
          </cell>
          <cell r="C3652">
            <v>34000000</v>
          </cell>
          <cell r="D3652">
            <v>34000000</v>
          </cell>
          <cell r="E3652">
            <v>34000000</v>
          </cell>
          <cell r="F3652">
            <v>34000000</v>
          </cell>
          <cell r="G3652">
            <v>34000000</v>
          </cell>
          <cell r="H3652">
            <v>34000000</v>
          </cell>
          <cell r="I3652" t="str">
            <v/>
          </cell>
          <cell r="J3652" t="str">
            <v/>
          </cell>
          <cell r="K3652" t="str">
            <v/>
          </cell>
          <cell r="L3652" t="str">
            <v/>
          </cell>
        </row>
        <row r="3653">
          <cell r="A3653">
            <v>34000000</v>
          </cell>
          <cell r="C3653">
            <v>34000000</v>
          </cell>
          <cell r="D3653">
            <v>34000000</v>
          </cell>
          <cell r="E3653">
            <v>34000000</v>
          </cell>
          <cell r="F3653">
            <v>34000000</v>
          </cell>
          <cell r="G3653">
            <v>34000000</v>
          </cell>
          <cell r="H3653">
            <v>34000000</v>
          </cell>
          <cell r="I3653" t="str">
            <v/>
          </cell>
          <cell r="J3653" t="str">
            <v/>
          </cell>
          <cell r="K3653" t="str">
            <v/>
          </cell>
          <cell r="L3653" t="str">
            <v/>
          </cell>
        </row>
        <row r="3654">
          <cell r="A3654">
            <v>34000000</v>
          </cell>
          <cell r="C3654">
            <v>34000000</v>
          </cell>
          <cell r="D3654">
            <v>34000000</v>
          </cell>
          <cell r="E3654">
            <v>34000000</v>
          </cell>
          <cell r="F3654">
            <v>34000000</v>
          </cell>
          <cell r="G3654">
            <v>34000000</v>
          </cell>
          <cell r="H3654">
            <v>34000000</v>
          </cell>
          <cell r="I3654" t="str">
            <v/>
          </cell>
          <cell r="J3654" t="str">
            <v/>
          </cell>
          <cell r="K3654" t="str">
            <v/>
          </cell>
          <cell r="L3654" t="str">
            <v/>
          </cell>
        </row>
        <row r="3655">
          <cell r="A3655">
            <v>34000000</v>
          </cell>
          <cell r="C3655">
            <v>34000000</v>
          </cell>
          <cell r="D3655">
            <v>34000000</v>
          </cell>
          <cell r="E3655">
            <v>34000000</v>
          </cell>
          <cell r="F3655">
            <v>34000000</v>
          </cell>
          <cell r="G3655">
            <v>34000000</v>
          </cell>
          <cell r="H3655">
            <v>34000000</v>
          </cell>
          <cell r="I3655" t="str">
            <v/>
          </cell>
          <cell r="J3655" t="str">
            <v/>
          </cell>
          <cell r="K3655" t="str">
            <v/>
          </cell>
          <cell r="L3655" t="str">
            <v/>
          </cell>
        </row>
        <row r="3656">
          <cell r="A3656">
            <v>34000000</v>
          </cell>
          <cell r="C3656">
            <v>34000000</v>
          </cell>
          <cell r="D3656">
            <v>34000000</v>
          </cell>
          <cell r="E3656">
            <v>34000000</v>
          </cell>
          <cell r="F3656">
            <v>34000000</v>
          </cell>
          <cell r="G3656">
            <v>34000000</v>
          </cell>
          <cell r="H3656">
            <v>34000000</v>
          </cell>
          <cell r="I3656" t="str">
            <v/>
          </cell>
          <cell r="J3656" t="str">
            <v/>
          </cell>
          <cell r="K3656" t="str">
            <v/>
          </cell>
          <cell r="L3656" t="str">
            <v/>
          </cell>
        </row>
        <row r="3657">
          <cell r="A3657">
            <v>34000000</v>
          </cell>
          <cell r="C3657">
            <v>34000000</v>
          </cell>
          <cell r="D3657">
            <v>34000000</v>
          </cell>
          <cell r="E3657">
            <v>34000000</v>
          </cell>
          <cell r="F3657">
            <v>34000000</v>
          </cell>
          <cell r="G3657">
            <v>34000000</v>
          </cell>
          <cell r="H3657">
            <v>34000000</v>
          </cell>
          <cell r="I3657" t="str">
            <v/>
          </cell>
          <cell r="J3657" t="str">
            <v/>
          </cell>
          <cell r="K3657" t="str">
            <v/>
          </cell>
          <cell r="L3657" t="str">
            <v/>
          </cell>
        </row>
        <row r="3658">
          <cell r="A3658">
            <v>34000000</v>
          </cell>
          <cell r="C3658">
            <v>34000000</v>
          </cell>
          <cell r="D3658">
            <v>34000000</v>
          </cell>
          <cell r="E3658">
            <v>34000000</v>
          </cell>
          <cell r="F3658">
            <v>34000000</v>
          </cell>
          <cell r="G3658">
            <v>34000000</v>
          </cell>
          <cell r="H3658">
            <v>34000000</v>
          </cell>
          <cell r="I3658" t="str">
            <v/>
          </cell>
          <cell r="J3658" t="str">
            <v/>
          </cell>
          <cell r="K3658" t="str">
            <v/>
          </cell>
          <cell r="L3658" t="str">
            <v/>
          </cell>
        </row>
        <row r="3659">
          <cell r="A3659">
            <v>34000000</v>
          </cell>
          <cell r="C3659">
            <v>34000000</v>
          </cell>
          <cell r="D3659">
            <v>34000000</v>
          </cell>
          <cell r="E3659">
            <v>34000000</v>
          </cell>
          <cell r="F3659">
            <v>34000000</v>
          </cell>
          <cell r="G3659">
            <v>34000000</v>
          </cell>
          <cell r="H3659">
            <v>34000000</v>
          </cell>
          <cell r="I3659" t="str">
            <v/>
          </cell>
          <cell r="J3659" t="str">
            <v/>
          </cell>
          <cell r="K3659" t="str">
            <v/>
          </cell>
          <cell r="L3659" t="str">
            <v/>
          </cell>
        </row>
        <row r="3660">
          <cell r="A3660">
            <v>34000000</v>
          </cell>
          <cell r="C3660">
            <v>34000000</v>
          </cell>
          <cell r="D3660">
            <v>34000000</v>
          </cell>
          <cell r="E3660">
            <v>34000000</v>
          </cell>
          <cell r="F3660">
            <v>34000000</v>
          </cell>
          <cell r="G3660">
            <v>34000000</v>
          </cell>
          <cell r="H3660">
            <v>34000000</v>
          </cell>
          <cell r="I3660" t="str">
            <v/>
          </cell>
          <cell r="J3660" t="str">
            <v/>
          </cell>
          <cell r="K3660" t="str">
            <v/>
          </cell>
          <cell r="L3660" t="str">
            <v/>
          </cell>
        </row>
        <row r="3661">
          <cell r="A3661">
            <v>34000000</v>
          </cell>
          <cell r="C3661">
            <v>34000000</v>
          </cell>
          <cell r="D3661">
            <v>34000000</v>
          </cell>
          <cell r="E3661">
            <v>34000000</v>
          </cell>
          <cell r="F3661">
            <v>34000000</v>
          </cell>
          <cell r="G3661">
            <v>34000000</v>
          </cell>
          <cell r="H3661">
            <v>34000000</v>
          </cell>
          <cell r="I3661" t="str">
            <v/>
          </cell>
          <cell r="J3661" t="str">
            <v/>
          </cell>
          <cell r="K3661" t="str">
            <v/>
          </cell>
          <cell r="L3661" t="str">
            <v/>
          </cell>
        </row>
        <row r="3662">
          <cell r="A3662">
            <v>34000000</v>
          </cell>
          <cell r="C3662">
            <v>34000000</v>
          </cell>
          <cell r="D3662">
            <v>34000000</v>
          </cell>
          <cell r="E3662">
            <v>34000000</v>
          </cell>
          <cell r="F3662">
            <v>34000000</v>
          </cell>
          <cell r="G3662">
            <v>34000000</v>
          </cell>
          <cell r="H3662">
            <v>34000000</v>
          </cell>
          <cell r="I3662" t="str">
            <v/>
          </cell>
          <cell r="J3662" t="str">
            <v/>
          </cell>
          <cell r="K3662" t="str">
            <v/>
          </cell>
          <cell r="L3662" t="str">
            <v/>
          </cell>
        </row>
        <row r="3663">
          <cell r="A3663">
            <v>34000000</v>
          </cell>
          <cell r="C3663">
            <v>34000000</v>
          </cell>
          <cell r="D3663">
            <v>34000000</v>
          </cell>
          <cell r="E3663">
            <v>34000000</v>
          </cell>
          <cell r="F3663">
            <v>34000000</v>
          </cell>
          <cell r="G3663">
            <v>34000000</v>
          </cell>
          <cell r="H3663">
            <v>34000000</v>
          </cell>
          <cell r="I3663" t="str">
            <v/>
          </cell>
          <cell r="J3663" t="str">
            <v/>
          </cell>
          <cell r="K3663" t="str">
            <v/>
          </cell>
          <cell r="L3663" t="str">
            <v/>
          </cell>
        </row>
        <row r="3664">
          <cell r="A3664">
            <v>34000000</v>
          </cell>
          <cell r="C3664">
            <v>34000000</v>
          </cell>
          <cell r="D3664">
            <v>34000000</v>
          </cell>
          <cell r="E3664">
            <v>34000000</v>
          </cell>
          <cell r="F3664">
            <v>34000000</v>
          </cell>
          <cell r="G3664">
            <v>34000000</v>
          </cell>
          <cell r="H3664">
            <v>34000000</v>
          </cell>
          <cell r="I3664" t="str">
            <v/>
          </cell>
          <cell r="J3664" t="str">
            <v/>
          </cell>
          <cell r="K3664" t="str">
            <v/>
          </cell>
          <cell r="L3664" t="str">
            <v/>
          </cell>
        </row>
        <row r="3665">
          <cell r="A3665">
            <v>34000000</v>
          </cell>
          <cell r="C3665">
            <v>34000000</v>
          </cell>
          <cell r="D3665">
            <v>34000000</v>
          </cell>
          <cell r="E3665">
            <v>34000000</v>
          </cell>
          <cell r="F3665">
            <v>34000000</v>
          </cell>
          <cell r="G3665">
            <v>34000000</v>
          </cell>
          <cell r="H3665">
            <v>34000000</v>
          </cell>
          <cell r="I3665" t="str">
            <v/>
          </cell>
          <cell r="J3665" t="str">
            <v/>
          </cell>
          <cell r="K3665" t="str">
            <v/>
          </cell>
          <cell r="L3665" t="str">
            <v/>
          </cell>
        </row>
        <row r="3666">
          <cell r="A3666">
            <v>34000000</v>
          </cell>
          <cell r="C3666">
            <v>34000000</v>
          </cell>
          <cell r="D3666">
            <v>34000000</v>
          </cell>
          <cell r="E3666">
            <v>34000000</v>
          </cell>
          <cell r="F3666">
            <v>34000000</v>
          </cell>
          <cell r="G3666">
            <v>34000000</v>
          </cell>
          <cell r="H3666">
            <v>34000000</v>
          </cell>
          <cell r="I3666" t="str">
            <v/>
          </cell>
          <cell r="J3666" t="str">
            <v/>
          </cell>
          <cell r="K3666" t="str">
            <v/>
          </cell>
          <cell r="L3666" t="str">
            <v/>
          </cell>
        </row>
        <row r="3667">
          <cell r="A3667">
            <v>34000000</v>
          </cell>
          <cell r="C3667">
            <v>34000000</v>
          </cell>
          <cell r="D3667">
            <v>34000000</v>
          </cell>
          <cell r="E3667">
            <v>34000000</v>
          </cell>
          <cell r="F3667">
            <v>34000000</v>
          </cell>
          <cell r="G3667">
            <v>34000000</v>
          </cell>
          <cell r="H3667">
            <v>34000000</v>
          </cell>
          <cell r="I3667" t="str">
            <v/>
          </cell>
          <cell r="J3667" t="str">
            <v/>
          </cell>
          <cell r="K3667" t="str">
            <v/>
          </cell>
          <cell r="L3667" t="str">
            <v/>
          </cell>
        </row>
        <row r="3668">
          <cell r="A3668">
            <v>34000000</v>
          </cell>
          <cell r="C3668">
            <v>34000000</v>
          </cell>
          <cell r="D3668">
            <v>34000000</v>
          </cell>
          <cell r="E3668">
            <v>34000000</v>
          </cell>
          <cell r="F3668">
            <v>34000000</v>
          </cell>
          <cell r="G3668">
            <v>34000000</v>
          </cell>
          <cell r="H3668">
            <v>34000000</v>
          </cell>
          <cell r="I3668" t="str">
            <v/>
          </cell>
          <cell r="J3668" t="str">
            <v/>
          </cell>
          <cell r="K3668" t="str">
            <v/>
          </cell>
          <cell r="L3668" t="str">
            <v/>
          </cell>
        </row>
        <row r="3669">
          <cell r="A3669">
            <v>34000000</v>
          </cell>
          <cell r="C3669">
            <v>34000000</v>
          </cell>
          <cell r="D3669">
            <v>34000000</v>
          </cell>
          <cell r="E3669">
            <v>34000000</v>
          </cell>
          <cell r="F3669">
            <v>34000000</v>
          </cell>
          <cell r="G3669">
            <v>34000000</v>
          </cell>
          <cell r="H3669">
            <v>34000000</v>
          </cell>
          <cell r="I3669" t="str">
            <v/>
          </cell>
          <cell r="J3669" t="str">
            <v/>
          </cell>
          <cell r="K3669" t="str">
            <v/>
          </cell>
          <cell r="L3669" t="str">
            <v/>
          </cell>
        </row>
        <row r="3670">
          <cell r="A3670">
            <v>34000000</v>
          </cell>
          <cell r="C3670">
            <v>34000000</v>
          </cell>
          <cell r="D3670">
            <v>34000000</v>
          </cell>
          <cell r="E3670">
            <v>34000000</v>
          </cell>
          <cell r="F3670">
            <v>34000000</v>
          </cell>
          <cell r="G3670">
            <v>34000000</v>
          </cell>
          <cell r="H3670">
            <v>34000000</v>
          </cell>
          <cell r="I3670" t="str">
            <v/>
          </cell>
          <cell r="J3670" t="str">
            <v/>
          </cell>
          <cell r="K3670" t="str">
            <v/>
          </cell>
          <cell r="L3670" t="str">
            <v/>
          </cell>
        </row>
        <row r="3671">
          <cell r="A3671">
            <v>34000000</v>
          </cell>
          <cell r="C3671">
            <v>34000000</v>
          </cell>
          <cell r="D3671">
            <v>34000000</v>
          </cell>
          <cell r="E3671">
            <v>34000000</v>
          </cell>
          <cell r="F3671">
            <v>34000000</v>
          </cell>
          <cell r="G3671">
            <v>34000000</v>
          </cell>
          <cell r="H3671">
            <v>34000000</v>
          </cell>
          <cell r="I3671" t="str">
            <v/>
          </cell>
          <cell r="J3671" t="str">
            <v/>
          </cell>
          <cell r="K3671" t="str">
            <v/>
          </cell>
          <cell r="L3671" t="str">
            <v/>
          </cell>
        </row>
        <row r="3672">
          <cell r="A3672">
            <v>34000000</v>
          </cell>
          <cell r="C3672">
            <v>34000000</v>
          </cell>
          <cell r="D3672">
            <v>34000000</v>
          </cell>
          <cell r="E3672">
            <v>34000000</v>
          </cell>
          <cell r="F3672">
            <v>34000000</v>
          </cell>
          <cell r="G3672">
            <v>34000000</v>
          </cell>
          <cell r="H3672">
            <v>34000000</v>
          </cell>
          <cell r="I3672" t="str">
            <v/>
          </cell>
          <cell r="J3672" t="str">
            <v/>
          </cell>
          <cell r="K3672" t="str">
            <v/>
          </cell>
          <cell r="L3672" t="str">
            <v/>
          </cell>
        </row>
        <row r="3673">
          <cell r="A3673">
            <v>34000000</v>
          </cell>
          <cell r="C3673">
            <v>34000000</v>
          </cell>
          <cell r="D3673">
            <v>34000000</v>
          </cell>
          <cell r="E3673">
            <v>34000000</v>
          </cell>
          <cell r="F3673">
            <v>34000000</v>
          </cell>
          <cell r="G3673">
            <v>34000000</v>
          </cell>
          <cell r="H3673">
            <v>34000000</v>
          </cell>
          <cell r="I3673" t="str">
            <v/>
          </cell>
          <cell r="J3673" t="str">
            <v/>
          </cell>
          <cell r="K3673" t="str">
            <v/>
          </cell>
          <cell r="L3673" t="str">
            <v/>
          </cell>
        </row>
        <row r="3674">
          <cell r="A3674">
            <v>34000000</v>
          </cell>
          <cell r="C3674">
            <v>34000000</v>
          </cell>
          <cell r="D3674">
            <v>34000000</v>
          </cell>
          <cell r="E3674">
            <v>34000000</v>
          </cell>
          <cell r="F3674">
            <v>34000000</v>
          </cell>
          <cell r="G3674">
            <v>34000000</v>
          </cell>
          <cell r="H3674">
            <v>34000000</v>
          </cell>
          <cell r="I3674" t="str">
            <v/>
          </cell>
          <cell r="J3674" t="str">
            <v/>
          </cell>
          <cell r="K3674" t="str">
            <v/>
          </cell>
          <cell r="L3674" t="str">
            <v/>
          </cell>
        </row>
        <row r="3675">
          <cell r="A3675">
            <v>34000000</v>
          </cell>
          <cell r="C3675">
            <v>34000000</v>
          </cell>
          <cell r="D3675">
            <v>34000000</v>
          </cell>
          <cell r="E3675">
            <v>34000000</v>
          </cell>
          <cell r="F3675">
            <v>34000000</v>
          </cell>
          <cell r="G3675">
            <v>34000000</v>
          </cell>
          <cell r="H3675">
            <v>34000000</v>
          </cell>
          <cell r="I3675" t="str">
            <v/>
          </cell>
          <cell r="J3675" t="str">
            <v/>
          </cell>
          <cell r="K3675" t="str">
            <v/>
          </cell>
          <cell r="L3675" t="str">
            <v/>
          </cell>
        </row>
        <row r="3676">
          <cell r="A3676">
            <v>34000000</v>
          </cell>
          <cell r="C3676">
            <v>34000000</v>
          </cell>
          <cell r="D3676">
            <v>34000000</v>
          </cell>
          <cell r="E3676">
            <v>34000000</v>
          </cell>
          <cell r="F3676">
            <v>34000000</v>
          </cell>
          <cell r="G3676">
            <v>34000000</v>
          </cell>
          <cell r="H3676">
            <v>34000000</v>
          </cell>
          <cell r="I3676" t="str">
            <v/>
          </cell>
          <cell r="J3676" t="str">
            <v/>
          </cell>
          <cell r="K3676" t="str">
            <v/>
          </cell>
          <cell r="L3676" t="str">
            <v/>
          </cell>
        </row>
        <row r="3677">
          <cell r="A3677">
            <v>34000000</v>
          </cell>
          <cell r="C3677">
            <v>34000000</v>
          </cell>
          <cell r="D3677">
            <v>34000000</v>
          </cell>
          <cell r="E3677">
            <v>34000000</v>
          </cell>
          <cell r="F3677">
            <v>34000000</v>
          </cell>
          <cell r="G3677">
            <v>34000000</v>
          </cell>
          <cell r="H3677">
            <v>34000000</v>
          </cell>
          <cell r="I3677" t="str">
            <v/>
          </cell>
          <cell r="J3677" t="str">
            <v/>
          </cell>
          <cell r="K3677" t="str">
            <v/>
          </cell>
          <cell r="L3677" t="str">
            <v/>
          </cell>
        </row>
        <row r="3678">
          <cell r="A3678">
            <v>34000000</v>
          </cell>
          <cell r="C3678">
            <v>34000000</v>
          </cell>
          <cell r="D3678">
            <v>34000000</v>
          </cell>
          <cell r="E3678">
            <v>34000000</v>
          </cell>
          <cell r="F3678">
            <v>34000000</v>
          </cell>
          <cell r="G3678">
            <v>34000000</v>
          </cell>
          <cell r="H3678">
            <v>34000000</v>
          </cell>
          <cell r="I3678" t="str">
            <v/>
          </cell>
          <cell r="J3678" t="str">
            <v/>
          </cell>
          <cell r="K3678" t="str">
            <v/>
          </cell>
          <cell r="L3678" t="str">
            <v/>
          </cell>
        </row>
        <row r="3679">
          <cell r="A3679">
            <v>34000000</v>
          </cell>
          <cell r="C3679">
            <v>34000000</v>
          </cell>
          <cell r="D3679">
            <v>34000000</v>
          </cell>
          <cell r="E3679">
            <v>34000000</v>
          </cell>
          <cell r="F3679">
            <v>34000000</v>
          </cell>
          <cell r="G3679">
            <v>34000000</v>
          </cell>
          <cell r="H3679">
            <v>34000000</v>
          </cell>
          <cell r="I3679" t="str">
            <v/>
          </cell>
          <cell r="J3679" t="str">
            <v/>
          </cell>
          <cell r="K3679" t="str">
            <v/>
          </cell>
          <cell r="L3679" t="str">
            <v/>
          </cell>
        </row>
        <row r="3680">
          <cell r="A3680">
            <v>34000000</v>
          </cell>
          <cell r="C3680">
            <v>34000000</v>
          </cell>
          <cell r="D3680">
            <v>34000000</v>
          </cell>
          <cell r="E3680">
            <v>34000000</v>
          </cell>
          <cell r="F3680">
            <v>34000000</v>
          </cell>
          <cell r="G3680">
            <v>34000000</v>
          </cell>
          <cell r="H3680">
            <v>34000000</v>
          </cell>
          <cell r="I3680" t="str">
            <v/>
          </cell>
          <cell r="J3680" t="str">
            <v/>
          </cell>
          <cell r="K3680" t="str">
            <v/>
          </cell>
          <cell r="L3680" t="str">
            <v/>
          </cell>
        </row>
        <row r="3681">
          <cell r="A3681">
            <v>34000000</v>
          </cell>
          <cell r="C3681">
            <v>34000000</v>
          </cell>
          <cell r="D3681">
            <v>34000000</v>
          </cell>
          <cell r="E3681">
            <v>34000000</v>
          </cell>
          <cell r="F3681">
            <v>34000000</v>
          </cell>
          <cell r="G3681">
            <v>34000000</v>
          </cell>
          <cell r="H3681">
            <v>34000000</v>
          </cell>
          <cell r="I3681" t="str">
            <v/>
          </cell>
          <cell r="J3681" t="str">
            <v/>
          </cell>
          <cell r="K3681" t="str">
            <v/>
          </cell>
          <cell r="L3681" t="str">
            <v/>
          </cell>
        </row>
        <row r="3682">
          <cell r="A3682">
            <v>34000000</v>
          </cell>
          <cell r="C3682">
            <v>34000000</v>
          </cell>
          <cell r="D3682">
            <v>34000000</v>
          </cell>
          <cell r="E3682">
            <v>34000000</v>
          </cell>
          <cell r="F3682">
            <v>34000000</v>
          </cell>
          <cell r="G3682">
            <v>34000000</v>
          </cell>
          <cell r="H3682">
            <v>34000000</v>
          </cell>
          <cell r="I3682" t="str">
            <v/>
          </cell>
          <cell r="J3682" t="str">
            <v/>
          </cell>
          <cell r="K3682" t="str">
            <v/>
          </cell>
          <cell r="L3682" t="str">
            <v/>
          </cell>
        </row>
        <row r="3683">
          <cell r="A3683">
            <v>34000000</v>
          </cell>
          <cell r="C3683">
            <v>34000000</v>
          </cell>
          <cell r="D3683">
            <v>34000000</v>
          </cell>
          <cell r="E3683">
            <v>34000000</v>
          </cell>
          <cell r="F3683">
            <v>34000000</v>
          </cell>
          <cell r="G3683">
            <v>34000000</v>
          </cell>
          <cell r="H3683">
            <v>34000000</v>
          </cell>
          <cell r="I3683" t="str">
            <v/>
          </cell>
          <cell r="J3683" t="str">
            <v/>
          </cell>
          <cell r="K3683" t="str">
            <v/>
          </cell>
          <cell r="L3683" t="str">
            <v/>
          </cell>
        </row>
        <row r="3684">
          <cell r="A3684">
            <v>34000000</v>
          </cell>
          <cell r="C3684">
            <v>34000000</v>
          </cell>
          <cell r="D3684">
            <v>34000000</v>
          </cell>
          <cell r="E3684">
            <v>34000000</v>
          </cell>
          <cell r="F3684">
            <v>34000000</v>
          </cell>
          <cell r="G3684">
            <v>34000000</v>
          </cell>
          <cell r="H3684">
            <v>34000000</v>
          </cell>
          <cell r="I3684" t="str">
            <v/>
          </cell>
          <cell r="J3684" t="str">
            <v/>
          </cell>
          <cell r="K3684" t="str">
            <v/>
          </cell>
          <cell r="L3684" t="str">
            <v/>
          </cell>
        </row>
        <row r="3685">
          <cell r="A3685">
            <v>34000000</v>
          </cell>
          <cell r="C3685">
            <v>34000000</v>
          </cell>
          <cell r="D3685">
            <v>34000000</v>
          </cell>
          <cell r="E3685">
            <v>34000000</v>
          </cell>
          <cell r="F3685">
            <v>34000000</v>
          </cell>
          <cell r="G3685">
            <v>34000000</v>
          </cell>
          <cell r="H3685">
            <v>34000000</v>
          </cell>
          <cell r="I3685" t="str">
            <v/>
          </cell>
          <cell r="J3685" t="str">
            <v/>
          </cell>
          <cell r="K3685" t="str">
            <v/>
          </cell>
          <cell r="L3685" t="str">
            <v/>
          </cell>
        </row>
        <row r="3686">
          <cell r="A3686">
            <v>34000000</v>
          </cell>
          <cell r="C3686">
            <v>34000000</v>
          </cell>
          <cell r="D3686">
            <v>34000000</v>
          </cell>
          <cell r="E3686">
            <v>34000000</v>
          </cell>
          <cell r="F3686">
            <v>34000000</v>
          </cell>
          <cell r="G3686">
            <v>34000000</v>
          </cell>
          <cell r="H3686">
            <v>34000000</v>
          </cell>
          <cell r="I3686" t="str">
            <v/>
          </cell>
          <cell r="J3686" t="str">
            <v/>
          </cell>
          <cell r="K3686" t="str">
            <v/>
          </cell>
          <cell r="L3686" t="str">
            <v/>
          </cell>
        </row>
        <row r="3687">
          <cell r="A3687">
            <v>34000000</v>
          </cell>
          <cell r="C3687">
            <v>34000000</v>
          </cell>
          <cell r="D3687">
            <v>34000000</v>
          </cell>
          <cell r="E3687">
            <v>34000000</v>
          </cell>
          <cell r="F3687">
            <v>34000000</v>
          </cell>
          <cell r="G3687">
            <v>34000000</v>
          </cell>
          <cell r="H3687">
            <v>34000000</v>
          </cell>
          <cell r="I3687" t="str">
            <v/>
          </cell>
          <cell r="J3687" t="str">
            <v/>
          </cell>
          <cell r="K3687" t="str">
            <v/>
          </cell>
          <cell r="L3687" t="str">
            <v/>
          </cell>
        </row>
        <row r="3688">
          <cell r="A3688">
            <v>34000000</v>
          </cell>
          <cell r="C3688">
            <v>34000000</v>
          </cell>
          <cell r="D3688">
            <v>34000000</v>
          </cell>
          <cell r="E3688">
            <v>34000000</v>
          </cell>
          <cell r="F3688">
            <v>34000000</v>
          </cell>
          <cell r="G3688">
            <v>34000000</v>
          </cell>
          <cell r="H3688">
            <v>34000000</v>
          </cell>
          <cell r="I3688" t="str">
            <v/>
          </cell>
          <cell r="J3688" t="str">
            <v/>
          </cell>
          <cell r="K3688" t="str">
            <v/>
          </cell>
          <cell r="L3688" t="str">
            <v/>
          </cell>
        </row>
        <row r="3689">
          <cell r="A3689">
            <v>34000000</v>
          </cell>
          <cell r="C3689">
            <v>34000000</v>
          </cell>
          <cell r="D3689">
            <v>34000000</v>
          </cell>
          <cell r="E3689">
            <v>34000000</v>
          </cell>
          <cell r="F3689">
            <v>34000000</v>
          </cell>
          <cell r="G3689">
            <v>34000000</v>
          </cell>
          <cell r="H3689">
            <v>34000000</v>
          </cell>
          <cell r="I3689" t="str">
            <v/>
          </cell>
          <cell r="J3689" t="str">
            <v/>
          </cell>
          <cell r="K3689" t="str">
            <v/>
          </cell>
          <cell r="L3689" t="str">
            <v/>
          </cell>
        </row>
        <row r="3690">
          <cell r="A3690">
            <v>34000000</v>
          </cell>
          <cell r="C3690">
            <v>34000000</v>
          </cell>
          <cell r="D3690">
            <v>34000000</v>
          </cell>
          <cell r="E3690">
            <v>34000000</v>
          </cell>
          <cell r="F3690">
            <v>34000000</v>
          </cell>
          <cell r="G3690">
            <v>34000000</v>
          </cell>
          <cell r="H3690">
            <v>34000000</v>
          </cell>
          <cell r="I3690" t="str">
            <v/>
          </cell>
          <cell r="J3690" t="str">
            <v/>
          </cell>
          <cell r="K3690" t="str">
            <v/>
          </cell>
          <cell r="L3690" t="str">
            <v/>
          </cell>
        </row>
        <row r="3691">
          <cell r="A3691">
            <v>34000000</v>
          </cell>
          <cell r="C3691">
            <v>34000000</v>
          </cell>
          <cell r="D3691">
            <v>34000000</v>
          </cell>
          <cell r="E3691">
            <v>34000000</v>
          </cell>
          <cell r="F3691">
            <v>34000000</v>
          </cell>
          <cell r="G3691">
            <v>34000000</v>
          </cell>
          <cell r="H3691">
            <v>34000000</v>
          </cell>
          <cell r="I3691" t="str">
            <v/>
          </cell>
          <cell r="J3691" t="str">
            <v/>
          </cell>
          <cell r="K3691" t="str">
            <v/>
          </cell>
          <cell r="L3691" t="str">
            <v/>
          </cell>
        </row>
        <row r="3692">
          <cell r="A3692">
            <v>34000000</v>
          </cell>
          <cell r="C3692">
            <v>34000000</v>
          </cell>
          <cell r="D3692">
            <v>34000000</v>
          </cell>
          <cell r="E3692">
            <v>34000000</v>
          </cell>
          <cell r="F3692">
            <v>34000000</v>
          </cell>
          <cell r="G3692">
            <v>34000000</v>
          </cell>
          <cell r="H3692">
            <v>34000000</v>
          </cell>
          <cell r="I3692" t="str">
            <v/>
          </cell>
          <cell r="J3692" t="str">
            <v/>
          </cell>
          <cell r="K3692" t="str">
            <v/>
          </cell>
          <cell r="L3692" t="str">
            <v/>
          </cell>
        </row>
        <row r="3693">
          <cell r="A3693">
            <v>34000000</v>
          </cell>
          <cell r="C3693">
            <v>34000000</v>
          </cell>
          <cell r="D3693">
            <v>34000000</v>
          </cell>
          <cell r="E3693">
            <v>34000000</v>
          </cell>
          <cell r="F3693">
            <v>34000000</v>
          </cell>
          <cell r="G3693">
            <v>34000000</v>
          </cell>
          <cell r="H3693">
            <v>34000000</v>
          </cell>
          <cell r="I3693" t="str">
            <v/>
          </cell>
          <cell r="J3693" t="str">
            <v/>
          </cell>
          <cell r="K3693" t="str">
            <v/>
          </cell>
          <cell r="L3693" t="str">
            <v/>
          </cell>
        </row>
        <row r="3694">
          <cell r="A3694">
            <v>34000000</v>
          </cell>
          <cell r="C3694">
            <v>34000000</v>
          </cell>
          <cell r="D3694">
            <v>34000000</v>
          </cell>
          <cell r="E3694">
            <v>34000000</v>
          </cell>
          <cell r="F3694">
            <v>34000000</v>
          </cell>
          <cell r="G3694">
            <v>34000000</v>
          </cell>
          <cell r="H3694">
            <v>34000000</v>
          </cell>
          <cell r="I3694" t="str">
            <v/>
          </cell>
          <cell r="J3694" t="str">
            <v/>
          </cell>
          <cell r="K3694" t="str">
            <v/>
          </cell>
          <cell r="L3694" t="str">
            <v/>
          </cell>
        </row>
        <row r="3695">
          <cell r="A3695">
            <v>34000000</v>
          </cell>
          <cell r="C3695">
            <v>34000000</v>
          </cell>
          <cell r="D3695">
            <v>34000000</v>
          </cell>
          <cell r="E3695">
            <v>34000000</v>
          </cell>
          <cell r="F3695">
            <v>34000000</v>
          </cell>
          <cell r="G3695">
            <v>34000000</v>
          </cell>
          <cell r="H3695">
            <v>34000000</v>
          </cell>
          <cell r="I3695" t="str">
            <v/>
          </cell>
          <cell r="J3695" t="str">
            <v/>
          </cell>
          <cell r="K3695" t="str">
            <v/>
          </cell>
          <cell r="L3695" t="str">
            <v/>
          </cell>
        </row>
        <row r="3696">
          <cell r="A3696">
            <v>34000000</v>
          </cell>
          <cell r="C3696">
            <v>34000000</v>
          </cell>
          <cell r="D3696">
            <v>34000000</v>
          </cell>
          <cell r="E3696">
            <v>34000000</v>
          </cell>
          <cell r="F3696">
            <v>34000000</v>
          </cell>
          <cell r="G3696">
            <v>34000000</v>
          </cell>
          <cell r="H3696">
            <v>34000000</v>
          </cell>
          <cell r="I3696" t="str">
            <v/>
          </cell>
          <cell r="J3696" t="str">
            <v/>
          </cell>
          <cell r="K3696" t="str">
            <v/>
          </cell>
          <cell r="L3696" t="str">
            <v/>
          </cell>
        </row>
        <row r="3697">
          <cell r="A3697">
            <v>34000000</v>
          </cell>
          <cell r="C3697">
            <v>34000000</v>
          </cell>
          <cell r="D3697">
            <v>34000000</v>
          </cell>
          <cell r="E3697">
            <v>34000000</v>
          </cell>
          <cell r="F3697">
            <v>34000000</v>
          </cell>
          <cell r="G3697">
            <v>34000000</v>
          </cell>
          <cell r="H3697">
            <v>34000000</v>
          </cell>
          <cell r="I3697" t="str">
            <v/>
          </cell>
          <cell r="J3697" t="str">
            <v/>
          </cell>
          <cell r="K3697" t="str">
            <v/>
          </cell>
          <cell r="L3697" t="str">
            <v/>
          </cell>
        </row>
        <row r="3698">
          <cell r="A3698">
            <v>34000000</v>
          </cell>
          <cell r="C3698">
            <v>34000000</v>
          </cell>
          <cell r="D3698">
            <v>34000000</v>
          </cell>
          <cell r="E3698">
            <v>34000000</v>
          </cell>
          <cell r="F3698">
            <v>34000000</v>
          </cell>
          <cell r="G3698">
            <v>34000000</v>
          </cell>
          <cell r="H3698">
            <v>34000000</v>
          </cell>
          <cell r="I3698" t="str">
            <v/>
          </cell>
          <cell r="J3698" t="str">
            <v/>
          </cell>
          <cell r="K3698" t="str">
            <v/>
          </cell>
          <cell r="L3698" t="str">
            <v/>
          </cell>
        </row>
        <row r="3699">
          <cell r="A3699">
            <v>34000000</v>
          </cell>
          <cell r="C3699">
            <v>34000000</v>
          </cell>
          <cell r="D3699">
            <v>34000000</v>
          </cell>
          <cell r="E3699">
            <v>34000000</v>
          </cell>
          <cell r="F3699">
            <v>34000000</v>
          </cell>
          <cell r="G3699">
            <v>34000000</v>
          </cell>
          <cell r="H3699">
            <v>34000000</v>
          </cell>
          <cell r="I3699" t="str">
            <v/>
          </cell>
          <cell r="J3699" t="str">
            <v/>
          </cell>
          <cell r="K3699" t="str">
            <v/>
          </cell>
          <cell r="L3699" t="str">
            <v/>
          </cell>
        </row>
        <row r="3700">
          <cell r="A3700">
            <v>34000000</v>
          </cell>
          <cell r="C3700">
            <v>34000000</v>
          </cell>
          <cell r="D3700">
            <v>34000000</v>
          </cell>
          <cell r="E3700">
            <v>34000000</v>
          </cell>
          <cell r="F3700">
            <v>34000000</v>
          </cell>
          <cell r="G3700">
            <v>34000000</v>
          </cell>
          <cell r="H3700">
            <v>34000000</v>
          </cell>
          <cell r="I3700" t="str">
            <v/>
          </cell>
          <cell r="J3700" t="str">
            <v/>
          </cell>
          <cell r="K3700" t="str">
            <v/>
          </cell>
          <cell r="L3700" t="str">
            <v/>
          </cell>
        </row>
        <row r="3701">
          <cell r="A3701">
            <v>34000000</v>
          </cell>
          <cell r="C3701">
            <v>34000000</v>
          </cell>
          <cell r="D3701">
            <v>34000000</v>
          </cell>
          <cell r="E3701">
            <v>34000000</v>
          </cell>
          <cell r="F3701">
            <v>34000000</v>
          </cell>
          <cell r="G3701">
            <v>34000000</v>
          </cell>
          <cell r="H3701">
            <v>34000000</v>
          </cell>
          <cell r="I3701" t="str">
            <v/>
          </cell>
          <cell r="J3701" t="str">
            <v/>
          </cell>
          <cell r="K3701" t="str">
            <v/>
          </cell>
          <cell r="L3701" t="str">
            <v/>
          </cell>
        </row>
        <row r="3702">
          <cell r="A3702">
            <v>34000000</v>
          </cell>
          <cell r="C3702">
            <v>34000000</v>
          </cell>
          <cell r="D3702">
            <v>34000000</v>
          </cell>
          <cell r="E3702">
            <v>34000000</v>
          </cell>
          <cell r="F3702">
            <v>34000000</v>
          </cell>
          <cell r="G3702">
            <v>34000000</v>
          </cell>
          <cell r="H3702">
            <v>34000000</v>
          </cell>
          <cell r="I3702" t="str">
            <v/>
          </cell>
          <cell r="J3702" t="str">
            <v/>
          </cell>
          <cell r="K3702" t="str">
            <v/>
          </cell>
          <cell r="L3702" t="str">
            <v/>
          </cell>
        </row>
        <row r="3703">
          <cell r="A3703">
            <v>34000000</v>
          </cell>
          <cell r="C3703">
            <v>34000000</v>
          </cell>
          <cell r="D3703">
            <v>34000000</v>
          </cell>
          <cell r="E3703">
            <v>34000000</v>
          </cell>
          <cell r="F3703">
            <v>34000000</v>
          </cell>
          <cell r="G3703">
            <v>34000000</v>
          </cell>
          <cell r="H3703">
            <v>34000000</v>
          </cell>
          <cell r="I3703" t="str">
            <v/>
          </cell>
          <cell r="J3703" t="str">
            <v/>
          </cell>
          <cell r="K3703" t="str">
            <v/>
          </cell>
          <cell r="L3703" t="str">
            <v/>
          </cell>
        </row>
        <row r="3704">
          <cell r="A3704">
            <v>34000000</v>
          </cell>
          <cell r="C3704">
            <v>34000000</v>
          </cell>
          <cell r="D3704">
            <v>34000000</v>
          </cell>
          <cell r="E3704">
            <v>34000000</v>
          </cell>
          <cell r="F3704">
            <v>34000000</v>
          </cell>
          <cell r="G3704">
            <v>34000000</v>
          </cell>
          <cell r="H3704">
            <v>34000000</v>
          </cell>
          <cell r="I3704" t="str">
            <v/>
          </cell>
          <cell r="J3704" t="str">
            <v/>
          </cell>
          <cell r="K3704" t="str">
            <v/>
          </cell>
          <cell r="L3704" t="str">
            <v/>
          </cell>
        </row>
        <row r="3705">
          <cell r="A3705">
            <v>34000000</v>
          </cell>
          <cell r="C3705">
            <v>34000000</v>
          </cell>
          <cell r="D3705">
            <v>34000000</v>
          </cell>
          <cell r="E3705">
            <v>34000000</v>
          </cell>
          <cell r="F3705">
            <v>34000000</v>
          </cell>
          <cell r="G3705">
            <v>34000000</v>
          </cell>
          <cell r="H3705">
            <v>34000000</v>
          </cell>
          <cell r="I3705" t="str">
            <v/>
          </cell>
          <cell r="J3705" t="str">
            <v/>
          </cell>
          <cell r="K3705" t="str">
            <v/>
          </cell>
          <cell r="L3705" t="str">
            <v/>
          </cell>
        </row>
        <row r="3706">
          <cell r="A3706">
            <v>34000000</v>
          </cell>
          <cell r="C3706">
            <v>34000000</v>
          </cell>
          <cell r="D3706">
            <v>34000000</v>
          </cell>
          <cell r="E3706">
            <v>34000000</v>
          </cell>
          <cell r="F3706">
            <v>34000000</v>
          </cell>
          <cell r="G3706">
            <v>34000000</v>
          </cell>
          <cell r="H3706">
            <v>34000000</v>
          </cell>
          <cell r="I3706" t="str">
            <v/>
          </cell>
          <cell r="J3706" t="str">
            <v/>
          </cell>
          <cell r="K3706" t="str">
            <v/>
          </cell>
          <cell r="L3706" t="str">
            <v/>
          </cell>
        </row>
        <row r="3707">
          <cell r="A3707">
            <v>34000000</v>
          </cell>
          <cell r="C3707">
            <v>34000000</v>
          </cell>
          <cell r="D3707">
            <v>34000000</v>
          </cell>
          <cell r="E3707">
            <v>34000000</v>
          </cell>
          <cell r="F3707">
            <v>34000000</v>
          </cell>
          <cell r="G3707">
            <v>34000000</v>
          </cell>
          <cell r="H3707">
            <v>34000000</v>
          </cell>
          <cell r="I3707" t="str">
            <v/>
          </cell>
          <cell r="J3707" t="str">
            <v/>
          </cell>
          <cell r="K3707" t="str">
            <v/>
          </cell>
          <cell r="L3707" t="str">
            <v/>
          </cell>
        </row>
        <row r="3708">
          <cell r="A3708">
            <v>34000000</v>
          </cell>
          <cell r="C3708">
            <v>34000000</v>
          </cell>
          <cell r="D3708">
            <v>34000000</v>
          </cell>
          <cell r="E3708">
            <v>34000000</v>
          </cell>
          <cell r="F3708">
            <v>34000000</v>
          </cell>
          <cell r="G3708">
            <v>34000000</v>
          </cell>
          <cell r="H3708">
            <v>34000000</v>
          </cell>
          <cell r="I3708" t="str">
            <v/>
          </cell>
          <cell r="J3708" t="str">
            <v/>
          </cell>
          <cell r="K3708" t="str">
            <v/>
          </cell>
          <cell r="L3708" t="str">
            <v/>
          </cell>
        </row>
        <row r="3709">
          <cell r="A3709">
            <v>34000000</v>
          </cell>
          <cell r="C3709">
            <v>34000000</v>
          </cell>
          <cell r="D3709">
            <v>34000000</v>
          </cell>
          <cell r="E3709">
            <v>34000000</v>
          </cell>
          <cell r="F3709">
            <v>34000000</v>
          </cell>
          <cell r="G3709">
            <v>34000000</v>
          </cell>
          <cell r="H3709">
            <v>34000000</v>
          </cell>
          <cell r="I3709" t="str">
            <v/>
          </cell>
          <cell r="J3709" t="str">
            <v/>
          </cell>
          <cell r="K3709" t="str">
            <v/>
          </cell>
          <cell r="L3709" t="str">
            <v/>
          </cell>
        </row>
        <row r="3710">
          <cell r="A3710">
            <v>34000000</v>
          </cell>
          <cell r="C3710">
            <v>34000000</v>
          </cell>
          <cell r="D3710">
            <v>34000000</v>
          </cell>
          <cell r="E3710">
            <v>34000000</v>
          </cell>
          <cell r="F3710">
            <v>34000000</v>
          </cell>
          <cell r="G3710">
            <v>34000000</v>
          </cell>
          <cell r="H3710">
            <v>34000000</v>
          </cell>
          <cell r="I3710" t="str">
            <v/>
          </cell>
          <cell r="J3710" t="str">
            <v/>
          </cell>
          <cell r="K3710" t="str">
            <v/>
          </cell>
          <cell r="L3710" t="str">
            <v/>
          </cell>
        </row>
        <row r="3711">
          <cell r="A3711">
            <v>34000000</v>
          </cell>
          <cell r="C3711">
            <v>34000000</v>
          </cell>
          <cell r="D3711">
            <v>34000000</v>
          </cell>
          <cell r="E3711">
            <v>34000000</v>
          </cell>
          <cell r="F3711">
            <v>34000000</v>
          </cell>
          <cell r="G3711">
            <v>34000000</v>
          </cell>
          <cell r="H3711">
            <v>34000000</v>
          </cell>
          <cell r="I3711" t="str">
            <v/>
          </cell>
          <cell r="J3711" t="str">
            <v/>
          </cell>
          <cell r="K3711" t="str">
            <v/>
          </cell>
          <cell r="L3711" t="str">
            <v/>
          </cell>
        </row>
        <row r="3712">
          <cell r="A3712">
            <v>34000000</v>
          </cell>
          <cell r="C3712">
            <v>34000000</v>
          </cell>
          <cell r="D3712">
            <v>34000000</v>
          </cell>
          <cell r="E3712">
            <v>34000000</v>
          </cell>
          <cell r="F3712">
            <v>34000000</v>
          </cell>
          <cell r="G3712">
            <v>34000000</v>
          </cell>
          <cell r="H3712">
            <v>34000000</v>
          </cell>
          <cell r="I3712" t="str">
            <v/>
          </cell>
          <cell r="J3712" t="str">
            <v/>
          </cell>
          <cell r="K3712" t="str">
            <v/>
          </cell>
          <cell r="L3712" t="str">
            <v/>
          </cell>
        </row>
        <row r="3713">
          <cell r="A3713">
            <v>34000000</v>
          </cell>
          <cell r="C3713">
            <v>34000000</v>
          </cell>
          <cell r="D3713">
            <v>34000000</v>
          </cell>
          <cell r="E3713">
            <v>34000000</v>
          </cell>
          <cell r="F3713">
            <v>34000000</v>
          </cell>
          <cell r="G3713">
            <v>34000000</v>
          </cell>
          <cell r="H3713">
            <v>34000000</v>
          </cell>
          <cell r="I3713" t="str">
            <v/>
          </cell>
          <cell r="J3713" t="str">
            <v/>
          </cell>
          <cell r="K3713" t="str">
            <v/>
          </cell>
          <cell r="L3713" t="str">
            <v/>
          </cell>
        </row>
        <row r="3714">
          <cell r="A3714">
            <v>34000000</v>
          </cell>
          <cell r="C3714">
            <v>34000000</v>
          </cell>
          <cell r="D3714">
            <v>34000000</v>
          </cell>
          <cell r="E3714">
            <v>34000000</v>
          </cell>
          <cell r="F3714">
            <v>34000000</v>
          </cell>
          <cell r="G3714">
            <v>34000000</v>
          </cell>
          <cell r="H3714">
            <v>34000000</v>
          </cell>
          <cell r="I3714" t="str">
            <v/>
          </cell>
          <cell r="J3714" t="str">
            <v/>
          </cell>
          <cell r="K3714" t="str">
            <v/>
          </cell>
          <cell r="L3714" t="str">
            <v/>
          </cell>
        </row>
        <row r="3715">
          <cell r="A3715">
            <v>34000000</v>
          </cell>
          <cell r="C3715">
            <v>34000000</v>
          </cell>
          <cell r="D3715">
            <v>34000000</v>
          </cell>
          <cell r="E3715">
            <v>34000000</v>
          </cell>
          <cell r="F3715">
            <v>34000000</v>
          </cell>
          <cell r="G3715">
            <v>34000000</v>
          </cell>
          <cell r="H3715">
            <v>34000000</v>
          </cell>
          <cell r="I3715" t="str">
            <v/>
          </cell>
          <cell r="J3715" t="str">
            <v/>
          </cell>
          <cell r="K3715" t="str">
            <v/>
          </cell>
          <cell r="L3715" t="str">
            <v/>
          </cell>
        </row>
        <row r="3716">
          <cell r="A3716">
            <v>34000000</v>
          </cell>
          <cell r="C3716">
            <v>34000000</v>
          </cell>
          <cell r="D3716">
            <v>34000000</v>
          </cell>
          <cell r="E3716">
            <v>34000000</v>
          </cell>
          <cell r="F3716">
            <v>34000000</v>
          </cell>
          <cell r="G3716">
            <v>34000000</v>
          </cell>
          <cell r="H3716">
            <v>34000000</v>
          </cell>
          <cell r="I3716" t="str">
            <v/>
          </cell>
          <cell r="J3716" t="str">
            <v/>
          </cell>
          <cell r="K3716" t="str">
            <v/>
          </cell>
          <cell r="L3716" t="str">
            <v/>
          </cell>
        </row>
        <row r="3717">
          <cell r="A3717">
            <v>34000000</v>
          </cell>
          <cell r="C3717">
            <v>34000000</v>
          </cell>
          <cell r="D3717">
            <v>34000000</v>
          </cell>
          <cell r="E3717">
            <v>34000000</v>
          </cell>
          <cell r="F3717">
            <v>34000000</v>
          </cell>
          <cell r="G3717">
            <v>34000000</v>
          </cell>
          <cell r="H3717">
            <v>34000000</v>
          </cell>
          <cell r="I3717" t="str">
            <v/>
          </cell>
          <cell r="J3717" t="str">
            <v/>
          </cell>
          <cell r="K3717" t="str">
            <v/>
          </cell>
          <cell r="L3717" t="str">
            <v/>
          </cell>
        </row>
        <row r="3718">
          <cell r="A3718">
            <v>34000000</v>
          </cell>
          <cell r="C3718">
            <v>34000000</v>
          </cell>
          <cell r="D3718">
            <v>34000000</v>
          </cell>
          <cell r="E3718">
            <v>34000000</v>
          </cell>
          <cell r="F3718">
            <v>34000000</v>
          </cell>
          <cell r="G3718">
            <v>34000000</v>
          </cell>
          <cell r="H3718">
            <v>34000000</v>
          </cell>
          <cell r="I3718" t="str">
            <v/>
          </cell>
          <cell r="J3718" t="str">
            <v/>
          </cell>
          <cell r="K3718" t="str">
            <v/>
          </cell>
          <cell r="L3718" t="str">
            <v/>
          </cell>
        </row>
        <row r="3719">
          <cell r="A3719">
            <v>34000000</v>
          </cell>
          <cell r="C3719">
            <v>34000000</v>
          </cell>
          <cell r="D3719">
            <v>34000000</v>
          </cell>
          <cell r="E3719">
            <v>34000000</v>
          </cell>
          <cell r="F3719">
            <v>34000000</v>
          </cell>
          <cell r="G3719">
            <v>34000000</v>
          </cell>
          <cell r="H3719">
            <v>34000000</v>
          </cell>
          <cell r="I3719" t="str">
            <v/>
          </cell>
          <cell r="J3719" t="str">
            <v/>
          </cell>
          <cell r="K3719" t="str">
            <v/>
          </cell>
          <cell r="L3719" t="str">
            <v/>
          </cell>
        </row>
        <row r="3720">
          <cell r="A3720">
            <v>34000000</v>
          </cell>
          <cell r="C3720">
            <v>34000000</v>
          </cell>
          <cell r="D3720">
            <v>34000000</v>
          </cell>
          <cell r="E3720">
            <v>34000000</v>
          </cell>
          <cell r="F3720">
            <v>34000000</v>
          </cell>
          <cell r="G3720">
            <v>34000000</v>
          </cell>
          <cell r="H3720">
            <v>34000000</v>
          </cell>
          <cell r="I3720" t="str">
            <v/>
          </cell>
          <cell r="J3720" t="str">
            <v/>
          </cell>
          <cell r="K3720" t="str">
            <v/>
          </cell>
          <cell r="L3720" t="str">
            <v/>
          </cell>
        </row>
        <row r="3721">
          <cell r="A3721">
            <v>34000000</v>
          </cell>
          <cell r="C3721">
            <v>34000000</v>
          </cell>
          <cell r="D3721">
            <v>34000000</v>
          </cell>
          <cell r="E3721">
            <v>34000000</v>
          </cell>
          <cell r="F3721">
            <v>34000000</v>
          </cell>
          <cell r="G3721">
            <v>34000000</v>
          </cell>
          <cell r="H3721">
            <v>34000000</v>
          </cell>
          <cell r="I3721" t="str">
            <v/>
          </cell>
          <cell r="J3721" t="str">
            <v/>
          </cell>
          <cell r="K3721" t="str">
            <v/>
          </cell>
          <cell r="L3721" t="str">
            <v/>
          </cell>
        </row>
        <row r="3722">
          <cell r="A3722">
            <v>34000000</v>
          </cell>
          <cell r="C3722">
            <v>34000000</v>
          </cell>
          <cell r="D3722">
            <v>34000000</v>
          </cell>
          <cell r="E3722">
            <v>34000000</v>
          </cell>
          <cell r="F3722">
            <v>34000000</v>
          </cell>
          <cell r="G3722">
            <v>34000000</v>
          </cell>
          <cell r="H3722">
            <v>34000000</v>
          </cell>
          <cell r="I3722" t="str">
            <v/>
          </cell>
          <cell r="J3722" t="str">
            <v/>
          </cell>
          <cell r="K3722" t="str">
            <v/>
          </cell>
          <cell r="L3722" t="str">
            <v/>
          </cell>
        </row>
        <row r="3723">
          <cell r="A3723">
            <v>34000000</v>
          </cell>
          <cell r="C3723">
            <v>34000000</v>
          </cell>
          <cell r="D3723">
            <v>34000000</v>
          </cell>
          <cell r="E3723">
            <v>34000000</v>
          </cell>
          <cell r="F3723">
            <v>34000000</v>
          </cell>
          <cell r="G3723">
            <v>34000000</v>
          </cell>
          <cell r="H3723">
            <v>34000000</v>
          </cell>
          <cell r="I3723" t="str">
            <v/>
          </cell>
          <cell r="J3723" t="str">
            <v/>
          </cell>
          <cell r="K3723" t="str">
            <v/>
          </cell>
          <cell r="L3723" t="str">
            <v/>
          </cell>
        </row>
        <row r="3724">
          <cell r="A3724">
            <v>34000000</v>
          </cell>
          <cell r="C3724">
            <v>34000000</v>
          </cell>
          <cell r="D3724">
            <v>34000000</v>
          </cell>
          <cell r="E3724">
            <v>34000000</v>
          </cell>
          <cell r="F3724">
            <v>34000000</v>
          </cell>
          <cell r="G3724">
            <v>34000000</v>
          </cell>
          <cell r="H3724">
            <v>34000000</v>
          </cell>
          <cell r="I3724" t="str">
            <v/>
          </cell>
          <cell r="J3724" t="str">
            <v/>
          </cell>
          <cell r="K3724" t="str">
            <v/>
          </cell>
          <cell r="L3724" t="str">
            <v/>
          </cell>
        </row>
        <row r="3725">
          <cell r="A3725">
            <v>34000000</v>
          </cell>
          <cell r="C3725">
            <v>34000000</v>
          </cell>
          <cell r="D3725">
            <v>34000000</v>
          </cell>
          <cell r="E3725">
            <v>34000000</v>
          </cell>
          <cell r="F3725">
            <v>34000000</v>
          </cell>
          <cell r="G3725">
            <v>34000000</v>
          </cell>
          <cell r="H3725">
            <v>34000000</v>
          </cell>
          <cell r="I3725" t="str">
            <v/>
          </cell>
          <cell r="J3725" t="str">
            <v/>
          </cell>
          <cell r="K3725" t="str">
            <v/>
          </cell>
          <cell r="L3725" t="str">
            <v/>
          </cell>
        </row>
        <row r="3726">
          <cell r="A3726">
            <v>34000000</v>
          </cell>
          <cell r="C3726">
            <v>34000000</v>
          </cell>
          <cell r="D3726">
            <v>34000000</v>
          </cell>
          <cell r="E3726">
            <v>34000000</v>
          </cell>
          <cell r="F3726">
            <v>34000000</v>
          </cell>
          <cell r="G3726">
            <v>34000000</v>
          </cell>
          <cell r="H3726">
            <v>34000000</v>
          </cell>
          <cell r="I3726" t="str">
            <v/>
          </cell>
          <cell r="J3726" t="str">
            <v/>
          </cell>
          <cell r="K3726" t="str">
            <v/>
          </cell>
          <cell r="L3726" t="str">
            <v/>
          </cell>
        </row>
        <row r="3727">
          <cell r="A3727">
            <v>34000000</v>
          </cell>
          <cell r="C3727">
            <v>34000000</v>
          </cell>
          <cell r="D3727">
            <v>34000000</v>
          </cell>
          <cell r="E3727">
            <v>34000000</v>
          </cell>
          <cell r="F3727">
            <v>34000000</v>
          </cell>
          <cell r="G3727">
            <v>34000000</v>
          </cell>
          <cell r="H3727">
            <v>34000000</v>
          </cell>
          <cell r="I3727" t="str">
            <v/>
          </cell>
          <cell r="J3727" t="str">
            <v/>
          </cell>
          <cell r="K3727" t="str">
            <v/>
          </cell>
          <cell r="L3727" t="str">
            <v/>
          </cell>
        </row>
        <row r="3728">
          <cell r="A3728">
            <v>34000000</v>
          </cell>
          <cell r="C3728">
            <v>34000000</v>
          </cell>
          <cell r="D3728">
            <v>34000000</v>
          </cell>
          <cell r="E3728">
            <v>34000000</v>
          </cell>
          <cell r="F3728">
            <v>34000000</v>
          </cell>
          <cell r="G3728">
            <v>34000000</v>
          </cell>
          <cell r="H3728">
            <v>34000000</v>
          </cell>
          <cell r="I3728" t="str">
            <v/>
          </cell>
          <cell r="J3728" t="str">
            <v/>
          </cell>
          <cell r="K3728" t="str">
            <v/>
          </cell>
          <cell r="L3728" t="str">
            <v/>
          </cell>
        </row>
        <row r="3729">
          <cell r="A3729">
            <v>34000000</v>
          </cell>
          <cell r="C3729">
            <v>34000000</v>
          </cell>
          <cell r="D3729">
            <v>34000000</v>
          </cell>
          <cell r="E3729">
            <v>34000000</v>
          </cell>
          <cell r="F3729">
            <v>34000000</v>
          </cell>
          <cell r="G3729">
            <v>34000000</v>
          </cell>
          <cell r="H3729">
            <v>34000000</v>
          </cell>
          <cell r="I3729" t="str">
            <v/>
          </cell>
          <cell r="J3729" t="str">
            <v/>
          </cell>
          <cell r="K3729" t="str">
            <v/>
          </cell>
          <cell r="L3729" t="str">
            <v/>
          </cell>
        </row>
        <row r="3730">
          <cell r="A3730">
            <v>34000000</v>
          </cell>
          <cell r="C3730">
            <v>34000000</v>
          </cell>
          <cell r="D3730">
            <v>34000000</v>
          </cell>
          <cell r="E3730">
            <v>34000000</v>
          </cell>
          <cell r="F3730">
            <v>34000000</v>
          </cell>
          <cell r="G3730">
            <v>34000000</v>
          </cell>
          <cell r="H3730">
            <v>34000000</v>
          </cell>
          <cell r="I3730" t="str">
            <v/>
          </cell>
          <cell r="J3730" t="str">
            <v/>
          </cell>
          <cell r="K3730" t="str">
            <v/>
          </cell>
          <cell r="L3730" t="str">
            <v/>
          </cell>
        </row>
        <row r="3731">
          <cell r="A3731">
            <v>34000000</v>
          </cell>
          <cell r="C3731">
            <v>34000000</v>
          </cell>
          <cell r="D3731">
            <v>34000000</v>
          </cell>
          <cell r="E3731">
            <v>34000000</v>
          </cell>
          <cell r="F3731">
            <v>34000000</v>
          </cell>
          <cell r="G3731">
            <v>34000000</v>
          </cell>
          <cell r="H3731">
            <v>34000000</v>
          </cell>
          <cell r="I3731" t="str">
            <v/>
          </cell>
          <cell r="J3731" t="str">
            <v/>
          </cell>
          <cell r="K3731" t="str">
            <v/>
          </cell>
          <cell r="L3731" t="str">
            <v/>
          </cell>
        </row>
        <row r="3732">
          <cell r="A3732">
            <v>34000000</v>
          </cell>
          <cell r="C3732">
            <v>34000000</v>
          </cell>
          <cell r="D3732">
            <v>34000000</v>
          </cell>
          <cell r="E3732">
            <v>34000000</v>
          </cell>
          <cell r="F3732">
            <v>34000000</v>
          </cell>
          <cell r="G3732">
            <v>34000000</v>
          </cell>
          <cell r="H3732">
            <v>34000000</v>
          </cell>
          <cell r="I3732" t="str">
            <v/>
          </cell>
          <cell r="J3732" t="str">
            <v/>
          </cell>
          <cell r="K3732" t="str">
            <v/>
          </cell>
          <cell r="L3732" t="str">
            <v/>
          </cell>
        </row>
        <row r="3733">
          <cell r="A3733">
            <v>34000000</v>
          </cell>
          <cell r="C3733">
            <v>34000000</v>
          </cell>
          <cell r="D3733">
            <v>34000000</v>
          </cell>
          <cell r="E3733">
            <v>34000000</v>
          </cell>
          <cell r="F3733">
            <v>34000000</v>
          </cell>
          <cell r="G3733">
            <v>34000000</v>
          </cell>
          <cell r="H3733">
            <v>34000000</v>
          </cell>
          <cell r="I3733" t="str">
            <v/>
          </cell>
          <cell r="J3733" t="str">
            <v/>
          </cell>
          <cell r="K3733" t="str">
            <v/>
          </cell>
          <cell r="L3733" t="str">
            <v/>
          </cell>
        </row>
        <row r="3734">
          <cell r="A3734">
            <v>34000000</v>
          </cell>
          <cell r="C3734">
            <v>34000000</v>
          </cell>
          <cell r="D3734">
            <v>34000000</v>
          </cell>
          <cell r="E3734">
            <v>34000000</v>
          </cell>
          <cell r="F3734">
            <v>34000000</v>
          </cell>
          <cell r="G3734">
            <v>34000000</v>
          </cell>
          <cell r="H3734">
            <v>34000000</v>
          </cell>
          <cell r="I3734" t="str">
            <v/>
          </cell>
          <cell r="J3734" t="str">
            <v/>
          </cell>
          <cell r="K3734" t="str">
            <v/>
          </cell>
          <cell r="L3734" t="str">
            <v/>
          </cell>
        </row>
        <row r="3735">
          <cell r="A3735">
            <v>34000000</v>
          </cell>
          <cell r="C3735">
            <v>34000000</v>
          </cell>
          <cell r="D3735">
            <v>34000000</v>
          </cell>
          <cell r="E3735">
            <v>34000000</v>
          </cell>
          <cell r="F3735">
            <v>34000000</v>
          </cell>
          <cell r="G3735">
            <v>34000000</v>
          </cell>
          <cell r="H3735">
            <v>34000000</v>
          </cell>
          <cell r="I3735" t="str">
            <v/>
          </cell>
          <cell r="J3735" t="str">
            <v/>
          </cell>
          <cell r="K3735" t="str">
            <v/>
          </cell>
          <cell r="L3735" t="str">
            <v/>
          </cell>
        </row>
        <row r="3736">
          <cell r="A3736">
            <v>34000000</v>
          </cell>
          <cell r="C3736">
            <v>34000000</v>
          </cell>
          <cell r="D3736">
            <v>34000000</v>
          </cell>
          <cell r="E3736">
            <v>34000000</v>
          </cell>
          <cell r="F3736">
            <v>34000000</v>
          </cell>
          <cell r="G3736">
            <v>34000000</v>
          </cell>
          <cell r="H3736">
            <v>34000000</v>
          </cell>
          <cell r="I3736" t="str">
            <v/>
          </cell>
          <cell r="J3736" t="str">
            <v/>
          </cell>
          <cell r="K3736" t="str">
            <v/>
          </cell>
          <cell r="L3736" t="str">
            <v/>
          </cell>
        </row>
        <row r="3737">
          <cell r="A3737">
            <v>34000000</v>
          </cell>
          <cell r="C3737">
            <v>34000000</v>
          </cell>
          <cell r="D3737">
            <v>34000000</v>
          </cell>
          <cell r="E3737">
            <v>34000000</v>
          </cell>
          <cell r="F3737">
            <v>34000000</v>
          </cell>
          <cell r="G3737">
            <v>34000000</v>
          </cell>
          <cell r="H3737">
            <v>34000000</v>
          </cell>
          <cell r="I3737" t="str">
            <v/>
          </cell>
          <cell r="J3737" t="str">
            <v/>
          </cell>
          <cell r="K3737" t="str">
            <v/>
          </cell>
          <cell r="L3737" t="str">
            <v/>
          </cell>
        </row>
        <row r="3738">
          <cell r="A3738">
            <v>34000000</v>
          </cell>
          <cell r="C3738">
            <v>34000000</v>
          </cell>
          <cell r="D3738">
            <v>34000000</v>
          </cell>
          <cell r="E3738">
            <v>34000000</v>
          </cell>
          <cell r="F3738">
            <v>34000000</v>
          </cell>
          <cell r="G3738">
            <v>34000000</v>
          </cell>
          <cell r="H3738">
            <v>34000000</v>
          </cell>
          <cell r="I3738" t="str">
            <v/>
          </cell>
          <cell r="J3738" t="str">
            <v/>
          </cell>
          <cell r="K3738" t="str">
            <v/>
          </cell>
          <cell r="L3738" t="str">
            <v/>
          </cell>
        </row>
        <row r="3739">
          <cell r="A3739">
            <v>34000000</v>
          </cell>
          <cell r="C3739">
            <v>34000000</v>
          </cell>
          <cell r="D3739">
            <v>34000000</v>
          </cell>
          <cell r="E3739">
            <v>34000000</v>
          </cell>
          <cell r="F3739">
            <v>34000000</v>
          </cell>
          <cell r="G3739">
            <v>34000000</v>
          </cell>
          <cell r="H3739">
            <v>34000000</v>
          </cell>
          <cell r="I3739" t="str">
            <v/>
          </cell>
          <cell r="J3739" t="str">
            <v/>
          </cell>
          <cell r="K3739" t="str">
            <v/>
          </cell>
          <cell r="L3739" t="str">
            <v/>
          </cell>
        </row>
        <row r="3740">
          <cell r="A3740">
            <v>34000000</v>
          </cell>
          <cell r="C3740">
            <v>34000000</v>
          </cell>
          <cell r="D3740">
            <v>34000000</v>
          </cell>
          <cell r="E3740">
            <v>34000000</v>
          </cell>
          <cell r="F3740">
            <v>34000000</v>
          </cell>
          <cell r="G3740">
            <v>34000000</v>
          </cell>
          <cell r="H3740">
            <v>34000000</v>
          </cell>
          <cell r="I3740" t="str">
            <v/>
          </cell>
          <cell r="J3740" t="str">
            <v/>
          </cell>
          <cell r="K3740" t="str">
            <v/>
          </cell>
          <cell r="L3740" t="str">
            <v/>
          </cell>
        </row>
        <row r="3741">
          <cell r="A3741">
            <v>34000000</v>
          </cell>
          <cell r="C3741">
            <v>34000000</v>
          </cell>
          <cell r="D3741">
            <v>34000000</v>
          </cell>
          <cell r="E3741">
            <v>34000000</v>
          </cell>
          <cell r="F3741">
            <v>34000000</v>
          </cell>
          <cell r="G3741">
            <v>34000000</v>
          </cell>
          <cell r="H3741">
            <v>34000000</v>
          </cell>
          <cell r="I3741" t="str">
            <v/>
          </cell>
          <cell r="J3741" t="str">
            <v/>
          </cell>
          <cell r="K3741" t="str">
            <v/>
          </cell>
          <cell r="L3741" t="str">
            <v/>
          </cell>
        </row>
        <row r="3742">
          <cell r="A3742">
            <v>34000000</v>
          </cell>
          <cell r="C3742">
            <v>34000000</v>
          </cell>
          <cell r="D3742">
            <v>34000000</v>
          </cell>
          <cell r="E3742">
            <v>34000000</v>
          </cell>
          <cell r="F3742">
            <v>34000000</v>
          </cell>
          <cell r="G3742">
            <v>34000000</v>
          </cell>
          <cell r="H3742">
            <v>34000000</v>
          </cell>
          <cell r="I3742" t="str">
            <v/>
          </cell>
          <cell r="J3742" t="str">
            <v/>
          </cell>
          <cell r="K3742" t="str">
            <v/>
          </cell>
          <cell r="L3742" t="str">
            <v/>
          </cell>
        </row>
        <row r="3743">
          <cell r="A3743">
            <v>34000000</v>
          </cell>
          <cell r="C3743">
            <v>34000000</v>
          </cell>
          <cell r="D3743">
            <v>34000000</v>
          </cell>
          <cell r="E3743">
            <v>34000000</v>
          </cell>
          <cell r="F3743">
            <v>34000000</v>
          </cell>
          <cell r="G3743">
            <v>34000000</v>
          </cell>
          <cell r="H3743">
            <v>34000000</v>
          </cell>
          <cell r="I3743" t="str">
            <v/>
          </cell>
          <cell r="J3743" t="str">
            <v/>
          </cell>
          <cell r="K3743" t="str">
            <v/>
          </cell>
          <cell r="L3743" t="str">
            <v/>
          </cell>
        </row>
        <row r="3744">
          <cell r="A3744">
            <v>34000000</v>
          </cell>
          <cell r="C3744">
            <v>34000000</v>
          </cell>
          <cell r="D3744">
            <v>34000000</v>
          </cell>
          <cell r="E3744">
            <v>34000000</v>
          </cell>
          <cell r="F3744">
            <v>34000000</v>
          </cell>
          <cell r="G3744">
            <v>34000000</v>
          </cell>
          <cell r="H3744">
            <v>34000000</v>
          </cell>
          <cell r="I3744" t="str">
            <v/>
          </cell>
          <cell r="J3744" t="str">
            <v/>
          </cell>
          <cell r="K3744" t="str">
            <v/>
          </cell>
          <cell r="L3744" t="str">
            <v/>
          </cell>
        </row>
        <row r="3745">
          <cell r="A3745">
            <v>34000000</v>
          </cell>
          <cell r="C3745">
            <v>34000000</v>
          </cell>
          <cell r="D3745">
            <v>34000000</v>
          </cell>
          <cell r="E3745">
            <v>34000000</v>
          </cell>
          <cell r="F3745">
            <v>34000000</v>
          </cell>
          <cell r="G3745">
            <v>34000000</v>
          </cell>
          <cell r="H3745">
            <v>34000000</v>
          </cell>
          <cell r="I3745" t="str">
            <v/>
          </cell>
          <cell r="J3745" t="str">
            <v/>
          </cell>
          <cell r="K3745" t="str">
            <v/>
          </cell>
          <cell r="L3745" t="str">
            <v/>
          </cell>
        </row>
        <row r="3746">
          <cell r="A3746">
            <v>34000000</v>
          </cell>
          <cell r="C3746">
            <v>34000000</v>
          </cell>
          <cell r="D3746">
            <v>34000000</v>
          </cell>
          <cell r="E3746">
            <v>34000000</v>
          </cell>
          <cell r="F3746">
            <v>34000000</v>
          </cell>
          <cell r="G3746">
            <v>34000000</v>
          </cell>
          <cell r="H3746">
            <v>34000000</v>
          </cell>
          <cell r="I3746" t="str">
            <v/>
          </cell>
          <cell r="J3746" t="str">
            <v/>
          </cell>
          <cell r="K3746" t="str">
            <v/>
          </cell>
          <cell r="L3746" t="str">
            <v/>
          </cell>
        </row>
        <row r="3747">
          <cell r="A3747">
            <v>34000000</v>
          </cell>
          <cell r="C3747">
            <v>34000000</v>
          </cell>
          <cell r="D3747">
            <v>34000000</v>
          </cell>
          <cell r="E3747">
            <v>34000000</v>
          </cell>
          <cell r="F3747">
            <v>34000000</v>
          </cell>
          <cell r="G3747">
            <v>34000000</v>
          </cell>
          <cell r="H3747">
            <v>34000000</v>
          </cell>
          <cell r="I3747" t="str">
            <v/>
          </cell>
          <cell r="J3747" t="str">
            <v/>
          </cell>
          <cell r="K3747" t="str">
            <v/>
          </cell>
          <cell r="L3747" t="str">
            <v/>
          </cell>
        </row>
        <row r="3748">
          <cell r="A3748">
            <v>34000000</v>
          </cell>
          <cell r="C3748">
            <v>34000000</v>
          </cell>
          <cell r="D3748">
            <v>34000000</v>
          </cell>
          <cell r="E3748">
            <v>34000000</v>
          </cell>
          <cell r="F3748">
            <v>34000000</v>
          </cell>
          <cell r="G3748">
            <v>34000000</v>
          </cell>
          <cell r="H3748">
            <v>34000000</v>
          </cell>
          <cell r="I3748" t="str">
            <v/>
          </cell>
          <cell r="J3748" t="str">
            <v/>
          </cell>
          <cell r="K3748" t="str">
            <v/>
          </cell>
          <cell r="L3748" t="str">
            <v/>
          </cell>
        </row>
        <row r="3749">
          <cell r="A3749">
            <v>34000000</v>
          </cell>
          <cell r="C3749">
            <v>34000000</v>
          </cell>
          <cell r="D3749">
            <v>34000000</v>
          </cell>
          <cell r="E3749">
            <v>34000000</v>
          </cell>
          <cell r="F3749">
            <v>34000000</v>
          </cell>
          <cell r="G3749">
            <v>34000000</v>
          </cell>
          <cell r="H3749">
            <v>34000000</v>
          </cell>
          <cell r="I3749" t="str">
            <v/>
          </cell>
          <cell r="J3749" t="str">
            <v/>
          </cell>
          <cell r="K3749" t="str">
            <v/>
          </cell>
          <cell r="L3749" t="str">
            <v/>
          </cell>
        </row>
        <row r="3750">
          <cell r="A3750">
            <v>34000000</v>
          </cell>
          <cell r="C3750">
            <v>34000000</v>
          </cell>
          <cell r="D3750">
            <v>34000000</v>
          </cell>
          <cell r="E3750">
            <v>34000000</v>
          </cell>
          <cell r="F3750">
            <v>34000000</v>
          </cell>
          <cell r="G3750">
            <v>34000000</v>
          </cell>
          <cell r="H3750">
            <v>34000000</v>
          </cell>
          <cell r="I3750" t="str">
            <v/>
          </cell>
          <cell r="J3750" t="str">
            <v/>
          </cell>
          <cell r="K3750" t="str">
            <v/>
          </cell>
          <cell r="L3750" t="str">
            <v/>
          </cell>
        </row>
        <row r="3751">
          <cell r="A3751">
            <v>34000000</v>
          </cell>
          <cell r="C3751">
            <v>34000000</v>
          </cell>
          <cell r="D3751">
            <v>34000000</v>
          </cell>
          <cell r="E3751">
            <v>34000000</v>
          </cell>
          <cell r="F3751">
            <v>34000000</v>
          </cell>
          <cell r="G3751">
            <v>34000000</v>
          </cell>
          <cell r="H3751">
            <v>34000000</v>
          </cell>
          <cell r="I3751" t="str">
            <v/>
          </cell>
          <cell r="J3751" t="str">
            <v/>
          </cell>
          <cell r="K3751" t="str">
            <v/>
          </cell>
          <cell r="L3751" t="str">
            <v/>
          </cell>
        </row>
        <row r="3752">
          <cell r="A3752">
            <v>34000000</v>
          </cell>
          <cell r="C3752">
            <v>34000000</v>
          </cell>
          <cell r="D3752">
            <v>34000000</v>
          </cell>
          <cell r="E3752">
            <v>34000000</v>
          </cell>
          <cell r="F3752">
            <v>34000000</v>
          </cell>
          <cell r="G3752">
            <v>34000000</v>
          </cell>
          <cell r="H3752">
            <v>34000000</v>
          </cell>
          <cell r="I3752" t="str">
            <v/>
          </cell>
          <cell r="J3752" t="str">
            <v/>
          </cell>
          <cell r="K3752" t="str">
            <v/>
          </cell>
          <cell r="L3752" t="str">
            <v/>
          </cell>
        </row>
        <row r="3753">
          <cell r="A3753">
            <v>34000000</v>
          </cell>
          <cell r="C3753">
            <v>34000000</v>
          </cell>
          <cell r="D3753">
            <v>34000000</v>
          </cell>
          <cell r="E3753">
            <v>34000000</v>
          </cell>
          <cell r="F3753">
            <v>34000000</v>
          </cell>
          <cell r="G3753">
            <v>34000000</v>
          </cell>
          <cell r="H3753">
            <v>34000000</v>
          </cell>
          <cell r="I3753" t="str">
            <v/>
          </cell>
          <cell r="J3753" t="str">
            <v/>
          </cell>
          <cell r="K3753" t="str">
            <v/>
          </cell>
          <cell r="L3753" t="str">
            <v/>
          </cell>
        </row>
        <row r="3754">
          <cell r="A3754">
            <v>34000000</v>
          </cell>
          <cell r="C3754">
            <v>34000000</v>
          </cell>
          <cell r="D3754">
            <v>34000000</v>
          </cell>
          <cell r="E3754">
            <v>34000000</v>
          </cell>
          <cell r="F3754">
            <v>34000000</v>
          </cell>
          <cell r="G3754">
            <v>34000000</v>
          </cell>
          <cell r="H3754">
            <v>34000000</v>
          </cell>
          <cell r="I3754" t="str">
            <v/>
          </cell>
          <cell r="J3754" t="str">
            <v/>
          </cell>
          <cell r="K3754" t="str">
            <v/>
          </cell>
          <cell r="L3754" t="str">
            <v/>
          </cell>
        </row>
        <row r="3755">
          <cell r="A3755">
            <v>34000000</v>
          </cell>
          <cell r="C3755">
            <v>34000000</v>
          </cell>
          <cell r="D3755">
            <v>34000000</v>
          </cell>
          <cell r="E3755">
            <v>34000000</v>
          </cell>
          <cell r="F3755">
            <v>34000000</v>
          </cell>
          <cell r="G3755">
            <v>34000000</v>
          </cell>
          <cell r="H3755">
            <v>34000000</v>
          </cell>
          <cell r="I3755" t="str">
            <v/>
          </cell>
          <cell r="J3755" t="str">
            <v/>
          </cell>
          <cell r="K3755" t="str">
            <v/>
          </cell>
          <cell r="L3755" t="str">
            <v/>
          </cell>
        </row>
        <row r="3756">
          <cell r="A3756">
            <v>34000000</v>
          </cell>
          <cell r="C3756">
            <v>34000000</v>
          </cell>
          <cell r="D3756">
            <v>34000000</v>
          </cell>
          <cell r="E3756">
            <v>34000000</v>
          </cell>
          <cell r="F3756">
            <v>34000000</v>
          </cell>
          <cell r="G3756">
            <v>34000000</v>
          </cell>
          <cell r="H3756">
            <v>34000000</v>
          </cell>
          <cell r="I3756" t="str">
            <v/>
          </cell>
          <cell r="J3756" t="str">
            <v/>
          </cell>
          <cell r="K3756" t="str">
            <v/>
          </cell>
          <cell r="L3756" t="str">
            <v/>
          </cell>
        </row>
        <row r="3757">
          <cell r="A3757">
            <v>34000000</v>
          </cell>
          <cell r="C3757">
            <v>34000000</v>
          </cell>
          <cell r="D3757">
            <v>34000000</v>
          </cell>
          <cell r="E3757">
            <v>34000000</v>
          </cell>
          <cell r="F3757">
            <v>34000000</v>
          </cell>
          <cell r="G3757">
            <v>34000000</v>
          </cell>
          <cell r="H3757">
            <v>34000000</v>
          </cell>
          <cell r="I3757" t="str">
            <v/>
          </cell>
          <cell r="J3757" t="str">
            <v/>
          </cell>
          <cell r="K3757" t="str">
            <v/>
          </cell>
          <cell r="L3757" t="str">
            <v/>
          </cell>
        </row>
        <row r="3758">
          <cell r="A3758">
            <v>34000000</v>
          </cell>
          <cell r="C3758">
            <v>34000000</v>
          </cell>
          <cell r="D3758">
            <v>34000000</v>
          </cell>
          <cell r="E3758">
            <v>34000000</v>
          </cell>
          <cell r="F3758">
            <v>34000000</v>
          </cell>
          <cell r="G3758">
            <v>34000000</v>
          </cell>
          <cell r="H3758">
            <v>34000000</v>
          </cell>
          <cell r="I3758" t="str">
            <v/>
          </cell>
          <cell r="J3758" t="str">
            <v/>
          </cell>
          <cell r="K3758" t="str">
            <v/>
          </cell>
          <cell r="L3758" t="str">
            <v/>
          </cell>
        </row>
        <row r="3759">
          <cell r="A3759">
            <v>34000000</v>
          </cell>
          <cell r="C3759">
            <v>34000000</v>
          </cell>
          <cell r="D3759">
            <v>34000000</v>
          </cell>
          <cell r="E3759">
            <v>34000000</v>
          </cell>
          <cell r="F3759">
            <v>34000000</v>
          </cell>
          <cell r="G3759">
            <v>34000000</v>
          </cell>
          <cell r="H3759">
            <v>34000000</v>
          </cell>
          <cell r="I3759" t="str">
            <v/>
          </cell>
          <cell r="J3759" t="str">
            <v/>
          </cell>
          <cell r="K3759" t="str">
            <v/>
          </cell>
          <cell r="L3759" t="str">
            <v/>
          </cell>
        </row>
        <row r="3760">
          <cell r="A3760">
            <v>34000000</v>
          </cell>
          <cell r="C3760">
            <v>34000000</v>
          </cell>
          <cell r="D3760">
            <v>34000000</v>
          </cell>
          <cell r="E3760">
            <v>34000000</v>
          </cell>
          <cell r="F3760">
            <v>34000000</v>
          </cell>
          <cell r="G3760">
            <v>34000000</v>
          </cell>
          <cell r="H3760">
            <v>34000000</v>
          </cell>
          <cell r="I3760" t="str">
            <v/>
          </cell>
          <cell r="J3760" t="str">
            <v/>
          </cell>
          <cell r="K3760" t="str">
            <v/>
          </cell>
          <cell r="L3760" t="str">
            <v/>
          </cell>
        </row>
        <row r="3761">
          <cell r="A3761">
            <v>34000000</v>
          </cell>
          <cell r="C3761">
            <v>34000000</v>
          </cell>
          <cell r="D3761">
            <v>34000000</v>
          </cell>
          <cell r="E3761">
            <v>34000000</v>
          </cell>
          <cell r="F3761">
            <v>34000000</v>
          </cell>
          <cell r="G3761">
            <v>34000000</v>
          </cell>
          <cell r="H3761">
            <v>34000000</v>
          </cell>
          <cell r="I3761" t="str">
            <v/>
          </cell>
          <cell r="J3761" t="str">
            <v/>
          </cell>
          <cell r="K3761" t="str">
            <v/>
          </cell>
          <cell r="L3761" t="str">
            <v/>
          </cell>
        </row>
        <row r="3762">
          <cell r="A3762">
            <v>34000000</v>
          </cell>
          <cell r="C3762">
            <v>34000000</v>
          </cell>
          <cell r="D3762">
            <v>34000000</v>
          </cell>
          <cell r="E3762">
            <v>34000000</v>
          </cell>
          <cell r="F3762">
            <v>34000000</v>
          </cell>
          <cell r="G3762">
            <v>34000000</v>
          </cell>
          <cell r="H3762">
            <v>34000000</v>
          </cell>
          <cell r="I3762" t="str">
            <v/>
          </cell>
          <cell r="J3762" t="str">
            <v/>
          </cell>
          <cell r="K3762" t="str">
            <v/>
          </cell>
          <cell r="L3762" t="str">
            <v/>
          </cell>
        </row>
        <row r="3763">
          <cell r="A3763">
            <v>34000000</v>
          </cell>
          <cell r="C3763">
            <v>34000000</v>
          </cell>
          <cell r="D3763">
            <v>34000000</v>
          </cell>
          <cell r="E3763">
            <v>34000000</v>
          </cell>
          <cell r="F3763">
            <v>34000000</v>
          </cell>
          <cell r="G3763">
            <v>34000000</v>
          </cell>
          <cell r="H3763">
            <v>34000000</v>
          </cell>
          <cell r="I3763" t="str">
            <v/>
          </cell>
          <cell r="J3763" t="str">
            <v/>
          </cell>
          <cell r="K3763" t="str">
            <v/>
          </cell>
          <cell r="L3763" t="str">
            <v/>
          </cell>
        </row>
        <row r="3764">
          <cell r="A3764">
            <v>34000000</v>
          </cell>
          <cell r="C3764">
            <v>34000000</v>
          </cell>
          <cell r="D3764">
            <v>34000000</v>
          </cell>
          <cell r="E3764">
            <v>34000000</v>
          </cell>
          <cell r="F3764">
            <v>34000000</v>
          </cell>
          <cell r="G3764">
            <v>34000000</v>
          </cell>
          <cell r="H3764">
            <v>34000000</v>
          </cell>
          <cell r="I3764" t="str">
            <v/>
          </cell>
          <cell r="J3764" t="str">
            <v/>
          </cell>
          <cell r="K3764" t="str">
            <v/>
          </cell>
          <cell r="L3764" t="str">
            <v/>
          </cell>
        </row>
        <row r="3765">
          <cell r="A3765">
            <v>34000000</v>
          </cell>
          <cell r="C3765">
            <v>34000000</v>
          </cell>
          <cell r="D3765">
            <v>34000000</v>
          </cell>
          <cell r="E3765">
            <v>34000000</v>
          </cell>
          <cell r="F3765">
            <v>34000000</v>
          </cell>
          <cell r="G3765">
            <v>34000000</v>
          </cell>
          <cell r="H3765">
            <v>34000000</v>
          </cell>
          <cell r="I3765" t="str">
            <v/>
          </cell>
          <cell r="J3765" t="str">
            <v/>
          </cell>
          <cell r="K3765" t="str">
            <v/>
          </cell>
          <cell r="L3765" t="str">
            <v/>
          </cell>
        </row>
        <row r="3766">
          <cell r="A3766">
            <v>34000000</v>
          </cell>
          <cell r="C3766">
            <v>34000000</v>
          </cell>
          <cell r="D3766">
            <v>34000000</v>
          </cell>
          <cell r="E3766">
            <v>34000000</v>
          </cell>
          <cell r="F3766">
            <v>34000000</v>
          </cell>
          <cell r="G3766">
            <v>34000000</v>
          </cell>
          <cell r="H3766">
            <v>34000000</v>
          </cell>
          <cell r="I3766" t="str">
            <v/>
          </cell>
          <cell r="J3766" t="str">
            <v/>
          </cell>
          <cell r="K3766" t="str">
            <v/>
          </cell>
          <cell r="L3766" t="str">
            <v/>
          </cell>
        </row>
        <row r="3767">
          <cell r="A3767">
            <v>34000000</v>
          </cell>
          <cell r="C3767">
            <v>34000000</v>
          </cell>
          <cell r="D3767">
            <v>34000000</v>
          </cell>
          <cell r="E3767">
            <v>34000000</v>
          </cell>
          <cell r="F3767">
            <v>34000000</v>
          </cell>
          <cell r="G3767">
            <v>34000000</v>
          </cell>
          <cell r="H3767">
            <v>34000000</v>
          </cell>
          <cell r="I3767" t="str">
            <v/>
          </cell>
          <cell r="J3767" t="str">
            <v/>
          </cell>
          <cell r="K3767" t="str">
            <v/>
          </cell>
          <cell r="L3767" t="str">
            <v/>
          </cell>
        </row>
        <row r="3768">
          <cell r="A3768">
            <v>34000000</v>
          </cell>
          <cell r="C3768">
            <v>34000000</v>
          </cell>
          <cell r="D3768">
            <v>34000000</v>
          </cell>
          <cell r="E3768">
            <v>34000000</v>
          </cell>
          <cell r="F3768">
            <v>34000000</v>
          </cell>
          <cell r="G3768">
            <v>34000000</v>
          </cell>
          <cell r="H3768">
            <v>34000000</v>
          </cell>
          <cell r="I3768" t="str">
            <v/>
          </cell>
          <cell r="J3768" t="str">
            <v/>
          </cell>
          <cell r="K3768" t="str">
            <v/>
          </cell>
          <cell r="L3768" t="str">
            <v/>
          </cell>
        </row>
        <row r="3769">
          <cell r="A3769">
            <v>34000000</v>
          </cell>
          <cell r="C3769">
            <v>34000000</v>
          </cell>
          <cell r="D3769">
            <v>34000000</v>
          </cell>
          <cell r="E3769">
            <v>34000000</v>
          </cell>
          <cell r="F3769">
            <v>34000000</v>
          </cell>
          <cell r="G3769">
            <v>34000000</v>
          </cell>
          <cell r="H3769">
            <v>34000000</v>
          </cell>
          <cell r="I3769" t="str">
            <v/>
          </cell>
          <cell r="J3769" t="str">
            <v/>
          </cell>
          <cell r="K3769" t="str">
            <v/>
          </cell>
          <cell r="L3769" t="str">
            <v/>
          </cell>
        </row>
        <row r="3770">
          <cell r="A3770">
            <v>34000000</v>
          </cell>
          <cell r="C3770">
            <v>34000000</v>
          </cell>
          <cell r="D3770">
            <v>34000000</v>
          </cell>
          <cell r="E3770">
            <v>34000000</v>
          </cell>
          <cell r="F3770">
            <v>34000000</v>
          </cell>
          <cell r="G3770">
            <v>34000000</v>
          </cell>
          <cell r="H3770">
            <v>34000000</v>
          </cell>
          <cell r="I3770" t="str">
            <v/>
          </cell>
          <cell r="J3770" t="str">
            <v/>
          </cell>
          <cell r="K3770" t="str">
            <v/>
          </cell>
          <cell r="L3770" t="str">
            <v/>
          </cell>
        </row>
        <row r="3771">
          <cell r="A3771">
            <v>34000000</v>
          </cell>
          <cell r="C3771">
            <v>34000000</v>
          </cell>
          <cell r="D3771">
            <v>34000000</v>
          </cell>
          <cell r="E3771">
            <v>34000000</v>
          </cell>
          <cell r="F3771">
            <v>34000000</v>
          </cell>
          <cell r="G3771">
            <v>34000000</v>
          </cell>
          <cell r="H3771">
            <v>34000000</v>
          </cell>
          <cell r="I3771" t="str">
            <v/>
          </cell>
          <cell r="J3771" t="str">
            <v/>
          </cell>
          <cell r="K3771" t="str">
            <v/>
          </cell>
          <cell r="L3771" t="str">
            <v/>
          </cell>
        </row>
        <row r="3772">
          <cell r="A3772">
            <v>34000000</v>
          </cell>
          <cell r="C3772">
            <v>34000000</v>
          </cell>
          <cell r="D3772">
            <v>34000000</v>
          </cell>
          <cell r="E3772">
            <v>34000000</v>
          </cell>
          <cell r="F3772">
            <v>34000000</v>
          </cell>
          <cell r="G3772">
            <v>34000000</v>
          </cell>
          <cell r="H3772">
            <v>34000000</v>
          </cell>
          <cell r="I3772" t="str">
            <v/>
          </cell>
          <cell r="J3772" t="str">
            <v/>
          </cell>
          <cell r="K3772" t="str">
            <v/>
          </cell>
          <cell r="L3772" t="str">
            <v/>
          </cell>
        </row>
        <row r="3773">
          <cell r="A3773">
            <v>34000000</v>
          </cell>
          <cell r="C3773">
            <v>34000000</v>
          </cell>
          <cell r="D3773">
            <v>34000000</v>
          </cell>
          <cell r="E3773">
            <v>34000000</v>
          </cell>
          <cell r="F3773">
            <v>34000000</v>
          </cell>
          <cell r="G3773">
            <v>34000000</v>
          </cell>
          <cell r="H3773">
            <v>34000000</v>
          </cell>
          <cell r="I3773" t="str">
            <v/>
          </cell>
          <cell r="J3773" t="str">
            <v/>
          </cell>
          <cell r="K3773" t="str">
            <v/>
          </cell>
          <cell r="L3773" t="str">
            <v/>
          </cell>
        </row>
        <row r="3774">
          <cell r="A3774">
            <v>34000000</v>
          </cell>
          <cell r="C3774">
            <v>34000000</v>
          </cell>
          <cell r="D3774">
            <v>34000000</v>
          </cell>
          <cell r="E3774">
            <v>34000000</v>
          </cell>
          <cell r="F3774">
            <v>34000000</v>
          </cell>
          <cell r="G3774">
            <v>34000000</v>
          </cell>
          <cell r="H3774">
            <v>34000000</v>
          </cell>
          <cell r="I3774" t="str">
            <v/>
          </cell>
          <cell r="J3774" t="str">
            <v/>
          </cell>
          <cell r="K3774" t="str">
            <v/>
          </cell>
          <cell r="L3774" t="str">
            <v/>
          </cell>
        </row>
        <row r="3775">
          <cell r="A3775">
            <v>34000000</v>
          </cell>
          <cell r="C3775">
            <v>34000000</v>
          </cell>
          <cell r="D3775">
            <v>34000000</v>
          </cell>
          <cell r="E3775">
            <v>34000000</v>
          </cell>
          <cell r="F3775">
            <v>34000000</v>
          </cell>
          <cell r="G3775">
            <v>34000000</v>
          </cell>
          <cell r="H3775">
            <v>34000000</v>
          </cell>
          <cell r="I3775" t="str">
            <v/>
          </cell>
          <cell r="J3775" t="str">
            <v/>
          </cell>
          <cell r="K3775" t="str">
            <v/>
          </cell>
          <cell r="L3775" t="str">
            <v/>
          </cell>
        </row>
        <row r="3776">
          <cell r="A3776">
            <v>34000000</v>
          </cell>
          <cell r="C3776">
            <v>34000000</v>
          </cell>
          <cell r="D3776">
            <v>34000000</v>
          </cell>
          <cell r="E3776">
            <v>34000000</v>
          </cell>
          <cell r="F3776">
            <v>34000000</v>
          </cell>
          <cell r="G3776">
            <v>34000000</v>
          </cell>
          <cell r="H3776">
            <v>34000000</v>
          </cell>
          <cell r="I3776" t="str">
            <v/>
          </cell>
          <cell r="J3776" t="str">
            <v/>
          </cell>
          <cell r="K3776" t="str">
            <v/>
          </cell>
          <cell r="L3776" t="str">
            <v/>
          </cell>
        </row>
        <row r="3777">
          <cell r="A3777">
            <v>34000000</v>
          </cell>
          <cell r="C3777">
            <v>34000000</v>
          </cell>
          <cell r="D3777">
            <v>34000000</v>
          </cell>
          <cell r="E3777">
            <v>34000000</v>
          </cell>
          <cell r="F3777">
            <v>34000000</v>
          </cell>
          <cell r="G3777">
            <v>34000000</v>
          </cell>
          <cell r="H3777">
            <v>34000000</v>
          </cell>
          <cell r="I3777" t="str">
            <v/>
          </cell>
          <cell r="J3777" t="str">
            <v/>
          </cell>
          <cell r="K3777" t="str">
            <v/>
          </cell>
          <cell r="L3777" t="str">
            <v/>
          </cell>
        </row>
        <row r="3778">
          <cell r="A3778">
            <v>34000000</v>
          </cell>
          <cell r="C3778">
            <v>34000000</v>
          </cell>
          <cell r="D3778">
            <v>34000000</v>
          </cell>
          <cell r="E3778">
            <v>34000000</v>
          </cell>
          <cell r="F3778">
            <v>34000000</v>
          </cell>
          <cell r="G3778">
            <v>34000000</v>
          </cell>
          <cell r="H3778">
            <v>34000000</v>
          </cell>
          <cell r="I3778" t="str">
            <v/>
          </cell>
          <cell r="J3778" t="str">
            <v/>
          </cell>
          <cell r="K3778" t="str">
            <v/>
          </cell>
          <cell r="L3778" t="str">
            <v/>
          </cell>
        </row>
        <row r="3779">
          <cell r="A3779">
            <v>34000000</v>
          </cell>
          <cell r="C3779">
            <v>34000000</v>
          </cell>
          <cell r="D3779">
            <v>34000000</v>
          </cell>
          <cell r="E3779">
            <v>34000000</v>
          </cell>
          <cell r="F3779">
            <v>34000000</v>
          </cell>
          <cell r="G3779">
            <v>34000000</v>
          </cell>
          <cell r="H3779">
            <v>34000000</v>
          </cell>
          <cell r="I3779" t="str">
            <v/>
          </cell>
          <cell r="J3779" t="str">
            <v/>
          </cell>
          <cell r="K3779" t="str">
            <v/>
          </cell>
          <cell r="L3779" t="str">
            <v/>
          </cell>
        </row>
        <row r="3780">
          <cell r="A3780">
            <v>34000000</v>
          </cell>
          <cell r="C3780">
            <v>34000000</v>
          </cell>
          <cell r="D3780">
            <v>34000000</v>
          </cell>
          <cell r="E3780">
            <v>34000000</v>
          </cell>
          <cell r="F3780">
            <v>34000000</v>
          </cell>
          <cell r="G3780">
            <v>34000000</v>
          </cell>
          <cell r="H3780">
            <v>34000000</v>
          </cell>
          <cell r="I3780" t="str">
            <v/>
          </cell>
          <cell r="J3780" t="str">
            <v/>
          </cell>
          <cell r="K3780" t="str">
            <v/>
          </cell>
          <cell r="L3780" t="str">
            <v/>
          </cell>
        </row>
        <row r="3781">
          <cell r="A3781">
            <v>34000000</v>
          </cell>
          <cell r="C3781">
            <v>34000000</v>
          </cell>
          <cell r="D3781">
            <v>34000000</v>
          </cell>
          <cell r="E3781">
            <v>34000000</v>
          </cell>
          <cell r="F3781">
            <v>34000000</v>
          </cell>
          <cell r="G3781">
            <v>34000000</v>
          </cell>
          <cell r="H3781">
            <v>34000000</v>
          </cell>
          <cell r="I3781" t="str">
            <v/>
          </cell>
          <cell r="J3781" t="str">
            <v/>
          </cell>
          <cell r="K3781" t="str">
            <v/>
          </cell>
          <cell r="L3781" t="str">
            <v/>
          </cell>
        </row>
        <row r="3782">
          <cell r="A3782">
            <v>34000000</v>
          </cell>
          <cell r="C3782">
            <v>34000000</v>
          </cell>
          <cell r="D3782">
            <v>34000000</v>
          </cell>
          <cell r="E3782">
            <v>34000000</v>
          </cell>
          <cell r="F3782">
            <v>34000000</v>
          </cell>
          <cell r="G3782">
            <v>34000000</v>
          </cell>
          <cell r="H3782">
            <v>34000000</v>
          </cell>
          <cell r="I3782" t="str">
            <v/>
          </cell>
          <cell r="J3782" t="str">
            <v/>
          </cell>
          <cell r="K3782" t="str">
            <v/>
          </cell>
          <cell r="L3782" t="str">
            <v/>
          </cell>
        </row>
        <row r="3783">
          <cell r="A3783">
            <v>34000000</v>
          </cell>
          <cell r="C3783">
            <v>34000000</v>
          </cell>
          <cell r="D3783">
            <v>34000000</v>
          </cell>
          <cell r="E3783">
            <v>34000000</v>
          </cell>
          <cell r="F3783">
            <v>34000000</v>
          </cell>
          <cell r="G3783">
            <v>34000000</v>
          </cell>
          <cell r="H3783">
            <v>34000000</v>
          </cell>
          <cell r="I3783" t="str">
            <v/>
          </cell>
          <cell r="J3783" t="str">
            <v/>
          </cell>
          <cell r="K3783" t="str">
            <v/>
          </cell>
          <cell r="L3783" t="str">
            <v/>
          </cell>
        </row>
        <row r="3784">
          <cell r="A3784">
            <v>34000000</v>
          </cell>
          <cell r="C3784">
            <v>34000000</v>
          </cell>
          <cell r="D3784">
            <v>34000000</v>
          </cell>
          <cell r="E3784">
            <v>34000000</v>
          </cell>
          <cell r="F3784">
            <v>34000000</v>
          </cell>
          <cell r="G3784">
            <v>34000000</v>
          </cell>
          <cell r="H3784">
            <v>34000000</v>
          </cell>
          <cell r="I3784" t="str">
            <v/>
          </cell>
          <cell r="J3784" t="str">
            <v/>
          </cell>
          <cell r="K3784" t="str">
            <v/>
          </cell>
          <cell r="L3784" t="str">
            <v/>
          </cell>
        </row>
        <row r="3785">
          <cell r="A3785">
            <v>34000000</v>
          </cell>
          <cell r="C3785">
            <v>34000000</v>
          </cell>
          <cell r="D3785">
            <v>34000000</v>
          </cell>
          <cell r="E3785">
            <v>34000000</v>
          </cell>
          <cell r="F3785">
            <v>34000000</v>
          </cell>
          <cell r="G3785">
            <v>34000000</v>
          </cell>
          <cell r="H3785">
            <v>34000000</v>
          </cell>
          <cell r="I3785" t="str">
            <v/>
          </cell>
          <cell r="J3785" t="str">
            <v/>
          </cell>
          <cell r="K3785" t="str">
            <v/>
          </cell>
          <cell r="L3785" t="str">
            <v/>
          </cell>
        </row>
        <row r="3786">
          <cell r="A3786">
            <v>34000000</v>
          </cell>
          <cell r="C3786">
            <v>34000000</v>
          </cell>
          <cell r="D3786">
            <v>34000000</v>
          </cell>
          <cell r="E3786">
            <v>34000000</v>
          </cell>
          <cell r="F3786">
            <v>34000000</v>
          </cell>
          <cell r="G3786">
            <v>34000000</v>
          </cell>
          <cell r="H3786">
            <v>34000000</v>
          </cell>
          <cell r="I3786" t="str">
            <v/>
          </cell>
          <cell r="J3786" t="str">
            <v/>
          </cell>
          <cell r="K3786" t="str">
            <v/>
          </cell>
          <cell r="L3786" t="str">
            <v/>
          </cell>
        </row>
        <row r="3787">
          <cell r="A3787">
            <v>34000000</v>
          </cell>
          <cell r="C3787">
            <v>34000000</v>
          </cell>
          <cell r="D3787">
            <v>34000000</v>
          </cell>
          <cell r="E3787">
            <v>34000000</v>
          </cell>
          <cell r="F3787">
            <v>34000000</v>
          </cell>
          <cell r="G3787">
            <v>34000000</v>
          </cell>
          <cell r="H3787">
            <v>34000000</v>
          </cell>
          <cell r="I3787" t="str">
            <v/>
          </cell>
          <cell r="J3787" t="str">
            <v/>
          </cell>
          <cell r="K3787" t="str">
            <v/>
          </cell>
          <cell r="L3787" t="str">
            <v/>
          </cell>
        </row>
        <row r="3788">
          <cell r="A3788">
            <v>34000000</v>
          </cell>
          <cell r="C3788">
            <v>34000000</v>
          </cell>
          <cell r="D3788">
            <v>34000000</v>
          </cell>
          <cell r="E3788">
            <v>34000000</v>
          </cell>
          <cell r="F3788">
            <v>34000000</v>
          </cell>
          <cell r="G3788">
            <v>34000000</v>
          </cell>
          <cell r="H3788">
            <v>34000000</v>
          </cell>
          <cell r="I3788" t="str">
            <v/>
          </cell>
          <cell r="J3788" t="str">
            <v/>
          </cell>
          <cell r="K3788" t="str">
            <v/>
          </cell>
          <cell r="L3788" t="str">
            <v/>
          </cell>
        </row>
        <row r="3789">
          <cell r="A3789">
            <v>34000000</v>
          </cell>
          <cell r="C3789">
            <v>34000000</v>
          </cell>
          <cell r="D3789">
            <v>34000000</v>
          </cell>
          <cell r="E3789">
            <v>34000000</v>
          </cell>
          <cell r="F3789">
            <v>34000000</v>
          </cell>
          <cell r="G3789">
            <v>34000000</v>
          </cell>
          <cell r="H3789">
            <v>34000000</v>
          </cell>
          <cell r="I3789" t="str">
            <v/>
          </cell>
          <cell r="J3789" t="str">
            <v/>
          </cell>
          <cell r="K3789" t="str">
            <v/>
          </cell>
          <cell r="L3789" t="str">
            <v/>
          </cell>
        </row>
        <row r="3790">
          <cell r="A3790">
            <v>34000000</v>
          </cell>
          <cell r="C3790">
            <v>34000000</v>
          </cell>
          <cell r="D3790">
            <v>34000000</v>
          </cell>
          <cell r="E3790">
            <v>34000000</v>
          </cell>
          <cell r="F3790">
            <v>34000000</v>
          </cell>
          <cell r="G3790">
            <v>34000000</v>
          </cell>
          <cell r="H3790">
            <v>34000000</v>
          </cell>
          <cell r="I3790" t="str">
            <v/>
          </cell>
          <cell r="J3790" t="str">
            <v/>
          </cell>
          <cell r="K3790" t="str">
            <v/>
          </cell>
          <cell r="L3790" t="str">
            <v/>
          </cell>
        </row>
        <row r="3791">
          <cell r="A3791">
            <v>34000000</v>
          </cell>
          <cell r="C3791">
            <v>34000000</v>
          </cell>
          <cell r="D3791">
            <v>34000000</v>
          </cell>
          <cell r="E3791">
            <v>34000000</v>
          </cell>
          <cell r="F3791">
            <v>34000000</v>
          </cell>
          <cell r="G3791">
            <v>34000000</v>
          </cell>
          <cell r="H3791">
            <v>34000000</v>
          </cell>
          <cell r="I3791" t="str">
            <v/>
          </cell>
          <cell r="J3791" t="str">
            <v/>
          </cell>
          <cell r="K3791" t="str">
            <v/>
          </cell>
          <cell r="L3791" t="str">
            <v/>
          </cell>
        </row>
        <row r="3792">
          <cell r="A3792">
            <v>34000000</v>
          </cell>
          <cell r="C3792">
            <v>34000000</v>
          </cell>
          <cell r="D3792">
            <v>34000000</v>
          </cell>
          <cell r="E3792">
            <v>34000000</v>
          </cell>
          <cell r="F3792">
            <v>34000000</v>
          </cell>
          <cell r="G3792">
            <v>34000000</v>
          </cell>
          <cell r="H3792">
            <v>34000000</v>
          </cell>
          <cell r="I3792" t="str">
            <v/>
          </cell>
          <cell r="J3792" t="str">
            <v/>
          </cell>
          <cell r="K3792" t="str">
            <v/>
          </cell>
          <cell r="L3792" t="str">
            <v/>
          </cell>
        </row>
        <row r="3793">
          <cell r="A3793">
            <v>34000000</v>
          </cell>
          <cell r="C3793">
            <v>34000000</v>
          </cell>
          <cell r="D3793">
            <v>34000000</v>
          </cell>
          <cell r="E3793">
            <v>34000000</v>
          </cell>
          <cell r="F3793">
            <v>34000000</v>
          </cell>
          <cell r="G3793">
            <v>34000000</v>
          </cell>
          <cell r="H3793">
            <v>34000000</v>
          </cell>
          <cell r="I3793" t="str">
            <v/>
          </cell>
          <cell r="J3793" t="str">
            <v/>
          </cell>
          <cell r="K3793" t="str">
            <v/>
          </cell>
          <cell r="L3793" t="str">
            <v/>
          </cell>
        </row>
        <row r="3794">
          <cell r="A3794">
            <v>34000000</v>
          </cell>
          <cell r="C3794">
            <v>34000000</v>
          </cell>
          <cell r="D3794">
            <v>34000000</v>
          </cell>
          <cell r="E3794">
            <v>34000000</v>
          </cell>
          <cell r="F3794">
            <v>34000000</v>
          </cell>
          <cell r="G3794">
            <v>34000000</v>
          </cell>
          <cell r="H3794">
            <v>34000000</v>
          </cell>
          <cell r="I3794" t="str">
            <v/>
          </cell>
          <cell r="J3794" t="str">
            <v/>
          </cell>
          <cell r="K3794" t="str">
            <v/>
          </cell>
          <cell r="L3794" t="str">
            <v/>
          </cell>
        </row>
        <row r="3795">
          <cell r="A3795">
            <v>34000000</v>
          </cell>
          <cell r="C3795">
            <v>34000000</v>
          </cell>
          <cell r="D3795">
            <v>34000000</v>
          </cell>
          <cell r="E3795">
            <v>34000000</v>
          </cell>
          <cell r="F3795">
            <v>34000000</v>
          </cell>
          <cell r="G3795">
            <v>34000000</v>
          </cell>
          <cell r="H3795">
            <v>34000000</v>
          </cell>
          <cell r="I3795" t="str">
            <v/>
          </cell>
          <cell r="J3795" t="str">
            <v/>
          </cell>
          <cell r="K3795" t="str">
            <v/>
          </cell>
          <cell r="L3795" t="str">
            <v/>
          </cell>
        </row>
        <row r="3796">
          <cell r="A3796">
            <v>34000000</v>
          </cell>
          <cell r="C3796">
            <v>34000000</v>
          </cell>
          <cell r="D3796">
            <v>34000000</v>
          </cell>
          <cell r="E3796">
            <v>34000000</v>
          </cell>
          <cell r="F3796">
            <v>34000000</v>
          </cell>
          <cell r="G3796">
            <v>34000000</v>
          </cell>
          <cell r="H3796">
            <v>34000000</v>
          </cell>
          <cell r="I3796" t="str">
            <v/>
          </cell>
          <cell r="J3796" t="str">
            <v/>
          </cell>
          <cell r="K3796" t="str">
            <v/>
          </cell>
          <cell r="L3796" t="str">
            <v/>
          </cell>
        </row>
        <row r="3797">
          <cell r="A3797">
            <v>34000000</v>
          </cell>
          <cell r="C3797">
            <v>34000000</v>
          </cell>
          <cell r="D3797">
            <v>34000000</v>
          </cell>
          <cell r="E3797">
            <v>34000000</v>
          </cell>
          <cell r="F3797">
            <v>34000000</v>
          </cell>
          <cell r="G3797">
            <v>34000000</v>
          </cell>
          <cell r="H3797">
            <v>34000000</v>
          </cell>
          <cell r="I3797" t="str">
            <v/>
          </cell>
          <cell r="J3797" t="str">
            <v/>
          </cell>
          <cell r="K3797" t="str">
            <v/>
          </cell>
          <cell r="L3797" t="str">
            <v/>
          </cell>
        </row>
        <row r="3798">
          <cell r="A3798">
            <v>34000000</v>
          </cell>
          <cell r="C3798">
            <v>34000000</v>
          </cell>
          <cell r="D3798">
            <v>34000000</v>
          </cell>
          <cell r="E3798">
            <v>34000000</v>
          </cell>
          <cell r="F3798">
            <v>34000000</v>
          </cell>
          <cell r="G3798">
            <v>34000000</v>
          </cell>
          <cell r="H3798">
            <v>34000000</v>
          </cell>
          <cell r="I3798" t="str">
            <v/>
          </cell>
          <cell r="J3798" t="str">
            <v/>
          </cell>
          <cell r="K3798" t="str">
            <v/>
          </cell>
          <cell r="L3798" t="str">
            <v/>
          </cell>
        </row>
        <row r="3799">
          <cell r="A3799">
            <v>34000000</v>
          </cell>
          <cell r="C3799">
            <v>34000000</v>
          </cell>
          <cell r="D3799">
            <v>34000000</v>
          </cell>
          <cell r="E3799">
            <v>34000000</v>
          </cell>
          <cell r="F3799">
            <v>34000000</v>
          </cell>
          <cell r="G3799">
            <v>34000000</v>
          </cell>
          <cell r="H3799">
            <v>34000000</v>
          </cell>
          <cell r="I3799" t="str">
            <v/>
          </cell>
          <cell r="J3799" t="str">
            <v/>
          </cell>
          <cell r="K3799" t="str">
            <v/>
          </cell>
          <cell r="L3799" t="str">
            <v/>
          </cell>
        </row>
        <row r="3800">
          <cell r="A3800">
            <v>34000000</v>
          </cell>
          <cell r="C3800">
            <v>34000000</v>
          </cell>
          <cell r="D3800">
            <v>34000000</v>
          </cell>
          <cell r="E3800">
            <v>34000000</v>
          </cell>
          <cell r="F3800">
            <v>34000000</v>
          </cell>
          <cell r="G3800">
            <v>34000000</v>
          </cell>
          <cell r="H3800">
            <v>34000000</v>
          </cell>
          <cell r="I3800" t="str">
            <v/>
          </cell>
          <cell r="J3800" t="str">
            <v/>
          </cell>
          <cell r="K3800" t="str">
            <v/>
          </cell>
          <cell r="L3800" t="str">
            <v/>
          </cell>
        </row>
        <row r="3801">
          <cell r="A3801">
            <v>34000000</v>
          </cell>
          <cell r="C3801">
            <v>34000000</v>
          </cell>
          <cell r="D3801">
            <v>34000000</v>
          </cell>
          <cell r="E3801">
            <v>34000000</v>
          </cell>
          <cell r="F3801">
            <v>34000000</v>
          </cell>
          <cell r="G3801">
            <v>34000000</v>
          </cell>
          <cell r="H3801">
            <v>34000000</v>
          </cell>
          <cell r="I3801" t="str">
            <v/>
          </cell>
          <cell r="J3801" t="str">
            <v/>
          </cell>
          <cell r="K3801" t="str">
            <v/>
          </cell>
          <cell r="L3801" t="str">
            <v/>
          </cell>
        </row>
        <row r="3802">
          <cell r="A3802">
            <v>34000000</v>
          </cell>
          <cell r="C3802">
            <v>34000000</v>
          </cell>
          <cell r="D3802">
            <v>34000000</v>
          </cell>
          <cell r="E3802">
            <v>34000000</v>
          </cell>
          <cell r="F3802">
            <v>34000000</v>
          </cell>
          <cell r="G3802">
            <v>34000000</v>
          </cell>
          <cell r="H3802">
            <v>34000000</v>
          </cell>
          <cell r="I3802" t="str">
            <v/>
          </cell>
          <cell r="J3802" t="str">
            <v/>
          </cell>
          <cell r="K3802" t="str">
            <v/>
          </cell>
          <cell r="L3802" t="str">
            <v/>
          </cell>
        </row>
        <row r="3803">
          <cell r="A3803">
            <v>34000000</v>
          </cell>
          <cell r="C3803">
            <v>34000000</v>
          </cell>
          <cell r="D3803">
            <v>34000000</v>
          </cell>
          <cell r="E3803">
            <v>34000000</v>
          </cell>
          <cell r="F3803">
            <v>34000000</v>
          </cell>
          <cell r="G3803">
            <v>34000000</v>
          </cell>
          <cell r="H3803">
            <v>34000000</v>
          </cell>
          <cell r="I3803" t="str">
            <v/>
          </cell>
          <cell r="J3803" t="str">
            <v/>
          </cell>
          <cell r="K3803" t="str">
            <v/>
          </cell>
          <cell r="L3803" t="str">
            <v/>
          </cell>
        </row>
        <row r="3804">
          <cell r="A3804">
            <v>34000000</v>
          </cell>
          <cell r="C3804">
            <v>34000000</v>
          </cell>
          <cell r="D3804">
            <v>34000000</v>
          </cell>
          <cell r="E3804">
            <v>34000000</v>
          </cell>
          <cell r="F3804">
            <v>34000000</v>
          </cell>
          <cell r="G3804">
            <v>34000000</v>
          </cell>
          <cell r="H3804">
            <v>34000000</v>
          </cell>
          <cell r="I3804" t="str">
            <v/>
          </cell>
          <cell r="J3804" t="str">
            <v/>
          </cell>
          <cell r="K3804" t="str">
            <v/>
          </cell>
          <cell r="L3804" t="str">
            <v/>
          </cell>
        </row>
        <row r="3805">
          <cell r="A3805">
            <v>34000000</v>
          </cell>
          <cell r="C3805">
            <v>34000000</v>
          </cell>
          <cell r="D3805">
            <v>34000000</v>
          </cell>
          <cell r="E3805">
            <v>34000000</v>
          </cell>
          <cell r="F3805">
            <v>34000000</v>
          </cell>
          <cell r="G3805">
            <v>34000000</v>
          </cell>
          <cell r="H3805">
            <v>34000000</v>
          </cell>
          <cell r="I3805" t="str">
            <v/>
          </cell>
          <cell r="J3805" t="str">
            <v/>
          </cell>
          <cell r="K3805" t="str">
            <v/>
          </cell>
          <cell r="L3805" t="str">
            <v/>
          </cell>
        </row>
        <row r="3806">
          <cell r="A3806">
            <v>34000000</v>
          </cell>
          <cell r="C3806">
            <v>34000000</v>
          </cell>
          <cell r="D3806">
            <v>34000000</v>
          </cell>
          <cell r="E3806">
            <v>34000000</v>
          </cell>
          <cell r="F3806">
            <v>34000000</v>
          </cell>
          <cell r="G3806">
            <v>34000000</v>
          </cell>
          <cell r="H3806">
            <v>34000000</v>
          </cell>
          <cell r="I3806" t="str">
            <v/>
          </cell>
          <cell r="J3806" t="str">
            <v/>
          </cell>
          <cell r="K3806" t="str">
            <v/>
          </cell>
          <cell r="L3806" t="str">
            <v/>
          </cell>
        </row>
        <row r="3807">
          <cell r="A3807">
            <v>34000000</v>
          </cell>
          <cell r="C3807">
            <v>34000000</v>
          </cell>
          <cell r="D3807">
            <v>34000000</v>
          </cell>
          <cell r="E3807">
            <v>34000000</v>
          </cell>
          <cell r="F3807">
            <v>34000000</v>
          </cell>
          <cell r="G3807">
            <v>34000000</v>
          </cell>
          <cell r="H3807">
            <v>34000000</v>
          </cell>
          <cell r="I3807" t="str">
            <v/>
          </cell>
          <cell r="J3807" t="str">
            <v/>
          </cell>
          <cell r="K3807" t="str">
            <v/>
          </cell>
          <cell r="L3807" t="str">
            <v/>
          </cell>
        </row>
        <row r="3808">
          <cell r="A3808">
            <v>34000000</v>
          </cell>
          <cell r="C3808">
            <v>34000000</v>
          </cell>
          <cell r="D3808">
            <v>34000000</v>
          </cell>
          <cell r="E3808">
            <v>34000000</v>
          </cell>
          <cell r="F3808">
            <v>34000000</v>
          </cell>
          <cell r="G3808">
            <v>34000000</v>
          </cell>
          <cell r="H3808">
            <v>34000000</v>
          </cell>
          <cell r="I3808" t="str">
            <v/>
          </cell>
          <cell r="J3808" t="str">
            <v/>
          </cell>
          <cell r="K3808" t="str">
            <v/>
          </cell>
          <cell r="L3808" t="str">
            <v/>
          </cell>
        </row>
        <row r="3809">
          <cell r="A3809">
            <v>34000000</v>
          </cell>
          <cell r="C3809">
            <v>34000000</v>
          </cell>
          <cell r="D3809">
            <v>34000000</v>
          </cell>
          <cell r="E3809">
            <v>34000000</v>
          </cell>
          <cell r="F3809">
            <v>34000000</v>
          </cell>
          <cell r="G3809">
            <v>34000000</v>
          </cell>
          <cell r="H3809">
            <v>34000000</v>
          </cell>
          <cell r="I3809" t="str">
            <v/>
          </cell>
          <cell r="J3809" t="str">
            <v/>
          </cell>
          <cell r="K3809" t="str">
            <v/>
          </cell>
          <cell r="L3809" t="str">
            <v/>
          </cell>
        </row>
        <row r="3810">
          <cell r="A3810">
            <v>34000000</v>
          </cell>
          <cell r="C3810">
            <v>34000000</v>
          </cell>
          <cell r="D3810">
            <v>34000000</v>
          </cell>
          <cell r="E3810">
            <v>34000000</v>
          </cell>
          <cell r="F3810">
            <v>34000000</v>
          </cell>
          <cell r="G3810">
            <v>34000000</v>
          </cell>
          <cell r="H3810">
            <v>34000000</v>
          </cell>
          <cell r="I3810" t="str">
            <v/>
          </cell>
          <cell r="J3810" t="str">
            <v/>
          </cell>
          <cell r="K3810" t="str">
            <v/>
          </cell>
          <cell r="L3810" t="str">
            <v/>
          </cell>
        </row>
        <row r="3811">
          <cell r="A3811">
            <v>34000000</v>
          </cell>
          <cell r="C3811">
            <v>34000000</v>
          </cell>
          <cell r="D3811">
            <v>34000000</v>
          </cell>
          <cell r="E3811">
            <v>34000000</v>
          </cell>
          <cell r="F3811">
            <v>34000000</v>
          </cell>
          <cell r="G3811">
            <v>34000000</v>
          </cell>
          <cell r="H3811">
            <v>34000000</v>
          </cell>
          <cell r="I3811" t="str">
            <v/>
          </cell>
          <cell r="J3811" t="str">
            <v/>
          </cell>
          <cell r="K3811" t="str">
            <v/>
          </cell>
          <cell r="L3811" t="str">
            <v/>
          </cell>
        </row>
        <row r="3812">
          <cell r="A3812">
            <v>34000000</v>
          </cell>
          <cell r="C3812">
            <v>34000000</v>
          </cell>
          <cell r="D3812">
            <v>34000000</v>
          </cell>
          <cell r="E3812">
            <v>34000000</v>
          </cell>
          <cell r="F3812">
            <v>34000000</v>
          </cell>
          <cell r="G3812">
            <v>34000000</v>
          </cell>
          <cell r="H3812">
            <v>34000000</v>
          </cell>
          <cell r="I3812" t="str">
            <v/>
          </cell>
          <cell r="J3812" t="str">
            <v/>
          </cell>
          <cell r="K3812" t="str">
            <v/>
          </cell>
          <cell r="L3812" t="str">
            <v/>
          </cell>
        </row>
        <row r="3813">
          <cell r="A3813">
            <v>34000000</v>
          </cell>
          <cell r="C3813">
            <v>34000000</v>
          </cell>
          <cell r="D3813">
            <v>34000000</v>
          </cell>
          <cell r="E3813">
            <v>34000000</v>
          </cell>
          <cell r="F3813">
            <v>34000000</v>
          </cell>
          <cell r="G3813">
            <v>34000000</v>
          </cell>
          <cell r="H3813">
            <v>34000000</v>
          </cell>
          <cell r="I3813" t="str">
            <v/>
          </cell>
          <cell r="J3813" t="str">
            <v/>
          </cell>
          <cell r="K3813" t="str">
            <v/>
          </cell>
          <cell r="L3813" t="str">
            <v/>
          </cell>
        </row>
        <row r="3814">
          <cell r="A3814">
            <v>34000000</v>
          </cell>
          <cell r="C3814">
            <v>34000000</v>
          </cell>
          <cell r="D3814">
            <v>34000000</v>
          </cell>
          <cell r="E3814">
            <v>34000000</v>
          </cell>
          <cell r="F3814">
            <v>34000000</v>
          </cell>
          <cell r="G3814">
            <v>34000000</v>
          </cell>
          <cell r="H3814">
            <v>34000000</v>
          </cell>
          <cell r="I3814" t="str">
            <v/>
          </cell>
          <cell r="J3814" t="str">
            <v/>
          </cell>
          <cell r="K3814" t="str">
            <v/>
          </cell>
          <cell r="L3814" t="str">
            <v/>
          </cell>
        </row>
        <row r="3815">
          <cell r="A3815">
            <v>34000000</v>
          </cell>
          <cell r="C3815">
            <v>34000000</v>
          </cell>
          <cell r="D3815">
            <v>34000000</v>
          </cell>
          <cell r="E3815">
            <v>34000000</v>
          </cell>
          <cell r="F3815">
            <v>34000000</v>
          </cell>
          <cell r="G3815">
            <v>34000000</v>
          </cell>
          <cell r="H3815">
            <v>34000000</v>
          </cell>
          <cell r="I3815" t="str">
            <v/>
          </cell>
          <cell r="J3815" t="str">
            <v/>
          </cell>
          <cell r="K3815" t="str">
            <v/>
          </cell>
          <cell r="L3815" t="str">
            <v/>
          </cell>
        </row>
        <row r="3816">
          <cell r="A3816">
            <v>34000000</v>
          </cell>
          <cell r="C3816">
            <v>34000000</v>
          </cell>
          <cell r="D3816">
            <v>34000000</v>
          </cell>
          <cell r="E3816">
            <v>34000000</v>
          </cell>
          <cell r="F3816">
            <v>34000000</v>
          </cell>
          <cell r="G3816">
            <v>34000000</v>
          </cell>
          <cell r="H3816">
            <v>34000000</v>
          </cell>
          <cell r="I3816" t="str">
            <v/>
          </cell>
          <cell r="J3816" t="str">
            <v/>
          </cell>
          <cell r="K3816" t="str">
            <v/>
          </cell>
          <cell r="L3816" t="str">
            <v/>
          </cell>
        </row>
        <row r="3817">
          <cell r="A3817">
            <v>34000000</v>
          </cell>
          <cell r="C3817">
            <v>34000000</v>
          </cell>
          <cell r="D3817">
            <v>34000000</v>
          </cell>
          <cell r="E3817">
            <v>34000000</v>
          </cell>
          <cell r="F3817">
            <v>34000000</v>
          </cell>
          <cell r="G3817">
            <v>34000000</v>
          </cell>
          <cell r="H3817">
            <v>34000000</v>
          </cell>
          <cell r="I3817" t="str">
            <v/>
          </cell>
          <cell r="J3817" t="str">
            <v/>
          </cell>
          <cell r="K3817" t="str">
            <v/>
          </cell>
          <cell r="L3817" t="str">
            <v/>
          </cell>
        </row>
        <row r="3818">
          <cell r="A3818">
            <v>34000000</v>
          </cell>
          <cell r="C3818">
            <v>34000000</v>
          </cell>
          <cell r="D3818">
            <v>34000000</v>
          </cell>
          <cell r="E3818">
            <v>34000000</v>
          </cell>
          <cell r="F3818">
            <v>34000000</v>
          </cell>
          <cell r="G3818">
            <v>34000000</v>
          </cell>
          <cell r="H3818">
            <v>34000000</v>
          </cell>
          <cell r="I3818" t="str">
            <v/>
          </cell>
          <cell r="J3818" t="str">
            <v/>
          </cell>
          <cell r="K3818" t="str">
            <v/>
          </cell>
          <cell r="L3818" t="str">
            <v/>
          </cell>
        </row>
        <row r="3819">
          <cell r="A3819">
            <v>34000000</v>
          </cell>
          <cell r="C3819">
            <v>34000000</v>
          </cell>
          <cell r="D3819">
            <v>34000000</v>
          </cell>
          <cell r="E3819">
            <v>34000000</v>
          </cell>
          <cell r="F3819">
            <v>34000000</v>
          </cell>
          <cell r="G3819">
            <v>34000000</v>
          </cell>
          <cell r="H3819">
            <v>34000000</v>
          </cell>
          <cell r="I3819" t="str">
            <v/>
          </cell>
          <cell r="J3819" t="str">
            <v/>
          </cell>
          <cell r="K3819" t="str">
            <v/>
          </cell>
          <cell r="L3819" t="str">
            <v/>
          </cell>
        </row>
        <row r="3820">
          <cell r="A3820">
            <v>34000000</v>
          </cell>
          <cell r="C3820">
            <v>34000000</v>
          </cell>
          <cell r="D3820">
            <v>34000000</v>
          </cell>
          <cell r="E3820">
            <v>34000000</v>
          </cell>
          <cell r="F3820">
            <v>34000000</v>
          </cell>
          <cell r="G3820">
            <v>34000000</v>
          </cell>
          <cell r="H3820">
            <v>34000000</v>
          </cell>
          <cell r="I3820" t="str">
            <v/>
          </cell>
          <cell r="J3820" t="str">
            <v/>
          </cell>
          <cell r="K3820" t="str">
            <v/>
          </cell>
          <cell r="L3820" t="str">
            <v/>
          </cell>
        </row>
        <row r="3821">
          <cell r="A3821">
            <v>34000000</v>
          </cell>
          <cell r="C3821">
            <v>34000000</v>
          </cell>
          <cell r="D3821">
            <v>34000000</v>
          </cell>
          <cell r="E3821">
            <v>34000000</v>
          </cell>
          <cell r="F3821">
            <v>34000000</v>
          </cell>
          <cell r="G3821">
            <v>34000000</v>
          </cell>
          <cell r="H3821">
            <v>34000000</v>
          </cell>
          <cell r="I3821" t="str">
            <v/>
          </cell>
          <cell r="J3821" t="str">
            <v/>
          </cell>
          <cell r="K3821" t="str">
            <v/>
          </cell>
          <cell r="L3821" t="str">
            <v/>
          </cell>
        </row>
        <row r="3822">
          <cell r="A3822">
            <v>34000000</v>
          </cell>
          <cell r="C3822">
            <v>34000000</v>
          </cell>
          <cell r="D3822">
            <v>34000000</v>
          </cell>
          <cell r="E3822">
            <v>34000000</v>
          </cell>
          <cell r="F3822">
            <v>34000000</v>
          </cell>
          <cell r="G3822">
            <v>34000000</v>
          </cell>
          <cell r="H3822">
            <v>34000000</v>
          </cell>
          <cell r="I3822" t="str">
            <v/>
          </cell>
          <cell r="J3822" t="str">
            <v/>
          </cell>
          <cell r="K3822" t="str">
            <v/>
          </cell>
          <cell r="L3822" t="str">
            <v/>
          </cell>
        </row>
        <row r="3823">
          <cell r="A3823">
            <v>34000000</v>
          </cell>
          <cell r="C3823">
            <v>34000000</v>
          </cell>
          <cell r="D3823">
            <v>34000000</v>
          </cell>
          <cell r="E3823">
            <v>34000000</v>
          </cell>
          <cell r="F3823">
            <v>34000000</v>
          </cell>
          <cell r="G3823">
            <v>34000000</v>
          </cell>
          <cell r="H3823">
            <v>34000000</v>
          </cell>
          <cell r="I3823" t="str">
            <v/>
          </cell>
          <cell r="J3823" t="str">
            <v/>
          </cell>
          <cell r="K3823" t="str">
            <v/>
          </cell>
          <cell r="L3823" t="str">
            <v/>
          </cell>
        </row>
        <row r="3824">
          <cell r="A3824">
            <v>34000000</v>
          </cell>
          <cell r="C3824">
            <v>34000000</v>
          </cell>
          <cell r="D3824">
            <v>34000000</v>
          </cell>
          <cell r="E3824">
            <v>34000000</v>
          </cell>
          <cell r="F3824">
            <v>34000000</v>
          </cell>
          <cell r="G3824">
            <v>34000000</v>
          </cell>
          <cell r="H3824">
            <v>34000000</v>
          </cell>
          <cell r="I3824" t="str">
            <v/>
          </cell>
          <cell r="J3824" t="str">
            <v/>
          </cell>
          <cell r="K3824" t="str">
            <v/>
          </cell>
          <cell r="L3824" t="str">
            <v/>
          </cell>
        </row>
        <row r="3825">
          <cell r="A3825">
            <v>34000000</v>
          </cell>
          <cell r="C3825">
            <v>34000000</v>
          </cell>
          <cell r="D3825">
            <v>34000000</v>
          </cell>
          <cell r="E3825">
            <v>34000000</v>
          </cell>
          <cell r="F3825">
            <v>34000000</v>
          </cell>
          <cell r="G3825">
            <v>34000000</v>
          </cell>
          <cell r="H3825">
            <v>34000000</v>
          </cell>
          <cell r="I3825" t="str">
            <v/>
          </cell>
          <cell r="J3825" t="str">
            <v/>
          </cell>
          <cell r="K3825" t="str">
            <v/>
          </cell>
          <cell r="L3825" t="str">
            <v/>
          </cell>
        </row>
        <row r="3826">
          <cell r="A3826">
            <v>34000000</v>
          </cell>
          <cell r="C3826">
            <v>34000000</v>
          </cell>
          <cell r="D3826">
            <v>34000000</v>
          </cell>
          <cell r="E3826">
            <v>34000000</v>
          </cell>
          <cell r="F3826">
            <v>34000000</v>
          </cell>
          <cell r="G3826">
            <v>34000000</v>
          </cell>
          <cell r="H3826">
            <v>34000000</v>
          </cell>
          <cell r="I3826" t="str">
            <v/>
          </cell>
          <cell r="J3826" t="str">
            <v/>
          </cell>
          <cell r="K3826" t="str">
            <v/>
          </cell>
          <cell r="L3826" t="str">
            <v/>
          </cell>
        </row>
        <row r="3827">
          <cell r="A3827">
            <v>34000000</v>
          </cell>
          <cell r="C3827">
            <v>34000000</v>
          </cell>
          <cell r="D3827">
            <v>34000000</v>
          </cell>
          <cell r="E3827">
            <v>34000000</v>
          </cell>
          <cell r="F3827">
            <v>34000000</v>
          </cell>
          <cell r="G3827">
            <v>34000000</v>
          </cell>
          <cell r="H3827">
            <v>34000000</v>
          </cell>
          <cell r="I3827" t="str">
            <v/>
          </cell>
          <cell r="J3827" t="str">
            <v/>
          </cell>
          <cell r="K3827" t="str">
            <v/>
          </cell>
          <cell r="L3827" t="str">
            <v/>
          </cell>
        </row>
        <row r="3828">
          <cell r="A3828">
            <v>34000000</v>
          </cell>
          <cell r="C3828">
            <v>34000000</v>
          </cell>
          <cell r="D3828">
            <v>34000000</v>
          </cell>
          <cell r="E3828">
            <v>34000000</v>
          </cell>
          <cell r="F3828">
            <v>34000000</v>
          </cell>
          <cell r="G3828">
            <v>34000000</v>
          </cell>
          <cell r="H3828">
            <v>34000000</v>
          </cell>
          <cell r="I3828" t="str">
            <v/>
          </cell>
          <cell r="J3828" t="str">
            <v/>
          </cell>
          <cell r="K3828" t="str">
            <v/>
          </cell>
          <cell r="L3828" t="str">
            <v/>
          </cell>
        </row>
        <row r="3829">
          <cell r="A3829">
            <v>34000000</v>
          </cell>
          <cell r="C3829">
            <v>34000000</v>
          </cell>
          <cell r="D3829">
            <v>34000000</v>
          </cell>
          <cell r="E3829">
            <v>34000000</v>
          </cell>
          <cell r="F3829">
            <v>34000000</v>
          </cell>
          <cell r="G3829">
            <v>34000000</v>
          </cell>
          <cell r="H3829">
            <v>34000000</v>
          </cell>
          <cell r="I3829" t="str">
            <v/>
          </cell>
          <cell r="J3829" t="str">
            <v/>
          </cell>
          <cell r="K3829" t="str">
            <v/>
          </cell>
          <cell r="L3829" t="str">
            <v/>
          </cell>
        </row>
        <row r="3830">
          <cell r="A3830">
            <v>34000000</v>
          </cell>
          <cell r="C3830">
            <v>34000000</v>
          </cell>
          <cell r="D3830">
            <v>34000000</v>
          </cell>
          <cell r="E3830">
            <v>34000000</v>
          </cell>
          <cell r="F3830">
            <v>34000000</v>
          </cell>
          <cell r="G3830">
            <v>34000000</v>
          </cell>
          <cell r="H3830">
            <v>34000000</v>
          </cell>
          <cell r="I3830" t="str">
            <v/>
          </cell>
          <cell r="J3830" t="str">
            <v/>
          </cell>
          <cell r="K3830" t="str">
            <v/>
          </cell>
          <cell r="L3830" t="str">
            <v/>
          </cell>
        </row>
        <row r="3831">
          <cell r="A3831">
            <v>34000000</v>
          </cell>
          <cell r="C3831">
            <v>34000000</v>
          </cell>
          <cell r="D3831">
            <v>34000000</v>
          </cell>
          <cell r="E3831">
            <v>34000000</v>
          </cell>
          <cell r="F3831">
            <v>34000000</v>
          </cell>
          <cell r="G3831">
            <v>34000000</v>
          </cell>
          <cell r="H3831">
            <v>34000000</v>
          </cell>
          <cell r="I3831" t="str">
            <v/>
          </cell>
          <cell r="J3831" t="str">
            <v/>
          </cell>
          <cell r="K3831" t="str">
            <v/>
          </cell>
          <cell r="L3831" t="str">
            <v/>
          </cell>
        </row>
        <row r="3832">
          <cell r="A3832">
            <v>34000000</v>
          </cell>
          <cell r="C3832">
            <v>34000000</v>
          </cell>
          <cell r="D3832">
            <v>34000000</v>
          </cell>
          <cell r="E3832">
            <v>34000000</v>
          </cell>
          <cell r="F3832">
            <v>34000000</v>
          </cell>
          <cell r="G3832">
            <v>34000000</v>
          </cell>
          <cell r="H3832">
            <v>34000000</v>
          </cell>
          <cell r="I3832" t="str">
            <v/>
          </cell>
          <cell r="J3832" t="str">
            <v/>
          </cell>
          <cell r="K3832" t="str">
            <v/>
          </cell>
          <cell r="L3832" t="str">
            <v/>
          </cell>
        </row>
        <row r="3833">
          <cell r="A3833">
            <v>34000000</v>
          </cell>
          <cell r="C3833">
            <v>34000000</v>
          </cell>
          <cell r="D3833">
            <v>34000000</v>
          </cell>
          <cell r="E3833">
            <v>34000000</v>
          </cell>
          <cell r="F3833">
            <v>34000000</v>
          </cell>
          <cell r="G3833">
            <v>34000000</v>
          </cell>
          <cell r="H3833">
            <v>34000000</v>
          </cell>
          <cell r="I3833" t="str">
            <v/>
          </cell>
          <cell r="J3833" t="str">
            <v/>
          </cell>
          <cell r="K3833" t="str">
            <v/>
          </cell>
          <cell r="L3833" t="str">
            <v/>
          </cell>
        </row>
        <row r="3834">
          <cell r="A3834">
            <v>34000000</v>
          </cell>
          <cell r="C3834">
            <v>34000000</v>
          </cell>
          <cell r="D3834">
            <v>34000000</v>
          </cell>
          <cell r="E3834">
            <v>34000000</v>
          </cell>
          <cell r="F3834">
            <v>34000000</v>
          </cell>
          <cell r="G3834">
            <v>34000000</v>
          </cell>
          <cell r="H3834">
            <v>34000000</v>
          </cell>
          <cell r="I3834" t="str">
            <v/>
          </cell>
          <cell r="J3834" t="str">
            <v/>
          </cell>
          <cell r="K3834" t="str">
            <v/>
          </cell>
          <cell r="L3834" t="str">
            <v/>
          </cell>
        </row>
        <row r="3835">
          <cell r="A3835">
            <v>34000000</v>
          </cell>
          <cell r="C3835">
            <v>34000000</v>
          </cell>
          <cell r="D3835">
            <v>34000000</v>
          </cell>
          <cell r="E3835">
            <v>34000000</v>
          </cell>
          <cell r="F3835">
            <v>34000000</v>
          </cell>
          <cell r="G3835">
            <v>34000000</v>
          </cell>
          <cell r="H3835">
            <v>34000000</v>
          </cell>
          <cell r="I3835" t="str">
            <v/>
          </cell>
          <cell r="J3835" t="str">
            <v/>
          </cell>
          <cell r="K3835" t="str">
            <v/>
          </cell>
          <cell r="L3835" t="str">
            <v/>
          </cell>
        </row>
        <row r="3836">
          <cell r="A3836">
            <v>34000000</v>
          </cell>
          <cell r="C3836">
            <v>34000000</v>
          </cell>
          <cell r="D3836">
            <v>34000000</v>
          </cell>
          <cell r="E3836">
            <v>34000000</v>
          </cell>
          <cell r="F3836">
            <v>34000000</v>
          </cell>
          <cell r="G3836">
            <v>34000000</v>
          </cell>
          <cell r="H3836">
            <v>34000000</v>
          </cell>
          <cell r="I3836" t="str">
            <v/>
          </cell>
          <cell r="J3836" t="str">
            <v/>
          </cell>
          <cell r="K3836" t="str">
            <v/>
          </cell>
          <cell r="L3836" t="str">
            <v/>
          </cell>
        </row>
        <row r="3837">
          <cell r="A3837">
            <v>34000000</v>
          </cell>
          <cell r="C3837">
            <v>34000000</v>
          </cell>
          <cell r="D3837">
            <v>34000000</v>
          </cell>
          <cell r="E3837">
            <v>34000000</v>
          </cell>
          <cell r="F3837">
            <v>34000000</v>
          </cell>
          <cell r="G3837">
            <v>34000000</v>
          </cell>
          <cell r="H3837">
            <v>34000000</v>
          </cell>
          <cell r="I3837" t="str">
            <v/>
          </cell>
          <cell r="J3837" t="str">
            <v/>
          </cell>
          <cell r="K3837" t="str">
            <v/>
          </cell>
          <cell r="L3837" t="str">
            <v/>
          </cell>
        </row>
        <row r="3838">
          <cell r="A3838">
            <v>34000000</v>
          </cell>
          <cell r="C3838">
            <v>34000000</v>
          </cell>
          <cell r="D3838">
            <v>34000000</v>
          </cell>
          <cell r="E3838">
            <v>34000000</v>
          </cell>
          <cell r="F3838">
            <v>34000000</v>
          </cell>
          <cell r="G3838">
            <v>34000000</v>
          </cell>
          <cell r="H3838">
            <v>34000000</v>
          </cell>
          <cell r="I3838" t="str">
            <v/>
          </cell>
          <cell r="J3838" t="str">
            <v/>
          </cell>
          <cell r="K3838" t="str">
            <v/>
          </cell>
          <cell r="L3838" t="str">
            <v/>
          </cell>
        </row>
        <row r="3839">
          <cell r="A3839">
            <v>34000000</v>
          </cell>
          <cell r="C3839">
            <v>34000000</v>
          </cell>
          <cell r="D3839">
            <v>34000000</v>
          </cell>
          <cell r="E3839">
            <v>34000000</v>
          </cell>
          <cell r="F3839">
            <v>34000000</v>
          </cell>
          <cell r="G3839">
            <v>34000000</v>
          </cell>
          <cell r="H3839">
            <v>34000000</v>
          </cell>
          <cell r="I3839" t="str">
            <v/>
          </cell>
          <cell r="J3839" t="str">
            <v/>
          </cell>
          <cell r="K3839" t="str">
            <v/>
          </cell>
          <cell r="L3839" t="str">
            <v/>
          </cell>
        </row>
        <row r="3840">
          <cell r="A3840">
            <v>34000000</v>
          </cell>
          <cell r="C3840">
            <v>34000000</v>
          </cell>
          <cell r="D3840">
            <v>34000000</v>
          </cell>
          <cell r="E3840">
            <v>34000000</v>
          </cell>
          <cell r="F3840">
            <v>34000000</v>
          </cell>
          <cell r="G3840">
            <v>34000000</v>
          </cell>
          <cell r="H3840">
            <v>34000000</v>
          </cell>
          <cell r="I3840" t="str">
            <v/>
          </cell>
          <cell r="J3840" t="str">
            <v/>
          </cell>
          <cell r="K3840" t="str">
            <v/>
          </cell>
          <cell r="L3840" t="str">
            <v/>
          </cell>
        </row>
        <row r="3841">
          <cell r="A3841">
            <v>34000000</v>
          </cell>
          <cell r="C3841">
            <v>34000000</v>
          </cell>
          <cell r="D3841">
            <v>34000000</v>
          </cell>
          <cell r="E3841">
            <v>34000000</v>
          </cell>
          <cell r="F3841">
            <v>34000000</v>
          </cell>
          <cell r="G3841">
            <v>34000000</v>
          </cell>
          <cell r="H3841">
            <v>34000000</v>
          </cell>
          <cell r="I3841" t="str">
            <v/>
          </cell>
          <cell r="J3841" t="str">
            <v/>
          </cell>
          <cell r="K3841" t="str">
            <v/>
          </cell>
          <cell r="L3841" t="str">
            <v/>
          </cell>
        </row>
        <row r="3842">
          <cell r="A3842">
            <v>34000000</v>
          </cell>
          <cell r="C3842">
            <v>34000000</v>
          </cell>
          <cell r="D3842">
            <v>34000000</v>
          </cell>
          <cell r="E3842">
            <v>34000000</v>
          </cell>
          <cell r="F3842">
            <v>34000000</v>
          </cell>
          <cell r="G3842">
            <v>34000000</v>
          </cell>
          <cell r="H3842">
            <v>34000000</v>
          </cell>
          <cell r="I3842" t="str">
            <v/>
          </cell>
          <cell r="J3842" t="str">
            <v/>
          </cell>
          <cell r="K3842" t="str">
            <v/>
          </cell>
          <cell r="L3842" t="str">
            <v/>
          </cell>
        </row>
        <row r="3843">
          <cell r="A3843">
            <v>34000000</v>
          </cell>
          <cell r="C3843">
            <v>34000000</v>
          </cell>
          <cell r="D3843">
            <v>34000000</v>
          </cell>
          <cell r="E3843">
            <v>34000000</v>
          </cell>
          <cell r="F3843">
            <v>34000000</v>
          </cell>
          <cell r="G3843">
            <v>34000000</v>
          </cell>
          <cell r="H3843">
            <v>34000000</v>
          </cell>
          <cell r="I3843" t="str">
            <v/>
          </cell>
          <cell r="J3843" t="str">
            <v/>
          </cell>
          <cell r="K3843" t="str">
            <v/>
          </cell>
          <cell r="L3843" t="str">
            <v/>
          </cell>
        </row>
        <row r="3844">
          <cell r="A3844">
            <v>34000000</v>
          </cell>
          <cell r="C3844">
            <v>34000000</v>
          </cell>
          <cell r="D3844">
            <v>34000000</v>
          </cell>
          <cell r="E3844">
            <v>34000000</v>
          </cell>
          <cell r="F3844">
            <v>34000000</v>
          </cell>
          <cell r="G3844">
            <v>34000000</v>
          </cell>
          <cell r="H3844">
            <v>34000000</v>
          </cell>
          <cell r="I3844" t="str">
            <v/>
          </cell>
          <cell r="J3844" t="str">
            <v/>
          </cell>
          <cell r="K3844" t="str">
            <v/>
          </cell>
          <cell r="L3844" t="str">
            <v/>
          </cell>
        </row>
        <row r="3845">
          <cell r="A3845">
            <v>34000000</v>
          </cell>
          <cell r="C3845">
            <v>34000000</v>
          </cell>
          <cell r="D3845">
            <v>34000000</v>
          </cell>
          <cell r="E3845">
            <v>34000000</v>
          </cell>
          <cell r="F3845">
            <v>34000000</v>
          </cell>
          <cell r="G3845">
            <v>34000000</v>
          </cell>
          <cell r="H3845">
            <v>34000000</v>
          </cell>
          <cell r="I3845" t="str">
            <v/>
          </cell>
          <cell r="J3845" t="str">
            <v/>
          </cell>
          <cell r="K3845" t="str">
            <v/>
          </cell>
          <cell r="L3845" t="str">
            <v/>
          </cell>
        </row>
        <row r="3846">
          <cell r="A3846">
            <v>34000000</v>
          </cell>
          <cell r="C3846">
            <v>34000000</v>
          </cell>
          <cell r="D3846">
            <v>34000000</v>
          </cell>
          <cell r="E3846">
            <v>34000000</v>
          </cell>
          <cell r="F3846">
            <v>34000000</v>
          </cell>
          <cell r="G3846">
            <v>34000000</v>
          </cell>
          <cell r="H3846">
            <v>34000000</v>
          </cell>
          <cell r="I3846" t="str">
            <v/>
          </cell>
          <cell r="J3846" t="str">
            <v/>
          </cell>
          <cell r="K3846" t="str">
            <v/>
          </cell>
          <cell r="L3846" t="str">
            <v/>
          </cell>
        </row>
        <row r="3847">
          <cell r="A3847">
            <v>34000000</v>
          </cell>
          <cell r="C3847">
            <v>34000000</v>
          </cell>
          <cell r="D3847">
            <v>34000000</v>
          </cell>
          <cell r="E3847">
            <v>34000000</v>
          </cell>
          <cell r="F3847">
            <v>34000000</v>
          </cell>
          <cell r="G3847">
            <v>34000000</v>
          </cell>
          <cell r="H3847">
            <v>34000000</v>
          </cell>
          <cell r="I3847" t="str">
            <v/>
          </cell>
          <cell r="J3847" t="str">
            <v/>
          </cell>
          <cell r="K3847" t="str">
            <v/>
          </cell>
          <cell r="L3847" t="str">
            <v/>
          </cell>
        </row>
        <row r="3848">
          <cell r="A3848">
            <v>34000000</v>
          </cell>
          <cell r="C3848">
            <v>34000000</v>
          </cell>
          <cell r="D3848">
            <v>34000000</v>
          </cell>
          <cell r="E3848">
            <v>34000000</v>
          </cell>
          <cell r="F3848">
            <v>34000000</v>
          </cell>
          <cell r="G3848">
            <v>34000000</v>
          </cell>
          <cell r="H3848">
            <v>34000000</v>
          </cell>
          <cell r="I3848" t="str">
            <v/>
          </cell>
          <cell r="J3848" t="str">
            <v/>
          </cell>
          <cell r="K3848" t="str">
            <v/>
          </cell>
          <cell r="L3848" t="str">
            <v/>
          </cell>
        </row>
        <row r="3849">
          <cell r="A3849">
            <v>34000000</v>
          </cell>
          <cell r="C3849">
            <v>34000000</v>
          </cell>
          <cell r="D3849">
            <v>34000000</v>
          </cell>
          <cell r="E3849">
            <v>34000000</v>
          </cell>
          <cell r="F3849">
            <v>34000000</v>
          </cell>
          <cell r="G3849">
            <v>34000000</v>
          </cell>
          <cell r="H3849">
            <v>34000000</v>
          </cell>
          <cell r="I3849" t="str">
            <v/>
          </cell>
          <cell r="J3849" t="str">
            <v/>
          </cell>
          <cell r="K3849" t="str">
            <v/>
          </cell>
          <cell r="L3849" t="str">
            <v/>
          </cell>
        </row>
        <row r="3850">
          <cell r="A3850">
            <v>34000000</v>
          </cell>
          <cell r="C3850">
            <v>34000000</v>
          </cell>
          <cell r="D3850">
            <v>34000000</v>
          </cell>
          <cell r="E3850">
            <v>34000000</v>
          </cell>
          <cell r="F3850">
            <v>34000000</v>
          </cell>
          <cell r="G3850">
            <v>34000000</v>
          </cell>
          <cell r="H3850">
            <v>34000000</v>
          </cell>
          <cell r="I3850" t="str">
            <v/>
          </cell>
          <cell r="J3850" t="str">
            <v/>
          </cell>
          <cell r="K3850" t="str">
            <v/>
          </cell>
          <cell r="L3850" t="str">
            <v/>
          </cell>
        </row>
        <row r="3851">
          <cell r="A3851">
            <v>34000000</v>
          </cell>
          <cell r="C3851">
            <v>34000000</v>
          </cell>
          <cell r="D3851">
            <v>34000000</v>
          </cell>
          <cell r="E3851">
            <v>34000000</v>
          </cell>
          <cell r="F3851">
            <v>34000000</v>
          </cell>
          <cell r="G3851">
            <v>34000000</v>
          </cell>
          <cell r="H3851">
            <v>34000000</v>
          </cell>
          <cell r="I3851" t="str">
            <v/>
          </cell>
          <cell r="J3851" t="str">
            <v/>
          </cell>
          <cell r="K3851" t="str">
            <v/>
          </cell>
          <cell r="L3851" t="str">
            <v/>
          </cell>
        </row>
        <row r="3852">
          <cell r="A3852">
            <v>34000000</v>
          </cell>
          <cell r="C3852">
            <v>34000000</v>
          </cell>
          <cell r="D3852">
            <v>34000000</v>
          </cell>
          <cell r="E3852">
            <v>34000000</v>
          </cell>
          <cell r="F3852">
            <v>34000000</v>
          </cell>
          <cell r="G3852">
            <v>34000000</v>
          </cell>
          <cell r="H3852">
            <v>34000000</v>
          </cell>
          <cell r="I3852" t="str">
            <v/>
          </cell>
          <cell r="J3852" t="str">
            <v/>
          </cell>
          <cell r="K3852" t="str">
            <v/>
          </cell>
          <cell r="L3852" t="str">
            <v/>
          </cell>
        </row>
        <row r="3853">
          <cell r="A3853">
            <v>34000000</v>
          </cell>
          <cell r="C3853">
            <v>34000000</v>
          </cell>
          <cell r="D3853">
            <v>34000000</v>
          </cell>
          <cell r="E3853">
            <v>34000000</v>
          </cell>
          <cell r="F3853">
            <v>34000000</v>
          </cell>
          <cell r="G3853">
            <v>34000000</v>
          </cell>
          <cell r="H3853">
            <v>34000000</v>
          </cell>
          <cell r="I3853" t="str">
            <v/>
          </cell>
          <cell r="J3853" t="str">
            <v/>
          </cell>
          <cell r="K3853" t="str">
            <v/>
          </cell>
          <cell r="L3853" t="str">
            <v/>
          </cell>
        </row>
        <row r="3854">
          <cell r="A3854">
            <v>34000000</v>
          </cell>
          <cell r="C3854">
            <v>34000000</v>
          </cell>
          <cell r="D3854">
            <v>34000000</v>
          </cell>
          <cell r="E3854">
            <v>34000000</v>
          </cell>
          <cell r="F3854">
            <v>34000000</v>
          </cell>
          <cell r="G3854">
            <v>34000000</v>
          </cell>
          <cell r="H3854">
            <v>34000000</v>
          </cell>
          <cell r="I3854" t="str">
            <v/>
          </cell>
          <cell r="J3854" t="str">
            <v/>
          </cell>
          <cell r="K3854" t="str">
            <v/>
          </cell>
          <cell r="L3854" t="str">
            <v/>
          </cell>
        </row>
        <row r="3855">
          <cell r="A3855">
            <v>34000000</v>
          </cell>
          <cell r="C3855">
            <v>34000000</v>
          </cell>
          <cell r="D3855">
            <v>34000000</v>
          </cell>
          <cell r="E3855">
            <v>34000000</v>
          </cell>
          <cell r="F3855">
            <v>34000000</v>
          </cell>
          <cell r="G3855">
            <v>34000000</v>
          </cell>
          <cell r="H3855">
            <v>34000000</v>
          </cell>
          <cell r="I3855" t="str">
            <v/>
          </cell>
          <cell r="J3855" t="str">
            <v/>
          </cell>
          <cell r="K3855" t="str">
            <v/>
          </cell>
          <cell r="L3855" t="str">
            <v/>
          </cell>
        </row>
        <row r="3856">
          <cell r="A3856">
            <v>34000000</v>
          </cell>
          <cell r="C3856">
            <v>34000000</v>
          </cell>
          <cell r="D3856">
            <v>34000000</v>
          </cell>
          <cell r="E3856">
            <v>34000000</v>
          </cell>
          <cell r="F3856">
            <v>34000000</v>
          </cell>
          <cell r="G3856">
            <v>34000000</v>
          </cell>
          <cell r="H3856">
            <v>34000000</v>
          </cell>
          <cell r="I3856" t="str">
            <v/>
          </cell>
          <cell r="J3856" t="str">
            <v/>
          </cell>
          <cell r="K3856" t="str">
            <v/>
          </cell>
          <cell r="L3856" t="str">
            <v/>
          </cell>
        </row>
        <row r="3857">
          <cell r="A3857">
            <v>34000000</v>
          </cell>
          <cell r="C3857">
            <v>34000000</v>
          </cell>
          <cell r="D3857">
            <v>34000000</v>
          </cell>
          <cell r="E3857">
            <v>34000000</v>
          </cell>
          <cell r="F3857">
            <v>34000000</v>
          </cell>
          <cell r="G3857">
            <v>34000000</v>
          </cell>
          <cell r="H3857">
            <v>34000000</v>
          </cell>
          <cell r="I3857" t="str">
            <v/>
          </cell>
          <cell r="J3857" t="str">
            <v/>
          </cell>
          <cell r="K3857" t="str">
            <v/>
          </cell>
          <cell r="L3857" t="str">
            <v/>
          </cell>
        </row>
        <row r="3858">
          <cell r="A3858">
            <v>34000000</v>
          </cell>
          <cell r="C3858">
            <v>34000000</v>
          </cell>
          <cell r="D3858">
            <v>34000000</v>
          </cell>
          <cell r="E3858">
            <v>34000000</v>
          </cell>
          <cell r="F3858">
            <v>34000000</v>
          </cell>
          <cell r="G3858">
            <v>34000000</v>
          </cell>
          <cell r="H3858">
            <v>34000000</v>
          </cell>
          <cell r="I3858" t="str">
            <v/>
          </cell>
          <cell r="J3858" t="str">
            <v/>
          </cell>
          <cell r="K3858" t="str">
            <v/>
          </cell>
          <cell r="L3858" t="str">
            <v/>
          </cell>
        </row>
        <row r="3859">
          <cell r="A3859">
            <v>34000000</v>
          </cell>
          <cell r="C3859">
            <v>34000000</v>
          </cell>
          <cell r="D3859">
            <v>34000000</v>
          </cell>
          <cell r="E3859">
            <v>34000000</v>
          </cell>
          <cell r="F3859">
            <v>34000000</v>
          </cell>
          <cell r="G3859">
            <v>34000000</v>
          </cell>
          <cell r="H3859">
            <v>34000000</v>
          </cell>
          <cell r="I3859" t="str">
            <v/>
          </cell>
          <cell r="J3859" t="str">
            <v/>
          </cell>
          <cell r="K3859" t="str">
            <v/>
          </cell>
          <cell r="L3859" t="str">
            <v/>
          </cell>
        </row>
        <row r="3860">
          <cell r="A3860">
            <v>34000000</v>
          </cell>
          <cell r="C3860">
            <v>34000000</v>
          </cell>
          <cell r="D3860">
            <v>34000000</v>
          </cell>
          <cell r="E3860">
            <v>34000000</v>
          </cell>
          <cell r="F3860">
            <v>34000000</v>
          </cell>
          <cell r="G3860">
            <v>34000000</v>
          </cell>
          <cell r="H3860">
            <v>34000000</v>
          </cell>
          <cell r="I3860" t="str">
            <v/>
          </cell>
          <cell r="J3860" t="str">
            <v/>
          </cell>
          <cell r="K3860" t="str">
            <v/>
          </cell>
          <cell r="L3860" t="str">
            <v/>
          </cell>
        </row>
        <row r="3861">
          <cell r="A3861">
            <v>34000000</v>
          </cell>
          <cell r="C3861">
            <v>34000000</v>
          </cell>
          <cell r="D3861">
            <v>34000000</v>
          </cell>
          <cell r="E3861">
            <v>34000000</v>
          </cell>
          <cell r="F3861">
            <v>34000000</v>
          </cell>
          <cell r="G3861">
            <v>34000000</v>
          </cell>
          <cell r="H3861">
            <v>34000000</v>
          </cell>
          <cell r="I3861" t="str">
            <v/>
          </cell>
          <cell r="J3861" t="str">
            <v/>
          </cell>
          <cell r="K3861" t="str">
            <v/>
          </cell>
          <cell r="L3861" t="str">
            <v/>
          </cell>
        </row>
        <row r="3862">
          <cell r="A3862">
            <v>34000000</v>
          </cell>
          <cell r="C3862">
            <v>34000000</v>
          </cell>
          <cell r="D3862">
            <v>34000000</v>
          </cell>
          <cell r="E3862">
            <v>34000000</v>
          </cell>
          <cell r="F3862">
            <v>34000000</v>
          </cell>
          <cell r="G3862">
            <v>34000000</v>
          </cell>
          <cell r="H3862">
            <v>34000000</v>
          </cell>
          <cell r="I3862" t="str">
            <v/>
          </cell>
          <cell r="J3862" t="str">
            <v/>
          </cell>
          <cell r="K3862" t="str">
            <v/>
          </cell>
          <cell r="L3862" t="str">
            <v/>
          </cell>
        </row>
        <row r="3863">
          <cell r="A3863">
            <v>34000000</v>
          </cell>
          <cell r="C3863">
            <v>34000000</v>
          </cell>
          <cell r="D3863">
            <v>34000000</v>
          </cell>
          <cell r="E3863">
            <v>34000000</v>
          </cell>
          <cell r="F3863">
            <v>34000000</v>
          </cell>
          <cell r="G3863">
            <v>34000000</v>
          </cell>
          <cell r="H3863">
            <v>34000000</v>
          </cell>
          <cell r="I3863" t="str">
            <v/>
          </cell>
          <cell r="J3863" t="str">
            <v/>
          </cell>
          <cell r="K3863" t="str">
            <v/>
          </cell>
          <cell r="L3863" t="str">
            <v/>
          </cell>
        </row>
        <row r="3864">
          <cell r="A3864">
            <v>34000000</v>
          </cell>
          <cell r="C3864">
            <v>34000000</v>
          </cell>
          <cell r="D3864">
            <v>34000000</v>
          </cell>
          <cell r="E3864">
            <v>34000000</v>
          </cell>
          <cell r="F3864">
            <v>34000000</v>
          </cell>
          <cell r="G3864">
            <v>34000000</v>
          </cell>
          <cell r="H3864">
            <v>34000000</v>
          </cell>
          <cell r="I3864" t="str">
            <v/>
          </cell>
          <cell r="J3864" t="str">
            <v/>
          </cell>
          <cell r="K3864" t="str">
            <v/>
          </cell>
          <cell r="L3864" t="str">
            <v/>
          </cell>
        </row>
        <row r="3865">
          <cell r="A3865">
            <v>34000000</v>
          </cell>
          <cell r="C3865">
            <v>34000000</v>
          </cell>
          <cell r="D3865">
            <v>34000000</v>
          </cell>
          <cell r="E3865">
            <v>34000000</v>
          </cell>
          <cell r="F3865">
            <v>34000000</v>
          </cell>
          <cell r="G3865">
            <v>34000000</v>
          </cell>
          <cell r="H3865">
            <v>34000000</v>
          </cell>
          <cell r="I3865" t="str">
            <v/>
          </cell>
          <cell r="J3865" t="str">
            <v/>
          </cell>
          <cell r="K3865" t="str">
            <v/>
          </cell>
          <cell r="L3865" t="str">
            <v/>
          </cell>
        </row>
        <row r="3866">
          <cell r="A3866">
            <v>34000000</v>
          </cell>
          <cell r="C3866">
            <v>34000000</v>
          </cell>
          <cell r="D3866">
            <v>34000000</v>
          </cell>
          <cell r="E3866">
            <v>34000000</v>
          </cell>
          <cell r="F3866">
            <v>34000000</v>
          </cell>
          <cell r="G3866">
            <v>34000000</v>
          </cell>
          <cell r="H3866">
            <v>34000000</v>
          </cell>
          <cell r="I3866" t="str">
            <v/>
          </cell>
          <cell r="J3866" t="str">
            <v/>
          </cell>
          <cell r="K3866" t="str">
            <v/>
          </cell>
          <cell r="L3866" t="str">
            <v/>
          </cell>
        </row>
        <row r="3867">
          <cell r="A3867">
            <v>34000000</v>
          </cell>
          <cell r="C3867">
            <v>34000000</v>
          </cell>
          <cell r="D3867">
            <v>34000000</v>
          </cell>
          <cell r="E3867">
            <v>34000000</v>
          </cell>
          <cell r="F3867">
            <v>34000000</v>
          </cell>
          <cell r="G3867">
            <v>34000000</v>
          </cell>
          <cell r="H3867">
            <v>34000000</v>
          </cell>
          <cell r="I3867" t="str">
            <v/>
          </cell>
          <cell r="J3867" t="str">
            <v/>
          </cell>
          <cell r="K3867" t="str">
            <v/>
          </cell>
          <cell r="L3867" t="str">
            <v/>
          </cell>
        </row>
        <row r="3868">
          <cell r="A3868">
            <v>34000000</v>
          </cell>
          <cell r="C3868">
            <v>34000000</v>
          </cell>
          <cell r="D3868">
            <v>34000000</v>
          </cell>
          <cell r="E3868">
            <v>34000000</v>
          </cell>
          <cell r="F3868">
            <v>34000000</v>
          </cell>
          <cell r="G3868">
            <v>34000000</v>
          </cell>
          <cell r="H3868">
            <v>34000000</v>
          </cell>
          <cell r="I3868" t="str">
            <v/>
          </cell>
          <cell r="J3868" t="str">
            <v/>
          </cell>
          <cell r="K3868" t="str">
            <v/>
          </cell>
          <cell r="L3868" t="str">
            <v/>
          </cell>
        </row>
        <row r="3869">
          <cell r="A3869">
            <v>34000000</v>
          </cell>
          <cell r="C3869">
            <v>34000000</v>
          </cell>
          <cell r="D3869">
            <v>34000000</v>
          </cell>
          <cell r="E3869">
            <v>34000000</v>
          </cell>
          <cell r="F3869">
            <v>34000000</v>
          </cell>
          <cell r="G3869">
            <v>34000000</v>
          </cell>
          <cell r="H3869">
            <v>34000000</v>
          </cell>
          <cell r="I3869" t="str">
            <v/>
          </cell>
          <cell r="J3869" t="str">
            <v/>
          </cell>
          <cell r="K3869" t="str">
            <v/>
          </cell>
          <cell r="L3869" t="str">
            <v/>
          </cell>
        </row>
        <row r="3870">
          <cell r="A3870">
            <v>34000000</v>
          </cell>
          <cell r="C3870">
            <v>34000000</v>
          </cell>
          <cell r="D3870">
            <v>34000000</v>
          </cell>
          <cell r="E3870">
            <v>34000000</v>
          </cell>
          <cell r="F3870">
            <v>34000000</v>
          </cell>
          <cell r="G3870">
            <v>34000000</v>
          </cell>
          <cell r="H3870">
            <v>34000000</v>
          </cell>
          <cell r="I3870" t="str">
            <v/>
          </cell>
          <cell r="J3870" t="str">
            <v/>
          </cell>
          <cell r="K3870" t="str">
            <v/>
          </cell>
          <cell r="L3870" t="str">
            <v/>
          </cell>
        </row>
        <row r="3871">
          <cell r="A3871">
            <v>34000000</v>
          </cell>
          <cell r="C3871">
            <v>34000000</v>
          </cell>
          <cell r="D3871">
            <v>34000000</v>
          </cell>
          <cell r="E3871">
            <v>34000000</v>
          </cell>
          <cell r="F3871">
            <v>34000000</v>
          </cell>
          <cell r="G3871">
            <v>34000000</v>
          </cell>
          <cell r="H3871">
            <v>34000000</v>
          </cell>
          <cell r="I3871" t="str">
            <v/>
          </cell>
          <cell r="J3871" t="str">
            <v/>
          </cell>
          <cell r="K3871" t="str">
            <v/>
          </cell>
          <cell r="L3871" t="str">
            <v/>
          </cell>
        </row>
        <row r="3872">
          <cell r="A3872">
            <v>34000000</v>
          </cell>
          <cell r="C3872">
            <v>34000000</v>
          </cell>
          <cell r="D3872">
            <v>34000000</v>
          </cell>
          <cell r="E3872">
            <v>34000000</v>
          </cell>
          <cell r="F3872">
            <v>34000000</v>
          </cell>
          <cell r="G3872">
            <v>34000000</v>
          </cell>
          <cell r="H3872">
            <v>34000000</v>
          </cell>
          <cell r="I3872" t="str">
            <v/>
          </cell>
          <cell r="J3872" t="str">
            <v/>
          </cell>
          <cell r="K3872" t="str">
            <v/>
          </cell>
          <cell r="L3872" t="str">
            <v/>
          </cell>
        </row>
        <row r="3873">
          <cell r="A3873">
            <v>34000000</v>
          </cell>
          <cell r="C3873">
            <v>34000000</v>
          </cell>
          <cell r="D3873">
            <v>34000000</v>
          </cell>
          <cell r="E3873">
            <v>34000000</v>
          </cell>
          <cell r="F3873">
            <v>34000000</v>
          </cell>
          <cell r="G3873">
            <v>34000000</v>
          </cell>
          <cell r="H3873">
            <v>34000000</v>
          </cell>
          <cell r="I3873" t="str">
            <v/>
          </cell>
          <cell r="J3873" t="str">
            <v/>
          </cell>
          <cell r="K3873" t="str">
            <v/>
          </cell>
          <cell r="L3873" t="str">
            <v/>
          </cell>
        </row>
        <row r="3874">
          <cell r="A3874">
            <v>34000000</v>
          </cell>
          <cell r="C3874">
            <v>34000000</v>
          </cell>
          <cell r="D3874">
            <v>34000000</v>
          </cell>
          <cell r="E3874">
            <v>34000000</v>
          </cell>
          <cell r="F3874">
            <v>34000000</v>
          </cell>
          <cell r="G3874">
            <v>34000000</v>
          </cell>
          <cell r="H3874">
            <v>34000000</v>
          </cell>
          <cell r="I3874" t="str">
            <v/>
          </cell>
          <cell r="J3874" t="str">
            <v/>
          </cell>
          <cell r="K3874" t="str">
            <v/>
          </cell>
          <cell r="L3874" t="str">
            <v/>
          </cell>
        </row>
        <row r="3875">
          <cell r="A3875">
            <v>34000000</v>
          </cell>
          <cell r="C3875">
            <v>34000000</v>
          </cell>
          <cell r="D3875">
            <v>34000000</v>
          </cell>
          <cell r="E3875">
            <v>34000000</v>
          </cell>
          <cell r="F3875">
            <v>34000000</v>
          </cell>
          <cell r="G3875">
            <v>34000000</v>
          </cell>
          <cell r="H3875">
            <v>34000000</v>
          </cell>
          <cell r="I3875" t="str">
            <v/>
          </cell>
          <cell r="J3875" t="str">
            <v/>
          </cell>
          <cell r="K3875" t="str">
            <v/>
          </cell>
          <cell r="L3875" t="str">
            <v/>
          </cell>
        </row>
        <row r="3876">
          <cell r="A3876">
            <v>34000000</v>
          </cell>
          <cell r="C3876">
            <v>34000000</v>
          </cell>
          <cell r="D3876">
            <v>34000000</v>
          </cell>
          <cell r="E3876">
            <v>34000000</v>
          </cell>
          <cell r="F3876">
            <v>34000000</v>
          </cell>
          <cell r="G3876">
            <v>34000000</v>
          </cell>
          <cell r="H3876">
            <v>34000000</v>
          </cell>
          <cell r="I3876" t="str">
            <v/>
          </cell>
          <cell r="J3876" t="str">
            <v/>
          </cell>
          <cell r="K3876" t="str">
            <v/>
          </cell>
          <cell r="L3876" t="str">
            <v/>
          </cell>
        </row>
        <row r="3877">
          <cell r="A3877">
            <v>34000000</v>
          </cell>
          <cell r="C3877">
            <v>34000000</v>
          </cell>
          <cell r="D3877">
            <v>34000000</v>
          </cell>
          <cell r="E3877">
            <v>34000000</v>
          </cell>
          <cell r="F3877">
            <v>34000000</v>
          </cell>
          <cell r="G3877">
            <v>34000000</v>
          </cell>
          <cell r="H3877">
            <v>34000000</v>
          </cell>
          <cell r="I3877" t="str">
            <v/>
          </cell>
          <cell r="J3877" t="str">
            <v/>
          </cell>
          <cell r="K3877" t="str">
            <v/>
          </cell>
          <cell r="L3877" t="str">
            <v/>
          </cell>
        </row>
        <row r="3878">
          <cell r="A3878">
            <v>34000000</v>
          </cell>
          <cell r="C3878">
            <v>34000000</v>
          </cell>
          <cell r="D3878">
            <v>34000000</v>
          </cell>
          <cell r="E3878">
            <v>34000000</v>
          </cell>
          <cell r="F3878">
            <v>34000000</v>
          </cell>
          <cell r="G3878">
            <v>34000000</v>
          </cell>
          <cell r="H3878">
            <v>34000000</v>
          </cell>
          <cell r="I3878" t="str">
            <v/>
          </cell>
          <cell r="J3878" t="str">
            <v/>
          </cell>
          <cell r="K3878" t="str">
            <v/>
          </cell>
          <cell r="L3878" t="str">
            <v/>
          </cell>
        </row>
        <row r="3879">
          <cell r="A3879">
            <v>34000000</v>
          </cell>
          <cell r="C3879">
            <v>34000000</v>
          </cell>
          <cell r="D3879">
            <v>34000000</v>
          </cell>
          <cell r="E3879">
            <v>34000000</v>
          </cell>
          <cell r="F3879">
            <v>34000000</v>
          </cell>
          <cell r="G3879">
            <v>34000000</v>
          </cell>
          <cell r="H3879">
            <v>34000000</v>
          </cell>
          <cell r="I3879" t="str">
            <v/>
          </cell>
          <cell r="J3879" t="str">
            <v/>
          </cell>
          <cell r="K3879" t="str">
            <v/>
          </cell>
          <cell r="L3879" t="str">
            <v/>
          </cell>
        </row>
        <row r="3880">
          <cell r="A3880">
            <v>34000000</v>
          </cell>
          <cell r="C3880">
            <v>34000000</v>
          </cell>
          <cell r="D3880">
            <v>34000000</v>
          </cell>
          <cell r="E3880">
            <v>34000000</v>
          </cell>
          <cell r="F3880">
            <v>34000000</v>
          </cell>
          <cell r="G3880">
            <v>34000000</v>
          </cell>
          <cell r="H3880">
            <v>34000000</v>
          </cell>
          <cell r="I3880" t="str">
            <v/>
          </cell>
          <cell r="J3880" t="str">
            <v/>
          </cell>
          <cell r="K3880" t="str">
            <v/>
          </cell>
          <cell r="L3880" t="str">
            <v/>
          </cell>
        </row>
        <row r="3881">
          <cell r="A3881">
            <v>34000000</v>
          </cell>
          <cell r="C3881">
            <v>34000000</v>
          </cell>
          <cell r="D3881">
            <v>34000000</v>
          </cell>
          <cell r="E3881">
            <v>34000000</v>
          </cell>
          <cell r="F3881">
            <v>34000000</v>
          </cell>
          <cell r="G3881">
            <v>34000000</v>
          </cell>
          <cell r="H3881">
            <v>34000000</v>
          </cell>
          <cell r="I3881" t="str">
            <v/>
          </cell>
          <cell r="J3881" t="str">
            <v/>
          </cell>
          <cell r="K3881" t="str">
            <v/>
          </cell>
          <cell r="L3881" t="str">
            <v/>
          </cell>
        </row>
        <row r="3882">
          <cell r="A3882">
            <v>34000000</v>
          </cell>
          <cell r="C3882">
            <v>34000000</v>
          </cell>
          <cell r="D3882">
            <v>34000000</v>
          </cell>
          <cell r="E3882">
            <v>34000000</v>
          </cell>
          <cell r="F3882">
            <v>34000000</v>
          </cell>
          <cell r="G3882">
            <v>34000000</v>
          </cell>
          <cell r="H3882">
            <v>34000000</v>
          </cell>
          <cell r="I3882" t="str">
            <v/>
          </cell>
          <cell r="J3882" t="str">
            <v/>
          </cell>
          <cell r="K3882" t="str">
            <v/>
          </cell>
          <cell r="L3882" t="str">
            <v/>
          </cell>
        </row>
        <row r="3883">
          <cell r="A3883">
            <v>34000000</v>
          </cell>
          <cell r="C3883">
            <v>34000000</v>
          </cell>
          <cell r="D3883">
            <v>34000000</v>
          </cell>
          <cell r="E3883">
            <v>34000000</v>
          </cell>
          <cell r="F3883">
            <v>34000000</v>
          </cell>
          <cell r="G3883">
            <v>34000000</v>
          </cell>
          <cell r="H3883">
            <v>34000000</v>
          </cell>
          <cell r="I3883" t="str">
            <v/>
          </cell>
          <cell r="J3883" t="str">
            <v/>
          </cell>
          <cell r="K3883" t="str">
            <v/>
          </cell>
          <cell r="L3883" t="str">
            <v/>
          </cell>
        </row>
        <row r="3884">
          <cell r="A3884">
            <v>34000000</v>
          </cell>
          <cell r="C3884">
            <v>34000000</v>
          </cell>
          <cell r="D3884">
            <v>34000000</v>
          </cell>
          <cell r="E3884">
            <v>34000000</v>
          </cell>
          <cell r="F3884">
            <v>34000000</v>
          </cell>
          <cell r="G3884">
            <v>34000000</v>
          </cell>
          <cell r="H3884">
            <v>34000000</v>
          </cell>
          <cell r="I3884" t="str">
            <v/>
          </cell>
          <cell r="J3884" t="str">
            <v/>
          </cell>
          <cell r="K3884" t="str">
            <v/>
          </cell>
          <cell r="L3884" t="str">
            <v/>
          </cell>
        </row>
        <row r="3885">
          <cell r="A3885">
            <v>34000000</v>
          </cell>
          <cell r="C3885">
            <v>34000000</v>
          </cell>
          <cell r="D3885">
            <v>34000000</v>
          </cell>
          <cell r="E3885">
            <v>34000000</v>
          </cell>
          <cell r="F3885">
            <v>34000000</v>
          </cell>
          <cell r="G3885">
            <v>34000000</v>
          </cell>
          <cell r="H3885">
            <v>34000000</v>
          </cell>
          <cell r="I3885" t="str">
            <v/>
          </cell>
          <cell r="J3885" t="str">
            <v/>
          </cell>
          <cell r="K3885" t="str">
            <v/>
          </cell>
          <cell r="L3885" t="str">
            <v/>
          </cell>
        </row>
        <row r="3886">
          <cell r="A3886">
            <v>34000000</v>
          </cell>
          <cell r="C3886">
            <v>34000000</v>
          </cell>
          <cell r="D3886">
            <v>34000000</v>
          </cell>
          <cell r="E3886">
            <v>34000000</v>
          </cell>
          <cell r="F3886">
            <v>34000000</v>
          </cell>
          <cell r="G3886">
            <v>34000000</v>
          </cell>
          <cell r="H3886">
            <v>34000000</v>
          </cell>
          <cell r="I3886" t="str">
            <v/>
          </cell>
          <cell r="J3886" t="str">
            <v/>
          </cell>
          <cell r="K3886" t="str">
            <v/>
          </cell>
          <cell r="L3886" t="str">
            <v/>
          </cell>
        </row>
        <row r="3887">
          <cell r="A3887">
            <v>34000000</v>
          </cell>
          <cell r="C3887">
            <v>34000000</v>
          </cell>
          <cell r="D3887">
            <v>34000000</v>
          </cell>
          <cell r="E3887">
            <v>34000000</v>
          </cell>
          <cell r="F3887">
            <v>34000000</v>
          </cell>
          <cell r="G3887">
            <v>34000000</v>
          </cell>
          <cell r="H3887">
            <v>34000000</v>
          </cell>
          <cell r="I3887" t="str">
            <v/>
          </cell>
          <cell r="J3887" t="str">
            <v/>
          </cell>
          <cell r="K3887" t="str">
            <v/>
          </cell>
          <cell r="L3887" t="str">
            <v/>
          </cell>
        </row>
        <row r="3888">
          <cell r="A3888">
            <v>34000000</v>
          </cell>
          <cell r="C3888">
            <v>34000000</v>
          </cell>
          <cell r="D3888">
            <v>34000000</v>
          </cell>
          <cell r="E3888">
            <v>34000000</v>
          </cell>
          <cell r="F3888">
            <v>34000000</v>
          </cell>
          <cell r="G3888">
            <v>34000000</v>
          </cell>
          <cell r="H3888">
            <v>34000000</v>
          </cell>
          <cell r="I3888" t="str">
            <v/>
          </cell>
          <cell r="J3888" t="str">
            <v/>
          </cell>
          <cell r="K3888" t="str">
            <v/>
          </cell>
          <cell r="L3888" t="str">
            <v/>
          </cell>
        </row>
        <row r="3889">
          <cell r="A3889">
            <v>34000000</v>
          </cell>
          <cell r="C3889">
            <v>34000000</v>
          </cell>
          <cell r="D3889">
            <v>34000000</v>
          </cell>
          <cell r="E3889">
            <v>34000000</v>
          </cell>
          <cell r="F3889">
            <v>34000000</v>
          </cell>
          <cell r="G3889">
            <v>34000000</v>
          </cell>
          <cell r="H3889">
            <v>34000000</v>
          </cell>
          <cell r="I3889" t="str">
            <v/>
          </cell>
          <cell r="J3889" t="str">
            <v/>
          </cell>
          <cell r="K3889" t="str">
            <v/>
          </cell>
          <cell r="L3889" t="str">
            <v/>
          </cell>
        </row>
        <row r="3890">
          <cell r="A3890">
            <v>34000000</v>
          </cell>
          <cell r="C3890">
            <v>34000000</v>
          </cell>
          <cell r="D3890">
            <v>34000000</v>
          </cell>
          <cell r="E3890">
            <v>34000000</v>
          </cell>
          <cell r="F3890">
            <v>34000000</v>
          </cell>
          <cell r="G3890">
            <v>34000000</v>
          </cell>
          <cell r="H3890">
            <v>34000000</v>
          </cell>
          <cell r="I3890" t="str">
            <v/>
          </cell>
          <cell r="J3890" t="str">
            <v/>
          </cell>
          <cell r="K3890" t="str">
            <v/>
          </cell>
          <cell r="L3890" t="str">
            <v/>
          </cell>
        </row>
        <row r="3891">
          <cell r="A3891">
            <v>34000000</v>
          </cell>
          <cell r="C3891">
            <v>34000000</v>
          </cell>
          <cell r="D3891">
            <v>34000000</v>
          </cell>
          <cell r="E3891">
            <v>34000000</v>
          </cell>
          <cell r="F3891">
            <v>34000000</v>
          </cell>
          <cell r="G3891">
            <v>34000000</v>
          </cell>
          <cell r="H3891">
            <v>34000000</v>
          </cell>
          <cell r="I3891" t="str">
            <v/>
          </cell>
          <cell r="J3891" t="str">
            <v/>
          </cell>
          <cell r="K3891" t="str">
            <v/>
          </cell>
          <cell r="L3891" t="str">
            <v/>
          </cell>
        </row>
        <row r="3892">
          <cell r="A3892">
            <v>34000000</v>
          </cell>
          <cell r="C3892">
            <v>34000000</v>
          </cell>
          <cell r="D3892">
            <v>34000000</v>
          </cell>
          <cell r="E3892">
            <v>34000000</v>
          </cell>
          <cell r="F3892">
            <v>34000000</v>
          </cell>
          <cell r="G3892">
            <v>34000000</v>
          </cell>
          <cell r="H3892">
            <v>34000000</v>
          </cell>
          <cell r="I3892" t="str">
            <v/>
          </cell>
          <cell r="J3892" t="str">
            <v/>
          </cell>
          <cell r="K3892" t="str">
            <v/>
          </cell>
          <cell r="L3892" t="str">
            <v/>
          </cell>
        </row>
        <row r="3893">
          <cell r="A3893">
            <v>34000000</v>
          </cell>
          <cell r="C3893">
            <v>34000000</v>
          </cell>
          <cell r="D3893">
            <v>34000000</v>
          </cell>
          <cell r="E3893">
            <v>34000000</v>
          </cell>
          <cell r="F3893">
            <v>34000000</v>
          </cell>
          <cell r="G3893">
            <v>34000000</v>
          </cell>
          <cell r="H3893">
            <v>34000000</v>
          </cell>
          <cell r="I3893" t="str">
            <v/>
          </cell>
          <cell r="J3893" t="str">
            <v/>
          </cell>
          <cell r="K3893" t="str">
            <v/>
          </cell>
          <cell r="L3893" t="str">
            <v/>
          </cell>
        </row>
        <row r="3894">
          <cell r="A3894">
            <v>34000000</v>
          </cell>
          <cell r="C3894">
            <v>34000000</v>
          </cell>
          <cell r="D3894">
            <v>34000000</v>
          </cell>
          <cell r="E3894">
            <v>34000000</v>
          </cell>
          <cell r="F3894">
            <v>34000000</v>
          </cell>
          <cell r="G3894">
            <v>34000000</v>
          </cell>
          <cell r="H3894">
            <v>34000000</v>
          </cell>
          <cell r="I3894" t="str">
            <v/>
          </cell>
          <cell r="J3894" t="str">
            <v/>
          </cell>
          <cell r="K3894" t="str">
            <v/>
          </cell>
          <cell r="L3894" t="str">
            <v/>
          </cell>
        </row>
        <row r="3895">
          <cell r="A3895">
            <v>34000000</v>
          </cell>
          <cell r="C3895">
            <v>34000000</v>
          </cell>
          <cell r="D3895">
            <v>34000000</v>
          </cell>
          <cell r="E3895">
            <v>34000000</v>
          </cell>
          <cell r="F3895">
            <v>34000000</v>
          </cell>
          <cell r="G3895">
            <v>34000000</v>
          </cell>
          <cell r="H3895">
            <v>34000000</v>
          </cell>
          <cell r="I3895" t="str">
            <v/>
          </cell>
          <cell r="J3895" t="str">
            <v/>
          </cell>
          <cell r="K3895" t="str">
            <v/>
          </cell>
          <cell r="L3895" t="str">
            <v/>
          </cell>
        </row>
        <row r="3896">
          <cell r="A3896">
            <v>34000000</v>
          </cell>
          <cell r="C3896">
            <v>34000000</v>
          </cell>
          <cell r="D3896">
            <v>34000000</v>
          </cell>
          <cell r="E3896">
            <v>34000000</v>
          </cell>
          <cell r="F3896">
            <v>34000000</v>
          </cell>
          <cell r="G3896">
            <v>34000000</v>
          </cell>
          <cell r="H3896">
            <v>34000000</v>
          </cell>
          <cell r="I3896" t="str">
            <v/>
          </cell>
          <cell r="J3896" t="str">
            <v/>
          </cell>
          <cell r="K3896" t="str">
            <v/>
          </cell>
          <cell r="L3896" t="str">
            <v/>
          </cell>
        </row>
        <row r="3897">
          <cell r="A3897">
            <v>34000000</v>
          </cell>
          <cell r="C3897">
            <v>34000000</v>
          </cell>
          <cell r="D3897">
            <v>34000000</v>
          </cell>
          <cell r="E3897">
            <v>34000000</v>
          </cell>
          <cell r="F3897">
            <v>34000000</v>
          </cell>
          <cell r="G3897">
            <v>34000000</v>
          </cell>
          <cell r="H3897">
            <v>34000000</v>
          </cell>
          <cell r="I3897" t="str">
            <v/>
          </cell>
          <cell r="J3897" t="str">
            <v/>
          </cell>
          <cell r="K3897" t="str">
            <v/>
          </cell>
          <cell r="L3897" t="str">
            <v/>
          </cell>
        </row>
        <row r="3898">
          <cell r="A3898">
            <v>34000000</v>
          </cell>
          <cell r="C3898">
            <v>34000000</v>
          </cell>
          <cell r="D3898">
            <v>34000000</v>
          </cell>
          <cell r="E3898">
            <v>34000000</v>
          </cell>
          <cell r="F3898">
            <v>34000000</v>
          </cell>
          <cell r="G3898">
            <v>34000000</v>
          </cell>
          <cell r="H3898">
            <v>34000000</v>
          </cell>
          <cell r="I3898" t="str">
            <v/>
          </cell>
          <cell r="J3898" t="str">
            <v/>
          </cell>
          <cell r="K3898" t="str">
            <v/>
          </cell>
          <cell r="L3898" t="str">
            <v/>
          </cell>
        </row>
        <row r="3899">
          <cell r="A3899">
            <v>34000000</v>
          </cell>
          <cell r="C3899">
            <v>34000000</v>
          </cell>
          <cell r="D3899">
            <v>34000000</v>
          </cell>
          <cell r="E3899">
            <v>34000000</v>
          </cell>
          <cell r="F3899">
            <v>34000000</v>
          </cell>
          <cell r="G3899">
            <v>34000000</v>
          </cell>
          <cell r="H3899">
            <v>34000000</v>
          </cell>
          <cell r="I3899" t="str">
            <v/>
          </cell>
          <cell r="J3899" t="str">
            <v/>
          </cell>
          <cell r="K3899" t="str">
            <v/>
          </cell>
          <cell r="L3899" t="str">
            <v/>
          </cell>
        </row>
        <row r="3900">
          <cell r="A3900">
            <v>34000000</v>
          </cell>
          <cell r="C3900">
            <v>34000000</v>
          </cell>
          <cell r="D3900">
            <v>34000000</v>
          </cell>
          <cell r="E3900">
            <v>34000000</v>
          </cell>
          <cell r="F3900">
            <v>34000000</v>
          </cell>
          <cell r="G3900">
            <v>34000000</v>
          </cell>
          <cell r="H3900">
            <v>34000000</v>
          </cell>
          <cell r="I3900" t="str">
            <v/>
          </cell>
          <cell r="J3900" t="str">
            <v/>
          </cell>
          <cell r="K3900" t="str">
            <v/>
          </cell>
          <cell r="L3900" t="str">
            <v/>
          </cell>
        </row>
        <row r="3901">
          <cell r="A3901">
            <v>34000000</v>
          </cell>
          <cell r="C3901">
            <v>34000000</v>
          </cell>
          <cell r="D3901">
            <v>34000000</v>
          </cell>
          <cell r="E3901">
            <v>34000000</v>
          </cell>
          <cell r="F3901">
            <v>34000000</v>
          </cell>
          <cell r="G3901">
            <v>34000000</v>
          </cell>
          <cell r="H3901">
            <v>34000000</v>
          </cell>
          <cell r="I3901" t="str">
            <v/>
          </cell>
          <cell r="J3901" t="str">
            <v/>
          </cell>
          <cell r="K3901" t="str">
            <v/>
          </cell>
          <cell r="L3901" t="str">
            <v/>
          </cell>
        </row>
        <row r="3902">
          <cell r="A3902">
            <v>34000000</v>
          </cell>
          <cell r="C3902">
            <v>34000000</v>
          </cell>
          <cell r="D3902">
            <v>34000000</v>
          </cell>
          <cell r="E3902">
            <v>34000000</v>
          </cell>
          <cell r="F3902">
            <v>34000000</v>
          </cell>
          <cell r="G3902">
            <v>34000000</v>
          </cell>
          <cell r="H3902">
            <v>34000000</v>
          </cell>
          <cell r="I3902" t="str">
            <v/>
          </cell>
          <cell r="J3902" t="str">
            <v/>
          </cell>
          <cell r="K3902" t="str">
            <v/>
          </cell>
          <cell r="L3902" t="str">
            <v/>
          </cell>
        </row>
        <row r="3903">
          <cell r="A3903">
            <v>34000000</v>
          </cell>
          <cell r="C3903">
            <v>34000000</v>
          </cell>
          <cell r="D3903">
            <v>34000000</v>
          </cell>
          <cell r="E3903">
            <v>34000000</v>
          </cell>
          <cell r="F3903">
            <v>34000000</v>
          </cell>
          <cell r="G3903">
            <v>34000000</v>
          </cell>
          <cell r="H3903">
            <v>34000000</v>
          </cell>
          <cell r="I3903" t="str">
            <v/>
          </cell>
          <cell r="J3903" t="str">
            <v/>
          </cell>
          <cell r="K3903" t="str">
            <v/>
          </cell>
          <cell r="L3903" t="str">
            <v/>
          </cell>
        </row>
        <row r="3904">
          <cell r="A3904">
            <v>34000000</v>
          </cell>
          <cell r="C3904">
            <v>34000000</v>
          </cell>
          <cell r="D3904">
            <v>34000000</v>
          </cell>
          <cell r="E3904">
            <v>34000000</v>
          </cell>
          <cell r="F3904">
            <v>34000000</v>
          </cell>
          <cell r="G3904">
            <v>34000000</v>
          </cell>
          <cell r="H3904">
            <v>34000000</v>
          </cell>
          <cell r="I3904" t="str">
            <v/>
          </cell>
          <cell r="J3904" t="str">
            <v/>
          </cell>
          <cell r="K3904" t="str">
            <v/>
          </cell>
          <cell r="L3904" t="str">
            <v/>
          </cell>
        </row>
        <row r="3905">
          <cell r="A3905">
            <v>34000000</v>
          </cell>
          <cell r="C3905">
            <v>34000000</v>
          </cell>
          <cell r="D3905">
            <v>34000000</v>
          </cell>
          <cell r="E3905">
            <v>34000000</v>
          </cell>
          <cell r="F3905">
            <v>34000000</v>
          </cell>
          <cell r="G3905">
            <v>34000000</v>
          </cell>
          <cell r="H3905">
            <v>34000000</v>
          </cell>
          <cell r="I3905" t="str">
            <v/>
          </cell>
          <cell r="J3905" t="str">
            <v/>
          </cell>
          <cell r="K3905" t="str">
            <v/>
          </cell>
          <cell r="L3905" t="str">
            <v/>
          </cell>
        </row>
        <row r="3906">
          <cell r="A3906">
            <v>34000000</v>
          </cell>
          <cell r="C3906">
            <v>34000000</v>
          </cell>
          <cell r="D3906">
            <v>34000000</v>
          </cell>
          <cell r="E3906">
            <v>34000000</v>
          </cell>
          <cell r="F3906">
            <v>34000000</v>
          </cell>
          <cell r="G3906">
            <v>34000000</v>
          </cell>
          <cell r="H3906">
            <v>34000000</v>
          </cell>
          <cell r="I3906" t="str">
            <v/>
          </cell>
          <cell r="J3906" t="str">
            <v/>
          </cell>
          <cell r="K3906" t="str">
            <v/>
          </cell>
          <cell r="L3906" t="str">
            <v/>
          </cell>
        </row>
        <row r="3907">
          <cell r="A3907">
            <v>34000000</v>
          </cell>
          <cell r="C3907">
            <v>34000000</v>
          </cell>
          <cell r="D3907">
            <v>34000000</v>
          </cell>
          <cell r="E3907">
            <v>34000000</v>
          </cell>
          <cell r="F3907">
            <v>34000000</v>
          </cell>
          <cell r="G3907">
            <v>34000000</v>
          </cell>
          <cell r="H3907">
            <v>34000000</v>
          </cell>
          <cell r="I3907" t="str">
            <v/>
          </cell>
          <cell r="J3907" t="str">
            <v/>
          </cell>
          <cell r="K3907" t="str">
            <v/>
          </cell>
          <cell r="L3907" t="str">
            <v/>
          </cell>
        </row>
        <row r="3908">
          <cell r="A3908">
            <v>34000000</v>
          </cell>
          <cell r="C3908">
            <v>34000000</v>
          </cell>
          <cell r="D3908">
            <v>34000000</v>
          </cell>
          <cell r="E3908">
            <v>34000000</v>
          </cell>
          <cell r="F3908">
            <v>34000000</v>
          </cell>
          <cell r="G3908">
            <v>34000000</v>
          </cell>
          <cell r="H3908">
            <v>34000000</v>
          </cell>
          <cell r="I3908" t="str">
            <v/>
          </cell>
          <cell r="J3908" t="str">
            <v/>
          </cell>
          <cell r="K3908" t="str">
            <v/>
          </cell>
          <cell r="L3908" t="str">
            <v/>
          </cell>
        </row>
        <row r="3909">
          <cell r="A3909">
            <v>34000000</v>
          </cell>
          <cell r="C3909">
            <v>34000000</v>
          </cell>
          <cell r="D3909">
            <v>34000000</v>
          </cell>
          <cell r="E3909">
            <v>34000000</v>
          </cell>
          <cell r="F3909">
            <v>34000000</v>
          </cell>
          <cell r="G3909">
            <v>34000000</v>
          </cell>
          <cell r="H3909">
            <v>34000000</v>
          </cell>
          <cell r="I3909" t="str">
            <v/>
          </cell>
          <cell r="J3909" t="str">
            <v/>
          </cell>
          <cell r="K3909" t="str">
            <v/>
          </cell>
          <cell r="L3909" t="str">
            <v/>
          </cell>
        </row>
        <row r="3910">
          <cell r="A3910">
            <v>34000000</v>
          </cell>
          <cell r="C3910">
            <v>34000000</v>
          </cell>
          <cell r="D3910">
            <v>34000000</v>
          </cell>
          <cell r="E3910">
            <v>34000000</v>
          </cell>
          <cell r="F3910">
            <v>34000000</v>
          </cell>
          <cell r="G3910">
            <v>34000000</v>
          </cell>
          <cell r="H3910">
            <v>34000000</v>
          </cell>
          <cell r="I3910" t="str">
            <v/>
          </cell>
          <cell r="J3910" t="str">
            <v/>
          </cell>
          <cell r="K3910" t="str">
            <v/>
          </cell>
          <cell r="L3910" t="str">
            <v/>
          </cell>
        </row>
        <row r="3911">
          <cell r="A3911">
            <v>34000000</v>
          </cell>
          <cell r="C3911">
            <v>34000000</v>
          </cell>
          <cell r="D3911">
            <v>34000000</v>
          </cell>
          <cell r="E3911">
            <v>34000000</v>
          </cell>
          <cell r="F3911">
            <v>34000000</v>
          </cell>
          <cell r="G3911">
            <v>34000000</v>
          </cell>
          <cell r="H3911">
            <v>34000000</v>
          </cell>
          <cell r="I3911" t="str">
            <v/>
          </cell>
          <cell r="J3911" t="str">
            <v/>
          </cell>
          <cell r="K3911" t="str">
            <v/>
          </cell>
          <cell r="L3911" t="str">
            <v/>
          </cell>
        </row>
        <row r="3912">
          <cell r="A3912">
            <v>34000000</v>
          </cell>
          <cell r="C3912">
            <v>34000000</v>
          </cell>
          <cell r="D3912">
            <v>34000000</v>
          </cell>
          <cell r="E3912">
            <v>34000000</v>
          </cell>
          <cell r="F3912">
            <v>34000000</v>
          </cell>
          <cell r="G3912">
            <v>34000000</v>
          </cell>
          <cell r="H3912">
            <v>34000000</v>
          </cell>
          <cell r="I3912" t="str">
            <v/>
          </cell>
          <cell r="J3912" t="str">
            <v/>
          </cell>
          <cell r="K3912" t="str">
            <v/>
          </cell>
          <cell r="L3912" t="str">
            <v/>
          </cell>
        </row>
        <row r="3913">
          <cell r="A3913">
            <v>34000000</v>
          </cell>
          <cell r="C3913">
            <v>34000000</v>
          </cell>
          <cell r="D3913">
            <v>34000000</v>
          </cell>
          <cell r="E3913">
            <v>34000000</v>
          </cell>
          <cell r="F3913">
            <v>34000000</v>
          </cell>
          <cell r="G3913">
            <v>34000000</v>
          </cell>
          <cell r="H3913">
            <v>34000000</v>
          </cell>
          <cell r="I3913" t="str">
            <v/>
          </cell>
          <cell r="J3913" t="str">
            <v/>
          </cell>
          <cell r="K3913" t="str">
            <v/>
          </cell>
          <cell r="L3913" t="str">
            <v/>
          </cell>
        </row>
        <row r="3914">
          <cell r="A3914">
            <v>34000000</v>
          </cell>
          <cell r="C3914">
            <v>34000000</v>
          </cell>
          <cell r="D3914">
            <v>34000000</v>
          </cell>
          <cell r="E3914">
            <v>34000000</v>
          </cell>
          <cell r="F3914">
            <v>34000000</v>
          </cell>
          <cell r="G3914">
            <v>34000000</v>
          </cell>
          <cell r="H3914">
            <v>34000000</v>
          </cell>
          <cell r="I3914" t="str">
            <v/>
          </cell>
          <cell r="J3914" t="str">
            <v/>
          </cell>
          <cell r="K3914" t="str">
            <v/>
          </cell>
          <cell r="L3914" t="str">
            <v/>
          </cell>
        </row>
        <row r="3915">
          <cell r="A3915">
            <v>34000000</v>
          </cell>
          <cell r="C3915">
            <v>34000000</v>
          </cell>
          <cell r="D3915">
            <v>34000000</v>
          </cell>
          <cell r="E3915">
            <v>34000000</v>
          </cell>
          <cell r="F3915">
            <v>34000000</v>
          </cell>
          <cell r="G3915">
            <v>34000000</v>
          </cell>
          <cell r="H3915">
            <v>34000000</v>
          </cell>
          <cell r="I3915" t="str">
            <v/>
          </cell>
          <cell r="J3915" t="str">
            <v/>
          </cell>
          <cell r="K3915" t="str">
            <v/>
          </cell>
          <cell r="L3915" t="str">
            <v/>
          </cell>
        </row>
        <row r="3916">
          <cell r="A3916">
            <v>34000000</v>
          </cell>
          <cell r="C3916">
            <v>34000000</v>
          </cell>
          <cell r="D3916">
            <v>34000000</v>
          </cell>
          <cell r="E3916">
            <v>34000000</v>
          </cell>
          <cell r="F3916">
            <v>34000000</v>
          </cell>
          <cell r="G3916">
            <v>34000000</v>
          </cell>
          <cell r="H3916">
            <v>34000000</v>
          </cell>
          <cell r="I3916" t="str">
            <v/>
          </cell>
          <cell r="J3916" t="str">
            <v/>
          </cell>
          <cell r="K3916" t="str">
            <v/>
          </cell>
          <cell r="L3916" t="str">
            <v/>
          </cell>
        </row>
        <row r="3917">
          <cell r="A3917">
            <v>34000000</v>
          </cell>
          <cell r="C3917">
            <v>34000000</v>
          </cell>
          <cell r="D3917">
            <v>34000000</v>
          </cell>
          <cell r="E3917">
            <v>34000000</v>
          </cell>
          <cell r="F3917">
            <v>34000000</v>
          </cell>
          <cell r="G3917">
            <v>34000000</v>
          </cell>
          <cell r="H3917">
            <v>34000000</v>
          </cell>
          <cell r="I3917" t="str">
            <v/>
          </cell>
          <cell r="J3917" t="str">
            <v/>
          </cell>
          <cell r="K3917" t="str">
            <v/>
          </cell>
          <cell r="L3917" t="str">
            <v/>
          </cell>
        </row>
        <row r="3918">
          <cell r="A3918">
            <v>34000000</v>
          </cell>
          <cell r="C3918">
            <v>34000000</v>
          </cell>
          <cell r="D3918">
            <v>34000000</v>
          </cell>
          <cell r="E3918">
            <v>34000000</v>
          </cell>
          <cell r="F3918">
            <v>34000000</v>
          </cell>
          <cell r="G3918">
            <v>34000000</v>
          </cell>
          <cell r="H3918">
            <v>34000000</v>
          </cell>
          <cell r="I3918" t="str">
            <v/>
          </cell>
          <cell r="J3918" t="str">
            <v/>
          </cell>
          <cell r="K3918" t="str">
            <v/>
          </cell>
          <cell r="L3918" t="str">
            <v/>
          </cell>
        </row>
        <row r="3919">
          <cell r="A3919">
            <v>34000000</v>
          </cell>
          <cell r="C3919">
            <v>34000000</v>
          </cell>
          <cell r="D3919">
            <v>34000000</v>
          </cell>
          <cell r="E3919">
            <v>34000000</v>
          </cell>
          <cell r="F3919">
            <v>34000000</v>
          </cell>
          <cell r="G3919">
            <v>34000000</v>
          </cell>
          <cell r="H3919">
            <v>34000000</v>
          </cell>
          <cell r="I3919" t="str">
            <v/>
          </cell>
          <cell r="J3919" t="str">
            <v/>
          </cell>
          <cell r="K3919" t="str">
            <v/>
          </cell>
          <cell r="L3919" t="str">
            <v/>
          </cell>
        </row>
        <row r="3920">
          <cell r="A3920">
            <v>34000000</v>
          </cell>
          <cell r="C3920">
            <v>34000000</v>
          </cell>
          <cell r="D3920">
            <v>34000000</v>
          </cell>
          <cell r="E3920">
            <v>34000000</v>
          </cell>
          <cell r="F3920">
            <v>34000000</v>
          </cell>
          <cell r="G3920">
            <v>34000000</v>
          </cell>
          <cell r="H3920">
            <v>34000000</v>
          </cell>
          <cell r="I3920" t="str">
            <v/>
          </cell>
          <cell r="J3920" t="str">
            <v/>
          </cell>
          <cell r="K3920" t="str">
            <v/>
          </cell>
          <cell r="L3920" t="str">
            <v/>
          </cell>
        </row>
        <row r="3921">
          <cell r="A3921">
            <v>34000000</v>
          </cell>
          <cell r="C3921">
            <v>34000000</v>
          </cell>
          <cell r="D3921">
            <v>34000000</v>
          </cell>
          <cell r="E3921">
            <v>34000000</v>
          </cell>
          <cell r="F3921">
            <v>34000000</v>
          </cell>
          <cell r="G3921">
            <v>34000000</v>
          </cell>
          <cell r="H3921">
            <v>34000000</v>
          </cell>
          <cell r="I3921" t="str">
            <v/>
          </cell>
          <cell r="J3921" t="str">
            <v/>
          </cell>
          <cell r="K3921" t="str">
            <v/>
          </cell>
          <cell r="L3921" t="str">
            <v/>
          </cell>
        </row>
        <row r="3922">
          <cell r="A3922">
            <v>34000000</v>
          </cell>
          <cell r="C3922">
            <v>34000000</v>
          </cell>
          <cell r="D3922">
            <v>34000000</v>
          </cell>
          <cell r="E3922">
            <v>34000000</v>
          </cell>
          <cell r="F3922">
            <v>34000000</v>
          </cell>
          <cell r="G3922">
            <v>34000000</v>
          </cell>
          <cell r="H3922">
            <v>34000000</v>
          </cell>
          <cell r="I3922" t="str">
            <v/>
          </cell>
          <cell r="J3922" t="str">
            <v/>
          </cell>
          <cell r="K3922" t="str">
            <v/>
          </cell>
          <cell r="L3922" t="str">
            <v/>
          </cell>
        </row>
        <row r="3923">
          <cell r="A3923">
            <v>34000000</v>
          </cell>
          <cell r="C3923">
            <v>34000000</v>
          </cell>
          <cell r="D3923">
            <v>34000000</v>
          </cell>
          <cell r="E3923">
            <v>34000000</v>
          </cell>
          <cell r="F3923">
            <v>34000000</v>
          </cell>
          <cell r="G3923">
            <v>34000000</v>
          </cell>
          <cell r="H3923">
            <v>34000000</v>
          </cell>
          <cell r="I3923" t="str">
            <v/>
          </cell>
          <cell r="J3923" t="str">
            <v/>
          </cell>
          <cell r="K3923" t="str">
            <v/>
          </cell>
          <cell r="L3923" t="str">
            <v/>
          </cell>
        </row>
        <row r="3924">
          <cell r="A3924">
            <v>34000000</v>
          </cell>
          <cell r="C3924">
            <v>34000000</v>
          </cell>
          <cell r="D3924">
            <v>34000000</v>
          </cell>
          <cell r="E3924">
            <v>34000000</v>
          </cell>
          <cell r="F3924">
            <v>34000000</v>
          </cell>
          <cell r="G3924">
            <v>34000000</v>
          </cell>
          <cell r="H3924">
            <v>34000000</v>
          </cell>
          <cell r="I3924" t="str">
            <v/>
          </cell>
          <cell r="J3924" t="str">
            <v/>
          </cell>
          <cell r="K3924" t="str">
            <v/>
          </cell>
          <cell r="L3924" t="str">
            <v/>
          </cell>
        </row>
        <row r="3925">
          <cell r="A3925">
            <v>34000000</v>
          </cell>
          <cell r="C3925">
            <v>34000000</v>
          </cell>
          <cell r="D3925">
            <v>34000000</v>
          </cell>
          <cell r="E3925">
            <v>34000000</v>
          </cell>
          <cell r="F3925">
            <v>34000000</v>
          </cell>
          <cell r="G3925">
            <v>34000000</v>
          </cell>
          <cell r="H3925">
            <v>34000000</v>
          </cell>
          <cell r="I3925" t="str">
            <v/>
          </cell>
          <cell r="J3925" t="str">
            <v/>
          </cell>
          <cell r="K3925" t="str">
            <v/>
          </cell>
          <cell r="L3925" t="str">
            <v/>
          </cell>
        </row>
        <row r="3926">
          <cell r="A3926">
            <v>34000000</v>
          </cell>
          <cell r="C3926">
            <v>34000000</v>
          </cell>
          <cell r="D3926">
            <v>34000000</v>
          </cell>
          <cell r="E3926">
            <v>34000000</v>
          </cell>
          <cell r="F3926">
            <v>34000000</v>
          </cell>
          <cell r="G3926">
            <v>34000000</v>
          </cell>
          <cell r="H3926">
            <v>34000000</v>
          </cell>
          <cell r="I3926" t="str">
            <v/>
          </cell>
          <cell r="J3926" t="str">
            <v/>
          </cell>
          <cell r="K3926" t="str">
            <v/>
          </cell>
          <cell r="L3926" t="str">
            <v/>
          </cell>
        </row>
        <row r="3927">
          <cell r="A3927">
            <v>34000000</v>
          </cell>
          <cell r="C3927">
            <v>34000000</v>
          </cell>
          <cell r="D3927">
            <v>34000000</v>
          </cell>
          <cell r="E3927">
            <v>34000000</v>
          </cell>
          <cell r="F3927">
            <v>34000000</v>
          </cell>
          <cell r="G3927">
            <v>34000000</v>
          </cell>
          <cell r="H3927">
            <v>34000000</v>
          </cell>
          <cell r="I3927" t="str">
            <v/>
          </cell>
          <cell r="J3927" t="str">
            <v/>
          </cell>
          <cell r="K3927" t="str">
            <v/>
          </cell>
          <cell r="L3927" t="str">
            <v/>
          </cell>
        </row>
        <row r="3928">
          <cell r="A3928">
            <v>34000000</v>
          </cell>
          <cell r="C3928">
            <v>34000000</v>
          </cell>
          <cell r="D3928">
            <v>34000000</v>
          </cell>
          <cell r="E3928">
            <v>34000000</v>
          </cell>
          <cell r="F3928">
            <v>34000000</v>
          </cell>
          <cell r="G3928">
            <v>34000000</v>
          </cell>
          <cell r="H3928">
            <v>34000000</v>
          </cell>
          <cell r="I3928" t="str">
            <v/>
          </cell>
          <cell r="J3928" t="str">
            <v/>
          </cell>
          <cell r="K3928" t="str">
            <v/>
          </cell>
          <cell r="L3928" t="str">
            <v/>
          </cell>
        </row>
        <row r="3929">
          <cell r="A3929">
            <v>34000000</v>
          </cell>
          <cell r="C3929">
            <v>34000000</v>
          </cell>
          <cell r="D3929">
            <v>34000000</v>
          </cell>
          <cell r="E3929">
            <v>34000000</v>
          </cell>
          <cell r="F3929">
            <v>34000000</v>
          </cell>
          <cell r="G3929">
            <v>34000000</v>
          </cell>
          <cell r="H3929">
            <v>34000000</v>
          </cell>
          <cell r="I3929" t="str">
            <v/>
          </cell>
          <cell r="J3929" t="str">
            <v/>
          </cell>
          <cell r="K3929" t="str">
            <v/>
          </cell>
          <cell r="L3929" t="str">
            <v/>
          </cell>
        </row>
        <row r="3930">
          <cell r="A3930">
            <v>34000000</v>
          </cell>
          <cell r="C3930">
            <v>34000000</v>
          </cell>
          <cell r="D3930">
            <v>34000000</v>
          </cell>
          <cell r="E3930">
            <v>34000000</v>
          </cell>
          <cell r="F3930">
            <v>34000000</v>
          </cell>
          <cell r="G3930">
            <v>34000000</v>
          </cell>
          <cell r="H3930">
            <v>34000000</v>
          </cell>
          <cell r="I3930" t="str">
            <v/>
          </cell>
          <cell r="J3930" t="str">
            <v/>
          </cell>
          <cell r="K3930" t="str">
            <v/>
          </cell>
          <cell r="L3930" t="str">
            <v/>
          </cell>
        </row>
        <row r="3931">
          <cell r="A3931">
            <v>34000000</v>
          </cell>
          <cell r="C3931">
            <v>34000000</v>
          </cell>
          <cell r="D3931">
            <v>34000000</v>
          </cell>
          <cell r="E3931">
            <v>34000000</v>
          </cell>
          <cell r="F3931">
            <v>34000000</v>
          </cell>
          <cell r="G3931">
            <v>34000000</v>
          </cell>
          <cell r="H3931">
            <v>34000000</v>
          </cell>
          <cell r="I3931" t="str">
            <v/>
          </cell>
          <cell r="J3931" t="str">
            <v/>
          </cell>
          <cell r="K3931" t="str">
            <v/>
          </cell>
          <cell r="L3931" t="str">
            <v/>
          </cell>
        </row>
        <row r="3932">
          <cell r="A3932">
            <v>34000000</v>
          </cell>
          <cell r="C3932">
            <v>34000000</v>
          </cell>
          <cell r="D3932">
            <v>34000000</v>
          </cell>
          <cell r="E3932">
            <v>34000000</v>
          </cell>
          <cell r="F3932">
            <v>34000000</v>
          </cell>
          <cell r="G3932">
            <v>34000000</v>
          </cell>
          <cell r="H3932">
            <v>34000000</v>
          </cell>
          <cell r="I3932" t="str">
            <v/>
          </cell>
          <cell r="J3932" t="str">
            <v/>
          </cell>
          <cell r="K3932" t="str">
            <v/>
          </cell>
          <cell r="L3932" t="str">
            <v/>
          </cell>
        </row>
        <row r="3933">
          <cell r="A3933">
            <v>34000000</v>
          </cell>
          <cell r="C3933">
            <v>34000000</v>
          </cell>
          <cell r="D3933">
            <v>34000000</v>
          </cell>
          <cell r="E3933">
            <v>34000000</v>
          </cell>
          <cell r="F3933">
            <v>34000000</v>
          </cell>
          <cell r="G3933">
            <v>34000000</v>
          </cell>
          <cell r="H3933">
            <v>34000000</v>
          </cell>
          <cell r="I3933" t="str">
            <v/>
          </cell>
          <cell r="J3933" t="str">
            <v/>
          </cell>
          <cell r="K3933" t="str">
            <v/>
          </cell>
          <cell r="L3933" t="str">
            <v/>
          </cell>
        </row>
        <row r="3934">
          <cell r="A3934">
            <v>34000000</v>
          </cell>
          <cell r="C3934">
            <v>34000000</v>
          </cell>
          <cell r="D3934">
            <v>34000000</v>
          </cell>
          <cell r="E3934">
            <v>34000000</v>
          </cell>
          <cell r="F3934">
            <v>34000000</v>
          </cell>
          <cell r="G3934">
            <v>34000000</v>
          </cell>
          <cell r="H3934">
            <v>34000000</v>
          </cell>
          <cell r="I3934" t="str">
            <v/>
          </cell>
          <cell r="J3934" t="str">
            <v/>
          </cell>
          <cell r="K3934" t="str">
            <v/>
          </cell>
          <cell r="L3934" t="str">
            <v/>
          </cell>
        </row>
        <row r="3935">
          <cell r="A3935">
            <v>34000000</v>
          </cell>
          <cell r="C3935">
            <v>34000000</v>
          </cell>
          <cell r="D3935">
            <v>34000000</v>
          </cell>
          <cell r="E3935">
            <v>34000000</v>
          </cell>
          <cell r="F3935">
            <v>34000000</v>
          </cell>
          <cell r="G3935">
            <v>34000000</v>
          </cell>
          <cell r="H3935">
            <v>34000000</v>
          </cell>
          <cell r="I3935" t="str">
            <v/>
          </cell>
          <cell r="J3935" t="str">
            <v/>
          </cell>
          <cell r="K3935" t="str">
            <v/>
          </cell>
          <cell r="L3935" t="str">
            <v/>
          </cell>
        </row>
        <row r="3936">
          <cell r="A3936">
            <v>34000000</v>
          </cell>
          <cell r="C3936">
            <v>34000000</v>
          </cell>
          <cell r="D3936">
            <v>34000000</v>
          </cell>
          <cell r="E3936">
            <v>34000000</v>
          </cell>
          <cell r="F3936">
            <v>34000000</v>
          </cell>
          <cell r="G3936">
            <v>34000000</v>
          </cell>
          <cell r="H3936">
            <v>34000000</v>
          </cell>
          <cell r="I3936" t="str">
            <v/>
          </cell>
          <cell r="J3936" t="str">
            <v/>
          </cell>
          <cell r="K3936" t="str">
            <v/>
          </cell>
          <cell r="L3936" t="str">
            <v/>
          </cell>
        </row>
        <row r="3937">
          <cell r="A3937">
            <v>34000000</v>
          </cell>
          <cell r="C3937">
            <v>34000000</v>
          </cell>
          <cell r="D3937">
            <v>34000000</v>
          </cell>
          <cell r="E3937">
            <v>34000000</v>
          </cell>
          <cell r="F3937">
            <v>34000000</v>
          </cell>
          <cell r="G3937">
            <v>34000000</v>
          </cell>
          <cell r="H3937">
            <v>34000000</v>
          </cell>
          <cell r="I3937" t="str">
            <v/>
          </cell>
          <cell r="J3937" t="str">
            <v/>
          </cell>
          <cell r="K3937" t="str">
            <v/>
          </cell>
          <cell r="L3937" t="str">
            <v/>
          </cell>
        </row>
        <row r="3938">
          <cell r="A3938">
            <v>34000000</v>
          </cell>
          <cell r="C3938">
            <v>34000000</v>
          </cell>
          <cell r="D3938">
            <v>34000000</v>
          </cell>
          <cell r="E3938">
            <v>34000000</v>
          </cell>
          <cell r="F3938">
            <v>34000000</v>
          </cell>
          <cell r="G3938">
            <v>34000000</v>
          </cell>
          <cell r="H3938">
            <v>34000000</v>
          </cell>
          <cell r="I3938" t="str">
            <v/>
          </cell>
          <cell r="J3938" t="str">
            <v/>
          </cell>
          <cell r="K3938" t="str">
            <v/>
          </cell>
          <cell r="L3938" t="str">
            <v/>
          </cell>
        </row>
        <row r="3939">
          <cell r="A3939">
            <v>34000000</v>
          </cell>
          <cell r="C3939">
            <v>34000000</v>
          </cell>
          <cell r="D3939">
            <v>34000000</v>
          </cell>
          <cell r="E3939">
            <v>34000000</v>
          </cell>
          <cell r="F3939">
            <v>34000000</v>
          </cell>
          <cell r="G3939">
            <v>34000000</v>
          </cell>
          <cell r="H3939">
            <v>34000000</v>
          </cell>
          <cell r="I3939" t="str">
            <v/>
          </cell>
          <cell r="J3939" t="str">
            <v/>
          </cell>
          <cell r="K3939" t="str">
            <v/>
          </cell>
          <cell r="L3939" t="str">
            <v/>
          </cell>
        </row>
        <row r="3940">
          <cell r="A3940">
            <v>34000000</v>
          </cell>
          <cell r="C3940">
            <v>34000000</v>
          </cell>
          <cell r="D3940">
            <v>34000000</v>
          </cell>
          <cell r="E3940">
            <v>34000000</v>
          </cell>
          <cell r="F3940">
            <v>34000000</v>
          </cell>
          <cell r="G3940">
            <v>34000000</v>
          </cell>
          <cell r="H3940">
            <v>34000000</v>
          </cell>
          <cell r="I3940" t="str">
            <v/>
          </cell>
          <cell r="J3940" t="str">
            <v/>
          </cell>
          <cell r="K3940" t="str">
            <v/>
          </cell>
          <cell r="L3940" t="str">
            <v/>
          </cell>
        </row>
        <row r="3941">
          <cell r="A3941">
            <v>34000000</v>
          </cell>
          <cell r="C3941">
            <v>34000000</v>
          </cell>
          <cell r="D3941">
            <v>34000000</v>
          </cell>
          <cell r="E3941">
            <v>34000000</v>
          </cell>
          <cell r="F3941">
            <v>34000000</v>
          </cell>
          <cell r="G3941">
            <v>34000000</v>
          </cell>
          <cell r="H3941">
            <v>34000000</v>
          </cell>
          <cell r="I3941" t="str">
            <v/>
          </cell>
          <cell r="J3941" t="str">
            <v/>
          </cell>
          <cell r="K3941" t="str">
            <v/>
          </cell>
          <cell r="L3941" t="str">
            <v/>
          </cell>
        </row>
        <row r="3942">
          <cell r="A3942">
            <v>34000000</v>
          </cell>
          <cell r="C3942">
            <v>34000000</v>
          </cell>
          <cell r="D3942">
            <v>34000000</v>
          </cell>
          <cell r="E3942">
            <v>34000000</v>
          </cell>
          <cell r="F3942">
            <v>34000000</v>
          </cell>
          <cell r="G3942">
            <v>34000000</v>
          </cell>
          <cell r="H3942">
            <v>34000000</v>
          </cell>
          <cell r="I3942" t="str">
            <v/>
          </cell>
          <cell r="J3942" t="str">
            <v/>
          </cell>
          <cell r="K3942" t="str">
            <v/>
          </cell>
          <cell r="L3942" t="str">
            <v/>
          </cell>
        </row>
        <row r="3943">
          <cell r="A3943">
            <v>34000000</v>
          </cell>
          <cell r="C3943">
            <v>34000000</v>
          </cell>
          <cell r="D3943">
            <v>34000000</v>
          </cell>
          <cell r="E3943">
            <v>34000000</v>
          </cell>
          <cell r="F3943">
            <v>34000000</v>
          </cell>
          <cell r="G3943">
            <v>34000000</v>
          </cell>
          <cell r="H3943">
            <v>34000000</v>
          </cell>
          <cell r="I3943" t="str">
            <v/>
          </cell>
          <cell r="J3943" t="str">
            <v/>
          </cell>
          <cell r="K3943" t="str">
            <v/>
          </cell>
          <cell r="L3943" t="str">
            <v/>
          </cell>
        </row>
        <row r="3944">
          <cell r="A3944">
            <v>34000000</v>
          </cell>
          <cell r="C3944">
            <v>34000000</v>
          </cell>
          <cell r="D3944">
            <v>34000000</v>
          </cell>
          <cell r="E3944">
            <v>34000000</v>
          </cell>
          <cell r="F3944">
            <v>34000000</v>
          </cell>
          <cell r="G3944">
            <v>34000000</v>
          </cell>
          <cell r="H3944">
            <v>34000000</v>
          </cell>
          <cell r="I3944" t="str">
            <v/>
          </cell>
          <cell r="J3944" t="str">
            <v/>
          </cell>
          <cell r="K3944" t="str">
            <v/>
          </cell>
          <cell r="L3944" t="str">
            <v/>
          </cell>
        </row>
        <row r="3945">
          <cell r="A3945">
            <v>34000000</v>
          </cell>
          <cell r="C3945">
            <v>34000000</v>
          </cell>
          <cell r="D3945">
            <v>34000000</v>
          </cell>
          <cell r="E3945">
            <v>34000000</v>
          </cell>
          <cell r="F3945">
            <v>34000000</v>
          </cell>
          <cell r="G3945">
            <v>34000000</v>
          </cell>
          <cell r="H3945">
            <v>34000000</v>
          </cell>
          <cell r="I3945" t="str">
            <v/>
          </cell>
          <cell r="J3945" t="str">
            <v/>
          </cell>
          <cell r="K3945" t="str">
            <v/>
          </cell>
          <cell r="L3945" t="str">
            <v/>
          </cell>
        </row>
        <row r="3946">
          <cell r="A3946">
            <v>34000000</v>
          </cell>
          <cell r="C3946">
            <v>34000000</v>
          </cell>
          <cell r="D3946">
            <v>34000000</v>
          </cell>
          <cell r="E3946">
            <v>34000000</v>
          </cell>
          <cell r="F3946">
            <v>34000000</v>
          </cell>
          <cell r="G3946">
            <v>34000000</v>
          </cell>
          <cell r="H3946">
            <v>34000000</v>
          </cell>
          <cell r="I3946" t="str">
            <v/>
          </cell>
          <cell r="J3946" t="str">
            <v/>
          </cell>
          <cell r="K3946" t="str">
            <v/>
          </cell>
          <cell r="L3946" t="str">
            <v/>
          </cell>
        </row>
        <row r="3947">
          <cell r="A3947">
            <v>34000000</v>
          </cell>
          <cell r="C3947">
            <v>34000000</v>
          </cell>
          <cell r="D3947">
            <v>34000000</v>
          </cell>
          <cell r="E3947">
            <v>34000000</v>
          </cell>
          <cell r="F3947">
            <v>34000000</v>
          </cell>
          <cell r="G3947">
            <v>34000000</v>
          </cell>
          <cell r="H3947">
            <v>34000000</v>
          </cell>
          <cell r="I3947" t="str">
            <v/>
          </cell>
          <cell r="J3947" t="str">
            <v/>
          </cell>
          <cell r="K3947" t="str">
            <v/>
          </cell>
          <cell r="L3947" t="str">
            <v/>
          </cell>
        </row>
        <row r="3948">
          <cell r="A3948">
            <v>34000000</v>
          </cell>
          <cell r="C3948">
            <v>34000000</v>
          </cell>
          <cell r="D3948">
            <v>34000000</v>
          </cell>
          <cell r="E3948">
            <v>34000000</v>
          </cell>
          <cell r="F3948">
            <v>34000000</v>
          </cell>
          <cell r="G3948">
            <v>34000000</v>
          </cell>
          <cell r="H3948">
            <v>34000000</v>
          </cell>
          <cell r="I3948" t="str">
            <v/>
          </cell>
          <cell r="J3948" t="str">
            <v/>
          </cell>
          <cell r="K3948" t="str">
            <v/>
          </cell>
          <cell r="L3948" t="str">
            <v/>
          </cell>
        </row>
        <row r="3949">
          <cell r="A3949">
            <v>34000000</v>
          </cell>
          <cell r="C3949">
            <v>34000000</v>
          </cell>
          <cell r="D3949">
            <v>34000000</v>
          </cell>
          <cell r="E3949">
            <v>34000000</v>
          </cell>
          <cell r="F3949">
            <v>34000000</v>
          </cell>
          <cell r="G3949">
            <v>34000000</v>
          </cell>
          <cell r="H3949">
            <v>34000000</v>
          </cell>
          <cell r="I3949" t="str">
            <v/>
          </cell>
          <cell r="J3949" t="str">
            <v/>
          </cell>
          <cell r="K3949" t="str">
            <v/>
          </cell>
          <cell r="L3949" t="str">
            <v/>
          </cell>
        </row>
        <row r="3950">
          <cell r="A3950">
            <v>34000000</v>
          </cell>
          <cell r="C3950">
            <v>34000000</v>
          </cell>
          <cell r="D3950">
            <v>34000000</v>
          </cell>
          <cell r="E3950">
            <v>34000000</v>
          </cell>
          <cell r="F3950">
            <v>34000000</v>
          </cell>
          <cell r="G3950">
            <v>34000000</v>
          </cell>
          <cell r="H3950">
            <v>34000000</v>
          </cell>
          <cell r="I3950" t="str">
            <v/>
          </cell>
          <cell r="J3950" t="str">
            <v/>
          </cell>
          <cell r="K3950" t="str">
            <v/>
          </cell>
          <cell r="L3950" t="str">
            <v/>
          </cell>
        </row>
        <row r="3951">
          <cell r="A3951">
            <v>34000000</v>
          </cell>
          <cell r="C3951">
            <v>34000000</v>
          </cell>
          <cell r="D3951">
            <v>34000000</v>
          </cell>
          <cell r="E3951">
            <v>34000000</v>
          </cell>
          <cell r="F3951">
            <v>34000000</v>
          </cell>
          <cell r="G3951">
            <v>34000000</v>
          </cell>
          <cell r="H3951">
            <v>34000000</v>
          </cell>
          <cell r="I3951" t="str">
            <v/>
          </cell>
          <cell r="J3951" t="str">
            <v/>
          </cell>
          <cell r="K3951" t="str">
            <v/>
          </cell>
          <cell r="L3951" t="str">
            <v/>
          </cell>
        </row>
        <row r="3952">
          <cell r="A3952">
            <v>34000000</v>
          </cell>
          <cell r="C3952">
            <v>34000000</v>
          </cell>
          <cell r="D3952">
            <v>34000000</v>
          </cell>
          <cell r="E3952">
            <v>34000000</v>
          </cell>
          <cell r="F3952">
            <v>34000000</v>
          </cell>
          <cell r="G3952">
            <v>34000000</v>
          </cell>
          <cell r="H3952">
            <v>34000000</v>
          </cell>
          <cell r="I3952" t="str">
            <v/>
          </cell>
          <cell r="J3952" t="str">
            <v/>
          </cell>
          <cell r="K3952" t="str">
            <v/>
          </cell>
          <cell r="L3952" t="str">
            <v/>
          </cell>
        </row>
        <row r="3953">
          <cell r="A3953">
            <v>34000000</v>
          </cell>
          <cell r="C3953">
            <v>34000000</v>
          </cell>
          <cell r="D3953">
            <v>34000000</v>
          </cell>
          <cell r="E3953">
            <v>34000000</v>
          </cell>
          <cell r="F3953">
            <v>34000000</v>
          </cell>
          <cell r="G3953">
            <v>34000000</v>
          </cell>
          <cell r="H3953">
            <v>34000000</v>
          </cell>
          <cell r="I3953" t="str">
            <v/>
          </cell>
          <cell r="J3953" t="str">
            <v/>
          </cell>
          <cell r="K3953" t="str">
            <v/>
          </cell>
          <cell r="L3953" t="str">
            <v/>
          </cell>
        </row>
        <row r="3954">
          <cell r="A3954">
            <v>34000000</v>
          </cell>
          <cell r="C3954">
            <v>34000000</v>
          </cell>
          <cell r="D3954">
            <v>34000000</v>
          </cell>
          <cell r="E3954">
            <v>34000000</v>
          </cell>
          <cell r="F3954">
            <v>34000000</v>
          </cell>
          <cell r="G3954">
            <v>34000000</v>
          </cell>
          <cell r="H3954">
            <v>34000000</v>
          </cell>
          <cell r="I3954" t="str">
            <v/>
          </cell>
          <cell r="J3954" t="str">
            <v/>
          </cell>
          <cell r="K3954" t="str">
            <v/>
          </cell>
          <cell r="L3954" t="str">
            <v/>
          </cell>
        </row>
        <row r="3955">
          <cell r="A3955">
            <v>34000000</v>
          </cell>
          <cell r="C3955">
            <v>34000000</v>
          </cell>
          <cell r="D3955">
            <v>34000000</v>
          </cell>
          <cell r="E3955">
            <v>34000000</v>
          </cell>
          <cell r="F3955">
            <v>34000000</v>
          </cell>
          <cell r="G3955">
            <v>34000000</v>
          </cell>
          <cell r="H3955">
            <v>34000000</v>
          </cell>
          <cell r="I3955" t="str">
            <v/>
          </cell>
          <cell r="J3955" t="str">
            <v/>
          </cell>
          <cell r="K3955" t="str">
            <v/>
          </cell>
          <cell r="L3955" t="str">
            <v/>
          </cell>
        </row>
        <row r="3956">
          <cell r="A3956">
            <v>34000000</v>
          </cell>
          <cell r="C3956">
            <v>34000000</v>
          </cell>
          <cell r="D3956">
            <v>34000000</v>
          </cell>
          <cell r="E3956">
            <v>34000000</v>
          </cell>
          <cell r="F3956">
            <v>34000000</v>
          </cell>
          <cell r="G3956">
            <v>34000000</v>
          </cell>
          <cell r="H3956">
            <v>34000000</v>
          </cell>
          <cell r="I3956" t="str">
            <v/>
          </cell>
          <cell r="J3956" t="str">
            <v/>
          </cell>
          <cell r="K3956" t="str">
            <v/>
          </cell>
          <cell r="L3956" t="str">
            <v/>
          </cell>
        </row>
        <row r="3957">
          <cell r="A3957">
            <v>34000000</v>
          </cell>
          <cell r="C3957">
            <v>34000000</v>
          </cell>
          <cell r="D3957">
            <v>34000000</v>
          </cell>
          <cell r="E3957">
            <v>34000000</v>
          </cell>
          <cell r="F3957">
            <v>34000000</v>
          </cell>
          <cell r="G3957">
            <v>34000000</v>
          </cell>
          <cell r="H3957">
            <v>34000000</v>
          </cell>
          <cell r="I3957" t="str">
            <v/>
          </cell>
          <cell r="J3957" t="str">
            <v/>
          </cell>
          <cell r="K3957" t="str">
            <v/>
          </cell>
          <cell r="L3957" t="str">
            <v/>
          </cell>
        </row>
        <row r="3958">
          <cell r="A3958">
            <v>34000000</v>
          </cell>
          <cell r="C3958">
            <v>34000000</v>
          </cell>
          <cell r="D3958">
            <v>34000000</v>
          </cell>
          <cell r="E3958">
            <v>34000000</v>
          </cell>
          <cell r="F3958">
            <v>34000000</v>
          </cell>
          <cell r="G3958">
            <v>34000000</v>
          </cell>
          <cell r="H3958">
            <v>34000000</v>
          </cell>
          <cell r="I3958" t="str">
            <v/>
          </cell>
          <cell r="J3958" t="str">
            <v/>
          </cell>
          <cell r="K3958" t="str">
            <v/>
          </cell>
          <cell r="L3958" t="str">
            <v/>
          </cell>
        </row>
        <row r="3959">
          <cell r="A3959">
            <v>34000000</v>
          </cell>
          <cell r="C3959">
            <v>34000000</v>
          </cell>
          <cell r="D3959">
            <v>34000000</v>
          </cell>
          <cell r="E3959">
            <v>34000000</v>
          </cell>
          <cell r="F3959">
            <v>34000000</v>
          </cell>
          <cell r="G3959">
            <v>34000000</v>
          </cell>
          <cell r="H3959">
            <v>34000000</v>
          </cell>
          <cell r="I3959" t="str">
            <v/>
          </cell>
          <cell r="J3959" t="str">
            <v/>
          </cell>
          <cell r="K3959" t="str">
            <v/>
          </cell>
          <cell r="L3959" t="str">
            <v/>
          </cell>
        </row>
        <row r="3960">
          <cell r="A3960">
            <v>34000000</v>
          </cell>
          <cell r="C3960">
            <v>34000000</v>
          </cell>
          <cell r="D3960">
            <v>34000000</v>
          </cell>
          <cell r="E3960">
            <v>34000000</v>
          </cell>
          <cell r="F3960">
            <v>34000000</v>
          </cell>
          <cell r="G3960">
            <v>34000000</v>
          </cell>
          <cell r="H3960">
            <v>34000000</v>
          </cell>
          <cell r="I3960" t="str">
            <v/>
          </cell>
          <cell r="J3960" t="str">
            <v/>
          </cell>
          <cell r="K3960" t="str">
            <v/>
          </cell>
          <cell r="L3960" t="str">
            <v/>
          </cell>
        </row>
        <row r="3961">
          <cell r="A3961">
            <v>34000000</v>
          </cell>
          <cell r="C3961">
            <v>34000000</v>
          </cell>
          <cell r="D3961">
            <v>34000000</v>
          </cell>
          <cell r="E3961">
            <v>34000000</v>
          </cell>
          <cell r="F3961">
            <v>34000000</v>
          </cell>
          <cell r="G3961">
            <v>34000000</v>
          </cell>
          <cell r="H3961">
            <v>34000000</v>
          </cell>
          <cell r="I3961" t="str">
            <v/>
          </cell>
          <cell r="J3961" t="str">
            <v/>
          </cell>
          <cell r="K3961" t="str">
            <v/>
          </cell>
          <cell r="L3961" t="str">
            <v/>
          </cell>
        </row>
        <row r="3962">
          <cell r="A3962">
            <v>34000000</v>
          </cell>
          <cell r="C3962">
            <v>34000000</v>
          </cell>
          <cell r="D3962">
            <v>34000000</v>
          </cell>
          <cell r="E3962">
            <v>34000000</v>
          </cell>
          <cell r="F3962">
            <v>34000000</v>
          </cell>
          <cell r="G3962">
            <v>34000000</v>
          </cell>
          <cell r="H3962">
            <v>34000000</v>
          </cell>
          <cell r="I3962" t="str">
            <v/>
          </cell>
          <cell r="J3962" t="str">
            <v/>
          </cell>
          <cell r="K3962" t="str">
            <v/>
          </cell>
          <cell r="L3962" t="str">
            <v/>
          </cell>
        </row>
        <row r="3963">
          <cell r="A3963">
            <v>34000000</v>
          </cell>
          <cell r="C3963">
            <v>34000000</v>
          </cell>
          <cell r="D3963">
            <v>34000000</v>
          </cell>
          <cell r="E3963">
            <v>34000000</v>
          </cell>
          <cell r="F3963">
            <v>34000000</v>
          </cell>
          <cell r="G3963">
            <v>34000000</v>
          </cell>
          <cell r="H3963">
            <v>34000000</v>
          </cell>
          <cell r="I3963" t="str">
            <v/>
          </cell>
          <cell r="J3963" t="str">
            <v/>
          </cell>
          <cell r="K3963" t="str">
            <v/>
          </cell>
          <cell r="L3963" t="str">
            <v/>
          </cell>
        </row>
        <row r="3964">
          <cell r="A3964">
            <v>34000000</v>
          </cell>
          <cell r="C3964">
            <v>34000000</v>
          </cell>
          <cell r="D3964">
            <v>34000000</v>
          </cell>
          <cell r="E3964">
            <v>34000000</v>
          </cell>
          <cell r="F3964">
            <v>34000000</v>
          </cell>
          <cell r="G3964">
            <v>34000000</v>
          </cell>
          <cell r="H3964">
            <v>34000000</v>
          </cell>
          <cell r="I3964" t="str">
            <v/>
          </cell>
          <cell r="J3964" t="str">
            <v/>
          </cell>
          <cell r="K3964" t="str">
            <v/>
          </cell>
          <cell r="L3964" t="str">
            <v/>
          </cell>
        </row>
        <row r="3965">
          <cell r="A3965">
            <v>34000000</v>
          </cell>
          <cell r="C3965">
            <v>34000000</v>
          </cell>
          <cell r="D3965">
            <v>34000000</v>
          </cell>
          <cell r="E3965">
            <v>34000000</v>
          </cell>
          <cell r="F3965">
            <v>34000000</v>
          </cell>
          <cell r="G3965">
            <v>34000000</v>
          </cell>
          <cell r="H3965">
            <v>34000000</v>
          </cell>
          <cell r="I3965" t="str">
            <v/>
          </cell>
          <cell r="J3965" t="str">
            <v/>
          </cell>
          <cell r="K3965" t="str">
            <v/>
          </cell>
          <cell r="L3965" t="str">
            <v/>
          </cell>
        </row>
        <row r="3966">
          <cell r="A3966">
            <v>34000000</v>
          </cell>
          <cell r="C3966">
            <v>34000000</v>
          </cell>
          <cell r="D3966">
            <v>34000000</v>
          </cell>
          <cell r="E3966">
            <v>34000000</v>
          </cell>
          <cell r="F3966">
            <v>34000000</v>
          </cell>
          <cell r="G3966">
            <v>34000000</v>
          </cell>
          <cell r="H3966">
            <v>34000000</v>
          </cell>
          <cell r="I3966" t="str">
            <v/>
          </cell>
          <cell r="J3966" t="str">
            <v/>
          </cell>
          <cell r="K3966" t="str">
            <v/>
          </cell>
          <cell r="L3966" t="str">
            <v/>
          </cell>
        </row>
        <row r="3967">
          <cell r="A3967">
            <v>34000000</v>
          </cell>
          <cell r="C3967">
            <v>34000000</v>
          </cell>
          <cell r="D3967">
            <v>34000000</v>
          </cell>
          <cell r="E3967">
            <v>34000000</v>
          </cell>
          <cell r="F3967">
            <v>34000000</v>
          </cell>
          <cell r="G3967">
            <v>34000000</v>
          </cell>
          <cell r="H3967">
            <v>34000000</v>
          </cell>
          <cell r="I3967" t="str">
            <v/>
          </cell>
          <cell r="J3967" t="str">
            <v/>
          </cell>
          <cell r="K3967" t="str">
            <v/>
          </cell>
          <cell r="L3967" t="str">
            <v/>
          </cell>
        </row>
        <row r="3968">
          <cell r="A3968">
            <v>34000000</v>
          </cell>
          <cell r="C3968">
            <v>34000000</v>
          </cell>
          <cell r="D3968">
            <v>34000000</v>
          </cell>
          <cell r="E3968">
            <v>34000000</v>
          </cell>
          <cell r="F3968">
            <v>34000000</v>
          </cell>
          <cell r="G3968">
            <v>34000000</v>
          </cell>
          <cell r="H3968">
            <v>34000000</v>
          </cell>
          <cell r="I3968" t="str">
            <v/>
          </cell>
          <cell r="J3968" t="str">
            <v/>
          </cell>
          <cell r="K3968" t="str">
            <v/>
          </cell>
          <cell r="L3968" t="str">
            <v/>
          </cell>
        </row>
        <row r="3969">
          <cell r="A3969">
            <v>34000000</v>
          </cell>
          <cell r="C3969">
            <v>34000000</v>
          </cell>
          <cell r="D3969">
            <v>34000000</v>
          </cell>
          <cell r="E3969">
            <v>34000000</v>
          </cell>
          <cell r="F3969">
            <v>34000000</v>
          </cell>
          <cell r="G3969">
            <v>34000000</v>
          </cell>
          <cell r="H3969">
            <v>34000000</v>
          </cell>
          <cell r="I3969" t="str">
            <v/>
          </cell>
          <cell r="J3969" t="str">
            <v/>
          </cell>
          <cell r="K3969" t="str">
            <v/>
          </cell>
          <cell r="L3969" t="str">
            <v/>
          </cell>
        </row>
        <row r="3970">
          <cell r="A3970">
            <v>34000000</v>
          </cell>
          <cell r="C3970">
            <v>34000000</v>
          </cell>
          <cell r="D3970">
            <v>34000000</v>
          </cell>
          <cell r="E3970">
            <v>34000000</v>
          </cell>
          <cell r="F3970">
            <v>34000000</v>
          </cell>
          <cell r="G3970">
            <v>34000000</v>
          </cell>
          <cell r="H3970">
            <v>34000000</v>
          </cell>
          <cell r="I3970" t="str">
            <v/>
          </cell>
          <cell r="J3970" t="str">
            <v/>
          </cell>
          <cell r="K3970" t="str">
            <v/>
          </cell>
          <cell r="L3970" t="str">
            <v/>
          </cell>
        </row>
        <row r="3971">
          <cell r="A3971">
            <v>34000000</v>
          </cell>
          <cell r="C3971">
            <v>34000000</v>
          </cell>
          <cell r="D3971">
            <v>34000000</v>
          </cell>
          <cell r="E3971">
            <v>34000000</v>
          </cell>
          <cell r="F3971">
            <v>34000000</v>
          </cell>
          <cell r="G3971">
            <v>34000000</v>
          </cell>
          <cell r="H3971">
            <v>34000000</v>
          </cell>
          <cell r="I3971" t="str">
            <v/>
          </cell>
          <cell r="J3971" t="str">
            <v/>
          </cell>
          <cell r="K3971" t="str">
            <v/>
          </cell>
          <cell r="L3971" t="str">
            <v/>
          </cell>
        </row>
        <row r="3972">
          <cell r="A3972">
            <v>34000000</v>
          </cell>
          <cell r="C3972">
            <v>34000000</v>
          </cell>
          <cell r="D3972">
            <v>34000000</v>
          </cell>
          <cell r="E3972">
            <v>34000000</v>
          </cell>
          <cell r="F3972">
            <v>34000000</v>
          </cell>
          <cell r="G3972">
            <v>34000000</v>
          </cell>
          <cell r="H3972">
            <v>34000000</v>
          </cell>
          <cell r="I3972" t="str">
            <v/>
          </cell>
          <cell r="J3972" t="str">
            <v/>
          </cell>
          <cell r="K3972" t="str">
            <v/>
          </cell>
          <cell r="L3972" t="str">
            <v/>
          </cell>
        </row>
        <row r="3973">
          <cell r="A3973">
            <v>34000000</v>
          </cell>
          <cell r="C3973">
            <v>34000000</v>
          </cell>
          <cell r="D3973">
            <v>34000000</v>
          </cell>
          <cell r="E3973">
            <v>34000000</v>
          </cell>
          <cell r="F3973">
            <v>34000000</v>
          </cell>
          <cell r="G3973">
            <v>34000000</v>
          </cell>
          <cell r="H3973">
            <v>34000000</v>
          </cell>
          <cell r="I3973" t="str">
            <v/>
          </cell>
          <cell r="J3973" t="str">
            <v/>
          </cell>
          <cell r="K3973" t="str">
            <v/>
          </cell>
          <cell r="L3973" t="str">
            <v/>
          </cell>
        </row>
        <row r="3974">
          <cell r="A3974">
            <v>34000000</v>
          </cell>
          <cell r="C3974">
            <v>34000000</v>
          </cell>
          <cell r="D3974">
            <v>34000000</v>
          </cell>
          <cell r="E3974">
            <v>34000000</v>
          </cell>
          <cell r="F3974">
            <v>34000000</v>
          </cell>
          <cell r="G3974">
            <v>34000000</v>
          </cell>
          <cell r="H3974">
            <v>34000000</v>
          </cell>
          <cell r="I3974" t="str">
            <v/>
          </cell>
          <cell r="J3974" t="str">
            <v/>
          </cell>
          <cell r="K3974" t="str">
            <v/>
          </cell>
          <cell r="L3974" t="str">
            <v/>
          </cell>
        </row>
        <row r="3975">
          <cell r="A3975">
            <v>34000000</v>
          </cell>
          <cell r="C3975">
            <v>34000000</v>
          </cell>
          <cell r="D3975">
            <v>34000000</v>
          </cell>
          <cell r="E3975">
            <v>34000000</v>
          </cell>
          <cell r="F3975">
            <v>34000000</v>
          </cell>
          <cell r="G3975">
            <v>34000000</v>
          </cell>
          <cell r="H3975">
            <v>34000000</v>
          </cell>
          <cell r="I3975" t="str">
            <v/>
          </cell>
          <cell r="J3975" t="str">
            <v/>
          </cell>
          <cell r="K3975" t="str">
            <v/>
          </cell>
          <cell r="L3975" t="str">
            <v/>
          </cell>
        </row>
        <row r="3976">
          <cell r="A3976">
            <v>34000000</v>
          </cell>
          <cell r="C3976">
            <v>34000000</v>
          </cell>
          <cell r="D3976">
            <v>34000000</v>
          </cell>
          <cell r="E3976">
            <v>34000000</v>
          </cell>
          <cell r="F3976">
            <v>34000000</v>
          </cell>
          <cell r="G3976">
            <v>34000000</v>
          </cell>
          <cell r="H3976">
            <v>34000000</v>
          </cell>
          <cell r="I3976" t="str">
            <v/>
          </cell>
          <cell r="J3976" t="str">
            <v/>
          </cell>
          <cell r="K3976" t="str">
            <v/>
          </cell>
          <cell r="L3976" t="str">
            <v/>
          </cell>
        </row>
        <row r="3977">
          <cell r="A3977">
            <v>34000000</v>
          </cell>
          <cell r="C3977">
            <v>34000000</v>
          </cell>
          <cell r="D3977">
            <v>34000000</v>
          </cell>
          <cell r="E3977">
            <v>34000000</v>
          </cell>
          <cell r="F3977">
            <v>34000000</v>
          </cell>
          <cell r="G3977">
            <v>34000000</v>
          </cell>
          <cell r="H3977">
            <v>34000000</v>
          </cell>
          <cell r="I3977" t="str">
            <v/>
          </cell>
          <cell r="J3977" t="str">
            <v/>
          </cell>
          <cell r="K3977" t="str">
            <v/>
          </cell>
          <cell r="L3977" t="str">
            <v/>
          </cell>
        </row>
        <row r="3978">
          <cell r="A3978">
            <v>34000000</v>
          </cell>
          <cell r="C3978">
            <v>34000000</v>
          </cell>
          <cell r="D3978">
            <v>34000000</v>
          </cell>
          <cell r="E3978">
            <v>34000000</v>
          </cell>
          <cell r="F3978">
            <v>34000000</v>
          </cell>
          <cell r="G3978">
            <v>34000000</v>
          </cell>
          <cell r="H3978">
            <v>34000000</v>
          </cell>
          <cell r="I3978" t="str">
            <v/>
          </cell>
          <cell r="J3978" t="str">
            <v/>
          </cell>
          <cell r="K3978" t="str">
            <v/>
          </cell>
          <cell r="L3978" t="str">
            <v/>
          </cell>
        </row>
        <row r="3979">
          <cell r="A3979">
            <v>34000000</v>
          </cell>
          <cell r="C3979">
            <v>34000000</v>
          </cell>
          <cell r="D3979">
            <v>34000000</v>
          </cell>
          <cell r="E3979">
            <v>34000000</v>
          </cell>
          <cell r="F3979">
            <v>34000000</v>
          </cell>
          <cell r="G3979">
            <v>34000000</v>
          </cell>
          <cell r="H3979">
            <v>34000000</v>
          </cell>
          <cell r="I3979" t="str">
            <v/>
          </cell>
          <cell r="J3979" t="str">
            <v/>
          </cell>
          <cell r="K3979" t="str">
            <v/>
          </cell>
          <cell r="L3979" t="str">
            <v/>
          </cell>
        </row>
        <row r="3980">
          <cell r="A3980">
            <v>34000000</v>
          </cell>
          <cell r="C3980">
            <v>34000000</v>
          </cell>
          <cell r="D3980">
            <v>34000000</v>
          </cell>
          <cell r="E3980">
            <v>34000000</v>
          </cell>
          <cell r="F3980">
            <v>34000000</v>
          </cell>
          <cell r="G3980">
            <v>34000000</v>
          </cell>
          <cell r="H3980">
            <v>34000000</v>
          </cell>
          <cell r="I3980" t="str">
            <v/>
          </cell>
          <cell r="J3980" t="str">
            <v/>
          </cell>
          <cell r="K3980" t="str">
            <v/>
          </cell>
          <cell r="L3980" t="str">
            <v/>
          </cell>
        </row>
        <row r="3981">
          <cell r="A3981">
            <v>34000000</v>
          </cell>
          <cell r="C3981">
            <v>34000000</v>
          </cell>
          <cell r="D3981">
            <v>34000000</v>
          </cell>
          <cell r="E3981">
            <v>34000000</v>
          </cell>
          <cell r="F3981">
            <v>34000000</v>
          </cell>
          <cell r="G3981">
            <v>34000000</v>
          </cell>
          <cell r="H3981">
            <v>34000000</v>
          </cell>
          <cell r="I3981" t="str">
            <v/>
          </cell>
          <cell r="J3981" t="str">
            <v/>
          </cell>
          <cell r="K3981" t="str">
            <v/>
          </cell>
          <cell r="L3981" t="str">
            <v/>
          </cell>
        </row>
        <row r="3982">
          <cell r="A3982">
            <v>34000000</v>
          </cell>
          <cell r="C3982">
            <v>34000000</v>
          </cell>
          <cell r="D3982">
            <v>34000000</v>
          </cell>
          <cell r="E3982">
            <v>34000000</v>
          </cell>
          <cell r="F3982">
            <v>34000000</v>
          </cell>
          <cell r="G3982">
            <v>34000000</v>
          </cell>
          <cell r="H3982">
            <v>34000000</v>
          </cell>
          <cell r="I3982" t="str">
            <v/>
          </cell>
          <cell r="J3982" t="str">
            <v/>
          </cell>
          <cell r="K3982" t="str">
            <v/>
          </cell>
          <cell r="L3982" t="str">
            <v/>
          </cell>
        </row>
        <row r="3983">
          <cell r="A3983">
            <v>34000000</v>
          </cell>
          <cell r="C3983">
            <v>34000000</v>
          </cell>
          <cell r="D3983">
            <v>34000000</v>
          </cell>
          <cell r="E3983">
            <v>34000000</v>
          </cell>
          <cell r="F3983">
            <v>34000000</v>
          </cell>
          <cell r="G3983">
            <v>34000000</v>
          </cell>
          <cell r="H3983">
            <v>34000000</v>
          </cell>
          <cell r="I3983" t="str">
            <v/>
          </cell>
          <cell r="J3983" t="str">
            <v/>
          </cell>
          <cell r="K3983" t="str">
            <v/>
          </cell>
          <cell r="L3983" t="str">
            <v/>
          </cell>
        </row>
        <row r="3984">
          <cell r="A3984">
            <v>34000000</v>
          </cell>
          <cell r="C3984">
            <v>34000000</v>
          </cell>
          <cell r="D3984">
            <v>34000000</v>
          </cell>
          <cell r="E3984">
            <v>34000000</v>
          </cell>
          <cell r="F3984">
            <v>34000000</v>
          </cell>
          <cell r="G3984">
            <v>34000000</v>
          </cell>
          <cell r="H3984">
            <v>34000000</v>
          </cell>
          <cell r="I3984" t="str">
            <v/>
          </cell>
          <cell r="J3984" t="str">
            <v/>
          </cell>
          <cell r="K3984" t="str">
            <v/>
          </cell>
          <cell r="L3984" t="str">
            <v/>
          </cell>
        </row>
        <row r="3985">
          <cell r="A3985">
            <v>34000000</v>
          </cell>
          <cell r="C3985">
            <v>34000000</v>
          </cell>
          <cell r="D3985">
            <v>34000000</v>
          </cell>
          <cell r="E3985">
            <v>34000000</v>
          </cell>
          <cell r="F3985">
            <v>34000000</v>
          </cell>
          <cell r="G3985">
            <v>34000000</v>
          </cell>
          <cell r="H3985">
            <v>34000000</v>
          </cell>
          <cell r="I3985" t="str">
            <v/>
          </cell>
          <cell r="J3985" t="str">
            <v/>
          </cell>
          <cell r="K3985" t="str">
            <v/>
          </cell>
          <cell r="L3985" t="str">
            <v/>
          </cell>
        </row>
        <row r="3986">
          <cell r="A3986">
            <v>34000000</v>
          </cell>
          <cell r="C3986">
            <v>34000000</v>
          </cell>
          <cell r="D3986">
            <v>34000000</v>
          </cell>
          <cell r="E3986">
            <v>34000000</v>
          </cell>
          <cell r="F3986">
            <v>34000000</v>
          </cell>
          <cell r="G3986">
            <v>34000000</v>
          </cell>
          <cell r="H3986">
            <v>34000000</v>
          </cell>
          <cell r="I3986" t="str">
            <v/>
          </cell>
          <cell r="J3986" t="str">
            <v/>
          </cell>
          <cell r="K3986" t="str">
            <v/>
          </cell>
          <cell r="L3986" t="str">
            <v/>
          </cell>
        </row>
        <row r="3987">
          <cell r="A3987">
            <v>34000000</v>
          </cell>
          <cell r="C3987">
            <v>34000000</v>
          </cell>
          <cell r="D3987">
            <v>34000000</v>
          </cell>
          <cell r="E3987">
            <v>34000000</v>
          </cell>
          <cell r="F3987">
            <v>34000000</v>
          </cell>
          <cell r="G3987">
            <v>34000000</v>
          </cell>
          <cell r="H3987">
            <v>34000000</v>
          </cell>
          <cell r="I3987" t="str">
            <v/>
          </cell>
          <cell r="J3987" t="str">
            <v/>
          </cell>
          <cell r="K3987" t="str">
            <v/>
          </cell>
          <cell r="L3987" t="str">
            <v/>
          </cell>
        </row>
        <row r="3988">
          <cell r="A3988">
            <v>34000000</v>
          </cell>
          <cell r="C3988">
            <v>34000000</v>
          </cell>
          <cell r="D3988">
            <v>34000000</v>
          </cell>
          <cell r="E3988">
            <v>34000000</v>
          </cell>
          <cell r="F3988">
            <v>34000000</v>
          </cell>
          <cell r="G3988">
            <v>34000000</v>
          </cell>
          <cell r="H3988">
            <v>34000000</v>
          </cell>
          <cell r="I3988" t="str">
            <v/>
          </cell>
          <cell r="J3988" t="str">
            <v/>
          </cell>
          <cell r="K3988" t="str">
            <v/>
          </cell>
          <cell r="L3988" t="str">
            <v/>
          </cell>
        </row>
        <row r="3989">
          <cell r="A3989">
            <v>34000000</v>
          </cell>
          <cell r="C3989">
            <v>34000000</v>
          </cell>
          <cell r="D3989">
            <v>34000000</v>
          </cell>
          <cell r="E3989">
            <v>34000000</v>
          </cell>
          <cell r="F3989">
            <v>34000000</v>
          </cell>
          <cell r="G3989">
            <v>34000000</v>
          </cell>
          <cell r="H3989">
            <v>34000000</v>
          </cell>
          <cell r="I3989" t="str">
            <v/>
          </cell>
          <cell r="J3989" t="str">
            <v/>
          </cell>
          <cell r="K3989" t="str">
            <v/>
          </cell>
          <cell r="L3989" t="str">
            <v/>
          </cell>
        </row>
        <row r="3990">
          <cell r="A3990">
            <v>34000000</v>
          </cell>
          <cell r="C3990">
            <v>34000000</v>
          </cell>
          <cell r="D3990">
            <v>34000000</v>
          </cell>
          <cell r="E3990">
            <v>34000000</v>
          </cell>
          <cell r="F3990">
            <v>34000000</v>
          </cell>
          <cell r="G3990">
            <v>34000000</v>
          </cell>
          <cell r="H3990">
            <v>34000000</v>
          </cell>
          <cell r="I3990" t="str">
            <v/>
          </cell>
          <cell r="J3990" t="str">
            <v/>
          </cell>
          <cell r="K3990" t="str">
            <v/>
          </cell>
          <cell r="L3990" t="str">
            <v/>
          </cell>
        </row>
        <row r="3991">
          <cell r="A3991">
            <v>34000000</v>
          </cell>
          <cell r="C3991">
            <v>34000000</v>
          </cell>
          <cell r="D3991">
            <v>34000000</v>
          </cell>
          <cell r="E3991">
            <v>34000000</v>
          </cell>
          <cell r="F3991">
            <v>34000000</v>
          </cell>
          <cell r="G3991">
            <v>34000000</v>
          </cell>
          <cell r="H3991">
            <v>34000000</v>
          </cell>
          <cell r="I3991" t="str">
            <v/>
          </cell>
          <cell r="J3991" t="str">
            <v/>
          </cell>
          <cell r="K3991" t="str">
            <v/>
          </cell>
          <cell r="L3991" t="str">
            <v/>
          </cell>
        </row>
        <row r="3992">
          <cell r="A3992">
            <v>34000000</v>
          </cell>
          <cell r="C3992">
            <v>34000000</v>
          </cell>
          <cell r="D3992">
            <v>34000000</v>
          </cell>
          <cell r="E3992">
            <v>34000000</v>
          </cell>
          <cell r="F3992">
            <v>34000000</v>
          </cell>
          <cell r="G3992">
            <v>34000000</v>
          </cell>
          <cell r="H3992">
            <v>34000000</v>
          </cell>
          <cell r="I3992" t="str">
            <v/>
          </cell>
          <cell r="J3992" t="str">
            <v/>
          </cell>
          <cell r="K3992" t="str">
            <v/>
          </cell>
          <cell r="L3992" t="str">
            <v/>
          </cell>
        </row>
        <row r="3993">
          <cell r="A3993">
            <v>34000000</v>
          </cell>
          <cell r="C3993">
            <v>34000000</v>
          </cell>
          <cell r="D3993">
            <v>34000000</v>
          </cell>
          <cell r="E3993">
            <v>34000000</v>
          </cell>
          <cell r="F3993">
            <v>34000000</v>
          </cell>
          <cell r="G3993">
            <v>34000000</v>
          </cell>
          <cell r="H3993">
            <v>34000000</v>
          </cell>
          <cell r="I3993" t="str">
            <v/>
          </cell>
          <cell r="J3993" t="str">
            <v/>
          </cell>
          <cell r="K3993" t="str">
            <v/>
          </cell>
          <cell r="L3993" t="str">
            <v/>
          </cell>
        </row>
        <row r="3994">
          <cell r="A3994">
            <v>34000000</v>
          </cell>
          <cell r="C3994">
            <v>34000000</v>
          </cell>
          <cell r="D3994">
            <v>34000000</v>
          </cell>
          <cell r="E3994">
            <v>34000000</v>
          </cell>
          <cell r="F3994">
            <v>34000000</v>
          </cell>
          <cell r="G3994">
            <v>34000000</v>
          </cell>
          <cell r="H3994">
            <v>34000000</v>
          </cell>
          <cell r="I3994" t="str">
            <v/>
          </cell>
          <cell r="J3994" t="str">
            <v/>
          </cell>
          <cell r="K3994" t="str">
            <v/>
          </cell>
          <cell r="L3994" t="str">
            <v/>
          </cell>
        </row>
        <row r="3995">
          <cell r="A3995">
            <v>34000000</v>
          </cell>
          <cell r="C3995">
            <v>34000000</v>
          </cell>
          <cell r="D3995">
            <v>34000000</v>
          </cell>
          <cell r="E3995">
            <v>34000000</v>
          </cell>
          <cell r="F3995">
            <v>34000000</v>
          </cell>
          <cell r="G3995">
            <v>34000000</v>
          </cell>
          <cell r="H3995">
            <v>34000000</v>
          </cell>
          <cell r="I3995" t="str">
            <v/>
          </cell>
          <cell r="J3995" t="str">
            <v/>
          </cell>
          <cell r="K3995" t="str">
            <v/>
          </cell>
          <cell r="L3995" t="str">
            <v/>
          </cell>
        </row>
        <row r="3996">
          <cell r="A3996">
            <v>34000000</v>
          </cell>
          <cell r="C3996">
            <v>34000000</v>
          </cell>
          <cell r="D3996">
            <v>34000000</v>
          </cell>
          <cell r="E3996">
            <v>34000000</v>
          </cell>
          <cell r="F3996">
            <v>34000000</v>
          </cell>
          <cell r="G3996">
            <v>34000000</v>
          </cell>
          <cell r="H3996">
            <v>34000000</v>
          </cell>
          <cell r="I3996" t="str">
            <v/>
          </cell>
          <cell r="J3996" t="str">
            <v/>
          </cell>
          <cell r="K3996" t="str">
            <v/>
          </cell>
          <cell r="L3996" t="str">
            <v/>
          </cell>
        </row>
        <row r="3997">
          <cell r="A3997">
            <v>34000000</v>
          </cell>
          <cell r="C3997">
            <v>34000000</v>
          </cell>
          <cell r="D3997">
            <v>34000000</v>
          </cell>
          <cell r="E3997">
            <v>34000000</v>
          </cell>
          <cell r="F3997">
            <v>34000000</v>
          </cell>
          <cell r="G3997">
            <v>34000000</v>
          </cell>
          <cell r="H3997">
            <v>34000000</v>
          </cell>
          <cell r="I3997" t="str">
            <v/>
          </cell>
          <cell r="J3997" t="str">
            <v/>
          </cell>
          <cell r="K3997" t="str">
            <v/>
          </cell>
          <cell r="L3997" t="str">
            <v/>
          </cell>
        </row>
        <row r="3998">
          <cell r="A3998">
            <v>34000000</v>
          </cell>
          <cell r="C3998">
            <v>34000000</v>
          </cell>
          <cell r="D3998">
            <v>34000000</v>
          </cell>
          <cell r="E3998">
            <v>34000000</v>
          </cell>
          <cell r="F3998">
            <v>34000000</v>
          </cell>
          <cell r="G3998">
            <v>34000000</v>
          </cell>
          <cell r="H3998">
            <v>34000000</v>
          </cell>
          <cell r="I3998" t="str">
            <v/>
          </cell>
          <cell r="J3998" t="str">
            <v/>
          </cell>
          <cell r="K3998" t="str">
            <v/>
          </cell>
          <cell r="L3998" t="str">
            <v/>
          </cell>
        </row>
        <row r="3999">
          <cell r="A3999">
            <v>34000000</v>
          </cell>
          <cell r="C3999">
            <v>34000000</v>
          </cell>
          <cell r="D3999">
            <v>34000000</v>
          </cell>
          <cell r="E3999">
            <v>34000000</v>
          </cell>
          <cell r="F3999">
            <v>34000000</v>
          </cell>
          <cell r="G3999">
            <v>34000000</v>
          </cell>
          <cell r="H3999">
            <v>34000000</v>
          </cell>
          <cell r="I3999" t="str">
            <v/>
          </cell>
          <cell r="J3999" t="str">
            <v/>
          </cell>
          <cell r="K3999" t="str">
            <v/>
          </cell>
          <cell r="L3999" t="str">
            <v/>
          </cell>
        </row>
        <row r="4000">
          <cell r="A4000">
            <v>34000000</v>
          </cell>
          <cell r="C4000">
            <v>34000000</v>
          </cell>
          <cell r="D4000">
            <v>34000000</v>
          </cell>
          <cell r="E4000">
            <v>34000000</v>
          </cell>
          <cell r="F4000">
            <v>34000000</v>
          </cell>
          <cell r="G4000">
            <v>34000000</v>
          </cell>
          <cell r="H4000">
            <v>34000000</v>
          </cell>
          <cell r="I4000" t="str">
            <v/>
          </cell>
          <cell r="J4000" t="str">
            <v/>
          </cell>
          <cell r="K4000" t="str">
            <v/>
          </cell>
          <cell r="L4000" t="str">
            <v/>
          </cell>
        </row>
        <row r="4001">
          <cell r="A4001">
            <v>34000000</v>
          </cell>
          <cell r="C4001">
            <v>34000000</v>
          </cell>
          <cell r="D4001">
            <v>34000000</v>
          </cell>
          <cell r="E4001">
            <v>34000000</v>
          </cell>
          <cell r="F4001">
            <v>34000000</v>
          </cell>
          <cell r="G4001">
            <v>34000000</v>
          </cell>
          <cell r="H4001">
            <v>34000000</v>
          </cell>
          <cell r="I4001" t="str">
            <v/>
          </cell>
          <cell r="J4001" t="str">
            <v/>
          </cell>
          <cell r="K4001" t="str">
            <v/>
          </cell>
          <cell r="L4001" t="str">
            <v/>
          </cell>
        </row>
        <row r="4002">
          <cell r="A4002">
            <v>34000000</v>
          </cell>
          <cell r="C4002">
            <v>34000000</v>
          </cell>
          <cell r="D4002">
            <v>34000000</v>
          </cell>
          <cell r="E4002">
            <v>34000000</v>
          </cell>
          <cell r="F4002">
            <v>34000000</v>
          </cell>
          <cell r="G4002">
            <v>34000000</v>
          </cell>
          <cell r="H4002">
            <v>34000000</v>
          </cell>
          <cell r="I4002" t="str">
            <v/>
          </cell>
          <cell r="J4002" t="str">
            <v/>
          </cell>
          <cell r="K4002" t="str">
            <v/>
          </cell>
          <cell r="L4002" t="str">
            <v/>
          </cell>
        </row>
        <row r="4003">
          <cell r="A4003">
            <v>34000000</v>
          </cell>
          <cell r="C4003">
            <v>34000000</v>
          </cell>
          <cell r="D4003">
            <v>34000000</v>
          </cell>
          <cell r="E4003">
            <v>34000000</v>
          </cell>
          <cell r="F4003">
            <v>34000000</v>
          </cell>
          <cell r="G4003">
            <v>34000000</v>
          </cell>
          <cell r="H4003">
            <v>34000000</v>
          </cell>
          <cell r="I4003" t="str">
            <v/>
          </cell>
          <cell r="J4003" t="str">
            <v/>
          </cell>
          <cell r="K4003" t="str">
            <v/>
          </cell>
          <cell r="L4003" t="str">
            <v/>
          </cell>
        </row>
        <row r="4004">
          <cell r="A4004">
            <v>34000000</v>
          </cell>
          <cell r="C4004">
            <v>34000000</v>
          </cell>
          <cell r="D4004">
            <v>34000000</v>
          </cell>
          <cell r="E4004">
            <v>34000000</v>
          </cell>
          <cell r="F4004">
            <v>34000000</v>
          </cell>
          <cell r="G4004">
            <v>34000000</v>
          </cell>
          <cell r="H4004">
            <v>34000000</v>
          </cell>
          <cell r="I4004" t="str">
            <v/>
          </cell>
          <cell r="J4004" t="str">
            <v/>
          </cell>
          <cell r="K4004" t="str">
            <v/>
          </cell>
          <cell r="L4004" t="str">
            <v/>
          </cell>
        </row>
        <row r="4005">
          <cell r="A4005">
            <v>34000000</v>
          </cell>
          <cell r="C4005">
            <v>34000000</v>
          </cell>
          <cell r="D4005">
            <v>34000000</v>
          </cell>
          <cell r="E4005">
            <v>34000000</v>
          </cell>
          <cell r="F4005">
            <v>34000000</v>
          </cell>
          <cell r="G4005">
            <v>34000000</v>
          </cell>
          <cell r="H4005">
            <v>34000000</v>
          </cell>
          <cell r="I4005" t="str">
            <v/>
          </cell>
          <cell r="J4005" t="str">
            <v/>
          </cell>
          <cell r="K4005" t="str">
            <v/>
          </cell>
          <cell r="L4005" t="str">
            <v/>
          </cell>
        </row>
        <row r="4006">
          <cell r="A4006">
            <v>34000000</v>
          </cell>
          <cell r="C4006">
            <v>34000000</v>
          </cell>
          <cell r="D4006">
            <v>34000000</v>
          </cell>
          <cell r="E4006">
            <v>34000000</v>
          </cell>
          <cell r="F4006">
            <v>34000000</v>
          </cell>
          <cell r="G4006">
            <v>34000000</v>
          </cell>
          <cell r="H4006">
            <v>34000000</v>
          </cell>
          <cell r="I4006" t="str">
            <v/>
          </cell>
          <cell r="J4006" t="str">
            <v/>
          </cell>
          <cell r="K4006" t="str">
            <v/>
          </cell>
          <cell r="L4006" t="str">
            <v/>
          </cell>
        </row>
        <row r="4007">
          <cell r="A4007">
            <v>34000000</v>
          </cell>
          <cell r="C4007">
            <v>34000000</v>
          </cell>
          <cell r="D4007">
            <v>34000000</v>
          </cell>
          <cell r="E4007">
            <v>34000000</v>
          </cell>
          <cell r="F4007">
            <v>34000000</v>
          </cell>
          <cell r="G4007">
            <v>34000000</v>
          </cell>
          <cell r="H4007">
            <v>34000000</v>
          </cell>
          <cell r="I4007" t="str">
            <v/>
          </cell>
          <cell r="J4007" t="str">
            <v/>
          </cell>
          <cell r="K4007" t="str">
            <v/>
          </cell>
          <cell r="L4007" t="str">
            <v/>
          </cell>
        </row>
        <row r="4008">
          <cell r="A4008">
            <v>34000000</v>
          </cell>
          <cell r="C4008">
            <v>34000000</v>
          </cell>
          <cell r="D4008">
            <v>34000000</v>
          </cell>
          <cell r="E4008">
            <v>34000000</v>
          </cell>
          <cell r="F4008">
            <v>34000000</v>
          </cell>
          <cell r="G4008">
            <v>34000000</v>
          </cell>
          <cell r="H4008">
            <v>34000000</v>
          </cell>
          <cell r="I4008" t="str">
            <v/>
          </cell>
          <cell r="J4008" t="str">
            <v/>
          </cell>
          <cell r="K4008" t="str">
            <v/>
          </cell>
          <cell r="L4008" t="str">
            <v/>
          </cell>
        </row>
        <row r="4009">
          <cell r="A4009">
            <v>34000000</v>
          </cell>
          <cell r="C4009">
            <v>34000000</v>
          </cell>
          <cell r="D4009">
            <v>34000000</v>
          </cell>
          <cell r="E4009">
            <v>34000000</v>
          </cell>
          <cell r="F4009">
            <v>34000000</v>
          </cell>
          <cell r="G4009">
            <v>34000000</v>
          </cell>
          <cell r="H4009">
            <v>34000000</v>
          </cell>
          <cell r="I4009" t="str">
            <v/>
          </cell>
          <cell r="J4009" t="str">
            <v/>
          </cell>
          <cell r="K4009" t="str">
            <v/>
          </cell>
          <cell r="L4009" t="str">
            <v/>
          </cell>
        </row>
        <row r="4010">
          <cell r="A4010">
            <v>34000000</v>
          </cell>
          <cell r="C4010">
            <v>34000000</v>
          </cell>
          <cell r="D4010">
            <v>34000000</v>
          </cell>
          <cell r="E4010">
            <v>34000000</v>
          </cell>
          <cell r="F4010">
            <v>34000000</v>
          </cell>
          <cell r="G4010">
            <v>34000000</v>
          </cell>
          <cell r="H4010">
            <v>34000000</v>
          </cell>
          <cell r="I4010" t="str">
            <v/>
          </cell>
          <cell r="J4010" t="str">
            <v/>
          </cell>
          <cell r="K4010" t="str">
            <v/>
          </cell>
          <cell r="L4010" t="str">
            <v/>
          </cell>
        </row>
        <row r="4011">
          <cell r="A4011">
            <v>34000000</v>
          </cell>
          <cell r="C4011">
            <v>34000000</v>
          </cell>
          <cell r="D4011">
            <v>34000000</v>
          </cell>
          <cell r="E4011">
            <v>34000000</v>
          </cell>
          <cell r="F4011">
            <v>34000000</v>
          </cell>
          <cell r="G4011">
            <v>34000000</v>
          </cell>
          <cell r="H4011">
            <v>34000000</v>
          </cell>
          <cell r="I4011" t="str">
            <v/>
          </cell>
          <cell r="J4011" t="str">
            <v/>
          </cell>
          <cell r="K4011" t="str">
            <v/>
          </cell>
          <cell r="L4011" t="str">
            <v/>
          </cell>
        </row>
        <row r="4012">
          <cell r="A4012">
            <v>34000000</v>
          </cell>
          <cell r="C4012">
            <v>34000000</v>
          </cell>
          <cell r="D4012">
            <v>34000000</v>
          </cell>
          <cell r="E4012">
            <v>34000000</v>
          </cell>
          <cell r="F4012">
            <v>34000000</v>
          </cell>
          <cell r="G4012">
            <v>34000000</v>
          </cell>
          <cell r="H4012">
            <v>34000000</v>
          </cell>
          <cell r="I4012" t="str">
            <v/>
          </cell>
          <cell r="J4012" t="str">
            <v/>
          </cell>
          <cell r="K4012" t="str">
            <v/>
          </cell>
          <cell r="L4012" t="str">
            <v/>
          </cell>
        </row>
        <row r="4013">
          <cell r="A4013">
            <v>34000000</v>
          </cell>
          <cell r="C4013">
            <v>34000000</v>
          </cell>
          <cell r="D4013">
            <v>34000000</v>
          </cell>
          <cell r="E4013">
            <v>34000000</v>
          </cell>
          <cell r="F4013">
            <v>34000000</v>
          </cell>
          <cell r="G4013">
            <v>34000000</v>
          </cell>
          <cell r="H4013">
            <v>34000000</v>
          </cell>
          <cell r="I4013" t="str">
            <v/>
          </cell>
          <cell r="J4013" t="str">
            <v/>
          </cell>
          <cell r="K4013" t="str">
            <v/>
          </cell>
          <cell r="L4013" t="str">
            <v/>
          </cell>
        </row>
        <row r="4014">
          <cell r="A4014">
            <v>34000000</v>
          </cell>
          <cell r="C4014">
            <v>34000000</v>
          </cell>
          <cell r="D4014">
            <v>34000000</v>
          </cell>
          <cell r="E4014">
            <v>34000000</v>
          </cell>
          <cell r="F4014">
            <v>34000000</v>
          </cell>
          <cell r="G4014">
            <v>34000000</v>
          </cell>
          <cell r="H4014">
            <v>34000000</v>
          </cell>
          <cell r="I4014" t="str">
            <v/>
          </cell>
          <cell r="J4014" t="str">
            <v/>
          </cell>
          <cell r="K4014" t="str">
            <v/>
          </cell>
          <cell r="L4014" t="str">
            <v/>
          </cell>
        </row>
        <row r="4015">
          <cell r="A4015">
            <v>34000000</v>
          </cell>
          <cell r="C4015">
            <v>34000000</v>
          </cell>
          <cell r="D4015">
            <v>34000000</v>
          </cell>
          <cell r="E4015">
            <v>34000000</v>
          </cell>
          <cell r="F4015">
            <v>34000000</v>
          </cell>
          <cell r="G4015">
            <v>34000000</v>
          </cell>
          <cell r="H4015">
            <v>34000000</v>
          </cell>
          <cell r="I4015" t="str">
            <v/>
          </cell>
          <cell r="J4015" t="str">
            <v/>
          </cell>
          <cell r="K4015" t="str">
            <v/>
          </cell>
          <cell r="L4015" t="str">
            <v/>
          </cell>
        </row>
        <row r="4016">
          <cell r="A4016">
            <v>34000000</v>
          </cell>
          <cell r="C4016">
            <v>34000000</v>
          </cell>
          <cell r="D4016">
            <v>34000000</v>
          </cell>
          <cell r="E4016">
            <v>34000000</v>
          </cell>
          <cell r="F4016">
            <v>34000000</v>
          </cell>
          <cell r="G4016">
            <v>34000000</v>
          </cell>
          <cell r="H4016">
            <v>34000000</v>
          </cell>
          <cell r="I4016" t="str">
            <v/>
          </cell>
          <cell r="J4016" t="str">
            <v/>
          </cell>
          <cell r="K4016" t="str">
            <v/>
          </cell>
          <cell r="L4016" t="str">
            <v/>
          </cell>
        </row>
        <row r="4017">
          <cell r="A4017">
            <v>34000000</v>
          </cell>
          <cell r="C4017">
            <v>34000000</v>
          </cell>
          <cell r="D4017">
            <v>34000000</v>
          </cell>
          <cell r="E4017">
            <v>34000000</v>
          </cell>
          <cell r="F4017">
            <v>34000000</v>
          </cell>
          <cell r="G4017">
            <v>34000000</v>
          </cell>
          <cell r="H4017">
            <v>34000000</v>
          </cell>
          <cell r="I4017" t="str">
            <v/>
          </cell>
          <cell r="J4017" t="str">
            <v/>
          </cell>
          <cell r="K4017" t="str">
            <v/>
          </cell>
          <cell r="L4017" t="str">
            <v/>
          </cell>
        </row>
        <row r="4018">
          <cell r="A4018">
            <v>34000000</v>
          </cell>
          <cell r="C4018">
            <v>34000000</v>
          </cell>
          <cell r="D4018">
            <v>34000000</v>
          </cell>
          <cell r="E4018">
            <v>34000000</v>
          </cell>
          <cell r="F4018">
            <v>34000000</v>
          </cell>
          <cell r="G4018">
            <v>34000000</v>
          </cell>
          <cell r="H4018">
            <v>34000000</v>
          </cell>
          <cell r="I4018" t="str">
            <v/>
          </cell>
          <cell r="J4018" t="str">
            <v/>
          </cell>
          <cell r="K4018" t="str">
            <v/>
          </cell>
          <cell r="L4018" t="str">
            <v/>
          </cell>
        </row>
        <row r="4019">
          <cell r="A4019">
            <v>34000000</v>
          </cell>
          <cell r="C4019">
            <v>34000000</v>
          </cell>
          <cell r="D4019">
            <v>34000000</v>
          </cell>
          <cell r="E4019">
            <v>34000000</v>
          </cell>
          <cell r="F4019">
            <v>34000000</v>
          </cell>
          <cell r="G4019">
            <v>34000000</v>
          </cell>
          <cell r="H4019">
            <v>34000000</v>
          </cell>
          <cell r="I4019" t="str">
            <v/>
          </cell>
          <cell r="J4019" t="str">
            <v/>
          </cell>
          <cell r="K4019" t="str">
            <v/>
          </cell>
          <cell r="L4019" t="str">
            <v/>
          </cell>
        </row>
        <row r="4020">
          <cell r="A4020">
            <v>34000000</v>
          </cell>
          <cell r="C4020">
            <v>34000000</v>
          </cell>
          <cell r="D4020">
            <v>34000000</v>
          </cell>
          <cell r="E4020">
            <v>34000000</v>
          </cell>
          <cell r="F4020">
            <v>34000000</v>
          </cell>
          <cell r="G4020">
            <v>34000000</v>
          </cell>
          <cell r="H4020">
            <v>34000000</v>
          </cell>
          <cell r="I4020" t="str">
            <v/>
          </cell>
          <cell r="J4020" t="str">
            <v/>
          </cell>
          <cell r="K4020" t="str">
            <v/>
          </cell>
          <cell r="L4020" t="str">
            <v/>
          </cell>
        </row>
        <row r="4021">
          <cell r="A4021">
            <v>34000000</v>
          </cell>
          <cell r="C4021">
            <v>34000000</v>
          </cell>
          <cell r="D4021">
            <v>34000000</v>
          </cell>
          <cell r="E4021">
            <v>34000000</v>
          </cell>
          <cell r="F4021">
            <v>34000000</v>
          </cell>
          <cell r="G4021">
            <v>34000000</v>
          </cell>
          <cell r="H4021">
            <v>34000000</v>
          </cell>
          <cell r="I4021" t="str">
            <v/>
          </cell>
          <cell r="J4021" t="str">
            <v/>
          </cell>
          <cell r="K4021" t="str">
            <v/>
          </cell>
          <cell r="L4021" t="str">
            <v/>
          </cell>
        </row>
        <row r="4022">
          <cell r="A4022">
            <v>34000000</v>
          </cell>
          <cell r="C4022">
            <v>34000000</v>
          </cell>
          <cell r="D4022">
            <v>34000000</v>
          </cell>
          <cell r="E4022">
            <v>34000000</v>
          </cell>
          <cell r="F4022">
            <v>34000000</v>
          </cell>
          <cell r="G4022">
            <v>34000000</v>
          </cell>
          <cell r="H4022">
            <v>34000000</v>
          </cell>
          <cell r="I4022" t="str">
            <v/>
          </cell>
          <cell r="J4022" t="str">
            <v/>
          </cell>
          <cell r="K4022" t="str">
            <v/>
          </cell>
          <cell r="L4022" t="str">
            <v/>
          </cell>
        </row>
        <row r="4023">
          <cell r="A4023">
            <v>34000000</v>
          </cell>
          <cell r="C4023">
            <v>34000000</v>
          </cell>
          <cell r="D4023">
            <v>34000000</v>
          </cell>
          <cell r="E4023">
            <v>34000000</v>
          </cell>
          <cell r="F4023">
            <v>34000000</v>
          </cell>
          <cell r="G4023">
            <v>34000000</v>
          </cell>
          <cell r="H4023">
            <v>34000000</v>
          </cell>
          <cell r="I4023" t="str">
            <v/>
          </cell>
          <cell r="J4023" t="str">
            <v/>
          </cell>
          <cell r="K4023" t="str">
            <v/>
          </cell>
          <cell r="L4023" t="str">
            <v/>
          </cell>
        </row>
        <row r="4024">
          <cell r="A4024">
            <v>34000000</v>
          </cell>
          <cell r="C4024">
            <v>34000000</v>
          </cell>
          <cell r="D4024">
            <v>34000000</v>
          </cell>
          <cell r="E4024">
            <v>34000000</v>
          </cell>
          <cell r="F4024">
            <v>34000000</v>
          </cell>
          <cell r="G4024">
            <v>34000000</v>
          </cell>
          <cell r="H4024">
            <v>34000000</v>
          </cell>
          <cell r="I4024" t="str">
            <v/>
          </cell>
          <cell r="J4024" t="str">
            <v/>
          </cell>
          <cell r="K4024" t="str">
            <v/>
          </cell>
          <cell r="L4024" t="str">
            <v/>
          </cell>
        </row>
        <row r="4025">
          <cell r="A4025">
            <v>34000000</v>
          </cell>
          <cell r="C4025">
            <v>34000000</v>
          </cell>
          <cell r="D4025">
            <v>34000000</v>
          </cell>
          <cell r="E4025">
            <v>34000000</v>
          </cell>
          <cell r="F4025">
            <v>34000000</v>
          </cell>
          <cell r="G4025">
            <v>34000000</v>
          </cell>
          <cell r="H4025">
            <v>34000000</v>
          </cell>
          <cell r="I4025" t="str">
            <v/>
          </cell>
          <cell r="J4025" t="str">
            <v/>
          </cell>
          <cell r="K4025" t="str">
            <v/>
          </cell>
          <cell r="L4025" t="str">
            <v/>
          </cell>
        </row>
        <row r="4026">
          <cell r="A4026">
            <v>34000000</v>
          </cell>
          <cell r="C4026">
            <v>34000000</v>
          </cell>
          <cell r="D4026">
            <v>34000000</v>
          </cell>
          <cell r="E4026">
            <v>34000000</v>
          </cell>
          <cell r="F4026">
            <v>34000000</v>
          </cell>
          <cell r="G4026">
            <v>34000000</v>
          </cell>
          <cell r="H4026">
            <v>34000000</v>
          </cell>
          <cell r="I4026" t="str">
            <v/>
          </cell>
          <cell r="J4026" t="str">
            <v/>
          </cell>
          <cell r="K4026" t="str">
            <v/>
          </cell>
          <cell r="L4026" t="str">
            <v/>
          </cell>
        </row>
        <row r="4027">
          <cell r="A4027">
            <v>34000000</v>
          </cell>
          <cell r="C4027">
            <v>34000000</v>
          </cell>
          <cell r="D4027">
            <v>34000000</v>
          </cell>
          <cell r="E4027">
            <v>34000000</v>
          </cell>
          <cell r="F4027">
            <v>34000000</v>
          </cell>
          <cell r="G4027">
            <v>34000000</v>
          </cell>
          <cell r="H4027">
            <v>34000000</v>
          </cell>
          <cell r="I4027" t="str">
            <v/>
          </cell>
          <cell r="J4027" t="str">
            <v/>
          </cell>
          <cell r="K4027" t="str">
            <v/>
          </cell>
          <cell r="L4027" t="str">
            <v/>
          </cell>
        </row>
        <row r="4028">
          <cell r="A4028">
            <v>34000000</v>
          </cell>
          <cell r="C4028">
            <v>34000000</v>
          </cell>
          <cell r="D4028">
            <v>34000000</v>
          </cell>
          <cell r="E4028">
            <v>34000000</v>
          </cell>
          <cell r="F4028">
            <v>34000000</v>
          </cell>
          <cell r="G4028">
            <v>34000000</v>
          </cell>
          <cell r="H4028">
            <v>34000000</v>
          </cell>
          <cell r="I4028" t="str">
            <v/>
          </cell>
          <cell r="J4028" t="str">
            <v/>
          </cell>
          <cell r="K4028" t="str">
            <v/>
          </cell>
          <cell r="L4028" t="str">
            <v/>
          </cell>
        </row>
        <row r="4029">
          <cell r="A4029">
            <v>34000000</v>
          </cell>
          <cell r="C4029">
            <v>34000000</v>
          </cell>
          <cell r="D4029">
            <v>34000000</v>
          </cell>
          <cell r="E4029">
            <v>34000000</v>
          </cell>
          <cell r="F4029">
            <v>34000000</v>
          </cell>
          <cell r="G4029">
            <v>34000000</v>
          </cell>
          <cell r="H4029">
            <v>34000000</v>
          </cell>
          <cell r="I4029" t="str">
            <v/>
          </cell>
          <cell r="J4029" t="str">
            <v/>
          </cell>
          <cell r="K4029" t="str">
            <v/>
          </cell>
          <cell r="L4029" t="str">
            <v/>
          </cell>
        </row>
        <row r="4030">
          <cell r="A4030">
            <v>34000000</v>
          </cell>
          <cell r="C4030">
            <v>34000000</v>
          </cell>
          <cell r="D4030">
            <v>34000000</v>
          </cell>
          <cell r="E4030">
            <v>34000000</v>
          </cell>
          <cell r="F4030">
            <v>34000000</v>
          </cell>
          <cell r="G4030">
            <v>34000000</v>
          </cell>
          <cell r="H4030">
            <v>34000000</v>
          </cell>
          <cell r="I4030" t="str">
            <v/>
          </cell>
          <cell r="J4030" t="str">
            <v/>
          </cell>
          <cell r="K4030" t="str">
            <v/>
          </cell>
          <cell r="L4030" t="str">
            <v/>
          </cell>
        </row>
        <row r="4031">
          <cell r="A4031">
            <v>34000000</v>
          </cell>
          <cell r="C4031">
            <v>34000000</v>
          </cell>
          <cell r="D4031">
            <v>34000000</v>
          </cell>
          <cell r="E4031">
            <v>34000000</v>
          </cell>
          <cell r="F4031">
            <v>34000000</v>
          </cell>
          <cell r="G4031">
            <v>34000000</v>
          </cell>
          <cell r="H4031">
            <v>34000000</v>
          </cell>
          <cell r="I4031" t="str">
            <v/>
          </cell>
          <cell r="J4031" t="str">
            <v/>
          </cell>
          <cell r="K4031" t="str">
            <v/>
          </cell>
          <cell r="L4031" t="str">
            <v/>
          </cell>
        </row>
        <row r="4032">
          <cell r="A4032">
            <v>34000000</v>
          </cell>
          <cell r="C4032">
            <v>34000000</v>
          </cell>
          <cell r="D4032">
            <v>34000000</v>
          </cell>
          <cell r="E4032">
            <v>34000000</v>
          </cell>
          <cell r="F4032">
            <v>34000000</v>
          </cell>
          <cell r="G4032">
            <v>34000000</v>
          </cell>
          <cell r="H4032">
            <v>34000000</v>
          </cell>
          <cell r="I4032" t="str">
            <v/>
          </cell>
          <cell r="J4032" t="str">
            <v/>
          </cell>
          <cell r="K4032" t="str">
            <v/>
          </cell>
          <cell r="L4032" t="str">
            <v/>
          </cell>
        </row>
        <row r="4033">
          <cell r="A4033">
            <v>34000000</v>
          </cell>
          <cell r="C4033">
            <v>34000000</v>
          </cell>
          <cell r="D4033">
            <v>34000000</v>
          </cell>
          <cell r="E4033">
            <v>34000000</v>
          </cell>
          <cell r="F4033">
            <v>34000000</v>
          </cell>
          <cell r="G4033">
            <v>34000000</v>
          </cell>
          <cell r="H4033">
            <v>34000000</v>
          </cell>
          <cell r="I4033" t="str">
            <v/>
          </cell>
          <cell r="J4033" t="str">
            <v/>
          </cell>
          <cell r="K4033" t="str">
            <v/>
          </cell>
          <cell r="L4033" t="str">
            <v/>
          </cell>
        </row>
        <row r="4034">
          <cell r="A4034">
            <v>34000000</v>
          </cell>
          <cell r="C4034">
            <v>34000000</v>
          </cell>
          <cell r="D4034">
            <v>34000000</v>
          </cell>
          <cell r="E4034">
            <v>34000000</v>
          </cell>
          <cell r="F4034">
            <v>34000000</v>
          </cell>
          <cell r="G4034">
            <v>34000000</v>
          </cell>
          <cell r="H4034">
            <v>34000000</v>
          </cell>
          <cell r="I4034" t="str">
            <v/>
          </cell>
          <cell r="J4034" t="str">
            <v/>
          </cell>
          <cell r="K4034" t="str">
            <v/>
          </cell>
          <cell r="L4034" t="str">
            <v/>
          </cell>
        </row>
        <row r="4035">
          <cell r="A4035">
            <v>34000000</v>
          </cell>
          <cell r="C4035">
            <v>34000000</v>
          </cell>
          <cell r="D4035">
            <v>34000000</v>
          </cell>
          <cell r="E4035">
            <v>34000000</v>
          </cell>
          <cell r="F4035">
            <v>34000000</v>
          </cell>
          <cell r="G4035">
            <v>34000000</v>
          </cell>
          <cell r="H4035">
            <v>34000000</v>
          </cell>
          <cell r="I4035" t="str">
            <v/>
          </cell>
          <cell r="J4035" t="str">
            <v/>
          </cell>
          <cell r="K4035" t="str">
            <v/>
          </cell>
          <cell r="L4035" t="str">
            <v/>
          </cell>
        </row>
        <row r="4036">
          <cell r="A4036">
            <v>34000000</v>
          </cell>
          <cell r="C4036">
            <v>34000000</v>
          </cell>
          <cell r="D4036">
            <v>34000000</v>
          </cell>
          <cell r="E4036">
            <v>34000000</v>
          </cell>
          <cell r="F4036">
            <v>34000000</v>
          </cell>
          <cell r="G4036">
            <v>34000000</v>
          </cell>
          <cell r="H4036">
            <v>34000000</v>
          </cell>
          <cell r="I4036" t="str">
            <v/>
          </cell>
          <cell r="J4036" t="str">
            <v/>
          </cell>
          <cell r="K4036" t="str">
            <v/>
          </cell>
          <cell r="L4036" t="str">
            <v/>
          </cell>
        </row>
        <row r="4037">
          <cell r="A4037">
            <v>34000000</v>
          </cell>
          <cell r="C4037">
            <v>34000000</v>
          </cell>
          <cell r="D4037">
            <v>34000000</v>
          </cell>
          <cell r="E4037">
            <v>34000000</v>
          </cell>
          <cell r="F4037">
            <v>34000000</v>
          </cell>
          <cell r="G4037">
            <v>34000000</v>
          </cell>
          <cell r="H4037">
            <v>34000000</v>
          </cell>
          <cell r="I4037" t="str">
            <v/>
          </cell>
          <cell r="J4037" t="str">
            <v/>
          </cell>
          <cell r="K4037" t="str">
            <v/>
          </cell>
          <cell r="L4037" t="str">
            <v/>
          </cell>
        </row>
        <row r="4038">
          <cell r="A4038">
            <v>34000000</v>
          </cell>
          <cell r="C4038">
            <v>34000000</v>
          </cell>
          <cell r="D4038">
            <v>34000000</v>
          </cell>
          <cell r="E4038">
            <v>34000000</v>
          </cell>
          <cell r="F4038">
            <v>34000000</v>
          </cell>
          <cell r="G4038">
            <v>34000000</v>
          </cell>
          <cell r="H4038">
            <v>34000000</v>
          </cell>
          <cell r="I4038" t="str">
            <v/>
          </cell>
          <cell r="J4038" t="str">
            <v/>
          </cell>
          <cell r="K4038" t="str">
            <v/>
          </cell>
          <cell r="L4038" t="str">
            <v/>
          </cell>
        </row>
        <row r="4039">
          <cell r="A4039">
            <v>34000000</v>
          </cell>
          <cell r="C4039">
            <v>34000000</v>
          </cell>
          <cell r="D4039">
            <v>34000000</v>
          </cell>
          <cell r="E4039">
            <v>34000000</v>
          </cell>
          <cell r="F4039">
            <v>34000000</v>
          </cell>
          <cell r="G4039">
            <v>34000000</v>
          </cell>
          <cell r="H4039">
            <v>34000000</v>
          </cell>
          <cell r="I4039" t="str">
            <v/>
          </cell>
          <cell r="J4039" t="str">
            <v/>
          </cell>
          <cell r="K4039" t="str">
            <v/>
          </cell>
          <cell r="L4039" t="str">
            <v/>
          </cell>
        </row>
        <row r="4040">
          <cell r="A4040">
            <v>34000000</v>
          </cell>
          <cell r="C4040">
            <v>34000000</v>
          </cell>
          <cell r="D4040">
            <v>34000000</v>
          </cell>
          <cell r="E4040">
            <v>34000000</v>
          </cell>
          <cell r="F4040">
            <v>34000000</v>
          </cell>
          <cell r="G4040">
            <v>34000000</v>
          </cell>
          <cell r="H4040">
            <v>34000000</v>
          </cell>
          <cell r="I4040" t="str">
            <v/>
          </cell>
          <cell r="J4040" t="str">
            <v/>
          </cell>
          <cell r="K4040" t="str">
            <v/>
          </cell>
          <cell r="L4040" t="str">
            <v/>
          </cell>
        </row>
        <row r="4041">
          <cell r="A4041">
            <v>34000000</v>
          </cell>
          <cell r="C4041">
            <v>34000000</v>
          </cell>
          <cell r="D4041">
            <v>34000000</v>
          </cell>
          <cell r="E4041">
            <v>34000000</v>
          </cell>
          <cell r="F4041">
            <v>34000000</v>
          </cell>
          <cell r="G4041">
            <v>34000000</v>
          </cell>
          <cell r="H4041">
            <v>34000000</v>
          </cell>
          <cell r="I4041" t="str">
            <v/>
          </cell>
          <cell r="J4041" t="str">
            <v/>
          </cell>
          <cell r="K4041" t="str">
            <v/>
          </cell>
          <cell r="L4041" t="str">
            <v/>
          </cell>
        </row>
        <row r="4042">
          <cell r="A4042">
            <v>34000000</v>
          </cell>
          <cell r="C4042">
            <v>34000000</v>
          </cell>
          <cell r="D4042">
            <v>34000000</v>
          </cell>
          <cell r="E4042">
            <v>34000000</v>
          </cell>
          <cell r="F4042">
            <v>34000000</v>
          </cell>
          <cell r="G4042">
            <v>34000000</v>
          </cell>
          <cell r="H4042">
            <v>34000000</v>
          </cell>
          <cell r="I4042" t="str">
            <v/>
          </cell>
          <cell r="J4042" t="str">
            <v/>
          </cell>
          <cell r="K4042" t="str">
            <v/>
          </cell>
          <cell r="L4042" t="str">
            <v/>
          </cell>
        </row>
        <row r="4043">
          <cell r="A4043">
            <v>34000000</v>
          </cell>
          <cell r="C4043">
            <v>34000000</v>
          </cell>
          <cell r="D4043">
            <v>34000000</v>
          </cell>
          <cell r="E4043">
            <v>34000000</v>
          </cell>
          <cell r="F4043">
            <v>34000000</v>
          </cell>
          <cell r="G4043">
            <v>34000000</v>
          </cell>
          <cell r="H4043">
            <v>34000000</v>
          </cell>
          <cell r="I4043" t="str">
            <v/>
          </cell>
          <cell r="J4043" t="str">
            <v/>
          </cell>
          <cell r="K4043" t="str">
            <v/>
          </cell>
          <cell r="L4043" t="str">
            <v/>
          </cell>
        </row>
        <row r="4044">
          <cell r="A4044">
            <v>34000000</v>
          </cell>
          <cell r="C4044">
            <v>34000000</v>
          </cell>
          <cell r="D4044">
            <v>34000000</v>
          </cell>
          <cell r="E4044">
            <v>34000000</v>
          </cell>
          <cell r="F4044">
            <v>34000000</v>
          </cell>
          <cell r="G4044">
            <v>34000000</v>
          </cell>
          <cell r="H4044">
            <v>34000000</v>
          </cell>
          <cell r="I4044" t="str">
            <v/>
          </cell>
          <cell r="J4044" t="str">
            <v/>
          </cell>
          <cell r="K4044" t="str">
            <v/>
          </cell>
          <cell r="L4044" t="str">
            <v/>
          </cell>
        </row>
        <row r="4045">
          <cell r="A4045">
            <v>34000000</v>
          </cell>
          <cell r="C4045">
            <v>34000000</v>
          </cell>
          <cell r="D4045">
            <v>34000000</v>
          </cell>
          <cell r="E4045">
            <v>34000000</v>
          </cell>
          <cell r="F4045">
            <v>34000000</v>
          </cell>
          <cell r="G4045">
            <v>34000000</v>
          </cell>
          <cell r="H4045">
            <v>34000000</v>
          </cell>
          <cell r="I4045" t="str">
            <v/>
          </cell>
          <cell r="J4045" t="str">
            <v/>
          </cell>
          <cell r="K4045" t="str">
            <v/>
          </cell>
          <cell r="L4045" t="str">
            <v/>
          </cell>
        </row>
        <row r="4046">
          <cell r="A4046">
            <v>34000000</v>
          </cell>
          <cell r="C4046">
            <v>34000000</v>
          </cell>
          <cell r="D4046">
            <v>34000000</v>
          </cell>
          <cell r="E4046">
            <v>34000000</v>
          </cell>
          <cell r="F4046">
            <v>34000000</v>
          </cell>
          <cell r="G4046">
            <v>34000000</v>
          </cell>
          <cell r="H4046">
            <v>34000000</v>
          </cell>
          <cell r="I4046" t="str">
            <v/>
          </cell>
          <cell r="J4046" t="str">
            <v/>
          </cell>
          <cell r="K4046" t="str">
            <v/>
          </cell>
          <cell r="L4046" t="str">
            <v/>
          </cell>
        </row>
        <row r="4047">
          <cell r="A4047">
            <v>34000000</v>
          </cell>
          <cell r="C4047">
            <v>34000000</v>
          </cell>
          <cell r="D4047">
            <v>34000000</v>
          </cell>
          <cell r="E4047">
            <v>34000000</v>
          </cell>
          <cell r="F4047">
            <v>34000000</v>
          </cell>
          <cell r="G4047">
            <v>34000000</v>
          </cell>
          <cell r="H4047">
            <v>34000000</v>
          </cell>
          <cell r="I4047" t="str">
            <v/>
          </cell>
          <cell r="J4047" t="str">
            <v/>
          </cell>
          <cell r="K4047" t="str">
            <v/>
          </cell>
          <cell r="L4047" t="str">
            <v/>
          </cell>
        </row>
        <row r="4048">
          <cell r="A4048">
            <v>34000000</v>
          </cell>
          <cell r="C4048">
            <v>34000000</v>
          </cell>
          <cell r="D4048">
            <v>34000000</v>
          </cell>
          <cell r="E4048">
            <v>34000000</v>
          </cell>
          <cell r="F4048">
            <v>34000000</v>
          </cell>
          <cell r="G4048">
            <v>34000000</v>
          </cell>
          <cell r="H4048">
            <v>34000000</v>
          </cell>
          <cell r="I4048" t="str">
            <v/>
          </cell>
          <cell r="J4048" t="str">
            <v/>
          </cell>
          <cell r="K4048" t="str">
            <v/>
          </cell>
          <cell r="L4048" t="str">
            <v/>
          </cell>
        </row>
        <row r="4049">
          <cell r="A4049">
            <v>34000000</v>
          </cell>
          <cell r="C4049">
            <v>34000000</v>
          </cell>
          <cell r="D4049">
            <v>34000000</v>
          </cell>
          <cell r="E4049">
            <v>34000000</v>
          </cell>
          <cell r="F4049">
            <v>34000000</v>
          </cell>
          <cell r="G4049">
            <v>34000000</v>
          </cell>
          <cell r="H4049">
            <v>34000000</v>
          </cell>
          <cell r="I4049" t="str">
            <v/>
          </cell>
          <cell r="J4049" t="str">
            <v/>
          </cell>
          <cell r="K4049" t="str">
            <v/>
          </cell>
          <cell r="L4049" t="str">
            <v/>
          </cell>
        </row>
        <row r="4050">
          <cell r="A4050">
            <v>34000000</v>
          </cell>
          <cell r="C4050">
            <v>34000000</v>
          </cell>
          <cell r="D4050">
            <v>34000000</v>
          </cell>
          <cell r="E4050">
            <v>34000000</v>
          </cell>
          <cell r="F4050">
            <v>34000000</v>
          </cell>
          <cell r="G4050">
            <v>34000000</v>
          </cell>
          <cell r="H4050">
            <v>34000000</v>
          </cell>
          <cell r="I4050" t="str">
            <v/>
          </cell>
          <cell r="J4050" t="str">
            <v/>
          </cell>
          <cell r="K4050" t="str">
            <v/>
          </cell>
          <cell r="L4050" t="str">
            <v/>
          </cell>
        </row>
        <row r="4051">
          <cell r="A4051">
            <v>34000000</v>
          </cell>
          <cell r="C4051">
            <v>34000000</v>
          </cell>
          <cell r="D4051">
            <v>34000000</v>
          </cell>
          <cell r="E4051">
            <v>34000000</v>
          </cell>
          <cell r="F4051">
            <v>34000000</v>
          </cell>
          <cell r="G4051">
            <v>34000000</v>
          </cell>
          <cell r="H4051">
            <v>34000000</v>
          </cell>
          <cell r="I4051" t="str">
            <v/>
          </cell>
          <cell r="J4051" t="str">
            <v/>
          </cell>
          <cell r="K4051" t="str">
            <v/>
          </cell>
          <cell r="L4051" t="str">
            <v/>
          </cell>
        </row>
        <row r="4052">
          <cell r="A4052">
            <v>34000000</v>
          </cell>
          <cell r="C4052">
            <v>34000000</v>
          </cell>
          <cell r="D4052">
            <v>34000000</v>
          </cell>
          <cell r="E4052">
            <v>34000000</v>
          </cell>
          <cell r="F4052">
            <v>34000000</v>
          </cell>
          <cell r="G4052">
            <v>34000000</v>
          </cell>
          <cell r="H4052">
            <v>34000000</v>
          </cell>
          <cell r="I4052" t="str">
            <v/>
          </cell>
          <cell r="J4052" t="str">
            <v/>
          </cell>
          <cell r="K4052" t="str">
            <v/>
          </cell>
          <cell r="L4052" t="str">
            <v/>
          </cell>
        </row>
        <row r="4053">
          <cell r="A4053">
            <v>34000000</v>
          </cell>
          <cell r="C4053">
            <v>34000000</v>
          </cell>
          <cell r="D4053">
            <v>34000000</v>
          </cell>
          <cell r="E4053">
            <v>34000000</v>
          </cell>
          <cell r="F4053">
            <v>34000000</v>
          </cell>
          <cell r="G4053">
            <v>34000000</v>
          </cell>
          <cell r="H4053">
            <v>34000000</v>
          </cell>
          <cell r="I4053" t="str">
            <v/>
          </cell>
          <cell r="J4053" t="str">
            <v/>
          </cell>
          <cell r="K4053" t="str">
            <v/>
          </cell>
          <cell r="L4053" t="str">
            <v/>
          </cell>
        </row>
        <row r="4054">
          <cell r="A4054">
            <v>34000000</v>
          </cell>
          <cell r="C4054">
            <v>34000000</v>
          </cell>
          <cell r="D4054">
            <v>34000000</v>
          </cell>
          <cell r="E4054">
            <v>34000000</v>
          </cell>
          <cell r="F4054">
            <v>34000000</v>
          </cell>
          <cell r="G4054">
            <v>34000000</v>
          </cell>
          <cell r="H4054">
            <v>34000000</v>
          </cell>
          <cell r="I4054" t="str">
            <v/>
          </cell>
          <cell r="J4054" t="str">
            <v/>
          </cell>
          <cell r="K4054" t="str">
            <v/>
          </cell>
          <cell r="L4054" t="str">
            <v/>
          </cell>
        </row>
        <row r="4055">
          <cell r="A4055">
            <v>34000000</v>
          </cell>
          <cell r="C4055">
            <v>34000000</v>
          </cell>
          <cell r="D4055">
            <v>34000000</v>
          </cell>
          <cell r="E4055">
            <v>34000000</v>
          </cell>
          <cell r="F4055">
            <v>34000000</v>
          </cell>
          <cell r="G4055">
            <v>34000000</v>
          </cell>
          <cell r="H4055">
            <v>34000000</v>
          </cell>
          <cell r="I4055" t="str">
            <v/>
          </cell>
          <cell r="J4055" t="str">
            <v/>
          </cell>
          <cell r="K4055" t="str">
            <v/>
          </cell>
          <cell r="L4055" t="str">
            <v/>
          </cell>
        </row>
        <row r="4056">
          <cell r="A4056">
            <v>34000000</v>
          </cell>
          <cell r="C4056">
            <v>34000000</v>
          </cell>
          <cell r="D4056">
            <v>34000000</v>
          </cell>
          <cell r="E4056">
            <v>34000000</v>
          </cell>
          <cell r="F4056">
            <v>34000000</v>
          </cell>
          <cell r="G4056">
            <v>34000000</v>
          </cell>
          <cell r="H4056">
            <v>34000000</v>
          </cell>
          <cell r="I4056" t="str">
            <v/>
          </cell>
          <cell r="J4056" t="str">
            <v/>
          </cell>
          <cell r="K4056" t="str">
            <v/>
          </cell>
          <cell r="L4056" t="str">
            <v/>
          </cell>
        </row>
        <row r="4057">
          <cell r="A4057">
            <v>34000000</v>
          </cell>
          <cell r="C4057">
            <v>34000000</v>
          </cell>
          <cell r="D4057">
            <v>34000000</v>
          </cell>
          <cell r="E4057">
            <v>34000000</v>
          </cell>
          <cell r="F4057">
            <v>34000000</v>
          </cell>
          <cell r="G4057">
            <v>34000000</v>
          </cell>
          <cell r="H4057">
            <v>34000000</v>
          </cell>
          <cell r="I4057" t="str">
            <v/>
          </cell>
          <cell r="J4057" t="str">
            <v/>
          </cell>
          <cell r="K4057" t="str">
            <v/>
          </cell>
          <cell r="L4057" t="str">
            <v/>
          </cell>
        </row>
        <row r="4058">
          <cell r="A4058">
            <v>34000000</v>
          </cell>
          <cell r="C4058">
            <v>34000000</v>
          </cell>
          <cell r="D4058">
            <v>34000000</v>
          </cell>
          <cell r="E4058">
            <v>34000000</v>
          </cell>
          <cell r="F4058">
            <v>34000000</v>
          </cell>
          <cell r="G4058">
            <v>34000000</v>
          </cell>
          <cell r="H4058">
            <v>34000000</v>
          </cell>
          <cell r="I4058" t="str">
            <v/>
          </cell>
          <cell r="J4058" t="str">
            <v/>
          </cell>
          <cell r="K4058" t="str">
            <v/>
          </cell>
          <cell r="L4058" t="str">
            <v/>
          </cell>
        </row>
        <row r="4059">
          <cell r="A4059">
            <v>34000000</v>
          </cell>
          <cell r="C4059">
            <v>34000000</v>
          </cell>
          <cell r="D4059">
            <v>34000000</v>
          </cell>
          <cell r="E4059">
            <v>34000000</v>
          </cell>
          <cell r="F4059">
            <v>34000000</v>
          </cell>
          <cell r="G4059">
            <v>34000000</v>
          </cell>
          <cell r="H4059">
            <v>34000000</v>
          </cell>
          <cell r="I4059" t="str">
            <v/>
          </cell>
          <cell r="J4059" t="str">
            <v/>
          </cell>
          <cell r="K4059" t="str">
            <v/>
          </cell>
          <cell r="L4059" t="str">
            <v/>
          </cell>
        </row>
        <row r="4060">
          <cell r="A4060">
            <v>34000000</v>
          </cell>
          <cell r="C4060">
            <v>34000000</v>
          </cell>
          <cell r="D4060">
            <v>34000000</v>
          </cell>
          <cell r="E4060">
            <v>34000000</v>
          </cell>
          <cell r="F4060">
            <v>34000000</v>
          </cell>
          <cell r="G4060">
            <v>34000000</v>
          </cell>
          <cell r="H4060">
            <v>34000000</v>
          </cell>
          <cell r="I4060" t="str">
            <v/>
          </cell>
          <cell r="J4060" t="str">
            <v/>
          </cell>
          <cell r="K4060" t="str">
            <v/>
          </cell>
          <cell r="L4060" t="str">
            <v/>
          </cell>
        </row>
        <row r="4061">
          <cell r="A4061">
            <v>34000000</v>
          </cell>
          <cell r="C4061">
            <v>34000000</v>
          </cell>
          <cell r="D4061">
            <v>34000000</v>
          </cell>
          <cell r="E4061">
            <v>34000000</v>
          </cell>
          <cell r="F4061">
            <v>34000000</v>
          </cell>
          <cell r="G4061">
            <v>34000000</v>
          </cell>
          <cell r="H4061">
            <v>34000000</v>
          </cell>
          <cell r="I4061" t="str">
            <v/>
          </cell>
          <cell r="J4061" t="str">
            <v/>
          </cell>
          <cell r="K4061" t="str">
            <v/>
          </cell>
          <cell r="L4061" t="str">
            <v/>
          </cell>
        </row>
        <row r="4062">
          <cell r="A4062">
            <v>34000000</v>
          </cell>
          <cell r="C4062">
            <v>34000000</v>
          </cell>
          <cell r="D4062">
            <v>34000000</v>
          </cell>
          <cell r="E4062">
            <v>34000000</v>
          </cell>
          <cell r="F4062">
            <v>34000000</v>
          </cell>
          <cell r="G4062">
            <v>34000000</v>
          </cell>
          <cell r="H4062">
            <v>34000000</v>
          </cell>
          <cell r="I4062" t="str">
            <v/>
          </cell>
          <cell r="J4062" t="str">
            <v/>
          </cell>
          <cell r="K4062" t="str">
            <v/>
          </cell>
          <cell r="L4062" t="str">
            <v/>
          </cell>
        </row>
        <row r="4063">
          <cell r="A4063">
            <v>34000000</v>
          </cell>
          <cell r="C4063">
            <v>34000000</v>
          </cell>
          <cell r="D4063">
            <v>34000000</v>
          </cell>
          <cell r="E4063">
            <v>34000000</v>
          </cell>
          <cell r="F4063">
            <v>34000000</v>
          </cell>
          <cell r="G4063">
            <v>34000000</v>
          </cell>
          <cell r="H4063">
            <v>34000000</v>
          </cell>
          <cell r="I4063" t="str">
            <v/>
          </cell>
          <cell r="J4063" t="str">
            <v/>
          </cell>
          <cell r="K4063" t="str">
            <v/>
          </cell>
          <cell r="L4063" t="str">
            <v/>
          </cell>
        </row>
        <row r="4064">
          <cell r="A4064">
            <v>34000000</v>
          </cell>
          <cell r="C4064">
            <v>34000000</v>
          </cell>
          <cell r="D4064">
            <v>34000000</v>
          </cell>
          <cell r="E4064">
            <v>34000000</v>
          </cell>
          <cell r="F4064">
            <v>34000000</v>
          </cell>
          <cell r="G4064">
            <v>34000000</v>
          </cell>
          <cell r="H4064">
            <v>34000000</v>
          </cell>
          <cell r="I4064" t="str">
            <v/>
          </cell>
          <cell r="J4064" t="str">
            <v/>
          </cell>
          <cell r="K4064" t="str">
            <v/>
          </cell>
          <cell r="L4064" t="str">
            <v/>
          </cell>
        </row>
        <row r="4065">
          <cell r="A4065">
            <v>34000000</v>
          </cell>
          <cell r="C4065">
            <v>34000000</v>
          </cell>
          <cell r="D4065">
            <v>34000000</v>
          </cell>
          <cell r="E4065">
            <v>34000000</v>
          </cell>
          <cell r="F4065">
            <v>34000000</v>
          </cell>
          <cell r="G4065">
            <v>34000000</v>
          </cell>
          <cell r="H4065">
            <v>34000000</v>
          </cell>
          <cell r="I4065" t="str">
            <v/>
          </cell>
          <cell r="J4065" t="str">
            <v/>
          </cell>
          <cell r="K4065" t="str">
            <v/>
          </cell>
          <cell r="L4065" t="str">
            <v/>
          </cell>
        </row>
        <row r="4066">
          <cell r="A4066">
            <v>34000000</v>
          </cell>
          <cell r="C4066">
            <v>34000000</v>
          </cell>
          <cell r="D4066">
            <v>34000000</v>
          </cell>
          <cell r="E4066">
            <v>34000000</v>
          </cell>
          <cell r="F4066">
            <v>34000000</v>
          </cell>
          <cell r="G4066">
            <v>34000000</v>
          </cell>
          <cell r="H4066">
            <v>34000000</v>
          </cell>
          <cell r="I4066" t="str">
            <v/>
          </cell>
          <cell r="J4066" t="str">
            <v/>
          </cell>
          <cell r="K4066" t="str">
            <v/>
          </cell>
          <cell r="L4066" t="str">
            <v/>
          </cell>
        </row>
        <row r="4067">
          <cell r="A4067">
            <v>34000000</v>
          </cell>
          <cell r="C4067">
            <v>34000000</v>
          </cell>
          <cell r="D4067">
            <v>34000000</v>
          </cell>
          <cell r="E4067">
            <v>34000000</v>
          </cell>
          <cell r="F4067">
            <v>34000000</v>
          </cell>
          <cell r="G4067">
            <v>34000000</v>
          </cell>
          <cell r="H4067">
            <v>34000000</v>
          </cell>
          <cell r="I4067" t="str">
            <v/>
          </cell>
          <cell r="J4067" t="str">
            <v/>
          </cell>
          <cell r="K4067" t="str">
            <v/>
          </cell>
          <cell r="L4067" t="str">
            <v/>
          </cell>
        </row>
        <row r="4068">
          <cell r="A4068">
            <v>34000000</v>
          </cell>
          <cell r="C4068">
            <v>34000000</v>
          </cell>
          <cell r="D4068">
            <v>34000000</v>
          </cell>
          <cell r="E4068">
            <v>34000000</v>
          </cell>
          <cell r="F4068">
            <v>34000000</v>
          </cell>
          <cell r="G4068">
            <v>34000000</v>
          </cell>
          <cell r="H4068">
            <v>34000000</v>
          </cell>
          <cell r="I4068" t="str">
            <v/>
          </cell>
          <cell r="J4068" t="str">
            <v/>
          </cell>
          <cell r="K4068" t="str">
            <v/>
          </cell>
          <cell r="L4068" t="str">
            <v/>
          </cell>
        </row>
        <row r="4069">
          <cell r="A4069">
            <v>34000000</v>
          </cell>
          <cell r="C4069">
            <v>34000000</v>
          </cell>
          <cell r="D4069">
            <v>34000000</v>
          </cell>
          <cell r="E4069">
            <v>34000000</v>
          </cell>
          <cell r="F4069">
            <v>34000000</v>
          </cell>
          <cell r="G4069">
            <v>34000000</v>
          </cell>
          <cell r="H4069">
            <v>34000000</v>
          </cell>
          <cell r="I4069" t="str">
            <v/>
          </cell>
          <cell r="J4069" t="str">
            <v/>
          </cell>
          <cell r="K4069" t="str">
            <v/>
          </cell>
          <cell r="L4069" t="str">
            <v/>
          </cell>
        </row>
        <row r="4070">
          <cell r="A4070">
            <v>34000000</v>
          </cell>
          <cell r="C4070">
            <v>34000000</v>
          </cell>
          <cell r="D4070">
            <v>34000000</v>
          </cell>
          <cell r="E4070">
            <v>34000000</v>
          </cell>
          <cell r="F4070">
            <v>34000000</v>
          </cell>
          <cell r="G4070">
            <v>34000000</v>
          </cell>
          <cell r="H4070">
            <v>34000000</v>
          </cell>
          <cell r="I4070" t="str">
            <v/>
          </cell>
          <cell r="J4070" t="str">
            <v/>
          </cell>
          <cell r="K4070" t="str">
            <v/>
          </cell>
          <cell r="L4070" t="str">
            <v/>
          </cell>
        </row>
        <row r="4071">
          <cell r="A4071">
            <v>34000000</v>
          </cell>
          <cell r="C4071">
            <v>34000000</v>
          </cell>
          <cell r="D4071">
            <v>34000000</v>
          </cell>
          <cell r="E4071">
            <v>34000000</v>
          </cell>
          <cell r="F4071">
            <v>34000000</v>
          </cell>
          <cell r="G4071">
            <v>34000000</v>
          </cell>
          <cell r="H4071">
            <v>34000000</v>
          </cell>
          <cell r="I4071" t="str">
            <v/>
          </cell>
          <cell r="J4071" t="str">
            <v/>
          </cell>
          <cell r="K4071" t="str">
            <v/>
          </cell>
          <cell r="L4071" t="str">
            <v/>
          </cell>
        </row>
        <row r="4072">
          <cell r="A4072">
            <v>34000000</v>
          </cell>
          <cell r="C4072">
            <v>34000000</v>
          </cell>
          <cell r="D4072">
            <v>34000000</v>
          </cell>
          <cell r="E4072">
            <v>34000000</v>
          </cell>
          <cell r="F4072">
            <v>34000000</v>
          </cell>
          <cell r="G4072">
            <v>34000000</v>
          </cell>
          <cell r="H4072">
            <v>34000000</v>
          </cell>
          <cell r="I4072" t="str">
            <v/>
          </cell>
          <cell r="J4072" t="str">
            <v/>
          </cell>
          <cell r="K4072" t="str">
            <v/>
          </cell>
          <cell r="L4072" t="str">
            <v/>
          </cell>
        </row>
        <row r="4073">
          <cell r="A4073">
            <v>34000000</v>
          </cell>
          <cell r="C4073">
            <v>34000000</v>
          </cell>
          <cell r="D4073">
            <v>34000000</v>
          </cell>
          <cell r="E4073">
            <v>34000000</v>
          </cell>
          <cell r="F4073">
            <v>34000000</v>
          </cell>
          <cell r="G4073">
            <v>34000000</v>
          </cell>
          <cell r="H4073">
            <v>34000000</v>
          </cell>
          <cell r="I4073" t="str">
            <v/>
          </cell>
          <cell r="J4073" t="str">
            <v/>
          </cell>
          <cell r="K4073" t="str">
            <v/>
          </cell>
          <cell r="L4073" t="str">
            <v/>
          </cell>
        </row>
        <row r="4074">
          <cell r="A4074">
            <v>34000000</v>
          </cell>
          <cell r="C4074">
            <v>34000000</v>
          </cell>
          <cell r="D4074">
            <v>34000000</v>
          </cell>
          <cell r="E4074">
            <v>34000000</v>
          </cell>
          <cell r="F4074">
            <v>34000000</v>
          </cell>
          <cell r="G4074">
            <v>34000000</v>
          </cell>
          <cell r="H4074">
            <v>34000000</v>
          </cell>
          <cell r="I4074" t="str">
            <v/>
          </cell>
          <cell r="J4074" t="str">
            <v/>
          </cell>
          <cell r="K4074" t="str">
            <v/>
          </cell>
          <cell r="L4074" t="str">
            <v/>
          </cell>
        </row>
        <row r="4075">
          <cell r="A4075">
            <v>34000000</v>
          </cell>
          <cell r="C4075">
            <v>34000000</v>
          </cell>
          <cell r="D4075">
            <v>34000000</v>
          </cell>
          <cell r="E4075">
            <v>34000000</v>
          </cell>
          <cell r="F4075">
            <v>34000000</v>
          </cell>
          <cell r="G4075">
            <v>34000000</v>
          </cell>
          <cell r="H4075">
            <v>34000000</v>
          </cell>
          <cell r="I4075" t="str">
            <v/>
          </cell>
          <cell r="J4075" t="str">
            <v/>
          </cell>
          <cell r="K4075" t="str">
            <v/>
          </cell>
          <cell r="L4075" t="str">
            <v/>
          </cell>
        </row>
        <row r="4076">
          <cell r="A4076">
            <v>34000000</v>
          </cell>
          <cell r="C4076">
            <v>34000000</v>
          </cell>
          <cell r="D4076">
            <v>34000000</v>
          </cell>
          <cell r="E4076">
            <v>34000000</v>
          </cell>
          <cell r="F4076">
            <v>34000000</v>
          </cell>
          <cell r="G4076">
            <v>34000000</v>
          </cell>
          <cell r="H4076">
            <v>34000000</v>
          </cell>
          <cell r="I4076" t="str">
            <v/>
          </cell>
          <cell r="J4076" t="str">
            <v/>
          </cell>
          <cell r="K4076" t="str">
            <v/>
          </cell>
          <cell r="L4076" t="str">
            <v/>
          </cell>
        </row>
        <row r="4077">
          <cell r="A4077">
            <v>34000000</v>
          </cell>
          <cell r="C4077">
            <v>34000000</v>
          </cell>
          <cell r="D4077">
            <v>34000000</v>
          </cell>
          <cell r="E4077">
            <v>34000000</v>
          </cell>
          <cell r="F4077">
            <v>34000000</v>
          </cell>
          <cell r="G4077">
            <v>34000000</v>
          </cell>
          <cell r="H4077">
            <v>34000000</v>
          </cell>
          <cell r="I4077" t="str">
            <v/>
          </cell>
          <cell r="J4077" t="str">
            <v/>
          </cell>
          <cell r="K4077" t="str">
            <v/>
          </cell>
          <cell r="L4077" t="str">
            <v/>
          </cell>
        </row>
        <row r="4078">
          <cell r="A4078">
            <v>34000000</v>
          </cell>
          <cell r="C4078">
            <v>34000000</v>
          </cell>
          <cell r="D4078">
            <v>34000000</v>
          </cell>
          <cell r="E4078">
            <v>34000000</v>
          </cell>
          <cell r="F4078">
            <v>34000000</v>
          </cell>
          <cell r="G4078">
            <v>34000000</v>
          </cell>
          <cell r="H4078">
            <v>34000000</v>
          </cell>
          <cell r="I4078" t="str">
            <v/>
          </cell>
          <cell r="J4078" t="str">
            <v/>
          </cell>
          <cell r="K4078" t="str">
            <v/>
          </cell>
          <cell r="L4078" t="str">
            <v/>
          </cell>
        </row>
        <row r="4079">
          <cell r="A4079">
            <v>34000000</v>
          </cell>
          <cell r="C4079">
            <v>34000000</v>
          </cell>
          <cell r="D4079">
            <v>34000000</v>
          </cell>
          <cell r="E4079">
            <v>34000000</v>
          </cell>
          <cell r="F4079">
            <v>34000000</v>
          </cell>
          <cell r="G4079">
            <v>34000000</v>
          </cell>
          <cell r="H4079">
            <v>34000000</v>
          </cell>
          <cell r="I4079" t="str">
            <v/>
          </cell>
          <cell r="J4079" t="str">
            <v/>
          </cell>
          <cell r="K4079" t="str">
            <v/>
          </cell>
          <cell r="L4079" t="str">
            <v/>
          </cell>
        </row>
        <row r="4080">
          <cell r="A4080">
            <v>34000000</v>
          </cell>
          <cell r="C4080">
            <v>34000000</v>
          </cell>
          <cell r="D4080">
            <v>34000000</v>
          </cell>
          <cell r="E4080">
            <v>34000000</v>
          </cell>
          <cell r="F4080">
            <v>34000000</v>
          </cell>
          <cell r="G4080">
            <v>34000000</v>
          </cell>
          <cell r="H4080">
            <v>34000000</v>
          </cell>
          <cell r="I4080" t="str">
            <v/>
          </cell>
          <cell r="J4080" t="str">
            <v/>
          </cell>
          <cell r="K4080" t="str">
            <v/>
          </cell>
          <cell r="L4080" t="str">
            <v/>
          </cell>
        </row>
        <row r="4081">
          <cell r="A4081">
            <v>34000000</v>
          </cell>
          <cell r="C4081">
            <v>34000000</v>
          </cell>
          <cell r="D4081">
            <v>34000000</v>
          </cell>
          <cell r="E4081">
            <v>34000000</v>
          </cell>
          <cell r="F4081">
            <v>34000000</v>
          </cell>
          <cell r="G4081">
            <v>34000000</v>
          </cell>
          <cell r="H4081">
            <v>34000000</v>
          </cell>
          <cell r="I4081" t="str">
            <v/>
          </cell>
          <cell r="J4081" t="str">
            <v/>
          </cell>
          <cell r="K4081" t="str">
            <v/>
          </cell>
          <cell r="L4081" t="str">
            <v/>
          </cell>
        </row>
        <row r="4082">
          <cell r="A4082">
            <v>34000000</v>
          </cell>
          <cell r="C4082">
            <v>34000000</v>
          </cell>
          <cell r="D4082">
            <v>34000000</v>
          </cell>
          <cell r="E4082">
            <v>34000000</v>
          </cell>
          <cell r="F4082">
            <v>34000000</v>
          </cell>
          <cell r="G4082">
            <v>34000000</v>
          </cell>
          <cell r="H4082">
            <v>34000000</v>
          </cell>
          <cell r="I4082" t="str">
            <v/>
          </cell>
          <cell r="J4082" t="str">
            <v/>
          </cell>
          <cell r="K4082" t="str">
            <v/>
          </cell>
          <cell r="L4082" t="str">
            <v/>
          </cell>
        </row>
        <row r="4083">
          <cell r="A4083">
            <v>34000000</v>
          </cell>
          <cell r="C4083">
            <v>34000000</v>
          </cell>
          <cell r="D4083">
            <v>34000000</v>
          </cell>
          <cell r="E4083">
            <v>34000000</v>
          </cell>
          <cell r="F4083">
            <v>34000000</v>
          </cell>
          <cell r="G4083">
            <v>34000000</v>
          </cell>
          <cell r="H4083">
            <v>34000000</v>
          </cell>
          <cell r="I4083" t="str">
            <v/>
          </cell>
          <cell r="J4083" t="str">
            <v/>
          </cell>
          <cell r="K4083" t="str">
            <v/>
          </cell>
          <cell r="L4083" t="str">
            <v/>
          </cell>
        </row>
        <row r="4084">
          <cell r="A4084">
            <v>34000000</v>
          </cell>
          <cell r="C4084">
            <v>34000000</v>
          </cell>
          <cell r="D4084">
            <v>34000000</v>
          </cell>
          <cell r="E4084">
            <v>34000000</v>
          </cell>
          <cell r="F4084">
            <v>34000000</v>
          </cell>
          <cell r="G4084">
            <v>34000000</v>
          </cell>
          <cell r="H4084">
            <v>34000000</v>
          </cell>
          <cell r="I4084" t="str">
            <v/>
          </cell>
          <cell r="J4084" t="str">
            <v/>
          </cell>
          <cell r="K4084" t="str">
            <v/>
          </cell>
          <cell r="L4084" t="str">
            <v/>
          </cell>
        </row>
        <row r="4085">
          <cell r="A4085">
            <v>34000000</v>
          </cell>
          <cell r="C4085">
            <v>34000000</v>
          </cell>
          <cell r="D4085">
            <v>34000000</v>
          </cell>
          <cell r="E4085">
            <v>34000000</v>
          </cell>
          <cell r="F4085">
            <v>34000000</v>
          </cell>
          <cell r="G4085">
            <v>34000000</v>
          </cell>
          <cell r="H4085">
            <v>34000000</v>
          </cell>
          <cell r="I4085" t="str">
            <v/>
          </cell>
          <cell r="J4085" t="str">
            <v/>
          </cell>
          <cell r="K4085" t="str">
            <v/>
          </cell>
          <cell r="L4085" t="str">
            <v/>
          </cell>
        </row>
        <row r="4086">
          <cell r="A4086">
            <v>34000000</v>
          </cell>
          <cell r="C4086">
            <v>34000000</v>
          </cell>
          <cell r="D4086">
            <v>34000000</v>
          </cell>
          <cell r="E4086">
            <v>34000000</v>
          </cell>
          <cell r="F4086">
            <v>34000000</v>
          </cell>
          <cell r="G4086">
            <v>34000000</v>
          </cell>
          <cell r="H4086">
            <v>34000000</v>
          </cell>
          <cell r="I4086" t="str">
            <v/>
          </cell>
          <cell r="J4086" t="str">
            <v/>
          </cell>
          <cell r="K4086" t="str">
            <v/>
          </cell>
          <cell r="L4086" t="str">
            <v/>
          </cell>
        </row>
        <row r="4087">
          <cell r="A4087">
            <v>34000000</v>
          </cell>
          <cell r="C4087">
            <v>34000000</v>
          </cell>
          <cell r="D4087">
            <v>34000000</v>
          </cell>
          <cell r="E4087">
            <v>34000000</v>
          </cell>
          <cell r="F4087">
            <v>34000000</v>
          </cell>
          <cell r="G4087">
            <v>34000000</v>
          </cell>
          <cell r="H4087">
            <v>34000000</v>
          </cell>
          <cell r="I4087" t="str">
            <v/>
          </cell>
          <cell r="J4087" t="str">
            <v/>
          </cell>
          <cell r="K4087" t="str">
            <v/>
          </cell>
          <cell r="L4087" t="str">
            <v/>
          </cell>
        </row>
        <row r="4088">
          <cell r="A4088">
            <v>34000000</v>
          </cell>
          <cell r="C4088">
            <v>34000000</v>
          </cell>
          <cell r="D4088">
            <v>34000000</v>
          </cell>
          <cell r="E4088">
            <v>34000000</v>
          </cell>
          <cell r="F4088">
            <v>34000000</v>
          </cell>
          <cell r="G4088">
            <v>34000000</v>
          </cell>
          <cell r="H4088">
            <v>34000000</v>
          </cell>
          <cell r="I4088" t="str">
            <v/>
          </cell>
          <cell r="J4088" t="str">
            <v/>
          </cell>
          <cell r="K4088" t="str">
            <v/>
          </cell>
          <cell r="L4088" t="str">
            <v/>
          </cell>
        </row>
        <row r="4089">
          <cell r="A4089">
            <v>34000000</v>
          </cell>
          <cell r="C4089">
            <v>34000000</v>
          </cell>
          <cell r="D4089">
            <v>34000000</v>
          </cell>
          <cell r="E4089">
            <v>34000000</v>
          </cell>
          <cell r="F4089">
            <v>34000000</v>
          </cell>
          <cell r="G4089">
            <v>34000000</v>
          </cell>
          <cell r="H4089">
            <v>34000000</v>
          </cell>
          <cell r="I4089" t="str">
            <v/>
          </cell>
          <cell r="J4089" t="str">
            <v/>
          </cell>
          <cell r="K4089" t="str">
            <v/>
          </cell>
          <cell r="L4089" t="str">
            <v/>
          </cell>
        </row>
        <row r="4090">
          <cell r="A4090">
            <v>34000000</v>
          </cell>
          <cell r="C4090">
            <v>34000000</v>
          </cell>
          <cell r="D4090">
            <v>34000000</v>
          </cell>
          <cell r="E4090">
            <v>34000000</v>
          </cell>
          <cell r="F4090">
            <v>34000000</v>
          </cell>
          <cell r="G4090">
            <v>34000000</v>
          </cell>
          <cell r="H4090">
            <v>34000000</v>
          </cell>
          <cell r="I4090" t="str">
            <v/>
          </cell>
          <cell r="J4090" t="str">
            <v/>
          </cell>
          <cell r="K4090" t="str">
            <v/>
          </cell>
          <cell r="L4090" t="str">
            <v/>
          </cell>
        </row>
        <row r="4091">
          <cell r="A4091">
            <v>34000000</v>
          </cell>
          <cell r="C4091">
            <v>34000000</v>
          </cell>
          <cell r="D4091">
            <v>34000000</v>
          </cell>
          <cell r="E4091">
            <v>34000000</v>
          </cell>
          <cell r="F4091">
            <v>34000000</v>
          </cell>
          <cell r="G4091">
            <v>34000000</v>
          </cell>
          <cell r="H4091">
            <v>34000000</v>
          </cell>
          <cell r="I4091" t="str">
            <v/>
          </cell>
          <cell r="J4091" t="str">
            <v/>
          </cell>
          <cell r="K4091" t="str">
            <v/>
          </cell>
          <cell r="L4091" t="str">
            <v/>
          </cell>
        </row>
        <row r="4092">
          <cell r="A4092">
            <v>34000000</v>
          </cell>
          <cell r="C4092">
            <v>34000000</v>
          </cell>
          <cell r="D4092">
            <v>34000000</v>
          </cell>
          <cell r="E4092">
            <v>34000000</v>
          </cell>
          <cell r="F4092">
            <v>34000000</v>
          </cell>
          <cell r="G4092">
            <v>34000000</v>
          </cell>
          <cell r="H4092">
            <v>34000000</v>
          </cell>
          <cell r="I4092" t="str">
            <v/>
          </cell>
          <cell r="J4092" t="str">
            <v/>
          </cell>
          <cell r="K4092" t="str">
            <v/>
          </cell>
          <cell r="L4092" t="str">
            <v/>
          </cell>
        </row>
        <row r="4093">
          <cell r="A4093">
            <v>34000000</v>
          </cell>
          <cell r="C4093">
            <v>34000000</v>
          </cell>
          <cell r="D4093">
            <v>34000000</v>
          </cell>
          <cell r="E4093">
            <v>34000000</v>
          </cell>
          <cell r="F4093">
            <v>34000000</v>
          </cell>
          <cell r="G4093">
            <v>34000000</v>
          </cell>
          <cell r="H4093">
            <v>34000000</v>
          </cell>
          <cell r="I4093" t="str">
            <v/>
          </cell>
          <cell r="J4093" t="str">
            <v/>
          </cell>
          <cell r="K4093" t="str">
            <v/>
          </cell>
          <cell r="L4093" t="str">
            <v/>
          </cell>
        </row>
        <row r="4094">
          <cell r="A4094">
            <v>34000000</v>
          </cell>
          <cell r="C4094">
            <v>34000000</v>
          </cell>
          <cell r="D4094">
            <v>34000000</v>
          </cell>
          <cell r="E4094">
            <v>34000000</v>
          </cell>
          <cell r="F4094">
            <v>34000000</v>
          </cell>
          <cell r="G4094">
            <v>34000000</v>
          </cell>
          <cell r="H4094">
            <v>34000000</v>
          </cell>
          <cell r="I4094" t="str">
            <v/>
          </cell>
          <cell r="J4094" t="str">
            <v/>
          </cell>
          <cell r="K4094" t="str">
            <v/>
          </cell>
          <cell r="L4094" t="str">
            <v/>
          </cell>
        </row>
        <row r="4095">
          <cell r="A4095">
            <v>34000000</v>
          </cell>
          <cell r="C4095">
            <v>34000000</v>
          </cell>
          <cell r="D4095">
            <v>34000000</v>
          </cell>
          <cell r="E4095">
            <v>34000000</v>
          </cell>
          <cell r="F4095">
            <v>34000000</v>
          </cell>
          <cell r="G4095">
            <v>34000000</v>
          </cell>
          <cell r="H4095">
            <v>34000000</v>
          </cell>
          <cell r="I4095" t="str">
            <v/>
          </cell>
          <cell r="J4095" t="str">
            <v/>
          </cell>
          <cell r="K4095" t="str">
            <v/>
          </cell>
          <cell r="L4095" t="str">
            <v/>
          </cell>
        </row>
        <row r="4096">
          <cell r="A4096">
            <v>34000000</v>
          </cell>
          <cell r="C4096">
            <v>34000000</v>
          </cell>
          <cell r="D4096">
            <v>34000000</v>
          </cell>
          <cell r="E4096">
            <v>34000000</v>
          </cell>
          <cell r="F4096">
            <v>34000000</v>
          </cell>
          <cell r="G4096">
            <v>34000000</v>
          </cell>
          <cell r="H4096">
            <v>34000000</v>
          </cell>
          <cell r="I4096" t="str">
            <v/>
          </cell>
          <cell r="J4096" t="str">
            <v/>
          </cell>
          <cell r="K4096" t="str">
            <v/>
          </cell>
          <cell r="L4096" t="str">
            <v/>
          </cell>
        </row>
        <row r="4097">
          <cell r="A4097">
            <v>34000000</v>
          </cell>
          <cell r="C4097">
            <v>34000000</v>
          </cell>
          <cell r="D4097">
            <v>34000000</v>
          </cell>
          <cell r="E4097">
            <v>34000000</v>
          </cell>
          <cell r="F4097">
            <v>34000000</v>
          </cell>
          <cell r="G4097">
            <v>34000000</v>
          </cell>
          <cell r="H4097">
            <v>34000000</v>
          </cell>
          <cell r="I4097" t="str">
            <v/>
          </cell>
          <cell r="J4097" t="str">
            <v/>
          </cell>
          <cell r="K4097" t="str">
            <v/>
          </cell>
          <cell r="L4097" t="str">
            <v/>
          </cell>
        </row>
        <row r="4098">
          <cell r="A4098">
            <v>34000000</v>
          </cell>
          <cell r="C4098">
            <v>34000000</v>
          </cell>
          <cell r="D4098">
            <v>34000000</v>
          </cell>
          <cell r="E4098">
            <v>34000000</v>
          </cell>
          <cell r="F4098">
            <v>34000000</v>
          </cell>
          <cell r="G4098">
            <v>34000000</v>
          </cell>
          <cell r="H4098">
            <v>34000000</v>
          </cell>
          <cell r="I4098" t="str">
            <v/>
          </cell>
          <cell r="J4098" t="str">
            <v/>
          </cell>
          <cell r="K4098" t="str">
            <v/>
          </cell>
          <cell r="L4098" t="str">
            <v/>
          </cell>
        </row>
        <row r="4099">
          <cell r="A4099">
            <v>34000000</v>
          </cell>
          <cell r="C4099">
            <v>34000000</v>
          </cell>
          <cell r="D4099">
            <v>34000000</v>
          </cell>
          <cell r="E4099">
            <v>34000000</v>
          </cell>
          <cell r="F4099">
            <v>34000000</v>
          </cell>
          <cell r="G4099">
            <v>34000000</v>
          </cell>
          <cell r="H4099">
            <v>34000000</v>
          </cell>
          <cell r="I4099" t="str">
            <v/>
          </cell>
          <cell r="J4099" t="str">
            <v/>
          </cell>
          <cell r="K4099" t="str">
            <v/>
          </cell>
          <cell r="L4099" t="str">
            <v/>
          </cell>
        </row>
        <row r="4100">
          <cell r="A4100">
            <v>34000000</v>
          </cell>
          <cell r="C4100">
            <v>34000000</v>
          </cell>
          <cell r="D4100">
            <v>34000000</v>
          </cell>
          <cell r="E4100">
            <v>34000000</v>
          </cell>
          <cell r="F4100">
            <v>34000000</v>
          </cell>
          <cell r="G4100">
            <v>34000000</v>
          </cell>
          <cell r="H4100">
            <v>34000000</v>
          </cell>
          <cell r="I4100" t="str">
            <v/>
          </cell>
          <cell r="J4100" t="str">
            <v/>
          </cell>
          <cell r="K4100" t="str">
            <v/>
          </cell>
          <cell r="L4100" t="str">
            <v/>
          </cell>
        </row>
        <row r="4101">
          <cell r="A4101">
            <v>34000000</v>
          </cell>
          <cell r="C4101">
            <v>34000000</v>
          </cell>
          <cell r="D4101">
            <v>34000000</v>
          </cell>
          <cell r="E4101">
            <v>34000000</v>
          </cell>
          <cell r="F4101">
            <v>34000000</v>
          </cell>
          <cell r="G4101">
            <v>34000000</v>
          </cell>
          <cell r="H4101">
            <v>34000000</v>
          </cell>
          <cell r="I4101" t="str">
            <v/>
          </cell>
          <cell r="J4101" t="str">
            <v/>
          </cell>
          <cell r="K4101" t="str">
            <v/>
          </cell>
          <cell r="L4101" t="str">
            <v/>
          </cell>
        </row>
        <row r="4102">
          <cell r="A4102">
            <v>34000000</v>
          </cell>
          <cell r="C4102">
            <v>34000000</v>
          </cell>
          <cell r="D4102">
            <v>34000000</v>
          </cell>
          <cell r="E4102">
            <v>34000000</v>
          </cell>
          <cell r="F4102">
            <v>34000000</v>
          </cell>
          <cell r="G4102">
            <v>34000000</v>
          </cell>
          <cell r="H4102">
            <v>34000000</v>
          </cell>
          <cell r="I4102" t="str">
            <v/>
          </cell>
          <cell r="J4102" t="str">
            <v/>
          </cell>
          <cell r="K4102" t="str">
            <v/>
          </cell>
          <cell r="L4102" t="str">
            <v/>
          </cell>
        </row>
        <row r="4103">
          <cell r="A4103">
            <v>34000000</v>
          </cell>
          <cell r="C4103">
            <v>34000000</v>
          </cell>
          <cell r="D4103">
            <v>34000000</v>
          </cell>
          <cell r="E4103">
            <v>34000000</v>
          </cell>
          <cell r="F4103">
            <v>34000000</v>
          </cell>
          <cell r="G4103">
            <v>34000000</v>
          </cell>
          <cell r="H4103">
            <v>34000000</v>
          </cell>
          <cell r="I4103" t="str">
            <v/>
          </cell>
          <cell r="J4103" t="str">
            <v/>
          </cell>
          <cell r="K4103" t="str">
            <v/>
          </cell>
          <cell r="L4103" t="str">
            <v/>
          </cell>
        </row>
        <row r="4104">
          <cell r="A4104">
            <v>34000000</v>
          </cell>
          <cell r="C4104">
            <v>34000000</v>
          </cell>
          <cell r="D4104">
            <v>34000000</v>
          </cell>
          <cell r="E4104">
            <v>34000000</v>
          </cell>
          <cell r="F4104">
            <v>34000000</v>
          </cell>
          <cell r="G4104">
            <v>34000000</v>
          </cell>
          <cell r="H4104">
            <v>34000000</v>
          </cell>
          <cell r="I4104" t="str">
            <v/>
          </cell>
          <cell r="J4104" t="str">
            <v/>
          </cell>
          <cell r="K4104" t="str">
            <v/>
          </cell>
          <cell r="L4104" t="str">
            <v/>
          </cell>
        </row>
        <row r="4105">
          <cell r="A4105">
            <v>34000000</v>
          </cell>
          <cell r="C4105">
            <v>34000000</v>
          </cell>
          <cell r="D4105">
            <v>34000000</v>
          </cell>
          <cell r="E4105">
            <v>34000000</v>
          </cell>
          <cell r="F4105">
            <v>34000000</v>
          </cell>
          <cell r="G4105">
            <v>34000000</v>
          </cell>
          <cell r="H4105">
            <v>34000000</v>
          </cell>
          <cell r="I4105" t="str">
            <v/>
          </cell>
          <cell r="J4105" t="str">
            <v/>
          </cell>
          <cell r="K4105" t="str">
            <v/>
          </cell>
          <cell r="L4105" t="str">
            <v/>
          </cell>
        </row>
        <row r="4106">
          <cell r="A4106">
            <v>34000000</v>
          </cell>
          <cell r="C4106">
            <v>34000000</v>
          </cell>
          <cell r="D4106">
            <v>34000000</v>
          </cell>
          <cell r="E4106">
            <v>34000000</v>
          </cell>
          <cell r="F4106">
            <v>34000000</v>
          </cell>
          <cell r="G4106">
            <v>34000000</v>
          </cell>
          <cell r="H4106">
            <v>34000000</v>
          </cell>
          <cell r="I4106" t="str">
            <v/>
          </cell>
          <cell r="J4106" t="str">
            <v/>
          </cell>
          <cell r="K4106" t="str">
            <v/>
          </cell>
          <cell r="L4106" t="str">
            <v/>
          </cell>
        </row>
        <row r="4107">
          <cell r="A4107">
            <v>34000000</v>
          </cell>
          <cell r="C4107">
            <v>34000000</v>
          </cell>
          <cell r="D4107">
            <v>34000000</v>
          </cell>
          <cell r="E4107">
            <v>34000000</v>
          </cell>
          <cell r="F4107">
            <v>34000000</v>
          </cell>
          <cell r="G4107">
            <v>34000000</v>
          </cell>
          <cell r="H4107">
            <v>34000000</v>
          </cell>
          <cell r="I4107" t="str">
            <v/>
          </cell>
          <cell r="J4107" t="str">
            <v/>
          </cell>
          <cell r="K4107" t="str">
            <v/>
          </cell>
          <cell r="L4107" t="str">
            <v/>
          </cell>
        </row>
        <row r="4108">
          <cell r="A4108">
            <v>34000000</v>
          </cell>
          <cell r="C4108">
            <v>34000000</v>
          </cell>
          <cell r="D4108">
            <v>34000000</v>
          </cell>
          <cell r="E4108">
            <v>34000000</v>
          </cell>
          <cell r="F4108">
            <v>34000000</v>
          </cell>
          <cell r="G4108">
            <v>34000000</v>
          </cell>
          <cell r="H4108">
            <v>34000000</v>
          </cell>
          <cell r="I4108" t="str">
            <v/>
          </cell>
          <cell r="J4108" t="str">
            <v/>
          </cell>
          <cell r="K4108" t="str">
            <v/>
          </cell>
          <cell r="L4108" t="str">
            <v/>
          </cell>
        </row>
        <row r="4109">
          <cell r="A4109">
            <v>34000000</v>
          </cell>
          <cell r="C4109">
            <v>34000000</v>
          </cell>
          <cell r="D4109">
            <v>34000000</v>
          </cell>
          <cell r="E4109">
            <v>34000000</v>
          </cell>
          <cell r="F4109">
            <v>34000000</v>
          </cell>
          <cell r="G4109">
            <v>34000000</v>
          </cell>
          <cell r="H4109">
            <v>34000000</v>
          </cell>
          <cell r="I4109" t="str">
            <v/>
          </cell>
          <cell r="J4109" t="str">
            <v/>
          </cell>
          <cell r="K4109" t="str">
            <v/>
          </cell>
          <cell r="L4109" t="str">
            <v/>
          </cell>
        </row>
        <row r="4110">
          <cell r="A4110">
            <v>34000000</v>
          </cell>
          <cell r="C4110">
            <v>34000000</v>
          </cell>
          <cell r="D4110">
            <v>34000000</v>
          </cell>
          <cell r="E4110">
            <v>34000000</v>
          </cell>
          <cell r="F4110">
            <v>34000000</v>
          </cell>
          <cell r="G4110">
            <v>34000000</v>
          </cell>
          <cell r="H4110">
            <v>34000000</v>
          </cell>
          <cell r="I4110" t="str">
            <v/>
          </cell>
          <cell r="J4110" t="str">
            <v/>
          </cell>
          <cell r="K4110" t="str">
            <v/>
          </cell>
          <cell r="L4110" t="str">
            <v/>
          </cell>
        </row>
        <row r="4111">
          <cell r="A4111">
            <v>34000000</v>
          </cell>
          <cell r="C4111">
            <v>34000000</v>
          </cell>
          <cell r="D4111">
            <v>34000000</v>
          </cell>
          <cell r="E4111">
            <v>34000000</v>
          </cell>
          <cell r="F4111">
            <v>34000000</v>
          </cell>
          <cell r="G4111">
            <v>34000000</v>
          </cell>
          <cell r="H4111">
            <v>34000000</v>
          </cell>
          <cell r="I4111" t="str">
            <v/>
          </cell>
          <cell r="J4111" t="str">
            <v/>
          </cell>
          <cell r="K4111" t="str">
            <v/>
          </cell>
          <cell r="L4111" t="str">
            <v/>
          </cell>
        </row>
        <row r="4112">
          <cell r="A4112">
            <v>34000000</v>
          </cell>
          <cell r="C4112">
            <v>34000000</v>
          </cell>
          <cell r="D4112">
            <v>34000000</v>
          </cell>
          <cell r="E4112">
            <v>34000000</v>
          </cell>
          <cell r="F4112">
            <v>34000000</v>
          </cell>
          <cell r="G4112">
            <v>34000000</v>
          </cell>
          <cell r="H4112">
            <v>34000000</v>
          </cell>
          <cell r="I4112" t="str">
            <v/>
          </cell>
          <cell r="J4112" t="str">
            <v/>
          </cell>
          <cell r="K4112" t="str">
            <v/>
          </cell>
          <cell r="L4112" t="str">
            <v/>
          </cell>
        </row>
        <row r="4113">
          <cell r="A4113">
            <v>34000000</v>
          </cell>
          <cell r="C4113">
            <v>34000000</v>
          </cell>
          <cell r="D4113">
            <v>34000000</v>
          </cell>
          <cell r="E4113">
            <v>34000000</v>
          </cell>
          <cell r="F4113">
            <v>34000000</v>
          </cell>
          <cell r="G4113">
            <v>34000000</v>
          </cell>
          <cell r="H4113">
            <v>34000000</v>
          </cell>
          <cell r="I4113" t="str">
            <v/>
          </cell>
          <cell r="J4113" t="str">
            <v/>
          </cell>
          <cell r="K4113" t="str">
            <v/>
          </cell>
          <cell r="L4113" t="str">
            <v/>
          </cell>
        </row>
        <row r="4114">
          <cell r="A4114">
            <v>34000000</v>
          </cell>
          <cell r="C4114">
            <v>34000000</v>
          </cell>
          <cell r="D4114">
            <v>34000000</v>
          </cell>
          <cell r="E4114">
            <v>34000000</v>
          </cell>
          <cell r="F4114">
            <v>34000000</v>
          </cell>
          <cell r="G4114">
            <v>34000000</v>
          </cell>
          <cell r="H4114">
            <v>34000000</v>
          </cell>
          <cell r="I4114" t="str">
            <v/>
          </cell>
          <cell r="J4114" t="str">
            <v/>
          </cell>
          <cell r="K4114" t="str">
            <v/>
          </cell>
          <cell r="L4114" t="str">
            <v/>
          </cell>
        </row>
        <row r="4115">
          <cell r="A4115">
            <v>34000000</v>
          </cell>
          <cell r="C4115">
            <v>34000000</v>
          </cell>
          <cell r="D4115">
            <v>34000000</v>
          </cell>
          <cell r="E4115">
            <v>34000000</v>
          </cell>
          <cell r="F4115">
            <v>34000000</v>
          </cell>
          <cell r="G4115">
            <v>34000000</v>
          </cell>
          <cell r="H4115">
            <v>34000000</v>
          </cell>
          <cell r="I4115" t="str">
            <v/>
          </cell>
          <cell r="J4115" t="str">
            <v/>
          </cell>
          <cell r="K4115" t="str">
            <v/>
          </cell>
          <cell r="L4115" t="str">
            <v/>
          </cell>
        </row>
        <row r="4116">
          <cell r="A4116">
            <v>34000000</v>
          </cell>
          <cell r="C4116">
            <v>34000000</v>
          </cell>
          <cell r="D4116">
            <v>34000000</v>
          </cell>
          <cell r="E4116">
            <v>34000000</v>
          </cell>
          <cell r="F4116">
            <v>34000000</v>
          </cell>
          <cell r="G4116">
            <v>34000000</v>
          </cell>
          <cell r="H4116">
            <v>34000000</v>
          </cell>
          <cell r="I4116" t="str">
            <v/>
          </cell>
          <cell r="J4116" t="str">
            <v/>
          </cell>
          <cell r="K4116" t="str">
            <v/>
          </cell>
          <cell r="L4116" t="str">
            <v/>
          </cell>
        </row>
        <row r="4117">
          <cell r="A4117">
            <v>34000000</v>
          </cell>
          <cell r="C4117">
            <v>34000000</v>
          </cell>
          <cell r="D4117">
            <v>34000000</v>
          </cell>
          <cell r="E4117">
            <v>34000000</v>
          </cell>
          <cell r="F4117">
            <v>34000000</v>
          </cell>
          <cell r="G4117">
            <v>34000000</v>
          </cell>
          <cell r="H4117">
            <v>34000000</v>
          </cell>
          <cell r="I4117" t="str">
            <v/>
          </cell>
          <cell r="J4117" t="str">
            <v/>
          </cell>
          <cell r="K4117" t="str">
            <v/>
          </cell>
          <cell r="L4117" t="str">
            <v/>
          </cell>
        </row>
        <row r="4118">
          <cell r="A4118">
            <v>34000000</v>
          </cell>
          <cell r="C4118">
            <v>34000000</v>
          </cell>
          <cell r="D4118">
            <v>34000000</v>
          </cell>
          <cell r="E4118">
            <v>34000000</v>
          </cell>
          <cell r="F4118">
            <v>34000000</v>
          </cell>
          <cell r="G4118">
            <v>34000000</v>
          </cell>
          <cell r="H4118">
            <v>34000000</v>
          </cell>
          <cell r="I4118" t="str">
            <v/>
          </cell>
          <cell r="J4118" t="str">
            <v/>
          </cell>
          <cell r="K4118" t="str">
            <v/>
          </cell>
          <cell r="L4118" t="str">
            <v/>
          </cell>
        </row>
        <row r="4119">
          <cell r="A4119">
            <v>34000000</v>
          </cell>
          <cell r="C4119">
            <v>34000000</v>
          </cell>
          <cell r="D4119">
            <v>34000000</v>
          </cell>
          <cell r="E4119">
            <v>34000000</v>
          </cell>
          <cell r="F4119">
            <v>34000000</v>
          </cell>
          <cell r="G4119">
            <v>34000000</v>
          </cell>
          <cell r="H4119">
            <v>34000000</v>
          </cell>
          <cell r="I4119" t="str">
            <v/>
          </cell>
          <cell r="J4119" t="str">
            <v/>
          </cell>
          <cell r="K4119" t="str">
            <v/>
          </cell>
          <cell r="L4119" t="str">
            <v/>
          </cell>
        </row>
        <row r="4120">
          <cell r="A4120">
            <v>34000000</v>
          </cell>
          <cell r="C4120">
            <v>34000000</v>
          </cell>
          <cell r="D4120">
            <v>34000000</v>
          </cell>
          <cell r="E4120">
            <v>34000000</v>
          </cell>
          <cell r="F4120">
            <v>34000000</v>
          </cell>
          <cell r="G4120">
            <v>34000000</v>
          </cell>
          <cell r="H4120">
            <v>34000000</v>
          </cell>
          <cell r="I4120" t="str">
            <v/>
          </cell>
          <cell r="J4120" t="str">
            <v/>
          </cell>
          <cell r="K4120" t="str">
            <v/>
          </cell>
          <cell r="L4120" t="str">
            <v/>
          </cell>
        </row>
        <row r="4121">
          <cell r="A4121">
            <v>34000000</v>
          </cell>
          <cell r="C4121">
            <v>34000000</v>
          </cell>
          <cell r="D4121">
            <v>34000000</v>
          </cell>
          <cell r="E4121">
            <v>34000000</v>
          </cell>
          <cell r="F4121">
            <v>34000000</v>
          </cell>
          <cell r="G4121">
            <v>34000000</v>
          </cell>
          <cell r="H4121">
            <v>34000000</v>
          </cell>
          <cell r="I4121" t="str">
            <v/>
          </cell>
          <cell r="J4121" t="str">
            <v/>
          </cell>
          <cell r="K4121" t="str">
            <v/>
          </cell>
          <cell r="L4121" t="str">
            <v/>
          </cell>
        </row>
        <row r="4122">
          <cell r="A4122">
            <v>34000000</v>
          </cell>
          <cell r="C4122">
            <v>34000000</v>
          </cell>
          <cell r="D4122">
            <v>34000000</v>
          </cell>
          <cell r="E4122">
            <v>34000000</v>
          </cell>
          <cell r="F4122">
            <v>34000000</v>
          </cell>
          <cell r="G4122">
            <v>34000000</v>
          </cell>
          <cell r="H4122">
            <v>34000000</v>
          </cell>
          <cell r="I4122" t="str">
            <v/>
          </cell>
          <cell r="J4122" t="str">
            <v/>
          </cell>
          <cell r="K4122" t="str">
            <v/>
          </cell>
          <cell r="L4122" t="str">
            <v/>
          </cell>
        </row>
        <row r="4123">
          <cell r="A4123">
            <v>34000000</v>
          </cell>
          <cell r="C4123">
            <v>34000000</v>
          </cell>
          <cell r="D4123">
            <v>34000000</v>
          </cell>
          <cell r="E4123">
            <v>34000000</v>
          </cell>
          <cell r="F4123">
            <v>34000000</v>
          </cell>
          <cell r="G4123">
            <v>34000000</v>
          </cell>
          <cell r="H4123">
            <v>34000000</v>
          </cell>
          <cell r="I4123" t="str">
            <v/>
          </cell>
          <cell r="J4123" t="str">
            <v/>
          </cell>
          <cell r="K4123" t="str">
            <v/>
          </cell>
          <cell r="L4123" t="str">
            <v/>
          </cell>
        </row>
        <row r="4124">
          <cell r="A4124">
            <v>34000000</v>
          </cell>
          <cell r="C4124">
            <v>34000000</v>
          </cell>
          <cell r="D4124">
            <v>34000000</v>
          </cell>
          <cell r="E4124">
            <v>34000000</v>
          </cell>
          <cell r="F4124">
            <v>34000000</v>
          </cell>
          <cell r="G4124">
            <v>34000000</v>
          </cell>
          <cell r="H4124">
            <v>34000000</v>
          </cell>
          <cell r="I4124" t="str">
            <v/>
          </cell>
          <cell r="J4124" t="str">
            <v/>
          </cell>
          <cell r="K4124" t="str">
            <v/>
          </cell>
          <cell r="L4124" t="str">
            <v/>
          </cell>
        </row>
        <row r="4125">
          <cell r="A4125">
            <v>34000000</v>
          </cell>
          <cell r="C4125">
            <v>34000000</v>
          </cell>
          <cell r="D4125">
            <v>34000000</v>
          </cell>
          <cell r="E4125">
            <v>34000000</v>
          </cell>
          <cell r="F4125">
            <v>34000000</v>
          </cell>
          <cell r="G4125">
            <v>34000000</v>
          </cell>
          <cell r="H4125">
            <v>34000000</v>
          </cell>
          <cell r="I4125" t="str">
            <v/>
          </cell>
          <cell r="J4125" t="str">
            <v/>
          </cell>
          <cell r="K4125" t="str">
            <v/>
          </cell>
          <cell r="L4125" t="str">
            <v/>
          </cell>
        </row>
        <row r="4126">
          <cell r="A4126">
            <v>34000000</v>
          </cell>
          <cell r="C4126">
            <v>34000000</v>
          </cell>
          <cell r="D4126">
            <v>34000000</v>
          </cell>
          <cell r="E4126">
            <v>34000000</v>
          </cell>
          <cell r="F4126">
            <v>34000000</v>
          </cell>
          <cell r="G4126">
            <v>34000000</v>
          </cell>
          <cell r="H4126">
            <v>34000000</v>
          </cell>
          <cell r="I4126" t="str">
            <v/>
          </cell>
          <cell r="J4126" t="str">
            <v/>
          </cell>
          <cell r="K4126" t="str">
            <v/>
          </cell>
          <cell r="L4126" t="str">
            <v/>
          </cell>
        </row>
        <row r="4127">
          <cell r="A4127">
            <v>34000000</v>
          </cell>
          <cell r="C4127">
            <v>34000000</v>
          </cell>
          <cell r="D4127">
            <v>34000000</v>
          </cell>
          <cell r="E4127">
            <v>34000000</v>
          </cell>
          <cell r="F4127">
            <v>34000000</v>
          </cell>
          <cell r="G4127">
            <v>34000000</v>
          </cell>
          <cell r="H4127">
            <v>34000000</v>
          </cell>
          <cell r="I4127" t="str">
            <v/>
          </cell>
          <cell r="J4127" t="str">
            <v/>
          </cell>
          <cell r="K4127" t="str">
            <v/>
          </cell>
          <cell r="L4127" t="str">
            <v/>
          </cell>
        </row>
        <row r="4128">
          <cell r="A4128">
            <v>34000000</v>
          </cell>
          <cell r="C4128">
            <v>34000000</v>
          </cell>
          <cell r="D4128">
            <v>34000000</v>
          </cell>
          <cell r="E4128">
            <v>34000000</v>
          </cell>
          <cell r="F4128">
            <v>34000000</v>
          </cell>
          <cell r="G4128">
            <v>34000000</v>
          </cell>
          <cell r="H4128">
            <v>34000000</v>
          </cell>
          <cell r="I4128" t="str">
            <v/>
          </cell>
          <cell r="J4128" t="str">
            <v/>
          </cell>
          <cell r="K4128" t="str">
            <v/>
          </cell>
          <cell r="L4128" t="str">
            <v/>
          </cell>
        </row>
        <row r="4129">
          <cell r="A4129">
            <v>34000000</v>
          </cell>
          <cell r="C4129">
            <v>34000000</v>
          </cell>
          <cell r="D4129">
            <v>34000000</v>
          </cell>
          <cell r="E4129">
            <v>34000000</v>
          </cell>
          <cell r="F4129">
            <v>34000000</v>
          </cell>
          <cell r="G4129">
            <v>34000000</v>
          </cell>
          <cell r="H4129">
            <v>34000000</v>
          </cell>
          <cell r="I4129" t="str">
            <v/>
          </cell>
          <cell r="J4129" t="str">
            <v/>
          </cell>
          <cell r="K4129" t="str">
            <v/>
          </cell>
          <cell r="L4129" t="str">
            <v/>
          </cell>
        </row>
        <row r="4130">
          <cell r="A4130">
            <v>34000000</v>
          </cell>
          <cell r="C4130">
            <v>34000000</v>
          </cell>
          <cell r="D4130">
            <v>34000000</v>
          </cell>
          <cell r="E4130">
            <v>34000000</v>
          </cell>
          <cell r="F4130">
            <v>34000000</v>
          </cell>
          <cell r="G4130">
            <v>34000000</v>
          </cell>
          <cell r="H4130">
            <v>34000000</v>
          </cell>
          <cell r="I4130" t="str">
            <v/>
          </cell>
          <cell r="J4130" t="str">
            <v/>
          </cell>
          <cell r="K4130" t="str">
            <v/>
          </cell>
          <cell r="L4130" t="str">
            <v/>
          </cell>
        </row>
        <row r="4131">
          <cell r="A4131">
            <v>34000000</v>
          </cell>
          <cell r="C4131">
            <v>34000000</v>
          </cell>
          <cell r="D4131">
            <v>34000000</v>
          </cell>
          <cell r="E4131">
            <v>34000000</v>
          </cell>
          <cell r="F4131">
            <v>34000000</v>
          </cell>
          <cell r="G4131">
            <v>34000000</v>
          </cell>
          <cell r="H4131">
            <v>34000000</v>
          </cell>
          <cell r="I4131" t="str">
            <v/>
          </cell>
          <cell r="J4131" t="str">
            <v/>
          </cell>
          <cell r="K4131" t="str">
            <v/>
          </cell>
          <cell r="L4131" t="str">
            <v/>
          </cell>
        </row>
        <row r="4132">
          <cell r="A4132">
            <v>34000000</v>
          </cell>
          <cell r="C4132">
            <v>34000000</v>
          </cell>
          <cell r="D4132">
            <v>34000000</v>
          </cell>
          <cell r="E4132">
            <v>34000000</v>
          </cell>
          <cell r="F4132">
            <v>34000000</v>
          </cell>
          <cell r="G4132">
            <v>34000000</v>
          </cell>
          <cell r="H4132">
            <v>34000000</v>
          </cell>
          <cell r="I4132" t="str">
            <v/>
          </cell>
          <cell r="J4132" t="str">
            <v/>
          </cell>
          <cell r="K4132" t="str">
            <v/>
          </cell>
          <cell r="L4132" t="str">
            <v/>
          </cell>
        </row>
        <row r="4133">
          <cell r="A4133">
            <v>34000000</v>
          </cell>
          <cell r="C4133">
            <v>34000000</v>
          </cell>
          <cell r="D4133">
            <v>34000000</v>
          </cell>
          <cell r="E4133">
            <v>34000000</v>
          </cell>
          <cell r="F4133">
            <v>34000000</v>
          </cell>
          <cell r="G4133">
            <v>34000000</v>
          </cell>
          <cell r="H4133">
            <v>34000000</v>
          </cell>
          <cell r="I4133" t="str">
            <v/>
          </cell>
          <cell r="J4133" t="str">
            <v/>
          </cell>
          <cell r="K4133" t="str">
            <v/>
          </cell>
          <cell r="L4133" t="str">
            <v/>
          </cell>
        </row>
        <row r="4134">
          <cell r="A4134">
            <v>34000000</v>
          </cell>
          <cell r="C4134">
            <v>34000000</v>
          </cell>
          <cell r="D4134">
            <v>34000000</v>
          </cell>
          <cell r="E4134">
            <v>34000000</v>
          </cell>
          <cell r="F4134">
            <v>34000000</v>
          </cell>
          <cell r="G4134">
            <v>34000000</v>
          </cell>
          <cell r="H4134">
            <v>34000000</v>
          </cell>
          <cell r="I4134" t="str">
            <v/>
          </cell>
          <cell r="J4134" t="str">
            <v/>
          </cell>
          <cell r="K4134" t="str">
            <v/>
          </cell>
          <cell r="L4134" t="str">
            <v/>
          </cell>
        </row>
        <row r="4135">
          <cell r="A4135">
            <v>34000000</v>
          </cell>
          <cell r="C4135">
            <v>34000000</v>
          </cell>
          <cell r="D4135">
            <v>34000000</v>
          </cell>
          <cell r="E4135">
            <v>34000000</v>
          </cell>
          <cell r="F4135">
            <v>34000000</v>
          </cell>
          <cell r="G4135">
            <v>34000000</v>
          </cell>
          <cell r="H4135">
            <v>34000000</v>
          </cell>
          <cell r="I4135" t="str">
            <v/>
          </cell>
          <cell r="J4135" t="str">
            <v/>
          </cell>
          <cell r="K4135" t="str">
            <v/>
          </cell>
          <cell r="L4135" t="str">
            <v/>
          </cell>
        </row>
        <row r="4136">
          <cell r="A4136">
            <v>34000000</v>
          </cell>
          <cell r="C4136">
            <v>34000000</v>
          </cell>
          <cell r="D4136">
            <v>34000000</v>
          </cell>
          <cell r="E4136">
            <v>34000000</v>
          </cell>
          <cell r="F4136">
            <v>34000000</v>
          </cell>
          <cell r="G4136">
            <v>34000000</v>
          </cell>
          <cell r="H4136">
            <v>34000000</v>
          </cell>
          <cell r="I4136" t="str">
            <v/>
          </cell>
          <cell r="J4136" t="str">
            <v/>
          </cell>
          <cell r="K4136" t="str">
            <v/>
          </cell>
          <cell r="L4136" t="str">
            <v/>
          </cell>
        </row>
        <row r="4137">
          <cell r="A4137">
            <v>34000000</v>
          </cell>
          <cell r="C4137">
            <v>34000000</v>
          </cell>
          <cell r="D4137">
            <v>34000000</v>
          </cell>
          <cell r="E4137">
            <v>34000000</v>
          </cell>
          <cell r="F4137">
            <v>34000000</v>
          </cell>
          <cell r="G4137">
            <v>34000000</v>
          </cell>
          <cell r="H4137">
            <v>34000000</v>
          </cell>
          <cell r="I4137" t="str">
            <v/>
          </cell>
          <cell r="J4137" t="str">
            <v/>
          </cell>
          <cell r="K4137" t="str">
            <v/>
          </cell>
          <cell r="L4137" t="str">
            <v/>
          </cell>
        </row>
        <row r="4138">
          <cell r="A4138">
            <v>34000000</v>
          </cell>
          <cell r="C4138">
            <v>34000000</v>
          </cell>
          <cell r="D4138">
            <v>34000000</v>
          </cell>
          <cell r="E4138">
            <v>34000000</v>
          </cell>
          <cell r="F4138">
            <v>34000000</v>
          </cell>
          <cell r="G4138">
            <v>34000000</v>
          </cell>
          <cell r="H4138">
            <v>34000000</v>
          </cell>
          <cell r="I4138" t="str">
            <v/>
          </cell>
          <cell r="J4138" t="str">
            <v/>
          </cell>
          <cell r="K4138" t="str">
            <v/>
          </cell>
          <cell r="L4138" t="str">
            <v/>
          </cell>
        </row>
        <row r="4139">
          <cell r="A4139">
            <v>34000000</v>
          </cell>
          <cell r="C4139">
            <v>34000000</v>
          </cell>
          <cell r="D4139">
            <v>34000000</v>
          </cell>
          <cell r="E4139">
            <v>34000000</v>
          </cell>
          <cell r="F4139">
            <v>34000000</v>
          </cell>
          <cell r="G4139">
            <v>34000000</v>
          </cell>
          <cell r="H4139">
            <v>34000000</v>
          </cell>
          <cell r="I4139" t="str">
            <v/>
          </cell>
          <cell r="J4139" t="str">
            <v/>
          </cell>
          <cell r="K4139" t="str">
            <v/>
          </cell>
          <cell r="L4139" t="str">
            <v/>
          </cell>
        </row>
        <row r="4140">
          <cell r="A4140">
            <v>34000000</v>
          </cell>
          <cell r="C4140">
            <v>34000000</v>
          </cell>
          <cell r="D4140">
            <v>34000000</v>
          </cell>
          <cell r="E4140">
            <v>34000000</v>
          </cell>
          <cell r="F4140">
            <v>34000000</v>
          </cell>
          <cell r="G4140">
            <v>34000000</v>
          </cell>
          <cell r="H4140">
            <v>34000000</v>
          </cell>
          <cell r="I4140" t="str">
            <v/>
          </cell>
          <cell r="J4140" t="str">
            <v/>
          </cell>
          <cell r="K4140" t="str">
            <v/>
          </cell>
          <cell r="L4140" t="str">
            <v/>
          </cell>
        </row>
        <row r="4141">
          <cell r="A4141">
            <v>34000000</v>
          </cell>
          <cell r="C4141">
            <v>34000000</v>
          </cell>
          <cell r="D4141">
            <v>34000000</v>
          </cell>
          <cell r="E4141">
            <v>34000000</v>
          </cell>
          <cell r="F4141">
            <v>34000000</v>
          </cell>
          <cell r="G4141">
            <v>34000000</v>
          </cell>
          <cell r="H4141">
            <v>34000000</v>
          </cell>
          <cell r="I4141" t="str">
            <v/>
          </cell>
          <cell r="J4141" t="str">
            <v/>
          </cell>
          <cell r="K4141" t="str">
            <v/>
          </cell>
          <cell r="L4141" t="str">
            <v/>
          </cell>
        </row>
        <row r="4142">
          <cell r="A4142">
            <v>34000000</v>
          </cell>
          <cell r="C4142">
            <v>34000000</v>
          </cell>
          <cell r="D4142">
            <v>34000000</v>
          </cell>
          <cell r="E4142">
            <v>34000000</v>
          </cell>
          <cell r="F4142">
            <v>34000000</v>
          </cell>
          <cell r="G4142">
            <v>34000000</v>
          </cell>
          <cell r="H4142">
            <v>34000000</v>
          </cell>
          <cell r="I4142" t="str">
            <v/>
          </cell>
          <cell r="J4142" t="str">
            <v/>
          </cell>
          <cell r="K4142" t="str">
            <v/>
          </cell>
          <cell r="L4142" t="str">
            <v/>
          </cell>
        </row>
        <row r="4143">
          <cell r="A4143">
            <v>34000000</v>
          </cell>
          <cell r="C4143">
            <v>34000000</v>
          </cell>
          <cell r="D4143">
            <v>34000000</v>
          </cell>
          <cell r="E4143">
            <v>34000000</v>
          </cell>
          <cell r="F4143">
            <v>34000000</v>
          </cell>
          <cell r="G4143">
            <v>34000000</v>
          </cell>
          <cell r="H4143">
            <v>34000000</v>
          </cell>
          <cell r="I4143" t="str">
            <v/>
          </cell>
          <cell r="J4143" t="str">
            <v/>
          </cell>
          <cell r="K4143" t="str">
            <v/>
          </cell>
          <cell r="L4143" t="str">
            <v/>
          </cell>
        </row>
        <row r="4144">
          <cell r="A4144">
            <v>34000000</v>
          </cell>
          <cell r="C4144">
            <v>34000000</v>
          </cell>
          <cell r="D4144">
            <v>34000000</v>
          </cell>
          <cell r="E4144">
            <v>34000000</v>
          </cell>
          <cell r="F4144">
            <v>34000000</v>
          </cell>
          <cell r="G4144">
            <v>34000000</v>
          </cell>
          <cell r="H4144">
            <v>34000000</v>
          </cell>
          <cell r="I4144" t="str">
            <v/>
          </cell>
          <cell r="J4144" t="str">
            <v/>
          </cell>
          <cell r="K4144" t="str">
            <v/>
          </cell>
          <cell r="L4144" t="str">
            <v/>
          </cell>
        </row>
        <row r="4145">
          <cell r="A4145">
            <v>34000000</v>
          </cell>
          <cell r="C4145">
            <v>34000000</v>
          </cell>
          <cell r="D4145">
            <v>34000000</v>
          </cell>
          <cell r="E4145">
            <v>34000000</v>
          </cell>
          <cell r="F4145">
            <v>34000000</v>
          </cell>
          <cell r="G4145">
            <v>34000000</v>
          </cell>
          <cell r="H4145">
            <v>34000000</v>
          </cell>
          <cell r="I4145" t="str">
            <v/>
          </cell>
          <cell r="J4145" t="str">
            <v/>
          </cell>
          <cell r="K4145" t="str">
            <v/>
          </cell>
          <cell r="L4145" t="str">
            <v/>
          </cell>
        </row>
        <row r="4146">
          <cell r="A4146">
            <v>34000000</v>
          </cell>
          <cell r="C4146">
            <v>34000000</v>
          </cell>
          <cell r="D4146">
            <v>34000000</v>
          </cell>
          <cell r="E4146">
            <v>34000000</v>
          </cell>
          <cell r="F4146">
            <v>34000000</v>
          </cell>
          <cell r="G4146">
            <v>34000000</v>
          </cell>
          <cell r="H4146">
            <v>34000000</v>
          </cell>
          <cell r="I4146" t="str">
            <v/>
          </cell>
          <cell r="J4146" t="str">
            <v/>
          </cell>
          <cell r="K4146" t="str">
            <v/>
          </cell>
          <cell r="L4146" t="str">
            <v/>
          </cell>
        </row>
        <row r="4147">
          <cell r="A4147">
            <v>34000000</v>
          </cell>
          <cell r="C4147">
            <v>34000000</v>
          </cell>
          <cell r="D4147">
            <v>34000000</v>
          </cell>
          <cell r="E4147">
            <v>34000000</v>
          </cell>
          <cell r="F4147">
            <v>34000000</v>
          </cell>
          <cell r="G4147">
            <v>34000000</v>
          </cell>
          <cell r="H4147">
            <v>34000000</v>
          </cell>
          <cell r="I4147" t="str">
            <v/>
          </cell>
          <cell r="J4147" t="str">
            <v/>
          </cell>
          <cell r="K4147" t="str">
            <v/>
          </cell>
          <cell r="L4147" t="str">
            <v/>
          </cell>
        </row>
        <row r="4148">
          <cell r="A4148">
            <v>34000000</v>
          </cell>
          <cell r="C4148">
            <v>34000000</v>
          </cell>
          <cell r="D4148">
            <v>34000000</v>
          </cell>
          <cell r="E4148">
            <v>34000000</v>
          </cell>
          <cell r="F4148">
            <v>34000000</v>
          </cell>
          <cell r="G4148">
            <v>34000000</v>
          </cell>
          <cell r="H4148">
            <v>34000000</v>
          </cell>
          <cell r="I4148" t="str">
            <v/>
          </cell>
          <cell r="J4148" t="str">
            <v/>
          </cell>
          <cell r="K4148" t="str">
            <v/>
          </cell>
          <cell r="L4148" t="str">
            <v/>
          </cell>
        </row>
        <row r="4149">
          <cell r="A4149">
            <v>34000000</v>
          </cell>
          <cell r="C4149">
            <v>34000000</v>
          </cell>
          <cell r="D4149">
            <v>34000000</v>
          </cell>
          <cell r="E4149">
            <v>34000000</v>
          </cell>
          <cell r="F4149">
            <v>34000000</v>
          </cell>
          <cell r="G4149">
            <v>34000000</v>
          </cell>
          <cell r="H4149">
            <v>34000000</v>
          </cell>
          <cell r="I4149" t="str">
            <v/>
          </cell>
          <cell r="J4149" t="str">
            <v/>
          </cell>
          <cell r="K4149" t="str">
            <v/>
          </cell>
          <cell r="L4149" t="str">
            <v/>
          </cell>
        </row>
        <row r="4150">
          <cell r="A4150">
            <v>34000000</v>
          </cell>
          <cell r="C4150">
            <v>34000000</v>
          </cell>
          <cell r="D4150">
            <v>34000000</v>
          </cell>
          <cell r="E4150">
            <v>34000000</v>
          </cell>
          <cell r="F4150">
            <v>34000000</v>
          </cell>
          <cell r="G4150">
            <v>34000000</v>
          </cell>
          <cell r="H4150">
            <v>34000000</v>
          </cell>
          <cell r="I4150" t="str">
            <v/>
          </cell>
          <cell r="J4150" t="str">
            <v/>
          </cell>
          <cell r="K4150" t="str">
            <v/>
          </cell>
          <cell r="L4150" t="str">
            <v/>
          </cell>
        </row>
        <row r="4151">
          <cell r="A4151">
            <v>34000000</v>
          </cell>
          <cell r="C4151">
            <v>34000000</v>
          </cell>
          <cell r="D4151">
            <v>34000000</v>
          </cell>
          <cell r="E4151">
            <v>34000000</v>
          </cell>
          <cell r="F4151">
            <v>34000000</v>
          </cell>
          <cell r="G4151">
            <v>34000000</v>
          </cell>
          <cell r="H4151">
            <v>34000000</v>
          </cell>
          <cell r="I4151" t="str">
            <v/>
          </cell>
          <cell r="J4151" t="str">
            <v/>
          </cell>
          <cell r="K4151" t="str">
            <v/>
          </cell>
          <cell r="L4151" t="str">
            <v/>
          </cell>
        </row>
        <row r="4152">
          <cell r="A4152">
            <v>34000000</v>
          </cell>
          <cell r="C4152">
            <v>34000000</v>
          </cell>
          <cell r="D4152">
            <v>34000000</v>
          </cell>
          <cell r="E4152">
            <v>34000000</v>
          </cell>
          <cell r="F4152">
            <v>34000000</v>
          </cell>
          <cell r="G4152">
            <v>34000000</v>
          </cell>
          <cell r="H4152">
            <v>34000000</v>
          </cell>
          <cell r="I4152" t="str">
            <v/>
          </cell>
          <cell r="J4152" t="str">
            <v/>
          </cell>
          <cell r="K4152" t="str">
            <v/>
          </cell>
          <cell r="L4152" t="str">
            <v/>
          </cell>
        </row>
        <row r="4153">
          <cell r="A4153">
            <v>34000000</v>
          </cell>
          <cell r="C4153">
            <v>34000000</v>
          </cell>
          <cell r="D4153">
            <v>34000000</v>
          </cell>
          <cell r="E4153">
            <v>34000000</v>
          </cell>
          <cell r="F4153">
            <v>34000000</v>
          </cell>
          <cell r="G4153">
            <v>34000000</v>
          </cell>
          <cell r="H4153">
            <v>34000000</v>
          </cell>
          <cell r="I4153" t="str">
            <v/>
          </cell>
          <cell r="J4153" t="str">
            <v/>
          </cell>
          <cell r="K4153" t="str">
            <v/>
          </cell>
          <cell r="L4153" t="str">
            <v/>
          </cell>
        </row>
        <row r="4154">
          <cell r="A4154">
            <v>34000000</v>
          </cell>
          <cell r="C4154">
            <v>34000000</v>
          </cell>
          <cell r="D4154">
            <v>34000000</v>
          </cell>
          <cell r="E4154">
            <v>34000000</v>
          </cell>
          <cell r="F4154">
            <v>34000000</v>
          </cell>
          <cell r="G4154">
            <v>34000000</v>
          </cell>
          <cell r="H4154">
            <v>34000000</v>
          </cell>
          <cell r="I4154" t="str">
            <v/>
          </cell>
          <cell r="J4154" t="str">
            <v/>
          </cell>
          <cell r="K4154" t="str">
            <v/>
          </cell>
          <cell r="L4154" t="str">
            <v/>
          </cell>
        </row>
        <row r="4155">
          <cell r="A4155">
            <v>34000000</v>
          </cell>
          <cell r="C4155">
            <v>34000000</v>
          </cell>
          <cell r="D4155">
            <v>34000000</v>
          </cell>
          <cell r="E4155">
            <v>34000000</v>
          </cell>
          <cell r="F4155">
            <v>34000000</v>
          </cell>
          <cell r="G4155">
            <v>34000000</v>
          </cell>
          <cell r="H4155">
            <v>34000000</v>
          </cell>
          <cell r="I4155" t="str">
            <v/>
          </cell>
          <cell r="J4155" t="str">
            <v/>
          </cell>
          <cell r="K4155" t="str">
            <v/>
          </cell>
          <cell r="L4155" t="str">
            <v/>
          </cell>
        </row>
        <row r="4156">
          <cell r="A4156">
            <v>34000000</v>
          </cell>
          <cell r="C4156">
            <v>34000000</v>
          </cell>
          <cell r="D4156">
            <v>34000000</v>
          </cell>
          <cell r="E4156">
            <v>34000000</v>
          </cell>
          <cell r="F4156">
            <v>34000000</v>
          </cell>
          <cell r="G4156">
            <v>34000000</v>
          </cell>
          <cell r="H4156">
            <v>34000000</v>
          </cell>
          <cell r="I4156" t="str">
            <v/>
          </cell>
          <cell r="J4156" t="str">
            <v/>
          </cell>
          <cell r="K4156" t="str">
            <v/>
          </cell>
          <cell r="L4156" t="str">
            <v/>
          </cell>
        </row>
        <row r="4157">
          <cell r="A4157">
            <v>34000000</v>
          </cell>
          <cell r="C4157">
            <v>34000000</v>
          </cell>
          <cell r="D4157">
            <v>34000000</v>
          </cell>
          <cell r="E4157">
            <v>34000000</v>
          </cell>
          <cell r="F4157">
            <v>34000000</v>
          </cell>
          <cell r="G4157">
            <v>34000000</v>
          </cell>
          <cell r="H4157">
            <v>34000000</v>
          </cell>
          <cell r="I4157" t="str">
            <v/>
          </cell>
          <cell r="J4157" t="str">
            <v/>
          </cell>
          <cell r="K4157" t="str">
            <v/>
          </cell>
          <cell r="L4157" t="str">
            <v/>
          </cell>
        </row>
        <row r="4158">
          <cell r="A4158">
            <v>34000000</v>
          </cell>
          <cell r="C4158">
            <v>34000000</v>
          </cell>
          <cell r="D4158">
            <v>34000000</v>
          </cell>
          <cell r="E4158">
            <v>34000000</v>
          </cell>
          <cell r="F4158">
            <v>34000000</v>
          </cell>
          <cell r="G4158">
            <v>34000000</v>
          </cell>
          <cell r="H4158">
            <v>34000000</v>
          </cell>
          <cell r="I4158" t="str">
            <v/>
          </cell>
          <cell r="J4158" t="str">
            <v/>
          </cell>
          <cell r="K4158" t="str">
            <v/>
          </cell>
          <cell r="L4158" t="str">
            <v/>
          </cell>
        </row>
        <row r="4159">
          <cell r="A4159">
            <v>34000000</v>
          </cell>
          <cell r="C4159">
            <v>34000000</v>
          </cell>
          <cell r="D4159">
            <v>34000000</v>
          </cell>
          <cell r="E4159">
            <v>34000000</v>
          </cell>
          <cell r="F4159">
            <v>34000000</v>
          </cell>
          <cell r="G4159">
            <v>34000000</v>
          </cell>
          <cell r="H4159">
            <v>34000000</v>
          </cell>
          <cell r="I4159" t="str">
            <v/>
          </cell>
          <cell r="J4159" t="str">
            <v/>
          </cell>
          <cell r="K4159" t="str">
            <v/>
          </cell>
          <cell r="L4159" t="str">
            <v/>
          </cell>
        </row>
        <row r="4160">
          <cell r="A4160">
            <v>34000000</v>
          </cell>
          <cell r="C4160">
            <v>34000000</v>
          </cell>
          <cell r="D4160">
            <v>34000000</v>
          </cell>
          <cell r="E4160">
            <v>34000000</v>
          </cell>
          <cell r="F4160">
            <v>34000000</v>
          </cell>
          <cell r="G4160">
            <v>34000000</v>
          </cell>
          <cell r="H4160">
            <v>34000000</v>
          </cell>
          <cell r="I4160" t="str">
            <v/>
          </cell>
          <cell r="J4160" t="str">
            <v/>
          </cell>
          <cell r="K4160" t="str">
            <v/>
          </cell>
          <cell r="L4160" t="str">
            <v/>
          </cell>
        </row>
        <row r="4161">
          <cell r="A4161">
            <v>34000000</v>
          </cell>
          <cell r="C4161">
            <v>34000000</v>
          </cell>
          <cell r="D4161">
            <v>34000000</v>
          </cell>
          <cell r="E4161">
            <v>34000000</v>
          </cell>
          <cell r="F4161">
            <v>34000000</v>
          </cell>
          <cell r="G4161">
            <v>34000000</v>
          </cell>
          <cell r="H4161">
            <v>34000000</v>
          </cell>
          <cell r="I4161" t="str">
            <v/>
          </cell>
          <cell r="J4161" t="str">
            <v/>
          </cell>
          <cell r="K4161" t="str">
            <v/>
          </cell>
          <cell r="L4161" t="str">
            <v/>
          </cell>
        </row>
        <row r="4162">
          <cell r="A4162">
            <v>34000000</v>
          </cell>
          <cell r="C4162">
            <v>34000000</v>
          </cell>
          <cell r="D4162">
            <v>34000000</v>
          </cell>
          <cell r="E4162">
            <v>34000000</v>
          </cell>
          <cell r="F4162">
            <v>34000000</v>
          </cell>
          <cell r="G4162">
            <v>34000000</v>
          </cell>
          <cell r="H4162">
            <v>34000000</v>
          </cell>
          <cell r="I4162" t="str">
            <v/>
          </cell>
          <cell r="J4162" t="str">
            <v/>
          </cell>
          <cell r="K4162" t="str">
            <v/>
          </cell>
          <cell r="L4162" t="str">
            <v/>
          </cell>
        </row>
        <row r="4163">
          <cell r="A4163">
            <v>34000000</v>
          </cell>
          <cell r="C4163">
            <v>34000000</v>
          </cell>
          <cell r="D4163">
            <v>34000000</v>
          </cell>
          <cell r="E4163">
            <v>34000000</v>
          </cell>
          <cell r="F4163">
            <v>34000000</v>
          </cell>
          <cell r="G4163">
            <v>34000000</v>
          </cell>
          <cell r="H4163">
            <v>34000000</v>
          </cell>
          <cell r="I4163" t="str">
            <v/>
          </cell>
          <cell r="J4163" t="str">
            <v/>
          </cell>
          <cell r="K4163" t="str">
            <v/>
          </cell>
          <cell r="L4163" t="str">
            <v/>
          </cell>
        </row>
        <row r="4164">
          <cell r="A4164">
            <v>34000000</v>
          </cell>
          <cell r="C4164">
            <v>34000000</v>
          </cell>
          <cell r="D4164">
            <v>34000000</v>
          </cell>
          <cell r="E4164">
            <v>34000000</v>
          </cell>
          <cell r="F4164">
            <v>34000000</v>
          </cell>
          <cell r="G4164">
            <v>34000000</v>
          </cell>
          <cell r="H4164">
            <v>34000000</v>
          </cell>
          <cell r="I4164" t="str">
            <v/>
          </cell>
          <cell r="J4164" t="str">
            <v/>
          </cell>
          <cell r="K4164" t="str">
            <v/>
          </cell>
          <cell r="L4164" t="str">
            <v/>
          </cell>
        </row>
        <row r="4165">
          <cell r="A4165">
            <v>34000000</v>
          </cell>
          <cell r="C4165">
            <v>34000000</v>
          </cell>
          <cell r="D4165">
            <v>34000000</v>
          </cell>
          <cell r="E4165">
            <v>34000000</v>
          </cell>
          <cell r="F4165">
            <v>34000000</v>
          </cell>
          <cell r="G4165">
            <v>34000000</v>
          </cell>
          <cell r="H4165">
            <v>34000000</v>
          </cell>
          <cell r="I4165" t="str">
            <v/>
          </cell>
          <cell r="J4165" t="str">
            <v/>
          </cell>
          <cell r="K4165" t="str">
            <v/>
          </cell>
          <cell r="L4165" t="str">
            <v/>
          </cell>
        </row>
        <row r="4166">
          <cell r="A4166">
            <v>34000000</v>
          </cell>
          <cell r="C4166">
            <v>34000000</v>
          </cell>
          <cell r="D4166">
            <v>34000000</v>
          </cell>
          <cell r="E4166">
            <v>34000000</v>
          </cell>
          <cell r="F4166">
            <v>34000000</v>
          </cell>
          <cell r="G4166">
            <v>34000000</v>
          </cell>
          <cell r="H4166">
            <v>34000000</v>
          </cell>
          <cell r="I4166" t="str">
            <v/>
          </cell>
          <cell r="J4166" t="str">
            <v/>
          </cell>
          <cell r="K4166" t="str">
            <v/>
          </cell>
          <cell r="L4166" t="str">
            <v/>
          </cell>
        </row>
        <row r="4167">
          <cell r="A4167">
            <v>34000000</v>
          </cell>
          <cell r="C4167">
            <v>34000000</v>
          </cell>
          <cell r="D4167">
            <v>34000000</v>
          </cell>
          <cell r="E4167">
            <v>34000000</v>
          </cell>
          <cell r="F4167">
            <v>34000000</v>
          </cell>
          <cell r="G4167">
            <v>34000000</v>
          </cell>
          <cell r="H4167">
            <v>34000000</v>
          </cell>
          <cell r="I4167" t="str">
            <v/>
          </cell>
          <cell r="J4167" t="str">
            <v/>
          </cell>
          <cell r="K4167" t="str">
            <v/>
          </cell>
          <cell r="L4167" t="str">
            <v/>
          </cell>
        </row>
        <row r="4168">
          <cell r="A4168">
            <v>34000000</v>
          </cell>
          <cell r="C4168">
            <v>34000000</v>
          </cell>
          <cell r="D4168">
            <v>34000000</v>
          </cell>
          <cell r="E4168">
            <v>34000000</v>
          </cell>
          <cell r="F4168">
            <v>34000000</v>
          </cell>
          <cell r="G4168">
            <v>34000000</v>
          </cell>
          <cell r="H4168">
            <v>34000000</v>
          </cell>
          <cell r="I4168" t="str">
            <v/>
          </cell>
          <cell r="J4168" t="str">
            <v/>
          </cell>
          <cell r="K4168" t="str">
            <v/>
          </cell>
          <cell r="L4168" t="str">
            <v/>
          </cell>
        </row>
        <row r="4169">
          <cell r="A4169">
            <v>34000000</v>
          </cell>
          <cell r="C4169">
            <v>34000000</v>
          </cell>
          <cell r="D4169">
            <v>34000000</v>
          </cell>
          <cell r="E4169">
            <v>34000000</v>
          </cell>
          <cell r="F4169">
            <v>34000000</v>
          </cell>
          <cell r="G4169">
            <v>34000000</v>
          </cell>
          <cell r="H4169">
            <v>34000000</v>
          </cell>
          <cell r="I4169" t="str">
            <v/>
          </cell>
          <cell r="J4169" t="str">
            <v/>
          </cell>
          <cell r="K4169" t="str">
            <v/>
          </cell>
          <cell r="L4169" t="str">
            <v/>
          </cell>
        </row>
        <row r="4170">
          <cell r="A4170">
            <v>34000000</v>
          </cell>
          <cell r="C4170">
            <v>34000000</v>
          </cell>
          <cell r="D4170">
            <v>34000000</v>
          </cell>
          <cell r="E4170">
            <v>34000000</v>
          </cell>
          <cell r="F4170">
            <v>34000000</v>
          </cell>
          <cell r="G4170">
            <v>34000000</v>
          </cell>
          <cell r="H4170">
            <v>34000000</v>
          </cell>
          <cell r="I4170" t="str">
            <v/>
          </cell>
          <cell r="J4170" t="str">
            <v/>
          </cell>
          <cell r="K4170" t="str">
            <v/>
          </cell>
          <cell r="L4170" t="str">
            <v/>
          </cell>
        </row>
        <row r="4171">
          <cell r="A4171">
            <v>34000000</v>
          </cell>
          <cell r="C4171">
            <v>34000000</v>
          </cell>
          <cell r="D4171">
            <v>34000000</v>
          </cell>
          <cell r="E4171">
            <v>34000000</v>
          </cell>
          <cell r="F4171">
            <v>34000000</v>
          </cell>
          <cell r="G4171">
            <v>34000000</v>
          </cell>
          <cell r="H4171">
            <v>34000000</v>
          </cell>
          <cell r="I4171" t="str">
            <v/>
          </cell>
          <cell r="J4171" t="str">
            <v/>
          </cell>
          <cell r="K4171" t="str">
            <v/>
          </cell>
          <cell r="L4171" t="str">
            <v/>
          </cell>
        </row>
        <row r="4172">
          <cell r="A4172">
            <v>34000000</v>
          </cell>
          <cell r="C4172">
            <v>34000000</v>
          </cell>
          <cell r="D4172">
            <v>34000000</v>
          </cell>
          <cell r="E4172">
            <v>34000000</v>
          </cell>
          <cell r="F4172">
            <v>34000000</v>
          </cell>
          <cell r="G4172">
            <v>34000000</v>
          </cell>
          <cell r="H4172">
            <v>34000000</v>
          </cell>
          <cell r="I4172" t="str">
            <v/>
          </cell>
          <cell r="J4172" t="str">
            <v/>
          </cell>
          <cell r="K4172" t="str">
            <v/>
          </cell>
          <cell r="L4172" t="str">
            <v/>
          </cell>
        </row>
        <row r="4173">
          <cell r="A4173">
            <v>34000000</v>
          </cell>
          <cell r="C4173">
            <v>34000000</v>
          </cell>
          <cell r="D4173">
            <v>34000000</v>
          </cell>
          <cell r="E4173">
            <v>34000000</v>
          </cell>
          <cell r="F4173">
            <v>34000000</v>
          </cell>
          <cell r="G4173">
            <v>34000000</v>
          </cell>
          <cell r="H4173">
            <v>34000000</v>
          </cell>
          <cell r="I4173" t="str">
            <v/>
          </cell>
          <cell r="J4173" t="str">
            <v/>
          </cell>
          <cell r="K4173" t="str">
            <v/>
          </cell>
          <cell r="L4173" t="str">
            <v/>
          </cell>
        </row>
        <row r="4174">
          <cell r="A4174">
            <v>34000000</v>
          </cell>
          <cell r="C4174">
            <v>34000000</v>
          </cell>
          <cell r="D4174">
            <v>34000000</v>
          </cell>
          <cell r="E4174">
            <v>34000000</v>
          </cell>
          <cell r="F4174">
            <v>34000000</v>
          </cell>
          <cell r="G4174">
            <v>34000000</v>
          </cell>
          <cell r="H4174">
            <v>34000000</v>
          </cell>
          <cell r="I4174" t="str">
            <v/>
          </cell>
          <cell r="J4174" t="str">
            <v/>
          </cell>
          <cell r="K4174" t="str">
            <v/>
          </cell>
          <cell r="L4174" t="str">
            <v/>
          </cell>
        </row>
        <row r="4175">
          <cell r="A4175">
            <v>34000000</v>
          </cell>
          <cell r="C4175">
            <v>34000000</v>
          </cell>
          <cell r="D4175">
            <v>34000000</v>
          </cell>
          <cell r="E4175">
            <v>34000000</v>
          </cell>
          <cell r="F4175">
            <v>34000000</v>
          </cell>
          <cell r="G4175">
            <v>34000000</v>
          </cell>
          <cell r="H4175">
            <v>34000000</v>
          </cell>
          <cell r="I4175" t="str">
            <v/>
          </cell>
          <cell r="J4175" t="str">
            <v/>
          </cell>
          <cell r="K4175" t="str">
            <v/>
          </cell>
          <cell r="L4175" t="str">
            <v/>
          </cell>
        </row>
        <row r="4176">
          <cell r="A4176">
            <v>34000000</v>
          </cell>
          <cell r="C4176">
            <v>34000000</v>
          </cell>
          <cell r="D4176">
            <v>34000000</v>
          </cell>
          <cell r="E4176">
            <v>34000000</v>
          </cell>
          <cell r="F4176">
            <v>34000000</v>
          </cell>
          <cell r="G4176">
            <v>34000000</v>
          </cell>
          <cell r="H4176">
            <v>34000000</v>
          </cell>
          <cell r="I4176" t="str">
            <v/>
          </cell>
          <cell r="J4176" t="str">
            <v/>
          </cell>
          <cell r="K4176" t="str">
            <v/>
          </cell>
          <cell r="L4176" t="str">
            <v/>
          </cell>
        </row>
        <row r="4177">
          <cell r="A4177">
            <v>34000000</v>
          </cell>
          <cell r="C4177">
            <v>34000000</v>
          </cell>
          <cell r="D4177">
            <v>34000000</v>
          </cell>
          <cell r="E4177">
            <v>34000000</v>
          </cell>
          <cell r="F4177">
            <v>34000000</v>
          </cell>
          <cell r="G4177">
            <v>34000000</v>
          </cell>
          <cell r="H4177">
            <v>34000000</v>
          </cell>
          <cell r="I4177" t="str">
            <v/>
          </cell>
          <cell r="J4177" t="str">
            <v/>
          </cell>
          <cell r="K4177" t="str">
            <v/>
          </cell>
          <cell r="L4177" t="str">
            <v/>
          </cell>
        </row>
        <row r="4178">
          <cell r="A4178">
            <v>34000000</v>
          </cell>
          <cell r="C4178">
            <v>34000000</v>
          </cell>
          <cell r="D4178">
            <v>34000000</v>
          </cell>
          <cell r="E4178">
            <v>34000000</v>
          </cell>
          <cell r="F4178">
            <v>34000000</v>
          </cell>
          <cell r="G4178">
            <v>34000000</v>
          </cell>
          <cell r="H4178">
            <v>34000000</v>
          </cell>
          <cell r="I4178" t="str">
            <v/>
          </cell>
          <cell r="J4178" t="str">
            <v/>
          </cell>
          <cell r="K4178" t="str">
            <v/>
          </cell>
          <cell r="L4178" t="str">
            <v/>
          </cell>
        </row>
        <row r="4179">
          <cell r="A4179">
            <v>34000000</v>
          </cell>
          <cell r="C4179">
            <v>34000000</v>
          </cell>
          <cell r="D4179">
            <v>34000000</v>
          </cell>
          <cell r="E4179">
            <v>34000000</v>
          </cell>
          <cell r="F4179">
            <v>34000000</v>
          </cell>
          <cell r="G4179">
            <v>34000000</v>
          </cell>
          <cell r="H4179">
            <v>34000000</v>
          </cell>
          <cell r="I4179" t="str">
            <v/>
          </cell>
          <cell r="J4179" t="str">
            <v/>
          </cell>
          <cell r="K4179" t="str">
            <v/>
          </cell>
          <cell r="L4179" t="str">
            <v/>
          </cell>
        </row>
        <row r="4180">
          <cell r="A4180">
            <v>34000000</v>
          </cell>
          <cell r="C4180">
            <v>34000000</v>
          </cell>
          <cell r="D4180">
            <v>34000000</v>
          </cell>
          <cell r="E4180">
            <v>34000000</v>
          </cell>
          <cell r="F4180">
            <v>34000000</v>
          </cell>
          <cell r="G4180">
            <v>34000000</v>
          </cell>
          <cell r="H4180">
            <v>34000000</v>
          </cell>
          <cell r="I4180" t="str">
            <v/>
          </cell>
          <cell r="J4180" t="str">
            <v/>
          </cell>
          <cell r="K4180" t="str">
            <v/>
          </cell>
          <cell r="L4180" t="str">
            <v/>
          </cell>
        </row>
        <row r="4181">
          <cell r="A4181">
            <v>34000000</v>
          </cell>
          <cell r="C4181">
            <v>34000000</v>
          </cell>
          <cell r="D4181">
            <v>34000000</v>
          </cell>
          <cell r="E4181">
            <v>34000000</v>
          </cell>
          <cell r="F4181">
            <v>34000000</v>
          </cell>
          <cell r="G4181">
            <v>34000000</v>
          </cell>
          <cell r="H4181">
            <v>34000000</v>
          </cell>
          <cell r="I4181" t="str">
            <v/>
          </cell>
          <cell r="J4181" t="str">
            <v/>
          </cell>
          <cell r="K4181" t="str">
            <v/>
          </cell>
          <cell r="L4181" t="str">
            <v/>
          </cell>
        </row>
        <row r="4182">
          <cell r="A4182">
            <v>34000000</v>
          </cell>
          <cell r="C4182">
            <v>34000000</v>
          </cell>
          <cell r="D4182">
            <v>34000000</v>
          </cell>
          <cell r="E4182">
            <v>34000000</v>
          </cell>
          <cell r="F4182">
            <v>34000000</v>
          </cell>
          <cell r="G4182">
            <v>34000000</v>
          </cell>
          <cell r="H4182">
            <v>34000000</v>
          </cell>
          <cell r="I4182" t="str">
            <v/>
          </cell>
          <cell r="J4182" t="str">
            <v/>
          </cell>
          <cell r="K4182" t="str">
            <v/>
          </cell>
          <cell r="L4182" t="str">
            <v/>
          </cell>
        </row>
        <row r="4183">
          <cell r="A4183">
            <v>34000000</v>
          </cell>
          <cell r="C4183">
            <v>34000000</v>
          </cell>
          <cell r="D4183">
            <v>34000000</v>
          </cell>
          <cell r="E4183">
            <v>34000000</v>
          </cell>
          <cell r="F4183">
            <v>34000000</v>
          </cell>
          <cell r="G4183">
            <v>34000000</v>
          </cell>
          <cell r="H4183">
            <v>34000000</v>
          </cell>
          <cell r="I4183" t="str">
            <v/>
          </cell>
          <cell r="J4183" t="str">
            <v/>
          </cell>
          <cell r="K4183" t="str">
            <v/>
          </cell>
          <cell r="L4183" t="str">
            <v/>
          </cell>
        </row>
        <row r="4184">
          <cell r="A4184">
            <v>34000000</v>
          </cell>
          <cell r="C4184">
            <v>34000000</v>
          </cell>
          <cell r="D4184">
            <v>34000000</v>
          </cell>
          <cell r="E4184">
            <v>34000000</v>
          </cell>
          <cell r="F4184">
            <v>34000000</v>
          </cell>
          <cell r="G4184">
            <v>34000000</v>
          </cell>
          <cell r="H4184">
            <v>34000000</v>
          </cell>
          <cell r="I4184" t="str">
            <v/>
          </cell>
          <cell r="J4184" t="str">
            <v/>
          </cell>
          <cell r="K4184" t="str">
            <v/>
          </cell>
          <cell r="L4184" t="str">
            <v/>
          </cell>
        </row>
        <row r="4185">
          <cell r="A4185">
            <v>34000000</v>
          </cell>
          <cell r="C4185">
            <v>34000000</v>
          </cell>
          <cell r="D4185">
            <v>34000000</v>
          </cell>
          <cell r="E4185">
            <v>34000000</v>
          </cell>
          <cell r="F4185">
            <v>34000000</v>
          </cell>
          <cell r="G4185">
            <v>34000000</v>
          </cell>
          <cell r="H4185">
            <v>34000000</v>
          </cell>
          <cell r="I4185" t="str">
            <v/>
          </cell>
          <cell r="J4185" t="str">
            <v/>
          </cell>
          <cell r="K4185" t="str">
            <v/>
          </cell>
          <cell r="L4185" t="str">
            <v/>
          </cell>
        </row>
        <row r="4186">
          <cell r="A4186">
            <v>34000000</v>
          </cell>
          <cell r="C4186">
            <v>34000000</v>
          </cell>
          <cell r="D4186">
            <v>34000000</v>
          </cell>
          <cell r="E4186">
            <v>34000000</v>
          </cell>
          <cell r="F4186">
            <v>34000000</v>
          </cell>
          <cell r="G4186">
            <v>34000000</v>
          </cell>
          <cell r="H4186">
            <v>34000000</v>
          </cell>
          <cell r="I4186" t="str">
            <v/>
          </cell>
          <cell r="J4186" t="str">
            <v/>
          </cell>
          <cell r="K4186" t="str">
            <v/>
          </cell>
          <cell r="L4186" t="str">
            <v/>
          </cell>
        </row>
        <row r="4187">
          <cell r="A4187">
            <v>34000000</v>
          </cell>
          <cell r="C4187">
            <v>34000000</v>
          </cell>
          <cell r="D4187">
            <v>34000000</v>
          </cell>
          <cell r="E4187">
            <v>34000000</v>
          </cell>
          <cell r="F4187">
            <v>34000000</v>
          </cell>
          <cell r="G4187">
            <v>34000000</v>
          </cell>
          <cell r="H4187">
            <v>34000000</v>
          </cell>
          <cell r="I4187" t="str">
            <v/>
          </cell>
          <cell r="J4187" t="str">
            <v/>
          </cell>
          <cell r="K4187" t="str">
            <v/>
          </cell>
          <cell r="L4187" t="str">
            <v/>
          </cell>
        </row>
        <row r="4188">
          <cell r="A4188">
            <v>34000000</v>
          </cell>
          <cell r="C4188">
            <v>34000000</v>
          </cell>
          <cell r="D4188">
            <v>34000000</v>
          </cell>
          <cell r="E4188">
            <v>34000000</v>
          </cell>
          <cell r="F4188">
            <v>34000000</v>
          </cell>
          <cell r="G4188">
            <v>34000000</v>
          </cell>
          <cell r="H4188">
            <v>34000000</v>
          </cell>
          <cell r="I4188" t="str">
            <v/>
          </cell>
          <cell r="J4188" t="str">
            <v/>
          </cell>
          <cell r="K4188" t="str">
            <v/>
          </cell>
          <cell r="L4188" t="str">
            <v/>
          </cell>
        </row>
        <row r="4189">
          <cell r="A4189">
            <v>34000000</v>
          </cell>
          <cell r="C4189">
            <v>34000000</v>
          </cell>
          <cell r="D4189">
            <v>34000000</v>
          </cell>
          <cell r="E4189">
            <v>34000000</v>
          </cell>
          <cell r="F4189">
            <v>34000000</v>
          </cell>
          <cell r="G4189">
            <v>34000000</v>
          </cell>
          <cell r="H4189">
            <v>34000000</v>
          </cell>
          <cell r="I4189" t="str">
            <v/>
          </cell>
          <cell r="J4189" t="str">
            <v/>
          </cell>
          <cell r="K4189" t="str">
            <v/>
          </cell>
          <cell r="L4189" t="str">
            <v/>
          </cell>
        </row>
        <row r="4190">
          <cell r="A4190">
            <v>34000000</v>
          </cell>
          <cell r="C4190">
            <v>34000000</v>
          </cell>
          <cell r="D4190">
            <v>34000000</v>
          </cell>
          <cell r="E4190">
            <v>34000000</v>
          </cell>
          <cell r="F4190">
            <v>34000000</v>
          </cell>
          <cell r="G4190">
            <v>34000000</v>
          </cell>
          <cell r="H4190">
            <v>34000000</v>
          </cell>
          <cell r="I4190" t="str">
            <v/>
          </cell>
          <cell r="J4190" t="str">
            <v/>
          </cell>
          <cell r="K4190" t="str">
            <v/>
          </cell>
          <cell r="L4190" t="str">
            <v/>
          </cell>
        </row>
        <row r="4191">
          <cell r="A4191">
            <v>34000000</v>
          </cell>
          <cell r="C4191">
            <v>34000000</v>
          </cell>
          <cell r="D4191">
            <v>34000000</v>
          </cell>
          <cell r="E4191">
            <v>34000000</v>
          </cell>
          <cell r="F4191">
            <v>34000000</v>
          </cell>
          <cell r="G4191">
            <v>34000000</v>
          </cell>
          <cell r="H4191">
            <v>34000000</v>
          </cell>
          <cell r="I4191" t="str">
            <v/>
          </cell>
          <cell r="J4191" t="str">
            <v/>
          </cell>
          <cell r="K4191" t="str">
            <v/>
          </cell>
          <cell r="L4191" t="str">
            <v/>
          </cell>
        </row>
        <row r="4192">
          <cell r="A4192">
            <v>34000000</v>
          </cell>
          <cell r="C4192">
            <v>34000000</v>
          </cell>
          <cell r="D4192">
            <v>34000000</v>
          </cell>
          <cell r="E4192">
            <v>34000000</v>
          </cell>
          <cell r="F4192">
            <v>34000000</v>
          </cell>
          <cell r="G4192">
            <v>34000000</v>
          </cell>
          <cell r="H4192">
            <v>34000000</v>
          </cell>
          <cell r="I4192" t="str">
            <v/>
          </cell>
          <cell r="J4192" t="str">
            <v/>
          </cell>
          <cell r="K4192" t="str">
            <v/>
          </cell>
          <cell r="L4192" t="str">
            <v/>
          </cell>
        </row>
        <row r="4193">
          <cell r="A4193">
            <v>34000000</v>
          </cell>
          <cell r="C4193">
            <v>34000000</v>
          </cell>
          <cell r="D4193">
            <v>34000000</v>
          </cell>
          <cell r="E4193">
            <v>34000000</v>
          </cell>
          <cell r="F4193">
            <v>34000000</v>
          </cell>
          <cell r="G4193">
            <v>34000000</v>
          </cell>
          <cell r="H4193">
            <v>34000000</v>
          </cell>
          <cell r="I4193" t="str">
            <v/>
          </cell>
          <cell r="J4193" t="str">
            <v/>
          </cell>
          <cell r="K4193" t="str">
            <v/>
          </cell>
          <cell r="L4193" t="str">
            <v/>
          </cell>
        </row>
        <row r="4194">
          <cell r="A4194">
            <v>34000000</v>
          </cell>
          <cell r="C4194">
            <v>34000000</v>
          </cell>
          <cell r="D4194">
            <v>34000000</v>
          </cell>
          <cell r="E4194">
            <v>34000000</v>
          </cell>
          <cell r="F4194">
            <v>34000000</v>
          </cell>
          <cell r="G4194">
            <v>34000000</v>
          </cell>
          <cell r="H4194">
            <v>34000000</v>
          </cell>
          <cell r="I4194" t="str">
            <v/>
          </cell>
          <cell r="J4194" t="str">
            <v/>
          </cell>
          <cell r="K4194" t="str">
            <v/>
          </cell>
          <cell r="L4194" t="str">
            <v/>
          </cell>
        </row>
        <row r="4195">
          <cell r="A4195">
            <v>34000000</v>
          </cell>
          <cell r="C4195">
            <v>34000000</v>
          </cell>
          <cell r="D4195">
            <v>34000000</v>
          </cell>
          <cell r="E4195">
            <v>34000000</v>
          </cell>
          <cell r="F4195">
            <v>34000000</v>
          </cell>
          <cell r="G4195">
            <v>34000000</v>
          </cell>
          <cell r="H4195">
            <v>34000000</v>
          </cell>
          <cell r="I4195" t="str">
            <v/>
          </cell>
          <cell r="J4195" t="str">
            <v/>
          </cell>
          <cell r="K4195" t="str">
            <v/>
          </cell>
          <cell r="L4195" t="str">
            <v/>
          </cell>
        </row>
        <row r="4196">
          <cell r="A4196">
            <v>34000000</v>
          </cell>
          <cell r="C4196">
            <v>34000000</v>
          </cell>
          <cell r="D4196">
            <v>34000000</v>
          </cell>
          <cell r="E4196">
            <v>34000000</v>
          </cell>
          <cell r="F4196">
            <v>34000000</v>
          </cell>
          <cell r="G4196">
            <v>34000000</v>
          </cell>
          <cell r="H4196">
            <v>34000000</v>
          </cell>
          <cell r="I4196" t="str">
            <v/>
          </cell>
          <cell r="J4196" t="str">
            <v/>
          </cell>
          <cell r="K4196" t="str">
            <v/>
          </cell>
          <cell r="L4196" t="str">
            <v/>
          </cell>
        </row>
        <row r="4197">
          <cell r="A4197">
            <v>34000000</v>
          </cell>
          <cell r="C4197">
            <v>34000000</v>
          </cell>
          <cell r="D4197">
            <v>34000000</v>
          </cell>
          <cell r="E4197">
            <v>34000000</v>
          </cell>
          <cell r="F4197">
            <v>34000000</v>
          </cell>
          <cell r="G4197">
            <v>34000000</v>
          </cell>
          <cell r="H4197">
            <v>34000000</v>
          </cell>
          <cell r="I4197" t="str">
            <v/>
          </cell>
          <cell r="J4197" t="str">
            <v/>
          </cell>
          <cell r="K4197" t="str">
            <v/>
          </cell>
          <cell r="L4197" t="str">
            <v/>
          </cell>
        </row>
        <row r="4198">
          <cell r="A4198">
            <v>34000000</v>
          </cell>
          <cell r="C4198">
            <v>34000000</v>
          </cell>
          <cell r="D4198">
            <v>34000000</v>
          </cell>
          <cell r="E4198">
            <v>34000000</v>
          </cell>
          <cell r="F4198">
            <v>34000000</v>
          </cell>
          <cell r="G4198">
            <v>34000000</v>
          </cell>
          <cell r="H4198">
            <v>34000000</v>
          </cell>
          <cell r="I4198" t="str">
            <v/>
          </cell>
          <cell r="J4198" t="str">
            <v/>
          </cell>
          <cell r="K4198" t="str">
            <v/>
          </cell>
          <cell r="L4198" t="str">
            <v/>
          </cell>
        </row>
        <row r="4199">
          <cell r="A4199">
            <v>34000000</v>
          </cell>
          <cell r="C4199">
            <v>34000000</v>
          </cell>
          <cell r="D4199">
            <v>34000000</v>
          </cell>
          <cell r="E4199">
            <v>34000000</v>
          </cell>
          <cell r="F4199">
            <v>34000000</v>
          </cell>
          <cell r="G4199">
            <v>34000000</v>
          </cell>
          <cell r="H4199">
            <v>34000000</v>
          </cell>
          <cell r="I4199" t="str">
            <v/>
          </cell>
          <cell r="J4199" t="str">
            <v/>
          </cell>
          <cell r="K4199" t="str">
            <v/>
          </cell>
          <cell r="L4199" t="str">
            <v/>
          </cell>
        </row>
        <row r="4200">
          <cell r="A4200">
            <v>34000000</v>
          </cell>
          <cell r="C4200">
            <v>34000000</v>
          </cell>
          <cell r="D4200">
            <v>34000000</v>
          </cell>
          <cell r="E4200">
            <v>34000000</v>
          </cell>
          <cell r="F4200">
            <v>34000000</v>
          </cell>
          <cell r="G4200">
            <v>34000000</v>
          </cell>
          <cell r="H4200">
            <v>34000000</v>
          </cell>
          <cell r="I4200" t="str">
            <v/>
          </cell>
          <cell r="J4200" t="str">
            <v/>
          </cell>
          <cell r="K4200" t="str">
            <v/>
          </cell>
          <cell r="L4200" t="str">
            <v/>
          </cell>
        </row>
        <row r="4201">
          <cell r="A4201">
            <v>34000000</v>
          </cell>
          <cell r="C4201">
            <v>34000000</v>
          </cell>
          <cell r="D4201">
            <v>34000000</v>
          </cell>
          <cell r="E4201">
            <v>34000000</v>
          </cell>
          <cell r="F4201">
            <v>34000000</v>
          </cell>
          <cell r="G4201">
            <v>34000000</v>
          </cell>
          <cell r="H4201">
            <v>34000000</v>
          </cell>
          <cell r="I4201" t="str">
            <v/>
          </cell>
          <cell r="J4201" t="str">
            <v/>
          </cell>
          <cell r="K4201" t="str">
            <v/>
          </cell>
          <cell r="L4201" t="str">
            <v/>
          </cell>
        </row>
        <row r="4202">
          <cell r="A4202">
            <v>34000000</v>
          </cell>
          <cell r="C4202">
            <v>34000000</v>
          </cell>
          <cell r="D4202">
            <v>34000000</v>
          </cell>
          <cell r="E4202">
            <v>34000000</v>
          </cell>
          <cell r="F4202">
            <v>34000000</v>
          </cell>
          <cell r="G4202">
            <v>34000000</v>
          </cell>
          <cell r="H4202">
            <v>34000000</v>
          </cell>
          <cell r="I4202" t="str">
            <v/>
          </cell>
          <cell r="J4202" t="str">
            <v/>
          </cell>
          <cell r="K4202" t="str">
            <v/>
          </cell>
          <cell r="L4202" t="str">
            <v/>
          </cell>
        </row>
        <row r="4203">
          <cell r="A4203">
            <v>34000000</v>
          </cell>
          <cell r="C4203">
            <v>34000000</v>
          </cell>
          <cell r="D4203">
            <v>34000000</v>
          </cell>
          <cell r="E4203">
            <v>34000000</v>
          </cell>
          <cell r="F4203">
            <v>34000000</v>
          </cell>
          <cell r="G4203">
            <v>34000000</v>
          </cell>
          <cell r="H4203">
            <v>34000000</v>
          </cell>
          <cell r="I4203" t="str">
            <v/>
          </cell>
          <cell r="J4203" t="str">
            <v/>
          </cell>
          <cell r="K4203" t="str">
            <v/>
          </cell>
          <cell r="L4203" t="str">
            <v/>
          </cell>
        </row>
        <row r="4204">
          <cell r="A4204">
            <v>34000000</v>
          </cell>
          <cell r="C4204">
            <v>34000000</v>
          </cell>
          <cell r="D4204">
            <v>34000000</v>
          </cell>
          <cell r="E4204">
            <v>34000000</v>
          </cell>
          <cell r="F4204">
            <v>34000000</v>
          </cell>
          <cell r="G4204">
            <v>34000000</v>
          </cell>
          <cell r="H4204">
            <v>34000000</v>
          </cell>
          <cell r="I4204" t="str">
            <v/>
          </cell>
          <cell r="J4204" t="str">
            <v/>
          </cell>
          <cell r="K4204" t="str">
            <v/>
          </cell>
          <cell r="L4204" t="str">
            <v/>
          </cell>
        </row>
        <row r="4205">
          <cell r="A4205">
            <v>34000000</v>
          </cell>
          <cell r="C4205">
            <v>34000000</v>
          </cell>
          <cell r="D4205">
            <v>34000000</v>
          </cell>
          <cell r="E4205">
            <v>34000000</v>
          </cell>
          <cell r="F4205">
            <v>34000000</v>
          </cell>
          <cell r="G4205">
            <v>34000000</v>
          </cell>
          <cell r="H4205">
            <v>34000000</v>
          </cell>
          <cell r="I4205" t="str">
            <v/>
          </cell>
          <cell r="J4205" t="str">
            <v/>
          </cell>
          <cell r="K4205" t="str">
            <v/>
          </cell>
          <cell r="L4205" t="str">
            <v/>
          </cell>
        </row>
        <row r="4206">
          <cell r="A4206">
            <v>34000000</v>
          </cell>
          <cell r="C4206">
            <v>34000000</v>
          </cell>
          <cell r="D4206">
            <v>34000000</v>
          </cell>
          <cell r="E4206">
            <v>34000000</v>
          </cell>
          <cell r="F4206">
            <v>34000000</v>
          </cell>
          <cell r="G4206">
            <v>34000000</v>
          </cell>
          <cell r="H4206">
            <v>34000000</v>
          </cell>
          <cell r="I4206" t="str">
            <v/>
          </cell>
          <cell r="J4206" t="str">
            <v/>
          </cell>
          <cell r="K4206" t="str">
            <v/>
          </cell>
          <cell r="L4206" t="str">
            <v/>
          </cell>
        </row>
        <row r="4207">
          <cell r="A4207">
            <v>34000000</v>
          </cell>
          <cell r="C4207">
            <v>34000000</v>
          </cell>
          <cell r="D4207">
            <v>34000000</v>
          </cell>
          <cell r="E4207">
            <v>34000000</v>
          </cell>
          <cell r="F4207">
            <v>34000000</v>
          </cell>
          <cell r="G4207">
            <v>34000000</v>
          </cell>
          <cell r="H4207">
            <v>34000000</v>
          </cell>
          <cell r="I4207" t="str">
            <v/>
          </cell>
          <cell r="J4207" t="str">
            <v/>
          </cell>
          <cell r="K4207" t="str">
            <v/>
          </cell>
          <cell r="L4207" t="str">
            <v/>
          </cell>
        </row>
        <row r="4208">
          <cell r="A4208">
            <v>34000000</v>
          </cell>
          <cell r="C4208">
            <v>34000000</v>
          </cell>
          <cell r="D4208">
            <v>34000000</v>
          </cell>
          <cell r="E4208">
            <v>34000000</v>
          </cell>
          <cell r="F4208">
            <v>34000000</v>
          </cell>
          <cell r="G4208">
            <v>34000000</v>
          </cell>
          <cell r="H4208">
            <v>34000000</v>
          </cell>
          <cell r="I4208" t="str">
            <v/>
          </cell>
          <cell r="J4208" t="str">
            <v/>
          </cell>
          <cell r="K4208" t="str">
            <v/>
          </cell>
          <cell r="L4208" t="str">
            <v/>
          </cell>
        </row>
        <row r="4209">
          <cell r="A4209">
            <v>34000000</v>
          </cell>
          <cell r="C4209">
            <v>34000000</v>
          </cell>
          <cell r="D4209">
            <v>34000000</v>
          </cell>
          <cell r="E4209">
            <v>34000000</v>
          </cell>
          <cell r="F4209">
            <v>34000000</v>
          </cell>
          <cell r="G4209">
            <v>34000000</v>
          </cell>
          <cell r="H4209">
            <v>34000000</v>
          </cell>
          <cell r="I4209" t="str">
            <v/>
          </cell>
          <cell r="J4209" t="str">
            <v/>
          </cell>
          <cell r="K4209" t="str">
            <v/>
          </cell>
          <cell r="L4209" t="str">
            <v/>
          </cell>
        </row>
        <row r="4210">
          <cell r="A4210">
            <v>34000000</v>
          </cell>
          <cell r="C4210">
            <v>34000000</v>
          </cell>
          <cell r="D4210">
            <v>34000000</v>
          </cell>
          <cell r="E4210">
            <v>34000000</v>
          </cell>
          <cell r="F4210">
            <v>34000000</v>
          </cell>
          <cell r="G4210">
            <v>34000000</v>
          </cell>
          <cell r="H4210">
            <v>34000000</v>
          </cell>
          <cell r="I4210" t="str">
            <v/>
          </cell>
          <cell r="J4210" t="str">
            <v/>
          </cell>
          <cell r="K4210" t="str">
            <v/>
          </cell>
          <cell r="L4210" t="str">
            <v/>
          </cell>
        </row>
        <row r="4211">
          <cell r="A4211">
            <v>34000000</v>
          </cell>
          <cell r="C4211">
            <v>34000000</v>
          </cell>
          <cell r="D4211">
            <v>34000000</v>
          </cell>
          <cell r="E4211">
            <v>34000000</v>
          </cell>
          <cell r="F4211">
            <v>34000000</v>
          </cell>
          <cell r="G4211">
            <v>34000000</v>
          </cell>
          <cell r="H4211">
            <v>34000000</v>
          </cell>
          <cell r="I4211" t="str">
            <v/>
          </cell>
          <cell r="J4211" t="str">
            <v/>
          </cell>
          <cell r="K4211" t="str">
            <v/>
          </cell>
          <cell r="L4211" t="str">
            <v/>
          </cell>
        </row>
        <row r="4212">
          <cell r="A4212">
            <v>34000000</v>
          </cell>
          <cell r="C4212">
            <v>34000000</v>
          </cell>
          <cell r="D4212">
            <v>34000000</v>
          </cell>
          <cell r="E4212">
            <v>34000000</v>
          </cell>
          <cell r="F4212">
            <v>34000000</v>
          </cell>
          <cell r="G4212">
            <v>34000000</v>
          </cell>
          <cell r="H4212">
            <v>34000000</v>
          </cell>
          <cell r="I4212" t="str">
            <v/>
          </cell>
          <cell r="J4212" t="str">
            <v/>
          </cell>
          <cell r="K4212" t="str">
            <v/>
          </cell>
          <cell r="L4212" t="str">
            <v/>
          </cell>
        </row>
        <row r="4213">
          <cell r="A4213">
            <v>34000000</v>
          </cell>
          <cell r="C4213">
            <v>34000000</v>
          </cell>
          <cell r="D4213">
            <v>34000000</v>
          </cell>
          <cell r="E4213">
            <v>34000000</v>
          </cell>
          <cell r="F4213">
            <v>34000000</v>
          </cell>
          <cell r="G4213">
            <v>34000000</v>
          </cell>
          <cell r="H4213">
            <v>34000000</v>
          </cell>
          <cell r="I4213" t="str">
            <v/>
          </cell>
          <cell r="J4213" t="str">
            <v/>
          </cell>
          <cell r="K4213" t="str">
            <v/>
          </cell>
          <cell r="L4213" t="str">
            <v/>
          </cell>
        </row>
        <row r="4214">
          <cell r="A4214">
            <v>34000000</v>
          </cell>
          <cell r="C4214">
            <v>34000000</v>
          </cell>
          <cell r="D4214">
            <v>34000000</v>
          </cell>
          <cell r="E4214">
            <v>34000000</v>
          </cell>
          <cell r="F4214">
            <v>34000000</v>
          </cell>
          <cell r="G4214">
            <v>34000000</v>
          </cell>
          <cell r="H4214">
            <v>34000000</v>
          </cell>
          <cell r="I4214" t="str">
            <v/>
          </cell>
          <cell r="J4214" t="str">
            <v/>
          </cell>
          <cell r="K4214" t="str">
            <v/>
          </cell>
          <cell r="L4214" t="str">
            <v/>
          </cell>
        </row>
        <row r="4215">
          <cell r="A4215">
            <v>34000000</v>
          </cell>
          <cell r="C4215">
            <v>34000000</v>
          </cell>
          <cell r="D4215">
            <v>34000000</v>
          </cell>
          <cell r="E4215">
            <v>34000000</v>
          </cell>
          <cell r="F4215">
            <v>34000000</v>
          </cell>
          <cell r="G4215">
            <v>34000000</v>
          </cell>
          <cell r="H4215">
            <v>34000000</v>
          </cell>
          <cell r="I4215" t="str">
            <v/>
          </cell>
          <cell r="J4215" t="str">
            <v/>
          </cell>
          <cell r="K4215" t="str">
            <v/>
          </cell>
          <cell r="L4215" t="str">
            <v/>
          </cell>
        </row>
        <row r="4216">
          <cell r="A4216">
            <v>34000000</v>
          </cell>
          <cell r="C4216">
            <v>34000000</v>
          </cell>
          <cell r="D4216">
            <v>34000000</v>
          </cell>
          <cell r="E4216">
            <v>34000000</v>
          </cell>
          <cell r="F4216">
            <v>34000000</v>
          </cell>
          <cell r="G4216">
            <v>34000000</v>
          </cell>
          <cell r="H4216">
            <v>34000000</v>
          </cell>
          <cell r="I4216" t="str">
            <v/>
          </cell>
          <cell r="J4216" t="str">
            <v/>
          </cell>
          <cell r="K4216" t="str">
            <v/>
          </cell>
          <cell r="L4216" t="str">
            <v/>
          </cell>
        </row>
        <row r="4217">
          <cell r="A4217">
            <v>34000000</v>
          </cell>
          <cell r="C4217">
            <v>34000000</v>
          </cell>
          <cell r="D4217">
            <v>34000000</v>
          </cell>
          <cell r="E4217">
            <v>34000000</v>
          </cell>
          <cell r="F4217">
            <v>34000000</v>
          </cell>
          <cell r="G4217">
            <v>34000000</v>
          </cell>
          <cell r="H4217">
            <v>34000000</v>
          </cell>
          <cell r="I4217" t="str">
            <v/>
          </cell>
          <cell r="J4217" t="str">
            <v/>
          </cell>
          <cell r="K4217" t="str">
            <v/>
          </cell>
          <cell r="L4217" t="str">
            <v/>
          </cell>
        </row>
        <row r="4218">
          <cell r="A4218">
            <v>34000000</v>
          </cell>
          <cell r="C4218">
            <v>34000000</v>
          </cell>
          <cell r="D4218">
            <v>34000000</v>
          </cell>
          <cell r="E4218">
            <v>34000000</v>
          </cell>
          <cell r="F4218">
            <v>34000000</v>
          </cell>
          <cell r="G4218">
            <v>34000000</v>
          </cell>
          <cell r="H4218">
            <v>34000000</v>
          </cell>
          <cell r="I4218" t="str">
            <v/>
          </cell>
          <cell r="J4218" t="str">
            <v/>
          </cell>
          <cell r="K4218" t="str">
            <v/>
          </cell>
          <cell r="L4218" t="str">
            <v/>
          </cell>
        </row>
        <row r="4219">
          <cell r="A4219">
            <v>34000000</v>
          </cell>
          <cell r="C4219">
            <v>34000000</v>
          </cell>
          <cell r="D4219">
            <v>34000000</v>
          </cell>
          <cell r="E4219">
            <v>34000000</v>
          </cell>
          <cell r="F4219">
            <v>34000000</v>
          </cell>
          <cell r="G4219">
            <v>34000000</v>
          </cell>
          <cell r="H4219">
            <v>34000000</v>
          </cell>
          <cell r="I4219" t="str">
            <v/>
          </cell>
          <cell r="J4219" t="str">
            <v/>
          </cell>
          <cell r="K4219" t="str">
            <v/>
          </cell>
          <cell r="L4219" t="str">
            <v/>
          </cell>
        </row>
        <row r="4220">
          <cell r="A4220">
            <v>34000000</v>
          </cell>
          <cell r="C4220">
            <v>34000000</v>
          </cell>
          <cell r="D4220">
            <v>34000000</v>
          </cell>
          <cell r="E4220">
            <v>34000000</v>
          </cell>
          <cell r="F4220">
            <v>34000000</v>
          </cell>
          <cell r="G4220">
            <v>34000000</v>
          </cell>
          <cell r="H4220">
            <v>34000000</v>
          </cell>
          <cell r="I4220" t="str">
            <v/>
          </cell>
          <cell r="J4220" t="str">
            <v/>
          </cell>
          <cell r="K4220" t="str">
            <v/>
          </cell>
          <cell r="L4220" t="str">
            <v/>
          </cell>
        </row>
        <row r="4221">
          <cell r="A4221">
            <v>34000000</v>
          </cell>
          <cell r="C4221">
            <v>34000000</v>
          </cell>
          <cell r="D4221">
            <v>34000000</v>
          </cell>
          <cell r="E4221">
            <v>34000000</v>
          </cell>
          <cell r="F4221">
            <v>34000000</v>
          </cell>
          <cell r="G4221">
            <v>34000000</v>
          </cell>
          <cell r="H4221">
            <v>34000000</v>
          </cell>
          <cell r="I4221" t="str">
            <v/>
          </cell>
          <cell r="J4221" t="str">
            <v/>
          </cell>
          <cell r="K4221" t="str">
            <v/>
          </cell>
          <cell r="L4221" t="str">
            <v/>
          </cell>
        </row>
        <row r="4222">
          <cell r="A4222">
            <v>34000000</v>
          </cell>
          <cell r="C4222">
            <v>34000000</v>
          </cell>
          <cell r="D4222">
            <v>34000000</v>
          </cell>
          <cell r="E4222">
            <v>34000000</v>
          </cell>
          <cell r="F4222">
            <v>34000000</v>
          </cell>
          <cell r="G4222">
            <v>34000000</v>
          </cell>
          <cell r="H4222">
            <v>34000000</v>
          </cell>
          <cell r="I4222" t="str">
            <v/>
          </cell>
          <cell r="J4222" t="str">
            <v/>
          </cell>
          <cell r="K4222" t="str">
            <v/>
          </cell>
          <cell r="L4222" t="str">
            <v/>
          </cell>
        </row>
        <row r="4223">
          <cell r="A4223">
            <v>34000000</v>
          </cell>
          <cell r="C4223">
            <v>34000000</v>
          </cell>
          <cell r="D4223">
            <v>34000000</v>
          </cell>
          <cell r="E4223">
            <v>34000000</v>
          </cell>
          <cell r="F4223">
            <v>34000000</v>
          </cell>
          <cell r="G4223">
            <v>34000000</v>
          </cell>
          <cell r="H4223">
            <v>34000000</v>
          </cell>
          <cell r="I4223" t="str">
            <v/>
          </cell>
          <cell r="J4223" t="str">
            <v/>
          </cell>
          <cell r="K4223" t="str">
            <v/>
          </cell>
          <cell r="L4223" t="str">
            <v/>
          </cell>
        </row>
        <row r="4224">
          <cell r="A4224">
            <v>34000000</v>
          </cell>
          <cell r="C4224">
            <v>34000000</v>
          </cell>
          <cell r="D4224">
            <v>34000000</v>
          </cell>
          <cell r="E4224">
            <v>34000000</v>
          </cell>
          <cell r="F4224">
            <v>34000000</v>
          </cell>
          <cell r="G4224">
            <v>34000000</v>
          </cell>
          <cell r="H4224">
            <v>34000000</v>
          </cell>
          <cell r="I4224" t="str">
            <v/>
          </cell>
          <cell r="J4224" t="str">
            <v/>
          </cell>
          <cell r="K4224" t="str">
            <v/>
          </cell>
          <cell r="L4224" t="str">
            <v/>
          </cell>
        </row>
        <row r="4225">
          <cell r="A4225">
            <v>34000000</v>
          </cell>
          <cell r="C4225">
            <v>34000000</v>
          </cell>
          <cell r="D4225">
            <v>34000000</v>
          </cell>
          <cell r="E4225">
            <v>34000000</v>
          </cell>
          <cell r="F4225">
            <v>34000000</v>
          </cell>
          <cell r="G4225">
            <v>34000000</v>
          </cell>
          <cell r="H4225">
            <v>34000000</v>
          </cell>
          <cell r="I4225" t="str">
            <v/>
          </cell>
          <cell r="J4225" t="str">
            <v/>
          </cell>
          <cell r="K4225" t="str">
            <v/>
          </cell>
          <cell r="L4225" t="str">
            <v/>
          </cell>
        </row>
        <row r="4226">
          <cell r="A4226">
            <v>34000000</v>
          </cell>
          <cell r="C4226">
            <v>34000000</v>
          </cell>
          <cell r="D4226">
            <v>34000000</v>
          </cell>
          <cell r="E4226">
            <v>34000000</v>
          </cell>
          <cell r="F4226">
            <v>34000000</v>
          </cell>
          <cell r="G4226">
            <v>34000000</v>
          </cell>
          <cell r="H4226">
            <v>34000000</v>
          </cell>
          <cell r="I4226" t="str">
            <v/>
          </cell>
          <cell r="J4226" t="str">
            <v/>
          </cell>
          <cell r="K4226" t="str">
            <v/>
          </cell>
          <cell r="L4226" t="str">
            <v/>
          </cell>
        </row>
        <row r="4227">
          <cell r="A4227">
            <v>34000000</v>
          </cell>
          <cell r="C4227">
            <v>34000000</v>
          </cell>
          <cell r="D4227">
            <v>34000000</v>
          </cell>
          <cell r="E4227">
            <v>34000000</v>
          </cell>
          <cell r="F4227">
            <v>34000000</v>
          </cell>
          <cell r="G4227">
            <v>34000000</v>
          </cell>
          <cell r="H4227">
            <v>34000000</v>
          </cell>
          <cell r="I4227" t="str">
            <v/>
          </cell>
          <cell r="J4227" t="str">
            <v/>
          </cell>
          <cell r="K4227" t="str">
            <v/>
          </cell>
          <cell r="L4227" t="str">
            <v/>
          </cell>
        </row>
        <row r="4228">
          <cell r="A4228">
            <v>34000000</v>
          </cell>
          <cell r="C4228">
            <v>34000000</v>
          </cell>
          <cell r="D4228">
            <v>34000000</v>
          </cell>
          <cell r="E4228">
            <v>34000000</v>
          </cell>
          <cell r="F4228">
            <v>34000000</v>
          </cell>
          <cell r="G4228">
            <v>34000000</v>
          </cell>
          <cell r="H4228">
            <v>34000000</v>
          </cell>
          <cell r="I4228" t="str">
            <v/>
          </cell>
          <cell r="J4228" t="str">
            <v/>
          </cell>
          <cell r="K4228" t="str">
            <v/>
          </cell>
          <cell r="L4228" t="str">
            <v/>
          </cell>
        </row>
        <row r="4229">
          <cell r="A4229">
            <v>34000000</v>
          </cell>
          <cell r="C4229">
            <v>34000000</v>
          </cell>
          <cell r="D4229">
            <v>34000000</v>
          </cell>
          <cell r="E4229">
            <v>34000000</v>
          </cell>
          <cell r="F4229">
            <v>34000000</v>
          </cell>
          <cell r="G4229">
            <v>34000000</v>
          </cell>
          <cell r="H4229">
            <v>34000000</v>
          </cell>
          <cell r="I4229" t="str">
            <v/>
          </cell>
          <cell r="J4229" t="str">
            <v/>
          </cell>
          <cell r="K4229" t="str">
            <v/>
          </cell>
          <cell r="L4229" t="str">
            <v/>
          </cell>
        </row>
        <row r="4230">
          <cell r="A4230">
            <v>34000000</v>
          </cell>
          <cell r="C4230">
            <v>34000000</v>
          </cell>
          <cell r="D4230">
            <v>34000000</v>
          </cell>
          <cell r="E4230">
            <v>34000000</v>
          </cell>
          <cell r="F4230">
            <v>34000000</v>
          </cell>
          <cell r="G4230">
            <v>34000000</v>
          </cell>
          <cell r="H4230">
            <v>34000000</v>
          </cell>
          <cell r="I4230" t="str">
            <v/>
          </cell>
          <cell r="J4230" t="str">
            <v/>
          </cell>
          <cell r="K4230" t="str">
            <v/>
          </cell>
          <cell r="L4230" t="str">
            <v/>
          </cell>
        </row>
        <row r="4231">
          <cell r="A4231">
            <v>34000000</v>
          </cell>
          <cell r="C4231">
            <v>34000000</v>
          </cell>
          <cell r="D4231">
            <v>34000000</v>
          </cell>
          <cell r="E4231">
            <v>34000000</v>
          </cell>
          <cell r="F4231">
            <v>34000000</v>
          </cell>
          <cell r="G4231">
            <v>34000000</v>
          </cell>
          <cell r="H4231">
            <v>34000000</v>
          </cell>
          <cell r="I4231" t="str">
            <v/>
          </cell>
          <cell r="J4231" t="str">
            <v/>
          </cell>
          <cell r="K4231" t="str">
            <v/>
          </cell>
          <cell r="L4231" t="str">
            <v/>
          </cell>
        </row>
        <row r="4232">
          <cell r="A4232">
            <v>34000000</v>
          </cell>
          <cell r="C4232">
            <v>34000000</v>
          </cell>
          <cell r="D4232">
            <v>34000000</v>
          </cell>
          <cell r="E4232">
            <v>34000000</v>
          </cell>
          <cell r="F4232">
            <v>34000000</v>
          </cell>
          <cell r="G4232">
            <v>34000000</v>
          </cell>
          <cell r="H4232">
            <v>34000000</v>
          </cell>
          <cell r="I4232" t="str">
            <v/>
          </cell>
          <cell r="J4232" t="str">
            <v/>
          </cell>
          <cell r="K4232" t="str">
            <v/>
          </cell>
          <cell r="L4232" t="str">
            <v/>
          </cell>
        </row>
        <row r="4233">
          <cell r="A4233">
            <v>34000000</v>
          </cell>
          <cell r="C4233">
            <v>34000000</v>
          </cell>
          <cell r="D4233">
            <v>34000000</v>
          </cell>
          <cell r="E4233">
            <v>34000000</v>
          </cell>
          <cell r="F4233">
            <v>34000000</v>
          </cell>
          <cell r="G4233">
            <v>34000000</v>
          </cell>
          <cell r="H4233">
            <v>34000000</v>
          </cell>
          <cell r="I4233" t="str">
            <v/>
          </cell>
          <cell r="J4233" t="str">
            <v/>
          </cell>
          <cell r="K4233" t="str">
            <v/>
          </cell>
          <cell r="L4233" t="str">
            <v/>
          </cell>
        </row>
        <row r="4234">
          <cell r="A4234">
            <v>34000000</v>
          </cell>
          <cell r="C4234">
            <v>34000000</v>
          </cell>
          <cell r="D4234">
            <v>34000000</v>
          </cell>
          <cell r="E4234">
            <v>34000000</v>
          </cell>
          <cell r="F4234">
            <v>34000000</v>
          </cell>
          <cell r="G4234">
            <v>34000000</v>
          </cell>
          <cell r="H4234">
            <v>34000000</v>
          </cell>
          <cell r="I4234" t="str">
            <v/>
          </cell>
          <cell r="J4234" t="str">
            <v/>
          </cell>
          <cell r="K4234" t="str">
            <v/>
          </cell>
          <cell r="L4234" t="str">
            <v/>
          </cell>
        </row>
        <row r="4235">
          <cell r="A4235">
            <v>34000000</v>
          </cell>
          <cell r="C4235">
            <v>34000000</v>
          </cell>
          <cell r="D4235">
            <v>34000000</v>
          </cell>
          <cell r="E4235">
            <v>34000000</v>
          </cell>
          <cell r="F4235">
            <v>34000000</v>
          </cell>
          <cell r="G4235">
            <v>34000000</v>
          </cell>
          <cell r="H4235">
            <v>34000000</v>
          </cell>
          <cell r="I4235" t="str">
            <v/>
          </cell>
          <cell r="J4235" t="str">
            <v/>
          </cell>
          <cell r="K4235" t="str">
            <v/>
          </cell>
          <cell r="L4235" t="str">
            <v/>
          </cell>
        </row>
        <row r="4236">
          <cell r="A4236">
            <v>34000000</v>
          </cell>
          <cell r="C4236">
            <v>34000000</v>
          </cell>
          <cell r="D4236">
            <v>34000000</v>
          </cell>
          <cell r="E4236">
            <v>34000000</v>
          </cell>
          <cell r="F4236">
            <v>34000000</v>
          </cell>
          <cell r="G4236">
            <v>34000000</v>
          </cell>
          <cell r="H4236">
            <v>34000000</v>
          </cell>
          <cell r="I4236" t="str">
            <v/>
          </cell>
          <cell r="J4236" t="str">
            <v/>
          </cell>
          <cell r="K4236" t="str">
            <v/>
          </cell>
          <cell r="L4236" t="str">
            <v/>
          </cell>
        </row>
        <row r="4237">
          <cell r="A4237">
            <v>34000000</v>
          </cell>
          <cell r="C4237">
            <v>34000000</v>
          </cell>
          <cell r="D4237">
            <v>34000000</v>
          </cell>
          <cell r="E4237">
            <v>34000000</v>
          </cell>
          <cell r="F4237">
            <v>34000000</v>
          </cell>
          <cell r="G4237">
            <v>34000000</v>
          </cell>
          <cell r="H4237">
            <v>34000000</v>
          </cell>
          <cell r="I4237" t="str">
            <v/>
          </cell>
          <cell r="J4237" t="str">
            <v/>
          </cell>
          <cell r="K4237" t="str">
            <v/>
          </cell>
          <cell r="L4237" t="str">
            <v/>
          </cell>
        </row>
        <row r="4238">
          <cell r="A4238">
            <v>34000000</v>
          </cell>
          <cell r="C4238">
            <v>34000000</v>
          </cell>
          <cell r="D4238">
            <v>34000000</v>
          </cell>
          <cell r="E4238">
            <v>34000000</v>
          </cell>
          <cell r="F4238">
            <v>34000000</v>
          </cell>
          <cell r="G4238">
            <v>34000000</v>
          </cell>
          <cell r="H4238">
            <v>34000000</v>
          </cell>
          <cell r="I4238" t="str">
            <v/>
          </cell>
          <cell r="J4238" t="str">
            <v/>
          </cell>
          <cell r="K4238" t="str">
            <v/>
          </cell>
          <cell r="L4238" t="str">
            <v/>
          </cell>
        </row>
        <row r="4239">
          <cell r="A4239">
            <v>34000000</v>
          </cell>
          <cell r="C4239">
            <v>34000000</v>
          </cell>
          <cell r="D4239">
            <v>34000000</v>
          </cell>
          <cell r="E4239">
            <v>34000000</v>
          </cell>
          <cell r="F4239">
            <v>34000000</v>
          </cell>
          <cell r="G4239">
            <v>34000000</v>
          </cell>
          <cell r="H4239">
            <v>34000000</v>
          </cell>
          <cell r="I4239" t="str">
            <v/>
          </cell>
          <cell r="J4239" t="str">
            <v/>
          </cell>
          <cell r="K4239" t="str">
            <v/>
          </cell>
          <cell r="L4239" t="str">
            <v/>
          </cell>
        </row>
        <row r="4240">
          <cell r="A4240">
            <v>34000000</v>
          </cell>
          <cell r="C4240">
            <v>34000000</v>
          </cell>
          <cell r="D4240">
            <v>34000000</v>
          </cell>
          <cell r="E4240">
            <v>34000000</v>
          </cell>
          <cell r="F4240">
            <v>34000000</v>
          </cell>
          <cell r="G4240">
            <v>34000000</v>
          </cell>
          <cell r="H4240">
            <v>34000000</v>
          </cell>
          <cell r="I4240" t="str">
            <v/>
          </cell>
          <cell r="J4240" t="str">
            <v/>
          </cell>
          <cell r="K4240" t="str">
            <v/>
          </cell>
          <cell r="L4240" t="str">
            <v/>
          </cell>
        </row>
        <row r="4241">
          <cell r="A4241">
            <v>34000000</v>
          </cell>
          <cell r="C4241">
            <v>34000000</v>
          </cell>
          <cell r="D4241">
            <v>34000000</v>
          </cell>
          <cell r="E4241">
            <v>34000000</v>
          </cell>
          <cell r="F4241">
            <v>34000000</v>
          </cell>
          <cell r="G4241">
            <v>34000000</v>
          </cell>
          <cell r="H4241">
            <v>34000000</v>
          </cell>
          <cell r="I4241" t="str">
            <v/>
          </cell>
          <cell r="J4241" t="str">
            <v/>
          </cell>
          <cell r="K4241" t="str">
            <v/>
          </cell>
          <cell r="L4241" t="str">
            <v/>
          </cell>
        </row>
        <row r="4242">
          <cell r="A4242">
            <v>34000000</v>
          </cell>
          <cell r="C4242">
            <v>34000000</v>
          </cell>
          <cell r="D4242">
            <v>34000000</v>
          </cell>
          <cell r="E4242">
            <v>34000000</v>
          </cell>
          <cell r="F4242">
            <v>34000000</v>
          </cell>
          <cell r="G4242">
            <v>34000000</v>
          </cell>
          <cell r="H4242">
            <v>34000000</v>
          </cell>
          <cell r="I4242" t="str">
            <v/>
          </cell>
          <cell r="J4242" t="str">
            <v/>
          </cell>
          <cell r="K4242" t="str">
            <v/>
          </cell>
          <cell r="L4242" t="str">
            <v/>
          </cell>
        </row>
        <row r="4243">
          <cell r="A4243">
            <v>34000000</v>
          </cell>
          <cell r="C4243">
            <v>34000000</v>
          </cell>
          <cell r="D4243">
            <v>34000000</v>
          </cell>
          <cell r="E4243">
            <v>34000000</v>
          </cell>
          <cell r="F4243">
            <v>34000000</v>
          </cell>
          <cell r="G4243">
            <v>34000000</v>
          </cell>
          <cell r="H4243">
            <v>34000000</v>
          </cell>
          <cell r="I4243" t="str">
            <v/>
          </cell>
          <cell r="J4243" t="str">
            <v/>
          </cell>
          <cell r="K4243" t="str">
            <v/>
          </cell>
          <cell r="L4243" t="str">
            <v/>
          </cell>
        </row>
        <row r="4244">
          <cell r="A4244">
            <v>34000000</v>
          </cell>
          <cell r="C4244">
            <v>34000000</v>
          </cell>
          <cell r="D4244">
            <v>34000000</v>
          </cell>
          <cell r="E4244">
            <v>34000000</v>
          </cell>
          <cell r="F4244">
            <v>34000000</v>
          </cell>
          <cell r="G4244">
            <v>34000000</v>
          </cell>
          <cell r="H4244">
            <v>34000000</v>
          </cell>
          <cell r="I4244" t="str">
            <v/>
          </cell>
          <cell r="J4244" t="str">
            <v/>
          </cell>
          <cell r="K4244" t="str">
            <v/>
          </cell>
          <cell r="L4244" t="str">
            <v/>
          </cell>
        </row>
        <row r="4245">
          <cell r="A4245">
            <v>34000000</v>
          </cell>
          <cell r="C4245">
            <v>34000000</v>
          </cell>
          <cell r="D4245">
            <v>34000000</v>
          </cell>
          <cell r="E4245">
            <v>34000000</v>
          </cell>
          <cell r="F4245">
            <v>34000000</v>
          </cell>
          <cell r="G4245">
            <v>34000000</v>
          </cell>
          <cell r="H4245">
            <v>34000000</v>
          </cell>
          <cell r="I4245" t="str">
            <v/>
          </cell>
          <cell r="J4245" t="str">
            <v/>
          </cell>
          <cell r="K4245" t="str">
            <v/>
          </cell>
          <cell r="L4245" t="str">
            <v/>
          </cell>
        </row>
        <row r="4246">
          <cell r="A4246">
            <v>34000000</v>
          </cell>
          <cell r="C4246">
            <v>34000000</v>
          </cell>
          <cell r="D4246">
            <v>34000000</v>
          </cell>
          <cell r="E4246">
            <v>34000000</v>
          </cell>
          <cell r="F4246">
            <v>34000000</v>
          </cell>
          <cell r="G4246">
            <v>34000000</v>
          </cell>
          <cell r="H4246">
            <v>34000000</v>
          </cell>
          <cell r="I4246" t="str">
            <v/>
          </cell>
          <cell r="J4246" t="str">
            <v/>
          </cell>
          <cell r="K4246" t="str">
            <v/>
          </cell>
          <cell r="L4246" t="str">
            <v/>
          </cell>
        </row>
        <row r="4247">
          <cell r="A4247">
            <v>34000000</v>
          </cell>
          <cell r="C4247">
            <v>34000000</v>
          </cell>
          <cell r="D4247">
            <v>34000000</v>
          </cell>
          <cell r="E4247">
            <v>34000000</v>
          </cell>
          <cell r="F4247">
            <v>34000000</v>
          </cell>
          <cell r="G4247">
            <v>34000000</v>
          </cell>
          <cell r="H4247">
            <v>34000000</v>
          </cell>
          <cell r="I4247" t="str">
            <v/>
          </cell>
          <cell r="J4247" t="str">
            <v/>
          </cell>
          <cell r="K4247" t="str">
            <v/>
          </cell>
          <cell r="L4247" t="str">
            <v/>
          </cell>
        </row>
        <row r="4248">
          <cell r="A4248">
            <v>34000000</v>
          </cell>
          <cell r="C4248">
            <v>34000000</v>
          </cell>
          <cell r="D4248">
            <v>34000000</v>
          </cell>
          <cell r="E4248">
            <v>34000000</v>
          </cell>
          <cell r="F4248">
            <v>34000000</v>
          </cell>
          <cell r="G4248">
            <v>34000000</v>
          </cell>
          <cell r="H4248">
            <v>34000000</v>
          </cell>
          <cell r="I4248" t="str">
            <v/>
          </cell>
          <cell r="J4248" t="str">
            <v/>
          </cell>
          <cell r="K4248" t="str">
            <v/>
          </cell>
          <cell r="L4248" t="str">
            <v/>
          </cell>
        </row>
        <row r="4249">
          <cell r="A4249">
            <v>34000000</v>
          </cell>
          <cell r="C4249">
            <v>34000000</v>
          </cell>
          <cell r="D4249">
            <v>34000000</v>
          </cell>
          <cell r="E4249">
            <v>34000000</v>
          </cell>
          <cell r="F4249">
            <v>34000000</v>
          </cell>
          <cell r="G4249">
            <v>34000000</v>
          </cell>
          <cell r="H4249">
            <v>34000000</v>
          </cell>
          <cell r="I4249" t="str">
            <v/>
          </cell>
          <cell r="J4249" t="str">
            <v/>
          </cell>
          <cell r="K4249" t="str">
            <v/>
          </cell>
          <cell r="L4249" t="str">
            <v/>
          </cell>
        </row>
        <row r="4250">
          <cell r="A4250">
            <v>34000000</v>
          </cell>
          <cell r="C4250">
            <v>34000000</v>
          </cell>
          <cell r="D4250">
            <v>34000000</v>
          </cell>
          <cell r="E4250">
            <v>34000000</v>
          </cell>
          <cell r="F4250">
            <v>34000000</v>
          </cell>
          <cell r="G4250">
            <v>34000000</v>
          </cell>
          <cell r="H4250">
            <v>34000000</v>
          </cell>
          <cell r="I4250" t="str">
            <v/>
          </cell>
          <cell r="J4250" t="str">
            <v/>
          </cell>
          <cell r="K4250" t="str">
            <v/>
          </cell>
          <cell r="L4250" t="str">
            <v/>
          </cell>
        </row>
        <row r="4251">
          <cell r="A4251">
            <v>34000000</v>
          </cell>
          <cell r="C4251">
            <v>34000000</v>
          </cell>
          <cell r="D4251">
            <v>34000000</v>
          </cell>
          <cell r="E4251">
            <v>34000000</v>
          </cell>
          <cell r="F4251">
            <v>34000000</v>
          </cell>
          <cell r="G4251">
            <v>34000000</v>
          </cell>
          <cell r="H4251">
            <v>34000000</v>
          </cell>
          <cell r="I4251" t="str">
            <v/>
          </cell>
          <cell r="J4251" t="str">
            <v/>
          </cell>
          <cell r="K4251" t="str">
            <v/>
          </cell>
          <cell r="L4251" t="str">
            <v/>
          </cell>
        </row>
        <row r="4252">
          <cell r="A4252">
            <v>34000000</v>
          </cell>
          <cell r="C4252">
            <v>34000000</v>
          </cell>
          <cell r="D4252">
            <v>34000000</v>
          </cell>
          <cell r="E4252">
            <v>34000000</v>
          </cell>
          <cell r="F4252">
            <v>34000000</v>
          </cell>
          <cell r="G4252">
            <v>34000000</v>
          </cell>
          <cell r="H4252">
            <v>34000000</v>
          </cell>
          <cell r="I4252" t="str">
            <v/>
          </cell>
          <cell r="J4252" t="str">
            <v/>
          </cell>
          <cell r="K4252" t="str">
            <v/>
          </cell>
          <cell r="L4252" t="str">
            <v/>
          </cell>
        </row>
        <row r="4253">
          <cell r="A4253">
            <v>34000000</v>
          </cell>
          <cell r="C4253">
            <v>34000000</v>
          </cell>
          <cell r="D4253">
            <v>34000000</v>
          </cell>
          <cell r="E4253">
            <v>34000000</v>
          </cell>
          <cell r="F4253">
            <v>34000000</v>
          </cell>
          <cell r="G4253">
            <v>34000000</v>
          </cell>
          <cell r="H4253">
            <v>34000000</v>
          </cell>
          <cell r="I4253" t="str">
            <v/>
          </cell>
          <cell r="J4253" t="str">
            <v/>
          </cell>
          <cell r="K4253" t="str">
            <v/>
          </cell>
          <cell r="L4253" t="str">
            <v/>
          </cell>
        </row>
        <row r="4254">
          <cell r="A4254">
            <v>34000000</v>
          </cell>
          <cell r="C4254">
            <v>34000000</v>
          </cell>
          <cell r="D4254">
            <v>34000000</v>
          </cell>
          <cell r="E4254">
            <v>34000000</v>
          </cell>
          <cell r="F4254">
            <v>34000000</v>
          </cell>
          <cell r="G4254">
            <v>34000000</v>
          </cell>
          <cell r="H4254">
            <v>34000000</v>
          </cell>
          <cell r="I4254" t="str">
            <v/>
          </cell>
          <cell r="J4254" t="str">
            <v/>
          </cell>
          <cell r="K4254" t="str">
            <v/>
          </cell>
          <cell r="L4254" t="str">
            <v/>
          </cell>
        </row>
        <row r="4255">
          <cell r="A4255">
            <v>34000000</v>
          </cell>
          <cell r="C4255">
            <v>34000000</v>
          </cell>
          <cell r="D4255">
            <v>34000000</v>
          </cell>
          <cell r="E4255">
            <v>34000000</v>
          </cell>
          <cell r="F4255">
            <v>34000000</v>
          </cell>
          <cell r="G4255">
            <v>34000000</v>
          </cell>
          <cell r="H4255">
            <v>34000000</v>
          </cell>
          <cell r="I4255" t="str">
            <v/>
          </cell>
          <cell r="J4255" t="str">
            <v/>
          </cell>
          <cell r="K4255" t="str">
            <v/>
          </cell>
          <cell r="L4255" t="str">
            <v/>
          </cell>
        </row>
        <row r="4256">
          <cell r="A4256">
            <v>34000000</v>
          </cell>
          <cell r="C4256">
            <v>34000000</v>
          </cell>
          <cell r="D4256">
            <v>34000000</v>
          </cell>
          <cell r="E4256">
            <v>34000000</v>
          </cell>
          <cell r="F4256">
            <v>34000000</v>
          </cell>
          <cell r="G4256">
            <v>34000000</v>
          </cell>
          <cell r="H4256">
            <v>34000000</v>
          </cell>
          <cell r="I4256" t="str">
            <v/>
          </cell>
          <cell r="J4256" t="str">
            <v/>
          </cell>
          <cell r="K4256" t="str">
            <v/>
          </cell>
          <cell r="L4256" t="str">
            <v/>
          </cell>
        </row>
        <row r="4257">
          <cell r="A4257">
            <v>34000000</v>
          </cell>
          <cell r="C4257">
            <v>34000000</v>
          </cell>
          <cell r="D4257">
            <v>34000000</v>
          </cell>
          <cell r="E4257">
            <v>34000000</v>
          </cell>
          <cell r="F4257">
            <v>34000000</v>
          </cell>
          <cell r="G4257">
            <v>34000000</v>
          </cell>
          <cell r="H4257">
            <v>34000000</v>
          </cell>
          <cell r="I4257" t="str">
            <v/>
          </cell>
          <cell r="J4257" t="str">
            <v/>
          </cell>
          <cell r="K4257" t="str">
            <v/>
          </cell>
          <cell r="L4257" t="str">
            <v/>
          </cell>
        </row>
        <row r="4258">
          <cell r="A4258">
            <v>34000000</v>
          </cell>
          <cell r="C4258">
            <v>34000000</v>
          </cell>
          <cell r="D4258">
            <v>34000000</v>
          </cell>
          <cell r="E4258">
            <v>34000000</v>
          </cell>
          <cell r="F4258">
            <v>34000000</v>
          </cell>
          <cell r="G4258">
            <v>34000000</v>
          </cell>
          <cell r="H4258">
            <v>34000000</v>
          </cell>
          <cell r="I4258" t="str">
            <v/>
          </cell>
          <cell r="J4258" t="str">
            <v/>
          </cell>
          <cell r="K4258" t="str">
            <v/>
          </cell>
          <cell r="L4258" t="str">
            <v/>
          </cell>
        </row>
        <row r="4259">
          <cell r="A4259">
            <v>34000000</v>
          </cell>
          <cell r="C4259">
            <v>34000000</v>
          </cell>
          <cell r="D4259">
            <v>34000000</v>
          </cell>
          <cell r="E4259">
            <v>34000000</v>
          </cell>
          <cell r="F4259">
            <v>34000000</v>
          </cell>
          <cell r="G4259">
            <v>34000000</v>
          </cell>
          <cell r="H4259">
            <v>34000000</v>
          </cell>
          <cell r="I4259" t="str">
            <v/>
          </cell>
          <cell r="J4259" t="str">
            <v/>
          </cell>
          <cell r="K4259" t="str">
            <v/>
          </cell>
          <cell r="L4259" t="str">
            <v/>
          </cell>
        </row>
        <row r="4260">
          <cell r="A4260">
            <v>34000000</v>
          </cell>
          <cell r="C4260">
            <v>34000000</v>
          </cell>
          <cell r="D4260">
            <v>34000000</v>
          </cell>
          <cell r="E4260">
            <v>34000000</v>
          </cell>
          <cell r="F4260">
            <v>34000000</v>
          </cell>
          <cell r="G4260">
            <v>34000000</v>
          </cell>
          <cell r="H4260">
            <v>34000000</v>
          </cell>
          <cell r="I4260" t="str">
            <v/>
          </cell>
          <cell r="J4260" t="str">
            <v/>
          </cell>
          <cell r="K4260" t="str">
            <v/>
          </cell>
          <cell r="L4260" t="str">
            <v/>
          </cell>
        </row>
        <row r="4261">
          <cell r="A4261">
            <v>34000000</v>
          </cell>
          <cell r="C4261">
            <v>34000000</v>
          </cell>
          <cell r="D4261">
            <v>34000000</v>
          </cell>
          <cell r="E4261">
            <v>34000000</v>
          </cell>
          <cell r="F4261">
            <v>34000000</v>
          </cell>
          <cell r="G4261">
            <v>34000000</v>
          </cell>
          <cell r="H4261">
            <v>34000000</v>
          </cell>
          <cell r="I4261" t="str">
            <v/>
          </cell>
          <cell r="J4261" t="str">
            <v/>
          </cell>
          <cell r="K4261" t="str">
            <v/>
          </cell>
          <cell r="L4261" t="str">
            <v/>
          </cell>
        </row>
        <row r="4262">
          <cell r="A4262">
            <v>34000000</v>
          </cell>
          <cell r="C4262">
            <v>34000000</v>
          </cell>
          <cell r="D4262">
            <v>34000000</v>
          </cell>
          <cell r="E4262">
            <v>34000000</v>
          </cell>
          <cell r="F4262">
            <v>34000000</v>
          </cell>
          <cell r="G4262">
            <v>34000000</v>
          </cell>
          <cell r="H4262">
            <v>34000000</v>
          </cell>
          <cell r="I4262" t="str">
            <v/>
          </cell>
          <cell r="J4262" t="str">
            <v/>
          </cell>
          <cell r="K4262" t="str">
            <v/>
          </cell>
          <cell r="L4262" t="str">
            <v/>
          </cell>
        </row>
        <row r="4263">
          <cell r="A4263">
            <v>34000000</v>
          </cell>
          <cell r="C4263">
            <v>34000000</v>
          </cell>
          <cell r="D4263">
            <v>34000000</v>
          </cell>
          <cell r="E4263">
            <v>34000000</v>
          </cell>
          <cell r="F4263">
            <v>34000000</v>
          </cell>
          <cell r="G4263">
            <v>34000000</v>
          </cell>
          <cell r="H4263">
            <v>34000000</v>
          </cell>
          <cell r="I4263" t="str">
            <v/>
          </cell>
          <cell r="J4263" t="str">
            <v/>
          </cell>
          <cell r="K4263" t="str">
            <v/>
          </cell>
          <cell r="L4263" t="str">
            <v/>
          </cell>
        </row>
        <row r="4264">
          <cell r="A4264">
            <v>34000000</v>
          </cell>
          <cell r="C4264">
            <v>34000000</v>
          </cell>
          <cell r="D4264">
            <v>34000000</v>
          </cell>
          <cell r="E4264">
            <v>34000000</v>
          </cell>
          <cell r="F4264">
            <v>34000000</v>
          </cell>
          <cell r="G4264">
            <v>34000000</v>
          </cell>
          <cell r="H4264">
            <v>34000000</v>
          </cell>
          <cell r="I4264" t="str">
            <v/>
          </cell>
          <cell r="J4264" t="str">
            <v/>
          </cell>
          <cell r="K4264" t="str">
            <v/>
          </cell>
          <cell r="L4264" t="str">
            <v/>
          </cell>
        </row>
        <row r="4265">
          <cell r="A4265">
            <v>34000000</v>
          </cell>
          <cell r="C4265">
            <v>34000000</v>
          </cell>
          <cell r="D4265">
            <v>34000000</v>
          </cell>
          <cell r="E4265">
            <v>34000000</v>
          </cell>
          <cell r="F4265">
            <v>34000000</v>
          </cell>
          <cell r="G4265">
            <v>34000000</v>
          </cell>
          <cell r="H4265">
            <v>34000000</v>
          </cell>
          <cell r="I4265" t="str">
            <v/>
          </cell>
          <cell r="J4265" t="str">
            <v/>
          </cell>
          <cell r="K4265" t="str">
            <v/>
          </cell>
          <cell r="L4265" t="str">
            <v/>
          </cell>
        </row>
        <row r="4266">
          <cell r="A4266">
            <v>34000000</v>
          </cell>
          <cell r="C4266">
            <v>34000000</v>
          </cell>
          <cell r="D4266">
            <v>34000000</v>
          </cell>
          <cell r="E4266">
            <v>34000000</v>
          </cell>
          <cell r="F4266">
            <v>34000000</v>
          </cell>
          <cell r="G4266">
            <v>34000000</v>
          </cell>
          <cell r="H4266">
            <v>34000000</v>
          </cell>
          <cell r="I4266" t="str">
            <v/>
          </cell>
          <cell r="J4266" t="str">
            <v/>
          </cell>
          <cell r="K4266" t="str">
            <v/>
          </cell>
          <cell r="L4266" t="str">
            <v/>
          </cell>
        </row>
        <row r="4267">
          <cell r="A4267">
            <v>34000000</v>
          </cell>
          <cell r="C4267">
            <v>34000000</v>
          </cell>
          <cell r="D4267">
            <v>34000000</v>
          </cell>
          <cell r="E4267">
            <v>34000000</v>
          </cell>
          <cell r="F4267">
            <v>34000000</v>
          </cell>
          <cell r="G4267">
            <v>34000000</v>
          </cell>
          <cell r="H4267">
            <v>34000000</v>
          </cell>
          <cell r="I4267" t="str">
            <v/>
          </cell>
          <cell r="J4267" t="str">
            <v/>
          </cell>
          <cell r="K4267" t="str">
            <v/>
          </cell>
          <cell r="L4267" t="str">
            <v/>
          </cell>
        </row>
        <row r="4268">
          <cell r="A4268">
            <v>34000000</v>
          </cell>
          <cell r="C4268">
            <v>34000000</v>
          </cell>
          <cell r="D4268">
            <v>34000000</v>
          </cell>
          <cell r="E4268">
            <v>34000000</v>
          </cell>
          <cell r="F4268">
            <v>34000000</v>
          </cell>
          <cell r="G4268">
            <v>34000000</v>
          </cell>
          <cell r="H4268">
            <v>34000000</v>
          </cell>
          <cell r="I4268" t="str">
            <v/>
          </cell>
          <cell r="J4268" t="str">
            <v/>
          </cell>
          <cell r="K4268" t="str">
            <v/>
          </cell>
          <cell r="L4268" t="str">
            <v/>
          </cell>
        </row>
        <row r="4269">
          <cell r="A4269">
            <v>34000000</v>
          </cell>
          <cell r="C4269">
            <v>34000000</v>
          </cell>
          <cell r="D4269">
            <v>34000000</v>
          </cell>
          <cell r="E4269">
            <v>34000000</v>
          </cell>
          <cell r="F4269">
            <v>34000000</v>
          </cell>
          <cell r="G4269">
            <v>34000000</v>
          </cell>
          <cell r="H4269">
            <v>34000000</v>
          </cell>
          <cell r="I4269" t="str">
            <v/>
          </cell>
          <cell r="J4269" t="str">
            <v/>
          </cell>
          <cell r="K4269" t="str">
            <v/>
          </cell>
          <cell r="L4269" t="str">
            <v/>
          </cell>
        </row>
        <row r="4270">
          <cell r="A4270">
            <v>34000000</v>
          </cell>
          <cell r="C4270">
            <v>34000000</v>
          </cell>
          <cell r="D4270">
            <v>34000000</v>
          </cell>
          <cell r="E4270">
            <v>34000000</v>
          </cell>
          <cell r="F4270">
            <v>34000000</v>
          </cell>
          <cell r="G4270">
            <v>34000000</v>
          </cell>
          <cell r="H4270">
            <v>34000000</v>
          </cell>
          <cell r="I4270" t="str">
            <v/>
          </cell>
          <cell r="J4270" t="str">
            <v/>
          </cell>
          <cell r="K4270" t="str">
            <v/>
          </cell>
          <cell r="L4270" t="str">
            <v/>
          </cell>
        </row>
        <row r="4271">
          <cell r="A4271">
            <v>34000000</v>
          </cell>
          <cell r="C4271">
            <v>34000000</v>
          </cell>
          <cell r="D4271">
            <v>34000000</v>
          </cell>
          <cell r="E4271">
            <v>34000000</v>
          </cell>
          <cell r="F4271">
            <v>34000000</v>
          </cell>
          <cell r="G4271">
            <v>34000000</v>
          </cell>
          <cell r="H4271">
            <v>34000000</v>
          </cell>
          <cell r="I4271" t="str">
            <v/>
          </cell>
          <cell r="J4271" t="str">
            <v/>
          </cell>
          <cell r="K4271" t="str">
            <v/>
          </cell>
          <cell r="L4271" t="str">
            <v/>
          </cell>
        </row>
        <row r="4272">
          <cell r="A4272">
            <v>34000000</v>
          </cell>
          <cell r="C4272">
            <v>34000000</v>
          </cell>
          <cell r="D4272">
            <v>34000000</v>
          </cell>
          <cell r="E4272">
            <v>34000000</v>
          </cell>
          <cell r="F4272">
            <v>34000000</v>
          </cell>
          <cell r="G4272">
            <v>34000000</v>
          </cell>
          <cell r="H4272">
            <v>34000000</v>
          </cell>
          <cell r="I4272" t="str">
            <v/>
          </cell>
          <cell r="J4272" t="str">
            <v/>
          </cell>
          <cell r="K4272" t="str">
            <v/>
          </cell>
          <cell r="L4272" t="str">
            <v/>
          </cell>
        </row>
        <row r="4273">
          <cell r="A4273">
            <v>34000000</v>
          </cell>
          <cell r="C4273">
            <v>34000000</v>
          </cell>
          <cell r="D4273">
            <v>34000000</v>
          </cell>
          <cell r="E4273">
            <v>34000000</v>
          </cell>
          <cell r="F4273">
            <v>34000000</v>
          </cell>
          <cell r="G4273">
            <v>34000000</v>
          </cell>
          <cell r="H4273">
            <v>34000000</v>
          </cell>
          <cell r="I4273" t="str">
            <v/>
          </cell>
          <cell r="J4273" t="str">
            <v/>
          </cell>
          <cell r="K4273" t="str">
            <v/>
          </cell>
          <cell r="L4273" t="str">
            <v/>
          </cell>
        </row>
        <row r="4274">
          <cell r="A4274">
            <v>34000000</v>
          </cell>
          <cell r="C4274">
            <v>34000000</v>
          </cell>
          <cell r="D4274">
            <v>34000000</v>
          </cell>
          <cell r="E4274">
            <v>34000000</v>
          </cell>
          <cell r="F4274">
            <v>34000000</v>
          </cell>
          <cell r="G4274">
            <v>34000000</v>
          </cell>
          <cell r="H4274">
            <v>34000000</v>
          </cell>
          <cell r="I4274" t="str">
            <v/>
          </cell>
          <cell r="J4274" t="str">
            <v/>
          </cell>
          <cell r="K4274" t="str">
            <v/>
          </cell>
          <cell r="L4274" t="str">
            <v/>
          </cell>
        </row>
        <row r="4275">
          <cell r="A4275">
            <v>34000000</v>
          </cell>
          <cell r="C4275">
            <v>34000000</v>
          </cell>
          <cell r="D4275">
            <v>34000000</v>
          </cell>
          <cell r="E4275">
            <v>34000000</v>
          </cell>
          <cell r="F4275">
            <v>34000000</v>
          </cell>
          <cell r="G4275">
            <v>34000000</v>
          </cell>
          <cell r="H4275">
            <v>34000000</v>
          </cell>
          <cell r="I4275" t="str">
            <v/>
          </cell>
          <cell r="J4275" t="str">
            <v/>
          </cell>
          <cell r="K4275" t="str">
            <v/>
          </cell>
          <cell r="L4275" t="str">
            <v/>
          </cell>
        </row>
        <row r="4276">
          <cell r="A4276">
            <v>34000000</v>
          </cell>
          <cell r="C4276">
            <v>34000000</v>
          </cell>
          <cell r="D4276">
            <v>34000000</v>
          </cell>
          <cell r="E4276">
            <v>34000000</v>
          </cell>
          <cell r="F4276">
            <v>34000000</v>
          </cell>
          <cell r="G4276">
            <v>34000000</v>
          </cell>
          <cell r="H4276">
            <v>34000000</v>
          </cell>
          <cell r="I4276" t="str">
            <v/>
          </cell>
          <cell r="J4276" t="str">
            <v/>
          </cell>
          <cell r="K4276" t="str">
            <v/>
          </cell>
          <cell r="L4276" t="str">
            <v/>
          </cell>
        </row>
        <row r="4277">
          <cell r="A4277">
            <v>34000000</v>
          </cell>
          <cell r="C4277">
            <v>34000000</v>
          </cell>
          <cell r="D4277">
            <v>34000000</v>
          </cell>
          <cell r="E4277">
            <v>34000000</v>
          </cell>
          <cell r="F4277">
            <v>34000000</v>
          </cell>
          <cell r="G4277">
            <v>34000000</v>
          </cell>
          <cell r="H4277">
            <v>34000000</v>
          </cell>
          <cell r="I4277" t="str">
            <v/>
          </cell>
          <cell r="J4277" t="str">
            <v/>
          </cell>
          <cell r="K4277" t="str">
            <v/>
          </cell>
          <cell r="L4277" t="str">
            <v/>
          </cell>
        </row>
        <row r="4278">
          <cell r="A4278">
            <v>34000000</v>
          </cell>
          <cell r="C4278">
            <v>34000000</v>
          </cell>
          <cell r="D4278">
            <v>34000000</v>
          </cell>
          <cell r="E4278">
            <v>34000000</v>
          </cell>
          <cell r="F4278">
            <v>34000000</v>
          </cell>
          <cell r="G4278">
            <v>34000000</v>
          </cell>
          <cell r="H4278">
            <v>34000000</v>
          </cell>
          <cell r="I4278" t="str">
            <v/>
          </cell>
          <cell r="J4278" t="str">
            <v/>
          </cell>
          <cell r="K4278" t="str">
            <v/>
          </cell>
          <cell r="L4278" t="str">
            <v/>
          </cell>
        </row>
        <row r="4279">
          <cell r="A4279">
            <v>34000000</v>
          </cell>
          <cell r="C4279">
            <v>34000000</v>
          </cell>
          <cell r="D4279">
            <v>34000000</v>
          </cell>
          <cell r="E4279">
            <v>34000000</v>
          </cell>
          <cell r="F4279">
            <v>34000000</v>
          </cell>
          <cell r="G4279">
            <v>34000000</v>
          </cell>
          <cell r="H4279">
            <v>34000000</v>
          </cell>
          <cell r="I4279" t="str">
            <v/>
          </cell>
          <cell r="J4279" t="str">
            <v/>
          </cell>
          <cell r="K4279" t="str">
            <v/>
          </cell>
          <cell r="L4279" t="str">
            <v/>
          </cell>
        </row>
        <row r="4280">
          <cell r="A4280">
            <v>34000000</v>
          </cell>
          <cell r="C4280">
            <v>34000000</v>
          </cell>
          <cell r="D4280">
            <v>34000000</v>
          </cell>
          <cell r="E4280">
            <v>34000000</v>
          </cell>
          <cell r="F4280">
            <v>34000000</v>
          </cell>
          <cell r="G4280">
            <v>34000000</v>
          </cell>
          <cell r="H4280">
            <v>34000000</v>
          </cell>
          <cell r="I4280" t="str">
            <v/>
          </cell>
          <cell r="J4280" t="str">
            <v/>
          </cell>
          <cell r="K4280" t="str">
            <v/>
          </cell>
          <cell r="L4280" t="str">
            <v/>
          </cell>
        </row>
        <row r="4281">
          <cell r="A4281">
            <v>34000000</v>
          </cell>
          <cell r="C4281">
            <v>34000000</v>
          </cell>
          <cell r="D4281">
            <v>34000000</v>
          </cell>
          <cell r="E4281">
            <v>34000000</v>
          </cell>
          <cell r="F4281">
            <v>34000000</v>
          </cell>
          <cell r="G4281">
            <v>34000000</v>
          </cell>
          <cell r="H4281">
            <v>34000000</v>
          </cell>
          <cell r="I4281" t="str">
            <v/>
          </cell>
          <cell r="J4281" t="str">
            <v/>
          </cell>
          <cell r="K4281" t="str">
            <v/>
          </cell>
          <cell r="L4281" t="str">
            <v/>
          </cell>
        </row>
        <row r="4282">
          <cell r="A4282">
            <v>34000000</v>
          </cell>
          <cell r="C4282">
            <v>34000000</v>
          </cell>
          <cell r="D4282">
            <v>34000000</v>
          </cell>
          <cell r="E4282">
            <v>34000000</v>
          </cell>
          <cell r="F4282">
            <v>34000000</v>
          </cell>
          <cell r="G4282">
            <v>34000000</v>
          </cell>
          <cell r="H4282">
            <v>34000000</v>
          </cell>
          <cell r="I4282" t="str">
            <v/>
          </cell>
          <cell r="J4282" t="str">
            <v/>
          </cell>
          <cell r="K4282" t="str">
            <v/>
          </cell>
          <cell r="L4282" t="str">
            <v/>
          </cell>
        </row>
        <row r="4283">
          <cell r="A4283">
            <v>34000000</v>
          </cell>
          <cell r="C4283">
            <v>34000000</v>
          </cell>
          <cell r="D4283">
            <v>34000000</v>
          </cell>
          <cell r="E4283">
            <v>34000000</v>
          </cell>
          <cell r="F4283">
            <v>34000000</v>
          </cell>
          <cell r="G4283">
            <v>34000000</v>
          </cell>
          <cell r="H4283">
            <v>34000000</v>
          </cell>
          <cell r="I4283" t="str">
            <v/>
          </cell>
          <cell r="J4283" t="str">
            <v/>
          </cell>
          <cell r="K4283" t="str">
            <v/>
          </cell>
          <cell r="L4283" t="str">
            <v/>
          </cell>
        </row>
        <row r="4284">
          <cell r="A4284">
            <v>34000000</v>
          </cell>
          <cell r="C4284">
            <v>34000000</v>
          </cell>
          <cell r="D4284">
            <v>34000000</v>
          </cell>
          <cell r="E4284">
            <v>34000000</v>
          </cell>
          <cell r="F4284">
            <v>34000000</v>
          </cell>
          <cell r="G4284">
            <v>34000000</v>
          </cell>
          <cell r="H4284">
            <v>34000000</v>
          </cell>
          <cell r="I4284" t="str">
            <v/>
          </cell>
          <cell r="J4284" t="str">
            <v/>
          </cell>
          <cell r="K4284" t="str">
            <v/>
          </cell>
          <cell r="L4284" t="str">
            <v/>
          </cell>
        </row>
        <row r="4285">
          <cell r="A4285">
            <v>34000000</v>
          </cell>
          <cell r="C4285">
            <v>34000000</v>
          </cell>
          <cell r="D4285">
            <v>34000000</v>
          </cell>
          <cell r="E4285">
            <v>34000000</v>
          </cell>
          <cell r="F4285">
            <v>34000000</v>
          </cell>
          <cell r="G4285">
            <v>34000000</v>
          </cell>
          <cell r="H4285">
            <v>34000000</v>
          </cell>
          <cell r="I4285" t="str">
            <v/>
          </cell>
          <cell r="J4285" t="str">
            <v/>
          </cell>
          <cell r="K4285" t="str">
            <v/>
          </cell>
          <cell r="L4285" t="str">
            <v/>
          </cell>
        </row>
        <row r="4286">
          <cell r="A4286">
            <v>34000000</v>
          </cell>
          <cell r="C4286">
            <v>34000000</v>
          </cell>
          <cell r="D4286">
            <v>34000000</v>
          </cell>
          <cell r="E4286">
            <v>34000000</v>
          </cell>
          <cell r="F4286">
            <v>34000000</v>
          </cell>
          <cell r="G4286">
            <v>34000000</v>
          </cell>
          <cell r="H4286">
            <v>34000000</v>
          </cell>
          <cell r="I4286" t="str">
            <v/>
          </cell>
          <cell r="J4286" t="str">
            <v/>
          </cell>
          <cell r="K4286" t="str">
            <v/>
          </cell>
          <cell r="L4286" t="str">
            <v/>
          </cell>
        </row>
        <row r="4287">
          <cell r="A4287">
            <v>34000000</v>
          </cell>
          <cell r="C4287">
            <v>34000000</v>
          </cell>
          <cell r="D4287">
            <v>34000000</v>
          </cell>
          <cell r="E4287">
            <v>34000000</v>
          </cell>
          <cell r="F4287">
            <v>34000000</v>
          </cell>
          <cell r="G4287">
            <v>34000000</v>
          </cell>
          <cell r="H4287">
            <v>34000000</v>
          </cell>
          <cell r="I4287" t="str">
            <v/>
          </cell>
          <cell r="J4287" t="str">
            <v/>
          </cell>
          <cell r="K4287" t="str">
            <v/>
          </cell>
          <cell r="L4287" t="str">
            <v/>
          </cell>
        </row>
        <row r="4288">
          <cell r="A4288">
            <v>34000000</v>
          </cell>
          <cell r="C4288">
            <v>34000000</v>
          </cell>
          <cell r="D4288">
            <v>34000000</v>
          </cell>
          <cell r="E4288">
            <v>34000000</v>
          </cell>
          <cell r="F4288">
            <v>34000000</v>
          </cell>
          <cell r="G4288">
            <v>34000000</v>
          </cell>
          <cell r="H4288">
            <v>34000000</v>
          </cell>
          <cell r="I4288" t="str">
            <v/>
          </cell>
          <cell r="J4288" t="str">
            <v/>
          </cell>
          <cell r="K4288" t="str">
            <v/>
          </cell>
          <cell r="L4288" t="str">
            <v/>
          </cell>
        </row>
        <row r="4289">
          <cell r="A4289">
            <v>34000000</v>
          </cell>
          <cell r="C4289">
            <v>34000000</v>
          </cell>
          <cell r="D4289">
            <v>34000000</v>
          </cell>
          <cell r="E4289">
            <v>34000000</v>
          </cell>
          <cell r="F4289">
            <v>34000000</v>
          </cell>
          <cell r="G4289">
            <v>34000000</v>
          </cell>
          <cell r="H4289">
            <v>34000000</v>
          </cell>
          <cell r="I4289" t="str">
            <v/>
          </cell>
          <cell r="J4289" t="str">
            <v/>
          </cell>
          <cell r="K4289" t="str">
            <v/>
          </cell>
          <cell r="L4289" t="str">
            <v/>
          </cell>
        </row>
        <row r="4290">
          <cell r="A4290">
            <v>34000000</v>
          </cell>
          <cell r="C4290">
            <v>34000000</v>
          </cell>
          <cell r="D4290">
            <v>34000000</v>
          </cell>
          <cell r="E4290">
            <v>34000000</v>
          </cell>
          <cell r="F4290">
            <v>34000000</v>
          </cell>
          <cell r="G4290">
            <v>34000000</v>
          </cell>
          <cell r="H4290">
            <v>34000000</v>
          </cell>
          <cell r="I4290" t="str">
            <v/>
          </cell>
          <cell r="J4290" t="str">
            <v/>
          </cell>
          <cell r="K4290" t="str">
            <v/>
          </cell>
          <cell r="L4290" t="str">
            <v/>
          </cell>
        </row>
        <row r="4291">
          <cell r="A4291">
            <v>34000000</v>
          </cell>
          <cell r="C4291">
            <v>34000000</v>
          </cell>
          <cell r="D4291">
            <v>34000000</v>
          </cell>
          <cell r="E4291">
            <v>34000000</v>
          </cell>
          <cell r="F4291">
            <v>34000000</v>
          </cell>
          <cell r="G4291">
            <v>34000000</v>
          </cell>
          <cell r="H4291">
            <v>34000000</v>
          </cell>
          <cell r="I4291" t="str">
            <v/>
          </cell>
          <cell r="J4291" t="str">
            <v/>
          </cell>
          <cell r="K4291" t="str">
            <v/>
          </cell>
          <cell r="L4291" t="str">
            <v/>
          </cell>
        </row>
        <row r="4292">
          <cell r="A4292">
            <v>34000000</v>
          </cell>
          <cell r="C4292">
            <v>34000000</v>
          </cell>
          <cell r="D4292">
            <v>34000000</v>
          </cell>
          <cell r="E4292">
            <v>34000000</v>
          </cell>
          <cell r="F4292">
            <v>34000000</v>
          </cell>
          <cell r="G4292">
            <v>34000000</v>
          </cell>
          <cell r="H4292">
            <v>34000000</v>
          </cell>
          <cell r="I4292" t="str">
            <v/>
          </cell>
          <cell r="J4292" t="str">
            <v/>
          </cell>
          <cell r="K4292" t="str">
            <v/>
          </cell>
          <cell r="L4292" t="str">
            <v/>
          </cell>
        </row>
        <row r="4293">
          <cell r="A4293">
            <v>34000000</v>
          </cell>
          <cell r="C4293">
            <v>34000000</v>
          </cell>
          <cell r="D4293">
            <v>34000000</v>
          </cell>
          <cell r="E4293">
            <v>34000000</v>
          </cell>
          <cell r="F4293">
            <v>34000000</v>
          </cell>
          <cell r="G4293">
            <v>34000000</v>
          </cell>
          <cell r="H4293">
            <v>34000000</v>
          </cell>
          <cell r="I4293" t="str">
            <v/>
          </cell>
          <cell r="J4293" t="str">
            <v/>
          </cell>
          <cell r="K4293" t="str">
            <v/>
          </cell>
          <cell r="L4293" t="str">
            <v/>
          </cell>
        </row>
        <row r="4294">
          <cell r="A4294">
            <v>34000000</v>
          </cell>
          <cell r="C4294">
            <v>34000000</v>
          </cell>
          <cell r="D4294">
            <v>34000000</v>
          </cell>
          <cell r="E4294">
            <v>34000000</v>
          </cell>
          <cell r="F4294">
            <v>34000000</v>
          </cell>
          <cell r="G4294">
            <v>34000000</v>
          </cell>
          <cell r="H4294">
            <v>34000000</v>
          </cell>
          <cell r="I4294" t="str">
            <v/>
          </cell>
          <cell r="J4294" t="str">
            <v/>
          </cell>
          <cell r="K4294" t="str">
            <v/>
          </cell>
          <cell r="L4294" t="str">
            <v/>
          </cell>
        </row>
        <row r="4295">
          <cell r="A4295">
            <v>34000000</v>
          </cell>
          <cell r="C4295">
            <v>34000000</v>
          </cell>
          <cell r="D4295">
            <v>34000000</v>
          </cell>
          <cell r="E4295">
            <v>34000000</v>
          </cell>
          <cell r="F4295">
            <v>34000000</v>
          </cell>
          <cell r="G4295">
            <v>34000000</v>
          </cell>
          <cell r="H4295">
            <v>34000000</v>
          </cell>
          <cell r="I4295" t="str">
            <v/>
          </cell>
          <cell r="J4295" t="str">
            <v/>
          </cell>
          <cell r="K4295" t="str">
            <v/>
          </cell>
          <cell r="L4295" t="str">
            <v/>
          </cell>
        </row>
        <row r="4296">
          <cell r="A4296">
            <v>34000000</v>
          </cell>
          <cell r="C4296">
            <v>34000000</v>
          </cell>
          <cell r="D4296">
            <v>34000000</v>
          </cell>
          <cell r="E4296">
            <v>34000000</v>
          </cell>
          <cell r="F4296">
            <v>34000000</v>
          </cell>
          <cell r="G4296">
            <v>34000000</v>
          </cell>
          <cell r="H4296">
            <v>34000000</v>
          </cell>
          <cell r="I4296" t="str">
            <v/>
          </cell>
          <cell r="J4296" t="str">
            <v/>
          </cell>
          <cell r="K4296" t="str">
            <v/>
          </cell>
          <cell r="L4296" t="str">
            <v/>
          </cell>
        </row>
        <row r="4297">
          <cell r="A4297">
            <v>34000000</v>
          </cell>
          <cell r="C4297">
            <v>34000000</v>
          </cell>
          <cell r="D4297">
            <v>34000000</v>
          </cell>
          <cell r="E4297">
            <v>34000000</v>
          </cell>
          <cell r="F4297">
            <v>34000000</v>
          </cell>
          <cell r="G4297">
            <v>34000000</v>
          </cell>
          <cell r="H4297">
            <v>34000000</v>
          </cell>
          <cell r="I4297" t="str">
            <v/>
          </cell>
          <cell r="J4297" t="str">
            <v/>
          </cell>
          <cell r="K4297" t="str">
            <v/>
          </cell>
          <cell r="L4297" t="str">
            <v/>
          </cell>
        </row>
        <row r="4298">
          <cell r="A4298">
            <v>34000000</v>
          </cell>
          <cell r="C4298">
            <v>34000000</v>
          </cell>
          <cell r="D4298">
            <v>34000000</v>
          </cell>
          <cell r="E4298">
            <v>34000000</v>
          </cell>
          <cell r="F4298">
            <v>34000000</v>
          </cell>
          <cell r="G4298">
            <v>34000000</v>
          </cell>
          <cell r="H4298">
            <v>34000000</v>
          </cell>
          <cell r="I4298" t="str">
            <v/>
          </cell>
          <cell r="J4298" t="str">
            <v/>
          </cell>
          <cell r="K4298" t="str">
            <v/>
          </cell>
          <cell r="L4298" t="str">
            <v/>
          </cell>
        </row>
        <row r="4299">
          <cell r="A4299">
            <v>34000000</v>
          </cell>
          <cell r="C4299">
            <v>34000000</v>
          </cell>
          <cell r="D4299">
            <v>34000000</v>
          </cell>
          <cell r="E4299">
            <v>34000000</v>
          </cell>
          <cell r="F4299">
            <v>34000000</v>
          </cell>
          <cell r="G4299">
            <v>34000000</v>
          </cell>
          <cell r="H4299">
            <v>34000000</v>
          </cell>
          <cell r="I4299" t="str">
            <v/>
          </cell>
          <cell r="J4299" t="str">
            <v/>
          </cell>
          <cell r="K4299" t="str">
            <v/>
          </cell>
          <cell r="L4299" t="str">
            <v/>
          </cell>
        </row>
        <row r="4300">
          <cell r="A4300">
            <v>34000000</v>
          </cell>
          <cell r="C4300">
            <v>34000000</v>
          </cell>
          <cell r="D4300">
            <v>34000000</v>
          </cell>
          <cell r="E4300">
            <v>34000000</v>
          </cell>
          <cell r="F4300">
            <v>34000000</v>
          </cell>
          <cell r="G4300">
            <v>34000000</v>
          </cell>
          <cell r="H4300">
            <v>34000000</v>
          </cell>
          <cell r="I4300" t="str">
            <v/>
          </cell>
          <cell r="J4300" t="str">
            <v/>
          </cell>
          <cell r="K4300" t="str">
            <v/>
          </cell>
          <cell r="L4300" t="str">
            <v/>
          </cell>
        </row>
        <row r="4301">
          <cell r="A4301">
            <v>34000000</v>
          </cell>
          <cell r="C4301">
            <v>34000000</v>
          </cell>
          <cell r="D4301">
            <v>34000000</v>
          </cell>
          <cell r="E4301">
            <v>34000000</v>
          </cell>
          <cell r="F4301">
            <v>34000000</v>
          </cell>
          <cell r="G4301">
            <v>34000000</v>
          </cell>
          <cell r="H4301">
            <v>34000000</v>
          </cell>
          <cell r="I4301" t="str">
            <v/>
          </cell>
          <cell r="J4301" t="str">
            <v/>
          </cell>
          <cell r="K4301" t="str">
            <v/>
          </cell>
          <cell r="L4301" t="str">
            <v/>
          </cell>
        </row>
        <row r="4302">
          <cell r="A4302">
            <v>34000000</v>
          </cell>
          <cell r="C4302">
            <v>34000000</v>
          </cell>
          <cell r="D4302">
            <v>34000000</v>
          </cell>
          <cell r="E4302">
            <v>34000000</v>
          </cell>
          <cell r="F4302">
            <v>34000000</v>
          </cell>
          <cell r="G4302">
            <v>34000000</v>
          </cell>
          <cell r="H4302">
            <v>34000000</v>
          </cell>
          <cell r="I4302" t="str">
            <v/>
          </cell>
          <cell r="J4302" t="str">
            <v/>
          </cell>
          <cell r="K4302" t="str">
            <v/>
          </cell>
          <cell r="L4302" t="str">
            <v/>
          </cell>
        </row>
        <row r="4303">
          <cell r="A4303">
            <v>34000000</v>
          </cell>
          <cell r="C4303">
            <v>34000000</v>
          </cell>
          <cell r="D4303">
            <v>34000000</v>
          </cell>
          <cell r="E4303">
            <v>34000000</v>
          </cell>
          <cell r="F4303">
            <v>34000000</v>
          </cell>
          <cell r="G4303">
            <v>34000000</v>
          </cell>
          <cell r="H4303">
            <v>34000000</v>
          </cell>
          <cell r="I4303" t="str">
            <v/>
          </cell>
          <cell r="J4303" t="str">
            <v/>
          </cell>
          <cell r="K4303" t="str">
            <v/>
          </cell>
          <cell r="L4303" t="str">
            <v/>
          </cell>
        </row>
        <row r="4304">
          <cell r="A4304">
            <v>34000000</v>
          </cell>
          <cell r="C4304">
            <v>34000000</v>
          </cell>
          <cell r="D4304">
            <v>34000000</v>
          </cell>
          <cell r="E4304">
            <v>34000000</v>
          </cell>
          <cell r="F4304">
            <v>34000000</v>
          </cell>
          <cell r="G4304">
            <v>34000000</v>
          </cell>
          <cell r="H4304">
            <v>34000000</v>
          </cell>
          <cell r="I4304" t="str">
            <v/>
          </cell>
          <cell r="J4304" t="str">
            <v/>
          </cell>
          <cell r="K4304" t="str">
            <v/>
          </cell>
          <cell r="L4304" t="str">
            <v/>
          </cell>
        </row>
        <row r="4305">
          <cell r="A4305">
            <v>34000000</v>
          </cell>
          <cell r="C4305">
            <v>34000000</v>
          </cell>
          <cell r="D4305">
            <v>34000000</v>
          </cell>
          <cell r="E4305">
            <v>34000000</v>
          </cell>
          <cell r="F4305">
            <v>34000000</v>
          </cell>
          <cell r="G4305">
            <v>34000000</v>
          </cell>
          <cell r="H4305">
            <v>34000000</v>
          </cell>
          <cell r="I4305" t="str">
            <v/>
          </cell>
          <cell r="J4305" t="str">
            <v/>
          </cell>
          <cell r="K4305" t="str">
            <v/>
          </cell>
          <cell r="L4305" t="str">
            <v/>
          </cell>
        </row>
        <row r="4306">
          <cell r="A4306">
            <v>34000000</v>
          </cell>
          <cell r="C4306">
            <v>34000000</v>
          </cell>
          <cell r="D4306">
            <v>34000000</v>
          </cell>
          <cell r="E4306">
            <v>34000000</v>
          </cell>
          <cell r="F4306">
            <v>34000000</v>
          </cell>
          <cell r="G4306">
            <v>34000000</v>
          </cell>
          <cell r="H4306">
            <v>34000000</v>
          </cell>
          <cell r="I4306" t="str">
            <v/>
          </cell>
          <cell r="J4306" t="str">
            <v/>
          </cell>
          <cell r="K4306" t="str">
            <v/>
          </cell>
          <cell r="L4306" t="str">
            <v/>
          </cell>
        </row>
        <row r="4307">
          <cell r="A4307">
            <v>34000000</v>
          </cell>
          <cell r="C4307">
            <v>34000000</v>
          </cell>
          <cell r="D4307">
            <v>34000000</v>
          </cell>
          <cell r="E4307">
            <v>34000000</v>
          </cell>
          <cell r="F4307">
            <v>34000000</v>
          </cell>
          <cell r="G4307">
            <v>34000000</v>
          </cell>
          <cell r="H4307">
            <v>34000000</v>
          </cell>
          <cell r="I4307" t="str">
            <v/>
          </cell>
          <cell r="J4307" t="str">
            <v/>
          </cell>
          <cell r="K4307" t="str">
            <v/>
          </cell>
          <cell r="L4307" t="str">
            <v/>
          </cell>
        </row>
        <row r="4308">
          <cell r="A4308">
            <v>34000000</v>
          </cell>
          <cell r="C4308">
            <v>34000000</v>
          </cell>
          <cell r="D4308">
            <v>34000000</v>
          </cell>
          <cell r="E4308">
            <v>34000000</v>
          </cell>
          <cell r="F4308">
            <v>34000000</v>
          </cell>
          <cell r="G4308">
            <v>34000000</v>
          </cell>
          <cell r="H4308">
            <v>34000000</v>
          </cell>
          <cell r="I4308" t="str">
            <v/>
          </cell>
          <cell r="J4308" t="str">
            <v/>
          </cell>
          <cell r="K4308" t="str">
            <v/>
          </cell>
          <cell r="L4308" t="str">
            <v/>
          </cell>
        </row>
        <row r="4309">
          <cell r="A4309">
            <v>34000000</v>
          </cell>
          <cell r="C4309">
            <v>34000000</v>
          </cell>
          <cell r="D4309">
            <v>34000000</v>
          </cell>
          <cell r="E4309">
            <v>34000000</v>
          </cell>
          <cell r="F4309">
            <v>34000000</v>
          </cell>
          <cell r="G4309">
            <v>34000000</v>
          </cell>
          <cell r="H4309">
            <v>34000000</v>
          </cell>
          <cell r="I4309" t="str">
            <v/>
          </cell>
          <cell r="J4309" t="str">
            <v/>
          </cell>
          <cell r="K4309" t="str">
            <v/>
          </cell>
          <cell r="L4309" t="str">
            <v/>
          </cell>
        </row>
        <row r="4310">
          <cell r="A4310">
            <v>34000000</v>
          </cell>
          <cell r="C4310">
            <v>34000000</v>
          </cell>
          <cell r="D4310">
            <v>34000000</v>
          </cell>
          <cell r="E4310">
            <v>34000000</v>
          </cell>
          <cell r="F4310">
            <v>34000000</v>
          </cell>
          <cell r="G4310">
            <v>34000000</v>
          </cell>
          <cell r="H4310">
            <v>34000000</v>
          </cell>
          <cell r="I4310" t="str">
            <v/>
          </cell>
          <cell r="J4310" t="str">
            <v/>
          </cell>
          <cell r="K4310" t="str">
            <v/>
          </cell>
          <cell r="L4310" t="str">
            <v/>
          </cell>
        </row>
        <row r="4311">
          <cell r="A4311">
            <v>34000000</v>
          </cell>
          <cell r="C4311">
            <v>34000000</v>
          </cell>
          <cell r="D4311">
            <v>34000000</v>
          </cell>
          <cell r="E4311">
            <v>34000000</v>
          </cell>
          <cell r="F4311">
            <v>34000000</v>
          </cell>
          <cell r="G4311">
            <v>34000000</v>
          </cell>
          <cell r="H4311">
            <v>34000000</v>
          </cell>
          <cell r="I4311" t="str">
            <v/>
          </cell>
          <cell r="J4311" t="str">
            <v/>
          </cell>
          <cell r="K4311" t="str">
            <v/>
          </cell>
          <cell r="L4311" t="str">
            <v/>
          </cell>
        </row>
        <row r="4312">
          <cell r="A4312">
            <v>34000000</v>
          </cell>
          <cell r="C4312">
            <v>34000000</v>
          </cell>
          <cell r="D4312">
            <v>34000000</v>
          </cell>
          <cell r="E4312">
            <v>34000000</v>
          </cell>
          <cell r="F4312">
            <v>34000000</v>
          </cell>
          <cell r="G4312">
            <v>34000000</v>
          </cell>
          <cell r="H4312">
            <v>34000000</v>
          </cell>
          <cell r="I4312" t="str">
            <v/>
          </cell>
          <cell r="J4312" t="str">
            <v/>
          </cell>
          <cell r="K4312" t="str">
            <v/>
          </cell>
          <cell r="L4312" t="str">
            <v/>
          </cell>
        </row>
        <row r="4313">
          <cell r="A4313">
            <v>34000000</v>
          </cell>
          <cell r="C4313">
            <v>34000000</v>
          </cell>
          <cell r="D4313">
            <v>34000000</v>
          </cell>
          <cell r="E4313">
            <v>34000000</v>
          </cell>
          <cell r="F4313">
            <v>34000000</v>
          </cell>
          <cell r="G4313">
            <v>34000000</v>
          </cell>
          <cell r="H4313">
            <v>34000000</v>
          </cell>
          <cell r="I4313" t="str">
            <v/>
          </cell>
          <cell r="J4313" t="str">
            <v/>
          </cell>
          <cell r="K4313" t="str">
            <v/>
          </cell>
          <cell r="L4313" t="str">
            <v/>
          </cell>
        </row>
        <row r="4314">
          <cell r="A4314">
            <v>34000000</v>
          </cell>
          <cell r="C4314">
            <v>34000000</v>
          </cell>
          <cell r="D4314">
            <v>34000000</v>
          </cell>
          <cell r="E4314">
            <v>34000000</v>
          </cell>
          <cell r="F4314">
            <v>34000000</v>
          </cell>
          <cell r="G4314">
            <v>34000000</v>
          </cell>
          <cell r="H4314">
            <v>34000000</v>
          </cell>
          <cell r="I4314" t="str">
            <v/>
          </cell>
          <cell r="J4314" t="str">
            <v/>
          </cell>
          <cell r="K4314" t="str">
            <v/>
          </cell>
          <cell r="L4314" t="str">
            <v/>
          </cell>
        </row>
        <row r="4315">
          <cell r="A4315">
            <v>34000000</v>
          </cell>
          <cell r="C4315">
            <v>34000000</v>
          </cell>
          <cell r="D4315">
            <v>34000000</v>
          </cell>
          <cell r="E4315">
            <v>34000000</v>
          </cell>
          <cell r="F4315">
            <v>34000000</v>
          </cell>
          <cell r="G4315">
            <v>34000000</v>
          </cell>
          <cell r="H4315">
            <v>34000000</v>
          </cell>
          <cell r="I4315" t="str">
            <v/>
          </cell>
          <cell r="J4315" t="str">
            <v/>
          </cell>
          <cell r="K4315" t="str">
            <v/>
          </cell>
          <cell r="L4315" t="str">
            <v/>
          </cell>
        </row>
        <row r="4316">
          <cell r="A4316">
            <v>34000000</v>
          </cell>
          <cell r="C4316">
            <v>34000000</v>
          </cell>
          <cell r="D4316">
            <v>34000000</v>
          </cell>
          <cell r="E4316">
            <v>34000000</v>
          </cell>
          <cell r="F4316">
            <v>34000000</v>
          </cell>
          <cell r="G4316">
            <v>34000000</v>
          </cell>
          <cell r="H4316">
            <v>34000000</v>
          </cell>
          <cell r="I4316" t="str">
            <v/>
          </cell>
          <cell r="J4316" t="str">
            <v/>
          </cell>
          <cell r="K4316" t="str">
            <v/>
          </cell>
          <cell r="L4316" t="str">
            <v/>
          </cell>
        </row>
        <row r="4317">
          <cell r="A4317">
            <v>34000000</v>
          </cell>
          <cell r="C4317">
            <v>34000000</v>
          </cell>
          <cell r="D4317">
            <v>34000000</v>
          </cell>
          <cell r="E4317">
            <v>34000000</v>
          </cell>
          <cell r="F4317">
            <v>34000000</v>
          </cell>
          <cell r="G4317">
            <v>34000000</v>
          </cell>
          <cell r="H4317">
            <v>34000000</v>
          </cell>
          <cell r="I4317" t="str">
            <v/>
          </cell>
          <cell r="J4317" t="str">
            <v/>
          </cell>
          <cell r="K4317" t="str">
            <v/>
          </cell>
          <cell r="L4317" t="str">
            <v/>
          </cell>
        </row>
        <row r="4318">
          <cell r="A4318">
            <v>34000000</v>
          </cell>
          <cell r="C4318">
            <v>34000000</v>
          </cell>
          <cell r="D4318">
            <v>34000000</v>
          </cell>
          <cell r="E4318">
            <v>34000000</v>
          </cell>
          <cell r="F4318">
            <v>34000000</v>
          </cell>
          <cell r="G4318">
            <v>34000000</v>
          </cell>
          <cell r="H4318">
            <v>34000000</v>
          </cell>
          <cell r="I4318" t="str">
            <v/>
          </cell>
          <cell r="J4318" t="str">
            <v/>
          </cell>
          <cell r="K4318" t="str">
            <v/>
          </cell>
          <cell r="L4318" t="str">
            <v/>
          </cell>
        </row>
        <row r="4319">
          <cell r="A4319">
            <v>34000000</v>
          </cell>
          <cell r="C4319">
            <v>34000000</v>
          </cell>
          <cell r="D4319">
            <v>34000000</v>
          </cell>
          <cell r="E4319">
            <v>34000000</v>
          </cell>
          <cell r="F4319">
            <v>34000000</v>
          </cell>
          <cell r="G4319">
            <v>34000000</v>
          </cell>
          <cell r="H4319">
            <v>34000000</v>
          </cell>
          <cell r="I4319" t="str">
            <v/>
          </cell>
          <cell r="J4319" t="str">
            <v/>
          </cell>
          <cell r="K4319" t="str">
            <v/>
          </cell>
          <cell r="L4319" t="str">
            <v/>
          </cell>
        </row>
        <row r="4320">
          <cell r="A4320">
            <v>34000000</v>
          </cell>
          <cell r="C4320">
            <v>34000000</v>
          </cell>
          <cell r="D4320">
            <v>34000000</v>
          </cell>
          <cell r="E4320">
            <v>34000000</v>
          </cell>
          <cell r="F4320">
            <v>34000000</v>
          </cell>
          <cell r="G4320">
            <v>34000000</v>
          </cell>
          <cell r="H4320">
            <v>34000000</v>
          </cell>
          <cell r="I4320" t="str">
            <v/>
          </cell>
          <cell r="J4320" t="str">
            <v/>
          </cell>
          <cell r="K4320" t="str">
            <v/>
          </cell>
          <cell r="L4320" t="str">
            <v/>
          </cell>
        </row>
        <row r="4321">
          <cell r="A4321">
            <v>34000000</v>
          </cell>
          <cell r="C4321">
            <v>34000000</v>
          </cell>
          <cell r="D4321">
            <v>34000000</v>
          </cell>
          <cell r="E4321">
            <v>34000000</v>
          </cell>
          <cell r="F4321">
            <v>34000000</v>
          </cell>
          <cell r="G4321">
            <v>34000000</v>
          </cell>
          <cell r="H4321">
            <v>34000000</v>
          </cell>
          <cell r="I4321" t="str">
            <v/>
          </cell>
          <cell r="J4321" t="str">
            <v/>
          </cell>
          <cell r="K4321" t="str">
            <v/>
          </cell>
          <cell r="L4321" t="str">
            <v/>
          </cell>
        </row>
        <row r="4322">
          <cell r="A4322">
            <v>34000000</v>
          </cell>
          <cell r="C4322">
            <v>34000000</v>
          </cell>
          <cell r="D4322">
            <v>34000000</v>
          </cell>
          <cell r="E4322">
            <v>34000000</v>
          </cell>
          <cell r="F4322">
            <v>34000000</v>
          </cell>
          <cell r="G4322">
            <v>34000000</v>
          </cell>
          <cell r="H4322">
            <v>34000000</v>
          </cell>
          <cell r="I4322" t="str">
            <v/>
          </cell>
          <cell r="J4322" t="str">
            <v/>
          </cell>
          <cell r="K4322" t="str">
            <v/>
          </cell>
          <cell r="L4322" t="str">
            <v/>
          </cell>
        </row>
        <row r="4323">
          <cell r="A4323">
            <v>34000000</v>
          </cell>
          <cell r="C4323">
            <v>34000000</v>
          </cell>
          <cell r="D4323">
            <v>34000000</v>
          </cell>
          <cell r="E4323">
            <v>34000000</v>
          </cell>
          <cell r="F4323">
            <v>34000000</v>
          </cell>
          <cell r="G4323">
            <v>34000000</v>
          </cell>
          <cell r="H4323">
            <v>34000000</v>
          </cell>
          <cell r="I4323" t="str">
            <v/>
          </cell>
          <cell r="J4323" t="str">
            <v/>
          </cell>
          <cell r="K4323" t="str">
            <v/>
          </cell>
          <cell r="L4323" t="str">
            <v/>
          </cell>
        </row>
        <row r="4324">
          <cell r="A4324">
            <v>34000000</v>
          </cell>
          <cell r="C4324">
            <v>34000000</v>
          </cell>
          <cell r="D4324">
            <v>34000000</v>
          </cell>
          <cell r="E4324">
            <v>34000000</v>
          </cell>
          <cell r="F4324">
            <v>34000000</v>
          </cell>
          <cell r="G4324">
            <v>34000000</v>
          </cell>
          <cell r="H4324">
            <v>34000000</v>
          </cell>
          <cell r="I4324" t="str">
            <v/>
          </cell>
          <cell r="J4324" t="str">
            <v/>
          </cell>
          <cell r="K4324" t="str">
            <v/>
          </cell>
          <cell r="L4324" t="str">
            <v/>
          </cell>
        </row>
        <row r="4325">
          <cell r="A4325">
            <v>34000000</v>
          </cell>
          <cell r="C4325">
            <v>34000000</v>
          </cell>
          <cell r="D4325">
            <v>34000000</v>
          </cell>
          <cell r="E4325">
            <v>34000000</v>
          </cell>
          <cell r="F4325">
            <v>34000000</v>
          </cell>
          <cell r="G4325">
            <v>34000000</v>
          </cell>
          <cell r="H4325">
            <v>34000000</v>
          </cell>
          <cell r="I4325" t="str">
            <v/>
          </cell>
          <cell r="J4325" t="str">
            <v/>
          </cell>
          <cell r="K4325" t="str">
            <v/>
          </cell>
          <cell r="L4325" t="str">
            <v/>
          </cell>
        </row>
        <row r="4326">
          <cell r="A4326">
            <v>34000000</v>
          </cell>
          <cell r="C4326">
            <v>34000000</v>
          </cell>
          <cell r="D4326">
            <v>34000000</v>
          </cell>
          <cell r="E4326">
            <v>34000000</v>
          </cell>
          <cell r="F4326">
            <v>34000000</v>
          </cell>
          <cell r="G4326">
            <v>34000000</v>
          </cell>
          <cell r="H4326">
            <v>34000000</v>
          </cell>
          <cell r="I4326" t="str">
            <v/>
          </cell>
          <cell r="J4326" t="str">
            <v/>
          </cell>
          <cell r="K4326" t="str">
            <v/>
          </cell>
          <cell r="L4326" t="str">
            <v/>
          </cell>
        </row>
        <row r="4327">
          <cell r="A4327">
            <v>34000000</v>
          </cell>
          <cell r="C4327">
            <v>34000000</v>
          </cell>
          <cell r="D4327">
            <v>34000000</v>
          </cell>
          <cell r="E4327">
            <v>34000000</v>
          </cell>
          <cell r="F4327">
            <v>34000000</v>
          </cell>
          <cell r="G4327">
            <v>34000000</v>
          </cell>
          <cell r="H4327">
            <v>34000000</v>
          </cell>
          <cell r="I4327" t="str">
            <v/>
          </cell>
          <cell r="J4327" t="str">
            <v/>
          </cell>
          <cell r="K4327" t="str">
            <v/>
          </cell>
          <cell r="L4327" t="str">
            <v/>
          </cell>
        </row>
        <row r="4328">
          <cell r="A4328">
            <v>34000000</v>
          </cell>
          <cell r="C4328">
            <v>34000000</v>
          </cell>
          <cell r="D4328">
            <v>34000000</v>
          </cell>
          <cell r="E4328">
            <v>34000000</v>
          </cell>
          <cell r="F4328">
            <v>34000000</v>
          </cell>
          <cell r="G4328">
            <v>34000000</v>
          </cell>
          <cell r="H4328">
            <v>34000000</v>
          </cell>
          <cell r="I4328" t="str">
            <v/>
          </cell>
          <cell r="J4328" t="str">
            <v/>
          </cell>
          <cell r="K4328" t="str">
            <v/>
          </cell>
          <cell r="L4328" t="str">
            <v/>
          </cell>
        </row>
        <row r="4329">
          <cell r="A4329">
            <v>34000000</v>
          </cell>
          <cell r="C4329">
            <v>34000000</v>
          </cell>
          <cell r="D4329">
            <v>34000000</v>
          </cell>
          <cell r="E4329">
            <v>34000000</v>
          </cell>
          <cell r="F4329">
            <v>34000000</v>
          </cell>
          <cell r="G4329">
            <v>34000000</v>
          </cell>
          <cell r="H4329">
            <v>34000000</v>
          </cell>
          <cell r="I4329" t="str">
            <v/>
          </cell>
          <cell r="J4329" t="str">
            <v/>
          </cell>
          <cell r="K4329" t="str">
            <v/>
          </cell>
          <cell r="L4329" t="str">
            <v/>
          </cell>
        </row>
        <row r="4330">
          <cell r="A4330">
            <v>34000000</v>
          </cell>
          <cell r="C4330">
            <v>34000000</v>
          </cell>
          <cell r="D4330">
            <v>34000000</v>
          </cell>
          <cell r="E4330">
            <v>34000000</v>
          </cell>
          <cell r="F4330">
            <v>34000000</v>
          </cell>
          <cell r="G4330">
            <v>34000000</v>
          </cell>
          <cell r="H4330">
            <v>34000000</v>
          </cell>
          <cell r="I4330" t="str">
            <v/>
          </cell>
          <cell r="J4330" t="str">
            <v/>
          </cell>
          <cell r="K4330" t="str">
            <v/>
          </cell>
          <cell r="L4330" t="str">
            <v/>
          </cell>
        </row>
        <row r="4331">
          <cell r="A4331">
            <v>34000000</v>
          </cell>
          <cell r="C4331">
            <v>34000000</v>
          </cell>
          <cell r="D4331">
            <v>34000000</v>
          </cell>
          <cell r="E4331">
            <v>34000000</v>
          </cell>
          <cell r="F4331">
            <v>34000000</v>
          </cell>
          <cell r="G4331">
            <v>34000000</v>
          </cell>
          <cell r="H4331">
            <v>34000000</v>
          </cell>
          <cell r="I4331" t="str">
            <v/>
          </cell>
          <cell r="J4331" t="str">
            <v/>
          </cell>
          <cell r="K4331" t="str">
            <v/>
          </cell>
          <cell r="L4331" t="str">
            <v/>
          </cell>
        </row>
        <row r="4332">
          <cell r="A4332">
            <v>34000000</v>
          </cell>
          <cell r="C4332">
            <v>34000000</v>
          </cell>
          <cell r="D4332">
            <v>34000000</v>
          </cell>
          <cell r="E4332">
            <v>34000000</v>
          </cell>
          <cell r="F4332">
            <v>34000000</v>
          </cell>
          <cell r="G4332">
            <v>34000000</v>
          </cell>
          <cell r="H4332">
            <v>34000000</v>
          </cell>
          <cell r="I4332" t="str">
            <v/>
          </cell>
          <cell r="J4332" t="str">
            <v/>
          </cell>
          <cell r="K4332" t="str">
            <v/>
          </cell>
          <cell r="L4332" t="str">
            <v/>
          </cell>
        </row>
        <row r="4333">
          <cell r="A4333">
            <v>34000000</v>
          </cell>
          <cell r="C4333">
            <v>34000000</v>
          </cell>
          <cell r="D4333">
            <v>34000000</v>
          </cell>
          <cell r="E4333">
            <v>34000000</v>
          </cell>
          <cell r="F4333">
            <v>34000000</v>
          </cell>
          <cell r="G4333">
            <v>34000000</v>
          </cell>
          <cell r="H4333">
            <v>34000000</v>
          </cell>
          <cell r="I4333" t="str">
            <v/>
          </cell>
          <cell r="J4333" t="str">
            <v/>
          </cell>
          <cell r="K4333" t="str">
            <v/>
          </cell>
          <cell r="L4333" t="str">
            <v/>
          </cell>
        </row>
        <row r="4334">
          <cell r="A4334">
            <v>34000000</v>
          </cell>
          <cell r="C4334">
            <v>34000000</v>
          </cell>
          <cell r="D4334">
            <v>34000000</v>
          </cell>
          <cell r="E4334">
            <v>34000000</v>
          </cell>
          <cell r="F4334">
            <v>34000000</v>
          </cell>
          <cell r="G4334">
            <v>34000000</v>
          </cell>
          <cell r="H4334">
            <v>34000000</v>
          </cell>
          <cell r="I4334" t="str">
            <v/>
          </cell>
          <cell r="J4334" t="str">
            <v/>
          </cell>
          <cell r="K4334" t="str">
            <v/>
          </cell>
          <cell r="L4334" t="str">
            <v/>
          </cell>
        </row>
        <row r="4335">
          <cell r="A4335">
            <v>34000000</v>
          </cell>
          <cell r="C4335">
            <v>34000000</v>
          </cell>
          <cell r="D4335">
            <v>34000000</v>
          </cell>
          <cell r="E4335">
            <v>34000000</v>
          </cell>
          <cell r="F4335">
            <v>34000000</v>
          </cell>
          <cell r="G4335">
            <v>34000000</v>
          </cell>
          <cell r="H4335">
            <v>34000000</v>
          </cell>
          <cell r="I4335" t="str">
            <v/>
          </cell>
          <cell r="J4335" t="str">
            <v/>
          </cell>
          <cell r="K4335" t="str">
            <v/>
          </cell>
          <cell r="L4335" t="str">
            <v/>
          </cell>
        </row>
        <row r="4336">
          <cell r="A4336">
            <v>34000000</v>
          </cell>
          <cell r="C4336">
            <v>34000000</v>
          </cell>
          <cell r="D4336">
            <v>34000000</v>
          </cell>
          <cell r="E4336">
            <v>34000000</v>
          </cell>
          <cell r="F4336">
            <v>34000000</v>
          </cell>
          <cell r="G4336">
            <v>34000000</v>
          </cell>
          <cell r="H4336">
            <v>34000000</v>
          </cell>
          <cell r="I4336" t="str">
            <v/>
          </cell>
          <cell r="J4336" t="str">
            <v/>
          </cell>
          <cell r="K4336" t="str">
            <v/>
          </cell>
          <cell r="L4336" t="str">
            <v/>
          </cell>
        </row>
        <row r="4337">
          <cell r="A4337">
            <v>34000000</v>
          </cell>
          <cell r="C4337">
            <v>34000000</v>
          </cell>
          <cell r="D4337">
            <v>34000000</v>
          </cell>
          <cell r="E4337">
            <v>34000000</v>
          </cell>
          <cell r="F4337">
            <v>34000000</v>
          </cell>
          <cell r="G4337">
            <v>34000000</v>
          </cell>
          <cell r="H4337">
            <v>34000000</v>
          </cell>
          <cell r="I4337" t="str">
            <v/>
          </cell>
          <cell r="J4337" t="str">
            <v/>
          </cell>
          <cell r="K4337" t="str">
            <v/>
          </cell>
          <cell r="L4337" t="str">
            <v/>
          </cell>
        </row>
        <row r="4338">
          <cell r="A4338">
            <v>34000000</v>
          </cell>
          <cell r="C4338">
            <v>34000000</v>
          </cell>
          <cell r="D4338">
            <v>34000000</v>
          </cell>
          <cell r="E4338">
            <v>34000000</v>
          </cell>
          <cell r="F4338">
            <v>34000000</v>
          </cell>
          <cell r="G4338">
            <v>34000000</v>
          </cell>
          <cell r="H4338">
            <v>34000000</v>
          </cell>
          <cell r="I4338" t="str">
            <v/>
          </cell>
          <cell r="J4338" t="str">
            <v/>
          </cell>
          <cell r="K4338" t="str">
            <v/>
          </cell>
          <cell r="L4338" t="str">
            <v/>
          </cell>
        </row>
        <row r="4339">
          <cell r="A4339">
            <v>34000000</v>
          </cell>
          <cell r="C4339">
            <v>34000000</v>
          </cell>
          <cell r="D4339">
            <v>34000000</v>
          </cell>
          <cell r="E4339">
            <v>34000000</v>
          </cell>
          <cell r="F4339">
            <v>34000000</v>
          </cell>
          <cell r="G4339">
            <v>34000000</v>
          </cell>
          <cell r="H4339">
            <v>34000000</v>
          </cell>
          <cell r="I4339" t="str">
            <v/>
          </cell>
          <cell r="J4339" t="str">
            <v/>
          </cell>
          <cell r="K4339" t="str">
            <v/>
          </cell>
          <cell r="L4339" t="str">
            <v/>
          </cell>
        </row>
        <row r="4340">
          <cell r="A4340">
            <v>34000000</v>
          </cell>
          <cell r="C4340">
            <v>34000000</v>
          </cell>
          <cell r="D4340">
            <v>34000000</v>
          </cell>
          <cell r="E4340">
            <v>34000000</v>
          </cell>
          <cell r="F4340">
            <v>34000000</v>
          </cell>
          <cell r="G4340">
            <v>34000000</v>
          </cell>
          <cell r="H4340">
            <v>34000000</v>
          </cell>
          <cell r="I4340" t="str">
            <v/>
          </cell>
          <cell r="J4340" t="str">
            <v/>
          </cell>
          <cell r="K4340" t="str">
            <v/>
          </cell>
          <cell r="L4340" t="str">
            <v/>
          </cell>
        </row>
        <row r="4341">
          <cell r="A4341">
            <v>34000000</v>
          </cell>
          <cell r="C4341">
            <v>34000000</v>
          </cell>
          <cell r="D4341">
            <v>34000000</v>
          </cell>
          <cell r="E4341">
            <v>34000000</v>
          </cell>
          <cell r="F4341">
            <v>34000000</v>
          </cell>
          <cell r="G4341">
            <v>34000000</v>
          </cell>
          <cell r="H4341">
            <v>34000000</v>
          </cell>
          <cell r="I4341" t="str">
            <v/>
          </cell>
          <cell r="J4341" t="str">
            <v/>
          </cell>
          <cell r="K4341" t="str">
            <v/>
          </cell>
          <cell r="L4341" t="str">
            <v/>
          </cell>
        </row>
        <row r="4342">
          <cell r="A4342">
            <v>34000000</v>
          </cell>
          <cell r="C4342">
            <v>34000000</v>
          </cell>
          <cell r="D4342">
            <v>34000000</v>
          </cell>
          <cell r="E4342">
            <v>34000000</v>
          </cell>
          <cell r="F4342">
            <v>34000000</v>
          </cell>
          <cell r="G4342">
            <v>34000000</v>
          </cell>
          <cell r="H4342">
            <v>34000000</v>
          </cell>
          <cell r="I4342" t="str">
            <v/>
          </cell>
          <cell r="J4342" t="str">
            <v/>
          </cell>
          <cell r="K4342" t="str">
            <v/>
          </cell>
          <cell r="L4342" t="str">
            <v/>
          </cell>
        </row>
        <row r="4343">
          <cell r="A4343">
            <v>34000000</v>
          </cell>
          <cell r="C4343">
            <v>34000000</v>
          </cell>
          <cell r="D4343">
            <v>34000000</v>
          </cell>
          <cell r="E4343">
            <v>34000000</v>
          </cell>
          <cell r="F4343">
            <v>34000000</v>
          </cell>
          <cell r="G4343">
            <v>34000000</v>
          </cell>
          <cell r="H4343">
            <v>34000000</v>
          </cell>
          <cell r="I4343" t="str">
            <v/>
          </cell>
          <cell r="J4343" t="str">
            <v/>
          </cell>
          <cell r="K4343" t="str">
            <v/>
          </cell>
          <cell r="L4343" t="str">
            <v/>
          </cell>
        </row>
        <row r="4344">
          <cell r="A4344">
            <v>34000000</v>
          </cell>
          <cell r="C4344">
            <v>34000000</v>
          </cell>
          <cell r="D4344">
            <v>34000000</v>
          </cell>
          <cell r="E4344">
            <v>34000000</v>
          </cell>
          <cell r="F4344">
            <v>34000000</v>
          </cell>
          <cell r="G4344">
            <v>34000000</v>
          </cell>
          <cell r="H4344">
            <v>34000000</v>
          </cell>
          <cell r="I4344" t="str">
            <v/>
          </cell>
          <cell r="J4344" t="str">
            <v/>
          </cell>
          <cell r="K4344" t="str">
            <v/>
          </cell>
          <cell r="L4344" t="str">
            <v/>
          </cell>
        </row>
        <row r="4345">
          <cell r="A4345">
            <v>34000000</v>
          </cell>
          <cell r="C4345">
            <v>34000000</v>
          </cell>
          <cell r="D4345">
            <v>34000000</v>
          </cell>
          <cell r="E4345">
            <v>34000000</v>
          </cell>
          <cell r="F4345">
            <v>34000000</v>
          </cell>
          <cell r="G4345">
            <v>34000000</v>
          </cell>
          <cell r="H4345">
            <v>34000000</v>
          </cell>
          <cell r="I4345" t="str">
            <v/>
          </cell>
          <cell r="J4345" t="str">
            <v/>
          </cell>
          <cell r="K4345" t="str">
            <v/>
          </cell>
          <cell r="L4345" t="str">
            <v/>
          </cell>
        </row>
        <row r="4346">
          <cell r="A4346">
            <v>34000000</v>
          </cell>
          <cell r="C4346">
            <v>34000000</v>
          </cell>
          <cell r="D4346">
            <v>34000000</v>
          </cell>
          <cell r="E4346">
            <v>34000000</v>
          </cell>
          <cell r="F4346">
            <v>34000000</v>
          </cell>
          <cell r="G4346">
            <v>34000000</v>
          </cell>
          <cell r="H4346">
            <v>34000000</v>
          </cell>
          <cell r="I4346" t="str">
            <v/>
          </cell>
          <cell r="J4346" t="str">
            <v/>
          </cell>
          <cell r="K4346" t="str">
            <v/>
          </cell>
          <cell r="L4346" t="str">
            <v/>
          </cell>
        </row>
        <row r="4347">
          <cell r="A4347">
            <v>34000000</v>
          </cell>
          <cell r="C4347">
            <v>34000000</v>
          </cell>
          <cell r="D4347">
            <v>34000000</v>
          </cell>
          <cell r="E4347">
            <v>34000000</v>
          </cell>
          <cell r="F4347">
            <v>34000000</v>
          </cell>
          <cell r="G4347">
            <v>34000000</v>
          </cell>
          <cell r="H4347">
            <v>34000000</v>
          </cell>
          <cell r="I4347" t="str">
            <v/>
          </cell>
          <cell r="J4347" t="str">
            <v/>
          </cell>
          <cell r="K4347" t="str">
            <v/>
          </cell>
          <cell r="L4347" t="str">
            <v/>
          </cell>
        </row>
        <row r="4348">
          <cell r="A4348">
            <v>34000000</v>
          </cell>
          <cell r="C4348">
            <v>34000000</v>
          </cell>
          <cell r="D4348">
            <v>34000000</v>
          </cell>
          <cell r="E4348">
            <v>34000000</v>
          </cell>
          <cell r="F4348">
            <v>34000000</v>
          </cell>
          <cell r="G4348">
            <v>34000000</v>
          </cell>
          <cell r="H4348">
            <v>34000000</v>
          </cell>
          <cell r="I4348" t="str">
            <v/>
          </cell>
          <cell r="J4348" t="str">
            <v/>
          </cell>
          <cell r="K4348" t="str">
            <v/>
          </cell>
          <cell r="L4348" t="str">
            <v/>
          </cell>
        </row>
        <row r="4349">
          <cell r="A4349">
            <v>34000000</v>
          </cell>
          <cell r="C4349">
            <v>34000000</v>
          </cell>
          <cell r="D4349">
            <v>34000000</v>
          </cell>
          <cell r="E4349">
            <v>34000000</v>
          </cell>
          <cell r="F4349">
            <v>34000000</v>
          </cell>
          <cell r="G4349">
            <v>34000000</v>
          </cell>
          <cell r="H4349">
            <v>34000000</v>
          </cell>
          <cell r="I4349" t="str">
            <v/>
          </cell>
          <cell r="J4349" t="str">
            <v/>
          </cell>
          <cell r="K4349" t="str">
            <v/>
          </cell>
          <cell r="L4349" t="str">
            <v/>
          </cell>
        </row>
        <row r="4350">
          <cell r="A4350">
            <v>34000000</v>
          </cell>
          <cell r="C4350">
            <v>34000000</v>
          </cell>
          <cell r="D4350">
            <v>34000000</v>
          </cell>
          <cell r="E4350">
            <v>34000000</v>
          </cell>
          <cell r="F4350">
            <v>34000000</v>
          </cell>
          <cell r="G4350">
            <v>34000000</v>
          </cell>
          <cell r="H4350">
            <v>34000000</v>
          </cell>
          <cell r="I4350" t="str">
            <v/>
          </cell>
          <cell r="J4350" t="str">
            <v/>
          </cell>
          <cell r="K4350" t="str">
            <v/>
          </cell>
          <cell r="L4350" t="str">
            <v/>
          </cell>
        </row>
        <row r="4351">
          <cell r="A4351">
            <v>34000000</v>
          </cell>
          <cell r="C4351">
            <v>34000000</v>
          </cell>
          <cell r="D4351">
            <v>34000000</v>
          </cell>
          <cell r="E4351">
            <v>34000000</v>
          </cell>
          <cell r="F4351">
            <v>34000000</v>
          </cell>
          <cell r="G4351">
            <v>34000000</v>
          </cell>
          <cell r="H4351">
            <v>34000000</v>
          </cell>
          <cell r="I4351" t="str">
            <v/>
          </cell>
          <cell r="J4351" t="str">
            <v/>
          </cell>
          <cell r="K4351" t="str">
            <v/>
          </cell>
          <cell r="L4351" t="str">
            <v/>
          </cell>
        </row>
        <row r="4352">
          <cell r="A4352">
            <v>34000000</v>
          </cell>
          <cell r="C4352">
            <v>34000000</v>
          </cell>
          <cell r="D4352">
            <v>34000000</v>
          </cell>
          <cell r="E4352">
            <v>34000000</v>
          </cell>
          <cell r="F4352">
            <v>34000000</v>
          </cell>
          <cell r="G4352">
            <v>34000000</v>
          </cell>
          <cell r="H4352">
            <v>34000000</v>
          </cell>
          <cell r="I4352" t="str">
            <v/>
          </cell>
          <cell r="J4352" t="str">
            <v/>
          </cell>
          <cell r="K4352" t="str">
            <v/>
          </cell>
          <cell r="L4352" t="str">
            <v/>
          </cell>
        </row>
        <row r="4353">
          <cell r="A4353">
            <v>34000000</v>
          </cell>
          <cell r="C4353">
            <v>34000000</v>
          </cell>
          <cell r="D4353">
            <v>34000000</v>
          </cell>
          <cell r="E4353">
            <v>34000000</v>
          </cell>
          <cell r="F4353">
            <v>34000000</v>
          </cell>
          <cell r="G4353">
            <v>34000000</v>
          </cell>
          <cell r="H4353">
            <v>34000000</v>
          </cell>
          <cell r="I4353" t="str">
            <v/>
          </cell>
          <cell r="J4353" t="str">
            <v/>
          </cell>
          <cell r="K4353" t="str">
            <v/>
          </cell>
          <cell r="L4353" t="str">
            <v/>
          </cell>
        </row>
        <row r="4354">
          <cell r="A4354">
            <v>34000000</v>
          </cell>
          <cell r="C4354">
            <v>34000000</v>
          </cell>
          <cell r="D4354">
            <v>34000000</v>
          </cell>
          <cell r="E4354">
            <v>34000000</v>
          </cell>
          <cell r="F4354">
            <v>34000000</v>
          </cell>
          <cell r="G4354">
            <v>34000000</v>
          </cell>
          <cell r="H4354">
            <v>34000000</v>
          </cell>
          <cell r="I4354" t="str">
            <v/>
          </cell>
          <cell r="J4354" t="str">
            <v/>
          </cell>
          <cell r="K4354" t="str">
            <v/>
          </cell>
          <cell r="L4354" t="str">
            <v/>
          </cell>
        </row>
        <row r="4355">
          <cell r="A4355">
            <v>34000000</v>
          </cell>
          <cell r="C4355">
            <v>34000000</v>
          </cell>
          <cell r="D4355">
            <v>34000000</v>
          </cell>
          <cell r="E4355">
            <v>34000000</v>
          </cell>
          <cell r="F4355">
            <v>34000000</v>
          </cell>
          <cell r="G4355">
            <v>34000000</v>
          </cell>
          <cell r="H4355">
            <v>34000000</v>
          </cell>
          <cell r="I4355" t="str">
            <v/>
          </cell>
          <cell r="J4355" t="str">
            <v/>
          </cell>
          <cell r="K4355" t="str">
            <v/>
          </cell>
          <cell r="L4355" t="str">
            <v/>
          </cell>
        </row>
        <row r="4356">
          <cell r="A4356">
            <v>34000000</v>
          </cell>
          <cell r="C4356">
            <v>34000000</v>
          </cell>
          <cell r="D4356">
            <v>34000000</v>
          </cell>
          <cell r="E4356">
            <v>34000000</v>
          </cell>
          <cell r="F4356">
            <v>34000000</v>
          </cell>
          <cell r="G4356">
            <v>34000000</v>
          </cell>
          <cell r="H4356">
            <v>34000000</v>
          </cell>
          <cell r="I4356" t="str">
            <v/>
          </cell>
          <cell r="J4356" t="str">
            <v/>
          </cell>
          <cell r="K4356" t="str">
            <v/>
          </cell>
          <cell r="L4356" t="str">
            <v/>
          </cell>
        </row>
        <row r="4357">
          <cell r="A4357">
            <v>34000000</v>
          </cell>
          <cell r="C4357">
            <v>34000000</v>
          </cell>
          <cell r="D4357">
            <v>34000000</v>
          </cell>
          <cell r="E4357">
            <v>34000000</v>
          </cell>
          <cell r="F4357">
            <v>34000000</v>
          </cell>
          <cell r="G4357">
            <v>34000000</v>
          </cell>
          <cell r="H4357">
            <v>34000000</v>
          </cell>
          <cell r="I4357" t="str">
            <v/>
          </cell>
          <cell r="J4357" t="str">
            <v/>
          </cell>
          <cell r="K4357" t="str">
            <v/>
          </cell>
          <cell r="L4357" t="str">
            <v/>
          </cell>
        </row>
        <row r="4358">
          <cell r="A4358">
            <v>34000000</v>
          </cell>
          <cell r="C4358">
            <v>34000000</v>
          </cell>
          <cell r="D4358">
            <v>34000000</v>
          </cell>
          <cell r="E4358">
            <v>34000000</v>
          </cell>
          <cell r="F4358">
            <v>34000000</v>
          </cell>
          <cell r="G4358">
            <v>34000000</v>
          </cell>
          <cell r="H4358">
            <v>34000000</v>
          </cell>
          <cell r="I4358" t="str">
            <v/>
          </cell>
          <cell r="J4358" t="str">
            <v/>
          </cell>
          <cell r="K4358" t="str">
            <v/>
          </cell>
          <cell r="L4358" t="str">
            <v/>
          </cell>
        </row>
        <row r="4359">
          <cell r="A4359">
            <v>34000000</v>
          </cell>
          <cell r="C4359">
            <v>34000000</v>
          </cell>
          <cell r="D4359">
            <v>34000000</v>
          </cell>
          <cell r="E4359">
            <v>34000000</v>
          </cell>
          <cell r="F4359">
            <v>34000000</v>
          </cell>
          <cell r="G4359">
            <v>34000000</v>
          </cell>
          <cell r="H4359">
            <v>34000000</v>
          </cell>
          <cell r="I4359" t="str">
            <v/>
          </cell>
          <cell r="J4359" t="str">
            <v/>
          </cell>
          <cell r="K4359" t="str">
            <v/>
          </cell>
          <cell r="L4359" t="str">
            <v/>
          </cell>
        </row>
        <row r="4360">
          <cell r="A4360">
            <v>34000000</v>
          </cell>
          <cell r="C4360">
            <v>34000000</v>
          </cell>
          <cell r="D4360">
            <v>34000000</v>
          </cell>
          <cell r="E4360">
            <v>34000000</v>
          </cell>
          <cell r="F4360">
            <v>34000000</v>
          </cell>
          <cell r="G4360">
            <v>34000000</v>
          </cell>
          <cell r="H4360">
            <v>34000000</v>
          </cell>
          <cell r="I4360" t="str">
            <v/>
          </cell>
          <cell r="J4360" t="str">
            <v/>
          </cell>
          <cell r="K4360" t="str">
            <v/>
          </cell>
          <cell r="L4360" t="str">
            <v/>
          </cell>
        </row>
        <row r="4361">
          <cell r="A4361">
            <v>34000000</v>
          </cell>
          <cell r="C4361">
            <v>34000000</v>
          </cell>
          <cell r="D4361">
            <v>34000000</v>
          </cell>
          <cell r="E4361">
            <v>34000000</v>
          </cell>
          <cell r="F4361">
            <v>34000000</v>
          </cell>
          <cell r="G4361">
            <v>34000000</v>
          </cell>
          <cell r="H4361">
            <v>34000000</v>
          </cell>
          <cell r="I4361" t="str">
            <v/>
          </cell>
          <cell r="J4361" t="str">
            <v/>
          </cell>
          <cell r="K4361" t="str">
            <v/>
          </cell>
          <cell r="L4361" t="str">
            <v/>
          </cell>
        </row>
        <row r="4362">
          <cell r="A4362">
            <v>34000000</v>
          </cell>
          <cell r="C4362">
            <v>34000000</v>
          </cell>
          <cell r="D4362">
            <v>34000000</v>
          </cell>
          <cell r="E4362">
            <v>34000000</v>
          </cell>
          <cell r="F4362">
            <v>34000000</v>
          </cell>
          <cell r="G4362">
            <v>34000000</v>
          </cell>
          <cell r="H4362">
            <v>34000000</v>
          </cell>
          <cell r="I4362" t="str">
            <v/>
          </cell>
          <cell r="J4362" t="str">
            <v/>
          </cell>
          <cell r="K4362" t="str">
            <v/>
          </cell>
          <cell r="L4362" t="str">
            <v/>
          </cell>
        </row>
        <row r="4363">
          <cell r="A4363">
            <v>34000000</v>
          </cell>
          <cell r="C4363">
            <v>34000000</v>
          </cell>
          <cell r="D4363">
            <v>34000000</v>
          </cell>
          <cell r="E4363">
            <v>34000000</v>
          </cell>
          <cell r="F4363">
            <v>34000000</v>
          </cell>
          <cell r="G4363">
            <v>34000000</v>
          </cell>
          <cell r="H4363">
            <v>34000000</v>
          </cell>
          <cell r="I4363" t="str">
            <v/>
          </cell>
          <cell r="J4363" t="str">
            <v/>
          </cell>
          <cell r="K4363" t="str">
            <v/>
          </cell>
          <cell r="L4363" t="str">
            <v/>
          </cell>
        </row>
        <row r="4364">
          <cell r="A4364">
            <v>34000000</v>
          </cell>
          <cell r="C4364">
            <v>34000000</v>
          </cell>
          <cell r="D4364">
            <v>34000000</v>
          </cell>
          <cell r="E4364">
            <v>34000000</v>
          </cell>
          <cell r="F4364">
            <v>34000000</v>
          </cell>
          <cell r="G4364">
            <v>34000000</v>
          </cell>
          <cell r="H4364">
            <v>34000000</v>
          </cell>
          <cell r="I4364" t="str">
            <v/>
          </cell>
          <cell r="J4364" t="str">
            <v/>
          </cell>
          <cell r="K4364" t="str">
            <v/>
          </cell>
          <cell r="L4364" t="str">
            <v/>
          </cell>
        </row>
        <row r="4365">
          <cell r="A4365">
            <v>34000000</v>
          </cell>
          <cell r="C4365">
            <v>34000000</v>
          </cell>
          <cell r="D4365">
            <v>34000000</v>
          </cell>
          <cell r="E4365">
            <v>34000000</v>
          </cell>
          <cell r="F4365">
            <v>34000000</v>
          </cell>
          <cell r="G4365">
            <v>34000000</v>
          </cell>
          <cell r="H4365">
            <v>34000000</v>
          </cell>
          <cell r="I4365" t="str">
            <v/>
          </cell>
          <cell r="J4365" t="str">
            <v/>
          </cell>
          <cell r="K4365" t="str">
            <v/>
          </cell>
          <cell r="L4365" t="str">
            <v/>
          </cell>
        </row>
        <row r="4366">
          <cell r="A4366">
            <v>34000000</v>
          </cell>
          <cell r="C4366">
            <v>34000000</v>
          </cell>
          <cell r="D4366">
            <v>34000000</v>
          </cell>
          <cell r="E4366">
            <v>34000000</v>
          </cell>
          <cell r="F4366">
            <v>34000000</v>
          </cell>
          <cell r="G4366">
            <v>34000000</v>
          </cell>
          <cell r="H4366">
            <v>34000000</v>
          </cell>
          <cell r="I4366" t="str">
            <v/>
          </cell>
          <cell r="J4366" t="str">
            <v/>
          </cell>
          <cell r="K4366" t="str">
            <v/>
          </cell>
          <cell r="L4366" t="str">
            <v/>
          </cell>
        </row>
        <row r="4367">
          <cell r="A4367">
            <v>34000000</v>
          </cell>
          <cell r="C4367">
            <v>34000000</v>
          </cell>
          <cell r="D4367">
            <v>34000000</v>
          </cell>
          <cell r="E4367">
            <v>34000000</v>
          </cell>
          <cell r="F4367">
            <v>34000000</v>
          </cell>
          <cell r="G4367">
            <v>34000000</v>
          </cell>
          <cell r="H4367">
            <v>34000000</v>
          </cell>
          <cell r="I4367" t="str">
            <v/>
          </cell>
          <cell r="J4367" t="str">
            <v/>
          </cell>
          <cell r="K4367" t="str">
            <v/>
          </cell>
          <cell r="L4367" t="str">
            <v/>
          </cell>
        </row>
        <row r="4368">
          <cell r="A4368">
            <v>34000000</v>
          </cell>
          <cell r="C4368">
            <v>34000000</v>
          </cell>
          <cell r="D4368">
            <v>34000000</v>
          </cell>
          <cell r="E4368">
            <v>34000000</v>
          </cell>
          <cell r="F4368">
            <v>34000000</v>
          </cell>
          <cell r="G4368">
            <v>34000000</v>
          </cell>
          <cell r="H4368">
            <v>34000000</v>
          </cell>
          <cell r="I4368" t="str">
            <v/>
          </cell>
          <cell r="J4368" t="str">
            <v/>
          </cell>
          <cell r="K4368" t="str">
            <v/>
          </cell>
          <cell r="L4368" t="str">
            <v/>
          </cell>
        </row>
        <row r="4369">
          <cell r="A4369">
            <v>34000000</v>
          </cell>
          <cell r="C4369">
            <v>34000000</v>
          </cell>
          <cell r="D4369">
            <v>34000000</v>
          </cell>
          <cell r="E4369">
            <v>34000000</v>
          </cell>
          <cell r="F4369">
            <v>34000000</v>
          </cell>
          <cell r="G4369">
            <v>34000000</v>
          </cell>
          <cell r="H4369">
            <v>34000000</v>
          </cell>
          <cell r="I4369" t="str">
            <v/>
          </cell>
          <cell r="J4369" t="str">
            <v/>
          </cell>
          <cell r="K4369" t="str">
            <v/>
          </cell>
          <cell r="L4369" t="str">
            <v/>
          </cell>
        </row>
        <row r="4370">
          <cell r="A4370">
            <v>34000000</v>
          </cell>
          <cell r="C4370">
            <v>34000000</v>
          </cell>
          <cell r="D4370">
            <v>34000000</v>
          </cell>
          <cell r="E4370">
            <v>34000000</v>
          </cell>
          <cell r="F4370">
            <v>34000000</v>
          </cell>
          <cell r="G4370">
            <v>34000000</v>
          </cell>
          <cell r="H4370">
            <v>34000000</v>
          </cell>
          <cell r="I4370" t="str">
            <v/>
          </cell>
          <cell r="J4370" t="str">
            <v/>
          </cell>
          <cell r="K4370" t="str">
            <v/>
          </cell>
          <cell r="L4370" t="str">
            <v/>
          </cell>
        </row>
        <row r="4371">
          <cell r="A4371">
            <v>34000000</v>
          </cell>
          <cell r="C4371">
            <v>34000000</v>
          </cell>
          <cell r="D4371">
            <v>34000000</v>
          </cell>
          <cell r="E4371">
            <v>34000000</v>
          </cell>
          <cell r="F4371">
            <v>34000000</v>
          </cell>
          <cell r="G4371">
            <v>34000000</v>
          </cell>
          <cell r="H4371">
            <v>34000000</v>
          </cell>
          <cell r="I4371" t="str">
            <v/>
          </cell>
          <cell r="J4371" t="str">
            <v/>
          </cell>
          <cell r="K4371" t="str">
            <v/>
          </cell>
          <cell r="L4371" t="str">
            <v/>
          </cell>
        </row>
        <row r="4372">
          <cell r="A4372">
            <v>34000000</v>
          </cell>
          <cell r="C4372">
            <v>34000000</v>
          </cell>
          <cell r="D4372">
            <v>34000000</v>
          </cell>
          <cell r="E4372">
            <v>34000000</v>
          </cell>
          <cell r="F4372">
            <v>34000000</v>
          </cell>
          <cell r="G4372">
            <v>34000000</v>
          </cell>
          <cell r="H4372">
            <v>34000000</v>
          </cell>
          <cell r="I4372" t="str">
            <v/>
          </cell>
          <cell r="J4372" t="str">
            <v/>
          </cell>
          <cell r="K4372" t="str">
            <v/>
          </cell>
          <cell r="L4372" t="str">
            <v/>
          </cell>
        </row>
        <row r="4373">
          <cell r="A4373">
            <v>34000000</v>
          </cell>
          <cell r="C4373">
            <v>34000000</v>
          </cell>
          <cell r="D4373">
            <v>34000000</v>
          </cell>
          <cell r="E4373">
            <v>34000000</v>
          </cell>
          <cell r="F4373">
            <v>34000000</v>
          </cell>
          <cell r="G4373">
            <v>34000000</v>
          </cell>
          <cell r="H4373">
            <v>34000000</v>
          </cell>
          <cell r="I4373" t="str">
            <v/>
          </cell>
          <cell r="J4373" t="str">
            <v/>
          </cell>
          <cell r="K4373" t="str">
            <v/>
          </cell>
          <cell r="L4373" t="str">
            <v/>
          </cell>
        </row>
        <row r="4374">
          <cell r="A4374">
            <v>34000000</v>
          </cell>
          <cell r="C4374">
            <v>34000000</v>
          </cell>
          <cell r="D4374">
            <v>34000000</v>
          </cell>
          <cell r="E4374">
            <v>34000000</v>
          </cell>
          <cell r="F4374">
            <v>34000000</v>
          </cell>
          <cell r="G4374">
            <v>34000000</v>
          </cell>
          <cell r="H4374">
            <v>34000000</v>
          </cell>
          <cell r="I4374" t="str">
            <v/>
          </cell>
          <cell r="J4374" t="str">
            <v/>
          </cell>
          <cell r="K4374" t="str">
            <v/>
          </cell>
          <cell r="L4374" t="str">
            <v/>
          </cell>
        </row>
        <row r="4375">
          <cell r="A4375">
            <v>34000000</v>
          </cell>
          <cell r="C4375">
            <v>34000000</v>
          </cell>
          <cell r="D4375">
            <v>34000000</v>
          </cell>
          <cell r="E4375">
            <v>34000000</v>
          </cell>
          <cell r="F4375">
            <v>34000000</v>
          </cell>
          <cell r="G4375">
            <v>34000000</v>
          </cell>
          <cell r="H4375">
            <v>34000000</v>
          </cell>
          <cell r="I4375" t="str">
            <v/>
          </cell>
          <cell r="J4375" t="str">
            <v/>
          </cell>
          <cell r="K4375" t="str">
            <v/>
          </cell>
          <cell r="L4375" t="str">
            <v/>
          </cell>
        </row>
        <row r="4376">
          <cell r="A4376">
            <v>34000000</v>
          </cell>
          <cell r="C4376">
            <v>34000000</v>
          </cell>
          <cell r="D4376">
            <v>34000000</v>
          </cell>
          <cell r="E4376">
            <v>34000000</v>
          </cell>
          <cell r="F4376">
            <v>34000000</v>
          </cell>
          <cell r="G4376">
            <v>34000000</v>
          </cell>
          <cell r="H4376">
            <v>34000000</v>
          </cell>
          <cell r="I4376" t="str">
            <v/>
          </cell>
          <cell r="J4376" t="str">
            <v/>
          </cell>
          <cell r="K4376" t="str">
            <v/>
          </cell>
          <cell r="L4376" t="str">
            <v/>
          </cell>
        </row>
        <row r="4377">
          <cell r="A4377">
            <v>34000000</v>
          </cell>
          <cell r="C4377">
            <v>34000000</v>
          </cell>
          <cell r="D4377">
            <v>34000000</v>
          </cell>
          <cell r="E4377">
            <v>34000000</v>
          </cell>
          <cell r="F4377">
            <v>34000000</v>
          </cell>
          <cell r="G4377">
            <v>34000000</v>
          </cell>
          <cell r="H4377">
            <v>34000000</v>
          </cell>
          <cell r="I4377" t="str">
            <v/>
          </cell>
          <cell r="J4377" t="str">
            <v/>
          </cell>
          <cell r="K4377" t="str">
            <v/>
          </cell>
          <cell r="L4377" t="str">
            <v/>
          </cell>
        </row>
        <row r="4378">
          <cell r="A4378">
            <v>34000000</v>
          </cell>
          <cell r="C4378">
            <v>34000000</v>
          </cell>
          <cell r="D4378">
            <v>34000000</v>
          </cell>
          <cell r="E4378">
            <v>34000000</v>
          </cell>
          <cell r="F4378">
            <v>34000000</v>
          </cell>
          <cell r="G4378">
            <v>34000000</v>
          </cell>
          <cell r="H4378">
            <v>34000000</v>
          </cell>
          <cell r="I4378" t="str">
            <v/>
          </cell>
          <cell r="J4378" t="str">
            <v/>
          </cell>
          <cell r="K4378" t="str">
            <v/>
          </cell>
          <cell r="L4378" t="str">
            <v/>
          </cell>
        </row>
        <row r="4379">
          <cell r="A4379">
            <v>34000000</v>
          </cell>
          <cell r="C4379">
            <v>34000000</v>
          </cell>
          <cell r="D4379">
            <v>34000000</v>
          </cell>
          <cell r="E4379">
            <v>34000000</v>
          </cell>
          <cell r="F4379">
            <v>34000000</v>
          </cell>
          <cell r="G4379">
            <v>34000000</v>
          </cell>
          <cell r="H4379">
            <v>34000000</v>
          </cell>
          <cell r="I4379" t="str">
            <v/>
          </cell>
          <cell r="J4379" t="str">
            <v/>
          </cell>
          <cell r="K4379" t="str">
            <v/>
          </cell>
          <cell r="L4379" t="str">
            <v/>
          </cell>
        </row>
        <row r="4380">
          <cell r="A4380">
            <v>34000000</v>
          </cell>
          <cell r="C4380">
            <v>34000000</v>
          </cell>
          <cell r="D4380">
            <v>34000000</v>
          </cell>
          <cell r="E4380">
            <v>34000000</v>
          </cell>
          <cell r="F4380">
            <v>34000000</v>
          </cell>
          <cell r="G4380">
            <v>34000000</v>
          </cell>
          <cell r="H4380">
            <v>34000000</v>
          </cell>
          <cell r="I4380" t="str">
            <v/>
          </cell>
          <cell r="J4380" t="str">
            <v/>
          </cell>
          <cell r="K4380" t="str">
            <v/>
          </cell>
          <cell r="L4380" t="str">
            <v/>
          </cell>
        </row>
        <row r="4381">
          <cell r="A4381">
            <v>34000000</v>
          </cell>
          <cell r="C4381">
            <v>34000000</v>
          </cell>
          <cell r="D4381">
            <v>34000000</v>
          </cell>
          <cell r="E4381">
            <v>34000000</v>
          </cell>
          <cell r="F4381">
            <v>34000000</v>
          </cell>
          <cell r="G4381">
            <v>34000000</v>
          </cell>
          <cell r="H4381">
            <v>34000000</v>
          </cell>
          <cell r="I4381" t="str">
            <v/>
          </cell>
          <cell r="J4381" t="str">
            <v/>
          </cell>
          <cell r="K4381" t="str">
            <v/>
          </cell>
          <cell r="L4381" t="str">
            <v/>
          </cell>
        </row>
        <row r="4382">
          <cell r="A4382">
            <v>34000000</v>
          </cell>
          <cell r="C4382">
            <v>34000000</v>
          </cell>
          <cell r="D4382">
            <v>34000000</v>
          </cell>
          <cell r="E4382">
            <v>34000000</v>
          </cell>
          <cell r="F4382">
            <v>34000000</v>
          </cell>
          <cell r="G4382">
            <v>34000000</v>
          </cell>
          <cell r="H4382">
            <v>34000000</v>
          </cell>
          <cell r="I4382" t="str">
            <v/>
          </cell>
          <cell r="J4382" t="str">
            <v/>
          </cell>
          <cell r="K4382" t="str">
            <v/>
          </cell>
          <cell r="L4382" t="str">
            <v/>
          </cell>
        </row>
        <row r="4383">
          <cell r="A4383">
            <v>34000000</v>
          </cell>
          <cell r="C4383">
            <v>34000000</v>
          </cell>
          <cell r="D4383">
            <v>34000000</v>
          </cell>
          <cell r="E4383">
            <v>34000000</v>
          </cell>
          <cell r="F4383">
            <v>34000000</v>
          </cell>
          <cell r="G4383">
            <v>34000000</v>
          </cell>
          <cell r="H4383">
            <v>34000000</v>
          </cell>
          <cell r="I4383" t="str">
            <v/>
          </cell>
          <cell r="J4383" t="str">
            <v/>
          </cell>
          <cell r="K4383" t="str">
            <v/>
          </cell>
          <cell r="L4383" t="str">
            <v/>
          </cell>
        </row>
        <row r="4384">
          <cell r="A4384">
            <v>34000000</v>
          </cell>
          <cell r="C4384">
            <v>34000000</v>
          </cell>
          <cell r="D4384">
            <v>34000000</v>
          </cell>
          <cell r="E4384">
            <v>34000000</v>
          </cell>
          <cell r="F4384">
            <v>34000000</v>
          </cell>
          <cell r="G4384">
            <v>34000000</v>
          </cell>
          <cell r="H4384">
            <v>34000000</v>
          </cell>
          <cell r="I4384" t="str">
            <v/>
          </cell>
          <cell r="J4384" t="str">
            <v/>
          </cell>
          <cell r="K4384" t="str">
            <v/>
          </cell>
          <cell r="L4384" t="str">
            <v/>
          </cell>
        </row>
        <row r="4385">
          <cell r="A4385">
            <v>34000000</v>
          </cell>
          <cell r="C4385">
            <v>34000000</v>
          </cell>
          <cell r="D4385">
            <v>34000000</v>
          </cell>
          <cell r="E4385">
            <v>34000000</v>
          </cell>
          <cell r="F4385">
            <v>34000000</v>
          </cell>
          <cell r="G4385">
            <v>34000000</v>
          </cell>
          <cell r="H4385">
            <v>34000000</v>
          </cell>
          <cell r="I4385" t="str">
            <v/>
          </cell>
          <cell r="J4385" t="str">
            <v/>
          </cell>
          <cell r="K4385" t="str">
            <v/>
          </cell>
          <cell r="L4385" t="str">
            <v/>
          </cell>
        </row>
        <row r="4386">
          <cell r="A4386">
            <v>34000000</v>
          </cell>
          <cell r="C4386">
            <v>34000000</v>
          </cell>
          <cell r="D4386">
            <v>34000000</v>
          </cell>
          <cell r="E4386">
            <v>34000000</v>
          </cell>
          <cell r="F4386">
            <v>34000000</v>
          </cell>
          <cell r="G4386">
            <v>34000000</v>
          </cell>
          <cell r="H4386">
            <v>34000000</v>
          </cell>
          <cell r="I4386" t="str">
            <v/>
          </cell>
          <cell r="J4386" t="str">
            <v/>
          </cell>
          <cell r="K4386" t="str">
            <v/>
          </cell>
          <cell r="L4386" t="str">
            <v/>
          </cell>
        </row>
        <row r="4387">
          <cell r="A4387">
            <v>34000000</v>
          </cell>
          <cell r="C4387">
            <v>34000000</v>
          </cell>
          <cell r="D4387">
            <v>34000000</v>
          </cell>
          <cell r="E4387">
            <v>34000000</v>
          </cell>
          <cell r="F4387">
            <v>34000000</v>
          </cell>
          <cell r="G4387">
            <v>34000000</v>
          </cell>
          <cell r="H4387">
            <v>34000000</v>
          </cell>
          <cell r="I4387" t="str">
            <v/>
          </cell>
          <cell r="J4387" t="str">
            <v/>
          </cell>
          <cell r="K4387" t="str">
            <v/>
          </cell>
          <cell r="L4387" t="str">
            <v/>
          </cell>
        </row>
        <row r="4388">
          <cell r="A4388">
            <v>34000000</v>
          </cell>
          <cell r="C4388">
            <v>34000000</v>
          </cell>
          <cell r="D4388">
            <v>34000000</v>
          </cell>
          <cell r="E4388">
            <v>34000000</v>
          </cell>
          <cell r="F4388">
            <v>34000000</v>
          </cell>
          <cell r="G4388">
            <v>34000000</v>
          </cell>
          <cell r="H4388">
            <v>34000000</v>
          </cell>
          <cell r="I4388" t="str">
            <v/>
          </cell>
          <cell r="J4388" t="str">
            <v/>
          </cell>
          <cell r="K4388" t="str">
            <v/>
          </cell>
          <cell r="L4388" t="str">
            <v/>
          </cell>
        </row>
        <row r="4389">
          <cell r="A4389">
            <v>34000000</v>
          </cell>
          <cell r="C4389">
            <v>34000000</v>
          </cell>
          <cell r="D4389">
            <v>34000000</v>
          </cell>
          <cell r="E4389">
            <v>34000000</v>
          </cell>
          <cell r="F4389">
            <v>34000000</v>
          </cell>
          <cell r="G4389">
            <v>34000000</v>
          </cell>
          <cell r="H4389">
            <v>34000000</v>
          </cell>
          <cell r="I4389" t="str">
            <v/>
          </cell>
          <cell r="J4389" t="str">
            <v/>
          </cell>
          <cell r="K4389" t="str">
            <v/>
          </cell>
          <cell r="L4389" t="str">
            <v/>
          </cell>
        </row>
        <row r="4390">
          <cell r="A4390">
            <v>34000000</v>
          </cell>
          <cell r="C4390">
            <v>34000000</v>
          </cell>
          <cell r="D4390">
            <v>34000000</v>
          </cell>
          <cell r="E4390">
            <v>34000000</v>
          </cell>
          <cell r="F4390">
            <v>34000000</v>
          </cell>
          <cell r="G4390">
            <v>34000000</v>
          </cell>
          <cell r="H4390">
            <v>34000000</v>
          </cell>
          <cell r="I4390" t="str">
            <v/>
          </cell>
          <cell r="J4390" t="str">
            <v/>
          </cell>
          <cell r="K4390" t="str">
            <v/>
          </cell>
          <cell r="L4390" t="str">
            <v/>
          </cell>
        </row>
        <row r="4391">
          <cell r="A4391">
            <v>34000000</v>
          </cell>
          <cell r="C4391">
            <v>34000000</v>
          </cell>
          <cell r="D4391">
            <v>34000000</v>
          </cell>
          <cell r="E4391">
            <v>34000000</v>
          </cell>
          <cell r="F4391">
            <v>34000000</v>
          </cell>
          <cell r="G4391">
            <v>34000000</v>
          </cell>
          <cell r="H4391">
            <v>34000000</v>
          </cell>
          <cell r="I4391" t="str">
            <v/>
          </cell>
          <cell r="J4391" t="str">
            <v/>
          </cell>
          <cell r="K4391" t="str">
            <v/>
          </cell>
          <cell r="L4391" t="str">
            <v/>
          </cell>
        </row>
        <row r="4392">
          <cell r="A4392">
            <v>34000000</v>
          </cell>
          <cell r="C4392">
            <v>34000000</v>
          </cell>
          <cell r="D4392">
            <v>34000000</v>
          </cell>
          <cell r="E4392">
            <v>34000000</v>
          </cell>
          <cell r="F4392">
            <v>34000000</v>
          </cell>
          <cell r="G4392">
            <v>34000000</v>
          </cell>
          <cell r="H4392">
            <v>34000000</v>
          </cell>
          <cell r="I4392" t="str">
            <v/>
          </cell>
          <cell r="J4392" t="str">
            <v/>
          </cell>
          <cell r="K4392" t="str">
            <v/>
          </cell>
          <cell r="L4392" t="str">
            <v/>
          </cell>
        </row>
        <row r="4393">
          <cell r="A4393">
            <v>34000000</v>
          </cell>
          <cell r="C4393">
            <v>34000000</v>
          </cell>
          <cell r="D4393">
            <v>34000000</v>
          </cell>
          <cell r="E4393">
            <v>34000000</v>
          </cell>
          <cell r="F4393">
            <v>34000000</v>
          </cell>
          <cell r="G4393">
            <v>34000000</v>
          </cell>
          <cell r="H4393">
            <v>34000000</v>
          </cell>
          <cell r="I4393" t="str">
            <v/>
          </cell>
          <cell r="J4393" t="str">
            <v/>
          </cell>
          <cell r="K4393" t="str">
            <v/>
          </cell>
          <cell r="L4393" t="str">
            <v/>
          </cell>
        </row>
        <row r="4394">
          <cell r="A4394">
            <v>34000000</v>
          </cell>
          <cell r="C4394">
            <v>34000000</v>
          </cell>
          <cell r="D4394">
            <v>34000000</v>
          </cell>
          <cell r="E4394">
            <v>34000000</v>
          </cell>
          <cell r="F4394">
            <v>34000000</v>
          </cell>
          <cell r="G4394">
            <v>34000000</v>
          </cell>
          <cell r="H4394">
            <v>34000000</v>
          </cell>
          <cell r="I4394" t="str">
            <v/>
          </cell>
          <cell r="J4394" t="str">
            <v/>
          </cell>
          <cell r="K4394" t="str">
            <v/>
          </cell>
          <cell r="L4394" t="str">
            <v/>
          </cell>
        </row>
        <row r="4395">
          <cell r="A4395">
            <v>34000000</v>
          </cell>
          <cell r="C4395">
            <v>34000000</v>
          </cell>
          <cell r="D4395">
            <v>34000000</v>
          </cell>
          <cell r="E4395">
            <v>34000000</v>
          </cell>
          <cell r="F4395">
            <v>34000000</v>
          </cell>
          <cell r="G4395">
            <v>34000000</v>
          </cell>
          <cell r="H4395">
            <v>34000000</v>
          </cell>
          <cell r="I4395" t="str">
            <v/>
          </cell>
          <cell r="J4395" t="str">
            <v/>
          </cell>
          <cell r="K4395" t="str">
            <v/>
          </cell>
          <cell r="L4395" t="str">
            <v/>
          </cell>
        </row>
        <row r="4396">
          <cell r="A4396">
            <v>34000000</v>
          </cell>
          <cell r="C4396">
            <v>34000000</v>
          </cell>
          <cell r="D4396">
            <v>34000000</v>
          </cell>
          <cell r="E4396">
            <v>34000000</v>
          </cell>
          <cell r="F4396">
            <v>34000000</v>
          </cell>
          <cell r="G4396">
            <v>34000000</v>
          </cell>
          <cell r="H4396">
            <v>34000000</v>
          </cell>
          <cell r="I4396" t="str">
            <v/>
          </cell>
          <cell r="J4396" t="str">
            <v/>
          </cell>
          <cell r="K4396" t="str">
            <v/>
          </cell>
          <cell r="L4396" t="str">
            <v/>
          </cell>
        </row>
        <row r="4397">
          <cell r="A4397">
            <v>34000000</v>
          </cell>
          <cell r="C4397">
            <v>34000000</v>
          </cell>
          <cell r="D4397">
            <v>34000000</v>
          </cell>
          <cell r="E4397">
            <v>34000000</v>
          </cell>
          <cell r="F4397">
            <v>34000000</v>
          </cell>
          <cell r="G4397">
            <v>34000000</v>
          </cell>
          <cell r="H4397">
            <v>34000000</v>
          </cell>
          <cell r="I4397" t="str">
            <v/>
          </cell>
          <cell r="J4397" t="str">
            <v/>
          </cell>
          <cell r="K4397" t="str">
            <v/>
          </cell>
          <cell r="L4397" t="str">
            <v/>
          </cell>
        </row>
        <row r="4398">
          <cell r="A4398">
            <v>34000000</v>
          </cell>
          <cell r="C4398">
            <v>34000000</v>
          </cell>
          <cell r="D4398">
            <v>34000000</v>
          </cell>
          <cell r="E4398">
            <v>34000000</v>
          </cell>
          <cell r="F4398">
            <v>34000000</v>
          </cell>
          <cell r="G4398">
            <v>34000000</v>
          </cell>
          <cell r="H4398">
            <v>34000000</v>
          </cell>
          <cell r="I4398" t="str">
            <v/>
          </cell>
          <cell r="J4398" t="str">
            <v/>
          </cell>
          <cell r="K4398" t="str">
            <v/>
          </cell>
          <cell r="L4398" t="str">
            <v/>
          </cell>
        </row>
        <row r="4399">
          <cell r="A4399">
            <v>34000000</v>
          </cell>
          <cell r="C4399">
            <v>34000000</v>
          </cell>
          <cell r="D4399">
            <v>34000000</v>
          </cell>
          <cell r="E4399">
            <v>34000000</v>
          </cell>
          <cell r="F4399">
            <v>34000000</v>
          </cell>
          <cell r="G4399">
            <v>34000000</v>
          </cell>
          <cell r="H4399">
            <v>34000000</v>
          </cell>
          <cell r="I4399" t="str">
            <v/>
          </cell>
          <cell r="J4399" t="str">
            <v/>
          </cell>
          <cell r="K4399" t="str">
            <v/>
          </cell>
          <cell r="L4399" t="str">
            <v/>
          </cell>
        </row>
        <row r="4400">
          <cell r="A4400">
            <v>34000000</v>
          </cell>
          <cell r="C4400">
            <v>34000000</v>
          </cell>
          <cell r="D4400">
            <v>34000000</v>
          </cell>
          <cell r="E4400">
            <v>34000000</v>
          </cell>
          <cell r="F4400">
            <v>34000000</v>
          </cell>
          <cell r="G4400">
            <v>34000000</v>
          </cell>
          <cell r="H4400">
            <v>34000000</v>
          </cell>
          <cell r="I4400" t="str">
            <v/>
          </cell>
          <cell r="J4400" t="str">
            <v/>
          </cell>
          <cell r="K4400" t="str">
            <v/>
          </cell>
          <cell r="L4400" t="str">
            <v/>
          </cell>
        </row>
        <row r="4401">
          <cell r="A4401">
            <v>34000000</v>
          </cell>
          <cell r="C4401">
            <v>34000000</v>
          </cell>
          <cell r="D4401">
            <v>34000000</v>
          </cell>
          <cell r="E4401">
            <v>34000000</v>
          </cell>
          <cell r="F4401">
            <v>34000000</v>
          </cell>
          <cell r="G4401">
            <v>34000000</v>
          </cell>
          <cell r="H4401">
            <v>34000000</v>
          </cell>
          <cell r="I4401" t="str">
            <v/>
          </cell>
          <cell r="J4401" t="str">
            <v/>
          </cell>
          <cell r="K4401" t="str">
            <v/>
          </cell>
          <cell r="L4401" t="str">
            <v/>
          </cell>
        </row>
        <row r="4402">
          <cell r="A4402">
            <v>34000000</v>
          </cell>
          <cell r="C4402">
            <v>34000000</v>
          </cell>
          <cell r="D4402">
            <v>34000000</v>
          </cell>
          <cell r="E4402">
            <v>34000000</v>
          </cell>
          <cell r="F4402">
            <v>34000000</v>
          </cell>
          <cell r="G4402">
            <v>34000000</v>
          </cell>
          <cell r="H4402">
            <v>34000000</v>
          </cell>
          <cell r="I4402" t="str">
            <v/>
          </cell>
          <cell r="J4402" t="str">
            <v/>
          </cell>
          <cell r="K4402" t="str">
            <v/>
          </cell>
          <cell r="L4402" t="str">
            <v/>
          </cell>
        </row>
        <row r="4403">
          <cell r="A4403">
            <v>34000000</v>
          </cell>
          <cell r="C4403">
            <v>34000000</v>
          </cell>
          <cell r="D4403">
            <v>34000000</v>
          </cell>
          <cell r="E4403">
            <v>34000000</v>
          </cell>
          <cell r="F4403">
            <v>34000000</v>
          </cell>
          <cell r="G4403">
            <v>34000000</v>
          </cell>
          <cell r="H4403">
            <v>34000000</v>
          </cell>
          <cell r="I4403" t="str">
            <v/>
          </cell>
          <cell r="J4403" t="str">
            <v/>
          </cell>
          <cell r="K4403" t="str">
            <v/>
          </cell>
          <cell r="L4403" t="str">
            <v/>
          </cell>
        </row>
        <row r="4404">
          <cell r="A4404">
            <v>34000000</v>
          </cell>
          <cell r="C4404">
            <v>34000000</v>
          </cell>
          <cell r="D4404">
            <v>34000000</v>
          </cell>
          <cell r="E4404">
            <v>34000000</v>
          </cell>
          <cell r="F4404">
            <v>34000000</v>
          </cell>
          <cell r="G4404">
            <v>34000000</v>
          </cell>
          <cell r="H4404">
            <v>34000000</v>
          </cell>
          <cell r="I4404" t="str">
            <v/>
          </cell>
          <cell r="J4404" t="str">
            <v/>
          </cell>
          <cell r="K4404" t="str">
            <v/>
          </cell>
          <cell r="L4404" t="str">
            <v/>
          </cell>
        </row>
        <row r="4405">
          <cell r="A4405">
            <v>34000000</v>
          </cell>
          <cell r="C4405">
            <v>34000000</v>
          </cell>
          <cell r="D4405">
            <v>34000000</v>
          </cell>
          <cell r="E4405">
            <v>34000000</v>
          </cell>
          <cell r="F4405">
            <v>34000000</v>
          </cell>
          <cell r="G4405">
            <v>34000000</v>
          </cell>
          <cell r="H4405">
            <v>34000000</v>
          </cell>
          <cell r="I4405" t="str">
            <v/>
          </cell>
          <cell r="J4405" t="str">
            <v/>
          </cell>
          <cell r="K4405" t="str">
            <v/>
          </cell>
          <cell r="L4405" t="str">
            <v/>
          </cell>
        </row>
        <row r="4406">
          <cell r="A4406">
            <v>34000000</v>
          </cell>
          <cell r="C4406">
            <v>34000000</v>
          </cell>
          <cell r="D4406">
            <v>34000000</v>
          </cell>
          <cell r="E4406">
            <v>34000000</v>
          </cell>
          <cell r="F4406">
            <v>34000000</v>
          </cell>
          <cell r="G4406">
            <v>34000000</v>
          </cell>
          <cell r="H4406">
            <v>34000000</v>
          </cell>
          <cell r="I4406" t="str">
            <v/>
          </cell>
          <cell r="J4406" t="str">
            <v/>
          </cell>
          <cell r="K4406" t="str">
            <v/>
          </cell>
          <cell r="L4406" t="str">
            <v/>
          </cell>
        </row>
        <row r="4407">
          <cell r="A4407">
            <v>34000000</v>
          </cell>
          <cell r="C4407">
            <v>34000000</v>
          </cell>
          <cell r="D4407">
            <v>34000000</v>
          </cell>
          <cell r="E4407">
            <v>34000000</v>
          </cell>
          <cell r="F4407">
            <v>34000000</v>
          </cell>
          <cell r="G4407">
            <v>34000000</v>
          </cell>
          <cell r="H4407">
            <v>34000000</v>
          </cell>
          <cell r="I4407" t="str">
            <v/>
          </cell>
          <cell r="J4407" t="str">
            <v/>
          </cell>
          <cell r="K4407" t="str">
            <v/>
          </cell>
          <cell r="L4407" t="str">
            <v/>
          </cell>
        </row>
        <row r="4408">
          <cell r="A4408">
            <v>34000000</v>
          </cell>
          <cell r="C4408">
            <v>34000000</v>
          </cell>
          <cell r="D4408">
            <v>34000000</v>
          </cell>
          <cell r="E4408">
            <v>34000000</v>
          </cell>
          <cell r="F4408">
            <v>34000000</v>
          </cell>
          <cell r="G4408">
            <v>34000000</v>
          </cell>
          <cell r="H4408">
            <v>34000000</v>
          </cell>
          <cell r="I4408" t="str">
            <v/>
          </cell>
          <cell r="J4408" t="str">
            <v/>
          </cell>
          <cell r="K4408" t="str">
            <v/>
          </cell>
          <cell r="L4408" t="str">
            <v/>
          </cell>
        </row>
        <row r="4409">
          <cell r="A4409">
            <v>34000000</v>
          </cell>
          <cell r="C4409">
            <v>34000000</v>
          </cell>
          <cell r="D4409">
            <v>34000000</v>
          </cell>
          <cell r="E4409">
            <v>34000000</v>
          </cell>
          <cell r="F4409">
            <v>34000000</v>
          </cell>
          <cell r="G4409">
            <v>34000000</v>
          </cell>
          <cell r="H4409">
            <v>34000000</v>
          </cell>
          <cell r="I4409" t="str">
            <v/>
          </cell>
          <cell r="J4409" t="str">
            <v/>
          </cell>
          <cell r="K4409" t="str">
            <v/>
          </cell>
          <cell r="L4409" t="str">
            <v/>
          </cell>
        </row>
        <row r="4410">
          <cell r="A4410">
            <v>34000000</v>
          </cell>
          <cell r="C4410">
            <v>34000000</v>
          </cell>
          <cell r="D4410">
            <v>34000000</v>
          </cell>
          <cell r="E4410">
            <v>34000000</v>
          </cell>
          <cell r="F4410">
            <v>34000000</v>
          </cell>
          <cell r="G4410">
            <v>34000000</v>
          </cell>
          <cell r="H4410">
            <v>34000000</v>
          </cell>
          <cell r="I4410" t="str">
            <v/>
          </cell>
          <cell r="J4410" t="str">
            <v/>
          </cell>
          <cell r="K4410" t="str">
            <v/>
          </cell>
          <cell r="L4410" t="str">
            <v/>
          </cell>
        </row>
        <row r="4411">
          <cell r="A4411">
            <v>34000000</v>
          </cell>
          <cell r="C4411">
            <v>34000000</v>
          </cell>
          <cell r="D4411">
            <v>34000000</v>
          </cell>
          <cell r="E4411">
            <v>34000000</v>
          </cell>
          <cell r="F4411">
            <v>34000000</v>
          </cell>
          <cell r="G4411">
            <v>34000000</v>
          </cell>
          <cell r="H4411">
            <v>34000000</v>
          </cell>
          <cell r="I4411" t="str">
            <v/>
          </cell>
          <cell r="J4411" t="str">
            <v/>
          </cell>
          <cell r="K4411" t="str">
            <v/>
          </cell>
          <cell r="L4411" t="str">
            <v/>
          </cell>
        </row>
        <row r="4412">
          <cell r="A4412">
            <v>34000000</v>
          </cell>
          <cell r="C4412">
            <v>34000000</v>
          </cell>
          <cell r="D4412">
            <v>34000000</v>
          </cell>
          <cell r="E4412">
            <v>34000000</v>
          </cell>
          <cell r="F4412">
            <v>34000000</v>
          </cell>
          <cell r="G4412">
            <v>34000000</v>
          </cell>
          <cell r="H4412">
            <v>34000000</v>
          </cell>
          <cell r="I4412" t="str">
            <v/>
          </cell>
          <cell r="J4412" t="str">
            <v/>
          </cell>
          <cell r="K4412" t="str">
            <v/>
          </cell>
          <cell r="L4412" t="str">
            <v/>
          </cell>
        </row>
        <row r="4413">
          <cell r="A4413">
            <v>34000000</v>
          </cell>
          <cell r="C4413">
            <v>34000000</v>
          </cell>
          <cell r="D4413">
            <v>34000000</v>
          </cell>
          <cell r="E4413">
            <v>34000000</v>
          </cell>
          <cell r="F4413">
            <v>34000000</v>
          </cell>
          <cell r="G4413">
            <v>34000000</v>
          </cell>
          <cell r="H4413">
            <v>34000000</v>
          </cell>
          <cell r="I4413" t="str">
            <v/>
          </cell>
          <cell r="J4413" t="str">
            <v/>
          </cell>
          <cell r="K4413" t="str">
            <v/>
          </cell>
          <cell r="L4413" t="str">
            <v/>
          </cell>
        </row>
        <row r="4414">
          <cell r="A4414">
            <v>34000000</v>
          </cell>
          <cell r="C4414">
            <v>34000000</v>
          </cell>
          <cell r="D4414">
            <v>34000000</v>
          </cell>
          <cell r="E4414">
            <v>34000000</v>
          </cell>
          <cell r="F4414">
            <v>34000000</v>
          </cell>
          <cell r="G4414">
            <v>34000000</v>
          </cell>
          <cell r="H4414">
            <v>34000000</v>
          </cell>
          <cell r="I4414" t="str">
            <v/>
          </cell>
          <cell r="J4414" t="str">
            <v/>
          </cell>
          <cell r="K4414" t="str">
            <v/>
          </cell>
          <cell r="L4414" t="str">
            <v/>
          </cell>
        </row>
        <row r="4415">
          <cell r="A4415">
            <v>34000000</v>
          </cell>
          <cell r="C4415">
            <v>34000000</v>
          </cell>
          <cell r="D4415">
            <v>34000000</v>
          </cell>
          <cell r="E4415">
            <v>34000000</v>
          </cell>
          <cell r="F4415">
            <v>34000000</v>
          </cell>
          <cell r="G4415">
            <v>34000000</v>
          </cell>
          <cell r="H4415">
            <v>34000000</v>
          </cell>
          <cell r="I4415" t="str">
            <v/>
          </cell>
          <cell r="J4415" t="str">
            <v/>
          </cell>
          <cell r="K4415" t="str">
            <v/>
          </cell>
          <cell r="L4415" t="str">
            <v/>
          </cell>
        </row>
        <row r="4416">
          <cell r="A4416">
            <v>34000000</v>
          </cell>
          <cell r="C4416">
            <v>34000000</v>
          </cell>
          <cell r="D4416">
            <v>34000000</v>
          </cell>
          <cell r="E4416">
            <v>34000000</v>
          </cell>
          <cell r="F4416">
            <v>34000000</v>
          </cell>
          <cell r="G4416">
            <v>34000000</v>
          </cell>
          <cell r="H4416">
            <v>34000000</v>
          </cell>
          <cell r="I4416" t="str">
            <v/>
          </cell>
          <cell r="J4416" t="str">
            <v/>
          </cell>
          <cell r="K4416" t="str">
            <v/>
          </cell>
          <cell r="L4416" t="str">
            <v/>
          </cell>
        </row>
        <row r="4417">
          <cell r="A4417">
            <v>34000000</v>
          </cell>
          <cell r="C4417">
            <v>34000000</v>
          </cell>
          <cell r="D4417">
            <v>34000000</v>
          </cell>
          <cell r="E4417">
            <v>34000000</v>
          </cell>
          <cell r="F4417">
            <v>34000000</v>
          </cell>
          <cell r="G4417">
            <v>34000000</v>
          </cell>
          <cell r="H4417">
            <v>34000000</v>
          </cell>
          <cell r="I4417" t="str">
            <v/>
          </cell>
          <cell r="J4417" t="str">
            <v/>
          </cell>
          <cell r="K4417" t="str">
            <v/>
          </cell>
          <cell r="L4417" t="str">
            <v/>
          </cell>
        </row>
        <row r="4418">
          <cell r="A4418">
            <v>34000000</v>
          </cell>
          <cell r="C4418">
            <v>34000000</v>
          </cell>
          <cell r="D4418">
            <v>34000000</v>
          </cell>
          <cell r="E4418">
            <v>34000000</v>
          </cell>
          <cell r="F4418">
            <v>34000000</v>
          </cell>
          <cell r="G4418">
            <v>34000000</v>
          </cell>
          <cell r="H4418">
            <v>34000000</v>
          </cell>
          <cell r="I4418" t="str">
            <v/>
          </cell>
          <cell r="J4418" t="str">
            <v/>
          </cell>
          <cell r="K4418" t="str">
            <v/>
          </cell>
          <cell r="L4418" t="str">
            <v/>
          </cell>
        </row>
        <row r="4419">
          <cell r="A4419">
            <v>34000000</v>
          </cell>
          <cell r="C4419">
            <v>34000000</v>
          </cell>
          <cell r="D4419">
            <v>34000000</v>
          </cell>
          <cell r="E4419">
            <v>34000000</v>
          </cell>
          <cell r="F4419">
            <v>34000000</v>
          </cell>
          <cell r="G4419">
            <v>34000000</v>
          </cell>
          <cell r="H4419">
            <v>34000000</v>
          </cell>
          <cell r="I4419" t="str">
            <v/>
          </cell>
          <cell r="J4419" t="str">
            <v/>
          </cell>
          <cell r="K4419" t="str">
            <v/>
          </cell>
          <cell r="L4419" t="str">
            <v/>
          </cell>
        </row>
        <row r="4420">
          <cell r="A4420">
            <v>34000000</v>
          </cell>
          <cell r="C4420">
            <v>34000000</v>
          </cell>
          <cell r="D4420">
            <v>34000000</v>
          </cell>
          <cell r="E4420">
            <v>34000000</v>
          </cell>
          <cell r="F4420">
            <v>34000000</v>
          </cell>
          <cell r="G4420">
            <v>34000000</v>
          </cell>
          <cell r="H4420">
            <v>34000000</v>
          </cell>
          <cell r="I4420" t="str">
            <v/>
          </cell>
          <cell r="J4420" t="str">
            <v/>
          </cell>
          <cell r="K4420" t="str">
            <v/>
          </cell>
          <cell r="L4420" t="str">
            <v/>
          </cell>
        </row>
        <row r="4421">
          <cell r="A4421">
            <v>34000000</v>
          </cell>
          <cell r="C4421">
            <v>34000000</v>
          </cell>
          <cell r="D4421">
            <v>34000000</v>
          </cell>
          <cell r="E4421">
            <v>34000000</v>
          </cell>
          <cell r="F4421">
            <v>34000000</v>
          </cell>
          <cell r="G4421">
            <v>34000000</v>
          </cell>
          <cell r="H4421">
            <v>34000000</v>
          </cell>
          <cell r="I4421" t="str">
            <v/>
          </cell>
          <cell r="J4421" t="str">
            <v/>
          </cell>
          <cell r="K4421" t="str">
            <v/>
          </cell>
          <cell r="L4421" t="str">
            <v/>
          </cell>
        </row>
        <row r="4422">
          <cell r="A4422">
            <v>34000000</v>
          </cell>
          <cell r="C4422">
            <v>34000000</v>
          </cell>
          <cell r="D4422">
            <v>34000000</v>
          </cell>
          <cell r="E4422">
            <v>34000000</v>
          </cell>
          <cell r="F4422">
            <v>34000000</v>
          </cell>
          <cell r="G4422">
            <v>34000000</v>
          </cell>
          <cell r="H4422">
            <v>34000000</v>
          </cell>
          <cell r="I4422" t="str">
            <v/>
          </cell>
          <cell r="J4422" t="str">
            <v/>
          </cell>
          <cell r="K4422" t="str">
            <v/>
          </cell>
          <cell r="L4422" t="str">
            <v/>
          </cell>
        </row>
        <row r="4423">
          <cell r="A4423">
            <v>34000000</v>
          </cell>
          <cell r="C4423">
            <v>34000000</v>
          </cell>
          <cell r="D4423">
            <v>34000000</v>
          </cell>
          <cell r="E4423">
            <v>34000000</v>
          </cell>
          <cell r="F4423">
            <v>34000000</v>
          </cell>
          <cell r="G4423">
            <v>34000000</v>
          </cell>
          <cell r="H4423">
            <v>34000000</v>
          </cell>
          <cell r="I4423" t="str">
            <v/>
          </cell>
          <cell r="J4423" t="str">
            <v/>
          </cell>
          <cell r="K4423" t="str">
            <v/>
          </cell>
          <cell r="L4423" t="str">
            <v/>
          </cell>
        </row>
        <row r="4424">
          <cell r="A4424">
            <v>34000000</v>
          </cell>
          <cell r="C4424">
            <v>34000000</v>
          </cell>
          <cell r="D4424">
            <v>34000000</v>
          </cell>
          <cell r="E4424">
            <v>34000000</v>
          </cell>
          <cell r="F4424">
            <v>34000000</v>
          </cell>
          <cell r="G4424">
            <v>34000000</v>
          </cell>
          <cell r="H4424">
            <v>34000000</v>
          </cell>
          <cell r="I4424" t="str">
            <v/>
          </cell>
          <cell r="J4424" t="str">
            <v/>
          </cell>
          <cell r="K4424" t="str">
            <v/>
          </cell>
          <cell r="L4424" t="str">
            <v/>
          </cell>
        </row>
        <row r="4425">
          <cell r="A4425">
            <v>34000000</v>
          </cell>
          <cell r="C4425">
            <v>34000000</v>
          </cell>
          <cell r="D4425">
            <v>34000000</v>
          </cell>
          <cell r="E4425">
            <v>34000000</v>
          </cell>
          <cell r="F4425">
            <v>34000000</v>
          </cell>
          <cell r="G4425">
            <v>34000000</v>
          </cell>
          <cell r="H4425">
            <v>34000000</v>
          </cell>
          <cell r="I4425" t="str">
            <v/>
          </cell>
          <cell r="J4425" t="str">
            <v/>
          </cell>
          <cell r="K4425" t="str">
            <v/>
          </cell>
          <cell r="L4425" t="str">
            <v/>
          </cell>
        </row>
        <row r="4426">
          <cell r="A4426">
            <v>34000000</v>
          </cell>
          <cell r="C4426">
            <v>34000000</v>
          </cell>
          <cell r="D4426">
            <v>34000000</v>
          </cell>
          <cell r="E4426">
            <v>34000000</v>
          </cell>
          <cell r="F4426">
            <v>34000000</v>
          </cell>
          <cell r="G4426">
            <v>34000000</v>
          </cell>
          <cell r="H4426">
            <v>34000000</v>
          </cell>
          <cell r="I4426" t="str">
            <v/>
          </cell>
          <cell r="J4426" t="str">
            <v/>
          </cell>
          <cell r="K4426" t="str">
            <v/>
          </cell>
          <cell r="L4426" t="str">
            <v/>
          </cell>
        </row>
        <row r="4427">
          <cell r="A4427">
            <v>34000000</v>
          </cell>
          <cell r="C4427">
            <v>34000000</v>
          </cell>
          <cell r="D4427">
            <v>34000000</v>
          </cell>
          <cell r="E4427">
            <v>34000000</v>
          </cell>
          <cell r="F4427">
            <v>34000000</v>
          </cell>
          <cell r="G4427">
            <v>34000000</v>
          </cell>
          <cell r="H4427">
            <v>34000000</v>
          </cell>
          <cell r="I4427" t="str">
            <v/>
          </cell>
          <cell r="J4427" t="str">
            <v/>
          </cell>
          <cell r="K4427" t="str">
            <v/>
          </cell>
          <cell r="L4427" t="str">
            <v/>
          </cell>
        </row>
        <row r="4428">
          <cell r="A4428">
            <v>34000000</v>
          </cell>
          <cell r="C4428">
            <v>34000000</v>
          </cell>
          <cell r="D4428">
            <v>34000000</v>
          </cell>
          <cell r="E4428">
            <v>34000000</v>
          </cell>
          <cell r="F4428">
            <v>34000000</v>
          </cell>
          <cell r="G4428">
            <v>34000000</v>
          </cell>
          <cell r="H4428">
            <v>34000000</v>
          </cell>
          <cell r="I4428" t="str">
            <v/>
          </cell>
          <cell r="J4428" t="str">
            <v/>
          </cell>
          <cell r="K4428" t="str">
            <v/>
          </cell>
          <cell r="L4428" t="str">
            <v/>
          </cell>
        </row>
        <row r="4429">
          <cell r="A4429">
            <v>34000000</v>
          </cell>
          <cell r="C4429">
            <v>34000000</v>
          </cell>
          <cell r="D4429">
            <v>34000000</v>
          </cell>
          <cell r="E4429">
            <v>34000000</v>
          </cell>
          <cell r="F4429">
            <v>34000000</v>
          </cell>
          <cell r="G4429">
            <v>34000000</v>
          </cell>
          <cell r="H4429">
            <v>34000000</v>
          </cell>
          <cell r="I4429" t="str">
            <v/>
          </cell>
          <cell r="J4429" t="str">
            <v/>
          </cell>
          <cell r="K4429" t="str">
            <v/>
          </cell>
          <cell r="L4429" t="str">
            <v/>
          </cell>
        </row>
        <row r="4430">
          <cell r="A4430">
            <v>34000000</v>
          </cell>
          <cell r="C4430">
            <v>34000000</v>
          </cell>
          <cell r="D4430">
            <v>34000000</v>
          </cell>
          <cell r="E4430">
            <v>34000000</v>
          </cell>
          <cell r="F4430">
            <v>34000000</v>
          </cell>
          <cell r="G4430">
            <v>34000000</v>
          </cell>
          <cell r="H4430">
            <v>34000000</v>
          </cell>
          <cell r="I4430" t="str">
            <v/>
          </cell>
          <cell r="J4430" t="str">
            <v/>
          </cell>
          <cell r="K4430" t="str">
            <v/>
          </cell>
          <cell r="L4430" t="str">
            <v/>
          </cell>
        </row>
        <row r="4431">
          <cell r="A4431">
            <v>34000000</v>
          </cell>
          <cell r="C4431">
            <v>34000000</v>
          </cell>
          <cell r="D4431">
            <v>34000000</v>
          </cell>
          <cell r="E4431">
            <v>34000000</v>
          </cell>
          <cell r="F4431">
            <v>34000000</v>
          </cell>
          <cell r="G4431">
            <v>34000000</v>
          </cell>
          <cell r="H4431">
            <v>34000000</v>
          </cell>
          <cell r="I4431" t="str">
            <v/>
          </cell>
          <cell r="J4431" t="str">
            <v/>
          </cell>
          <cell r="K4431" t="str">
            <v/>
          </cell>
          <cell r="L4431" t="str">
            <v/>
          </cell>
        </row>
        <row r="4432">
          <cell r="A4432">
            <v>34000000</v>
          </cell>
          <cell r="C4432">
            <v>34000000</v>
          </cell>
          <cell r="D4432">
            <v>34000000</v>
          </cell>
          <cell r="E4432">
            <v>34000000</v>
          </cell>
          <cell r="F4432">
            <v>34000000</v>
          </cell>
          <cell r="G4432">
            <v>34000000</v>
          </cell>
          <cell r="H4432">
            <v>34000000</v>
          </cell>
          <cell r="I4432" t="str">
            <v/>
          </cell>
          <cell r="J4432" t="str">
            <v/>
          </cell>
          <cell r="K4432" t="str">
            <v/>
          </cell>
          <cell r="L4432" t="str">
            <v/>
          </cell>
        </row>
        <row r="4433">
          <cell r="A4433">
            <v>34000000</v>
          </cell>
          <cell r="C4433">
            <v>34000000</v>
          </cell>
          <cell r="D4433">
            <v>34000000</v>
          </cell>
          <cell r="E4433">
            <v>34000000</v>
          </cell>
          <cell r="F4433">
            <v>34000000</v>
          </cell>
          <cell r="G4433">
            <v>34000000</v>
          </cell>
          <cell r="H4433">
            <v>34000000</v>
          </cell>
          <cell r="I4433" t="str">
            <v/>
          </cell>
          <cell r="J4433" t="str">
            <v/>
          </cell>
          <cell r="K4433" t="str">
            <v/>
          </cell>
          <cell r="L4433" t="str">
            <v/>
          </cell>
        </row>
        <row r="4434">
          <cell r="A4434">
            <v>34000000</v>
          </cell>
          <cell r="C4434">
            <v>34000000</v>
          </cell>
          <cell r="D4434">
            <v>34000000</v>
          </cell>
          <cell r="E4434">
            <v>34000000</v>
          </cell>
          <cell r="F4434">
            <v>34000000</v>
          </cell>
          <cell r="G4434">
            <v>34000000</v>
          </cell>
          <cell r="H4434">
            <v>34000000</v>
          </cell>
          <cell r="I4434" t="str">
            <v/>
          </cell>
          <cell r="J4434" t="str">
            <v/>
          </cell>
          <cell r="K4434" t="str">
            <v/>
          </cell>
          <cell r="L4434" t="str">
            <v/>
          </cell>
        </row>
        <row r="4435">
          <cell r="A4435">
            <v>34000000</v>
          </cell>
          <cell r="C4435">
            <v>34000000</v>
          </cell>
          <cell r="D4435">
            <v>34000000</v>
          </cell>
          <cell r="E4435">
            <v>34000000</v>
          </cell>
          <cell r="F4435">
            <v>34000000</v>
          </cell>
          <cell r="G4435">
            <v>34000000</v>
          </cell>
          <cell r="H4435">
            <v>34000000</v>
          </cell>
          <cell r="I4435" t="str">
            <v/>
          </cell>
          <cell r="J4435" t="str">
            <v/>
          </cell>
          <cell r="K4435" t="str">
            <v/>
          </cell>
          <cell r="L4435" t="str">
            <v/>
          </cell>
        </row>
        <row r="4436">
          <cell r="A4436">
            <v>34000000</v>
          </cell>
          <cell r="C4436">
            <v>34000000</v>
          </cell>
          <cell r="D4436">
            <v>34000000</v>
          </cell>
          <cell r="E4436">
            <v>34000000</v>
          </cell>
          <cell r="F4436">
            <v>34000000</v>
          </cell>
          <cell r="G4436">
            <v>34000000</v>
          </cell>
          <cell r="H4436">
            <v>34000000</v>
          </cell>
          <cell r="I4436" t="str">
            <v/>
          </cell>
          <cell r="J4436" t="str">
            <v/>
          </cell>
          <cell r="K4436" t="str">
            <v/>
          </cell>
          <cell r="L4436" t="str">
            <v/>
          </cell>
        </row>
        <row r="4437">
          <cell r="A4437">
            <v>34000000</v>
          </cell>
          <cell r="C4437">
            <v>34000000</v>
          </cell>
          <cell r="D4437">
            <v>34000000</v>
          </cell>
          <cell r="E4437">
            <v>34000000</v>
          </cell>
          <cell r="F4437">
            <v>34000000</v>
          </cell>
          <cell r="G4437">
            <v>34000000</v>
          </cell>
          <cell r="H4437">
            <v>34000000</v>
          </cell>
          <cell r="I4437" t="str">
            <v/>
          </cell>
          <cell r="J4437" t="str">
            <v/>
          </cell>
          <cell r="K4437" t="str">
            <v/>
          </cell>
          <cell r="L4437" t="str">
            <v/>
          </cell>
        </row>
        <row r="4438">
          <cell r="A4438">
            <v>34000000</v>
          </cell>
          <cell r="C4438">
            <v>34000000</v>
          </cell>
          <cell r="D4438">
            <v>34000000</v>
          </cell>
          <cell r="E4438">
            <v>34000000</v>
          </cell>
          <cell r="F4438">
            <v>34000000</v>
          </cell>
          <cell r="G4438">
            <v>34000000</v>
          </cell>
          <cell r="H4438">
            <v>34000000</v>
          </cell>
          <cell r="I4438" t="str">
            <v/>
          </cell>
          <cell r="J4438" t="str">
            <v/>
          </cell>
          <cell r="K4438" t="str">
            <v/>
          </cell>
          <cell r="L4438" t="str">
            <v/>
          </cell>
        </row>
        <row r="4439">
          <cell r="A4439">
            <v>34000000</v>
          </cell>
          <cell r="C4439">
            <v>34000000</v>
          </cell>
          <cell r="D4439">
            <v>34000000</v>
          </cell>
          <cell r="E4439">
            <v>34000000</v>
          </cell>
          <cell r="F4439">
            <v>34000000</v>
          </cell>
          <cell r="G4439">
            <v>34000000</v>
          </cell>
          <cell r="H4439">
            <v>34000000</v>
          </cell>
          <cell r="I4439" t="str">
            <v/>
          </cell>
          <cell r="J4439" t="str">
            <v/>
          </cell>
          <cell r="K4439" t="str">
            <v/>
          </cell>
          <cell r="L4439" t="str">
            <v/>
          </cell>
        </row>
        <row r="4440">
          <cell r="A4440">
            <v>34000000</v>
          </cell>
          <cell r="C4440">
            <v>34000000</v>
          </cell>
          <cell r="D4440">
            <v>34000000</v>
          </cell>
          <cell r="E4440">
            <v>34000000</v>
          </cell>
          <cell r="F4440">
            <v>34000000</v>
          </cell>
          <cell r="G4440">
            <v>34000000</v>
          </cell>
          <cell r="H4440">
            <v>34000000</v>
          </cell>
          <cell r="I4440" t="str">
            <v/>
          </cell>
          <cell r="J4440" t="str">
            <v/>
          </cell>
          <cell r="K4440" t="str">
            <v/>
          </cell>
          <cell r="L4440" t="str">
            <v/>
          </cell>
        </row>
        <row r="4441">
          <cell r="A4441">
            <v>34000000</v>
          </cell>
          <cell r="C4441">
            <v>34000000</v>
          </cell>
          <cell r="D4441">
            <v>34000000</v>
          </cell>
          <cell r="E4441">
            <v>34000000</v>
          </cell>
          <cell r="F4441">
            <v>34000000</v>
          </cell>
          <cell r="G4441">
            <v>34000000</v>
          </cell>
          <cell r="H4441">
            <v>34000000</v>
          </cell>
          <cell r="I4441" t="str">
            <v/>
          </cell>
          <cell r="J4441" t="str">
            <v/>
          </cell>
          <cell r="K4441" t="str">
            <v/>
          </cell>
          <cell r="L4441" t="str">
            <v/>
          </cell>
        </row>
        <row r="4442">
          <cell r="A4442">
            <v>34000000</v>
          </cell>
          <cell r="C4442">
            <v>34000000</v>
          </cell>
          <cell r="D4442">
            <v>34000000</v>
          </cell>
          <cell r="E4442">
            <v>34000000</v>
          </cell>
          <cell r="F4442">
            <v>34000000</v>
          </cell>
          <cell r="G4442">
            <v>34000000</v>
          </cell>
          <cell r="H4442">
            <v>34000000</v>
          </cell>
          <cell r="I4442" t="str">
            <v/>
          </cell>
          <cell r="J4442" t="str">
            <v/>
          </cell>
          <cell r="K4442" t="str">
            <v/>
          </cell>
          <cell r="L4442" t="str">
            <v/>
          </cell>
        </row>
        <row r="4443">
          <cell r="A4443">
            <v>34000000</v>
          </cell>
          <cell r="C4443">
            <v>34000000</v>
          </cell>
          <cell r="D4443">
            <v>34000000</v>
          </cell>
          <cell r="E4443">
            <v>34000000</v>
          </cell>
          <cell r="F4443">
            <v>34000000</v>
          </cell>
          <cell r="G4443">
            <v>34000000</v>
          </cell>
          <cell r="H4443">
            <v>34000000</v>
          </cell>
          <cell r="I4443" t="str">
            <v/>
          </cell>
          <cell r="J4443" t="str">
            <v/>
          </cell>
          <cell r="K4443" t="str">
            <v/>
          </cell>
          <cell r="L4443" t="str">
            <v/>
          </cell>
        </row>
        <row r="4444">
          <cell r="A4444">
            <v>34000000</v>
          </cell>
          <cell r="C4444">
            <v>34000000</v>
          </cell>
          <cell r="D4444">
            <v>34000000</v>
          </cell>
          <cell r="E4444">
            <v>34000000</v>
          </cell>
          <cell r="F4444">
            <v>34000000</v>
          </cell>
          <cell r="G4444">
            <v>34000000</v>
          </cell>
          <cell r="H4444">
            <v>34000000</v>
          </cell>
          <cell r="I4444" t="str">
            <v/>
          </cell>
          <cell r="J4444" t="str">
            <v/>
          </cell>
          <cell r="K4444" t="str">
            <v/>
          </cell>
          <cell r="L4444" t="str">
            <v/>
          </cell>
        </row>
        <row r="4445">
          <cell r="A4445">
            <v>34000000</v>
          </cell>
          <cell r="C4445">
            <v>34000000</v>
          </cell>
          <cell r="D4445">
            <v>34000000</v>
          </cell>
          <cell r="E4445">
            <v>34000000</v>
          </cell>
          <cell r="F4445">
            <v>34000000</v>
          </cell>
          <cell r="G4445">
            <v>34000000</v>
          </cell>
          <cell r="H4445">
            <v>34000000</v>
          </cell>
          <cell r="I4445" t="str">
            <v/>
          </cell>
          <cell r="J4445" t="str">
            <v/>
          </cell>
          <cell r="K4445" t="str">
            <v/>
          </cell>
          <cell r="L4445" t="str">
            <v/>
          </cell>
        </row>
        <row r="4446">
          <cell r="A4446">
            <v>34000000</v>
          </cell>
          <cell r="C4446">
            <v>34000000</v>
          </cell>
          <cell r="D4446">
            <v>34000000</v>
          </cell>
          <cell r="E4446">
            <v>34000000</v>
          </cell>
          <cell r="F4446">
            <v>34000000</v>
          </cell>
          <cell r="G4446">
            <v>34000000</v>
          </cell>
          <cell r="H4446">
            <v>34000000</v>
          </cell>
          <cell r="I4446" t="str">
            <v/>
          </cell>
          <cell r="J4446" t="str">
            <v/>
          </cell>
          <cell r="K4446" t="str">
            <v/>
          </cell>
          <cell r="L4446" t="str">
            <v/>
          </cell>
        </row>
        <row r="4447">
          <cell r="A4447">
            <v>34000000</v>
          </cell>
          <cell r="C4447">
            <v>34000000</v>
          </cell>
          <cell r="D4447">
            <v>34000000</v>
          </cell>
          <cell r="E4447">
            <v>34000000</v>
          </cell>
          <cell r="F4447">
            <v>34000000</v>
          </cell>
          <cell r="G4447">
            <v>34000000</v>
          </cell>
          <cell r="H4447">
            <v>34000000</v>
          </cell>
          <cell r="I4447" t="str">
            <v/>
          </cell>
          <cell r="J4447" t="str">
            <v/>
          </cell>
          <cell r="K4447" t="str">
            <v/>
          </cell>
          <cell r="L4447" t="str">
            <v/>
          </cell>
        </row>
        <row r="4448">
          <cell r="A4448">
            <v>34000000</v>
          </cell>
          <cell r="C4448">
            <v>34000000</v>
          </cell>
          <cell r="D4448">
            <v>34000000</v>
          </cell>
          <cell r="E4448">
            <v>34000000</v>
          </cell>
          <cell r="F4448">
            <v>34000000</v>
          </cell>
          <cell r="G4448">
            <v>34000000</v>
          </cell>
          <cell r="H4448">
            <v>34000000</v>
          </cell>
          <cell r="I4448" t="str">
            <v/>
          </cell>
          <cell r="J4448" t="str">
            <v/>
          </cell>
          <cell r="K4448" t="str">
            <v/>
          </cell>
          <cell r="L4448" t="str">
            <v/>
          </cell>
        </row>
        <row r="4449">
          <cell r="A4449">
            <v>34000000</v>
          </cell>
          <cell r="C4449">
            <v>34000000</v>
          </cell>
          <cell r="D4449">
            <v>34000000</v>
          </cell>
          <cell r="E4449">
            <v>34000000</v>
          </cell>
          <cell r="F4449">
            <v>34000000</v>
          </cell>
          <cell r="G4449">
            <v>34000000</v>
          </cell>
          <cell r="H4449">
            <v>34000000</v>
          </cell>
          <cell r="I4449" t="str">
            <v/>
          </cell>
          <cell r="J4449" t="str">
            <v/>
          </cell>
          <cell r="K4449" t="str">
            <v/>
          </cell>
          <cell r="L4449" t="str">
            <v/>
          </cell>
        </row>
        <row r="4450">
          <cell r="A4450">
            <v>34000000</v>
          </cell>
          <cell r="C4450">
            <v>34000000</v>
          </cell>
          <cell r="D4450">
            <v>34000000</v>
          </cell>
          <cell r="E4450">
            <v>34000000</v>
          </cell>
          <cell r="F4450">
            <v>34000000</v>
          </cell>
          <cell r="G4450">
            <v>34000000</v>
          </cell>
          <cell r="H4450">
            <v>34000000</v>
          </cell>
          <cell r="I4450" t="str">
            <v/>
          </cell>
          <cell r="J4450" t="str">
            <v/>
          </cell>
          <cell r="K4450" t="str">
            <v/>
          </cell>
          <cell r="L4450" t="str">
            <v/>
          </cell>
        </row>
        <row r="4451">
          <cell r="A4451">
            <v>34000000</v>
          </cell>
          <cell r="C4451">
            <v>34000000</v>
          </cell>
          <cell r="D4451">
            <v>34000000</v>
          </cell>
          <cell r="E4451">
            <v>34000000</v>
          </cell>
          <cell r="F4451">
            <v>34000000</v>
          </cell>
          <cell r="G4451">
            <v>34000000</v>
          </cell>
          <cell r="H4451">
            <v>34000000</v>
          </cell>
          <cell r="I4451" t="str">
            <v/>
          </cell>
          <cell r="J4451" t="str">
            <v/>
          </cell>
          <cell r="K4451" t="str">
            <v/>
          </cell>
          <cell r="L4451" t="str">
            <v/>
          </cell>
        </row>
        <row r="4452">
          <cell r="A4452">
            <v>34000000</v>
          </cell>
          <cell r="C4452">
            <v>34000000</v>
          </cell>
          <cell r="D4452">
            <v>34000000</v>
          </cell>
          <cell r="E4452">
            <v>34000000</v>
          </cell>
          <cell r="F4452">
            <v>34000000</v>
          </cell>
          <cell r="G4452">
            <v>34000000</v>
          </cell>
          <cell r="H4452">
            <v>34000000</v>
          </cell>
          <cell r="I4452" t="str">
            <v/>
          </cell>
          <cell r="J4452" t="str">
            <v/>
          </cell>
          <cell r="K4452" t="str">
            <v/>
          </cell>
          <cell r="L4452" t="str">
            <v/>
          </cell>
        </row>
        <row r="4453">
          <cell r="A4453">
            <v>34000000</v>
          </cell>
          <cell r="C4453">
            <v>34000000</v>
          </cell>
          <cell r="D4453">
            <v>34000000</v>
          </cell>
          <cell r="E4453">
            <v>34000000</v>
          </cell>
          <cell r="F4453">
            <v>34000000</v>
          </cell>
          <cell r="G4453">
            <v>34000000</v>
          </cell>
          <cell r="H4453">
            <v>34000000</v>
          </cell>
          <cell r="I4453" t="str">
            <v/>
          </cell>
          <cell r="J4453" t="str">
            <v/>
          </cell>
          <cell r="K4453" t="str">
            <v/>
          </cell>
          <cell r="L4453" t="str">
            <v/>
          </cell>
        </row>
        <row r="4454">
          <cell r="A4454">
            <v>34000000</v>
          </cell>
          <cell r="C4454">
            <v>34000000</v>
          </cell>
          <cell r="D4454">
            <v>34000000</v>
          </cell>
          <cell r="E4454">
            <v>34000000</v>
          </cell>
          <cell r="F4454">
            <v>34000000</v>
          </cell>
          <cell r="G4454">
            <v>34000000</v>
          </cell>
          <cell r="H4454">
            <v>34000000</v>
          </cell>
          <cell r="I4454" t="str">
            <v/>
          </cell>
          <cell r="J4454" t="str">
            <v/>
          </cell>
          <cell r="K4454" t="str">
            <v/>
          </cell>
          <cell r="L4454" t="str">
            <v/>
          </cell>
        </row>
        <row r="4455">
          <cell r="A4455">
            <v>34000000</v>
          </cell>
          <cell r="C4455">
            <v>34000000</v>
          </cell>
          <cell r="D4455">
            <v>34000000</v>
          </cell>
          <cell r="E4455">
            <v>34000000</v>
          </cell>
          <cell r="F4455">
            <v>34000000</v>
          </cell>
          <cell r="G4455">
            <v>34000000</v>
          </cell>
          <cell r="H4455">
            <v>34000000</v>
          </cell>
          <cell r="I4455" t="str">
            <v/>
          </cell>
          <cell r="J4455" t="str">
            <v/>
          </cell>
          <cell r="K4455" t="str">
            <v/>
          </cell>
          <cell r="L4455" t="str">
            <v/>
          </cell>
        </row>
        <row r="4456">
          <cell r="A4456">
            <v>34000000</v>
          </cell>
          <cell r="C4456">
            <v>34000000</v>
          </cell>
          <cell r="D4456">
            <v>34000000</v>
          </cell>
          <cell r="E4456">
            <v>34000000</v>
          </cell>
          <cell r="F4456">
            <v>34000000</v>
          </cell>
          <cell r="G4456">
            <v>34000000</v>
          </cell>
          <cell r="H4456">
            <v>34000000</v>
          </cell>
          <cell r="I4456" t="str">
            <v/>
          </cell>
          <cell r="J4456" t="str">
            <v/>
          </cell>
          <cell r="K4456" t="str">
            <v/>
          </cell>
          <cell r="L4456" t="str">
            <v/>
          </cell>
        </row>
        <row r="4457">
          <cell r="A4457">
            <v>34000000</v>
          </cell>
          <cell r="C4457">
            <v>34000000</v>
          </cell>
          <cell r="D4457">
            <v>34000000</v>
          </cell>
          <cell r="E4457">
            <v>34000000</v>
          </cell>
          <cell r="F4457">
            <v>34000000</v>
          </cell>
          <cell r="G4457">
            <v>34000000</v>
          </cell>
          <cell r="H4457">
            <v>34000000</v>
          </cell>
          <cell r="I4457" t="str">
            <v/>
          </cell>
          <cell r="J4457" t="str">
            <v/>
          </cell>
          <cell r="K4457" t="str">
            <v/>
          </cell>
          <cell r="L4457" t="str">
            <v/>
          </cell>
        </row>
        <row r="4458">
          <cell r="A4458">
            <v>34000000</v>
          </cell>
          <cell r="C4458">
            <v>34000000</v>
          </cell>
          <cell r="D4458">
            <v>34000000</v>
          </cell>
          <cell r="E4458">
            <v>34000000</v>
          </cell>
          <cell r="F4458">
            <v>34000000</v>
          </cell>
          <cell r="G4458">
            <v>34000000</v>
          </cell>
          <cell r="H4458">
            <v>34000000</v>
          </cell>
          <cell r="I4458" t="str">
            <v/>
          </cell>
          <cell r="J4458" t="str">
            <v/>
          </cell>
          <cell r="K4458" t="str">
            <v/>
          </cell>
          <cell r="L4458" t="str">
            <v/>
          </cell>
        </row>
        <row r="4459">
          <cell r="A4459">
            <v>34000000</v>
          </cell>
          <cell r="C4459">
            <v>34000000</v>
          </cell>
          <cell r="D4459">
            <v>34000000</v>
          </cell>
          <cell r="E4459">
            <v>34000000</v>
          </cell>
          <cell r="F4459">
            <v>34000000</v>
          </cell>
          <cell r="G4459">
            <v>34000000</v>
          </cell>
          <cell r="H4459">
            <v>34000000</v>
          </cell>
          <cell r="I4459" t="str">
            <v/>
          </cell>
          <cell r="J4459" t="str">
            <v/>
          </cell>
          <cell r="K4459" t="str">
            <v/>
          </cell>
          <cell r="L4459" t="str">
            <v/>
          </cell>
        </row>
        <row r="4460">
          <cell r="A4460">
            <v>34000000</v>
          </cell>
          <cell r="C4460">
            <v>34000000</v>
          </cell>
          <cell r="D4460">
            <v>34000000</v>
          </cell>
          <cell r="E4460">
            <v>34000000</v>
          </cell>
          <cell r="F4460">
            <v>34000000</v>
          </cell>
          <cell r="G4460">
            <v>34000000</v>
          </cell>
          <cell r="H4460">
            <v>34000000</v>
          </cell>
          <cell r="I4460" t="str">
            <v/>
          </cell>
          <cell r="J4460" t="str">
            <v/>
          </cell>
          <cell r="K4460" t="str">
            <v/>
          </cell>
          <cell r="L4460" t="str">
            <v/>
          </cell>
        </row>
        <row r="4461">
          <cell r="A4461">
            <v>34000000</v>
          </cell>
          <cell r="C4461">
            <v>34000000</v>
          </cell>
          <cell r="D4461">
            <v>34000000</v>
          </cell>
          <cell r="E4461">
            <v>34000000</v>
          </cell>
          <cell r="F4461">
            <v>34000000</v>
          </cell>
          <cell r="G4461">
            <v>34000000</v>
          </cell>
          <cell r="H4461">
            <v>34000000</v>
          </cell>
          <cell r="I4461" t="str">
            <v/>
          </cell>
          <cell r="J4461" t="str">
            <v/>
          </cell>
          <cell r="K4461" t="str">
            <v/>
          </cell>
          <cell r="L4461" t="str">
            <v/>
          </cell>
        </row>
        <row r="4462">
          <cell r="A4462">
            <v>34000000</v>
          </cell>
          <cell r="C4462">
            <v>34000000</v>
          </cell>
          <cell r="D4462">
            <v>34000000</v>
          </cell>
          <cell r="E4462">
            <v>34000000</v>
          </cell>
          <cell r="F4462">
            <v>34000000</v>
          </cell>
          <cell r="G4462">
            <v>34000000</v>
          </cell>
          <cell r="H4462">
            <v>34000000</v>
          </cell>
          <cell r="I4462" t="str">
            <v/>
          </cell>
          <cell r="J4462" t="str">
            <v/>
          </cell>
          <cell r="K4462" t="str">
            <v/>
          </cell>
          <cell r="L4462" t="str">
            <v/>
          </cell>
        </row>
        <row r="4463">
          <cell r="A4463">
            <v>34000000</v>
          </cell>
          <cell r="C4463">
            <v>34000000</v>
          </cell>
          <cell r="D4463">
            <v>34000000</v>
          </cell>
          <cell r="E4463">
            <v>34000000</v>
          </cell>
          <cell r="F4463">
            <v>34000000</v>
          </cell>
          <cell r="G4463">
            <v>34000000</v>
          </cell>
          <cell r="H4463">
            <v>34000000</v>
          </cell>
          <cell r="I4463" t="str">
            <v/>
          </cell>
          <cell r="J4463" t="str">
            <v/>
          </cell>
          <cell r="K4463" t="str">
            <v/>
          </cell>
          <cell r="L4463" t="str">
            <v/>
          </cell>
        </row>
        <row r="4464">
          <cell r="A4464">
            <v>34000000</v>
          </cell>
          <cell r="C4464">
            <v>34000000</v>
          </cell>
          <cell r="D4464">
            <v>34000000</v>
          </cell>
          <cell r="E4464">
            <v>34000000</v>
          </cell>
          <cell r="F4464">
            <v>34000000</v>
          </cell>
          <cell r="G4464">
            <v>34000000</v>
          </cell>
          <cell r="H4464">
            <v>34000000</v>
          </cell>
          <cell r="I4464" t="str">
            <v/>
          </cell>
          <cell r="J4464" t="str">
            <v/>
          </cell>
          <cell r="K4464" t="str">
            <v/>
          </cell>
          <cell r="L4464" t="str">
            <v/>
          </cell>
        </row>
        <row r="4465">
          <cell r="A4465">
            <v>34000000</v>
          </cell>
          <cell r="C4465">
            <v>34000000</v>
          </cell>
          <cell r="D4465">
            <v>34000000</v>
          </cell>
          <cell r="E4465">
            <v>34000000</v>
          </cell>
          <cell r="F4465">
            <v>34000000</v>
          </cell>
          <cell r="G4465">
            <v>34000000</v>
          </cell>
          <cell r="H4465">
            <v>34000000</v>
          </cell>
          <cell r="I4465" t="str">
            <v/>
          </cell>
          <cell r="J4465" t="str">
            <v/>
          </cell>
          <cell r="K4465" t="str">
            <v/>
          </cell>
          <cell r="L4465" t="str">
            <v/>
          </cell>
        </row>
        <row r="4466">
          <cell r="A4466">
            <v>34000000</v>
          </cell>
          <cell r="C4466">
            <v>34000000</v>
          </cell>
          <cell r="D4466">
            <v>34000000</v>
          </cell>
          <cell r="E4466">
            <v>34000000</v>
          </cell>
          <cell r="F4466">
            <v>34000000</v>
          </cell>
          <cell r="G4466">
            <v>34000000</v>
          </cell>
          <cell r="H4466">
            <v>34000000</v>
          </cell>
          <cell r="I4466" t="str">
            <v/>
          </cell>
          <cell r="J4466" t="str">
            <v/>
          </cell>
          <cell r="K4466" t="str">
            <v/>
          </cell>
          <cell r="L4466" t="str">
            <v/>
          </cell>
        </row>
        <row r="4467">
          <cell r="A4467">
            <v>34000000</v>
          </cell>
          <cell r="C4467">
            <v>34000000</v>
          </cell>
          <cell r="D4467">
            <v>34000000</v>
          </cell>
          <cell r="E4467">
            <v>34000000</v>
          </cell>
          <cell r="F4467">
            <v>34000000</v>
          </cell>
          <cell r="G4467">
            <v>34000000</v>
          </cell>
          <cell r="H4467">
            <v>34000000</v>
          </cell>
          <cell r="I4467" t="str">
            <v/>
          </cell>
          <cell r="J4467" t="str">
            <v/>
          </cell>
          <cell r="K4467" t="str">
            <v/>
          </cell>
          <cell r="L4467" t="str">
            <v/>
          </cell>
        </row>
        <row r="4468">
          <cell r="A4468">
            <v>34000000</v>
          </cell>
          <cell r="C4468">
            <v>34000000</v>
          </cell>
          <cell r="D4468">
            <v>34000000</v>
          </cell>
          <cell r="E4468">
            <v>34000000</v>
          </cell>
          <cell r="F4468">
            <v>34000000</v>
          </cell>
          <cell r="G4468">
            <v>34000000</v>
          </cell>
          <cell r="H4468">
            <v>34000000</v>
          </cell>
          <cell r="I4468" t="str">
            <v/>
          </cell>
          <cell r="J4468" t="str">
            <v/>
          </cell>
          <cell r="K4468" t="str">
            <v/>
          </cell>
          <cell r="L4468" t="str">
            <v/>
          </cell>
        </row>
        <row r="4469">
          <cell r="A4469">
            <v>34000000</v>
          </cell>
          <cell r="C4469">
            <v>34000000</v>
          </cell>
          <cell r="D4469">
            <v>34000000</v>
          </cell>
          <cell r="E4469">
            <v>34000000</v>
          </cell>
          <cell r="F4469">
            <v>34000000</v>
          </cell>
          <cell r="G4469">
            <v>34000000</v>
          </cell>
          <cell r="H4469">
            <v>34000000</v>
          </cell>
          <cell r="I4469" t="str">
            <v/>
          </cell>
          <cell r="J4469" t="str">
            <v/>
          </cell>
          <cell r="K4469" t="str">
            <v/>
          </cell>
          <cell r="L4469" t="str">
            <v/>
          </cell>
        </row>
        <row r="4470">
          <cell r="A4470">
            <v>34000000</v>
          </cell>
          <cell r="C4470">
            <v>34000000</v>
          </cell>
          <cell r="D4470">
            <v>34000000</v>
          </cell>
          <cell r="E4470">
            <v>34000000</v>
          </cell>
          <cell r="F4470">
            <v>34000000</v>
          </cell>
          <cell r="G4470">
            <v>34000000</v>
          </cell>
          <cell r="H4470">
            <v>34000000</v>
          </cell>
          <cell r="I4470" t="str">
            <v/>
          </cell>
          <cell r="J4470" t="str">
            <v/>
          </cell>
          <cell r="K4470" t="str">
            <v/>
          </cell>
          <cell r="L4470" t="str">
            <v/>
          </cell>
        </row>
        <row r="4471">
          <cell r="A4471">
            <v>34000000</v>
          </cell>
          <cell r="C4471">
            <v>34000000</v>
          </cell>
          <cell r="D4471">
            <v>34000000</v>
          </cell>
          <cell r="E4471">
            <v>34000000</v>
          </cell>
          <cell r="F4471">
            <v>34000000</v>
          </cell>
          <cell r="G4471">
            <v>34000000</v>
          </cell>
          <cell r="H4471">
            <v>34000000</v>
          </cell>
          <cell r="I4471" t="str">
            <v/>
          </cell>
          <cell r="J4471" t="str">
            <v/>
          </cell>
          <cell r="K4471" t="str">
            <v/>
          </cell>
          <cell r="L4471" t="str">
            <v/>
          </cell>
        </row>
        <row r="4472">
          <cell r="A4472">
            <v>34000000</v>
          </cell>
          <cell r="C4472">
            <v>34000000</v>
          </cell>
          <cell r="D4472">
            <v>34000000</v>
          </cell>
          <cell r="E4472">
            <v>34000000</v>
          </cell>
          <cell r="F4472">
            <v>34000000</v>
          </cell>
          <cell r="G4472">
            <v>34000000</v>
          </cell>
          <cell r="H4472">
            <v>34000000</v>
          </cell>
          <cell r="I4472" t="str">
            <v/>
          </cell>
          <cell r="J4472" t="str">
            <v/>
          </cell>
          <cell r="K4472" t="str">
            <v/>
          </cell>
          <cell r="L4472" t="str">
            <v/>
          </cell>
        </row>
        <row r="4473">
          <cell r="A4473">
            <v>34000000</v>
          </cell>
          <cell r="C4473">
            <v>34000000</v>
          </cell>
          <cell r="D4473">
            <v>34000000</v>
          </cell>
          <cell r="E4473">
            <v>34000000</v>
          </cell>
          <cell r="F4473">
            <v>34000000</v>
          </cell>
          <cell r="G4473">
            <v>34000000</v>
          </cell>
          <cell r="H4473">
            <v>34000000</v>
          </cell>
          <cell r="I4473" t="str">
            <v/>
          </cell>
          <cell r="J4473" t="str">
            <v/>
          </cell>
          <cell r="K4473" t="str">
            <v/>
          </cell>
          <cell r="L4473" t="str">
            <v/>
          </cell>
        </row>
        <row r="4474">
          <cell r="A4474">
            <v>34000000</v>
          </cell>
          <cell r="C4474">
            <v>34000000</v>
          </cell>
          <cell r="D4474">
            <v>34000000</v>
          </cell>
          <cell r="E4474">
            <v>34000000</v>
          </cell>
          <cell r="F4474">
            <v>34000000</v>
          </cell>
          <cell r="G4474">
            <v>34000000</v>
          </cell>
          <cell r="H4474">
            <v>34000000</v>
          </cell>
          <cell r="I4474" t="str">
            <v/>
          </cell>
          <cell r="J4474" t="str">
            <v/>
          </cell>
          <cell r="K4474" t="str">
            <v/>
          </cell>
          <cell r="L4474" t="str">
            <v/>
          </cell>
        </row>
        <row r="4475">
          <cell r="A4475">
            <v>34000000</v>
          </cell>
          <cell r="C4475">
            <v>34000000</v>
          </cell>
          <cell r="D4475">
            <v>34000000</v>
          </cell>
          <cell r="E4475">
            <v>34000000</v>
          </cell>
          <cell r="F4475">
            <v>34000000</v>
          </cell>
          <cell r="G4475">
            <v>34000000</v>
          </cell>
          <cell r="H4475">
            <v>34000000</v>
          </cell>
          <cell r="I4475" t="str">
            <v/>
          </cell>
          <cell r="J4475" t="str">
            <v/>
          </cell>
          <cell r="K4475" t="str">
            <v/>
          </cell>
          <cell r="L4475" t="str">
            <v/>
          </cell>
        </row>
        <row r="4476">
          <cell r="A4476">
            <v>34000000</v>
          </cell>
          <cell r="C4476">
            <v>34000000</v>
          </cell>
          <cell r="D4476">
            <v>34000000</v>
          </cell>
          <cell r="E4476">
            <v>34000000</v>
          </cell>
          <cell r="F4476">
            <v>34000000</v>
          </cell>
          <cell r="G4476">
            <v>34000000</v>
          </cell>
          <cell r="H4476">
            <v>34000000</v>
          </cell>
          <cell r="I4476" t="str">
            <v/>
          </cell>
          <cell r="J4476" t="str">
            <v/>
          </cell>
          <cell r="K4476" t="str">
            <v/>
          </cell>
          <cell r="L4476" t="str">
            <v/>
          </cell>
        </row>
        <row r="4477">
          <cell r="A4477">
            <v>34000000</v>
          </cell>
          <cell r="C4477">
            <v>34000000</v>
          </cell>
          <cell r="D4477">
            <v>34000000</v>
          </cell>
          <cell r="E4477">
            <v>34000000</v>
          </cell>
          <cell r="F4477">
            <v>34000000</v>
          </cell>
          <cell r="G4477">
            <v>34000000</v>
          </cell>
          <cell r="H4477">
            <v>34000000</v>
          </cell>
          <cell r="I4477" t="str">
            <v/>
          </cell>
          <cell r="J4477" t="str">
            <v/>
          </cell>
          <cell r="K4477" t="str">
            <v/>
          </cell>
          <cell r="L4477" t="str">
            <v/>
          </cell>
        </row>
        <row r="4478">
          <cell r="A4478">
            <v>34000000</v>
          </cell>
          <cell r="C4478">
            <v>34000000</v>
          </cell>
          <cell r="D4478">
            <v>34000000</v>
          </cell>
          <cell r="E4478">
            <v>34000000</v>
          </cell>
          <cell r="F4478">
            <v>34000000</v>
          </cell>
          <cell r="G4478">
            <v>34000000</v>
          </cell>
          <cell r="H4478">
            <v>34000000</v>
          </cell>
          <cell r="I4478" t="str">
            <v/>
          </cell>
          <cell r="J4478" t="str">
            <v/>
          </cell>
          <cell r="K4478" t="str">
            <v/>
          </cell>
          <cell r="L4478" t="str">
            <v/>
          </cell>
        </row>
        <row r="4479">
          <cell r="A4479">
            <v>34000000</v>
          </cell>
          <cell r="C4479">
            <v>34000000</v>
          </cell>
          <cell r="D4479">
            <v>34000000</v>
          </cell>
          <cell r="E4479">
            <v>34000000</v>
          </cell>
          <cell r="F4479">
            <v>34000000</v>
          </cell>
          <cell r="G4479">
            <v>34000000</v>
          </cell>
          <cell r="H4479">
            <v>34000000</v>
          </cell>
          <cell r="I4479" t="str">
            <v/>
          </cell>
          <cell r="J4479" t="str">
            <v/>
          </cell>
          <cell r="K4479" t="str">
            <v/>
          </cell>
          <cell r="L4479" t="str">
            <v/>
          </cell>
        </row>
        <row r="4480">
          <cell r="A4480">
            <v>34000000</v>
          </cell>
          <cell r="C4480">
            <v>34000000</v>
          </cell>
          <cell r="D4480">
            <v>34000000</v>
          </cell>
          <cell r="E4480">
            <v>34000000</v>
          </cell>
          <cell r="F4480">
            <v>34000000</v>
          </cell>
          <cell r="G4480">
            <v>34000000</v>
          </cell>
          <cell r="H4480">
            <v>34000000</v>
          </cell>
          <cell r="I4480" t="str">
            <v/>
          </cell>
          <cell r="J4480" t="str">
            <v/>
          </cell>
          <cell r="K4480" t="str">
            <v/>
          </cell>
          <cell r="L4480" t="str">
            <v/>
          </cell>
        </row>
        <row r="4481">
          <cell r="A4481">
            <v>34000000</v>
          </cell>
          <cell r="C4481">
            <v>34000000</v>
          </cell>
          <cell r="D4481">
            <v>34000000</v>
          </cell>
          <cell r="E4481">
            <v>34000000</v>
          </cell>
          <cell r="F4481">
            <v>34000000</v>
          </cell>
          <cell r="G4481">
            <v>34000000</v>
          </cell>
          <cell r="H4481">
            <v>34000000</v>
          </cell>
          <cell r="I4481" t="str">
            <v/>
          </cell>
          <cell r="J4481" t="str">
            <v/>
          </cell>
          <cell r="K4481" t="str">
            <v/>
          </cell>
          <cell r="L4481" t="str">
            <v/>
          </cell>
        </row>
        <row r="4482">
          <cell r="A4482">
            <v>34000000</v>
          </cell>
          <cell r="C4482">
            <v>34000000</v>
          </cell>
          <cell r="D4482">
            <v>34000000</v>
          </cell>
          <cell r="E4482">
            <v>34000000</v>
          </cell>
          <cell r="F4482">
            <v>34000000</v>
          </cell>
          <cell r="G4482">
            <v>34000000</v>
          </cell>
          <cell r="H4482">
            <v>34000000</v>
          </cell>
          <cell r="I4482" t="str">
            <v/>
          </cell>
          <cell r="J4482" t="str">
            <v/>
          </cell>
          <cell r="K4482" t="str">
            <v/>
          </cell>
          <cell r="L4482" t="str">
            <v/>
          </cell>
        </row>
        <row r="4483">
          <cell r="A4483">
            <v>34000000</v>
          </cell>
          <cell r="C4483">
            <v>34000000</v>
          </cell>
          <cell r="D4483">
            <v>34000000</v>
          </cell>
          <cell r="E4483">
            <v>34000000</v>
          </cell>
          <cell r="F4483">
            <v>34000000</v>
          </cell>
          <cell r="G4483">
            <v>34000000</v>
          </cell>
          <cell r="H4483">
            <v>34000000</v>
          </cell>
          <cell r="I4483" t="str">
            <v/>
          </cell>
          <cell r="J4483" t="str">
            <v/>
          </cell>
          <cell r="K4483" t="str">
            <v/>
          </cell>
          <cell r="L4483" t="str">
            <v/>
          </cell>
        </row>
        <row r="4484">
          <cell r="A4484">
            <v>34000000</v>
          </cell>
          <cell r="C4484">
            <v>34000000</v>
          </cell>
          <cell r="D4484">
            <v>34000000</v>
          </cell>
          <cell r="E4484">
            <v>34000000</v>
          </cell>
          <cell r="F4484">
            <v>34000000</v>
          </cell>
          <cell r="G4484">
            <v>34000000</v>
          </cell>
          <cell r="H4484">
            <v>34000000</v>
          </cell>
          <cell r="I4484" t="str">
            <v/>
          </cell>
          <cell r="J4484" t="str">
            <v/>
          </cell>
          <cell r="K4484" t="str">
            <v/>
          </cell>
          <cell r="L4484" t="str">
            <v/>
          </cell>
        </row>
        <row r="4485">
          <cell r="A4485">
            <v>34000000</v>
          </cell>
          <cell r="C4485">
            <v>34000000</v>
          </cell>
          <cell r="D4485">
            <v>34000000</v>
          </cell>
          <cell r="E4485">
            <v>34000000</v>
          </cell>
          <cell r="F4485">
            <v>34000000</v>
          </cell>
          <cell r="G4485">
            <v>34000000</v>
          </cell>
          <cell r="H4485">
            <v>34000000</v>
          </cell>
          <cell r="I4485" t="str">
            <v/>
          </cell>
          <cell r="J4485" t="str">
            <v/>
          </cell>
          <cell r="K4485" t="str">
            <v/>
          </cell>
          <cell r="L4485" t="str">
            <v/>
          </cell>
        </row>
        <row r="4486">
          <cell r="A4486">
            <v>34000000</v>
          </cell>
          <cell r="C4486">
            <v>34000000</v>
          </cell>
          <cell r="D4486">
            <v>34000000</v>
          </cell>
          <cell r="E4486">
            <v>34000000</v>
          </cell>
          <cell r="F4486">
            <v>34000000</v>
          </cell>
          <cell r="G4486">
            <v>34000000</v>
          </cell>
          <cell r="H4486">
            <v>34000000</v>
          </cell>
          <cell r="I4486" t="str">
            <v/>
          </cell>
          <cell r="J4486" t="str">
            <v/>
          </cell>
          <cell r="K4486" t="str">
            <v/>
          </cell>
          <cell r="L4486" t="str">
            <v/>
          </cell>
        </row>
        <row r="4487">
          <cell r="A4487">
            <v>34000000</v>
          </cell>
          <cell r="C4487">
            <v>34000000</v>
          </cell>
          <cell r="D4487">
            <v>34000000</v>
          </cell>
          <cell r="E4487">
            <v>34000000</v>
          </cell>
          <cell r="F4487">
            <v>34000000</v>
          </cell>
          <cell r="G4487">
            <v>34000000</v>
          </cell>
          <cell r="H4487">
            <v>34000000</v>
          </cell>
          <cell r="I4487" t="str">
            <v/>
          </cell>
          <cell r="J4487" t="str">
            <v/>
          </cell>
          <cell r="K4487" t="str">
            <v/>
          </cell>
          <cell r="L4487" t="str">
            <v/>
          </cell>
        </row>
        <row r="4488">
          <cell r="A4488">
            <v>34000000</v>
          </cell>
          <cell r="C4488">
            <v>34000000</v>
          </cell>
          <cell r="D4488">
            <v>34000000</v>
          </cell>
          <cell r="E4488">
            <v>34000000</v>
          </cell>
          <cell r="F4488">
            <v>34000000</v>
          </cell>
          <cell r="G4488">
            <v>34000000</v>
          </cell>
          <cell r="H4488">
            <v>34000000</v>
          </cell>
          <cell r="I4488" t="str">
            <v/>
          </cell>
          <cell r="J4488" t="str">
            <v/>
          </cell>
          <cell r="K4488" t="str">
            <v/>
          </cell>
          <cell r="L4488" t="str">
            <v/>
          </cell>
        </row>
        <row r="4489">
          <cell r="A4489">
            <v>34000000</v>
          </cell>
          <cell r="C4489">
            <v>34000000</v>
          </cell>
          <cell r="D4489">
            <v>34000000</v>
          </cell>
          <cell r="E4489">
            <v>34000000</v>
          </cell>
          <cell r="F4489">
            <v>34000000</v>
          </cell>
          <cell r="G4489">
            <v>34000000</v>
          </cell>
          <cell r="H4489">
            <v>34000000</v>
          </cell>
          <cell r="I4489" t="str">
            <v/>
          </cell>
          <cell r="J4489" t="str">
            <v/>
          </cell>
          <cell r="K4489" t="str">
            <v/>
          </cell>
          <cell r="L4489" t="str">
            <v/>
          </cell>
        </row>
        <row r="4490">
          <cell r="A4490">
            <v>34000000</v>
          </cell>
          <cell r="C4490">
            <v>34000000</v>
          </cell>
          <cell r="D4490">
            <v>34000000</v>
          </cell>
          <cell r="E4490">
            <v>34000000</v>
          </cell>
          <cell r="F4490">
            <v>34000000</v>
          </cell>
          <cell r="G4490">
            <v>34000000</v>
          </cell>
          <cell r="H4490">
            <v>34000000</v>
          </cell>
          <cell r="I4490" t="str">
            <v/>
          </cell>
          <cell r="J4490" t="str">
            <v/>
          </cell>
          <cell r="K4490" t="str">
            <v/>
          </cell>
          <cell r="L4490" t="str">
            <v/>
          </cell>
        </row>
        <row r="4491">
          <cell r="A4491">
            <v>34000000</v>
          </cell>
          <cell r="C4491">
            <v>34000000</v>
          </cell>
          <cell r="D4491">
            <v>34000000</v>
          </cell>
          <cell r="E4491">
            <v>34000000</v>
          </cell>
          <cell r="F4491">
            <v>34000000</v>
          </cell>
          <cell r="G4491">
            <v>34000000</v>
          </cell>
          <cell r="H4491">
            <v>34000000</v>
          </cell>
          <cell r="I4491" t="str">
            <v/>
          </cell>
          <cell r="J4491" t="str">
            <v/>
          </cell>
          <cell r="K4491" t="str">
            <v/>
          </cell>
          <cell r="L4491" t="str">
            <v/>
          </cell>
        </row>
        <row r="4492">
          <cell r="A4492">
            <v>34000000</v>
          </cell>
          <cell r="C4492">
            <v>34000000</v>
          </cell>
          <cell r="D4492">
            <v>34000000</v>
          </cell>
          <cell r="E4492">
            <v>34000000</v>
          </cell>
          <cell r="F4492">
            <v>34000000</v>
          </cell>
          <cell r="G4492">
            <v>34000000</v>
          </cell>
          <cell r="H4492">
            <v>34000000</v>
          </cell>
          <cell r="I4492" t="str">
            <v/>
          </cell>
          <cell r="J4492" t="str">
            <v/>
          </cell>
          <cell r="K4492" t="str">
            <v/>
          </cell>
          <cell r="L4492" t="str">
            <v/>
          </cell>
        </row>
        <row r="4493">
          <cell r="A4493">
            <v>34000000</v>
          </cell>
          <cell r="C4493">
            <v>34000000</v>
          </cell>
          <cell r="D4493">
            <v>34000000</v>
          </cell>
          <cell r="E4493">
            <v>34000000</v>
          </cell>
          <cell r="F4493">
            <v>34000000</v>
          </cell>
          <cell r="G4493">
            <v>34000000</v>
          </cell>
          <cell r="H4493">
            <v>34000000</v>
          </cell>
          <cell r="I4493" t="str">
            <v/>
          </cell>
          <cell r="J4493" t="str">
            <v/>
          </cell>
          <cell r="K4493" t="str">
            <v/>
          </cell>
          <cell r="L4493" t="str">
            <v/>
          </cell>
        </row>
        <row r="4494">
          <cell r="A4494">
            <v>34000000</v>
          </cell>
          <cell r="C4494">
            <v>34000000</v>
          </cell>
          <cell r="D4494">
            <v>34000000</v>
          </cell>
          <cell r="E4494">
            <v>34000000</v>
          </cell>
          <cell r="F4494">
            <v>34000000</v>
          </cell>
          <cell r="G4494">
            <v>34000000</v>
          </cell>
          <cell r="H4494">
            <v>34000000</v>
          </cell>
          <cell r="I4494" t="str">
            <v/>
          </cell>
          <cell r="J4494" t="str">
            <v/>
          </cell>
          <cell r="K4494" t="str">
            <v/>
          </cell>
          <cell r="L4494" t="str">
            <v/>
          </cell>
        </row>
        <row r="4495">
          <cell r="A4495">
            <v>34000000</v>
          </cell>
          <cell r="C4495">
            <v>34000000</v>
          </cell>
          <cell r="D4495">
            <v>34000000</v>
          </cell>
          <cell r="E4495">
            <v>34000000</v>
          </cell>
          <cell r="F4495">
            <v>34000000</v>
          </cell>
          <cell r="G4495">
            <v>34000000</v>
          </cell>
          <cell r="H4495">
            <v>34000000</v>
          </cell>
          <cell r="I4495" t="str">
            <v/>
          </cell>
          <cell r="J4495" t="str">
            <v/>
          </cell>
          <cell r="K4495" t="str">
            <v/>
          </cell>
          <cell r="L4495" t="str">
            <v/>
          </cell>
        </row>
        <row r="4496">
          <cell r="A4496">
            <v>34000000</v>
          </cell>
          <cell r="C4496">
            <v>34000000</v>
          </cell>
          <cell r="D4496">
            <v>34000000</v>
          </cell>
          <cell r="E4496">
            <v>34000000</v>
          </cell>
          <cell r="F4496">
            <v>34000000</v>
          </cell>
          <cell r="G4496">
            <v>34000000</v>
          </cell>
          <cell r="H4496">
            <v>34000000</v>
          </cell>
          <cell r="I4496" t="str">
            <v/>
          </cell>
          <cell r="J4496" t="str">
            <v/>
          </cell>
          <cell r="K4496" t="str">
            <v/>
          </cell>
          <cell r="L4496" t="str">
            <v/>
          </cell>
        </row>
        <row r="4497">
          <cell r="A4497">
            <v>34000000</v>
          </cell>
          <cell r="C4497">
            <v>34000000</v>
          </cell>
          <cell r="D4497">
            <v>34000000</v>
          </cell>
          <cell r="E4497">
            <v>34000000</v>
          </cell>
          <cell r="F4497">
            <v>34000000</v>
          </cell>
          <cell r="G4497">
            <v>34000000</v>
          </cell>
          <cell r="H4497">
            <v>34000000</v>
          </cell>
          <cell r="I4497" t="str">
            <v/>
          </cell>
          <cell r="J4497" t="str">
            <v/>
          </cell>
          <cell r="K4497" t="str">
            <v/>
          </cell>
          <cell r="L4497" t="str">
            <v/>
          </cell>
        </row>
        <row r="4498">
          <cell r="A4498">
            <v>34000000</v>
          </cell>
          <cell r="C4498">
            <v>34000000</v>
          </cell>
          <cell r="D4498">
            <v>34000000</v>
          </cell>
          <cell r="E4498">
            <v>34000000</v>
          </cell>
          <cell r="F4498">
            <v>34000000</v>
          </cell>
          <cell r="G4498">
            <v>34000000</v>
          </cell>
          <cell r="H4498">
            <v>34000000</v>
          </cell>
          <cell r="I4498" t="str">
            <v/>
          </cell>
          <cell r="J4498" t="str">
            <v/>
          </cell>
          <cell r="K4498" t="str">
            <v/>
          </cell>
          <cell r="L4498" t="str">
            <v/>
          </cell>
        </row>
        <row r="4499">
          <cell r="A4499">
            <v>34000000</v>
          </cell>
          <cell r="C4499">
            <v>34000000</v>
          </cell>
          <cell r="D4499">
            <v>34000000</v>
          </cell>
          <cell r="E4499">
            <v>34000000</v>
          </cell>
          <cell r="F4499">
            <v>34000000</v>
          </cell>
          <cell r="G4499">
            <v>34000000</v>
          </cell>
          <cell r="H4499">
            <v>34000000</v>
          </cell>
          <cell r="I4499" t="str">
            <v/>
          </cell>
          <cell r="J4499" t="str">
            <v/>
          </cell>
          <cell r="K4499" t="str">
            <v/>
          </cell>
          <cell r="L4499" t="str">
            <v/>
          </cell>
        </row>
        <row r="4500">
          <cell r="A4500">
            <v>34000000</v>
          </cell>
          <cell r="C4500">
            <v>34000000</v>
          </cell>
          <cell r="D4500">
            <v>34000000</v>
          </cell>
          <cell r="E4500">
            <v>34000000</v>
          </cell>
          <cell r="F4500">
            <v>34000000</v>
          </cell>
          <cell r="G4500">
            <v>34000000</v>
          </cell>
          <cell r="H4500">
            <v>34000000</v>
          </cell>
          <cell r="I4500" t="str">
            <v/>
          </cell>
          <cell r="J4500" t="str">
            <v/>
          </cell>
          <cell r="K4500" t="str">
            <v/>
          </cell>
          <cell r="L4500" t="str">
            <v/>
          </cell>
        </row>
        <row r="4501">
          <cell r="A4501">
            <v>34000000</v>
          </cell>
          <cell r="C4501">
            <v>34000000</v>
          </cell>
          <cell r="D4501">
            <v>34000000</v>
          </cell>
          <cell r="E4501">
            <v>34000000</v>
          </cell>
          <cell r="F4501">
            <v>34000000</v>
          </cell>
          <cell r="G4501">
            <v>34000000</v>
          </cell>
          <cell r="H4501">
            <v>34000000</v>
          </cell>
          <cell r="I4501" t="str">
            <v/>
          </cell>
          <cell r="J4501" t="str">
            <v/>
          </cell>
          <cell r="K4501" t="str">
            <v/>
          </cell>
          <cell r="L4501" t="str">
            <v/>
          </cell>
        </row>
        <row r="4502">
          <cell r="A4502">
            <v>34000000</v>
          </cell>
          <cell r="C4502">
            <v>34000000</v>
          </cell>
          <cell r="D4502">
            <v>34000000</v>
          </cell>
          <cell r="E4502">
            <v>34000000</v>
          </cell>
          <cell r="F4502">
            <v>34000000</v>
          </cell>
          <cell r="G4502">
            <v>34000000</v>
          </cell>
          <cell r="H4502">
            <v>34000000</v>
          </cell>
          <cell r="I4502" t="str">
            <v/>
          </cell>
          <cell r="J4502" t="str">
            <v/>
          </cell>
          <cell r="K4502" t="str">
            <v/>
          </cell>
          <cell r="L4502" t="str">
            <v/>
          </cell>
        </row>
        <row r="4503">
          <cell r="A4503">
            <v>34000000</v>
          </cell>
          <cell r="C4503">
            <v>34000000</v>
          </cell>
          <cell r="D4503">
            <v>34000000</v>
          </cell>
          <cell r="E4503">
            <v>34000000</v>
          </cell>
          <cell r="F4503">
            <v>34000000</v>
          </cell>
          <cell r="G4503">
            <v>34000000</v>
          </cell>
          <cell r="H4503">
            <v>34000000</v>
          </cell>
          <cell r="I4503" t="str">
            <v/>
          </cell>
          <cell r="J4503" t="str">
            <v/>
          </cell>
          <cell r="K4503" t="str">
            <v/>
          </cell>
          <cell r="L4503" t="str">
            <v/>
          </cell>
        </row>
        <row r="4504">
          <cell r="A4504">
            <v>34000000</v>
          </cell>
          <cell r="C4504">
            <v>34000000</v>
          </cell>
          <cell r="D4504">
            <v>34000000</v>
          </cell>
          <cell r="E4504">
            <v>34000000</v>
          </cell>
          <cell r="F4504">
            <v>34000000</v>
          </cell>
          <cell r="G4504">
            <v>34000000</v>
          </cell>
          <cell r="H4504">
            <v>34000000</v>
          </cell>
          <cell r="I4504" t="str">
            <v/>
          </cell>
          <cell r="J4504" t="str">
            <v/>
          </cell>
          <cell r="K4504" t="str">
            <v/>
          </cell>
          <cell r="L4504" t="str">
            <v/>
          </cell>
        </row>
        <row r="4505">
          <cell r="A4505">
            <v>34000000</v>
          </cell>
          <cell r="C4505">
            <v>34000000</v>
          </cell>
          <cell r="D4505">
            <v>34000000</v>
          </cell>
          <cell r="E4505">
            <v>34000000</v>
          </cell>
          <cell r="F4505">
            <v>34000000</v>
          </cell>
          <cell r="G4505">
            <v>34000000</v>
          </cell>
          <cell r="H4505">
            <v>34000000</v>
          </cell>
          <cell r="I4505" t="str">
            <v/>
          </cell>
          <cell r="J4505" t="str">
            <v/>
          </cell>
          <cell r="K4505" t="str">
            <v/>
          </cell>
          <cell r="L4505" t="str">
            <v/>
          </cell>
        </row>
        <row r="4506">
          <cell r="A4506">
            <v>34000000</v>
          </cell>
          <cell r="C4506">
            <v>34000000</v>
          </cell>
          <cell r="D4506">
            <v>34000000</v>
          </cell>
          <cell r="E4506">
            <v>34000000</v>
          </cell>
          <cell r="F4506">
            <v>34000000</v>
          </cell>
          <cell r="G4506">
            <v>34000000</v>
          </cell>
          <cell r="H4506">
            <v>34000000</v>
          </cell>
          <cell r="I4506" t="str">
            <v/>
          </cell>
          <cell r="J4506" t="str">
            <v/>
          </cell>
          <cell r="K4506" t="str">
            <v/>
          </cell>
          <cell r="L4506" t="str">
            <v/>
          </cell>
        </row>
        <row r="4507">
          <cell r="A4507">
            <v>34000000</v>
          </cell>
          <cell r="C4507">
            <v>34000000</v>
          </cell>
          <cell r="D4507">
            <v>34000000</v>
          </cell>
          <cell r="E4507">
            <v>34000000</v>
          </cell>
          <cell r="F4507">
            <v>34000000</v>
          </cell>
          <cell r="G4507">
            <v>34000000</v>
          </cell>
          <cell r="H4507">
            <v>34000000</v>
          </cell>
          <cell r="I4507" t="str">
            <v/>
          </cell>
          <cell r="J4507" t="str">
            <v/>
          </cell>
          <cell r="K4507" t="str">
            <v/>
          </cell>
          <cell r="L4507" t="str">
            <v/>
          </cell>
        </row>
        <row r="4508">
          <cell r="A4508">
            <v>34000000</v>
          </cell>
          <cell r="C4508">
            <v>34000000</v>
          </cell>
          <cell r="D4508">
            <v>34000000</v>
          </cell>
          <cell r="E4508">
            <v>34000000</v>
          </cell>
          <cell r="F4508">
            <v>34000000</v>
          </cell>
          <cell r="G4508">
            <v>34000000</v>
          </cell>
          <cell r="H4508">
            <v>34000000</v>
          </cell>
          <cell r="I4508" t="str">
            <v/>
          </cell>
          <cell r="J4508" t="str">
            <v/>
          </cell>
          <cell r="K4508" t="str">
            <v/>
          </cell>
          <cell r="L4508" t="str">
            <v/>
          </cell>
        </row>
        <row r="4509">
          <cell r="A4509">
            <v>34000000</v>
          </cell>
          <cell r="C4509">
            <v>34000000</v>
          </cell>
          <cell r="D4509">
            <v>34000000</v>
          </cell>
          <cell r="E4509">
            <v>34000000</v>
          </cell>
          <cell r="F4509">
            <v>34000000</v>
          </cell>
          <cell r="G4509">
            <v>34000000</v>
          </cell>
          <cell r="H4509">
            <v>34000000</v>
          </cell>
          <cell r="I4509" t="str">
            <v/>
          </cell>
          <cell r="J4509" t="str">
            <v/>
          </cell>
          <cell r="K4509" t="str">
            <v/>
          </cell>
          <cell r="L4509" t="str">
            <v/>
          </cell>
        </row>
        <row r="4510">
          <cell r="A4510">
            <v>34000000</v>
          </cell>
          <cell r="C4510">
            <v>34000000</v>
          </cell>
          <cell r="D4510">
            <v>34000000</v>
          </cell>
          <cell r="E4510">
            <v>34000000</v>
          </cell>
          <cell r="F4510">
            <v>34000000</v>
          </cell>
          <cell r="G4510">
            <v>34000000</v>
          </cell>
          <cell r="H4510">
            <v>34000000</v>
          </cell>
          <cell r="I4510" t="str">
            <v/>
          </cell>
          <cell r="J4510" t="str">
            <v/>
          </cell>
          <cell r="K4510" t="str">
            <v/>
          </cell>
          <cell r="L4510" t="str">
            <v/>
          </cell>
        </row>
        <row r="4511">
          <cell r="A4511">
            <v>34000000</v>
          </cell>
          <cell r="C4511">
            <v>34000000</v>
          </cell>
          <cell r="D4511">
            <v>34000000</v>
          </cell>
          <cell r="E4511">
            <v>34000000</v>
          </cell>
          <cell r="F4511">
            <v>34000000</v>
          </cell>
          <cell r="G4511">
            <v>34000000</v>
          </cell>
          <cell r="H4511">
            <v>34000000</v>
          </cell>
          <cell r="I4511" t="str">
            <v/>
          </cell>
          <cell r="J4511" t="str">
            <v/>
          </cell>
          <cell r="K4511" t="str">
            <v/>
          </cell>
          <cell r="L4511" t="str">
            <v/>
          </cell>
        </row>
        <row r="4512">
          <cell r="A4512">
            <v>34000000</v>
          </cell>
          <cell r="C4512">
            <v>34000000</v>
          </cell>
          <cell r="D4512">
            <v>34000000</v>
          </cell>
          <cell r="E4512">
            <v>34000000</v>
          </cell>
          <cell r="F4512">
            <v>34000000</v>
          </cell>
          <cell r="G4512">
            <v>34000000</v>
          </cell>
          <cell r="H4512">
            <v>34000000</v>
          </cell>
          <cell r="I4512" t="str">
            <v/>
          </cell>
          <cell r="J4512" t="str">
            <v/>
          </cell>
          <cell r="K4512" t="str">
            <v/>
          </cell>
          <cell r="L4512" t="str">
            <v/>
          </cell>
        </row>
        <row r="4513">
          <cell r="A4513">
            <v>34000000</v>
          </cell>
          <cell r="C4513">
            <v>34000000</v>
          </cell>
          <cell r="D4513">
            <v>34000000</v>
          </cell>
          <cell r="E4513">
            <v>34000000</v>
          </cell>
          <cell r="F4513">
            <v>34000000</v>
          </cell>
          <cell r="G4513">
            <v>34000000</v>
          </cell>
          <cell r="H4513">
            <v>34000000</v>
          </cell>
          <cell r="I4513" t="str">
            <v/>
          </cell>
          <cell r="J4513" t="str">
            <v/>
          </cell>
          <cell r="K4513" t="str">
            <v/>
          </cell>
          <cell r="L4513" t="str">
            <v/>
          </cell>
        </row>
        <row r="4514">
          <cell r="A4514">
            <v>34000000</v>
          </cell>
          <cell r="C4514">
            <v>34000000</v>
          </cell>
          <cell r="D4514">
            <v>34000000</v>
          </cell>
          <cell r="E4514">
            <v>34000000</v>
          </cell>
          <cell r="F4514">
            <v>34000000</v>
          </cell>
          <cell r="G4514">
            <v>34000000</v>
          </cell>
          <cell r="H4514">
            <v>34000000</v>
          </cell>
          <cell r="I4514" t="str">
            <v/>
          </cell>
          <cell r="J4514" t="str">
            <v/>
          </cell>
          <cell r="K4514" t="str">
            <v/>
          </cell>
          <cell r="L4514" t="str">
            <v/>
          </cell>
        </row>
        <row r="4515">
          <cell r="A4515">
            <v>34000000</v>
          </cell>
          <cell r="C4515">
            <v>34000000</v>
          </cell>
          <cell r="D4515">
            <v>34000000</v>
          </cell>
          <cell r="E4515">
            <v>34000000</v>
          </cell>
          <cell r="F4515">
            <v>34000000</v>
          </cell>
          <cell r="G4515">
            <v>34000000</v>
          </cell>
          <cell r="H4515">
            <v>34000000</v>
          </cell>
          <cell r="I4515" t="str">
            <v/>
          </cell>
          <cell r="J4515" t="str">
            <v/>
          </cell>
          <cell r="K4515" t="str">
            <v/>
          </cell>
          <cell r="L4515" t="str">
            <v/>
          </cell>
        </row>
        <row r="4516">
          <cell r="A4516">
            <v>34000000</v>
          </cell>
          <cell r="C4516">
            <v>34000000</v>
          </cell>
          <cell r="D4516">
            <v>34000000</v>
          </cell>
          <cell r="E4516">
            <v>34000000</v>
          </cell>
          <cell r="F4516">
            <v>34000000</v>
          </cell>
          <cell r="G4516">
            <v>34000000</v>
          </cell>
          <cell r="H4516">
            <v>34000000</v>
          </cell>
          <cell r="I4516" t="str">
            <v/>
          </cell>
          <cell r="J4516" t="str">
            <v/>
          </cell>
          <cell r="K4516" t="str">
            <v/>
          </cell>
          <cell r="L4516" t="str">
            <v/>
          </cell>
        </row>
        <row r="4517">
          <cell r="A4517">
            <v>34000000</v>
          </cell>
          <cell r="C4517">
            <v>34000000</v>
          </cell>
          <cell r="D4517">
            <v>34000000</v>
          </cell>
          <cell r="E4517">
            <v>34000000</v>
          </cell>
          <cell r="F4517">
            <v>34000000</v>
          </cell>
          <cell r="G4517">
            <v>34000000</v>
          </cell>
          <cell r="H4517">
            <v>34000000</v>
          </cell>
          <cell r="I4517" t="str">
            <v/>
          </cell>
          <cell r="J4517" t="str">
            <v/>
          </cell>
          <cell r="K4517" t="str">
            <v/>
          </cell>
          <cell r="L4517" t="str">
            <v/>
          </cell>
        </row>
        <row r="4518">
          <cell r="A4518">
            <v>34000000</v>
          </cell>
          <cell r="C4518">
            <v>34000000</v>
          </cell>
          <cell r="D4518">
            <v>34000000</v>
          </cell>
          <cell r="E4518">
            <v>34000000</v>
          </cell>
          <cell r="F4518">
            <v>34000000</v>
          </cell>
          <cell r="G4518">
            <v>34000000</v>
          </cell>
          <cell r="H4518">
            <v>34000000</v>
          </cell>
          <cell r="I4518" t="str">
            <v/>
          </cell>
          <cell r="J4518" t="str">
            <v/>
          </cell>
          <cell r="K4518" t="str">
            <v/>
          </cell>
          <cell r="L4518" t="str">
            <v/>
          </cell>
        </row>
        <row r="4519">
          <cell r="A4519">
            <v>34000000</v>
          </cell>
          <cell r="C4519">
            <v>34000000</v>
          </cell>
          <cell r="D4519">
            <v>34000000</v>
          </cell>
          <cell r="E4519">
            <v>34000000</v>
          </cell>
          <cell r="F4519">
            <v>34000000</v>
          </cell>
          <cell r="G4519">
            <v>34000000</v>
          </cell>
          <cell r="H4519">
            <v>34000000</v>
          </cell>
          <cell r="I4519" t="str">
            <v/>
          </cell>
          <cell r="J4519" t="str">
            <v/>
          </cell>
          <cell r="K4519" t="str">
            <v/>
          </cell>
          <cell r="L4519" t="str">
            <v/>
          </cell>
        </row>
        <row r="4520">
          <cell r="A4520">
            <v>34000000</v>
          </cell>
          <cell r="C4520">
            <v>34000000</v>
          </cell>
          <cell r="D4520">
            <v>34000000</v>
          </cell>
          <cell r="E4520">
            <v>34000000</v>
          </cell>
          <cell r="F4520">
            <v>34000000</v>
          </cell>
          <cell r="G4520">
            <v>34000000</v>
          </cell>
          <cell r="H4520">
            <v>34000000</v>
          </cell>
          <cell r="I4520" t="str">
            <v/>
          </cell>
          <cell r="J4520" t="str">
            <v/>
          </cell>
          <cell r="K4520" t="str">
            <v/>
          </cell>
          <cell r="L4520" t="str">
            <v/>
          </cell>
        </row>
        <row r="4521">
          <cell r="A4521">
            <v>34000000</v>
          </cell>
          <cell r="C4521">
            <v>34000000</v>
          </cell>
          <cell r="D4521">
            <v>34000000</v>
          </cell>
          <cell r="E4521">
            <v>34000000</v>
          </cell>
          <cell r="F4521">
            <v>34000000</v>
          </cell>
          <cell r="G4521">
            <v>34000000</v>
          </cell>
          <cell r="H4521">
            <v>34000000</v>
          </cell>
          <cell r="I4521" t="str">
            <v/>
          </cell>
          <cell r="J4521" t="str">
            <v/>
          </cell>
          <cell r="K4521" t="str">
            <v/>
          </cell>
          <cell r="L4521" t="str">
            <v/>
          </cell>
        </row>
        <row r="4522">
          <cell r="A4522">
            <v>34000000</v>
          </cell>
          <cell r="C4522">
            <v>34000000</v>
          </cell>
          <cell r="D4522">
            <v>34000000</v>
          </cell>
          <cell r="E4522">
            <v>34000000</v>
          </cell>
          <cell r="F4522">
            <v>34000000</v>
          </cell>
          <cell r="G4522">
            <v>34000000</v>
          </cell>
          <cell r="H4522">
            <v>34000000</v>
          </cell>
          <cell r="I4522" t="str">
            <v/>
          </cell>
          <cell r="J4522" t="str">
            <v/>
          </cell>
          <cell r="K4522" t="str">
            <v/>
          </cell>
          <cell r="L4522" t="str">
            <v/>
          </cell>
        </row>
        <row r="4523">
          <cell r="A4523">
            <v>34000000</v>
          </cell>
          <cell r="C4523">
            <v>34000000</v>
          </cell>
          <cell r="D4523">
            <v>34000000</v>
          </cell>
          <cell r="E4523">
            <v>34000000</v>
          </cell>
          <cell r="F4523">
            <v>34000000</v>
          </cell>
          <cell r="G4523">
            <v>34000000</v>
          </cell>
          <cell r="H4523">
            <v>34000000</v>
          </cell>
          <cell r="I4523" t="str">
            <v/>
          </cell>
          <cell r="J4523" t="str">
            <v/>
          </cell>
          <cell r="K4523" t="str">
            <v/>
          </cell>
          <cell r="L4523" t="str">
            <v/>
          </cell>
        </row>
        <row r="4524">
          <cell r="A4524">
            <v>34000000</v>
          </cell>
          <cell r="C4524">
            <v>34000000</v>
          </cell>
          <cell r="D4524">
            <v>34000000</v>
          </cell>
          <cell r="E4524">
            <v>34000000</v>
          </cell>
          <cell r="F4524">
            <v>34000000</v>
          </cell>
          <cell r="G4524">
            <v>34000000</v>
          </cell>
          <cell r="H4524">
            <v>34000000</v>
          </cell>
          <cell r="I4524" t="str">
            <v/>
          </cell>
          <cell r="J4524" t="str">
            <v/>
          </cell>
          <cell r="K4524" t="str">
            <v/>
          </cell>
          <cell r="L4524" t="str">
            <v/>
          </cell>
        </row>
        <row r="4525">
          <cell r="A4525">
            <v>34000000</v>
          </cell>
          <cell r="C4525">
            <v>34000000</v>
          </cell>
          <cell r="D4525">
            <v>34000000</v>
          </cell>
          <cell r="E4525">
            <v>34000000</v>
          </cell>
          <cell r="F4525">
            <v>34000000</v>
          </cell>
          <cell r="G4525">
            <v>34000000</v>
          </cell>
          <cell r="H4525">
            <v>34000000</v>
          </cell>
          <cell r="I4525" t="str">
            <v/>
          </cell>
          <cell r="J4525" t="str">
            <v/>
          </cell>
          <cell r="K4525" t="str">
            <v/>
          </cell>
          <cell r="L4525" t="str">
            <v/>
          </cell>
        </row>
        <row r="4526">
          <cell r="A4526">
            <v>34000000</v>
          </cell>
          <cell r="C4526">
            <v>34000000</v>
          </cell>
          <cell r="D4526">
            <v>34000000</v>
          </cell>
          <cell r="E4526">
            <v>34000000</v>
          </cell>
          <cell r="F4526">
            <v>34000000</v>
          </cell>
          <cell r="G4526">
            <v>34000000</v>
          </cell>
          <cell r="H4526">
            <v>34000000</v>
          </cell>
          <cell r="I4526" t="str">
            <v/>
          </cell>
          <cell r="J4526" t="str">
            <v/>
          </cell>
          <cell r="K4526" t="str">
            <v/>
          </cell>
          <cell r="L4526" t="str">
            <v/>
          </cell>
        </row>
        <row r="4527">
          <cell r="A4527">
            <v>34000000</v>
          </cell>
          <cell r="C4527">
            <v>34000000</v>
          </cell>
          <cell r="D4527">
            <v>34000000</v>
          </cell>
          <cell r="E4527">
            <v>34000000</v>
          </cell>
          <cell r="F4527">
            <v>34000000</v>
          </cell>
          <cell r="G4527">
            <v>34000000</v>
          </cell>
          <cell r="H4527">
            <v>34000000</v>
          </cell>
          <cell r="I4527" t="str">
            <v/>
          </cell>
          <cell r="J4527" t="str">
            <v/>
          </cell>
          <cell r="K4527" t="str">
            <v/>
          </cell>
          <cell r="L4527" t="str">
            <v/>
          </cell>
        </row>
        <row r="4528">
          <cell r="A4528">
            <v>34000000</v>
          </cell>
          <cell r="C4528">
            <v>34000000</v>
          </cell>
          <cell r="D4528">
            <v>34000000</v>
          </cell>
          <cell r="E4528">
            <v>34000000</v>
          </cell>
          <cell r="F4528">
            <v>34000000</v>
          </cell>
          <cell r="G4528">
            <v>34000000</v>
          </cell>
          <cell r="H4528">
            <v>34000000</v>
          </cell>
          <cell r="I4528" t="str">
            <v/>
          </cell>
          <cell r="J4528" t="str">
            <v/>
          </cell>
          <cell r="K4528" t="str">
            <v/>
          </cell>
          <cell r="L4528" t="str">
            <v/>
          </cell>
        </row>
        <row r="4529">
          <cell r="A4529">
            <v>34000000</v>
          </cell>
          <cell r="C4529">
            <v>34000000</v>
          </cell>
          <cell r="D4529">
            <v>34000000</v>
          </cell>
          <cell r="E4529">
            <v>34000000</v>
          </cell>
          <cell r="F4529">
            <v>34000000</v>
          </cell>
          <cell r="G4529">
            <v>34000000</v>
          </cell>
          <cell r="H4529">
            <v>34000000</v>
          </cell>
          <cell r="I4529" t="str">
            <v/>
          </cell>
          <cell r="J4529" t="str">
            <v/>
          </cell>
          <cell r="K4529" t="str">
            <v/>
          </cell>
          <cell r="L4529" t="str">
            <v/>
          </cell>
        </row>
        <row r="4530">
          <cell r="A4530">
            <v>34000000</v>
          </cell>
          <cell r="C4530">
            <v>34000000</v>
          </cell>
          <cell r="D4530">
            <v>34000000</v>
          </cell>
          <cell r="E4530">
            <v>34000000</v>
          </cell>
          <cell r="F4530">
            <v>34000000</v>
          </cell>
          <cell r="G4530">
            <v>34000000</v>
          </cell>
          <cell r="H4530">
            <v>34000000</v>
          </cell>
          <cell r="I4530" t="str">
            <v/>
          </cell>
          <cell r="J4530" t="str">
            <v/>
          </cell>
          <cell r="K4530" t="str">
            <v/>
          </cell>
          <cell r="L4530" t="str">
            <v/>
          </cell>
        </row>
        <row r="4531">
          <cell r="A4531">
            <v>34000000</v>
          </cell>
          <cell r="C4531">
            <v>34000000</v>
          </cell>
          <cell r="D4531">
            <v>34000000</v>
          </cell>
          <cell r="E4531">
            <v>34000000</v>
          </cell>
          <cell r="F4531">
            <v>34000000</v>
          </cell>
          <cell r="G4531">
            <v>34000000</v>
          </cell>
          <cell r="H4531">
            <v>34000000</v>
          </cell>
          <cell r="I4531" t="str">
            <v/>
          </cell>
          <cell r="J4531" t="str">
            <v/>
          </cell>
          <cell r="K4531" t="str">
            <v/>
          </cell>
          <cell r="L4531" t="str">
            <v/>
          </cell>
        </row>
        <row r="4532">
          <cell r="A4532">
            <v>34000000</v>
          </cell>
          <cell r="C4532">
            <v>34000000</v>
          </cell>
          <cell r="D4532">
            <v>34000000</v>
          </cell>
          <cell r="E4532">
            <v>34000000</v>
          </cell>
          <cell r="F4532">
            <v>34000000</v>
          </cell>
          <cell r="G4532">
            <v>34000000</v>
          </cell>
          <cell r="H4532">
            <v>34000000</v>
          </cell>
          <cell r="I4532" t="str">
            <v/>
          </cell>
          <cell r="J4532" t="str">
            <v/>
          </cell>
          <cell r="K4532" t="str">
            <v/>
          </cell>
          <cell r="L4532" t="str">
            <v/>
          </cell>
        </row>
        <row r="4533">
          <cell r="A4533">
            <v>34000000</v>
          </cell>
          <cell r="C4533">
            <v>34000000</v>
          </cell>
          <cell r="D4533">
            <v>34000000</v>
          </cell>
          <cell r="E4533">
            <v>34000000</v>
          </cell>
          <cell r="F4533">
            <v>34000000</v>
          </cell>
          <cell r="G4533">
            <v>34000000</v>
          </cell>
          <cell r="H4533">
            <v>34000000</v>
          </cell>
          <cell r="I4533" t="str">
            <v/>
          </cell>
          <cell r="J4533" t="str">
            <v/>
          </cell>
          <cell r="K4533" t="str">
            <v/>
          </cell>
          <cell r="L4533" t="str">
            <v/>
          </cell>
        </row>
        <row r="4534">
          <cell r="A4534">
            <v>34000000</v>
          </cell>
          <cell r="C4534">
            <v>34000000</v>
          </cell>
          <cell r="D4534">
            <v>34000000</v>
          </cell>
          <cell r="E4534">
            <v>34000000</v>
          </cell>
          <cell r="F4534">
            <v>34000000</v>
          </cell>
          <cell r="G4534">
            <v>34000000</v>
          </cell>
          <cell r="H4534">
            <v>34000000</v>
          </cell>
          <cell r="I4534" t="str">
            <v/>
          </cell>
          <cell r="J4534" t="str">
            <v/>
          </cell>
          <cell r="K4534" t="str">
            <v/>
          </cell>
          <cell r="L4534" t="str">
            <v/>
          </cell>
        </row>
        <row r="4535">
          <cell r="A4535">
            <v>34000000</v>
          </cell>
          <cell r="C4535">
            <v>34000000</v>
          </cell>
          <cell r="D4535">
            <v>34000000</v>
          </cell>
          <cell r="E4535">
            <v>34000000</v>
          </cell>
          <cell r="F4535">
            <v>34000000</v>
          </cell>
          <cell r="G4535">
            <v>34000000</v>
          </cell>
          <cell r="H4535">
            <v>34000000</v>
          </cell>
          <cell r="I4535" t="str">
            <v/>
          </cell>
          <cell r="J4535" t="str">
            <v/>
          </cell>
          <cell r="K4535" t="str">
            <v/>
          </cell>
          <cell r="L4535" t="str">
            <v/>
          </cell>
        </row>
        <row r="4536">
          <cell r="A4536">
            <v>34000000</v>
          </cell>
          <cell r="C4536">
            <v>34000000</v>
          </cell>
          <cell r="D4536">
            <v>34000000</v>
          </cell>
          <cell r="E4536">
            <v>34000000</v>
          </cell>
          <cell r="F4536">
            <v>34000000</v>
          </cell>
          <cell r="G4536">
            <v>34000000</v>
          </cell>
          <cell r="H4536">
            <v>34000000</v>
          </cell>
          <cell r="I4536" t="str">
            <v/>
          </cell>
          <cell r="J4536" t="str">
            <v/>
          </cell>
          <cell r="K4536" t="str">
            <v/>
          </cell>
          <cell r="L4536" t="str">
            <v/>
          </cell>
        </row>
        <row r="4537">
          <cell r="A4537">
            <v>34000000</v>
          </cell>
          <cell r="C4537">
            <v>34000000</v>
          </cell>
          <cell r="D4537">
            <v>34000000</v>
          </cell>
          <cell r="E4537">
            <v>34000000</v>
          </cell>
          <cell r="F4537">
            <v>34000000</v>
          </cell>
          <cell r="G4537">
            <v>34000000</v>
          </cell>
          <cell r="H4537">
            <v>34000000</v>
          </cell>
          <cell r="I4537" t="str">
            <v/>
          </cell>
          <cell r="J4537" t="str">
            <v/>
          </cell>
          <cell r="K4537" t="str">
            <v/>
          </cell>
          <cell r="L4537" t="str">
            <v/>
          </cell>
        </row>
        <row r="4538">
          <cell r="A4538">
            <v>34000000</v>
          </cell>
          <cell r="C4538">
            <v>34000000</v>
          </cell>
          <cell r="D4538">
            <v>34000000</v>
          </cell>
          <cell r="E4538">
            <v>34000000</v>
          </cell>
          <cell r="F4538">
            <v>34000000</v>
          </cell>
          <cell r="G4538">
            <v>34000000</v>
          </cell>
          <cell r="H4538">
            <v>34000000</v>
          </cell>
          <cell r="I4538" t="str">
            <v/>
          </cell>
          <cell r="J4538" t="str">
            <v/>
          </cell>
          <cell r="K4538" t="str">
            <v/>
          </cell>
          <cell r="L4538" t="str">
            <v/>
          </cell>
        </row>
        <row r="4539">
          <cell r="A4539">
            <v>34000000</v>
          </cell>
          <cell r="C4539">
            <v>34000000</v>
          </cell>
          <cell r="D4539">
            <v>34000000</v>
          </cell>
          <cell r="E4539">
            <v>34000000</v>
          </cell>
          <cell r="F4539">
            <v>34000000</v>
          </cell>
          <cell r="G4539">
            <v>34000000</v>
          </cell>
          <cell r="H4539">
            <v>34000000</v>
          </cell>
          <cell r="I4539" t="str">
            <v/>
          </cell>
          <cell r="J4539" t="str">
            <v/>
          </cell>
          <cell r="K4539" t="str">
            <v/>
          </cell>
          <cell r="L4539" t="str">
            <v/>
          </cell>
        </row>
        <row r="4540">
          <cell r="A4540">
            <v>34000000</v>
          </cell>
          <cell r="C4540">
            <v>34000000</v>
          </cell>
          <cell r="D4540">
            <v>34000000</v>
          </cell>
          <cell r="E4540">
            <v>34000000</v>
          </cell>
          <cell r="F4540">
            <v>34000000</v>
          </cell>
          <cell r="G4540">
            <v>34000000</v>
          </cell>
          <cell r="H4540">
            <v>34000000</v>
          </cell>
          <cell r="I4540" t="str">
            <v/>
          </cell>
          <cell r="J4540" t="str">
            <v/>
          </cell>
          <cell r="K4540" t="str">
            <v/>
          </cell>
          <cell r="L4540" t="str">
            <v/>
          </cell>
        </row>
        <row r="4541">
          <cell r="A4541">
            <v>34000000</v>
          </cell>
          <cell r="C4541">
            <v>34000000</v>
          </cell>
          <cell r="D4541">
            <v>34000000</v>
          </cell>
          <cell r="E4541">
            <v>34000000</v>
          </cell>
          <cell r="F4541">
            <v>34000000</v>
          </cell>
          <cell r="G4541">
            <v>34000000</v>
          </cell>
          <cell r="H4541">
            <v>34000000</v>
          </cell>
          <cell r="I4541" t="str">
            <v/>
          </cell>
          <cell r="J4541" t="str">
            <v/>
          </cell>
          <cell r="K4541" t="str">
            <v/>
          </cell>
          <cell r="L4541" t="str">
            <v/>
          </cell>
        </row>
        <row r="4542">
          <cell r="A4542">
            <v>34000000</v>
          </cell>
          <cell r="C4542">
            <v>34000000</v>
          </cell>
          <cell r="D4542">
            <v>34000000</v>
          </cell>
          <cell r="E4542">
            <v>34000000</v>
          </cell>
          <cell r="F4542">
            <v>34000000</v>
          </cell>
          <cell r="G4542">
            <v>34000000</v>
          </cell>
          <cell r="H4542">
            <v>34000000</v>
          </cell>
          <cell r="I4542" t="str">
            <v/>
          </cell>
          <cell r="J4542" t="str">
            <v/>
          </cell>
          <cell r="K4542" t="str">
            <v/>
          </cell>
          <cell r="L4542" t="str">
            <v/>
          </cell>
        </row>
        <row r="4543">
          <cell r="A4543">
            <v>34000000</v>
          </cell>
          <cell r="C4543">
            <v>34000000</v>
          </cell>
          <cell r="D4543">
            <v>34000000</v>
          </cell>
          <cell r="E4543">
            <v>34000000</v>
          </cell>
          <cell r="F4543">
            <v>34000000</v>
          </cell>
          <cell r="G4543">
            <v>34000000</v>
          </cell>
          <cell r="H4543">
            <v>34000000</v>
          </cell>
          <cell r="I4543" t="str">
            <v/>
          </cell>
          <cell r="J4543" t="str">
            <v/>
          </cell>
          <cell r="K4543" t="str">
            <v/>
          </cell>
          <cell r="L4543" t="str">
            <v/>
          </cell>
        </row>
        <row r="4544">
          <cell r="A4544">
            <v>34000000</v>
          </cell>
          <cell r="C4544">
            <v>34000000</v>
          </cell>
          <cell r="D4544">
            <v>34000000</v>
          </cell>
          <cell r="E4544">
            <v>34000000</v>
          </cell>
          <cell r="F4544">
            <v>34000000</v>
          </cell>
          <cell r="G4544">
            <v>34000000</v>
          </cell>
          <cell r="H4544">
            <v>34000000</v>
          </cell>
          <cell r="I4544" t="str">
            <v/>
          </cell>
          <cell r="J4544" t="str">
            <v/>
          </cell>
          <cell r="K4544" t="str">
            <v/>
          </cell>
          <cell r="L4544" t="str">
            <v/>
          </cell>
        </row>
        <row r="4545">
          <cell r="A4545">
            <v>34000000</v>
          </cell>
          <cell r="C4545">
            <v>34000000</v>
          </cell>
          <cell r="D4545">
            <v>34000000</v>
          </cell>
          <cell r="E4545">
            <v>34000000</v>
          </cell>
          <cell r="F4545">
            <v>34000000</v>
          </cell>
          <cell r="G4545">
            <v>34000000</v>
          </cell>
          <cell r="H4545">
            <v>34000000</v>
          </cell>
          <cell r="I4545" t="str">
            <v/>
          </cell>
          <cell r="J4545" t="str">
            <v/>
          </cell>
          <cell r="K4545" t="str">
            <v/>
          </cell>
          <cell r="L4545" t="str">
            <v/>
          </cell>
        </row>
        <row r="4546">
          <cell r="A4546">
            <v>34000000</v>
          </cell>
          <cell r="C4546">
            <v>34000000</v>
          </cell>
          <cell r="D4546">
            <v>34000000</v>
          </cell>
          <cell r="E4546">
            <v>34000000</v>
          </cell>
          <cell r="F4546">
            <v>34000000</v>
          </cell>
          <cell r="G4546">
            <v>34000000</v>
          </cell>
          <cell r="H4546">
            <v>34000000</v>
          </cell>
          <cell r="I4546" t="str">
            <v/>
          </cell>
          <cell r="J4546" t="str">
            <v/>
          </cell>
          <cell r="K4546" t="str">
            <v/>
          </cell>
          <cell r="L4546" t="str">
            <v/>
          </cell>
        </row>
        <row r="4547">
          <cell r="A4547">
            <v>34000000</v>
          </cell>
          <cell r="C4547">
            <v>34000000</v>
          </cell>
          <cell r="D4547">
            <v>34000000</v>
          </cell>
          <cell r="E4547">
            <v>34000000</v>
          </cell>
          <cell r="F4547">
            <v>34000000</v>
          </cell>
          <cell r="G4547">
            <v>34000000</v>
          </cell>
          <cell r="H4547">
            <v>34000000</v>
          </cell>
          <cell r="I4547" t="str">
            <v/>
          </cell>
          <cell r="J4547" t="str">
            <v/>
          </cell>
          <cell r="K4547" t="str">
            <v/>
          </cell>
          <cell r="L4547" t="str">
            <v/>
          </cell>
        </row>
        <row r="4548">
          <cell r="A4548">
            <v>34000000</v>
          </cell>
          <cell r="C4548">
            <v>34000000</v>
          </cell>
          <cell r="D4548">
            <v>34000000</v>
          </cell>
          <cell r="E4548">
            <v>34000000</v>
          </cell>
          <cell r="F4548">
            <v>34000000</v>
          </cell>
          <cell r="G4548">
            <v>34000000</v>
          </cell>
          <cell r="H4548">
            <v>34000000</v>
          </cell>
          <cell r="I4548" t="str">
            <v/>
          </cell>
          <cell r="J4548" t="str">
            <v/>
          </cell>
          <cell r="K4548" t="str">
            <v/>
          </cell>
          <cell r="L4548" t="str">
            <v/>
          </cell>
        </row>
        <row r="4549">
          <cell r="A4549">
            <v>34000000</v>
          </cell>
          <cell r="C4549">
            <v>34000000</v>
          </cell>
          <cell r="D4549">
            <v>34000000</v>
          </cell>
          <cell r="E4549">
            <v>34000000</v>
          </cell>
          <cell r="F4549">
            <v>34000000</v>
          </cell>
          <cell r="G4549">
            <v>34000000</v>
          </cell>
          <cell r="H4549">
            <v>34000000</v>
          </cell>
          <cell r="I4549" t="str">
            <v/>
          </cell>
          <cell r="J4549" t="str">
            <v/>
          </cell>
          <cell r="K4549" t="str">
            <v/>
          </cell>
          <cell r="L4549" t="str">
            <v/>
          </cell>
        </row>
        <row r="4550">
          <cell r="A4550">
            <v>34000000</v>
          </cell>
          <cell r="C4550">
            <v>34000000</v>
          </cell>
          <cell r="D4550">
            <v>34000000</v>
          </cell>
          <cell r="E4550">
            <v>34000000</v>
          </cell>
          <cell r="F4550">
            <v>34000000</v>
          </cell>
          <cell r="G4550">
            <v>34000000</v>
          </cell>
          <cell r="H4550">
            <v>34000000</v>
          </cell>
          <cell r="I4550" t="str">
            <v/>
          </cell>
          <cell r="J4550" t="str">
            <v/>
          </cell>
          <cell r="K4550" t="str">
            <v/>
          </cell>
          <cell r="L4550" t="str">
            <v/>
          </cell>
        </row>
        <row r="4551">
          <cell r="A4551">
            <v>34000000</v>
          </cell>
          <cell r="C4551">
            <v>34000000</v>
          </cell>
          <cell r="D4551">
            <v>34000000</v>
          </cell>
          <cell r="E4551">
            <v>34000000</v>
          </cell>
          <cell r="F4551">
            <v>34000000</v>
          </cell>
          <cell r="G4551">
            <v>34000000</v>
          </cell>
          <cell r="H4551">
            <v>34000000</v>
          </cell>
          <cell r="I4551" t="str">
            <v/>
          </cell>
          <cell r="J4551" t="str">
            <v/>
          </cell>
          <cell r="K4551" t="str">
            <v/>
          </cell>
          <cell r="L4551" t="str">
            <v/>
          </cell>
        </row>
        <row r="4552">
          <cell r="A4552">
            <v>34000000</v>
          </cell>
          <cell r="C4552">
            <v>34000000</v>
          </cell>
          <cell r="D4552">
            <v>34000000</v>
          </cell>
          <cell r="E4552">
            <v>34000000</v>
          </cell>
          <cell r="F4552">
            <v>34000000</v>
          </cell>
          <cell r="G4552">
            <v>34000000</v>
          </cell>
          <cell r="H4552">
            <v>34000000</v>
          </cell>
          <cell r="I4552" t="str">
            <v/>
          </cell>
          <cell r="J4552" t="str">
            <v/>
          </cell>
          <cell r="K4552" t="str">
            <v/>
          </cell>
          <cell r="L4552" t="str">
            <v/>
          </cell>
        </row>
        <row r="4553">
          <cell r="A4553">
            <v>34000000</v>
          </cell>
          <cell r="C4553">
            <v>34000000</v>
          </cell>
          <cell r="D4553">
            <v>34000000</v>
          </cell>
          <cell r="E4553">
            <v>34000000</v>
          </cell>
          <cell r="F4553">
            <v>34000000</v>
          </cell>
          <cell r="G4553">
            <v>34000000</v>
          </cell>
          <cell r="H4553">
            <v>34000000</v>
          </cell>
          <cell r="I4553" t="str">
            <v/>
          </cell>
          <cell r="J4553" t="str">
            <v/>
          </cell>
          <cell r="K4553" t="str">
            <v/>
          </cell>
          <cell r="L4553" t="str">
            <v/>
          </cell>
        </row>
        <row r="4554">
          <cell r="A4554">
            <v>34000000</v>
          </cell>
          <cell r="C4554">
            <v>34000000</v>
          </cell>
          <cell r="D4554">
            <v>34000000</v>
          </cell>
          <cell r="E4554">
            <v>34000000</v>
          </cell>
          <cell r="F4554">
            <v>34000000</v>
          </cell>
          <cell r="G4554">
            <v>34000000</v>
          </cell>
          <cell r="H4554">
            <v>34000000</v>
          </cell>
          <cell r="I4554" t="str">
            <v/>
          </cell>
          <cell r="J4554" t="str">
            <v/>
          </cell>
          <cell r="K4554" t="str">
            <v/>
          </cell>
          <cell r="L4554" t="str">
            <v/>
          </cell>
        </row>
        <row r="4555">
          <cell r="A4555">
            <v>34000000</v>
          </cell>
          <cell r="C4555">
            <v>34000000</v>
          </cell>
          <cell r="D4555">
            <v>34000000</v>
          </cell>
          <cell r="E4555">
            <v>34000000</v>
          </cell>
          <cell r="F4555">
            <v>34000000</v>
          </cell>
          <cell r="G4555">
            <v>34000000</v>
          </cell>
          <cell r="H4555">
            <v>34000000</v>
          </cell>
          <cell r="I4555" t="str">
            <v/>
          </cell>
          <cell r="J4555" t="str">
            <v/>
          </cell>
          <cell r="K4555" t="str">
            <v/>
          </cell>
          <cell r="L4555" t="str">
            <v/>
          </cell>
        </row>
        <row r="4556">
          <cell r="A4556">
            <v>34000000</v>
          </cell>
          <cell r="C4556">
            <v>34000000</v>
          </cell>
          <cell r="D4556">
            <v>34000000</v>
          </cell>
          <cell r="E4556">
            <v>34000000</v>
          </cell>
          <cell r="F4556">
            <v>34000000</v>
          </cell>
          <cell r="G4556">
            <v>34000000</v>
          </cell>
          <cell r="H4556">
            <v>34000000</v>
          </cell>
          <cell r="I4556" t="str">
            <v/>
          </cell>
          <cell r="J4556" t="str">
            <v/>
          </cell>
          <cell r="K4556" t="str">
            <v/>
          </cell>
          <cell r="L4556" t="str">
            <v/>
          </cell>
        </row>
        <row r="4557">
          <cell r="A4557">
            <v>34000000</v>
          </cell>
          <cell r="C4557">
            <v>34000000</v>
          </cell>
          <cell r="D4557">
            <v>34000000</v>
          </cell>
          <cell r="E4557">
            <v>34000000</v>
          </cell>
          <cell r="F4557">
            <v>34000000</v>
          </cell>
          <cell r="G4557">
            <v>34000000</v>
          </cell>
          <cell r="H4557">
            <v>34000000</v>
          </cell>
          <cell r="I4557" t="str">
            <v/>
          </cell>
          <cell r="J4557" t="str">
            <v/>
          </cell>
          <cell r="K4557" t="str">
            <v/>
          </cell>
          <cell r="L4557" t="str">
            <v/>
          </cell>
        </row>
        <row r="4558">
          <cell r="A4558">
            <v>34000000</v>
          </cell>
          <cell r="C4558">
            <v>34000000</v>
          </cell>
          <cell r="D4558">
            <v>34000000</v>
          </cell>
          <cell r="E4558">
            <v>34000000</v>
          </cell>
          <cell r="F4558">
            <v>34000000</v>
          </cell>
          <cell r="G4558">
            <v>34000000</v>
          </cell>
          <cell r="H4558">
            <v>34000000</v>
          </cell>
          <cell r="I4558" t="str">
            <v/>
          </cell>
          <cell r="J4558" t="str">
            <v/>
          </cell>
          <cell r="K4558" t="str">
            <v/>
          </cell>
          <cell r="L4558" t="str">
            <v/>
          </cell>
        </row>
        <row r="4559">
          <cell r="A4559">
            <v>34000000</v>
          </cell>
          <cell r="C4559">
            <v>34000000</v>
          </cell>
          <cell r="D4559">
            <v>34000000</v>
          </cell>
          <cell r="E4559">
            <v>34000000</v>
          </cell>
          <cell r="F4559">
            <v>34000000</v>
          </cell>
          <cell r="G4559">
            <v>34000000</v>
          </cell>
          <cell r="H4559">
            <v>34000000</v>
          </cell>
          <cell r="I4559" t="str">
            <v/>
          </cell>
          <cell r="J4559" t="str">
            <v/>
          </cell>
          <cell r="K4559" t="str">
            <v/>
          </cell>
          <cell r="L4559" t="str">
            <v/>
          </cell>
        </row>
        <row r="4560">
          <cell r="A4560">
            <v>34000000</v>
          </cell>
          <cell r="C4560">
            <v>34000000</v>
          </cell>
          <cell r="D4560">
            <v>34000000</v>
          </cell>
          <cell r="E4560">
            <v>34000000</v>
          </cell>
          <cell r="F4560">
            <v>34000000</v>
          </cell>
          <cell r="G4560">
            <v>34000000</v>
          </cell>
          <cell r="H4560">
            <v>34000000</v>
          </cell>
          <cell r="I4560" t="str">
            <v/>
          </cell>
          <cell r="J4560" t="str">
            <v/>
          </cell>
          <cell r="K4560" t="str">
            <v/>
          </cell>
          <cell r="L4560" t="str">
            <v/>
          </cell>
        </row>
        <row r="4561">
          <cell r="A4561">
            <v>34000000</v>
          </cell>
          <cell r="C4561">
            <v>34000000</v>
          </cell>
          <cell r="D4561">
            <v>34000000</v>
          </cell>
          <cell r="E4561">
            <v>34000000</v>
          </cell>
          <cell r="F4561">
            <v>34000000</v>
          </cell>
          <cell r="G4561">
            <v>34000000</v>
          </cell>
          <cell r="H4561">
            <v>34000000</v>
          </cell>
          <cell r="I4561" t="str">
            <v/>
          </cell>
          <cell r="J4561" t="str">
            <v/>
          </cell>
          <cell r="K4561" t="str">
            <v/>
          </cell>
          <cell r="L4561" t="str">
            <v/>
          </cell>
        </row>
        <row r="4562">
          <cell r="A4562">
            <v>34000000</v>
          </cell>
          <cell r="C4562">
            <v>34000000</v>
          </cell>
          <cell r="D4562">
            <v>34000000</v>
          </cell>
          <cell r="E4562">
            <v>34000000</v>
          </cell>
          <cell r="F4562">
            <v>34000000</v>
          </cell>
          <cell r="G4562">
            <v>34000000</v>
          </cell>
          <cell r="H4562">
            <v>34000000</v>
          </cell>
          <cell r="I4562" t="str">
            <v/>
          </cell>
          <cell r="J4562" t="str">
            <v/>
          </cell>
          <cell r="K4562" t="str">
            <v/>
          </cell>
          <cell r="L4562" t="str">
            <v/>
          </cell>
        </row>
        <row r="4563">
          <cell r="A4563">
            <v>34000000</v>
          </cell>
          <cell r="C4563">
            <v>34000000</v>
          </cell>
          <cell r="D4563">
            <v>34000000</v>
          </cell>
          <cell r="E4563">
            <v>34000000</v>
          </cell>
          <cell r="F4563">
            <v>34000000</v>
          </cell>
          <cell r="G4563">
            <v>34000000</v>
          </cell>
          <cell r="H4563">
            <v>34000000</v>
          </cell>
          <cell r="I4563" t="str">
            <v/>
          </cell>
          <cell r="J4563" t="str">
            <v/>
          </cell>
          <cell r="K4563" t="str">
            <v/>
          </cell>
          <cell r="L4563" t="str">
            <v/>
          </cell>
        </row>
        <row r="4564">
          <cell r="A4564">
            <v>34000000</v>
          </cell>
          <cell r="C4564">
            <v>34000000</v>
          </cell>
          <cell r="D4564">
            <v>34000000</v>
          </cell>
          <cell r="E4564">
            <v>34000000</v>
          </cell>
          <cell r="F4564">
            <v>34000000</v>
          </cell>
          <cell r="G4564">
            <v>34000000</v>
          </cell>
          <cell r="H4564">
            <v>34000000</v>
          </cell>
          <cell r="I4564" t="str">
            <v/>
          </cell>
          <cell r="J4564" t="str">
            <v/>
          </cell>
          <cell r="K4564" t="str">
            <v/>
          </cell>
          <cell r="L4564" t="str">
            <v/>
          </cell>
        </row>
        <row r="4565">
          <cell r="A4565">
            <v>34000000</v>
          </cell>
          <cell r="C4565">
            <v>34000000</v>
          </cell>
          <cell r="D4565">
            <v>34000000</v>
          </cell>
          <cell r="E4565">
            <v>34000000</v>
          </cell>
          <cell r="F4565">
            <v>34000000</v>
          </cell>
          <cell r="G4565">
            <v>34000000</v>
          </cell>
          <cell r="H4565">
            <v>34000000</v>
          </cell>
          <cell r="I4565" t="str">
            <v/>
          </cell>
          <cell r="J4565" t="str">
            <v/>
          </cell>
          <cell r="K4565" t="str">
            <v/>
          </cell>
          <cell r="L4565" t="str">
            <v/>
          </cell>
        </row>
        <row r="4566">
          <cell r="A4566">
            <v>34000000</v>
          </cell>
          <cell r="C4566">
            <v>34000000</v>
          </cell>
          <cell r="D4566">
            <v>34000000</v>
          </cell>
          <cell r="E4566">
            <v>34000000</v>
          </cell>
          <cell r="F4566">
            <v>34000000</v>
          </cell>
          <cell r="G4566">
            <v>34000000</v>
          </cell>
          <cell r="H4566">
            <v>34000000</v>
          </cell>
          <cell r="I4566" t="str">
            <v/>
          </cell>
          <cell r="J4566" t="str">
            <v/>
          </cell>
          <cell r="K4566" t="str">
            <v/>
          </cell>
          <cell r="L4566" t="str">
            <v/>
          </cell>
        </row>
        <row r="4567">
          <cell r="A4567">
            <v>34000000</v>
          </cell>
          <cell r="C4567">
            <v>34000000</v>
          </cell>
          <cell r="D4567">
            <v>34000000</v>
          </cell>
          <cell r="E4567">
            <v>34000000</v>
          </cell>
          <cell r="F4567">
            <v>34000000</v>
          </cell>
          <cell r="G4567">
            <v>34000000</v>
          </cell>
          <cell r="H4567">
            <v>34000000</v>
          </cell>
          <cell r="I4567" t="str">
            <v/>
          </cell>
          <cell r="J4567" t="str">
            <v/>
          </cell>
          <cell r="K4567" t="str">
            <v/>
          </cell>
          <cell r="L4567" t="str">
            <v/>
          </cell>
        </row>
        <row r="4568">
          <cell r="A4568">
            <v>34000000</v>
          </cell>
          <cell r="C4568">
            <v>34000000</v>
          </cell>
          <cell r="D4568">
            <v>34000000</v>
          </cell>
          <cell r="E4568">
            <v>34000000</v>
          </cell>
          <cell r="F4568">
            <v>34000000</v>
          </cell>
          <cell r="G4568">
            <v>34000000</v>
          </cell>
          <cell r="H4568">
            <v>34000000</v>
          </cell>
          <cell r="I4568" t="str">
            <v/>
          </cell>
          <cell r="J4568" t="str">
            <v/>
          </cell>
          <cell r="K4568" t="str">
            <v/>
          </cell>
          <cell r="L4568" t="str">
            <v/>
          </cell>
        </row>
        <row r="4569">
          <cell r="A4569">
            <v>34000000</v>
          </cell>
          <cell r="C4569">
            <v>34000000</v>
          </cell>
          <cell r="D4569">
            <v>34000000</v>
          </cell>
          <cell r="E4569">
            <v>34000000</v>
          </cell>
          <cell r="F4569">
            <v>34000000</v>
          </cell>
          <cell r="G4569">
            <v>34000000</v>
          </cell>
          <cell r="H4569">
            <v>34000000</v>
          </cell>
          <cell r="I4569" t="str">
            <v/>
          </cell>
          <cell r="J4569" t="str">
            <v/>
          </cell>
          <cell r="K4569" t="str">
            <v/>
          </cell>
          <cell r="L4569" t="str">
            <v/>
          </cell>
        </row>
        <row r="4570">
          <cell r="A4570">
            <v>34000000</v>
          </cell>
          <cell r="C4570">
            <v>34000000</v>
          </cell>
          <cell r="D4570">
            <v>34000000</v>
          </cell>
          <cell r="E4570">
            <v>34000000</v>
          </cell>
          <cell r="F4570">
            <v>34000000</v>
          </cell>
          <cell r="G4570">
            <v>34000000</v>
          </cell>
          <cell r="H4570">
            <v>34000000</v>
          </cell>
          <cell r="I4570" t="str">
            <v/>
          </cell>
          <cell r="J4570" t="str">
            <v/>
          </cell>
          <cell r="K4570" t="str">
            <v/>
          </cell>
          <cell r="L4570" t="str">
            <v/>
          </cell>
        </row>
        <row r="4571">
          <cell r="A4571">
            <v>34000000</v>
          </cell>
          <cell r="C4571">
            <v>34000000</v>
          </cell>
          <cell r="D4571">
            <v>34000000</v>
          </cell>
          <cell r="E4571">
            <v>34000000</v>
          </cell>
          <cell r="F4571">
            <v>34000000</v>
          </cell>
          <cell r="G4571">
            <v>34000000</v>
          </cell>
          <cell r="H4571">
            <v>34000000</v>
          </cell>
          <cell r="I4571" t="str">
            <v/>
          </cell>
          <cell r="J4571" t="str">
            <v/>
          </cell>
          <cell r="K4571" t="str">
            <v/>
          </cell>
          <cell r="L4571" t="str">
            <v/>
          </cell>
        </row>
        <row r="4572">
          <cell r="A4572">
            <v>34000000</v>
          </cell>
          <cell r="C4572">
            <v>34000000</v>
          </cell>
          <cell r="D4572">
            <v>34000000</v>
          </cell>
          <cell r="E4572">
            <v>34000000</v>
          </cell>
          <cell r="F4572">
            <v>34000000</v>
          </cell>
          <cell r="G4572">
            <v>34000000</v>
          </cell>
          <cell r="H4572">
            <v>34000000</v>
          </cell>
          <cell r="I4572" t="str">
            <v/>
          </cell>
          <cell r="J4572" t="str">
            <v/>
          </cell>
          <cell r="K4572" t="str">
            <v/>
          </cell>
          <cell r="L4572" t="str">
            <v/>
          </cell>
        </row>
        <row r="4573">
          <cell r="A4573">
            <v>34000000</v>
          </cell>
          <cell r="C4573">
            <v>34000000</v>
          </cell>
          <cell r="D4573">
            <v>34000000</v>
          </cell>
          <cell r="E4573">
            <v>34000000</v>
          </cell>
          <cell r="F4573">
            <v>34000000</v>
          </cell>
          <cell r="G4573">
            <v>34000000</v>
          </cell>
          <cell r="H4573">
            <v>34000000</v>
          </cell>
          <cell r="I4573" t="str">
            <v/>
          </cell>
          <cell r="J4573" t="str">
            <v/>
          </cell>
          <cell r="K4573" t="str">
            <v/>
          </cell>
          <cell r="L4573" t="str">
            <v/>
          </cell>
        </row>
        <row r="4574">
          <cell r="A4574">
            <v>34000000</v>
          </cell>
          <cell r="C4574">
            <v>34000000</v>
          </cell>
          <cell r="D4574">
            <v>34000000</v>
          </cell>
          <cell r="E4574">
            <v>34000000</v>
          </cell>
          <cell r="F4574">
            <v>34000000</v>
          </cell>
          <cell r="G4574">
            <v>34000000</v>
          </cell>
          <cell r="H4574">
            <v>34000000</v>
          </cell>
          <cell r="I4574" t="str">
            <v/>
          </cell>
          <cell r="J4574" t="str">
            <v/>
          </cell>
          <cell r="K4574" t="str">
            <v/>
          </cell>
          <cell r="L4574" t="str">
            <v/>
          </cell>
        </row>
        <row r="4575">
          <cell r="A4575">
            <v>34000000</v>
          </cell>
          <cell r="C4575">
            <v>34000000</v>
          </cell>
          <cell r="D4575">
            <v>34000000</v>
          </cell>
          <cell r="E4575">
            <v>34000000</v>
          </cell>
          <cell r="F4575">
            <v>34000000</v>
          </cell>
          <cell r="G4575">
            <v>34000000</v>
          </cell>
          <cell r="H4575">
            <v>34000000</v>
          </cell>
          <cell r="I4575" t="str">
            <v/>
          </cell>
          <cell r="J4575" t="str">
            <v/>
          </cell>
          <cell r="K4575" t="str">
            <v/>
          </cell>
          <cell r="L4575" t="str">
            <v/>
          </cell>
        </row>
        <row r="4576">
          <cell r="A4576">
            <v>34000000</v>
          </cell>
          <cell r="C4576">
            <v>34000000</v>
          </cell>
          <cell r="D4576">
            <v>34000000</v>
          </cell>
          <cell r="E4576">
            <v>34000000</v>
          </cell>
          <cell r="F4576">
            <v>34000000</v>
          </cell>
          <cell r="G4576">
            <v>34000000</v>
          </cell>
          <cell r="H4576">
            <v>34000000</v>
          </cell>
          <cell r="I4576" t="str">
            <v/>
          </cell>
          <cell r="J4576" t="str">
            <v/>
          </cell>
          <cell r="K4576" t="str">
            <v/>
          </cell>
          <cell r="L4576" t="str">
            <v/>
          </cell>
        </row>
        <row r="4577">
          <cell r="A4577">
            <v>34000000</v>
          </cell>
          <cell r="C4577">
            <v>34000000</v>
          </cell>
          <cell r="D4577">
            <v>34000000</v>
          </cell>
          <cell r="E4577">
            <v>34000000</v>
          </cell>
          <cell r="F4577">
            <v>34000000</v>
          </cell>
          <cell r="G4577">
            <v>34000000</v>
          </cell>
          <cell r="H4577">
            <v>34000000</v>
          </cell>
          <cell r="I4577" t="str">
            <v/>
          </cell>
          <cell r="J4577" t="str">
            <v/>
          </cell>
          <cell r="K4577" t="str">
            <v/>
          </cell>
          <cell r="L4577" t="str">
            <v/>
          </cell>
        </row>
        <row r="4578">
          <cell r="A4578">
            <v>34000000</v>
          </cell>
          <cell r="C4578">
            <v>34000000</v>
          </cell>
          <cell r="D4578">
            <v>34000000</v>
          </cell>
          <cell r="E4578">
            <v>34000000</v>
          </cell>
          <cell r="F4578">
            <v>34000000</v>
          </cell>
          <cell r="G4578">
            <v>34000000</v>
          </cell>
          <cell r="H4578">
            <v>34000000</v>
          </cell>
          <cell r="I4578" t="str">
            <v/>
          </cell>
          <cell r="J4578" t="str">
            <v/>
          </cell>
          <cell r="K4578" t="str">
            <v/>
          </cell>
          <cell r="L4578" t="str">
            <v/>
          </cell>
        </row>
        <row r="4579">
          <cell r="A4579">
            <v>34000000</v>
          </cell>
          <cell r="C4579">
            <v>34000000</v>
          </cell>
          <cell r="D4579">
            <v>34000000</v>
          </cell>
          <cell r="E4579">
            <v>34000000</v>
          </cell>
          <cell r="F4579">
            <v>34000000</v>
          </cell>
          <cell r="G4579">
            <v>34000000</v>
          </cell>
          <cell r="H4579">
            <v>34000000</v>
          </cell>
          <cell r="I4579" t="str">
            <v/>
          </cell>
          <cell r="J4579" t="str">
            <v/>
          </cell>
          <cell r="K4579" t="str">
            <v/>
          </cell>
          <cell r="L4579" t="str">
            <v/>
          </cell>
        </row>
        <row r="4580">
          <cell r="A4580">
            <v>34000000</v>
          </cell>
          <cell r="C4580">
            <v>34000000</v>
          </cell>
          <cell r="D4580">
            <v>34000000</v>
          </cell>
          <cell r="E4580">
            <v>34000000</v>
          </cell>
          <cell r="F4580">
            <v>34000000</v>
          </cell>
          <cell r="G4580">
            <v>34000000</v>
          </cell>
          <cell r="H4580">
            <v>34000000</v>
          </cell>
          <cell r="I4580" t="str">
            <v/>
          </cell>
          <cell r="J4580" t="str">
            <v/>
          </cell>
          <cell r="K4580" t="str">
            <v/>
          </cell>
          <cell r="L4580" t="str">
            <v/>
          </cell>
        </row>
        <row r="4581">
          <cell r="A4581">
            <v>34000000</v>
          </cell>
          <cell r="C4581">
            <v>34000000</v>
          </cell>
          <cell r="D4581">
            <v>34000000</v>
          </cell>
          <cell r="E4581">
            <v>34000000</v>
          </cell>
          <cell r="F4581">
            <v>34000000</v>
          </cell>
          <cell r="G4581">
            <v>34000000</v>
          </cell>
          <cell r="H4581">
            <v>34000000</v>
          </cell>
          <cell r="I4581" t="str">
            <v/>
          </cell>
          <cell r="J4581" t="str">
            <v/>
          </cell>
          <cell r="K4581" t="str">
            <v/>
          </cell>
          <cell r="L4581" t="str">
            <v/>
          </cell>
        </row>
        <row r="4582">
          <cell r="A4582">
            <v>34000000</v>
          </cell>
          <cell r="C4582">
            <v>34000000</v>
          </cell>
          <cell r="D4582">
            <v>34000000</v>
          </cell>
          <cell r="E4582">
            <v>34000000</v>
          </cell>
          <cell r="F4582">
            <v>34000000</v>
          </cell>
          <cell r="G4582">
            <v>34000000</v>
          </cell>
          <cell r="H4582">
            <v>34000000</v>
          </cell>
          <cell r="I4582" t="str">
            <v/>
          </cell>
          <cell r="J4582" t="str">
            <v/>
          </cell>
          <cell r="K4582" t="str">
            <v/>
          </cell>
          <cell r="L4582" t="str">
            <v/>
          </cell>
        </row>
        <row r="4583">
          <cell r="A4583">
            <v>34000000</v>
          </cell>
          <cell r="C4583">
            <v>34000000</v>
          </cell>
          <cell r="D4583">
            <v>34000000</v>
          </cell>
          <cell r="E4583">
            <v>34000000</v>
          </cell>
          <cell r="F4583">
            <v>34000000</v>
          </cell>
          <cell r="G4583">
            <v>34000000</v>
          </cell>
          <cell r="H4583">
            <v>34000000</v>
          </cell>
          <cell r="I4583" t="str">
            <v/>
          </cell>
          <cell r="J4583" t="str">
            <v/>
          </cell>
          <cell r="K4583" t="str">
            <v/>
          </cell>
          <cell r="L4583" t="str">
            <v/>
          </cell>
        </row>
        <row r="4584">
          <cell r="A4584">
            <v>34000000</v>
          </cell>
          <cell r="C4584">
            <v>34000000</v>
          </cell>
          <cell r="D4584">
            <v>34000000</v>
          </cell>
          <cell r="E4584">
            <v>34000000</v>
          </cell>
          <cell r="F4584">
            <v>34000000</v>
          </cell>
          <cell r="G4584">
            <v>34000000</v>
          </cell>
          <cell r="H4584">
            <v>34000000</v>
          </cell>
          <cell r="I4584" t="str">
            <v/>
          </cell>
          <cell r="J4584" t="str">
            <v/>
          </cell>
          <cell r="K4584" t="str">
            <v/>
          </cell>
          <cell r="L4584" t="str">
            <v/>
          </cell>
        </row>
        <row r="4585">
          <cell r="A4585">
            <v>34000000</v>
          </cell>
          <cell r="C4585">
            <v>34000000</v>
          </cell>
          <cell r="D4585">
            <v>34000000</v>
          </cell>
          <cell r="E4585">
            <v>34000000</v>
          </cell>
          <cell r="F4585">
            <v>34000000</v>
          </cell>
          <cell r="G4585">
            <v>34000000</v>
          </cell>
          <cell r="H4585">
            <v>34000000</v>
          </cell>
          <cell r="I4585" t="str">
            <v/>
          </cell>
          <cell r="J4585" t="str">
            <v/>
          </cell>
          <cell r="K4585" t="str">
            <v/>
          </cell>
          <cell r="L4585" t="str">
            <v/>
          </cell>
        </row>
        <row r="4586">
          <cell r="A4586">
            <v>34000000</v>
          </cell>
          <cell r="C4586">
            <v>34000000</v>
          </cell>
          <cell r="D4586">
            <v>34000000</v>
          </cell>
          <cell r="E4586">
            <v>34000000</v>
          </cell>
          <cell r="F4586">
            <v>34000000</v>
          </cell>
          <cell r="G4586">
            <v>34000000</v>
          </cell>
          <cell r="H4586">
            <v>34000000</v>
          </cell>
          <cell r="I4586" t="str">
            <v/>
          </cell>
          <cell r="J4586" t="str">
            <v/>
          </cell>
          <cell r="K4586" t="str">
            <v/>
          </cell>
          <cell r="L4586" t="str">
            <v/>
          </cell>
        </row>
        <row r="4587">
          <cell r="A4587">
            <v>34000000</v>
          </cell>
          <cell r="C4587">
            <v>34000000</v>
          </cell>
          <cell r="D4587">
            <v>34000000</v>
          </cell>
          <cell r="E4587">
            <v>34000000</v>
          </cell>
          <cell r="F4587">
            <v>34000000</v>
          </cell>
          <cell r="G4587">
            <v>34000000</v>
          </cell>
          <cell r="H4587">
            <v>34000000</v>
          </cell>
          <cell r="I4587" t="str">
            <v/>
          </cell>
          <cell r="J4587" t="str">
            <v/>
          </cell>
          <cell r="K4587" t="str">
            <v/>
          </cell>
          <cell r="L4587" t="str">
            <v/>
          </cell>
        </row>
        <row r="4588">
          <cell r="A4588">
            <v>34000000</v>
          </cell>
          <cell r="C4588">
            <v>34000000</v>
          </cell>
          <cell r="D4588">
            <v>34000000</v>
          </cell>
          <cell r="E4588">
            <v>34000000</v>
          </cell>
          <cell r="F4588">
            <v>34000000</v>
          </cell>
          <cell r="G4588">
            <v>34000000</v>
          </cell>
          <cell r="H4588">
            <v>34000000</v>
          </cell>
          <cell r="I4588" t="str">
            <v/>
          </cell>
          <cell r="J4588" t="str">
            <v/>
          </cell>
          <cell r="K4588" t="str">
            <v/>
          </cell>
          <cell r="L4588" t="str">
            <v/>
          </cell>
        </row>
        <row r="4589">
          <cell r="A4589">
            <v>34000000</v>
          </cell>
          <cell r="C4589">
            <v>34000000</v>
          </cell>
          <cell r="D4589">
            <v>34000000</v>
          </cell>
          <cell r="E4589">
            <v>34000000</v>
          </cell>
          <cell r="F4589">
            <v>34000000</v>
          </cell>
          <cell r="G4589">
            <v>34000000</v>
          </cell>
          <cell r="H4589">
            <v>34000000</v>
          </cell>
          <cell r="I4589" t="str">
            <v/>
          </cell>
          <cell r="J4589" t="str">
            <v/>
          </cell>
          <cell r="K4589" t="str">
            <v/>
          </cell>
          <cell r="L4589" t="str">
            <v/>
          </cell>
        </row>
        <row r="4590">
          <cell r="A4590">
            <v>34000000</v>
          </cell>
          <cell r="C4590">
            <v>34000000</v>
          </cell>
          <cell r="D4590">
            <v>34000000</v>
          </cell>
          <cell r="E4590">
            <v>34000000</v>
          </cell>
          <cell r="F4590">
            <v>34000000</v>
          </cell>
          <cell r="G4590">
            <v>34000000</v>
          </cell>
          <cell r="H4590">
            <v>34000000</v>
          </cell>
          <cell r="I4590" t="str">
            <v/>
          </cell>
          <cell r="J4590" t="str">
            <v/>
          </cell>
          <cell r="K4590" t="str">
            <v/>
          </cell>
          <cell r="L4590" t="str">
            <v/>
          </cell>
        </row>
        <row r="4591">
          <cell r="A4591">
            <v>34000000</v>
          </cell>
          <cell r="C4591">
            <v>34000000</v>
          </cell>
          <cell r="D4591">
            <v>34000000</v>
          </cell>
          <cell r="E4591">
            <v>34000000</v>
          </cell>
          <cell r="F4591">
            <v>34000000</v>
          </cell>
          <cell r="G4591">
            <v>34000000</v>
          </cell>
          <cell r="H4591">
            <v>34000000</v>
          </cell>
          <cell r="I4591" t="str">
            <v/>
          </cell>
          <cell r="J4591" t="str">
            <v/>
          </cell>
          <cell r="K4591" t="str">
            <v/>
          </cell>
          <cell r="L4591" t="str">
            <v/>
          </cell>
        </row>
        <row r="4592">
          <cell r="A4592">
            <v>34000000</v>
          </cell>
          <cell r="C4592">
            <v>34000000</v>
          </cell>
          <cell r="D4592">
            <v>34000000</v>
          </cell>
          <cell r="E4592">
            <v>34000000</v>
          </cell>
          <cell r="F4592">
            <v>34000000</v>
          </cell>
          <cell r="G4592">
            <v>34000000</v>
          </cell>
          <cell r="H4592">
            <v>34000000</v>
          </cell>
          <cell r="I4592" t="str">
            <v/>
          </cell>
          <cell r="J4592" t="str">
            <v/>
          </cell>
          <cell r="K4592" t="str">
            <v/>
          </cell>
          <cell r="L4592" t="str">
            <v/>
          </cell>
        </row>
        <row r="4593">
          <cell r="A4593">
            <v>34000000</v>
          </cell>
          <cell r="C4593">
            <v>34000000</v>
          </cell>
          <cell r="D4593">
            <v>34000000</v>
          </cell>
          <cell r="E4593">
            <v>34000000</v>
          </cell>
          <cell r="F4593">
            <v>34000000</v>
          </cell>
          <cell r="G4593">
            <v>34000000</v>
          </cell>
          <cell r="H4593">
            <v>34000000</v>
          </cell>
          <cell r="I4593" t="str">
            <v/>
          </cell>
          <cell r="J4593" t="str">
            <v/>
          </cell>
          <cell r="K4593" t="str">
            <v/>
          </cell>
          <cell r="L4593" t="str">
            <v/>
          </cell>
        </row>
        <row r="4594">
          <cell r="A4594">
            <v>34000000</v>
          </cell>
          <cell r="C4594">
            <v>34000000</v>
          </cell>
          <cell r="D4594">
            <v>34000000</v>
          </cell>
          <cell r="E4594">
            <v>34000000</v>
          </cell>
          <cell r="F4594">
            <v>34000000</v>
          </cell>
          <cell r="G4594">
            <v>34000000</v>
          </cell>
          <cell r="H4594">
            <v>34000000</v>
          </cell>
          <cell r="I4594" t="str">
            <v/>
          </cell>
          <cell r="J4594" t="str">
            <v/>
          </cell>
          <cell r="K4594" t="str">
            <v/>
          </cell>
          <cell r="L4594" t="str">
            <v/>
          </cell>
        </row>
        <row r="4595">
          <cell r="A4595">
            <v>34000000</v>
          </cell>
          <cell r="C4595">
            <v>34000000</v>
          </cell>
          <cell r="D4595">
            <v>34000000</v>
          </cell>
          <cell r="E4595">
            <v>34000000</v>
          </cell>
          <cell r="F4595">
            <v>34000000</v>
          </cell>
          <cell r="G4595">
            <v>34000000</v>
          </cell>
          <cell r="H4595">
            <v>34000000</v>
          </cell>
          <cell r="I4595" t="str">
            <v/>
          </cell>
          <cell r="J4595" t="str">
            <v/>
          </cell>
          <cell r="K4595" t="str">
            <v/>
          </cell>
          <cell r="L4595" t="str">
            <v/>
          </cell>
        </row>
        <row r="4596">
          <cell r="A4596">
            <v>34000000</v>
          </cell>
          <cell r="C4596">
            <v>34000000</v>
          </cell>
          <cell r="D4596">
            <v>34000000</v>
          </cell>
          <cell r="E4596">
            <v>34000000</v>
          </cell>
          <cell r="F4596">
            <v>34000000</v>
          </cell>
          <cell r="G4596">
            <v>34000000</v>
          </cell>
          <cell r="H4596">
            <v>34000000</v>
          </cell>
          <cell r="I4596" t="str">
            <v/>
          </cell>
          <cell r="J4596" t="str">
            <v/>
          </cell>
          <cell r="K4596" t="str">
            <v/>
          </cell>
          <cell r="L4596" t="str">
            <v/>
          </cell>
        </row>
        <row r="4597">
          <cell r="A4597">
            <v>34000000</v>
          </cell>
          <cell r="C4597">
            <v>34000000</v>
          </cell>
          <cell r="D4597">
            <v>34000000</v>
          </cell>
          <cell r="E4597">
            <v>34000000</v>
          </cell>
          <cell r="F4597">
            <v>34000000</v>
          </cell>
          <cell r="G4597">
            <v>34000000</v>
          </cell>
          <cell r="H4597">
            <v>34000000</v>
          </cell>
          <cell r="I4597" t="str">
            <v/>
          </cell>
          <cell r="J4597" t="str">
            <v/>
          </cell>
          <cell r="K4597" t="str">
            <v/>
          </cell>
          <cell r="L4597" t="str">
            <v/>
          </cell>
        </row>
        <row r="4598">
          <cell r="A4598">
            <v>34000000</v>
          </cell>
          <cell r="C4598">
            <v>34000000</v>
          </cell>
          <cell r="D4598">
            <v>34000000</v>
          </cell>
          <cell r="E4598">
            <v>34000000</v>
          </cell>
          <cell r="F4598">
            <v>34000000</v>
          </cell>
          <cell r="G4598">
            <v>34000000</v>
          </cell>
          <cell r="H4598">
            <v>34000000</v>
          </cell>
          <cell r="I4598" t="str">
            <v/>
          </cell>
          <cell r="J4598" t="str">
            <v/>
          </cell>
          <cell r="K4598" t="str">
            <v/>
          </cell>
          <cell r="L4598" t="str">
            <v/>
          </cell>
        </row>
        <row r="4599">
          <cell r="A4599">
            <v>34000000</v>
          </cell>
          <cell r="C4599">
            <v>34000000</v>
          </cell>
          <cell r="D4599">
            <v>34000000</v>
          </cell>
          <cell r="E4599">
            <v>34000000</v>
          </cell>
          <cell r="F4599">
            <v>34000000</v>
          </cell>
          <cell r="G4599">
            <v>34000000</v>
          </cell>
          <cell r="H4599">
            <v>34000000</v>
          </cell>
          <cell r="I4599" t="str">
            <v/>
          </cell>
          <cell r="J4599" t="str">
            <v/>
          </cell>
          <cell r="K4599" t="str">
            <v/>
          </cell>
          <cell r="L4599" t="str">
            <v/>
          </cell>
        </row>
        <row r="4600">
          <cell r="A4600">
            <v>34000000</v>
          </cell>
          <cell r="C4600">
            <v>34000000</v>
          </cell>
          <cell r="D4600">
            <v>34000000</v>
          </cell>
          <cell r="E4600">
            <v>34000000</v>
          </cell>
          <cell r="F4600">
            <v>34000000</v>
          </cell>
          <cell r="G4600">
            <v>34000000</v>
          </cell>
          <cell r="H4600">
            <v>34000000</v>
          </cell>
          <cell r="I4600" t="str">
            <v/>
          </cell>
          <cell r="J4600" t="str">
            <v/>
          </cell>
          <cell r="K4600" t="str">
            <v/>
          </cell>
          <cell r="L4600" t="str">
            <v/>
          </cell>
        </row>
        <row r="4601">
          <cell r="A4601">
            <v>34000000</v>
          </cell>
          <cell r="C4601">
            <v>34000000</v>
          </cell>
          <cell r="D4601">
            <v>34000000</v>
          </cell>
          <cell r="E4601">
            <v>34000000</v>
          </cell>
          <cell r="F4601">
            <v>34000000</v>
          </cell>
          <cell r="G4601">
            <v>34000000</v>
          </cell>
          <cell r="H4601">
            <v>34000000</v>
          </cell>
          <cell r="I4601" t="str">
            <v/>
          </cell>
          <cell r="J4601" t="str">
            <v/>
          </cell>
          <cell r="K4601" t="str">
            <v/>
          </cell>
          <cell r="L4601" t="str">
            <v/>
          </cell>
        </row>
        <row r="4602">
          <cell r="A4602">
            <v>34000000</v>
          </cell>
          <cell r="C4602">
            <v>34000000</v>
          </cell>
          <cell r="D4602">
            <v>34000000</v>
          </cell>
          <cell r="E4602">
            <v>34000000</v>
          </cell>
          <cell r="F4602">
            <v>34000000</v>
          </cell>
          <cell r="G4602">
            <v>34000000</v>
          </cell>
          <cell r="H4602">
            <v>34000000</v>
          </cell>
          <cell r="I4602" t="str">
            <v/>
          </cell>
          <cell r="J4602" t="str">
            <v/>
          </cell>
          <cell r="K4602" t="str">
            <v/>
          </cell>
          <cell r="L4602" t="str">
            <v/>
          </cell>
        </row>
        <row r="4603">
          <cell r="A4603">
            <v>34000000</v>
          </cell>
          <cell r="C4603">
            <v>34000000</v>
          </cell>
          <cell r="D4603">
            <v>34000000</v>
          </cell>
          <cell r="E4603">
            <v>34000000</v>
          </cell>
          <cell r="F4603">
            <v>34000000</v>
          </cell>
          <cell r="G4603">
            <v>34000000</v>
          </cell>
          <cell r="H4603">
            <v>34000000</v>
          </cell>
          <cell r="I4603" t="str">
            <v/>
          </cell>
          <cell r="J4603" t="str">
            <v/>
          </cell>
          <cell r="K4603" t="str">
            <v/>
          </cell>
          <cell r="L4603" t="str">
            <v/>
          </cell>
        </row>
        <row r="4604">
          <cell r="A4604">
            <v>34000000</v>
          </cell>
          <cell r="C4604">
            <v>34000000</v>
          </cell>
          <cell r="D4604">
            <v>34000000</v>
          </cell>
          <cell r="E4604">
            <v>34000000</v>
          </cell>
          <cell r="F4604">
            <v>34000000</v>
          </cell>
          <cell r="G4604">
            <v>34000000</v>
          </cell>
          <cell r="H4604">
            <v>34000000</v>
          </cell>
          <cell r="I4604" t="str">
            <v/>
          </cell>
          <cell r="J4604" t="str">
            <v/>
          </cell>
          <cell r="K4604" t="str">
            <v/>
          </cell>
          <cell r="L4604" t="str">
            <v/>
          </cell>
        </row>
        <row r="4605">
          <cell r="A4605">
            <v>34000000</v>
          </cell>
          <cell r="C4605">
            <v>34000000</v>
          </cell>
          <cell r="D4605">
            <v>34000000</v>
          </cell>
          <cell r="E4605">
            <v>34000000</v>
          </cell>
          <cell r="F4605">
            <v>34000000</v>
          </cell>
          <cell r="G4605">
            <v>34000000</v>
          </cell>
          <cell r="H4605">
            <v>34000000</v>
          </cell>
          <cell r="I4605" t="str">
            <v/>
          </cell>
          <cell r="J4605" t="str">
            <v/>
          </cell>
          <cell r="K4605" t="str">
            <v/>
          </cell>
          <cell r="L4605" t="str">
            <v/>
          </cell>
        </row>
        <row r="4606">
          <cell r="A4606">
            <v>34000000</v>
          </cell>
          <cell r="C4606">
            <v>34000000</v>
          </cell>
          <cell r="D4606">
            <v>34000000</v>
          </cell>
          <cell r="E4606">
            <v>34000000</v>
          </cell>
          <cell r="F4606">
            <v>34000000</v>
          </cell>
          <cell r="G4606">
            <v>34000000</v>
          </cell>
          <cell r="H4606">
            <v>34000000</v>
          </cell>
          <cell r="I4606" t="str">
            <v/>
          </cell>
          <cell r="J4606" t="str">
            <v/>
          </cell>
          <cell r="K4606" t="str">
            <v/>
          </cell>
          <cell r="L4606" t="str">
            <v/>
          </cell>
        </row>
        <row r="4607">
          <cell r="A4607">
            <v>34000000</v>
          </cell>
          <cell r="C4607">
            <v>34000000</v>
          </cell>
          <cell r="D4607">
            <v>34000000</v>
          </cell>
          <cell r="E4607">
            <v>34000000</v>
          </cell>
          <cell r="F4607">
            <v>34000000</v>
          </cell>
          <cell r="G4607">
            <v>34000000</v>
          </cell>
          <cell r="H4607">
            <v>34000000</v>
          </cell>
          <cell r="I4607" t="str">
            <v/>
          </cell>
          <cell r="J4607" t="str">
            <v/>
          </cell>
          <cell r="K4607" t="str">
            <v/>
          </cell>
          <cell r="L4607" t="str">
            <v/>
          </cell>
        </row>
        <row r="4608">
          <cell r="A4608">
            <v>34000000</v>
          </cell>
          <cell r="C4608">
            <v>34000000</v>
          </cell>
          <cell r="D4608">
            <v>34000000</v>
          </cell>
          <cell r="E4608">
            <v>34000000</v>
          </cell>
          <cell r="F4608">
            <v>34000000</v>
          </cell>
          <cell r="G4608">
            <v>34000000</v>
          </cell>
          <cell r="H4608">
            <v>34000000</v>
          </cell>
          <cell r="I4608" t="str">
            <v/>
          </cell>
          <cell r="J4608" t="str">
            <v/>
          </cell>
          <cell r="K4608" t="str">
            <v/>
          </cell>
          <cell r="L4608" t="str">
            <v/>
          </cell>
        </row>
        <row r="4609">
          <cell r="A4609">
            <v>34000000</v>
          </cell>
          <cell r="C4609">
            <v>34000000</v>
          </cell>
          <cell r="D4609">
            <v>34000000</v>
          </cell>
          <cell r="E4609">
            <v>34000000</v>
          </cell>
          <cell r="F4609">
            <v>34000000</v>
          </cell>
          <cell r="G4609">
            <v>34000000</v>
          </cell>
          <cell r="H4609">
            <v>34000000</v>
          </cell>
          <cell r="I4609" t="str">
            <v/>
          </cell>
          <cell r="J4609" t="str">
            <v/>
          </cell>
          <cell r="K4609" t="str">
            <v/>
          </cell>
          <cell r="L4609" t="str">
            <v/>
          </cell>
        </row>
        <row r="4610">
          <cell r="A4610">
            <v>34000000</v>
          </cell>
          <cell r="C4610">
            <v>34000000</v>
          </cell>
          <cell r="D4610">
            <v>34000000</v>
          </cell>
          <cell r="E4610">
            <v>34000000</v>
          </cell>
          <cell r="F4610">
            <v>34000000</v>
          </cell>
          <cell r="G4610">
            <v>34000000</v>
          </cell>
          <cell r="H4610">
            <v>34000000</v>
          </cell>
          <cell r="I4610" t="str">
            <v/>
          </cell>
          <cell r="J4610" t="str">
            <v/>
          </cell>
          <cell r="K4610" t="str">
            <v/>
          </cell>
          <cell r="L4610" t="str">
            <v/>
          </cell>
        </row>
        <row r="4611">
          <cell r="A4611">
            <v>34000000</v>
          </cell>
          <cell r="C4611">
            <v>34000000</v>
          </cell>
          <cell r="D4611">
            <v>34000000</v>
          </cell>
          <cell r="E4611">
            <v>34000000</v>
          </cell>
          <cell r="F4611">
            <v>34000000</v>
          </cell>
          <cell r="G4611">
            <v>34000000</v>
          </cell>
          <cell r="H4611">
            <v>34000000</v>
          </cell>
          <cell r="I4611" t="str">
            <v/>
          </cell>
          <cell r="J4611" t="str">
            <v/>
          </cell>
          <cell r="K4611" t="str">
            <v/>
          </cell>
          <cell r="L4611" t="str">
            <v/>
          </cell>
        </row>
        <row r="4612">
          <cell r="A4612">
            <v>34000000</v>
          </cell>
          <cell r="C4612">
            <v>34000000</v>
          </cell>
          <cell r="D4612">
            <v>34000000</v>
          </cell>
          <cell r="E4612">
            <v>34000000</v>
          </cell>
          <cell r="F4612">
            <v>34000000</v>
          </cell>
          <cell r="G4612">
            <v>34000000</v>
          </cell>
          <cell r="H4612">
            <v>34000000</v>
          </cell>
          <cell r="I4612" t="str">
            <v/>
          </cell>
          <cell r="J4612" t="str">
            <v/>
          </cell>
          <cell r="K4612" t="str">
            <v/>
          </cell>
          <cell r="L4612" t="str">
            <v/>
          </cell>
        </row>
        <row r="4613">
          <cell r="A4613">
            <v>34000000</v>
          </cell>
          <cell r="C4613">
            <v>34000000</v>
          </cell>
          <cell r="D4613">
            <v>34000000</v>
          </cell>
          <cell r="E4613">
            <v>34000000</v>
          </cell>
          <cell r="F4613">
            <v>34000000</v>
          </cell>
          <cell r="G4613">
            <v>34000000</v>
          </cell>
          <cell r="H4613">
            <v>34000000</v>
          </cell>
          <cell r="I4613" t="str">
            <v/>
          </cell>
          <cell r="J4613" t="str">
            <v/>
          </cell>
          <cell r="K4613" t="str">
            <v/>
          </cell>
          <cell r="L4613" t="str">
            <v/>
          </cell>
        </row>
        <row r="4614">
          <cell r="A4614">
            <v>34000000</v>
          </cell>
          <cell r="C4614">
            <v>34000000</v>
          </cell>
          <cell r="D4614">
            <v>34000000</v>
          </cell>
          <cell r="E4614">
            <v>34000000</v>
          </cell>
          <cell r="F4614">
            <v>34000000</v>
          </cell>
          <cell r="G4614">
            <v>34000000</v>
          </cell>
          <cell r="H4614">
            <v>34000000</v>
          </cell>
          <cell r="I4614" t="str">
            <v/>
          </cell>
          <cell r="J4614" t="str">
            <v/>
          </cell>
          <cell r="K4614" t="str">
            <v/>
          </cell>
          <cell r="L4614" t="str">
            <v/>
          </cell>
        </row>
        <row r="4615">
          <cell r="A4615">
            <v>34000000</v>
          </cell>
          <cell r="C4615">
            <v>34000000</v>
          </cell>
          <cell r="D4615">
            <v>34000000</v>
          </cell>
          <cell r="E4615">
            <v>34000000</v>
          </cell>
          <cell r="F4615">
            <v>34000000</v>
          </cell>
          <cell r="G4615">
            <v>34000000</v>
          </cell>
          <cell r="H4615">
            <v>34000000</v>
          </cell>
          <cell r="I4615" t="str">
            <v/>
          </cell>
          <cell r="J4615" t="str">
            <v/>
          </cell>
          <cell r="K4615" t="str">
            <v/>
          </cell>
          <cell r="L4615" t="str">
            <v/>
          </cell>
        </row>
        <row r="4616">
          <cell r="A4616">
            <v>34000000</v>
          </cell>
          <cell r="C4616">
            <v>34000000</v>
          </cell>
          <cell r="D4616">
            <v>34000000</v>
          </cell>
          <cell r="E4616">
            <v>34000000</v>
          </cell>
          <cell r="F4616">
            <v>34000000</v>
          </cell>
          <cell r="G4616">
            <v>34000000</v>
          </cell>
          <cell r="H4616">
            <v>34000000</v>
          </cell>
          <cell r="I4616" t="str">
            <v/>
          </cell>
          <cell r="J4616" t="str">
            <v/>
          </cell>
          <cell r="K4616" t="str">
            <v/>
          </cell>
          <cell r="L4616" t="str">
            <v/>
          </cell>
        </row>
        <row r="4617">
          <cell r="A4617">
            <v>34000000</v>
          </cell>
          <cell r="C4617">
            <v>34000000</v>
          </cell>
          <cell r="D4617">
            <v>34000000</v>
          </cell>
          <cell r="E4617">
            <v>34000000</v>
          </cell>
          <cell r="F4617">
            <v>34000000</v>
          </cell>
          <cell r="G4617">
            <v>34000000</v>
          </cell>
          <cell r="H4617">
            <v>34000000</v>
          </cell>
          <cell r="I4617" t="str">
            <v/>
          </cell>
          <cell r="J4617" t="str">
            <v/>
          </cell>
          <cell r="K4617" t="str">
            <v/>
          </cell>
          <cell r="L4617" t="str">
            <v/>
          </cell>
        </row>
        <row r="4618">
          <cell r="A4618">
            <v>34000000</v>
          </cell>
          <cell r="C4618">
            <v>34000000</v>
          </cell>
          <cell r="D4618">
            <v>34000000</v>
          </cell>
          <cell r="E4618">
            <v>34000000</v>
          </cell>
          <cell r="F4618">
            <v>34000000</v>
          </cell>
          <cell r="G4618">
            <v>34000000</v>
          </cell>
          <cell r="H4618">
            <v>34000000</v>
          </cell>
          <cell r="I4618" t="str">
            <v/>
          </cell>
          <cell r="J4618" t="str">
            <v/>
          </cell>
          <cell r="K4618" t="str">
            <v/>
          </cell>
          <cell r="L4618" t="str">
            <v/>
          </cell>
        </row>
        <row r="4619">
          <cell r="A4619">
            <v>34000000</v>
          </cell>
          <cell r="C4619">
            <v>34000000</v>
          </cell>
          <cell r="D4619">
            <v>34000000</v>
          </cell>
          <cell r="E4619">
            <v>34000000</v>
          </cell>
          <cell r="F4619">
            <v>34000000</v>
          </cell>
          <cell r="G4619">
            <v>34000000</v>
          </cell>
          <cell r="H4619">
            <v>34000000</v>
          </cell>
          <cell r="I4619" t="str">
            <v/>
          </cell>
          <cell r="J4619" t="str">
            <v/>
          </cell>
          <cell r="K4619" t="str">
            <v/>
          </cell>
          <cell r="L4619" t="str">
            <v/>
          </cell>
        </row>
        <row r="4620">
          <cell r="A4620">
            <v>34000000</v>
          </cell>
          <cell r="C4620">
            <v>34000000</v>
          </cell>
          <cell r="D4620">
            <v>34000000</v>
          </cell>
          <cell r="E4620">
            <v>34000000</v>
          </cell>
          <cell r="F4620">
            <v>34000000</v>
          </cell>
          <cell r="G4620">
            <v>34000000</v>
          </cell>
          <cell r="H4620">
            <v>34000000</v>
          </cell>
          <cell r="I4620" t="str">
            <v/>
          </cell>
          <cell r="J4620" t="str">
            <v/>
          </cell>
          <cell r="K4620" t="str">
            <v/>
          </cell>
          <cell r="L4620" t="str">
            <v/>
          </cell>
        </row>
        <row r="4621">
          <cell r="A4621">
            <v>34000000</v>
          </cell>
          <cell r="C4621">
            <v>34000000</v>
          </cell>
          <cell r="D4621">
            <v>34000000</v>
          </cell>
          <cell r="E4621">
            <v>34000000</v>
          </cell>
          <cell r="F4621">
            <v>34000000</v>
          </cell>
          <cell r="G4621">
            <v>34000000</v>
          </cell>
          <cell r="H4621">
            <v>34000000</v>
          </cell>
          <cell r="I4621" t="str">
            <v/>
          </cell>
          <cell r="J4621" t="str">
            <v/>
          </cell>
          <cell r="K4621" t="str">
            <v/>
          </cell>
          <cell r="L4621" t="str">
            <v/>
          </cell>
        </row>
        <row r="4622">
          <cell r="A4622">
            <v>34000000</v>
          </cell>
          <cell r="C4622">
            <v>34000000</v>
          </cell>
          <cell r="D4622">
            <v>34000000</v>
          </cell>
          <cell r="E4622">
            <v>34000000</v>
          </cell>
          <cell r="F4622">
            <v>34000000</v>
          </cell>
          <cell r="G4622">
            <v>34000000</v>
          </cell>
          <cell r="H4622">
            <v>34000000</v>
          </cell>
          <cell r="I4622" t="str">
            <v/>
          </cell>
          <cell r="J4622" t="str">
            <v/>
          </cell>
          <cell r="K4622" t="str">
            <v/>
          </cell>
          <cell r="L4622" t="str">
            <v/>
          </cell>
        </row>
        <row r="4623">
          <cell r="A4623">
            <v>34000000</v>
          </cell>
          <cell r="C4623">
            <v>34000000</v>
          </cell>
          <cell r="D4623">
            <v>34000000</v>
          </cell>
          <cell r="E4623">
            <v>34000000</v>
          </cell>
          <cell r="F4623">
            <v>34000000</v>
          </cell>
          <cell r="G4623">
            <v>34000000</v>
          </cell>
          <cell r="H4623">
            <v>34000000</v>
          </cell>
          <cell r="I4623" t="str">
            <v/>
          </cell>
          <cell r="J4623" t="str">
            <v/>
          </cell>
          <cell r="K4623" t="str">
            <v/>
          </cell>
          <cell r="L4623" t="str">
            <v/>
          </cell>
        </row>
        <row r="4624">
          <cell r="A4624">
            <v>34000000</v>
          </cell>
          <cell r="C4624">
            <v>34000000</v>
          </cell>
          <cell r="D4624">
            <v>34000000</v>
          </cell>
          <cell r="E4624">
            <v>34000000</v>
          </cell>
          <cell r="F4624">
            <v>34000000</v>
          </cell>
          <cell r="G4624">
            <v>34000000</v>
          </cell>
          <cell r="H4624">
            <v>34000000</v>
          </cell>
          <cell r="I4624" t="str">
            <v/>
          </cell>
          <cell r="J4624" t="str">
            <v/>
          </cell>
          <cell r="K4624" t="str">
            <v/>
          </cell>
          <cell r="L4624" t="str">
            <v/>
          </cell>
        </row>
        <row r="4625">
          <cell r="A4625">
            <v>34000000</v>
          </cell>
          <cell r="C4625">
            <v>34000000</v>
          </cell>
          <cell r="D4625">
            <v>34000000</v>
          </cell>
          <cell r="E4625">
            <v>34000000</v>
          </cell>
          <cell r="F4625">
            <v>34000000</v>
          </cell>
          <cell r="G4625">
            <v>34000000</v>
          </cell>
          <cell r="H4625">
            <v>34000000</v>
          </cell>
          <cell r="I4625" t="str">
            <v/>
          </cell>
          <cell r="J4625" t="str">
            <v/>
          </cell>
          <cell r="K4625" t="str">
            <v/>
          </cell>
          <cell r="L4625" t="str">
            <v/>
          </cell>
        </row>
        <row r="4626">
          <cell r="A4626">
            <v>34000000</v>
          </cell>
          <cell r="C4626">
            <v>34000000</v>
          </cell>
          <cell r="D4626">
            <v>34000000</v>
          </cell>
          <cell r="E4626">
            <v>34000000</v>
          </cell>
          <cell r="F4626">
            <v>34000000</v>
          </cell>
          <cell r="G4626">
            <v>34000000</v>
          </cell>
          <cell r="H4626">
            <v>34000000</v>
          </cell>
          <cell r="I4626" t="str">
            <v/>
          </cell>
          <cell r="J4626" t="str">
            <v/>
          </cell>
          <cell r="K4626" t="str">
            <v/>
          </cell>
          <cell r="L4626" t="str">
            <v/>
          </cell>
        </row>
        <row r="4627">
          <cell r="A4627">
            <v>34000000</v>
          </cell>
          <cell r="C4627">
            <v>34000000</v>
          </cell>
          <cell r="D4627">
            <v>34000000</v>
          </cell>
          <cell r="E4627">
            <v>34000000</v>
          </cell>
          <cell r="F4627">
            <v>34000000</v>
          </cell>
          <cell r="G4627">
            <v>34000000</v>
          </cell>
          <cell r="H4627">
            <v>34000000</v>
          </cell>
          <cell r="I4627" t="str">
            <v/>
          </cell>
          <cell r="J4627" t="str">
            <v/>
          </cell>
          <cell r="K4627" t="str">
            <v/>
          </cell>
          <cell r="L4627" t="str">
            <v/>
          </cell>
        </row>
        <row r="4628">
          <cell r="A4628">
            <v>34000000</v>
          </cell>
          <cell r="C4628">
            <v>34000000</v>
          </cell>
          <cell r="D4628">
            <v>34000000</v>
          </cell>
          <cell r="E4628">
            <v>34000000</v>
          </cell>
          <cell r="F4628">
            <v>34000000</v>
          </cell>
          <cell r="G4628">
            <v>34000000</v>
          </cell>
          <cell r="H4628">
            <v>34000000</v>
          </cell>
          <cell r="I4628" t="str">
            <v/>
          </cell>
          <cell r="J4628" t="str">
            <v/>
          </cell>
          <cell r="K4628" t="str">
            <v/>
          </cell>
          <cell r="L4628" t="str">
            <v/>
          </cell>
        </row>
        <row r="4629">
          <cell r="A4629">
            <v>34000000</v>
          </cell>
          <cell r="C4629">
            <v>34000000</v>
          </cell>
          <cell r="D4629">
            <v>34000000</v>
          </cell>
          <cell r="E4629">
            <v>34000000</v>
          </cell>
          <cell r="F4629">
            <v>34000000</v>
          </cell>
          <cell r="G4629">
            <v>34000000</v>
          </cell>
          <cell r="H4629">
            <v>34000000</v>
          </cell>
          <cell r="I4629" t="str">
            <v/>
          </cell>
          <cell r="J4629" t="str">
            <v/>
          </cell>
          <cell r="K4629" t="str">
            <v/>
          </cell>
          <cell r="L4629" t="str">
            <v/>
          </cell>
        </row>
        <row r="4630">
          <cell r="A4630">
            <v>34000000</v>
          </cell>
          <cell r="C4630">
            <v>34000000</v>
          </cell>
          <cell r="D4630">
            <v>34000000</v>
          </cell>
          <cell r="E4630">
            <v>34000000</v>
          </cell>
          <cell r="F4630">
            <v>34000000</v>
          </cell>
          <cell r="G4630">
            <v>34000000</v>
          </cell>
          <cell r="H4630">
            <v>34000000</v>
          </cell>
          <cell r="I4630" t="str">
            <v/>
          </cell>
          <cell r="J4630" t="str">
            <v/>
          </cell>
          <cell r="K4630" t="str">
            <v/>
          </cell>
          <cell r="L4630" t="str">
            <v/>
          </cell>
        </row>
        <row r="4631">
          <cell r="A4631">
            <v>34000000</v>
          </cell>
          <cell r="C4631">
            <v>34000000</v>
          </cell>
          <cell r="D4631">
            <v>34000000</v>
          </cell>
          <cell r="E4631">
            <v>34000000</v>
          </cell>
          <cell r="F4631">
            <v>34000000</v>
          </cell>
          <cell r="G4631">
            <v>34000000</v>
          </cell>
          <cell r="H4631">
            <v>34000000</v>
          </cell>
          <cell r="I4631" t="str">
            <v/>
          </cell>
          <cell r="J4631" t="str">
            <v/>
          </cell>
          <cell r="K4631" t="str">
            <v/>
          </cell>
          <cell r="L4631" t="str">
            <v/>
          </cell>
        </row>
        <row r="4632">
          <cell r="A4632">
            <v>34000000</v>
          </cell>
          <cell r="C4632">
            <v>34000000</v>
          </cell>
          <cell r="D4632">
            <v>34000000</v>
          </cell>
          <cell r="E4632">
            <v>34000000</v>
          </cell>
          <cell r="F4632">
            <v>34000000</v>
          </cell>
          <cell r="G4632">
            <v>34000000</v>
          </cell>
          <cell r="H4632">
            <v>34000000</v>
          </cell>
          <cell r="I4632" t="str">
            <v/>
          </cell>
          <cell r="J4632" t="str">
            <v/>
          </cell>
          <cell r="K4632" t="str">
            <v/>
          </cell>
          <cell r="L4632" t="str">
            <v/>
          </cell>
        </row>
        <row r="4633">
          <cell r="A4633">
            <v>34000000</v>
          </cell>
          <cell r="C4633">
            <v>34000000</v>
          </cell>
          <cell r="D4633">
            <v>34000000</v>
          </cell>
          <cell r="E4633">
            <v>34000000</v>
          </cell>
          <cell r="F4633">
            <v>34000000</v>
          </cell>
          <cell r="G4633">
            <v>34000000</v>
          </cell>
          <cell r="H4633">
            <v>34000000</v>
          </cell>
          <cell r="I4633" t="str">
            <v/>
          </cell>
          <cell r="J4633" t="str">
            <v/>
          </cell>
          <cell r="K4633" t="str">
            <v/>
          </cell>
          <cell r="L4633" t="str">
            <v/>
          </cell>
        </row>
        <row r="4634">
          <cell r="A4634">
            <v>34000000</v>
          </cell>
          <cell r="C4634">
            <v>34000000</v>
          </cell>
          <cell r="D4634">
            <v>34000000</v>
          </cell>
          <cell r="E4634">
            <v>34000000</v>
          </cell>
          <cell r="F4634">
            <v>34000000</v>
          </cell>
          <cell r="G4634">
            <v>34000000</v>
          </cell>
          <cell r="H4634">
            <v>34000000</v>
          </cell>
          <cell r="I4634" t="str">
            <v/>
          </cell>
          <cell r="J4634" t="str">
            <v/>
          </cell>
          <cell r="K4634" t="str">
            <v/>
          </cell>
          <cell r="L4634" t="str">
            <v/>
          </cell>
        </row>
        <row r="4635">
          <cell r="A4635">
            <v>34000000</v>
          </cell>
          <cell r="C4635">
            <v>34000000</v>
          </cell>
          <cell r="D4635">
            <v>34000000</v>
          </cell>
          <cell r="E4635">
            <v>34000000</v>
          </cell>
          <cell r="F4635">
            <v>34000000</v>
          </cell>
          <cell r="G4635">
            <v>34000000</v>
          </cell>
          <cell r="H4635">
            <v>34000000</v>
          </cell>
          <cell r="I4635" t="str">
            <v/>
          </cell>
          <cell r="J4635" t="str">
            <v/>
          </cell>
          <cell r="K4635" t="str">
            <v/>
          </cell>
          <cell r="L4635" t="str">
            <v/>
          </cell>
        </row>
        <row r="4636">
          <cell r="A4636">
            <v>34000000</v>
          </cell>
          <cell r="C4636">
            <v>34000000</v>
          </cell>
          <cell r="D4636">
            <v>34000000</v>
          </cell>
          <cell r="E4636">
            <v>34000000</v>
          </cell>
          <cell r="F4636">
            <v>34000000</v>
          </cell>
          <cell r="G4636">
            <v>34000000</v>
          </cell>
          <cell r="H4636">
            <v>34000000</v>
          </cell>
          <cell r="I4636" t="str">
            <v/>
          </cell>
          <cell r="J4636" t="str">
            <v/>
          </cell>
          <cell r="K4636" t="str">
            <v/>
          </cell>
          <cell r="L4636" t="str">
            <v/>
          </cell>
        </row>
        <row r="4637">
          <cell r="A4637">
            <v>34000000</v>
          </cell>
          <cell r="C4637">
            <v>34000000</v>
          </cell>
          <cell r="D4637">
            <v>34000000</v>
          </cell>
          <cell r="E4637">
            <v>34000000</v>
          </cell>
          <cell r="F4637">
            <v>34000000</v>
          </cell>
          <cell r="G4637">
            <v>34000000</v>
          </cell>
          <cell r="H4637">
            <v>34000000</v>
          </cell>
          <cell r="I4637" t="str">
            <v/>
          </cell>
          <cell r="J4637" t="str">
            <v/>
          </cell>
          <cell r="K4637" t="str">
            <v/>
          </cell>
          <cell r="L4637" t="str">
            <v/>
          </cell>
        </row>
        <row r="4638">
          <cell r="A4638">
            <v>34000000</v>
          </cell>
          <cell r="C4638">
            <v>34000000</v>
          </cell>
          <cell r="D4638">
            <v>34000000</v>
          </cell>
          <cell r="E4638">
            <v>34000000</v>
          </cell>
          <cell r="F4638">
            <v>34000000</v>
          </cell>
          <cell r="G4638">
            <v>34000000</v>
          </cell>
          <cell r="H4638">
            <v>34000000</v>
          </cell>
          <cell r="I4638" t="str">
            <v/>
          </cell>
          <cell r="J4638" t="str">
            <v/>
          </cell>
          <cell r="K4638" t="str">
            <v/>
          </cell>
          <cell r="L4638" t="str">
            <v/>
          </cell>
        </row>
        <row r="4639">
          <cell r="A4639">
            <v>34000000</v>
          </cell>
          <cell r="C4639">
            <v>34000000</v>
          </cell>
          <cell r="D4639">
            <v>34000000</v>
          </cell>
          <cell r="E4639">
            <v>34000000</v>
          </cell>
          <cell r="F4639">
            <v>34000000</v>
          </cell>
          <cell r="G4639">
            <v>34000000</v>
          </cell>
          <cell r="H4639">
            <v>34000000</v>
          </cell>
          <cell r="I4639" t="str">
            <v/>
          </cell>
          <cell r="J4639" t="str">
            <v/>
          </cell>
          <cell r="K4639" t="str">
            <v/>
          </cell>
          <cell r="L4639" t="str">
            <v/>
          </cell>
        </row>
        <row r="4640">
          <cell r="A4640">
            <v>34000000</v>
          </cell>
          <cell r="C4640">
            <v>34000000</v>
          </cell>
          <cell r="D4640">
            <v>34000000</v>
          </cell>
          <cell r="E4640">
            <v>34000000</v>
          </cell>
          <cell r="F4640">
            <v>34000000</v>
          </cell>
          <cell r="G4640">
            <v>34000000</v>
          </cell>
          <cell r="H4640">
            <v>34000000</v>
          </cell>
          <cell r="I4640" t="str">
            <v/>
          </cell>
          <cell r="J4640" t="str">
            <v/>
          </cell>
          <cell r="K4640" t="str">
            <v/>
          </cell>
          <cell r="L4640" t="str">
            <v/>
          </cell>
        </row>
        <row r="4641">
          <cell r="A4641">
            <v>34000000</v>
          </cell>
          <cell r="C4641">
            <v>34000000</v>
          </cell>
          <cell r="D4641">
            <v>34000000</v>
          </cell>
          <cell r="E4641">
            <v>34000000</v>
          </cell>
          <cell r="F4641">
            <v>34000000</v>
          </cell>
          <cell r="G4641">
            <v>34000000</v>
          </cell>
          <cell r="H4641">
            <v>34000000</v>
          </cell>
          <cell r="I4641" t="str">
            <v/>
          </cell>
          <cell r="J4641" t="str">
            <v/>
          </cell>
          <cell r="K4641" t="str">
            <v/>
          </cell>
          <cell r="L4641" t="str">
            <v/>
          </cell>
        </row>
        <row r="4642">
          <cell r="A4642">
            <v>34000000</v>
          </cell>
          <cell r="C4642">
            <v>34000000</v>
          </cell>
          <cell r="D4642">
            <v>34000000</v>
          </cell>
          <cell r="E4642">
            <v>34000000</v>
          </cell>
          <cell r="F4642">
            <v>34000000</v>
          </cell>
          <cell r="G4642">
            <v>34000000</v>
          </cell>
          <cell r="H4642">
            <v>34000000</v>
          </cell>
          <cell r="I4642" t="str">
            <v/>
          </cell>
          <cell r="J4642" t="str">
            <v/>
          </cell>
          <cell r="K4642" t="str">
            <v/>
          </cell>
          <cell r="L4642" t="str">
            <v/>
          </cell>
        </row>
        <row r="4643">
          <cell r="A4643">
            <v>34000000</v>
          </cell>
          <cell r="C4643">
            <v>34000000</v>
          </cell>
          <cell r="D4643">
            <v>34000000</v>
          </cell>
          <cell r="E4643">
            <v>34000000</v>
          </cell>
          <cell r="F4643">
            <v>34000000</v>
          </cell>
          <cell r="G4643">
            <v>34000000</v>
          </cell>
          <cell r="H4643">
            <v>34000000</v>
          </cell>
          <cell r="I4643" t="str">
            <v/>
          </cell>
          <cell r="J4643" t="str">
            <v/>
          </cell>
          <cell r="K4643" t="str">
            <v/>
          </cell>
          <cell r="L4643" t="str">
            <v/>
          </cell>
        </row>
        <row r="4644">
          <cell r="A4644">
            <v>34000000</v>
          </cell>
          <cell r="C4644">
            <v>34000000</v>
          </cell>
          <cell r="D4644">
            <v>34000000</v>
          </cell>
          <cell r="E4644">
            <v>34000000</v>
          </cell>
          <cell r="F4644">
            <v>34000000</v>
          </cell>
          <cell r="G4644">
            <v>34000000</v>
          </cell>
          <cell r="H4644">
            <v>34000000</v>
          </cell>
          <cell r="I4644" t="str">
            <v/>
          </cell>
          <cell r="J4644" t="str">
            <v/>
          </cell>
          <cell r="K4644" t="str">
            <v/>
          </cell>
          <cell r="L4644" t="str">
            <v/>
          </cell>
        </row>
        <row r="4645">
          <cell r="A4645">
            <v>34000000</v>
          </cell>
          <cell r="C4645">
            <v>34000000</v>
          </cell>
          <cell r="D4645">
            <v>34000000</v>
          </cell>
          <cell r="E4645">
            <v>34000000</v>
          </cell>
          <cell r="F4645">
            <v>34000000</v>
          </cell>
          <cell r="G4645">
            <v>34000000</v>
          </cell>
          <cell r="H4645">
            <v>34000000</v>
          </cell>
          <cell r="I4645" t="str">
            <v/>
          </cell>
          <cell r="J4645" t="str">
            <v/>
          </cell>
          <cell r="K4645" t="str">
            <v/>
          </cell>
          <cell r="L4645" t="str">
            <v/>
          </cell>
        </row>
        <row r="4646">
          <cell r="A4646">
            <v>34000000</v>
          </cell>
          <cell r="C4646">
            <v>34000000</v>
          </cell>
          <cell r="D4646">
            <v>34000000</v>
          </cell>
          <cell r="E4646">
            <v>34000000</v>
          </cell>
          <cell r="F4646">
            <v>34000000</v>
          </cell>
          <cell r="G4646">
            <v>34000000</v>
          </cell>
          <cell r="H4646">
            <v>34000000</v>
          </cell>
          <cell r="I4646" t="str">
            <v/>
          </cell>
          <cell r="J4646" t="str">
            <v/>
          </cell>
          <cell r="K4646" t="str">
            <v/>
          </cell>
          <cell r="L4646" t="str">
            <v/>
          </cell>
        </row>
        <row r="4647">
          <cell r="A4647">
            <v>34000000</v>
          </cell>
          <cell r="C4647">
            <v>34000000</v>
          </cell>
          <cell r="D4647">
            <v>34000000</v>
          </cell>
          <cell r="E4647">
            <v>34000000</v>
          </cell>
          <cell r="F4647">
            <v>34000000</v>
          </cell>
          <cell r="G4647">
            <v>34000000</v>
          </cell>
          <cell r="H4647">
            <v>34000000</v>
          </cell>
          <cell r="I4647" t="str">
            <v/>
          </cell>
          <cell r="J4647" t="str">
            <v/>
          </cell>
          <cell r="K4647" t="str">
            <v/>
          </cell>
          <cell r="L4647" t="str">
            <v/>
          </cell>
        </row>
        <row r="4648">
          <cell r="A4648">
            <v>34000000</v>
          </cell>
          <cell r="C4648">
            <v>34000000</v>
          </cell>
          <cell r="D4648">
            <v>34000000</v>
          </cell>
          <cell r="E4648">
            <v>34000000</v>
          </cell>
          <cell r="F4648">
            <v>34000000</v>
          </cell>
          <cell r="G4648">
            <v>34000000</v>
          </cell>
          <cell r="H4648">
            <v>34000000</v>
          </cell>
          <cell r="I4648" t="str">
            <v/>
          </cell>
          <cell r="J4648" t="str">
            <v/>
          </cell>
          <cell r="K4648" t="str">
            <v/>
          </cell>
          <cell r="L4648" t="str">
            <v/>
          </cell>
        </row>
        <row r="4649">
          <cell r="A4649">
            <v>34000000</v>
          </cell>
          <cell r="C4649">
            <v>34000000</v>
          </cell>
          <cell r="D4649">
            <v>34000000</v>
          </cell>
          <cell r="E4649">
            <v>34000000</v>
          </cell>
          <cell r="F4649">
            <v>34000000</v>
          </cell>
          <cell r="G4649">
            <v>34000000</v>
          </cell>
          <cell r="H4649">
            <v>34000000</v>
          </cell>
          <cell r="I4649" t="str">
            <v/>
          </cell>
          <cell r="J4649" t="str">
            <v/>
          </cell>
          <cell r="K4649" t="str">
            <v/>
          </cell>
          <cell r="L4649" t="str">
            <v/>
          </cell>
        </row>
        <row r="4650">
          <cell r="A4650">
            <v>34000000</v>
          </cell>
          <cell r="C4650">
            <v>34000000</v>
          </cell>
          <cell r="D4650">
            <v>34000000</v>
          </cell>
          <cell r="E4650">
            <v>34000000</v>
          </cell>
          <cell r="F4650">
            <v>34000000</v>
          </cell>
          <cell r="G4650">
            <v>34000000</v>
          </cell>
          <cell r="H4650">
            <v>34000000</v>
          </cell>
          <cell r="I4650" t="str">
            <v/>
          </cell>
          <cell r="J4650" t="str">
            <v/>
          </cell>
          <cell r="K4650" t="str">
            <v/>
          </cell>
          <cell r="L4650" t="str">
            <v/>
          </cell>
        </row>
        <row r="4651">
          <cell r="A4651">
            <v>34000000</v>
          </cell>
          <cell r="C4651">
            <v>34000000</v>
          </cell>
          <cell r="D4651">
            <v>34000000</v>
          </cell>
          <cell r="E4651">
            <v>34000000</v>
          </cell>
          <cell r="F4651">
            <v>34000000</v>
          </cell>
          <cell r="G4651">
            <v>34000000</v>
          </cell>
          <cell r="H4651">
            <v>34000000</v>
          </cell>
          <cell r="I4651" t="str">
            <v/>
          </cell>
          <cell r="J4651" t="str">
            <v/>
          </cell>
          <cell r="K4651" t="str">
            <v/>
          </cell>
          <cell r="L4651" t="str">
            <v/>
          </cell>
        </row>
        <row r="4652">
          <cell r="A4652">
            <v>34000000</v>
          </cell>
          <cell r="C4652">
            <v>34000000</v>
          </cell>
          <cell r="D4652">
            <v>34000000</v>
          </cell>
          <cell r="E4652">
            <v>34000000</v>
          </cell>
          <cell r="F4652">
            <v>34000000</v>
          </cell>
          <cell r="G4652">
            <v>34000000</v>
          </cell>
          <cell r="H4652">
            <v>34000000</v>
          </cell>
          <cell r="I4652" t="str">
            <v/>
          </cell>
          <cell r="J4652" t="str">
            <v/>
          </cell>
          <cell r="K4652" t="str">
            <v/>
          </cell>
          <cell r="L4652" t="str">
            <v/>
          </cell>
        </row>
        <row r="4653">
          <cell r="A4653">
            <v>34000000</v>
          </cell>
          <cell r="C4653">
            <v>34000000</v>
          </cell>
          <cell r="D4653">
            <v>34000000</v>
          </cell>
          <cell r="E4653">
            <v>34000000</v>
          </cell>
          <cell r="F4653">
            <v>34000000</v>
          </cell>
          <cell r="G4653">
            <v>34000000</v>
          </cell>
          <cell r="H4653">
            <v>34000000</v>
          </cell>
          <cell r="I4653" t="str">
            <v/>
          </cell>
          <cell r="J4653" t="str">
            <v/>
          </cell>
          <cell r="K4653" t="str">
            <v/>
          </cell>
          <cell r="L4653" t="str">
            <v/>
          </cell>
        </row>
        <row r="4654">
          <cell r="A4654">
            <v>34000000</v>
          </cell>
          <cell r="C4654">
            <v>34000000</v>
          </cell>
          <cell r="D4654">
            <v>34000000</v>
          </cell>
          <cell r="E4654">
            <v>34000000</v>
          </cell>
          <cell r="F4654">
            <v>34000000</v>
          </cell>
          <cell r="G4654">
            <v>34000000</v>
          </cell>
          <cell r="H4654">
            <v>34000000</v>
          </cell>
          <cell r="I4654" t="str">
            <v/>
          </cell>
          <cell r="J4654" t="str">
            <v/>
          </cell>
          <cell r="K4654" t="str">
            <v/>
          </cell>
          <cell r="L4654" t="str">
            <v/>
          </cell>
        </row>
        <row r="4655">
          <cell r="A4655">
            <v>34000000</v>
          </cell>
          <cell r="C4655">
            <v>34000000</v>
          </cell>
          <cell r="D4655">
            <v>34000000</v>
          </cell>
          <cell r="E4655">
            <v>34000000</v>
          </cell>
          <cell r="F4655">
            <v>34000000</v>
          </cell>
          <cell r="G4655">
            <v>34000000</v>
          </cell>
          <cell r="H4655">
            <v>34000000</v>
          </cell>
          <cell r="I4655" t="str">
            <v/>
          </cell>
          <cell r="J4655" t="str">
            <v/>
          </cell>
          <cell r="K4655" t="str">
            <v/>
          </cell>
          <cell r="L4655" t="str">
            <v/>
          </cell>
        </row>
        <row r="4656">
          <cell r="A4656">
            <v>34000000</v>
          </cell>
          <cell r="C4656">
            <v>34000000</v>
          </cell>
          <cell r="D4656">
            <v>34000000</v>
          </cell>
          <cell r="E4656">
            <v>34000000</v>
          </cell>
          <cell r="F4656">
            <v>34000000</v>
          </cell>
          <cell r="G4656">
            <v>34000000</v>
          </cell>
          <cell r="H4656">
            <v>34000000</v>
          </cell>
          <cell r="I4656" t="str">
            <v/>
          </cell>
          <cell r="J4656" t="str">
            <v/>
          </cell>
          <cell r="K4656" t="str">
            <v/>
          </cell>
          <cell r="L4656" t="str">
            <v/>
          </cell>
        </row>
        <row r="4657">
          <cell r="A4657">
            <v>34000000</v>
          </cell>
          <cell r="C4657">
            <v>34000000</v>
          </cell>
          <cell r="D4657">
            <v>34000000</v>
          </cell>
          <cell r="E4657">
            <v>34000000</v>
          </cell>
          <cell r="F4657">
            <v>34000000</v>
          </cell>
          <cell r="G4657">
            <v>34000000</v>
          </cell>
          <cell r="H4657">
            <v>34000000</v>
          </cell>
          <cell r="I4657" t="str">
            <v/>
          </cell>
          <cell r="J4657" t="str">
            <v/>
          </cell>
          <cell r="K4657" t="str">
            <v/>
          </cell>
          <cell r="L4657" t="str">
            <v/>
          </cell>
        </row>
        <row r="4658">
          <cell r="A4658">
            <v>34000000</v>
          </cell>
          <cell r="C4658">
            <v>34000000</v>
          </cell>
          <cell r="D4658">
            <v>34000000</v>
          </cell>
          <cell r="E4658">
            <v>34000000</v>
          </cell>
          <cell r="F4658">
            <v>34000000</v>
          </cell>
          <cell r="G4658">
            <v>34000000</v>
          </cell>
          <cell r="H4658">
            <v>34000000</v>
          </cell>
          <cell r="I4658" t="str">
            <v/>
          </cell>
          <cell r="J4658" t="str">
            <v/>
          </cell>
          <cell r="K4658" t="str">
            <v/>
          </cell>
          <cell r="L4658" t="str">
            <v/>
          </cell>
        </row>
        <row r="4659">
          <cell r="A4659">
            <v>34000000</v>
          </cell>
          <cell r="C4659">
            <v>34000000</v>
          </cell>
          <cell r="D4659">
            <v>34000000</v>
          </cell>
          <cell r="E4659">
            <v>34000000</v>
          </cell>
          <cell r="F4659">
            <v>34000000</v>
          </cell>
          <cell r="G4659">
            <v>34000000</v>
          </cell>
          <cell r="H4659">
            <v>34000000</v>
          </cell>
          <cell r="I4659" t="str">
            <v/>
          </cell>
          <cell r="J4659" t="str">
            <v/>
          </cell>
          <cell r="K4659" t="str">
            <v/>
          </cell>
          <cell r="L4659" t="str">
            <v/>
          </cell>
        </row>
        <row r="4660">
          <cell r="A4660">
            <v>34000000</v>
          </cell>
          <cell r="C4660">
            <v>34000000</v>
          </cell>
          <cell r="D4660">
            <v>34000000</v>
          </cell>
          <cell r="E4660">
            <v>34000000</v>
          </cell>
          <cell r="F4660">
            <v>34000000</v>
          </cell>
          <cell r="G4660">
            <v>34000000</v>
          </cell>
          <cell r="H4660">
            <v>34000000</v>
          </cell>
          <cell r="I4660" t="str">
            <v/>
          </cell>
          <cell r="J4660" t="str">
            <v/>
          </cell>
          <cell r="K4660" t="str">
            <v/>
          </cell>
          <cell r="L4660" t="str">
            <v/>
          </cell>
        </row>
        <row r="4661">
          <cell r="A4661">
            <v>34000000</v>
          </cell>
          <cell r="C4661">
            <v>34000000</v>
          </cell>
          <cell r="D4661">
            <v>34000000</v>
          </cell>
          <cell r="E4661">
            <v>34000000</v>
          </cell>
          <cell r="F4661">
            <v>34000000</v>
          </cell>
          <cell r="G4661">
            <v>34000000</v>
          </cell>
          <cell r="H4661">
            <v>34000000</v>
          </cell>
          <cell r="I4661" t="str">
            <v/>
          </cell>
          <cell r="J4661" t="str">
            <v/>
          </cell>
          <cell r="K4661" t="str">
            <v/>
          </cell>
          <cell r="L4661" t="str">
            <v/>
          </cell>
        </row>
        <row r="4662">
          <cell r="A4662">
            <v>34000000</v>
          </cell>
          <cell r="C4662">
            <v>34000000</v>
          </cell>
          <cell r="D4662">
            <v>34000000</v>
          </cell>
          <cell r="E4662">
            <v>34000000</v>
          </cell>
          <cell r="F4662">
            <v>34000000</v>
          </cell>
          <cell r="G4662">
            <v>34000000</v>
          </cell>
          <cell r="H4662">
            <v>34000000</v>
          </cell>
          <cell r="I4662" t="str">
            <v/>
          </cell>
          <cell r="J4662" t="str">
            <v/>
          </cell>
          <cell r="K4662" t="str">
            <v/>
          </cell>
          <cell r="L4662" t="str">
            <v/>
          </cell>
        </row>
        <row r="4663">
          <cell r="A4663">
            <v>34000000</v>
          </cell>
          <cell r="C4663">
            <v>34000000</v>
          </cell>
          <cell r="D4663">
            <v>34000000</v>
          </cell>
          <cell r="E4663">
            <v>34000000</v>
          </cell>
          <cell r="F4663">
            <v>34000000</v>
          </cell>
          <cell r="G4663">
            <v>34000000</v>
          </cell>
          <cell r="H4663">
            <v>34000000</v>
          </cell>
          <cell r="I4663" t="str">
            <v/>
          </cell>
          <cell r="J4663" t="str">
            <v/>
          </cell>
          <cell r="K4663" t="str">
            <v/>
          </cell>
          <cell r="L4663" t="str">
            <v/>
          </cell>
        </row>
        <row r="4664">
          <cell r="A4664">
            <v>34000000</v>
          </cell>
          <cell r="C4664">
            <v>34000000</v>
          </cell>
          <cell r="D4664">
            <v>34000000</v>
          </cell>
          <cell r="E4664">
            <v>34000000</v>
          </cell>
          <cell r="F4664">
            <v>34000000</v>
          </cell>
          <cell r="G4664">
            <v>34000000</v>
          </cell>
          <cell r="H4664">
            <v>34000000</v>
          </cell>
          <cell r="I4664" t="str">
            <v/>
          </cell>
          <cell r="J4664" t="str">
            <v/>
          </cell>
          <cell r="K4664" t="str">
            <v/>
          </cell>
          <cell r="L4664" t="str">
            <v/>
          </cell>
        </row>
        <row r="4665">
          <cell r="A4665">
            <v>34000000</v>
          </cell>
          <cell r="C4665">
            <v>34000000</v>
          </cell>
          <cell r="D4665">
            <v>34000000</v>
          </cell>
          <cell r="E4665">
            <v>34000000</v>
          </cell>
          <cell r="F4665">
            <v>34000000</v>
          </cell>
          <cell r="G4665">
            <v>34000000</v>
          </cell>
          <cell r="H4665">
            <v>34000000</v>
          </cell>
          <cell r="I4665" t="str">
            <v/>
          </cell>
          <cell r="J4665" t="str">
            <v/>
          </cell>
          <cell r="K4665" t="str">
            <v/>
          </cell>
          <cell r="L4665" t="str">
            <v/>
          </cell>
        </row>
        <row r="4666">
          <cell r="A4666">
            <v>34000000</v>
          </cell>
          <cell r="C4666">
            <v>34000000</v>
          </cell>
          <cell r="D4666">
            <v>34000000</v>
          </cell>
          <cell r="E4666">
            <v>34000000</v>
          </cell>
          <cell r="F4666">
            <v>34000000</v>
          </cell>
          <cell r="G4666">
            <v>34000000</v>
          </cell>
          <cell r="H4666">
            <v>34000000</v>
          </cell>
          <cell r="I4666" t="str">
            <v/>
          </cell>
          <cell r="J4666" t="str">
            <v/>
          </cell>
          <cell r="K4666" t="str">
            <v/>
          </cell>
          <cell r="L4666" t="str">
            <v/>
          </cell>
        </row>
        <row r="4667">
          <cell r="A4667">
            <v>34000000</v>
          </cell>
          <cell r="C4667">
            <v>34000000</v>
          </cell>
          <cell r="D4667">
            <v>34000000</v>
          </cell>
          <cell r="E4667">
            <v>34000000</v>
          </cell>
          <cell r="F4667">
            <v>34000000</v>
          </cell>
          <cell r="G4667">
            <v>34000000</v>
          </cell>
          <cell r="H4667">
            <v>34000000</v>
          </cell>
          <cell r="I4667" t="str">
            <v/>
          </cell>
          <cell r="J4667" t="str">
            <v/>
          </cell>
          <cell r="K4667" t="str">
            <v/>
          </cell>
          <cell r="L4667" t="str">
            <v/>
          </cell>
        </row>
        <row r="4668">
          <cell r="A4668">
            <v>34000000</v>
          </cell>
          <cell r="C4668">
            <v>34000000</v>
          </cell>
          <cell r="D4668">
            <v>34000000</v>
          </cell>
          <cell r="E4668">
            <v>34000000</v>
          </cell>
          <cell r="F4668">
            <v>34000000</v>
          </cell>
          <cell r="G4668">
            <v>34000000</v>
          </cell>
          <cell r="H4668">
            <v>34000000</v>
          </cell>
          <cell r="I4668" t="str">
            <v/>
          </cell>
          <cell r="J4668" t="str">
            <v/>
          </cell>
          <cell r="K4668" t="str">
            <v/>
          </cell>
          <cell r="L4668" t="str">
            <v/>
          </cell>
        </row>
        <row r="4669">
          <cell r="A4669">
            <v>34000000</v>
          </cell>
          <cell r="C4669">
            <v>34000000</v>
          </cell>
          <cell r="D4669">
            <v>34000000</v>
          </cell>
          <cell r="E4669">
            <v>34000000</v>
          </cell>
          <cell r="F4669">
            <v>34000000</v>
          </cell>
          <cell r="G4669">
            <v>34000000</v>
          </cell>
          <cell r="H4669">
            <v>34000000</v>
          </cell>
          <cell r="I4669" t="str">
            <v/>
          </cell>
          <cell r="J4669" t="str">
            <v/>
          </cell>
          <cell r="K4669" t="str">
            <v/>
          </cell>
          <cell r="L4669" t="str">
            <v/>
          </cell>
        </row>
        <row r="4670">
          <cell r="A4670">
            <v>34000000</v>
          </cell>
          <cell r="C4670">
            <v>34000000</v>
          </cell>
          <cell r="D4670">
            <v>34000000</v>
          </cell>
          <cell r="E4670">
            <v>34000000</v>
          </cell>
          <cell r="F4670">
            <v>34000000</v>
          </cell>
          <cell r="G4670">
            <v>34000000</v>
          </cell>
          <cell r="H4670">
            <v>34000000</v>
          </cell>
          <cell r="I4670" t="str">
            <v/>
          </cell>
          <cell r="J4670" t="str">
            <v/>
          </cell>
          <cell r="K4670" t="str">
            <v/>
          </cell>
          <cell r="L4670" t="str">
            <v/>
          </cell>
        </row>
        <row r="4671">
          <cell r="A4671">
            <v>34000000</v>
          </cell>
          <cell r="C4671">
            <v>34000000</v>
          </cell>
          <cell r="D4671">
            <v>34000000</v>
          </cell>
          <cell r="E4671">
            <v>34000000</v>
          </cell>
          <cell r="F4671">
            <v>34000000</v>
          </cell>
          <cell r="G4671">
            <v>34000000</v>
          </cell>
          <cell r="H4671">
            <v>34000000</v>
          </cell>
          <cell r="I4671" t="str">
            <v/>
          </cell>
          <cell r="J4671" t="str">
            <v/>
          </cell>
          <cell r="K4671" t="str">
            <v/>
          </cell>
          <cell r="L4671" t="str">
            <v/>
          </cell>
        </row>
        <row r="4672">
          <cell r="A4672">
            <v>34000000</v>
          </cell>
          <cell r="C4672">
            <v>34000000</v>
          </cell>
          <cell r="D4672">
            <v>34000000</v>
          </cell>
          <cell r="E4672">
            <v>34000000</v>
          </cell>
          <cell r="F4672">
            <v>34000000</v>
          </cell>
          <cell r="G4672">
            <v>34000000</v>
          </cell>
          <cell r="H4672">
            <v>34000000</v>
          </cell>
          <cell r="I4672" t="str">
            <v/>
          </cell>
          <cell r="J4672" t="str">
            <v/>
          </cell>
          <cell r="K4672" t="str">
            <v/>
          </cell>
          <cell r="L4672" t="str">
            <v/>
          </cell>
        </row>
        <row r="4673">
          <cell r="A4673">
            <v>34000000</v>
          </cell>
          <cell r="C4673">
            <v>34000000</v>
          </cell>
          <cell r="D4673">
            <v>34000000</v>
          </cell>
          <cell r="E4673">
            <v>34000000</v>
          </cell>
          <cell r="F4673">
            <v>34000000</v>
          </cell>
          <cell r="G4673">
            <v>34000000</v>
          </cell>
          <cell r="H4673">
            <v>34000000</v>
          </cell>
          <cell r="I4673" t="str">
            <v/>
          </cell>
          <cell r="J4673" t="str">
            <v/>
          </cell>
          <cell r="K4673" t="str">
            <v/>
          </cell>
          <cell r="L4673" t="str">
            <v/>
          </cell>
        </row>
        <row r="4674">
          <cell r="A4674">
            <v>34000000</v>
          </cell>
          <cell r="C4674">
            <v>34000000</v>
          </cell>
          <cell r="D4674">
            <v>34000000</v>
          </cell>
          <cell r="E4674">
            <v>34000000</v>
          </cell>
          <cell r="F4674">
            <v>34000000</v>
          </cell>
          <cell r="G4674">
            <v>34000000</v>
          </cell>
          <cell r="H4674">
            <v>34000000</v>
          </cell>
          <cell r="I4674" t="str">
            <v/>
          </cell>
          <cell r="J4674" t="str">
            <v/>
          </cell>
          <cell r="K4674" t="str">
            <v/>
          </cell>
          <cell r="L4674" t="str">
            <v/>
          </cell>
        </row>
        <row r="4675">
          <cell r="A4675">
            <v>34000000</v>
          </cell>
          <cell r="C4675">
            <v>34000000</v>
          </cell>
          <cell r="D4675">
            <v>34000000</v>
          </cell>
          <cell r="E4675">
            <v>34000000</v>
          </cell>
          <cell r="F4675">
            <v>34000000</v>
          </cell>
          <cell r="G4675">
            <v>34000000</v>
          </cell>
          <cell r="H4675">
            <v>34000000</v>
          </cell>
          <cell r="I4675" t="str">
            <v/>
          </cell>
          <cell r="J4675" t="str">
            <v/>
          </cell>
          <cell r="K4675" t="str">
            <v/>
          </cell>
          <cell r="L4675" t="str">
            <v/>
          </cell>
        </row>
        <row r="4676">
          <cell r="A4676">
            <v>34000000</v>
          </cell>
          <cell r="C4676">
            <v>34000000</v>
          </cell>
          <cell r="D4676">
            <v>34000000</v>
          </cell>
          <cell r="E4676">
            <v>34000000</v>
          </cell>
          <cell r="F4676">
            <v>34000000</v>
          </cell>
          <cell r="G4676">
            <v>34000000</v>
          </cell>
          <cell r="H4676">
            <v>34000000</v>
          </cell>
          <cell r="I4676" t="str">
            <v/>
          </cell>
          <cell r="J4676" t="str">
            <v/>
          </cell>
          <cell r="K4676" t="str">
            <v/>
          </cell>
          <cell r="L4676" t="str">
            <v/>
          </cell>
        </row>
        <row r="4677">
          <cell r="A4677">
            <v>34000000</v>
          </cell>
          <cell r="C4677">
            <v>34000000</v>
          </cell>
          <cell r="D4677">
            <v>34000000</v>
          </cell>
          <cell r="E4677">
            <v>34000000</v>
          </cell>
          <cell r="F4677">
            <v>34000000</v>
          </cell>
          <cell r="G4677">
            <v>34000000</v>
          </cell>
          <cell r="H4677">
            <v>34000000</v>
          </cell>
          <cell r="I4677" t="str">
            <v/>
          </cell>
          <cell r="J4677" t="str">
            <v/>
          </cell>
          <cell r="K4677" t="str">
            <v/>
          </cell>
          <cell r="L4677" t="str">
            <v/>
          </cell>
        </row>
        <row r="4678">
          <cell r="A4678">
            <v>34000000</v>
          </cell>
          <cell r="C4678">
            <v>34000000</v>
          </cell>
          <cell r="D4678">
            <v>34000000</v>
          </cell>
          <cell r="E4678">
            <v>34000000</v>
          </cell>
          <cell r="F4678">
            <v>34000000</v>
          </cell>
          <cell r="G4678">
            <v>34000000</v>
          </cell>
          <cell r="H4678">
            <v>34000000</v>
          </cell>
          <cell r="I4678" t="str">
            <v/>
          </cell>
          <cell r="J4678" t="str">
            <v/>
          </cell>
          <cell r="K4678" t="str">
            <v/>
          </cell>
          <cell r="L4678" t="str">
            <v/>
          </cell>
        </row>
        <row r="4679">
          <cell r="A4679">
            <v>34000000</v>
          </cell>
          <cell r="C4679">
            <v>34000000</v>
          </cell>
          <cell r="D4679">
            <v>34000000</v>
          </cell>
          <cell r="E4679">
            <v>34000000</v>
          </cell>
          <cell r="F4679">
            <v>34000000</v>
          </cell>
          <cell r="G4679">
            <v>34000000</v>
          </cell>
          <cell r="H4679">
            <v>34000000</v>
          </cell>
          <cell r="I4679" t="str">
            <v/>
          </cell>
          <cell r="J4679" t="str">
            <v/>
          </cell>
          <cell r="K4679" t="str">
            <v/>
          </cell>
          <cell r="L4679" t="str">
            <v/>
          </cell>
        </row>
        <row r="4680">
          <cell r="A4680">
            <v>34000000</v>
          </cell>
          <cell r="C4680">
            <v>34000000</v>
          </cell>
          <cell r="D4680">
            <v>34000000</v>
          </cell>
          <cell r="E4680">
            <v>34000000</v>
          </cell>
          <cell r="F4680">
            <v>34000000</v>
          </cell>
          <cell r="G4680">
            <v>34000000</v>
          </cell>
          <cell r="H4680">
            <v>34000000</v>
          </cell>
          <cell r="I4680" t="str">
            <v/>
          </cell>
          <cell r="J4680" t="str">
            <v/>
          </cell>
          <cell r="K4680" t="str">
            <v/>
          </cell>
          <cell r="L4680" t="str">
            <v/>
          </cell>
        </row>
        <row r="4681">
          <cell r="A4681">
            <v>34000000</v>
          </cell>
          <cell r="C4681">
            <v>34000000</v>
          </cell>
          <cell r="D4681">
            <v>34000000</v>
          </cell>
          <cell r="E4681">
            <v>34000000</v>
          </cell>
          <cell r="F4681">
            <v>34000000</v>
          </cell>
          <cell r="G4681">
            <v>34000000</v>
          </cell>
          <cell r="H4681">
            <v>34000000</v>
          </cell>
          <cell r="I4681" t="str">
            <v/>
          </cell>
          <cell r="J4681" t="str">
            <v/>
          </cell>
          <cell r="K4681" t="str">
            <v/>
          </cell>
          <cell r="L4681" t="str">
            <v/>
          </cell>
        </row>
        <row r="4682">
          <cell r="A4682">
            <v>34000000</v>
          </cell>
          <cell r="C4682">
            <v>34000000</v>
          </cell>
          <cell r="D4682">
            <v>34000000</v>
          </cell>
          <cell r="E4682">
            <v>34000000</v>
          </cell>
          <cell r="F4682">
            <v>34000000</v>
          </cell>
          <cell r="G4682">
            <v>34000000</v>
          </cell>
          <cell r="H4682">
            <v>34000000</v>
          </cell>
          <cell r="I4682" t="str">
            <v/>
          </cell>
          <cell r="J4682" t="str">
            <v/>
          </cell>
          <cell r="K4682" t="str">
            <v/>
          </cell>
          <cell r="L4682" t="str">
            <v/>
          </cell>
        </row>
        <row r="4683">
          <cell r="A4683">
            <v>34000000</v>
          </cell>
          <cell r="C4683">
            <v>34000000</v>
          </cell>
          <cell r="D4683">
            <v>34000000</v>
          </cell>
          <cell r="E4683">
            <v>34000000</v>
          </cell>
          <cell r="F4683">
            <v>34000000</v>
          </cell>
          <cell r="G4683">
            <v>34000000</v>
          </cell>
          <cell r="H4683">
            <v>34000000</v>
          </cell>
          <cell r="I4683" t="str">
            <v/>
          </cell>
          <cell r="J4683" t="str">
            <v/>
          </cell>
          <cell r="K4683" t="str">
            <v/>
          </cell>
          <cell r="L4683" t="str">
            <v/>
          </cell>
        </row>
        <row r="4684">
          <cell r="A4684">
            <v>34000000</v>
          </cell>
          <cell r="C4684">
            <v>34000000</v>
          </cell>
          <cell r="D4684">
            <v>34000000</v>
          </cell>
          <cell r="E4684">
            <v>34000000</v>
          </cell>
          <cell r="F4684">
            <v>34000000</v>
          </cell>
          <cell r="G4684">
            <v>34000000</v>
          </cell>
          <cell r="H4684">
            <v>34000000</v>
          </cell>
          <cell r="I4684" t="str">
            <v/>
          </cell>
          <cell r="J4684" t="str">
            <v/>
          </cell>
          <cell r="K4684" t="str">
            <v/>
          </cell>
          <cell r="L4684" t="str">
            <v/>
          </cell>
        </row>
        <row r="4685">
          <cell r="A4685">
            <v>34000000</v>
          </cell>
          <cell r="C4685">
            <v>34000000</v>
          </cell>
          <cell r="D4685">
            <v>34000000</v>
          </cell>
          <cell r="E4685">
            <v>34000000</v>
          </cell>
          <cell r="F4685">
            <v>34000000</v>
          </cell>
          <cell r="G4685">
            <v>34000000</v>
          </cell>
          <cell r="H4685">
            <v>34000000</v>
          </cell>
          <cell r="I4685" t="str">
            <v/>
          </cell>
          <cell r="J4685" t="str">
            <v/>
          </cell>
          <cell r="K4685" t="str">
            <v/>
          </cell>
          <cell r="L4685" t="str">
            <v/>
          </cell>
        </row>
        <row r="4686">
          <cell r="A4686">
            <v>34000000</v>
          </cell>
          <cell r="C4686">
            <v>34000000</v>
          </cell>
          <cell r="D4686">
            <v>34000000</v>
          </cell>
          <cell r="E4686">
            <v>34000000</v>
          </cell>
          <cell r="F4686">
            <v>34000000</v>
          </cell>
          <cell r="G4686">
            <v>34000000</v>
          </cell>
          <cell r="H4686">
            <v>34000000</v>
          </cell>
          <cell r="I4686" t="str">
            <v/>
          </cell>
          <cell r="J4686" t="str">
            <v/>
          </cell>
          <cell r="K4686" t="str">
            <v/>
          </cell>
          <cell r="L4686" t="str">
            <v/>
          </cell>
        </row>
        <row r="4687">
          <cell r="A4687">
            <v>34000000</v>
          </cell>
          <cell r="C4687">
            <v>34000000</v>
          </cell>
          <cell r="D4687">
            <v>34000000</v>
          </cell>
          <cell r="E4687">
            <v>34000000</v>
          </cell>
          <cell r="F4687">
            <v>34000000</v>
          </cell>
          <cell r="G4687">
            <v>34000000</v>
          </cell>
          <cell r="H4687">
            <v>34000000</v>
          </cell>
          <cell r="I4687" t="str">
            <v/>
          </cell>
          <cell r="J4687" t="str">
            <v/>
          </cell>
          <cell r="K4687" t="str">
            <v/>
          </cell>
          <cell r="L4687" t="str">
            <v/>
          </cell>
        </row>
        <row r="4688">
          <cell r="A4688">
            <v>34000000</v>
          </cell>
          <cell r="C4688">
            <v>34000000</v>
          </cell>
          <cell r="D4688">
            <v>34000000</v>
          </cell>
          <cell r="E4688">
            <v>34000000</v>
          </cell>
          <cell r="F4688">
            <v>34000000</v>
          </cell>
          <cell r="G4688">
            <v>34000000</v>
          </cell>
          <cell r="H4688">
            <v>34000000</v>
          </cell>
          <cell r="I4688" t="str">
            <v/>
          </cell>
          <cell r="J4688" t="str">
            <v/>
          </cell>
          <cell r="K4688" t="str">
            <v/>
          </cell>
          <cell r="L4688" t="str">
            <v/>
          </cell>
        </row>
        <row r="4689">
          <cell r="A4689">
            <v>34000000</v>
          </cell>
          <cell r="C4689">
            <v>34000000</v>
          </cell>
          <cell r="D4689">
            <v>34000000</v>
          </cell>
          <cell r="E4689">
            <v>34000000</v>
          </cell>
          <cell r="F4689">
            <v>34000000</v>
          </cell>
          <cell r="G4689">
            <v>34000000</v>
          </cell>
          <cell r="H4689">
            <v>34000000</v>
          </cell>
          <cell r="I4689" t="str">
            <v/>
          </cell>
          <cell r="J4689" t="str">
            <v/>
          </cell>
          <cell r="K4689" t="str">
            <v/>
          </cell>
          <cell r="L4689" t="str">
            <v/>
          </cell>
        </row>
        <row r="4690">
          <cell r="A4690">
            <v>34000000</v>
          </cell>
          <cell r="C4690">
            <v>34000000</v>
          </cell>
          <cell r="D4690">
            <v>34000000</v>
          </cell>
          <cell r="E4690">
            <v>34000000</v>
          </cell>
          <cell r="F4690">
            <v>34000000</v>
          </cell>
          <cell r="G4690">
            <v>34000000</v>
          </cell>
          <cell r="H4690">
            <v>34000000</v>
          </cell>
          <cell r="I4690" t="str">
            <v/>
          </cell>
          <cell r="J4690" t="str">
            <v/>
          </cell>
          <cell r="K4690" t="str">
            <v/>
          </cell>
          <cell r="L4690" t="str">
            <v/>
          </cell>
        </row>
        <row r="4691">
          <cell r="A4691">
            <v>34000000</v>
          </cell>
          <cell r="C4691">
            <v>34000000</v>
          </cell>
          <cell r="D4691">
            <v>34000000</v>
          </cell>
          <cell r="E4691">
            <v>34000000</v>
          </cell>
          <cell r="F4691">
            <v>34000000</v>
          </cell>
          <cell r="G4691">
            <v>34000000</v>
          </cell>
          <cell r="H4691">
            <v>34000000</v>
          </cell>
          <cell r="I4691" t="str">
            <v/>
          </cell>
          <cell r="J4691" t="str">
            <v/>
          </cell>
          <cell r="K4691" t="str">
            <v/>
          </cell>
          <cell r="L4691" t="str">
            <v/>
          </cell>
        </row>
        <row r="4692">
          <cell r="A4692">
            <v>34000000</v>
          </cell>
          <cell r="C4692">
            <v>34000000</v>
          </cell>
          <cell r="D4692">
            <v>34000000</v>
          </cell>
          <cell r="E4692">
            <v>34000000</v>
          </cell>
          <cell r="F4692">
            <v>34000000</v>
          </cell>
          <cell r="G4692">
            <v>34000000</v>
          </cell>
          <cell r="H4692">
            <v>34000000</v>
          </cell>
          <cell r="I4692" t="str">
            <v/>
          </cell>
          <cell r="J4692" t="str">
            <v/>
          </cell>
          <cell r="K4692" t="str">
            <v/>
          </cell>
          <cell r="L4692" t="str">
            <v/>
          </cell>
        </row>
        <row r="4693">
          <cell r="A4693">
            <v>34000000</v>
          </cell>
          <cell r="C4693">
            <v>34000000</v>
          </cell>
          <cell r="D4693">
            <v>34000000</v>
          </cell>
          <cell r="E4693">
            <v>34000000</v>
          </cell>
          <cell r="F4693">
            <v>34000000</v>
          </cell>
          <cell r="G4693">
            <v>34000000</v>
          </cell>
          <cell r="H4693">
            <v>34000000</v>
          </cell>
          <cell r="I4693" t="str">
            <v/>
          </cell>
          <cell r="J4693" t="str">
            <v/>
          </cell>
          <cell r="K4693" t="str">
            <v/>
          </cell>
          <cell r="L4693" t="str">
            <v/>
          </cell>
        </row>
        <row r="4694">
          <cell r="A4694">
            <v>34000000</v>
          </cell>
          <cell r="C4694">
            <v>34000000</v>
          </cell>
          <cell r="D4694">
            <v>34000000</v>
          </cell>
          <cell r="E4694">
            <v>34000000</v>
          </cell>
          <cell r="F4694">
            <v>34000000</v>
          </cell>
          <cell r="G4694">
            <v>34000000</v>
          </cell>
          <cell r="H4694">
            <v>34000000</v>
          </cell>
          <cell r="I4694" t="str">
            <v/>
          </cell>
          <cell r="J4694" t="str">
            <v/>
          </cell>
          <cell r="K4694" t="str">
            <v/>
          </cell>
          <cell r="L4694" t="str">
            <v/>
          </cell>
        </row>
        <row r="4695">
          <cell r="A4695">
            <v>34000000</v>
          </cell>
          <cell r="C4695">
            <v>34000000</v>
          </cell>
          <cell r="D4695">
            <v>34000000</v>
          </cell>
          <cell r="E4695">
            <v>34000000</v>
          </cell>
          <cell r="F4695">
            <v>34000000</v>
          </cell>
          <cell r="G4695">
            <v>34000000</v>
          </cell>
          <cell r="H4695">
            <v>34000000</v>
          </cell>
          <cell r="I4695" t="str">
            <v/>
          </cell>
          <cell r="J4695" t="str">
            <v/>
          </cell>
          <cell r="K4695" t="str">
            <v/>
          </cell>
          <cell r="L4695" t="str">
            <v/>
          </cell>
        </row>
        <row r="4696">
          <cell r="A4696">
            <v>34000000</v>
          </cell>
          <cell r="C4696">
            <v>34000000</v>
          </cell>
          <cell r="D4696">
            <v>34000000</v>
          </cell>
          <cell r="E4696">
            <v>34000000</v>
          </cell>
          <cell r="F4696">
            <v>34000000</v>
          </cell>
          <cell r="G4696">
            <v>34000000</v>
          </cell>
          <cell r="H4696">
            <v>34000000</v>
          </cell>
          <cell r="I4696" t="str">
            <v/>
          </cell>
          <cell r="J4696" t="str">
            <v/>
          </cell>
          <cell r="K4696" t="str">
            <v/>
          </cell>
          <cell r="L4696" t="str">
            <v/>
          </cell>
        </row>
        <row r="4697">
          <cell r="A4697">
            <v>34000000</v>
          </cell>
          <cell r="C4697">
            <v>34000000</v>
          </cell>
          <cell r="D4697">
            <v>34000000</v>
          </cell>
          <cell r="E4697">
            <v>34000000</v>
          </cell>
          <cell r="F4697">
            <v>34000000</v>
          </cell>
          <cell r="G4697">
            <v>34000000</v>
          </cell>
          <cell r="H4697">
            <v>34000000</v>
          </cell>
          <cell r="I4697" t="str">
            <v/>
          </cell>
          <cell r="J4697" t="str">
            <v/>
          </cell>
          <cell r="K4697" t="str">
            <v/>
          </cell>
          <cell r="L4697" t="str">
            <v/>
          </cell>
        </row>
        <row r="4698">
          <cell r="A4698">
            <v>34000000</v>
          </cell>
          <cell r="C4698">
            <v>34000000</v>
          </cell>
          <cell r="D4698">
            <v>34000000</v>
          </cell>
          <cell r="E4698">
            <v>34000000</v>
          </cell>
          <cell r="F4698">
            <v>34000000</v>
          </cell>
          <cell r="G4698">
            <v>34000000</v>
          </cell>
          <cell r="H4698">
            <v>34000000</v>
          </cell>
          <cell r="I4698" t="str">
            <v/>
          </cell>
          <cell r="J4698" t="str">
            <v/>
          </cell>
          <cell r="K4698" t="str">
            <v/>
          </cell>
          <cell r="L4698" t="str">
            <v/>
          </cell>
        </row>
        <row r="4699">
          <cell r="A4699">
            <v>34000000</v>
          </cell>
          <cell r="C4699">
            <v>34000000</v>
          </cell>
          <cell r="D4699">
            <v>34000000</v>
          </cell>
          <cell r="E4699">
            <v>34000000</v>
          </cell>
          <cell r="F4699">
            <v>34000000</v>
          </cell>
          <cell r="G4699">
            <v>34000000</v>
          </cell>
          <cell r="H4699">
            <v>34000000</v>
          </cell>
          <cell r="I4699" t="str">
            <v/>
          </cell>
          <cell r="J4699" t="str">
            <v/>
          </cell>
          <cell r="K4699" t="str">
            <v/>
          </cell>
          <cell r="L4699" t="str">
            <v/>
          </cell>
        </row>
        <row r="4700">
          <cell r="A4700">
            <v>34000000</v>
          </cell>
          <cell r="C4700">
            <v>34000000</v>
          </cell>
          <cell r="D4700">
            <v>34000000</v>
          </cell>
          <cell r="E4700">
            <v>34000000</v>
          </cell>
          <cell r="F4700">
            <v>34000000</v>
          </cell>
          <cell r="G4700">
            <v>34000000</v>
          </cell>
          <cell r="H4700">
            <v>34000000</v>
          </cell>
          <cell r="I4700" t="str">
            <v/>
          </cell>
          <cell r="J4700" t="str">
            <v/>
          </cell>
          <cell r="K4700" t="str">
            <v/>
          </cell>
          <cell r="L4700" t="str">
            <v/>
          </cell>
        </row>
        <row r="4701">
          <cell r="A4701">
            <v>34000000</v>
          </cell>
          <cell r="C4701">
            <v>34000000</v>
          </cell>
          <cell r="D4701">
            <v>34000000</v>
          </cell>
          <cell r="E4701">
            <v>34000000</v>
          </cell>
          <cell r="F4701">
            <v>34000000</v>
          </cell>
          <cell r="G4701">
            <v>34000000</v>
          </cell>
          <cell r="H4701">
            <v>34000000</v>
          </cell>
          <cell r="I4701" t="str">
            <v/>
          </cell>
          <cell r="J4701" t="str">
            <v/>
          </cell>
          <cell r="K4701" t="str">
            <v/>
          </cell>
          <cell r="L4701" t="str">
            <v/>
          </cell>
        </row>
        <row r="4702">
          <cell r="A4702">
            <v>34000000</v>
          </cell>
          <cell r="C4702">
            <v>34000000</v>
          </cell>
          <cell r="D4702">
            <v>34000000</v>
          </cell>
          <cell r="E4702">
            <v>34000000</v>
          </cell>
          <cell r="F4702">
            <v>34000000</v>
          </cell>
          <cell r="G4702">
            <v>34000000</v>
          </cell>
          <cell r="H4702">
            <v>34000000</v>
          </cell>
          <cell r="I4702" t="str">
            <v/>
          </cell>
          <cell r="J4702" t="str">
            <v/>
          </cell>
          <cell r="K4702" t="str">
            <v/>
          </cell>
          <cell r="L4702" t="str">
            <v/>
          </cell>
        </row>
        <row r="4703">
          <cell r="A4703">
            <v>34000000</v>
          </cell>
          <cell r="C4703">
            <v>34000000</v>
          </cell>
          <cell r="D4703">
            <v>34000000</v>
          </cell>
          <cell r="E4703">
            <v>34000000</v>
          </cell>
          <cell r="F4703">
            <v>34000000</v>
          </cell>
          <cell r="G4703">
            <v>34000000</v>
          </cell>
          <cell r="H4703">
            <v>34000000</v>
          </cell>
          <cell r="I4703" t="str">
            <v/>
          </cell>
          <cell r="J4703" t="str">
            <v/>
          </cell>
          <cell r="K4703" t="str">
            <v/>
          </cell>
          <cell r="L4703" t="str">
            <v/>
          </cell>
        </row>
        <row r="4704">
          <cell r="A4704">
            <v>34000000</v>
          </cell>
          <cell r="C4704">
            <v>34000000</v>
          </cell>
          <cell r="D4704">
            <v>34000000</v>
          </cell>
          <cell r="E4704">
            <v>34000000</v>
          </cell>
          <cell r="F4704">
            <v>34000000</v>
          </cell>
          <cell r="G4704">
            <v>34000000</v>
          </cell>
          <cell r="H4704">
            <v>34000000</v>
          </cell>
          <cell r="I4704" t="str">
            <v/>
          </cell>
          <cell r="J4704" t="str">
            <v/>
          </cell>
          <cell r="K4704" t="str">
            <v/>
          </cell>
          <cell r="L4704" t="str">
            <v/>
          </cell>
        </row>
        <row r="4705">
          <cell r="A4705">
            <v>34000000</v>
          </cell>
          <cell r="C4705">
            <v>34000000</v>
          </cell>
          <cell r="D4705">
            <v>34000000</v>
          </cell>
          <cell r="E4705">
            <v>34000000</v>
          </cell>
          <cell r="F4705">
            <v>34000000</v>
          </cell>
          <cell r="G4705">
            <v>34000000</v>
          </cell>
          <cell r="H4705">
            <v>34000000</v>
          </cell>
          <cell r="I4705" t="str">
            <v/>
          </cell>
          <cell r="J4705" t="str">
            <v/>
          </cell>
          <cell r="K4705" t="str">
            <v/>
          </cell>
          <cell r="L4705" t="str">
            <v/>
          </cell>
        </row>
        <row r="4706">
          <cell r="A4706">
            <v>34000000</v>
          </cell>
          <cell r="C4706">
            <v>34000000</v>
          </cell>
          <cell r="D4706">
            <v>34000000</v>
          </cell>
          <cell r="E4706">
            <v>34000000</v>
          </cell>
          <cell r="F4706">
            <v>34000000</v>
          </cell>
          <cell r="G4706">
            <v>34000000</v>
          </cell>
          <cell r="H4706">
            <v>34000000</v>
          </cell>
          <cell r="I4706" t="str">
            <v/>
          </cell>
          <cell r="J4706" t="str">
            <v/>
          </cell>
          <cell r="K4706" t="str">
            <v/>
          </cell>
          <cell r="L4706" t="str">
            <v/>
          </cell>
        </row>
        <row r="4707">
          <cell r="A4707">
            <v>34000000</v>
          </cell>
          <cell r="C4707">
            <v>34000000</v>
          </cell>
          <cell r="D4707">
            <v>34000000</v>
          </cell>
          <cell r="E4707">
            <v>34000000</v>
          </cell>
          <cell r="F4707">
            <v>34000000</v>
          </cell>
          <cell r="G4707">
            <v>34000000</v>
          </cell>
          <cell r="H4707">
            <v>34000000</v>
          </cell>
          <cell r="I4707" t="str">
            <v/>
          </cell>
          <cell r="J4707" t="str">
            <v/>
          </cell>
          <cell r="K4707" t="str">
            <v/>
          </cell>
          <cell r="L4707" t="str">
            <v/>
          </cell>
        </row>
        <row r="4708">
          <cell r="A4708">
            <v>34000000</v>
          </cell>
          <cell r="C4708">
            <v>34000000</v>
          </cell>
          <cell r="D4708">
            <v>34000000</v>
          </cell>
          <cell r="E4708">
            <v>34000000</v>
          </cell>
          <cell r="F4708">
            <v>34000000</v>
          </cell>
          <cell r="G4708">
            <v>34000000</v>
          </cell>
          <cell r="H4708">
            <v>34000000</v>
          </cell>
          <cell r="I4708" t="str">
            <v/>
          </cell>
          <cell r="J4708" t="str">
            <v/>
          </cell>
          <cell r="K4708" t="str">
            <v/>
          </cell>
          <cell r="L4708" t="str">
            <v/>
          </cell>
        </row>
        <row r="4709">
          <cell r="A4709">
            <v>34000000</v>
          </cell>
          <cell r="C4709">
            <v>34000000</v>
          </cell>
          <cell r="D4709">
            <v>34000000</v>
          </cell>
          <cell r="E4709">
            <v>34000000</v>
          </cell>
          <cell r="F4709">
            <v>34000000</v>
          </cell>
          <cell r="G4709">
            <v>34000000</v>
          </cell>
          <cell r="H4709">
            <v>34000000</v>
          </cell>
          <cell r="I4709" t="str">
            <v/>
          </cell>
          <cell r="J4709" t="str">
            <v/>
          </cell>
          <cell r="K4709" t="str">
            <v/>
          </cell>
          <cell r="L4709" t="str">
            <v/>
          </cell>
        </row>
        <row r="4710">
          <cell r="A4710">
            <v>34000000</v>
          </cell>
          <cell r="C4710">
            <v>34000000</v>
          </cell>
          <cell r="D4710">
            <v>34000000</v>
          </cell>
          <cell r="E4710">
            <v>34000000</v>
          </cell>
          <cell r="F4710">
            <v>34000000</v>
          </cell>
          <cell r="G4710">
            <v>34000000</v>
          </cell>
          <cell r="H4710">
            <v>34000000</v>
          </cell>
          <cell r="I4710" t="str">
            <v/>
          </cell>
          <cell r="J4710" t="str">
            <v/>
          </cell>
          <cell r="K4710" t="str">
            <v/>
          </cell>
          <cell r="L4710" t="str">
            <v/>
          </cell>
        </row>
        <row r="4711">
          <cell r="A4711">
            <v>34000000</v>
          </cell>
          <cell r="C4711">
            <v>34000000</v>
          </cell>
          <cell r="D4711">
            <v>34000000</v>
          </cell>
          <cell r="E4711">
            <v>34000000</v>
          </cell>
          <cell r="F4711">
            <v>34000000</v>
          </cell>
          <cell r="G4711">
            <v>34000000</v>
          </cell>
          <cell r="H4711">
            <v>34000000</v>
          </cell>
          <cell r="I4711" t="str">
            <v/>
          </cell>
          <cell r="J4711" t="str">
            <v/>
          </cell>
          <cell r="K4711" t="str">
            <v/>
          </cell>
          <cell r="L4711" t="str">
            <v/>
          </cell>
        </row>
        <row r="4712">
          <cell r="A4712">
            <v>34000000</v>
          </cell>
          <cell r="C4712">
            <v>34000000</v>
          </cell>
          <cell r="D4712">
            <v>34000000</v>
          </cell>
          <cell r="E4712">
            <v>34000000</v>
          </cell>
          <cell r="F4712">
            <v>34000000</v>
          </cell>
          <cell r="G4712">
            <v>34000000</v>
          </cell>
          <cell r="H4712">
            <v>34000000</v>
          </cell>
          <cell r="I4712" t="str">
            <v/>
          </cell>
          <cell r="J4712" t="str">
            <v/>
          </cell>
          <cell r="K4712" t="str">
            <v/>
          </cell>
          <cell r="L4712" t="str">
            <v/>
          </cell>
        </row>
        <row r="4713">
          <cell r="A4713">
            <v>34000000</v>
          </cell>
          <cell r="C4713">
            <v>34000000</v>
          </cell>
          <cell r="D4713">
            <v>34000000</v>
          </cell>
          <cell r="E4713">
            <v>34000000</v>
          </cell>
          <cell r="F4713">
            <v>34000000</v>
          </cell>
          <cell r="G4713">
            <v>34000000</v>
          </cell>
          <cell r="H4713">
            <v>34000000</v>
          </cell>
          <cell r="I4713" t="str">
            <v/>
          </cell>
          <cell r="J4713" t="str">
            <v/>
          </cell>
          <cell r="K4713" t="str">
            <v/>
          </cell>
          <cell r="L4713" t="str">
            <v/>
          </cell>
        </row>
        <row r="4714">
          <cell r="A4714">
            <v>34000000</v>
          </cell>
          <cell r="C4714">
            <v>34000000</v>
          </cell>
          <cell r="D4714">
            <v>34000000</v>
          </cell>
          <cell r="E4714">
            <v>34000000</v>
          </cell>
          <cell r="F4714">
            <v>34000000</v>
          </cell>
          <cell r="G4714">
            <v>34000000</v>
          </cell>
          <cell r="H4714">
            <v>34000000</v>
          </cell>
          <cell r="I4714" t="str">
            <v/>
          </cell>
          <cell r="J4714" t="str">
            <v/>
          </cell>
          <cell r="K4714" t="str">
            <v/>
          </cell>
          <cell r="L4714" t="str">
            <v/>
          </cell>
        </row>
        <row r="4715">
          <cell r="A4715">
            <v>34000000</v>
          </cell>
          <cell r="C4715">
            <v>34000000</v>
          </cell>
          <cell r="D4715">
            <v>34000000</v>
          </cell>
          <cell r="E4715">
            <v>34000000</v>
          </cell>
          <cell r="F4715">
            <v>34000000</v>
          </cell>
          <cell r="G4715">
            <v>34000000</v>
          </cell>
          <cell r="H4715">
            <v>34000000</v>
          </cell>
          <cell r="I4715" t="str">
            <v/>
          </cell>
          <cell r="J4715" t="str">
            <v/>
          </cell>
          <cell r="K4715" t="str">
            <v/>
          </cell>
          <cell r="L4715" t="str">
            <v/>
          </cell>
        </row>
        <row r="4716">
          <cell r="A4716">
            <v>34000000</v>
          </cell>
          <cell r="C4716">
            <v>34000000</v>
          </cell>
          <cell r="D4716">
            <v>34000000</v>
          </cell>
          <cell r="E4716">
            <v>34000000</v>
          </cell>
          <cell r="F4716">
            <v>34000000</v>
          </cell>
          <cell r="G4716">
            <v>34000000</v>
          </cell>
          <cell r="H4716">
            <v>34000000</v>
          </cell>
          <cell r="I4716" t="str">
            <v/>
          </cell>
          <cell r="J4716" t="str">
            <v/>
          </cell>
          <cell r="K4716" t="str">
            <v/>
          </cell>
          <cell r="L4716" t="str">
            <v/>
          </cell>
        </row>
        <row r="4717">
          <cell r="A4717">
            <v>34000000</v>
          </cell>
          <cell r="C4717">
            <v>34000000</v>
          </cell>
          <cell r="D4717">
            <v>34000000</v>
          </cell>
          <cell r="E4717">
            <v>34000000</v>
          </cell>
          <cell r="F4717">
            <v>34000000</v>
          </cell>
          <cell r="G4717">
            <v>34000000</v>
          </cell>
          <cell r="H4717">
            <v>34000000</v>
          </cell>
          <cell r="I4717" t="str">
            <v/>
          </cell>
          <cell r="J4717" t="str">
            <v/>
          </cell>
          <cell r="K4717" t="str">
            <v/>
          </cell>
          <cell r="L4717" t="str">
            <v/>
          </cell>
        </row>
        <row r="4718">
          <cell r="A4718">
            <v>34000000</v>
          </cell>
          <cell r="C4718">
            <v>34000000</v>
          </cell>
          <cell r="D4718">
            <v>34000000</v>
          </cell>
          <cell r="E4718">
            <v>34000000</v>
          </cell>
          <cell r="F4718">
            <v>34000000</v>
          </cell>
          <cell r="G4718">
            <v>34000000</v>
          </cell>
          <cell r="H4718">
            <v>34000000</v>
          </cell>
          <cell r="I4718" t="str">
            <v/>
          </cell>
          <cell r="J4718" t="str">
            <v/>
          </cell>
          <cell r="K4718" t="str">
            <v/>
          </cell>
          <cell r="L4718" t="str">
            <v/>
          </cell>
        </row>
        <row r="4719">
          <cell r="A4719">
            <v>34000000</v>
          </cell>
          <cell r="C4719">
            <v>34000000</v>
          </cell>
          <cell r="D4719">
            <v>34000000</v>
          </cell>
          <cell r="E4719">
            <v>34000000</v>
          </cell>
          <cell r="F4719">
            <v>34000000</v>
          </cell>
          <cell r="G4719">
            <v>34000000</v>
          </cell>
          <cell r="H4719">
            <v>34000000</v>
          </cell>
          <cell r="I4719" t="str">
            <v/>
          </cell>
          <cell r="J4719" t="str">
            <v/>
          </cell>
          <cell r="K4719" t="str">
            <v/>
          </cell>
          <cell r="L4719" t="str">
            <v/>
          </cell>
        </row>
        <row r="4720">
          <cell r="A4720">
            <v>34000000</v>
          </cell>
          <cell r="C4720">
            <v>34000000</v>
          </cell>
          <cell r="D4720">
            <v>34000000</v>
          </cell>
          <cell r="E4720">
            <v>34000000</v>
          </cell>
          <cell r="F4720">
            <v>34000000</v>
          </cell>
          <cell r="G4720">
            <v>34000000</v>
          </cell>
          <cell r="H4720">
            <v>34000000</v>
          </cell>
          <cell r="I4720" t="str">
            <v/>
          </cell>
          <cell r="J4720" t="str">
            <v/>
          </cell>
          <cell r="K4720" t="str">
            <v/>
          </cell>
          <cell r="L4720" t="str">
            <v/>
          </cell>
        </row>
        <row r="4721">
          <cell r="A4721">
            <v>34000000</v>
          </cell>
          <cell r="C4721">
            <v>34000000</v>
          </cell>
          <cell r="D4721">
            <v>34000000</v>
          </cell>
          <cell r="E4721">
            <v>34000000</v>
          </cell>
          <cell r="F4721">
            <v>34000000</v>
          </cell>
          <cell r="G4721">
            <v>34000000</v>
          </cell>
          <cell r="H4721">
            <v>34000000</v>
          </cell>
          <cell r="I4721" t="str">
            <v/>
          </cell>
          <cell r="J4721" t="str">
            <v/>
          </cell>
          <cell r="K4721" t="str">
            <v/>
          </cell>
          <cell r="L4721" t="str">
            <v/>
          </cell>
        </row>
        <row r="4722">
          <cell r="A4722">
            <v>34000000</v>
          </cell>
          <cell r="C4722">
            <v>34000000</v>
          </cell>
          <cell r="D4722">
            <v>34000000</v>
          </cell>
          <cell r="E4722">
            <v>34000000</v>
          </cell>
          <cell r="F4722">
            <v>34000000</v>
          </cell>
          <cell r="G4722">
            <v>34000000</v>
          </cell>
          <cell r="H4722">
            <v>34000000</v>
          </cell>
          <cell r="I4722" t="str">
            <v/>
          </cell>
          <cell r="J4722" t="str">
            <v/>
          </cell>
          <cell r="K4722" t="str">
            <v/>
          </cell>
          <cell r="L4722" t="str">
            <v/>
          </cell>
        </row>
        <row r="4723">
          <cell r="A4723">
            <v>34000000</v>
          </cell>
          <cell r="C4723">
            <v>34000000</v>
          </cell>
          <cell r="D4723">
            <v>34000000</v>
          </cell>
          <cell r="E4723">
            <v>34000000</v>
          </cell>
          <cell r="F4723">
            <v>34000000</v>
          </cell>
          <cell r="G4723">
            <v>34000000</v>
          </cell>
          <cell r="H4723">
            <v>34000000</v>
          </cell>
          <cell r="I4723" t="str">
            <v/>
          </cell>
          <cell r="J4723" t="str">
            <v/>
          </cell>
          <cell r="K4723" t="str">
            <v/>
          </cell>
          <cell r="L4723" t="str">
            <v/>
          </cell>
        </row>
        <row r="4724">
          <cell r="A4724">
            <v>34000000</v>
          </cell>
          <cell r="C4724">
            <v>34000000</v>
          </cell>
          <cell r="D4724">
            <v>34000000</v>
          </cell>
          <cell r="E4724">
            <v>34000000</v>
          </cell>
          <cell r="F4724">
            <v>34000000</v>
          </cell>
          <cell r="G4724">
            <v>34000000</v>
          </cell>
          <cell r="H4724">
            <v>34000000</v>
          </cell>
          <cell r="I4724" t="str">
            <v/>
          </cell>
          <cell r="J4724" t="str">
            <v/>
          </cell>
          <cell r="K4724" t="str">
            <v/>
          </cell>
          <cell r="L4724" t="str">
            <v/>
          </cell>
        </row>
        <row r="4725">
          <cell r="A4725">
            <v>34000000</v>
          </cell>
          <cell r="C4725">
            <v>34000000</v>
          </cell>
          <cell r="D4725">
            <v>34000000</v>
          </cell>
          <cell r="E4725">
            <v>34000000</v>
          </cell>
          <cell r="F4725">
            <v>34000000</v>
          </cell>
          <cell r="G4725">
            <v>34000000</v>
          </cell>
          <cell r="H4725">
            <v>34000000</v>
          </cell>
          <cell r="I4725" t="str">
            <v/>
          </cell>
          <cell r="J4725" t="str">
            <v/>
          </cell>
          <cell r="K4725" t="str">
            <v/>
          </cell>
          <cell r="L4725" t="str">
            <v/>
          </cell>
        </row>
        <row r="4726">
          <cell r="A4726">
            <v>34000000</v>
          </cell>
          <cell r="C4726">
            <v>34000000</v>
          </cell>
          <cell r="D4726">
            <v>34000000</v>
          </cell>
          <cell r="E4726">
            <v>34000000</v>
          </cell>
          <cell r="F4726">
            <v>34000000</v>
          </cell>
          <cell r="G4726">
            <v>34000000</v>
          </cell>
          <cell r="H4726">
            <v>34000000</v>
          </cell>
          <cell r="I4726" t="str">
            <v/>
          </cell>
          <cell r="J4726" t="str">
            <v/>
          </cell>
          <cell r="K4726" t="str">
            <v/>
          </cell>
          <cell r="L4726" t="str">
            <v/>
          </cell>
        </row>
        <row r="4727">
          <cell r="A4727">
            <v>34000000</v>
          </cell>
          <cell r="C4727">
            <v>34000000</v>
          </cell>
          <cell r="D4727">
            <v>34000000</v>
          </cell>
          <cell r="E4727">
            <v>34000000</v>
          </cell>
          <cell r="F4727">
            <v>34000000</v>
          </cell>
          <cell r="G4727">
            <v>34000000</v>
          </cell>
          <cell r="H4727">
            <v>34000000</v>
          </cell>
          <cell r="I4727" t="str">
            <v/>
          </cell>
          <cell r="J4727" t="str">
            <v/>
          </cell>
          <cell r="K4727" t="str">
            <v/>
          </cell>
          <cell r="L4727" t="str">
            <v/>
          </cell>
        </row>
        <row r="4728">
          <cell r="A4728">
            <v>34000000</v>
          </cell>
          <cell r="C4728">
            <v>34000000</v>
          </cell>
          <cell r="D4728">
            <v>34000000</v>
          </cell>
          <cell r="E4728">
            <v>34000000</v>
          </cell>
          <cell r="F4728">
            <v>34000000</v>
          </cell>
          <cell r="G4728">
            <v>34000000</v>
          </cell>
          <cell r="H4728">
            <v>34000000</v>
          </cell>
          <cell r="I4728" t="str">
            <v/>
          </cell>
          <cell r="J4728" t="str">
            <v/>
          </cell>
          <cell r="K4728" t="str">
            <v/>
          </cell>
          <cell r="L4728" t="str">
            <v/>
          </cell>
        </row>
        <row r="4729">
          <cell r="A4729">
            <v>34000000</v>
          </cell>
          <cell r="C4729">
            <v>34000000</v>
          </cell>
          <cell r="D4729">
            <v>34000000</v>
          </cell>
          <cell r="E4729">
            <v>34000000</v>
          </cell>
          <cell r="F4729">
            <v>34000000</v>
          </cell>
          <cell r="G4729">
            <v>34000000</v>
          </cell>
          <cell r="H4729">
            <v>34000000</v>
          </cell>
          <cell r="I4729" t="str">
            <v/>
          </cell>
          <cell r="J4729" t="str">
            <v/>
          </cell>
          <cell r="K4729" t="str">
            <v/>
          </cell>
          <cell r="L4729" t="str">
            <v/>
          </cell>
        </row>
        <row r="4730">
          <cell r="A4730">
            <v>34000000</v>
          </cell>
          <cell r="C4730">
            <v>34000000</v>
          </cell>
          <cell r="D4730">
            <v>34000000</v>
          </cell>
          <cell r="E4730">
            <v>34000000</v>
          </cell>
          <cell r="F4730">
            <v>34000000</v>
          </cell>
          <cell r="G4730">
            <v>34000000</v>
          </cell>
          <cell r="H4730">
            <v>34000000</v>
          </cell>
          <cell r="I4730" t="str">
            <v/>
          </cell>
          <cell r="J4730" t="str">
            <v/>
          </cell>
          <cell r="K4730" t="str">
            <v/>
          </cell>
          <cell r="L4730" t="str">
            <v/>
          </cell>
        </row>
        <row r="4731">
          <cell r="A4731">
            <v>34000000</v>
          </cell>
          <cell r="C4731">
            <v>34000000</v>
          </cell>
          <cell r="D4731">
            <v>34000000</v>
          </cell>
          <cell r="E4731">
            <v>34000000</v>
          </cell>
          <cell r="F4731">
            <v>34000000</v>
          </cell>
          <cell r="G4731">
            <v>34000000</v>
          </cell>
          <cell r="H4731">
            <v>34000000</v>
          </cell>
          <cell r="I4731" t="str">
            <v/>
          </cell>
          <cell r="J4731" t="str">
            <v/>
          </cell>
          <cell r="K4731" t="str">
            <v/>
          </cell>
          <cell r="L4731" t="str">
            <v/>
          </cell>
        </row>
        <row r="4732">
          <cell r="A4732">
            <v>34000000</v>
          </cell>
          <cell r="C4732">
            <v>34000000</v>
          </cell>
          <cell r="D4732">
            <v>34000000</v>
          </cell>
          <cell r="E4732">
            <v>34000000</v>
          </cell>
          <cell r="F4732">
            <v>34000000</v>
          </cell>
          <cell r="G4732">
            <v>34000000</v>
          </cell>
          <cell r="H4732">
            <v>34000000</v>
          </cell>
          <cell r="I4732" t="str">
            <v/>
          </cell>
          <cell r="J4732" t="str">
            <v/>
          </cell>
          <cell r="K4732" t="str">
            <v/>
          </cell>
          <cell r="L4732" t="str">
            <v/>
          </cell>
        </row>
        <row r="4733">
          <cell r="A4733">
            <v>34000000</v>
          </cell>
          <cell r="C4733">
            <v>34000000</v>
          </cell>
          <cell r="D4733">
            <v>34000000</v>
          </cell>
          <cell r="E4733">
            <v>34000000</v>
          </cell>
          <cell r="F4733">
            <v>34000000</v>
          </cell>
          <cell r="G4733">
            <v>34000000</v>
          </cell>
          <cell r="H4733">
            <v>34000000</v>
          </cell>
          <cell r="I4733" t="str">
            <v/>
          </cell>
          <cell r="J4733" t="str">
            <v/>
          </cell>
          <cell r="K4733" t="str">
            <v/>
          </cell>
          <cell r="L4733" t="str">
            <v/>
          </cell>
        </row>
        <row r="4734">
          <cell r="A4734">
            <v>34000000</v>
          </cell>
          <cell r="C4734">
            <v>34000000</v>
          </cell>
          <cell r="D4734">
            <v>34000000</v>
          </cell>
          <cell r="E4734">
            <v>34000000</v>
          </cell>
          <cell r="F4734">
            <v>34000000</v>
          </cell>
          <cell r="G4734">
            <v>34000000</v>
          </cell>
          <cell r="H4734">
            <v>34000000</v>
          </cell>
          <cell r="I4734" t="str">
            <v/>
          </cell>
          <cell r="J4734" t="str">
            <v/>
          </cell>
          <cell r="K4734" t="str">
            <v/>
          </cell>
          <cell r="L4734" t="str">
            <v/>
          </cell>
        </row>
        <row r="4735">
          <cell r="A4735">
            <v>34000000</v>
          </cell>
          <cell r="C4735">
            <v>34000000</v>
          </cell>
          <cell r="D4735">
            <v>34000000</v>
          </cell>
          <cell r="E4735">
            <v>34000000</v>
          </cell>
          <cell r="F4735">
            <v>34000000</v>
          </cell>
          <cell r="G4735">
            <v>34000000</v>
          </cell>
          <cell r="H4735">
            <v>34000000</v>
          </cell>
          <cell r="I4735" t="str">
            <v/>
          </cell>
          <cell r="J4735" t="str">
            <v/>
          </cell>
          <cell r="K4735" t="str">
            <v/>
          </cell>
          <cell r="L4735" t="str">
            <v/>
          </cell>
        </row>
        <row r="4736">
          <cell r="A4736">
            <v>34000000</v>
          </cell>
          <cell r="C4736">
            <v>34000000</v>
          </cell>
          <cell r="D4736">
            <v>34000000</v>
          </cell>
          <cell r="E4736">
            <v>34000000</v>
          </cell>
          <cell r="F4736">
            <v>34000000</v>
          </cell>
          <cell r="G4736">
            <v>34000000</v>
          </cell>
          <cell r="H4736">
            <v>34000000</v>
          </cell>
          <cell r="I4736" t="str">
            <v/>
          </cell>
          <cell r="J4736" t="str">
            <v/>
          </cell>
          <cell r="K4736" t="str">
            <v/>
          </cell>
          <cell r="L4736" t="str">
            <v/>
          </cell>
        </row>
        <row r="4737">
          <cell r="A4737">
            <v>34000000</v>
          </cell>
          <cell r="C4737">
            <v>34000000</v>
          </cell>
          <cell r="D4737">
            <v>34000000</v>
          </cell>
          <cell r="E4737">
            <v>34000000</v>
          </cell>
          <cell r="F4737">
            <v>34000000</v>
          </cell>
          <cell r="G4737">
            <v>34000000</v>
          </cell>
          <cell r="H4737">
            <v>34000000</v>
          </cell>
          <cell r="I4737" t="str">
            <v/>
          </cell>
          <cell r="J4737" t="str">
            <v/>
          </cell>
          <cell r="K4737" t="str">
            <v/>
          </cell>
          <cell r="L4737" t="str">
            <v/>
          </cell>
        </row>
        <row r="4738">
          <cell r="A4738">
            <v>34000000</v>
          </cell>
          <cell r="C4738">
            <v>34000000</v>
          </cell>
          <cell r="D4738">
            <v>34000000</v>
          </cell>
          <cell r="E4738">
            <v>34000000</v>
          </cell>
          <cell r="F4738">
            <v>34000000</v>
          </cell>
          <cell r="G4738">
            <v>34000000</v>
          </cell>
          <cell r="H4738">
            <v>34000000</v>
          </cell>
          <cell r="I4738" t="str">
            <v/>
          </cell>
          <cell r="J4738" t="str">
            <v/>
          </cell>
          <cell r="K4738" t="str">
            <v/>
          </cell>
          <cell r="L4738" t="str">
            <v/>
          </cell>
        </row>
        <row r="4739">
          <cell r="A4739">
            <v>34000000</v>
          </cell>
          <cell r="C4739">
            <v>34000000</v>
          </cell>
          <cell r="D4739">
            <v>34000000</v>
          </cell>
          <cell r="E4739">
            <v>34000000</v>
          </cell>
          <cell r="F4739">
            <v>34000000</v>
          </cell>
          <cell r="G4739">
            <v>34000000</v>
          </cell>
          <cell r="H4739">
            <v>34000000</v>
          </cell>
          <cell r="I4739" t="str">
            <v/>
          </cell>
          <cell r="J4739" t="str">
            <v/>
          </cell>
          <cell r="K4739" t="str">
            <v/>
          </cell>
          <cell r="L4739" t="str">
            <v/>
          </cell>
        </row>
        <row r="4740">
          <cell r="A4740">
            <v>34000000</v>
          </cell>
          <cell r="C4740">
            <v>34000000</v>
          </cell>
          <cell r="D4740">
            <v>34000000</v>
          </cell>
          <cell r="E4740">
            <v>34000000</v>
          </cell>
          <cell r="F4740">
            <v>34000000</v>
          </cell>
          <cell r="G4740">
            <v>34000000</v>
          </cell>
          <cell r="H4740">
            <v>34000000</v>
          </cell>
          <cell r="I4740" t="str">
            <v/>
          </cell>
          <cell r="J4740" t="str">
            <v/>
          </cell>
          <cell r="K4740" t="str">
            <v/>
          </cell>
          <cell r="L4740" t="str">
            <v/>
          </cell>
        </row>
        <row r="4741">
          <cell r="A4741">
            <v>34000000</v>
          </cell>
          <cell r="C4741">
            <v>34000000</v>
          </cell>
          <cell r="D4741">
            <v>34000000</v>
          </cell>
          <cell r="E4741">
            <v>34000000</v>
          </cell>
          <cell r="F4741">
            <v>34000000</v>
          </cell>
          <cell r="G4741">
            <v>34000000</v>
          </cell>
          <cell r="H4741">
            <v>34000000</v>
          </cell>
          <cell r="I4741" t="str">
            <v/>
          </cell>
          <cell r="J4741" t="str">
            <v/>
          </cell>
          <cell r="K4741" t="str">
            <v/>
          </cell>
          <cell r="L4741" t="str">
            <v/>
          </cell>
        </row>
        <row r="4742">
          <cell r="A4742">
            <v>34000000</v>
          </cell>
          <cell r="C4742">
            <v>34000000</v>
          </cell>
          <cell r="D4742">
            <v>34000000</v>
          </cell>
          <cell r="E4742">
            <v>34000000</v>
          </cell>
          <cell r="F4742">
            <v>34000000</v>
          </cell>
          <cell r="G4742">
            <v>34000000</v>
          </cell>
          <cell r="H4742">
            <v>34000000</v>
          </cell>
          <cell r="I4742" t="str">
            <v/>
          </cell>
          <cell r="J4742" t="str">
            <v/>
          </cell>
          <cell r="K4742" t="str">
            <v/>
          </cell>
          <cell r="L4742" t="str">
            <v/>
          </cell>
        </row>
        <row r="4743">
          <cell r="A4743">
            <v>34000000</v>
          </cell>
          <cell r="C4743">
            <v>34000000</v>
          </cell>
          <cell r="D4743">
            <v>34000000</v>
          </cell>
          <cell r="E4743">
            <v>34000000</v>
          </cell>
          <cell r="F4743">
            <v>34000000</v>
          </cell>
          <cell r="G4743">
            <v>34000000</v>
          </cell>
          <cell r="H4743">
            <v>34000000</v>
          </cell>
          <cell r="I4743" t="str">
            <v/>
          </cell>
          <cell r="J4743" t="str">
            <v/>
          </cell>
          <cell r="K4743" t="str">
            <v/>
          </cell>
          <cell r="L4743" t="str">
            <v/>
          </cell>
        </row>
        <row r="4744">
          <cell r="A4744">
            <v>34000000</v>
          </cell>
          <cell r="C4744">
            <v>34000000</v>
          </cell>
          <cell r="D4744">
            <v>34000000</v>
          </cell>
          <cell r="E4744">
            <v>34000000</v>
          </cell>
          <cell r="F4744">
            <v>34000000</v>
          </cell>
          <cell r="G4744">
            <v>34000000</v>
          </cell>
          <cell r="H4744">
            <v>34000000</v>
          </cell>
          <cell r="I4744" t="str">
            <v/>
          </cell>
          <cell r="J4744" t="str">
            <v/>
          </cell>
          <cell r="K4744" t="str">
            <v/>
          </cell>
          <cell r="L4744" t="str">
            <v/>
          </cell>
        </row>
        <row r="4745">
          <cell r="A4745">
            <v>34000000</v>
          </cell>
          <cell r="C4745">
            <v>34000000</v>
          </cell>
          <cell r="D4745">
            <v>34000000</v>
          </cell>
          <cell r="E4745">
            <v>34000000</v>
          </cell>
          <cell r="F4745">
            <v>34000000</v>
          </cell>
          <cell r="G4745">
            <v>34000000</v>
          </cell>
          <cell r="H4745">
            <v>34000000</v>
          </cell>
          <cell r="I4745" t="str">
            <v/>
          </cell>
          <cell r="J4745" t="str">
            <v/>
          </cell>
          <cell r="K4745" t="str">
            <v/>
          </cell>
          <cell r="L4745" t="str">
            <v/>
          </cell>
        </row>
        <row r="4746">
          <cell r="A4746">
            <v>34000000</v>
          </cell>
          <cell r="C4746">
            <v>34000000</v>
          </cell>
          <cell r="D4746">
            <v>34000000</v>
          </cell>
          <cell r="E4746">
            <v>34000000</v>
          </cell>
          <cell r="F4746">
            <v>34000000</v>
          </cell>
          <cell r="G4746">
            <v>34000000</v>
          </cell>
          <cell r="H4746">
            <v>34000000</v>
          </cell>
          <cell r="I4746" t="str">
            <v/>
          </cell>
          <cell r="J4746" t="str">
            <v/>
          </cell>
          <cell r="K4746" t="str">
            <v/>
          </cell>
          <cell r="L4746" t="str">
            <v/>
          </cell>
        </row>
        <row r="4747">
          <cell r="A4747">
            <v>34000000</v>
          </cell>
          <cell r="C4747">
            <v>34000000</v>
          </cell>
          <cell r="D4747">
            <v>34000000</v>
          </cell>
          <cell r="E4747">
            <v>34000000</v>
          </cell>
          <cell r="F4747">
            <v>34000000</v>
          </cell>
          <cell r="G4747">
            <v>34000000</v>
          </cell>
          <cell r="H4747">
            <v>34000000</v>
          </cell>
          <cell r="I4747" t="str">
            <v/>
          </cell>
          <cell r="J4747" t="str">
            <v/>
          </cell>
          <cell r="K4747" t="str">
            <v/>
          </cell>
          <cell r="L4747" t="str">
            <v/>
          </cell>
        </row>
        <row r="4748">
          <cell r="A4748">
            <v>34000000</v>
          </cell>
          <cell r="C4748">
            <v>34000000</v>
          </cell>
          <cell r="D4748">
            <v>34000000</v>
          </cell>
          <cell r="E4748">
            <v>34000000</v>
          </cell>
          <cell r="F4748">
            <v>34000000</v>
          </cell>
          <cell r="G4748">
            <v>34000000</v>
          </cell>
          <cell r="H4748">
            <v>34000000</v>
          </cell>
          <cell r="I4748" t="str">
            <v/>
          </cell>
          <cell r="J4748" t="str">
            <v/>
          </cell>
          <cell r="K4748" t="str">
            <v/>
          </cell>
          <cell r="L4748" t="str">
            <v/>
          </cell>
        </row>
        <row r="4749">
          <cell r="A4749">
            <v>34000000</v>
          </cell>
          <cell r="C4749">
            <v>34000000</v>
          </cell>
          <cell r="D4749">
            <v>34000000</v>
          </cell>
          <cell r="E4749">
            <v>34000000</v>
          </cell>
          <cell r="F4749">
            <v>34000000</v>
          </cell>
          <cell r="G4749">
            <v>34000000</v>
          </cell>
          <cell r="H4749">
            <v>34000000</v>
          </cell>
          <cell r="I4749" t="str">
            <v/>
          </cell>
          <cell r="J4749" t="str">
            <v/>
          </cell>
          <cell r="K4749" t="str">
            <v/>
          </cell>
          <cell r="L4749" t="str">
            <v/>
          </cell>
        </row>
        <row r="4750">
          <cell r="A4750">
            <v>34000000</v>
          </cell>
          <cell r="C4750">
            <v>34000000</v>
          </cell>
          <cell r="D4750">
            <v>34000000</v>
          </cell>
          <cell r="E4750">
            <v>34000000</v>
          </cell>
          <cell r="F4750">
            <v>34000000</v>
          </cell>
          <cell r="G4750">
            <v>34000000</v>
          </cell>
          <cell r="H4750">
            <v>34000000</v>
          </cell>
          <cell r="I4750" t="str">
            <v/>
          </cell>
          <cell r="J4750" t="str">
            <v/>
          </cell>
          <cell r="K4750" t="str">
            <v/>
          </cell>
          <cell r="L4750" t="str">
            <v/>
          </cell>
        </row>
        <row r="4751">
          <cell r="A4751">
            <v>34000000</v>
          </cell>
          <cell r="C4751">
            <v>34000000</v>
          </cell>
          <cell r="D4751">
            <v>34000000</v>
          </cell>
          <cell r="E4751">
            <v>34000000</v>
          </cell>
          <cell r="F4751">
            <v>34000000</v>
          </cell>
          <cell r="G4751">
            <v>34000000</v>
          </cell>
          <cell r="H4751">
            <v>34000000</v>
          </cell>
          <cell r="I4751" t="str">
            <v/>
          </cell>
          <cell r="J4751" t="str">
            <v/>
          </cell>
          <cell r="K4751" t="str">
            <v/>
          </cell>
          <cell r="L4751" t="str">
            <v/>
          </cell>
        </row>
        <row r="4752">
          <cell r="A4752">
            <v>34000000</v>
          </cell>
          <cell r="C4752">
            <v>34000000</v>
          </cell>
          <cell r="D4752">
            <v>34000000</v>
          </cell>
          <cell r="E4752">
            <v>34000000</v>
          </cell>
          <cell r="F4752">
            <v>34000000</v>
          </cell>
          <cell r="G4752">
            <v>34000000</v>
          </cell>
          <cell r="H4752">
            <v>34000000</v>
          </cell>
          <cell r="I4752" t="str">
            <v/>
          </cell>
          <cell r="J4752" t="str">
            <v/>
          </cell>
          <cell r="K4752" t="str">
            <v/>
          </cell>
          <cell r="L4752" t="str">
            <v/>
          </cell>
        </row>
        <row r="4753">
          <cell r="A4753">
            <v>34000000</v>
          </cell>
          <cell r="C4753">
            <v>34000000</v>
          </cell>
          <cell r="D4753">
            <v>34000000</v>
          </cell>
          <cell r="E4753">
            <v>34000000</v>
          </cell>
          <cell r="F4753">
            <v>34000000</v>
          </cell>
          <cell r="G4753">
            <v>34000000</v>
          </cell>
          <cell r="H4753">
            <v>34000000</v>
          </cell>
          <cell r="I4753" t="str">
            <v/>
          </cell>
          <cell r="J4753" t="str">
            <v/>
          </cell>
          <cell r="K4753" t="str">
            <v/>
          </cell>
          <cell r="L4753" t="str">
            <v/>
          </cell>
        </row>
        <row r="4754">
          <cell r="A4754">
            <v>34000000</v>
          </cell>
          <cell r="C4754">
            <v>34000000</v>
          </cell>
          <cell r="D4754">
            <v>34000000</v>
          </cell>
          <cell r="E4754">
            <v>34000000</v>
          </cell>
          <cell r="F4754">
            <v>34000000</v>
          </cell>
          <cell r="G4754">
            <v>34000000</v>
          </cell>
          <cell r="H4754">
            <v>34000000</v>
          </cell>
          <cell r="I4754" t="str">
            <v/>
          </cell>
          <cell r="J4754" t="str">
            <v/>
          </cell>
          <cell r="K4754" t="str">
            <v/>
          </cell>
          <cell r="L4754" t="str">
            <v/>
          </cell>
        </row>
        <row r="4755">
          <cell r="A4755">
            <v>34000000</v>
          </cell>
          <cell r="C4755">
            <v>34000000</v>
          </cell>
          <cell r="D4755">
            <v>34000000</v>
          </cell>
          <cell r="E4755">
            <v>34000000</v>
          </cell>
          <cell r="F4755">
            <v>34000000</v>
          </cell>
          <cell r="G4755">
            <v>34000000</v>
          </cell>
          <cell r="H4755">
            <v>34000000</v>
          </cell>
          <cell r="I4755" t="str">
            <v/>
          </cell>
          <cell r="J4755" t="str">
            <v/>
          </cell>
          <cell r="K4755" t="str">
            <v/>
          </cell>
          <cell r="L4755" t="str">
            <v/>
          </cell>
        </row>
        <row r="4756">
          <cell r="A4756">
            <v>34000000</v>
          </cell>
          <cell r="C4756">
            <v>34000000</v>
          </cell>
          <cell r="D4756">
            <v>34000000</v>
          </cell>
          <cell r="E4756">
            <v>34000000</v>
          </cell>
          <cell r="F4756">
            <v>34000000</v>
          </cell>
          <cell r="G4756">
            <v>34000000</v>
          </cell>
          <cell r="H4756">
            <v>34000000</v>
          </cell>
          <cell r="I4756" t="str">
            <v/>
          </cell>
          <cell r="J4756" t="str">
            <v/>
          </cell>
          <cell r="K4756" t="str">
            <v/>
          </cell>
          <cell r="L4756" t="str">
            <v/>
          </cell>
        </row>
        <row r="4757">
          <cell r="A4757">
            <v>34000000</v>
          </cell>
          <cell r="C4757">
            <v>34000000</v>
          </cell>
          <cell r="D4757">
            <v>34000000</v>
          </cell>
          <cell r="E4757">
            <v>34000000</v>
          </cell>
          <cell r="F4757">
            <v>34000000</v>
          </cell>
          <cell r="G4757">
            <v>34000000</v>
          </cell>
          <cell r="H4757">
            <v>34000000</v>
          </cell>
          <cell r="I4757" t="str">
            <v/>
          </cell>
          <cell r="J4757" t="str">
            <v/>
          </cell>
          <cell r="K4757" t="str">
            <v/>
          </cell>
          <cell r="L4757" t="str">
            <v/>
          </cell>
        </row>
        <row r="4758">
          <cell r="A4758">
            <v>34000000</v>
          </cell>
          <cell r="C4758">
            <v>34000000</v>
          </cell>
          <cell r="D4758">
            <v>34000000</v>
          </cell>
          <cell r="E4758">
            <v>34000000</v>
          </cell>
          <cell r="F4758">
            <v>34000000</v>
          </cell>
          <cell r="G4758">
            <v>34000000</v>
          </cell>
          <cell r="H4758">
            <v>34000000</v>
          </cell>
          <cell r="I4758" t="str">
            <v/>
          </cell>
          <cell r="J4758" t="str">
            <v/>
          </cell>
          <cell r="K4758" t="str">
            <v/>
          </cell>
          <cell r="L4758" t="str">
            <v/>
          </cell>
        </row>
        <row r="4759">
          <cell r="A4759">
            <v>34000000</v>
          </cell>
          <cell r="C4759">
            <v>34000000</v>
          </cell>
          <cell r="D4759">
            <v>34000000</v>
          </cell>
          <cell r="E4759">
            <v>34000000</v>
          </cell>
          <cell r="F4759">
            <v>34000000</v>
          </cell>
          <cell r="G4759">
            <v>34000000</v>
          </cell>
          <cell r="H4759">
            <v>34000000</v>
          </cell>
          <cell r="I4759" t="str">
            <v/>
          </cell>
          <cell r="J4759" t="str">
            <v/>
          </cell>
          <cell r="K4759" t="str">
            <v/>
          </cell>
          <cell r="L4759" t="str">
            <v/>
          </cell>
        </row>
        <row r="4760">
          <cell r="A4760">
            <v>34000000</v>
          </cell>
          <cell r="C4760">
            <v>34000000</v>
          </cell>
          <cell r="D4760">
            <v>34000000</v>
          </cell>
          <cell r="E4760">
            <v>34000000</v>
          </cell>
          <cell r="F4760">
            <v>34000000</v>
          </cell>
          <cell r="G4760">
            <v>34000000</v>
          </cell>
          <cell r="H4760">
            <v>34000000</v>
          </cell>
          <cell r="I4760" t="str">
            <v/>
          </cell>
          <cell r="J4760" t="str">
            <v/>
          </cell>
          <cell r="K4760" t="str">
            <v/>
          </cell>
          <cell r="L4760" t="str">
            <v/>
          </cell>
        </row>
        <row r="4761">
          <cell r="A4761">
            <v>34000000</v>
          </cell>
          <cell r="C4761">
            <v>34000000</v>
          </cell>
          <cell r="D4761">
            <v>34000000</v>
          </cell>
          <cell r="E4761">
            <v>34000000</v>
          </cell>
          <cell r="F4761">
            <v>34000000</v>
          </cell>
          <cell r="G4761">
            <v>34000000</v>
          </cell>
          <cell r="H4761">
            <v>34000000</v>
          </cell>
          <cell r="I4761" t="str">
            <v/>
          </cell>
          <cell r="J4761" t="str">
            <v/>
          </cell>
          <cell r="K4761" t="str">
            <v/>
          </cell>
          <cell r="L4761" t="str">
            <v/>
          </cell>
        </row>
        <row r="4762">
          <cell r="A4762">
            <v>34000000</v>
          </cell>
          <cell r="C4762">
            <v>34000000</v>
          </cell>
          <cell r="D4762">
            <v>34000000</v>
          </cell>
          <cell r="E4762">
            <v>34000000</v>
          </cell>
          <cell r="F4762">
            <v>34000000</v>
          </cell>
          <cell r="G4762">
            <v>34000000</v>
          </cell>
          <cell r="H4762">
            <v>34000000</v>
          </cell>
          <cell r="I4762" t="str">
            <v/>
          </cell>
          <cell r="J4762" t="str">
            <v/>
          </cell>
          <cell r="K4762" t="str">
            <v/>
          </cell>
          <cell r="L4762" t="str">
            <v/>
          </cell>
        </row>
        <row r="4763">
          <cell r="A4763">
            <v>34000000</v>
          </cell>
          <cell r="C4763">
            <v>34000000</v>
          </cell>
          <cell r="D4763">
            <v>34000000</v>
          </cell>
          <cell r="E4763">
            <v>34000000</v>
          </cell>
          <cell r="F4763">
            <v>34000000</v>
          </cell>
          <cell r="G4763">
            <v>34000000</v>
          </cell>
          <cell r="H4763">
            <v>34000000</v>
          </cell>
          <cell r="I4763" t="str">
            <v/>
          </cell>
          <cell r="J4763" t="str">
            <v/>
          </cell>
          <cell r="K4763" t="str">
            <v/>
          </cell>
          <cell r="L4763" t="str">
            <v/>
          </cell>
        </row>
        <row r="4764">
          <cell r="A4764">
            <v>34000000</v>
          </cell>
          <cell r="C4764">
            <v>34000000</v>
          </cell>
          <cell r="D4764">
            <v>34000000</v>
          </cell>
          <cell r="E4764">
            <v>34000000</v>
          </cell>
          <cell r="F4764">
            <v>34000000</v>
          </cell>
          <cell r="G4764">
            <v>34000000</v>
          </cell>
          <cell r="H4764">
            <v>34000000</v>
          </cell>
          <cell r="I4764" t="str">
            <v/>
          </cell>
          <cell r="J4764" t="str">
            <v/>
          </cell>
          <cell r="K4764" t="str">
            <v/>
          </cell>
          <cell r="L4764" t="str">
            <v/>
          </cell>
        </row>
        <row r="4765">
          <cell r="A4765">
            <v>34000000</v>
          </cell>
          <cell r="C4765">
            <v>34000000</v>
          </cell>
          <cell r="D4765">
            <v>34000000</v>
          </cell>
          <cell r="E4765">
            <v>34000000</v>
          </cell>
          <cell r="F4765">
            <v>34000000</v>
          </cell>
          <cell r="G4765">
            <v>34000000</v>
          </cell>
          <cell r="H4765">
            <v>34000000</v>
          </cell>
          <cell r="I4765" t="str">
            <v/>
          </cell>
          <cell r="J4765" t="str">
            <v/>
          </cell>
          <cell r="K4765" t="str">
            <v/>
          </cell>
          <cell r="L4765" t="str">
            <v/>
          </cell>
        </row>
        <row r="4766">
          <cell r="A4766">
            <v>34000000</v>
          </cell>
          <cell r="C4766">
            <v>34000000</v>
          </cell>
          <cell r="D4766">
            <v>34000000</v>
          </cell>
          <cell r="E4766">
            <v>34000000</v>
          </cell>
          <cell r="F4766">
            <v>34000000</v>
          </cell>
          <cell r="G4766">
            <v>34000000</v>
          </cell>
          <cell r="H4766">
            <v>34000000</v>
          </cell>
          <cell r="I4766" t="str">
            <v/>
          </cell>
          <cell r="J4766" t="str">
            <v/>
          </cell>
          <cell r="K4766" t="str">
            <v/>
          </cell>
          <cell r="L4766" t="str">
            <v/>
          </cell>
        </row>
        <row r="4767">
          <cell r="A4767">
            <v>34000000</v>
          </cell>
          <cell r="C4767">
            <v>34000000</v>
          </cell>
          <cell r="D4767">
            <v>34000000</v>
          </cell>
          <cell r="E4767">
            <v>34000000</v>
          </cell>
          <cell r="F4767">
            <v>34000000</v>
          </cell>
          <cell r="G4767">
            <v>34000000</v>
          </cell>
          <cell r="H4767">
            <v>34000000</v>
          </cell>
          <cell r="I4767" t="str">
            <v/>
          </cell>
          <cell r="J4767" t="str">
            <v/>
          </cell>
          <cell r="K4767" t="str">
            <v/>
          </cell>
          <cell r="L4767" t="str">
            <v/>
          </cell>
        </row>
        <row r="4768">
          <cell r="A4768">
            <v>34000000</v>
          </cell>
          <cell r="C4768">
            <v>34000000</v>
          </cell>
          <cell r="D4768">
            <v>34000000</v>
          </cell>
          <cell r="E4768">
            <v>34000000</v>
          </cell>
          <cell r="F4768">
            <v>34000000</v>
          </cell>
          <cell r="G4768">
            <v>34000000</v>
          </cell>
          <cell r="H4768">
            <v>34000000</v>
          </cell>
          <cell r="I4768" t="str">
            <v/>
          </cell>
          <cell r="J4768" t="str">
            <v/>
          </cell>
          <cell r="K4768" t="str">
            <v/>
          </cell>
          <cell r="L4768" t="str">
            <v/>
          </cell>
        </row>
        <row r="4769">
          <cell r="A4769">
            <v>34000000</v>
          </cell>
          <cell r="C4769">
            <v>34000000</v>
          </cell>
          <cell r="D4769">
            <v>34000000</v>
          </cell>
          <cell r="E4769">
            <v>34000000</v>
          </cell>
          <cell r="F4769">
            <v>34000000</v>
          </cell>
          <cell r="G4769">
            <v>34000000</v>
          </cell>
          <cell r="H4769">
            <v>34000000</v>
          </cell>
          <cell r="I4769" t="str">
            <v/>
          </cell>
          <cell r="J4769" t="str">
            <v/>
          </cell>
          <cell r="K4769" t="str">
            <v/>
          </cell>
          <cell r="L4769" t="str">
            <v/>
          </cell>
        </row>
        <row r="4770">
          <cell r="A4770">
            <v>34000000</v>
          </cell>
          <cell r="C4770">
            <v>34000000</v>
          </cell>
          <cell r="D4770">
            <v>34000000</v>
          </cell>
          <cell r="E4770">
            <v>34000000</v>
          </cell>
          <cell r="F4770">
            <v>34000000</v>
          </cell>
          <cell r="G4770">
            <v>34000000</v>
          </cell>
          <cell r="H4770">
            <v>34000000</v>
          </cell>
          <cell r="I4770" t="str">
            <v/>
          </cell>
          <cell r="J4770" t="str">
            <v/>
          </cell>
          <cell r="K4770" t="str">
            <v/>
          </cell>
          <cell r="L4770" t="str">
            <v/>
          </cell>
        </row>
        <row r="4771">
          <cell r="A4771">
            <v>34000000</v>
          </cell>
          <cell r="C4771">
            <v>34000000</v>
          </cell>
          <cell r="D4771">
            <v>34000000</v>
          </cell>
          <cell r="E4771">
            <v>34000000</v>
          </cell>
          <cell r="F4771">
            <v>34000000</v>
          </cell>
          <cell r="G4771">
            <v>34000000</v>
          </cell>
          <cell r="H4771">
            <v>34000000</v>
          </cell>
          <cell r="I4771" t="str">
            <v/>
          </cell>
          <cell r="J4771" t="str">
            <v/>
          </cell>
          <cell r="K4771" t="str">
            <v/>
          </cell>
          <cell r="L4771" t="str">
            <v/>
          </cell>
        </row>
        <row r="4772">
          <cell r="A4772">
            <v>34000000</v>
          </cell>
          <cell r="C4772">
            <v>34000000</v>
          </cell>
          <cell r="D4772">
            <v>34000000</v>
          </cell>
          <cell r="E4772">
            <v>34000000</v>
          </cell>
          <cell r="F4772">
            <v>34000000</v>
          </cell>
          <cell r="G4772">
            <v>34000000</v>
          </cell>
          <cell r="H4772">
            <v>34000000</v>
          </cell>
          <cell r="I4772" t="str">
            <v/>
          </cell>
          <cell r="J4772" t="str">
            <v/>
          </cell>
          <cell r="K4772" t="str">
            <v/>
          </cell>
          <cell r="L4772" t="str">
            <v/>
          </cell>
        </row>
        <row r="4773">
          <cell r="A4773">
            <v>34000000</v>
          </cell>
          <cell r="C4773">
            <v>34000000</v>
          </cell>
          <cell r="D4773">
            <v>34000000</v>
          </cell>
          <cell r="E4773">
            <v>34000000</v>
          </cell>
          <cell r="F4773">
            <v>34000000</v>
          </cell>
          <cell r="G4773">
            <v>34000000</v>
          </cell>
          <cell r="H4773">
            <v>34000000</v>
          </cell>
          <cell r="I4773" t="str">
            <v/>
          </cell>
          <cell r="J4773" t="str">
            <v/>
          </cell>
          <cell r="K4773" t="str">
            <v/>
          </cell>
          <cell r="L4773" t="str">
            <v/>
          </cell>
        </row>
        <row r="4774">
          <cell r="A4774">
            <v>34000000</v>
          </cell>
          <cell r="C4774">
            <v>34000000</v>
          </cell>
          <cell r="D4774">
            <v>34000000</v>
          </cell>
          <cell r="E4774">
            <v>34000000</v>
          </cell>
          <cell r="F4774">
            <v>34000000</v>
          </cell>
          <cell r="G4774">
            <v>34000000</v>
          </cell>
          <cell r="H4774">
            <v>34000000</v>
          </cell>
          <cell r="I4774" t="str">
            <v/>
          </cell>
          <cell r="J4774" t="str">
            <v/>
          </cell>
          <cell r="K4774" t="str">
            <v/>
          </cell>
          <cell r="L4774" t="str">
            <v/>
          </cell>
        </row>
        <row r="4775">
          <cell r="A4775">
            <v>34000000</v>
          </cell>
          <cell r="C4775">
            <v>34000000</v>
          </cell>
          <cell r="D4775">
            <v>34000000</v>
          </cell>
          <cell r="E4775">
            <v>34000000</v>
          </cell>
          <cell r="F4775">
            <v>34000000</v>
          </cell>
          <cell r="G4775">
            <v>34000000</v>
          </cell>
          <cell r="H4775">
            <v>34000000</v>
          </cell>
          <cell r="I4775" t="str">
            <v/>
          </cell>
          <cell r="J4775" t="str">
            <v/>
          </cell>
          <cell r="K4775" t="str">
            <v/>
          </cell>
          <cell r="L4775" t="str">
            <v/>
          </cell>
        </row>
        <row r="4776">
          <cell r="A4776">
            <v>34000000</v>
          </cell>
          <cell r="C4776">
            <v>34000000</v>
          </cell>
          <cell r="D4776">
            <v>34000000</v>
          </cell>
          <cell r="E4776">
            <v>34000000</v>
          </cell>
          <cell r="F4776">
            <v>34000000</v>
          </cell>
          <cell r="G4776">
            <v>34000000</v>
          </cell>
          <cell r="H4776">
            <v>34000000</v>
          </cell>
          <cell r="I4776" t="str">
            <v/>
          </cell>
          <cell r="J4776" t="str">
            <v/>
          </cell>
          <cell r="K4776" t="str">
            <v/>
          </cell>
          <cell r="L4776" t="str">
            <v/>
          </cell>
        </row>
        <row r="4777">
          <cell r="A4777">
            <v>34000000</v>
          </cell>
          <cell r="C4777">
            <v>34000000</v>
          </cell>
          <cell r="D4777">
            <v>34000000</v>
          </cell>
          <cell r="E4777">
            <v>34000000</v>
          </cell>
          <cell r="F4777">
            <v>34000000</v>
          </cell>
          <cell r="G4777">
            <v>34000000</v>
          </cell>
          <cell r="H4777">
            <v>34000000</v>
          </cell>
          <cell r="I4777" t="str">
            <v/>
          </cell>
          <cell r="J4777" t="str">
            <v/>
          </cell>
          <cell r="K4777" t="str">
            <v/>
          </cell>
          <cell r="L4777" t="str">
            <v/>
          </cell>
        </row>
        <row r="4778">
          <cell r="A4778">
            <v>34000000</v>
          </cell>
          <cell r="C4778">
            <v>34000000</v>
          </cell>
          <cell r="D4778">
            <v>34000000</v>
          </cell>
          <cell r="E4778">
            <v>34000000</v>
          </cell>
          <cell r="F4778">
            <v>34000000</v>
          </cell>
          <cell r="G4778">
            <v>34000000</v>
          </cell>
          <cell r="H4778">
            <v>34000000</v>
          </cell>
          <cell r="I4778" t="str">
            <v/>
          </cell>
          <cell r="J4778" t="str">
            <v/>
          </cell>
          <cell r="K4778" t="str">
            <v/>
          </cell>
          <cell r="L4778" t="str">
            <v/>
          </cell>
        </row>
        <row r="4779">
          <cell r="A4779">
            <v>34000000</v>
          </cell>
          <cell r="C4779">
            <v>34000000</v>
          </cell>
          <cell r="D4779">
            <v>34000000</v>
          </cell>
          <cell r="E4779">
            <v>34000000</v>
          </cell>
          <cell r="F4779">
            <v>34000000</v>
          </cell>
          <cell r="G4779">
            <v>34000000</v>
          </cell>
          <cell r="H4779">
            <v>34000000</v>
          </cell>
          <cell r="I4779" t="str">
            <v/>
          </cell>
          <cell r="J4779" t="str">
            <v/>
          </cell>
          <cell r="K4779" t="str">
            <v/>
          </cell>
          <cell r="L4779" t="str">
            <v/>
          </cell>
        </row>
        <row r="4780">
          <cell r="A4780">
            <v>34000000</v>
          </cell>
          <cell r="C4780">
            <v>34000000</v>
          </cell>
          <cell r="D4780">
            <v>34000000</v>
          </cell>
          <cell r="E4780">
            <v>34000000</v>
          </cell>
          <cell r="F4780">
            <v>34000000</v>
          </cell>
          <cell r="G4780">
            <v>34000000</v>
          </cell>
          <cell r="H4780">
            <v>34000000</v>
          </cell>
          <cell r="I4780" t="str">
            <v/>
          </cell>
          <cell r="J4780" t="str">
            <v/>
          </cell>
          <cell r="K4780" t="str">
            <v/>
          </cell>
          <cell r="L4780" t="str">
            <v/>
          </cell>
        </row>
        <row r="4781">
          <cell r="A4781">
            <v>34000000</v>
          </cell>
          <cell r="C4781">
            <v>34000000</v>
          </cell>
          <cell r="D4781">
            <v>34000000</v>
          </cell>
          <cell r="E4781">
            <v>34000000</v>
          </cell>
          <cell r="F4781">
            <v>34000000</v>
          </cell>
          <cell r="G4781">
            <v>34000000</v>
          </cell>
          <cell r="H4781">
            <v>34000000</v>
          </cell>
          <cell r="I4781" t="str">
            <v/>
          </cell>
          <cell r="J4781" t="str">
            <v/>
          </cell>
          <cell r="K4781" t="str">
            <v/>
          </cell>
          <cell r="L4781" t="str">
            <v/>
          </cell>
        </row>
        <row r="4782">
          <cell r="A4782">
            <v>34000000</v>
          </cell>
          <cell r="C4782">
            <v>34000000</v>
          </cell>
          <cell r="D4782">
            <v>34000000</v>
          </cell>
          <cell r="E4782">
            <v>34000000</v>
          </cell>
          <cell r="F4782">
            <v>34000000</v>
          </cell>
          <cell r="G4782">
            <v>34000000</v>
          </cell>
          <cell r="H4782">
            <v>34000000</v>
          </cell>
          <cell r="I4782" t="str">
            <v/>
          </cell>
          <cell r="J4782" t="str">
            <v/>
          </cell>
          <cell r="K4782" t="str">
            <v/>
          </cell>
          <cell r="L4782" t="str">
            <v/>
          </cell>
        </row>
        <row r="4783">
          <cell r="A4783">
            <v>34000000</v>
          </cell>
          <cell r="C4783">
            <v>34000000</v>
          </cell>
          <cell r="D4783">
            <v>34000000</v>
          </cell>
          <cell r="E4783">
            <v>34000000</v>
          </cell>
          <cell r="F4783">
            <v>34000000</v>
          </cell>
          <cell r="G4783">
            <v>34000000</v>
          </cell>
          <cell r="H4783">
            <v>34000000</v>
          </cell>
          <cell r="I4783" t="str">
            <v/>
          </cell>
          <cell r="J4783" t="str">
            <v/>
          </cell>
          <cell r="K4783" t="str">
            <v/>
          </cell>
          <cell r="L4783" t="str">
            <v/>
          </cell>
        </row>
        <row r="4784">
          <cell r="A4784">
            <v>34000000</v>
          </cell>
          <cell r="C4784">
            <v>34000000</v>
          </cell>
          <cell r="D4784">
            <v>34000000</v>
          </cell>
          <cell r="E4784">
            <v>34000000</v>
          </cell>
          <cell r="F4784">
            <v>34000000</v>
          </cell>
          <cell r="G4784">
            <v>34000000</v>
          </cell>
          <cell r="H4784">
            <v>34000000</v>
          </cell>
          <cell r="I4784" t="str">
            <v/>
          </cell>
          <cell r="J4784" t="str">
            <v/>
          </cell>
          <cell r="K4784" t="str">
            <v/>
          </cell>
          <cell r="L4784" t="str">
            <v/>
          </cell>
        </row>
        <row r="4785">
          <cell r="A4785">
            <v>34000000</v>
          </cell>
          <cell r="C4785">
            <v>34000000</v>
          </cell>
          <cell r="D4785">
            <v>34000000</v>
          </cell>
          <cell r="E4785">
            <v>34000000</v>
          </cell>
          <cell r="F4785">
            <v>34000000</v>
          </cell>
          <cell r="G4785">
            <v>34000000</v>
          </cell>
          <cell r="H4785">
            <v>34000000</v>
          </cell>
          <cell r="I4785" t="str">
            <v/>
          </cell>
          <cell r="J4785" t="str">
            <v/>
          </cell>
          <cell r="K4785" t="str">
            <v/>
          </cell>
          <cell r="L4785" t="str">
            <v/>
          </cell>
        </row>
        <row r="4786">
          <cell r="A4786">
            <v>34000000</v>
          </cell>
          <cell r="C4786">
            <v>34000000</v>
          </cell>
          <cell r="D4786">
            <v>34000000</v>
          </cell>
          <cell r="E4786">
            <v>34000000</v>
          </cell>
          <cell r="F4786">
            <v>34000000</v>
          </cell>
          <cell r="G4786">
            <v>34000000</v>
          </cell>
          <cell r="H4786">
            <v>34000000</v>
          </cell>
          <cell r="I4786" t="str">
            <v/>
          </cell>
          <cell r="J4786" t="str">
            <v/>
          </cell>
          <cell r="K4786" t="str">
            <v/>
          </cell>
          <cell r="L4786" t="str">
            <v/>
          </cell>
        </row>
        <row r="4787">
          <cell r="A4787">
            <v>34000000</v>
          </cell>
          <cell r="C4787">
            <v>34000000</v>
          </cell>
          <cell r="D4787">
            <v>34000000</v>
          </cell>
          <cell r="E4787">
            <v>34000000</v>
          </cell>
          <cell r="F4787">
            <v>34000000</v>
          </cell>
          <cell r="G4787">
            <v>34000000</v>
          </cell>
          <cell r="H4787">
            <v>34000000</v>
          </cell>
          <cell r="I4787" t="str">
            <v/>
          </cell>
          <cell r="J4787" t="str">
            <v/>
          </cell>
          <cell r="K4787" t="str">
            <v/>
          </cell>
          <cell r="L4787" t="str">
            <v/>
          </cell>
        </row>
        <row r="4788">
          <cell r="A4788">
            <v>34000000</v>
          </cell>
          <cell r="C4788">
            <v>34000000</v>
          </cell>
          <cell r="D4788">
            <v>34000000</v>
          </cell>
          <cell r="E4788">
            <v>34000000</v>
          </cell>
          <cell r="F4788">
            <v>34000000</v>
          </cell>
          <cell r="G4788">
            <v>34000000</v>
          </cell>
          <cell r="H4788">
            <v>34000000</v>
          </cell>
          <cell r="I4788" t="str">
            <v/>
          </cell>
          <cell r="J4788" t="str">
            <v/>
          </cell>
          <cell r="K4788" t="str">
            <v/>
          </cell>
          <cell r="L4788" t="str">
            <v/>
          </cell>
        </row>
        <row r="4789">
          <cell r="A4789">
            <v>34000000</v>
          </cell>
          <cell r="C4789">
            <v>34000000</v>
          </cell>
          <cell r="D4789">
            <v>34000000</v>
          </cell>
          <cell r="E4789">
            <v>34000000</v>
          </cell>
          <cell r="F4789">
            <v>34000000</v>
          </cell>
          <cell r="G4789">
            <v>34000000</v>
          </cell>
          <cell r="H4789">
            <v>34000000</v>
          </cell>
          <cell r="I4789" t="str">
            <v/>
          </cell>
          <cell r="J4789" t="str">
            <v/>
          </cell>
          <cell r="K4789" t="str">
            <v/>
          </cell>
          <cell r="L4789" t="str">
            <v/>
          </cell>
        </row>
        <row r="4790">
          <cell r="A4790">
            <v>34000000</v>
          </cell>
          <cell r="C4790">
            <v>34000000</v>
          </cell>
          <cell r="D4790">
            <v>34000000</v>
          </cell>
          <cell r="E4790">
            <v>34000000</v>
          </cell>
          <cell r="F4790">
            <v>34000000</v>
          </cell>
          <cell r="G4790">
            <v>34000000</v>
          </cell>
          <cell r="H4790">
            <v>34000000</v>
          </cell>
          <cell r="I4790" t="str">
            <v/>
          </cell>
          <cell r="J4790" t="str">
            <v/>
          </cell>
          <cell r="K4790" t="str">
            <v/>
          </cell>
          <cell r="L4790" t="str">
            <v/>
          </cell>
        </row>
        <row r="4791">
          <cell r="A4791">
            <v>34000000</v>
          </cell>
          <cell r="C4791">
            <v>34000000</v>
          </cell>
          <cell r="D4791">
            <v>34000000</v>
          </cell>
          <cell r="E4791">
            <v>34000000</v>
          </cell>
          <cell r="F4791">
            <v>34000000</v>
          </cell>
          <cell r="G4791">
            <v>34000000</v>
          </cell>
          <cell r="H4791">
            <v>34000000</v>
          </cell>
          <cell r="I4791" t="str">
            <v/>
          </cell>
          <cell r="J4791" t="str">
            <v/>
          </cell>
          <cell r="K4791" t="str">
            <v/>
          </cell>
          <cell r="L4791" t="str">
            <v/>
          </cell>
        </row>
        <row r="4792">
          <cell r="A4792">
            <v>34000000</v>
          </cell>
          <cell r="C4792">
            <v>34000000</v>
          </cell>
          <cell r="D4792">
            <v>34000000</v>
          </cell>
          <cell r="E4792">
            <v>34000000</v>
          </cell>
          <cell r="F4792">
            <v>34000000</v>
          </cell>
          <cell r="G4792">
            <v>34000000</v>
          </cell>
          <cell r="H4792">
            <v>34000000</v>
          </cell>
          <cell r="I4792" t="str">
            <v/>
          </cell>
          <cell r="J4792" t="str">
            <v/>
          </cell>
          <cell r="K4792" t="str">
            <v/>
          </cell>
          <cell r="L4792" t="str">
            <v/>
          </cell>
        </row>
        <row r="4793">
          <cell r="A4793">
            <v>34000000</v>
          </cell>
          <cell r="C4793">
            <v>34000000</v>
          </cell>
          <cell r="D4793">
            <v>34000000</v>
          </cell>
          <cell r="E4793">
            <v>34000000</v>
          </cell>
          <cell r="F4793">
            <v>34000000</v>
          </cell>
          <cell r="G4793">
            <v>34000000</v>
          </cell>
          <cell r="H4793">
            <v>34000000</v>
          </cell>
          <cell r="I4793" t="str">
            <v/>
          </cell>
          <cell r="J4793" t="str">
            <v/>
          </cell>
          <cell r="K4793" t="str">
            <v/>
          </cell>
          <cell r="L4793" t="str">
            <v/>
          </cell>
        </row>
        <row r="4794">
          <cell r="A4794">
            <v>34000000</v>
          </cell>
          <cell r="C4794">
            <v>34000000</v>
          </cell>
          <cell r="D4794">
            <v>34000000</v>
          </cell>
          <cell r="E4794">
            <v>34000000</v>
          </cell>
          <cell r="F4794">
            <v>34000000</v>
          </cell>
          <cell r="G4794">
            <v>34000000</v>
          </cell>
          <cell r="H4794">
            <v>34000000</v>
          </cell>
          <cell r="I4794" t="str">
            <v/>
          </cell>
          <cell r="J4794" t="str">
            <v/>
          </cell>
          <cell r="K4794" t="str">
            <v/>
          </cell>
          <cell r="L4794" t="str">
            <v/>
          </cell>
        </row>
        <row r="4795">
          <cell r="A4795">
            <v>34000000</v>
          </cell>
          <cell r="C4795">
            <v>34000000</v>
          </cell>
          <cell r="D4795">
            <v>34000000</v>
          </cell>
          <cell r="E4795">
            <v>34000000</v>
          </cell>
          <cell r="F4795">
            <v>34000000</v>
          </cell>
          <cell r="G4795">
            <v>34000000</v>
          </cell>
          <cell r="H4795">
            <v>34000000</v>
          </cell>
          <cell r="I4795" t="str">
            <v/>
          </cell>
          <cell r="J4795" t="str">
            <v/>
          </cell>
          <cell r="K4795" t="str">
            <v/>
          </cell>
          <cell r="L4795" t="str">
            <v/>
          </cell>
        </row>
        <row r="4796">
          <cell r="A4796">
            <v>34000000</v>
          </cell>
          <cell r="C4796">
            <v>34000000</v>
          </cell>
          <cell r="D4796">
            <v>34000000</v>
          </cell>
          <cell r="E4796">
            <v>34000000</v>
          </cell>
          <cell r="F4796">
            <v>34000000</v>
          </cell>
          <cell r="G4796">
            <v>34000000</v>
          </cell>
          <cell r="H4796">
            <v>34000000</v>
          </cell>
          <cell r="I4796" t="str">
            <v/>
          </cell>
          <cell r="J4796" t="str">
            <v/>
          </cell>
          <cell r="K4796" t="str">
            <v/>
          </cell>
          <cell r="L4796" t="str">
            <v/>
          </cell>
        </row>
        <row r="4797">
          <cell r="A4797">
            <v>34000000</v>
          </cell>
          <cell r="C4797">
            <v>34000000</v>
          </cell>
          <cell r="D4797">
            <v>34000000</v>
          </cell>
          <cell r="E4797">
            <v>34000000</v>
          </cell>
          <cell r="F4797">
            <v>34000000</v>
          </cell>
          <cell r="G4797">
            <v>34000000</v>
          </cell>
          <cell r="H4797">
            <v>34000000</v>
          </cell>
          <cell r="I4797" t="str">
            <v/>
          </cell>
          <cell r="J4797" t="str">
            <v/>
          </cell>
          <cell r="K4797" t="str">
            <v/>
          </cell>
          <cell r="L4797" t="str">
            <v/>
          </cell>
        </row>
        <row r="4798">
          <cell r="A4798">
            <v>34000000</v>
          </cell>
          <cell r="C4798">
            <v>34000000</v>
          </cell>
          <cell r="D4798">
            <v>34000000</v>
          </cell>
          <cell r="E4798">
            <v>34000000</v>
          </cell>
          <cell r="F4798">
            <v>34000000</v>
          </cell>
          <cell r="G4798">
            <v>34000000</v>
          </cell>
          <cell r="H4798">
            <v>34000000</v>
          </cell>
          <cell r="I4798" t="str">
            <v/>
          </cell>
          <cell r="J4798" t="str">
            <v/>
          </cell>
          <cell r="K4798" t="str">
            <v/>
          </cell>
          <cell r="L4798" t="str">
            <v/>
          </cell>
        </row>
        <row r="4799">
          <cell r="A4799">
            <v>34000000</v>
          </cell>
          <cell r="C4799">
            <v>34000000</v>
          </cell>
          <cell r="D4799">
            <v>34000000</v>
          </cell>
          <cell r="E4799">
            <v>34000000</v>
          </cell>
          <cell r="F4799">
            <v>34000000</v>
          </cell>
          <cell r="G4799">
            <v>34000000</v>
          </cell>
          <cell r="H4799">
            <v>34000000</v>
          </cell>
          <cell r="I4799" t="str">
            <v/>
          </cell>
          <cell r="J4799" t="str">
            <v/>
          </cell>
          <cell r="K4799" t="str">
            <v/>
          </cell>
          <cell r="L4799" t="str">
            <v/>
          </cell>
        </row>
        <row r="4800">
          <cell r="A4800">
            <v>34000000</v>
          </cell>
          <cell r="C4800">
            <v>34000000</v>
          </cell>
          <cell r="D4800">
            <v>34000000</v>
          </cell>
          <cell r="E4800">
            <v>34000000</v>
          </cell>
          <cell r="F4800">
            <v>34000000</v>
          </cell>
          <cell r="G4800">
            <v>34000000</v>
          </cell>
          <cell r="H4800">
            <v>34000000</v>
          </cell>
          <cell r="I4800" t="str">
            <v/>
          </cell>
          <cell r="J4800" t="str">
            <v/>
          </cell>
          <cell r="K4800" t="str">
            <v/>
          </cell>
          <cell r="L4800" t="str">
            <v/>
          </cell>
        </row>
        <row r="4801">
          <cell r="A4801">
            <v>34000000</v>
          </cell>
          <cell r="C4801">
            <v>34000000</v>
          </cell>
          <cell r="D4801">
            <v>34000000</v>
          </cell>
          <cell r="E4801">
            <v>34000000</v>
          </cell>
          <cell r="F4801">
            <v>34000000</v>
          </cell>
          <cell r="G4801">
            <v>34000000</v>
          </cell>
          <cell r="H4801">
            <v>34000000</v>
          </cell>
          <cell r="I4801" t="str">
            <v/>
          </cell>
          <cell r="J4801" t="str">
            <v/>
          </cell>
          <cell r="K4801" t="str">
            <v/>
          </cell>
          <cell r="L4801" t="str">
            <v/>
          </cell>
        </row>
        <row r="4802">
          <cell r="A4802">
            <v>34000000</v>
          </cell>
          <cell r="C4802">
            <v>34000000</v>
          </cell>
          <cell r="D4802">
            <v>34000000</v>
          </cell>
          <cell r="E4802">
            <v>34000000</v>
          </cell>
          <cell r="F4802">
            <v>34000000</v>
          </cell>
          <cell r="G4802">
            <v>34000000</v>
          </cell>
          <cell r="H4802">
            <v>34000000</v>
          </cell>
          <cell r="I4802" t="str">
            <v/>
          </cell>
          <cell r="J4802" t="str">
            <v/>
          </cell>
          <cell r="K4802" t="str">
            <v/>
          </cell>
          <cell r="L4802" t="str">
            <v/>
          </cell>
        </row>
        <row r="4803">
          <cell r="A4803">
            <v>34000000</v>
          </cell>
          <cell r="C4803">
            <v>34000000</v>
          </cell>
          <cell r="D4803">
            <v>34000000</v>
          </cell>
          <cell r="E4803">
            <v>34000000</v>
          </cell>
          <cell r="F4803">
            <v>34000000</v>
          </cell>
          <cell r="G4803">
            <v>34000000</v>
          </cell>
          <cell r="H4803">
            <v>34000000</v>
          </cell>
          <cell r="I4803" t="str">
            <v/>
          </cell>
          <cell r="J4803" t="str">
            <v/>
          </cell>
          <cell r="K4803" t="str">
            <v/>
          </cell>
          <cell r="L4803" t="str">
            <v/>
          </cell>
        </row>
        <row r="4804">
          <cell r="A4804">
            <v>34000000</v>
          </cell>
          <cell r="C4804">
            <v>34000000</v>
          </cell>
          <cell r="D4804">
            <v>34000000</v>
          </cell>
          <cell r="E4804">
            <v>34000000</v>
          </cell>
          <cell r="F4804">
            <v>34000000</v>
          </cell>
          <cell r="G4804">
            <v>34000000</v>
          </cell>
          <cell r="H4804">
            <v>34000000</v>
          </cell>
          <cell r="I4804" t="str">
            <v/>
          </cell>
          <cell r="J4804" t="str">
            <v/>
          </cell>
          <cell r="K4804" t="str">
            <v/>
          </cell>
          <cell r="L4804" t="str">
            <v/>
          </cell>
        </row>
        <row r="4805">
          <cell r="A4805">
            <v>34000000</v>
          </cell>
          <cell r="C4805">
            <v>34000000</v>
          </cell>
          <cell r="D4805">
            <v>34000000</v>
          </cell>
          <cell r="E4805">
            <v>34000000</v>
          </cell>
          <cell r="F4805">
            <v>34000000</v>
          </cell>
          <cell r="G4805">
            <v>34000000</v>
          </cell>
          <cell r="H4805">
            <v>34000000</v>
          </cell>
          <cell r="I4805" t="str">
            <v/>
          </cell>
          <cell r="J4805" t="str">
            <v/>
          </cell>
          <cell r="K4805" t="str">
            <v/>
          </cell>
          <cell r="L4805" t="str">
            <v/>
          </cell>
        </row>
        <row r="4806">
          <cell r="A4806">
            <v>34000000</v>
          </cell>
          <cell r="C4806">
            <v>34000000</v>
          </cell>
          <cell r="D4806">
            <v>34000000</v>
          </cell>
          <cell r="E4806">
            <v>34000000</v>
          </cell>
          <cell r="F4806">
            <v>34000000</v>
          </cell>
          <cell r="G4806">
            <v>34000000</v>
          </cell>
          <cell r="H4806">
            <v>34000000</v>
          </cell>
          <cell r="I4806" t="str">
            <v/>
          </cell>
          <cell r="J4806" t="str">
            <v/>
          </cell>
          <cell r="K4806" t="str">
            <v/>
          </cell>
          <cell r="L4806" t="str">
            <v/>
          </cell>
        </row>
        <row r="4807">
          <cell r="A4807">
            <v>34000000</v>
          </cell>
          <cell r="C4807">
            <v>34000000</v>
          </cell>
          <cell r="D4807">
            <v>34000000</v>
          </cell>
          <cell r="E4807">
            <v>34000000</v>
          </cell>
          <cell r="F4807">
            <v>34000000</v>
          </cell>
          <cell r="G4807">
            <v>34000000</v>
          </cell>
          <cell r="H4807">
            <v>34000000</v>
          </cell>
          <cell r="I4807" t="str">
            <v/>
          </cell>
          <cell r="J4807" t="str">
            <v/>
          </cell>
          <cell r="K4807" t="str">
            <v/>
          </cell>
          <cell r="L4807" t="str">
            <v/>
          </cell>
        </row>
        <row r="4808">
          <cell r="A4808">
            <v>34000000</v>
          </cell>
          <cell r="C4808">
            <v>34000000</v>
          </cell>
          <cell r="D4808">
            <v>34000000</v>
          </cell>
          <cell r="E4808">
            <v>34000000</v>
          </cell>
          <cell r="F4808">
            <v>34000000</v>
          </cell>
          <cell r="G4808">
            <v>34000000</v>
          </cell>
          <cell r="H4808">
            <v>34000000</v>
          </cell>
          <cell r="I4808" t="str">
            <v/>
          </cell>
          <cell r="J4808" t="str">
            <v/>
          </cell>
          <cell r="K4808" t="str">
            <v/>
          </cell>
          <cell r="L4808" t="str">
            <v/>
          </cell>
        </row>
        <row r="4809">
          <cell r="A4809">
            <v>34000000</v>
          </cell>
          <cell r="C4809">
            <v>34000000</v>
          </cell>
          <cell r="D4809">
            <v>34000000</v>
          </cell>
          <cell r="E4809">
            <v>34000000</v>
          </cell>
          <cell r="F4809">
            <v>34000000</v>
          </cell>
          <cell r="G4809">
            <v>34000000</v>
          </cell>
          <cell r="H4809">
            <v>34000000</v>
          </cell>
          <cell r="I4809" t="str">
            <v/>
          </cell>
          <cell r="J4809" t="str">
            <v/>
          </cell>
          <cell r="K4809" t="str">
            <v/>
          </cell>
          <cell r="L4809" t="str">
            <v/>
          </cell>
        </row>
        <row r="4810">
          <cell r="A4810">
            <v>34000000</v>
          </cell>
          <cell r="C4810">
            <v>34000000</v>
          </cell>
          <cell r="D4810">
            <v>34000000</v>
          </cell>
          <cell r="E4810">
            <v>34000000</v>
          </cell>
          <cell r="F4810">
            <v>34000000</v>
          </cell>
          <cell r="G4810">
            <v>34000000</v>
          </cell>
          <cell r="H4810">
            <v>34000000</v>
          </cell>
          <cell r="I4810" t="str">
            <v/>
          </cell>
          <cell r="J4810" t="str">
            <v/>
          </cell>
          <cell r="K4810" t="str">
            <v/>
          </cell>
          <cell r="L4810" t="str">
            <v/>
          </cell>
        </row>
        <row r="4811">
          <cell r="A4811">
            <v>34000000</v>
          </cell>
          <cell r="C4811">
            <v>34000000</v>
          </cell>
          <cell r="D4811">
            <v>34000000</v>
          </cell>
          <cell r="E4811">
            <v>34000000</v>
          </cell>
          <cell r="F4811">
            <v>34000000</v>
          </cell>
          <cell r="G4811">
            <v>34000000</v>
          </cell>
          <cell r="H4811">
            <v>34000000</v>
          </cell>
          <cell r="I4811" t="str">
            <v/>
          </cell>
          <cell r="J4811" t="str">
            <v/>
          </cell>
          <cell r="K4811" t="str">
            <v/>
          </cell>
          <cell r="L4811" t="str">
            <v/>
          </cell>
        </row>
        <row r="4812">
          <cell r="A4812">
            <v>34000000</v>
          </cell>
          <cell r="C4812">
            <v>34000000</v>
          </cell>
          <cell r="D4812">
            <v>34000000</v>
          </cell>
          <cell r="E4812">
            <v>34000000</v>
          </cell>
          <cell r="F4812">
            <v>34000000</v>
          </cell>
          <cell r="G4812">
            <v>34000000</v>
          </cell>
          <cell r="H4812">
            <v>34000000</v>
          </cell>
          <cell r="I4812" t="str">
            <v/>
          </cell>
          <cell r="J4812" t="str">
            <v/>
          </cell>
          <cell r="K4812" t="str">
            <v/>
          </cell>
          <cell r="L4812" t="str">
            <v/>
          </cell>
        </row>
        <row r="4813">
          <cell r="A4813">
            <v>34000000</v>
          </cell>
          <cell r="C4813">
            <v>34000000</v>
          </cell>
          <cell r="D4813">
            <v>34000000</v>
          </cell>
          <cell r="E4813">
            <v>34000000</v>
          </cell>
          <cell r="F4813">
            <v>34000000</v>
          </cell>
          <cell r="G4813">
            <v>34000000</v>
          </cell>
          <cell r="H4813">
            <v>34000000</v>
          </cell>
          <cell r="I4813" t="str">
            <v/>
          </cell>
          <cell r="J4813" t="str">
            <v/>
          </cell>
          <cell r="K4813" t="str">
            <v/>
          </cell>
          <cell r="L4813" t="str">
            <v/>
          </cell>
        </row>
        <row r="4814">
          <cell r="A4814">
            <v>34000000</v>
          </cell>
          <cell r="C4814">
            <v>34000000</v>
          </cell>
          <cell r="D4814">
            <v>34000000</v>
          </cell>
          <cell r="E4814">
            <v>34000000</v>
          </cell>
          <cell r="F4814">
            <v>34000000</v>
          </cell>
          <cell r="G4814">
            <v>34000000</v>
          </cell>
          <cell r="H4814">
            <v>34000000</v>
          </cell>
          <cell r="I4814" t="str">
            <v/>
          </cell>
          <cell r="J4814" t="str">
            <v/>
          </cell>
          <cell r="K4814" t="str">
            <v/>
          </cell>
          <cell r="L4814" t="str">
            <v/>
          </cell>
        </row>
        <row r="4815">
          <cell r="A4815">
            <v>34000000</v>
          </cell>
          <cell r="C4815">
            <v>34000000</v>
          </cell>
          <cell r="D4815">
            <v>34000000</v>
          </cell>
          <cell r="E4815">
            <v>34000000</v>
          </cell>
          <cell r="F4815">
            <v>34000000</v>
          </cell>
          <cell r="G4815">
            <v>34000000</v>
          </cell>
          <cell r="H4815">
            <v>34000000</v>
          </cell>
          <cell r="I4815" t="str">
            <v/>
          </cell>
          <cell r="J4815" t="str">
            <v/>
          </cell>
          <cell r="K4815" t="str">
            <v/>
          </cell>
          <cell r="L4815" t="str">
            <v/>
          </cell>
        </row>
        <row r="4816">
          <cell r="A4816">
            <v>34000000</v>
          </cell>
          <cell r="C4816">
            <v>34000000</v>
          </cell>
          <cell r="D4816">
            <v>34000000</v>
          </cell>
          <cell r="E4816">
            <v>34000000</v>
          </cell>
          <cell r="F4816">
            <v>34000000</v>
          </cell>
          <cell r="G4816">
            <v>34000000</v>
          </cell>
          <cell r="H4816">
            <v>34000000</v>
          </cell>
          <cell r="I4816" t="str">
            <v/>
          </cell>
          <cell r="J4816" t="str">
            <v/>
          </cell>
          <cell r="K4816" t="str">
            <v/>
          </cell>
          <cell r="L4816" t="str">
            <v/>
          </cell>
        </row>
        <row r="4817">
          <cell r="A4817">
            <v>34000000</v>
          </cell>
          <cell r="C4817">
            <v>34000000</v>
          </cell>
          <cell r="D4817">
            <v>34000000</v>
          </cell>
          <cell r="E4817">
            <v>34000000</v>
          </cell>
          <cell r="F4817">
            <v>34000000</v>
          </cell>
          <cell r="G4817">
            <v>34000000</v>
          </cell>
          <cell r="H4817">
            <v>34000000</v>
          </cell>
          <cell r="I4817" t="str">
            <v/>
          </cell>
          <cell r="J4817" t="str">
            <v/>
          </cell>
          <cell r="K4817" t="str">
            <v/>
          </cell>
          <cell r="L4817" t="str">
            <v/>
          </cell>
        </row>
        <row r="4818">
          <cell r="A4818">
            <v>34000000</v>
          </cell>
          <cell r="C4818">
            <v>34000000</v>
          </cell>
          <cell r="D4818">
            <v>34000000</v>
          </cell>
          <cell r="E4818">
            <v>34000000</v>
          </cell>
          <cell r="F4818">
            <v>34000000</v>
          </cell>
          <cell r="G4818">
            <v>34000000</v>
          </cell>
          <cell r="H4818">
            <v>34000000</v>
          </cell>
          <cell r="I4818" t="str">
            <v/>
          </cell>
          <cell r="J4818" t="str">
            <v/>
          </cell>
          <cell r="K4818" t="str">
            <v/>
          </cell>
          <cell r="L4818" t="str">
            <v/>
          </cell>
        </row>
        <row r="4819">
          <cell r="A4819">
            <v>34000000</v>
          </cell>
          <cell r="C4819">
            <v>34000000</v>
          </cell>
          <cell r="D4819">
            <v>34000000</v>
          </cell>
          <cell r="E4819">
            <v>34000000</v>
          </cell>
          <cell r="F4819">
            <v>34000000</v>
          </cell>
          <cell r="G4819">
            <v>34000000</v>
          </cell>
          <cell r="H4819">
            <v>34000000</v>
          </cell>
          <cell r="I4819" t="str">
            <v/>
          </cell>
          <cell r="J4819" t="str">
            <v/>
          </cell>
          <cell r="K4819" t="str">
            <v/>
          </cell>
          <cell r="L4819" t="str">
            <v/>
          </cell>
        </row>
        <row r="4820">
          <cell r="A4820">
            <v>34000000</v>
          </cell>
          <cell r="C4820">
            <v>34000000</v>
          </cell>
          <cell r="D4820">
            <v>34000000</v>
          </cell>
          <cell r="E4820">
            <v>34000000</v>
          </cell>
          <cell r="F4820">
            <v>34000000</v>
          </cell>
          <cell r="G4820">
            <v>34000000</v>
          </cell>
          <cell r="H4820">
            <v>34000000</v>
          </cell>
          <cell r="I4820" t="str">
            <v/>
          </cell>
          <cell r="J4820" t="str">
            <v/>
          </cell>
          <cell r="K4820" t="str">
            <v/>
          </cell>
          <cell r="L4820" t="str">
            <v/>
          </cell>
        </row>
        <row r="4821">
          <cell r="A4821">
            <v>34000000</v>
          </cell>
          <cell r="C4821">
            <v>34000000</v>
          </cell>
          <cell r="D4821">
            <v>34000000</v>
          </cell>
          <cell r="E4821">
            <v>34000000</v>
          </cell>
          <cell r="F4821">
            <v>34000000</v>
          </cell>
          <cell r="G4821">
            <v>34000000</v>
          </cell>
          <cell r="H4821">
            <v>34000000</v>
          </cell>
          <cell r="I4821" t="str">
            <v/>
          </cell>
          <cell r="J4821" t="str">
            <v/>
          </cell>
          <cell r="K4821" t="str">
            <v/>
          </cell>
          <cell r="L4821" t="str">
            <v/>
          </cell>
        </row>
        <row r="4822">
          <cell r="A4822">
            <v>34000000</v>
          </cell>
          <cell r="C4822">
            <v>34000000</v>
          </cell>
          <cell r="D4822">
            <v>34000000</v>
          </cell>
          <cell r="E4822">
            <v>34000000</v>
          </cell>
          <cell r="F4822">
            <v>34000000</v>
          </cell>
          <cell r="G4822">
            <v>34000000</v>
          </cell>
          <cell r="H4822">
            <v>34000000</v>
          </cell>
          <cell r="I4822" t="str">
            <v/>
          </cell>
          <cell r="J4822" t="str">
            <v/>
          </cell>
          <cell r="K4822" t="str">
            <v/>
          </cell>
          <cell r="L4822" t="str">
            <v/>
          </cell>
        </row>
        <row r="4823">
          <cell r="A4823">
            <v>34000000</v>
          </cell>
          <cell r="C4823">
            <v>34000000</v>
          </cell>
          <cell r="D4823">
            <v>34000000</v>
          </cell>
          <cell r="E4823">
            <v>34000000</v>
          </cell>
          <cell r="F4823">
            <v>34000000</v>
          </cell>
          <cell r="G4823">
            <v>34000000</v>
          </cell>
          <cell r="H4823">
            <v>34000000</v>
          </cell>
          <cell r="I4823" t="str">
            <v/>
          </cell>
          <cell r="J4823" t="str">
            <v/>
          </cell>
          <cell r="K4823" t="str">
            <v/>
          </cell>
          <cell r="L4823" t="str">
            <v/>
          </cell>
        </row>
        <row r="4824">
          <cell r="A4824">
            <v>34000000</v>
          </cell>
          <cell r="C4824">
            <v>34000000</v>
          </cell>
          <cell r="D4824">
            <v>34000000</v>
          </cell>
          <cell r="E4824">
            <v>34000000</v>
          </cell>
          <cell r="F4824">
            <v>34000000</v>
          </cell>
          <cell r="G4824">
            <v>34000000</v>
          </cell>
          <cell r="H4824">
            <v>34000000</v>
          </cell>
          <cell r="I4824" t="str">
            <v/>
          </cell>
          <cell r="J4824" t="str">
            <v/>
          </cell>
          <cell r="K4824" t="str">
            <v/>
          </cell>
          <cell r="L4824" t="str">
            <v/>
          </cell>
        </row>
        <row r="4825">
          <cell r="A4825">
            <v>34000000</v>
          </cell>
          <cell r="C4825">
            <v>34000000</v>
          </cell>
          <cell r="D4825">
            <v>34000000</v>
          </cell>
          <cell r="E4825">
            <v>34000000</v>
          </cell>
          <cell r="F4825">
            <v>34000000</v>
          </cell>
          <cell r="G4825">
            <v>34000000</v>
          </cell>
          <cell r="H4825">
            <v>34000000</v>
          </cell>
          <cell r="I4825" t="str">
            <v/>
          </cell>
          <cell r="J4825" t="str">
            <v/>
          </cell>
          <cell r="K4825" t="str">
            <v/>
          </cell>
          <cell r="L4825" t="str">
            <v/>
          </cell>
        </row>
        <row r="4826">
          <cell r="A4826">
            <v>34000000</v>
          </cell>
          <cell r="C4826">
            <v>34000000</v>
          </cell>
          <cell r="D4826">
            <v>34000000</v>
          </cell>
          <cell r="E4826">
            <v>34000000</v>
          </cell>
          <cell r="F4826">
            <v>34000000</v>
          </cell>
          <cell r="G4826">
            <v>34000000</v>
          </cell>
          <cell r="H4826">
            <v>34000000</v>
          </cell>
          <cell r="I4826" t="str">
            <v/>
          </cell>
          <cell r="J4826" t="str">
            <v/>
          </cell>
          <cell r="K4826" t="str">
            <v/>
          </cell>
          <cell r="L4826" t="str">
            <v/>
          </cell>
        </row>
        <row r="4827">
          <cell r="A4827">
            <v>34000000</v>
          </cell>
          <cell r="C4827">
            <v>34000000</v>
          </cell>
          <cell r="D4827">
            <v>34000000</v>
          </cell>
          <cell r="E4827">
            <v>34000000</v>
          </cell>
          <cell r="F4827">
            <v>34000000</v>
          </cell>
          <cell r="G4827">
            <v>34000000</v>
          </cell>
          <cell r="H4827">
            <v>34000000</v>
          </cell>
          <cell r="I4827" t="str">
            <v/>
          </cell>
          <cell r="J4827" t="str">
            <v/>
          </cell>
          <cell r="K4827" t="str">
            <v/>
          </cell>
          <cell r="L4827" t="str">
            <v/>
          </cell>
        </row>
        <row r="4828">
          <cell r="A4828">
            <v>34000000</v>
          </cell>
          <cell r="C4828">
            <v>34000000</v>
          </cell>
          <cell r="D4828">
            <v>34000000</v>
          </cell>
          <cell r="E4828">
            <v>34000000</v>
          </cell>
          <cell r="F4828">
            <v>34000000</v>
          </cell>
          <cell r="G4828">
            <v>34000000</v>
          </cell>
          <cell r="H4828">
            <v>34000000</v>
          </cell>
          <cell r="I4828" t="str">
            <v/>
          </cell>
          <cell r="J4828" t="str">
            <v/>
          </cell>
          <cell r="K4828" t="str">
            <v/>
          </cell>
          <cell r="L4828" t="str">
            <v/>
          </cell>
        </row>
        <row r="4829">
          <cell r="A4829">
            <v>34000000</v>
          </cell>
          <cell r="C4829">
            <v>34000000</v>
          </cell>
          <cell r="D4829">
            <v>34000000</v>
          </cell>
          <cell r="E4829">
            <v>34000000</v>
          </cell>
          <cell r="F4829">
            <v>34000000</v>
          </cell>
          <cell r="G4829">
            <v>34000000</v>
          </cell>
          <cell r="H4829">
            <v>34000000</v>
          </cell>
          <cell r="I4829" t="str">
            <v/>
          </cell>
          <cell r="J4829" t="str">
            <v/>
          </cell>
          <cell r="K4829" t="str">
            <v/>
          </cell>
          <cell r="L4829" t="str">
            <v/>
          </cell>
        </row>
        <row r="4830">
          <cell r="A4830">
            <v>34000000</v>
          </cell>
          <cell r="C4830">
            <v>34000000</v>
          </cell>
          <cell r="D4830">
            <v>34000000</v>
          </cell>
          <cell r="E4830">
            <v>34000000</v>
          </cell>
          <cell r="F4830">
            <v>34000000</v>
          </cell>
          <cell r="G4830">
            <v>34000000</v>
          </cell>
          <cell r="H4830">
            <v>34000000</v>
          </cell>
          <cell r="I4830" t="str">
            <v/>
          </cell>
          <cell r="J4830" t="str">
            <v/>
          </cell>
          <cell r="K4830" t="str">
            <v/>
          </cell>
          <cell r="L4830" t="str">
            <v/>
          </cell>
        </row>
        <row r="4831">
          <cell r="A4831">
            <v>34000000</v>
          </cell>
          <cell r="C4831">
            <v>34000000</v>
          </cell>
          <cell r="D4831">
            <v>34000000</v>
          </cell>
          <cell r="E4831">
            <v>34000000</v>
          </cell>
          <cell r="F4831">
            <v>34000000</v>
          </cell>
          <cell r="G4831">
            <v>34000000</v>
          </cell>
          <cell r="H4831">
            <v>34000000</v>
          </cell>
          <cell r="I4831" t="str">
            <v/>
          </cell>
          <cell r="J4831" t="str">
            <v/>
          </cell>
          <cell r="K4831" t="str">
            <v/>
          </cell>
          <cell r="L4831" t="str">
            <v/>
          </cell>
        </row>
        <row r="4832">
          <cell r="A4832">
            <v>34000000</v>
          </cell>
          <cell r="C4832">
            <v>34000000</v>
          </cell>
          <cell r="D4832">
            <v>34000000</v>
          </cell>
          <cell r="E4832">
            <v>34000000</v>
          </cell>
          <cell r="F4832">
            <v>34000000</v>
          </cell>
          <cell r="G4832">
            <v>34000000</v>
          </cell>
          <cell r="H4832">
            <v>34000000</v>
          </cell>
          <cell r="I4832" t="str">
            <v/>
          </cell>
          <cell r="J4832" t="str">
            <v/>
          </cell>
          <cell r="K4832" t="str">
            <v/>
          </cell>
          <cell r="L4832" t="str">
            <v/>
          </cell>
        </row>
        <row r="4833">
          <cell r="A4833">
            <v>34000000</v>
          </cell>
          <cell r="C4833">
            <v>34000000</v>
          </cell>
          <cell r="D4833">
            <v>34000000</v>
          </cell>
          <cell r="E4833">
            <v>34000000</v>
          </cell>
          <cell r="F4833">
            <v>34000000</v>
          </cell>
          <cell r="G4833">
            <v>34000000</v>
          </cell>
          <cell r="H4833">
            <v>34000000</v>
          </cell>
          <cell r="I4833" t="str">
            <v/>
          </cell>
          <cell r="J4833" t="str">
            <v/>
          </cell>
          <cell r="K4833" t="str">
            <v/>
          </cell>
          <cell r="L4833" t="str">
            <v/>
          </cell>
        </row>
        <row r="4834">
          <cell r="A4834">
            <v>34000000</v>
          </cell>
          <cell r="C4834">
            <v>34000000</v>
          </cell>
          <cell r="D4834">
            <v>34000000</v>
          </cell>
          <cell r="E4834">
            <v>34000000</v>
          </cell>
          <cell r="F4834">
            <v>34000000</v>
          </cell>
          <cell r="G4834">
            <v>34000000</v>
          </cell>
          <cell r="H4834">
            <v>34000000</v>
          </cell>
          <cell r="I4834" t="str">
            <v/>
          </cell>
          <cell r="J4834" t="str">
            <v/>
          </cell>
          <cell r="K4834" t="str">
            <v/>
          </cell>
          <cell r="L4834" t="str">
            <v/>
          </cell>
        </row>
        <row r="4835">
          <cell r="A4835">
            <v>34000000</v>
          </cell>
          <cell r="C4835">
            <v>34000000</v>
          </cell>
          <cell r="D4835">
            <v>34000000</v>
          </cell>
          <cell r="E4835">
            <v>34000000</v>
          </cell>
          <cell r="F4835">
            <v>34000000</v>
          </cell>
          <cell r="G4835">
            <v>34000000</v>
          </cell>
          <cell r="H4835">
            <v>34000000</v>
          </cell>
          <cell r="I4835" t="str">
            <v/>
          </cell>
          <cell r="J4835" t="str">
            <v/>
          </cell>
          <cell r="K4835" t="str">
            <v/>
          </cell>
          <cell r="L4835" t="str">
            <v/>
          </cell>
        </row>
        <row r="4836">
          <cell r="A4836">
            <v>34000000</v>
          </cell>
          <cell r="C4836">
            <v>34000000</v>
          </cell>
          <cell r="D4836">
            <v>34000000</v>
          </cell>
          <cell r="E4836">
            <v>34000000</v>
          </cell>
          <cell r="F4836">
            <v>34000000</v>
          </cell>
          <cell r="G4836">
            <v>34000000</v>
          </cell>
          <cell r="H4836">
            <v>34000000</v>
          </cell>
          <cell r="I4836" t="str">
            <v/>
          </cell>
          <cell r="J4836" t="str">
            <v/>
          </cell>
          <cell r="K4836" t="str">
            <v/>
          </cell>
          <cell r="L4836" t="str">
            <v/>
          </cell>
        </row>
        <row r="4837">
          <cell r="A4837">
            <v>34000000</v>
          </cell>
          <cell r="C4837">
            <v>34000000</v>
          </cell>
          <cell r="D4837">
            <v>34000000</v>
          </cell>
          <cell r="E4837">
            <v>34000000</v>
          </cell>
          <cell r="F4837">
            <v>34000000</v>
          </cell>
          <cell r="G4837">
            <v>34000000</v>
          </cell>
          <cell r="H4837">
            <v>34000000</v>
          </cell>
          <cell r="I4837" t="str">
            <v/>
          </cell>
          <cell r="J4837" t="str">
            <v/>
          </cell>
          <cell r="K4837" t="str">
            <v/>
          </cell>
          <cell r="L4837" t="str">
            <v/>
          </cell>
        </row>
        <row r="4838">
          <cell r="A4838">
            <v>34000000</v>
          </cell>
          <cell r="C4838">
            <v>34000000</v>
          </cell>
          <cell r="D4838">
            <v>34000000</v>
          </cell>
          <cell r="E4838">
            <v>34000000</v>
          </cell>
          <cell r="F4838">
            <v>34000000</v>
          </cell>
          <cell r="G4838">
            <v>34000000</v>
          </cell>
          <cell r="H4838">
            <v>34000000</v>
          </cell>
          <cell r="I4838" t="str">
            <v/>
          </cell>
          <cell r="J4838" t="str">
            <v/>
          </cell>
          <cell r="K4838" t="str">
            <v/>
          </cell>
          <cell r="L4838" t="str">
            <v/>
          </cell>
        </row>
        <row r="4839">
          <cell r="A4839">
            <v>34000000</v>
          </cell>
          <cell r="C4839">
            <v>34000000</v>
          </cell>
          <cell r="D4839">
            <v>34000000</v>
          </cell>
          <cell r="E4839">
            <v>34000000</v>
          </cell>
          <cell r="F4839">
            <v>34000000</v>
          </cell>
          <cell r="G4839">
            <v>34000000</v>
          </cell>
          <cell r="H4839">
            <v>34000000</v>
          </cell>
          <cell r="I4839" t="str">
            <v/>
          </cell>
          <cell r="J4839" t="str">
            <v/>
          </cell>
          <cell r="K4839" t="str">
            <v/>
          </cell>
          <cell r="L4839" t="str">
            <v/>
          </cell>
        </row>
        <row r="4840">
          <cell r="A4840">
            <v>34000000</v>
          </cell>
          <cell r="C4840">
            <v>34000000</v>
          </cell>
          <cell r="D4840">
            <v>34000000</v>
          </cell>
          <cell r="E4840">
            <v>34000000</v>
          </cell>
          <cell r="F4840">
            <v>34000000</v>
          </cell>
          <cell r="G4840">
            <v>34000000</v>
          </cell>
          <cell r="H4840">
            <v>34000000</v>
          </cell>
          <cell r="I4840" t="str">
            <v/>
          </cell>
          <cell r="J4840" t="str">
            <v/>
          </cell>
          <cell r="K4840" t="str">
            <v/>
          </cell>
          <cell r="L4840" t="str">
            <v/>
          </cell>
        </row>
        <row r="4841">
          <cell r="A4841">
            <v>34000000</v>
          </cell>
          <cell r="C4841">
            <v>34000000</v>
          </cell>
          <cell r="D4841">
            <v>34000000</v>
          </cell>
          <cell r="E4841">
            <v>34000000</v>
          </cell>
          <cell r="F4841">
            <v>34000000</v>
          </cell>
          <cell r="G4841">
            <v>34000000</v>
          </cell>
          <cell r="H4841">
            <v>34000000</v>
          </cell>
          <cell r="I4841" t="str">
            <v/>
          </cell>
          <cell r="J4841" t="str">
            <v/>
          </cell>
          <cell r="K4841" t="str">
            <v/>
          </cell>
          <cell r="L4841" t="str">
            <v/>
          </cell>
        </row>
        <row r="4842">
          <cell r="A4842">
            <v>34000000</v>
          </cell>
          <cell r="C4842">
            <v>34000000</v>
          </cell>
          <cell r="D4842">
            <v>34000000</v>
          </cell>
          <cell r="E4842">
            <v>34000000</v>
          </cell>
          <cell r="F4842">
            <v>34000000</v>
          </cell>
          <cell r="G4842">
            <v>34000000</v>
          </cell>
          <cell r="H4842">
            <v>34000000</v>
          </cell>
          <cell r="I4842" t="str">
            <v/>
          </cell>
          <cell r="J4842" t="str">
            <v/>
          </cell>
          <cell r="K4842" t="str">
            <v/>
          </cell>
          <cell r="L4842" t="str">
            <v/>
          </cell>
        </row>
        <row r="4843">
          <cell r="A4843">
            <v>34000000</v>
          </cell>
          <cell r="C4843">
            <v>34000000</v>
          </cell>
          <cell r="D4843">
            <v>34000000</v>
          </cell>
          <cell r="E4843">
            <v>34000000</v>
          </cell>
          <cell r="F4843">
            <v>34000000</v>
          </cell>
          <cell r="G4843">
            <v>34000000</v>
          </cell>
          <cell r="H4843">
            <v>34000000</v>
          </cell>
          <cell r="I4843" t="str">
            <v/>
          </cell>
          <cell r="J4843" t="str">
            <v/>
          </cell>
          <cell r="K4843" t="str">
            <v/>
          </cell>
          <cell r="L4843" t="str">
            <v/>
          </cell>
        </row>
        <row r="4844">
          <cell r="A4844">
            <v>34000000</v>
          </cell>
          <cell r="C4844">
            <v>34000000</v>
          </cell>
          <cell r="D4844">
            <v>34000000</v>
          </cell>
          <cell r="E4844">
            <v>34000000</v>
          </cell>
          <cell r="F4844">
            <v>34000000</v>
          </cell>
          <cell r="G4844">
            <v>34000000</v>
          </cell>
          <cell r="H4844">
            <v>34000000</v>
          </cell>
          <cell r="I4844" t="str">
            <v/>
          </cell>
          <cell r="J4844" t="str">
            <v/>
          </cell>
          <cell r="K4844" t="str">
            <v/>
          </cell>
          <cell r="L4844" t="str">
            <v/>
          </cell>
        </row>
        <row r="4845">
          <cell r="A4845">
            <v>34000000</v>
          </cell>
          <cell r="C4845">
            <v>34000000</v>
          </cell>
          <cell r="D4845">
            <v>34000000</v>
          </cell>
          <cell r="E4845">
            <v>34000000</v>
          </cell>
          <cell r="F4845">
            <v>34000000</v>
          </cell>
          <cell r="G4845">
            <v>34000000</v>
          </cell>
          <cell r="H4845">
            <v>34000000</v>
          </cell>
          <cell r="I4845" t="str">
            <v/>
          </cell>
          <cell r="J4845" t="str">
            <v/>
          </cell>
          <cell r="K4845" t="str">
            <v/>
          </cell>
          <cell r="L4845" t="str">
            <v/>
          </cell>
        </row>
        <row r="4846">
          <cell r="A4846">
            <v>34000000</v>
          </cell>
          <cell r="C4846">
            <v>34000000</v>
          </cell>
          <cell r="D4846">
            <v>34000000</v>
          </cell>
          <cell r="E4846">
            <v>34000000</v>
          </cell>
          <cell r="F4846">
            <v>34000000</v>
          </cell>
          <cell r="G4846">
            <v>34000000</v>
          </cell>
          <cell r="H4846">
            <v>34000000</v>
          </cell>
          <cell r="I4846" t="str">
            <v/>
          </cell>
          <cell r="J4846" t="str">
            <v/>
          </cell>
          <cell r="K4846" t="str">
            <v/>
          </cell>
          <cell r="L4846" t="str">
            <v/>
          </cell>
        </row>
        <row r="4847">
          <cell r="A4847">
            <v>34000000</v>
          </cell>
          <cell r="C4847">
            <v>34000000</v>
          </cell>
          <cell r="D4847">
            <v>34000000</v>
          </cell>
          <cell r="E4847">
            <v>34000000</v>
          </cell>
          <cell r="F4847">
            <v>34000000</v>
          </cell>
          <cell r="G4847">
            <v>34000000</v>
          </cell>
          <cell r="H4847">
            <v>34000000</v>
          </cell>
          <cell r="I4847" t="str">
            <v/>
          </cell>
          <cell r="J4847" t="str">
            <v/>
          </cell>
          <cell r="K4847" t="str">
            <v/>
          </cell>
          <cell r="L4847" t="str">
            <v/>
          </cell>
        </row>
        <row r="4848">
          <cell r="A4848">
            <v>34000000</v>
          </cell>
          <cell r="C4848">
            <v>34000000</v>
          </cell>
          <cell r="D4848">
            <v>34000000</v>
          </cell>
          <cell r="E4848">
            <v>34000000</v>
          </cell>
          <cell r="F4848">
            <v>34000000</v>
          </cell>
          <cell r="G4848">
            <v>34000000</v>
          </cell>
          <cell r="H4848">
            <v>34000000</v>
          </cell>
          <cell r="I4848" t="str">
            <v/>
          </cell>
          <cell r="J4848" t="str">
            <v/>
          </cell>
          <cell r="K4848" t="str">
            <v/>
          </cell>
          <cell r="L4848" t="str">
            <v/>
          </cell>
        </row>
        <row r="4849">
          <cell r="A4849">
            <v>34000000</v>
          </cell>
          <cell r="C4849">
            <v>34000000</v>
          </cell>
          <cell r="D4849">
            <v>34000000</v>
          </cell>
          <cell r="E4849">
            <v>34000000</v>
          </cell>
          <cell r="F4849">
            <v>34000000</v>
          </cell>
          <cell r="G4849">
            <v>34000000</v>
          </cell>
          <cell r="H4849">
            <v>34000000</v>
          </cell>
          <cell r="I4849" t="str">
            <v/>
          </cell>
          <cell r="J4849" t="str">
            <v/>
          </cell>
          <cell r="K4849" t="str">
            <v/>
          </cell>
          <cell r="L4849" t="str">
            <v/>
          </cell>
        </row>
        <row r="4850">
          <cell r="A4850">
            <v>34000000</v>
          </cell>
          <cell r="C4850">
            <v>34000000</v>
          </cell>
          <cell r="D4850">
            <v>34000000</v>
          </cell>
          <cell r="E4850">
            <v>34000000</v>
          </cell>
          <cell r="F4850">
            <v>34000000</v>
          </cell>
          <cell r="G4850">
            <v>34000000</v>
          </cell>
          <cell r="H4850">
            <v>34000000</v>
          </cell>
          <cell r="I4850" t="str">
            <v/>
          </cell>
          <cell r="J4850" t="str">
            <v/>
          </cell>
          <cell r="K4850" t="str">
            <v/>
          </cell>
          <cell r="L4850" t="str">
            <v/>
          </cell>
        </row>
        <row r="4851">
          <cell r="A4851">
            <v>34000000</v>
          </cell>
          <cell r="C4851">
            <v>34000000</v>
          </cell>
          <cell r="D4851">
            <v>34000000</v>
          </cell>
          <cell r="E4851">
            <v>34000000</v>
          </cell>
          <cell r="F4851">
            <v>34000000</v>
          </cell>
          <cell r="G4851">
            <v>34000000</v>
          </cell>
          <cell r="H4851">
            <v>34000000</v>
          </cell>
          <cell r="I4851" t="str">
            <v/>
          </cell>
          <cell r="J4851" t="str">
            <v/>
          </cell>
          <cell r="K4851" t="str">
            <v/>
          </cell>
          <cell r="L4851" t="str">
            <v/>
          </cell>
        </row>
        <row r="4852">
          <cell r="A4852">
            <v>34000000</v>
          </cell>
          <cell r="C4852">
            <v>34000000</v>
          </cell>
          <cell r="D4852">
            <v>34000000</v>
          </cell>
          <cell r="E4852">
            <v>34000000</v>
          </cell>
          <cell r="F4852">
            <v>34000000</v>
          </cell>
          <cell r="G4852">
            <v>34000000</v>
          </cell>
          <cell r="H4852">
            <v>34000000</v>
          </cell>
          <cell r="I4852" t="str">
            <v/>
          </cell>
          <cell r="J4852" t="str">
            <v/>
          </cell>
          <cell r="K4852" t="str">
            <v/>
          </cell>
          <cell r="L4852" t="str">
            <v/>
          </cell>
        </row>
        <row r="4853">
          <cell r="A4853">
            <v>34000000</v>
          </cell>
          <cell r="C4853">
            <v>34000000</v>
          </cell>
          <cell r="D4853">
            <v>34000000</v>
          </cell>
          <cell r="E4853">
            <v>34000000</v>
          </cell>
          <cell r="F4853">
            <v>34000000</v>
          </cell>
          <cell r="G4853">
            <v>34000000</v>
          </cell>
          <cell r="H4853">
            <v>34000000</v>
          </cell>
          <cell r="I4853" t="str">
            <v/>
          </cell>
          <cell r="J4853" t="str">
            <v/>
          </cell>
          <cell r="K4853" t="str">
            <v/>
          </cell>
          <cell r="L4853" t="str">
            <v/>
          </cell>
        </row>
        <row r="4854">
          <cell r="A4854">
            <v>34000000</v>
          </cell>
          <cell r="C4854">
            <v>34000000</v>
          </cell>
          <cell r="D4854">
            <v>34000000</v>
          </cell>
          <cell r="E4854">
            <v>34000000</v>
          </cell>
          <cell r="F4854">
            <v>34000000</v>
          </cell>
          <cell r="G4854">
            <v>34000000</v>
          </cell>
          <cell r="H4854">
            <v>34000000</v>
          </cell>
          <cell r="I4854" t="str">
            <v/>
          </cell>
          <cell r="J4854" t="str">
            <v/>
          </cell>
          <cell r="K4854" t="str">
            <v/>
          </cell>
          <cell r="L4854" t="str">
            <v/>
          </cell>
        </row>
        <row r="4855">
          <cell r="A4855">
            <v>34000000</v>
          </cell>
          <cell r="C4855">
            <v>34000000</v>
          </cell>
          <cell r="D4855">
            <v>34000000</v>
          </cell>
          <cell r="E4855">
            <v>34000000</v>
          </cell>
          <cell r="F4855">
            <v>34000000</v>
          </cell>
          <cell r="G4855">
            <v>34000000</v>
          </cell>
          <cell r="H4855">
            <v>34000000</v>
          </cell>
          <cell r="I4855" t="str">
            <v/>
          </cell>
          <cell r="J4855" t="str">
            <v/>
          </cell>
          <cell r="K4855" t="str">
            <v/>
          </cell>
          <cell r="L4855" t="str">
            <v/>
          </cell>
        </row>
        <row r="4856">
          <cell r="A4856">
            <v>34000000</v>
          </cell>
          <cell r="C4856">
            <v>34000000</v>
          </cell>
          <cell r="D4856">
            <v>34000000</v>
          </cell>
          <cell r="E4856">
            <v>34000000</v>
          </cell>
          <cell r="F4856">
            <v>34000000</v>
          </cell>
          <cell r="G4856">
            <v>34000000</v>
          </cell>
          <cell r="H4856">
            <v>34000000</v>
          </cell>
          <cell r="I4856" t="str">
            <v/>
          </cell>
          <cell r="J4856" t="str">
            <v/>
          </cell>
          <cell r="K4856" t="str">
            <v/>
          </cell>
          <cell r="L4856" t="str">
            <v/>
          </cell>
        </row>
        <row r="4857">
          <cell r="A4857">
            <v>34000000</v>
          </cell>
          <cell r="C4857">
            <v>34000000</v>
          </cell>
          <cell r="D4857">
            <v>34000000</v>
          </cell>
          <cell r="E4857">
            <v>34000000</v>
          </cell>
          <cell r="F4857">
            <v>34000000</v>
          </cell>
          <cell r="G4857">
            <v>34000000</v>
          </cell>
          <cell r="H4857">
            <v>34000000</v>
          </cell>
          <cell r="I4857" t="str">
            <v/>
          </cell>
          <cell r="J4857" t="str">
            <v/>
          </cell>
          <cell r="K4857" t="str">
            <v/>
          </cell>
          <cell r="L4857" t="str">
            <v/>
          </cell>
        </row>
        <row r="4858">
          <cell r="A4858">
            <v>34000000</v>
          </cell>
          <cell r="C4858">
            <v>34000000</v>
          </cell>
          <cell r="D4858">
            <v>34000000</v>
          </cell>
          <cell r="E4858">
            <v>34000000</v>
          </cell>
          <cell r="F4858">
            <v>34000000</v>
          </cell>
          <cell r="G4858">
            <v>34000000</v>
          </cell>
          <cell r="H4858">
            <v>34000000</v>
          </cell>
          <cell r="I4858" t="str">
            <v/>
          </cell>
          <cell r="J4858" t="str">
            <v/>
          </cell>
          <cell r="K4858" t="str">
            <v/>
          </cell>
          <cell r="L4858" t="str">
            <v/>
          </cell>
        </row>
        <row r="4859">
          <cell r="A4859">
            <v>34000000</v>
          </cell>
          <cell r="C4859">
            <v>34000000</v>
          </cell>
          <cell r="D4859">
            <v>34000000</v>
          </cell>
          <cell r="E4859">
            <v>34000000</v>
          </cell>
          <cell r="F4859">
            <v>34000000</v>
          </cell>
          <cell r="G4859">
            <v>34000000</v>
          </cell>
          <cell r="H4859">
            <v>34000000</v>
          </cell>
          <cell r="I4859" t="str">
            <v/>
          </cell>
          <cell r="J4859" t="str">
            <v/>
          </cell>
          <cell r="K4859" t="str">
            <v/>
          </cell>
          <cell r="L4859" t="str">
            <v/>
          </cell>
        </row>
        <row r="4860">
          <cell r="A4860">
            <v>34000000</v>
          </cell>
          <cell r="C4860">
            <v>34000000</v>
          </cell>
          <cell r="D4860">
            <v>34000000</v>
          </cell>
          <cell r="E4860">
            <v>34000000</v>
          </cell>
          <cell r="F4860">
            <v>34000000</v>
          </cell>
          <cell r="G4860">
            <v>34000000</v>
          </cell>
          <cell r="H4860">
            <v>34000000</v>
          </cell>
          <cell r="I4860" t="str">
            <v/>
          </cell>
          <cell r="J4860" t="str">
            <v/>
          </cell>
          <cell r="K4860" t="str">
            <v/>
          </cell>
          <cell r="L4860" t="str">
            <v/>
          </cell>
        </row>
        <row r="4861">
          <cell r="A4861">
            <v>34000000</v>
          </cell>
          <cell r="C4861">
            <v>34000000</v>
          </cell>
          <cell r="D4861">
            <v>34000000</v>
          </cell>
          <cell r="E4861">
            <v>34000000</v>
          </cell>
          <cell r="F4861">
            <v>34000000</v>
          </cell>
          <cell r="G4861">
            <v>34000000</v>
          </cell>
          <cell r="H4861">
            <v>34000000</v>
          </cell>
          <cell r="I4861" t="str">
            <v/>
          </cell>
          <cell r="J4861" t="str">
            <v/>
          </cell>
          <cell r="K4861" t="str">
            <v/>
          </cell>
          <cell r="L4861" t="str">
            <v/>
          </cell>
        </row>
        <row r="4862">
          <cell r="A4862">
            <v>34000000</v>
          </cell>
          <cell r="C4862">
            <v>34000000</v>
          </cell>
          <cell r="D4862">
            <v>34000000</v>
          </cell>
          <cell r="E4862">
            <v>34000000</v>
          </cell>
          <cell r="F4862">
            <v>34000000</v>
          </cell>
          <cell r="G4862">
            <v>34000000</v>
          </cell>
          <cell r="H4862">
            <v>34000000</v>
          </cell>
          <cell r="I4862" t="str">
            <v/>
          </cell>
          <cell r="J4862" t="str">
            <v/>
          </cell>
          <cell r="K4862" t="str">
            <v/>
          </cell>
          <cell r="L4862" t="str">
            <v/>
          </cell>
        </row>
        <row r="4863">
          <cell r="A4863">
            <v>34000000</v>
          </cell>
          <cell r="C4863">
            <v>34000000</v>
          </cell>
          <cell r="D4863">
            <v>34000000</v>
          </cell>
          <cell r="E4863">
            <v>34000000</v>
          </cell>
          <cell r="F4863">
            <v>34000000</v>
          </cell>
          <cell r="G4863">
            <v>34000000</v>
          </cell>
          <cell r="H4863">
            <v>34000000</v>
          </cell>
          <cell r="I4863" t="str">
            <v/>
          </cell>
          <cell r="J4863" t="str">
            <v/>
          </cell>
          <cell r="K4863" t="str">
            <v/>
          </cell>
          <cell r="L4863" t="str">
            <v/>
          </cell>
        </row>
        <row r="4864">
          <cell r="A4864">
            <v>34000000</v>
          </cell>
          <cell r="C4864">
            <v>34000000</v>
          </cell>
          <cell r="D4864">
            <v>34000000</v>
          </cell>
          <cell r="E4864">
            <v>34000000</v>
          </cell>
          <cell r="F4864">
            <v>34000000</v>
          </cell>
          <cell r="G4864">
            <v>34000000</v>
          </cell>
          <cell r="H4864">
            <v>34000000</v>
          </cell>
          <cell r="I4864" t="str">
            <v/>
          </cell>
          <cell r="J4864" t="str">
            <v/>
          </cell>
          <cell r="K4864" t="str">
            <v/>
          </cell>
          <cell r="L4864" t="str">
            <v/>
          </cell>
        </row>
        <row r="4865">
          <cell r="A4865">
            <v>34000000</v>
          </cell>
          <cell r="C4865">
            <v>34000000</v>
          </cell>
          <cell r="D4865">
            <v>34000000</v>
          </cell>
          <cell r="E4865">
            <v>34000000</v>
          </cell>
          <cell r="F4865">
            <v>34000000</v>
          </cell>
          <cell r="G4865">
            <v>34000000</v>
          </cell>
          <cell r="H4865">
            <v>34000000</v>
          </cell>
          <cell r="I4865" t="str">
            <v/>
          </cell>
          <cell r="J4865" t="str">
            <v/>
          </cell>
          <cell r="K4865" t="str">
            <v/>
          </cell>
          <cell r="L4865" t="str">
            <v/>
          </cell>
        </row>
        <row r="4866">
          <cell r="A4866">
            <v>34000000</v>
          </cell>
          <cell r="C4866">
            <v>34000000</v>
          </cell>
          <cell r="D4866">
            <v>34000000</v>
          </cell>
          <cell r="E4866">
            <v>34000000</v>
          </cell>
          <cell r="F4866">
            <v>34000000</v>
          </cell>
          <cell r="G4866">
            <v>34000000</v>
          </cell>
          <cell r="H4866">
            <v>34000000</v>
          </cell>
          <cell r="I4866" t="str">
            <v/>
          </cell>
          <cell r="J4866" t="str">
            <v/>
          </cell>
          <cell r="K4866" t="str">
            <v/>
          </cell>
          <cell r="L4866" t="str">
            <v/>
          </cell>
        </row>
        <row r="4867">
          <cell r="A4867">
            <v>34000000</v>
          </cell>
          <cell r="C4867">
            <v>34000000</v>
          </cell>
          <cell r="D4867">
            <v>34000000</v>
          </cell>
          <cell r="E4867">
            <v>34000000</v>
          </cell>
          <cell r="F4867">
            <v>34000000</v>
          </cell>
          <cell r="G4867">
            <v>34000000</v>
          </cell>
          <cell r="H4867">
            <v>34000000</v>
          </cell>
          <cell r="I4867" t="str">
            <v/>
          </cell>
          <cell r="J4867" t="str">
            <v/>
          </cell>
          <cell r="K4867" t="str">
            <v/>
          </cell>
          <cell r="L4867" t="str">
            <v/>
          </cell>
        </row>
        <row r="4868">
          <cell r="A4868">
            <v>34000000</v>
          </cell>
          <cell r="C4868">
            <v>34000000</v>
          </cell>
          <cell r="D4868">
            <v>34000000</v>
          </cell>
          <cell r="E4868">
            <v>34000000</v>
          </cell>
          <cell r="F4868">
            <v>34000000</v>
          </cell>
          <cell r="G4868">
            <v>34000000</v>
          </cell>
          <cell r="H4868">
            <v>34000000</v>
          </cell>
          <cell r="I4868" t="str">
            <v/>
          </cell>
          <cell r="J4868" t="str">
            <v/>
          </cell>
          <cell r="K4868" t="str">
            <v/>
          </cell>
          <cell r="L4868" t="str">
            <v/>
          </cell>
        </row>
        <row r="4869">
          <cell r="A4869">
            <v>34000000</v>
          </cell>
          <cell r="C4869">
            <v>34000000</v>
          </cell>
          <cell r="D4869">
            <v>34000000</v>
          </cell>
          <cell r="E4869">
            <v>34000000</v>
          </cell>
          <cell r="F4869">
            <v>34000000</v>
          </cell>
          <cell r="G4869">
            <v>34000000</v>
          </cell>
          <cell r="H4869">
            <v>34000000</v>
          </cell>
          <cell r="I4869" t="str">
            <v/>
          </cell>
          <cell r="J4869" t="str">
            <v/>
          </cell>
          <cell r="K4869" t="str">
            <v/>
          </cell>
          <cell r="L4869" t="str">
            <v/>
          </cell>
        </row>
        <row r="4870">
          <cell r="A4870">
            <v>34000000</v>
          </cell>
          <cell r="C4870">
            <v>34000000</v>
          </cell>
          <cell r="D4870">
            <v>34000000</v>
          </cell>
          <cell r="E4870">
            <v>34000000</v>
          </cell>
          <cell r="F4870">
            <v>34000000</v>
          </cell>
          <cell r="G4870">
            <v>34000000</v>
          </cell>
          <cell r="H4870">
            <v>34000000</v>
          </cell>
          <cell r="I4870" t="str">
            <v/>
          </cell>
          <cell r="J4870" t="str">
            <v/>
          </cell>
          <cell r="K4870" t="str">
            <v/>
          </cell>
          <cell r="L4870" t="str">
            <v/>
          </cell>
        </row>
        <row r="4871">
          <cell r="A4871">
            <v>34000000</v>
          </cell>
          <cell r="C4871">
            <v>34000000</v>
          </cell>
          <cell r="D4871">
            <v>34000000</v>
          </cell>
          <cell r="E4871">
            <v>34000000</v>
          </cell>
          <cell r="F4871">
            <v>34000000</v>
          </cell>
          <cell r="G4871">
            <v>34000000</v>
          </cell>
          <cell r="H4871">
            <v>34000000</v>
          </cell>
          <cell r="I4871" t="str">
            <v/>
          </cell>
          <cell r="J4871" t="str">
            <v/>
          </cell>
          <cell r="K4871" t="str">
            <v/>
          </cell>
          <cell r="L4871" t="str">
            <v/>
          </cell>
        </row>
        <row r="4872">
          <cell r="A4872">
            <v>34000000</v>
          </cell>
          <cell r="C4872">
            <v>34000000</v>
          </cell>
          <cell r="D4872">
            <v>34000000</v>
          </cell>
          <cell r="E4872">
            <v>34000000</v>
          </cell>
          <cell r="F4872">
            <v>34000000</v>
          </cell>
          <cell r="G4872">
            <v>34000000</v>
          </cell>
          <cell r="H4872">
            <v>34000000</v>
          </cell>
          <cell r="I4872" t="str">
            <v/>
          </cell>
          <cell r="J4872" t="str">
            <v/>
          </cell>
          <cell r="K4872" t="str">
            <v/>
          </cell>
          <cell r="L4872" t="str">
            <v/>
          </cell>
        </row>
        <row r="4873">
          <cell r="A4873">
            <v>34000000</v>
          </cell>
          <cell r="C4873">
            <v>34000000</v>
          </cell>
          <cell r="D4873">
            <v>34000000</v>
          </cell>
          <cell r="E4873">
            <v>34000000</v>
          </cell>
          <cell r="F4873">
            <v>34000000</v>
          </cell>
          <cell r="G4873">
            <v>34000000</v>
          </cell>
          <cell r="H4873">
            <v>34000000</v>
          </cell>
          <cell r="I4873" t="str">
            <v/>
          </cell>
          <cell r="J4873" t="str">
            <v/>
          </cell>
          <cell r="K4873" t="str">
            <v/>
          </cell>
          <cell r="L4873" t="str">
            <v/>
          </cell>
        </row>
        <row r="4874">
          <cell r="A4874">
            <v>34000000</v>
          </cell>
          <cell r="C4874">
            <v>34000000</v>
          </cell>
          <cell r="D4874">
            <v>34000000</v>
          </cell>
          <cell r="E4874">
            <v>34000000</v>
          </cell>
          <cell r="F4874">
            <v>34000000</v>
          </cell>
          <cell r="G4874">
            <v>34000000</v>
          </cell>
          <cell r="H4874">
            <v>34000000</v>
          </cell>
          <cell r="I4874" t="str">
            <v/>
          </cell>
          <cell r="J4874" t="str">
            <v/>
          </cell>
          <cell r="K4874" t="str">
            <v/>
          </cell>
          <cell r="L4874" t="str">
            <v/>
          </cell>
        </row>
        <row r="4875">
          <cell r="A4875">
            <v>34000000</v>
          </cell>
          <cell r="C4875">
            <v>34000000</v>
          </cell>
          <cell r="D4875">
            <v>34000000</v>
          </cell>
          <cell r="E4875">
            <v>34000000</v>
          </cell>
          <cell r="F4875">
            <v>34000000</v>
          </cell>
          <cell r="G4875">
            <v>34000000</v>
          </cell>
          <cell r="H4875">
            <v>34000000</v>
          </cell>
          <cell r="I4875" t="str">
            <v/>
          </cell>
          <cell r="J4875" t="str">
            <v/>
          </cell>
          <cell r="K4875" t="str">
            <v/>
          </cell>
          <cell r="L4875" t="str">
            <v/>
          </cell>
        </row>
        <row r="4876">
          <cell r="A4876">
            <v>34000000</v>
          </cell>
          <cell r="C4876">
            <v>34000000</v>
          </cell>
          <cell r="D4876">
            <v>34000000</v>
          </cell>
          <cell r="E4876">
            <v>34000000</v>
          </cell>
          <cell r="F4876">
            <v>34000000</v>
          </cell>
          <cell r="G4876">
            <v>34000000</v>
          </cell>
          <cell r="H4876">
            <v>34000000</v>
          </cell>
          <cell r="I4876" t="str">
            <v/>
          </cell>
          <cell r="J4876" t="str">
            <v/>
          </cell>
          <cell r="K4876" t="str">
            <v/>
          </cell>
          <cell r="L4876" t="str">
            <v/>
          </cell>
        </row>
        <row r="4877">
          <cell r="A4877">
            <v>34000000</v>
          </cell>
          <cell r="C4877">
            <v>34000000</v>
          </cell>
          <cell r="D4877">
            <v>34000000</v>
          </cell>
          <cell r="E4877">
            <v>34000000</v>
          </cell>
          <cell r="F4877">
            <v>34000000</v>
          </cell>
          <cell r="G4877">
            <v>34000000</v>
          </cell>
          <cell r="H4877">
            <v>34000000</v>
          </cell>
          <cell r="I4877" t="str">
            <v/>
          </cell>
          <cell r="J4877" t="str">
            <v/>
          </cell>
          <cell r="K4877" t="str">
            <v/>
          </cell>
          <cell r="L4877" t="str">
            <v/>
          </cell>
        </row>
        <row r="4878">
          <cell r="A4878">
            <v>34000000</v>
          </cell>
          <cell r="C4878">
            <v>34000000</v>
          </cell>
          <cell r="D4878">
            <v>34000000</v>
          </cell>
          <cell r="E4878">
            <v>34000000</v>
          </cell>
          <cell r="F4878">
            <v>34000000</v>
          </cell>
          <cell r="G4878">
            <v>34000000</v>
          </cell>
          <cell r="H4878">
            <v>34000000</v>
          </cell>
          <cell r="I4878" t="str">
            <v/>
          </cell>
          <cell r="J4878" t="str">
            <v/>
          </cell>
          <cell r="K4878" t="str">
            <v/>
          </cell>
          <cell r="L4878" t="str">
            <v/>
          </cell>
        </row>
        <row r="4879">
          <cell r="A4879">
            <v>34000000</v>
          </cell>
          <cell r="C4879">
            <v>34000000</v>
          </cell>
          <cell r="D4879">
            <v>34000000</v>
          </cell>
          <cell r="E4879">
            <v>34000000</v>
          </cell>
          <cell r="F4879">
            <v>34000000</v>
          </cell>
          <cell r="G4879">
            <v>34000000</v>
          </cell>
          <cell r="H4879">
            <v>34000000</v>
          </cell>
          <cell r="I4879" t="str">
            <v/>
          </cell>
          <cell r="J4879" t="str">
            <v/>
          </cell>
          <cell r="K4879" t="str">
            <v/>
          </cell>
          <cell r="L4879" t="str">
            <v/>
          </cell>
        </row>
        <row r="4880">
          <cell r="A4880">
            <v>34000000</v>
          </cell>
          <cell r="C4880">
            <v>34000000</v>
          </cell>
          <cell r="D4880">
            <v>34000000</v>
          </cell>
          <cell r="E4880">
            <v>34000000</v>
          </cell>
          <cell r="F4880">
            <v>34000000</v>
          </cell>
          <cell r="G4880">
            <v>34000000</v>
          </cell>
          <cell r="H4880">
            <v>34000000</v>
          </cell>
          <cell r="I4880" t="str">
            <v/>
          </cell>
          <cell r="J4880" t="str">
            <v/>
          </cell>
          <cell r="K4880" t="str">
            <v/>
          </cell>
          <cell r="L4880" t="str">
            <v/>
          </cell>
        </row>
        <row r="4881">
          <cell r="A4881">
            <v>34000000</v>
          </cell>
          <cell r="C4881">
            <v>34000000</v>
          </cell>
          <cell r="D4881">
            <v>34000000</v>
          </cell>
          <cell r="E4881">
            <v>34000000</v>
          </cell>
          <cell r="F4881">
            <v>34000000</v>
          </cell>
          <cell r="G4881">
            <v>34000000</v>
          </cell>
          <cell r="H4881">
            <v>34000000</v>
          </cell>
          <cell r="I4881" t="str">
            <v/>
          </cell>
          <cell r="J4881" t="str">
            <v/>
          </cell>
          <cell r="K4881" t="str">
            <v/>
          </cell>
          <cell r="L4881" t="str">
            <v/>
          </cell>
        </row>
        <row r="4882">
          <cell r="A4882">
            <v>34000000</v>
          </cell>
          <cell r="C4882">
            <v>34000000</v>
          </cell>
          <cell r="D4882">
            <v>34000000</v>
          </cell>
          <cell r="E4882">
            <v>34000000</v>
          </cell>
          <cell r="F4882">
            <v>34000000</v>
          </cell>
          <cell r="G4882">
            <v>34000000</v>
          </cell>
          <cell r="H4882">
            <v>34000000</v>
          </cell>
          <cell r="I4882" t="str">
            <v/>
          </cell>
          <cell r="J4882" t="str">
            <v/>
          </cell>
          <cell r="K4882" t="str">
            <v/>
          </cell>
          <cell r="L4882" t="str">
            <v/>
          </cell>
        </row>
        <row r="4883">
          <cell r="A4883">
            <v>34000000</v>
          </cell>
          <cell r="C4883">
            <v>34000000</v>
          </cell>
          <cell r="D4883">
            <v>34000000</v>
          </cell>
          <cell r="E4883">
            <v>34000000</v>
          </cell>
          <cell r="F4883">
            <v>34000000</v>
          </cell>
          <cell r="G4883">
            <v>34000000</v>
          </cell>
          <cell r="H4883">
            <v>34000000</v>
          </cell>
          <cell r="I4883" t="str">
            <v/>
          </cell>
          <cell r="J4883" t="str">
            <v/>
          </cell>
          <cell r="K4883" t="str">
            <v/>
          </cell>
          <cell r="L4883" t="str">
            <v/>
          </cell>
        </row>
        <row r="4884">
          <cell r="A4884">
            <v>34000000</v>
          </cell>
          <cell r="C4884">
            <v>34000000</v>
          </cell>
          <cell r="D4884">
            <v>34000000</v>
          </cell>
          <cell r="E4884">
            <v>34000000</v>
          </cell>
          <cell r="F4884">
            <v>34000000</v>
          </cell>
          <cell r="G4884">
            <v>34000000</v>
          </cell>
          <cell r="H4884">
            <v>34000000</v>
          </cell>
          <cell r="I4884" t="str">
            <v/>
          </cell>
          <cell r="J4884" t="str">
            <v/>
          </cell>
          <cell r="K4884" t="str">
            <v/>
          </cell>
          <cell r="L4884" t="str">
            <v/>
          </cell>
        </row>
        <row r="4885">
          <cell r="A4885">
            <v>34000000</v>
          </cell>
          <cell r="C4885">
            <v>34000000</v>
          </cell>
          <cell r="D4885">
            <v>34000000</v>
          </cell>
          <cell r="E4885">
            <v>34000000</v>
          </cell>
          <cell r="F4885">
            <v>34000000</v>
          </cell>
          <cell r="G4885">
            <v>34000000</v>
          </cell>
          <cell r="H4885">
            <v>34000000</v>
          </cell>
          <cell r="I4885" t="str">
            <v/>
          </cell>
          <cell r="J4885" t="str">
            <v/>
          </cell>
          <cell r="K4885" t="str">
            <v/>
          </cell>
          <cell r="L4885" t="str">
            <v/>
          </cell>
        </row>
        <row r="4886">
          <cell r="A4886">
            <v>34000000</v>
          </cell>
          <cell r="C4886">
            <v>34000000</v>
          </cell>
          <cell r="D4886">
            <v>34000000</v>
          </cell>
          <cell r="E4886">
            <v>34000000</v>
          </cell>
          <cell r="F4886">
            <v>34000000</v>
          </cell>
          <cell r="G4886">
            <v>34000000</v>
          </cell>
          <cell r="H4886">
            <v>34000000</v>
          </cell>
          <cell r="I4886" t="str">
            <v/>
          </cell>
          <cell r="J4886" t="str">
            <v/>
          </cell>
          <cell r="K4886" t="str">
            <v/>
          </cell>
          <cell r="L4886" t="str">
            <v/>
          </cell>
        </row>
        <row r="4887">
          <cell r="A4887">
            <v>34000000</v>
          </cell>
          <cell r="C4887">
            <v>34000000</v>
          </cell>
          <cell r="D4887">
            <v>34000000</v>
          </cell>
          <cell r="E4887">
            <v>34000000</v>
          </cell>
          <cell r="F4887">
            <v>34000000</v>
          </cell>
          <cell r="G4887">
            <v>34000000</v>
          </cell>
          <cell r="H4887">
            <v>34000000</v>
          </cell>
          <cell r="I4887" t="str">
            <v/>
          </cell>
          <cell r="J4887" t="str">
            <v/>
          </cell>
          <cell r="K4887" t="str">
            <v/>
          </cell>
          <cell r="L4887" t="str">
            <v/>
          </cell>
        </row>
        <row r="4888">
          <cell r="A4888">
            <v>34000000</v>
          </cell>
          <cell r="C4888">
            <v>34000000</v>
          </cell>
          <cell r="D4888">
            <v>34000000</v>
          </cell>
          <cell r="E4888">
            <v>34000000</v>
          </cell>
          <cell r="F4888">
            <v>34000000</v>
          </cell>
          <cell r="G4888">
            <v>34000000</v>
          </cell>
          <cell r="H4888">
            <v>34000000</v>
          </cell>
          <cell r="I4888" t="str">
            <v/>
          </cell>
          <cell r="J4888" t="str">
            <v/>
          </cell>
          <cell r="K4888" t="str">
            <v/>
          </cell>
          <cell r="L4888" t="str">
            <v/>
          </cell>
        </row>
        <row r="4889">
          <cell r="A4889">
            <v>34000000</v>
          </cell>
          <cell r="C4889">
            <v>34000000</v>
          </cell>
          <cell r="D4889">
            <v>34000000</v>
          </cell>
          <cell r="E4889">
            <v>34000000</v>
          </cell>
          <cell r="F4889">
            <v>34000000</v>
          </cell>
          <cell r="G4889">
            <v>34000000</v>
          </cell>
          <cell r="H4889">
            <v>34000000</v>
          </cell>
          <cell r="I4889" t="str">
            <v/>
          </cell>
          <cell r="J4889" t="str">
            <v/>
          </cell>
          <cell r="K4889" t="str">
            <v/>
          </cell>
          <cell r="L4889" t="str">
            <v/>
          </cell>
        </row>
        <row r="4890">
          <cell r="A4890">
            <v>34000000</v>
          </cell>
          <cell r="C4890">
            <v>34000000</v>
          </cell>
          <cell r="D4890">
            <v>34000000</v>
          </cell>
          <cell r="E4890">
            <v>34000000</v>
          </cell>
          <cell r="F4890">
            <v>34000000</v>
          </cell>
          <cell r="G4890">
            <v>34000000</v>
          </cell>
          <cell r="H4890">
            <v>34000000</v>
          </cell>
          <cell r="I4890" t="str">
            <v/>
          </cell>
          <cell r="J4890" t="str">
            <v/>
          </cell>
          <cell r="K4890" t="str">
            <v/>
          </cell>
          <cell r="L4890" t="str">
            <v/>
          </cell>
        </row>
        <row r="4891">
          <cell r="A4891">
            <v>34000000</v>
          </cell>
          <cell r="C4891">
            <v>34000000</v>
          </cell>
          <cell r="D4891">
            <v>34000000</v>
          </cell>
          <cell r="E4891">
            <v>34000000</v>
          </cell>
          <cell r="F4891">
            <v>34000000</v>
          </cell>
          <cell r="G4891">
            <v>34000000</v>
          </cell>
          <cell r="H4891">
            <v>34000000</v>
          </cell>
          <cell r="I4891" t="str">
            <v/>
          </cell>
          <cell r="J4891" t="str">
            <v/>
          </cell>
          <cell r="K4891" t="str">
            <v/>
          </cell>
          <cell r="L4891" t="str">
            <v/>
          </cell>
        </row>
        <row r="4892">
          <cell r="A4892">
            <v>34000000</v>
          </cell>
          <cell r="C4892">
            <v>34000000</v>
          </cell>
          <cell r="D4892">
            <v>34000000</v>
          </cell>
          <cell r="E4892">
            <v>34000000</v>
          </cell>
          <cell r="F4892">
            <v>34000000</v>
          </cell>
          <cell r="G4892">
            <v>34000000</v>
          </cell>
          <cell r="H4892">
            <v>34000000</v>
          </cell>
          <cell r="I4892" t="str">
            <v/>
          </cell>
          <cell r="J4892" t="str">
            <v/>
          </cell>
          <cell r="K4892" t="str">
            <v/>
          </cell>
          <cell r="L4892" t="str">
            <v/>
          </cell>
        </row>
        <row r="4893">
          <cell r="A4893">
            <v>34000000</v>
          </cell>
          <cell r="C4893">
            <v>34000000</v>
          </cell>
          <cell r="D4893">
            <v>34000000</v>
          </cell>
          <cell r="E4893">
            <v>34000000</v>
          </cell>
          <cell r="F4893">
            <v>34000000</v>
          </cell>
          <cell r="G4893">
            <v>34000000</v>
          </cell>
          <cell r="H4893">
            <v>34000000</v>
          </cell>
          <cell r="I4893" t="str">
            <v/>
          </cell>
          <cell r="J4893" t="str">
            <v/>
          </cell>
          <cell r="K4893" t="str">
            <v/>
          </cell>
          <cell r="L4893" t="str">
            <v/>
          </cell>
        </row>
        <row r="4894">
          <cell r="A4894">
            <v>34000000</v>
          </cell>
          <cell r="C4894">
            <v>34000000</v>
          </cell>
          <cell r="D4894">
            <v>34000000</v>
          </cell>
          <cell r="E4894">
            <v>34000000</v>
          </cell>
          <cell r="F4894">
            <v>34000000</v>
          </cell>
          <cell r="G4894">
            <v>34000000</v>
          </cell>
          <cell r="H4894">
            <v>34000000</v>
          </cell>
          <cell r="I4894" t="str">
            <v/>
          </cell>
          <cell r="J4894" t="str">
            <v/>
          </cell>
          <cell r="K4894" t="str">
            <v/>
          </cell>
          <cell r="L4894" t="str">
            <v/>
          </cell>
        </row>
        <row r="4895">
          <cell r="A4895">
            <v>34000000</v>
          </cell>
          <cell r="C4895">
            <v>34000000</v>
          </cell>
          <cell r="D4895">
            <v>34000000</v>
          </cell>
          <cell r="E4895">
            <v>34000000</v>
          </cell>
          <cell r="F4895">
            <v>34000000</v>
          </cell>
          <cell r="G4895">
            <v>34000000</v>
          </cell>
          <cell r="H4895">
            <v>34000000</v>
          </cell>
          <cell r="I4895" t="str">
            <v/>
          </cell>
          <cell r="J4895" t="str">
            <v/>
          </cell>
          <cell r="K4895" t="str">
            <v/>
          </cell>
          <cell r="L4895" t="str">
            <v/>
          </cell>
        </row>
        <row r="4896">
          <cell r="A4896">
            <v>34000000</v>
          </cell>
          <cell r="C4896">
            <v>34000000</v>
          </cell>
          <cell r="D4896">
            <v>34000000</v>
          </cell>
          <cell r="E4896">
            <v>34000000</v>
          </cell>
          <cell r="F4896">
            <v>34000000</v>
          </cell>
          <cell r="G4896">
            <v>34000000</v>
          </cell>
          <cell r="H4896">
            <v>34000000</v>
          </cell>
          <cell r="I4896" t="str">
            <v/>
          </cell>
          <cell r="J4896" t="str">
            <v/>
          </cell>
          <cell r="K4896" t="str">
            <v/>
          </cell>
          <cell r="L4896" t="str">
            <v/>
          </cell>
        </row>
        <row r="4897">
          <cell r="A4897">
            <v>34000000</v>
          </cell>
          <cell r="C4897">
            <v>34000000</v>
          </cell>
          <cell r="D4897">
            <v>34000000</v>
          </cell>
          <cell r="E4897">
            <v>34000000</v>
          </cell>
          <cell r="F4897">
            <v>34000000</v>
          </cell>
          <cell r="G4897">
            <v>34000000</v>
          </cell>
          <cell r="H4897">
            <v>34000000</v>
          </cell>
          <cell r="I4897" t="str">
            <v/>
          </cell>
          <cell r="J4897" t="str">
            <v/>
          </cell>
          <cell r="K4897" t="str">
            <v/>
          </cell>
          <cell r="L4897" t="str">
            <v/>
          </cell>
        </row>
        <row r="4898">
          <cell r="A4898">
            <v>34000000</v>
          </cell>
          <cell r="C4898">
            <v>34000000</v>
          </cell>
          <cell r="D4898">
            <v>34000000</v>
          </cell>
          <cell r="E4898">
            <v>34000000</v>
          </cell>
          <cell r="F4898">
            <v>34000000</v>
          </cell>
          <cell r="G4898">
            <v>34000000</v>
          </cell>
          <cell r="H4898">
            <v>34000000</v>
          </cell>
          <cell r="I4898" t="str">
            <v/>
          </cell>
          <cell r="J4898" t="str">
            <v/>
          </cell>
          <cell r="K4898" t="str">
            <v/>
          </cell>
          <cell r="L4898" t="str">
            <v/>
          </cell>
        </row>
        <row r="4899">
          <cell r="A4899">
            <v>34000000</v>
          </cell>
          <cell r="C4899">
            <v>34000000</v>
          </cell>
          <cell r="D4899">
            <v>34000000</v>
          </cell>
          <cell r="E4899">
            <v>34000000</v>
          </cell>
          <cell r="F4899">
            <v>34000000</v>
          </cell>
          <cell r="G4899">
            <v>34000000</v>
          </cell>
          <cell r="H4899">
            <v>34000000</v>
          </cell>
          <cell r="I4899" t="str">
            <v/>
          </cell>
          <cell r="J4899" t="str">
            <v/>
          </cell>
          <cell r="K4899" t="str">
            <v/>
          </cell>
          <cell r="L4899" t="str">
            <v/>
          </cell>
        </row>
        <row r="4900">
          <cell r="A4900">
            <v>34000000</v>
          </cell>
          <cell r="C4900">
            <v>34000000</v>
          </cell>
          <cell r="D4900">
            <v>34000000</v>
          </cell>
          <cell r="E4900">
            <v>34000000</v>
          </cell>
          <cell r="F4900">
            <v>34000000</v>
          </cell>
          <cell r="G4900">
            <v>34000000</v>
          </cell>
          <cell r="H4900">
            <v>34000000</v>
          </cell>
          <cell r="I4900" t="str">
            <v/>
          </cell>
          <cell r="J4900" t="str">
            <v/>
          </cell>
          <cell r="K4900" t="str">
            <v/>
          </cell>
          <cell r="L4900" t="str">
            <v/>
          </cell>
        </row>
        <row r="4901">
          <cell r="A4901">
            <v>34000000</v>
          </cell>
          <cell r="C4901">
            <v>34000000</v>
          </cell>
          <cell r="D4901">
            <v>34000000</v>
          </cell>
          <cell r="E4901">
            <v>34000000</v>
          </cell>
          <cell r="F4901">
            <v>34000000</v>
          </cell>
          <cell r="G4901">
            <v>34000000</v>
          </cell>
          <cell r="H4901">
            <v>34000000</v>
          </cell>
          <cell r="I4901" t="str">
            <v/>
          </cell>
          <cell r="J4901" t="str">
            <v/>
          </cell>
          <cell r="K4901" t="str">
            <v/>
          </cell>
          <cell r="L4901" t="str">
            <v/>
          </cell>
        </row>
        <row r="4902">
          <cell r="A4902">
            <v>34000000</v>
          </cell>
          <cell r="C4902">
            <v>34000000</v>
          </cell>
          <cell r="D4902">
            <v>34000000</v>
          </cell>
          <cell r="E4902">
            <v>34000000</v>
          </cell>
          <cell r="F4902">
            <v>34000000</v>
          </cell>
          <cell r="G4902">
            <v>34000000</v>
          </cell>
          <cell r="H4902">
            <v>34000000</v>
          </cell>
          <cell r="I4902" t="str">
            <v/>
          </cell>
          <cell r="J4902" t="str">
            <v/>
          </cell>
          <cell r="K4902" t="str">
            <v/>
          </cell>
          <cell r="L4902" t="str">
            <v/>
          </cell>
        </row>
        <row r="4903">
          <cell r="A4903">
            <v>34000000</v>
          </cell>
          <cell r="C4903">
            <v>34000000</v>
          </cell>
          <cell r="D4903">
            <v>34000000</v>
          </cell>
          <cell r="E4903">
            <v>34000000</v>
          </cell>
          <cell r="F4903">
            <v>34000000</v>
          </cell>
          <cell r="G4903">
            <v>34000000</v>
          </cell>
          <cell r="H4903">
            <v>34000000</v>
          </cell>
          <cell r="I4903" t="str">
            <v/>
          </cell>
          <cell r="J4903" t="str">
            <v/>
          </cell>
          <cell r="K4903" t="str">
            <v/>
          </cell>
          <cell r="L4903" t="str">
            <v/>
          </cell>
        </row>
        <row r="4904">
          <cell r="A4904">
            <v>34000000</v>
          </cell>
          <cell r="C4904">
            <v>34000000</v>
          </cell>
          <cell r="D4904">
            <v>34000000</v>
          </cell>
          <cell r="E4904">
            <v>34000000</v>
          </cell>
          <cell r="F4904">
            <v>34000000</v>
          </cell>
          <cell r="G4904">
            <v>34000000</v>
          </cell>
          <cell r="H4904">
            <v>34000000</v>
          </cell>
          <cell r="I4904" t="str">
            <v/>
          </cell>
          <cell r="J4904" t="str">
            <v/>
          </cell>
          <cell r="K4904" t="str">
            <v/>
          </cell>
          <cell r="L4904" t="str">
            <v/>
          </cell>
        </row>
        <row r="4905">
          <cell r="A4905">
            <v>34000000</v>
          </cell>
          <cell r="C4905">
            <v>34000000</v>
          </cell>
          <cell r="D4905">
            <v>34000000</v>
          </cell>
          <cell r="E4905">
            <v>34000000</v>
          </cell>
          <cell r="F4905">
            <v>34000000</v>
          </cell>
          <cell r="G4905">
            <v>34000000</v>
          </cell>
          <cell r="H4905">
            <v>34000000</v>
          </cell>
          <cell r="I4905" t="str">
            <v/>
          </cell>
          <cell r="J4905" t="str">
            <v/>
          </cell>
          <cell r="K4905" t="str">
            <v/>
          </cell>
          <cell r="L4905" t="str">
            <v/>
          </cell>
        </row>
        <row r="4906">
          <cell r="A4906">
            <v>34000000</v>
          </cell>
          <cell r="C4906">
            <v>34000000</v>
          </cell>
          <cell r="D4906">
            <v>34000000</v>
          </cell>
          <cell r="E4906">
            <v>34000000</v>
          </cell>
          <cell r="F4906">
            <v>34000000</v>
          </cell>
          <cell r="G4906">
            <v>34000000</v>
          </cell>
          <cell r="H4906">
            <v>34000000</v>
          </cell>
          <cell r="I4906" t="str">
            <v/>
          </cell>
          <cell r="J4906" t="str">
            <v/>
          </cell>
          <cell r="K4906" t="str">
            <v/>
          </cell>
          <cell r="L4906" t="str">
            <v/>
          </cell>
        </row>
        <row r="4907">
          <cell r="A4907">
            <v>34000000</v>
          </cell>
          <cell r="C4907">
            <v>34000000</v>
          </cell>
          <cell r="D4907">
            <v>34000000</v>
          </cell>
          <cell r="E4907">
            <v>34000000</v>
          </cell>
          <cell r="F4907">
            <v>34000000</v>
          </cell>
          <cell r="G4907">
            <v>34000000</v>
          </cell>
          <cell r="H4907">
            <v>34000000</v>
          </cell>
          <cell r="I4907" t="str">
            <v/>
          </cell>
          <cell r="J4907" t="str">
            <v/>
          </cell>
          <cell r="K4907" t="str">
            <v/>
          </cell>
          <cell r="L4907" t="str">
            <v/>
          </cell>
        </row>
        <row r="4908">
          <cell r="A4908">
            <v>34000000</v>
          </cell>
          <cell r="C4908">
            <v>34000000</v>
          </cell>
          <cell r="D4908">
            <v>34000000</v>
          </cell>
          <cell r="E4908">
            <v>34000000</v>
          </cell>
          <cell r="F4908">
            <v>34000000</v>
          </cell>
          <cell r="G4908">
            <v>34000000</v>
          </cell>
          <cell r="H4908">
            <v>34000000</v>
          </cell>
          <cell r="I4908" t="str">
            <v/>
          </cell>
          <cell r="J4908" t="str">
            <v/>
          </cell>
          <cell r="K4908" t="str">
            <v/>
          </cell>
          <cell r="L4908" t="str">
            <v/>
          </cell>
        </row>
        <row r="4909">
          <cell r="A4909">
            <v>34000000</v>
          </cell>
          <cell r="C4909">
            <v>34000000</v>
          </cell>
          <cell r="D4909">
            <v>34000000</v>
          </cell>
          <cell r="E4909">
            <v>34000000</v>
          </cell>
          <cell r="F4909">
            <v>34000000</v>
          </cell>
          <cell r="G4909">
            <v>34000000</v>
          </cell>
          <cell r="H4909">
            <v>34000000</v>
          </cell>
          <cell r="I4909" t="str">
            <v/>
          </cell>
          <cell r="J4909" t="str">
            <v/>
          </cell>
          <cell r="K4909" t="str">
            <v/>
          </cell>
          <cell r="L4909" t="str">
            <v/>
          </cell>
        </row>
        <row r="4910">
          <cell r="A4910">
            <v>34000000</v>
          </cell>
          <cell r="C4910">
            <v>34000000</v>
          </cell>
          <cell r="D4910">
            <v>34000000</v>
          </cell>
          <cell r="E4910">
            <v>34000000</v>
          </cell>
          <cell r="F4910">
            <v>34000000</v>
          </cell>
          <cell r="G4910">
            <v>34000000</v>
          </cell>
          <cell r="H4910">
            <v>34000000</v>
          </cell>
          <cell r="I4910" t="str">
            <v/>
          </cell>
          <cell r="J4910" t="str">
            <v/>
          </cell>
          <cell r="K4910" t="str">
            <v/>
          </cell>
          <cell r="L4910" t="str">
            <v/>
          </cell>
        </row>
        <row r="4911">
          <cell r="A4911">
            <v>34000000</v>
          </cell>
          <cell r="C4911">
            <v>34000000</v>
          </cell>
          <cell r="D4911">
            <v>34000000</v>
          </cell>
          <cell r="E4911">
            <v>34000000</v>
          </cell>
          <cell r="F4911">
            <v>34000000</v>
          </cell>
          <cell r="G4911">
            <v>34000000</v>
          </cell>
          <cell r="H4911">
            <v>34000000</v>
          </cell>
          <cell r="I4911" t="str">
            <v/>
          </cell>
          <cell r="J4911" t="str">
            <v/>
          </cell>
          <cell r="K4911" t="str">
            <v/>
          </cell>
          <cell r="L4911" t="str">
            <v/>
          </cell>
        </row>
        <row r="4912">
          <cell r="A4912">
            <v>34000000</v>
          </cell>
          <cell r="C4912">
            <v>34000000</v>
          </cell>
          <cell r="D4912">
            <v>34000000</v>
          </cell>
          <cell r="E4912">
            <v>34000000</v>
          </cell>
          <cell r="F4912">
            <v>34000000</v>
          </cell>
          <cell r="G4912">
            <v>34000000</v>
          </cell>
          <cell r="H4912">
            <v>34000000</v>
          </cell>
          <cell r="I4912" t="str">
            <v/>
          </cell>
          <cell r="J4912" t="str">
            <v/>
          </cell>
          <cell r="K4912" t="str">
            <v/>
          </cell>
          <cell r="L4912" t="str">
            <v/>
          </cell>
        </row>
        <row r="4913">
          <cell r="A4913">
            <v>34000000</v>
          </cell>
          <cell r="C4913">
            <v>34000000</v>
          </cell>
          <cell r="D4913">
            <v>34000000</v>
          </cell>
          <cell r="E4913">
            <v>34000000</v>
          </cell>
          <cell r="F4913">
            <v>34000000</v>
          </cell>
          <cell r="G4913">
            <v>34000000</v>
          </cell>
          <cell r="H4913">
            <v>34000000</v>
          </cell>
          <cell r="I4913" t="str">
            <v/>
          </cell>
          <cell r="J4913" t="str">
            <v/>
          </cell>
          <cell r="K4913" t="str">
            <v/>
          </cell>
          <cell r="L4913" t="str">
            <v/>
          </cell>
        </row>
        <row r="4914">
          <cell r="A4914">
            <v>34000000</v>
          </cell>
          <cell r="C4914">
            <v>34000000</v>
          </cell>
          <cell r="D4914">
            <v>34000000</v>
          </cell>
          <cell r="E4914">
            <v>34000000</v>
          </cell>
          <cell r="F4914">
            <v>34000000</v>
          </cell>
          <cell r="G4914">
            <v>34000000</v>
          </cell>
          <cell r="H4914">
            <v>34000000</v>
          </cell>
          <cell r="I4914" t="str">
            <v/>
          </cell>
          <cell r="J4914" t="str">
            <v/>
          </cell>
          <cell r="K4914" t="str">
            <v/>
          </cell>
          <cell r="L4914" t="str">
            <v/>
          </cell>
        </row>
        <row r="4915">
          <cell r="A4915">
            <v>34000000</v>
          </cell>
          <cell r="C4915">
            <v>34000000</v>
          </cell>
          <cell r="D4915">
            <v>34000000</v>
          </cell>
          <cell r="E4915">
            <v>34000000</v>
          </cell>
          <cell r="F4915">
            <v>34000000</v>
          </cell>
          <cell r="G4915">
            <v>34000000</v>
          </cell>
          <cell r="H4915">
            <v>34000000</v>
          </cell>
          <cell r="I4915" t="str">
            <v/>
          </cell>
          <cell r="J4915" t="str">
            <v/>
          </cell>
          <cell r="K4915" t="str">
            <v/>
          </cell>
          <cell r="L4915" t="str">
            <v/>
          </cell>
        </row>
        <row r="4916">
          <cell r="A4916">
            <v>34000000</v>
          </cell>
          <cell r="C4916">
            <v>34000000</v>
          </cell>
          <cell r="D4916">
            <v>34000000</v>
          </cell>
          <cell r="E4916">
            <v>34000000</v>
          </cell>
          <cell r="F4916">
            <v>34000000</v>
          </cell>
          <cell r="G4916">
            <v>34000000</v>
          </cell>
          <cell r="H4916">
            <v>34000000</v>
          </cell>
          <cell r="I4916" t="str">
            <v/>
          </cell>
          <cell r="J4916" t="str">
            <v/>
          </cell>
          <cell r="K4916" t="str">
            <v/>
          </cell>
          <cell r="L4916" t="str">
            <v/>
          </cell>
        </row>
        <row r="4917">
          <cell r="A4917">
            <v>34000000</v>
          </cell>
          <cell r="C4917">
            <v>34000000</v>
          </cell>
          <cell r="D4917">
            <v>34000000</v>
          </cell>
          <cell r="E4917">
            <v>34000000</v>
          </cell>
          <cell r="F4917">
            <v>34000000</v>
          </cell>
          <cell r="G4917">
            <v>34000000</v>
          </cell>
          <cell r="H4917">
            <v>34000000</v>
          </cell>
          <cell r="I4917" t="str">
            <v/>
          </cell>
          <cell r="J4917" t="str">
            <v/>
          </cell>
          <cell r="K4917" t="str">
            <v/>
          </cell>
          <cell r="L4917" t="str">
            <v/>
          </cell>
        </row>
        <row r="4918">
          <cell r="A4918">
            <v>34000000</v>
          </cell>
          <cell r="C4918">
            <v>34000000</v>
          </cell>
          <cell r="D4918">
            <v>34000000</v>
          </cell>
          <cell r="E4918">
            <v>34000000</v>
          </cell>
          <cell r="F4918">
            <v>34000000</v>
          </cell>
          <cell r="G4918">
            <v>34000000</v>
          </cell>
          <cell r="H4918">
            <v>34000000</v>
          </cell>
          <cell r="I4918" t="str">
            <v/>
          </cell>
          <cell r="J4918" t="str">
            <v/>
          </cell>
          <cell r="K4918" t="str">
            <v/>
          </cell>
          <cell r="L4918" t="str">
            <v/>
          </cell>
        </row>
        <row r="4919">
          <cell r="A4919">
            <v>34000000</v>
          </cell>
          <cell r="C4919">
            <v>34000000</v>
          </cell>
          <cell r="D4919">
            <v>34000000</v>
          </cell>
          <cell r="E4919">
            <v>34000000</v>
          </cell>
          <cell r="F4919">
            <v>34000000</v>
          </cell>
          <cell r="G4919">
            <v>34000000</v>
          </cell>
          <cell r="H4919">
            <v>34000000</v>
          </cell>
          <cell r="I4919" t="str">
            <v/>
          </cell>
          <cell r="J4919" t="str">
            <v/>
          </cell>
          <cell r="K4919" t="str">
            <v/>
          </cell>
          <cell r="L4919" t="str">
            <v/>
          </cell>
        </row>
        <row r="4920">
          <cell r="A4920">
            <v>34000000</v>
          </cell>
          <cell r="C4920">
            <v>34000000</v>
          </cell>
          <cell r="D4920">
            <v>34000000</v>
          </cell>
          <cell r="E4920">
            <v>34000000</v>
          </cell>
          <cell r="F4920">
            <v>34000000</v>
          </cell>
          <cell r="G4920">
            <v>34000000</v>
          </cell>
          <cell r="H4920">
            <v>34000000</v>
          </cell>
          <cell r="I4920" t="str">
            <v/>
          </cell>
          <cell r="J4920" t="str">
            <v/>
          </cell>
          <cell r="K4920" t="str">
            <v/>
          </cell>
          <cell r="L4920" t="str">
            <v/>
          </cell>
        </row>
        <row r="4921">
          <cell r="A4921">
            <v>34000000</v>
          </cell>
          <cell r="C4921">
            <v>34000000</v>
          </cell>
          <cell r="D4921">
            <v>34000000</v>
          </cell>
          <cell r="E4921">
            <v>34000000</v>
          </cell>
          <cell r="F4921">
            <v>34000000</v>
          </cell>
          <cell r="G4921">
            <v>34000000</v>
          </cell>
          <cell r="H4921">
            <v>34000000</v>
          </cell>
          <cell r="I4921" t="str">
            <v/>
          </cell>
          <cell r="J4921" t="str">
            <v/>
          </cell>
          <cell r="K4921" t="str">
            <v/>
          </cell>
          <cell r="L4921" t="str">
            <v/>
          </cell>
        </row>
        <row r="4922">
          <cell r="A4922">
            <v>34000000</v>
          </cell>
          <cell r="C4922">
            <v>34000000</v>
          </cell>
          <cell r="D4922">
            <v>34000000</v>
          </cell>
          <cell r="E4922">
            <v>34000000</v>
          </cell>
          <cell r="F4922">
            <v>34000000</v>
          </cell>
          <cell r="G4922">
            <v>34000000</v>
          </cell>
          <cell r="H4922">
            <v>34000000</v>
          </cell>
          <cell r="I4922" t="str">
            <v/>
          </cell>
          <cell r="J4922" t="str">
            <v/>
          </cell>
          <cell r="K4922" t="str">
            <v/>
          </cell>
          <cell r="L4922" t="str">
            <v/>
          </cell>
        </row>
        <row r="4923">
          <cell r="A4923">
            <v>34000000</v>
          </cell>
          <cell r="C4923">
            <v>34000000</v>
          </cell>
          <cell r="D4923">
            <v>34000000</v>
          </cell>
          <cell r="E4923">
            <v>34000000</v>
          </cell>
          <cell r="F4923">
            <v>34000000</v>
          </cell>
          <cell r="G4923">
            <v>34000000</v>
          </cell>
          <cell r="H4923">
            <v>34000000</v>
          </cell>
          <cell r="I4923" t="str">
            <v/>
          </cell>
          <cell r="J4923" t="str">
            <v/>
          </cell>
          <cell r="K4923" t="str">
            <v/>
          </cell>
          <cell r="L4923" t="str">
            <v/>
          </cell>
        </row>
        <row r="4924">
          <cell r="A4924">
            <v>34000000</v>
          </cell>
          <cell r="C4924">
            <v>34000000</v>
          </cell>
          <cell r="D4924">
            <v>34000000</v>
          </cell>
          <cell r="E4924">
            <v>34000000</v>
          </cell>
          <cell r="F4924">
            <v>34000000</v>
          </cell>
          <cell r="G4924">
            <v>34000000</v>
          </cell>
          <cell r="H4924">
            <v>34000000</v>
          </cell>
          <cell r="I4924" t="str">
            <v/>
          </cell>
          <cell r="J4924" t="str">
            <v/>
          </cell>
          <cell r="K4924" t="str">
            <v/>
          </cell>
          <cell r="L4924" t="str">
            <v/>
          </cell>
        </row>
        <row r="4925">
          <cell r="A4925">
            <v>34000000</v>
          </cell>
          <cell r="C4925">
            <v>34000000</v>
          </cell>
          <cell r="D4925">
            <v>34000000</v>
          </cell>
          <cell r="E4925">
            <v>34000000</v>
          </cell>
          <cell r="F4925">
            <v>34000000</v>
          </cell>
          <cell r="G4925">
            <v>34000000</v>
          </cell>
          <cell r="H4925">
            <v>34000000</v>
          </cell>
          <cell r="I4925" t="str">
            <v/>
          </cell>
          <cell r="J4925" t="str">
            <v/>
          </cell>
          <cell r="K4925" t="str">
            <v/>
          </cell>
          <cell r="L4925" t="str">
            <v/>
          </cell>
        </row>
        <row r="4926">
          <cell r="A4926">
            <v>34000000</v>
          </cell>
          <cell r="C4926">
            <v>34000000</v>
          </cell>
          <cell r="D4926">
            <v>34000000</v>
          </cell>
          <cell r="E4926">
            <v>34000000</v>
          </cell>
          <cell r="F4926">
            <v>34000000</v>
          </cell>
          <cell r="G4926">
            <v>34000000</v>
          </cell>
          <cell r="H4926">
            <v>34000000</v>
          </cell>
          <cell r="I4926" t="str">
            <v/>
          </cell>
          <cell r="J4926" t="str">
            <v/>
          </cell>
          <cell r="K4926" t="str">
            <v/>
          </cell>
          <cell r="L4926" t="str">
            <v/>
          </cell>
        </row>
        <row r="4927">
          <cell r="A4927">
            <v>34000000</v>
          </cell>
          <cell r="C4927">
            <v>34000000</v>
          </cell>
          <cell r="D4927">
            <v>34000000</v>
          </cell>
          <cell r="E4927">
            <v>34000000</v>
          </cell>
          <cell r="F4927">
            <v>34000000</v>
          </cell>
          <cell r="G4927">
            <v>34000000</v>
          </cell>
          <cell r="H4927">
            <v>34000000</v>
          </cell>
          <cell r="I4927" t="str">
            <v/>
          </cell>
          <cell r="J4927" t="str">
            <v/>
          </cell>
          <cell r="K4927" t="str">
            <v/>
          </cell>
          <cell r="L4927" t="str">
            <v/>
          </cell>
        </row>
        <row r="4928">
          <cell r="A4928">
            <v>34000000</v>
          </cell>
          <cell r="C4928">
            <v>34000000</v>
          </cell>
          <cell r="D4928">
            <v>34000000</v>
          </cell>
          <cell r="E4928">
            <v>34000000</v>
          </cell>
          <cell r="F4928">
            <v>34000000</v>
          </cell>
          <cell r="G4928">
            <v>34000000</v>
          </cell>
          <cell r="H4928">
            <v>34000000</v>
          </cell>
          <cell r="I4928" t="str">
            <v/>
          </cell>
          <cell r="J4928" t="str">
            <v/>
          </cell>
          <cell r="K4928" t="str">
            <v/>
          </cell>
          <cell r="L4928" t="str">
            <v/>
          </cell>
        </row>
        <row r="4929">
          <cell r="A4929">
            <v>34000000</v>
          </cell>
          <cell r="C4929">
            <v>34000000</v>
          </cell>
          <cell r="D4929">
            <v>34000000</v>
          </cell>
          <cell r="E4929">
            <v>34000000</v>
          </cell>
          <cell r="F4929">
            <v>34000000</v>
          </cell>
          <cell r="G4929">
            <v>34000000</v>
          </cell>
          <cell r="H4929">
            <v>34000000</v>
          </cell>
          <cell r="I4929" t="str">
            <v/>
          </cell>
          <cell r="J4929" t="str">
            <v/>
          </cell>
          <cell r="K4929" t="str">
            <v/>
          </cell>
          <cell r="L4929" t="str">
            <v/>
          </cell>
        </row>
        <row r="4930">
          <cell r="A4930">
            <v>34000000</v>
          </cell>
          <cell r="C4930">
            <v>34000000</v>
          </cell>
          <cell r="D4930">
            <v>34000000</v>
          </cell>
          <cell r="E4930">
            <v>34000000</v>
          </cell>
          <cell r="F4930">
            <v>34000000</v>
          </cell>
          <cell r="G4930">
            <v>34000000</v>
          </cell>
          <cell r="H4930">
            <v>34000000</v>
          </cell>
          <cell r="I4930" t="str">
            <v/>
          </cell>
          <cell r="J4930" t="str">
            <v/>
          </cell>
          <cell r="K4930" t="str">
            <v/>
          </cell>
          <cell r="L4930" t="str">
            <v/>
          </cell>
        </row>
        <row r="4931">
          <cell r="A4931">
            <v>34000000</v>
          </cell>
          <cell r="C4931">
            <v>34000000</v>
          </cell>
          <cell r="D4931">
            <v>34000000</v>
          </cell>
          <cell r="E4931">
            <v>34000000</v>
          </cell>
          <cell r="F4931">
            <v>34000000</v>
          </cell>
          <cell r="G4931">
            <v>34000000</v>
          </cell>
          <cell r="H4931">
            <v>34000000</v>
          </cell>
          <cell r="I4931" t="str">
            <v/>
          </cell>
          <cell r="J4931" t="str">
            <v/>
          </cell>
          <cell r="K4931" t="str">
            <v/>
          </cell>
          <cell r="L4931" t="str">
            <v/>
          </cell>
        </row>
        <row r="4932">
          <cell r="A4932">
            <v>34000000</v>
          </cell>
          <cell r="C4932">
            <v>34000000</v>
          </cell>
          <cell r="D4932">
            <v>34000000</v>
          </cell>
          <cell r="E4932">
            <v>34000000</v>
          </cell>
          <cell r="F4932">
            <v>34000000</v>
          </cell>
          <cell r="G4932">
            <v>34000000</v>
          </cell>
          <cell r="H4932">
            <v>34000000</v>
          </cell>
          <cell r="I4932" t="str">
            <v/>
          </cell>
          <cell r="J4932" t="str">
            <v/>
          </cell>
          <cell r="K4932" t="str">
            <v/>
          </cell>
          <cell r="L4932" t="str">
            <v/>
          </cell>
        </row>
        <row r="4933">
          <cell r="A4933">
            <v>34000000</v>
          </cell>
          <cell r="C4933">
            <v>34000000</v>
          </cell>
          <cell r="D4933">
            <v>34000000</v>
          </cell>
          <cell r="E4933">
            <v>34000000</v>
          </cell>
          <cell r="F4933">
            <v>34000000</v>
          </cell>
          <cell r="G4933">
            <v>34000000</v>
          </cell>
          <cell r="H4933">
            <v>34000000</v>
          </cell>
          <cell r="I4933" t="str">
            <v/>
          </cell>
          <cell r="J4933" t="str">
            <v/>
          </cell>
          <cell r="K4933" t="str">
            <v/>
          </cell>
          <cell r="L4933" t="str">
            <v/>
          </cell>
        </row>
        <row r="4934">
          <cell r="A4934">
            <v>34000000</v>
          </cell>
          <cell r="C4934">
            <v>34000000</v>
          </cell>
          <cell r="D4934">
            <v>34000000</v>
          </cell>
          <cell r="E4934">
            <v>34000000</v>
          </cell>
          <cell r="F4934">
            <v>34000000</v>
          </cell>
          <cell r="G4934">
            <v>34000000</v>
          </cell>
          <cell r="H4934">
            <v>34000000</v>
          </cell>
          <cell r="I4934" t="str">
            <v/>
          </cell>
          <cell r="J4934" t="str">
            <v/>
          </cell>
          <cell r="K4934" t="str">
            <v/>
          </cell>
          <cell r="L4934" t="str">
            <v/>
          </cell>
        </row>
        <row r="4935">
          <cell r="A4935">
            <v>34000000</v>
          </cell>
          <cell r="C4935">
            <v>34000000</v>
          </cell>
          <cell r="D4935">
            <v>34000000</v>
          </cell>
          <cell r="E4935">
            <v>34000000</v>
          </cell>
          <cell r="F4935">
            <v>34000000</v>
          </cell>
          <cell r="G4935">
            <v>34000000</v>
          </cell>
          <cell r="H4935">
            <v>34000000</v>
          </cell>
          <cell r="I4935" t="str">
            <v/>
          </cell>
          <cell r="J4935" t="str">
            <v/>
          </cell>
          <cell r="K4935" t="str">
            <v/>
          </cell>
          <cell r="L4935" t="str">
            <v/>
          </cell>
        </row>
        <row r="4936">
          <cell r="A4936">
            <v>34000000</v>
          </cell>
          <cell r="C4936">
            <v>34000000</v>
          </cell>
          <cell r="D4936">
            <v>34000000</v>
          </cell>
          <cell r="E4936">
            <v>34000000</v>
          </cell>
          <cell r="F4936">
            <v>34000000</v>
          </cell>
          <cell r="G4936">
            <v>34000000</v>
          </cell>
          <cell r="H4936">
            <v>34000000</v>
          </cell>
          <cell r="I4936" t="str">
            <v/>
          </cell>
          <cell r="J4936" t="str">
            <v/>
          </cell>
          <cell r="K4936" t="str">
            <v/>
          </cell>
          <cell r="L4936" t="str">
            <v/>
          </cell>
        </row>
        <row r="4937">
          <cell r="A4937">
            <v>34000000</v>
          </cell>
          <cell r="C4937">
            <v>34000000</v>
          </cell>
          <cell r="D4937">
            <v>34000000</v>
          </cell>
          <cell r="E4937">
            <v>34000000</v>
          </cell>
          <cell r="F4937">
            <v>34000000</v>
          </cell>
          <cell r="G4937">
            <v>34000000</v>
          </cell>
          <cell r="H4937">
            <v>34000000</v>
          </cell>
          <cell r="I4937" t="str">
            <v/>
          </cell>
          <cell r="J4937" t="str">
            <v/>
          </cell>
          <cell r="K4937" t="str">
            <v/>
          </cell>
          <cell r="L4937" t="str">
            <v/>
          </cell>
        </row>
        <row r="4938">
          <cell r="A4938">
            <v>34000000</v>
          </cell>
          <cell r="C4938">
            <v>34000000</v>
          </cell>
          <cell r="D4938">
            <v>34000000</v>
          </cell>
          <cell r="E4938">
            <v>34000000</v>
          </cell>
          <cell r="F4938">
            <v>34000000</v>
          </cell>
          <cell r="G4938">
            <v>34000000</v>
          </cell>
          <cell r="H4938">
            <v>34000000</v>
          </cell>
          <cell r="I4938" t="str">
            <v/>
          </cell>
          <cell r="J4938" t="str">
            <v/>
          </cell>
          <cell r="K4938" t="str">
            <v/>
          </cell>
          <cell r="L4938" t="str">
            <v/>
          </cell>
        </row>
        <row r="4939">
          <cell r="A4939">
            <v>34000000</v>
          </cell>
          <cell r="C4939">
            <v>34000000</v>
          </cell>
          <cell r="D4939">
            <v>34000000</v>
          </cell>
          <cell r="E4939">
            <v>34000000</v>
          </cell>
          <cell r="F4939">
            <v>34000000</v>
          </cell>
          <cell r="G4939">
            <v>34000000</v>
          </cell>
          <cell r="H4939">
            <v>34000000</v>
          </cell>
          <cell r="I4939" t="str">
            <v/>
          </cell>
          <cell r="J4939" t="str">
            <v/>
          </cell>
          <cell r="K4939" t="str">
            <v/>
          </cell>
          <cell r="L4939" t="str">
            <v/>
          </cell>
        </row>
        <row r="4940">
          <cell r="A4940">
            <v>34000000</v>
          </cell>
          <cell r="C4940">
            <v>34000000</v>
          </cell>
          <cell r="D4940">
            <v>34000000</v>
          </cell>
          <cell r="E4940">
            <v>34000000</v>
          </cell>
          <cell r="F4940">
            <v>34000000</v>
          </cell>
          <cell r="G4940">
            <v>34000000</v>
          </cell>
          <cell r="H4940">
            <v>34000000</v>
          </cell>
          <cell r="I4940" t="str">
            <v/>
          </cell>
          <cell r="J4940" t="str">
            <v/>
          </cell>
          <cell r="K4940" t="str">
            <v/>
          </cell>
          <cell r="L4940" t="str">
            <v/>
          </cell>
        </row>
        <row r="4941">
          <cell r="A4941">
            <v>34000000</v>
          </cell>
          <cell r="C4941">
            <v>34000000</v>
          </cell>
          <cell r="D4941">
            <v>34000000</v>
          </cell>
          <cell r="E4941">
            <v>34000000</v>
          </cell>
          <cell r="F4941">
            <v>34000000</v>
          </cell>
          <cell r="G4941">
            <v>34000000</v>
          </cell>
          <cell r="H4941">
            <v>34000000</v>
          </cell>
          <cell r="I4941" t="str">
            <v/>
          </cell>
          <cell r="J4941" t="str">
            <v/>
          </cell>
          <cell r="K4941" t="str">
            <v/>
          </cell>
          <cell r="L4941" t="str">
            <v/>
          </cell>
        </row>
        <row r="4942">
          <cell r="A4942">
            <v>34000000</v>
          </cell>
          <cell r="C4942">
            <v>34000000</v>
          </cell>
          <cell r="D4942">
            <v>34000000</v>
          </cell>
          <cell r="E4942">
            <v>34000000</v>
          </cell>
          <cell r="F4942">
            <v>34000000</v>
          </cell>
          <cell r="G4942">
            <v>34000000</v>
          </cell>
          <cell r="H4942">
            <v>34000000</v>
          </cell>
          <cell r="I4942" t="str">
            <v/>
          </cell>
          <cell r="J4942" t="str">
            <v/>
          </cell>
          <cell r="K4942" t="str">
            <v/>
          </cell>
          <cell r="L4942" t="str">
            <v/>
          </cell>
        </row>
        <row r="4943">
          <cell r="A4943">
            <v>34000000</v>
          </cell>
          <cell r="C4943">
            <v>34000000</v>
          </cell>
          <cell r="D4943">
            <v>34000000</v>
          </cell>
          <cell r="E4943">
            <v>34000000</v>
          </cell>
          <cell r="F4943">
            <v>34000000</v>
          </cell>
          <cell r="G4943">
            <v>34000000</v>
          </cell>
          <cell r="H4943">
            <v>34000000</v>
          </cell>
          <cell r="I4943" t="str">
            <v/>
          </cell>
          <cell r="J4943" t="str">
            <v/>
          </cell>
          <cell r="K4943" t="str">
            <v/>
          </cell>
          <cell r="L4943" t="str">
            <v/>
          </cell>
        </row>
        <row r="4944">
          <cell r="A4944">
            <v>34000000</v>
          </cell>
          <cell r="C4944">
            <v>34000000</v>
          </cell>
          <cell r="D4944">
            <v>34000000</v>
          </cell>
          <cell r="E4944">
            <v>34000000</v>
          </cell>
          <cell r="F4944">
            <v>34000000</v>
          </cell>
          <cell r="G4944">
            <v>34000000</v>
          </cell>
          <cell r="H4944">
            <v>34000000</v>
          </cell>
          <cell r="I4944" t="str">
            <v/>
          </cell>
          <cell r="J4944" t="str">
            <v/>
          </cell>
          <cell r="K4944" t="str">
            <v/>
          </cell>
          <cell r="L4944" t="str">
            <v/>
          </cell>
        </row>
        <row r="4945">
          <cell r="A4945">
            <v>34000000</v>
          </cell>
          <cell r="C4945">
            <v>34000000</v>
          </cell>
          <cell r="D4945">
            <v>34000000</v>
          </cell>
          <cell r="E4945">
            <v>34000000</v>
          </cell>
          <cell r="F4945">
            <v>34000000</v>
          </cell>
          <cell r="G4945">
            <v>34000000</v>
          </cell>
          <cell r="H4945">
            <v>34000000</v>
          </cell>
          <cell r="I4945" t="str">
            <v/>
          </cell>
          <cell r="J4945" t="str">
            <v/>
          </cell>
          <cell r="K4945" t="str">
            <v/>
          </cell>
          <cell r="L4945" t="str">
            <v/>
          </cell>
        </row>
        <row r="4946">
          <cell r="A4946">
            <v>34000000</v>
          </cell>
          <cell r="C4946">
            <v>34000000</v>
          </cell>
          <cell r="D4946">
            <v>34000000</v>
          </cell>
          <cell r="E4946">
            <v>34000000</v>
          </cell>
          <cell r="F4946">
            <v>34000000</v>
          </cell>
          <cell r="G4946">
            <v>34000000</v>
          </cell>
          <cell r="H4946">
            <v>34000000</v>
          </cell>
          <cell r="I4946" t="str">
            <v/>
          </cell>
          <cell r="J4946" t="str">
            <v/>
          </cell>
          <cell r="K4946" t="str">
            <v/>
          </cell>
          <cell r="L4946" t="str">
            <v/>
          </cell>
        </row>
        <row r="4947">
          <cell r="A4947">
            <v>34000000</v>
          </cell>
          <cell r="C4947">
            <v>34000000</v>
          </cell>
          <cell r="D4947">
            <v>34000000</v>
          </cell>
          <cell r="E4947">
            <v>34000000</v>
          </cell>
          <cell r="F4947">
            <v>34000000</v>
          </cell>
          <cell r="G4947">
            <v>34000000</v>
          </cell>
          <cell r="H4947">
            <v>34000000</v>
          </cell>
          <cell r="I4947" t="str">
            <v/>
          </cell>
          <cell r="J4947" t="str">
            <v/>
          </cell>
          <cell r="K4947" t="str">
            <v/>
          </cell>
          <cell r="L4947" t="str">
            <v/>
          </cell>
        </row>
        <row r="4948">
          <cell r="A4948">
            <v>34000000</v>
          </cell>
          <cell r="C4948">
            <v>34000000</v>
          </cell>
          <cell r="D4948">
            <v>34000000</v>
          </cell>
          <cell r="E4948">
            <v>34000000</v>
          </cell>
          <cell r="F4948">
            <v>34000000</v>
          </cell>
          <cell r="G4948">
            <v>34000000</v>
          </cell>
          <cell r="H4948">
            <v>34000000</v>
          </cell>
          <cell r="I4948" t="str">
            <v/>
          </cell>
          <cell r="J4948" t="str">
            <v/>
          </cell>
          <cell r="K4948" t="str">
            <v/>
          </cell>
          <cell r="L4948" t="str">
            <v/>
          </cell>
        </row>
        <row r="4949">
          <cell r="A4949">
            <v>34000000</v>
          </cell>
          <cell r="C4949">
            <v>34000000</v>
          </cell>
          <cell r="D4949">
            <v>34000000</v>
          </cell>
          <cell r="E4949">
            <v>34000000</v>
          </cell>
          <cell r="F4949">
            <v>34000000</v>
          </cell>
          <cell r="G4949">
            <v>34000000</v>
          </cell>
          <cell r="H4949">
            <v>34000000</v>
          </cell>
          <cell r="I4949" t="str">
            <v/>
          </cell>
          <cell r="J4949" t="str">
            <v/>
          </cell>
          <cell r="K4949" t="str">
            <v/>
          </cell>
          <cell r="L4949" t="str">
            <v/>
          </cell>
        </row>
        <row r="4950">
          <cell r="A4950">
            <v>34000000</v>
          </cell>
          <cell r="C4950">
            <v>34000000</v>
          </cell>
          <cell r="D4950">
            <v>34000000</v>
          </cell>
          <cell r="E4950">
            <v>34000000</v>
          </cell>
          <cell r="F4950">
            <v>34000000</v>
          </cell>
          <cell r="G4950">
            <v>34000000</v>
          </cell>
          <cell r="H4950">
            <v>34000000</v>
          </cell>
          <cell r="I4950" t="str">
            <v/>
          </cell>
          <cell r="J4950" t="str">
            <v/>
          </cell>
          <cell r="K4950" t="str">
            <v/>
          </cell>
          <cell r="L4950" t="str">
            <v/>
          </cell>
        </row>
        <row r="4951">
          <cell r="A4951">
            <v>34000000</v>
          </cell>
          <cell r="C4951">
            <v>34000000</v>
          </cell>
          <cell r="D4951">
            <v>34000000</v>
          </cell>
          <cell r="E4951">
            <v>34000000</v>
          </cell>
          <cell r="F4951">
            <v>34000000</v>
          </cell>
          <cell r="G4951">
            <v>34000000</v>
          </cell>
          <cell r="H4951">
            <v>34000000</v>
          </cell>
          <cell r="I4951" t="str">
            <v/>
          </cell>
          <cell r="J4951" t="str">
            <v/>
          </cell>
          <cell r="K4951" t="str">
            <v/>
          </cell>
          <cell r="L4951" t="str">
            <v/>
          </cell>
        </row>
        <row r="4952">
          <cell r="A4952">
            <v>34000000</v>
          </cell>
          <cell r="C4952">
            <v>34000000</v>
          </cell>
          <cell r="D4952">
            <v>34000000</v>
          </cell>
          <cell r="E4952">
            <v>34000000</v>
          </cell>
          <cell r="F4952">
            <v>34000000</v>
          </cell>
          <cell r="G4952">
            <v>34000000</v>
          </cell>
          <cell r="H4952">
            <v>34000000</v>
          </cell>
          <cell r="I4952" t="str">
            <v/>
          </cell>
          <cell r="J4952" t="str">
            <v/>
          </cell>
          <cell r="K4952" t="str">
            <v/>
          </cell>
          <cell r="L4952" t="str">
            <v/>
          </cell>
        </row>
        <row r="4953">
          <cell r="A4953">
            <v>34000000</v>
          </cell>
          <cell r="C4953">
            <v>34000000</v>
          </cell>
          <cell r="D4953">
            <v>34000000</v>
          </cell>
          <cell r="E4953">
            <v>34000000</v>
          </cell>
          <cell r="F4953">
            <v>34000000</v>
          </cell>
          <cell r="G4953">
            <v>34000000</v>
          </cell>
          <cell r="H4953">
            <v>34000000</v>
          </cell>
          <cell r="I4953" t="str">
            <v/>
          </cell>
          <cell r="J4953" t="str">
            <v/>
          </cell>
          <cell r="K4953" t="str">
            <v/>
          </cell>
          <cell r="L4953" t="str">
            <v/>
          </cell>
        </row>
        <row r="4954">
          <cell r="A4954">
            <v>34000000</v>
          </cell>
          <cell r="C4954">
            <v>34000000</v>
          </cell>
          <cell r="D4954">
            <v>34000000</v>
          </cell>
          <cell r="E4954">
            <v>34000000</v>
          </cell>
          <cell r="F4954">
            <v>34000000</v>
          </cell>
          <cell r="G4954">
            <v>34000000</v>
          </cell>
          <cell r="H4954">
            <v>34000000</v>
          </cell>
          <cell r="I4954" t="str">
            <v/>
          </cell>
          <cell r="J4954" t="str">
            <v/>
          </cell>
          <cell r="K4954" t="str">
            <v/>
          </cell>
          <cell r="L4954" t="str">
            <v/>
          </cell>
        </row>
        <row r="4955">
          <cell r="A4955">
            <v>34000000</v>
          </cell>
          <cell r="C4955">
            <v>34000000</v>
          </cell>
          <cell r="D4955">
            <v>34000000</v>
          </cell>
          <cell r="E4955">
            <v>34000000</v>
          </cell>
          <cell r="F4955">
            <v>34000000</v>
          </cell>
          <cell r="G4955">
            <v>34000000</v>
          </cell>
          <cell r="H4955">
            <v>34000000</v>
          </cell>
          <cell r="I4955" t="str">
            <v/>
          </cell>
          <cell r="J4955" t="str">
            <v/>
          </cell>
          <cell r="K4955" t="str">
            <v/>
          </cell>
          <cell r="L4955" t="str">
            <v/>
          </cell>
        </row>
        <row r="4956">
          <cell r="A4956">
            <v>34000000</v>
          </cell>
          <cell r="C4956">
            <v>34000000</v>
          </cell>
          <cell r="D4956">
            <v>34000000</v>
          </cell>
          <cell r="E4956">
            <v>34000000</v>
          </cell>
          <cell r="F4956">
            <v>34000000</v>
          </cell>
          <cell r="G4956">
            <v>34000000</v>
          </cell>
          <cell r="H4956">
            <v>34000000</v>
          </cell>
          <cell r="I4956" t="str">
            <v/>
          </cell>
          <cell r="J4956" t="str">
            <v/>
          </cell>
          <cell r="K4956" t="str">
            <v/>
          </cell>
          <cell r="L4956" t="str">
            <v/>
          </cell>
        </row>
        <row r="4957">
          <cell r="A4957">
            <v>34000000</v>
          </cell>
          <cell r="C4957">
            <v>34000000</v>
          </cell>
          <cell r="D4957">
            <v>34000000</v>
          </cell>
          <cell r="E4957">
            <v>34000000</v>
          </cell>
          <cell r="F4957">
            <v>34000000</v>
          </cell>
          <cell r="G4957">
            <v>34000000</v>
          </cell>
          <cell r="H4957">
            <v>34000000</v>
          </cell>
          <cell r="I4957" t="str">
            <v/>
          </cell>
          <cell r="J4957" t="str">
            <v/>
          </cell>
          <cell r="K4957" t="str">
            <v/>
          </cell>
          <cell r="L4957" t="str">
            <v/>
          </cell>
        </row>
        <row r="4958">
          <cell r="A4958">
            <v>34000000</v>
          </cell>
          <cell r="C4958">
            <v>34000000</v>
          </cell>
          <cell r="D4958">
            <v>34000000</v>
          </cell>
          <cell r="E4958">
            <v>34000000</v>
          </cell>
          <cell r="F4958">
            <v>34000000</v>
          </cell>
          <cell r="G4958">
            <v>34000000</v>
          </cell>
          <cell r="H4958">
            <v>34000000</v>
          </cell>
          <cell r="I4958" t="str">
            <v/>
          </cell>
          <cell r="J4958" t="str">
            <v/>
          </cell>
          <cell r="K4958" t="str">
            <v/>
          </cell>
          <cell r="L4958" t="str">
            <v/>
          </cell>
        </row>
        <row r="4959">
          <cell r="A4959">
            <v>34000000</v>
          </cell>
          <cell r="C4959">
            <v>34000000</v>
          </cell>
          <cell r="D4959">
            <v>34000000</v>
          </cell>
          <cell r="E4959">
            <v>34000000</v>
          </cell>
          <cell r="F4959">
            <v>34000000</v>
          </cell>
          <cell r="G4959">
            <v>34000000</v>
          </cell>
          <cell r="H4959">
            <v>34000000</v>
          </cell>
          <cell r="I4959" t="str">
            <v/>
          </cell>
          <cell r="J4959" t="str">
            <v/>
          </cell>
          <cell r="K4959" t="str">
            <v/>
          </cell>
          <cell r="L4959" t="str">
            <v/>
          </cell>
        </row>
        <row r="4960">
          <cell r="A4960">
            <v>34000000</v>
          </cell>
          <cell r="C4960">
            <v>34000000</v>
          </cell>
          <cell r="D4960">
            <v>34000000</v>
          </cell>
          <cell r="E4960">
            <v>34000000</v>
          </cell>
          <cell r="F4960">
            <v>34000000</v>
          </cell>
          <cell r="G4960">
            <v>34000000</v>
          </cell>
          <cell r="H4960">
            <v>34000000</v>
          </cell>
          <cell r="I4960" t="str">
            <v/>
          </cell>
          <cell r="J4960" t="str">
            <v/>
          </cell>
          <cell r="K4960" t="str">
            <v/>
          </cell>
          <cell r="L4960" t="str">
            <v/>
          </cell>
        </row>
        <row r="4961">
          <cell r="A4961">
            <v>34000000</v>
          </cell>
          <cell r="C4961">
            <v>34000000</v>
          </cell>
          <cell r="D4961">
            <v>34000000</v>
          </cell>
          <cell r="E4961">
            <v>34000000</v>
          </cell>
          <cell r="F4961">
            <v>34000000</v>
          </cell>
          <cell r="G4961">
            <v>34000000</v>
          </cell>
          <cell r="H4961">
            <v>34000000</v>
          </cell>
          <cell r="I4961" t="str">
            <v/>
          </cell>
          <cell r="J4961" t="str">
            <v/>
          </cell>
          <cell r="K4961" t="str">
            <v/>
          </cell>
          <cell r="L4961" t="str">
            <v/>
          </cell>
        </row>
        <row r="4962">
          <cell r="A4962">
            <v>34000000</v>
          </cell>
          <cell r="C4962">
            <v>34000000</v>
          </cell>
          <cell r="D4962">
            <v>34000000</v>
          </cell>
          <cell r="E4962">
            <v>34000000</v>
          </cell>
          <cell r="F4962">
            <v>34000000</v>
          </cell>
          <cell r="G4962">
            <v>34000000</v>
          </cell>
          <cell r="H4962">
            <v>34000000</v>
          </cell>
          <cell r="I4962" t="str">
            <v/>
          </cell>
          <cell r="J4962" t="str">
            <v/>
          </cell>
          <cell r="K4962" t="str">
            <v/>
          </cell>
          <cell r="L4962" t="str">
            <v/>
          </cell>
        </row>
        <row r="4963">
          <cell r="A4963">
            <v>34000000</v>
          </cell>
          <cell r="C4963">
            <v>34000000</v>
          </cell>
          <cell r="D4963">
            <v>34000000</v>
          </cell>
          <cell r="E4963">
            <v>34000000</v>
          </cell>
          <cell r="F4963">
            <v>34000000</v>
          </cell>
          <cell r="G4963">
            <v>34000000</v>
          </cell>
          <cell r="H4963">
            <v>34000000</v>
          </cell>
          <cell r="I4963" t="str">
            <v/>
          </cell>
          <cell r="J4963" t="str">
            <v/>
          </cell>
          <cell r="K4963" t="str">
            <v/>
          </cell>
          <cell r="L4963" t="str">
            <v/>
          </cell>
        </row>
        <row r="4964">
          <cell r="A4964">
            <v>34000000</v>
          </cell>
          <cell r="C4964">
            <v>34000000</v>
          </cell>
          <cell r="D4964">
            <v>34000000</v>
          </cell>
          <cell r="E4964">
            <v>34000000</v>
          </cell>
          <cell r="F4964">
            <v>34000000</v>
          </cell>
          <cell r="G4964">
            <v>34000000</v>
          </cell>
          <cell r="H4964">
            <v>34000000</v>
          </cell>
          <cell r="I4964" t="str">
            <v/>
          </cell>
          <cell r="J4964" t="str">
            <v/>
          </cell>
          <cell r="K4964" t="str">
            <v/>
          </cell>
          <cell r="L4964" t="str">
            <v/>
          </cell>
        </row>
        <row r="4965">
          <cell r="A4965">
            <v>34000000</v>
          </cell>
          <cell r="C4965">
            <v>34000000</v>
          </cell>
          <cell r="D4965">
            <v>34000000</v>
          </cell>
          <cell r="E4965">
            <v>34000000</v>
          </cell>
          <cell r="F4965">
            <v>34000000</v>
          </cell>
          <cell r="G4965">
            <v>34000000</v>
          </cell>
          <cell r="H4965">
            <v>34000000</v>
          </cell>
          <cell r="I4965" t="str">
            <v/>
          </cell>
          <cell r="J4965" t="str">
            <v/>
          </cell>
          <cell r="K4965" t="str">
            <v/>
          </cell>
          <cell r="L4965" t="str">
            <v/>
          </cell>
        </row>
        <row r="4966">
          <cell r="A4966">
            <v>34000000</v>
          </cell>
          <cell r="C4966">
            <v>34000000</v>
          </cell>
          <cell r="D4966">
            <v>34000000</v>
          </cell>
          <cell r="E4966">
            <v>34000000</v>
          </cell>
          <cell r="F4966">
            <v>34000000</v>
          </cell>
          <cell r="G4966">
            <v>34000000</v>
          </cell>
          <cell r="H4966">
            <v>34000000</v>
          </cell>
          <cell r="I4966" t="str">
            <v/>
          </cell>
          <cell r="J4966" t="str">
            <v/>
          </cell>
          <cell r="K4966" t="str">
            <v/>
          </cell>
          <cell r="L4966" t="str">
            <v/>
          </cell>
        </row>
        <row r="4967">
          <cell r="A4967">
            <v>34000000</v>
          </cell>
          <cell r="C4967">
            <v>34000000</v>
          </cell>
          <cell r="D4967">
            <v>34000000</v>
          </cell>
          <cell r="E4967">
            <v>34000000</v>
          </cell>
          <cell r="F4967">
            <v>34000000</v>
          </cell>
          <cell r="G4967">
            <v>34000000</v>
          </cell>
          <cell r="H4967">
            <v>34000000</v>
          </cell>
          <cell r="I4967" t="str">
            <v/>
          </cell>
          <cell r="J4967" t="str">
            <v/>
          </cell>
          <cell r="K4967" t="str">
            <v/>
          </cell>
          <cell r="L4967" t="str">
            <v/>
          </cell>
        </row>
        <row r="4968">
          <cell r="A4968">
            <v>34000000</v>
          </cell>
          <cell r="C4968">
            <v>34000000</v>
          </cell>
          <cell r="D4968">
            <v>34000000</v>
          </cell>
          <cell r="E4968">
            <v>34000000</v>
          </cell>
          <cell r="F4968">
            <v>34000000</v>
          </cell>
          <cell r="G4968">
            <v>34000000</v>
          </cell>
          <cell r="H4968">
            <v>34000000</v>
          </cell>
          <cell r="I4968" t="str">
            <v/>
          </cell>
          <cell r="J4968" t="str">
            <v/>
          </cell>
          <cell r="K4968" t="str">
            <v/>
          </cell>
          <cell r="L4968" t="str">
            <v/>
          </cell>
        </row>
        <row r="4969">
          <cell r="A4969">
            <v>34000000</v>
          </cell>
          <cell r="C4969">
            <v>34000000</v>
          </cell>
          <cell r="D4969">
            <v>34000000</v>
          </cell>
          <cell r="E4969">
            <v>34000000</v>
          </cell>
          <cell r="F4969">
            <v>34000000</v>
          </cell>
          <cell r="G4969">
            <v>34000000</v>
          </cell>
          <cell r="H4969">
            <v>34000000</v>
          </cell>
          <cell r="I4969" t="str">
            <v/>
          </cell>
          <cell r="J4969" t="str">
            <v/>
          </cell>
          <cell r="K4969" t="str">
            <v/>
          </cell>
          <cell r="L4969" t="str">
            <v/>
          </cell>
        </row>
        <row r="4970">
          <cell r="A4970">
            <v>34000000</v>
          </cell>
          <cell r="C4970">
            <v>34000000</v>
          </cell>
          <cell r="D4970">
            <v>34000000</v>
          </cell>
          <cell r="E4970">
            <v>34000000</v>
          </cell>
          <cell r="F4970">
            <v>34000000</v>
          </cell>
          <cell r="G4970">
            <v>34000000</v>
          </cell>
          <cell r="H4970">
            <v>34000000</v>
          </cell>
          <cell r="I4970" t="str">
            <v/>
          </cell>
          <cell r="J4970" t="str">
            <v/>
          </cell>
          <cell r="K4970" t="str">
            <v/>
          </cell>
          <cell r="L4970" t="str">
            <v/>
          </cell>
        </row>
        <row r="4971">
          <cell r="A4971">
            <v>34000000</v>
          </cell>
          <cell r="C4971">
            <v>34000000</v>
          </cell>
          <cell r="D4971">
            <v>34000000</v>
          </cell>
          <cell r="E4971">
            <v>34000000</v>
          </cell>
          <cell r="F4971">
            <v>34000000</v>
          </cell>
          <cell r="G4971">
            <v>34000000</v>
          </cell>
          <cell r="H4971">
            <v>34000000</v>
          </cell>
          <cell r="I4971" t="str">
            <v/>
          </cell>
          <cell r="J4971" t="str">
            <v/>
          </cell>
          <cell r="K4971" t="str">
            <v/>
          </cell>
          <cell r="L4971" t="str">
            <v/>
          </cell>
        </row>
        <row r="4972">
          <cell r="A4972">
            <v>34000000</v>
          </cell>
          <cell r="C4972">
            <v>34000000</v>
          </cell>
          <cell r="D4972">
            <v>34000000</v>
          </cell>
          <cell r="E4972">
            <v>34000000</v>
          </cell>
          <cell r="F4972">
            <v>34000000</v>
          </cell>
          <cell r="G4972">
            <v>34000000</v>
          </cell>
          <cell r="H4972">
            <v>34000000</v>
          </cell>
          <cell r="I4972" t="str">
            <v/>
          </cell>
          <cell r="J4972" t="str">
            <v/>
          </cell>
          <cell r="K4972" t="str">
            <v/>
          </cell>
          <cell r="L4972" t="str">
            <v/>
          </cell>
        </row>
        <row r="4973">
          <cell r="A4973">
            <v>34000000</v>
          </cell>
          <cell r="C4973">
            <v>34000000</v>
          </cell>
          <cell r="D4973">
            <v>34000000</v>
          </cell>
          <cell r="E4973">
            <v>34000000</v>
          </cell>
          <cell r="F4973">
            <v>34000000</v>
          </cell>
          <cell r="G4973">
            <v>34000000</v>
          </cell>
          <cell r="H4973">
            <v>34000000</v>
          </cell>
          <cell r="I4973" t="str">
            <v/>
          </cell>
          <cell r="J4973" t="str">
            <v/>
          </cell>
          <cell r="K4973" t="str">
            <v/>
          </cell>
          <cell r="L4973" t="str">
            <v/>
          </cell>
        </row>
        <row r="4974">
          <cell r="A4974">
            <v>34000000</v>
          </cell>
          <cell r="C4974">
            <v>34000000</v>
          </cell>
          <cell r="D4974">
            <v>34000000</v>
          </cell>
          <cell r="E4974">
            <v>34000000</v>
          </cell>
          <cell r="F4974">
            <v>34000000</v>
          </cell>
          <cell r="G4974">
            <v>34000000</v>
          </cell>
          <cell r="H4974">
            <v>34000000</v>
          </cell>
          <cell r="I4974" t="str">
            <v/>
          </cell>
          <cell r="J4974" t="str">
            <v/>
          </cell>
          <cell r="K4974" t="str">
            <v/>
          </cell>
          <cell r="L4974" t="str">
            <v/>
          </cell>
        </row>
        <row r="4975">
          <cell r="A4975">
            <v>34000000</v>
          </cell>
          <cell r="C4975">
            <v>34000000</v>
          </cell>
          <cell r="D4975">
            <v>34000000</v>
          </cell>
          <cell r="E4975">
            <v>34000000</v>
          </cell>
          <cell r="F4975">
            <v>34000000</v>
          </cell>
          <cell r="G4975">
            <v>34000000</v>
          </cell>
          <cell r="H4975">
            <v>34000000</v>
          </cell>
          <cell r="I4975" t="str">
            <v/>
          </cell>
          <cell r="J4975" t="str">
            <v/>
          </cell>
          <cell r="K4975" t="str">
            <v/>
          </cell>
          <cell r="L4975" t="str">
            <v/>
          </cell>
        </row>
        <row r="4976">
          <cell r="A4976">
            <v>34000000</v>
          </cell>
          <cell r="C4976">
            <v>34000000</v>
          </cell>
          <cell r="D4976">
            <v>34000000</v>
          </cell>
          <cell r="E4976">
            <v>34000000</v>
          </cell>
          <cell r="F4976">
            <v>34000000</v>
          </cell>
          <cell r="G4976">
            <v>34000000</v>
          </cell>
          <cell r="H4976">
            <v>34000000</v>
          </cell>
          <cell r="I4976" t="str">
            <v/>
          </cell>
          <cell r="J4976" t="str">
            <v/>
          </cell>
          <cell r="K4976" t="str">
            <v/>
          </cell>
          <cell r="L4976" t="str">
            <v/>
          </cell>
        </row>
        <row r="4977">
          <cell r="A4977">
            <v>34000000</v>
          </cell>
          <cell r="C4977">
            <v>34000000</v>
          </cell>
          <cell r="D4977">
            <v>34000000</v>
          </cell>
          <cell r="E4977">
            <v>34000000</v>
          </cell>
          <cell r="F4977">
            <v>34000000</v>
          </cell>
          <cell r="G4977">
            <v>34000000</v>
          </cell>
          <cell r="H4977">
            <v>34000000</v>
          </cell>
          <cell r="I4977" t="str">
            <v/>
          </cell>
          <cell r="J4977" t="str">
            <v/>
          </cell>
          <cell r="K4977" t="str">
            <v/>
          </cell>
          <cell r="L4977" t="str">
            <v/>
          </cell>
        </row>
        <row r="4978">
          <cell r="A4978">
            <v>34000000</v>
          </cell>
          <cell r="C4978">
            <v>34000000</v>
          </cell>
          <cell r="D4978">
            <v>34000000</v>
          </cell>
          <cell r="E4978">
            <v>34000000</v>
          </cell>
          <cell r="F4978">
            <v>34000000</v>
          </cell>
          <cell r="G4978">
            <v>34000000</v>
          </cell>
          <cell r="H4978">
            <v>34000000</v>
          </cell>
          <cell r="I4978" t="str">
            <v/>
          </cell>
          <cell r="J4978" t="str">
            <v/>
          </cell>
          <cell r="K4978" t="str">
            <v/>
          </cell>
          <cell r="L4978" t="str">
            <v/>
          </cell>
        </row>
        <row r="4979">
          <cell r="A4979">
            <v>34000000</v>
          </cell>
          <cell r="C4979">
            <v>34000000</v>
          </cell>
          <cell r="D4979">
            <v>34000000</v>
          </cell>
          <cell r="E4979">
            <v>34000000</v>
          </cell>
          <cell r="F4979">
            <v>34000000</v>
          </cell>
          <cell r="G4979">
            <v>34000000</v>
          </cell>
          <cell r="H4979">
            <v>34000000</v>
          </cell>
          <cell r="I4979" t="str">
            <v/>
          </cell>
          <cell r="J4979" t="str">
            <v/>
          </cell>
          <cell r="K4979" t="str">
            <v/>
          </cell>
          <cell r="L4979" t="str">
            <v/>
          </cell>
        </row>
        <row r="4980">
          <cell r="A4980">
            <v>34000000</v>
          </cell>
          <cell r="C4980">
            <v>34000000</v>
          </cell>
          <cell r="D4980">
            <v>34000000</v>
          </cell>
          <cell r="E4980">
            <v>34000000</v>
          </cell>
          <cell r="F4980">
            <v>34000000</v>
          </cell>
          <cell r="G4980">
            <v>34000000</v>
          </cell>
          <cell r="H4980">
            <v>34000000</v>
          </cell>
          <cell r="I4980" t="str">
            <v/>
          </cell>
          <cell r="J4980" t="str">
            <v/>
          </cell>
          <cell r="K4980" t="str">
            <v/>
          </cell>
          <cell r="L4980" t="str">
            <v/>
          </cell>
        </row>
        <row r="4981">
          <cell r="A4981">
            <v>34000000</v>
          </cell>
          <cell r="C4981">
            <v>34000000</v>
          </cell>
          <cell r="D4981">
            <v>34000000</v>
          </cell>
          <cell r="E4981">
            <v>34000000</v>
          </cell>
          <cell r="F4981">
            <v>34000000</v>
          </cell>
          <cell r="G4981">
            <v>34000000</v>
          </cell>
          <cell r="H4981">
            <v>34000000</v>
          </cell>
          <cell r="I4981" t="str">
            <v/>
          </cell>
          <cell r="J4981" t="str">
            <v/>
          </cell>
          <cell r="K4981" t="str">
            <v/>
          </cell>
          <cell r="L4981" t="str">
            <v/>
          </cell>
        </row>
        <row r="4982">
          <cell r="A4982">
            <v>34000000</v>
          </cell>
          <cell r="C4982">
            <v>34000000</v>
          </cell>
          <cell r="D4982">
            <v>34000000</v>
          </cell>
          <cell r="E4982">
            <v>34000000</v>
          </cell>
          <cell r="F4982">
            <v>34000000</v>
          </cell>
          <cell r="G4982">
            <v>34000000</v>
          </cell>
          <cell r="H4982">
            <v>34000000</v>
          </cell>
          <cell r="I4982" t="str">
            <v/>
          </cell>
          <cell r="J4982" t="str">
            <v/>
          </cell>
          <cell r="K4982" t="str">
            <v/>
          </cell>
          <cell r="L4982" t="str">
            <v/>
          </cell>
        </row>
        <row r="4983">
          <cell r="A4983">
            <v>34000000</v>
          </cell>
          <cell r="C4983">
            <v>34000000</v>
          </cell>
          <cell r="D4983">
            <v>34000000</v>
          </cell>
          <cell r="E4983">
            <v>34000000</v>
          </cell>
          <cell r="F4983">
            <v>34000000</v>
          </cell>
          <cell r="G4983">
            <v>34000000</v>
          </cell>
          <cell r="H4983">
            <v>34000000</v>
          </cell>
          <cell r="I4983" t="str">
            <v/>
          </cell>
          <cell r="J4983" t="str">
            <v/>
          </cell>
          <cell r="K4983" t="str">
            <v/>
          </cell>
          <cell r="L4983" t="str">
            <v/>
          </cell>
        </row>
        <row r="4984">
          <cell r="A4984">
            <v>34000000</v>
          </cell>
          <cell r="C4984">
            <v>34000000</v>
          </cell>
          <cell r="D4984">
            <v>34000000</v>
          </cell>
          <cell r="E4984">
            <v>34000000</v>
          </cell>
          <cell r="F4984">
            <v>34000000</v>
          </cell>
          <cell r="G4984">
            <v>34000000</v>
          </cell>
          <cell r="H4984">
            <v>34000000</v>
          </cell>
          <cell r="I4984" t="str">
            <v/>
          </cell>
          <cell r="J4984" t="str">
            <v/>
          </cell>
          <cell r="K4984" t="str">
            <v/>
          </cell>
          <cell r="L4984" t="str">
            <v/>
          </cell>
        </row>
        <row r="4985">
          <cell r="A4985">
            <v>34000000</v>
          </cell>
          <cell r="C4985">
            <v>34000000</v>
          </cell>
          <cell r="D4985">
            <v>34000000</v>
          </cell>
          <cell r="E4985">
            <v>34000000</v>
          </cell>
          <cell r="F4985">
            <v>34000000</v>
          </cell>
          <cell r="G4985">
            <v>34000000</v>
          </cell>
          <cell r="H4985">
            <v>34000000</v>
          </cell>
          <cell r="I4985" t="str">
            <v/>
          </cell>
          <cell r="J4985" t="str">
            <v/>
          </cell>
          <cell r="K4985" t="str">
            <v/>
          </cell>
          <cell r="L4985" t="str">
            <v/>
          </cell>
        </row>
        <row r="4986">
          <cell r="A4986">
            <v>34000000</v>
          </cell>
          <cell r="C4986">
            <v>34000000</v>
          </cell>
          <cell r="D4986">
            <v>34000000</v>
          </cell>
          <cell r="E4986">
            <v>34000000</v>
          </cell>
          <cell r="F4986">
            <v>34000000</v>
          </cell>
          <cell r="G4986">
            <v>34000000</v>
          </cell>
          <cell r="H4986">
            <v>34000000</v>
          </cell>
          <cell r="I4986" t="str">
            <v/>
          </cell>
          <cell r="J4986" t="str">
            <v/>
          </cell>
          <cell r="K4986" t="str">
            <v/>
          </cell>
          <cell r="L4986" t="str">
            <v/>
          </cell>
        </row>
        <row r="4987">
          <cell r="A4987">
            <v>34000000</v>
          </cell>
          <cell r="C4987">
            <v>34000000</v>
          </cell>
          <cell r="D4987">
            <v>34000000</v>
          </cell>
          <cell r="E4987">
            <v>34000000</v>
          </cell>
          <cell r="F4987">
            <v>34000000</v>
          </cell>
          <cell r="G4987">
            <v>34000000</v>
          </cell>
          <cell r="H4987">
            <v>34000000</v>
          </cell>
          <cell r="I4987" t="str">
            <v/>
          </cell>
          <cell r="J4987" t="str">
            <v/>
          </cell>
          <cell r="K4987" t="str">
            <v/>
          </cell>
          <cell r="L4987" t="str">
            <v/>
          </cell>
        </row>
        <row r="4988">
          <cell r="A4988">
            <v>34000000</v>
          </cell>
          <cell r="C4988">
            <v>34000000</v>
          </cell>
          <cell r="D4988">
            <v>34000000</v>
          </cell>
          <cell r="E4988">
            <v>34000000</v>
          </cell>
          <cell r="F4988">
            <v>34000000</v>
          </cell>
          <cell r="G4988">
            <v>34000000</v>
          </cell>
          <cell r="H4988">
            <v>34000000</v>
          </cell>
          <cell r="I4988" t="str">
            <v/>
          </cell>
          <cell r="J4988" t="str">
            <v/>
          </cell>
          <cell r="K4988" t="str">
            <v/>
          </cell>
          <cell r="L4988" t="str">
            <v/>
          </cell>
        </row>
        <row r="4989">
          <cell r="A4989">
            <v>34000000</v>
          </cell>
          <cell r="C4989">
            <v>34000000</v>
          </cell>
          <cell r="D4989">
            <v>34000000</v>
          </cell>
          <cell r="E4989">
            <v>34000000</v>
          </cell>
          <cell r="F4989">
            <v>34000000</v>
          </cell>
          <cell r="G4989">
            <v>34000000</v>
          </cell>
          <cell r="H4989">
            <v>34000000</v>
          </cell>
          <cell r="I4989" t="str">
            <v/>
          </cell>
          <cell r="J4989" t="str">
            <v/>
          </cell>
          <cell r="K4989" t="str">
            <v/>
          </cell>
          <cell r="L4989" t="str">
            <v/>
          </cell>
        </row>
        <row r="4990">
          <cell r="A4990">
            <v>34000000</v>
          </cell>
          <cell r="C4990">
            <v>34000000</v>
          </cell>
          <cell r="D4990">
            <v>34000000</v>
          </cell>
          <cell r="E4990">
            <v>34000000</v>
          </cell>
          <cell r="F4990">
            <v>34000000</v>
          </cell>
          <cell r="G4990">
            <v>34000000</v>
          </cell>
          <cell r="H4990">
            <v>34000000</v>
          </cell>
          <cell r="I4990" t="str">
            <v/>
          </cell>
          <cell r="J4990" t="str">
            <v/>
          </cell>
          <cell r="K4990" t="str">
            <v/>
          </cell>
          <cell r="L4990" t="str">
            <v/>
          </cell>
        </row>
        <row r="4991">
          <cell r="A4991">
            <v>34000000</v>
          </cell>
          <cell r="C4991">
            <v>34000000</v>
          </cell>
          <cell r="D4991">
            <v>34000000</v>
          </cell>
          <cell r="E4991">
            <v>34000000</v>
          </cell>
          <cell r="F4991">
            <v>34000000</v>
          </cell>
          <cell r="G4991">
            <v>34000000</v>
          </cell>
          <cell r="H4991">
            <v>34000000</v>
          </cell>
          <cell r="I4991" t="str">
            <v/>
          </cell>
          <cell r="J4991" t="str">
            <v/>
          </cell>
          <cell r="K4991" t="str">
            <v/>
          </cell>
          <cell r="L4991" t="str">
            <v/>
          </cell>
        </row>
        <row r="4992">
          <cell r="A4992">
            <v>34000000</v>
          </cell>
          <cell r="C4992">
            <v>34000000</v>
          </cell>
          <cell r="D4992">
            <v>34000000</v>
          </cell>
          <cell r="E4992">
            <v>34000000</v>
          </cell>
          <cell r="F4992">
            <v>34000000</v>
          </cell>
          <cell r="G4992">
            <v>34000000</v>
          </cell>
          <cell r="H4992">
            <v>34000000</v>
          </cell>
          <cell r="I4992" t="str">
            <v/>
          </cell>
          <cell r="J4992" t="str">
            <v/>
          </cell>
          <cell r="K4992" t="str">
            <v/>
          </cell>
          <cell r="L4992" t="str">
            <v/>
          </cell>
        </row>
        <row r="4993">
          <cell r="A4993">
            <v>34000000</v>
          </cell>
          <cell r="C4993">
            <v>34000000</v>
          </cell>
          <cell r="D4993">
            <v>34000000</v>
          </cell>
          <cell r="E4993">
            <v>34000000</v>
          </cell>
          <cell r="F4993">
            <v>34000000</v>
          </cell>
          <cell r="G4993">
            <v>34000000</v>
          </cell>
          <cell r="H4993">
            <v>34000000</v>
          </cell>
          <cell r="I4993" t="str">
            <v/>
          </cell>
          <cell r="J4993" t="str">
            <v/>
          </cell>
          <cell r="K4993" t="str">
            <v/>
          </cell>
          <cell r="L4993" t="str">
            <v/>
          </cell>
        </row>
        <row r="4994">
          <cell r="A4994">
            <v>34000000</v>
          </cell>
          <cell r="C4994">
            <v>34000000</v>
          </cell>
          <cell r="D4994">
            <v>34000000</v>
          </cell>
          <cell r="E4994">
            <v>34000000</v>
          </cell>
          <cell r="F4994">
            <v>34000000</v>
          </cell>
          <cell r="G4994">
            <v>34000000</v>
          </cell>
          <cell r="H4994">
            <v>34000000</v>
          </cell>
          <cell r="I4994" t="str">
            <v/>
          </cell>
          <cell r="J4994" t="str">
            <v/>
          </cell>
          <cell r="K4994" t="str">
            <v/>
          </cell>
          <cell r="L4994" t="str">
            <v/>
          </cell>
        </row>
        <row r="4995">
          <cell r="A4995">
            <v>34000000</v>
          </cell>
          <cell r="C4995">
            <v>34000000</v>
          </cell>
          <cell r="D4995">
            <v>34000000</v>
          </cell>
          <cell r="E4995">
            <v>34000000</v>
          </cell>
          <cell r="F4995">
            <v>34000000</v>
          </cell>
          <cell r="G4995">
            <v>34000000</v>
          </cell>
          <cell r="H4995">
            <v>34000000</v>
          </cell>
          <cell r="I4995" t="str">
            <v/>
          </cell>
          <cell r="J4995" t="str">
            <v/>
          </cell>
          <cell r="K4995" t="str">
            <v/>
          </cell>
          <cell r="L4995" t="str">
            <v/>
          </cell>
        </row>
        <row r="4996">
          <cell r="A4996">
            <v>34000000</v>
          </cell>
          <cell r="C4996">
            <v>34000000</v>
          </cell>
          <cell r="D4996">
            <v>34000000</v>
          </cell>
          <cell r="E4996">
            <v>34000000</v>
          </cell>
          <cell r="F4996">
            <v>34000000</v>
          </cell>
          <cell r="G4996">
            <v>34000000</v>
          </cell>
          <cell r="H4996">
            <v>34000000</v>
          </cell>
          <cell r="I4996" t="str">
            <v/>
          </cell>
          <cell r="J4996" t="str">
            <v/>
          </cell>
          <cell r="K4996" t="str">
            <v/>
          </cell>
          <cell r="L4996" t="str">
            <v/>
          </cell>
        </row>
        <row r="4997">
          <cell r="A4997">
            <v>34000000</v>
          </cell>
          <cell r="C4997">
            <v>34000000</v>
          </cell>
          <cell r="D4997">
            <v>34000000</v>
          </cell>
          <cell r="E4997">
            <v>34000000</v>
          </cell>
          <cell r="F4997">
            <v>34000000</v>
          </cell>
          <cell r="G4997">
            <v>34000000</v>
          </cell>
          <cell r="H4997">
            <v>34000000</v>
          </cell>
          <cell r="I4997" t="str">
            <v/>
          </cell>
          <cell r="J4997" t="str">
            <v/>
          </cell>
          <cell r="K4997" t="str">
            <v/>
          </cell>
          <cell r="L4997" t="str">
            <v/>
          </cell>
        </row>
        <row r="4998">
          <cell r="A4998">
            <v>34000000</v>
          </cell>
          <cell r="C4998">
            <v>34000000</v>
          </cell>
          <cell r="D4998">
            <v>34000000</v>
          </cell>
          <cell r="E4998">
            <v>34000000</v>
          </cell>
          <cell r="F4998">
            <v>34000000</v>
          </cell>
          <cell r="G4998">
            <v>34000000</v>
          </cell>
          <cell r="H4998">
            <v>34000000</v>
          </cell>
          <cell r="I4998" t="str">
            <v/>
          </cell>
          <cell r="J4998" t="str">
            <v/>
          </cell>
          <cell r="K4998" t="str">
            <v/>
          </cell>
          <cell r="L4998" t="str">
            <v/>
          </cell>
        </row>
        <row r="4999">
          <cell r="A4999">
            <v>34000000</v>
          </cell>
          <cell r="C4999">
            <v>34000000</v>
          </cell>
          <cell r="D4999">
            <v>34000000</v>
          </cell>
          <cell r="E4999">
            <v>34000000</v>
          </cell>
          <cell r="F4999">
            <v>34000000</v>
          </cell>
          <cell r="G4999">
            <v>34000000</v>
          </cell>
          <cell r="H4999">
            <v>34000000</v>
          </cell>
          <cell r="I4999" t="str">
            <v/>
          </cell>
          <cell r="J4999" t="str">
            <v/>
          </cell>
          <cell r="K4999" t="str">
            <v/>
          </cell>
          <cell r="L4999" t="str">
            <v/>
          </cell>
        </row>
        <row r="5000">
          <cell r="A5000">
            <v>34000000</v>
          </cell>
          <cell r="C5000">
            <v>34000000</v>
          </cell>
          <cell r="D5000">
            <v>34000000</v>
          </cell>
          <cell r="E5000">
            <v>34000000</v>
          </cell>
          <cell r="F5000">
            <v>34000000</v>
          </cell>
          <cell r="G5000">
            <v>34000000</v>
          </cell>
          <cell r="H5000">
            <v>34000000</v>
          </cell>
          <cell r="I5000" t="str">
            <v/>
          </cell>
          <cell r="J5000" t="str">
            <v/>
          </cell>
          <cell r="K5000" t="str">
            <v/>
          </cell>
          <cell r="L5000" t="str">
            <v/>
          </cell>
        </row>
        <row r="5001">
          <cell r="A5001">
            <v>34000000</v>
          </cell>
          <cell r="C5001">
            <v>34000000</v>
          </cell>
          <cell r="D5001">
            <v>34000000</v>
          </cell>
          <cell r="E5001">
            <v>34000000</v>
          </cell>
          <cell r="F5001">
            <v>34000000</v>
          </cell>
          <cell r="G5001">
            <v>34000000</v>
          </cell>
          <cell r="H5001">
            <v>34000000</v>
          </cell>
          <cell r="I5001" t="str">
            <v/>
          </cell>
          <cell r="J5001" t="str">
            <v/>
          </cell>
          <cell r="K5001" t="str">
            <v/>
          </cell>
          <cell r="L5001" t="str">
            <v/>
          </cell>
        </row>
        <row r="5002">
          <cell r="A5002">
            <v>34000000</v>
          </cell>
          <cell r="C5002">
            <v>34000000</v>
          </cell>
          <cell r="D5002">
            <v>34000000</v>
          </cell>
          <cell r="E5002">
            <v>34000000</v>
          </cell>
          <cell r="F5002">
            <v>34000000</v>
          </cell>
          <cell r="G5002">
            <v>34000000</v>
          </cell>
          <cell r="H5002">
            <v>34000000</v>
          </cell>
          <cell r="I5002" t="str">
            <v/>
          </cell>
          <cell r="J5002" t="str">
            <v/>
          </cell>
          <cell r="K5002" t="str">
            <v/>
          </cell>
          <cell r="L5002" t="str">
            <v/>
          </cell>
        </row>
        <row r="5003">
          <cell r="A5003">
            <v>34000000</v>
          </cell>
          <cell r="C5003">
            <v>34000000</v>
          </cell>
          <cell r="D5003">
            <v>34000000</v>
          </cell>
          <cell r="E5003">
            <v>34000000</v>
          </cell>
          <cell r="F5003">
            <v>34000000</v>
          </cell>
          <cell r="G5003">
            <v>34000000</v>
          </cell>
          <cell r="H5003">
            <v>34000000</v>
          </cell>
          <cell r="I5003" t="str">
            <v/>
          </cell>
          <cell r="J5003" t="str">
            <v/>
          </cell>
          <cell r="K5003" t="str">
            <v/>
          </cell>
          <cell r="L5003" t="str">
            <v/>
          </cell>
        </row>
        <row r="5004">
          <cell r="A5004">
            <v>34000000</v>
          </cell>
          <cell r="C5004">
            <v>34000000</v>
          </cell>
          <cell r="D5004">
            <v>34000000</v>
          </cell>
          <cell r="E5004">
            <v>34000000</v>
          </cell>
          <cell r="F5004">
            <v>34000000</v>
          </cell>
          <cell r="G5004">
            <v>34000000</v>
          </cell>
          <cell r="H5004">
            <v>34000000</v>
          </cell>
          <cell r="I5004" t="str">
            <v/>
          </cell>
          <cell r="J5004" t="str">
            <v/>
          </cell>
          <cell r="K5004" t="str">
            <v/>
          </cell>
          <cell r="L5004" t="str">
            <v/>
          </cell>
        </row>
        <row r="5005">
          <cell r="A5005">
            <v>34000000</v>
          </cell>
          <cell r="C5005">
            <v>34000000</v>
          </cell>
          <cell r="D5005">
            <v>34000000</v>
          </cell>
          <cell r="E5005">
            <v>34000000</v>
          </cell>
          <cell r="F5005">
            <v>34000000</v>
          </cell>
          <cell r="G5005">
            <v>34000000</v>
          </cell>
          <cell r="H5005">
            <v>34000000</v>
          </cell>
          <cell r="I5005" t="str">
            <v/>
          </cell>
          <cell r="J5005" t="str">
            <v/>
          </cell>
          <cell r="K5005" t="str">
            <v/>
          </cell>
          <cell r="L5005" t="str">
            <v/>
          </cell>
        </row>
        <row r="5006">
          <cell r="A5006">
            <v>34000000</v>
          </cell>
          <cell r="C5006">
            <v>34000000</v>
          </cell>
          <cell r="D5006">
            <v>34000000</v>
          </cell>
          <cell r="E5006">
            <v>34000000</v>
          </cell>
          <cell r="F5006">
            <v>34000000</v>
          </cell>
          <cell r="G5006">
            <v>34000000</v>
          </cell>
          <cell r="H5006">
            <v>34000000</v>
          </cell>
          <cell r="I5006" t="str">
            <v/>
          </cell>
          <cell r="J5006" t="str">
            <v/>
          </cell>
          <cell r="K5006" t="str">
            <v/>
          </cell>
          <cell r="L5006" t="str">
            <v/>
          </cell>
        </row>
        <row r="5007">
          <cell r="A5007">
            <v>34000000</v>
          </cell>
          <cell r="C5007">
            <v>34000000</v>
          </cell>
          <cell r="D5007">
            <v>34000000</v>
          </cell>
          <cell r="E5007">
            <v>34000000</v>
          </cell>
          <cell r="F5007">
            <v>34000000</v>
          </cell>
          <cell r="G5007">
            <v>34000000</v>
          </cell>
          <cell r="H5007">
            <v>34000000</v>
          </cell>
          <cell r="I5007" t="str">
            <v/>
          </cell>
          <cell r="J5007" t="str">
            <v/>
          </cell>
          <cell r="K5007" t="str">
            <v/>
          </cell>
          <cell r="L5007" t="str">
            <v/>
          </cell>
        </row>
        <row r="5008">
          <cell r="A5008">
            <v>34000000</v>
          </cell>
          <cell r="C5008">
            <v>34000000</v>
          </cell>
          <cell r="D5008">
            <v>34000000</v>
          </cell>
          <cell r="E5008">
            <v>34000000</v>
          </cell>
          <cell r="F5008">
            <v>34000000</v>
          </cell>
          <cell r="G5008">
            <v>34000000</v>
          </cell>
          <cell r="H5008">
            <v>34000000</v>
          </cell>
          <cell r="I5008" t="str">
            <v/>
          </cell>
          <cell r="J5008" t="str">
            <v/>
          </cell>
          <cell r="K5008" t="str">
            <v/>
          </cell>
          <cell r="L5008" t="str">
            <v/>
          </cell>
        </row>
        <row r="5009">
          <cell r="A5009">
            <v>34000000</v>
          </cell>
          <cell r="C5009">
            <v>34000000</v>
          </cell>
          <cell r="D5009">
            <v>34000000</v>
          </cell>
          <cell r="E5009">
            <v>34000000</v>
          </cell>
          <cell r="F5009">
            <v>34000000</v>
          </cell>
          <cell r="G5009">
            <v>34000000</v>
          </cell>
          <cell r="H5009">
            <v>34000000</v>
          </cell>
          <cell r="I5009" t="str">
            <v/>
          </cell>
          <cell r="J5009" t="str">
            <v/>
          </cell>
          <cell r="K5009" t="str">
            <v/>
          </cell>
          <cell r="L5009" t="str">
            <v/>
          </cell>
        </row>
        <row r="5010">
          <cell r="A5010">
            <v>34000000</v>
          </cell>
          <cell r="C5010">
            <v>34000000</v>
          </cell>
          <cell r="D5010">
            <v>34000000</v>
          </cell>
          <cell r="E5010">
            <v>34000000</v>
          </cell>
          <cell r="F5010">
            <v>34000000</v>
          </cell>
          <cell r="G5010">
            <v>34000000</v>
          </cell>
          <cell r="H5010">
            <v>34000000</v>
          </cell>
          <cell r="I5010" t="str">
            <v/>
          </cell>
          <cell r="J5010" t="str">
            <v/>
          </cell>
          <cell r="K5010" t="str">
            <v/>
          </cell>
          <cell r="L5010" t="str">
            <v/>
          </cell>
        </row>
        <row r="5011">
          <cell r="A5011">
            <v>34000000</v>
          </cell>
          <cell r="C5011">
            <v>34000000</v>
          </cell>
          <cell r="D5011">
            <v>34000000</v>
          </cell>
          <cell r="E5011">
            <v>34000000</v>
          </cell>
          <cell r="F5011">
            <v>34000000</v>
          </cell>
          <cell r="G5011">
            <v>34000000</v>
          </cell>
          <cell r="H5011">
            <v>34000000</v>
          </cell>
          <cell r="I5011" t="str">
            <v/>
          </cell>
          <cell r="J5011" t="str">
            <v/>
          </cell>
          <cell r="K5011" t="str">
            <v/>
          </cell>
          <cell r="L5011" t="str">
            <v/>
          </cell>
        </row>
        <row r="5012">
          <cell r="A5012">
            <v>34000000</v>
          </cell>
          <cell r="C5012">
            <v>34000000</v>
          </cell>
          <cell r="D5012">
            <v>34000000</v>
          </cell>
          <cell r="E5012">
            <v>34000000</v>
          </cell>
          <cell r="F5012">
            <v>34000000</v>
          </cell>
          <cell r="G5012">
            <v>34000000</v>
          </cell>
          <cell r="H5012">
            <v>34000000</v>
          </cell>
          <cell r="I5012" t="str">
            <v/>
          </cell>
          <cell r="J5012" t="str">
            <v/>
          </cell>
          <cell r="K5012" t="str">
            <v/>
          </cell>
          <cell r="L5012" t="str">
            <v/>
          </cell>
        </row>
        <row r="5013">
          <cell r="A5013">
            <v>34000000</v>
          </cell>
          <cell r="C5013">
            <v>34000000</v>
          </cell>
          <cell r="D5013">
            <v>34000000</v>
          </cell>
          <cell r="E5013">
            <v>34000000</v>
          </cell>
          <cell r="F5013">
            <v>34000000</v>
          </cell>
          <cell r="G5013">
            <v>34000000</v>
          </cell>
          <cell r="H5013">
            <v>34000000</v>
          </cell>
          <cell r="I5013" t="str">
            <v/>
          </cell>
          <cell r="J5013" t="str">
            <v/>
          </cell>
          <cell r="K5013" t="str">
            <v/>
          </cell>
          <cell r="L5013" t="str">
            <v/>
          </cell>
        </row>
        <row r="5014">
          <cell r="A5014">
            <v>34000000</v>
          </cell>
          <cell r="C5014">
            <v>34000000</v>
          </cell>
          <cell r="D5014">
            <v>34000000</v>
          </cell>
          <cell r="E5014">
            <v>34000000</v>
          </cell>
          <cell r="F5014">
            <v>34000000</v>
          </cell>
          <cell r="G5014">
            <v>34000000</v>
          </cell>
          <cell r="H5014">
            <v>34000000</v>
          </cell>
          <cell r="I5014" t="str">
            <v/>
          </cell>
          <cell r="J5014" t="str">
            <v/>
          </cell>
          <cell r="K5014" t="str">
            <v/>
          </cell>
          <cell r="L5014" t="str">
            <v/>
          </cell>
        </row>
        <row r="5015">
          <cell r="A5015">
            <v>34000000</v>
          </cell>
          <cell r="C5015">
            <v>34000000</v>
          </cell>
          <cell r="D5015">
            <v>34000000</v>
          </cell>
          <cell r="E5015">
            <v>34000000</v>
          </cell>
          <cell r="F5015">
            <v>34000000</v>
          </cell>
          <cell r="G5015">
            <v>34000000</v>
          </cell>
          <cell r="H5015">
            <v>34000000</v>
          </cell>
          <cell r="I5015" t="str">
            <v/>
          </cell>
          <cell r="J5015" t="str">
            <v/>
          </cell>
          <cell r="K5015" t="str">
            <v/>
          </cell>
          <cell r="L5015" t="str">
            <v/>
          </cell>
        </row>
        <row r="5016">
          <cell r="A5016">
            <v>34000000</v>
          </cell>
          <cell r="C5016">
            <v>34000000</v>
          </cell>
          <cell r="D5016">
            <v>34000000</v>
          </cell>
          <cell r="E5016">
            <v>34000000</v>
          </cell>
          <cell r="F5016">
            <v>34000000</v>
          </cell>
          <cell r="G5016">
            <v>34000000</v>
          </cell>
          <cell r="H5016">
            <v>34000000</v>
          </cell>
          <cell r="I5016" t="str">
            <v/>
          </cell>
          <cell r="J5016" t="str">
            <v/>
          </cell>
          <cell r="K5016" t="str">
            <v/>
          </cell>
          <cell r="L5016" t="str">
            <v/>
          </cell>
        </row>
        <row r="5017">
          <cell r="A5017">
            <v>34000000</v>
          </cell>
          <cell r="C5017">
            <v>34000000</v>
          </cell>
          <cell r="D5017">
            <v>34000000</v>
          </cell>
          <cell r="E5017">
            <v>34000000</v>
          </cell>
          <cell r="F5017">
            <v>34000000</v>
          </cell>
          <cell r="G5017">
            <v>34000000</v>
          </cell>
          <cell r="H5017">
            <v>34000000</v>
          </cell>
          <cell r="I5017" t="str">
            <v/>
          </cell>
          <cell r="J5017" t="str">
            <v/>
          </cell>
          <cell r="K5017" t="str">
            <v/>
          </cell>
          <cell r="L5017" t="str">
            <v/>
          </cell>
        </row>
        <row r="5018">
          <cell r="A5018">
            <v>34000000</v>
          </cell>
          <cell r="C5018">
            <v>34000000</v>
          </cell>
          <cell r="D5018">
            <v>34000000</v>
          </cell>
          <cell r="E5018">
            <v>34000000</v>
          </cell>
          <cell r="F5018">
            <v>34000000</v>
          </cell>
          <cell r="G5018">
            <v>34000000</v>
          </cell>
          <cell r="H5018">
            <v>34000000</v>
          </cell>
          <cell r="I5018" t="str">
            <v/>
          </cell>
          <cell r="J5018" t="str">
            <v/>
          </cell>
          <cell r="K5018" t="str">
            <v/>
          </cell>
          <cell r="L5018" t="str">
            <v/>
          </cell>
        </row>
        <row r="5019">
          <cell r="A5019">
            <v>34000000</v>
          </cell>
          <cell r="C5019">
            <v>34000000</v>
          </cell>
          <cell r="D5019">
            <v>34000000</v>
          </cell>
          <cell r="E5019">
            <v>34000000</v>
          </cell>
          <cell r="F5019">
            <v>34000000</v>
          </cell>
          <cell r="G5019">
            <v>34000000</v>
          </cell>
          <cell r="H5019">
            <v>34000000</v>
          </cell>
          <cell r="I5019" t="str">
            <v/>
          </cell>
          <cell r="J5019" t="str">
            <v/>
          </cell>
          <cell r="K5019" t="str">
            <v/>
          </cell>
          <cell r="L5019" t="str">
            <v/>
          </cell>
        </row>
        <row r="5020">
          <cell r="A5020">
            <v>34000000</v>
          </cell>
          <cell r="C5020">
            <v>34000000</v>
          </cell>
          <cell r="D5020">
            <v>34000000</v>
          </cell>
          <cell r="E5020">
            <v>34000000</v>
          </cell>
          <cell r="F5020">
            <v>34000000</v>
          </cell>
          <cell r="G5020">
            <v>34000000</v>
          </cell>
          <cell r="H5020">
            <v>34000000</v>
          </cell>
          <cell r="I5020" t="str">
            <v/>
          </cell>
          <cell r="J5020" t="str">
            <v/>
          </cell>
          <cell r="K5020" t="str">
            <v/>
          </cell>
          <cell r="L5020" t="str">
            <v/>
          </cell>
        </row>
        <row r="5021">
          <cell r="A5021">
            <v>34000000</v>
          </cell>
          <cell r="C5021">
            <v>34000000</v>
          </cell>
          <cell r="D5021">
            <v>34000000</v>
          </cell>
          <cell r="E5021">
            <v>34000000</v>
          </cell>
          <cell r="F5021">
            <v>34000000</v>
          </cell>
          <cell r="G5021">
            <v>34000000</v>
          </cell>
          <cell r="H5021">
            <v>34000000</v>
          </cell>
          <cell r="I5021" t="str">
            <v/>
          </cell>
          <cell r="J5021" t="str">
            <v/>
          </cell>
          <cell r="K5021" t="str">
            <v/>
          </cell>
          <cell r="L5021" t="str">
            <v/>
          </cell>
        </row>
        <row r="5022">
          <cell r="A5022">
            <v>34000000</v>
          </cell>
          <cell r="C5022">
            <v>34000000</v>
          </cell>
          <cell r="D5022">
            <v>34000000</v>
          </cell>
          <cell r="E5022">
            <v>34000000</v>
          </cell>
          <cell r="F5022">
            <v>34000000</v>
          </cell>
          <cell r="G5022">
            <v>34000000</v>
          </cell>
          <cell r="H5022">
            <v>34000000</v>
          </cell>
          <cell r="I5022" t="str">
            <v/>
          </cell>
          <cell r="J5022" t="str">
            <v/>
          </cell>
          <cell r="K5022" t="str">
            <v/>
          </cell>
          <cell r="L5022" t="str">
            <v/>
          </cell>
        </row>
        <row r="5023">
          <cell r="A5023">
            <v>34000000</v>
          </cell>
          <cell r="C5023">
            <v>34000000</v>
          </cell>
          <cell r="D5023">
            <v>34000000</v>
          </cell>
          <cell r="E5023">
            <v>34000000</v>
          </cell>
          <cell r="F5023">
            <v>34000000</v>
          </cell>
          <cell r="G5023">
            <v>34000000</v>
          </cell>
          <cell r="H5023">
            <v>34000000</v>
          </cell>
          <cell r="I5023" t="str">
            <v/>
          </cell>
          <cell r="J5023" t="str">
            <v/>
          </cell>
          <cell r="K5023" t="str">
            <v/>
          </cell>
          <cell r="L5023" t="str">
            <v/>
          </cell>
        </row>
        <row r="5024">
          <cell r="A5024">
            <v>34000000</v>
          </cell>
          <cell r="C5024">
            <v>34000000</v>
          </cell>
          <cell r="D5024">
            <v>34000000</v>
          </cell>
          <cell r="E5024">
            <v>34000000</v>
          </cell>
          <cell r="F5024">
            <v>34000000</v>
          </cell>
          <cell r="G5024">
            <v>34000000</v>
          </cell>
          <cell r="H5024">
            <v>34000000</v>
          </cell>
          <cell r="I5024" t="str">
            <v/>
          </cell>
          <cell r="J5024" t="str">
            <v/>
          </cell>
          <cell r="K5024" t="str">
            <v/>
          </cell>
          <cell r="L5024" t="str">
            <v/>
          </cell>
        </row>
        <row r="5025">
          <cell r="A5025">
            <v>34000000</v>
          </cell>
          <cell r="C5025">
            <v>34000000</v>
          </cell>
          <cell r="D5025">
            <v>34000000</v>
          </cell>
          <cell r="E5025">
            <v>34000000</v>
          </cell>
          <cell r="F5025">
            <v>34000000</v>
          </cell>
          <cell r="G5025">
            <v>34000000</v>
          </cell>
          <cell r="H5025">
            <v>34000000</v>
          </cell>
          <cell r="I5025" t="str">
            <v/>
          </cell>
          <cell r="J5025" t="str">
            <v/>
          </cell>
          <cell r="K5025" t="str">
            <v/>
          </cell>
          <cell r="L5025" t="str">
            <v/>
          </cell>
        </row>
        <row r="5026">
          <cell r="A5026">
            <v>34000000</v>
          </cell>
          <cell r="C5026">
            <v>34000000</v>
          </cell>
          <cell r="D5026">
            <v>34000000</v>
          </cell>
          <cell r="E5026">
            <v>34000000</v>
          </cell>
          <cell r="F5026">
            <v>34000000</v>
          </cell>
          <cell r="G5026">
            <v>34000000</v>
          </cell>
          <cell r="H5026">
            <v>34000000</v>
          </cell>
          <cell r="I5026" t="str">
            <v/>
          </cell>
          <cell r="J5026" t="str">
            <v/>
          </cell>
          <cell r="K5026" t="str">
            <v/>
          </cell>
          <cell r="L5026" t="str">
            <v/>
          </cell>
        </row>
        <row r="5027">
          <cell r="A5027">
            <v>34000000</v>
          </cell>
          <cell r="C5027">
            <v>34000000</v>
          </cell>
          <cell r="D5027">
            <v>34000000</v>
          </cell>
          <cell r="E5027">
            <v>34000000</v>
          </cell>
          <cell r="F5027">
            <v>34000000</v>
          </cell>
          <cell r="G5027">
            <v>34000000</v>
          </cell>
          <cell r="H5027">
            <v>34000000</v>
          </cell>
          <cell r="I5027" t="str">
            <v/>
          </cell>
          <cell r="J5027" t="str">
            <v/>
          </cell>
          <cell r="K5027" t="str">
            <v/>
          </cell>
          <cell r="L5027" t="str">
            <v/>
          </cell>
        </row>
        <row r="5028">
          <cell r="A5028">
            <v>34000000</v>
          </cell>
          <cell r="C5028">
            <v>34000000</v>
          </cell>
          <cell r="D5028">
            <v>34000000</v>
          </cell>
          <cell r="E5028">
            <v>34000000</v>
          </cell>
          <cell r="F5028">
            <v>34000000</v>
          </cell>
          <cell r="G5028">
            <v>34000000</v>
          </cell>
          <cell r="H5028">
            <v>34000000</v>
          </cell>
          <cell r="I5028" t="str">
            <v/>
          </cell>
          <cell r="J5028" t="str">
            <v/>
          </cell>
          <cell r="K5028" t="str">
            <v/>
          </cell>
          <cell r="L5028" t="str">
            <v/>
          </cell>
        </row>
        <row r="5029">
          <cell r="A5029">
            <v>34000000</v>
          </cell>
          <cell r="C5029">
            <v>34000000</v>
          </cell>
          <cell r="D5029">
            <v>34000000</v>
          </cell>
          <cell r="E5029">
            <v>34000000</v>
          </cell>
          <cell r="F5029">
            <v>34000000</v>
          </cell>
          <cell r="G5029">
            <v>34000000</v>
          </cell>
          <cell r="H5029">
            <v>34000000</v>
          </cell>
          <cell r="I5029" t="str">
            <v/>
          </cell>
          <cell r="J5029" t="str">
            <v/>
          </cell>
          <cell r="K5029" t="str">
            <v/>
          </cell>
          <cell r="L5029" t="str">
            <v/>
          </cell>
        </row>
        <row r="5030">
          <cell r="A5030">
            <v>34000000</v>
          </cell>
          <cell r="C5030">
            <v>34000000</v>
          </cell>
          <cell r="D5030">
            <v>34000000</v>
          </cell>
          <cell r="E5030">
            <v>34000000</v>
          </cell>
          <cell r="F5030">
            <v>34000000</v>
          </cell>
          <cell r="G5030">
            <v>34000000</v>
          </cell>
          <cell r="H5030">
            <v>34000000</v>
          </cell>
          <cell r="I5030" t="str">
            <v/>
          </cell>
          <cell r="J5030" t="str">
            <v/>
          </cell>
          <cell r="K5030" t="str">
            <v/>
          </cell>
          <cell r="L5030" t="str">
            <v/>
          </cell>
        </row>
        <row r="5031">
          <cell r="A5031">
            <v>34000000</v>
          </cell>
          <cell r="C5031">
            <v>34000000</v>
          </cell>
          <cell r="D5031">
            <v>34000000</v>
          </cell>
          <cell r="E5031">
            <v>34000000</v>
          </cell>
          <cell r="F5031">
            <v>34000000</v>
          </cell>
          <cell r="G5031">
            <v>34000000</v>
          </cell>
          <cell r="H5031">
            <v>34000000</v>
          </cell>
          <cell r="I5031" t="str">
            <v/>
          </cell>
          <cell r="J5031" t="str">
            <v/>
          </cell>
          <cell r="K5031" t="str">
            <v/>
          </cell>
          <cell r="L5031" t="str">
            <v/>
          </cell>
        </row>
        <row r="5032">
          <cell r="A5032">
            <v>34000000</v>
          </cell>
          <cell r="C5032">
            <v>34000000</v>
          </cell>
          <cell r="D5032">
            <v>34000000</v>
          </cell>
          <cell r="E5032">
            <v>34000000</v>
          </cell>
          <cell r="F5032">
            <v>34000000</v>
          </cell>
          <cell r="G5032">
            <v>34000000</v>
          </cell>
          <cell r="H5032">
            <v>34000000</v>
          </cell>
          <cell r="I5032" t="str">
            <v/>
          </cell>
          <cell r="J5032" t="str">
            <v/>
          </cell>
          <cell r="K5032" t="str">
            <v/>
          </cell>
          <cell r="L5032" t="str">
            <v/>
          </cell>
        </row>
        <row r="5033">
          <cell r="A5033">
            <v>34000000</v>
          </cell>
          <cell r="C5033">
            <v>34000000</v>
          </cell>
          <cell r="D5033">
            <v>34000000</v>
          </cell>
          <cell r="E5033">
            <v>34000000</v>
          </cell>
          <cell r="F5033">
            <v>34000000</v>
          </cell>
          <cell r="G5033">
            <v>34000000</v>
          </cell>
          <cell r="H5033">
            <v>34000000</v>
          </cell>
          <cell r="I5033" t="str">
            <v/>
          </cell>
          <cell r="J5033" t="str">
            <v/>
          </cell>
          <cell r="K5033" t="str">
            <v/>
          </cell>
          <cell r="L5033" t="str">
            <v/>
          </cell>
        </row>
        <row r="5034">
          <cell r="A5034">
            <v>34000000</v>
          </cell>
          <cell r="C5034">
            <v>34000000</v>
          </cell>
          <cell r="D5034">
            <v>34000000</v>
          </cell>
          <cell r="E5034">
            <v>34000000</v>
          </cell>
          <cell r="F5034">
            <v>34000000</v>
          </cell>
          <cell r="G5034">
            <v>34000000</v>
          </cell>
          <cell r="H5034">
            <v>34000000</v>
          </cell>
          <cell r="I5034" t="str">
            <v/>
          </cell>
          <cell r="J5034" t="str">
            <v/>
          </cell>
          <cell r="K5034" t="str">
            <v/>
          </cell>
          <cell r="L5034" t="str">
            <v/>
          </cell>
        </row>
        <row r="5035">
          <cell r="A5035">
            <v>34000000</v>
          </cell>
          <cell r="C5035">
            <v>34000000</v>
          </cell>
          <cell r="D5035">
            <v>34000000</v>
          </cell>
          <cell r="E5035">
            <v>34000000</v>
          </cell>
          <cell r="F5035">
            <v>34000000</v>
          </cell>
          <cell r="G5035">
            <v>34000000</v>
          </cell>
          <cell r="H5035">
            <v>34000000</v>
          </cell>
          <cell r="I5035" t="str">
            <v/>
          </cell>
          <cell r="J5035" t="str">
            <v/>
          </cell>
          <cell r="K5035" t="str">
            <v/>
          </cell>
          <cell r="L5035" t="str">
            <v/>
          </cell>
        </row>
        <row r="5036">
          <cell r="A5036">
            <v>34000000</v>
          </cell>
          <cell r="C5036">
            <v>34000000</v>
          </cell>
          <cell r="D5036">
            <v>34000000</v>
          </cell>
          <cell r="E5036">
            <v>34000000</v>
          </cell>
          <cell r="F5036">
            <v>34000000</v>
          </cell>
          <cell r="G5036">
            <v>34000000</v>
          </cell>
          <cell r="H5036">
            <v>34000000</v>
          </cell>
          <cell r="I5036" t="str">
            <v/>
          </cell>
          <cell r="J5036" t="str">
            <v/>
          </cell>
          <cell r="K5036" t="str">
            <v/>
          </cell>
          <cell r="L5036" t="str">
            <v/>
          </cell>
        </row>
        <row r="5037">
          <cell r="A5037">
            <v>34000000</v>
          </cell>
          <cell r="C5037">
            <v>34000000</v>
          </cell>
          <cell r="D5037">
            <v>34000000</v>
          </cell>
          <cell r="E5037">
            <v>34000000</v>
          </cell>
          <cell r="F5037">
            <v>34000000</v>
          </cell>
          <cell r="G5037">
            <v>34000000</v>
          </cell>
          <cell r="H5037">
            <v>34000000</v>
          </cell>
          <cell r="I5037" t="str">
            <v/>
          </cell>
          <cell r="J5037" t="str">
            <v/>
          </cell>
          <cell r="K5037" t="str">
            <v/>
          </cell>
          <cell r="L5037" t="str">
            <v/>
          </cell>
        </row>
        <row r="5038">
          <cell r="A5038">
            <v>34000000</v>
          </cell>
          <cell r="C5038">
            <v>34000000</v>
          </cell>
          <cell r="D5038">
            <v>34000000</v>
          </cell>
          <cell r="E5038">
            <v>34000000</v>
          </cell>
          <cell r="F5038">
            <v>34000000</v>
          </cell>
          <cell r="G5038">
            <v>34000000</v>
          </cell>
          <cell r="H5038">
            <v>34000000</v>
          </cell>
          <cell r="I5038" t="str">
            <v/>
          </cell>
          <cell r="J5038" t="str">
            <v/>
          </cell>
          <cell r="K5038" t="str">
            <v/>
          </cell>
          <cell r="L5038" t="str">
            <v/>
          </cell>
        </row>
        <row r="5039">
          <cell r="A5039">
            <v>34000000</v>
          </cell>
          <cell r="C5039">
            <v>34000000</v>
          </cell>
          <cell r="D5039">
            <v>34000000</v>
          </cell>
          <cell r="E5039">
            <v>34000000</v>
          </cell>
          <cell r="F5039">
            <v>34000000</v>
          </cell>
          <cell r="G5039">
            <v>34000000</v>
          </cell>
          <cell r="H5039">
            <v>34000000</v>
          </cell>
          <cell r="I5039" t="str">
            <v/>
          </cell>
          <cell r="J5039" t="str">
            <v/>
          </cell>
          <cell r="K5039" t="str">
            <v/>
          </cell>
          <cell r="L5039" t="str">
            <v/>
          </cell>
        </row>
        <row r="5040">
          <cell r="A5040">
            <v>34000000</v>
          </cell>
          <cell r="C5040">
            <v>34000000</v>
          </cell>
          <cell r="D5040">
            <v>34000000</v>
          </cell>
          <cell r="E5040">
            <v>34000000</v>
          </cell>
          <cell r="F5040">
            <v>34000000</v>
          </cell>
          <cell r="G5040">
            <v>34000000</v>
          </cell>
          <cell r="H5040">
            <v>34000000</v>
          </cell>
          <cell r="I5040" t="str">
            <v/>
          </cell>
          <cell r="J5040" t="str">
            <v/>
          </cell>
          <cell r="K5040" t="str">
            <v/>
          </cell>
          <cell r="L5040" t="str">
            <v/>
          </cell>
        </row>
        <row r="5041">
          <cell r="A5041">
            <v>34000000</v>
          </cell>
          <cell r="C5041">
            <v>34000000</v>
          </cell>
          <cell r="D5041">
            <v>34000000</v>
          </cell>
          <cell r="E5041">
            <v>34000000</v>
          </cell>
          <cell r="F5041">
            <v>34000000</v>
          </cell>
          <cell r="G5041">
            <v>34000000</v>
          </cell>
          <cell r="H5041">
            <v>34000000</v>
          </cell>
          <cell r="I5041" t="str">
            <v/>
          </cell>
          <cell r="J5041" t="str">
            <v/>
          </cell>
          <cell r="K5041" t="str">
            <v/>
          </cell>
          <cell r="L5041" t="str">
            <v/>
          </cell>
        </row>
        <row r="5042">
          <cell r="A5042">
            <v>34000000</v>
          </cell>
          <cell r="C5042">
            <v>34000000</v>
          </cell>
          <cell r="D5042">
            <v>34000000</v>
          </cell>
          <cell r="E5042">
            <v>34000000</v>
          </cell>
          <cell r="F5042">
            <v>34000000</v>
          </cell>
          <cell r="G5042">
            <v>34000000</v>
          </cell>
          <cell r="H5042">
            <v>34000000</v>
          </cell>
          <cell r="I5042" t="str">
            <v/>
          </cell>
          <cell r="J5042" t="str">
            <v/>
          </cell>
          <cell r="K5042" t="str">
            <v/>
          </cell>
          <cell r="L5042" t="str">
            <v/>
          </cell>
        </row>
        <row r="5043">
          <cell r="A5043">
            <v>34000000</v>
          </cell>
          <cell r="C5043">
            <v>34000000</v>
          </cell>
          <cell r="D5043">
            <v>34000000</v>
          </cell>
          <cell r="E5043">
            <v>34000000</v>
          </cell>
          <cell r="F5043">
            <v>34000000</v>
          </cell>
          <cell r="G5043">
            <v>34000000</v>
          </cell>
          <cell r="H5043">
            <v>34000000</v>
          </cell>
          <cell r="I5043" t="str">
            <v/>
          </cell>
          <cell r="J5043" t="str">
            <v/>
          </cell>
          <cell r="K5043" t="str">
            <v/>
          </cell>
          <cell r="L5043" t="str">
            <v/>
          </cell>
        </row>
        <row r="5044">
          <cell r="A5044">
            <v>34000000</v>
          </cell>
          <cell r="C5044">
            <v>34000000</v>
          </cell>
          <cell r="D5044">
            <v>34000000</v>
          </cell>
          <cell r="E5044">
            <v>34000000</v>
          </cell>
          <cell r="F5044">
            <v>34000000</v>
          </cell>
          <cell r="G5044">
            <v>34000000</v>
          </cell>
          <cell r="H5044">
            <v>34000000</v>
          </cell>
          <cell r="I5044" t="str">
            <v/>
          </cell>
          <cell r="J5044" t="str">
            <v/>
          </cell>
          <cell r="K5044" t="str">
            <v/>
          </cell>
          <cell r="L5044" t="str">
            <v/>
          </cell>
        </row>
        <row r="5045">
          <cell r="A5045">
            <v>34000000</v>
          </cell>
          <cell r="C5045">
            <v>34000000</v>
          </cell>
          <cell r="D5045">
            <v>34000000</v>
          </cell>
          <cell r="E5045">
            <v>34000000</v>
          </cell>
          <cell r="F5045">
            <v>34000000</v>
          </cell>
          <cell r="G5045">
            <v>34000000</v>
          </cell>
          <cell r="H5045">
            <v>34000000</v>
          </cell>
          <cell r="I5045" t="str">
            <v/>
          </cell>
          <cell r="J5045" t="str">
            <v/>
          </cell>
          <cell r="K5045" t="str">
            <v/>
          </cell>
          <cell r="L5045" t="str">
            <v/>
          </cell>
        </row>
        <row r="5046">
          <cell r="A5046">
            <v>34000000</v>
          </cell>
          <cell r="C5046">
            <v>34000000</v>
          </cell>
          <cell r="D5046">
            <v>34000000</v>
          </cell>
          <cell r="E5046">
            <v>34000000</v>
          </cell>
          <cell r="F5046">
            <v>34000000</v>
          </cell>
          <cell r="G5046">
            <v>34000000</v>
          </cell>
          <cell r="H5046">
            <v>34000000</v>
          </cell>
          <cell r="I5046" t="str">
            <v/>
          </cell>
          <cell r="J5046" t="str">
            <v/>
          </cell>
          <cell r="K5046" t="str">
            <v/>
          </cell>
          <cell r="L5046" t="str">
            <v/>
          </cell>
        </row>
        <row r="5047">
          <cell r="A5047">
            <v>34000000</v>
          </cell>
          <cell r="C5047">
            <v>34000000</v>
          </cell>
          <cell r="D5047">
            <v>34000000</v>
          </cell>
          <cell r="E5047">
            <v>34000000</v>
          </cell>
          <cell r="F5047">
            <v>34000000</v>
          </cell>
          <cell r="G5047">
            <v>34000000</v>
          </cell>
          <cell r="H5047">
            <v>34000000</v>
          </cell>
          <cell r="I5047" t="str">
            <v/>
          </cell>
          <cell r="J5047" t="str">
            <v/>
          </cell>
          <cell r="K5047" t="str">
            <v/>
          </cell>
          <cell r="L5047" t="str">
            <v/>
          </cell>
        </row>
        <row r="5048">
          <cell r="A5048">
            <v>34000000</v>
          </cell>
          <cell r="C5048">
            <v>34000000</v>
          </cell>
          <cell r="D5048">
            <v>34000000</v>
          </cell>
          <cell r="E5048">
            <v>34000000</v>
          </cell>
          <cell r="F5048">
            <v>34000000</v>
          </cell>
          <cell r="G5048">
            <v>34000000</v>
          </cell>
          <cell r="H5048">
            <v>34000000</v>
          </cell>
          <cell r="I5048" t="str">
            <v/>
          </cell>
          <cell r="J5048" t="str">
            <v/>
          </cell>
          <cell r="K5048" t="str">
            <v/>
          </cell>
          <cell r="L5048" t="str">
            <v/>
          </cell>
        </row>
        <row r="5049">
          <cell r="A5049">
            <v>34000000</v>
          </cell>
          <cell r="C5049">
            <v>34000000</v>
          </cell>
          <cell r="D5049">
            <v>34000000</v>
          </cell>
          <cell r="E5049">
            <v>34000000</v>
          </cell>
          <cell r="F5049">
            <v>34000000</v>
          </cell>
          <cell r="G5049">
            <v>34000000</v>
          </cell>
          <cell r="H5049">
            <v>34000000</v>
          </cell>
          <cell r="I5049" t="str">
            <v/>
          </cell>
          <cell r="J5049" t="str">
            <v/>
          </cell>
          <cell r="K5049" t="str">
            <v/>
          </cell>
          <cell r="L5049" t="str">
            <v/>
          </cell>
        </row>
        <row r="5050">
          <cell r="A5050">
            <v>34000000</v>
          </cell>
          <cell r="C5050">
            <v>34000000</v>
          </cell>
          <cell r="D5050">
            <v>34000000</v>
          </cell>
          <cell r="E5050">
            <v>34000000</v>
          </cell>
          <cell r="F5050">
            <v>34000000</v>
          </cell>
          <cell r="G5050">
            <v>34000000</v>
          </cell>
          <cell r="H5050">
            <v>34000000</v>
          </cell>
          <cell r="I5050" t="str">
            <v/>
          </cell>
          <cell r="J5050" t="str">
            <v/>
          </cell>
          <cell r="K5050" t="str">
            <v/>
          </cell>
          <cell r="L5050" t="str">
            <v/>
          </cell>
        </row>
        <row r="5051">
          <cell r="A5051">
            <v>34000000</v>
          </cell>
          <cell r="C5051">
            <v>34000000</v>
          </cell>
          <cell r="D5051">
            <v>34000000</v>
          </cell>
          <cell r="E5051">
            <v>34000000</v>
          </cell>
          <cell r="F5051">
            <v>34000000</v>
          </cell>
          <cell r="G5051">
            <v>34000000</v>
          </cell>
          <cell r="H5051">
            <v>34000000</v>
          </cell>
          <cell r="I5051" t="str">
            <v/>
          </cell>
          <cell r="J5051" t="str">
            <v/>
          </cell>
          <cell r="K5051" t="str">
            <v/>
          </cell>
          <cell r="L5051" t="str">
            <v/>
          </cell>
        </row>
        <row r="5052">
          <cell r="A5052">
            <v>34000000</v>
          </cell>
          <cell r="C5052">
            <v>34000000</v>
          </cell>
          <cell r="D5052">
            <v>34000000</v>
          </cell>
          <cell r="E5052">
            <v>34000000</v>
          </cell>
          <cell r="F5052">
            <v>34000000</v>
          </cell>
          <cell r="G5052">
            <v>34000000</v>
          </cell>
          <cell r="H5052">
            <v>34000000</v>
          </cell>
          <cell r="I5052" t="str">
            <v/>
          </cell>
          <cell r="J5052" t="str">
            <v/>
          </cell>
          <cell r="K5052" t="str">
            <v/>
          </cell>
          <cell r="L5052" t="str">
            <v/>
          </cell>
        </row>
        <row r="5053">
          <cell r="A5053">
            <v>34000000</v>
          </cell>
          <cell r="C5053">
            <v>34000000</v>
          </cell>
          <cell r="D5053">
            <v>34000000</v>
          </cell>
          <cell r="E5053">
            <v>34000000</v>
          </cell>
          <cell r="F5053">
            <v>34000000</v>
          </cell>
          <cell r="G5053">
            <v>34000000</v>
          </cell>
          <cell r="H5053">
            <v>34000000</v>
          </cell>
          <cell r="I5053" t="str">
            <v/>
          </cell>
          <cell r="J5053" t="str">
            <v/>
          </cell>
          <cell r="K5053" t="str">
            <v/>
          </cell>
          <cell r="L5053" t="str">
            <v/>
          </cell>
        </row>
        <row r="5054">
          <cell r="A5054">
            <v>34000000</v>
          </cell>
          <cell r="C5054">
            <v>34000000</v>
          </cell>
          <cell r="D5054">
            <v>34000000</v>
          </cell>
          <cell r="E5054">
            <v>34000000</v>
          </cell>
          <cell r="F5054">
            <v>34000000</v>
          </cell>
          <cell r="G5054">
            <v>34000000</v>
          </cell>
          <cell r="H5054">
            <v>34000000</v>
          </cell>
          <cell r="I5054" t="str">
            <v/>
          </cell>
          <cell r="J5054" t="str">
            <v/>
          </cell>
          <cell r="K5054" t="str">
            <v/>
          </cell>
          <cell r="L5054" t="str">
            <v/>
          </cell>
        </row>
        <row r="5055">
          <cell r="A5055">
            <v>34000000</v>
          </cell>
          <cell r="C5055">
            <v>34000000</v>
          </cell>
          <cell r="D5055">
            <v>34000000</v>
          </cell>
          <cell r="E5055">
            <v>34000000</v>
          </cell>
          <cell r="F5055">
            <v>34000000</v>
          </cell>
          <cell r="G5055">
            <v>34000000</v>
          </cell>
          <cell r="H5055">
            <v>34000000</v>
          </cell>
          <cell r="I5055" t="str">
            <v/>
          </cell>
          <cell r="J5055" t="str">
            <v/>
          </cell>
          <cell r="K5055" t="str">
            <v/>
          </cell>
          <cell r="L5055" t="str">
            <v/>
          </cell>
        </row>
        <row r="5056">
          <cell r="A5056">
            <v>34000000</v>
          </cell>
          <cell r="C5056">
            <v>34000000</v>
          </cell>
          <cell r="D5056">
            <v>34000000</v>
          </cell>
          <cell r="E5056">
            <v>34000000</v>
          </cell>
          <cell r="F5056">
            <v>34000000</v>
          </cell>
          <cell r="G5056">
            <v>34000000</v>
          </cell>
          <cell r="H5056">
            <v>34000000</v>
          </cell>
          <cell r="I5056" t="str">
            <v/>
          </cell>
          <cell r="J5056" t="str">
            <v/>
          </cell>
          <cell r="K5056" t="str">
            <v/>
          </cell>
          <cell r="L5056" t="str">
            <v/>
          </cell>
        </row>
        <row r="5057">
          <cell r="A5057">
            <v>34000000</v>
          </cell>
          <cell r="C5057">
            <v>34000000</v>
          </cell>
          <cell r="D5057">
            <v>34000000</v>
          </cell>
          <cell r="E5057">
            <v>34000000</v>
          </cell>
          <cell r="F5057">
            <v>34000000</v>
          </cell>
          <cell r="G5057">
            <v>34000000</v>
          </cell>
          <cell r="H5057">
            <v>34000000</v>
          </cell>
          <cell r="I5057" t="str">
            <v/>
          </cell>
          <cell r="J5057" t="str">
            <v/>
          </cell>
          <cell r="K5057" t="str">
            <v/>
          </cell>
          <cell r="L5057" t="str">
            <v/>
          </cell>
        </row>
        <row r="5058">
          <cell r="A5058">
            <v>34000000</v>
          </cell>
          <cell r="C5058">
            <v>34000000</v>
          </cell>
          <cell r="D5058">
            <v>34000000</v>
          </cell>
          <cell r="E5058">
            <v>34000000</v>
          </cell>
          <cell r="F5058">
            <v>34000000</v>
          </cell>
          <cell r="G5058">
            <v>34000000</v>
          </cell>
          <cell r="H5058">
            <v>34000000</v>
          </cell>
          <cell r="I5058" t="str">
            <v/>
          </cell>
          <cell r="J5058" t="str">
            <v/>
          </cell>
          <cell r="K5058" t="str">
            <v/>
          </cell>
          <cell r="L5058" t="str">
            <v/>
          </cell>
        </row>
        <row r="5059">
          <cell r="A5059">
            <v>34000000</v>
          </cell>
          <cell r="C5059">
            <v>34000000</v>
          </cell>
          <cell r="D5059">
            <v>34000000</v>
          </cell>
          <cell r="E5059">
            <v>34000000</v>
          </cell>
          <cell r="F5059">
            <v>34000000</v>
          </cell>
          <cell r="G5059">
            <v>34000000</v>
          </cell>
          <cell r="H5059">
            <v>34000000</v>
          </cell>
          <cell r="I5059" t="str">
            <v/>
          </cell>
          <cell r="J5059" t="str">
            <v/>
          </cell>
          <cell r="K5059" t="str">
            <v/>
          </cell>
          <cell r="L5059" t="str">
            <v/>
          </cell>
        </row>
        <row r="5060">
          <cell r="A5060">
            <v>34000000</v>
          </cell>
          <cell r="C5060">
            <v>34000000</v>
          </cell>
          <cell r="D5060">
            <v>34000000</v>
          </cell>
          <cell r="E5060">
            <v>34000000</v>
          </cell>
          <cell r="F5060">
            <v>34000000</v>
          </cell>
          <cell r="G5060">
            <v>34000000</v>
          </cell>
          <cell r="H5060">
            <v>34000000</v>
          </cell>
          <cell r="I5060" t="str">
            <v/>
          </cell>
          <cell r="J5060" t="str">
            <v/>
          </cell>
          <cell r="K5060" t="str">
            <v/>
          </cell>
          <cell r="L5060" t="str">
            <v/>
          </cell>
        </row>
        <row r="5061">
          <cell r="A5061">
            <v>34000000</v>
          </cell>
          <cell r="C5061">
            <v>34000000</v>
          </cell>
          <cell r="D5061">
            <v>34000000</v>
          </cell>
          <cell r="E5061">
            <v>34000000</v>
          </cell>
          <cell r="F5061">
            <v>34000000</v>
          </cell>
          <cell r="G5061">
            <v>34000000</v>
          </cell>
          <cell r="H5061">
            <v>34000000</v>
          </cell>
          <cell r="I5061" t="str">
            <v/>
          </cell>
          <cell r="J5061" t="str">
            <v/>
          </cell>
          <cell r="K5061" t="str">
            <v/>
          </cell>
          <cell r="L5061" t="str">
            <v/>
          </cell>
        </row>
        <row r="5062">
          <cell r="A5062">
            <v>34000000</v>
          </cell>
          <cell r="C5062">
            <v>34000000</v>
          </cell>
          <cell r="D5062">
            <v>34000000</v>
          </cell>
          <cell r="E5062">
            <v>34000000</v>
          </cell>
          <cell r="F5062">
            <v>34000000</v>
          </cell>
          <cell r="G5062">
            <v>34000000</v>
          </cell>
          <cell r="H5062">
            <v>34000000</v>
          </cell>
          <cell r="I5062" t="str">
            <v/>
          </cell>
          <cell r="J5062" t="str">
            <v/>
          </cell>
          <cell r="K5062" t="str">
            <v/>
          </cell>
          <cell r="L5062" t="str">
            <v/>
          </cell>
        </row>
        <row r="5063">
          <cell r="A5063">
            <v>34000000</v>
          </cell>
          <cell r="C5063">
            <v>34000000</v>
          </cell>
          <cell r="D5063">
            <v>34000000</v>
          </cell>
          <cell r="E5063">
            <v>34000000</v>
          </cell>
          <cell r="F5063">
            <v>34000000</v>
          </cell>
          <cell r="G5063">
            <v>34000000</v>
          </cell>
          <cell r="H5063">
            <v>34000000</v>
          </cell>
          <cell r="I5063" t="str">
            <v/>
          </cell>
          <cell r="J5063" t="str">
            <v/>
          </cell>
          <cell r="K5063" t="str">
            <v/>
          </cell>
          <cell r="L5063" t="str">
            <v/>
          </cell>
        </row>
        <row r="5064">
          <cell r="A5064">
            <v>34000000</v>
          </cell>
          <cell r="C5064">
            <v>34000000</v>
          </cell>
          <cell r="D5064">
            <v>34000000</v>
          </cell>
          <cell r="E5064">
            <v>34000000</v>
          </cell>
          <cell r="F5064">
            <v>34000000</v>
          </cell>
          <cell r="G5064">
            <v>34000000</v>
          </cell>
          <cell r="H5064">
            <v>34000000</v>
          </cell>
          <cell r="I5064" t="str">
            <v/>
          </cell>
          <cell r="J5064" t="str">
            <v/>
          </cell>
          <cell r="K5064" t="str">
            <v/>
          </cell>
          <cell r="L5064" t="str">
            <v/>
          </cell>
        </row>
        <row r="5065">
          <cell r="A5065">
            <v>34000000</v>
          </cell>
          <cell r="C5065">
            <v>34000000</v>
          </cell>
          <cell r="D5065">
            <v>34000000</v>
          </cell>
          <cell r="E5065">
            <v>34000000</v>
          </cell>
          <cell r="F5065">
            <v>34000000</v>
          </cell>
          <cell r="G5065">
            <v>34000000</v>
          </cell>
          <cell r="H5065">
            <v>34000000</v>
          </cell>
          <cell r="I5065" t="str">
            <v/>
          </cell>
          <cell r="J5065" t="str">
            <v/>
          </cell>
          <cell r="K5065" t="str">
            <v/>
          </cell>
          <cell r="L5065" t="str">
            <v/>
          </cell>
        </row>
        <row r="5066">
          <cell r="A5066">
            <v>34000000</v>
          </cell>
          <cell r="C5066">
            <v>34000000</v>
          </cell>
          <cell r="D5066">
            <v>34000000</v>
          </cell>
          <cell r="E5066">
            <v>34000000</v>
          </cell>
          <cell r="F5066">
            <v>34000000</v>
          </cell>
          <cell r="G5066">
            <v>34000000</v>
          </cell>
          <cell r="H5066">
            <v>34000000</v>
          </cell>
          <cell r="I5066" t="str">
            <v/>
          </cell>
          <cell r="J5066" t="str">
            <v/>
          </cell>
          <cell r="K5066" t="str">
            <v/>
          </cell>
          <cell r="L5066" t="str">
            <v/>
          </cell>
        </row>
        <row r="5067">
          <cell r="A5067">
            <v>34000000</v>
          </cell>
          <cell r="C5067">
            <v>34000000</v>
          </cell>
          <cell r="D5067">
            <v>34000000</v>
          </cell>
          <cell r="E5067">
            <v>34000000</v>
          </cell>
          <cell r="F5067">
            <v>34000000</v>
          </cell>
          <cell r="G5067">
            <v>34000000</v>
          </cell>
          <cell r="H5067">
            <v>34000000</v>
          </cell>
          <cell r="I5067" t="str">
            <v/>
          </cell>
          <cell r="J5067" t="str">
            <v/>
          </cell>
          <cell r="K5067" t="str">
            <v/>
          </cell>
          <cell r="L5067" t="str">
            <v/>
          </cell>
        </row>
        <row r="5068">
          <cell r="A5068">
            <v>34000000</v>
          </cell>
          <cell r="C5068">
            <v>34000000</v>
          </cell>
          <cell r="D5068">
            <v>34000000</v>
          </cell>
          <cell r="E5068">
            <v>34000000</v>
          </cell>
          <cell r="F5068">
            <v>34000000</v>
          </cell>
          <cell r="G5068">
            <v>34000000</v>
          </cell>
          <cell r="H5068">
            <v>34000000</v>
          </cell>
          <cell r="I5068" t="str">
            <v/>
          </cell>
          <cell r="J5068" t="str">
            <v/>
          </cell>
          <cell r="K5068" t="str">
            <v/>
          </cell>
          <cell r="L5068" t="str">
            <v/>
          </cell>
        </row>
        <row r="5069">
          <cell r="A5069">
            <v>34000000</v>
          </cell>
          <cell r="C5069">
            <v>34000000</v>
          </cell>
          <cell r="D5069">
            <v>34000000</v>
          </cell>
          <cell r="E5069">
            <v>34000000</v>
          </cell>
          <cell r="F5069">
            <v>34000000</v>
          </cell>
          <cell r="G5069">
            <v>34000000</v>
          </cell>
          <cell r="H5069">
            <v>34000000</v>
          </cell>
          <cell r="I5069" t="str">
            <v/>
          </cell>
          <cell r="J5069" t="str">
            <v/>
          </cell>
          <cell r="K5069" t="str">
            <v/>
          </cell>
          <cell r="L5069" t="str">
            <v/>
          </cell>
        </row>
        <row r="5070">
          <cell r="A5070">
            <v>34000000</v>
          </cell>
          <cell r="C5070">
            <v>34000000</v>
          </cell>
          <cell r="D5070">
            <v>34000000</v>
          </cell>
          <cell r="E5070">
            <v>34000000</v>
          </cell>
          <cell r="F5070">
            <v>34000000</v>
          </cell>
          <cell r="G5070">
            <v>34000000</v>
          </cell>
          <cell r="H5070">
            <v>34000000</v>
          </cell>
          <cell r="I5070" t="str">
            <v/>
          </cell>
          <cell r="J5070" t="str">
            <v/>
          </cell>
          <cell r="K5070" t="str">
            <v/>
          </cell>
          <cell r="L5070" t="str">
            <v/>
          </cell>
        </row>
        <row r="5071">
          <cell r="A5071">
            <v>34000000</v>
          </cell>
          <cell r="C5071">
            <v>34000000</v>
          </cell>
          <cell r="D5071">
            <v>34000000</v>
          </cell>
          <cell r="E5071">
            <v>34000000</v>
          </cell>
          <cell r="F5071">
            <v>34000000</v>
          </cell>
          <cell r="G5071">
            <v>34000000</v>
          </cell>
          <cell r="H5071">
            <v>34000000</v>
          </cell>
          <cell r="I5071" t="str">
            <v/>
          </cell>
          <cell r="J5071" t="str">
            <v/>
          </cell>
          <cell r="K5071" t="str">
            <v/>
          </cell>
          <cell r="L5071" t="str">
            <v/>
          </cell>
        </row>
        <row r="5072">
          <cell r="A5072">
            <v>34000000</v>
          </cell>
          <cell r="C5072">
            <v>34000000</v>
          </cell>
          <cell r="D5072">
            <v>34000000</v>
          </cell>
          <cell r="E5072">
            <v>34000000</v>
          </cell>
          <cell r="F5072">
            <v>34000000</v>
          </cell>
          <cell r="G5072">
            <v>34000000</v>
          </cell>
          <cell r="H5072">
            <v>34000000</v>
          </cell>
          <cell r="I5072" t="str">
            <v/>
          </cell>
          <cell r="J5072" t="str">
            <v/>
          </cell>
          <cell r="K5072" t="str">
            <v/>
          </cell>
          <cell r="L5072" t="str">
            <v/>
          </cell>
        </row>
        <row r="5073">
          <cell r="A5073">
            <v>34000000</v>
          </cell>
          <cell r="C5073">
            <v>34000000</v>
          </cell>
          <cell r="D5073">
            <v>34000000</v>
          </cell>
          <cell r="E5073">
            <v>34000000</v>
          </cell>
          <cell r="F5073">
            <v>34000000</v>
          </cell>
          <cell r="G5073">
            <v>34000000</v>
          </cell>
          <cell r="H5073">
            <v>34000000</v>
          </cell>
          <cell r="I5073" t="str">
            <v/>
          </cell>
          <cell r="J5073" t="str">
            <v/>
          </cell>
          <cell r="K5073" t="str">
            <v/>
          </cell>
          <cell r="L5073" t="str">
            <v/>
          </cell>
        </row>
        <row r="5074">
          <cell r="A5074">
            <v>34000000</v>
          </cell>
          <cell r="C5074">
            <v>34000000</v>
          </cell>
          <cell r="D5074">
            <v>34000000</v>
          </cell>
          <cell r="E5074">
            <v>34000000</v>
          </cell>
          <cell r="F5074">
            <v>34000000</v>
          </cell>
          <cell r="G5074">
            <v>34000000</v>
          </cell>
          <cell r="H5074">
            <v>34000000</v>
          </cell>
          <cell r="I5074" t="str">
            <v/>
          </cell>
          <cell r="J5074" t="str">
            <v/>
          </cell>
          <cell r="K5074" t="str">
            <v/>
          </cell>
          <cell r="L5074" t="str">
            <v/>
          </cell>
        </row>
        <row r="5075">
          <cell r="A5075">
            <v>34000000</v>
          </cell>
          <cell r="C5075">
            <v>34000000</v>
          </cell>
          <cell r="D5075">
            <v>34000000</v>
          </cell>
          <cell r="E5075">
            <v>34000000</v>
          </cell>
          <cell r="F5075">
            <v>34000000</v>
          </cell>
          <cell r="G5075">
            <v>34000000</v>
          </cell>
          <cell r="H5075">
            <v>34000000</v>
          </cell>
          <cell r="I5075" t="str">
            <v/>
          </cell>
          <cell r="J5075" t="str">
            <v/>
          </cell>
          <cell r="K5075" t="str">
            <v/>
          </cell>
          <cell r="L5075" t="str">
            <v/>
          </cell>
        </row>
        <row r="5076">
          <cell r="A5076">
            <v>34000000</v>
          </cell>
          <cell r="C5076">
            <v>34000000</v>
          </cell>
          <cell r="D5076">
            <v>34000000</v>
          </cell>
          <cell r="E5076">
            <v>34000000</v>
          </cell>
          <cell r="F5076">
            <v>34000000</v>
          </cell>
          <cell r="G5076">
            <v>34000000</v>
          </cell>
          <cell r="H5076">
            <v>34000000</v>
          </cell>
          <cell r="I5076" t="str">
            <v/>
          </cell>
          <cell r="J5076" t="str">
            <v/>
          </cell>
          <cell r="K5076" t="str">
            <v/>
          </cell>
          <cell r="L5076" t="str">
            <v/>
          </cell>
        </row>
        <row r="5077">
          <cell r="A5077">
            <v>34000000</v>
          </cell>
          <cell r="C5077">
            <v>34000000</v>
          </cell>
          <cell r="D5077">
            <v>34000000</v>
          </cell>
          <cell r="E5077">
            <v>34000000</v>
          </cell>
          <cell r="F5077">
            <v>34000000</v>
          </cell>
          <cell r="G5077">
            <v>34000000</v>
          </cell>
          <cell r="H5077">
            <v>34000000</v>
          </cell>
          <cell r="I5077" t="str">
            <v/>
          </cell>
          <cell r="J5077" t="str">
            <v/>
          </cell>
          <cell r="K5077" t="str">
            <v/>
          </cell>
          <cell r="L5077" t="str">
            <v/>
          </cell>
        </row>
        <row r="5078">
          <cell r="A5078">
            <v>34000000</v>
          </cell>
          <cell r="C5078">
            <v>34000000</v>
          </cell>
          <cell r="D5078">
            <v>34000000</v>
          </cell>
          <cell r="E5078">
            <v>34000000</v>
          </cell>
          <cell r="F5078">
            <v>34000000</v>
          </cell>
          <cell r="G5078">
            <v>34000000</v>
          </cell>
          <cell r="H5078">
            <v>34000000</v>
          </cell>
          <cell r="I5078" t="str">
            <v/>
          </cell>
          <cell r="J5078" t="str">
            <v/>
          </cell>
          <cell r="K5078" t="str">
            <v/>
          </cell>
          <cell r="L5078" t="str">
            <v/>
          </cell>
        </row>
        <row r="5079">
          <cell r="A5079">
            <v>34000000</v>
          </cell>
          <cell r="C5079">
            <v>34000000</v>
          </cell>
          <cell r="D5079">
            <v>34000000</v>
          </cell>
          <cell r="E5079">
            <v>34000000</v>
          </cell>
          <cell r="F5079">
            <v>34000000</v>
          </cell>
          <cell r="G5079">
            <v>34000000</v>
          </cell>
          <cell r="H5079">
            <v>34000000</v>
          </cell>
          <cell r="I5079" t="str">
            <v/>
          </cell>
          <cell r="J5079" t="str">
            <v/>
          </cell>
          <cell r="K5079" t="str">
            <v/>
          </cell>
          <cell r="L5079" t="str">
            <v/>
          </cell>
        </row>
        <row r="5080">
          <cell r="A5080">
            <v>34000000</v>
          </cell>
          <cell r="C5080">
            <v>34000000</v>
          </cell>
          <cell r="D5080">
            <v>34000000</v>
          </cell>
          <cell r="E5080">
            <v>34000000</v>
          </cell>
          <cell r="F5080">
            <v>34000000</v>
          </cell>
          <cell r="G5080">
            <v>34000000</v>
          </cell>
          <cell r="H5080">
            <v>34000000</v>
          </cell>
          <cell r="I5080" t="str">
            <v/>
          </cell>
          <cell r="J5080" t="str">
            <v/>
          </cell>
          <cell r="K5080" t="str">
            <v/>
          </cell>
          <cell r="L5080" t="str">
            <v/>
          </cell>
        </row>
        <row r="5081">
          <cell r="A5081">
            <v>34000000</v>
          </cell>
          <cell r="C5081">
            <v>34000000</v>
          </cell>
          <cell r="D5081">
            <v>34000000</v>
          </cell>
          <cell r="E5081">
            <v>34000000</v>
          </cell>
          <cell r="F5081">
            <v>34000000</v>
          </cell>
          <cell r="G5081">
            <v>34000000</v>
          </cell>
          <cell r="H5081">
            <v>34000000</v>
          </cell>
          <cell r="I5081" t="str">
            <v/>
          </cell>
          <cell r="J5081" t="str">
            <v/>
          </cell>
          <cell r="K5081" t="str">
            <v/>
          </cell>
          <cell r="L5081" t="str">
            <v/>
          </cell>
        </row>
        <row r="5082">
          <cell r="A5082">
            <v>34000000</v>
          </cell>
          <cell r="C5082">
            <v>34000000</v>
          </cell>
          <cell r="D5082">
            <v>34000000</v>
          </cell>
          <cell r="E5082">
            <v>34000000</v>
          </cell>
          <cell r="F5082">
            <v>34000000</v>
          </cell>
          <cell r="G5082">
            <v>34000000</v>
          </cell>
          <cell r="H5082">
            <v>34000000</v>
          </cell>
          <cell r="I5082" t="str">
            <v/>
          </cell>
          <cell r="J5082" t="str">
            <v/>
          </cell>
          <cell r="K5082" t="str">
            <v/>
          </cell>
          <cell r="L5082" t="str">
            <v/>
          </cell>
        </row>
        <row r="5083">
          <cell r="A5083">
            <v>34000000</v>
          </cell>
          <cell r="C5083">
            <v>34000000</v>
          </cell>
          <cell r="D5083">
            <v>34000000</v>
          </cell>
          <cell r="E5083">
            <v>34000000</v>
          </cell>
          <cell r="F5083">
            <v>34000000</v>
          </cell>
          <cell r="G5083">
            <v>34000000</v>
          </cell>
          <cell r="H5083">
            <v>34000000</v>
          </cell>
          <cell r="I5083" t="str">
            <v/>
          </cell>
          <cell r="J5083" t="str">
            <v/>
          </cell>
          <cell r="K5083" t="str">
            <v/>
          </cell>
          <cell r="L5083" t="str">
            <v/>
          </cell>
        </row>
        <row r="5084">
          <cell r="A5084">
            <v>34000000</v>
          </cell>
          <cell r="C5084">
            <v>34000000</v>
          </cell>
          <cell r="D5084">
            <v>34000000</v>
          </cell>
          <cell r="E5084">
            <v>34000000</v>
          </cell>
          <cell r="F5084">
            <v>34000000</v>
          </cell>
          <cell r="G5084">
            <v>34000000</v>
          </cell>
          <cell r="H5084">
            <v>34000000</v>
          </cell>
          <cell r="I5084" t="str">
            <v/>
          </cell>
          <cell r="J5084" t="str">
            <v/>
          </cell>
          <cell r="K5084" t="str">
            <v/>
          </cell>
          <cell r="L5084" t="str">
            <v/>
          </cell>
        </row>
        <row r="5085">
          <cell r="A5085">
            <v>34000000</v>
          </cell>
          <cell r="C5085">
            <v>34000000</v>
          </cell>
          <cell r="D5085">
            <v>34000000</v>
          </cell>
          <cell r="E5085">
            <v>34000000</v>
          </cell>
          <cell r="F5085">
            <v>34000000</v>
          </cell>
          <cell r="G5085">
            <v>34000000</v>
          </cell>
          <cell r="H5085">
            <v>34000000</v>
          </cell>
          <cell r="I5085" t="str">
            <v/>
          </cell>
          <cell r="J5085" t="str">
            <v/>
          </cell>
          <cell r="K5085" t="str">
            <v/>
          </cell>
          <cell r="L5085" t="str">
            <v/>
          </cell>
        </row>
        <row r="5086">
          <cell r="A5086">
            <v>34000000</v>
          </cell>
          <cell r="C5086">
            <v>34000000</v>
          </cell>
          <cell r="D5086">
            <v>34000000</v>
          </cell>
          <cell r="E5086">
            <v>34000000</v>
          </cell>
          <cell r="F5086">
            <v>34000000</v>
          </cell>
          <cell r="G5086">
            <v>34000000</v>
          </cell>
          <cell r="H5086">
            <v>34000000</v>
          </cell>
          <cell r="I5086" t="str">
            <v/>
          </cell>
          <cell r="J5086" t="str">
            <v/>
          </cell>
          <cell r="K5086" t="str">
            <v/>
          </cell>
          <cell r="L5086" t="str">
            <v/>
          </cell>
        </row>
        <row r="5087">
          <cell r="A5087">
            <v>34000000</v>
          </cell>
          <cell r="C5087">
            <v>34000000</v>
          </cell>
          <cell r="D5087">
            <v>34000000</v>
          </cell>
          <cell r="E5087">
            <v>34000000</v>
          </cell>
          <cell r="F5087">
            <v>34000000</v>
          </cell>
          <cell r="G5087">
            <v>34000000</v>
          </cell>
          <cell r="H5087">
            <v>34000000</v>
          </cell>
          <cell r="I5087" t="str">
            <v/>
          </cell>
          <cell r="J5087" t="str">
            <v/>
          </cell>
          <cell r="K5087" t="str">
            <v/>
          </cell>
          <cell r="L5087" t="str">
            <v/>
          </cell>
        </row>
        <row r="5088">
          <cell r="A5088">
            <v>34000000</v>
          </cell>
          <cell r="C5088">
            <v>34000000</v>
          </cell>
          <cell r="D5088">
            <v>34000000</v>
          </cell>
          <cell r="E5088">
            <v>34000000</v>
          </cell>
          <cell r="F5088">
            <v>34000000</v>
          </cell>
          <cell r="G5088">
            <v>34000000</v>
          </cell>
          <cell r="H5088">
            <v>34000000</v>
          </cell>
          <cell r="I5088" t="str">
            <v/>
          </cell>
          <cell r="J5088" t="str">
            <v/>
          </cell>
          <cell r="K5088" t="str">
            <v/>
          </cell>
          <cell r="L5088" t="str">
            <v/>
          </cell>
        </row>
        <row r="5089">
          <cell r="A5089">
            <v>34000000</v>
          </cell>
          <cell r="C5089">
            <v>34000000</v>
          </cell>
          <cell r="D5089">
            <v>34000000</v>
          </cell>
          <cell r="E5089">
            <v>34000000</v>
          </cell>
          <cell r="F5089">
            <v>34000000</v>
          </cell>
          <cell r="G5089">
            <v>34000000</v>
          </cell>
          <cell r="H5089">
            <v>34000000</v>
          </cell>
          <cell r="I5089" t="str">
            <v/>
          </cell>
          <cell r="J5089" t="str">
            <v/>
          </cell>
          <cell r="K5089" t="str">
            <v/>
          </cell>
          <cell r="L5089" t="str">
            <v/>
          </cell>
        </row>
        <row r="5090">
          <cell r="A5090">
            <v>34000000</v>
          </cell>
          <cell r="C5090">
            <v>34000000</v>
          </cell>
          <cell r="D5090">
            <v>34000000</v>
          </cell>
          <cell r="E5090">
            <v>34000000</v>
          </cell>
          <cell r="F5090">
            <v>34000000</v>
          </cell>
          <cell r="G5090">
            <v>34000000</v>
          </cell>
          <cell r="H5090">
            <v>34000000</v>
          </cell>
          <cell r="I5090" t="str">
            <v/>
          </cell>
          <cell r="J5090" t="str">
            <v/>
          </cell>
          <cell r="K5090" t="str">
            <v/>
          </cell>
          <cell r="L5090" t="str">
            <v/>
          </cell>
        </row>
        <row r="5091">
          <cell r="A5091">
            <v>34000000</v>
          </cell>
          <cell r="C5091">
            <v>34000000</v>
          </cell>
          <cell r="D5091">
            <v>34000000</v>
          </cell>
          <cell r="E5091">
            <v>34000000</v>
          </cell>
          <cell r="F5091">
            <v>34000000</v>
          </cell>
          <cell r="G5091">
            <v>34000000</v>
          </cell>
          <cell r="H5091">
            <v>34000000</v>
          </cell>
          <cell r="I5091" t="str">
            <v/>
          </cell>
          <cell r="J5091" t="str">
            <v/>
          </cell>
          <cell r="K5091" t="str">
            <v/>
          </cell>
          <cell r="L5091" t="str">
            <v/>
          </cell>
        </row>
        <row r="5092">
          <cell r="A5092">
            <v>34000000</v>
          </cell>
          <cell r="C5092">
            <v>34000000</v>
          </cell>
          <cell r="D5092">
            <v>34000000</v>
          </cell>
          <cell r="E5092">
            <v>34000000</v>
          </cell>
          <cell r="F5092">
            <v>34000000</v>
          </cell>
          <cell r="G5092">
            <v>34000000</v>
          </cell>
          <cell r="H5092">
            <v>34000000</v>
          </cell>
          <cell r="I5092" t="str">
            <v/>
          </cell>
          <cell r="J5092" t="str">
            <v/>
          </cell>
          <cell r="K5092" t="str">
            <v/>
          </cell>
          <cell r="L5092" t="str">
            <v/>
          </cell>
        </row>
        <row r="5093">
          <cell r="A5093">
            <v>34000000</v>
          </cell>
          <cell r="C5093">
            <v>34000000</v>
          </cell>
          <cell r="D5093">
            <v>34000000</v>
          </cell>
          <cell r="E5093">
            <v>34000000</v>
          </cell>
          <cell r="F5093">
            <v>34000000</v>
          </cell>
          <cell r="G5093">
            <v>34000000</v>
          </cell>
          <cell r="H5093">
            <v>34000000</v>
          </cell>
          <cell r="I5093" t="str">
            <v/>
          </cell>
          <cell r="J5093" t="str">
            <v/>
          </cell>
          <cell r="K5093" t="str">
            <v/>
          </cell>
          <cell r="L5093" t="str">
            <v/>
          </cell>
        </row>
        <row r="5094">
          <cell r="A5094">
            <v>34000000</v>
          </cell>
          <cell r="C5094">
            <v>34000000</v>
          </cell>
          <cell r="D5094">
            <v>34000000</v>
          </cell>
          <cell r="E5094">
            <v>34000000</v>
          </cell>
          <cell r="F5094">
            <v>34000000</v>
          </cell>
          <cell r="G5094">
            <v>34000000</v>
          </cell>
          <cell r="H5094">
            <v>34000000</v>
          </cell>
          <cell r="I5094" t="str">
            <v/>
          </cell>
          <cell r="J5094" t="str">
            <v/>
          </cell>
          <cell r="K5094" t="str">
            <v/>
          </cell>
          <cell r="L5094" t="str">
            <v/>
          </cell>
        </row>
        <row r="5095">
          <cell r="A5095">
            <v>34000000</v>
          </cell>
          <cell r="C5095">
            <v>34000000</v>
          </cell>
          <cell r="D5095">
            <v>34000000</v>
          </cell>
          <cell r="E5095">
            <v>34000000</v>
          </cell>
          <cell r="F5095">
            <v>34000000</v>
          </cell>
          <cell r="G5095">
            <v>34000000</v>
          </cell>
          <cell r="H5095">
            <v>34000000</v>
          </cell>
          <cell r="I5095" t="str">
            <v/>
          </cell>
          <cell r="J5095" t="str">
            <v/>
          </cell>
          <cell r="K5095" t="str">
            <v/>
          </cell>
          <cell r="L5095" t="str">
            <v/>
          </cell>
        </row>
        <row r="5096">
          <cell r="A5096">
            <v>34000000</v>
          </cell>
          <cell r="C5096">
            <v>34000000</v>
          </cell>
          <cell r="D5096">
            <v>34000000</v>
          </cell>
          <cell r="E5096">
            <v>34000000</v>
          </cell>
          <cell r="F5096">
            <v>34000000</v>
          </cell>
          <cell r="G5096">
            <v>34000000</v>
          </cell>
          <cell r="H5096">
            <v>34000000</v>
          </cell>
          <cell r="I5096" t="str">
            <v/>
          </cell>
          <cell r="J5096" t="str">
            <v/>
          </cell>
          <cell r="K5096" t="str">
            <v/>
          </cell>
          <cell r="L5096" t="str">
            <v/>
          </cell>
        </row>
        <row r="5097">
          <cell r="A5097">
            <v>34000000</v>
          </cell>
          <cell r="C5097">
            <v>34000000</v>
          </cell>
          <cell r="D5097">
            <v>34000000</v>
          </cell>
          <cell r="E5097">
            <v>34000000</v>
          </cell>
          <cell r="F5097">
            <v>34000000</v>
          </cell>
          <cell r="G5097">
            <v>34000000</v>
          </cell>
          <cell r="H5097">
            <v>34000000</v>
          </cell>
          <cell r="I5097" t="str">
            <v/>
          </cell>
          <cell r="J5097" t="str">
            <v/>
          </cell>
          <cell r="K5097" t="str">
            <v/>
          </cell>
          <cell r="L5097" t="str">
            <v/>
          </cell>
        </row>
        <row r="5098">
          <cell r="A5098">
            <v>34000000</v>
          </cell>
          <cell r="C5098">
            <v>34000000</v>
          </cell>
          <cell r="D5098">
            <v>34000000</v>
          </cell>
          <cell r="E5098">
            <v>34000000</v>
          </cell>
          <cell r="F5098">
            <v>34000000</v>
          </cell>
          <cell r="G5098">
            <v>34000000</v>
          </cell>
          <cell r="H5098">
            <v>34000000</v>
          </cell>
          <cell r="I5098" t="str">
            <v/>
          </cell>
          <cell r="J5098" t="str">
            <v/>
          </cell>
          <cell r="K5098" t="str">
            <v/>
          </cell>
          <cell r="L5098" t="str">
            <v/>
          </cell>
        </row>
        <row r="5099">
          <cell r="A5099">
            <v>34000000</v>
          </cell>
          <cell r="C5099">
            <v>34000000</v>
          </cell>
          <cell r="D5099">
            <v>34000000</v>
          </cell>
          <cell r="E5099">
            <v>34000000</v>
          </cell>
          <cell r="F5099">
            <v>34000000</v>
          </cell>
          <cell r="G5099">
            <v>34000000</v>
          </cell>
          <cell r="H5099">
            <v>34000000</v>
          </cell>
          <cell r="I5099" t="str">
            <v/>
          </cell>
          <cell r="J5099" t="str">
            <v/>
          </cell>
          <cell r="K5099" t="str">
            <v/>
          </cell>
          <cell r="L5099" t="str">
            <v/>
          </cell>
        </row>
        <row r="5100">
          <cell r="A5100">
            <v>34000000</v>
          </cell>
          <cell r="C5100">
            <v>34000000</v>
          </cell>
          <cell r="D5100">
            <v>34000000</v>
          </cell>
          <cell r="E5100">
            <v>34000000</v>
          </cell>
          <cell r="F5100">
            <v>34000000</v>
          </cell>
          <cell r="G5100">
            <v>34000000</v>
          </cell>
          <cell r="H5100">
            <v>34000000</v>
          </cell>
          <cell r="I5100" t="str">
            <v/>
          </cell>
          <cell r="J5100" t="str">
            <v/>
          </cell>
          <cell r="K5100" t="str">
            <v/>
          </cell>
          <cell r="L5100" t="str">
            <v/>
          </cell>
        </row>
        <row r="5101">
          <cell r="A5101">
            <v>34000000</v>
          </cell>
          <cell r="C5101">
            <v>34000000</v>
          </cell>
          <cell r="D5101">
            <v>34000000</v>
          </cell>
          <cell r="E5101">
            <v>34000000</v>
          </cell>
          <cell r="F5101">
            <v>34000000</v>
          </cell>
          <cell r="G5101">
            <v>34000000</v>
          </cell>
          <cell r="H5101">
            <v>34000000</v>
          </cell>
          <cell r="I5101" t="str">
            <v/>
          </cell>
          <cell r="J5101" t="str">
            <v/>
          </cell>
          <cell r="K5101" t="str">
            <v/>
          </cell>
          <cell r="L5101" t="str">
            <v/>
          </cell>
        </row>
        <row r="5102">
          <cell r="A5102">
            <v>34000000</v>
          </cell>
          <cell r="C5102">
            <v>34000000</v>
          </cell>
          <cell r="D5102">
            <v>34000000</v>
          </cell>
          <cell r="E5102">
            <v>34000000</v>
          </cell>
          <cell r="F5102">
            <v>34000000</v>
          </cell>
          <cell r="G5102">
            <v>34000000</v>
          </cell>
          <cell r="H5102">
            <v>34000000</v>
          </cell>
          <cell r="I5102" t="str">
            <v/>
          </cell>
          <cell r="J5102" t="str">
            <v/>
          </cell>
          <cell r="K5102" t="str">
            <v/>
          </cell>
          <cell r="L5102" t="str">
            <v/>
          </cell>
        </row>
        <row r="5103">
          <cell r="A5103">
            <v>34000000</v>
          </cell>
          <cell r="C5103">
            <v>34000000</v>
          </cell>
          <cell r="D5103">
            <v>34000000</v>
          </cell>
          <cell r="E5103">
            <v>34000000</v>
          </cell>
          <cell r="F5103">
            <v>34000000</v>
          </cell>
          <cell r="G5103">
            <v>34000000</v>
          </cell>
          <cell r="H5103">
            <v>34000000</v>
          </cell>
          <cell r="I5103" t="str">
            <v/>
          </cell>
          <cell r="J5103" t="str">
            <v/>
          </cell>
          <cell r="K5103" t="str">
            <v/>
          </cell>
          <cell r="L5103" t="str">
            <v/>
          </cell>
        </row>
        <row r="5104">
          <cell r="A5104">
            <v>34000000</v>
          </cell>
          <cell r="C5104">
            <v>34000000</v>
          </cell>
          <cell r="D5104">
            <v>34000000</v>
          </cell>
          <cell r="E5104">
            <v>34000000</v>
          </cell>
          <cell r="F5104">
            <v>34000000</v>
          </cell>
          <cell r="G5104">
            <v>34000000</v>
          </cell>
          <cell r="H5104">
            <v>34000000</v>
          </cell>
          <cell r="I5104" t="str">
            <v/>
          </cell>
          <cell r="J5104" t="str">
            <v/>
          </cell>
          <cell r="K5104" t="str">
            <v/>
          </cell>
          <cell r="L5104" t="str">
            <v/>
          </cell>
        </row>
        <row r="5105">
          <cell r="A5105">
            <v>34000000</v>
          </cell>
          <cell r="C5105">
            <v>34000000</v>
          </cell>
          <cell r="D5105">
            <v>34000000</v>
          </cell>
          <cell r="E5105">
            <v>34000000</v>
          </cell>
          <cell r="F5105">
            <v>34000000</v>
          </cell>
          <cell r="G5105">
            <v>34000000</v>
          </cell>
          <cell r="H5105">
            <v>34000000</v>
          </cell>
          <cell r="I5105" t="str">
            <v/>
          </cell>
          <cell r="J5105" t="str">
            <v/>
          </cell>
          <cell r="K5105" t="str">
            <v/>
          </cell>
          <cell r="L5105" t="str">
            <v/>
          </cell>
        </row>
        <row r="5106">
          <cell r="A5106">
            <v>34000000</v>
          </cell>
          <cell r="C5106">
            <v>34000000</v>
          </cell>
          <cell r="D5106">
            <v>34000000</v>
          </cell>
          <cell r="E5106">
            <v>34000000</v>
          </cell>
          <cell r="F5106">
            <v>34000000</v>
          </cell>
          <cell r="G5106">
            <v>34000000</v>
          </cell>
          <cell r="H5106">
            <v>34000000</v>
          </cell>
          <cell r="I5106" t="str">
            <v/>
          </cell>
          <cell r="J5106" t="str">
            <v/>
          </cell>
          <cell r="K5106" t="str">
            <v/>
          </cell>
          <cell r="L5106" t="str">
            <v/>
          </cell>
        </row>
        <row r="5107">
          <cell r="A5107">
            <v>34000000</v>
          </cell>
          <cell r="C5107">
            <v>34000000</v>
          </cell>
          <cell r="D5107">
            <v>34000000</v>
          </cell>
          <cell r="E5107">
            <v>34000000</v>
          </cell>
          <cell r="F5107">
            <v>34000000</v>
          </cell>
          <cell r="G5107">
            <v>34000000</v>
          </cell>
          <cell r="H5107">
            <v>34000000</v>
          </cell>
          <cell r="I5107" t="str">
            <v/>
          </cell>
          <cell r="J5107" t="str">
            <v/>
          </cell>
          <cell r="K5107" t="str">
            <v/>
          </cell>
          <cell r="L5107" t="str">
            <v/>
          </cell>
        </row>
        <row r="5108">
          <cell r="A5108">
            <v>34000000</v>
          </cell>
          <cell r="C5108">
            <v>34000000</v>
          </cell>
          <cell r="D5108">
            <v>34000000</v>
          </cell>
          <cell r="E5108">
            <v>34000000</v>
          </cell>
          <cell r="F5108">
            <v>34000000</v>
          </cell>
          <cell r="G5108">
            <v>34000000</v>
          </cell>
          <cell r="H5108">
            <v>34000000</v>
          </cell>
          <cell r="I5108" t="str">
            <v/>
          </cell>
          <cell r="J5108" t="str">
            <v/>
          </cell>
          <cell r="K5108" t="str">
            <v/>
          </cell>
          <cell r="L5108" t="str">
            <v/>
          </cell>
        </row>
        <row r="5109">
          <cell r="A5109">
            <v>34000000</v>
          </cell>
          <cell r="C5109">
            <v>34000000</v>
          </cell>
          <cell r="D5109">
            <v>34000000</v>
          </cell>
          <cell r="E5109">
            <v>34000000</v>
          </cell>
          <cell r="F5109">
            <v>34000000</v>
          </cell>
          <cell r="G5109">
            <v>34000000</v>
          </cell>
          <cell r="H5109">
            <v>34000000</v>
          </cell>
          <cell r="I5109" t="str">
            <v/>
          </cell>
          <cell r="J5109" t="str">
            <v/>
          </cell>
          <cell r="K5109" t="str">
            <v/>
          </cell>
          <cell r="L5109" t="str">
            <v/>
          </cell>
        </row>
        <row r="5110">
          <cell r="A5110">
            <v>34000000</v>
          </cell>
          <cell r="C5110">
            <v>34000000</v>
          </cell>
          <cell r="D5110">
            <v>34000000</v>
          </cell>
          <cell r="E5110">
            <v>34000000</v>
          </cell>
          <cell r="F5110">
            <v>34000000</v>
          </cell>
          <cell r="G5110">
            <v>34000000</v>
          </cell>
          <cell r="H5110">
            <v>34000000</v>
          </cell>
          <cell r="I5110" t="str">
            <v/>
          </cell>
          <cell r="J5110" t="str">
            <v/>
          </cell>
          <cell r="K5110" t="str">
            <v/>
          </cell>
          <cell r="L5110" t="str">
            <v/>
          </cell>
        </row>
        <row r="5111">
          <cell r="A5111">
            <v>34000000</v>
          </cell>
          <cell r="C5111">
            <v>34000000</v>
          </cell>
          <cell r="D5111">
            <v>34000000</v>
          </cell>
          <cell r="E5111">
            <v>34000000</v>
          </cell>
          <cell r="F5111">
            <v>34000000</v>
          </cell>
          <cell r="G5111">
            <v>34000000</v>
          </cell>
          <cell r="H5111">
            <v>34000000</v>
          </cell>
          <cell r="I5111" t="str">
            <v/>
          </cell>
          <cell r="J5111" t="str">
            <v/>
          </cell>
          <cell r="K5111" t="str">
            <v/>
          </cell>
          <cell r="L5111" t="str">
            <v/>
          </cell>
        </row>
        <row r="5112">
          <cell r="A5112">
            <v>34000000</v>
          </cell>
          <cell r="C5112">
            <v>34000000</v>
          </cell>
          <cell r="D5112">
            <v>34000000</v>
          </cell>
          <cell r="E5112">
            <v>34000000</v>
          </cell>
          <cell r="F5112">
            <v>34000000</v>
          </cell>
          <cell r="G5112">
            <v>34000000</v>
          </cell>
          <cell r="H5112">
            <v>34000000</v>
          </cell>
          <cell r="I5112" t="str">
            <v/>
          </cell>
          <cell r="J5112" t="str">
            <v/>
          </cell>
          <cell r="K5112" t="str">
            <v/>
          </cell>
          <cell r="L5112" t="str">
            <v/>
          </cell>
        </row>
        <row r="5113">
          <cell r="A5113">
            <v>34000000</v>
          </cell>
          <cell r="C5113">
            <v>34000000</v>
          </cell>
          <cell r="D5113">
            <v>34000000</v>
          </cell>
          <cell r="E5113">
            <v>34000000</v>
          </cell>
          <cell r="F5113">
            <v>34000000</v>
          </cell>
          <cell r="G5113">
            <v>34000000</v>
          </cell>
          <cell r="H5113">
            <v>34000000</v>
          </cell>
          <cell r="I5113" t="str">
            <v/>
          </cell>
          <cell r="J5113" t="str">
            <v/>
          </cell>
          <cell r="K5113" t="str">
            <v/>
          </cell>
          <cell r="L5113" t="str">
            <v/>
          </cell>
        </row>
        <row r="5114">
          <cell r="A5114">
            <v>34000000</v>
          </cell>
          <cell r="C5114">
            <v>34000000</v>
          </cell>
          <cell r="D5114">
            <v>34000000</v>
          </cell>
          <cell r="E5114">
            <v>34000000</v>
          </cell>
          <cell r="F5114">
            <v>34000000</v>
          </cell>
          <cell r="G5114">
            <v>34000000</v>
          </cell>
          <cell r="H5114">
            <v>34000000</v>
          </cell>
          <cell r="I5114" t="str">
            <v/>
          </cell>
          <cell r="J5114" t="str">
            <v/>
          </cell>
          <cell r="K5114" t="str">
            <v/>
          </cell>
          <cell r="L5114" t="str">
            <v/>
          </cell>
        </row>
        <row r="5115">
          <cell r="A5115">
            <v>34000000</v>
          </cell>
          <cell r="C5115">
            <v>34000000</v>
          </cell>
          <cell r="D5115">
            <v>34000000</v>
          </cell>
          <cell r="E5115">
            <v>34000000</v>
          </cell>
          <cell r="F5115">
            <v>34000000</v>
          </cell>
          <cell r="G5115">
            <v>34000000</v>
          </cell>
          <cell r="H5115">
            <v>34000000</v>
          </cell>
          <cell r="I5115" t="str">
            <v/>
          </cell>
          <cell r="J5115" t="str">
            <v/>
          </cell>
          <cell r="K5115" t="str">
            <v/>
          </cell>
          <cell r="L5115" t="str">
            <v/>
          </cell>
        </row>
        <row r="5116">
          <cell r="A5116">
            <v>34000000</v>
          </cell>
          <cell r="C5116">
            <v>34000000</v>
          </cell>
          <cell r="D5116">
            <v>34000000</v>
          </cell>
          <cell r="E5116">
            <v>34000000</v>
          </cell>
          <cell r="F5116">
            <v>34000000</v>
          </cell>
          <cell r="G5116">
            <v>34000000</v>
          </cell>
          <cell r="H5116">
            <v>34000000</v>
          </cell>
          <cell r="I5116" t="str">
            <v/>
          </cell>
          <cell r="J5116" t="str">
            <v/>
          </cell>
          <cell r="K5116" t="str">
            <v/>
          </cell>
          <cell r="L5116" t="str">
            <v/>
          </cell>
        </row>
        <row r="5117">
          <cell r="A5117">
            <v>34000000</v>
          </cell>
          <cell r="C5117">
            <v>34000000</v>
          </cell>
          <cell r="D5117">
            <v>34000000</v>
          </cell>
          <cell r="E5117">
            <v>34000000</v>
          </cell>
          <cell r="F5117">
            <v>34000000</v>
          </cell>
          <cell r="G5117">
            <v>34000000</v>
          </cell>
          <cell r="H5117">
            <v>34000000</v>
          </cell>
          <cell r="I5117" t="str">
            <v/>
          </cell>
          <cell r="J5117" t="str">
            <v/>
          </cell>
          <cell r="K5117" t="str">
            <v/>
          </cell>
          <cell r="L5117" t="str">
            <v/>
          </cell>
        </row>
        <row r="5118">
          <cell r="A5118">
            <v>34000000</v>
          </cell>
          <cell r="C5118">
            <v>34000000</v>
          </cell>
          <cell r="D5118">
            <v>34000000</v>
          </cell>
          <cell r="E5118">
            <v>34000000</v>
          </cell>
          <cell r="F5118">
            <v>34000000</v>
          </cell>
          <cell r="G5118">
            <v>34000000</v>
          </cell>
          <cell r="H5118">
            <v>34000000</v>
          </cell>
          <cell r="I5118" t="str">
            <v/>
          </cell>
          <cell r="J5118" t="str">
            <v/>
          </cell>
          <cell r="K5118" t="str">
            <v/>
          </cell>
          <cell r="L5118" t="str">
            <v/>
          </cell>
        </row>
        <row r="5119">
          <cell r="A5119">
            <v>34000000</v>
          </cell>
          <cell r="C5119">
            <v>34000000</v>
          </cell>
          <cell r="D5119">
            <v>34000000</v>
          </cell>
          <cell r="E5119">
            <v>34000000</v>
          </cell>
          <cell r="F5119">
            <v>34000000</v>
          </cell>
          <cell r="G5119">
            <v>34000000</v>
          </cell>
          <cell r="H5119">
            <v>34000000</v>
          </cell>
          <cell r="I5119" t="str">
            <v/>
          </cell>
          <cell r="J5119" t="str">
            <v/>
          </cell>
          <cell r="K5119" t="str">
            <v/>
          </cell>
          <cell r="L5119" t="str">
            <v/>
          </cell>
        </row>
        <row r="5120">
          <cell r="A5120">
            <v>34000000</v>
          </cell>
          <cell r="C5120">
            <v>34000000</v>
          </cell>
          <cell r="D5120">
            <v>34000000</v>
          </cell>
          <cell r="E5120">
            <v>34000000</v>
          </cell>
          <cell r="F5120">
            <v>34000000</v>
          </cell>
          <cell r="G5120">
            <v>34000000</v>
          </cell>
          <cell r="H5120">
            <v>34000000</v>
          </cell>
          <cell r="I5120" t="str">
            <v/>
          </cell>
          <cell r="J5120" t="str">
            <v/>
          </cell>
          <cell r="K5120" t="str">
            <v/>
          </cell>
          <cell r="L5120" t="str">
            <v/>
          </cell>
        </row>
        <row r="5121">
          <cell r="A5121">
            <v>34000000</v>
          </cell>
          <cell r="C5121">
            <v>34000000</v>
          </cell>
          <cell r="D5121">
            <v>34000000</v>
          </cell>
          <cell r="E5121">
            <v>34000000</v>
          </cell>
          <cell r="F5121">
            <v>34000000</v>
          </cell>
          <cell r="G5121">
            <v>34000000</v>
          </cell>
          <cell r="H5121">
            <v>34000000</v>
          </cell>
          <cell r="I5121" t="str">
            <v/>
          </cell>
          <cell r="J5121" t="str">
            <v/>
          </cell>
          <cell r="K5121" t="str">
            <v/>
          </cell>
          <cell r="L5121" t="str">
            <v/>
          </cell>
        </row>
        <row r="5122">
          <cell r="A5122">
            <v>34000000</v>
          </cell>
          <cell r="C5122">
            <v>34000000</v>
          </cell>
          <cell r="D5122">
            <v>34000000</v>
          </cell>
          <cell r="E5122">
            <v>34000000</v>
          </cell>
          <cell r="F5122">
            <v>34000000</v>
          </cell>
          <cell r="G5122">
            <v>34000000</v>
          </cell>
          <cell r="H5122">
            <v>34000000</v>
          </cell>
          <cell r="I5122" t="str">
            <v/>
          </cell>
          <cell r="J5122" t="str">
            <v/>
          </cell>
          <cell r="K5122" t="str">
            <v/>
          </cell>
          <cell r="L5122" t="str">
            <v/>
          </cell>
        </row>
        <row r="5123">
          <cell r="A5123">
            <v>34000000</v>
          </cell>
          <cell r="C5123">
            <v>34000000</v>
          </cell>
          <cell r="D5123">
            <v>34000000</v>
          </cell>
          <cell r="E5123">
            <v>34000000</v>
          </cell>
          <cell r="F5123">
            <v>34000000</v>
          </cell>
          <cell r="G5123">
            <v>34000000</v>
          </cell>
          <cell r="H5123">
            <v>34000000</v>
          </cell>
          <cell r="I5123" t="str">
            <v/>
          </cell>
          <cell r="J5123" t="str">
            <v/>
          </cell>
          <cell r="K5123" t="str">
            <v/>
          </cell>
          <cell r="L5123" t="str">
            <v/>
          </cell>
        </row>
        <row r="5124">
          <cell r="A5124">
            <v>34000000</v>
          </cell>
          <cell r="C5124">
            <v>34000000</v>
          </cell>
          <cell r="D5124">
            <v>34000000</v>
          </cell>
          <cell r="E5124">
            <v>34000000</v>
          </cell>
          <cell r="F5124">
            <v>34000000</v>
          </cell>
          <cell r="G5124">
            <v>34000000</v>
          </cell>
          <cell r="H5124">
            <v>34000000</v>
          </cell>
          <cell r="I5124" t="str">
            <v/>
          </cell>
          <cell r="J5124" t="str">
            <v/>
          </cell>
          <cell r="K5124" t="str">
            <v/>
          </cell>
          <cell r="L5124" t="str">
            <v/>
          </cell>
        </row>
        <row r="5125">
          <cell r="A5125">
            <v>34000000</v>
          </cell>
          <cell r="C5125">
            <v>34000000</v>
          </cell>
          <cell r="D5125">
            <v>34000000</v>
          </cell>
          <cell r="E5125">
            <v>34000000</v>
          </cell>
          <cell r="F5125">
            <v>34000000</v>
          </cell>
          <cell r="G5125">
            <v>34000000</v>
          </cell>
          <cell r="H5125">
            <v>34000000</v>
          </cell>
          <cell r="I5125" t="str">
            <v/>
          </cell>
          <cell r="J5125" t="str">
            <v/>
          </cell>
          <cell r="K5125" t="str">
            <v/>
          </cell>
          <cell r="L5125" t="str">
            <v/>
          </cell>
        </row>
        <row r="5126">
          <cell r="A5126">
            <v>34000000</v>
          </cell>
          <cell r="C5126">
            <v>34000000</v>
          </cell>
          <cell r="D5126">
            <v>34000000</v>
          </cell>
          <cell r="E5126">
            <v>34000000</v>
          </cell>
          <cell r="F5126">
            <v>34000000</v>
          </cell>
          <cell r="G5126">
            <v>34000000</v>
          </cell>
          <cell r="H5126">
            <v>34000000</v>
          </cell>
          <cell r="I5126" t="str">
            <v/>
          </cell>
          <cell r="J5126" t="str">
            <v/>
          </cell>
          <cell r="K5126" t="str">
            <v/>
          </cell>
          <cell r="L5126" t="str">
            <v/>
          </cell>
        </row>
        <row r="5127">
          <cell r="A5127">
            <v>34000000</v>
          </cell>
          <cell r="C5127">
            <v>34000000</v>
          </cell>
          <cell r="D5127">
            <v>34000000</v>
          </cell>
          <cell r="E5127">
            <v>34000000</v>
          </cell>
          <cell r="F5127">
            <v>34000000</v>
          </cell>
          <cell r="G5127">
            <v>34000000</v>
          </cell>
          <cell r="H5127">
            <v>34000000</v>
          </cell>
          <cell r="I5127" t="str">
            <v/>
          </cell>
          <cell r="J5127" t="str">
            <v/>
          </cell>
          <cell r="K5127" t="str">
            <v/>
          </cell>
          <cell r="L5127" t="str">
            <v/>
          </cell>
        </row>
        <row r="5128">
          <cell r="A5128">
            <v>34000000</v>
          </cell>
          <cell r="C5128">
            <v>34000000</v>
          </cell>
          <cell r="D5128">
            <v>34000000</v>
          </cell>
          <cell r="E5128">
            <v>34000000</v>
          </cell>
          <cell r="F5128">
            <v>34000000</v>
          </cell>
          <cell r="G5128">
            <v>34000000</v>
          </cell>
          <cell r="H5128">
            <v>34000000</v>
          </cell>
          <cell r="I5128" t="str">
            <v/>
          </cell>
          <cell r="J5128" t="str">
            <v/>
          </cell>
          <cell r="K5128" t="str">
            <v/>
          </cell>
          <cell r="L5128" t="str">
            <v/>
          </cell>
        </row>
        <row r="5129">
          <cell r="A5129">
            <v>34000000</v>
          </cell>
          <cell r="C5129">
            <v>34000000</v>
          </cell>
          <cell r="D5129">
            <v>34000000</v>
          </cell>
          <cell r="E5129">
            <v>34000000</v>
          </cell>
          <cell r="F5129">
            <v>34000000</v>
          </cell>
          <cell r="G5129">
            <v>34000000</v>
          </cell>
          <cell r="H5129">
            <v>34000000</v>
          </cell>
          <cell r="I5129" t="str">
            <v/>
          </cell>
          <cell r="J5129" t="str">
            <v/>
          </cell>
          <cell r="K5129" t="str">
            <v/>
          </cell>
          <cell r="L5129" t="str">
            <v/>
          </cell>
        </row>
        <row r="5130">
          <cell r="A5130">
            <v>34000000</v>
          </cell>
          <cell r="C5130">
            <v>34000000</v>
          </cell>
          <cell r="D5130">
            <v>34000000</v>
          </cell>
          <cell r="E5130">
            <v>34000000</v>
          </cell>
          <cell r="F5130">
            <v>34000000</v>
          </cell>
          <cell r="G5130">
            <v>34000000</v>
          </cell>
          <cell r="H5130">
            <v>34000000</v>
          </cell>
          <cell r="I5130" t="str">
            <v/>
          </cell>
          <cell r="J5130" t="str">
            <v/>
          </cell>
          <cell r="K5130" t="str">
            <v/>
          </cell>
          <cell r="L5130" t="str">
            <v/>
          </cell>
        </row>
        <row r="5131">
          <cell r="A5131">
            <v>34000000</v>
          </cell>
          <cell r="C5131">
            <v>34000000</v>
          </cell>
          <cell r="D5131">
            <v>34000000</v>
          </cell>
          <cell r="E5131">
            <v>34000000</v>
          </cell>
          <cell r="F5131">
            <v>34000000</v>
          </cell>
          <cell r="G5131">
            <v>34000000</v>
          </cell>
          <cell r="H5131">
            <v>34000000</v>
          </cell>
          <cell r="I5131" t="str">
            <v/>
          </cell>
          <cell r="J5131" t="str">
            <v/>
          </cell>
          <cell r="K5131" t="str">
            <v/>
          </cell>
          <cell r="L5131" t="str">
            <v/>
          </cell>
        </row>
        <row r="5132">
          <cell r="A5132">
            <v>34000000</v>
          </cell>
          <cell r="C5132">
            <v>34000000</v>
          </cell>
          <cell r="D5132">
            <v>34000000</v>
          </cell>
          <cell r="E5132">
            <v>34000000</v>
          </cell>
          <cell r="F5132">
            <v>34000000</v>
          </cell>
          <cell r="G5132">
            <v>34000000</v>
          </cell>
          <cell r="H5132">
            <v>34000000</v>
          </cell>
          <cell r="I5132" t="str">
            <v/>
          </cell>
          <cell r="J5132" t="str">
            <v/>
          </cell>
          <cell r="K5132" t="str">
            <v/>
          </cell>
          <cell r="L5132" t="str">
            <v/>
          </cell>
        </row>
        <row r="5133">
          <cell r="A5133">
            <v>34000000</v>
          </cell>
          <cell r="C5133">
            <v>34000000</v>
          </cell>
          <cell r="D5133">
            <v>34000000</v>
          </cell>
          <cell r="E5133">
            <v>34000000</v>
          </cell>
          <cell r="F5133">
            <v>34000000</v>
          </cell>
          <cell r="G5133">
            <v>34000000</v>
          </cell>
          <cell r="H5133">
            <v>34000000</v>
          </cell>
          <cell r="I5133" t="str">
            <v/>
          </cell>
          <cell r="J5133" t="str">
            <v/>
          </cell>
          <cell r="K5133" t="str">
            <v/>
          </cell>
          <cell r="L5133" t="str">
            <v/>
          </cell>
        </row>
        <row r="5134">
          <cell r="A5134">
            <v>34000000</v>
          </cell>
          <cell r="C5134">
            <v>34000000</v>
          </cell>
          <cell r="D5134">
            <v>34000000</v>
          </cell>
          <cell r="E5134">
            <v>34000000</v>
          </cell>
          <cell r="F5134">
            <v>34000000</v>
          </cell>
          <cell r="G5134">
            <v>34000000</v>
          </cell>
          <cell r="H5134">
            <v>34000000</v>
          </cell>
          <cell r="I5134" t="str">
            <v/>
          </cell>
          <cell r="J5134" t="str">
            <v/>
          </cell>
          <cell r="K5134" t="str">
            <v/>
          </cell>
          <cell r="L5134" t="str">
            <v/>
          </cell>
        </row>
        <row r="5135">
          <cell r="A5135">
            <v>34000000</v>
          </cell>
          <cell r="C5135">
            <v>34000000</v>
          </cell>
          <cell r="D5135">
            <v>34000000</v>
          </cell>
          <cell r="E5135">
            <v>34000000</v>
          </cell>
          <cell r="F5135">
            <v>34000000</v>
          </cell>
          <cell r="G5135">
            <v>34000000</v>
          </cell>
          <cell r="H5135">
            <v>34000000</v>
          </cell>
          <cell r="I5135" t="str">
            <v/>
          </cell>
          <cell r="J5135" t="str">
            <v/>
          </cell>
          <cell r="K5135" t="str">
            <v/>
          </cell>
          <cell r="L5135" t="str">
            <v/>
          </cell>
        </row>
        <row r="5136">
          <cell r="A5136">
            <v>34000000</v>
          </cell>
          <cell r="C5136">
            <v>34000000</v>
          </cell>
          <cell r="D5136">
            <v>34000000</v>
          </cell>
          <cell r="E5136">
            <v>34000000</v>
          </cell>
          <cell r="F5136">
            <v>34000000</v>
          </cell>
          <cell r="G5136">
            <v>34000000</v>
          </cell>
          <cell r="H5136">
            <v>34000000</v>
          </cell>
          <cell r="I5136" t="str">
            <v/>
          </cell>
          <cell r="J5136" t="str">
            <v/>
          </cell>
          <cell r="K5136" t="str">
            <v/>
          </cell>
          <cell r="L5136" t="str">
            <v/>
          </cell>
        </row>
        <row r="5137">
          <cell r="A5137">
            <v>34000000</v>
          </cell>
          <cell r="C5137">
            <v>34000000</v>
          </cell>
          <cell r="D5137">
            <v>34000000</v>
          </cell>
          <cell r="E5137">
            <v>34000000</v>
          </cell>
          <cell r="F5137">
            <v>34000000</v>
          </cell>
          <cell r="G5137">
            <v>34000000</v>
          </cell>
          <cell r="H5137">
            <v>34000000</v>
          </cell>
          <cell r="I5137" t="str">
            <v/>
          </cell>
          <cell r="J5137" t="str">
            <v/>
          </cell>
          <cell r="K5137" t="str">
            <v/>
          </cell>
          <cell r="L5137" t="str">
            <v/>
          </cell>
        </row>
        <row r="5138">
          <cell r="A5138">
            <v>34000000</v>
          </cell>
          <cell r="C5138">
            <v>34000000</v>
          </cell>
          <cell r="D5138">
            <v>34000000</v>
          </cell>
          <cell r="E5138">
            <v>34000000</v>
          </cell>
          <cell r="F5138">
            <v>34000000</v>
          </cell>
          <cell r="G5138">
            <v>34000000</v>
          </cell>
          <cell r="H5138">
            <v>34000000</v>
          </cell>
          <cell r="I5138" t="str">
            <v/>
          </cell>
          <cell r="J5138" t="str">
            <v/>
          </cell>
          <cell r="K5138" t="str">
            <v/>
          </cell>
          <cell r="L5138" t="str">
            <v/>
          </cell>
        </row>
        <row r="5139">
          <cell r="A5139">
            <v>34000000</v>
          </cell>
          <cell r="C5139">
            <v>34000000</v>
          </cell>
          <cell r="D5139">
            <v>34000000</v>
          </cell>
          <cell r="E5139">
            <v>34000000</v>
          </cell>
          <cell r="F5139">
            <v>34000000</v>
          </cell>
          <cell r="G5139">
            <v>34000000</v>
          </cell>
          <cell r="H5139">
            <v>34000000</v>
          </cell>
          <cell r="I5139" t="str">
            <v/>
          </cell>
          <cell r="J5139" t="str">
            <v/>
          </cell>
          <cell r="K5139" t="str">
            <v/>
          </cell>
          <cell r="L5139" t="str">
            <v/>
          </cell>
        </row>
        <row r="5140">
          <cell r="A5140">
            <v>34000000</v>
          </cell>
          <cell r="C5140">
            <v>34000000</v>
          </cell>
          <cell r="D5140">
            <v>34000000</v>
          </cell>
          <cell r="E5140">
            <v>34000000</v>
          </cell>
          <cell r="F5140">
            <v>34000000</v>
          </cell>
          <cell r="G5140">
            <v>34000000</v>
          </cell>
          <cell r="H5140">
            <v>34000000</v>
          </cell>
          <cell r="I5140" t="str">
            <v/>
          </cell>
          <cell r="J5140" t="str">
            <v/>
          </cell>
          <cell r="K5140" t="str">
            <v/>
          </cell>
          <cell r="L5140" t="str">
            <v/>
          </cell>
        </row>
        <row r="5141">
          <cell r="A5141">
            <v>34000000</v>
          </cell>
          <cell r="C5141">
            <v>34000000</v>
          </cell>
          <cell r="D5141">
            <v>34000000</v>
          </cell>
          <cell r="E5141">
            <v>34000000</v>
          </cell>
          <cell r="F5141">
            <v>34000000</v>
          </cell>
          <cell r="G5141">
            <v>34000000</v>
          </cell>
          <cell r="H5141">
            <v>34000000</v>
          </cell>
          <cell r="I5141" t="str">
            <v/>
          </cell>
          <cell r="J5141" t="str">
            <v/>
          </cell>
          <cell r="K5141" t="str">
            <v/>
          </cell>
          <cell r="L5141" t="str">
            <v/>
          </cell>
        </row>
        <row r="5142">
          <cell r="A5142">
            <v>34000000</v>
          </cell>
          <cell r="C5142">
            <v>34000000</v>
          </cell>
          <cell r="D5142">
            <v>34000000</v>
          </cell>
          <cell r="E5142">
            <v>34000000</v>
          </cell>
          <cell r="F5142">
            <v>34000000</v>
          </cell>
          <cell r="G5142">
            <v>34000000</v>
          </cell>
          <cell r="H5142">
            <v>34000000</v>
          </cell>
          <cell r="I5142" t="str">
            <v/>
          </cell>
          <cell r="J5142" t="str">
            <v/>
          </cell>
          <cell r="K5142" t="str">
            <v/>
          </cell>
          <cell r="L5142" t="str">
            <v/>
          </cell>
        </row>
        <row r="5143">
          <cell r="A5143">
            <v>34000000</v>
          </cell>
          <cell r="C5143">
            <v>34000000</v>
          </cell>
          <cell r="D5143">
            <v>34000000</v>
          </cell>
          <cell r="E5143">
            <v>34000000</v>
          </cell>
          <cell r="F5143">
            <v>34000000</v>
          </cell>
          <cell r="G5143">
            <v>34000000</v>
          </cell>
          <cell r="H5143">
            <v>34000000</v>
          </cell>
          <cell r="I5143" t="str">
            <v/>
          </cell>
          <cell r="J5143" t="str">
            <v/>
          </cell>
          <cell r="K5143" t="str">
            <v/>
          </cell>
          <cell r="L5143" t="str">
            <v/>
          </cell>
        </row>
        <row r="5144">
          <cell r="A5144">
            <v>34000000</v>
          </cell>
          <cell r="C5144">
            <v>34000000</v>
          </cell>
          <cell r="D5144">
            <v>34000000</v>
          </cell>
          <cell r="E5144">
            <v>34000000</v>
          </cell>
          <cell r="F5144">
            <v>34000000</v>
          </cell>
          <cell r="G5144">
            <v>34000000</v>
          </cell>
          <cell r="H5144">
            <v>34000000</v>
          </cell>
          <cell r="I5144" t="str">
            <v/>
          </cell>
          <cell r="J5144" t="str">
            <v/>
          </cell>
          <cell r="K5144" t="str">
            <v/>
          </cell>
          <cell r="L5144" t="str">
            <v/>
          </cell>
        </row>
        <row r="5145">
          <cell r="A5145">
            <v>34000000</v>
          </cell>
          <cell r="C5145">
            <v>34000000</v>
          </cell>
          <cell r="D5145">
            <v>34000000</v>
          </cell>
          <cell r="E5145">
            <v>34000000</v>
          </cell>
          <cell r="F5145">
            <v>34000000</v>
          </cell>
          <cell r="G5145">
            <v>34000000</v>
          </cell>
          <cell r="H5145">
            <v>34000000</v>
          </cell>
          <cell r="I5145" t="str">
            <v/>
          </cell>
          <cell r="J5145" t="str">
            <v/>
          </cell>
          <cell r="K5145" t="str">
            <v/>
          </cell>
          <cell r="L5145" t="str">
            <v/>
          </cell>
        </row>
        <row r="5146">
          <cell r="A5146">
            <v>34000000</v>
          </cell>
          <cell r="C5146">
            <v>34000000</v>
          </cell>
          <cell r="D5146">
            <v>34000000</v>
          </cell>
          <cell r="E5146">
            <v>34000000</v>
          </cell>
          <cell r="F5146">
            <v>34000000</v>
          </cell>
          <cell r="G5146">
            <v>34000000</v>
          </cell>
          <cell r="H5146">
            <v>34000000</v>
          </cell>
          <cell r="I5146" t="str">
            <v/>
          </cell>
          <cell r="J5146" t="str">
            <v/>
          </cell>
          <cell r="K5146" t="str">
            <v/>
          </cell>
          <cell r="L5146" t="str">
            <v/>
          </cell>
        </row>
        <row r="5147">
          <cell r="A5147">
            <v>34000000</v>
          </cell>
          <cell r="C5147">
            <v>34000000</v>
          </cell>
          <cell r="D5147">
            <v>34000000</v>
          </cell>
          <cell r="E5147">
            <v>34000000</v>
          </cell>
          <cell r="F5147">
            <v>34000000</v>
          </cell>
          <cell r="G5147">
            <v>34000000</v>
          </cell>
          <cell r="H5147">
            <v>34000000</v>
          </cell>
          <cell r="I5147" t="str">
            <v/>
          </cell>
          <cell r="J5147" t="str">
            <v/>
          </cell>
          <cell r="K5147" t="str">
            <v/>
          </cell>
          <cell r="L5147" t="str">
            <v/>
          </cell>
        </row>
        <row r="5148">
          <cell r="A5148">
            <v>34000000</v>
          </cell>
          <cell r="C5148">
            <v>34000000</v>
          </cell>
          <cell r="D5148">
            <v>34000000</v>
          </cell>
          <cell r="E5148">
            <v>34000000</v>
          </cell>
          <cell r="F5148">
            <v>34000000</v>
          </cell>
          <cell r="G5148">
            <v>34000000</v>
          </cell>
          <cell r="H5148">
            <v>34000000</v>
          </cell>
          <cell r="I5148" t="str">
            <v/>
          </cell>
          <cell r="J5148" t="str">
            <v/>
          </cell>
          <cell r="K5148" t="str">
            <v/>
          </cell>
          <cell r="L5148" t="str">
            <v/>
          </cell>
        </row>
        <row r="5149">
          <cell r="A5149">
            <v>34000000</v>
          </cell>
          <cell r="C5149">
            <v>34000000</v>
          </cell>
          <cell r="D5149">
            <v>34000000</v>
          </cell>
          <cell r="E5149">
            <v>34000000</v>
          </cell>
          <cell r="F5149">
            <v>34000000</v>
          </cell>
          <cell r="G5149">
            <v>34000000</v>
          </cell>
          <cell r="H5149">
            <v>34000000</v>
          </cell>
          <cell r="I5149" t="str">
            <v/>
          </cell>
          <cell r="J5149" t="str">
            <v/>
          </cell>
          <cell r="K5149" t="str">
            <v/>
          </cell>
          <cell r="L5149" t="str">
            <v/>
          </cell>
        </row>
        <row r="5150">
          <cell r="A5150">
            <v>34000000</v>
          </cell>
          <cell r="C5150">
            <v>34000000</v>
          </cell>
          <cell r="D5150">
            <v>34000000</v>
          </cell>
          <cell r="E5150">
            <v>34000000</v>
          </cell>
          <cell r="F5150">
            <v>34000000</v>
          </cell>
          <cell r="G5150">
            <v>34000000</v>
          </cell>
          <cell r="H5150">
            <v>34000000</v>
          </cell>
          <cell r="I5150" t="str">
            <v/>
          </cell>
          <cell r="J5150" t="str">
            <v/>
          </cell>
          <cell r="K5150" t="str">
            <v/>
          </cell>
          <cell r="L5150" t="str">
            <v/>
          </cell>
        </row>
        <row r="5151">
          <cell r="A5151">
            <v>34000000</v>
          </cell>
          <cell r="C5151">
            <v>34000000</v>
          </cell>
          <cell r="D5151">
            <v>34000000</v>
          </cell>
          <cell r="E5151">
            <v>34000000</v>
          </cell>
          <cell r="F5151">
            <v>34000000</v>
          </cell>
          <cell r="G5151">
            <v>34000000</v>
          </cell>
          <cell r="H5151">
            <v>34000000</v>
          </cell>
          <cell r="I5151" t="str">
            <v/>
          </cell>
          <cell r="J5151" t="str">
            <v/>
          </cell>
          <cell r="K5151" t="str">
            <v/>
          </cell>
          <cell r="L5151" t="str">
            <v/>
          </cell>
        </row>
        <row r="5152">
          <cell r="A5152">
            <v>34000000</v>
          </cell>
          <cell r="C5152">
            <v>34000000</v>
          </cell>
          <cell r="D5152">
            <v>34000000</v>
          </cell>
          <cell r="E5152">
            <v>34000000</v>
          </cell>
          <cell r="F5152">
            <v>34000000</v>
          </cell>
          <cell r="G5152">
            <v>34000000</v>
          </cell>
          <cell r="H5152">
            <v>34000000</v>
          </cell>
          <cell r="I5152" t="str">
            <v/>
          </cell>
          <cell r="J5152" t="str">
            <v/>
          </cell>
          <cell r="K5152" t="str">
            <v/>
          </cell>
          <cell r="L5152" t="str">
            <v/>
          </cell>
        </row>
        <row r="5153">
          <cell r="A5153">
            <v>34000000</v>
          </cell>
          <cell r="C5153">
            <v>34000000</v>
          </cell>
          <cell r="D5153">
            <v>34000000</v>
          </cell>
          <cell r="E5153">
            <v>34000000</v>
          </cell>
          <cell r="F5153">
            <v>34000000</v>
          </cell>
          <cell r="G5153">
            <v>34000000</v>
          </cell>
          <cell r="H5153">
            <v>34000000</v>
          </cell>
          <cell r="I5153" t="str">
            <v/>
          </cell>
          <cell r="J5153" t="str">
            <v/>
          </cell>
          <cell r="K5153" t="str">
            <v/>
          </cell>
          <cell r="L5153" t="str">
            <v/>
          </cell>
        </row>
        <row r="5154">
          <cell r="A5154">
            <v>34000000</v>
          </cell>
          <cell r="C5154">
            <v>34000000</v>
          </cell>
          <cell r="D5154">
            <v>34000000</v>
          </cell>
          <cell r="E5154">
            <v>34000000</v>
          </cell>
          <cell r="F5154">
            <v>34000000</v>
          </cell>
          <cell r="G5154">
            <v>34000000</v>
          </cell>
          <cell r="H5154">
            <v>34000000</v>
          </cell>
          <cell r="I5154" t="str">
            <v/>
          </cell>
          <cell r="J5154" t="str">
            <v/>
          </cell>
          <cell r="K5154" t="str">
            <v/>
          </cell>
          <cell r="L5154" t="str">
            <v/>
          </cell>
        </row>
        <row r="5155">
          <cell r="A5155">
            <v>34000000</v>
          </cell>
          <cell r="C5155">
            <v>34000000</v>
          </cell>
          <cell r="D5155">
            <v>34000000</v>
          </cell>
          <cell r="E5155">
            <v>34000000</v>
          </cell>
          <cell r="F5155">
            <v>34000000</v>
          </cell>
          <cell r="G5155">
            <v>34000000</v>
          </cell>
          <cell r="H5155">
            <v>34000000</v>
          </cell>
          <cell r="I5155" t="str">
            <v/>
          </cell>
          <cell r="J5155" t="str">
            <v/>
          </cell>
          <cell r="K5155" t="str">
            <v/>
          </cell>
          <cell r="L5155" t="str">
            <v/>
          </cell>
        </row>
        <row r="5156">
          <cell r="A5156">
            <v>34000000</v>
          </cell>
          <cell r="C5156">
            <v>34000000</v>
          </cell>
          <cell r="D5156">
            <v>34000000</v>
          </cell>
          <cell r="E5156">
            <v>34000000</v>
          </cell>
          <cell r="F5156">
            <v>34000000</v>
          </cell>
          <cell r="G5156">
            <v>34000000</v>
          </cell>
          <cell r="H5156">
            <v>34000000</v>
          </cell>
          <cell r="I5156" t="str">
            <v/>
          </cell>
          <cell r="J5156" t="str">
            <v/>
          </cell>
          <cell r="K5156" t="str">
            <v/>
          </cell>
          <cell r="L5156" t="str">
            <v/>
          </cell>
        </row>
        <row r="5157">
          <cell r="A5157">
            <v>34000000</v>
          </cell>
          <cell r="C5157">
            <v>34000000</v>
          </cell>
          <cell r="D5157">
            <v>34000000</v>
          </cell>
          <cell r="E5157">
            <v>34000000</v>
          </cell>
          <cell r="F5157">
            <v>34000000</v>
          </cell>
          <cell r="G5157">
            <v>34000000</v>
          </cell>
          <cell r="H5157">
            <v>34000000</v>
          </cell>
          <cell r="I5157" t="str">
            <v/>
          </cell>
          <cell r="J5157" t="str">
            <v/>
          </cell>
          <cell r="K5157" t="str">
            <v/>
          </cell>
          <cell r="L5157" t="str">
            <v/>
          </cell>
        </row>
        <row r="5158">
          <cell r="A5158">
            <v>34000000</v>
          </cell>
          <cell r="C5158">
            <v>34000000</v>
          </cell>
          <cell r="D5158">
            <v>34000000</v>
          </cell>
          <cell r="E5158">
            <v>34000000</v>
          </cell>
          <cell r="F5158">
            <v>34000000</v>
          </cell>
          <cell r="G5158">
            <v>34000000</v>
          </cell>
          <cell r="H5158">
            <v>34000000</v>
          </cell>
          <cell r="I5158" t="str">
            <v/>
          </cell>
          <cell r="J5158" t="str">
            <v/>
          </cell>
          <cell r="K5158" t="str">
            <v/>
          </cell>
          <cell r="L5158" t="str">
            <v/>
          </cell>
        </row>
        <row r="5159">
          <cell r="A5159">
            <v>34000000</v>
          </cell>
          <cell r="C5159">
            <v>34000000</v>
          </cell>
          <cell r="D5159">
            <v>34000000</v>
          </cell>
          <cell r="E5159">
            <v>34000000</v>
          </cell>
          <cell r="F5159">
            <v>34000000</v>
          </cell>
          <cell r="G5159">
            <v>34000000</v>
          </cell>
          <cell r="H5159">
            <v>34000000</v>
          </cell>
          <cell r="I5159" t="str">
            <v/>
          </cell>
          <cell r="J5159" t="str">
            <v/>
          </cell>
          <cell r="K5159" t="str">
            <v/>
          </cell>
          <cell r="L5159" t="str">
            <v/>
          </cell>
        </row>
        <row r="5160">
          <cell r="A5160">
            <v>34000000</v>
          </cell>
          <cell r="C5160">
            <v>34000000</v>
          </cell>
          <cell r="D5160">
            <v>34000000</v>
          </cell>
          <cell r="E5160">
            <v>34000000</v>
          </cell>
          <cell r="F5160">
            <v>34000000</v>
          </cell>
          <cell r="G5160">
            <v>34000000</v>
          </cell>
          <cell r="H5160">
            <v>34000000</v>
          </cell>
          <cell r="I5160" t="str">
            <v/>
          </cell>
          <cell r="J5160" t="str">
            <v/>
          </cell>
          <cell r="K5160" t="str">
            <v/>
          </cell>
          <cell r="L5160" t="str">
            <v/>
          </cell>
        </row>
        <row r="5161">
          <cell r="A5161">
            <v>34000000</v>
          </cell>
          <cell r="C5161">
            <v>34000000</v>
          </cell>
          <cell r="D5161">
            <v>34000000</v>
          </cell>
          <cell r="E5161">
            <v>34000000</v>
          </cell>
          <cell r="F5161">
            <v>34000000</v>
          </cell>
          <cell r="G5161">
            <v>34000000</v>
          </cell>
          <cell r="H5161">
            <v>34000000</v>
          </cell>
          <cell r="I5161" t="str">
            <v/>
          </cell>
          <cell r="J5161" t="str">
            <v/>
          </cell>
          <cell r="K5161" t="str">
            <v/>
          </cell>
          <cell r="L5161" t="str">
            <v/>
          </cell>
        </row>
        <row r="5162">
          <cell r="A5162">
            <v>34000000</v>
          </cell>
          <cell r="C5162">
            <v>34000000</v>
          </cell>
          <cell r="D5162">
            <v>34000000</v>
          </cell>
          <cell r="E5162">
            <v>34000000</v>
          </cell>
          <cell r="F5162">
            <v>34000000</v>
          </cell>
          <cell r="G5162">
            <v>34000000</v>
          </cell>
          <cell r="H5162">
            <v>34000000</v>
          </cell>
          <cell r="I5162" t="str">
            <v/>
          </cell>
          <cell r="J5162" t="str">
            <v/>
          </cell>
          <cell r="K5162" t="str">
            <v/>
          </cell>
          <cell r="L5162" t="str">
            <v/>
          </cell>
        </row>
        <row r="5163">
          <cell r="A5163">
            <v>34000000</v>
          </cell>
          <cell r="C5163">
            <v>34000000</v>
          </cell>
          <cell r="D5163">
            <v>34000000</v>
          </cell>
          <cell r="E5163">
            <v>34000000</v>
          </cell>
          <cell r="F5163">
            <v>34000000</v>
          </cell>
          <cell r="G5163">
            <v>34000000</v>
          </cell>
          <cell r="H5163">
            <v>34000000</v>
          </cell>
          <cell r="I5163" t="str">
            <v/>
          </cell>
          <cell r="J5163" t="str">
            <v/>
          </cell>
          <cell r="K5163" t="str">
            <v/>
          </cell>
          <cell r="L5163" t="str">
            <v/>
          </cell>
        </row>
        <row r="5164">
          <cell r="A5164">
            <v>34000000</v>
          </cell>
          <cell r="C5164">
            <v>34000000</v>
          </cell>
          <cell r="D5164">
            <v>34000000</v>
          </cell>
          <cell r="E5164">
            <v>34000000</v>
          </cell>
          <cell r="F5164">
            <v>34000000</v>
          </cell>
          <cell r="G5164">
            <v>34000000</v>
          </cell>
          <cell r="H5164">
            <v>34000000</v>
          </cell>
          <cell r="I5164" t="str">
            <v/>
          </cell>
          <cell r="J5164" t="str">
            <v/>
          </cell>
          <cell r="K5164" t="str">
            <v/>
          </cell>
          <cell r="L5164" t="str">
            <v/>
          </cell>
        </row>
        <row r="5165">
          <cell r="A5165">
            <v>34000000</v>
          </cell>
          <cell r="C5165">
            <v>34000000</v>
          </cell>
          <cell r="D5165">
            <v>34000000</v>
          </cell>
          <cell r="E5165">
            <v>34000000</v>
          </cell>
          <cell r="F5165">
            <v>34000000</v>
          </cell>
          <cell r="G5165">
            <v>34000000</v>
          </cell>
          <cell r="H5165">
            <v>34000000</v>
          </cell>
          <cell r="I5165" t="str">
            <v/>
          </cell>
          <cell r="J5165" t="str">
            <v/>
          </cell>
          <cell r="K5165" t="str">
            <v/>
          </cell>
          <cell r="L5165" t="str">
            <v/>
          </cell>
        </row>
        <row r="5166">
          <cell r="A5166">
            <v>34000000</v>
          </cell>
          <cell r="C5166">
            <v>34000000</v>
          </cell>
          <cell r="D5166">
            <v>34000000</v>
          </cell>
          <cell r="E5166">
            <v>34000000</v>
          </cell>
          <cell r="F5166">
            <v>34000000</v>
          </cell>
          <cell r="G5166">
            <v>34000000</v>
          </cell>
          <cell r="H5166">
            <v>34000000</v>
          </cell>
          <cell r="I5166" t="str">
            <v/>
          </cell>
          <cell r="J5166" t="str">
            <v/>
          </cell>
          <cell r="K5166" t="str">
            <v/>
          </cell>
          <cell r="L5166" t="str">
            <v/>
          </cell>
        </row>
        <row r="5167">
          <cell r="A5167">
            <v>34000000</v>
          </cell>
          <cell r="C5167">
            <v>34000000</v>
          </cell>
          <cell r="D5167">
            <v>34000000</v>
          </cell>
          <cell r="E5167">
            <v>34000000</v>
          </cell>
          <cell r="F5167">
            <v>34000000</v>
          </cell>
          <cell r="G5167">
            <v>34000000</v>
          </cell>
          <cell r="H5167">
            <v>34000000</v>
          </cell>
          <cell r="I5167" t="str">
            <v/>
          </cell>
          <cell r="J5167" t="str">
            <v/>
          </cell>
          <cell r="K5167" t="str">
            <v/>
          </cell>
          <cell r="L5167" t="str">
            <v/>
          </cell>
        </row>
        <row r="5168">
          <cell r="A5168">
            <v>34000000</v>
          </cell>
          <cell r="C5168">
            <v>34000000</v>
          </cell>
          <cell r="D5168">
            <v>34000000</v>
          </cell>
          <cell r="E5168">
            <v>34000000</v>
          </cell>
          <cell r="F5168">
            <v>34000000</v>
          </cell>
          <cell r="G5168">
            <v>34000000</v>
          </cell>
          <cell r="H5168">
            <v>34000000</v>
          </cell>
          <cell r="I5168" t="str">
            <v/>
          </cell>
          <cell r="J5168" t="str">
            <v/>
          </cell>
          <cell r="K5168" t="str">
            <v/>
          </cell>
          <cell r="L5168" t="str">
            <v/>
          </cell>
        </row>
        <row r="5169">
          <cell r="A5169">
            <v>34000000</v>
          </cell>
          <cell r="C5169">
            <v>34000000</v>
          </cell>
          <cell r="D5169">
            <v>34000000</v>
          </cell>
          <cell r="E5169">
            <v>34000000</v>
          </cell>
          <cell r="F5169">
            <v>34000000</v>
          </cell>
          <cell r="G5169">
            <v>34000000</v>
          </cell>
          <cell r="H5169">
            <v>34000000</v>
          </cell>
          <cell r="I5169" t="str">
            <v/>
          </cell>
          <cell r="J5169" t="str">
            <v/>
          </cell>
          <cell r="K5169" t="str">
            <v/>
          </cell>
          <cell r="L5169" t="str">
            <v/>
          </cell>
        </row>
        <row r="5170">
          <cell r="A5170">
            <v>34000000</v>
          </cell>
          <cell r="C5170">
            <v>34000000</v>
          </cell>
          <cell r="D5170">
            <v>34000000</v>
          </cell>
          <cell r="E5170">
            <v>34000000</v>
          </cell>
          <cell r="F5170">
            <v>34000000</v>
          </cell>
          <cell r="G5170">
            <v>34000000</v>
          </cell>
          <cell r="H5170">
            <v>34000000</v>
          </cell>
          <cell r="I5170" t="str">
            <v/>
          </cell>
          <cell r="J5170" t="str">
            <v/>
          </cell>
          <cell r="K5170" t="str">
            <v/>
          </cell>
          <cell r="L5170" t="str">
            <v/>
          </cell>
        </row>
        <row r="5171">
          <cell r="A5171">
            <v>34000000</v>
          </cell>
          <cell r="C5171">
            <v>34000000</v>
          </cell>
          <cell r="D5171">
            <v>34000000</v>
          </cell>
          <cell r="E5171">
            <v>34000000</v>
          </cell>
          <cell r="F5171">
            <v>34000000</v>
          </cell>
          <cell r="G5171">
            <v>34000000</v>
          </cell>
          <cell r="H5171">
            <v>34000000</v>
          </cell>
          <cell r="I5171" t="str">
            <v/>
          </cell>
          <cell r="J5171" t="str">
            <v/>
          </cell>
          <cell r="K5171" t="str">
            <v/>
          </cell>
          <cell r="L5171" t="str">
            <v/>
          </cell>
        </row>
        <row r="5172">
          <cell r="A5172">
            <v>34000000</v>
          </cell>
          <cell r="C5172">
            <v>34000000</v>
          </cell>
          <cell r="D5172">
            <v>34000000</v>
          </cell>
          <cell r="E5172">
            <v>34000000</v>
          </cell>
          <cell r="F5172">
            <v>34000000</v>
          </cell>
          <cell r="G5172">
            <v>34000000</v>
          </cell>
          <cell r="H5172">
            <v>34000000</v>
          </cell>
          <cell r="I5172" t="str">
            <v/>
          </cell>
          <cell r="J5172" t="str">
            <v/>
          </cell>
          <cell r="K5172" t="str">
            <v/>
          </cell>
          <cell r="L5172" t="str">
            <v/>
          </cell>
        </row>
        <row r="5173">
          <cell r="A5173">
            <v>34000000</v>
          </cell>
          <cell r="C5173">
            <v>34000000</v>
          </cell>
          <cell r="D5173">
            <v>34000000</v>
          </cell>
          <cell r="E5173">
            <v>34000000</v>
          </cell>
          <cell r="F5173">
            <v>34000000</v>
          </cell>
          <cell r="G5173">
            <v>34000000</v>
          </cell>
          <cell r="H5173">
            <v>34000000</v>
          </cell>
          <cell r="I5173" t="str">
            <v/>
          </cell>
          <cell r="J5173" t="str">
            <v/>
          </cell>
          <cell r="K5173" t="str">
            <v/>
          </cell>
          <cell r="L5173" t="str">
            <v/>
          </cell>
        </row>
        <row r="5174">
          <cell r="A5174">
            <v>34000000</v>
          </cell>
          <cell r="C5174">
            <v>34000000</v>
          </cell>
          <cell r="D5174">
            <v>34000000</v>
          </cell>
          <cell r="E5174">
            <v>34000000</v>
          </cell>
          <cell r="F5174">
            <v>34000000</v>
          </cell>
          <cell r="G5174">
            <v>34000000</v>
          </cell>
          <cell r="H5174">
            <v>34000000</v>
          </cell>
          <cell r="I5174" t="str">
            <v/>
          </cell>
          <cell r="J5174" t="str">
            <v/>
          </cell>
          <cell r="K5174" t="str">
            <v/>
          </cell>
          <cell r="L5174" t="str">
            <v/>
          </cell>
        </row>
        <row r="5175">
          <cell r="A5175">
            <v>34000000</v>
          </cell>
          <cell r="C5175">
            <v>34000000</v>
          </cell>
          <cell r="D5175">
            <v>34000000</v>
          </cell>
          <cell r="E5175">
            <v>34000000</v>
          </cell>
          <cell r="F5175">
            <v>34000000</v>
          </cell>
          <cell r="G5175">
            <v>34000000</v>
          </cell>
          <cell r="H5175">
            <v>34000000</v>
          </cell>
          <cell r="I5175" t="str">
            <v/>
          </cell>
          <cell r="J5175" t="str">
            <v/>
          </cell>
          <cell r="K5175" t="str">
            <v/>
          </cell>
          <cell r="L5175" t="str">
            <v/>
          </cell>
        </row>
        <row r="5176">
          <cell r="A5176">
            <v>34000000</v>
          </cell>
          <cell r="C5176">
            <v>34000000</v>
          </cell>
          <cell r="D5176">
            <v>34000000</v>
          </cell>
          <cell r="E5176">
            <v>34000000</v>
          </cell>
          <cell r="F5176">
            <v>34000000</v>
          </cell>
          <cell r="G5176">
            <v>34000000</v>
          </cell>
          <cell r="H5176">
            <v>34000000</v>
          </cell>
          <cell r="I5176" t="str">
            <v/>
          </cell>
          <cell r="J5176" t="str">
            <v/>
          </cell>
          <cell r="K5176" t="str">
            <v/>
          </cell>
          <cell r="L5176" t="str">
            <v/>
          </cell>
        </row>
        <row r="5177">
          <cell r="A5177">
            <v>34000000</v>
          </cell>
          <cell r="C5177">
            <v>34000000</v>
          </cell>
          <cell r="D5177">
            <v>34000000</v>
          </cell>
          <cell r="E5177">
            <v>34000000</v>
          </cell>
          <cell r="F5177">
            <v>34000000</v>
          </cell>
          <cell r="G5177">
            <v>34000000</v>
          </cell>
          <cell r="H5177">
            <v>34000000</v>
          </cell>
          <cell r="I5177" t="str">
            <v/>
          </cell>
          <cell r="J5177" t="str">
            <v/>
          </cell>
          <cell r="K5177" t="str">
            <v/>
          </cell>
          <cell r="L5177" t="str">
            <v/>
          </cell>
        </row>
        <row r="5178">
          <cell r="A5178">
            <v>34000000</v>
          </cell>
          <cell r="C5178">
            <v>34000000</v>
          </cell>
          <cell r="D5178">
            <v>34000000</v>
          </cell>
          <cell r="E5178">
            <v>34000000</v>
          </cell>
          <cell r="F5178">
            <v>34000000</v>
          </cell>
          <cell r="G5178">
            <v>34000000</v>
          </cell>
          <cell r="H5178">
            <v>34000000</v>
          </cell>
          <cell r="I5178" t="str">
            <v/>
          </cell>
          <cell r="J5178" t="str">
            <v/>
          </cell>
          <cell r="K5178" t="str">
            <v/>
          </cell>
          <cell r="L5178" t="str">
            <v/>
          </cell>
        </row>
        <row r="5179">
          <cell r="A5179">
            <v>34000000</v>
          </cell>
          <cell r="C5179">
            <v>34000000</v>
          </cell>
          <cell r="D5179">
            <v>34000000</v>
          </cell>
          <cell r="E5179">
            <v>34000000</v>
          </cell>
          <cell r="F5179">
            <v>34000000</v>
          </cell>
          <cell r="G5179">
            <v>34000000</v>
          </cell>
          <cell r="H5179">
            <v>34000000</v>
          </cell>
          <cell r="I5179" t="str">
            <v/>
          </cell>
          <cell r="J5179" t="str">
            <v/>
          </cell>
          <cell r="K5179" t="str">
            <v/>
          </cell>
          <cell r="L5179" t="str">
            <v/>
          </cell>
        </row>
        <row r="5180">
          <cell r="A5180">
            <v>34000000</v>
          </cell>
          <cell r="C5180">
            <v>34000000</v>
          </cell>
          <cell r="D5180">
            <v>34000000</v>
          </cell>
          <cell r="E5180">
            <v>34000000</v>
          </cell>
          <cell r="F5180">
            <v>34000000</v>
          </cell>
          <cell r="G5180">
            <v>34000000</v>
          </cell>
          <cell r="H5180">
            <v>34000000</v>
          </cell>
          <cell r="I5180" t="str">
            <v/>
          </cell>
          <cell r="J5180" t="str">
            <v/>
          </cell>
          <cell r="K5180" t="str">
            <v/>
          </cell>
          <cell r="L5180" t="str">
            <v/>
          </cell>
        </row>
        <row r="5181">
          <cell r="A5181">
            <v>34000000</v>
          </cell>
          <cell r="C5181">
            <v>34000000</v>
          </cell>
          <cell r="D5181">
            <v>34000000</v>
          </cell>
          <cell r="E5181">
            <v>34000000</v>
          </cell>
          <cell r="F5181">
            <v>34000000</v>
          </cell>
          <cell r="G5181">
            <v>34000000</v>
          </cell>
          <cell r="H5181">
            <v>34000000</v>
          </cell>
          <cell r="I5181" t="str">
            <v/>
          </cell>
          <cell r="J5181" t="str">
            <v/>
          </cell>
          <cell r="K5181" t="str">
            <v/>
          </cell>
          <cell r="L5181" t="str">
            <v/>
          </cell>
        </row>
        <row r="5182">
          <cell r="A5182">
            <v>34000000</v>
          </cell>
          <cell r="C5182">
            <v>34000000</v>
          </cell>
          <cell r="D5182">
            <v>34000000</v>
          </cell>
          <cell r="E5182">
            <v>34000000</v>
          </cell>
          <cell r="F5182">
            <v>34000000</v>
          </cell>
          <cell r="G5182">
            <v>34000000</v>
          </cell>
          <cell r="H5182">
            <v>34000000</v>
          </cell>
          <cell r="I5182" t="str">
            <v/>
          </cell>
          <cell r="J5182" t="str">
            <v/>
          </cell>
          <cell r="K5182" t="str">
            <v/>
          </cell>
          <cell r="L5182" t="str">
            <v/>
          </cell>
        </row>
        <row r="5183">
          <cell r="A5183">
            <v>34000000</v>
          </cell>
          <cell r="C5183">
            <v>34000000</v>
          </cell>
          <cell r="D5183">
            <v>34000000</v>
          </cell>
          <cell r="E5183">
            <v>34000000</v>
          </cell>
          <cell r="F5183">
            <v>34000000</v>
          </cell>
          <cell r="G5183">
            <v>34000000</v>
          </cell>
          <cell r="H5183">
            <v>34000000</v>
          </cell>
          <cell r="I5183" t="str">
            <v/>
          </cell>
          <cell r="J5183" t="str">
            <v/>
          </cell>
          <cell r="K5183" t="str">
            <v/>
          </cell>
          <cell r="L5183" t="str">
            <v/>
          </cell>
        </row>
        <row r="5184">
          <cell r="A5184">
            <v>34000000</v>
          </cell>
          <cell r="C5184">
            <v>34000000</v>
          </cell>
          <cell r="D5184">
            <v>34000000</v>
          </cell>
          <cell r="E5184">
            <v>34000000</v>
          </cell>
          <cell r="F5184">
            <v>34000000</v>
          </cell>
          <cell r="G5184">
            <v>34000000</v>
          </cell>
          <cell r="H5184">
            <v>34000000</v>
          </cell>
          <cell r="I5184" t="str">
            <v/>
          </cell>
          <cell r="J5184" t="str">
            <v/>
          </cell>
          <cell r="K5184" t="str">
            <v/>
          </cell>
          <cell r="L5184" t="str">
            <v/>
          </cell>
        </row>
        <row r="5185">
          <cell r="A5185">
            <v>34000000</v>
          </cell>
          <cell r="C5185">
            <v>34000000</v>
          </cell>
          <cell r="D5185">
            <v>34000000</v>
          </cell>
          <cell r="E5185">
            <v>34000000</v>
          </cell>
          <cell r="F5185">
            <v>34000000</v>
          </cell>
          <cell r="G5185">
            <v>34000000</v>
          </cell>
          <cell r="H5185">
            <v>34000000</v>
          </cell>
          <cell r="I5185" t="str">
            <v/>
          </cell>
          <cell r="J5185" t="str">
            <v/>
          </cell>
          <cell r="K5185" t="str">
            <v/>
          </cell>
          <cell r="L5185" t="str">
            <v/>
          </cell>
        </row>
        <row r="5186">
          <cell r="A5186">
            <v>34000000</v>
          </cell>
          <cell r="C5186">
            <v>34000000</v>
          </cell>
          <cell r="D5186">
            <v>34000000</v>
          </cell>
          <cell r="E5186">
            <v>34000000</v>
          </cell>
          <cell r="F5186">
            <v>34000000</v>
          </cell>
          <cell r="G5186">
            <v>34000000</v>
          </cell>
          <cell r="H5186">
            <v>34000000</v>
          </cell>
          <cell r="I5186" t="str">
            <v/>
          </cell>
          <cell r="J5186" t="str">
            <v/>
          </cell>
          <cell r="K5186" t="str">
            <v/>
          </cell>
          <cell r="L5186" t="str">
            <v/>
          </cell>
        </row>
        <row r="5187">
          <cell r="A5187">
            <v>34000000</v>
          </cell>
          <cell r="C5187">
            <v>34000000</v>
          </cell>
          <cell r="D5187">
            <v>34000000</v>
          </cell>
          <cell r="E5187">
            <v>34000000</v>
          </cell>
          <cell r="F5187">
            <v>34000000</v>
          </cell>
          <cell r="G5187">
            <v>34000000</v>
          </cell>
          <cell r="H5187">
            <v>34000000</v>
          </cell>
          <cell r="I5187" t="str">
            <v/>
          </cell>
          <cell r="J5187" t="str">
            <v/>
          </cell>
          <cell r="K5187" t="str">
            <v/>
          </cell>
          <cell r="L5187" t="str">
            <v/>
          </cell>
        </row>
        <row r="5188">
          <cell r="A5188">
            <v>34000000</v>
          </cell>
          <cell r="C5188">
            <v>34000000</v>
          </cell>
          <cell r="D5188">
            <v>34000000</v>
          </cell>
          <cell r="E5188">
            <v>34000000</v>
          </cell>
          <cell r="F5188">
            <v>34000000</v>
          </cell>
          <cell r="G5188">
            <v>34000000</v>
          </cell>
          <cell r="H5188">
            <v>34000000</v>
          </cell>
          <cell r="I5188" t="str">
            <v/>
          </cell>
          <cell r="J5188" t="str">
            <v/>
          </cell>
          <cell r="K5188" t="str">
            <v/>
          </cell>
          <cell r="L5188" t="str">
            <v/>
          </cell>
        </row>
        <row r="5189">
          <cell r="A5189">
            <v>34000000</v>
          </cell>
          <cell r="C5189">
            <v>34000000</v>
          </cell>
          <cell r="D5189">
            <v>34000000</v>
          </cell>
          <cell r="E5189">
            <v>34000000</v>
          </cell>
          <cell r="F5189">
            <v>34000000</v>
          </cell>
          <cell r="G5189">
            <v>34000000</v>
          </cell>
          <cell r="H5189">
            <v>34000000</v>
          </cell>
          <cell r="I5189" t="str">
            <v/>
          </cell>
          <cell r="J5189" t="str">
            <v/>
          </cell>
          <cell r="K5189" t="str">
            <v/>
          </cell>
          <cell r="L5189" t="str">
            <v/>
          </cell>
        </row>
        <row r="5190">
          <cell r="A5190">
            <v>34000000</v>
          </cell>
          <cell r="C5190">
            <v>34000000</v>
          </cell>
          <cell r="D5190">
            <v>34000000</v>
          </cell>
          <cell r="E5190">
            <v>34000000</v>
          </cell>
          <cell r="F5190">
            <v>34000000</v>
          </cell>
          <cell r="G5190">
            <v>34000000</v>
          </cell>
          <cell r="H5190">
            <v>34000000</v>
          </cell>
          <cell r="I5190" t="str">
            <v/>
          </cell>
          <cell r="J5190" t="str">
            <v/>
          </cell>
          <cell r="K5190" t="str">
            <v/>
          </cell>
          <cell r="L5190" t="str">
            <v/>
          </cell>
        </row>
        <row r="5191">
          <cell r="A5191">
            <v>34000000</v>
          </cell>
          <cell r="C5191">
            <v>34000000</v>
          </cell>
          <cell r="D5191">
            <v>34000000</v>
          </cell>
          <cell r="E5191">
            <v>34000000</v>
          </cell>
          <cell r="F5191">
            <v>34000000</v>
          </cell>
          <cell r="G5191">
            <v>34000000</v>
          </cell>
          <cell r="H5191">
            <v>34000000</v>
          </cell>
          <cell r="I5191" t="str">
            <v/>
          </cell>
          <cell r="J5191" t="str">
            <v/>
          </cell>
          <cell r="K5191" t="str">
            <v/>
          </cell>
          <cell r="L5191" t="str">
            <v/>
          </cell>
        </row>
        <row r="5192">
          <cell r="A5192">
            <v>34000000</v>
          </cell>
          <cell r="C5192">
            <v>34000000</v>
          </cell>
          <cell r="D5192">
            <v>34000000</v>
          </cell>
          <cell r="E5192">
            <v>34000000</v>
          </cell>
          <cell r="F5192">
            <v>34000000</v>
          </cell>
          <cell r="G5192">
            <v>34000000</v>
          </cell>
          <cell r="H5192">
            <v>34000000</v>
          </cell>
          <cell r="I5192" t="str">
            <v/>
          </cell>
          <cell r="J5192" t="str">
            <v/>
          </cell>
          <cell r="K5192" t="str">
            <v/>
          </cell>
          <cell r="L5192" t="str">
            <v/>
          </cell>
        </row>
        <row r="5193">
          <cell r="A5193">
            <v>34000000</v>
          </cell>
          <cell r="C5193">
            <v>34000000</v>
          </cell>
          <cell r="D5193">
            <v>34000000</v>
          </cell>
          <cell r="E5193">
            <v>34000000</v>
          </cell>
          <cell r="F5193">
            <v>34000000</v>
          </cell>
          <cell r="G5193">
            <v>34000000</v>
          </cell>
          <cell r="H5193">
            <v>34000000</v>
          </cell>
          <cell r="I5193" t="str">
            <v/>
          </cell>
          <cell r="J5193" t="str">
            <v/>
          </cell>
          <cell r="K5193" t="str">
            <v/>
          </cell>
          <cell r="L5193" t="str">
            <v/>
          </cell>
        </row>
        <row r="5194">
          <cell r="A5194">
            <v>34000000</v>
          </cell>
          <cell r="C5194">
            <v>34000000</v>
          </cell>
          <cell r="D5194">
            <v>34000000</v>
          </cell>
          <cell r="E5194">
            <v>34000000</v>
          </cell>
          <cell r="F5194">
            <v>34000000</v>
          </cell>
          <cell r="G5194">
            <v>34000000</v>
          </cell>
          <cell r="H5194">
            <v>34000000</v>
          </cell>
          <cell r="I5194" t="str">
            <v/>
          </cell>
          <cell r="J5194" t="str">
            <v/>
          </cell>
          <cell r="K5194" t="str">
            <v/>
          </cell>
          <cell r="L5194" t="str">
            <v/>
          </cell>
        </row>
        <row r="5195">
          <cell r="A5195">
            <v>34000000</v>
          </cell>
          <cell r="C5195">
            <v>34000000</v>
          </cell>
          <cell r="D5195">
            <v>34000000</v>
          </cell>
          <cell r="E5195">
            <v>34000000</v>
          </cell>
          <cell r="F5195">
            <v>34000000</v>
          </cell>
          <cell r="G5195">
            <v>34000000</v>
          </cell>
          <cell r="H5195">
            <v>34000000</v>
          </cell>
          <cell r="I5195" t="str">
            <v/>
          </cell>
          <cell r="J5195" t="str">
            <v/>
          </cell>
          <cell r="K5195" t="str">
            <v/>
          </cell>
          <cell r="L5195" t="str">
            <v/>
          </cell>
        </row>
        <row r="5196">
          <cell r="A5196">
            <v>34000000</v>
          </cell>
          <cell r="C5196">
            <v>34000000</v>
          </cell>
          <cell r="D5196">
            <v>34000000</v>
          </cell>
          <cell r="E5196">
            <v>34000000</v>
          </cell>
          <cell r="F5196">
            <v>34000000</v>
          </cell>
          <cell r="G5196">
            <v>34000000</v>
          </cell>
          <cell r="H5196">
            <v>34000000</v>
          </cell>
          <cell r="I5196" t="str">
            <v/>
          </cell>
          <cell r="J5196" t="str">
            <v/>
          </cell>
          <cell r="K5196" t="str">
            <v/>
          </cell>
          <cell r="L5196" t="str">
            <v/>
          </cell>
        </row>
        <row r="5197">
          <cell r="A5197">
            <v>34000000</v>
          </cell>
          <cell r="C5197">
            <v>34000000</v>
          </cell>
          <cell r="D5197">
            <v>34000000</v>
          </cell>
          <cell r="E5197">
            <v>34000000</v>
          </cell>
          <cell r="F5197">
            <v>34000000</v>
          </cell>
          <cell r="G5197">
            <v>34000000</v>
          </cell>
          <cell r="H5197">
            <v>34000000</v>
          </cell>
          <cell r="I5197" t="str">
            <v/>
          </cell>
          <cell r="J5197" t="str">
            <v/>
          </cell>
          <cell r="K5197" t="str">
            <v/>
          </cell>
          <cell r="L5197" t="str">
            <v/>
          </cell>
        </row>
        <row r="5198">
          <cell r="A5198">
            <v>34000000</v>
          </cell>
          <cell r="C5198">
            <v>34000000</v>
          </cell>
          <cell r="D5198">
            <v>34000000</v>
          </cell>
          <cell r="E5198">
            <v>34000000</v>
          </cell>
          <cell r="F5198">
            <v>34000000</v>
          </cell>
          <cell r="G5198">
            <v>34000000</v>
          </cell>
          <cell r="H5198">
            <v>34000000</v>
          </cell>
          <cell r="I5198" t="str">
            <v/>
          </cell>
          <cell r="J5198" t="str">
            <v/>
          </cell>
          <cell r="K5198" t="str">
            <v/>
          </cell>
          <cell r="L5198" t="str">
            <v/>
          </cell>
        </row>
        <row r="5199">
          <cell r="A5199">
            <v>34000000</v>
          </cell>
          <cell r="C5199">
            <v>34000000</v>
          </cell>
          <cell r="D5199">
            <v>34000000</v>
          </cell>
          <cell r="E5199">
            <v>34000000</v>
          </cell>
          <cell r="F5199">
            <v>34000000</v>
          </cell>
          <cell r="G5199">
            <v>34000000</v>
          </cell>
          <cell r="H5199">
            <v>34000000</v>
          </cell>
          <cell r="I5199" t="str">
            <v/>
          </cell>
          <cell r="J5199" t="str">
            <v/>
          </cell>
          <cell r="K5199" t="str">
            <v/>
          </cell>
          <cell r="L5199" t="str">
            <v/>
          </cell>
        </row>
        <row r="5200">
          <cell r="A5200">
            <v>34000000</v>
          </cell>
          <cell r="C5200">
            <v>34000000</v>
          </cell>
          <cell r="D5200">
            <v>34000000</v>
          </cell>
          <cell r="E5200">
            <v>34000000</v>
          </cell>
          <cell r="F5200">
            <v>34000000</v>
          </cell>
          <cell r="G5200">
            <v>34000000</v>
          </cell>
          <cell r="H5200">
            <v>34000000</v>
          </cell>
          <cell r="I5200" t="str">
            <v/>
          </cell>
          <cell r="J5200" t="str">
            <v/>
          </cell>
          <cell r="K5200" t="str">
            <v/>
          </cell>
          <cell r="L5200" t="str">
            <v/>
          </cell>
        </row>
        <row r="5201">
          <cell r="A5201">
            <v>34000000</v>
          </cell>
          <cell r="C5201">
            <v>34000000</v>
          </cell>
          <cell r="D5201">
            <v>34000000</v>
          </cell>
          <cell r="E5201">
            <v>34000000</v>
          </cell>
          <cell r="F5201">
            <v>34000000</v>
          </cell>
          <cell r="G5201">
            <v>34000000</v>
          </cell>
          <cell r="H5201">
            <v>34000000</v>
          </cell>
          <cell r="I5201" t="str">
            <v/>
          </cell>
          <cell r="J5201" t="str">
            <v/>
          </cell>
          <cell r="K5201" t="str">
            <v/>
          </cell>
          <cell r="L5201" t="str">
            <v/>
          </cell>
        </row>
        <row r="5202">
          <cell r="A5202">
            <v>34000000</v>
          </cell>
          <cell r="C5202">
            <v>34000000</v>
          </cell>
          <cell r="D5202">
            <v>34000000</v>
          </cell>
          <cell r="E5202">
            <v>34000000</v>
          </cell>
          <cell r="F5202">
            <v>34000000</v>
          </cell>
          <cell r="G5202">
            <v>34000000</v>
          </cell>
          <cell r="H5202">
            <v>34000000</v>
          </cell>
          <cell r="I5202" t="str">
            <v/>
          </cell>
          <cell r="J5202" t="str">
            <v/>
          </cell>
          <cell r="K5202" t="str">
            <v/>
          </cell>
          <cell r="L5202" t="str">
            <v/>
          </cell>
        </row>
        <row r="5203">
          <cell r="A5203">
            <v>34000000</v>
          </cell>
          <cell r="C5203">
            <v>34000000</v>
          </cell>
          <cell r="D5203">
            <v>34000000</v>
          </cell>
          <cell r="E5203">
            <v>34000000</v>
          </cell>
          <cell r="F5203">
            <v>34000000</v>
          </cell>
          <cell r="G5203">
            <v>34000000</v>
          </cell>
          <cell r="H5203">
            <v>34000000</v>
          </cell>
          <cell r="I5203" t="str">
            <v/>
          </cell>
          <cell r="J5203" t="str">
            <v/>
          </cell>
          <cell r="K5203" t="str">
            <v/>
          </cell>
          <cell r="L5203" t="str">
            <v/>
          </cell>
        </row>
        <row r="5204">
          <cell r="A5204">
            <v>34000000</v>
          </cell>
          <cell r="C5204">
            <v>34000000</v>
          </cell>
          <cell r="D5204">
            <v>34000000</v>
          </cell>
          <cell r="E5204">
            <v>34000000</v>
          </cell>
          <cell r="F5204">
            <v>34000000</v>
          </cell>
          <cell r="G5204">
            <v>34000000</v>
          </cell>
          <cell r="H5204">
            <v>34000000</v>
          </cell>
          <cell r="I5204" t="str">
            <v/>
          </cell>
          <cell r="J5204" t="str">
            <v/>
          </cell>
          <cell r="K5204" t="str">
            <v/>
          </cell>
          <cell r="L5204" t="str">
            <v/>
          </cell>
        </row>
        <row r="5205">
          <cell r="A5205">
            <v>34000000</v>
          </cell>
          <cell r="C5205">
            <v>34000000</v>
          </cell>
          <cell r="D5205">
            <v>34000000</v>
          </cell>
          <cell r="E5205">
            <v>34000000</v>
          </cell>
          <cell r="F5205">
            <v>34000000</v>
          </cell>
          <cell r="G5205">
            <v>34000000</v>
          </cell>
          <cell r="H5205">
            <v>34000000</v>
          </cell>
          <cell r="I5205" t="str">
            <v/>
          </cell>
          <cell r="J5205" t="str">
            <v/>
          </cell>
          <cell r="K5205" t="str">
            <v/>
          </cell>
          <cell r="L5205" t="str">
            <v/>
          </cell>
        </row>
        <row r="5206">
          <cell r="A5206">
            <v>34000000</v>
          </cell>
          <cell r="C5206">
            <v>34000000</v>
          </cell>
          <cell r="D5206">
            <v>34000000</v>
          </cell>
          <cell r="E5206">
            <v>34000000</v>
          </cell>
          <cell r="F5206">
            <v>34000000</v>
          </cell>
          <cell r="G5206">
            <v>34000000</v>
          </cell>
          <cell r="H5206">
            <v>34000000</v>
          </cell>
          <cell r="I5206" t="str">
            <v/>
          </cell>
          <cell r="J5206" t="str">
            <v/>
          </cell>
          <cell r="K5206" t="str">
            <v/>
          </cell>
          <cell r="L5206" t="str">
            <v/>
          </cell>
        </row>
        <row r="5207">
          <cell r="A5207">
            <v>34000000</v>
          </cell>
          <cell r="C5207">
            <v>34000000</v>
          </cell>
          <cell r="D5207">
            <v>34000000</v>
          </cell>
          <cell r="E5207">
            <v>34000000</v>
          </cell>
          <cell r="F5207">
            <v>34000000</v>
          </cell>
          <cell r="G5207">
            <v>34000000</v>
          </cell>
          <cell r="H5207">
            <v>34000000</v>
          </cell>
          <cell r="I5207" t="str">
            <v/>
          </cell>
          <cell r="J5207" t="str">
            <v/>
          </cell>
          <cell r="K5207" t="str">
            <v/>
          </cell>
          <cell r="L5207" t="str">
            <v/>
          </cell>
        </row>
        <row r="5208">
          <cell r="A5208">
            <v>34000000</v>
          </cell>
          <cell r="C5208">
            <v>34000000</v>
          </cell>
          <cell r="D5208">
            <v>34000000</v>
          </cell>
          <cell r="E5208">
            <v>34000000</v>
          </cell>
          <cell r="F5208">
            <v>34000000</v>
          </cell>
          <cell r="G5208">
            <v>34000000</v>
          </cell>
          <cell r="H5208">
            <v>34000000</v>
          </cell>
          <cell r="I5208" t="str">
            <v/>
          </cell>
          <cell r="J5208" t="str">
            <v/>
          </cell>
          <cell r="K5208" t="str">
            <v/>
          </cell>
          <cell r="L5208" t="str">
            <v/>
          </cell>
        </row>
        <row r="5209">
          <cell r="A5209">
            <v>34000000</v>
          </cell>
          <cell r="C5209">
            <v>34000000</v>
          </cell>
          <cell r="D5209">
            <v>34000000</v>
          </cell>
          <cell r="E5209">
            <v>34000000</v>
          </cell>
          <cell r="F5209">
            <v>34000000</v>
          </cell>
          <cell r="G5209">
            <v>34000000</v>
          </cell>
          <cell r="H5209">
            <v>34000000</v>
          </cell>
          <cell r="I5209" t="str">
            <v/>
          </cell>
          <cell r="J5209" t="str">
            <v/>
          </cell>
          <cell r="K5209" t="str">
            <v/>
          </cell>
          <cell r="L5209" t="str">
            <v/>
          </cell>
        </row>
        <row r="5210">
          <cell r="A5210">
            <v>34000000</v>
          </cell>
          <cell r="C5210">
            <v>34000000</v>
          </cell>
          <cell r="D5210">
            <v>34000000</v>
          </cell>
          <cell r="E5210">
            <v>34000000</v>
          </cell>
          <cell r="F5210">
            <v>34000000</v>
          </cell>
          <cell r="G5210">
            <v>34000000</v>
          </cell>
          <cell r="H5210">
            <v>34000000</v>
          </cell>
          <cell r="I5210" t="str">
            <v/>
          </cell>
          <cell r="J5210" t="str">
            <v/>
          </cell>
          <cell r="K5210" t="str">
            <v/>
          </cell>
          <cell r="L5210" t="str">
            <v/>
          </cell>
        </row>
        <row r="5211">
          <cell r="A5211">
            <v>34000000</v>
          </cell>
          <cell r="C5211">
            <v>34000000</v>
          </cell>
          <cell r="D5211">
            <v>34000000</v>
          </cell>
          <cell r="E5211">
            <v>34000000</v>
          </cell>
          <cell r="F5211">
            <v>34000000</v>
          </cell>
          <cell r="G5211">
            <v>34000000</v>
          </cell>
          <cell r="H5211">
            <v>34000000</v>
          </cell>
          <cell r="I5211" t="str">
            <v/>
          </cell>
          <cell r="J5211" t="str">
            <v/>
          </cell>
          <cell r="K5211" t="str">
            <v/>
          </cell>
          <cell r="L5211" t="str">
            <v/>
          </cell>
        </row>
        <row r="5212">
          <cell r="A5212">
            <v>34000000</v>
          </cell>
          <cell r="C5212">
            <v>34000000</v>
          </cell>
          <cell r="D5212">
            <v>34000000</v>
          </cell>
          <cell r="E5212">
            <v>34000000</v>
          </cell>
          <cell r="F5212">
            <v>34000000</v>
          </cell>
          <cell r="G5212">
            <v>34000000</v>
          </cell>
          <cell r="H5212">
            <v>34000000</v>
          </cell>
          <cell r="I5212" t="str">
            <v/>
          </cell>
          <cell r="J5212" t="str">
            <v/>
          </cell>
          <cell r="K5212" t="str">
            <v/>
          </cell>
          <cell r="L5212" t="str">
            <v/>
          </cell>
        </row>
        <row r="5213">
          <cell r="A5213">
            <v>34000000</v>
          </cell>
          <cell r="C5213">
            <v>34000000</v>
          </cell>
          <cell r="D5213">
            <v>34000000</v>
          </cell>
          <cell r="E5213">
            <v>34000000</v>
          </cell>
          <cell r="F5213">
            <v>34000000</v>
          </cell>
          <cell r="G5213">
            <v>34000000</v>
          </cell>
          <cell r="H5213">
            <v>34000000</v>
          </cell>
          <cell r="I5213" t="str">
            <v/>
          </cell>
          <cell r="J5213" t="str">
            <v/>
          </cell>
          <cell r="K5213" t="str">
            <v/>
          </cell>
          <cell r="L5213" t="str">
            <v/>
          </cell>
        </row>
        <row r="5214">
          <cell r="A5214">
            <v>34000000</v>
          </cell>
          <cell r="C5214">
            <v>34000000</v>
          </cell>
          <cell r="D5214">
            <v>34000000</v>
          </cell>
          <cell r="E5214">
            <v>34000000</v>
          </cell>
          <cell r="F5214">
            <v>34000000</v>
          </cell>
          <cell r="G5214">
            <v>34000000</v>
          </cell>
          <cell r="H5214">
            <v>34000000</v>
          </cell>
          <cell r="I5214" t="str">
            <v/>
          </cell>
          <cell r="J5214" t="str">
            <v/>
          </cell>
          <cell r="K5214" t="str">
            <v/>
          </cell>
          <cell r="L5214" t="str">
            <v/>
          </cell>
        </row>
        <row r="5215">
          <cell r="A5215">
            <v>34000000</v>
          </cell>
          <cell r="C5215">
            <v>34000000</v>
          </cell>
          <cell r="D5215">
            <v>34000000</v>
          </cell>
          <cell r="E5215">
            <v>34000000</v>
          </cell>
          <cell r="F5215">
            <v>34000000</v>
          </cell>
          <cell r="G5215">
            <v>34000000</v>
          </cell>
          <cell r="H5215">
            <v>34000000</v>
          </cell>
          <cell r="I5215" t="str">
            <v/>
          </cell>
          <cell r="J5215" t="str">
            <v/>
          </cell>
          <cell r="K5215" t="str">
            <v/>
          </cell>
          <cell r="L5215" t="str">
            <v/>
          </cell>
        </row>
        <row r="5216">
          <cell r="A5216">
            <v>34000000</v>
          </cell>
          <cell r="C5216">
            <v>34000000</v>
          </cell>
          <cell r="D5216">
            <v>34000000</v>
          </cell>
          <cell r="E5216">
            <v>34000000</v>
          </cell>
          <cell r="F5216">
            <v>34000000</v>
          </cell>
          <cell r="G5216">
            <v>34000000</v>
          </cell>
          <cell r="H5216">
            <v>34000000</v>
          </cell>
          <cell r="I5216" t="str">
            <v/>
          </cell>
          <cell r="J5216" t="str">
            <v/>
          </cell>
          <cell r="K5216" t="str">
            <v/>
          </cell>
          <cell r="L5216" t="str">
            <v/>
          </cell>
        </row>
        <row r="5217">
          <cell r="A5217">
            <v>34000000</v>
          </cell>
          <cell r="C5217">
            <v>34000000</v>
          </cell>
          <cell r="D5217">
            <v>34000000</v>
          </cell>
          <cell r="E5217">
            <v>34000000</v>
          </cell>
          <cell r="F5217">
            <v>34000000</v>
          </cell>
          <cell r="G5217">
            <v>34000000</v>
          </cell>
          <cell r="H5217">
            <v>34000000</v>
          </cell>
          <cell r="I5217" t="str">
            <v/>
          </cell>
          <cell r="J5217" t="str">
            <v/>
          </cell>
          <cell r="K5217" t="str">
            <v/>
          </cell>
          <cell r="L5217" t="str">
            <v/>
          </cell>
        </row>
        <row r="5218">
          <cell r="A5218">
            <v>34000000</v>
          </cell>
          <cell r="C5218">
            <v>34000000</v>
          </cell>
          <cell r="D5218">
            <v>34000000</v>
          </cell>
          <cell r="E5218">
            <v>34000000</v>
          </cell>
          <cell r="F5218">
            <v>34000000</v>
          </cell>
          <cell r="G5218">
            <v>34000000</v>
          </cell>
          <cell r="H5218">
            <v>34000000</v>
          </cell>
          <cell r="I5218" t="str">
            <v/>
          </cell>
          <cell r="J5218" t="str">
            <v/>
          </cell>
          <cell r="K5218" t="str">
            <v/>
          </cell>
          <cell r="L5218" t="str">
            <v/>
          </cell>
        </row>
        <row r="5219">
          <cell r="A5219">
            <v>34000000</v>
          </cell>
          <cell r="C5219">
            <v>34000000</v>
          </cell>
          <cell r="D5219">
            <v>34000000</v>
          </cell>
          <cell r="E5219">
            <v>34000000</v>
          </cell>
          <cell r="F5219">
            <v>34000000</v>
          </cell>
          <cell r="G5219">
            <v>34000000</v>
          </cell>
          <cell r="H5219">
            <v>34000000</v>
          </cell>
          <cell r="I5219" t="str">
            <v/>
          </cell>
          <cell r="J5219" t="str">
            <v/>
          </cell>
          <cell r="K5219" t="str">
            <v/>
          </cell>
          <cell r="L5219" t="str">
            <v/>
          </cell>
        </row>
        <row r="5220">
          <cell r="A5220">
            <v>34000000</v>
          </cell>
          <cell r="C5220">
            <v>34000000</v>
          </cell>
          <cell r="D5220">
            <v>34000000</v>
          </cell>
          <cell r="E5220">
            <v>34000000</v>
          </cell>
          <cell r="F5220">
            <v>34000000</v>
          </cell>
          <cell r="G5220">
            <v>34000000</v>
          </cell>
          <cell r="H5220">
            <v>34000000</v>
          </cell>
          <cell r="I5220" t="str">
            <v/>
          </cell>
          <cell r="J5220" t="str">
            <v/>
          </cell>
          <cell r="K5220" t="str">
            <v/>
          </cell>
          <cell r="L5220" t="str">
            <v/>
          </cell>
        </row>
        <row r="5221">
          <cell r="A5221">
            <v>34000000</v>
          </cell>
          <cell r="C5221">
            <v>34000000</v>
          </cell>
          <cell r="D5221">
            <v>34000000</v>
          </cell>
          <cell r="E5221">
            <v>34000000</v>
          </cell>
          <cell r="F5221">
            <v>34000000</v>
          </cell>
          <cell r="G5221">
            <v>34000000</v>
          </cell>
          <cell r="H5221">
            <v>34000000</v>
          </cell>
          <cell r="I5221" t="str">
            <v/>
          </cell>
          <cell r="J5221" t="str">
            <v/>
          </cell>
          <cell r="K5221" t="str">
            <v/>
          </cell>
          <cell r="L5221" t="str">
            <v/>
          </cell>
        </row>
        <row r="5222">
          <cell r="A5222">
            <v>34000000</v>
          </cell>
          <cell r="C5222">
            <v>34000000</v>
          </cell>
          <cell r="D5222">
            <v>34000000</v>
          </cell>
          <cell r="E5222">
            <v>34000000</v>
          </cell>
          <cell r="F5222">
            <v>34000000</v>
          </cell>
          <cell r="G5222">
            <v>34000000</v>
          </cell>
          <cell r="H5222">
            <v>34000000</v>
          </cell>
          <cell r="I5222" t="str">
            <v/>
          </cell>
          <cell r="J5222" t="str">
            <v/>
          </cell>
          <cell r="K5222" t="str">
            <v/>
          </cell>
          <cell r="L5222" t="str">
            <v/>
          </cell>
        </row>
        <row r="5223">
          <cell r="A5223">
            <v>34000000</v>
          </cell>
          <cell r="C5223">
            <v>34000000</v>
          </cell>
          <cell r="D5223">
            <v>34000000</v>
          </cell>
          <cell r="E5223">
            <v>34000000</v>
          </cell>
          <cell r="F5223">
            <v>34000000</v>
          </cell>
          <cell r="G5223">
            <v>34000000</v>
          </cell>
          <cell r="H5223">
            <v>34000000</v>
          </cell>
          <cell r="I5223" t="str">
            <v/>
          </cell>
          <cell r="J5223" t="str">
            <v/>
          </cell>
          <cell r="K5223" t="str">
            <v/>
          </cell>
          <cell r="L5223" t="str">
            <v/>
          </cell>
        </row>
        <row r="5224">
          <cell r="A5224">
            <v>34000000</v>
          </cell>
          <cell r="C5224">
            <v>34000000</v>
          </cell>
          <cell r="D5224">
            <v>34000000</v>
          </cell>
          <cell r="E5224">
            <v>34000000</v>
          </cell>
          <cell r="F5224">
            <v>34000000</v>
          </cell>
          <cell r="G5224">
            <v>34000000</v>
          </cell>
          <cell r="H5224">
            <v>34000000</v>
          </cell>
          <cell r="I5224" t="str">
            <v/>
          </cell>
          <cell r="J5224" t="str">
            <v/>
          </cell>
          <cell r="K5224" t="str">
            <v/>
          </cell>
          <cell r="L5224" t="str">
            <v/>
          </cell>
        </row>
        <row r="5225">
          <cell r="A5225">
            <v>34000000</v>
          </cell>
          <cell r="C5225">
            <v>34000000</v>
          </cell>
          <cell r="D5225">
            <v>34000000</v>
          </cell>
          <cell r="E5225">
            <v>34000000</v>
          </cell>
          <cell r="F5225">
            <v>34000000</v>
          </cell>
          <cell r="G5225">
            <v>34000000</v>
          </cell>
          <cell r="H5225">
            <v>34000000</v>
          </cell>
          <cell r="I5225" t="str">
            <v/>
          </cell>
          <cell r="J5225" t="str">
            <v/>
          </cell>
          <cell r="K5225" t="str">
            <v/>
          </cell>
          <cell r="L5225" t="str">
            <v/>
          </cell>
        </row>
        <row r="5226">
          <cell r="A5226">
            <v>34000000</v>
          </cell>
          <cell r="C5226">
            <v>34000000</v>
          </cell>
          <cell r="D5226">
            <v>34000000</v>
          </cell>
          <cell r="E5226">
            <v>34000000</v>
          </cell>
          <cell r="F5226">
            <v>34000000</v>
          </cell>
          <cell r="G5226">
            <v>34000000</v>
          </cell>
          <cell r="H5226">
            <v>34000000</v>
          </cell>
          <cell r="I5226" t="str">
            <v/>
          </cell>
          <cell r="J5226" t="str">
            <v/>
          </cell>
          <cell r="K5226" t="str">
            <v/>
          </cell>
          <cell r="L5226" t="str">
            <v/>
          </cell>
        </row>
        <row r="5227">
          <cell r="A5227">
            <v>34000000</v>
          </cell>
          <cell r="C5227">
            <v>34000000</v>
          </cell>
          <cell r="D5227">
            <v>34000000</v>
          </cell>
          <cell r="E5227">
            <v>34000000</v>
          </cell>
          <cell r="F5227">
            <v>34000000</v>
          </cell>
          <cell r="G5227">
            <v>34000000</v>
          </cell>
          <cell r="H5227">
            <v>34000000</v>
          </cell>
          <cell r="I5227" t="str">
            <v/>
          </cell>
          <cell r="J5227" t="str">
            <v/>
          </cell>
          <cell r="K5227" t="str">
            <v/>
          </cell>
          <cell r="L5227" t="str">
            <v/>
          </cell>
        </row>
        <row r="5228">
          <cell r="A5228">
            <v>34000000</v>
          </cell>
          <cell r="C5228">
            <v>34000000</v>
          </cell>
          <cell r="D5228">
            <v>34000000</v>
          </cell>
          <cell r="E5228">
            <v>34000000</v>
          </cell>
          <cell r="F5228">
            <v>34000000</v>
          </cell>
          <cell r="G5228">
            <v>34000000</v>
          </cell>
          <cell r="H5228">
            <v>34000000</v>
          </cell>
          <cell r="I5228" t="str">
            <v/>
          </cell>
          <cell r="J5228" t="str">
            <v/>
          </cell>
          <cell r="K5228" t="str">
            <v/>
          </cell>
          <cell r="L5228" t="str">
            <v/>
          </cell>
        </row>
        <row r="5229">
          <cell r="A5229">
            <v>34000000</v>
          </cell>
          <cell r="C5229">
            <v>34000000</v>
          </cell>
          <cell r="D5229">
            <v>34000000</v>
          </cell>
          <cell r="E5229">
            <v>34000000</v>
          </cell>
          <cell r="F5229">
            <v>34000000</v>
          </cell>
          <cell r="G5229">
            <v>34000000</v>
          </cell>
          <cell r="H5229">
            <v>34000000</v>
          </cell>
          <cell r="I5229" t="str">
            <v/>
          </cell>
          <cell r="J5229" t="str">
            <v/>
          </cell>
          <cell r="K5229" t="str">
            <v/>
          </cell>
          <cell r="L5229" t="str">
            <v/>
          </cell>
        </row>
        <row r="5230">
          <cell r="A5230">
            <v>34000000</v>
          </cell>
          <cell r="C5230">
            <v>34000000</v>
          </cell>
          <cell r="D5230">
            <v>34000000</v>
          </cell>
          <cell r="E5230">
            <v>34000000</v>
          </cell>
          <cell r="F5230">
            <v>34000000</v>
          </cell>
          <cell r="G5230">
            <v>34000000</v>
          </cell>
          <cell r="H5230">
            <v>34000000</v>
          </cell>
          <cell r="I5230" t="str">
            <v/>
          </cell>
          <cell r="J5230" t="str">
            <v/>
          </cell>
          <cell r="K5230" t="str">
            <v/>
          </cell>
          <cell r="L5230" t="str">
            <v/>
          </cell>
        </row>
        <row r="5231">
          <cell r="A5231">
            <v>34000000</v>
          </cell>
          <cell r="C5231">
            <v>34000000</v>
          </cell>
          <cell r="D5231">
            <v>34000000</v>
          </cell>
          <cell r="E5231">
            <v>34000000</v>
          </cell>
          <cell r="F5231">
            <v>34000000</v>
          </cell>
          <cell r="G5231">
            <v>34000000</v>
          </cell>
          <cell r="H5231">
            <v>34000000</v>
          </cell>
          <cell r="I5231" t="str">
            <v/>
          </cell>
          <cell r="J5231" t="str">
            <v/>
          </cell>
          <cell r="K5231" t="str">
            <v/>
          </cell>
          <cell r="L5231" t="str">
            <v/>
          </cell>
        </row>
        <row r="5232">
          <cell r="A5232">
            <v>34000000</v>
          </cell>
          <cell r="C5232">
            <v>34000000</v>
          </cell>
          <cell r="D5232">
            <v>34000000</v>
          </cell>
          <cell r="E5232">
            <v>34000000</v>
          </cell>
          <cell r="F5232">
            <v>34000000</v>
          </cell>
          <cell r="G5232">
            <v>34000000</v>
          </cell>
          <cell r="H5232">
            <v>34000000</v>
          </cell>
          <cell r="I5232" t="str">
            <v/>
          </cell>
          <cell r="J5232" t="str">
            <v/>
          </cell>
          <cell r="K5232" t="str">
            <v/>
          </cell>
          <cell r="L5232" t="str">
            <v/>
          </cell>
        </row>
        <row r="5233">
          <cell r="A5233">
            <v>34000000</v>
          </cell>
          <cell r="C5233">
            <v>34000000</v>
          </cell>
          <cell r="D5233">
            <v>34000000</v>
          </cell>
          <cell r="E5233">
            <v>34000000</v>
          </cell>
          <cell r="F5233">
            <v>34000000</v>
          </cell>
          <cell r="G5233">
            <v>34000000</v>
          </cell>
          <cell r="H5233">
            <v>34000000</v>
          </cell>
          <cell r="I5233" t="str">
            <v/>
          </cell>
          <cell r="J5233" t="str">
            <v/>
          </cell>
          <cell r="K5233" t="str">
            <v/>
          </cell>
          <cell r="L5233" t="str">
            <v/>
          </cell>
        </row>
        <row r="5234">
          <cell r="A5234">
            <v>34000000</v>
          </cell>
          <cell r="C5234">
            <v>34000000</v>
          </cell>
          <cell r="D5234">
            <v>34000000</v>
          </cell>
          <cell r="E5234">
            <v>34000000</v>
          </cell>
          <cell r="F5234">
            <v>34000000</v>
          </cell>
          <cell r="G5234">
            <v>34000000</v>
          </cell>
          <cell r="H5234">
            <v>34000000</v>
          </cell>
          <cell r="I5234" t="str">
            <v/>
          </cell>
          <cell r="J5234" t="str">
            <v/>
          </cell>
          <cell r="K5234" t="str">
            <v/>
          </cell>
          <cell r="L5234" t="str">
            <v/>
          </cell>
        </row>
        <row r="5235">
          <cell r="A5235">
            <v>34000000</v>
          </cell>
          <cell r="C5235">
            <v>34000000</v>
          </cell>
          <cell r="D5235">
            <v>34000000</v>
          </cell>
          <cell r="E5235">
            <v>34000000</v>
          </cell>
          <cell r="F5235">
            <v>34000000</v>
          </cell>
          <cell r="G5235">
            <v>34000000</v>
          </cell>
          <cell r="H5235">
            <v>34000000</v>
          </cell>
          <cell r="I5235" t="str">
            <v/>
          </cell>
          <cell r="J5235" t="str">
            <v/>
          </cell>
          <cell r="K5235" t="str">
            <v/>
          </cell>
          <cell r="L5235" t="str">
            <v/>
          </cell>
        </row>
        <row r="5236">
          <cell r="A5236">
            <v>34000000</v>
          </cell>
          <cell r="C5236">
            <v>34000000</v>
          </cell>
          <cell r="D5236">
            <v>34000000</v>
          </cell>
          <cell r="E5236">
            <v>34000000</v>
          </cell>
          <cell r="F5236">
            <v>34000000</v>
          </cell>
          <cell r="G5236">
            <v>34000000</v>
          </cell>
          <cell r="H5236">
            <v>34000000</v>
          </cell>
          <cell r="I5236" t="str">
            <v/>
          </cell>
          <cell r="J5236" t="str">
            <v/>
          </cell>
          <cell r="K5236" t="str">
            <v/>
          </cell>
          <cell r="L5236" t="str">
            <v/>
          </cell>
        </row>
        <row r="5237">
          <cell r="A5237">
            <v>34000000</v>
          </cell>
          <cell r="C5237">
            <v>34000000</v>
          </cell>
          <cell r="D5237">
            <v>34000000</v>
          </cell>
          <cell r="E5237">
            <v>34000000</v>
          </cell>
          <cell r="F5237">
            <v>34000000</v>
          </cell>
          <cell r="G5237">
            <v>34000000</v>
          </cell>
          <cell r="H5237">
            <v>34000000</v>
          </cell>
          <cell r="I5237" t="str">
            <v/>
          </cell>
          <cell r="J5237" t="str">
            <v/>
          </cell>
          <cell r="K5237" t="str">
            <v/>
          </cell>
          <cell r="L5237" t="str">
            <v/>
          </cell>
        </row>
        <row r="5238">
          <cell r="A5238">
            <v>34000000</v>
          </cell>
          <cell r="C5238">
            <v>34000000</v>
          </cell>
          <cell r="D5238">
            <v>34000000</v>
          </cell>
          <cell r="E5238">
            <v>34000000</v>
          </cell>
          <cell r="F5238">
            <v>34000000</v>
          </cell>
          <cell r="G5238">
            <v>34000000</v>
          </cell>
          <cell r="H5238">
            <v>34000000</v>
          </cell>
          <cell r="I5238" t="str">
            <v/>
          </cell>
          <cell r="J5238" t="str">
            <v/>
          </cell>
          <cell r="K5238" t="str">
            <v/>
          </cell>
          <cell r="L5238" t="str">
            <v/>
          </cell>
        </row>
        <row r="5239">
          <cell r="A5239">
            <v>34000000</v>
          </cell>
          <cell r="C5239">
            <v>34000000</v>
          </cell>
          <cell r="D5239">
            <v>34000000</v>
          </cell>
          <cell r="E5239">
            <v>34000000</v>
          </cell>
          <cell r="F5239">
            <v>34000000</v>
          </cell>
          <cell r="G5239">
            <v>34000000</v>
          </cell>
          <cell r="H5239">
            <v>34000000</v>
          </cell>
          <cell r="I5239" t="str">
            <v/>
          </cell>
          <cell r="J5239" t="str">
            <v/>
          </cell>
          <cell r="K5239" t="str">
            <v/>
          </cell>
          <cell r="L5239" t="str">
            <v/>
          </cell>
        </row>
        <row r="5240">
          <cell r="A5240">
            <v>34000000</v>
          </cell>
          <cell r="C5240">
            <v>34000000</v>
          </cell>
          <cell r="D5240">
            <v>34000000</v>
          </cell>
          <cell r="E5240">
            <v>34000000</v>
          </cell>
          <cell r="F5240">
            <v>34000000</v>
          </cell>
          <cell r="G5240">
            <v>34000000</v>
          </cell>
          <cell r="H5240">
            <v>34000000</v>
          </cell>
          <cell r="I5240" t="str">
            <v/>
          </cell>
          <cell r="J5240" t="str">
            <v/>
          </cell>
          <cell r="K5240" t="str">
            <v/>
          </cell>
          <cell r="L5240" t="str">
            <v/>
          </cell>
        </row>
        <row r="5241">
          <cell r="A5241">
            <v>34000000</v>
          </cell>
          <cell r="C5241">
            <v>34000000</v>
          </cell>
          <cell r="D5241">
            <v>34000000</v>
          </cell>
          <cell r="E5241">
            <v>34000000</v>
          </cell>
          <cell r="F5241">
            <v>34000000</v>
          </cell>
          <cell r="G5241">
            <v>34000000</v>
          </cell>
          <cell r="H5241">
            <v>34000000</v>
          </cell>
          <cell r="I5241" t="str">
            <v/>
          </cell>
          <cell r="J5241" t="str">
            <v/>
          </cell>
          <cell r="K5241" t="str">
            <v/>
          </cell>
          <cell r="L5241" t="str">
            <v/>
          </cell>
        </row>
        <row r="5242">
          <cell r="A5242">
            <v>34000000</v>
          </cell>
          <cell r="C5242">
            <v>34000000</v>
          </cell>
          <cell r="D5242">
            <v>34000000</v>
          </cell>
          <cell r="E5242">
            <v>34000000</v>
          </cell>
          <cell r="F5242">
            <v>34000000</v>
          </cell>
          <cell r="G5242">
            <v>34000000</v>
          </cell>
          <cell r="H5242">
            <v>34000000</v>
          </cell>
          <cell r="I5242" t="str">
            <v/>
          </cell>
          <cell r="J5242" t="str">
            <v/>
          </cell>
          <cell r="K5242" t="str">
            <v/>
          </cell>
          <cell r="L5242" t="str">
            <v/>
          </cell>
        </row>
        <row r="5243">
          <cell r="A5243">
            <v>34000000</v>
          </cell>
          <cell r="C5243">
            <v>34000000</v>
          </cell>
          <cell r="D5243">
            <v>34000000</v>
          </cell>
          <cell r="E5243">
            <v>34000000</v>
          </cell>
          <cell r="F5243">
            <v>34000000</v>
          </cell>
          <cell r="G5243">
            <v>34000000</v>
          </cell>
          <cell r="H5243">
            <v>34000000</v>
          </cell>
          <cell r="I5243" t="str">
            <v/>
          </cell>
          <cell r="J5243" t="str">
            <v/>
          </cell>
          <cell r="K5243" t="str">
            <v/>
          </cell>
          <cell r="L5243" t="str">
            <v/>
          </cell>
        </row>
        <row r="5244">
          <cell r="A5244">
            <v>34000000</v>
          </cell>
          <cell r="C5244">
            <v>34000000</v>
          </cell>
          <cell r="D5244">
            <v>34000000</v>
          </cell>
          <cell r="E5244">
            <v>34000000</v>
          </cell>
          <cell r="F5244">
            <v>34000000</v>
          </cell>
          <cell r="G5244">
            <v>34000000</v>
          </cell>
          <cell r="H5244">
            <v>34000000</v>
          </cell>
          <cell r="I5244" t="str">
            <v/>
          </cell>
          <cell r="J5244" t="str">
            <v/>
          </cell>
          <cell r="K5244" t="str">
            <v/>
          </cell>
          <cell r="L5244" t="str">
            <v/>
          </cell>
        </row>
        <row r="5245">
          <cell r="A5245">
            <v>34000000</v>
          </cell>
          <cell r="C5245">
            <v>34000000</v>
          </cell>
          <cell r="D5245">
            <v>34000000</v>
          </cell>
          <cell r="E5245">
            <v>34000000</v>
          </cell>
          <cell r="F5245">
            <v>34000000</v>
          </cell>
          <cell r="G5245">
            <v>34000000</v>
          </cell>
          <cell r="H5245">
            <v>34000000</v>
          </cell>
          <cell r="I5245" t="str">
            <v/>
          </cell>
          <cell r="J5245" t="str">
            <v/>
          </cell>
          <cell r="K5245" t="str">
            <v/>
          </cell>
          <cell r="L5245" t="str">
            <v/>
          </cell>
        </row>
        <row r="5246">
          <cell r="A5246">
            <v>34000000</v>
          </cell>
          <cell r="C5246">
            <v>34000000</v>
          </cell>
          <cell r="D5246">
            <v>34000000</v>
          </cell>
          <cell r="E5246">
            <v>34000000</v>
          </cell>
          <cell r="F5246">
            <v>34000000</v>
          </cell>
          <cell r="G5246">
            <v>34000000</v>
          </cell>
          <cell r="H5246">
            <v>34000000</v>
          </cell>
          <cell r="I5246" t="str">
            <v/>
          </cell>
          <cell r="J5246" t="str">
            <v/>
          </cell>
          <cell r="K5246" t="str">
            <v/>
          </cell>
          <cell r="L5246" t="str">
            <v/>
          </cell>
        </row>
        <row r="5247">
          <cell r="A5247">
            <v>34000000</v>
          </cell>
          <cell r="C5247">
            <v>34000000</v>
          </cell>
          <cell r="D5247">
            <v>34000000</v>
          </cell>
          <cell r="E5247">
            <v>34000000</v>
          </cell>
          <cell r="F5247">
            <v>34000000</v>
          </cell>
          <cell r="G5247">
            <v>34000000</v>
          </cell>
          <cell r="H5247">
            <v>34000000</v>
          </cell>
          <cell r="I5247" t="str">
            <v/>
          </cell>
          <cell r="J5247" t="str">
            <v/>
          </cell>
          <cell r="K5247" t="str">
            <v/>
          </cell>
          <cell r="L5247" t="str">
            <v/>
          </cell>
        </row>
        <row r="5248">
          <cell r="A5248">
            <v>34000000</v>
          </cell>
          <cell r="C5248">
            <v>34000000</v>
          </cell>
          <cell r="D5248">
            <v>34000000</v>
          </cell>
          <cell r="E5248">
            <v>34000000</v>
          </cell>
          <cell r="F5248">
            <v>34000000</v>
          </cell>
          <cell r="G5248">
            <v>34000000</v>
          </cell>
          <cell r="H5248">
            <v>34000000</v>
          </cell>
          <cell r="I5248" t="str">
            <v/>
          </cell>
          <cell r="J5248" t="str">
            <v/>
          </cell>
          <cell r="K5248" t="str">
            <v/>
          </cell>
          <cell r="L5248" t="str">
            <v/>
          </cell>
        </row>
        <row r="5249">
          <cell r="A5249">
            <v>34000000</v>
          </cell>
          <cell r="C5249">
            <v>34000000</v>
          </cell>
          <cell r="D5249">
            <v>34000000</v>
          </cell>
          <cell r="E5249">
            <v>34000000</v>
          </cell>
          <cell r="F5249">
            <v>34000000</v>
          </cell>
          <cell r="G5249">
            <v>34000000</v>
          </cell>
          <cell r="H5249">
            <v>34000000</v>
          </cell>
          <cell r="I5249" t="str">
            <v/>
          </cell>
          <cell r="J5249" t="str">
            <v/>
          </cell>
          <cell r="K5249" t="str">
            <v/>
          </cell>
          <cell r="L5249" t="str">
            <v/>
          </cell>
        </row>
        <row r="5250">
          <cell r="A5250">
            <v>34000000</v>
          </cell>
          <cell r="C5250">
            <v>34000000</v>
          </cell>
          <cell r="D5250">
            <v>34000000</v>
          </cell>
          <cell r="E5250">
            <v>34000000</v>
          </cell>
          <cell r="F5250">
            <v>34000000</v>
          </cell>
          <cell r="G5250">
            <v>34000000</v>
          </cell>
          <cell r="H5250">
            <v>34000000</v>
          </cell>
          <cell r="I5250" t="str">
            <v/>
          </cell>
          <cell r="J5250" t="str">
            <v/>
          </cell>
          <cell r="K5250" t="str">
            <v/>
          </cell>
          <cell r="L5250" t="str">
            <v/>
          </cell>
        </row>
        <row r="5251">
          <cell r="A5251">
            <v>34000000</v>
          </cell>
          <cell r="C5251">
            <v>34000000</v>
          </cell>
          <cell r="D5251">
            <v>34000000</v>
          </cell>
          <cell r="E5251">
            <v>34000000</v>
          </cell>
          <cell r="F5251">
            <v>34000000</v>
          </cell>
          <cell r="G5251">
            <v>34000000</v>
          </cell>
          <cell r="H5251">
            <v>34000000</v>
          </cell>
          <cell r="I5251" t="str">
            <v/>
          </cell>
          <cell r="J5251" t="str">
            <v/>
          </cell>
          <cell r="K5251" t="str">
            <v/>
          </cell>
          <cell r="L5251" t="str">
            <v/>
          </cell>
        </row>
        <row r="5252">
          <cell r="A5252">
            <v>34000000</v>
          </cell>
          <cell r="C5252">
            <v>34000000</v>
          </cell>
          <cell r="D5252">
            <v>34000000</v>
          </cell>
          <cell r="E5252">
            <v>34000000</v>
          </cell>
          <cell r="F5252">
            <v>34000000</v>
          </cell>
          <cell r="G5252">
            <v>34000000</v>
          </cell>
          <cell r="H5252">
            <v>34000000</v>
          </cell>
          <cell r="I5252" t="str">
            <v/>
          </cell>
          <cell r="J5252" t="str">
            <v/>
          </cell>
          <cell r="K5252" t="str">
            <v/>
          </cell>
          <cell r="L5252" t="str">
            <v/>
          </cell>
        </row>
        <row r="5253">
          <cell r="A5253">
            <v>34000000</v>
          </cell>
          <cell r="C5253">
            <v>34000000</v>
          </cell>
          <cell r="D5253">
            <v>34000000</v>
          </cell>
          <cell r="E5253">
            <v>34000000</v>
          </cell>
          <cell r="F5253">
            <v>34000000</v>
          </cell>
          <cell r="G5253">
            <v>34000000</v>
          </cell>
          <cell r="H5253">
            <v>34000000</v>
          </cell>
          <cell r="I5253" t="str">
            <v/>
          </cell>
          <cell r="J5253" t="str">
            <v/>
          </cell>
          <cell r="K5253" t="str">
            <v/>
          </cell>
          <cell r="L5253" t="str">
            <v/>
          </cell>
        </row>
        <row r="5254">
          <cell r="A5254">
            <v>34000000</v>
          </cell>
          <cell r="C5254">
            <v>34000000</v>
          </cell>
          <cell r="D5254">
            <v>34000000</v>
          </cell>
          <cell r="E5254">
            <v>34000000</v>
          </cell>
          <cell r="F5254">
            <v>34000000</v>
          </cell>
          <cell r="G5254">
            <v>34000000</v>
          </cell>
          <cell r="H5254">
            <v>34000000</v>
          </cell>
          <cell r="I5254" t="str">
            <v/>
          </cell>
          <cell r="J5254" t="str">
            <v/>
          </cell>
          <cell r="K5254" t="str">
            <v/>
          </cell>
          <cell r="L5254" t="str">
            <v/>
          </cell>
        </row>
        <row r="5255">
          <cell r="A5255">
            <v>34000000</v>
          </cell>
          <cell r="C5255">
            <v>34000000</v>
          </cell>
          <cell r="D5255">
            <v>34000000</v>
          </cell>
          <cell r="E5255">
            <v>34000000</v>
          </cell>
          <cell r="F5255">
            <v>34000000</v>
          </cell>
          <cell r="G5255">
            <v>34000000</v>
          </cell>
          <cell r="H5255">
            <v>34000000</v>
          </cell>
          <cell r="I5255" t="str">
            <v/>
          </cell>
          <cell r="J5255" t="str">
            <v/>
          </cell>
          <cell r="K5255" t="str">
            <v/>
          </cell>
          <cell r="L5255" t="str">
            <v/>
          </cell>
        </row>
        <row r="5256">
          <cell r="A5256">
            <v>34000000</v>
          </cell>
          <cell r="C5256">
            <v>34000000</v>
          </cell>
          <cell r="D5256">
            <v>34000000</v>
          </cell>
          <cell r="E5256">
            <v>34000000</v>
          </cell>
          <cell r="F5256">
            <v>34000000</v>
          </cell>
          <cell r="G5256">
            <v>34000000</v>
          </cell>
          <cell r="H5256">
            <v>34000000</v>
          </cell>
          <cell r="I5256" t="str">
            <v/>
          </cell>
          <cell r="J5256" t="str">
            <v/>
          </cell>
          <cell r="K5256" t="str">
            <v/>
          </cell>
          <cell r="L5256" t="str">
            <v/>
          </cell>
        </row>
        <row r="5257">
          <cell r="A5257">
            <v>34000000</v>
          </cell>
          <cell r="C5257">
            <v>34000000</v>
          </cell>
          <cell r="D5257">
            <v>34000000</v>
          </cell>
          <cell r="E5257">
            <v>34000000</v>
          </cell>
          <cell r="F5257">
            <v>34000000</v>
          </cell>
          <cell r="G5257">
            <v>34000000</v>
          </cell>
          <cell r="H5257">
            <v>34000000</v>
          </cell>
          <cell r="I5257" t="str">
            <v/>
          </cell>
          <cell r="J5257" t="str">
            <v/>
          </cell>
          <cell r="K5257" t="str">
            <v/>
          </cell>
          <cell r="L5257" t="str">
            <v/>
          </cell>
        </row>
        <row r="5258">
          <cell r="A5258">
            <v>34000000</v>
          </cell>
          <cell r="C5258">
            <v>34000000</v>
          </cell>
          <cell r="D5258">
            <v>34000000</v>
          </cell>
          <cell r="E5258">
            <v>34000000</v>
          </cell>
          <cell r="F5258">
            <v>34000000</v>
          </cell>
          <cell r="G5258">
            <v>34000000</v>
          </cell>
          <cell r="H5258">
            <v>34000000</v>
          </cell>
          <cell r="I5258" t="str">
            <v/>
          </cell>
          <cell r="J5258" t="str">
            <v/>
          </cell>
          <cell r="K5258" t="str">
            <v/>
          </cell>
          <cell r="L5258" t="str">
            <v/>
          </cell>
        </row>
        <row r="5259">
          <cell r="A5259">
            <v>34000000</v>
          </cell>
          <cell r="C5259">
            <v>34000000</v>
          </cell>
          <cell r="D5259">
            <v>34000000</v>
          </cell>
          <cell r="E5259">
            <v>34000000</v>
          </cell>
          <cell r="F5259">
            <v>34000000</v>
          </cell>
          <cell r="G5259">
            <v>34000000</v>
          </cell>
          <cell r="H5259">
            <v>34000000</v>
          </cell>
          <cell r="I5259" t="str">
            <v/>
          </cell>
          <cell r="J5259" t="str">
            <v/>
          </cell>
          <cell r="K5259" t="str">
            <v/>
          </cell>
          <cell r="L5259" t="str">
            <v/>
          </cell>
        </row>
        <row r="5260">
          <cell r="A5260">
            <v>34000000</v>
          </cell>
          <cell r="C5260">
            <v>34000000</v>
          </cell>
          <cell r="D5260">
            <v>34000000</v>
          </cell>
          <cell r="E5260">
            <v>34000000</v>
          </cell>
          <cell r="F5260">
            <v>34000000</v>
          </cell>
          <cell r="G5260">
            <v>34000000</v>
          </cell>
          <cell r="H5260">
            <v>34000000</v>
          </cell>
          <cell r="I5260" t="str">
            <v/>
          </cell>
          <cell r="J5260" t="str">
            <v/>
          </cell>
          <cell r="K5260" t="str">
            <v/>
          </cell>
          <cell r="L5260" t="str">
            <v/>
          </cell>
        </row>
        <row r="5261">
          <cell r="A5261">
            <v>34000000</v>
          </cell>
          <cell r="C5261">
            <v>34000000</v>
          </cell>
          <cell r="D5261">
            <v>34000000</v>
          </cell>
          <cell r="E5261">
            <v>34000000</v>
          </cell>
          <cell r="F5261">
            <v>34000000</v>
          </cell>
          <cell r="G5261">
            <v>34000000</v>
          </cell>
          <cell r="H5261">
            <v>34000000</v>
          </cell>
          <cell r="I5261" t="str">
            <v/>
          </cell>
          <cell r="J5261" t="str">
            <v/>
          </cell>
          <cell r="K5261" t="str">
            <v/>
          </cell>
          <cell r="L5261" t="str">
            <v/>
          </cell>
        </row>
        <row r="5262">
          <cell r="A5262">
            <v>34000000</v>
          </cell>
          <cell r="C5262">
            <v>34000000</v>
          </cell>
          <cell r="D5262">
            <v>34000000</v>
          </cell>
          <cell r="E5262">
            <v>34000000</v>
          </cell>
          <cell r="F5262">
            <v>34000000</v>
          </cell>
          <cell r="G5262">
            <v>34000000</v>
          </cell>
          <cell r="H5262">
            <v>34000000</v>
          </cell>
          <cell r="I5262" t="str">
            <v/>
          </cell>
          <cell r="J5262" t="str">
            <v/>
          </cell>
          <cell r="K5262" t="str">
            <v/>
          </cell>
          <cell r="L5262" t="str">
            <v/>
          </cell>
        </row>
        <row r="5263">
          <cell r="A5263">
            <v>34000000</v>
          </cell>
          <cell r="C5263">
            <v>34000000</v>
          </cell>
          <cell r="D5263">
            <v>34000000</v>
          </cell>
          <cell r="E5263">
            <v>34000000</v>
          </cell>
          <cell r="F5263">
            <v>34000000</v>
          </cell>
          <cell r="G5263">
            <v>34000000</v>
          </cell>
          <cell r="H5263">
            <v>34000000</v>
          </cell>
          <cell r="I5263" t="str">
            <v/>
          </cell>
          <cell r="J5263" t="str">
            <v/>
          </cell>
          <cell r="K5263" t="str">
            <v/>
          </cell>
          <cell r="L5263" t="str">
            <v/>
          </cell>
        </row>
        <row r="5264">
          <cell r="A5264">
            <v>34000000</v>
          </cell>
          <cell r="C5264">
            <v>34000000</v>
          </cell>
          <cell r="D5264">
            <v>34000000</v>
          </cell>
          <cell r="E5264">
            <v>34000000</v>
          </cell>
          <cell r="F5264">
            <v>34000000</v>
          </cell>
          <cell r="G5264">
            <v>34000000</v>
          </cell>
          <cell r="H5264">
            <v>34000000</v>
          </cell>
          <cell r="I5264" t="str">
            <v/>
          </cell>
          <cell r="J5264" t="str">
            <v/>
          </cell>
          <cell r="K5264" t="str">
            <v/>
          </cell>
          <cell r="L5264" t="str">
            <v/>
          </cell>
        </row>
        <row r="5265">
          <cell r="A5265">
            <v>34000000</v>
          </cell>
          <cell r="C5265">
            <v>34000000</v>
          </cell>
          <cell r="D5265">
            <v>34000000</v>
          </cell>
          <cell r="E5265">
            <v>34000000</v>
          </cell>
          <cell r="F5265">
            <v>34000000</v>
          </cell>
          <cell r="G5265">
            <v>34000000</v>
          </cell>
          <cell r="H5265">
            <v>34000000</v>
          </cell>
          <cell r="I5265" t="str">
            <v/>
          </cell>
          <cell r="J5265" t="str">
            <v/>
          </cell>
          <cell r="K5265" t="str">
            <v/>
          </cell>
          <cell r="L5265" t="str">
            <v/>
          </cell>
        </row>
        <row r="5266">
          <cell r="A5266">
            <v>34000000</v>
          </cell>
          <cell r="C5266">
            <v>34000000</v>
          </cell>
          <cell r="D5266">
            <v>34000000</v>
          </cell>
          <cell r="E5266">
            <v>34000000</v>
          </cell>
          <cell r="F5266">
            <v>34000000</v>
          </cell>
          <cell r="G5266">
            <v>34000000</v>
          </cell>
          <cell r="H5266">
            <v>34000000</v>
          </cell>
          <cell r="I5266" t="str">
            <v/>
          </cell>
          <cell r="J5266" t="str">
            <v/>
          </cell>
          <cell r="K5266" t="str">
            <v/>
          </cell>
          <cell r="L5266" t="str">
            <v/>
          </cell>
        </row>
        <row r="5267">
          <cell r="A5267">
            <v>34000000</v>
          </cell>
          <cell r="C5267">
            <v>34000000</v>
          </cell>
          <cell r="D5267">
            <v>34000000</v>
          </cell>
          <cell r="E5267">
            <v>34000000</v>
          </cell>
          <cell r="F5267">
            <v>34000000</v>
          </cell>
          <cell r="G5267">
            <v>34000000</v>
          </cell>
          <cell r="H5267">
            <v>34000000</v>
          </cell>
          <cell r="I5267" t="str">
            <v/>
          </cell>
          <cell r="J5267" t="str">
            <v/>
          </cell>
          <cell r="K5267" t="str">
            <v/>
          </cell>
          <cell r="L5267" t="str">
            <v/>
          </cell>
        </row>
        <row r="5268">
          <cell r="A5268">
            <v>34000000</v>
          </cell>
          <cell r="C5268">
            <v>34000000</v>
          </cell>
          <cell r="D5268">
            <v>34000000</v>
          </cell>
          <cell r="E5268">
            <v>34000000</v>
          </cell>
          <cell r="F5268">
            <v>34000000</v>
          </cell>
          <cell r="G5268">
            <v>34000000</v>
          </cell>
          <cell r="H5268">
            <v>34000000</v>
          </cell>
          <cell r="I5268" t="str">
            <v/>
          </cell>
          <cell r="J5268" t="str">
            <v/>
          </cell>
          <cell r="K5268" t="str">
            <v/>
          </cell>
          <cell r="L5268" t="str">
            <v/>
          </cell>
        </row>
        <row r="5269">
          <cell r="A5269">
            <v>34000000</v>
          </cell>
          <cell r="C5269">
            <v>34000000</v>
          </cell>
          <cell r="D5269">
            <v>34000000</v>
          </cell>
          <cell r="E5269">
            <v>34000000</v>
          </cell>
          <cell r="F5269">
            <v>34000000</v>
          </cell>
          <cell r="G5269">
            <v>34000000</v>
          </cell>
          <cell r="H5269">
            <v>34000000</v>
          </cell>
          <cell r="I5269" t="str">
            <v/>
          </cell>
          <cell r="J5269" t="str">
            <v/>
          </cell>
          <cell r="K5269" t="str">
            <v/>
          </cell>
          <cell r="L5269" t="str">
            <v/>
          </cell>
        </row>
        <row r="5270">
          <cell r="A5270">
            <v>34000000</v>
          </cell>
          <cell r="C5270">
            <v>34000000</v>
          </cell>
          <cell r="D5270">
            <v>34000000</v>
          </cell>
          <cell r="E5270">
            <v>34000000</v>
          </cell>
          <cell r="F5270">
            <v>34000000</v>
          </cell>
          <cell r="G5270">
            <v>34000000</v>
          </cell>
          <cell r="H5270">
            <v>34000000</v>
          </cell>
          <cell r="I5270" t="str">
            <v/>
          </cell>
          <cell r="J5270" t="str">
            <v/>
          </cell>
          <cell r="K5270" t="str">
            <v/>
          </cell>
          <cell r="L5270" t="str">
            <v/>
          </cell>
        </row>
        <row r="5271">
          <cell r="A5271">
            <v>34000000</v>
          </cell>
          <cell r="C5271">
            <v>34000000</v>
          </cell>
          <cell r="D5271">
            <v>34000000</v>
          </cell>
          <cell r="E5271">
            <v>34000000</v>
          </cell>
          <cell r="F5271">
            <v>34000000</v>
          </cell>
          <cell r="G5271">
            <v>34000000</v>
          </cell>
          <cell r="H5271">
            <v>34000000</v>
          </cell>
          <cell r="I5271" t="str">
            <v/>
          </cell>
          <cell r="J5271" t="str">
            <v/>
          </cell>
          <cell r="K5271" t="str">
            <v/>
          </cell>
          <cell r="L5271" t="str">
            <v/>
          </cell>
        </row>
        <row r="5272">
          <cell r="A5272">
            <v>34000000</v>
          </cell>
          <cell r="C5272">
            <v>34000000</v>
          </cell>
          <cell r="D5272">
            <v>34000000</v>
          </cell>
          <cell r="E5272">
            <v>34000000</v>
          </cell>
          <cell r="F5272">
            <v>34000000</v>
          </cell>
          <cell r="G5272">
            <v>34000000</v>
          </cell>
          <cell r="H5272">
            <v>34000000</v>
          </cell>
          <cell r="I5272" t="str">
            <v/>
          </cell>
          <cell r="J5272" t="str">
            <v/>
          </cell>
          <cell r="K5272" t="str">
            <v/>
          </cell>
          <cell r="L5272" t="str">
            <v/>
          </cell>
        </row>
        <row r="5273">
          <cell r="A5273">
            <v>34000000</v>
          </cell>
          <cell r="C5273">
            <v>34000000</v>
          </cell>
          <cell r="D5273">
            <v>34000000</v>
          </cell>
          <cell r="E5273">
            <v>34000000</v>
          </cell>
          <cell r="F5273">
            <v>34000000</v>
          </cell>
          <cell r="G5273">
            <v>34000000</v>
          </cell>
          <cell r="H5273">
            <v>34000000</v>
          </cell>
          <cell r="I5273" t="str">
            <v/>
          </cell>
          <cell r="J5273" t="str">
            <v/>
          </cell>
          <cell r="K5273" t="str">
            <v/>
          </cell>
          <cell r="L5273" t="str">
            <v/>
          </cell>
        </row>
        <row r="5274">
          <cell r="A5274">
            <v>34000000</v>
          </cell>
          <cell r="C5274">
            <v>34000000</v>
          </cell>
          <cell r="D5274">
            <v>34000000</v>
          </cell>
          <cell r="E5274">
            <v>34000000</v>
          </cell>
          <cell r="F5274">
            <v>34000000</v>
          </cell>
          <cell r="G5274">
            <v>34000000</v>
          </cell>
          <cell r="H5274">
            <v>34000000</v>
          </cell>
          <cell r="I5274" t="str">
            <v/>
          </cell>
          <cell r="J5274" t="str">
            <v/>
          </cell>
          <cell r="K5274" t="str">
            <v/>
          </cell>
          <cell r="L5274" t="str">
            <v/>
          </cell>
        </row>
        <row r="5275">
          <cell r="A5275">
            <v>34000000</v>
          </cell>
          <cell r="C5275">
            <v>34000000</v>
          </cell>
          <cell r="D5275">
            <v>34000000</v>
          </cell>
          <cell r="E5275">
            <v>34000000</v>
          </cell>
          <cell r="F5275">
            <v>34000000</v>
          </cell>
          <cell r="G5275">
            <v>34000000</v>
          </cell>
          <cell r="H5275">
            <v>34000000</v>
          </cell>
          <cell r="I5275" t="str">
            <v/>
          </cell>
          <cell r="J5275" t="str">
            <v/>
          </cell>
          <cell r="K5275" t="str">
            <v/>
          </cell>
          <cell r="L5275" t="str">
            <v/>
          </cell>
        </row>
        <row r="5276">
          <cell r="A5276">
            <v>34000000</v>
          </cell>
          <cell r="C5276">
            <v>34000000</v>
          </cell>
          <cell r="D5276">
            <v>34000000</v>
          </cell>
          <cell r="E5276">
            <v>34000000</v>
          </cell>
          <cell r="F5276">
            <v>34000000</v>
          </cell>
          <cell r="G5276">
            <v>34000000</v>
          </cell>
          <cell r="H5276">
            <v>34000000</v>
          </cell>
          <cell r="I5276" t="str">
            <v/>
          </cell>
          <cell r="J5276" t="str">
            <v/>
          </cell>
          <cell r="K5276" t="str">
            <v/>
          </cell>
          <cell r="L5276" t="str">
            <v/>
          </cell>
        </row>
        <row r="5277">
          <cell r="A5277">
            <v>34000000</v>
          </cell>
          <cell r="C5277">
            <v>34000000</v>
          </cell>
          <cell r="D5277">
            <v>34000000</v>
          </cell>
          <cell r="E5277">
            <v>34000000</v>
          </cell>
          <cell r="F5277">
            <v>34000000</v>
          </cell>
          <cell r="G5277">
            <v>34000000</v>
          </cell>
          <cell r="H5277">
            <v>34000000</v>
          </cell>
          <cell r="I5277" t="str">
            <v/>
          </cell>
          <cell r="J5277" t="str">
            <v/>
          </cell>
          <cell r="K5277" t="str">
            <v/>
          </cell>
          <cell r="L5277" t="str">
            <v/>
          </cell>
        </row>
        <row r="5278">
          <cell r="A5278">
            <v>34000000</v>
          </cell>
          <cell r="C5278">
            <v>34000000</v>
          </cell>
          <cell r="D5278">
            <v>34000000</v>
          </cell>
          <cell r="E5278">
            <v>34000000</v>
          </cell>
          <cell r="F5278">
            <v>34000000</v>
          </cell>
          <cell r="G5278">
            <v>34000000</v>
          </cell>
          <cell r="H5278">
            <v>34000000</v>
          </cell>
          <cell r="I5278" t="str">
            <v/>
          </cell>
          <cell r="J5278" t="str">
            <v/>
          </cell>
          <cell r="K5278" t="str">
            <v/>
          </cell>
          <cell r="L5278" t="str">
            <v/>
          </cell>
        </row>
        <row r="5279">
          <cell r="A5279">
            <v>34000000</v>
          </cell>
          <cell r="C5279">
            <v>34000000</v>
          </cell>
          <cell r="D5279">
            <v>34000000</v>
          </cell>
          <cell r="E5279">
            <v>34000000</v>
          </cell>
          <cell r="F5279">
            <v>34000000</v>
          </cell>
          <cell r="G5279">
            <v>34000000</v>
          </cell>
          <cell r="H5279">
            <v>34000000</v>
          </cell>
          <cell r="I5279" t="str">
            <v/>
          </cell>
          <cell r="J5279" t="str">
            <v/>
          </cell>
          <cell r="K5279" t="str">
            <v/>
          </cell>
          <cell r="L5279" t="str">
            <v/>
          </cell>
        </row>
        <row r="5280">
          <cell r="A5280">
            <v>34000000</v>
          </cell>
          <cell r="C5280">
            <v>34000000</v>
          </cell>
          <cell r="D5280">
            <v>34000000</v>
          </cell>
          <cell r="E5280">
            <v>34000000</v>
          </cell>
          <cell r="F5280">
            <v>34000000</v>
          </cell>
          <cell r="G5280">
            <v>34000000</v>
          </cell>
          <cell r="H5280">
            <v>34000000</v>
          </cell>
          <cell r="I5280" t="str">
            <v/>
          </cell>
          <cell r="J5280" t="str">
            <v/>
          </cell>
          <cell r="K5280" t="str">
            <v/>
          </cell>
          <cell r="L5280" t="str">
            <v/>
          </cell>
        </row>
        <row r="5281">
          <cell r="A5281">
            <v>34000000</v>
          </cell>
          <cell r="C5281">
            <v>34000000</v>
          </cell>
          <cell r="D5281">
            <v>34000000</v>
          </cell>
          <cell r="E5281">
            <v>34000000</v>
          </cell>
          <cell r="F5281">
            <v>34000000</v>
          </cell>
          <cell r="G5281">
            <v>34000000</v>
          </cell>
          <cell r="H5281">
            <v>34000000</v>
          </cell>
          <cell r="I5281" t="str">
            <v/>
          </cell>
          <cell r="J5281" t="str">
            <v/>
          </cell>
          <cell r="K5281" t="str">
            <v/>
          </cell>
          <cell r="L5281" t="str">
            <v/>
          </cell>
        </row>
        <row r="5282">
          <cell r="A5282">
            <v>34000000</v>
          </cell>
          <cell r="C5282">
            <v>34000000</v>
          </cell>
          <cell r="D5282">
            <v>34000000</v>
          </cell>
          <cell r="E5282">
            <v>34000000</v>
          </cell>
          <cell r="F5282">
            <v>34000000</v>
          </cell>
          <cell r="G5282">
            <v>34000000</v>
          </cell>
          <cell r="H5282">
            <v>34000000</v>
          </cell>
          <cell r="I5282" t="str">
            <v/>
          </cell>
          <cell r="J5282" t="str">
            <v/>
          </cell>
          <cell r="K5282" t="str">
            <v/>
          </cell>
          <cell r="L5282" t="str">
            <v/>
          </cell>
        </row>
        <row r="5283">
          <cell r="A5283">
            <v>34000000</v>
          </cell>
          <cell r="C5283">
            <v>34000000</v>
          </cell>
          <cell r="D5283">
            <v>34000000</v>
          </cell>
          <cell r="E5283">
            <v>34000000</v>
          </cell>
          <cell r="F5283">
            <v>34000000</v>
          </cell>
          <cell r="G5283">
            <v>34000000</v>
          </cell>
          <cell r="H5283">
            <v>34000000</v>
          </cell>
          <cell r="I5283" t="str">
            <v/>
          </cell>
          <cell r="J5283" t="str">
            <v/>
          </cell>
          <cell r="K5283" t="str">
            <v/>
          </cell>
          <cell r="L5283" t="str">
            <v/>
          </cell>
        </row>
        <row r="5284">
          <cell r="A5284">
            <v>34000000</v>
          </cell>
          <cell r="C5284">
            <v>34000000</v>
          </cell>
          <cell r="D5284">
            <v>34000000</v>
          </cell>
          <cell r="E5284">
            <v>34000000</v>
          </cell>
          <cell r="F5284">
            <v>34000000</v>
          </cell>
          <cell r="G5284">
            <v>34000000</v>
          </cell>
          <cell r="H5284">
            <v>34000000</v>
          </cell>
          <cell r="I5284" t="str">
            <v/>
          </cell>
          <cell r="J5284" t="str">
            <v/>
          </cell>
          <cell r="K5284" t="str">
            <v/>
          </cell>
          <cell r="L5284" t="str">
            <v/>
          </cell>
        </row>
        <row r="5285">
          <cell r="A5285">
            <v>34000000</v>
          </cell>
          <cell r="C5285">
            <v>34000000</v>
          </cell>
          <cell r="D5285">
            <v>34000000</v>
          </cell>
          <cell r="E5285">
            <v>34000000</v>
          </cell>
          <cell r="F5285">
            <v>34000000</v>
          </cell>
          <cell r="G5285">
            <v>34000000</v>
          </cell>
          <cell r="H5285">
            <v>34000000</v>
          </cell>
          <cell r="I5285" t="str">
            <v/>
          </cell>
          <cell r="J5285" t="str">
            <v/>
          </cell>
          <cell r="K5285" t="str">
            <v/>
          </cell>
          <cell r="L5285" t="str">
            <v/>
          </cell>
        </row>
        <row r="5286">
          <cell r="A5286">
            <v>34000000</v>
          </cell>
          <cell r="C5286">
            <v>34000000</v>
          </cell>
          <cell r="D5286">
            <v>34000000</v>
          </cell>
          <cell r="E5286">
            <v>34000000</v>
          </cell>
          <cell r="F5286">
            <v>34000000</v>
          </cell>
          <cell r="G5286">
            <v>34000000</v>
          </cell>
          <cell r="H5286">
            <v>34000000</v>
          </cell>
          <cell r="I5286" t="str">
            <v/>
          </cell>
          <cell r="J5286" t="str">
            <v/>
          </cell>
          <cell r="K5286" t="str">
            <v/>
          </cell>
          <cell r="L5286" t="str">
            <v/>
          </cell>
        </row>
        <row r="5287">
          <cell r="A5287">
            <v>34000000</v>
          </cell>
          <cell r="C5287">
            <v>34000000</v>
          </cell>
          <cell r="D5287">
            <v>34000000</v>
          </cell>
          <cell r="E5287">
            <v>34000000</v>
          </cell>
          <cell r="F5287">
            <v>34000000</v>
          </cell>
          <cell r="G5287">
            <v>34000000</v>
          </cell>
          <cell r="H5287">
            <v>34000000</v>
          </cell>
          <cell r="I5287" t="str">
            <v/>
          </cell>
          <cell r="J5287" t="str">
            <v/>
          </cell>
          <cell r="K5287" t="str">
            <v/>
          </cell>
          <cell r="L5287" t="str">
            <v/>
          </cell>
        </row>
        <row r="5288">
          <cell r="A5288">
            <v>34000000</v>
          </cell>
          <cell r="C5288">
            <v>34000000</v>
          </cell>
          <cell r="D5288">
            <v>34000000</v>
          </cell>
          <cell r="E5288">
            <v>34000000</v>
          </cell>
          <cell r="F5288">
            <v>34000000</v>
          </cell>
          <cell r="G5288">
            <v>34000000</v>
          </cell>
          <cell r="H5288">
            <v>34000000</v>
          </cell>
          <cell r="I5288" t="str">
            <v/>
          </cell>
          <cell r="J5288" t="str">
            <v/>
          </cell>
          <cell r="K5288" t="str">
            <v/>
          </cell>
          <cell r="L5288" t="str">
            <v/>
          </cell>
        </row>
        <row r="5289">
          <cell r="A5289">
            <v>34000000</v>
          </cell>
          <cell r="C5289">
            <v>34000000</v>
          </cell>
          <cell r="D5289">
            <v>34000000</v>
          </cell>
          <cell r="E5289">
            <v>34000000</v>
          </cell>
          <cell r="F5289">
            <v>34000000</v>
          </cell>
          <cell r="G5289">
            <v>34000000</v>
          </cell>
          <cell r="H5289">
            <v>34000000</v>
          </cell>
          <cell r="I5289" t="str">
            <v/>
          </cell>
          <cell r="J5289" t="str">
            <v/>
          </cell>
          <cell r="K5289" t="str">
            <v/>
          </cell>
          <cell r="L5289" t="str">
            <v/>
          </cell>
        </row>
        <row r="5290">
          <cell r="A5290">
            <v>34000000</v>
          </cell>
          <cell r="C5290">
            <v>34000000</v>
          </cell>
          <cell r="D5290">
            <v>34000000</v>
          </cell>
          <cell r="E5290">
            <v>34000000</v>
          </cell>
          <cell r="F5290">
            <v>34000000</v>
          </cell>
          <cell r="G5290">
            <v>34000000</v>
          </cell>
          <cell r="H5290">
            <v>34000000</v>
          </cell>
          <cell r="I5290" t="str">
            <v/>
          </cell>
          <cell r="J5290" t="str">
            <v/>
          </cell>
          <cell r="K5290" t="str">
            <v/>
          </cell>
          <cell r="L5290" t="str">
            <v/>
          </cell>
        </row>
        <row r="5291">
          <cell r="A5291">
            <v>34000000</v>
          </cell>
          <cell r="C5291">
            <v>34000000</v>
          </cell>
          <cell r="D5291">
            <v>34000000</v>
          </cell>
          <cell r="E5291">
            <v>34000000</v>
          </cell>
          <cell r="F5291">
            <v>34000000</v>
          </cell>
          <cell r="G5291">
            <v>34000000</v>
          </cell>
          <cell r="H5291">
            <v>34000000</v>
          </cell>
          <cell r="I5291" t="str">
            <v/>
          </cell>
          <cell r="J5291" t="str">
            <v/>
          </cell>
          <cell r="K5291" t="str">
            <v/>
          </cell>
          <cell r="L5291" t="str">
            <v/>
          </cell>
        </row>
        <row r="5292">
          <cell r="A5292">
            <v>34000000</v>
          </cell>
          <cell r="C5292">
            <v>34000000</v>
          </cell>
          <cell r="D5292">
            <v>34000000</v>
          </cell>
          <cell r="E5292">
            <v>34000000</v>
          </cell>
          <cell r="F5292">
            <v>34000000</v>
          </cell>
          <cell r="G5292">
            <v>34000000</v>
          </cell>
          <cell r="H5292">
            <v>34000000</v>
          </cell>
          <cell r="I5292" t="str">
            <v/>
          </cell>
          <cell r="J5292" t="str">
            <v/>
          </cell>
          <cell r="K5292" t="str">
            <v/>
          </cell>
          <cell r="L5292" t="str">
            <v/>
          </cell>
        </row>
        <row r="5293">
          <cell r="A5293">
            <v>34000000</v>
          </cell>
          <cell r="C5293">
            <v>34000000</v>
          </cell>
          <cell r="D5293">
            <v>34000000</v>
          </cell>
          <cell r="E5293">
            <v>34000000</v>
          </cell>
          <cell r="F5293">
            <v>34000000</v>
          </cell>
          <cell r="G5293">
            <v>34000000</v>
          </cell>
          <cell r="H5293">
            <v>34000000</v>
          </cell>
          <cell r="I5293" t="str">
            <v/>
          </cell>
          <cell r="J5293" t="str">
            <v/>
          </cell>
          <cell r="K5293" t="str">
            <v/>
          </cell>
          <cell r="L5293" t="str">
            <v/>
          </cell>
        </row>
        <row r="5294">
          <cell r="A5294">
            <v>34000000</v>
          </cell>
          <cell r="C5294">
            <v>34000000</v>
          </cell>
          <cell r="D5294">
            <v>34000000</v>
          </cell>
          <cell r="E5294">
            <v>34000000</v>
          </cell>
          <cell r="F5294">
            <v>34000000</v>
          </cell>
          <cell r="G5294">
            <v>34000000</v>
          </cell>
          <cell r="H5294">
            <v>34000000</v>
          </cell>
          <cell r="I5294" t="str">
            <v/>
          </cell>
          <cell r="J5294" t="str">
            <v/>
          </cell>
          <cell r="K5294" t="str">
            <v/>
          </cell>
          <cell r="L5294" t="str">
            <v/>
          </cell>
        </row>
        <row r="5295">
          <cell r="A5295">
            <v>34000000</v>
          </cell>
          <cell r="C5295">
            <v>34000000</v>
          </cell>
          <cell r="D5295">
            <v>34000000</v>
          </cell>
          <cell r="E5295">
            <v>34000000</v>
          </cell>
          <cell r="F5295">
            <v>34000000</v>
          </cell>
          <cell r="G5295">
            <v>34000000</v>
          </cell>
          <cell r="H5295">
            <v>34000000</v>
          </cell>
          <cell r="I5295" t="str">
            <v/>
          </cell>
          <cell r="J5295" t="str">
            <v/>
          </cell>
          <cell r="K5295" t="str">
            <v/>
          </cell>
          <cell r="L5295" t="str">
            <v/>
          </cell>
        </row>
        <row r="5296">
          <cell r="A5296">
            <v>34000000</v>
          </cell>
          <cell r="C5296">
            <v>34000000</v>
          </cell>
          <cell r="D5296">
            <v>34000000</v>
          </cell>
          <cell r="E5296">
            <v>34000000</v>
          </cell>
          <cell r="F5296">
            <v>34000000</v>
          </cell>
          <cell r="G5296">
            <v>34000000</v>
          </cell>
          <cell r="H5296">
            <v>34000000</v>
          </cell>
          <cell r="I5296" t="str">
            <v/>
          </cell>
          <cell r="J5296" t="str">
            <v/>
          </cell>
          <cell r="K5296" t="str">
            <v/>
          </cell>
          <cell r="L5296" t="str">
            <v/>
          </cell>
        </row>
        <row r="5297">
          <cell r="A5297">
            <v>34000000</v>
          </cell>
          <cell r="C5297">
            <v>34000000</v>
          </cell>
          <cell r="D5297">
            <v>34000000</v>
          </cell>
          <cell r="E5297">
            <v>34000000</v>
          </cell>
          <cell r="F5297">
            <v>34000000</v>
          </cell>
          <cell r="G5297">
            <v>34000000</v>
          </cell>
          <cell r="H5297">
            <v>34000000</v>
          </cell>
          <cell r="I5297" t="str">
            <v/>
          </cell>
          <cell r="J5297" t="str">
            <v/>
          </cell>
          <cell r="K5297" t="str">
            <v/>
          </cell>
          <cell r="L5297" t="str">
            <v/>
          </cell>
        </row>
        <row r="5298">
          <cell r="A5298">
            <v>34000000</v>
          </cell>
          <cell r="C5298">
            <v>34000000</v>
          </cell>
          <cell r="D5298">
            <v>34000000</v>
          </cell>
          <cell r="E5298">
            <v>34000000</v>
          </cell>
          <cell r="F5298">
            <v>34000000</v>
          </cell>
          <cell r="G5298">
            <v>34000000</v>
          </cell>
          <cell r="H5298">
            <v>34000000</v>
          </cell>
          <cell r="I5298" t="str">
            <v/>
          </cell>
          <cell r="J5298" t="str">
            <v/>
          </cell>
          <cell r="K5298" t="str">
            <v/>
          </cell>
          <cell r="L5298" t="str">
            <v/>
          </cell>
        </row>
        <row r="5299">
          <cell r="A5299">
            <v>34000000</v>
          </cell>
          <cell r="C5299">
            <v>34000000</v>
          </cell>
          <cell r="D5299">
            <v>34000000</v>
          </cell>
          <cell r="E5299">
            <v>34000000</v>
          </cell>
          <cell r="F5299">
            <v>34000000</v>
          </cell>
          <cell r="G5299">
            <v>34000000</v>
          </cell>
          <cell r="H5299">
            <v>34000000</v>
          </cell>
          <cell r="I5299" t="str">
            <v/>
          </cell>
          <cell r="J5299" t="str">
            <v/>
          </cell>
          <cell r="K5299" t="str">
            <v/>
          </cell>
          <cell r="L5299" t="str">
            <v/>
          </cell>
        </row>
        <row r="5300">
          <cell r="A5300">
            <v>34000000</v>
          </cell>
          <cell r="C5300">
            <v>34000000</v>
          </cell>
          <cell r="D5300">
            <v>34000000</v>
          </cell>
          <cell r="E5300">
            <v>34000000</v>
          </cell>
          <cell r="F5300">
            <v>34000000</v>
          </cell>
          <cell r="G5300">
            <v>34000000</v>
          </cell>
          <cell r="H5300">
            <v>34000000</v>
          </cell>
          <cell r="I5300" t="str">
            <v/>
          </cell>
          <cell r="J5300" t="str">
            <v/>
          </cell>
          <cell r="K5300" t="str">
            <v/>
          </cell>
          <cell r="L5300" t="str">
            <v/>
          </cell>
        </row>
        <row r="5301">
          <cell r="A5301">
            <v>34000000</v>
          </cell>
          <cell r="C5301">
            <v>34000000</v>
          </cell>
          <cell r="D5301">
            <v>34000000</v>
          </cell>
          <cell r="E5301">
            <v>34000000</v>
          </cell>
          <cell r="F5301">
            <v>34000000</v>
          </cell>
          <cell r="G5301">
            <v>34000000</v>
          </cell>
          <cell r="H5301">
            <v>34000000</v>
          </cell>
          <cell r="I5301" t="str">
            <v/>
          </cell>
          <cell r="J5301" t="str">
            <v/>
          </cell>
          <cell r="K5301" t="str">
            <v/>
          </cell>
          <cell r="L5301" t="str">
            <v/>
          </cell>
        </row>
        <row r="5302">
          <cell r="A5302">
            <v>34000000</v>
          </cell>
          <cell r="C5302">
            <v>34000000</v>
          </cell>
          <cell r="D5302">
            <v>34000000</v>
          </cell>
          <cell r="E5302">
            <v>34000000</v>
          </cell>
          <cell r="F5302">
            <v>34000000</v>
          </cell>
          <cell r="G5302">
            <v>34000000</v>
          </cell>
          <cell r="H5302">
            <v>34000000</v>
          </cell>
          <cell r="I5302" t="str">
            <v/>
          </cell>
          <cell r="J5302" t="str">
            <v/>
          </cell>
          <cell r="K5302" t="str">
            <v/>
          </cell>
          <cell r="L5302" t="str">
            <v/>
          </cell>
        </row>
        <row r="5303">
          <cell r="A5303">
            <v>34000000</v>
          </cell>
          <cell r="C5303">
            <v>34000000</v>
          </cell>
          <cell r="D5303">
            <v>34000000</v>
          </cell>
          <cell r="E5303">
            <v>34000000</v>
          </cell>
          <cell r="F5303">
            <v>34000000</v>
          </cell>
          <cell r="G5303">
            <v>34000000</v>
          </cell>
          <cell r="H5303">
            <v>34000000</v>
          </cell>
          <cell r="I5303" t="str">
            <v/>
          </cell>
          <cell r="J5303" t="str">
            <v/>
          </cell>
          <cell r="K5303" t="str">
            <v/>
          </cell>
          <cell r="L5303" t="str">
            <v/>
          </cell>
        </row>
        <row r="5304">
          <cell r="A5304">
            <v>34000000</v>
          </cell>
          <cell r="C5304">
            <v>34000000</v>
          </cell>
          <cell r="D5304">
            <v>34000000</v>
          </cell>
          <cell r="E5304">
            <v>34000000</v>
          </cell>
          <cell r="F5304">
            <v>34000000</v>
          </cell>
          <cell r="G5304">
            <v>34000000</v>
          </cell>
          <cell r="H5304">
            <v>34000000</v>
          </cell>
          <cell r="I5304" t="str">
            <v/>
          </cell>
          <cell r="J5304" t="str">
            <v/>
          </cell>
          <cell r="K5304" t="str">
            <v/>
          </cell>
          <cell r="L5304" t="str">
            <v/>
          </cell>
        </row>
        <row r="5305">
          <cell r="A5305">
            <v>34000000</v>
          </cell>
          <cell r="C5305">
            <v>34000000</v>
          </cell>
          <cell r="D5305">
            <v>34000000</v>
          </cell>
          <cell r="E5305">
            <v>34000000</v>
          </cell>
          <cell r="F5305">
            <v>34000000</v>
          </cell>
          <cell r="G5305">
            <v>34000000</v>
          </cell>
          <cell r="H5305">
            <v>34000000</v>
          </cell>
          <cell r="I5305" t="str">
            <v/>
          </cell>
          <cell r="J5305" t="str">
            <v/>
          </cell>
          <cell r="K5305" t="str">
            <v/>
          </cell>
          <cell r="L5305" t="str">
            <v/>
          </cell>
        </row>
        <row r="5306">
          <cell r="A5306">
            <v>34000000</v>
          </cell>
          <cell r="C5306">
            <v>34000000</v>
          </cell>
          <cell r="D5306">
            <v>34000000</v>
          </cell>
          <cell r="E5306">
            <v>34000000</v>
          </cell>
          <cell r="F5306">
            <v>34000000</v>
          </cell>
          <cell r="G5306">
            <v>34000000</v>
          </cell>
          <cell r="H5306">
            <v>34000000</v>
          </cell>
          <cell r="I5306" t="str">
            <v/>
          </cell>
          <cell r="J5306" t="str">
            <v/>
          </cell>
          <cell r="K5306" t="str">
            <v/>
          </cell>
          <cell r="L5306" t="str">
            <v/>
          </cell>
        </row>
        <row r="5307">
          <cell r="A5307">
            <v>34000000</v>
          </cell>
          <cell r="C5307">
            <v>34000000</v>
          </cell>
          <cell r="D5307">
            <v>34000000</v>
          </cell>
          <cell r="E5307">
            <v>34000000</v>
          </cell>
          <cell r="F5307">
            <v>34000000</v>
          </cell>
          <cell r="G5307">
            <v>34000000</v>
          </cell>
          <cell r="H5307">
            <v>34000000</v>
          </cell>
          <cell r="I5307" t="str">
            <v/>
          </cell>
          <cell r="J5307" t="str">
            <v/>
          </cell>
          <cell r="K5307" t="str">
            <v/>
          </cell>
          <cell r="L5307" t="str">
            <v/>
          </cell>
        </row>
        <row r="5308">
          <cell r="A5308">
            <v>34000000</v>
          </cell>
          <cell r="C5308">
            <v>34000000</v>
          </cell>
          <cell r="D5308">
            <v>34000000</v>
          </cell>
          <cell r="E5308">
            <v>34000000</v>
          </cell>
          <cell r="F5308">
            <v>34000000</v>
          </cell>
          <cell r="G5308">
            <v>34000000</v>
          </cell>
          <cell r="H5308">
            <v>34000000</v>
          </cell>
          <cell r="I5308" t="str">
            <v/>
          </cell>
          <cell r="J5308" t="str">
            <v/>
          </cell>
          <cell r="K5308" t="str">
            <v/>
          </cell>
          <cell r="L5308" t="str">
            <v/>
          </cell>
        </row>
        <row r="5309">
          <cell r="A5309">
            <v>34000000</v>
          </cell>
          <cell r="C5309">
            <v>34000000</v>
          </cell>
          <cell r="D5309">
            <v>34000000</v>
          </cell>
          <cell r="E5309">
            <v>34000000</v>
          </cell>
          <cell r="F5309">
            <v>34000000</v>
          </cell>
          <cell r="G5309">
            <v>34000000</v>
          </cell>
          <cell r="H5309">
            <v>34000000</v>
          </cell>
          <cell r="I5309" t="str">
            <v/>
          </cell>
          <cell r="J5309" t="str">
            <v/>
          </cell>
          <cell r="K5309" t="str">
            <v/>
          </cell>
          <cell r="L5309" t="str">
            <v/>
          </cell>
        </row>
        <row r="5310">
          <cell r="A5310">
            <v>34000000</v>
          </cell>
          <cell r="C5310">
            <v>34000000</v>
          </cell>
          <cell r="D5310">
            <v>34000000</v>
          </cell>
          <cell r="E5310">
            <v>34000000</v>
          </cell>
          <cell r="F5310">
            <v>34000000</v>
          </cell>
          <cell r="G5310">
            <v>34000000</v>
          </cell>
          <cell r="H5310">
            <v>34000000</v>
          </cell>
          <cell r="I5310" t="str">
            <v/>
          </cell>
          <cell r="J5310" t="str">
            <v/>
          </cell>
          <cell r="K5310" t="str">
            <v/>
          </cell>
          <cell r="L5310" t="str">
            <v/>
          </cell>
        </row>
        <row r="5311">
          <cell r="A5311">
            <v>34000000</v>
          </cell>
          <cell r="C5311">
            <v>34000000</v>
          </cell>
          <cell r="D5311">
            <v>34000000</v>
          </cell>
          <cell r="E5311">
            <v>34000000</v>
          </cell>
          <cell r="F5311">
            <v>34000000</v>
          </cell>
          <cell r="G5311">
            <v>34000000</v>
          </cell>
          <cell r="H5311">
            <v>34000000</v>
          </cell>
          <cell r="I5311" t="str">
            <v/>
          </cell>
          <cell r="J5311" t="str">
            <v/>
          </cell>
          <cell r="K5311" t="str">
            <v/>
          </cell>
          <cell r="L5311" t="str">
            <v/>
          </cell>
        </row>
        <row r="5312">
          <cell r="A5312">
            <v>34000000</v>
          </cell>
          <cell r="C5312">
            <v>34000000</v>
          </cell>
          <cell r="D5312">
            <v>34000000</v>
          </cell>
          <cell r="E5312">
            <v>34000000</v>
          </cell>
          <cell r="F5312">
            <v>34000000</v>
          </cell>
          <cell r="G5312">
            <v>34000000</v>
          </cell>
          <cell r="H5312">
            <v>34000000</v>
          </cell>
          <cell r="I5312" t="str">
            <v/>
          </cell>
          <cell r="J5312" t="str">
            <v/>
          </cell>
          <cell r="K5312" t="str">
            <v/>
          </cell>
          <cell r="L5312" t="str">
            <v/>
          </cell>
        </row>
        <row r="5313">
          <cell r="A5313">
            <v>34000000</v>
          </cell>
          <cell r="C5313">
            <v>34000000</v>
          </cell>
          <cell r="D5313">
            <v>34000000</v>
          </cell>
          <cell r="E5313">
            <v>34000000</v>
          </cell>
          <cell r="F5313">
            <v>34000000</v>
          </cell>
          <cell r="G5313">
            <v>34000000</v>
          </cell>
          <cell r="H5313">
            <v>34000000</v>
          </cell>
          <cell r="I5313" t="str">
            <v/>
          </cell>
          <cell r="J5313" t="str">
            <v/>
          </cell>
          <cell r="K5313" t="str">
            <v/>
          </cell>
          <cell r="L5313" t="str">
            <v/>
          </cell>
        </row>
        <row r="5314">
          <cell r="A5314">
            <v>34000000</v>
          </cell>
          <cell r="C5314">
            <v>34000000</v>
          </cell>
          <cell r="D5314">
            <v>34000000</v>
          </cell>
          <cell r="E5314">
            <v>34000000</v>
          </cell>
          <cell r="F5314">
            <v>34000000</v>
          </cell>
          <cell r="G5314">
            <v>34000000</v>
          </cell>
          <cell r="H5314">
            <v>34000000</v>
          </cell>
          <cell r="I5314" t="str">
            <v/>
          </cell>
          <cell r="J5314" t="str">
            <v/>
          </cell>
          <cell r="K5314" t="str">
            <v/>
          </cell>
          <cell r="L5314" t="str">
            <v/>
          </cell>
        </row>
        <row r="5315">
          <cell r="A5315">
            <v>34000000</v>
          </cell>
          <cell r="C5315">
            <v>34000000</v>
          </cell>
          <cell r="D5315">
            <v>34000000</v>
          </cell>
          <cell r="E5315">
            <v>34000000</v>
          </cell>
          <cell r="F5315">
            <v>34000000</v>
          </cell>
          <cell r="G5315">
            <v>34000000</v>
          </cell>
          <cell r="H5315">
            <v>34000000</v>
          </cell>
          <cell r="I5315" t="str">
            <v/>
          </cell>
          <cell r="J5315" t="str">
            <v/>
          </cell>
          <cell r="K5315" t="str">
            <v/>
          </cell>
          <cell r="L5315" t="str">
            <v/>
          </cell>
        </row>
        <row r="5316">
          <cell r="A5316">
            <v>34000000</v>
          </cell>
          <cell r="C5316">
            <v>34000000</v>
          </cell>
          <cell r="D5316">
            <v>34000000</v>
          </cell>
          <cell r="E5316">
            <v>34000000</v>
          </cell>
          <cell r="F5316">
            <v>34000000</v>
          </cell>
          <cell r="G5316">
            <v>34000000</v>
          </cell>
          <cell r="H5316">
            <v>34000000</v>
          </cell>
          <cell r="I5316" t="str">
            <v/>
          </cell>
          <cell r="J5316" t="str">
            <v/>
          </cell>
          <cell r="K5316" t="str">
            <v/>
          </cell>
          <cell r="L5316" t="str">
            <v/>
          </cell>
        </row>
        <row r="5317">
          <cell r="A5317">
            <v>34000000</v>
          </cell>
          <cell r="C5317">
            <v>34000000</v>
          </cell>
          <cell r="D5317">
            <v>34000000</v>
          </cell>
          <cell r="E5317">
            <v>34000000</v>
          </cell>
          <cell r="F5317">
            <v>34000000</v>
          </cell>
          <cell r="G5317">
            <v>34000000</v>
          </cell>
          <cell r="H5317">
            <v>34000000</v>
          </cell>
          <cell r="I5317" t="str">
            <v/>
          </cell>
          <cell r="J5317" t="str">
            <v/>
          </cell>
          <cell r="K5317" t="str">
            <v/>
          </cell>
          <cell r="L5317" t="str">
            <v/>
          </cell>
        </row>
        <row r="5318">
          <cell r="A5318">
            <v>34000000</v>
          </cell>
          <cell r="C5318">
            <v>34000000</v>
          </cell>
          <cell r="D5318">
            <v>34000000</v>
          </cell>
          <cell r="E5318">
            <v>34000000</v>
          </cell>
          <cell r="F5318">
            <v>34000000</v>
          </cell>
          <cell r="G5318">
            <v>34000000</v>
          </cell>
          <cell r="H5318">
            <v>34000000</v>
          </cell>
          <cell r="I5318" t="str">
            <v/>
          </cell>
          <cell r="J5318" t="str">
            <v/>
          </cell>
          <cell r="K5318" t="str">
            <v/>
          </cell>
          <cell r="L5318" t="str">
            <v/>
          </cell>
        </row>
        <row r="5319">
          <cell r="A5319">
            <v>34000000</v>
          </cell>
          <cell r="C5319">
            <v>34000000</v>
          </cell>
          <cell r="D5319">
            <v>34000000</v>
          </cell>
          <cell r="E5319">
            <v>34000000</v>
          </cell>
          <cell r="F5319">
            <v>34000000</v>
          </cell>
          <cell r="G5319">
            <v>34000000</v>
          </cell>
          <cell r="H5319">
            <v>34000000</v>
          </cell>
          <cell r="I5319" t="str">
            <v/>
          </cell>
          <cell r="J5319" t="str">
            <v/>
          </cell>
          <cell r="K5319" t="str">
            <v/>
          </cell>
          <cell r="L5319" t="str">
            <v/>
          </cell>
        </row>
        <row r="5320">
          <cell r="A5320">
            <v>34000000</v>
          </cell>
          <cell r="C5320">
            <v>34000000</v>
          </cell>
          <cell r="D5320">
            <v>34000000</v>
          </cell>
          <cell r="E5320">
            <v>34000000</v>
          </cell>
          <cell r="F5320">
            <v>34000000</v>
          </cell>
          <cell r="G5320">
            <v>34000000</v>
          </cell>
          <cell r="H5320">
            <v>34000000</v>
          </cell>
          <cell r="I5320" t="str">
            <v/>
          </cell>
          <cell r="J5320" t="str">
            <v/>
          </cell>
          <cell r="K5320" t="str">
            <v/>
          </cell>
          <cell r="L5320" t="str">
            <v/>
          </cell>
        </row>
        <row r="5321">
          <cell r="A5321">
            <v>34000000</v>
          </cell>
          <cell r="C5321">
            <v>34000000</v>
          </cell>
          <cell r="D5321">
            <v>34000000</v>
          </cell>
          <cell r="E5321">
            <v>34000000</v>
          </cell>
          <cell r="F5321">
            <v>34000000</v>
          </cell>
          <cell r="G5321">
            <v>34000000</v>
          </cell>
          <cell r="H5321">
            <v>34000000</v>
          </cell>
          <cell r="I5321" t="str">
            <v/>
          </cell>
          <cell r="J5321" t="str">
            <v/>
          </cell>
          <cell r="K5321" t="str">
            <v/>
          </cell>
          <cell r="L5321" t="str">
            <v/>
          </cell>
        </row>
        <row r="5322">
          <cell r="A5322">
            <v>34000000</v>
          </cell>
          <cell r="C5322">
            <v>34000000</v>
          </cell>
          <cell r="D5322">
            <v>34000000</v>
          </cell>
          <cell r="E5322">
            <v>34000000</v>
          </cell>
          <cell r="F5322">
            <v>34000000</v>
          </cell>
          <cell r="G5322">
            <v>34000000</v>
          </cell>
          <cell r="H5322">
            <v>34000000</v>
          </cell>
          <cell r="I5322" t="str">
            <v/>
          </cell>
          <cell r="J5322" t="str">
            <v/>
          </cell>
          <cell r="K5322" t="str">
            <v/>
          </cell>
          <cell r="L5322" t="str">
            <v/>
          </cell>
        </row>
        <row r="5323">
          <cell r="A5323">
            <v>34000000</v>
          </cell>
          <cell r="C5323">
            <v>34000000</v>
          </cell>
          <cell r="D5323">
            <v>34000000</v>
          </cell>
          <cell r="E5323">
            <v>34000000</v>
          </cell>
          <cell r="F5323">
            <v>34000000</v>
          </cell>
          <cell r="G5323">
            <v>34000000</v>
          </cell>
          <cell r="H5323">
            <v>34000000</v>
          </cell>
          <cell r="I5323" t="str">
            <v/>
          </cell>
          <cell r="J5323" t="str">
            <v/>
          </cell>
          <cell r="K5323" t="str">
            <v/>
          </cell>
          <cell r="L5323" t="str">
            <v/>
          </cell>
        </row>
        <row r="5324">
          <cell r="A5324">
            <v>34000000</v>
          </cell>
          <cell r="C5324">
            <v>34000000</v>
          </cell>
          <cell r="D5324">
            <v>34000000</v>
          </cell>
          <cell r="E5324">
            <v>34000000</v>
          </cell>
          <cell r="F5324">
            <v>34000000</v>
          </cell>
          <cell r="G5324">
            <v>34000000</v>
          </cell>
          <cell r="H5324">
            <v>34000000</v>
          </cell>
          <cell r="I5324" t="str">
            <v/>
          </cell>
          <cell r="J5324" t="str">
            <v/>
          </cell>
          <cell r="K5324" t="str">
            <v/>
          </cell>
          <cell r="L5324" t="str">
            <v/>
          </cell>
        </row>
        <row r="5325">
          <cell r="A5325">
            <v>34000000</v>
          </cell>
          <cell r="C5325">
            <v>34000000</v>
          </cell>
          <cell r="D5325">
            <v>34000000</v>
          </cell>
          <cell r="E5325">
            <v>34000000</v>
          </cell>
          <cell r="F5325">
            <v>34000000</v>
          </cell>
          <cell r="G5325">
            <v>34000000</v>
          </cell>
          <cell r="H5325">
            <v>34000000</v>
          </cell>
          <cell r="I5325" t="str">
            <v/>
          </cell>
          <cell r="J5325" t="str">
            <v/>
          </cell>
          <cell r="K5325" t="str">
            <v/>
          </cell>
          <cell r="L5325" t="str">
            <v/>
          </cell>
        </row>
        <row r="5326">
          <cell r="A5326">
            <v>34000000</v>
          </cell>
          <cell r="C5326">
            <v>34000000</v>
          </cell>
          <cell r="D5326">
            <v>34000000</v>
          </cell>
          <cell r="E5326">
            <v>34000000</v>
          </cell>
          <cell r="F5326">
            <v>34000000</v>
          </cell>
          <cell r="G5326">
            <v>34000000</v>
          </cell>
          <cell r="H5326">
            <v>34000000</v>
          </cell>
          <cell r="I5326" t="str">
            <v/>
          </cell>
          <cell r="J5326" t="str">
            <v/>
          </cell>
          <cell r="K5326" t="str">
            <v/>
          </cell>
          <cell r="L5326" t="str">
            <v/>
          </cell>
        </row>
        <row r="5327">
          <cell r="A5327">
            <v>34000000</v>
          </cell>
          <cell r="C5327">
            <v>34000000</v>
          </cell>
          <cell r="D5327">
            <v>34000000</v>
          </cell>
          <cell r="E5327">
            <v>34000000</v>
          </cell>
          <cell r="F5327">
            <v>34000000</v>
          </cell>
          <cell r="G5327">
            <v>34000000</v>
          </cell>
          <cell r="H5327">
            <v>34000000</v>
          </cell>
          <cell r="I5327" t="str">
            <v/>
          </cell>
          <cell r="J5327" t="str">
            <v/>
          </cell>
          <cell r="K5327" t="str">
            <v/>
          </cell>
          <cell r="L5327" t="str">
            <v/>
          </cell>
        </row>
        <row r="5328">
          <cell r="A5328">
            <v>34000000</v>
          </cell>
          <cell r="C5328">
            <v>34000000</v>
          </cell>
          <cell r="D5328">
            <v>34000000</v>
          </cell>
          <cell r="E5328">
            <v>34000000</v>
          </cell>
          <cell r="F5328">
            <v>34000000</v>
          </cell>
          <cell r="G5328">
            <v>34000000</v>
          </cell>
          <cell r="H5328">
            <v>34000000</v>
          </cell>
          <cell r="I5328" t="str">
            <v/>
          </cell>
          <cell r="J5328" t="str">
            <v/>
          </cell>
          <cell r="K5328" t="str">
            <v/>
          </cell>
          <cell r="L5328" t="str">
            <v/>
          </cell>
        </row>
        <row r="5329">
          <cell r="A5329">
            <v>34000000</v>
          </cell>
          <cell r="C5329">
            <v>34000000</v>
          </cell>
          <cell r="D5329">
            <v>34000000</v>
          </cell>
          <cell r="E5329">
            <v>34000000</v>
          </cell>
          <cell r="F5329">
            <v>34000000</v>
          </cell>
          <cell r="G5329">
            <v>34000000</v>
          </cell>
          <cell r="H5329">
            <v>34000000</v>
          </cell>
          <cell r="I5329" t="str">
            <v/>
          </cell>
          <cell r="J5329" t="str">
            <v/>
          </cell>
          <cell r="K5329" t="str">
            <v/>
          </cell>
          <cell r="L5329" t="str">
            <v/>
          </cell>
        </row>
        <row r="5330">
          <cell r="A5330">
            <v>34000000</v>
          </cell>
          <cell r="C5330">
            <v>34000000</v>
          </cell>
          <cell r="D5330">
            <v>34000000</v>
          </cell>
          <cell r="E5330">
            <v>34000000</v>
          </cell>
          <cell r="F5330">
            <v>34000000</v>
          </cell>
          <cell r="G5330">
            <v>34000000</v>
          </cell>
          <cell r="H5330">
            <v>34000000</v>
          </cell>
          <cell r="I5330" t="str">
            <v/>
          </cell>
          <cell r="J5330" t="str">
            <v/>
          </cell>
          <cell r="K5330" t="str">
            <v/>
          </cell>
          <cell r="L5330" t="str">
            <v/>
          </cell>
        </row>
        <row r="5331">
          <cell r="A5331">
            <v>34000000</v>
          </cell>
          <cell r="C5331">
            <v>34000000</v>
          </cell>
          <cell r="D5331">
            <v>34000000</v>
          </cell>
          <cell r="E5331">
            <v>34000000</v>
          </cell>
          <cell r="F5331">
            <v>34000000</v>
          </cell>
          <cell r="G5331">
            <v>34000000</v>
          </cell>
          <cell r="H5331">
            <v>34000000</v>
          </cell>
          <cell r="I5331" t="str">
            <v/>
          </cell>
          <cell r="J5331" t="str">
            <v/>
          </cell>
          <cell r="K5331" t="str">
            <v/>
          </cell>
          <cell r="L5331" t="str">
            <v/>
          </cell>
        </row>
        <row r="5332">
          <cell r="A5332">
            <v>34000000</v>
          </cell>
          <cell r="C5332">
            <v>34000000</v>
          </cell>
          <cell r="D5332">
            <v>34000000</v>
          </cell>
          <cell r="E5332">
            <v>34000000</v>
          </cell>
          <cell r="F5332">
            <v>34000000</v>
          </cell>
          <cell r="G5332">
            <v>34000000</v>
          </cell>
          <cell r="H5332">
            <v>34000000</v>
          </cell>
          <cell r="I5332" t="str">
            <v/>
          </cell>
          <cell r="J5332" t="str">
            <v/>
          </cell>
          <cell r="K5332" t="str">
            <v/>
          </cell>
          <cell r="L5332" t="str">
            <v/>
          </cell>
        </row>
        <row r="5333">
          <cell r="A5333">
            <v>34000000</v>
          </cell>
          <cell r="C5333">
            <v>34000000</v>
          </cell>
          <cell r="D5333">
            <v>34000000</v>
          </cell>
          <cell r="E5333">
            <v>34000000</v>
          </cell>
          <cell r="F5333">
            <v>34000000</v>
          </cell>
          <cell r="G5333">
            <v>34000000</v>
          </cell>
          <cell r="H5333">
            <v>34000000</v>
          </cell>
          <cell r="I5333" t="str">
            <v/>
          </cell>
          <cell r="J5333" t="str">
            <v/>
          </cell>
          <cell r="K5333" t="str">
            <v/>
          </cell>
          <cell r="L5333" t="str">
            <v/>
          </cell>
        </row>
        <row r="5334">
          <cell r="A5334">
            <v>34000000</v>
          </cell>
          <cell r="C5334">
            <v>34000000</v>
          </cell>
          <cell r="D5334">
            <v>34000000</v>
          </cell>
          <cell r="E5334">
            <v>34000000</v>
          </cell>
          <cell r="F5334">
            <v>34000000</v>
          </cell>
          <cell r="G5334">
            <v>34000000</v>
          </cell>
          <cell r="H5334">
            <v>34000000</v>
          </cell>
          <cell r="I5334" t="str">
            <v/>
          </cell>
          <cell r="J5334" t="str">
            <v/>
          </cell>
          <cell r="K5334" t="str">
            <v/>
          </cell>
          <cell r="L5334" t="str">
            <v/>
          </cell>
        </row>
        <row r="5335">
          <cell r="A5335">
            <v>34000000</v>
          </cell>
          <cell r="C5335">
            <v>34000000</v>
          </cell>
          <cell r="D5335">
            <v>34000000</v>
          </cell>
          <cell r="E5335">
            <v>34000000</v>
          </cell>
          <cell r="F5335">
            <v>34000000</v>
          </cell>
          <cell r="G5335">
            <v>34000000</v>
          </cell>
          <cell r="H5335">
            <v>34000000</v>
          </cell>
          <cell r="I5335" t="str">
            <v/>
          </cell>
          <cell r="J5335" t="str">
            <v/>
          </cell>
          <cell r="K5335" t="str">
            <v/>
          </cell>
          <cell r="L5335" t="str">
            <v/>
          </cell>
        </row>
        <row r="5336">
          <cell r="A5336">
            <v>34000000</v>
          </cell>
          <cell r="C5336">
            <v>34000000</v>
          </cell>
          <cell r="D5336">
            <v>34000000</v>
          </cell>
          <cell r="E5336">
            <v>34000000</v>
          </cell>
          <cell r="F5336">
            <v>34000000</v>
          </cell>
          <cell r="G5336">
            <v>34000000</v>
          </cell>
          <cell r="H5336">
            <v>34000000</v>
          </cell>
          <cell r="I5336" t="str">
            <v/>
          </cell>
          <cell r="J5336" t="str">
            <v/>
          </cell>
          <cell r="K5336" t="str">
            <v/>
          </cell>
          <cell r="L5336" t="str">
            <v/>
          </cell>
        </row>
        <row r="5337">
          <cell r="A5337">
            <v>34000000</v>
          </cell>
          <cell r="C5337">
            <v>34000000</v>
          </cell>
          <cell r="D5337">
            <v>34000000</v>
          </cell>
          <cell r="E5337">
            <v>34000000</v>
          </cell>
          <cell r="F5337">
            <v>34000000</v>
          </cell>
          <cell r="G5337">
            <v>34000000</v>
          </cell>
          <cell r="H5337">
            <v>34000000</v>
          </cell>
          <cell r="I5337" t="str">
            <v/>
          </cell>
          <cell r="J5337" t="str">
            <v/>
          </cell>
          <cell r="K5337" t="str">
            <v/>
          </cell>
          <cell r="L5337" t="str">
            <v/>
          </cell>
        </row>
        <row r="5338">
          <cell r="A5338">
            <v>34000000</v>
          </cell>
          <cell r="C5338">
            <v>34000000</v>
          </cell>
          <cell r="D5338">
            <v>34000000</v>
          </cell>
          <cell r="E5338">
            <v>34000000</v>
          </cell>
          <cell r="F5338">
            <v>34000000</v>
          </cell>
          <cell r="G5338">
            <v>34000000</v>
          </cell>
          <cell r="H5338">
            <v>34000000</v>
          </cell>
          <cell r="I5338" t="str">
            <v/>
          </cell>
          <cell r="J5338" t="str">
            <v/>
          </cell>
          <cell r="K5338" t="str">
            <v/>
          </cell>
          <cell r="L5338" t="str">
            <v/>
          </cell>
        </row>
        <row r="5339">
          <cell r="A5339">
            <v>34000000</v>
          </cell>
          <cell r="C5339">
            <v>34000000</v>
          </cell>
          <cell r="D5339">
            <v>34000000</v>
          </cell>
          <cell r="E5339">
            <v>34000000</v>
          </cell>
          <cell r="F5339">
            <v>34000000</v>
          </cell>
          <cell r="G5339">
            <v>34000000</v>
          </cell>
          <cell r="H5339">
            <v>34000000</v>
          </cell>
          <cell r="I5339" t="str">
            <v/>
          </cell>
          <cell r="J5339" t="str">
            <v/>
          </cell>
          <cell r="K5339" t="str">
            <v/>
          </cell>
          <cell r="L5339" t="str">
            <v/>
          </cell>
        </row>
        <row r="5340">
          <cell r="A5340">
            <v>34000000</v>
          </cell>
          <cell r="C5340">
            <v>34000000</v>
          </cell>
          <cell r="D5340">
            <v>34000000</v>
          </cell>
          <cell r="E5340">
            <v>34000000</v>
          </cell>
          <cell r="F5340">
            <v>34000000</v>
          </cell>
          <cell r="G5340">
            <v>34000000</v>
          </cell>
          <cell r="H5340">
            <v>34000000</v>
          </cell>
          <cell r="I5340" t="str">
            <v/>
          </cell>
          <cell r="J5340" t="str">
            <v/>
          </cell>
          <cell r="K5340" t="str">
            <v/>
          </cell>
          <cell r="L5340" t="str">
            <v/>
          </cell>
        </row>
        <row r="5341">
          <cell r="A5341">
            <v>34000000</v>
          </cell>
          <cell r="C5341">
            <v>34000000</v>
          </cell>
          <cell r="D5341">
            <v>34000000</v>
          </cell>
          <cell r="E5341">
            <v>34000000</v>
          </cell>
          <cell r="F5341">
            <v>34000000</v>
          </cell>
          <cell r="G5341">
            <v>34000000</v>
          </cell>
          <cell r="H5341">
            <v>34000000</v>
          </cell>
          <cell r="I5341" t="str">
            <v/>
          </cell>
          <cell r="J5341" t="str">
            <v/>
          </cell>
          <cell r="K5341" t="str">
            <v/>
          </cell>
          <cell r="L5341" t="str">
            <v/>
          </cell>
        </row>
        <row r="5342">
          <cell r="A5342">
            <v>34000000</v>
          </cell>
          <cell r="C5342">
            <v>34000000</v>
          </cell>
          <cell r="D5342">
            <v>34000000</v>
          </cell>
          <cell r="E5342">
            <v>34000000</v>
          </cell>
          <cell r="F5342">
            <v>34000000</v>
          </cell>
          <cell r="G5342">
            <v>34000000</v>
          </cell>
          <cell r="H5342">
            <v>34000000</v>
          </cell>
          <cell r="I5342" t="str">
            <v/>
          </cell>
          <cell r="J5342" t="str">
            <v/>
          </cell>
          <cell r="K5342" t="str">
            <v/>
          </cell>
          <cell r="L5342" t="str">
            <v/>
          </cell>
        </row>
        <row r="5343">
          <cell r="A5343">
            <v>34000000</v>
          </cell>
          <cell r="C5343">
            <v>34000000</v>
          </cell>
          <cell r="D5343">
            <v>34000000</v>
          </cell>
          <cell r="E5343">
            <v>34000000</v>
          </cell>
          <cell r="F5343">
            <v>34000000</v>
          </cell>
          <cell r="G5343">
            <v>34000000</v>
          </cell>
          <cell r="H5343">
            <v>34000000</v>
          </cell>
          <cell r="I5343" t="str">
            <v/>
          </cell>
          <cell r="J5343" t="str">
            <v/>
          </cell>
          <cell r="K5343" t="str">
            <v/>
          </cell>
          <cell r="L5343" t="str">
            <v/>
          </cell>
        </row>
        <row r="5344">
          <cell r="A5344">
            <v>34000000</v>
          </cell>
          <cell r="C5344">
            <v>34000000</v>
          </cell>
          <cell r="D5344">
            <v>34000000</v>
          </cell>
          <cell r="E5344">
            <v>34000000</v>
          </cell>
          <cell r="F5344">
            <v>34000000</v>
          </cell>
          <cell r="G5344">
            <v>34000000</v>
          </cell>
          <cell r="H5344">
            <v>34000000</v>
          </cell>
          <cell r="I5344" t="str">
            <v/>
          </cell>
          <cell r="J5344" t="str">
            <v/>
          </cell>
          <cell r="K5344" t="str">
            <v/>
          </cell>
          <cell r="L5344" t="str">
            <v/>
          </cell>
        </row>
        <row r="5345">
          <cell r="A5345">
            <v>34000000</v>
          </cell>
          <cell r="C5345">
            <v>34000000</v>
          </cell>
          <cell r="D5345">
            <v>34000000</v>
          </cell>
          <cell r="E5345">
            <v>34000000</v>
          </cell>
          <cell r="F5345">
            <v>34000000</v>
          </cell>
          <cell r="G5345">
            <v>34000000</v>
          </cell>
          <cell r="H5345">
            <v>34000000</v>
          </cell>
          <cell r="I5345" t="str">
            <v/>
          </cell>
          <cell r="J5345" t="str">
            <v/>
          </cell>
          <cell r="K5345" t="str">
            <v/>
          </cell>
          <cell r="L5345" t="str">
            <v/>
          </cell>
        </row>
        <row r="5346">
          <cell r="A5346">
            <v>34000000</v>
          </cell>
          <cell r="C5346">
            <v>34000000</v>
          </cell>
          <cell r="D5346">
            <v>34000000</v>
          </cell>
          <cell r="E5346">
            <v>34000000</v>
          </cell>
          <cell r="F5346">
            <v>34000000</v>
          </cell>
          <cell r="G5346">
            <v>34000000</v>
          </cell>
          <cell r="H5346">
            <v>34000000</v>
          </cell>
          <cell r="I5346" t="str">
            <v/>
          </cell>
          <cell r="J5346" t="str">
            <v/>
          </cell>
          <cell r="K5346" t="str">
            <v/>
          </cell>
          <cell r="L5346" t="str">
            <v/>
          </cell>
        </row>
        <row r="5347">
          <cell r="A5347">
            <v>34000000</v>
          </cell>
          <cell r="C5347">
            <v>34000000</v>
          </cell>
          <cell r="D5347">
            <v>34000000</v>
          </cell>
          <cell r="E5347">
            <v>34000000</v>
          </cell>
          <cell r="F5347">
            <v>34000000</v>
          </cell>
          <cell r="G5347">
            <v>34000000</v>
          </cell>
          <cell r="H5347">
            <v>34000000</v>
          </cell>
          <cell r="I5347" t="str">
            <v/>
          </cell>
          <cell r="J5347" t="str">
            <v/>
          </cell>
          <cell r="K5347" t="str">
            <v/>
          </cell>
          <cell r="L5347" t="str">
            <v/>
          </cell>
        </row>
        <row r="5348">
          <cell r="A5348">
            <v>34000000</v>
          </cell>
          <cell r="C5348">
            <v>34000000</v>
          </cell>
          <cell r="D5348">
            <v>34000000</v>
          </cell>
          <cell r="E5348">
            <v>34000000</v>
          </cell>
          <cell r="F5348">
            <v>34000000</v>
          </cell>
          <cell r="G5348">
            <v>34000000</v>
          </cell>
          <cell r="H5348">
            <v>34000000</v>
          </cell>
          <cell r="I5348" t="str">
            <v/>
          </cell>
          <cell r="J5348" t="str">
            <v/>
          </cell>
          <cell r="K5348" t="str">
            <v/>
          </cell>
          <cell r="L5348" t="str">
            <v/>
          </cell>
        </row>
        <row r="5349">
          <cell r="A5349">
            <v>34000000</v>
          </cell>
          <cell r="C5349">
            <v>34000000</v>
          </cell>
          <cell r="D5349">
            <v>34000000</v>
          </cell>
          <cell r="E5349">
            <v>34000000</v>
          </cell>
          <cell r="F5349">
            <v>34000000</v>
          </cell>
          <cell r="G5349">
            <v>34000000</v>
          </cell>
          <cell r="H5349">
            <v>34000000</v>
          </cell>
          <cell r="I5349" t="str">
            <v/>
          </cell>
          <cell r="J5349" t="str">
            <v/>
          </cell>
          <cell r="K5349" t="str">
            <v/>
          </cell>
          <cell r="L5349" t="str">
            <v/>
          </cell>
        </row>
        <row r="5350">
          <cell r="A5350">
            <v>34000000</v>
          </cell>
          <cell r="C5350">
            <v>34000000</v>
          </cell>
          <cell r="D5350">
            <v>34000000</v>
          </cell>
          <cell r="E5350">
            <v>34000000</v>
          </cell>
          <cell r="F5350">
            <v>34000000</v>
          </cell>
          <cell r="G5350">
            <v>34000000</v>
          </cell>
          <cell r="H5350">
            <v>34000000</v>
          </cell>
          <cell r="I5350" t="str">
            <v/>
          </cell>
          <cell r="J5350" t="str">
            <v/>
          </cell>
          <cell r="K5350" t="str">
            <v/>
          </cell>
          <cell r="L5350" t="str">
            <v/>
          </cell>
        </row>
        <row r="5351">
          <cell r="A5351">
            <v>34000000</v>
          </cell>
          <cell r="C5351">
            <v>34000000</v>
          </cell>
          <cell r="D5351">
            <v>34000000</v>
          </cell>
          <cell r="E5351">
            <v>34000000</v>
          </cell>
          <cell r="F5351">
            <v>34000000</v>
          </cell>
          <cell r="G5351">
            <v>34000000</v>
          </cell>
          <cell r="H5351">
            <v>34000000</v>
          </cell>
          <cell r="I5351" t="str">
            <v/>
          </cell>
          <cell r="J5351" t="str">
            <v/>
          </cell>
          <cell r="K5351" t="str">
            <v/>
          </cell>
          <cell r="L5351" t="str">
            <v/>
          </cell>
        </row>
        <row r="5352">
          <cell r="A5352">
            <v>34000000</v>
          </cell>
          <cell r="C5352">
            <v>34000000</v>
          </cell>
          <cell r="D5352">
            <v>34000000</v>
          </cell>
          <cell r="E5352">
            <v>34000000</v>
          </cell>
          <cell r="F5352">
            <v>34000000</v>
          </cell>
          <cell r="G5352">
            <v>34000000</v>
          </cell>
          <cell r="H5352">
            <v>34000000</v>
          </cell>
          <cell r="I5352" t="str">
            <v/>
          </cell>
          <cell r="J5352" t="str">
            <v/>
          </cell>
          <cell r="K5352" t="str">
            <v/>
          </cell>
          <cell r="L5352" t="str">
            <v/>
          </cell>
        </row>
        <row r="5353">
          <cell r="A5353">
            <v>34000000</v>
          </cell>
          <cell r="C5353">
            <v>34000000</v>
          </cell>
          <cell r="D5353">
            <v>34000000</v>
          </cell>
          <cell r="E5353">
            <v>34000000</v>
          </cell>
          <cell r="F5353">
            <v>34000000</v>
          </cell>
          <cell r="G5353">
            <v>34000000</v>
          </cell>
          <cell r="H5353">
            <v>34000000</v>
          </cell>
          <cell r="I5353" t="str">
            <v/>
          </cell>
          <cell r="J5353" t="str">
            <v/>
          </cell>
          <cell r="K5353" t="str">
            <v/>
          </cell>
          <cell r="L5353" t="str">
            <v/>
          </cell>
        </row>
        <row r="5354">
          <cell r="A5354">
            <v>34000000</v>
          </cell>
          <cell r="C5354">
            <v>34000000</v>
          </cell>
          <cell r="D5354">
            <v>34000000</v>
          </cell>
          <cell r="E5354">
            <v>34000000</v>
          </cell>
          <cell r="F5354">
            <v>34000000</v>
          </cell>
          <cell r="G5354">
            <v>34000000</v>
          </cell>
          <cell r="H5354">
            <v>34000000</v>
          </cell>
          <cell r="I5354" t="str">
            <v/>
          </cell>
          <cell r="J5354" t="str">
            <v/>
          </cell>
          <cell r="K5354" t="str">
            <v/>
          </cell>
          <cell r="L5354" t="str">
            <v/>
          </cell>
        </row>
        <row r="5355">
          <cell r="A5355">
            <v>34000000</v>
          </cell>
          <cell r="C5355">
            <v>34000000</v>
          </cell>
          <cell r="D5355">
            <v>34000000</v>
          </cell>
          <cell r="E5355">
            <v>34000000</v>
          </cell>
          <cell r="F5355">
            <v>34000000</v>
          </cell>
          <cell r="G5355">
            <v>34000000</v>
          </cell>
          <cell r="H5355">
            <v>34000000</v>
          </cell>
          <cell r="I5355" t="str">
            <v/>
          </cell>
          <cell r="J5355" t="str">
            <v/>
          </cell>
          <cell r="K5355" t="str">
            <v/>
          </cell>
          <cell r="L5355" t="str">
            <v/>
          </cell>
        </row>
        <row r="5356">
          <cell r="A5356">
            <v>34000000</v>
          </cell>
          <cell r="C5356">
            <v>34000000</v>
          </cell>
          <cell r="D5356">
            <v>34000000</v>
          </cell>
          <cell r="E5356">
            <v>34000000</v>
          </cell>
          <cell r="F5356">
            <v>34000000</v>
          </cell>
          <cell r="G5356">
            <v>34000000</v>
          </cell>
          <cell r="H5356">
            <v>34000000</v>
          </cell>
          <cell r="I5356" t="str">
            <v/>
          </cell>
          <cell r="J5356" t="str">
            <v/>
          </cell>
          <cell r="K5356" t="str">
            <v/>
          </cell>
          <cell r="L5356" t="str">
            <v/>
          </cell>
        </row>
        <row r="5357">
          <cell r="A5357">
            <v>34000000</v>
          </cell>
          <cell r="C5357">
            <v>34000000</v>
          </cell>
          <cell r="D5357">
            <v>34000000</v>
          </cell>
          <cell r="E5357">
            <v>34000000</v>
          </cell>
          <cell r="F5357">
            <v>34000000</v>
          </cell>
          <cell r="G5357">
            <v>34000000</v>
          </cell>
          <cell r="H5357">
            <v>34000000</v>
          </cell>
          <cell r="I5357" t="str">
            <v/>
          </cell>
          <cell r="J5357" t="str">
            <v/>
          </cell>
          <cell r="K5357" t="str">
            <v/>
          </cell>
          <cell r="L5357" t="str">
            <v/>
          </cell>
        </row>
        <row r="5358">
          <cell r="A5358">
            <v>34000000</v>
          </cell>
          <cell r="C5358">
            <v>34000000</v>
          </cell>
          <cell r="D5358">
            <v>34000000</v>
          </cell>
          <cell r="E5358">
            <v>34000000</v>
          </cell>
          <cell r="F5358">
            <v>34000000</v>
          </cell>
          <cell r="G5358">
            <v>34000000</v>
          </cell>
          <cell r="H5358">
            <v>34000000</v>
          </cell>
          <cell r="I5358" t="str">
            <v/>
          </cell>
          <cell r="J5358" t="str">
            <v/>
          </cell>
          <cell r="K5358" t="str">
            <v/>
          </cell>
          <cell r="L5358" t="str">
            <v/>
          </cell>
        </row>
        <row r="5359">
          <cell r="A5359">
            <v>34000000</v>
          </cell>
          <cell r="C5359">
            <v>34000000</v>
          </cell>
          <cell r="D5359">
            <v>34000000</v>
          </cell>
          <cell r="E5359">
            <v>34000000</v>
          </cell>
          <cell r="F5359">
            <v>34000000</v>
          </cell>
          <cell r="G5359">
            <v>34000000</v>
          </cell>
          <cell r="H5359">
            <v>34000000</v>
          </cell>
          <cell r="I5359" t="str">
            <v/>
          </cell>
          <cell r="J5359" t="str">
            <v/>
          </cell>
          <cell r="K5359" t="str">
            <v/>
          </cell>
          <cell r="L5359" t="str">
            <v/>
          </cell>
        </row>
        <row r="5360">
          <cell r="A5360">
            <v>34000000</v>
          </cell>
          <cell r="C5360">
            <v>34000000</v>
          </cell>
          <cell r="D5360">
            <v>34000000</v>
          </cell>
          <cell r="E5360">
            <v>34000000</v>
          </cell>
          <cell r="F5360">
            <v>34000000</v>
          </cell>
          <cell r="G5360">
            <v>34000000</v>
          </cell>
          <cell r="H5360">
            <v>34000000</v>
          </cell>
          <cell r="I5360" t="str">
            <v/>
          </cell>
          <cell r="J5360" t="str">
            <v/>
          </cell>
          <cell r="K5360" t="str">
            <v/>
          </cell>
          <cell r="L5360" t="str">
            <v/>
          </cell>
        </row>
        <row r="5361">
          <cell r="A5361">
            <v>34000000</v>
          </cell>
          <cell r="C5361">
            <v>34000000</v>
          </cell>
          <cell r="D5361">
            <v>34000000</v>
          </cell>
          <cell r="E5361">
            <v>34000000</v>
          </cell>
          <cell r="F5361">
            <v>34000000</v>
          </cell>
          <cell r="G5361">
            <v>34000000</v>
          </cell>
          <cell r="H5361">
            <v>34000000</v>
          </cell>
          <cell r="I5361" t="str">
            <v/>
          </cell>
          <cell r="J5361" t="str">
            <v/>
          </cell>
          <cell r="K5361" t="str">
            <v/>
          </cell>
          <cell r="L5361" t="str">
            <v/>
          </cell>
        </row>
        <row r="5362">
          <cell r="A5362">
            <v>34000000</v>
          </cell>
          <cell r="C5362">
            <v>34000000</v>
          </cell>
          <cell r="D5362">
            <v>34000000</v>
          </cell>
          <cell r="E5362">
            <v>34000000</v>
          </cell>
          <cell r="F5362">
            <v>34000000</v>
          </cell>
          <cell r="G5362">
            <v>34000000</v>
          </cell>
          <cell r="H5362">
            <v>34000000</v>
          </cell>
          <cell r="I5362" t="str">
            <v/>
          </cell>
          <cell r="J5362" t="str">
            <v/>
          </cell>
          <cell r="K5362" t="str">
            <v/>
          </cell>
          <cell r="L5362" t="str">
            <v/>
          </cell>
        </row>
        <row r="5363">
          <cell r="A5363">
            <v>34000000</v>
          </cell>
          <cell r="C5363">
            <v>34000000</v>
          </cell>
          <cell r="D5363">
            <v>34000000</v>
          </cell>
          <cell r="E5363">
            <v>34000000</v>
          </cell>
          <cell r="F5363">
            <v>34000000</v>
          </cell>
          <cell r="G5363">
            <v>34000000</v>
          </cell>
          <cell r="H5363">
            <v>34000000</v>
          </cell>
          <cell r="I5363" t="str">
            <v/>
          </cell>
          <cell r="J5363" t="str">
            <v/>
          </cell>
          <cell r="K5363" t="str">
            <v/>
          </cell>
          <cell r="L5363" t="str">
            <v/>
          </cell>
        </row>
        <row r="5364">
          <cell r="A5364">
            <v>34000000</v>
          </cell>
          <cell r="C5364">
            <v>34000000</v>
          </cell>
          <cell r="D5364">
            <v>34000000</v>
          </cell>
          <cell r="E5364">
            <v>34000000</v>
          </cell>
          <cell r="F5364">
            <v>34000000</v>
          </cell>
          <cell r="G5364">
            <v>34000000</v>
          </cell>
          <cell r="H5364">
            <v>34000000</v>
          </cell>
          <cell r="I5364" t="str">
            <v/>
          </cell>
          <cell r="J5364" t="str">
            <v/>
          </cell>
          <cell r="K5364" t="str">
            <v/>
          </cell>
          <cell r="L5364" t="str">
            <v/>
          </cell>
        </row>
        <row r="5365">
          <cell r="A5365">
            <v>34000000</v>
          </cell>
          <cell r="C5365">
            <v>34000000</v>
          </cell>
          <cell r="D5365">
            <v>34000000</v>
          </cell>
          <cell r="E5365">
            <v>34000000</v>
          </cell>
          <cell r="F5365">
            <v>34000000</v>
          </cell>
          <cell r="G5365">
            <v>34000000</v>
          </cell>
          <cell r="H5365">
            <v>34000000</v>
          </cell>
          <cell r="I5365" t="str">
            <v/>
          </cell>
          <cell r="J5365" t="str">
            <v/>
          </cell>
          <cell r="K5365" t="str">
            <v/>
          </cell>
          <cell r="L5365" t="str">
            <v/>
          </cell>
        </row>
        <row r="5366">
          <cell r="A5366">
            <v>34000000</v>
          </cell>
          <cell r="C5366">
            <v>34000000</v>
          </cell>
          <cell r="D5366">
            <v>34000000</v>
          </cell>
          <cell r="E5366">
            <v>34000000</v>
          </cell>
          <cell r="F5366">
            <v>34000000</v>
          </cell>
          <cell r="G5366">
            <v>34000000</v>
          </cell>
          <cell r="H5366">
            <v>34000000</v>
          </cell>
          <cell r="I5366" t="str">
            <v/>
          </cell>
          <cell r="J5366" t="str">
            <v/>
          </cell>
          <cell r="K5366" t="str">
            <v/>
          </cell>
          <cell r="L5366" t="str">
            <v/>
          </cell>
        </row>
        <row r="5367">
          <cell r="A5367">
            <v>34000000</v>
          </cell>
          <cell r="C5367">
            <v>34000000</v>
          </cell>
          <cell r="D5367">
            <v>34000000</v>
          </cell>
          <cell r="E5367">
            <v>34000000</v>
          </cell>
          <cell r="F5367">
            <v>34000000</v>
          </cell>
          <cell r="G5367">
            <v>34000000</v>
          </cell>
          <cell r="H5367">
            <v>34000000</v>
          </cell>
          <cell r="I5367" t="str">
            <v/>
          </cell>
          <cell r="J5367" t="str">
            <v/>
          </cell>
          <cell r="K5367" t="str">
            <v/>
          </cell>
          <cell r="L5367" t="str">
            <v/>
          </cell>
        </row>
        <row r="5368">
          <cell r="A5368">
            <v>34000000</v>
          </cell>
          <cell r="C5368">
            <v>34000000</v>
          </cell>
          <cell r="D5368">
            <v>34000000</v>
          </cell>
          <cell r="E5368">
            <v>34000000</v>
          </cell>
          <cell r="F5368">
            <v>34000000</v>
          </cell>
          <cell r="G5368">
            <v>34000000</v>
          </cell>
          <cell r="H5368">
            <v>34000000</v>
          </cell>
          <cell r="I5368" t="str">
            <v/>
          </cell>
          <cell r="J5368" t="str">
            <v/>
          </cell>
          <cell r="K5368" t="str">
            <v/>
          </cell>
          <cell r="L5368" t="str">
            <v/>
          </cell>
        </row>
        <row r="5369">
          <cell r="A5369">
            <v>34000000</v>
          </cell>
          <cell r="C5369">
            <v>34000000</v>
          </cell>
          <cell r="D5369">
            <v>34000000</v>
          </cell>
          <cell r="E5369">
            <v>34000000</v>
          </cell>
          <cell r="F5369">
            <v>34000000</v>
          </cell>
          <cell r="G5369">
            <v>34000000</v>
          </cell>
          <cell r="H5369">
            <v>34000000</v>
          </cell>
          <cell r="I5369" t="str">
            <v/>
          </cell>
          <cell r="J5369" t="str">
            <v/>
          </cell>
          <cell r="K5369" t="str">
            <v/>
          </cell>
          <cell r="L5369" t="str">
            <v/>
          </cell>
        </row>
        <row r="5370">
          <cell r="A5370">
            <v>34000000</v>
          </cell>
          <cell r="C5370">
            <v>34000000</v>
          </cell>
          <cell r="D5370">
            <v>34000000</v>
          </cell>
          <cell r="E5370">
            <v>34000000</v>
          </cell>
          <cell r="F5370">
            <v>34000000</v>
          </cell>
          <cell r="G5370">
            <v>34000000</v>
          </cell>
          <cell r="H5370">
            <v>34000000</v>
          </cell>
          <cell r="I5370" t="str">
            <v/>
          </cell>
          <cell r="J5370" t="str">
            <v/>
          </cell>
          <cell r="K5370" t="str">
            <v/>
          </cell>
          <cell r="L5370" t="str">
            <v/>
          </cell>
        </row>
        <row r="5371">
          <cell r="A5371">
            <v>34000000</v>
          </cell>
          <cell r="C5371">
            <v>34000000</v>
          </cell>
          <cell r="D5371">
            <v>34000000</v>
          </cell>
          <cell r="E5371">
            <v>34000000</v>
          </cell>
          <cell r="F5371">
            <v>34000000</v>
          </cell>
          <cell r="G5371">
            <v>34000000</v>
          </cell>
          <cell r="H5371">
            <v>34000000</v>
          </cell>
          <cell r="I5371" t="str">
            <v/>
          </cell>
          <cell r="J5371" t="str">
            <v/>
          </cell>
          <cell r="K5371" t="str">
            <v/>
          </cell>
          <cell r="L5371" t="str">
            <v/>
          </cell>
        </row>
        <row r="5372">
          <cell r="A5372">
            <v>34000000</v>
          </cell>
          <cell r="C5372">
            <v>34000000</v>
          </cell>
          <cell r="D5372">
            <v>34000000</v>
          </cell>
          <cell r="E5372">
            <v>34000000</v>
          </cell>
          <cell r="F5372">
            <v>34000000</v>
          </cell>
          <cell r="G5372">
            <v>34000000</v>
          </cell>
          <cell r="H5372">
            <v>34000000</v>
          </cell>
          <cell r="I5372" t="str">
            <v/>
          </cell>
          <cell r="J5372" t="str">
            <v/>
          </cell>
          <cell r="K5372" t="str">
            <v/>
          </cell>
          <cell r="L5372" t="str">
            <v/>
          </cell>
        </row>
        <row r="5373">
          <cell r="A5373">
            <v>34000000</v>
          </cell>
          <cell r="C5373">
            <v>34000000</v>
          </cell>
          <cell r="D5373">
            <v>34000000</v>
          </cell>
          <cell r="E5373">
            <v>34000000</v>
          </cell>
          <cell r="F5373">
            <v>34000000</v>
          </cell>
          <cell r="G5373">
            <v>34000000</v>
          </cell>
          <cell r="H5373">
            <v>34000000</v>
          </cell>
          <cell r="I5373" t="str">
            <v/>
          </cell>
          <cell r="J5373" t="str">
            <v/>
          </cell>
          <cell r="K5373" t="str">
            <v/>
          </cell>
          <cell r="L5373" t="str">
            <v/>
          </cell>
        </row>
        <row r="5374">
          <cell r="A5374">
            <v>34000000</v>
          </cell>
          <cell r="C5374">
            <v>34000000</v>
          </cell>
          <cell r="D5374">
            <v>34000000</v>
          </cell>
          <cell r="E5374">
            <v>34000000</v>
          </cell>
          <cell r="F5374">
            <v>34000000</v>
          </cell>
          <cell r="G5374">
            <v>34000000</v>
          </cell>
          <cell r="H5374">
            <v>34000000</v>
          </cell>
          <cell r="I5374" t="str">
            <v/>
          </cell>
          <cell r="J5374" t="str">
            <v/>
          </cell>
          <cell r="K5374" t="str">
            <v/>
          </cell>
          <cell r="L5374" t="str">
            <v/>
          </cell>
        </row>
        <row r="5375">
          <cell r="A5375">
            <v>34000000</v>
          </cell>
          <cell r="C5375">
            <v>34000000</v>
          </cell>
          <cell r="D5375">
            <v>34000000</v>
          </cell>
          <cell r="E5375">
            <v>34000000</v>
          </cell>
          <cell r="F5375">
            <v>34000000</v>
          </cell>
          <cell r="G5375">
            <v>34000000</v>
          </cell>
          <cell r="H5375">
            <v>34000000</v>
          </cell>
          <cell r="I5375" t="str">
            <v/>
          </cell>
          <cell r="J5375" t="str">
            <v/>
          </cell>
          <cell r="K5375" t="str">
            <v/>
          </cell>
          <cell r="L5375" t="str">
            <v/>
          </cell>
        </row>
        <row r="5376">
          <cell r="A5376">
            <v>34000000</v>
          </cell>
          <cell r="C5376">
            <v>34000000</v>
          </cell>
          <cell r="D5376">
            <v>34000000</v>
          </cell>
          <cell r="E5376">
            <v>34000000</v>
          </cell>
          <cell r="F5376">
            <v>34000000</v>
          </cell>
          <cell r="G5376">
            <v>34000000</v>
          </cell>
          <cell r="H5376">
            <v>34000000</v>
          </cell>
          <cell r="I5376" t="str">
            <v/>
          </cell>
          <cell r="J5376" t="str">
            <v/>
          </cell>
          <cell r="K5376" t="str">
            <v/>
          </cell>
          <cell r="L5376" t="str">
            <v/>
          </cell>
        </row>
        <row r="5377">
          <cell r="A5377">
            <v>34000000</v>
          </cell>
          <cell r="C5377">
            <v>34000000</v>
          </cell>
          <cell r="D5377">
            <v>34000000</v>
          </cell>
          <cell r="E5377">
            <v>34000000</v>
          </cell>
          <cell r="F5377">
            <v>34000000</v>
          </cell>
          <cell r="G5377">
            <v>34000000</v>
          </cell>
          <cell r="H5377">
            <v>34000000</v>
          </cell>
          <cell r="I5377" t="str">
            <v/>
          </cell>
          <cell r="J5377" t="str">
            <v/>
          </cell>
          <cell r="K5377" t="str">
            <v/>
          </cell>
          <cell r="L5377" t="str">
            <v/>
          </cell>
        </row>
        <row r="5378">
          <cell r="A5378">
            <v>34000000</v>
          </cell>
          <cell r="C5378">
            <v>34000000</v>
          </cell>
          <cell r="D5378">
            <v>34000000</v>
          </cell>
          <cell r="E5378">
            <v>34000000</v>
          </cell>
          <cell r="F5378">
            <v>34000000</v>
          </cell>
          <cell r="G5378">
            <v>34000000</v>
          </cell>
          <cell r="H5378">
            <v>34000000</v>
          </cell>
          <cell r="I5378" t="str">
            <v/>
          </cell>
          <cell r="J5378" t="str">
            <v/>
          </cell>
          <cell r="K5378" t="str">
            <v/>
          </cell>
          <cell r="L5378" t="str">
            <v/>
          </cell>
        </row>
        <row r="5379">
          <cell r="A5379">
            <v>34000000</v>
          </cell>
          <cell r="C5379">
            <v>34000000</v>
          </cell>
          <cell r="D5379">
            <v>34000000</v>
          </cell>
          <cell r="E5379">
            <v>34000000</v>
          </cell>
          <cell r="F5379">
            <v>34000000</v>
          </cell>
          <cell r="G5379">
            <v>34000000</v>
          </cell>
          <cell r="H5379">
            <v>34000000</v>
          </cell>
          <cell r="I5379" t="str">
            <v/>
          </cell>
          <cell r="J5379" t="str">
            <v/>
          </cell>
          <cell r="K5379" t="str">
            <v/>
          </cell>
          <cell r="L5379" t="str">
            <v/>
          </cell>
        </row>
        <row r="5380">
          <cell r="A5380">
            <v>34000000</v>
          </cell>
          <cell r="C5380">
            <v>34000000</v>
          </cell>
          <cell r="D5380">
            <v>34000000</v>
          </cell>
          <cell r="E5380">
            <v>34000000</v>
          </cell>
          <cell r="F5380">
            <v>34000000</v>
          </cell>
          <cell r="G5380">
            <v>34000000</v>
          </cell>
          <cell r="H5380">
            <v>34000000</v>
          </cell>
          <cell r="I5380" t="str">
            <v/>
          </cell>
          <cell r="J5380" t="str">
            <v/>
          </cell>
          <cell r="K5380" t="str">
            <v/>
          </cell>
          <cell r="L5380" t="str">
            <v/>
          </cell>
        </row>
        <row r="5381">
          <cell r="A5381">
            <v>34000000</v>
          </cell>
          <cell r="C5381">
            <v>34000000</v>
          </cell>
          <cell r="D5381">
            <v>34000000</v>
          </cell>
          <cell r="E5381">
            <v>34000000</v>
          </cell>
          <cell r="F5381">
            <v>34000000</v>
          </cell>
          <cell r="G5381">
            <v>34000000</v>
          </cell>
          <cell r="H5381">
            <v>34000000</v>
          </cell>
          <cell r="I5381" t="str">
            <v/>
          </cell>
          <cell r="J5381" t="str">
            <v/>
          </cell>
          <cell r="K5381" t="str">
            <v/>
          </cell>
          <cell r="L5381" t="str">
            <v/>
          </cell>
        </row>
        <row r="5382">
          <cell r="A5382">
            <v>34000000</v>
          </cell>
          <cell r="C5382">
            <v>34000000</v>
          </cell>
          <cell r="D5382">
            <v>34000000</v>
          </cell>
          <cell r="E5382">
            <v>34000000</v>
          </cell>
          <cell r="F5382">
            <v>34000000</v>
          </cell>
          <cell r="G5382">
            <v>34000000</v>
          </cell>
          <cell r="H5382">
            <v>34000000</v>
          </cell>
          <cell r="I5382" t="str">
            <v/>
          </cell>
          <cell r="J5382" t="str">
            <v/>
          </cell>
          <cell r="K5382" t="str">
            <v/>
          </cell>
          <cell r="L5382" t="str">
            <v/>
          </cell>
        </row>
        <row r="5383">
          <cell r="A5383">
            <v>34000000</v>
          </cell>
          <cell r="C5383">
            <v>34000000</v>
          </cell>
          <cell r="D5383">
            <v>34000000</v>
          </cell>
          <cell r="E5383">
            <v>34000000</v>
          </cell>
          <cell r="F5383">
            <v>34000000</v>
          </cell>
          <cell r="G5383">
            <v>34000000</v>
          </cell>
          <cell r="H5383">
            <v>34000000</v>
          </cell>
          <cell r="I5383" t="str">
            <v/>
          </cell>
          <cell r="J5383" t="str">
            <v/>
          </cell>
          <cell r="K5383" t="str">
            <v/>
          </cell>
          <cell r="L5383" t="str">
            <v/>
          </cell>
        </row>
        <row r="5384">
          <cell r="A5384">
            <v>34000000</v>
          </cell>
          <cell r="C5384">
            <v>34000000</v>
          </cell>
          <cell r="D5384">
            <v>34000000</v>
          </cell>
          <cell r="E5384">
            <v>34000000</v>
          </cell>
          <cell r="F5384">
            <v>34000000</v>
          </cell>
          <cell r="G5384">
            <v>34000000</v>
          </cell>
          <cell r="H5384">
            <v>34000000</v>
          </cell>
          <cell r="I5384" t="str">
            <v/>
          </cell>
          <cell r="J5384" t="str">
            <v/>
          </cell>
          <cell r="K5384" t="str">
            <v/>
          </cell>
          <cell r="L5384" t="str">
            <v/>
          </cell>
        </row>
        <row r="5385">
          <cell r="A5385">
            <v>34000000</v>
          </cell>
          <cell r="C5385">
            <v>34000000</v>
          </cell>
          <cell r="D5385">
            <v>34000000</v>
          </cell>
          <cell r="E5385">
            <v>34000000</v>
          </cell>
          <cell r="F5385">
            <v>34000000</v>
          </cell>
          <cell r="G5385">
            <v>34000000</v>
          </cell>
          <cell r="H5385">
            <v>34000000</v>
          </cell>
          <cell r="I5385" t="str">
            <v/>
          </cell>
          <cell r="J5385" t="str">
            <v/>
          </cell>
          <cell r="K5385" t="str">
            <v/>
          </cell>
          <cell r="L5385" t="str">
            <v/>
          </cell>
        </row>
        <row r="5386">
          <cell r="A5386">
            <v>34000000</v>
          </cell>
          <cell r="C5386">
            <v>34000000</v>
          </cell>
          <cell r="D5386">
            <v>34000000</v>
          </cell>
          <cell r="E5386">
            <v>34000000</v>
          </cell>
          <cell r="F5386">
            <v>34000000</v>
          </cell>
          <cell r="G5386">
            <v>34000000</v>
          </cell>
          <cell r="H5386">
            <v>34000000</v>
          </cell>
          <cell r="I5386" t="str">
            <v/>
          </cell>
          <cell r="J5386" t="str">
            <v/>
          </cell>
          <cell r="K5386" t="str">
            <v/>
          </cell>
          <cell r="L5386" t="str">
            <v/>
          </cell>
        </row>
        <row r="5387">
          <cell r="A5387">
            <v>34000000</v>
          </cell>
          <cell r="C5387">
            <v>34000000</v>
          </cell>
          <cell r="D5387">
            <v>34000000</v>
          </cell>
          <cell r="E5387">
            <v>34000000</v>
          </cell>
          <cell r="F5387">
            <v>34000000</v>
          </cell>
          <cell r="G5387">
            <v>34000000</v>
          </cell>
          <cell r="H5387">
            <v>34000000</v>
          </cell>
          <cell r="I5387" t="str">
            <v/>
          </cell>
          <cell r="J5387" t="str">
            <v/>
          </cell>
          <cell r="K5387" t="str">
            <v/>
          </cell>
          <cell r="L5387" t="str">
            <v/>
          </cell>
        </row>
        <row r="5388">
          <cell r="A5388">
            <v>34000000</v>
          </cell>
          <cell r="C5388">
            <v>34000000</v>
          </cell>
          <cell r="D5388">
            <v>34000000</v>
          </cell>
          <cell r="E5388">
            <v>34000000</v>
          </cell>
          <cell r="F5388">
            <v>34000000</v>
          </cell>
          <cell r="G5388">
            <v>34000000</v>
          </cell>
          <cell r="H5388">
            <v>34000000</v>
          </cell>
          <cell r="I5388" t="str">
            <v/>
          </cell>
          <cell r="J5388" t="str">
            <v/>
          </cell>
          <cell r="K5388" t="str">
            <v/>
          </cell>
          <cell r="L5388" t="str">
            <v/>
          </cell>
        </row>
        <row r="5389">
          <cell r="A5389">
            <v>34000000</v>
          </cell>
          <cell r="C5389">
            <v>34000000</v>
          </cell>
          <cell r="D5389">
            <v>34000000</v>
          </cell>
          <cell r="E5389">
            <v>34000000</v>
          </cell>
          <cell r="F5389">
            <v>34000000</v>
          </cell>
          <cell r="G5389">
            <v>34000000</v>
          </cell>
          <cell r="H5389">
            <v>34000000</v>
          </cell>
          <cell r="I5389" t="str">
            <v/>
          </cell>
          <cell r="J5389" t="str">
            <v/>
          </cell>
          <cell r="K5389" t="str">
            <v/>
          </cell>
          <cell r="L5389" t="str">
            <v/>
          </cell>
        </row>
        <row r="5390">
          <cell r="A5390">
            <v>34000000</v>
          </cell>
          <cell r="C5390">
            <v>34000000</v>
          </cell>
          <cell r="D5390">
            <v>34000000</v>
          </cell>
          <cell r="E5390">
            <v>34000000</v>
          </cell>
          <cell r="F5390">
            <v>34000000</v>
          </cell>
          <cell r="G5390">
            <v>34000000</v>
          </cell>
          <cell r="H5390">
            <v>34000000</v>
          </cell>
          <cell r="I5390" t="str">
            <v/>
          </cell>
          <cell r="J5390" t="str">
            <v/>
          </cell>
          <cell r="K5390" t="str">
            <v/>
          </cell>
          <cell r="L5390" t="str">
            <v/>
          </cell>
        </row>
        <row r="5391">
          <cell r="A5391">
            <v>34000000</v>
          </cell>
          <cell r="C5391">
            <v>34000000</v>
          </cell>
          <cell r="D5391">
            <v>34000000</v>
          </cell>
          <cell r="E5391">
            <v>34000000</v>
          </cell>
          <cell r="F5391">
            <v>34000000</v>
          </cell>
          <cell r="G5391">
            <v>34000000</v>
          </cell>
          <cell r="H5391">
            <v>34000000</v>
          </cell>
          <cell r="I5391" t="str">
            <v/>
          </cell>
          <cell r="J5391" t="str">
            <v/>
          </cell>
          <cell r="K5391" t="str">
            <v/>
          </cell>
          <cell r="L5391" t="str">
            <v/>
          </cell>
        </row>
        <row r="5392">
          <cell r="A5392">
            <v>34000000</v>
          </cell>
          <cell r="C5392">
            <v>34000000</v>
          </cell>
          <cell r="D5392">
            <v>34000000</v>
          </cell>
          <cell r="E5392">
            <v>34000000</v>
          </cell>
          <cell r="F5392">
            <v>34000000</v>
          </cell>
          <cell r="G5392">
            <v>34000000</v>
          </cell>
          <cell r="H5392">
            <v>34000000</v>
          </cell>
          <cell r="I5392" t="str">
            <v/>
          </cell>
          <cell r="J5392" t="str">
            <v/>
          </cell>
          <cell r="K5392" t="str">
            <v/>
          </cell>
          <cell r="L5392" t="str">
            <v/>
          </cell>
        </row>
        <row r="5393">
          <cell r="A5393">
            <v>34000000</v>
          </cell>
          <cell r="C5393">
            <v>34000000</v>
          </cell>
          <cell r="D5393">
            <v>34000000</v>
          </cell>
          <cell r="E5393">
            <v>34000000</v>
          </cell>
          <cell r="F5393">
            <v>34000000</v>
          </cell>
          <cell r="G5393">
            <v>34000000</v>
          </cell>
          <cell r="H5393">
            <v>34000000</v>
          </cell>
          <cell r="I5393" t="str">
            <v/>
          </cell>
          <cell r="J5393" t="str">
            <v/>
          </cell>
          <cell r="K5393" t="str">
            <v/>
          </cell>
          <cell r="L5393" t="str">
            <v/>
          </cell>
        </row>
        <row r="5394">
          <cell r="A5394">
            <v>34000000</v>
          </cell>
          <cell r="C5394">
            <v>34000000</v>
          </cell>
          <cell r="D5394">
            <v>34000000</v>
          </cell>
          <cell r="E5394">
            <v>34000000</v>
          </cell>
          <cell r="F5394">
            <v>34000000</v>
          </cell>
          <cell r="G5394">
            <v>34000000</v>
          </cell>
          <cell r="H5394">
            <v>34000000</v>
          </cell>
          <cell r="I5394" t="str">
            <v/>
          </cell>
          <cell r="J5394" t="str">
            <v/>
          </cell>
          <cell r="K5394" t="str">
            <v/>
          </cell>
          <cell r="L5394" t="str">
            <v/>
          </cell>
        </row>
        <row r="5395">
          <cell r="A5395">
            <v>34000000</v>
          </cell>
          <cell r="C5395">
            <v>34000000</v>
          </cell>
          <cell r="D5395">
            <v>34000000</v>
          </cell>
          <cell r="E5395">
            <v>34000000</v>
          </cell>
          <cell r="F5395">
            <v>34000000</v>
          </cell>
          <cell r="G5395">
            <v>34000000</v>
          </cell>
          <cell r="H5395">
            <v>34000000</v>
          </cell>
          <cell r="I5395" t="str">
            <v/>
          </cell>
          <cell r="J5395" t="str">
            <v/>
          </cell>
          <cell r="K5395" t="str">
            <v/>
          </cell>
          <cell r="L5395" t="str">
            <v/>
          </cell>
        </row>
        <row r="5396">
          <cell r="A5396">
            <v>34000000</v>
          </cell>
          <cell r="C5396">
            <v>34000000</v>
          </cell>
          <cell r="D5396">
            <v>34000000</v>
          </cell>
          <cell r="E5396">
            <v>34000000</v>
          </cell>
          <cell r="F5396">
            <v>34000000</v>
          </cell>
          <cell r="G5396">
            <v>34000000</v>
          </cell>
          <cell r="H5396">
            <v>34000000</v>
          </cell>
          <cell r="I5396" t="str">
            <v/>
          </cell>
          <cell r="J5396" t="str">
            <v/>
          </cell>
          <cell r="K5396" t="str">
            <v/>
          </cell>
          <cell r="L5396" t="str">
            <v/>
          </cell>
        </row>
        <row r="5397">
          <cell r="A5397">
            <v>34000000</v>
          </cell>
          <cell r="C5397">
            <v>34000000</v>
          </cell>
          <cell r="D5397">
            <v>34000000</v>
          </cell>
          <cell r="E5397">
            <v>34000000</v>
          </cell>
          <cell r="F5397">
            <v>34000000</v>
          </cell>
          <cell r="G5397">
            <v>34000000</v>
          </cell>
          <cell r="H5397">
            <v>34000000</v>
          </cell>
          <cell r="I5397" t="str">
            <v/>
          </cell>
          <cell r="J5397" t="str">
            <v/>
          </cell>
          <cell r="K5397" t="str">
            <v/>
          </cell>
          <cell r="L5397" t="str">
            <v/>
          </cell>
        </row>
        <row r="5398">
          <cell r="A5398">
            <v>34000000</v>
          </cell>
          <cell r="C5398">
            <v>34000000</v>
          </cell>
          <cell r="D5398">
            <v>34000000</v>
          </cell>
          <cell r="E5398">
            <v>34000000</v>
          </cell>
          <cell r="F5398">
            <v>34000000</v>
          </cell>
          <cell r="G5398">
            <v>34000000</v>
          </cell>
          <cell r="H5398">
            <v>34000000</v>
          </cell>
          <cell r="I5398" t="str">
            <v/>
          </cell>
          <cell r="J5398" t="str">
            <v/>
          </cell>
          <cell r="K5398" t="str">
            <v/>
          </cell>
          <cell r="L5398" t="str">
            <v/>
          </cell>
        </row>
        <row r="5399">
          <cell r="A5399">
            <v>34000000</v>
          </cell>
          <cell r="C5399">
            <v>34000000</v>
          </cell>
          <cell r="D5399">
            <v>34000000</v>
          </cell>
          <cell r="E5399">
            <v>34000000</v>
          </cell>
          <cell r="F5399">
            <v>34000000</v>
          </cell>
          <cell r="G5399">
            <v>34000000</v>
          </cell>
          <cell r="H5399">
            <v>34000000</v>
          </cell>
          <cell r="I5399" t="str">
            <v/>
          </cell>
          <cell r="J5399" t="str">
            <v/>
          </cell>
          <cell r="K5399" t="str">
            <v/>
          </cell>
          <cell r="L5399" t="str">
            <v/>
          </cell>
        </row>
        <row r="5400">
          <cell r="A5400">
            <v>34000000</v>
          </cell>
          <cell r="C5400">
            <v>34000000</v>
          </cell>
          <cell r="D5400">
            <v>34000000</v>
          </cell>
          <cell r="E5400">
            <v>34000000</v>
          </cell>
          <cell r="F5400">
            <v>34000000</v>
          </cell>
          <cell r="G5400">
            <v>34000000</v>
          </cell>
          <cell r="H5400">
            <v>34000000</v>
          </cell>
          <cell r="I5400" t="str">
            <v/>
          </cell>
          <cell r="J5400" t="str">
            <v/>
          </cell>
          <cell r="K5400" t="str">
            <v/>
          </cell>
          <cell r="L5400" t="str">
            <v/>
          </cell>
        </row>
        <row r="5401">
          <cell r="A5401">
            <v>34000000</v>
          </cell>
          <cell r="C5401">
            <v>34000000</v>
          </cell>
          <cell r="D5401">
            <v>34000000</v>
          </cell>
          <cell r="E5401">
            <v>34000000</v>
          </cell>
          <cell r="F5401">
            <v>34000000</v>
          </cell>
          <cell r="G5401">
            <v>34000000</v>
          </cell>
          <cell r="H5401">
            <v>34000000</v>
          </cell>
          <cell r="I5401" t="str">
            <v/>
          </cell>
          <cell r="J5401" t="str">
            <v/>
          </cell>
          <cell r="K5401" t="str">
            <v/>
          </cell>
          <cell r="L5401" t="str">
            <v/>
          </cell>
        </row>
        <row r="5402">
          <cell r="A5402">
            <v>34000000</v>
          </cell>
          <cell r="C5402">
            <v>34000000</v>
          </cell>
          <cell r="D5402">
            <v>34000000</v>
          </cell>
          <cell r="E5402">
            <v>34000000</v>
          </cell>
          <cell r="F5402">
            <v>34000000</v>
          </cell>
          <cell r="G5402">
            <v>34000000</v>
          </cell>
          <cell r="H5402">
            <v>34000000</v>
          </cell>
          <cell r="I5402" t="str">
            <v/>
          </cell>
          <cell r="J5402" t="str">
            <v/>
          </cell>
          <cell r="K5402" t="str">
            <v/>
          </cell>
          <cell r="L5402" t="str">
            <v/>
          </cell>
        </row>
        <row r="5403">
          <cell r="A5403">
            <v>34000000</v>
          </cell>
          <cell r="C5403">
            <v>34000000</v>
          </cell>
          <cell r="D5403">
            <v>34000000</v>
          </cell>
          <cell r="E5403">
            <v>34000000</v>
          </cell>
          <cell r="F5403">
            <v>34000000</v>
          </cell>
          <cell r="G5403">
            <v>34000000</v>
          </cell>
          <cell r="H5403">
            <v>34000000</v>
          </cell>
          <cell r="I5403" t="str">
            <v/>
          </cell>
          <cell r="J5403" t="str">
            <v/>
          </cell>
          <cell r="K5403" t="str">
            <v/>
          </cell>
          <cell r="L5403" t="str">
            <v/>
          </cell>
        </row>
        <row r="5404">
          <cell r="A5404">
            <v>34000000</v>
          </cell>
          <cell r="C5404">
            <v>34000000</v>
          </cell>
          <cell r="D5404">
            <v>34000000</v>
          </cell>
          <cell r="E5404">
            <v>34000000</v>
          </cell>
          <cell r="F5404">
            <v>34000000</v>
          </cell>
          <cell r="G5404">
            <v>34000000</v>
          </cell>
          <cell r="H5404">
            <v>34000000</v>
          </cell>
          <cell r="I5404" t="str">
            <v/>
          </cell>
          <cell r="J5404" t="str">
            <v/>
          </cell>
          <cell r="K5404" t="str">
            <v/>
          </cell>
          <cell r="L5404" t="str">
            <v/>
          </cell>
        </row>
        <row r="5405">
          <cell r="A5405">
            <v>34000000</v>
          </cell>
          <cell r="C5405">
            <v>34000000</v>
          </cell>
          <cell r="D5405">
            <v>34000000</v>
          </cell>
          <cell r="E5405">
            <v>34000000</v>
          </cell>
          <cell r="F5405">
            <v>34000000</v>
          </cell>
          <cell r="G5405">
            <v>34000000</v>
          </cell>
          <cell r="H5405">
            <v>34000000</v>
          </cell>
          <cell r="I5405" t="str">
            <v/>
          </cell>
          <cell r="J5405" t="str">
            <v/>
          </cell>
          <cell r="K5405" t="str">
            <v/>
          </cell>
          <cell r="L5405" t="str">
            <v/>
          </cell>
        </row>
        <row r="5406">
          <cell r="A5406">
            <v>34000000</v>
          </cell>
          <cell r="C5406">
            <v>34000000</v>
          </cell>
          <cell r="D5406">
            <v>34000000</v>
          </cell>
          <cell r="E5406">
            <v>34000000</v>
          </cell>
          <cell r="F5406">
            <v>34000000</v>
          </cell>
          <cell r="G5406">
            <v>34000000</v>
          </cell>
          <cell r="H5406">
            <v>34000000</v>
          </cell>
          <cell r="I5406" t="str">
            <v/>
          </cell>
          <cell r="J5406" t="str">
            <v/>
          </cell>
          <cell r="K5406" t="str">
            <v/>
          </cell>
          <cell r="L5406" t="str">
            <v/>
          </cell>
        </row>
        <row r="5407">
          <cell r="A5407">
            <v>34000000</v>
          </cell>
          <cell r="C5407">
            <v>34000000</v>
          </cell>
          <cell r="D5407">
            <v>34000000</v>
          </cell>
          <cell r="E5407">
            <v>34000000</v>
          </cell>
          <cell r="F5407">
            <v>34000000</v>
          </cell>
          <cell r="G5407">
            <v>34000000</v>
          </cell>
          <cell r="H5407">
            <v>34000000</v>
          </cell>
          <cell r="I5407" t="str">
            <v/>
          </cell>
          <cell r="J5407" t="str">
            <v/>
          </cell>
          <cell r="K5407" t="str">
            <v/>
          </cell>
          <cell r="L5407" t="str">
            <v/>
          </cell>
        </row>
        <row r="5408">
          <cell r="A5408">
            <v>34000000</v>
          </cell>
          <cell r="C5408">
            <v>34000000</v>
          </cell>
          <cell r="D5408">
            <v>34000000</v>
          </cell>
          <cell r="E5408">
            <v>34000000</v>
          </cell>
          <cell r="F5408">
            <v>34000000</v>
          </cell>
          <cell r="G5408">
            <v>34000000</v>
          </cell>
          <cell r="H5408">
            <v>34000000</v>
          </cell>
          <cell r="I5408" t="str">
            <v/>
          </cell>
          <cell r="J5408" t="str">
            <v/>
          </cell>
          <cell r="K5408" t="str">
            <v/>
          </cell>
          <cell r="L5408" t="str">
            <v/>
          </cell>
        </row>
        <row r="5409">
          <cell r="A5409">
            <v>34000000</v>
          </cell>
          <cell r="C5409">
            <v>34000000</v>
          </cell>
          <cell r="D5409">
            <v>34000000</v>
          </cell>
          <cell r="E5409">
            <v>34000000</v>
          </cell>
          <cell r="F5409">
            <v>34000000</v>
          </cell>
          <cell r="G5409">
            <v>34000000</v>
          </cell>
          <cell r="H5409">
            <v>34000000</v>
          </cell>
          <cell r="I5409" t="str">
            <v/>
          </cell>
          <cell r="J5409" t="str">
            <v/>
          </cell>
          <cell r="K5409" t="str">
            <v/>
          </cell>
          <cell r="L5409" t="str">
            <v/>
          </cell>
        </row>
        <row r="5410">
          <cell r="A5410">
            <v>34000000</v>
          </cell>
          <cell r="C5410">
            <v>34000000</v>
          </cell>
          <cell r="D5410">
            <v>34000000</v>
          </cell>
          <cell r="E5410">
            <v>34000000</v>
          </cell>
          <cell r="F5410">
            <v>34000000</v>
          </cell>
          <cell r="G5410">
            <v>34000000</v>
          </cell>
          <cell r="H5410">
            <v>34000000</v>
          </cell>
          <cell r="I5410" t="str">
            <v/>
          </cell>
          <cell r="J5410" t="str">
            <v/>
          </cell>
          <cell r="K5410" t="str">
            <v/>
          </cell>
          <cell r="L5410" t="str">
            <v/>
          </cell>
        </row>
        <row r="5411">
          <cell r="A5411">
            <v>34000000</v>
          </cell>
          <cell r="C5411">
            <v>34000000</v>
          </cell>
          <cell r="D5411">
            <v>34000000</v>
          </cell>
          <cell r="E5411">
            <v>34000000</v>
          </cell>
          <cell r="F5411">
            <v>34000000</v>
          </cell>
          <cell r="G5411">
            <v>34000000</v>
          </cell>
          <cell r="H5411">
            <v>34000000</v>
          </cell>
          <cell r="I5411" t="str">
            <v/>
          </cell>
          <cell r="J5411" t="str">
            <v/>
          </cell>
          <cell r="K5411" t="str">
            <v/>
          </cell>
          <cell r="L5411" t="str">
            <v/>
          </cell>
        </row>
        <row r="5412">
          <cell r="A5412">
            <v>34000000</v>
          </cell>
          <cell r="C5412">
            <v>34000000</v>
          </cell>
          <cell r="D5412">
            <v>34000000</v>
          </cell>
          <cell r="E5412">
            <v>34000000</v>
          </cell>
          <cell r="F5412">
            <v>34000000</v>
          </cell>
          <cell r="G5412">
            <v>34000000</v>
          </cell>
          <cell r="H5412">
            <v>34000000</v>
          </cell>
          <cell r="I5412" t="str">
            <v/>
          </cell>
          <cell r="J5412" t="str">
            <v/>
          </cell>
          <cell r="K5412" t="str">
            <v/>
          </cell>
          <cell r="L5412" t="str">
            <v/>
          </cell>
        </row>
        <row r="5413">
          <cell r="A5413">
            <v>34000000</v>
          </cell>
          <cell r="C5413">
            <v>34000000</v>
          </cell>
          <cell r="D5413">
            <v>34000000</v>
          </cell>
          <cell r="E5413">
            <v>34000000</v>
          </cell>
          <cell r="F5413">
            <v>34000000</v>
          </cell>
          <cell r="G5413">
            <v>34000000</v>
          </cell>
          <cell r="H5413">
            <v>34000000</v>
          </cell>
          <cell r="I5413" t="str">
            <v/>
          </cell>
          <cell r="J5413" t="str">
            <v/>
          </cell>
          <cell r="K5413" t="str">
            <v/>
          </cell>
          <cell r="L5413" t="str">
            <v/>
          </cell>
        </row>
        <row r="5414">
          <cell r="A5414">
            <v>34000000</v>
          </cell>
          <cell r="C5414">
            <v>34000000</v>
          </cell>
          <cell r="D5414">
            <v>34000000</v>
          </cell>
          <cell r="E5414">
            <v>34000000</v>
          </cell>
          <cell r="F5414">
            <v>34000000</v>
          </cell>
          <cell r="G5414">
            <v>34000000</v>
          </cell>
          <cell r="H5414">
            <v>34000000</v>
          </cell>
          <cell r="I5414" t="str">
            <v/>
          </cell>
          <cell r="J5414" t="str">
            <v/>
          </cell>
          <cell r="K5414" t="str">
            <v/>
          </cell>
          <cell r="L5414" t="str">
            <v/>
          </cell>
        </row>
        <row r="5415">
          <cell r="A5415">
            <v>34000000</v>
          </cell>
          <cell r="C5415">
            <v>34000000</v>
          </cell>
          <cell r="D5415">
            <v>34000000</v>
          </cell>
          <cell r="E5415">
            <v>34000000</v>
          </cell>
          <cell r="F5415">
            <v>34000000</v>
          </cell>
          <cell r="G5415">
            <v>34000000</v>
          </cell>
          <cell r="H5415">
            <v>34000000</v>
          </cell>
          <cell r="I5415" t="str">
            <v/>
          </cell>
          <cell r="J5415" t="str">
            <v/>
          </cell>
          <cell r="K5415" t="str">
            <v/>
          </cell>
          <cell r="L5415" t="str">
            <v/>
          </cell>
        </row>
        <row r="5416">
          <cell r="A5416">
            <v>34000000</v>
          </cell>
          <cell r="C5416">
            <v>34000000</v>
          </cell>
          <cell r="D5416">
            <v>34000000</v>
          </cell>
          <cell r="E5416">
            <v>34000000</v>
          </cell>
          <cell r="F5416">
            <v>34000000</v>
          </cell>
          <cell r="G5416">
            <v>34000000</v>
          </cell>
          <cell r="H5416">
            <v>34000000</v>
          </cell>
          <cell r="I5416" t="str">
            <v/>
          </cell>
          <cell r="J5416" t="str">
            <v/>
          </cell>
          <cell r="K5416" t="str">
            <v/>
          </cell>
          <cell r="L5416" t="str">
            <v/>
          </cell>
        </row>
        <row r="5417">
          <cell r="A5417">
            <v>34000000</v>
          </cell>
          <cell r="C5417">
            <v>34000000</v>
          </cell>
          <cell r="D5417">
            <v>34000000</v>
          </cell>
          <cell r="E5417">
            <v>34000000</v>
          </cell>
          <cell r="F5417">
            <v>34000000</v>
          </cell>
          <cell r="G5417">
            <v>34000000</v>
          </cell>
          <cell r="H5417">
            <v>34000000</v>
          </cell>
          <cell r="I5417" t="str">
            <v/>
          </cell>
          <cell r="J5417" t="str">
            <v/>
          </cell>
          <cell r="K5417" t="str">
            <v/>
          </cell>
          <cell r="L5417" t="str">
            <v/>
          </cell>
        </row>
        <row r="5418">
          <cell r="A5418">
            <v>34000000</v>
          </cell>
          <cell r="C5418">
            <v>34000000</v>
          </cell>
          <cell r="D5418">
            <v>34000000</v>
          </cell>
          <cell r="E5418">
            <v>34000000</v>
          </cell>
          <cell r="F5418">
            <v>34000000</v>
          </cell>
          <cell r="G5418">
            <v>34000000</v>
          </cell>
          <cell r="H5418">
            <v>34000000</v>
          </cell>
          <cell r="I5418" t="str">
            <v/>
          </cell>
          <cell r="J5418" t="str">
            <v/>
          </cell>
          <cell r="K5418" t="str">
            <v/>
          </cell>
          <cell r="L5418" t="str">
            <v/>
          </cell>
        </row>
        <row r="5419">
          <cell r="A5419">
            <v>34000000</v>
          </cell>
          <cell r="C5419">
            <v>34000000</v>
          </cell>
          <cell r="D5419">
            <v>34000000</v>
          </cell>
          <cell r="E5419">
            <v>34000000</v>
          </cell>
          <cell r="F5419">
            <v>34000000</v>
          </cell>
          <cell r="G5419">
            <v>34000000</v>
          </cell>
          <cell r="H5419">
            <v>34000000</v>
          </cell>
          <cell r="I5419" t="str">
            <v/>
          </cell>
          <cell r="J5419" t="str">
            <v/>
          </cell>
          <cell r="K5419" t="str">
            <v/>
          </cell>
          <cell r="L5419" t="str">
            <v/>
          </cell>
        </row>
        <row r="5420">
          <cell r="A5420">
            <v>34000000</v>
          </cell>
          <cell r="C5420">
            <v>34000000</v>
          </cell>
          <cell r="D5420">
            <v>34000000</v>
          </cell>
          <cell r="E5420">
            <v>34000000</v>
          </cell>
          <cell r="F5420">
            <v>34000000</v>
          </cell>
          <cell r="G5420">
            <v>34000000</v>
          </cell>
          <cell r="H5420">
            <v>34000000</v>
          </cell>
          <cell r="I5420" t="str">
            <v/>
          </cell>
          <cell r="J5420" t="str">
            <v/>
          </cell>
          <cell r="K5420" t="str">
            <v/>
          </cell>
          <cell r="L5420" t="str">
            <v/>
          </cell>
        </row>
        <row r="5421">
          <cell r="A5421">
            <v>34000000</v>
          </cell>
          <cell r="C5421">
            <v>34000000</v>
          </cell>
          <cell r="D5421">
            <v>34000000</v>
          </cell>
          <cell r="E5421">
            <v>34000000</v>
          </cell>
          <cell r="F5421">
            <v>34000000</v>
          </cell>
          <cell r="G5421">
            <v>34000000</v>
          </cell>
          <cell r="H5421">
            <v>34000000</v>
          </cell>
          <cell r="I5421" t="str">
            <v/>
          </cell>
          <cell r="J5421" t="str">
            <v/>
          </cell>
          <cell r="K5421" t="str">
            <v/>
          </cell>
          <cell r="L5421" t="str">
            <v/>
          </cell>
        </row>
        <row r="5422">
          <cell r="A5422">
            <v>34000000</v>
          </cell>
          <cell r="C5422">
            <v>34000000</v>
          </cell>
          <cell r="D5422">
            <v>34000000</v>
          </cell>
          <cell r="E5422">
            <v>34000000</v>
          </cell>
          <cell r="F5422">
            <v>34000000</v>
          </cell>
          <cell r="G5422">
            <v>34000000</v>
          </cell>
          <cell r="H5422">
            <v>34000000</v>
          </cell>
          <cell r="I5422" t="str">
            <v/>
          </cell>
          <cell r="J5422" t="str">
            <v/>
          </cell>
          <cell r="K5422" t="str">
            <v/>
          </cell>
          <cell r="L5422" t="str">
            <v/>
          </cell>
        </row>
        <row r="5423">
          <cell r="A5423">
            <v>34000000</v>
          </cell>
          <cell r="C5423">
            <v>34000000</v>
          </cell>
          <cell r="D5423">
            <v>34000000</v>
          </cell>
          <cell r="E5423">
            <v>34000000</v>
          </cell>
          <cell r="F5423">
            <v>34000000</v>
          </cell>
          <cell r="G5423">
            <v>34000000</v>
          </cell>
          <cell r="H5423">
            <v>34000000</v>
          </cell>
          <cell r="I5423" t="str">
            <v/>
          </cell>
          <cell r="J5423" t="str">
            <v/>
          </cell>
          <cell r="K5423" t="str">
            <v/>
          </cell>
          <cell r="L5423" t="str">
            <v/>
          </cell>
        </row>
        <row r="5424">
          <cell r="A5424">
            <v>34000000</v>
          </cell>
          <cell r="C5424">
            <v>34000000</v>
          </cell>
          <cell r="D5424">
            <v>34000000</v>
          </cell>
          <cell r="E5424">
            <v>34000000</v>
          </cell>
          <cell r="F5424">
            <v>34000000</v>
          </cell>
          <cell r="G5424">
            <v>34000000</v>
          </cell>
          <cell r="H5424">
            <v>34000000</v>
          </cell>
          <cell r="I5424" t="str">
            <v/>
          </cell>
          <cell r="J5424" t="str">
            <v/>
          </cell>
          <cell r="K5424" t="str">
            <v/>
          </cell>
          <cell r="L5424" t="str">
            <v/>
          </cell>
        </row>
        <row r="5425">
          <cell r="A5425">
            <v>34000000</v>
          </cell>
          <cell r="C5425">
            <v>34000000</v>
          </cell>
          <cell r="D5425">
            <v>34000000</v>
          </cell>
          <cell r="E5425">
            <v>34000000</v>
          </cell>
          <cell r="F5425">
            <v>34000000</v>
          </cell>
          <cell r="G5425">
            <v>34000000</v>
          </cell>
          <cell r="H5425">
            <v>34000000</v>
          </cell>
          <cell r="I5425" t="str">
            <v/>
          </cell>
          <cell r="J5425" t="str">
            <v/>
          </cell>
          <cell r="K5425" t="str">
            <v/>
          </cell>
          <cell r="L5425" t="str">
            <v/>
          </cell>
        </row>
        <row r="5426">
          <cell r="A5426">
            <v>34000000</v>
          </cell>
          <cell r="C5426">
            <v>34000000</v>
          </cell>
          <cell r="D5426">
            <v>34000000</v>
          </cell>
          <cell r="E5426">
            <v>34000000</v>
          </cell>
          <cell r="F5426">
            <v>34000000</v>
          </cell>
          <cell r="G5426">
            <v>34000000</v>
          </cell>
          <cell r="H5426">
            <v>34000000</v>
          </cell>
          <cell r="I5426" t="str">
            <v/>
          </cell>
          <cell r="J5426" t="str">
            <v/>
          </cell>
          <cell r="K5426" t="str">
            <v/>
          </cell>
          <cell r="L5426" t="str">
            <v/>
          </cell>
        </row>
        <row r="5427">
          <cell r="A5427">
            <v>34000000</v>
          </cell>
          <cell r="C5427">
            <v>34000000</v>
          </cell>
          <cell r="D5427">
            <v>34000000</v>
          </cell>
          <cell r="E5427">
            <v>34000000</v>
          </cell>
          <cell r="F5427">
            <v>34000000</v>
          </cell>
          <cell r="G5427">
            <v>34000000</v>
          </cell>
          <cell r="H5427">
            <v>34000000</v>
          </cell>
          <cell r="I5427" t="str">
            <v/>
          </cell>
          <cell r="J5427" t="str">
            <v/>
          </cell>
          <cell r="K5427" t="str">
            <v/>
          </cell>
          <cell r="L5427" t="str">
            <v/>
          </cell>
        </row>
        <row r="5428">
          <cell r="A5428">
            <v>34000000</v>
          </cell>
          <cell r="C5428">
            <v>34000000</v>
          </cell>
          <cell r="D5428">
            <v>34000000</v>
          </cell>
          <cell r="E5428">
            <v>34000000</v>
          </cell>
          <cell r="F5428">
            <v>34000000</v>
          </cell>
          <cell r="G5428">
            <v>34000000</v>
          </cell>
          <cell r="H5428">
            <v>34000000</v>
          </cell>
          <cell r="I5428" t="str">
            <v/>
          </cell>
          <cell r="J5428" t="str">
            <v/>
          </cell>
          <cell r="K5428" t="str">
            <v/>
          </cell>
          <cell r="L5428" t="str">
            <v/>
          </cell>
        </row>
        <row r="5429">
          <cell r="A5429">
            <v>34000000</v>
          </cell>
          <cell r="C5429">
            <v>34000000</v>
          </cell>
          <cell r="D5429">
            <v>34000000</v>
          </cell>
          <cell r="E5429">
            <v>34000000</v>
          </cell>
          <cell r="F5429">
            <v>34000000</v>
          </cell>
          <cell r="G5429">
            <v>34000000</v>
          </cell>
          <cell r="H5429">
            <v>34000000</v>
          </cell>
          <cell r="I5429" t="str">
            <v/>
          </cell>
          <cell r="J5429" t="str">
            <v/>
          </cell>
          <cell r="K5429" t="str">
            <v/>
          </cell>
          <cell r="L5429" t="str">
            <v/>
          </cell>
        </row>
        <row r="5430">
          <cell r="A5430">
            <v>34000000</v>
          </cell>
          <cell r="C5430">
            <v>34000000</v>
          </cell>
          <cell r="D5430">
            <v>34000000</v>
          </cell>
          <cell r="E5430">
            <v>34000000</v>
          </cell>
          <cell r="F5430">
            <v>34000000</v>
          </cell>
          <cell r="G5430">
            <v>34000000</v>
          </cell>
          <cell r="H5430">
            <v>34000000</v>
          </cell>
          <cell r="I5430" t="str">
            <v/>
          </cell>
          <cell r="J5430" t="str">
            <v/>
          </cell>
          <cell r="K5430" t="str">
            <v/>
          </cell>
          <cell r="L5430" t="str">
            <v/>
          </cell>
        </row>
        <row r="5431">
          <cell r="A5431">
            <v>34000000</v>
          </cell>
          <cell r="C5431">
            <v>34000000</v>
          </cell>
          <cell r="D5431">
            <v>34000000</v>
          </cell>
          <cell r="E5431">
            <v>34000000</v>
          </cell>
          <cell r="F5431">
            <v>34000000</v>
          </cell>
          <cell r="G5431">
            <v>34000000</v>
          </cell>
          <cell r="H5431">
            <v>34000000</v>
          </cell>
          <cell r="I5431" t="str">
            <v/>
          </cell>
          <cell r="J5431" t="str">
            <v/>
          </cell>
          <cell r="K5431" t="str">
            <v/>
          </cell>
          <cell r="L5431" t="str">
            <v/>
          </cell>
        </row>
        <row r="5432">
          <cell r="A5432">
            <v>34000000</v>
          </cell>
          <cell r="C5432">
            <v>34000000</v>
          </cell>
          <cell r="D5432">
            <v>34000000</v>
          </cell>
          <cell r="E5432">
            <v>34000000</v>
          </cell>
          <cell r="F5432">
            <v>34000000</v>
          </cell>
          <cell r="G5432">
            <v>34000000</v>
          </cell>
          <cell r="H5432">
            <v>34000000</v>
          </cell>
          <cell r="I5432" t="str">
            <v/>
          </cell>
          <cell r="J5432" t="str">
            <v/>
          </cell>
          <cell r="K5432" t="str">
            <v/>
          </cell>
          <cell r="L5432" t="str">
            <v/>
          </cell>
        </row>
        <row r="5433">
          <cell r="A5433">
            <v>34000000</v>
          </cell>
          <cell r="C5433">
            <v>34000000</v>
          </cell>
          <cell r="D5433">
            <v>34000000</v>
          </cell>
          <cell r="E5433">
            <v>34000000</v>
          </cell>
          <cell r="F5433">
            <v>34000000</v>
          </cell>
          <cell r="G5433">
            <v>34000000</v>
          </cell>
          <cell r="H5433">
            <v>34000000</v>
          </cell>
          <cell r="I5433" t="str">
            <v/>
          </cell>
          <cell r="J5433" t="str">
            <v/>
          </cell>
          <cell r="K5433" t="str">
            <v/>
          </cell>
          <cell r="L5433" t="str">
            <v/>
          </cell>
        </row>
        <row r="5434">
          <cell r="A5434">
            <v>34000000</v>
          </cell>
          <cell r="C5434">
            <v>34000000</v>
          </cell>
          <cell r="D5434">
            <v>34000000</v>
          </cell>
          <cell r="E5434">
            <v>34000000</v>
          </cell>
          <cell r="F5434">
            <v>34000000</v>
          </cell>
          <cell r="G5434">
            <v>34000000</v>
          </cell>
          <cell r="H5434">
            <v>34000000</v>
          </cell>
          <cell r="I5434" t="str">
            <v/>
          </cell>
          <cell r="J5434" t="str">
            <v/>
          </cell>
          <cell r="K5434" t="str">
            <v/>
          </cell>
          <cell r="L5434" t="str">
            <v/>
          </cell>
        </row>
        <row r="5435">
          <cell r="A5435">
            <v>34000000</v>
          </cell>
          <cell r="C5435">
            <v>34000000</v>
          </cell>
          <cell r="D5435">
            <v>34000000</v>
          </cell>
          <cell r="E5435">
            <v>34000000</v>
          </cell>
          <cell r="F5435">
            <v>34000000</v>
          </cell>
          <cell r="G5435">
            <v>34000000</v>
          </cell>
          <cell r="H5435">
            <v>34000000</v>
          </cell>
          <cell r="I5435" t="str">
            <v/>
          </cell>
          <cell r="J5435" t="str">
            <v/>
          </cell>
          <cell r="K5435" t="str">
            <v/>
          </cell>
          <cell r="L5435" t="str">
            <v/>
          </cell>
        </row>
        <row r="5436">
          <cell r="A5436">
            <v>34000000</v>
          </cell>
          <cell r="C5436">
            <v>34000000</v>
          </cell>
          <cell r="D5436">
            <v>34000000</v>
          </cell>
          <cell r="E5436">
            <v>34000000</v>
          </cell>
          <cell r="F5436">
            <v>34000000</v>
          </cell>
          <cell r="G5436">
            <v>34000000</v>
          </cell>
          <cell r="H5436">
            <v>34000000</v>
          </cell>
          <cell r="I5436" t="str">
            <v/>
          </cell>
          <cell r="J5436" t="str">
            <v/>
          </cell>
          <cell r="K5436" t="str">
            <v/>
          </cell>
          <cell r="L5436" t="str">
            <v/>
          </cell>
        </row>
        <row r="5437">
          <cell r="A5437">
            <v>34000000</v>
          </cell>
          <cell r="C5437">
            <v>34000000</v>
          </cell>
          <cell r="D5437">
            <v>34000000</v>
          </cell>
          <cell r="E5437">
            <v>34000000</v>
          </cell>
          <cell r="F5437">
            <v>34000000</v>
          </cell>
          <cell r="G5437">
            <v>34000000</v>
          </cell>
          <cell r="H5437">
            <v>34000000</v>
          </cell>
          <cell r="I5437" t="str">
            <v/>
          </cell>
          <cell r="J5437" t="str">
            <v/>
          </cell>
          <cell r="K5437" t="str">
            <v/>
          </cell>
          <cell r="L5437" t="str">
            <v/>
          </cell>
        </row>
        <row r="5438">
          <cell r="A5438">
            <v>34000000</v>
          </cell>
          <cell r="C5438">
            <v>34000000</v>
          </cell>
          <cell r="D5438">
            <v>34000000</v>
          </cell>
          <cell r="E5438">
            <v>34000000</v>
          </cell>
          <cell r="F5438">
            <v>34000000</v>
          </cell>
          <cell r="G5438">
            <v>34000000</v>
          </cell>
          <cell r="H5438">
            <v>34000000</v>
          </cell>
          <cell r="I5438" t="str">
            <v/>
          </cell>
          <cell r="J5438" t="str">
            <v/>
          </cell>
          <cell r="K5438" t="str">
            <v/>
          </cell>
          <cell r="L5438" t="str">
            <v/>
          </cell>
        </row>
        <row r="5439">
          <cell r="A5439">
            <v>34000000</v>
          </cell>
          <cell r="C5439">
            <v>34000000</v>
          </cell>
          <cell r="D5439">
            <v>34000000</v>
          </cell>
          <cell r="E5439">
            <v>34000000</v>
          </cell>
          <cell r="F5439">
            <v>34000000</v>
          </cell>
          <cell r="G5439">
            <v>34000000</v>
          </cell>
          <cell r="H5439">
            <v>34000000</v>
          </cell>
          <cell r="I5439" t="str">
            <v/>
          </cell>
          <cell r="J5439" t="str">
            <v/>
          </cell>
          <cell r="K5439" t="str">
            <v/>
          </cell>
          <cell r="L5439" t="str">
            <v/>
          </cell>
        </row>
        <row r="5440">
          <cell r="A5440">
            <v>34000000</v>
          </cell>
          <cell r="C5440">
            <v>34000000</v>
          </cell>
          <cell r="D5440">
            <v>34000000</v>
          </cell>
          <cell r="E5440">
            <v>34000000</v>
          </cell>
          <cell r="F5440">
            <v>34000000</v>
          </cell>
          <cell r="G5440">
            <v>34000000</v>
          </cell>
          <cell r="H5440">
            <v>34000000</v>
          </cell>
          <cell r="I5440" t="str">
            <v/>
          </cell>
          <cell r="J5440" t="str">
            <v/>
          </cell>
          <cell r="K5440" t="str">
            <v/>
          </cell>
          <cell r="L5440" t="str">
            <v/>
          </cell>
        </row>
        <row r="5441">
          <cell r="A5441">
            <v>34000000</v>
          </cell>
          <cell r="C5441">
            <v>34000000</v>
          </cell>
          <cell r="D5441">
            <v>34000000</v>
          </cell>
          <cell r="E5441">
            <v>34000000</v>
          </cell>
          <cell r="F5441">
            <v>34000000</v>
          </cell>
          <cell r="G5441">
            <v>34000000</v>
          </cell>
          <cell r="H5441">
            <v>34000000</v>
          </cell>
          <cell r="I5441" t="str">
            <v/>
          </cell>
          <cell r="J5441" t="str">
            <v/>
          </cell>
          <cell r="K5441" t="str">
            <v/>
          </cell>
          <cell r="L5441" t="str">
            <v/>
          </cell>
        </row>
        <row r="5442">
          <cell r="A5442">
            <v>34000000</v>
          </cell>
          <cell r="C5442">
            <v>34000000</v>
          </cell>
          <cell r="D5442">
            <v>34000000</v>
          </cell>
          <cell r="E5442">
            <v>34000000</v>
          </cell>
          <cell r="F5442">
            <v>34000000</v>
          </cell>
          <cell r="G5442">
            <v>34000000</v>
          </cell>
          <cell r="H5442">
            <v>34000000</v>
          </cell>
          <cell r="I5442" t="str">
            <v/>
          </cell>
          <cell r="J5442" t="str">
            <v/>
          </cell>
          <cell r="K5442" t="str">
            <v/>
          </cell>
          <cell r="L5442" t="str">
            <v/>
          </cell>
        </row>
        <row r="5443">
          <cell r="A5443">
            <v>34000000</v>
          </cell>
          <cell r="C5443">
            <v>34000000</v>
          </cell>
          <cell r="D5443">
            <v>34000000</v>
          </cell>
          <cell r="E5443">
            <v>34000000</v>
          </cell>
          <cell r="F5443">
            <v>34000000</v>
          </cell>
          <cell r="G5443">
            <v>34000000</v>
          </cell>
          <cell r="H5443">
            <v>34000000</v>
          </cell>
          <cell r="I5443" t="str">
            <v/>
          </cell>
          <cell r="J5443" t="str">
            <v/>
          </cell>
          <cell r="K5443" t="str">
            <v/>
          </cell>
          <cell r="L5443" t="str">
            <v/>
          </cell>
        </row>
        <row r="5444">
          <cell r="A5444">
            <v>34000000</v>
          </cell>
          <cell r="C5444">
            <v>34000000</v>
          </cell>
          <cell r="D5444">
            <v>34000000</v>
          </cell>
          <cell r="E5444">
            <v>34000000</v>
          </cell>
          <cell r="F5444">
            <v>34000000</v>
          </cell>
          <cell r="G5444">
            <v>34000000</v>
          </cell>
          <cell r="H5444">
            <v>34000000</v>
          </cell>
          <cell r="I5444" t="str">
            <v/>
          </cell>
          <cell r="J5444" t="str">
            <v/>
          </cell>
          <cell r="K5444" t="str">
            <v/>
          </cell>
          <cell r="L5444" t="str">
            <v/>
          </cell>
        </row>
        <row r="5445">
          <cell r="A5445">
            <v>34000000</v>
          </cell>
          <cell r="C5445">
            <v>34000000</v>
          </cell>
          <cell r="D5445">
            <v>34000000</v>
          </cell>
          <cell r="E5445">
            <v>34000000</v>
          </cell>
          <cell r="F5445">
            <v>34000000</v>
          </cell>
          <cell r="G5445">
            <v>34000000</v>
          </cell>
          <cell r="H5445">
            <v>34000000</v>
          </cell>
          <cell r="I5445" t="str">
            <v/>
          </cell>
          <cell r="J5445" t="str">
            <v/>
          </cell>
          <cell r="K5445" t="str">
            <v/>
          </cell>
          <cell r="L5445" t="str">
            <v/>
          </cell>
        </row>
        <row r="5446">
          <cell r="A5446">
            <v>34000000</v>
          </cell>
          <cell r="C5446">
            <v>34000000</v>
          </cell>
          <cell r="D5446">
            <v>34000000</v>
          </cell>
          <cell r="E5446">
            <v>34000000</v>
          </cell>
          <cell r="F5446">
            <v>34000000</v>
          </cell>
          <cell r="G5446">
            <v>34000000</v>
          </cell>
          <cell r="H5446">
            <v>34000000</v>
          </cell>
          <cell r="I5446" t="str">
            <v/>
          </cell>
          <cell r="J5446" t="str">
            <v/>
          </cell>
          <cell r="K5446" t="str">
            <v/>
          </cell>
          <cell r="L5446" t="str">
            <v/>
          </cell>
        </row>
        <row r="5447">
          <cell r="A5447">
            <v>34000000</v>
          </cell>
          <cell r="C5447">
            <v>34000000</v>
          </cell>
          <cell r="D5447">
            <v>34000000</v>
          </cell>
          <cell r="E5447">
            <v>34000000</v>
          </cell>
          <cell r="F5447">
            <v>34000000</v>
          </cell>
          <cell r="G5447">
            <v>34000000</v>
          </cell>
          <cell r="H5447">
            <v>34000000</v>
          </cell>
          <cell r="I5447" t="str">
            <v/>
          </cell>
          <cell r="J5447" t="str">
            <v/>
          </cell>
          <cell r="K5447" t="str">
            <v/>
          </cell>
          <cell r="L5447" t="str">
            <v/>
          </cell>
        </row>
        <row r="5448">
          <cell r="A5448">
            <v>34000000</v>
          </cell>
          <cell r="C5448">
            <v>34000000</v>
          </cell>
          <cell r="D5448">
            <v>34000000</v>
          </cell>
          <cell r="E5448">
            <v>34000000</v>
          </cell>
          <cell r="F5448">
            <v>34000000</v>
          </cell>
          <cell r="G5448">
            <v>34000000</v>
          </cell>
          <cell r="H5448">
            <v>34000000</v>
          </cell>
          <cell r="I5448" t="str">
            <v/>
          </cell>
          <cell r="J5448" t="str">
            <v/>
          </cell>
          <cell r="K5448" t="str">
            <v/>
          </cell>
          <cell r="L5448" t="str">
            <v/>
          </cell>
        </row>
        <row r="5449">
          <cell r="A5449">
            <v>34000000</v>
          </cell>
          <cell r="C5449">
            <v>34000000</v>
          </cell>
          <cell r="D5449">
            <v>34000000</v>
          </cell>
          <cell r="E5449">
            <v>34000000</v>
          </cell>
          <cell r="F5449">
            <v>34000000</v>
          </cell>
          <cell r="G5449">
            <v>34000000</v>
          </cell>
          <cell r="H5449">
            <v>34000000</v>
          </cell>
          <cell r="I5449" t="str">
            <v/>
          </cell>
          <cell r="J5449" t="str">
            <v/>
          </cell>
          <cell r="K5449" t="str">
            <v/>
          </cell>
          <cell r="L5449" t="str">
            <v/>
          </cell>
        </row>
        <row r="5450">
          <cell r="A5450">
            <v>34000000</v>
          </cell>
          <cell r="C5450">
            <v>34000000</v>
          </cell>
          <cell r="D5450">
            <v>34000000</v>
          </cell>
          <cell r="E5450">
            <v>34000000</v>
          </cell>
          <cell r="F5450">
            <v>34000000</v>
          </cell>
          <cell r="G5450">
            <v>34000000</v>
          </cell>
          <cell r="H5450">
            <v>34000000</v>
          </cell>
          <cell r="I5450" t="str">
            <v/>
          </cell>
          <cell r="J5450" t="str">
            <v/>
          </cell>
          <cell r="K5450" t="str">
            <v/>
          </cell>
          <cell r="L5450" t="str">
            <v/>
          </cell>
        </row>
        <row r="5451">
          <cell r="A5451">
            <v>34000000</v>
          </cell>
          <cell r="C5451">
            <v>34000000</v>
          </cell>
          <cell r="D5451">
            <v>34000000</v>
          </cell>
          <cell r="E5451">
            <v>34000000</v>
          </cell>
          <cell r="F5451">
            <v>34000000</v>
          </cell>
          <cell r="G5451">
            <v>34000000</v>
          </cell>
          <cell r="H5451">
            <v>34000000</v>
          </cell>
          <cell r="I5451" t="str">
            <v/>
          </cell>
          <cell r="J5451" t="str">
            <v/>
          </cell>
          <cell r="K5451" t="str">
            <v/>
          </cell>
          <cell r="L5451" t="str">
            <v/>
          </cell>
        </row>
        <row r="5452">
          <cell r="A5452">
            <v>34000000</v>
          </cell>
          <cell r="C5452">
            <v>34000000</v>
          </cell>
          <cell r="D5452">
            <v>34000000</v>
          </cell>
          <cell r="E5452">
            <v>34000000</v>
          </cell>
          <cell r="F5452">
            <v>34000000</v>
          </cell>
          <cell r="G5452">
            <v>34000000</v>
          </cell>
          <cell r="H5452">
            <v>34000000</v>
          </cell>
          <cell r="I5452" t="str">
            <v/>
          </cell>
          <cell r="J5452" t="str">
            <v/>
          </cell>
          <cell r="K5452" t="str">
            <v/>
          </cell>
          <cell r="L5452" t="str">
            <v/>
          </cell>
        </row>
        <row r="5453">
          <cell r="A5453">
            <v>34000000</v>
          </cell>
          <cell r="C5453">
            <v>34000000</v>
          </cell>
          <cell r="D5453">
            <v>34000000</v>
          </cell>
          <cell r="E5453">
            <v>34000000</v>
          </cell>
          <cell r="F5453">
            <v>34000000</v>
          </cell>
          <cell r="G5453">
            <v>34000000</v>
          </cell>
          <cell r="H5453">
            <v>34000000</v>
          </cell>
          <cell r="I5453" t="str">
            <v/>
          </cell>
          <cell r="J5453" t="str">
            <v/>
          </cell>
          <cell r="K5453" t="str">
            <v/>
          </cell>
          <cell r="L5453" t="str">
            <v/>
          </cell>
        </row>
        <row r="5454">
          <cell r="A5454">
            <v>34000000</v>
          </cell>
          <cell r="C5454">
            <v>34000000</v>
          </cell>
          <cell r="D5454">
            <v>34000000</v>
          </cell>
          <cell r="E5454">
            <v>34000000</v>
          </cell>
          <cell r="F5454">
            <v>34000000</v>
          </cell>
          <cell r="G5454">
            <v>34000000</v>
          </cell>
          <cell r="H5454">
            <v>34000000</v>
          </cell>
          <cell r="I5454" t="str">
            <v/>
          </cell>
          <cell r="J5454" t="str">
            <v/>
          </cell>
          <cell r="K5454" t="str">
            <v/>
          </cell>
          <cell r="L5454" t="str">
            <v/>
          </cell>
        </row>
        <row r="5455">
          <cell r="A5455">
            <v>34000000</v>
          </cell>
          <cell r="C5455">
            <v>34000000</v>
          </cell>
          <cell r="D5455">
            <v>34000000</v>
          </cell>
          <cell r="E5455">
            <v>34000000</v>
          </cell>
          <cell r="F5455">
            <v>34000000</v>
          </cell>
          <cell r="G5455">
            <v>34000000</v>
          </cell>
          <cell r="H5455">
            <v>34000000</v>
          </cell>
          <cell r="I5455" t="str">
            <v/>
          </cell>
          <cell r="J5455" t="str">
            <v/>
          </cell>
          <cell r="K5455" t="str">
            <v/>
          </cell>
          <cell r="L5455" t="str">
            <v/>
          </cell>
        </row>
        <row r="5456">
          <cell r="A5456">
            <v>34000000</v>
          </cell>
          <cell r="C5456">
            <v>34000000</v>
          </cell>
          <cell r="D5456">
            <v>34000000</v>
          </cell>
          <cell r="E5456">
            <v>34000000</v>
          </cell>
          <cell r="F5456">
            <v>34000000</v>
          </cell>
          <cell r="G5456">
            <v>34000000</v>
          </cell>
          <cell r="H5456">
            <v>34000000</v>
          </cell>
          <cell r="I5456" t="str">
            <v/>
          </cell>
          <cell r="J5456" t="str">
            <v/>
          </cell>
          <cell r="K5456" t="str">
            <v/>
          </cell>
          <cell r="L5456" t="str">
            <v/>
          </cell>
        </row>
        <row r="5457">
          <cell r="A5457">
            <v>34000000</v>
          </cell>
          <cell r="C5457">
            <v>34000000</v>
          </cell>
          <cell r="D5457">
            <v>34000000</v>
          </cell>
          <cell r="E5457">
            <v>34000000</v>
          </cell>
          <cell r="F5457">
            <v>34000000</v>
          </cell>
          <cell r="G5457">
            <v>34000000</v>
          </cell>
          <cell r="H5457">
            <v>34000000</v>
          </cell>
          <cell r="I5457" t="str">
            <v/>
          </cell>
          <cell r="J5457" t="str">
            <v/>
          </cell>
          <cell r="K5457" t="str">
            <v/>
          </cell>
          <cell r="L5457" t="str">
            <v/>
          </cell>
        </row>
        <row r="5458">
          <cell r="A5458">
            <v>34000000</v>
          </cell>
          <cell r="C5458">
            <v>34000000</v>
          </cell>
          <cell r="D5458">
            <v>34000000</v>
          </cell>
          <cell r="E5458">
            <v>34000000</v>
          </cell>
          <cell r="F5458">
            <v>34000000</v>
          </cell>
          <cell r="G5458">
            <v>34000000</v>
          </cell>
          <cell r="H5458">
            <v>34000000</v>
          </cell>
          <cell r="I5458" t="str">
            <v/>
          </cell>
          <cell r="J5458" t="str">
            <v/>
          </cell>
          <cell r="K5458" t="str">
            <v/>
          </cell>
          <cell r="L5458" t="str">
            <v/>
          </cell>
        </row>
        <row r="5459">
          <cell r="A5459">
            <v>34000000</v>
          </cell>
          <cell r="C5459">
            <v>34000000</v>
          </cell>
          <cell r="D5459">
            <v>34000000</v>
          </cell>
          <cell r="E5459">
            <v>34000000</v>
          </cell>
          <cell r="F5459">
            <v>34000000</v>
          </cell>
          <cell r="G5459">
            <v>34000000</v>
          </cell>
          <cell r="H5459">
            <v>34000000</v>
          </cell>
          <cell r="I5459" t="str">
            <v/>
          </cell>
          <cell r="J5459" t="str">
            <v/>
          </cell>
          <cell r="K5459" t="str">
            <v/>
          </cell>
          <cell r="L5459" t="str">
            <v/>
          </cell>
        </row>
        <row r="5460">
          <cell r="A5460">
            <v>34000000</v>
          </cell>
          <cell r="C5460">
            <v>34000000</v>
          </cell>
          <cell r="D5460">
            <v>34000000</v>
          </cell>
          <cell r="E5460">
            <v>34000000</v>
          </cell>
          <cell r="F5460">
            <v>34000000</v>
          </cell>
          <cell r="G5460">
            <v>34000000</v>
          </cell>
          <cell r="H5460">
            <v>34000000</v>
          </cell>
          <cell r="I5460" t="str">
            <v/>
          </cell>
          <cell r="J5460" t="str">
            <v/>
          </cell>
          <cell r="K5460" t="str">
            <v/>
          </cell>
          <cell r="L5460" t="str">
            <v/>
          </cell>
        </row>
        <row r="5461">
          <cell r="A5461">
            <v>34000000</v>
          </cell>
          <cell r="C5461">
            <v>34000000</v>
          </cell>
          <cell r="D5461">
            <v>34000000</v>
          </cell>
          <cell r="E5461">
            <v>34000000</v>
          </cell>
          <cell r="F5461">
            <v>34000000</v>
          </cell>
          <cell r="G5461">
            <v>34000000</v>
          </cell>
          <cell r="H5461">
            <v>34000000</v>
          </cell>
          <cell r="I5461" t="str">
            <v/>
          </cell>
          <cell r="J5461" t="str">
            <v/>
          </cell>
          <cell r="K5461" t="str">
            <v/>
          </cell>
          <cell r="L5461" t="str">
            <v/>
          </cell>
        </row>
        <row r="5462">
          <cell r="A5462">
            <v>34000000</v>
          </cell>
          <cell r="C5462">
            <v>34000000</v>
          </cell>
          <cell r="D5462">
            <v>34000000</v>
          </cell>
          <cell r="E5462">
            <v>34000000</v>
          </cell>
          <cell r="F5462">
            <v>34000000</v>
          </cell>
          <cell r="G5462">
            <v>34000000</v>
          </cell>
          <cell r="H5462">
            <v>34000000</v>
          </cell>
          <cell r="I5462" t="str">
            <v/>
          </cell>
          <cell r="J5462" t="str">
            <v/>
          </cell>
          <cell r="K5462" t="str">
            <v/>
          </cell>
          <cell r="L5462" t="str">
            <v/>
          </cell>
        </row>
        <row r="5463">
          <cell r="A5463">
            <v>34000000</v>
          </cell>
          <cell r="C5463">
            <v>34000000</v>
          </cell>
          <cell r="D5463">
            <v>34000000</v>
          </cell>
          <cell r="E5463">
            <v>34000000</v>
          </cell>
          <cell r="F5463">
            <v>34000000</v>
          </cell>
          <cell r="G5463">
            <v>34000000</v>
          </cell>
          <cell r="H5463">
            <v>34000000</v>
          </cell>
          <cell r="I5463" t="str">
            <v/>
          </cell>
          <cell r="J5463" t="str">
            <v/>
          </cell>
          <cell r="K5463" t="str">
            <v/>
          </cell>
          <cell r="L5463" t="str">
            <v/>
          </cell>
        </row>
        <row r="5464">
          <cell r="A5464">
            <v>34000000</v>
          </cell>
          <cell r="C5464">
            <v>34000000</v>
          </cell>
          <cell r="D5464">
            <v>34000000</v>
          </cell>
          <cell r="E5464">
            <v>34000000</v>
          </cell>
          <cell r="F5464">
            <v>34000000</v>
          </cell>
          <cell r="G5464">
            <v>34000000</v>
          </cell>
          <cell r="H5464">
            <v>34000000</v>
          </cell>
          <cell r="I5464" t="str">
            <v/>
          </cell>
          <cell r="J5464" t="str">
            <v/>
          </cell>
          <cell r="K5464" t="str">
            <v/>
          </cell>
          <cell r="L5464" t="str">
            <v/>
          </cell>
        </row>
        <row r="5465">
          <cell r="A5465">
            <v>34000000</v>
          </cell>
          <cell r="C5465">
            <v>34000000</v>
          </cell>
          <cell r="D5465">
            <v>34000000</v>
          </cell>
          <cell r="E5465">
            <v>34000000</v>
          </cell>
          <cell r="F5465">
            <v>34000000</v>
          </cell>
          <cell r="G5465">
            <v>34000000</v>
          </cell>
          <cell r="H5465">
            <v>34000000</v>
          </cell>
          <cell r="I5465" t="str">
            <v/>
          </cell>
          <cell r="J5465" t="str">
            <v/>
          </cell>
          <cell r="K5465" t="str">
            <v/>
          </cell>
          <cell r="L5465" t="str">
            <v/>
          </cell>
        </row>
        <row r="5466">
          <cell r="A5466">
            <v>34000000</v>
          </cell>
          <cell r="C5466">
            <v>34000000</v>
          </cell>
          <cell r="D5466">
            <v>34000000</v>
          </cell>
          <cell r="E5466">
            <v>34000000</v>
          </cell>
          <cell r="F5466">
            <v>34000000</v>
          </cell>
          <cell r="G5466">
            <v>34000000</v>
          </cell>
          <cell r="H5466">
            <v>34000000</v>
          </cell>
          <cell r="I5466" t="str">
            <v/>
          </cell>
          <cell r="J5466" t="str">
            <v/>
          </cell>
          <cell r="K5466" t="str">
            <v/>
          </cell>
          <cell r="L5466" t="str">
            <v/>
          </cell>
        </row>
        <row r="5467">
          <cell r="A5467">
            <v>34000000</v>
          </cell>
          <cell r="C5467">
            <v>34000000</v>
          </cell>
          <cell r="D5467">
            <v>34000000</v>
          </cell>
          <cell r="E5467">
            <v>34000000</v>
          </cell>
          <cell r="F5467">
            <v>34000000</v>
          </cell>
          <cell r="G5467">
            <v>34000000</v>
          </cell>
          <cell r="H5467">
            <v>34000000</v>
          </cell>
          <cell r="I5467" t="str">
            <v/>
          </cell>
          <cell r="J5467" t="str">
            <v/>
          </cell>
          <cell r="K5467" t="str">
            <v/>
          </cell>
          <cell r="L5467" t="str">
            <v/>
          </cell>
        </row>
        <row r="5468">
          <cell r="A5468">
            <v>34000000</v>
          </cell>
          <cell r="C5468">
            <v>34000000</v>
          </cell>
          <cell r="D5468">
            <v>34000000</v>
          </cell>
          <cell r="E5468">
            <v>34000000</v>
          </cell>
          <cell r="F5468">
            <v>34000000</v>
          </cell>
          <cell r="G5468">
            <v>34000000</v>
          </cell>
          <cell r="H5468">
            <v>34000000</v>
          </cell>
          <cell r="I5468" t="str">
            <v/>
          </cell>
          <cell r="J5468" t="str">
            <v/>
          </cell>
          <cell r="K5468" t="str">
            <v/>
          </cell>
          <cell r="L5468" t="str">
            <v/>
          </cell>
        </row>
        <row r="5469">
          <cell r="A5469">
            <v>34000000</v>
          </cell>
          <cell r="C5469">
            <v>34000000</v>
          </cell>
          <cell r="D5469">
            <v>34000000</v>
          </cell>
          <cell r="E5469">
            <v>34000000</v>
          </cell>
          <cell r="F5469">
            <v>34000000</v>
          </cell>
          <cell r="G5469">
            <v>34000000</v>
          </cell>
          <cell r="H5469">
            <v>34000000</v>
          </cell>
          <cell r="I5469" t="str">
            <v/>
          </cell>
          <cell r="J5469" t="str">
            <v/>
          </cell>
          <cell r="K5469" t="str">
            <v/>
          </cell>
          <cell r="L5469" t="str">
            <v/>
          </cell>
        </row>
        <row r="5470">
          <cell r="A5470">
            <v>34000000</v>
          </cell>
          <cell r="C5470">
            <v>34000000</v>
          </cell>
          <cell r="D5470">
            <v>34000000</v>
          </cell>
          <cell r="E5470">
            <v>34000000</v>
          </cell>
          <cell r="F5470">
            <v>34000000</v>
          </cell>
          <cell r="G5470">
            <v>34000000</v>
          </cell>
          <cell r="H5470">
            <v>34000000</v>
          </cell>
          <cell r="I5470" t="str">
            <v/>
          </cell>
          <cell r="J5470" t="str">
            <v/>
          </cell>
          <cell r="K5470" t="str">
            <v/>
          </cell>
          <cell r="L5470" t="str">
            <v/>
          </cell>
        </row>
        <row r="5471">
          <cell r="A5471">
            <v>34000000</v>
          </cell>
          <cell r="C5471">
            <v>34000000</v>
          </cell>
          <cell r="D5471">
            <v>34000000</v>
          </cell>
          <cell r="E5471">
            <v>34000000</v>
          </cell>
          <cell r="F5471">
            <v>34000000</v>
          </cell>
          <cell r="G5471">
            <v>34000000</v>
          </cell>
          <cell r="H5471">
            <v>34000000</v>
          </cell>
          <cell r="I5471" t="str">
            <v/>
          </cell>
          <cell r="J5471" t="str">
            <v/>
          </cell>
          <cell r="K5471" t="str">
            <v/>
          </cell>
          <cell r="L5471" t="str">
            <v/>
          </cell>
        </row>
        <row r="5472">
          <cell r="A5472">
            <v>34000000</v>
          </cell>
          <cell r="C5472">
            <v>34000000</v>
          </cell>
          <cell r="D5472">
            <v>34000000</v>
          </cell>
          <cell r="E5472">
            <v>34000000</v>
          </cell>
          <cell r="F5472">
            <v>34000000</v>
          </cell>
          <cell r="G5472">
            <v>34000000</v>
          </cell>
          <cell r="H5472">
            <v>34000000</v>
          </cell>
          <cell r="I5472" t="str">
            <v/>
          </cell>
          <cell r="J5472" t="str">
            <v/>
          </cell>
          <cell r="K5472" t="str">
            <v/>
          </cell>
          <cell r="L5472" t="str">
            <v/>
          </cell>
        </row>
        <row r="5473">
          <cell r="A5473">
            <v>34000000</v>
          </cell>
          <cell r="C5473">
            <v>34000000</v>
          </cell>
          <cell r="D5473">
            <v>34000000</v>
          </cell>
          <cell r="E5473">
            <v>34000000</v>
          </cell>
          <cell r="F5473">
            <v>34000000</v>
          </cell>
          <cell r="G5473">
            <v>34000000</v>
          </cell>
          <cell r="H5473">
            <v>34000000</v>
          </cell>
          <cell r="I5473" t="str">
            <v/>
          </cell>
          <cell r="J5473" t="str">
            <v/>
          </cell>
          <cell r="K5473" t="str">
            <v/>
          </cell>
          <cell r="L5473" t="str">
            <v/>
          </cell>
        </row>
        <row r="5474">
          <cell r="A5474">
            <v>34000000</v>
          </cell>
          <cell r="C5474">
            <v>34000000</v>
          </cell>
          <cell r="D5474">
            <v>34000000</v>
          </cell>
          <cell r="E5474">
            <v>34000000</v>
          </cell>
          <cell r="F5474">
            <v>34000000</v>
          </cell>
          <cell r="G5474">
            <v>34000000</v>
          </cell>
          <cell r="H5474">
            <v>34000000</v>
          </cell>
          <cell r="I5474" t="str">
            <v/>
          </cell>
          <cell r="J5474" t="str">
            <v/>
          </cell>
          <cell r="K5474" t="str">
            <v/>
          </cell>
          <cell r="L5474" t="str">
            <v/>
          </cell>
        </row>
        <row r="5475">
          <cell r="A5475">
            <v>34000000</v>
          </cell>
          <cell r="C5475">
            <v>34000000</v>
          </cell>
          <cell r="D5475">
            <v>34000000</v>
          </cell>
          <cell r="E5475">
            <v>34000000</v>
          </cell>
          <cell r="F5475">
            <v>34000000</v>
          </cell>
          <cell r="G5475">
            <v>34000000</v>
          </cell>
          <cell r="H5475">
            <v>34000000</v>
          </cell>
          <cell r="I5475" t="str">
            <v/>
          </cell>
          <cell r="J5475" t="str">
            <v/>
          </cell>
          <cell r="K5475" t="str">
            <v/>
          </cell>
          <cell r="L5475" t="str">
            <v/>
          </cell>
        </row>
        <row r="5476">
          <cell r="A5476">
            <v>34000000</v>
          </cell>
          <cell r="C5476">
            <v>34000000</v>
          </cell>
          <cell r="D5476">
            <v>34000000</v>
          </cell>
          <cell r="E5476">
            <v>34000000</v>
          </cell>
          <cell r="F5476">
            <v>34000000</v>
          </cell>
          <cell r="G5476">
            <v>34000000</v>
          </cell>
          <cell r="H5476">
            <v>34000000</v>
          </cell>
          <cell r="I5476" t="str">
            <v/>
          </cell>
          <cell r="J5476" t="str">
            <v/>
          </cell>
          <cell r="K5476" t="str">
            <v/>
          </cell>
          <cell r="L5476" t="str">
            <v/>
          </cell>
        </row>
        <row r="5477">
          <cell r="A5477">
            <v>34000000</v>
          </cell>
          <cell r="C5477">
            <v>34000000</v>
          </cell>
          <cell r="D5477">
            <v>34000000</v>
          </cell>
          <cell r="E5477">
            <v>34000000</v>
          </cell>
          <cell r="F5477">
            <v>34000000</v>
          </cell>
          <cell r="G5477">
            <v>34000000</v>
          </cell>
          <cell r="H5477">
            <v>34000000</v>
          </cell>
          <cell r="I5477" t="str">
            <v/>
          </cell>
          <cell r="J5477" t="str">
            <v/>
          </cell>
          <cell r="K5477" t="str">
            <v/>
          </cell>
          <cell r="L5477" t="str">
            <v/>
          </cell>
        </row>
        <row r="5478">
          <cell r="A5478">
            <v>34000000</v>
          </cell>
          <cell r="C5478">
            <v>34000000</v>
          </cell>
          <cell r="D5478">
            <v>34000000</v>
          </cell>
          <cell r="E5478">
            <v>34000000</v>
          </cell>
          <cell r="F5478">
            <v>34000000</v>
          </cell>
          <cell r="G5478">
            <v>34000000</v>
          </cell>
          <cell r="H5478">
            <v>34000000</v>
          </cell>
          <cell r="I5478" t="str">
            <v/>
          </cell>
          <cell r="J5478" t="str">
            <v/>
          </cell>
          <cell r="K5478" t="str">
            <v/>
          </cell>
          <cell r="L5478" t="str">
            <v/>
          </cell>
        </row>
        <row r="5479">
          <cell r="A5479">
            <v>34000000</v>
          </cell>
          <cell r="C5479">
            <v>34000000</v>
          </cell>
          <cell r="D5479">
            <v>34000000</v>
          </cell>
          <cell r="E5479">
            <v>34000000</v>
          </cell>
          <cell r="F5479">
            <v>34000000</v>
          </cell>
          <cell r="G5479">
            <v>34000000</v>
          </cell>
          <cell r="H5479">
            <v>34000000</v>
          </cell>
          <cell r="I5479" t="str">
            <v/>
          </cell>
          <cell r="J5479" t="str">
            <v/>
          </cell>
          <cell r="K5479" t="str">
            <v/>
          </cell>
          <cell r="L5479" t="str">
            <v/>
          </cell>
        </row>
        <row r="5480">
          <cell r="A5480">
            <v>34000000</v>
          </cell>
          <cell r="C5480">
            <v>34000000</v>
          </cell>
          <cell r="D5480">
            <v>34000000</v>
          </cell>
          <cell r="E5480">
            <v>34000000</v>
          </cell>
          <cell r="F5480">
            <v>34000000</v>
          </cell>
          <cell r="G5480">
            <v>34000000</v>
          </cell>
          <cell r="H5480">
            <v>34000000</v>
          </cell>
          <cell r="I5480" t="str">
            <v/>
          </cell>
          <cell r="J5480" t="str">
            <v/>
          </cell>
          <cell r="K5480" t="str">
            <v/>
          </cell>
          <cell r="L5480" t="str">
            <v/>
          </cell>
        </row>
        <row r="5481">
          <cell r="A5481">
            <v>34000000</v>
          </cell>
          <cell r="C5481">
            <v>34000000</v>
          </cell>
          <cell r="D5481">
            <v>34000000</v>
          </cell>
          <cell r="E5481">
            <v>34000000</v>
          </cell>
          <cell r="F5481">
            <v>34000000</v>
          </cell>
          <cell r="G5481">
            <v>34000000</v>
          </cell>
          <cell r="H5481">
            <v>34000000</v>
          </cell>
          <cell r="I5481" t="str">
            <v/>
          </cell>
          <cell r="J5481" t="str">
            <v/>
          </cell>
          <cell r="K5481" t="str">
            <v/>
          </cell>
          <cell r="L5481" t="str">
            <v/>
          </cell>
        </row>
        <row r="5482">
          <cell r="A5482">
            <v>34000000</v>
          </cell>
          <cell r="C5482">
            <v>34000000</v>
          </cell>
          <cell r="D5482">
            <v>34000000</v>
          </cell>
          <cell r="E5482">
            <v>34000000</v>
          </cell>
          <cell r="F5482">
            <v>34000000</v>
          </cell>
          <cell r="G5482">
            <v>34000000</v>
          </cell>
          <cell r="H5482">
            <v>34000000</v>
          </cell>
          <cell r="I5482" t="str">
            <v/>
          </cell>
          <cell r="J5482" t="str">
            <v/>
          </cell>
          <cell r="K5482" t="str">
            <v/>
          </cell>
          <cell r="L5482" t="str">
            <v/>
          </cell>
        </row>
        <row r="5483">
          <cell r="A5483">
            <v>34000000</v>
          </cell>
          <cell r="C5483">
            <v>34000000</v>
          </cell>
          <cell r="D5483">
            <v>34000000</v>
          </cell>
          <cell r="E5483">
            <v>34000000</v>
          </cell>
          <cell r="F5483">
            <v>34000000</v>
          </cell>
          <cell r="G5483">
            <v>34000000</v>
          </cell>
          <cell r="H5483">
            <v>34000000</v>
          </cell>
          <cell r="I5483" t="str">
            <v/>
          </cell>
          <cell r="J5483" t="str">
            <v/>
          </cell>
          <cell r="K5483" t="str">
            <v/>
          </cell>
          <cell r="L5483" t="str">
            <v/>
          </cell>
        </row>
        <row r="5484">
          <cell r="A5484">
            <v>34000000</v>
          </cell>
          <cell r="C5484">
            <v>34000000</v>
          </cell>
          <cell r="D5484">
            <v>34000000</v>
          </cell>
          <cell r="E5484">
            <v>34000000</v>
          </cell>
          <cell r="F5484">
            <v>34000000</v>
          </cell>
          <cell r="G5484">
            <v>34000000</v>
          </cell>
          <cell r="H5484">
            <v>34000000</v>
          </cell>
          <cell r="I5484" t="str">
            <v/>
          </cell>
          <cell r="J5484" t="str">
            <v/>
          </cell>
          <cell r="K5484" t="str">
            <v/>
          </cell>
          <cell r="L5484" t="str">
            <v/>
          </cell>
        </row>
        <row r="5485">
          <cell r="A5485">
            <v>34000000</v>
          </cell>
          <cell r="C5485">
            <v>34000000</v>
          </cell>
          <cell r="D5485">
            <v>34000000</v>
          </cell>
          <cell r="E5485">
            <v>34000000</v>
          </cell>
          <cell r="F5485">
            <v>34000000</v>
          </cell>
          <cell r="G5485">
            <v>34000000</v>
          </cell>
          <cell r="H5485">
            <v>34000000</v>
          </cell>
          <cell r="I5485" t="str">
            <v/>
          </cell>
          <cell r="J5485" t="str">
            <v/>
          </cell>
          <cell r="K5485" t="str">
            <v/>
          </cell>
          <cell r="L5485" t="str">
            <v/>
          </cell>
        </row>
        <row r="5486">
          <cell r="A5486">
            <v>34000000</v>
          </cell>
          <cell r="C5486">
            <v>34000000</v>
          </cell>
          <cell r="D5486">
            <v>34000000</v>
          </cell>
          <cell r="E5486">
            <v>34000000</v>
          </cell>
          <cell r="F5486">
            <v>34000000</v>
          </cell>
          <cell r="G5486">
            <v>34000000</v>
          </cell>
          <cell r="H5486">
            <v>34000000</v>
          </cell>
          <cell r="I5486" t="str">
            <v/>
          </cell>
          <cell r="J5486" t="str">
            <v/>
          </cell>
          <cell r="K5486" t="str">
            <v/>
          </cell>
          <cell r="L5486" t="str">
            <v/>
          </cell>
        </row>
        <row r="5487">
          <cell r="A5487">
            <v>34000000</v>
          </cell>
          <cell r="C5487">
            <v>34000000</v>
          </cell>
          <cell r="D5487">
            <v>34000000</v>
          </cell>
          <cell r="E5487">
            <v>34000000</v>
          </cell>
          <cell r="F5487">
            <v>34000000</v>
          </cell>
          <cell r="G5487">
            <v>34000000</v>
          </cell>
          <cell r="H5487">
            <v>34000000</v>
          </cell>
          <cell r="I5487" t="str">
            <v/>
          </cell>
          <cell r="J5487" t="str">
            <v/>
          </cell>
          <cell r="K5487" t="str">
            <v/>
          </cell>
          <cell r="L5487" t="str">
            <v/>
          </cell>
        </row>
        <row r="5488">
          <cell r="A5488">
            <v>34000000</v>
          </cell>
          <cell r="C5488">
            <v>34000000</v>
          </cell>
          <cell r="D5488">
            <v>34000000</v>
          </cell>
          <cell r="E5488">
            <v>34000000</v>
          </cell>
          <cell r="F5488">
            <v>34000000</v>
          </cell>
          <cell r="G5488">
            <v>34000000</v>
          </cell>
          <cell r="H5488">
            <v>34000000</v>
          </cell>
          <cell r="I5488" t="str">
            <v/>
          </cell>
          <cell r="J5488" t="str">
            <v/>
          </cell>
          <cell r="K5488" t="str">
            <v/>
          </cell>
          <cell r="L5488" t="str">
            <v/>
          </cell>
        </row>
        <row r="5489">
          <cell r="A5489">
            <v>34000000</v>
          </cell>
          <cell r="C5489">
            <v>34000000</v>
          </cell>
          <cell r="D5489">
            <v>34000000</v>
          </cell>
          <cell r="E5489">
            <v>34000000</v>
          </cell>
          <cell r="F5489">
            <v>34000000</v>
          </cell>
          <cell r="G5489">
            <v>34000000</v>
          </cell>
          <cell r="H5489">
            <v>34000000</v>
          </cell>
          <cell r="I5489" t="str">
            <v/>
          </cell>
          <cell r="J5489" t="str">
            <v/>
          </cell>
          <cell r="K5489" t="str">
            <v/>
          </cell>
          <cell r="L5489" t="str">
            <v/>
          </cell>
        </row>
        <row r="5490">
          <cell r="A5490">
            <v>34000000</v>
          </cell>
          <cell r="C5490">
            <v>34000000</v>
          </cell>
          <cell r="D5490">
            <v>34000000</v>
          </cell>
          <cell r="E5490">
            <v>34000000</v>
          </cell>
          <cell r="F5490">
            <v>34000000</v>
          </cell>
          <cell r="G5490">
            <v>34000000</v>
          </cell>
          <cell r="H5490">
            <v>34000000</v>
          </cell>
          <cell r="I5490" t="str">
            <v/>
          </cell>
          <cell r="J5490" t="str">
            <v/>
          </cell>
          <cell r="K5490" t="str">
            <v/>
          </cell>
          <cell r="L5490" t="str">
            <v/>
          </cell>
        </row>
        <row r="5491">
          <cell r="A5491">
            <v>34000000</v>
          </cell>
          <cell r="C5491">
            <v>34000000</v>
          </cell>
          <cell r="D5491">
            <v>34000000</v>
          </cell>
          <cell r="E5491">
            <v>34000000</v>
          </cell>
          <cell r="F5491">
            <v>34000000</v>
          </cell>
          <cell r="G5491">
            <v>34000000</v>
          </cell>
          <cell r="H5491">
            <v>34000000</v>
          </cell>
          <cell r="I5491" t="str">
            <v/>
          </cell>
          <cell r="J5491" t="str">
            <v/>
          </cell>
          <cell r="K5491" t="str">
            <v/>
          </cell>
          <cell r="L5491" t="str">
            <v/>
          </cell>
        </row>
        <row r="5492">
          <cell r="A5492">
            <v>34000000</v>
          </cell>
          <cell r="C5492">
            <v>34000000</v>
          </cell>
          <cell r="D5492">
            <v>34000000</v>
          </cell>
          <cell r="E5492">
            <v>34000000</v>
          </cell>
          <cell r="F5492">
            <v>34000000</v>
          </cell>
          <cell r="G5492">
            <v>34000000</v>
          </cell>
          <cell r="H5492">
            <v>34000000</v>
          </cell>
          <cell r="I5492" t="str">
            <v/>
          </cell>
          <cell r="J5492" t="str">
            <v/>
          </cell>
          <cell r="K5492" t="str">
            <v/>
          </cell>
          <cell r="L5492" t="str">
            <v/>
          </cell>
        </row>
        <row r="5493">
          <cell r="A5493">
            <v>34000000</v>
          </cell>
          <cell r="C5493">
            <v>34000000</v>
          </cell>
          <cell r="D5493">
            <v>34000000</v>
          </cell>
          <cell r="E5493">
            <v>34000000</v>
          </cell>
          <cell r="F5493">
            <v>34000000</v>
          </cell>
          <cell r="G5493">
            <v>34000000</v>
          </cell>
          <cell r="H5493">
            <v>34000000</v>
          </cell>
          <cell r="I5493" t="str">
            <v/>
          </cell>
          <cell r="J5493" t="str">
            <v/>
          </cell>
          <cell r="K5493" t="str">
            <v/>
          </cell>
          <cell r="L5493" t="str">
            <v/>
          </cell>
        </row>
        <row r="5494">
          <cell r="A5494">
            <v>34000000</v>
          </cell>
          <cell r="C5494">
            <v>34000000</v>
          </cell>
          <cell r="D5494">
            <v>34000000</v>
          </cell>
          <cell r="E5494">
            <v>34000000</v>
          </cell>
          <cell r="F5494">
            <v>34000000</v>
          </cell>
          <cell r="G5494">
            <v>34000000</v>
          </cell>
          <cell r="H5494">
            <v>34000000</v>
          </cell>
          <cell r="I5494" t="str">
            <v/>
          </cell>
          <cell r="J5494" t="str">
            <v/>
          </cell>
          <cell r="K5494" t="str">
            <v/>
          </cell>
          <cell r="L5494" t="str">
            <v/>
          </cell>
        </row>
        <row r="5495">
          <cell r="A5495">
            <v>34000000</v>
          </cell>
          <cell r="C5495">
            <v>34000000</v>
          </cell>
          <cell r="D5495">
            <v>34000000</v>
          </cell>
          <cell r="E5495">
            <v>34000000</v>
          </cell>
          <cell r="F5495">
            <v>34000000</v>
          </cell>
          <cell r="G5495">
            <v>34000000</v>
          </cell>
          <cell r="H5495">
            <v>34000000</v>
          </cell>
          <cell r="I5495" t="str">
            <v/>
          </cell>
          <cell r="J5495" t="str">
            <v/>
          </cell>
          <cell r="K5495" t="str">
            <v/>
          </cell>
          <cell r="L5495" t="str">
            <v/>
          </cell>
        </row>
        <row r="5496">
          <cell r="A5496">
            <v>34000000</v>
          </cell>
          <cell r="C5496">
            <v>34000000</v>
          </cell>
          <cell r="D5496">
            <v>34000000</v>
          </cell>
          <cell r="E5496">
            <v>34000000</v>
          </cell>
          <cell r="F5496">
            <v>34000000</v>
          </cell>
          <cell r="G5496">
            <v>34000000</v>
          </cell>
          <cell r="H5496">
            <v>34000000</v>
          </cell>
          <cell r="I5496" t="str">
            <v/>
          </cell>
          <cell r="J5496" t="str">
            <v/>
          </cell>
          <cell r="K5496" t="str">
            <v/>
          </cell>
          <cell r="L5496" t="str">
            <v/>
          </cell>
        </row>
        <row r="5497">
          <cell r="A5497">
            <v>34000000</v>
          </cell>
          <cell r="C5497">
            <v>34000000</v>
          </cell>
          <cell r="D5497">
            <v>34000000</v>
          </cell>
          <cell r="E5497">
            <v>34000000</v>
          </cell>
          <cell r="F5497">
            <v>34000000</v>
          </cell>
          <cell r="G5497">
            <v>34000000</v>
          </cell>
          <cell r="H5497">
            <v>34000000</v>
          </cell>
          <cell r="I5497" t="str">
            <v/>
          </cell>
          <cell r="J5497" t="str">
            <v/>
          </cell>
          <cell r="K5497" t="str">
            <v/>
          </cell>
          <cell r="L5497" t="str">
            <v/>
          </cell>
        </row>
        <row r="5498">
          <cell r="A5498">
            <v>34000000</v>
          </cell>
          <cell r="C5498">
            <v>34000000</v>
          </cell>
          <cell r="D5498">
            <v>34000000</v>
          </cell>
          <cell r="E5498">
            <v>34000000</v>
          </cell>
          <cell r="F5498">
            <v>34000000</v>
          </cell>
          <cell r="G5498">
            <v>34000000</v>
          </cell>
          <cell r="H5498">
            <v>34000000</v>
          </cell>
          <cell r="I5498" t="str">
            <v/>
          </cell>
          <cell r="J5498" t="str">
            <v/>
          </cell>
          <cell r="K5498" t="str">
            <v/>
          </cell>
          <cell r="L5498" t="str">
            <v/>
          </cell>
        </row>
        <row r="5499">
          <cell r="A5499">
            <v>34000000</v>
          </cell>
          <cell r="C5499">
            <v>34000000</v>
          </cell>
          <cell r="D5499">
            <v>34000000</v>
          </cell>
          <cell r="E5499">
            <v>34000000</v>
          </cell>
          <cell r="F5499">
            <v>34000000</v>
          </cell>
          <cell r="G5499">
            <v>34000000</v>
          </cell>
          <cell r="H5499">
            <v>34000000</v>
          </cell>
          <cell r="I5499" t="str">
            <v/>
          </cell>
          <cell r="J5499" t="str">
            <v/>
          </cell>
          <cell r="K5499" t="str">
            <v/>
          </cell>
          <cell r="L5499" t="str">
            <v/>
          </cell>
        </row>
        <row r="5500">
          <cell r="A5500">
            <v>34000000</v>
          </cell>
          <cell r="C5500">
            <v>34000000</v>
          </cell>
          <cell r="D5500">
            <v>34000000</v>
          </cell>
          <cell r="E5500">
            <v>34000000</v>
          </cell>
          <cell r="F5500">
            <v>34000000</v>
          </cell>
          <cell r="G5500">
            <v>34000000</v>
          </cell>
          <cell r="H5500">
            <v>34000000</v>
          </cell>
          <cell r="I5500" t="str">
            <v/>
          </cell>
          <cell r="J5500" t="str">
            <v/>
          </cell>
          <cell r="K5500" t="str">
            <v/>
          </cell>
          <cell r="L5500" t="str">
            <v/>
          </cell>
        </row>
        <row r="5501">
          <cell r="A5501">
            <v>34000000</v>
          </cell>
          <cell r="C5501">
            <v>34000000</v>
          </cell>
          <cell r="D5501">
            <v>34000000</v>
          </cell>
          <cell r="E5501">
            <v>34000000</v>
          </cell>
          <cell r="F5501">
            <v>34000000</v>
          </cell>
          <cell r="G5501">
            <v>34000000</v>
          </cell>
          <cell r="H5501">
            <v>34000000</v>
          </cell>
          <cell r="I5501" t="str">
            <v/>
          </cell>
          <cell r="J5501" t="str">
            <v/>
          </cell>
          <cell r="K5501" t="str">
            <v/>
          </cell>
          <cell r="L5501" t="str">
            <v/>
          </cell>
        </row>
        <row r="5502">
          <cell r="A5502">
            <v>34000000</v>
          </cell>
          <cell r="C5502">
            <v>34000000</v>
          </cell>
          <cell r="D5502">
            <v>34000000</v>
          </cell>
          <cell r="E5502">
            <v>34000000</v>
          </cell>
          <cell r="F5502">
            <v>34000000</v>
          </cell>
          <cell r="G5502">
            <v>34000000</v>
          </cell>
          <cell r="H5502">
            <v>34000000</v>
          </cell>
          <cell r="I5502" t="str">
            <v/>
          </cell>
          <cell r="J5502" t="str">
            <v/>
          </cell>
          <cell r="K5502" t="str">
            <v/>
          </cell>
          <cell r="L5502" t="str">
            <v/>
          </cell>
        </row>
        <row r="5503">
          <cell r="A5503">
            <v>34000000</v>
          </cell>
          <cell r="C5503">
            <v>34000000</v>
          </cell>
          <cell r="D5503">
            <v>34000000</v>
          </cell>
          <cell r="E5503">
            <v>34000000</v>
          </cell>
          <cell r="F5503">
            <v>34000000</v>
          </cell>
          <cell r="G5503">
            <v>34000000</v>
          </cell>
          <cell r="H5503">
            <v>34000000</v>
          </cell>
          <cell r="I5503" t="str">
            <v/>
          </cell>
          <cell r="J5503" t="str">
            <v/>
          </cell>
          <cell r="K5503" t="str">
            <v/>
          </cell>
          <cell r="L5503" t="str">
            <v/>
          </cell>
        </row>
        <row r="5504">
          <cell r="A5504">
            <v>34000000</v>
          </cell>
          <cell r="C5504">
            <v>34000000</v>
          </cell>
          <cell r="D5504">
            <v>34000000</v>
          </cell>
          <cell r="E5504">
            <v>34000000</v>
          </cell>
          <cell r="F5504">
            <v>34000000</v>
          </cell>
          <cell r="G5504">
            <v>34000000</v>
          </cell>
          <cell r="H5504">
            <v>34000000</v>
          </cell>
          <cell r="I5504" t="str">
            <v/>
          </cell>
          <cell r="J5504" t="str">
            <v/>
          </cell>
          <cell r="K5504" t="str">
            <v/>
          </cell>
          <cell r="L5504" t="str">
            <v/>
          </cell>
        </row>
        <row r="5505">
          <cell r="A5505">
            <v>34000000</v>
          </cell>
          <cell r="C5505">
            <v>34000000</v>
          </cell>
          <cell r="D5505">
            <v>34000000</v>
          </cell>
          <cell r="E5505">
            <v>34000000</v>
          </cell>
          <cell r="F5505">
            <v>34000000</v>
          </cell>
          <cell r="G5505">
            <v>34000000</v>
          </cell>
          <cell r="H5505">
            <v>34000000</v>
          </cell>
          <cell r="I5505" t="str">
            <v/>
          </cell>
          <cell r="J5505" t="str">
            <v/>
          </cell>
          <cell r="K5505" t="str">
            <v/>
          </cell>
          <cell r="L5505" t="str">
            <v/>
          </cell>
        </row>
        <row r="5506">
          <cell r="A5506">
            <v>34000000</v>
          </cell>
          <cell r="C5506">
            <v>34000000</v>
          </cell>
          <cell r="D5506">
            <v>34000000</v>
          </cell>
          <cell r="E5506">
            <v>34000000</v>
          </cell>
          <cell r="F5506">
            <v>34000000</v>
          </cell>
          <cell r="G5506">
            <v>34000000</v>
          </cell>
          <cell r="H5506">
            <v>34000000</v>
          </cell>
          <cell r="I5506" t="str">
            <v/>
          </cell>
          <cell r="J5506" t="str">
            <v/>
          </cell>
          <cell r="K5506" t="str">
            <v/>
          </cell>
          <cell r="L5506" t="str">
            <v/>
          </cell>
        </row>
        <row r="5507">
          <cell r="A5507">
            <v>34000000</v>
          </cell>
          <cell r="C5507">
            <v>34000000</v>
          </cell>
          <cell r="D5507">
            <v>34000000</v>
          </cell>
          <cell r="E5507">
            <v>34000000</v>
          </cell>
          <cell r="F5507">
            <v>34000000</v>
          </cell>
          <cell r="G5507">
            <v>34000000</v>
          </cell>
          <cell r="H5507">
            <v>34000000</v>
          </cell>
          <cell r="I5507" t="str">
            <v/>
          </cell>
          <cell r="J5507" t="str">
            <v/>
          </cell>
          <cell r="K5507" t="str">
            <v/>
          </cell>
          <cell r="L5507" t="str">
            <v/>
          </cell>
        </row>
        <row r="5508">
          <cell r="A5508">
            <v>34000000</v>
          </cell>
          <cell r="C5508">
            <v>34000000</v>
          </cell>
          <cell r="D5508">
            <v>34000000</v>
          </cell>
          <cell r="E5508">
            <v>34000000</v>
          </cell>
          <cell r="F5508">
            <v>34000000</v>
          </cell>
          <cell r="G5508">
            <v>34000000</v>
          </cell>
          <cell r="H5508">
            <v>34000000</v>
          </cell>
          <cell r="I5508" t="str">
            <v/>
          </cell>
          <cell r="J5508" t="str">
            <v/>
          </cell>
          <cell r="K5508" t="str">
            <v/>
          </cell>
          <cell r="L5508" t="str">
            <v/>
          </cell>
        </row>
        <row r="5509">
          <cell r="A5509">
            <v>34000000</v>
          </cell>
          <cell r="C5509">
            <v>34000000</v>
          </cell>
          <cell r="D5509">
            <v>34000000</v>
          </cell>
          <cell r="E5509">
            <v>34000000</v>
          </cell>
          <cell r="F5509">
            <v>34000000</v>
          </cell>
          <cell r="G5509">
            <v>34000000</v>
          </cell>
          <cell r="H5509">
            <v>34000000</v>
          </cell>
          <cell r="I5509" t="str">
            <v/>
          </cell>
          <cell r="J5509" t="str">
            <v/>
          </cell>
          <cell r="K5509" t="str">
            <v/>
          </cell>
          <cell r="L5509" t="str">
            <v/>
          </cell>
        </row>
        <row r="5510">
          <cell r="A5510">
            <v>34000000</v>
          </cell>
          <cell r="C5510">
            <v>34000000</v>
          </cell>
          <cell r="D5510">
            <v>34000000</v>
          </cell>
          <cell r="E5510">
            <v>34000000</v>
          </cell>
          <cell r="F5510">
            <v>34000000</v>
          </cell>
          <cell r="G5510">
            <v>34000000</v>
          </cell>
          <cell r="H5510">
            <v>34000000</v>
          </cell>
          <cell r="I5510" t="str">
            <v/>
          </cell>
          <cell r="J5510" t="str">
            <v/>
          </cell>
          <cell r="K5510" t="str">
            <v/>
          </cell>
          <cell r="L5510" t="str">
            <v/>
          </cell>
        </row>
        <row r="5511">
          <cell r="A5511">
            <v>34000000</v>
          </cell>
          <cell r="C5511">
            <v>34000000</v>
          </cell>
          <cell r="D5511">
            <v>34000000</v>
          </cell>
          <cell r="E5511">
            <v>34000000</v>
          </cell>
          <cell r="F5511">
            <v>34000000</v>
          </cell>
          <cell r="G5511">
            <v>34000000</v>
          </cell>
          <cell r="H5511">
            <v>34000000</v>
          </cell>
          <cell r="I5511" t="str">
            <v/>
          </cell>
          <cell r="J5511" t="str">
            <v/>
          </cell>
          <cell r="K5511" t="str">
            <v/>
          </cell>
          <cell r="L5511" t="str">
            <v/>
          </cell>
        </row>
        <row r="5512">
          <cell r="A5512">
            <v>34000000</v>
          </cell>
          <cell r="C5512">
            <v>34000000</v>
          </cell>
          <cell r="D5512">
            <v>34000000</v>
          </cell>
          <cell r="E5512">
            <v>34000000</v>
          </cell>
          <cell r="F5512">
            <v>34000000</v>
          </cell>
          <cell r="G5512">
            <v>34000000</v>
          </cell>
          <cell r="H5512">
            <v>34000000</v>
          </cell>
          <cell r="I5512" t="str">
            <v/>
          </cell>
          <cell r="J5512" t="str">
            <v/>
          </cell>
          <cell r="K5512" t="str">
            <v/>
          </cell>
          <cell r="L5512" t="str">
            <v/>
          </cell>
        </row>
        <row r="5513">
          <cell r="A5513">
            <v>34000000</v>
          </cell>
          <cell r="C5513">
            <v>34000000</v>
          </cell>
          <cell r="D5513">
            <v>34000000</v>
          </cell>
          <cell r="E5513">
            <v>34000000</v>
          </cell>
          <cell r="F5513">
            <v>34000000</v>
          </cell>
          <cell r="G5513">
            <v>34000000</v>
          </cell>
          <cell r="H5513">
            <v>34000000</v>
          </cell>
          <cell r="I5513" t="str">
            <v/>
          </cell>
          <cell r="J5513" t="str">
            <v/>
          </cell>
          <cell r="K5513" t="str">
            <v/>
          </cell>
          <cell r="L5513" t="str">
            <v/>
          </cell>
        </row>
        <row r="5514">
          <cell r="A5514">
            <v>34000000</v>
          </cell>
          <cell r="C5514">
            <v>34000000</v>
          </cell>
          <cell r="D5514">
            <v>34000000</v>
          </cell>
          <cell r="E5514">
            <v>34000000</v>
          </cell>
          <cell r="F5514">
            <v>34000000</v>
          </cell>
          <cell r="G5514">
            <v>34000000</v>
          </cell>
          <cell r="H5514">
            <v>34000000</v>
          </cell>
          <cell r="I5514" t="str">
            <v/>
          </cell>
          <cell r="J5514" t="str">
            <v/>
          </cell>
          <cell r="K5514" t="str">
            <v/>
          </cell>
          <cell r="L5514" t="str">
            <v/>
          </cell>
        </row>
        <row r="5515">
          <cell r="A5515">
            <v>34000000</v>
          </cell>
          <cell r="C5515">
            <v>34000000</v>
          </cell>
          <cell r="D5515">
            <v>34000000</v>
          </cell>
          <cell r="E5515">
            <v>34000000</v>
          </cell>
          <cell r="F5515">
            <v>34000000</v>
          </cell>
          <cell r="G5515">
            <v>34000000</v>
          </cell>
          <cell r="H5515">
            <v>34000000</v>
          </cell>
          <cell r="I5515" t="str">
            <v/>
          </cell>
          <cell r="J5515" t="str">
            <v/>
          </cell>
          <cell r="K5515" t="str">
            <v/>
          </cell>
          <cell r="L5515" t="str">
            <v/>
          </cell>
        </row>
        <row r="5516">
          <cell r="A5516">
            <v>34000000</v>
          </cell>
          <cell r="C5516">
            <v>34000000</v>
          </cell>
          <cell r="D5516">
            <v>34000000</v>
          </cell>
          <cell r="E5516">
            <v>34000000</v>
          </cell>
          <cell r="F5516">
            <v>34000000</v>
          </cell>
          <cell r="G5516">
            <v>34000000</v>
          </cell>
          <cell r="H5516">
            <v>34000000</v>
          </cell>
          <cell r="I5516" t="str">
            <v/>
          </cell>
          <cell r="J5516" t="str">
            <v/>
          </cell>
          <cell r="K5516" t="str">
            <v/>
          </cell>
          <cell r="L5516" t="str">
            <v/>
          </cell>
        </row>
        <row r="5517">
          <cell r="A5517">
            <v>34000000</v>
          </cell>
          <cell r="C5517">
            <v>34000000</v>
          </cell>
          <cell r="D5517">
            <v>34000000</v>
          </cell>
          <cell r="E5517">
            <v>34000000</v>
          </cell>
          <cell r="F5517">
            <v>34000000</v>
          </cell>
          <cell r="G5517">
            <v>34000000</v>
          </cell>
          <cell r="H5517">
            <v>34000000</v>
          </cell>
          <cell r="I5517" t="str">
            <v/>
          </cell>
          <cell r="J5517" t="str">
            <v/>
          </cell>
          <cell r="K5517" t="str">
            <v/>
          </cell>
          <cell r="L5517" t="str">
            <v/>
          </cell>
        </row>
        <row r="5518">
          <cell r="A5518">
            <v>34000000</v>
          </cell>
          <cell r="C5518">
            <v>34000000</v>
          </cell>
          <cell r="D5518">
            <v>34000000</v>
          </cell>
          <cell r="E5518">
            <v>34000000</v>
          </cell>
          <cell r="F5518">
            <v>34000000</v>
          </cell>
          <cell r="G5518">
            <v>34000000</v>
          </cell>
          <cell r="H5518">
            <v>34000000</v>
          </cell>
          <cell r="I5518" t="str">
            <v/>
          </cell>
          <cell r="J5518" t="str">
            <v/>
          </cell>
          <cell r="K5518" t="str">
            <v/>
          </cell>
          <cell r="L5518" t="str">
            <v/>
          </cell>
        </row>
        <row r="5519">
          <cell r="A5519">
            <v>34000000</v>
          </cell>
          <cell r="C5519">
            <v>34000000</v>
          </cell>
          <cell r="D5519">
            <v>34000000</v>
          </cell>
          <cell r="E5519">
            <v>34000000</v>
          </cell>
          <cell r="F5519">
            <v>34000000</v>
          </cell>
          <cell r="G5519">
            <v>34000000</v>
          </cell>
          <cell r="H5519">
            <v>34000000</v>
          </cell>
          <cell r="I5519" t="str">
            <v/>
          </cell>
          <cell r="J5519" t="str">
            <v/>
          </cell>
          <cell r="K5519" t="str">
            <v/>
          </cell>
          <cell r="L5519" t="str">
            <v/>
          </cell>
        </row>
        <row r="5520">
          <cell r="A5520">
            <v>34000000</v>
          </cell>
          <cell r="C5520">
            <v>34000000</v>
          </cell>
          <cell r="D5520">
            <v>34000000</v>
          </cell>
          <cell r="E5520">
            <v>34000000</v>
          </cell>
          <cell r="F5520">
            <v>34000000</v>
          </cell>
          <cell r="G5520">
            <v>34000000</v>
          </cell>
          <cell r="H5520">
            <v>34000000</v>
          </cell>
          <cell r="I5520" t="str">
            <v/>
          </cell>
          <cell r="J5520" t="str">
            <v/>
          </cell>
          <cell r="K5520" t="str">
            <v/>
          </cell>
          <cell r="L5520" t="str">
            <v/>
          </cell>
        </row>
        <row r="5521">
          <cell r="A5521">
            <v>34000000</v>
          </cell>
          <cell r="C5521">
            <v>34000000</v>
          </cell>
          <cell r="D5521">
            <v>34000000</v>
          </cell>
          <cell r="E5521">
            <v>34000000</v>
          </cell>
          <cell r="F5521">
            <v>34000000</v>
          </cell>
          <cell r="G5521">
            <v>34000000</v>
          </cell>
          <cell r="H5521">
            <v>34000000</v>
          </cell>
          <cell r="I5521" t="str">
            <v/>
          </cell>
          <cell r="J5521" t="str">
            <v/>
          </cell>
          <cell r="K5521" t="str">
            <v/>
          </cell>
          <cell r="L5521" t="str">
            <v/>
          </cell>
        </row>
        <row r="5522">
          <cell r="A5522">
            <v>34000000</v>
          </cell>
          <cell r="C5522">
            <v>34000000</v>
          </cell>
          <cell r="D5522">
            <v>34000000</v>
          </cell>
          <cell r="E5522">
            <v>34000000</v>
          </cell>
          <cell r="F5522">
            <v>34000000</v>
          </cell>
          <cell r="G5522">
            <v>34000000</v>
          </cell>
          <cell r="H5522">
            <v>34000000</v>
          </cell>
          <cell r="I5522" t="str">
            <v/>
          </cell>
          <cell r="J5522" t="str">
            <v/>
          </cell>
          <cell r="K5522" t="str">
            <v/>
          </cell>
          <cell r="L5522" t="str">
            <v/>
          </cell>
        </row>
        <row r="5523">
          <cell r="A5523">
            <v>34000000</v>
          </cell>
          <cell r="C5523">
            <v>34000000</v>
          </cell>
          <cell r="D5523">
            <v>34000000</v>
          </cell>
          <cell r="E5523">
            <v>34000000</v>
          </cell>
          <cell r="F5523">
            <v>34000000</v>
          </cell>
          <cell r="G5523">
            <v>34000000</v>
          </cell>
          <cell r="H5523">
            <v>34000000</v>
          </cell>
          <cell r="I5523" t="str">
            <v/>
          </cell>
          <cell r="J5523" t="str">
            <v/>
          </cell>
          <cell r="K5523" t="str">
            <v/>
          </cell>
          <cell r="L5523" t="str">
            <v/>
          </cell>
        </row>
        <row r="5524">
          <cell r="A5524">
            <v>34000000</v>
          </cell>
          <cell r="C5524">
            <v>34000000</v>
          </cell>
          <cell r="D5524">
            <v>34000000</v>
          </cell>
          <cell r="E5524">
            <v>34000000</v>
          </cell>
          <cell r="F5524">
            <v>34000000</v>
          </cell>
          <cell r="G5524">
            <v>34000000</v>
          </cell>
          <cell r="H5524">
            <v>34000000</v>
          </cell>
          <cell r="I5524" t="str">
            <v/>
          </cell>
          <cell r="J5524" t="str">
            <v/>
          </cell>
          <cell r="K5524" t="str">
            <v/>
          </cell>
          <cell r="L5524" t="str">
            <v/>
          </cell>
        </row>
        <row r="5525">
          <cell r="A5525">
            <v>34000000</v>
          </cell>
          <cell r="C5525">
            <v>34000000</v>
          </cell>
          <cell r="D5525">
            <v>34000000</v>
          </cell>
          <cell r="E5525">
            <v>34000000</v>
          </cell>
          <cell r="F5525">
            <v>34000000</v>
          </cell>
          <cell r="G5525">
            <v>34000000</v>
          </cell>
          <cell r="H5525">
            <v>34000000</v>
          </cell>
          <cell r="I5525" t="str">
            <v/>
          </cell>
          <cell r="J5525" t="str">
            <v/>
          </cell>
          <cell r="K5525" t="str">
            <v/>
          </cell>
          <cell r="L5525" t="str">
            <v/>
          </cell>
        </row>
        <row r="5526">
          <cell r="A5526">
            <v>34000000</v>
          </cell>
          <cell r="C5526">
            <v>34000000</v>
          </cell>
          <cell r="D5526">
            <v>34000000</v>
          </cell>
          <cell r="E5526">
            <v>34000000</v>
          </cell>
          <cell r="F5526">
            <v>34000000</v>
          </cell>
          <cell r="G5526">
            <v>34000000</v>
          </cell>
          <cell r="H5526">
            <v>34000000</v>
          </cell>
          <cell r="I5526" t="str">
            <v/>
          </cell>
          <cell r="J5526" t="str">
            <v/>
          </cell>
          <cell r="K5526" t="str">
            <v/>
          </cell>
          <cell r="L5526" t="str">
            <v/>
          </cell>
        </row>
        <row r="5527">
          <cell r="A5527">
            <v>34000000</v>
          </cell>
          <cell r="C5527">
            <v>34000000</v>
          </cell>
          <cell r="D5527">
            <v>34000000</v>
          </cell>
          <cell r="E5527">
            <v>34000000</v>
          </cell>
          <cell r="F5527">
            <v>34000000</v>
          </cell>
          <cell r="G5527">
            <v>34000000</v>
          </cell>
          <cell r="H5527">
            <v>34000000</v>
          </cell>
          <cell r="I5527" t="str">
            <v/>
          </cell>
          <cell r="J5527" t="str">
            <v/>
          </cell>
          <cell r="K5527" t="str">
            <v/>
          </cell>
          <cell r="L5527" t="str">
            <v/>
          </cell>
        </row>
        <row r="5528">
          <cell r="A5528">
            <v>34000000</v>
          </cell>
          <cell r="C5528">
            <v>34000000</v>
          </cell>
          <cell r="D5528">
            <v>34000000</v>
          </cell>
          <cell r="E5528">
            <v>34000000</v>
          </cell>
          <cell r="F5528">
            <v>34000000</v>
          </cell>
          <cell r="G5528">
            <v>34000000</v>
          </cell>
          <cell r="H5528">
            <v>34000000</v>
          </cell>
          <cell r="I5528" t="str">
            <v/>
          </cell>
          <cell r="J5528" t="str">
            <v/>
          </cell>
          <cell r="K5528" t="str">
            <v/>
          </cell>
          <cell r="L5528" t="str">
            <v/>
          </cell>
        </row>
        <row r="5529">
          <cell r="A5529">
            <v>34000000</v>
          </cell>
          <cell r="C5529">
            <v>34000000</v>
          </cell>
          <cell r="D5529">
            <v>34000000</v>
          </cell>
          <cell r="E5529">
            <v>34000000</v>
          </cell>
          <cell r="F5529">
            <v>34000000</v>
          </cell>
          <cell r="G5529">
            <v>34000000</v>
          </cell>
          <cell r="H5529">
            <v>34000000</v>
          </cell>
          <cell r="I5529" t="str">
            <v/>
          </cell>
          <cell r="J5529" t="str">
            <v/>
          </cell>
          <cell r="K5529" t="str">
            <v/>
          </cell>
          <cell r="L5529" t="str">
            <v/>
          </cell>
        </row>
        <row r="5530">
          <cell r="A5530">
            <v>34000000</v>
          </cell>
          <cell r="C5530">
            <v>34000000</v>
          </cell>
          <cell r="D5530">
            <v>34000000</v>
          </cell>
          <cell r="E5530">
            <v>34000000</v>
          </cell>
          <cell r="F5530">
            <v>34000000</v>
          </cell>
          <cell r="G5530">
            <v>34000000</v>
          </cell>
          <cell r="H5530">
            <v>34000000</v>
          </cell>
          <cell r="I5530" t="str">
            <v/>
          </cell>
          <cell r="J5530" t="str">
            <v/>
          </cell>
          <cell r="K5530" t="str">
            <v/>
          </cell>
          <cell r="L5530" t="str">
            <v/>
          </cell>
        </row>
        <row r="5531">
          <cell r="A5531">
            <v>34000000</v>
          </cell>
          <cell r="C5531">
            <v>34000000</v>
          </cell>
          <cell r="D5531">
            <v>34000000</v>
          </cell>
          <cell r="E5531">
            <v>34000000</v>
          </cell>
          <cell r="F5531">
            <v>34000000</v>
          </cell>
          <cell r="G5531">
            <v>34000000</v>
          </cell>
          <cell r="H5531">
            <v>34000000</v>
          </cell>
          <cell r="I5531" t="str">
            <v/>
          </cell>
          <cell r="J5531" t="str">
            <v/>
          </cell>
          <cell r="K5531" t="str">
            <v/>
          </cell>
          <cell r="L5531" t="str">
            <v/>
          </cell>
        </row>
        <row r="5532">
          <cell r="A5532">
            <v>34000000</v>
          </cell>
          <cell r="C5532">
            <v>34000000</v>
          </cell>
          <cell r="D5532">
            <v>34000000</v>
          </cell>
          <cell r="E5532">
            <v>34000000</v>
          </cell>
          <cell r="F5532">
            <v>34000000</v>
          </cell>
          <cell r="G5532">
            <v>34000000</v>
          </cell>
          <cell r="H5532">
            <v>34000000</v>
          </cell>
          <cell r="I5532" t="str">
            <v/>
          </cell>
          <cell r="J5532" t="str">
            <v/>
          </cell>
          <cell r="K5532" t="str">
            <v/>
          </cell>
          <cell r="L5532" t="str">
            <v/>
          </cell>
        </row>
        <row r="5533">
          <cell r="A5533">
            <v>34000000</v>
          </cell>
          <cell r="C5533">
            <v>34000000</v>
          </cell>
          <cell r="D5533">
            <v>34000000</v>
          </cell>
          <cell r="E5533">
            <v>34000000</v>
          </cell>
          <cell r="F5533">
            <v>34000000</v>
          </cell>
          <cell r="G5533">
            <v>34000000</v>
          </cell>
          <cell r="H5533">
            <v>34000000</v>
          </cell>
          <cell r="I5533" t="str">
            <v/>
          </cell>
          <cell r="J5533" t="str">
            <v/>
          </cell>
          <cell r="K5533" t="str">
            <v/>
          </cell>
          <cell r="L5533" t="str">
            <v/>
          </cell>
        </row>
        <row r="5534">
          <cell r="A5534">
            <v>34000000</v>
          </cell>
          <cell r="C5534">
            <v>34000000</v>
          </cell>
          <cell r="D5534">
            <v>34000000</v>
          </cell>
          <cell r="E5534">
            <v>34000000</v>
          </cell>
          <cell r="F5534">
            <v>34000000</v>
          </cell>
          <cell r="G5534">
            <v>34000000</v>
          </cell>
          <cell r="H5534">
            <v>34000000</v>
          </cell>
          <cell r="I5534" t="str">
            <v/>
          </cell>
          <cell r="J5534" t="str">
            <v/>
          </cell>
          <cell r="K5534" t="str">
            <v/>
          </cell>
          <cell r="L5534" t="str">
            <v/>
          </cell>
        </row>
        <row r="5535">
          <cell r="A5535">
            <v>34000000</v>
          </cell>
          <cell r="C5535">
            <v>34000000</v>
          </cell>
          <cell r="D5535">
            <v>34000000</v>
          </cell>
          <cell r="E5535">
            <v>34000000</v>
          </cell>
          <cell r="F5535">
            <v>34000000</v>
          </cell>
          <cell r="G5535">
            <v>34000000</v>
          </cell>
          <cell r="H5535">
            <v>34000000</v>
          </cell>
          <cell r="I5535" t="str">
            <v/>
          </cell>
          <cell r="J5535" t="str">
            <v/>
          </cell>
          <cell r="K5535" t="str">
            <v/>
          </cell>
          <cell r="L5535" t="str">
            <v/>
          </cell>
        </row>
        <row r="5536">
          <cell r="A5536">
            <v>34000000</v>
          </cell>
          <cell r="C5536">
            <v>34000000</v>
          </cell>
          <cell r="D5536">
            <v>34000000</v>
          </cell>
          <cell r="E5536">
            <v>34000000</v>
          </cell>
          <cell r="F5536">
            <v>34000000</v>
          </cell>
          <cell r="G5536">
            <v>34000000</v>
          </cell>
          <cell r="H5536">
            <v>34000000</v>
          </cell>
          <cell r="I5536" t="str">
            <v/>
          </cell>
          <cell r="J5536" t="str">
            <v/>
          </cell>
          <cell r="K5536" t="str">
            <v/>
          </cell>
          <cell r="L5536" t="str">
            <v/>
          </cell>
        </row>
        <row r="5537">
          <cell r="A5537">
            <v>34000000</v>
          </cell>
          <cell r="C5537">
            <v>34000000</v>
          </cell>
          <cell r="D5537">
            <v>34000000</v>
          </cell>
          <cell r="E5537">
            <v>34000000</v>
          </cell>
          <cell r="F5537">
            <v>34000000</v>
          </cell>
          <cell r="G5537">
            <v>34000000</v>
          </cell>
          <cell r="H5537">
            <v>34000000</v>
          </cell>
          <cell r="I5537" t="str">
            <v/>
          </cell>
          <cell r="J5537" t="str">
            <v/>
          </cell>
          <cell r="K5537" t="str">
            <v/>
          </cell>
          <cell r="L5537" t="str">
            <v/>
          </cell>
        </row>
        <row r="5538">
          <cell r="A5538">
            <v>34000000</v>
          </cell>
          <cell r="C5538">
            <v>34000000</v>
          </cell>
          <cell r="D5538">
            <v>34000000</v>
          </cell>
          <cell r="E5538">
            <v>34000000</v>
          </cell>
          <cell r="F5538">
            <v>34000000</v>
          </cell>
          <cell r="G5538">
            <v>34000000</v>
          </cell>
          <cell r="H5538">
            <v>34000000</v>
          </cell>
          <cell r="I5538" t="str">
            <v/>
          </cell>
          <cell r="J5538" t="str">
            <v/>
          </cell>
          <cell r="K5538" t="str">
            <v/>
          </cell>
          <cell r="L5538" t="str">
            <v/>
          </cell>
        </row>
        <row r="5539">
          <cell r="A5539">
            <v>34000000</v>
          </cell>
          <cell r="C5539">
            <v>34000000</v>
          </cell>
          <cell r="D5539">
            <v>34000000</v>
          </cell>
          <cell r="E5539">
            <v>34000000</v>
          </cell>
          <cell r="F5539">
            <v>34000000</v>
          </cell>
          <cell r="G5539">
            <v>34000000</v>
          </cell>
          <cell r="H5539">
            <v>34000000</v>
          </cell>
          <cell r="I5539" t="str">
            <v/>
          </cell>
          <cell r="J5539" t="str">
            <v/>
          </cell>
          <cell r="K5539" t="str">
            <v/>
          </cell>
          <cell r="L5539" t="str">
            <v/>
          </cell>
        </row>
        <row r="5540">
          <cell r="A5540">
            <v>34000000</v>
          </cell>
          <cell r="C5540">
            <v>34000000</v>
          </cell>
          <cell r="D5540">
            <v>34000000</v>
          </cell>
          <cell r="E5540">
            <v>34000000</v>
          </cell>
          <cell r="F5540">
            <v>34000000</v>
          </cell>
          <cell r="G5540">
            <v>34000000</v>
          </cell>
          <cell r="H5540">
            <v>34000000</v>
          </cell>
          <cell r="I5540" t="str">
            <v/>
          </cell>
          <cell r="J5540" t="str">
            <v/>
          </cell>
          <cell r="K5540" t="str">
            <v/>
          </cell>
          <cell r="L5540" t="str">
            <v/>
          </cell>
        </row>
        <row r="5541">
          <cell r="A5541">
            <v>34000000</v>
          </cell>
          <cell r="C5541">
            <v>34000000</v>
          </cell>
          <cell r="D5541">
            <v>34000000</v>
          </cell>
          <cell r="E5541">
            <v>34000000</v>
          </cell>
          <cell r="F5541">
            <v>34000000</v>
          </cell>
          <cell r="G5541">
            <v>34000000</v>
          </cell>
          <cell r="H5541">
            <v>34000000</v>
          </cell>
          <cell r="I5541" t="str">
            <v/>
          </cell>
          <cell r="J5541" t="str">
            <v/>
          </cell>
          <cell r="K5541" t="str">
            <v/>
          </cell>
          <cell r="L5541" t="str">
            <v/>
          </cell>
        </row>
        <row r="5542">
          <cell r="A5542">
            <v>34000000</v>
          </cell>
          <cell r="C5542">
            <v>34000000</v>
          </cell>
          <cell r="D5542">
            <v>34000000</v>
          </cell>
          <cell r="E5542">
            <v>34000000</v>
          </cell>
          <cell r="F5542">
            <v>34000000</v>
          </cell>
          <cell r="G5542">
            <v>34000000</v>
          </cell>
          <cell r="H5542">
            <v>34000000</v>
          </cell>
          <cell r="I5542" t="str">
            <v/>
          </cell>
          <cell r="J5542" t="str">
            <v/>
          </cell>
          <cell r="K5542" t="str">
            <v/>
          </cell>
          <cell r="L5542" t="str">
            <v/>
          </cell>
        </row>
        <row r="5543">
          <cell r="A5543">
            <v>34000000</v>
          </cell>
          <cell r="C5543">
            <v>34000000</v>
          </cell>
          <cell r="D5543">
            <v>34000000</v>
          </cell>
          <cell r="E5543">
            <v>34000000</v>
          </cell>
          <cell r="F5543">
            <v>34000000</v>
          </cell>
          <cell r="G5543">
            <v>34000000</v>
          </cell>
          <cell r="H5543">
            <v>34000000</v>
          </cell>
          <cell r="I5543" t="str">
            <v/>
          </cell>
          <cell r="J5543" t="str">
            <v/>
          </cell>
          <cell r="K5543" t="str">
            <v/>
          </cell>
          <cell r="L5543" t="str">
            <v/>
          </cell>
        </row>
        <row r="5544">
          <cell r="A5544">
            <v>34000000</v>
          </cell>
          <cell r="C5544">
            <v>34000000</v>
          </cell>
          <cell r="D5544">
            <v>34000000</v>
          </cell>
          <cell r="E5544">
            <v>34000000</v>
          </cell>
          <cell r="F5544">
            <v>34000000</v>
          </cell>
          <cell r="G5544">
            <v>34000000</v>
          </cell>
          <cell r="H5544">
            <v>34000000</v>
          </cell>
          <cell r="I5544" t="str">
            <v/>
          </cell>
          <cell r="J5544" t="str">
            <v/>
          </cell>
          <cell r="K5544" t="str">
            <v/>
          </cell>
          <cell r="L5544" t="str">
            <v/>
          </cell>
        </row>
        <row r="5545">
          <cell r="A5545">
            <v>34000000</v>
          </cell>
          <cell r="C5545">
            <v>34000000</v>
          </cell>
          <cell r="D5545">
            <v>34000000</v>
          </cell>
          <cell r="E5545">
            <v>34000000</v>
          </cell>
          <cell r="F5545">
            <v>34000000</v>
          </cell>
          <cell r="G5545">
            <v>34000000</v>
          </cell>
          <cell r="H5545">
            <v>34000000</v>
          </cell>
          <cell r="I5545" t="str">
            <v/>
          </cell>
          <cell r="J5545" t="str">
            <v/>
          </cell>
          <cell r="K5545" t="str">
            <v/>
          </cell>
          <cell r="L5545" t="str">
            <v/>
          </cell>
        </row>
        <row r="5546">
          <cell r="A5546">
            <v>34000000</v>
          </cell>
          <cell r="C5546">
            <v>34000000</v>
          </cell>
          <cell r="D5546">
            <v>34000000</v>
          </cell>
          <cell r="E5546">
            <v>34000000</v>
          </cell>
          <cell r="F5546">
            <v>34000000</v>
          </cell>
          <cell r="G5546">
            <v>34000000</v>
          </cell>
          <cell r="H5546">
            <v>34000000</v>
          </cell>
          <cell r="I5546" t="str">
            <v/>
          </cell>
          <cell r="J5546" t="str">
            <v/>
          </cell>
          <cell r="K5546" t="str">
            <v/>
          </cell>
          <cell r="L5546" t="str">
            <v/>
          </cell>
        </row>
        <row r="5547">
          <cell r="A5547">
            <v>34000000</v>
          </cell>
          <cell r="C5547">
            <v>34000000</v>
          </cell>
          <cell r="D5547">
            <v>34000000</v>
          </cell>
          <cell r="E5547">
            <v>34000000</v>
          </cell>
          <cell r="F5547">
            <v>34000000</v>
          </cell>
          <cell r="G5547">
            <v>34000000</v>
          </cell>
          <cell r="H5547">
            <v>34000000</v>
          </cell>
          <cell r="I5547" t="str">
            <v/>
          </cell>
          <cell r="J5547" t="str">
            <v/>
          </cell>
          <cell r="K5547" t="str">
            <v/>
          </cell>
          <cell r="L5547" t="str">
            <v/>
          </cell>
        </row>
        <row r="5548">
          <cell r="A5548">
            <v>34000000</v>
          </cell>
          <cell r="C5548">
            <v>34000000</v>
          </cell>
          <cell r="D5548">
            <v>34000000</v>
          </cell>
          <cell r="E5548">
            <v>34000000</v>
          </cell>
          <cell r="F5548">
            <v>34000000</v>
          </cell>
          <cell r="G5548">
            <v>34000000</v>
          </cell>
          <cell r="H5548">
            <v>34000000</v>
          </cell>
          <cell r="I5548" t="str">
            <v/>
          </cell>
          <cell r="J5548" t="str">
            <v/>
          </cell>
          <cell r="K5548" t="str">
            <v/>
          </cell>
          <cell r="L5548" t="str">
            <v/>
          </cell>
        </row>
        <row r="5549">
          <cell r="A5549">
            <v>34000000</v>
          </cell>
          <cell r="C5549">
            <v>34000000</v>
          </cell>
          <cell r="D5549">
            <v>34000000</v>
          </cell>
          <cell r="E5549">
            <v>34000000</v>
          </cell>
          <cell r="F5549">
            <v>34000000</v>
          </cell>
          <cell r="G5549">
            <v>34000000</v>
          </cell>
          <cell r="H5549">
            <v>34000000</v>
          </cell>
          <cell r="I5549" t="str">
            <v/>
          </cell>
          <cell r="J5549" t="str">
            <v/>
          </cell>
          <cell r="K5549" t="str">
            <v/>
          </cell>
          <cell r="L5549" t="str">
            <v/>
          </cell>
        </row>
        <row r="5550">
          <cell r="A5550">
            <v>34000000</v>
          </cell>
          <cell r="C5550">
            <v>34000000</v>
          </cell>
          <cell r="D5550">
            <v>34000000</v>
          </cell>
          <cell r="E5550">
            <v>34000000</v>
          </cell>
          <cell r="F5550">
            <v>34000000</v>
          </cell>
          <cell r="G5550">
            <v>34000000</v>
          </cell>
          <cell r="H5550">
            <v>34000000</v>
          </cell>
          <cell r="I5550" t="str">
            <v/>
          </cell>
          <cell r="J5550" t="str">
            <v/>
          </cell>
          <cell r="K5550" t="str">
            <v/>
          </cell>
          <cell r="L5550" t="str">
            <v/>
          </cell>
        </row>
        <row r="5551">
          <cell r="A5551">
            <v>34000000</v>
          </cell>
          <cell r="C5551">
            <v>34000000</v>
          </cell>
          <cell r="D5551">
            <v>34000000</v>
          </cell>
          <cell r="E5551">
            <v>34000000</v>
          </cell>
          <cell r="F5551">
            <v>34000000</v>
          </cell>
          <cell r="G5551">
            <v>34000000</v>
          </cell>
          <cell r="H5551">
            <v>34000000</v>
          </cell>
          <cell r="I5551" t="str">
            <v/>
          </cell>
          <cell r="J5551" t="str">
            <v/>
          </cell>
          <cell r="K5551" t="str">
            <v/>
          </cell>
          <cell r="L5551" t="str">
            <v/>
          </cell>
        </row>
        <row r="5552">
          <cell r="A5552">
            <v>34000000</v>
          </cell>
          <cell r="C5552">
            <v>34000000</v>
          </cell>
          <cell r="D5552">
            <v>34000000</v>
          </cell>
          <cell r="E5552">
            <v>34000000</v>
          </cell>
          <cell r="F5552">
            <v>34000000</v>
          </cell>
          <cell r="G5552">
            <v>34000000</v>
          </cell>
          <cell r="H5552">
            <v>34000000</v>
          </cell>
          <cell r="I5552" t="str">
            <v/>
          </cell>
          <cell r="J5552" t="str">
            <v/>
          </cell>
          <cell r="K5552" t="str">
            <v/>
          </cell>
          <cell r="L5552" t="str">
            <v/>
          </cell>
        </row>
        <row r="5553">
          <cell r="A5553">
            <v>34000000</v>
          </cell>
          <cell r="C5553">
            <v>34000000</v>
          </cell>
          <cell r="D5553">
            <v>34000000</v>
          </cell>
          <cell r="E5553">
            <v>34000000</v>
          </cell>
          <cell r="F5553">
            <v>34000000</v>
          </cell>
          <cell r="G5553">
            <v>34000000</v>
          </cell>
          <cell r="H5553">
            <v>34000000</v>
          </cell>
          <cell r="I5553" t="str">
            <v/>
          </cell>
          <cell r="J5553" t="str">
            <v/>
          </cell>
          <cell r="K5553" t="str">
            <v/>
          </cell>
          <cell r="L5553" t="str">
            <v/>
          </cell>
        </row>
        <row r="5554">
          <cell r="A5554">
            <v>34000000</v>
          </cell>
          <cell r="C5554">
            <v>34000000</v>
          </cell>
          <cell r="D5554">
            <v>34000000</v>
          </cell>
          <cell r="E5554">
            <v>34000000</v>
          </cell>
          <cell r="F5554">
            <v>34000000</v>
          </cell>
          <cell r="G5554">
            <v>34000000</v>
          </cell>
          <cell r="H5554">
            <v>34000000</v>
          </cell>
          <cell r="I5554" t="str">
            <v/>
          </cell>
          <cell r="J5554" t="str">
            <v/>
          </cell>
          <cell r="K5554" t="str">
            <v/>
          </cell>
          <cell r="L5554" t="str">
            <v/>
          </cell>
        </row>
        <row r="5555">
          <cell r="A5555">
            <v>34000000</v>
          </cell>
          <cell r="C5555">
            <v>34000000</v>
          </cell>
          <cell r="D5555">
            <v>34000000</v>
          </cell>
          <cell r="E5555">
            <v>34000000</v>
          </cell>
          <cell r="F5555">
            <v>34000000</v>
          </cell>
          <cell r="G5555">
            <v>34000000</v>
          </cell>
          <cell r="H5555">
            <v>34000000</v>
          </cell>
          <cell r="I5555" t="str">
            <v/>
          </cell>
          <cell r="J5555" t="str">
            <v/>
          </cell>
          <cell r="K5555" t="str">
            <v/>
          </cell>
          <cell r="L5555" t="str">
            <v/>
          </cell>
        </row>
        <row r="5556">
          <cell r="A5556">
            <v>34000000</v>
          </cell>
          <cell r="C5556">
            <v>34000000</v>
          </cell>
          <cell r="D5556">
            <v>34000000</v>
          </cell>
          <cell r="E5556">
            <v>34000000</v>
          </cell>
          <cell r="F5556">
            <v>34000000</v>
          </cell>
          <cell r="G5556">
            <v>34000000</v>
          </cell>
          <cell r="H5556">
            <v>34000000</v>
          </cell>
          <cell r="I5556" t="str">
            <v/>
          </cell>
          <cell r="J5556" t="str">
            <v/>
          </cell>
          <cell r="K5556" t="str">
            <v/>
          </cell>
          <cell r="L5556" t="str">
            <v/>
          </cell>
        </row>
        <row r="5557">
          <cell r="A5557">
            <v>34000000</v>
          </cell>
          <cell r="C5557">
            <v>34000000</v>
          </cell>
          <cell r="D5557">
            <v>34000000</v>
          </cell>
          <cell r="E5557">
            <v>34000000</v>
          </cell>
          <cell r="F5557">
            <v>34000000</v>
          </cell>
          <cell r="G5557">
            <v>34000000</v>
          </cell>
          <cell r="H5557">
            <v>34000000</v>
          </cell>
          <cell r="I5557" t="str">
            <v/>
          </cell>
          <cell r="J5557" t="str">
            <v/>
          </cell>
          <cell r="K5557" t="str">
            <v/>
          </cell>
          <cell r="L5557" t="str">
            <v/>
          </cell>
        </row>
        <row r="5558">
          <cell r="A5558">
            <v>34000000</v>
          </cell>
          <cell r="C5558">
            <v>34000000</v>
          </cell>
          <cell r="D5558">
            <v>34000000</v>
          </cell>
          <cell r="E5558">
            <v>34000000</v>
          </cell>
          <cell r="F5558">
            <v>34000000</v>
          </cell>
          <cell r="G5558">
            <v>34000000</v>
          </cell>
          <cell r="H5558">
            <v>34000000</v>
          </cell>
          <cell r="I5558" t="str">
            <v/>
          </cell>
          <cell r="J5558" t="str">
            <v/>
          </cell>
          <cell r="K5558" t="str">
            <v/>
          </cell>
          <cell r="L5558" t="str">
            <v/>
          </cell>
        </row>
        <row r="5559">
          <cell r="A5559">
            <v>34000000</v>
          </cell>
          <cell r="C5559">
            <v>34000000</v>
          </cell>
          <cell r="D5559">
            <v>34000000</v>
          </cell>
          <cell r="E5559">
            <v>34000000</v>
          </cell>
          <cell r="F5559">
            <v>34000000</v>
          </cell>
          <cell r="G5559">
            <v>34000000</v>
          </cell>
          <cell r="H5559">
            <v>34000000</v>
          </cell>
          <cell r="I5559" t="str">
            <v/>
          </cell>
          <cell r="J5559" t="str">
            <v/>
          </cell>
          <cell r="K5559" t="str">
            <v/>
          </cell>
          <cell r="L5559" t="str">
            <v/>
          </cell>
        </row>
        <row r="5560">
          <cell r="A5560">
            <v>34000000</v>
          </cell>
          <cell r="C5560">
            <v>34000000</v>
          </cell>
          <cell r="D5560">
            <v>34000000</v>
          </cell>
          <cell r="E5560">
            <v>34000000</v>
          </cell>
          <cell r="F5560">
            <v>34000000</v>
          </cell>
          <cell r="G5560">
            <v>34000000</v>
          </cell>
          <cell r="H5560">
            <v>34000000</v>
          </cell>
          <cell r="I5560" t="str">
            <v/>
          </cell>
          <cell r="J5560" t="str">
            <v/>
          </cell>
          <cell r="K5560" t="str">
            <v/>
          </cell>
          <cell r="L5560" t="str">
            <v/>
          </cell>
        </row>
        <row r="5561">
          <cell r="A5561">
            <v>34000000</v>
          </cell>
          <cell r="C5561">
            <v>34000000</v>
          </cell>
          <cell r="D5561">
            <v>34000000</v>
          </cell>
          <cell r="E5561">
            <v>34000000</v>
          </cell>
          <cell r="F5561">
            <v>34000000</v>
          </cell>
          <cell r="G5561">
            <v>34000000</v>
          </cell>
          <cell r="H5561">
            <v>34000000</v>
          </cell>
          <cell r="I5561" t="str">
            <v/>
          </cell>
          <cell r="J5561" t="str">
            <v/>
          </cell>
          <cell r="K5561" t="str">
            <v/>
          </cell>
          <cell r="L5561" t="str">
            <v/>
          </cell>
        </row>
        <row r="5562">
          <cell r="A5562">
            <v>34000000</v>
          </cell>
          <cell r="C5562">
            <v>34000000</v>
          </cell>
          <cell r="D5562">
            <v>34000000</v>
          </cell>
          <cell r="E5562">
            <v>34000000</v>
          </cell>
          <cell r="F5562">
            <v>34000000</v>
          </cell>
          <cell r="G5562">
            <v>34000000</v>
          </cell>
          <cell r="H5562">
            <v>34000000</v>
          </cell>
          <cell r="I5562" t="str">
            <v/>
          </cell>
          <cell r="J5562" t="str">
            <v/>
          </cell>
          <cell r="K5562" t="str">
            <v/>
          </cell>
          <cell r="L5562" t="str">
            <v/>
          </cell>
        </row>
        <row r="5563">
          <cell r="A5563">
            <v>34000000</v>
          </cell>
          <cell r="C5563">
            <v>34000000</v>
          </cell>
          <cell r="D5563">
            <v>34000000</v>
          </cell>
          <cell r="E5563">
            <v>34000000</v>
          </cell>
          <cell r="F5563">
            <v>34000000</v>
          </cell>
          <cell r="G5563">
            <v>34000000</v>
          </cell>
          <cell r="H5563">
            <v>34000000</v>
          </cell>
          <cell r="I5563" t="str">
            <v/>
          </cell>
          <cell r="J5563" t="str">
            <v/>
          </cell>
          <cell r="K5563" t="str">
            <v/>
          </cell>
          <cell r="L5563" t="str">
            <v/>
          </cell>
        </row>
        <row r="5564">
          <cell r="A5564">
            <v>34000000</v>
          </cell>
          <cell r="C5564">
            <v>34000000</v>
          </cell>
          <cell r="D5564">
            <v>34000000</v>
          </cell>
          <cell r="E5564">
            <v>34000000</v>
          </cell>
          <cell r="F5564">
            <v>34000000</v>
          </cell>
          <cell r="G5564">
            <v>34000000</v>
          </cell>
          <cell r="H5564">
            <v>34000000</v>
          </cell>
          <cell r="I5564" t="str">
            <v/>
          </cell>
          <cell r="J5564" t="str">
            <v/>
          </cell>
          <cell r="K5564" t="str">
            <v/>
          </cell>
          <cell r="L5564" t="str">
            <v/>
          </cell>
        </row>
        <row r="5565">
          <cell r="A5565">
            <v>34000000</v>
          </cell>
          <cell r="C5565">
            <v>34000000</v>
          </cell>
          <cell r="D5565">
            <v>34000000</v>
          </cell>
          <cell r="E5565">
            <v>34000000</v>
          </cell>
          <cell r="F5565">
            <v>34000000</v>
          </cell>
          <cell r="G5565">
            <v>34000000</v>
          </cell>
          <cell r="H5565">
            <v>34000000</v>
          </cell>
          <cell r="I5565" t="str">
            <v/>
          </cell>
          <cell r="J5565" t="str">
            <v/>
          </cell>
          <cell r="K5565" t="str">
            <v/>
          </cell>
          <cell r="L5565" t="str">
            <v/>
          </cell>
        </row>
        <row r="5566">
          <cell r="A5566">
            <v>34000000</v>
          </cell>
          <cell r="C5566">
            <v>34000000</v>
          </cell>
          <cell r="D5566">
            <v>34000000</v>
          </cell>
          <cell r="E5566">
            <v>34000000</v>
          </cell>
          <cell r="F5566">
            <v>34000000</v>
          </cell>
          <cell r="G5566">
            <v>34000000</v>
          </cell>
          <cell r="H5566">
            <v>34000000</v>
          </cell>
          <cell r="I5566" t="str">
            <v/>
          </cell>
          <cell r="J5566" t="str">
            <v/>
          </cell>
          <cell r="K5566" t="str">
            <v/>
          </cell>
          <cell r="L5566" t="str">
            <v/>
          </cell>
        </row>
        <row r="5567">
          <cell r="A5567">
            <v>34000000</v>
          </cell>
          <cell r="C5567">
            <v>34000000</v>
          </cell>
          <cell r="D5567">
            <v>34000000</v>
          </cell>
          <cell r="E5567">
            <v>34000000</v>
          </cell>
          <cell r="F5567">
            <v>34000000</v>
          </cell>
          <cell r="G5567">
            <v>34000000</v>
          </cell>
          <cell r="H5567">
            <v>34000000</v>
          </cell>
          <cell r="I5567" t="str">
            <v/>
          </cell>
          <cell r="J5567" t="str">
            <v/>
          </cell>
          <cell r="K5567" t="str">
            <v/>
          </cell>
          <cell r="L5567" t="str">
            <v/>
          </cell>
        </row>
        <row r="5568">
          <cell r="A5568">
            <v>34000000</v>
          </cell>
          <cell r="C5568">
            <v>34000000</v>
          </cell>
          <cell r="D5568">
            <v>34000000</v>
          </cell>
          <cell r="E5568">
            <v>34000000</v>
          </cell>
          <cell r="F5568">
            <v>34000000</v>
          </cell>
          <cell r="G5568">
            <v>34000000</v>
          </cell>
          <cell r="H5568">
            <v>34000000</v>
          </cell>
          <cell r="I5568" t="str">
            <v/>
          </cell>
          <cell r="J5568" t="str">
            <v/>
          </cell>
          <cell r="K5568" t="str">
            <v/>
          </cell>
          <cell r="L5568" t="str">
            <v/>
          </cell>
        </row>
        <row r="5569">
          <cell r="A5569">
            <v>34000000</v>
          </cell>
          <cell r="C5569">
            <v>34000000</v>
          </cell>
          <cell r="D5569">
            <v>34000000</v>
          </cell>
          <cell r="E5569">
            <v>34000000</v>
          </cell>
          <cell r="F5569">
            <v>34000000</v>
          </cell>
          <cell r="G5569">
            <v>34000000</v>
          </cell>
          <cell r="H5569">
            <v>34000000</v>
          </cell>
          <cell r="I5569" t="str">
            <v/>
          </cell>
          <cell r="J5569" t="str">
            <v/>
          </cell>
          <cell r="K5569" t="str">
            <v/>
          </cell>
          <cell r="L5569" t="str">
            <v/>
          </cell>
        </row>
        <row r="5570">
          <cell r="A5570">
            <v>34000000</v>
          </cell>
          <cell r="C5570">
            <v>34000000</v>
          </cell>
          <cell r="D5570">
            <v>34000000</v>
          </cell>
          <cell r="E5570">
            <v>34000000</v>
          </cell>
          <cell r="F5570">
            <v>34000000</v>
          </cell>
          <cell r="G5570">
            <v>34000000</v>
          </cell>
          <cell r="H5570">
            <v>34000000</v>
          </cell>
          <cell r="I5570" t="str">
            <v/>
          </cell>
          <cell r="J5570" t="str">
            <v/>
          </cell>
          <cell r="K5570" t="str">
            <v/>
          </cell>
          <cell r="L5570" t="str">
            <v/>
          </cell>
        </row>
        <row r="5571">
          <cell r="A5571">
            <v>34000000</v>
          </cell>
          <cell r="C5571">
            <v>34000000</v>
          </cell>
          <cell r="D5571">
            <v>34000000</v>
          </cell>
          <cell r="E5571">
            <v>34000000</v>
          </cell>
          <cell r="F5571">
            <v>34000000</v>
          </cell>
          <cell r="G5571">
            <v>34000000</v>
          </cell>
          <cell r="H5571">
            <v>34000000</v>
          </cell>
          <cell r="I5571" t="str">
            <v/>
          </cell>
          <cell r="J5571" t="str">
            <v/>
          </cell>
          <cell r="K5571" t="str">
            <v/>
          </cell>
          <cell r="L5571" t="str">
            <v/>
          </cell>
        </row>
        <row r="5572">
          <cell r="A5572">
            <v>34000000</v>
          </cell>
          <cell r="C5572">
            <v>34000000</v>
          </cell>
          <cell r="D5572">
            <v>34000000</v>
          </cell>
          <cell r="E5572">
            <v>34000000</v>
          </cell>
          <cell r="F5572">
            <v>34000000</v>
          </cell>
          <cell r="G5572">
            <v>34000000</v>
          </cell>
          <cell r="H5572">
            <v>34000000</v>
          </cell>
          <cell r="I5572" t="str">
            <v/>
          </cell>
          <cell r="J5572" t="str">
            <v/>
          </cell>
          <cell r="K5572" t="str">
            <v/>
          </cell>
          <cell r="L5572" t="str">
            <v/>
          </cell>
        </row>
        <row r="5573">
          <cell r="A5573">
            <v>34000000</v>
          </cell>
          <cell r="C5573">
            <v>34000000</v>
          </cell>
          <cell r="D5573">
            <v>34000000</v>
          </cell>
          <cell r="E5573">
            <v>34000000</v>
          </cell>
          <cell r="F5573">
            <v>34000000</v>
          </cell>
          <cell r="G5573">
            <v>34000000</v>
          </cell>
          <cell r="H5573">
            <v>34000000</v>
          </cell>
          <cell r="I5573" t="str">
            <v/>
          </cell>
          <cell r="J5573" t="str">
            <v/>
          </cell>
          <cell r="K5573" t="str">
            <v/>
          </cell>
          <cell r="L5573" t="str">
            <v/>
          </cell>
        </row>
        <row r="5574">
          <cell r="A5574">
            <v>34000000</v>
          </cell>
          <cell r="C5574">
            <v>34000000</v>
          </cell>
          <cell r="D5574">
            <v>34000000</v>
          </cell>
          <cell r="E5574">
            <v>34000000</v>
          </cell>
          <cell r="F5574">
            <v>34000000</v>
          </cell>
          <cell r="G5574">
            <v>34000000</v>
          </cell>
          <cell r="H5574">
            <v>34000000</v>
          </cell>
          <cell r="I5574" t="str">
            <v/>
          </cell>
          <cell r="J5574" t="str">
            <v/>
          </cell>
          <cell r="K5574" t="str">
            <v/>
          </cell>
          <cell r="L5574" t="str">
            <v/>
          </cell>
        </row>
        <row r="5575">
          <cell r="A5575">
            <v>34000000</v>
          </cell>
          <cell r="C5575">
            <v>34000000</v>
          </cell>
          <cell r="D5575">
            <v>34000000</v>
          </cell>
          <cell r="E5575">
            <v>34000000</v>
          </cell>
          <cell r="F5575">
            <v>34000000</v>
          </cell>
          <cell r="G5575">
            <v>34000000</v>
          </cell>
          <cell r="H5575">
            <v>34000000</v>
          </cell>
          <cell r="I5575" t="str">
            <v/>
          </cell>
          <cell r="J5575" t="str">
            <v/>
          </cell>
          <cell r="K5575" t="str">
            <v/>
          </cell>
          <cell r="L5575" t="str">
            <v/>
          </cell>
        </row>
        <row r="5576">
          <cell r="A5576">
            <v>34000000</v>
          </cell>
          <cell r="C5576">
            <v>34000000</v>
          </cell>
          <cell r="D5576">
            <v>34000000</v>
          </cell>
          <cell r="E5576">
            <v>34000000</v>
          </cell>
          <cell r="F5576">
            <v>34000000</v>
          </cell>
          <cell r="G5576">
            <v>34000000</v>
          </cell>
          <cell r="H5576">
            <v>34000000</v>
          </cell>
          <cell r="I5576" t="str">
            <v/>
          </cell>
          <cell r="J5576" t="str">
            <v/>
          </cell>
          <cell r="K5576" t="str">
            <v/>
          </cell>
          <cell r="L5576" t="str">
            <v/>
          </cell>
        </row>
        <row r="5577">
          <cell r="A5577">
            <v>34000000</v>
          </cell>
          <cell r="C5577">
            <v>34000000</v>
          </cell>
          <cell r="D5577">
            <v>34000000</v>
          </cell>
          <cell r="E5577">
            <v>34000000</v>
          </cell>
          <cell r="F5577">
            <v>34000000</v>
          </cell>
          <cell r="G5577">
            <v>34000000</v>
          </cell>
          <cell r="H5577">
            <v>34000000</v>
          </cell>
          <cell r="I5577" t="str">
            <v/>
          </cell>
          <cell r="J5577" t="str">
            <v/>
          </cell>
          <cell r="K5577" t="str">
            <v/>
          </cell>
          <cell r="L5577" t="str">
            <v/>
          </cell>
        </row>
        <row r="5578">
          <cell r="A5578">
            <v>34000000</v>
          </cell>
          <cell r="C5578">
            <v>34000000</v>
          </cell>
          <cell r="D5578">
            <v>34000000</v>
          </cell>
          <cell r="E5578">
            <v>34000000</v>
          </cell>
          <cell r="F5578">
            <v>34000000</v>
          </cell>
          <cell r="G5578">
            <v>34000000</v>
          </cell>
          <cell r="H5578">
            <v>34000000</v>
          </cell>
          <cell r="I5578" t="str">
            <v/>
          </cell>
          <cell r="J5578" t="str">
            <v/>
          </cell>
          <cell r="K5578" t="str">
            <v/>
          </cell>
          <cell r="L5578" t="str">
            <v/>
          </cell>
        </row>
        <row r="5579">
          <cell r="A5579">
            <v>34000000</v>
          </cell>
          <cell r="C5579">
            <v>34000000</v>
          </cell>
          <cell r="D5579">
            <v>34000000</v>
          </cell>
          <cell r="E5579">
            <v>34000000</v>
          </cell>
          <cell r="F5579">
            <v>34000000</v>
          </cell>
          <cell r="G5579">
            <v>34000000</v>
          </cell>
          <cell r="H5579">
            <v>34000000</v>
          </cell>
          <cell r="I5579" t="str">
            <v/>
          </cell>
          <cell r="J5579" t="str">
            <v/>
          </cell>
          <cell r="K5579" t="str">
            <v/>
          </cell>
          <cell r="L5579" t="str">
            <v/>
          </cell>
        </row>
        <row r="5580">
          <cell r="A5580">
            <v>34000000</v>
          </cell>
          <cell r="C5580">
            <v>34000000</v>
          </cell>
          <cell r="D5580">
            <v>34000000</v>
          </cell>
          <cell r="E5580">
            <v>34000000</v>
          </cell>
          <cell r="F5580">
            <v>34000000</v>
          </cell>
          <cell r="G5580">
            <v>34000000</v>
          </cell>
          <cell r="H5580">
            <v>34000000</v>
          </cell>
          <cell r="I5580" t="str">
            <v/>
          </cell>
          <cell r="J5580" t="str">
            <v/>
          </cell>
          <cell r="K5580" t="str">
            <v/>
          </cell>
          <cell r="L5580" t="str">
            <v/>
          </cell>
        </row>
        <row r="5581">
          <cell r="A5581">
            <v>34000000</v>
          </cell>
          <cell r="C5581">
            <v>34000000</v>
          </cell>
          <cell r="D5581">
            <v>34000000</v>
          </cell>
          <cell r="E5581">
            <v>34000000</v>
          </cell>
          <cell r="F5581">
            <v>34000000</v>
          </cell>
          <cell r="G5581">
            <v>34000000</v>
          </cell>
          <cell r="H5581">
            <v>34000000</v>
          </cell>
          <cell r="I5581" t="str">
            <v/>
          </cell>
          <cell r="J5581" t="str">
            <v/>
          </cell>
          <cell r="K5581" t="str">
            <v/>
          </cell>
          <cell r="L5581" t="str">
            <v/>
          </cell>
        </row>
        <row r="5582">
          <cell r="A5582">
            <v>34000000</v>
          </cell>
          <cell r="C5582">
            <v>34000000</v>
          </cell>
          <cell r="D5582">
            <v>34000000</v>
          </cell>
          <cell r="E5582">
            <v>34000000</v>
          </cell>
          <cell r="F5582">
            <v>34000000</v>
          </cell>
          <cell r="G5582">
            <v>34000000</v>
          </cell>
          <cell r="H5582">
            <v>34000000</v>
          </cell>
          <cell r="I5582" t="str">
            <v/>
          </cell>
          <cell r="J5582" t="str">
            <v/>
          </cell>
          <cell r="K5582" t="str">
            <v/>
          </cell>
          <cell r="L5582" t="str">
            <v/>
          </cell>
        </row>
        <row r="5583">
          <cell r="A5583">
            <v>34000000</v>
          </cell>
          <cell r="C5583">
            <v>34000000</v>
          </cell>
          <cell r="D5583">
            <v>34000000</v>
          </cell>
          <cell r="E5583">
            <v>34000000</v>
          </cell>
          <cell r="F5583">
            <v>34000000</v>
          </cell>
          <cell r="G5583">
            <v>34000000</v>
          </cell>
          <cell r="H5583">
            <v>34000000</v>
          </cell>
          <cell r="I5583" t="str">
            <v/>
          </cell>
          <cell r="J5583" t="str">
            <v/>
          </cell>
          <cell r="K5583" t="str">
            <v/>
          </cell>
          <cell r="L5583" t="str">
            <v/>
          </cell>
        </row>
        <row r="5584">
          <cell r="A5584">
            <v>34000000</v>
          </cell>
          <cell r="C5584">
            <v>34000000</v>
          </cell>
          <cell r="D5584">
            <v>34000000</v>
          </cell>
          <cell r="E5584">
            <v>34000000</v>
          </cell>
          <cell r="F5584">
            <v>34000000</v>
          </cell>
          <cell r="G5584">
            <v>34000000</v>
          </cell>
          <cell r="H5584">
            <v>34000000</v>
          </cell>
          <cell r="I5584" t="str">
            <v/>
          </cell>
          <cell r="J5584" t="str">
            <v/>
          </cell>
          <cell r="K5584" t="str">
            <v/>
          </cell>
          <cell r="L5584" t="str">
            <v/>
          </cell>
        </row>
        <row r="5585">
          <cell r="A5585">
            <v>34000000</v>
          </cell>
          <cell r="C5585">
            <v>34000000</v>
          </cell>
          <cell r="D5585">
            <v>34000000</v>
          </cell>
          <cell r="E5585">
            <v>34000000</v>
          </cell>
          <cell r="F5585">
            <v>34000000</v>
          </cell>
          <cell r="G5585">
            <v>34000000</v>
          </cell>
          <cell r="H5585">
            <v>34000000</v>
          </cell>
          <cell r="I5585" t="str">
            <v/>
          </cell>
          <cell r="J5585" t="str">
            <v/>
          </cell>
          <cell r="K5585" t="str">
            <v/>
          </cell>
          <cell r="L5585" t="str">
            <v/>
          </cell>
        </row>
        <row r="5586">
          <cell r="A5586">
            <v>34000000</v>
          </cell>
          <cell r="C5586">
            <v>34000000</v>
          </cell>
          <cell r="D5586">
            <v>34000000</v>
          </cell>
          <cell r="E5586">
            <v>34000000</v>
          </cell>
          <cell r="F5586">
            <v>34000000</v>
          </cell>
          <cell r="G5586">
            <v>34000000</v>
          </cell>
          <cell r="H5586">
            <v>34000000</v>
          </cell>
          <cell r="I5586" t="str">
            <v/>
          </cell>
          <cell r="J5586" t="str">
            <v/>
          </cell>
          <cell r="K5586" t="str">
            <v/>
          </cell>
          <cell r="L5586" t="str">
            <v/>
          </cell>
        </row>
        <row r="5587">
          <cell r="A5587">
            <v>34000000</v>
          </cell>
          <cell r="C5587">
            <v>34000000</v>
          </cell>
          <cell r="D5587">
            <v>34000000</v>
          </cell>
          <cell r="E5587">
            <v>34000000</v>
          </cell>
          <cell r="F5587">
            <v>34000000</v>
          </cell>
          <cell r="G5587">
            <v>34000000</v>
          </cell>
          <cell r="H5587">
            <v>34000000</v>
          </cell>
          <cell r="I5587" t="str">
            <v/>
          </cell>
          <cell r="J5587" t="str">
            <v/>
          </cell>
          <cell r="K5587" t="str">
            <v/>
          </cell>
          <cell r="L5587" t="str">
            <v/>
          </cell>
        </row>
        <row r="5588">
          <cell r="A5588">
            <v>34000000</v>
          </cell>
          <cell r="C5588">
            <v>34000000</v>
          </cell>
          <cell r="D5588">
            <v>34000000</v>
          </cell>
          <cell r="E5588">
            <v>34000000</v>
          </cell>
          <cell r="F5588">
            <v>34000000</v>
          </cell>
          <cell r="G5588">
            <v>34000000</v>
          </cell>
          <cell r="H5588">
            <v>34000000</v>
          </cell>
          <cell r="I5588" t="str">
            <v/>
          </cell>
          <cell r="J5588" t="str">
            <v/>
          </cell>
          <cell r="K5588" t="str">
            <v/>
          </cell>
          <cell r="L5588" t="str">
            <v/>
          </cell>
        </row>
        <row r="5589">
          <cell r="A5589">
            <v>34000000</v>
          </cell>
          <cell r="C5589">
            <v>34000000</v>
          </cell>
          <cell r="D5589">
            <v>34000000</v>
          </cell>
          <cell r="E5589">
            <v>34000000</v>
          </cell>
          <cell r="F5589">
            <v>34000000</v>
          </cell>
          <cell r="G5589">
            <v>34000000</v>
          </cell>
          <cell r="H5589">
            <v>34000000</v>
          </cell>
          <cell r="I5589" t="str">
            <v/>
          </cell>
          <cell r="J5589" t="str">
            <v/>
          </cell>
          <cell r="K5589" t="str">
            <v/>
          </cell>
          <cell r="L5589" t="str">
            <v/>
          </cell>
        </row>
        <row r="5590">
          <cell r="A5590">
            <v>34000000</v>
          </cell>
          <cell r="C5590">
            <v>34000000</v>
          </cell>
          <cell r="D5590">
            <v>34000000</v>
          </cell>
          <cell r="E5590">
            <v>34000000</v>
          </cell>
          <cell r="F5590">
            <v>34000000</v>
          </cell>
          <cell r="G5590">
            <v>34000000</v>
          </cell>
          <cell r="H5590">
            <v>34000000</v>
          </cell>
          <cell r="I5590" t="str">
            <v/>
          </cell>
          <cell r="J5590" t="str">
            <v/>
          </cell>
          <cell r="K5590" t="str">
            <v/>
          </cell>
          <cell r="L5590" t="str">
            <v/>
          </cell>
        </row>
        <row r="5591">
          <cell r="A5591">
            <v>34000000</v>
          </cell>
          <cell r="C5591">
            <v>34000000</v>
          </cell>
          <cell r="D5591">
            <v>34000000</v>
          </cell>
          <cell r="E5591">
            <v>34000000</v>
          </cell>
          <cell r="F5591">
            <v>34000000</v>
          </cell>
          <cell r="G5591">
            <v>34000000</v>
          </cell>
          <cell r="H5591">
            <v>34000000</v>
          </cell>
          <cell r="I5591" t="str">
            <v/>
          </cell>
          <cell r="J5591" t="str">
            <v/>
          </cell>
          <cell r="K5591" t="str">
            <v/>
          </cell>
          <cell r="L5591" t="str">
            <v/>
          </cell>
        </row>
        <row r="5592">
          <cell r="A5592">
            <v>34000000</v>
          </cell>
          <cell r="C5592">
            <v>34000000</v>
          </cell>
          <cell r="D5592">
            <v>34000000</v>
          </cell>
          <cell r="E5592">
            <v>34000000</v>
          </cell>
          <cell r="F5592">
            <v>34000000</v>
          </cell>
          <cell r="G5592">
            <v>34000000</v>
          </cell>
          <cell r="H5592">
            <v>34000000</v>
          </cell>
          <cell r="I5592" t="str">
            <v/>
          </cell>
          <cell r="J5592" t="str">
            <v/>
          </cell>
          <cell r="K5592" t="str">
            <v/>
          </cell>
          <cell r="L5592" t="str">
            <v/>
          </cell>
        </row>
        <row r="5593">
          <cell r="A5593">
            <v>34000000</v>
          </cell>
          <cell r="C5593">
            <v>34000000</v>
          </cell>
          <cell r="D5593">
            <v>34000000</v>
          </cell>
          <cell r="E5593">
            <v>34000000</v>
          </cell>
          <cell r="F5593">
            <v>34000000</v>
          </cell>
          <cell r="G5593">
            <v>34000000</v>
          </cell>
          <cell r="H5593">
            <v>34000000</v>
          </cell>
          <cell r="I5593" t="str">
            <v/>
          </cell>
          <cell r="J5593" t="str">
            <v/>
          </cell>
          <cell r="K5593" t="str">
            <v/>
          </cell>
          <cell r="L5593" t="str">
            <v/>
          </cell>
        </row>
        <row r="5594">
          <cell r="A5594">
            <v>34000000</v>
          </cell>
          <cell r="C5594">
            <v>34000000</v>
          </cell>
          <cell r="D5594">
            <v>34000000</v>
          </cell>
          <cell r="E5594">
            <v>34000000</v>
          </cell>
          <cell r="F5594">
            <v>34000000</v>
          </cell>
          <cell r="G5594">
            <v>34000000</v>
          </cell>
          <cell r="H5594">
            <v>34000000</v>
          </cell>
          <cell r="I5594" t="str">
            <v/>
          </cell>
          <cell r="J5594" t="str">
            <v/>
          </cell>
          <cell r="K5594" t="str">
            <v/>
          </cell>
          <cell r="L5594" t="str">
            <v/>
          </cell>
        </row>
        <row r="5595">
          <cell r="A5595">
            <v>34000000</v>
          </cell>
          <cell r="C5595">
            <v>34000000</v>
          </cell>
          <cell r="D5595">
            <v>34000000</v>
          </cell>
          <cell r="E5595">
            <v>34000000</v>
          </cell>
          <cell r="F5595">
            <v>34000000</v>
          </cell>
          <cell r="G5595">
            <v>34000000</v>
          </cell>
          <cell r="H5595">
            <v>34000000</v>
          </cell>
          <cell r="I5595" t="str">
            <v/>
          </cell>
          <cell r="J5595" t="str">
            <v/>
          </cell>
          <cell r="K5595" t="str">
            <v/>
          </cell>
          <cell r="L5595" t="str">
            <v/>
          </cell>
        </row>
        <row r="5596">
          <cell r="A5596">
            <v>34000000</v>
          </cell>
          <cell r="C5596">
            <v>34000000</v>
          </cell>
          <cell r="D5596">
            <v>34000000</v>
          </cell>
          <cell r="E5596">
            <v>34000000</v>
          </cell>
          <cell r="F5596">
            <v>34000000</v>
          </cell>
          <cell r="G5596">
            <v>34000000</v>
          </cell>
          <cell r="H5596">
            <v>34000000</v>
          </cell>
          <cell r="I5596" t="str">
            <v/>
          </cell>
          <cell r="J5596" t="str">
            <v/>
          </cell>
          <cell r="K5596" t="str">
            <v/>
          </cell>
          <cell r="L5596" t="str">
            <v/>
          </cell>
        </row>
        <row r="5597">
          <cell r="A5597">
            <v>34000000</v>
          </cell>
          <cell r="C5597">
            <v>34000000</v>
          </cell>
          <cell r="D5597">
            <v>34000000</v>
          </cell>
          <cell r="E5597">
            <v>34000000</v>
          </cell>
          <cell r="F5597">
            <v>34000000</v>
          </cell>
          <cell r="G5597">
            <v>34000000</v>
          </cell>
          <cell r="H5597">
            <v>34000000</v>
          </cell>
          <cell r="I5597" t="str">
            <v/>
          </cell>
          <cell r="J5597" t="str">
            <v/>
          </cell>
          <cell r="K5597" t="str">
            <v/>
          </cell>
          <cell r="L5597" t="str">
            <v/>
          </cell>
        </row>
        <row r="5598">
          <cell r="A5598">
            <v>34000000</v>
          </cell>
          <cell r="C5598">
            <v>34000000</v>
          </cell>
          <cell r="D5598">
            <v>34000000</v>
          </cell>
          <cell r="E5598">
            <v>34000000</v>
          </cell>
          <cell r="F5598">
            <v>34000000</v>
          </cell>
          <cell r="G5598">
            <v>34000000</v>
          </cell>
          <cell r="H5598">
            <v>34000000</v>
          </cell>
          <cell r="I5598" t="str">
            <v/>
          </cell>
          <cell r="J5598" t="str">
            <v/>
          </cell>
          <cell r="K5598" t="str">
            <v/>
          </cell>
          <cell r="L5598" t="str">
            <v/>
          </cell>
        </row>
        <row r="5599">
          <cell r="A5599">
            <v>34000000</v>
          </cell>
          <cell r="C5599">
            <v>34000000</v>
          </cell>
          <cell r="D5599">
            <v>34000000</v>
          </cell>
          <cell r="E5599">
            <v>34000000</v>
          </cell>
          <cell r="F5599">
            <v>34000000</v>
          </cell>
          <cell r="G5599">
            <v>34000000</v>
          </cell>
          <cell r="H5599">
            <v>34000000</v>
          </cell>
          <cell r="I5599" t="str">
            <v/>
          </cell>
          <cell r="J5599" t="str">
            <v/>
          </cell>
          <cell r="K5599" t="str">
            <v/>
          </cell>
          <cell r="L5599" t="str">
            <v/>
          </cell>
        </row>
        <row r="5600">
          <cell r="A5600">
            <v>34000000</v>
          </cell>
          <cell r="C5600">
            <v>34000000</v>
          </cell>
          <cell r="D5600">
            <v>34000000</v>
          </cell>
          <cell r="E5600">
            <v>34000000</v>
          </cell>
          <cell r="F5600">
            <v>34000000</v>
          </cell>
          <cell r="G5600">
            <v>34000000</v>
          </cell>
          <cell r="H5600">
            <v>34000000</v>
          </cell>
          <cell r="I5600" t="str">
            <v/>
          </cell>
          <cell r="J5600" t="str">
            <v/>
          </cell>
          <cell r="K5600" t="str">
            <v/>
          </cell>
          <cell r="L5600" t="str">
            <v/>
          </cell>
        </row>
        <row r="5601">
          <cell r="A5601">
            <v>34000000</v>
          </cell>
          <cell r="C5601">
            <v>34000000</v>
          </cell>
          <cell r="D5601">
            <v>34000000</v>
          </cell>
          <cell r="E5601">
            <v>34000000</v>
          </cell>
          <cell r="F5601">
            <v>34000000</v>
          </cell>
          <cell r="G5601">
            <v>34000000</v>
          </cell>
          <cell r="H5601">
            <v>34000000</v>
          </cell>
          <cell r="I5601" t="str">
            <v/>
          </cell>
          <cell r="J5601" t="str">
            <v/>
          </cell>
          <cell r="K5601" t="str">
            <v/>
          </cell>
          <cell r="L5601" t="str">
            <v/>
          </cell>
        </row>
        <row r="5602">
          <cell r="A5602">
            <v>34000000</v>
          </cell>
          <cell r="C5602">
            <v>34000000</v>
          </cell>
          <cell r="D5602">
            <v>34000000</v>
          </cell>
          <cell r="E5602">
            <v>34000000</v>
          </cell>
          <cell r="F5602">
            <v>34000000</v>
          </cell>
          <cell r="G5602">
            <v>34000000</v>
          </cell>
          <cell r="H5602">
            <v>34000000</v>
          </cell>
          <cell r="I5602" t="str">
            <v/>
          </cell>
          <cell r="J5602" t="str">
            <v/>
          </cell>
          <cell r="K5602" t="str">
            <v/>
          </cell>
          <cell r="L5602" t="str">
            <v/>
          </cell>
        </row>
        <row r="5603">
          <cell r="A5603">
            <v>34000000</v>
          </cell>
          <cell r="C5603">
            <v>34000000</v>
          </cell>
          <cell r="D5603">
            <v>34000000</v>
          </cell>
          <cell r="E5603">
            <v>34000000</v>
          </cell>
          <cell r="F5603">
            <v>34000000</v>
          </cell>
          <cell r="G5603">
            <v>34000000</v>
          </cell>
          <cell r="H5603">
            <v>34000000</v>
          </cell>
          <cell r="I5603" t="str">
            <v/>
          </cell>
          <cell r="J5603" t="str">
            <v/>
          </cell>
          <cell r="K5603" t="str">
            <v/>
          </cell>
          <cell r="L5603" t="str">
            <v/>
          </cell>
        </row>
        <row r="5604">
          <cell r="A5604">
            <v>34000000</v>
          </cell>
          <cell r="C5604">
            <v>34000000</v>
          </cell>
          <cell r="D5604">
            <v>34000000</v>
          </cell>
          <cell r="E5604">
            <v>34000000</v>
          </cell>
          <cell r="F5604">
            <v>34000000</v>
          </cell>
          <cell r="G5604">
            <v>34000000</v>
          </cell>
          <cell r="H5604">
            <v>34000000</v>
          </cell>
          <cell r="I5604" t="str">
            <v/>
          </cell>
          <cell r="J5604" t="str">
            <v/>
          </cell>
          <cell r="K5604" t="str">
            <v/>
          </cell>
          <cell r="L5604" t="str">
            <v/>
          </cell>
        </row>
        <row r="5605">
          <cell r="A5605">
            <v>34000000</v>
          </cell>
          <cell r="C5605">
            <v>34000000</v>
          </cell>
          <cell r="D5605">
            <v>34000000</v>
          </cell>
          <cell r="E5605">
            <v>34000000</v>
          </cell>
          <cell r="F5605">
            <v>34000000</v>
          </cell>
          <cell r="G5605">
            <v>34000000</v>
          </cell>
          <cell r="H5605">
            <v>34000000</v>
          </cell>
          <cell r="I5605" t="str">
            <v/>
          </cell>
          <cell r="J5605" t="str">
            <v/>
          </cell>
          <cell r="K5605" t="str">
            <v/>
          </cell>
          <cell r="L5605" t="str">
            <v/>
          </cell>
        </row>
        <row r="5606">
          <cell r="A5606">
            <v>34000000</v>
          </cell>
          <cell r="C5606">
            <v>34000000</v>
          </cell>
          <cell r="D5606">
            <v>34000000</v>
          </cell>
          <cell r="E5606">
            <v>34000000</v>
          </cell>
          <cell r="F5606">
            <v>34000000</v>
          </cell>
          <cell r="G5606">
            <v>34000000</v>
          </cell>
          <cell r="H5606">
            <v>34000000</v>
          </cell>
          <cell r="I5606" t="str">
            <v/>
          </cell>
          <cell r="J5606" t="str">
            <v/>
          </cell>
          <cell r="K5606" t="str">
            <v/>
          </cell>
          <cell r="L5606" t="str">
            <v/>
          </cell>
        </row>
        <row r="5607">
          <cell r="A5607">
            <v>34000000</v>
          </cell>
          <cell r="C5607">
            <v>34000000</v>
          </cell>
          <cell r="D5607">
            <v>34000000</v>
          </cell>
          <cell r="E5607">
            <v>34000000</v>
          </cell>
          <cell r="F5607">
            <v>34000000</v>
          </cell>
          <cell r="G5607">
            <v>34000000</v>
          </cell>
          <cell r="H5607">
            <v>34000000</v>
          </cell>
          <cell r="I5607" t="str">
            <v/>
          </cell>
          <cell r="J5607" t="str">
            <v/>
          </cell>
          <cell r="K5607" t="str">
            <v/>
          </cell>
          <cell r="L5607" t="str">
            <v/>
          </cell>
        </row>
        <row r="5608">
          <cell r="A5608">
            <v>34000000</v>
          </cell>
          <cell r="C5608">
            <v>34000000</v>
          </cell>
          <cell r="D5608">
            <v>34000000</v>
          </cell>
          <cell r="E5608">
            <v>34000000</v>
          </cell>
          <cell r="F5608">
            <v>34000000</v>
          </cell>
          <cell r="G5608">
            <v>34000000</v>
          </cell>
          <cell r="H5608">
            <v>34000000</v>
          </cell>
          <cell r="I5608" t="str">
            <v/>
          </cell>
          <cell r="J5608" t="str">
            <v/>
          </cell>
          <cell r="K5608" t="str">
            <v/>
          </cell>
          <cell r="L5608" t="str">
            <v/>
          </cell>
        </row>
        <row r="5609">
          <cell r="A5609">
            <v>34000000</v>
          </cell>
          <cell r="C5609">
            <v>34000000</v>
          </cell>
          <cell r="D5609">
            <v>34000000</v>
          </cell>
          <cell r="E5609">
            <v>34000000</v>
          </cell>
          <cell r="F5609">
            <v>34000000</v>
          </cell>
          <cell r="G5609">
            <v>34000000</v>
          </cell>
          <cell r="H5609">
            <v>34000000</v>
          </cell>
          <cell r="I5609" t="str">
            <v/>
          </cell>
          <cell r="J5609" t="str">
            <v/>
          </cell>
          <cell r="K5609" t="str">
            <v/>
          </cell>
          <cell r="L5609" t="str">
            <v/>
          </cell>
        </row>
        <row r="5610">
          <cell r="A5610">
            <v>34000000</v>
          </cell>
          <cell r="C5610">
            <v>34000000</v>
          </cell>
          <cell r="D5610">
            <v>34000000</v>
          </cell>
          <cell r="E5610">
            <v>34000000</v>
          </cell>
          <cell r="F5610">
            <v>34000000</v>
          </cell>
          <cell r="G5610">
            <v>34000000</v>
          </cell>
          <cell r="H5610">
            <v>34000000</v>
          </cell>
          <cell r="I5610" t="str">
            <v/>
          </cell>
          <cell r="J5610" t="str">
            <v/>
          </cell>
          <cell r="K5610" t="str">
            <v/>
          </cell>
          <cell r="L5610" t="str">
            <v/>
          </cell>
        </row>
        <row r="5611">
          <cell r="A5611">
            <v>34000000</v>
          </cell>
          <cell r="C5611">
            <v>34000000</v>
          </cell>
          <cell r="D5611">
            <v>34000000</v>
          </cell>
          <cell r="E5611">
            <v>34000000</v>
          </cell>
          <cell r="F5611">
            <v>34000000</v>
          </cell>
          <cell r="G5611">
            <v>34000000</v>
          </cell>
          <cell r="H5611">
            <v>34000000</v>
          </cell>
          <cell r="I5611" t="str">
            <v/>
          </cell>
          <cell r="J5611" t="str">
            <v/>
          </cell>
          <cell r="K5611" t="str">
            <v/>
          </cell>
          <cell r="L5611" t="str">
            <v/>
          </cell>
        </row>
        <row r="5612">
          <cell r="A5612">
            <v>34000000</v>
          </cell>
          <cell r="C5612">
            <v>34000000</v>
          </cell>
          <cell r="D5612">
            <v>34000000</v>
          </cell>
          <cell r="E5612">
            <v>34000000</v>
          </cell>
          <cell r="F5612">
            <v>34000000</v>
          </cell>
          <cell r="G5612">
            <v>34000000</v>
          </cell>
          <cell r="H5612">
            <v>34000000</v>
          </cell>
          <cell r="I5612" t="str">
            <v/>
          </cell>
          <cell r="J5612" t="str">
            <v/>
          </cell>
          <cell r="K5612" t="str">
            <v/>
          </cell>
          <cell r="L5612" t="str">
            <v/>
          </cell>
        </row>
        <row r="5613">
          <cell r="A5613">
            <v>34000000</v>
          </cell>
          <cell r="C5613">
            <v>34000000</v>
          </cell>
          <cell r="D5613">
            <v>34000000</v>
          </cell>
          <cell r="E5613">
            <v>34000000</v>
          </cell>
          <cell r="F5613">
            <v>34000000</v>
          </cell>
          <cell r="G5613">
            <v>34000000</v>
          </cell>
          <cell r="H5613">
            <v>34000000</v>
          </cell>
          <cell r="I5613" t="str">
            <v/>
          </cell>
          <cell r="J5613" t="str">
            <v/>
          </cell>
          <cell r="K5613" t="str">
            <v/>
          </cell>
          <cell r="L5613" t="str">
            <v/>
          </cell>
        </row>
        <row r="5614">
          <cell r="A5614">
            <v>34000000</v>
          </cell>
          <cell r="C5614">
            <v>34000000</v>
          </cell>
          <cell r="D5614">
            <v>34000000</v>
          </cell>
          <cell r="E5614">
            <v>34000000</v>
          </cell>
          <cell r="F5614">
            <v>34000000</v>
          </cell>
          <cell r="G5614">
            <v>34000000</v>
          </cell>
          <cell r="H5614">
            <v>34000000</v>
          </cell>
          <cell r="I5614" t="str">
            <v/>
          </cell>
          <cell r="J5614" t="str">
            <v/>
          </cell>
          <cell r="K5614" t="str">
            <v/>
          </cell>
          <cell r="L5614" t="str">
            <v/>
          </cell>
        </row>
        <row r="5615">
          <cell r="A5615">
            <v>34000000</v>
          </cell>
          <cell r="C5615">
            <v>34000000</v>
          </cell>
          <cell r="D5615">
            <v>34000000</v>
          </cell>
          <cell r="E5615">
            <v>34000000</v>
          </cell>
          <cell r="F5615">
            <v>34000000</v>
          </cell>
          <cell r="G5615">
            <v>34000000</v>
          </cell>
          <cell r="H5615">
            <v>34000000</v>
          </cell>
          <cell r="I5615" t="str">
            <v/>
          </cell>
          <cell r="J5615" t="str">
            <v/>
          </cell>
          <cell r="K5615" t="str">
            <v/>
          </cell>
          <cell r="L5615" t="str">
            <v/>
          </cell>
        </row>
        <row r="5616">
          <cell r="A5616">
            <v>34000000</v>
          </cell>
          <cell r="C5616">
            <v>34000000</v>
          </cell>
          <cell r="D5616">
            <v>34000000</v>
          </cell>
          <cell r="E5616">
            <v>34000000</v>
          </cell>
          <cell r="F5616">
            <v>34000000</v>
          </cell>
          <cell r="G5616">
            <v>34000000</v>
          </cell>
          <cell r="H5616">
            <v>34000000</v>
          </cell>
          <cell r="I5616" t="str">
            <v/>
          </cell>
          <cell r="J5616" t="str">
            <v/>
          </cell>
          <cell r="K5616" t="str">
            <v/>
          </cell>
          <cell r="L5616" t="str">
            <v/>
          </cell>
        </row>
        <row r="5617">
          <cell r="A5617">
            <v>34000000</v>
          </cell>
          <cell r="C5617">
            <v>34000000</v>
          </cell>
          <cell r="D5617">
            <v>34000000</v>
          </cell>
          <cell r="E5617">
            <v>34000000</v>
          </cell>
          <cell r="F5617">
            <v>34000000</v>
          </cell>
          <cell r="G5617">
            <v>34000000</v>
          </cell>
          <cell r="H5617">
            <v>34000000</v>
          </cell>
          <cell r="I5617" t="str">
            <v/>
          </cell>
          <cell r="J5617" t="str">
            <v/>
          </cell>
          <cell r="K5617" t="str">
            <v/>
          </cell>
          <cell r="L5617" t="str">
            <v/>
          </cell>
        </row>
        <row r="5618">
          <cell r="A5618">
            <v>34000000</v>
          </cell>
          <cell r="C5618">
            <v>34000000</v>
          </cell>
          <cell r="D5618">
            <v>34000000</v>
          </cell>
          <cell r="E5618">
            <v>34000000</v>
          </cell>
          <cell r="F5618">
            <v>34000000</v>
          </cell>
          <cell r="G5618">
            <v>34000000</v>
          </cell>
          <cell r="H5618">
            <v>34000000</v>
          </cell>
          <cell r="I5618" t="str">
            <v/>
          </cell>
          <cell r="J5618" t="str">
            <v/>
          </cell>
          <cell r="K5618" t="str">
            <v/>
          </cell>
          <cell r="L5618" t="str">
            <v/>
          </cell>
        </row>
        <row r="5619">
          <cell r="A5619">
            <v>34000000</v>
          </cell>
          <cell r="C5619">
            <v>34000000</v>
          </cell>
          <cell r="D5619">
            <v>34000000</v>
          </cell>
          <cell r="E5619">
            <v>34000000</v>
          </cell>
          <cell r="F5619">
            <v>34000000</v>
          </cell>
          <cell r="G5619">
            <v>34000000</v>
          </cell>
          <cell r="H5619">
            <v>34000000</v>
          </cell>
          <cell r="I5619" t="str">
            <v/>
          </cell>
          <cell r="J5619" t="str">
            <v/>
          </cell>
          <cell r="K5619" t="str">
            <v/>
          </cell>
          <cell r="L5619" t="str">
            <v/>
          </cell>
        </row>
        <row r="5620">
          <cell r="A5620">
            <v>34000000</v>
          </cell>
          <cell r="C5620">
            <v>34000000</v>
          </cell>
          <cell r="D5620">
            <v>34000000</v>
          </cell>
          <cell r="E5620">
            <v>34000000</v>
          </cell>
          <cell r="F5620">
            <v>34000000</v>
          </cell>
          <cell r="G5620">
            <v>34000000</v>
          </cell>
          <cell r="H5620">
            <v>34000000</v>
          </cell>
          <cell r="I5620" t="str">
            <v/>
          </cell>
          <cell r="J5620" t="str">
            <v/>
          </cell>
          <cell r="K5620" t="str">
            <v/>
          </cell>
          <cell r="L5620" t="str">
            <v/>
          </cell>
        </row>
        <row r="5621">
          <cell r="A5621">
            <v>34000000</v>
          </cell>
          <cell r="C5621">
            <v>34000000</v>
          </cell>
          <cell r="D5621">
            <v>34000000</v>
          </cell>
          <cell r="E5621">
            <v>34000000</v>
          </cell>
          <cell r="F5621">
            <v>34000000</v>
          </cell>
          <cell r="G5621">
            <v>34000000</v>
          </cell>
          <cell r="H5621">
            <v>34000000</v>
          </cell>
          <cell r="I5621" t="str">
            <v/>
          </cell>
          <cell r="J5621" t="str">
            <v/>
          </cell>
          <cell r="K5621" t="str">
            <v/>
          </cell>
          <cell r="L5621" t="str">
            <v/>
          </cell>
        </row>
        <row r="5622">
          <cell r="A5622">
            <v>34000000</v>
          </cell>
          <cell r="C5622">
            <v>34000000</v>
          </cell>
          <cell r="D5622">
            <v>34000000</v>
          </cell>
          <cell r="E5622">
            <v>34000000</v>
          </cell>
          <cell r="F5622">
            <v>34000000</v>
          </cell>
          <cell r="G5622">
            <v>34000000</v>
          </cell>
          <cell r="H5622">
            <v>34000000</v>
          </cell>
          <cell r="I5622" t="str">
            <v/>
          </cell>
          <cell r="J5622" t="str">
            <v/>
          </cell>
          <cell r="K5622" t="str">
            <v/>
          </cell>
          <cell r="L5622" t="str">
            <v/>
          </cell>
        </row>
        <row r="5623">
          <cell r="A5623">
            <v>34000000</v>
          </cell>
          <cell r="C5623">
            <v>34000000</v>
          </cell>
          <cell r="D5623">
            <v>34000000</v>
          </cell>
          <cell r="E5623">
            <v>34000000</v>
          </cell>
          <cell r="F5623">
            <v>34000000</v>
          </cell>
          <cell r="G5623">
            <v>34000000</v>
          </cell>
          <cell r="H5623">
            <v>34000000</v>
          </cell>
          <cell r="I5623" t="str">
            <v/>
          </cell>
          <cell r="J5623" t="str">
            <v/>
          </cell>
          <cell r="K5623" t="str">
            <v/>
          </cell>
          <cell r="L5623" t="str">
            <v/>
          </cell>
        </row>
        <row r="5624">
          <cell r="A5624">
            <v>34000000</v>
          </cell>
          <cell r="C5624">
            <v>34000000</v>
          </cell>
          <cell r="D5624">
            <v>34000000</v>
          </cell>
          <cell r="E5624">
            <v>34000000</v>
          </cell>
          <cell r="F5624">
            <v>34000000</v>
          </cell>
          <cell r="G5624">
            <v>34000000</v>
          </cell>
          <cell r="H5624">
            <v>34000000</v>
          </cell>
          <cell r="I5624" t="str">
            <v/>
          </cell>
          <cell r="J5624" t="str">
            <v/>
          </cell>
          <cell r="K5624" t="str">
            <v/>
          </cell>
          <cell r="L5624" t="str">
            <v/>
          </cell>
        </row>
        <row r="5625">
          <cell r="A5625">
            <v>34000000</v>
          </cell>
          <cell r="C5625">
            <v>34000000</v>
          </cell>
          <cell r="D5625">
            <v>34000000</v>
          </cell>
          <cell r="E5625">
            <v>34000000</v>
          </cell>
          <cell r="F5625">
            <v>34000000</v>
          </cell>
          <cell r="G5625">
            <v>34000000</v>
          </cell>
          <cell r="H5625">
            <v>34000000</v>
          </cell>
          <cell r="I5625" t="str">
            <v/>
          </cell>
          <cell r="J5625" t="str">
            <v/>
          </cell>
          <cell r="K5625" t="str">
            <v/>
          </cell>
          <cell r="L5625" t="str">
            <v/>
          </cell>
        </row>
        <row r="5626">
          <cell r="A5626">
            <v>34000000</v>
          </cell>
          <cell r="C5626">
            <v>34000000</v>
          </cell>
          <cell r="D5626">
            <v>34000000</v>
          </cell>
          <cell r="E5626">
            <v>34000000</v>
          </cell>
          <cell r="F5626">
            <v>34000000</v>
          </cell>
          <cell r="G5626">
            <v>34000000</v>
          </cell>
          <cell r="H5626">
            <v>34000000</v>
          </cell>
          <cell r="I5626" t="str">
            <v/>
          </cell>
          <cell r="J5626" t="str">
            <v/>
          </cell>
          <cell r="K5626" t="str">
            <v/>
          </cell>
          <cell r="L5626" t="str">
            <v/>
          </cell>
        </row>
        <row r="5627">
          <cell r="A5627">
            <v>34000000</v>
          </cell>
          <cell r="C5627">
            <v>34000000</v>
          </cell>
          <cell r="D5627">
            <v>34000000</v>
          </cell>
          <cell r="E5627">
            <v>34000000</v>
          </cell>
          <cell r="F5627">
            <v>34000000</v>
          </cell>
          <cell r="G5627">
            <v>34000000</v>
          </cell>
          <cell r="H5627">
            <v>34000000</v>
          </cell>
          <cell r="I5627" t="str">
            <v/>
          </cell>
          <cell r="J5627" t="str">
            <v/>
          </cell>
          <cell r="K5627" t="str">
            <v/>
          </cell>
          <cell r="L5627" t="str">
            <v/>
          </cell>
        </row>
        <row r="5628">
          <cell r="A5628">
            <v>34000000</v>
          </cell>
          <cell r="C5628">
            <v>34000000</v>
          </cell>
          <cell r="D5628">
            <v>34000000</v>
          </cell>
          <cell r="E5628">
            <v>34000000</v>
          </cell>
          <cell r="F5628">
            <v>34000000</v>
          </cell>
          <cell r="G5628">
            <v>34000000</v>
          </cell>
          <cell r="H5628">
            <v>34000000</v>
          </cell>
          <cell r="I5628" t="str">
            <v/>
          </cell>
          <cell r="J5628" t="str">
            <v/>
          </cell>
          <cell r="K5628" t="str">
            <v/>
          </cell>
          <cell r="L5628" t="str">
            <v/>
          </cell>
        </row>
        <row r="5629">
          <cell r="A5629">
            <v>34000000</v>
          </cell>
          <cell r="C5629">
            <v>34000000</v>
          </cell>
          <cell r="D5629">
            <v>34000000</v>
          </cell>
          <cell r="E5629">
            <v>34000000</v>
          </cell>
          <cell r="F5629">
            <v>34000000</v>
          </cell>
          <cell r="G5629">
            <v>34000000</v>
          </cell>
          <cell r="H5629">
            <v>34000000</v>
          </cell>
          <cell r="I5629" t="str">
            <v/>
          </cell>
          <cell r="J5629" t="str">
            <v/>
          </cell>
          <cell r="K5629" t="str">
            <v/>
          </cell>
          <cell r="L5629" t="str">
            <v/>
          </cell>
        </row>
        <row r="5630">
          <cell r="A5630">
            <v>34000000</v>
          </cell>
          <cell r="C5630">
            <v>34000000</v>
          </cell>
          <cell r="D5630">
            <v>34000000</v>
          </cell>
          <cell r="E5630">
            <v>34000000</v>
          </cell>
          <cell r="F5630">
            <v>34000000</v>
          </cell>
          <cell r="G5630">
            <v>34000000</v>
          </cell>
          <cell r="H5630">
            <v>34000000</v>
          </cell>
          <cell r="I5630" t="str">
            <v/>
          </cell>
          <cell r="J5630" t="str">
            <v/>
          </cell>
          <cell r="K5630" t="str">
            <v/>
          </cell>
          <cell r="L5630" t="str">
            <v/>
          </cell>
        </row>
        <row r="5631">
          <cell r="A5631">
            <v>34000000</v>
          </cell>
          <cell r="C5631">
            <v>34000000</v>
          </cell>
          <cell r="D5631">
            <v>34000000</v>
          </cell>
          <cell r="E5631">
            <v>34000000</v>
          </cell>
          <cell r="F5631">
            <v>34000000</v>
          </cell>
          <cell r="G5631">
            <v>34000000</v>
          </cell>
          <cell r="H5631">
            <v>34000000</v>
          </cell>
          <cell r="I5631" t="str">
            <v/>
          </cell>
          <cell r="J5631" t="str">
            <v/>
          </cell>
          <cell r="K5631" t="str">
            <v/>
          </cell>
          <cell r="L5631" t="str">
            <v/>
          </cell>
        </row>
        <row r="5632">
          <cell r="A5632">
            <v>34000000</v>
          </cell>
          <cell r="C5632">
            <v>34000000</v>
          </cell>
          <cell r="D5632">
            <v>34000000</v>
          </cell>
          <cell r="E5632">
            <v>34000000</v>
          </cell>
          <cell r="F5632">
            <v>34000000</v>
          </cell>
          <cell r="G5632">
            <v>34000000</v>
          </cell>
          <cell r="H5632">
            <v>34000000</v>
          </cell>
          <cell r="I5632" t="str">
            <v/>
          </cell>
          <cell r="J5632" t="str">
            <v/>
          </cell>
          <cell r="K5632" t="str">
            <v/>
          </cell>
          <cell r="L5632" t="str">
            <v/>
          </cell>
        </row>
        <row r="5633">
          <cell r="A5633">
            <v>34000000</v>
          </cell>
          <cell r="C5633">
            <v>34000000</v>
          </cell>
          <cell r="D5633">
            <v>34000000</v>
          </cell>
          <cell r="E5633">
            <v>34000000</v>
          </cell>
          <cell r="F5633">
            <v>34000000</v>
          </cell>
          <cell r="G5633">
            <v>34000000</v>
          </cell>
          <cell r="H5633">
            <v>34000000</v>
          </cell>
          <cell r="I5633" t="str">
            <v/>
          </cell>
          <cell r="J5633" t="str">
            <v/>
          </cell>
          <cell r="K5633" t="str">
            <v/>
          </cell>
          <cell r="L5633" t="str">
            <v/>
          </cell>
        </row>
        <row r="5634">
          <cell r="A5634">
            <v>34000000</v>
          </cell>
          <cell r="C5634">
            <v>34000000</v>
          </cell>
          <cell r="D5634">
            <v>34000000</v>
          </cell>
          <cell r="E5634">
            <v>34000000</v>
          </cell>
          <cell r="F5634">
            <v>34000000</v>
          </cell>
          <cell r="G5634">
            <v>34000000</v>
          </cell>
          <cell r="H5634">
            <v>34000000</v>
          </cell>
          <cell r="I5634" t="str">
            <v/>
          </cell>
          <cell r="J5634" t="str">
            <v/>
          </cell>
          <cell r="K5634" t="str">
            <v/>
          </cell>
          <cell r="L5634" t="str">
            <v/>
          </cell>
        </row>
        <row r="5635">
          <cell r="A5635">
            <v>34000000</v>
          </cell>
          <cell r="C5635">
            <v>34000000</v>
          </cell>
          <cell r="D5635">
            <v>34000000</v>
          </cell>
          <cell r="E5635">
            <v>34000000</v>
          </cell>
          <cell r="F5635">
            <v>34000000</v>
          </cell>
          <cell r="G5635">
            <v>34000000</v>
          </cell>
          <cell r="H5635">
            <v>34000000</v>
          </cell>
          <cell r="I5635" t="str">
            <v/>
          </cell>
          <cell r="J5635" t="str">
            <v/>
          </cell>
          <cell r="K5635" t="str">
            <v/>
          </cell>
          <cell r="L5635" t="str">
            <v/>
          </cell>
        </row>
        <row r="5636">
          <cell r="A5636">
            <v>34000000</v>
          </cell>
          <cell r="C5636">
            <v>34000000</v>
          </cell>
          <cell r="D5636">
            <v>34000000</v>
          </cell>
          <cell r="E5636">
            <v>34000000</v>
          </cell>
          <cell r="F5636">
            <v>34000000</v>
          </cell>
          <cell r="G5636">
            <v>34000000</v>
          </cell>
          <cell r="H5636">
            <v>34000000</v>
          </cell>
          <cell r="I5636" t="str">
            <v/>
          </cell>
          <cell r="J5636" t="str">
            <v/>
          </cell>
          <cell r="K5636" t="str">
            <v/>
          </cell>
          <cell r="L5636" t="str">
            <v/>
          </cell>
        </row>
        <row r="5637">
          <cell r="A5637">
            <v>34000000</v>
          </cell>
          <cell r="C5637">
            <v>34000000</v>
          </cell>
          <cell r="D5637">
            <v>34000000</v>
          </cell>
          <cell r="E5637">
            <v>34000000</v>
          </cell>
          <cell r="F5637">
            <v>34000000</v>
          </cell>
          <cell r="G5637">
            <v>34000000</v>
          </cell>
          <cell r="H5637">
            <v>34000000</v>
          </cell>
          <cell r="I5637" t="str">
            <v/>
          </cell>
          <cell r="J5637" t="str">
            <v/>
          </cell>
          <cell r="K5637" t="str">
            <v/>
          </cell>
          <cell r="L5637" t="str">
            <v/>
          </cell>
        </row>
        <row r="5638">
          <cell r="A5638">
            <v>34000000</v>
          </cell>
          <cell r="C5638">
            <v>34000000</v>
          </cell>
          <cell r="D5638">
            <v>34000000</v>
          </cell>
          <cell r="E5638">
            <v>34000000</v>
          </cell>
          <cell r="F5638">
            <v>34000000</v>
          </cell>
          <cell r="G5638">
            <v>34000000</v>
          </cell>
          <cell r="H5638">
            <v>34000000</v>
          </cell>
          <cell r="I5638" t="str">
            <v/>
          </cell>
          <cell r="J5638" t="str">
            <v/>
          </cell>
          <cell r="K5638" t="str">
            <v/>
          </cell>
          <cell r="L5638" t="str">
            <v/>
          </cell>
        </row>
        <row r="5639">
          <cell r="A5639">
            <v>34000000</v>
          </cell>
          <cell r="C5639">
            <v>34000000</v>
          </cell>
          <cell r="D5639">
            <v>34000000</v>
          </cell>
          <cell r="E5639">
            <v>34000000</v>
          </cell>
          <cell r="F5639">
            <v>34000000</v>
          </cell>
          <cell r="G5639">
            <v>34000000</v>
          </cell>
          <cell r="H5639">
            <v>34000000</v>
          </cell>
          <cell r="I5639" t="str">
            <v/>
          </cell>
          <cell r="J5639" t="str">
            <v/>
          </cell>
          <cell r="K5639" t="str">
            <v/>
          </cell>
          <cell r="L5639" t="str">
            <v/>
          </cell>
        </row>
        <row r="5640">
          <cell r="A5640">
            <v>34000000</v>
          </cell>
          <cell r="C5640">
            <v>34000000</v>
          </cell>
          <cell r="D5640">
            <v>34000000</v>
          </cell>
          <cell r="E5640">
            <v>34000000</v>
          </cell>
          <cell r="F5640">
            <v>34000000</v>
          </cell>
          <cell r="G5640">
            <v>34000000</v>
          </cell>
          <cell r="H5640">
            <v>34000000</v>
          </cell>
          <cell r="I5640" t="str">
            <v/>
          </cell>
          <cell r="J5640" t="str">
            <v/>
          </cell>
          <cell r="K5640" t="str">
            <v/>
          </cell>
          <cell r="L5640" t="str">
            <v/>
          </cell>
        </row>
        <row r="5641">
          <cell r="A5641">
            <v>34000000</v>
          </cell>
          <cell r="C5641">
            <v>34000000</v>
          </cell>
          <cell r="D5641">
            <v>34000000</v>
          </cell>
          <cell r="E5641">
            <v>34000000</v>
          </cell>
          <cell r="F5641">
            <v>34000000</v>
          </cell>
          <cell r="G5641">
            <v>34000000</v>
          </cell>
          <cell r="H5641">
            <v>34000000</v>
          </cell>
          <cell r="I5641" t="str">
            <v/>
          </cell>
          <cell r="J5641" t="str">
            <v/>
          </cell>
          <cell r="K5641" t="str">
            <v/>
          </cell>
          <cell r="L5641" t="str">
            <v/>
          </cell>
        </row>
        <row r="5642">
          <cell r="A5642">
            <v>34000000</v>
          </cell>
          <cell r="C5642">
            <v>34000000</v>
          </cell>
          <cell r="D5642">
            <v>34000000</v>
          </cell>
          <cell r="E5642">
            <v>34000000</v>
          </cell>
          <cell r="F5642">
            <v>34000000</v>
          </cell>
          <cell r="G5642">
            <v>34000000</v>
          </cell>
          <cell r="H5642">
            <v>34000000</v>
          </cell>
          <cell r="I5642" t="str">
            <v/>
          </cell>
          <cell r="J5642" t="str">
            <v/>
          </cell>
          <cell r="K5642" t="str">
            <v/>
          </cell>
          <cell r="L5642" t="str">
            <v/>
          </cell>
        </row>
        <row r="5643">
          <cell r="A5643">
            <v>34000000</v>
          </cell>
          <cell r="C5643">
            <v>34000000</v>
          </cell>
          <cell r="D5643">
            <v>34000000</v>
          </cell>
          <cell r="E5643">
            <v>34000000</v>
          </cell>
          <cell r="F5643">
            <v>34000000</v>
          </cell>
          <cell r="G5643">
            <v>34000000</v>
          </cell>
          <cell r="H5643">
            <v>34000000</v>
          </cell>
          <cell r="I5643" t="str">
            <v/>
          </cell>
          <cell r="J5643" t="str">
            <v/>
          </cell>
          <cell r="K5643" t="str">
            <v/>
          </cell>
          <cell r="L5643" t="str">
            <v/>
          </cell>
        </row>
        <row r="5644">
          <cell r="A5644">
            <v>34000000</v>
          </cell>
          <cell r="C5644">
            <v>34000000</v>
          </cell>
          <cell r="D5644">
            <v>34000000</v>
          </cell>
          <cell r="E5644">
            <v>34000000</v>
          </cell>
          <cell r="F5644">
            <v>34000000</v>
          </cell>
          <cell r="G5644">
            <v>34000000</v>
          </cell>
          <cell r="H5644">
            <v>34000000</v>
          </cell>
          <cell r="I5644" t="str">
            <v/>
          </cell>
          <cell r="J5644" t="str">
            <v/>
          </cell>
          <cell r="K5644" t="str">
            <v/>
          </cell>
          <cell r="L5644" t="str">
            <v/>
          </cell>
        </row>
        <row r="5645">
          <cell r="A5645">
            <v>34000000</v>
          </cell>
          <cell r="C5645">
            <v>34000000</v>
          </cell>
          <cell r="D5645">
            <v>34000000</v>
          </cell>
          <cell r="E5645">
            <v>34000000</v>
          </cell>
          <cell r="F5645">
            <v>34000000</v>
          </cell>
          <cell r="G5645">
            <v>34000000</v>
          </cell>
          <cell r="H5645">
            <v>34000000</v>
          </cell>
          <cell r="I5645" t="str">
            <v/>
          </cell>
          <cell r="J5645" t="str">
            <v/>
          </cell>
          <cell r="K5645" t="str">
            <v/>
          </cell>
          <cell r="L5645" t="str">
            <v/>
          </cell>
        </row>
        <row r="5646">
          <cell r="A5646">
            <v>34000000</v>
          </cell>
          <cell r="C5646">
            <v>34000000</v>
          </cell>
          <cell r="D5646">
            <v>34000000</v>
          </cell>
          <cell r="E5646">
            <v>34000000</v>
          </cell>
          <cell r="F5646">
            <v>34000000</v>
          </cell>
          <cell r="G5646">
            <v>34000000</v>
          </cell>
          <cell r="H5646">
            <v>34000000</v>
          </cell>
          <cell r="I5646" t="str">
            <v/>
          </cell>
          <cell r="J5646" t="str">
            <v/>
          </cell>
          <cell r="K5646" t="str">
            <v/>
          </cell>
          <cell r="L5646" t="str">
            <v/>
          </cell>
        </row>
        <row r="5647">
          <cell r="A5647">
            <v>34000000</v>
          </cell>
          <cell r="C5647">
            <v>34000000</v>
          </cell>
          <cell r="D5647">
            <v>34000000</v>
          </cell>
          <cell r="E5647">
            <v>34000000</v>
          </cell>
          <cell r="F5647">
            <v>34000000</v>
          </cell>
          <cell r="G5647">
            <v>34000000</v>
          </cell>
          <cell r="H5647">
            <v>34000000</v>
          </cell>
          <cell r="I5647" t="str">
            <v/>
          </cell>
          <cell r="J5647" t="str">
            <v/>
          </cell>
          <cell r="K5647" t="str">
            <v/>
          </cell>
          <cell r="L5647" t="str">
            <v/>
          </cell>
        </row>
        <row r="5648">
          <cell r="A5648">
            <v>34000000</v>
          </cell>
          <cell r="C5648">
            <v>34000000</v>
          </cell>
          <cell r="D5648">
            <v>34000000</v>
          </cell>
          <cell r="E5648">
            <v>34000000</v>
          </cell>
          <cell r="F5648">
            <v>34000000</v>
          </cell>
          <cell r="G5648">
            <v>34000000</v>
          </cell>
          <cell r="H5648">
            <v>34000000</v>
          </cell>
          <cell r="I5648" t="str">
            <v/>
          </cell>
          <cell r="J5648" t="str">
            <v/>
          </cell>
          <cell r="K5648" t="str">
            <v/>
          </cell>
          <cell r="L5648" t="str">
            <v/>
          </cell>
        </row>
        <row r="5649">
          <cell r="A5649">
            <v>34000000</v>
          </cell>
          <cell r="C5649">
            <v>34000000</v>
          </cell>
          <cell r="D5649">
            <v>34000000</v>
          </cell>
          <cell r="E5649">
            <v>34000000</v>
          </cell>
          <cell r="F5649">
            <v>34000000</v>
          </cell>
          <cell r="G5649">
            <v>34000000</v>
          </cell>
          <cell r="H5649">
            <v>34000000</v>
          </cell>
          <cell r="I5649" t="str">
            <v/>
          </cell>
          <cell r="J5649" t="str">
            <v/>
          </cell>
          <cell r="K5649" t="str">
            <v/>
          </cell>
          <cell r="L5649" t="str">
            <v/>
          </cell>
        </row>
        <row r="5650">
          <cell r="A5650">
            <v>34000000</v>
          </cell>
          <cell r="C5650">
            <v>34000000</v>
          </cell>
          <cell r="D5650">
            <v>34000000</v>
          </cell>
          <cell r="E5650">
            <v>34000000</v>
          </cell>
          <cell r="F5650">
            <v>34000000</v>
          </cell>
          <cell r="G5650">
            <v>34000000</v>
          </cell>
          <cell r="H5650">
            <v>34000000</v>
          </cell>
          <cell r="I5650" t="str">
            <v/>
          </cell>
          <cell r="J5650" t="str">
            <v/>
          </cell>
          <cell r="K5650" t="str">
            <v/>
          </cell>
          <cell r="L5650" t="str">
            <v/>
          </cell>
        </row>
        <row r="5651">
          <cell r="A5651">
            <v>34000000</v>
          </cell>
          <cell r="C5651">
            <v>34000000</v>
          </cell>
          <cell r="D5651">
            <v>34000000</v>
          </cell>
          <cell r="E5651">
            <v>34000000</v>
          </cell>
          <cell r="F5651">
            <v>34000000</v>
          </cell>
          <cell r="G5651">
            <v>34000000</v>
          </cell>
          <cell r="H5651">
            <v>34000000</v>
          </cell>
          <cell r="I5651" t="str">
            <v/>
          </cell>
          <cell r="J5651" t="str">
            <v/>
          </cell>
          <cell r="K5651" t="str">
            <v/>
          </cell>
          <cell r="L5651" t="str">
            <v/>
          </cell>
        </row>
        <row r="5652">
          <cell r="A5652">
            <v>34000000</v>
          </cell>
          <cell r="C5652">
            <v>34000000</v>
          </cell>
          <cell r="D5652">
            <v>34000000</v>
          </cell>
          <cell r="E5652">
            <v>34000000</v>
          </cell>
          <cell r="F5652">
            <v>34000000</v>
          </cell>
          <cell r="G5652">
            <v>34000000</v>
          </cell>
          <cell r="H5652">
            <v>34000000</v>
          </cell>
          <cell r="I5652" t="str">
            <v/>
          </cell>
          <cell r="J5652" t="str">
            <v/>
          </cell>
          <cell r="K5652" t="str">
            <v/>
          </cell>
          <cell r="L5652" t="str">
            <v/>
          </cell>
        </row>
        <row r="5653">
          <cell r="A5653">
            <v>34000000</v>
          </cell>
          <cell r="C5653">
            <v>34000000</v>
          </cell>
          <cell r="D5653">
            <v>34000000</v>
          </cell>
          <cell r="E5653">
            <v>34000000</v>
          </cell>
          <cell r="F5653">
            <v>34000000</v>
          </cell>
          <cell r="G5653">
            <v>34000000</v>
          </cell>
          <cell r="H5653">
            <v>34000000</v>
          </cell>
          <cell r="I5653" t="str">
            <v/>
          </cell>
          <cell r="J5653" t="str">
            <v/>
          </cell>
          <cell r="K5653" t="str">
            <v/>
          </cell>
          <cell r="L5653" t="str">
            <v/>
          </cell>
        </row>
        <row r="5654">
          <cell r="A5654">
            <v>34000000</v>
          </cell>
          <cell r="C5654">
            <v>34000000</v>
          </cell>
          <cell r="D5654">
            <v>34000000</v>
          </cell>
          <cell r="E5654">
            <v>34000000</v>
          </cell>
          <cell r="F5654">
            <v>34000000</v>
          </cell>
          <cell r="G5654">
            <v>34000000</v>
          </cell>
          <cell r="H5654">
            <v>34000000</v>
          </cell>
          <cell r="I5654" t="str">
            <v/>
          </cell>
          <cell r="J5654" t="str">
            <v/>
          </cell>
          <cell r="K5654" t="str">
            <v/>
          </cell>
          <cell r="L5654" t="str">
            <v/>
          </cell>
        </row>
        <row r="5655">
          <cell r="A5655">
            <v>34000000</v>
          </cell>
          <cell r="C5655">
            <v>34000000</v>
          </cell>
          <cell r="D5655">
            <v>34000000</v>
          </cell>
          <cell r="E5655">
            <v>34000000</v>
          </cell>
          <cell r="F5655">
            <v>34000000</v>
          </cell>
          <cell r="G5655">
            <v>34000000</v>
          </cell>
          <cell r="H5655">
            <v>34000000</v>
          </cell>
          <cell r="I5655" t="str">
            <v/>
          </cell>
          <cell r="J5655" t="str">
            <v/>
          </cell>
          <cell r="K5655" t="str">
            <v/>
          </cell>
          <cell r="L5655" t="str">
            <v/>
          </cell>
        </row>
        <row r="5656">
          <cell r="A5656">
            <v>34000000</v>
          </cell>
          <cell r="C5656">
            <v>34000000</v>
          </cell>
          <cell r="D5656">
            <v>34000000</v>
          </cell>
          <cell r="E5656">
            <v>34000000</v>
          </cell>
          <cell r="F5656">
            <v>34000000</v>
          </cell>
          <cell r="G5656">
            <v>34000000</v>
          </cell>
          <cell r="H5656">
            <v>34000000</v>
          </cell>
          <cell r="I5656" t="str">
            <v/>
          </cell>
          <cell r="J5656" t="str">
            <v/>
          </cell>
          <cell r="K5656" t="str">
            <v/>
          </cell>
          <cell r="L5656" t="str">
            <v/>
          </cell>
        </row>
        <row r="5657">
          <cell r="A5657">
            <v>34000000</v>
          </cell>
          <cell r="C5657">
            <v>34000000</v>
          </cell>
          <cell r="D5657">
            <v>34000000</v>
          </cell>
          <cell r="E5657">
            <v>34000000</v>
          </cell>
          <cell r="F5657">
            <v>34000000</v>
          </cell>
          <cell r="G5657">
            <v>34000000</v>
          </cell>
          <cell r="H5657">
            <v>34000000</v>
          </cell>
          <cell r="I5657" t="str">
            <v/>
          </cell>
          <cell r="J5657" t="str">
            <v/>
          </cell>
          <cell r="K5657" t="str">
            <v/>
          </cell>
          <cell r="L5657" t="str">
            <v/>
          </cell>
        </row>
        <row r="5658">
          <cell r="A5658">
            <v>34000000</v>
          </cell>
          <cell r="C5658">
            <v>34000000</v>
          </cell>
          <cell r="D5658">
            <v>34000000</v>
          </cell>
          <cell r="E5658">
            <v>34000000</v>
          </cell>
          <cell r="F5658">
            <v>34000000</v>
          </cell>
          <cell r="G5658">
            <v>34000000</v>
          </cell>
          <cell r="H5658">
            <v>34000000</v>
          </cell>
          <cell r="I5658" t="str">
            <v/>
          </cell>
          <cell r="J5658" t="str">
            <v/>
          </cell>
          <cell r="K5658" t="str">
            <v/>
          </cell>
          <cell r="L5658" t="str">
            <v/>
          </cell>
        </row>
        <row r="5659">
          <cell r="A5659">
            <v>34000000</v>
          </cell>
          <cell r="C5659">
            <v>34000000</v>
          </cell>
          <cell r="D5659">
            <v>34000000</v>
          </cell>
          <cell r="E5659">
            <v>34000000</v>
          </cell>
          <cell r="F5659">
            <v>34000000</v>
          </cell>
          <cell r="G5659">
            <v>34000000</v>
          </cell>
          <cell r="H5659">
            <v>34000000</v>
          </cell>
          <cell r="I5659" t="str">
            <v/>
          </cell>
          <cell r="J5659" t="str">
            <v/>
          </cell>
          <cell r="K5659" t="str">
            <v/>
          </cell>
          <cell r="L5659" t="str">
            <v/>
          </cell>
        </row>
        <row r="5660">
          <cell r="A5660">
            <v>34000000</v>
          </cell>
          <cell r="C5660">
            <v>34000000</v>
          </cell>
          <cell r="D5660">
            <v>34000000</v>
          </cell>
          <cell r="E5660">
            <v>34000000</v>
          </cell>
          <cell r="F5660">
            <v>34000000</v>
          </cell>
          <cell r="G5660">
            <v>34000000</v>
          </cell>
          <cell r="H5660">
            <v>34000000</v>
          </cell>
          <cell r="I5660" t="str">
            <v/>
          </cell>
          <cell r="J5660" t="str">
            <v/>
          </cell>
          <cell r="K5660" t="str">
            <v/>
          </cell>
          <cell r="L5660" t="str">
            <v/>
          </cell>
        </row>
        <row r="5661">
          <cell r="A5661">
            <v>34000000</v>
          </cell>
          <cell r="C5661">
            <v>34000000</v>
          </cell>
          <cell r="D5661">
            <v>34000000</v>
          </cell>
          <cell r="E5661">
            <v>34000000</v>
          </cell>
          <cell r="F5661">
            <v>34000000</v>
          </cell>
          <cell r="G5661">
            <v>34000000</v>
          </cell>
          <cell r="H5661">
            <v>34000000</v>
          </cell>
          <cell r="I5661" t="str">
            <v/>
          </cell>
          <cell r="J5661" t="str">
            <v/>
          </cell>
          <cell r="K5661" t="str">
            <v/>
          </cell>
          <cell r="L5661" t="str">
            <v/>
          </cell>
        </row>
        <row r="5662">
          <cell r="A5662">
            <v>34000000</v>
          </cell>
          <cell r="C5662">
            <v>34000000</v>
          </cell>
          <cell r="D5662">
            <v>34000000</v>
          </cell>
          <cell r="E5662">
            <v>34000000</v>
          </cell>
          <cell r="F5662">
            <v>34000000</v>
          </cell>
          <cell r="G5662">
            <v>34000000</v>
          </cell>
          <cell r="H5662">
            <v>34000000</v>
          </cell>
          <cell r="I5662" t="str">
            <v/>
          </cell>
          <cell r="J5662" t="str">
            <v/>
          </cell>
          <cell r="K5662" t="str">
            <v/>
          </cell>
          <cell r="L5662" t="str">
            <v/>
          </cell>
        </row>
        <row r="5663">
          <cell r="A5663">
            <v>34000000</v>
          </cell>
          <cell r="C5663">
            <v>34000000</v>
          </cell>
          <cell r="D5663">
            <v>34000000</v>
          </cell>
          <cell r="E5663">
            <v>34000000</v>
          </cell>
          <cell r="F5663">
            <v>34000000</v>
          </cell>
          <cell r="G5663">
            <v>34000000</v>
          </cell>
          <cell r="H5663">
            <v>34000000</v>
          </cell>
          <cell r="I5663" t="str">
            <v/>
          </cell>
          <cell r="J5663" t="str">
            <v/>
          </cell>
          <cell r="K5663" t="str">
            <v/>
          </cell>
          <cell r="L5663" t="str">
            <v/>
          </cell>
        </row>
        <row r="5664">
          <cell r="A5664">
            <v>34000000</v>
          </cell>
          <cell r="C5664">
            <v>34000000</v>
          </cell>
          <cell r="D5664">
            <v>34000000</v>
          </cell>
          <cell r="E5664">
            <v>34000000</v>
          </cell>
          <cell r="F5664">
            <v>34000000</v>
          </cell>
          <cell r="G5664">
            <v>34000000</v>
          </cell>
          <cell r="H5664">
            <v>34000000</v>
          </cell>
          <cell r="I5664" t="str">
            <v/>
          </cell>
          <cell r="J5664" t="str">
            <v/>
          </cell>
          <cell r="K5664" t="str">
            <v/>
          </cell>
          <cell r="L5664" t="str">
            <v/>
          </cell>
        </row>
        <row r="5665">
          <cell r="A5665">
            <v>34000000</v>
          </cell>
          <cell r="C5665">
            <v>34000000</v>
          </cell>
          <cell r="D5665">
            <v>34000000</v>
          </cell>
          <cell r="E5665">
            <v>34000000</v>
          </cell>
          <cell r="F5665">
            <v>34000000</v>
          </cell>
          <cell r="G5665">
            <v>34000000</v>
          </cell>
          <cell r="H5665">
            <v>34000000</v>
          </cell>
          <cell r="I5665" t="str">
            <v/>
          </cell>
          <cell r="J5665" t="str">
            <v/>
          </cell>
          <cell r="K5665" t="str">
            <v/>
          </cell>
          <cell r="L5665" t="str">
            <v/>
          </cell>
        </row>
        <row r="5666">
          <cell r="A5666">
            <v>34000000</v>
          </cell>
          <cell r="C5666">
            <v>34000000</v>
          </cell>
          <cell r="D5666">
            <v>34000000</v>
          </cell>
          <cell r="E5666">
            <v>34000000</v>
          </cell>
          <cell r="F5666">
            <v>34000000</v>
          </cell>
          <cell r="G5666">
            <v>34000000</v>
          </cell>
          <cell r="H5666">
            <v>34000000</v>
          </cell>
          <cell r="I5666" t="str">
            <v/>
          </cell>
          <cell r="J5666" t="str">
            <v/>
          </cell>
          <cell r="K5666" t="str">
            <v/>
          </cell>
          <cell r="L5666" t="str">
            <v/>
          </cell>
        </row>
        <row r="5667">
          <cell r="A5667">
            <v>34000000</v>
          </cell>
          <cell r="C5667">
            <v>34000000</v>
          </cell>
          <cell r="D5667">
            <v>34000000</v>
          </cell>
          <cell r="E5667">
            <v>34000000</v>
          </cell>
          <cell r="F5667">
            <v>34000000</v>
          </cell>
          <cell r="G5667">
            <v>34000000</v>
          </cell>
          <cell r="H5667">
            <v>34000000</v>
          </cell>
          <cell r="I5667" t="str">
            <v/>
          </cell>
          <cell r="J5667" t="str">
            <v/>
          </cell>
          <cell r="K5667" t="str">
            <v/>
          </cell>
          <cell r="L5667" t="str">
            <v/>
          </cell>
        </row>
        <row r="5668">
          <cell r="A5668">
            <v>34000000</v>
          </cell>
          <cell r="C5668">
            <v>34000000</v>
          </cell>
          <cell r="D5668">
            <v>34000000</v>
          </cell>
          <cell r="E5668">
            <v>34000000</v>
          </cell>
          <cell r="F5668">
            <v>34000000</v>
          </cell>
          <cell r="G5668">
            <v>34000000</v>
          </cell>
          <cell r="H5668">
            <v>34000000</v>
          </cell>
          <cell r="I5668" t="str">
            <v/>
          </cell>
          <cell r="J5668" t="str">
            <v/>
          </cell>
          <cell r="K5668" t="str">
            <v/>
          </cell>
          <cell r="L5668" t="str">
            <v/>
          </cell>
        </row>
        <row r="5669">
          <cell r="A5669">
            <v>34000000</v>
          </cell>
          <cell r="C5669">
            <v>34000000</v>
          </cell>
          <cell r="D5669">
            <v>34000000</v>
          </cell>
          <cell r="E5669">
            <v>34000000</v>
          </cell>
          <cell r="F5669">
            <v>34000000</v>
          </cell>
          <cell r="G5669">
            <v>34000000</v>
          </cell>
          <cell r="H5669">
            <v>34000000</v>
          </cell>
          <cell r="I5669" t="str">
            <v/>
          </cell>
          <cell r="J5669" t="str">
            <v/>
          </cell>
          <cell r="K5669" t="str">
            <v/>
          </cell>
          <cell r="L5669" t="str">
            <v/>
          </cell>
        </row>
        <row r="5670">
          <cell r="A5670">
            <v>34000000</v>
          </cell>
          <cell r="C5670">
            <v>34000000</v>
          </cell>
          <cell r="D5670">
            <v>34000000</v>
          </cell>
          <cell r="E5670">
            <v>34000000</v>
          </cell>
          <cell r="F5670">
            <v>34000000</v>
          </cell>
          <cell r="G5670">
            <v>34000000</v>
          </cell>
          <cell r="H5670">
            <v>34000000</v>
          </cell>
          <cell r="I5670" t="str">
            <v/>
          </cell>
          <cell r="J5670" t="str">
            <v/>
          </cell>
          <cell r="K5670" t="str">
            <v/>
          </cell>
          <cell r="L5670" t="str">
            <v/>
          </cell>
        </row>
        <row r="5671">
          <cell r="A5671">
            <v>34000000</v>
          </cell>
          <cell r="C5671">
            <v>34000000</v>
          </cell>
          <cell r="D5671">
            <v>34000000</v>
          </cell>
          <cell r="E5671">
            <v>34000000</v>
          </cell>
          <cell r="F5671">
            <v>34000000</v>
          </cell>
          <cell r="G5671">
            <v>34000000</v>
          </cell>
          <cell r="H5671">
            <v>34000000</v>
          </cell>
          <cell r="I5671" t="str">
            <v/>
          </cell>
          <cell r="J5671" t="str">
            <v/>
          </cell>
          <cell r="K5671" t="str">
            <v/>
          </cell>
          <cell r="L5671" t="str">
            <v/>
          </cell>
        </row>
        <row r="5672">
          <cell r="A5672">
            <v>34000000</v>
          </cell>
          <cell r="C5672">
            <v>34000000</v>
          </cell>
          <cell r="D5672">
            <v>34000000</v>
          </cell>
          <cell r="E5672">
            <v>34000000</v>
          </cell>
          <cell r="F5672">
            <v>34000000</v>
          </cell>
          <cell r="G5672">
            <v>34000000</v>
          </cell>
          <cell r="H5672">
            <v>34000000</v>
          </cell>
          <cell r="I5672" t="str">
            <v/>
          </cell>
          <cell r="J5672" t="str">
            <v/>
          </cell>
          <cell r="K5672" t="str">
            <v/>
          </cell>
          <cell r="L5672" t="str">
            <v/>
          </cell>
        </row>
        <row r="5673">
          <cell r="A5673">
            <v>34000000</v>
          </cell>
          <cell r="C5673">
            <v>34000000</v>
          </cell>
          <cell r="D5673">
            <v>34000000</v>
          </cell>
          <cell r="E5673">
            <v>34000000</v>
          </cell>
          <cell r="F5673">
            <v>34000000</v>
          </cell>
          <cell r="G5673">
            <v>34000000</v>
          </cell>
          <cell r="H5673">
            <v>34000000</v>
          </cell>
          <cell r="I5673" t="str">
            <v/>
          </cell>
          <cell r="J5673" t="str">
            <v/>
          </cell>
          <cell r="K5673" t="str">
            <v/>
          </cell>
          <cell r="L5673" t="str">
            <v/>
          </cell>
        </row>
        <row r="5674">
          <cell r="A5674">
            <v>34000000</v>
          </cell>
          <cell r="C5674">
            <v>34000000</v>
          </cell>
          <cell r="D5674">
            <v>34000000</v>
          </cell>
          <cell r="E5674">
            <v>34000000</v>
          </cell>
          <cell r="F5674">
            <v>34000000</v>
          </cell>
          <cell r="G5674">
            <v>34000000</v>
          </cell>
          <cell r="H5674">
            <v>34000000</v>
          </cell>
          <cell r="I5674" t="str">
            <v/>
          </cell>
          <cell r="J5674" t="str">
            <v/>
          </cell>
          <cell r="K5674" t="str">
            <v/>
          </cell>
          <cell r="L5674" t="str">
            <v/>
          </cell>
        </row>
        <row r="5675">
          <cell r="A5675">
            <v>34000000</v>
          </cell>
          <cell r="C5675">
            <v>34000000</v>
          </cell>
          <cell r="D5675">
            <v>34000000</v>
          </cell>
          <cell r="E5675">
            <v>34000000</v>
          </cell>
          <cell r="F5675">
            <v>34000000</v>
          </cell>
          <cell r="G5675">
            <v>34000000</v>
          </cell>
          <cell r="H5675">
            <v>34000000</v>
          </cell>
          <cell r="I5675" t="str">
            <v/>
          </cell>
          <cell r="J5675" t="str">
            <v/>
          </cell>
          <cell r="K5675" t="str">
            <v/>
          </cell>
          <cell r="L5675" t="str">
            <v/>
          </cell>
        </row>
        <row r="5676">
          <cell r="A5676">
            <v>34000000</v>
          </cell>
          <cell r="C5676">
            <v>34000000</v>
          </cell>
          <cell r="D5676">
            <v>34000000</v>
          </cell>
          <cell r="E5676">
            <v>34000000</v>
          </cell>
          <cell r="F5676">
            <v>34000000</v>
          </cell>
          <cell r="G5676">
            <v>34000000</v>
          </cell>
          <cell r="H5676">
            <v>34000000</v>
          </cell>
          <cell r="I5676" t="str">
            <v/>
          </cell>
          <cell r="J5676" t="str">
            <v/>
          </cell>
          <cell r="K5676" t="str">
            <v/>
          </cell>
          <cell r="L5676" t="str">
            <v/>
          </cell>
        </row>
        <row r="5677">
          <cell r="A5677">
            <v>34000000</v>
          </cell>
          <cell r="C5677">
            <v>34000000</v>
          </cell>
          <cell r="D5677">
            <v>34000000</v>
          </cell>
          <cell r="E5677">
            <v>34000000</v>
          </cell>
          <cell r="F5677">
            <v>34000000</v>
          </cell>
          <cell r="G5677">
            <v>34000000</v>
          </cell>
          <cell r="H5677">
            <v>34000000</v>
          </cell>
          <cell r="I5677" t="str">
            <v/>
          </cell>
          <cell r="J5677" t="str">
            <v/>
          </cell>
          <cell r="K5677" t="str">
            <v/>
          </cell>
          <cell r="L5677" t="str">
            <v/>
          </cell>
        </row>
        <row r="5678">
          <cell r="A5678">
            <v>34000000</v>
          </cell>
          <cell r="C5678">
            <v>34000000</v>
          </cell>
          <cell r="D5678">
            <v>34000000</v>
          </cell>
          <cell r="E5678">
            <v>34000000</v>
          </cell>
          <cell r="F5678">
            <v>34000000</v>
          </cell>
          <cell r="G5678">
            <v>34000000</v>
          </cell>
          <cell r="H5678">
            <v>34000000</v>
          </cell>
          <cell r="I5678" t="str">
            <v/>
          </cell>
          <cell r="J5678" t="str">
            <v/>
          </cell>
          <cell r="K5678" t="str">
            <v/>
          </cell>
          <cell r="L5678" t="str">
            <v/>
          </cell>
        </row>
        <row r="5679">
          <cell r="A5679">
            <v>34000000</v>
          </cell>
          <cell r="C5679">
            <v>34000000</v>
          </cell>
          <cell r="D5679">
            <v>34000000</v>
          </cell>
          <cell r="E5679">
            <v>34000000</v>
          </cell>
          <cell r="F5679">
            <v>34000000</v>
          </cell>
          <cell r="G5679">
            <v>34000000</v>
          </cell>
          <cell r="H5679">
            <v>34000000</v>
          </cell>
          <cell r="I5679" t="str">
            <v/>
          </cell>
          <cell r="J5679" t="str">
            <v/>
          </cell>
          <cell r="K5679" t="str">
            <v/>
          </cell>
          <cell r="L5679" t="str">
            <v/>
          </cell>
        </row>
        <row r="5680">
          <cell r="A5680">
            <v>34000000</v>
          </cell>
          <cell r="C5680">
            <v>34000000</v>
          </cell>
          <cell r="D5680">
            <v>34000000</v>
          </cell>
          <cell r="E5680">
            <v>34000000</v>
          </cell>
          <cell r="F5680">
            <v>34000000</v>
          </cell>
          <cell r="G5680">
            <v>34000000</v>
          </cell>
          <cell r="H5680">
            <v>34000000</v>
          </cell>
          <cell r="I5680" t="str">
            <v/>
          </cell>
          <cell r="J5680" t="str">
            <v/>
          </cell>
          <cell r="K5680" t="str">
            <v/>
          </cell>
          <cell r="L5680" t="str">
            <v/>
          </cell>
        </row>
        <row r="5681">
          <cell r="A5681">
            <v>34000000</v>
          </cell>
          <cell r="C5681">
            <v>34000000</v>
          </cell>
          <cell r="D5681">
            <v>34000000</v>
          </cell>
          <cell r="E5681">
            <v>34000000</v>
          </cell>
          <cell r="F5681">
            <v>34000000</v>
          </cell>
          <cell r="G5681">
            <v>34000000</v>
          </cell>
          <cell r="H5681">
            <v>34000000</v>
          </cell>
          <cell r="I5681" t="str">
            <v/>
          </cell>
          <cell r="J5681" t="str">
            <v/>
          </cell>
          <cell r="K5681" t="str">
            <v/>
          </cell>
          <cell r="L5681" t="str">
            <v/>
          </cell>
        </row>
        <row r="5682">
          <cell r="A5682">
            <v>34000000</v>
          </cell>
          <cell r="C5682">
            <v>34000000</v>
          </cell>
          <cell r="D5682">
            <v>34000000</v>
          </cell>
          <cell r="E5682">
            <v>34000000</v>
          </cell>
          <cell r="F5682">
            <v>34000000</v>
          </cell>
          <cell r="G5682">
            <v>34000000</v>
          </cell>
          <cell r="H5682">
            <v>34000000</v>
          </cell>
          <cell r="I5682" t="str">
            <v/>
          </cell>
          <cell r="J5682" t="str">
            <v/>
          </cell>
          <cell r="K5682" t="str">
            <v/>
          </cell>
          <cell r="L5682" t="str">
            <v/>
          </cell>
        </row>
        <row r="5683">
          <cell r="A5683">
            <v>34000000</v>
          </cell>
          <cell r="C5683">
            <v>34000000</v>
          </cell>
          <cell r="D5683">
            <v>34000000</v>
          </cell>
          <cell r="E5683">
            <v>34000000</v>
          </cell>
          <cell r="F5683">
            <v>34000000</v>
          </cell>
          <cell r="G5683">
            <v>34000000</v>
          </cell>
          <cell r="H5683">
            <v>34000000</v>
          </cell>
          <cell r="I5683" t="str">
            <v/>
          </cell>
          <cell r="J5683" t="str">
            <v/>
          </cell>
          <cell r="K5683" t="str">
            <v/>
          </cell>
          <cell r="L5683" t="str">
            <v/>
          </cell>
        </row>
        <row r="5684">
          <cell r="A5684">
            <v>34000000</v>
          </cell>
          <cell r="C5684">
            <v>34000000</v>
          </cell>
          <cell r="D5684">
            <v>34000000</v>
          </cell>
          <cell r="E5684">
            <v>34000000</v>
          </cell>
          <cell r="F5684">
            <v>34000000</v>
          </cell>
          <cell r="G5684">
            <v>34000000</v>
          </cell>
          <cell r="H5684">
            <v>34000000</v>
          </cell>
          <cell r="I5684" t="str">
            <v/>
          </cell>
          <cell r="J5684" t="str">
            <v/>
          </cell>
          <cell r="K5684" t="str">
            <v/>
          </cell>
          <cell r="L5684" t="str">
            <v/>
          </cell>
        </row>
        <row r="5685">
          <cell r="A5685">
            <v>34000000</v>
          </cell>
          <cell r="C5685">
            <v>34000000</v>
          </cell>
          <cell r="D5685">
            <v>34000000</v>
          </cell>
          <cell r="E5685">
            <v>34000000</v>
          </cell>
          <cell r="F5685">
            <v>34000000</v>
          </cell>
          <cell r="G5685">
            <v>34000000</v>
          </cell>
          <cell r="H5685">
            <v>34000000</v>
          </cell>
          <cell r="I5685" t="str">
            <v/>
          </cell>
          <cell r="J5685" t="str">
            <v/>
          </cell>
          <cell r="K5685" t="str">
            <v/>
          </cell>
          <cell r="L5685" t="str">
            <v/>
          </cell>
        </row>
        <row r="5686">
          <cell r="A5686">
            <v>34000000</v>
          </cell>
          <cell r="C5686">
            <v>34000000</v>
          </cell>
          <cell r="D5686">
            <v>34000000</v>
          </cell>
          <cell r="E5686">
            <v>34000000</v>
          </cell>
          <cell r="F5686">
            <v>34000000</v>
          </cell>
          <cell r="G5686">
            <v>34000000</v>
          </cell>
          <cell r="H5686">
            <v>34000000</v>
          </cell>
          <cell r="I5686" t="str">
            <v/>
          </cell>
          <cell r="J5686" t="str">
            <v/>
          </cell>
          <cell r="K5686" t="str">
            <v/>
          </cell>
          <cell r="L5686" t="str">
            <v/>
          </cell>
        </row>
        <row r="5687">
          <cell r="A5687">
            <v>34000000</v>
          </cell>
          <cell r="C5687">
            <v>34000000</v>
          </cell>
          <cell r="D5687">
            <v>34000000</v>
          </cell>
          <cell r="E5687">
            <v>34000000</v>
          </cell>
          <cell r="F5687">
            <v>34000000</v>
          </cell>
          <cell r="G5687">
            <v>34000000</v>
          </cell>
          <cell r="H5687">
            <v>34000000</v>
          </cell>
          <cell r="I5687" t="str">
            <v/>
          </cell>
          <cell r="J5687" t="str">
            <v/>
          </cell>
          <cell r="K5687" t="str">
            <v/>
          </cell>
          <cell r="L5687" t="str">
            <v/>
          </cell>
        </row>
        <row r="5688">
          <cell r="A5688">
            <v>34000000</v>
          </cell>
          <cell r="C5688">
            <v>34000000</v>
          </cell>
          <cell r="D5688">
            <v>34000000</v>
          </cell>
          <cell r="E5688">
            <v>34000000</v>
          </cell>
          <cell r="F5688">
            <v>34000000</v>
          </cell>
          <cell r="G5688">
            <v>34000000</v>
          </cell>
          <cell r="H5688">
            <v>34000000</v>
          </cell>
          <cell r="I5688" t="str">
            <v/>
          </cell>
          <cell r="J5688" t="str">
            <v/>
          </cell>
          <cell r="K5688" t="str">
            <v/>
          </cell>
          <cell r="L5688" t="str">
            <v/>
          </cell>
        </row>
        <row r="5689">
          <cell r="A5689">
            <v>34000000</v>
          </cell>
          <cell r="C5689">
            <v>34000000</v>
          </cell>
          <cell r="D5689">
            <v>34000000</v>
          </cell>
          <cell r="E5689">
            <v>34000000</v>
          </cell>
          <cell r="F5689">
            <v>34000000</v>
          </cell>
          <cell r="G5689">
            <v>34000000</v>
          </cell>
          <cell r="H5689">
            <v>34000000</v>
          </cell>
          <cell r="I5689" t="str">
            <v/>
          </cell>
          <cell r="J5689" t="str">
            <v/>
          </cell>
          <cell r="K5689" t="str">
            <v/>
          </cell>
          <cell r="L5689" t="str">
            <v/>
          </cell>
        </row>
        <row r="5690">
          <cell r="A5690">
            <v>34000000</v>
          </cell>
          <cell r="C5690">
            <v>34000000</v>
          </cell>
          <cell r="D5690">
            <v>34000000</v>
          </cell>
          <cell r="E5690">
            <v>34000000</v>
          </cell>
          <cell r="F5690">
            <v>34000000</v>
          </cell>
          <cell r="G5690">
            <v>34000000</v>
          </cell>
          <cell r="H5690">
            <v>34000000</v>
          </cell>
          <cell r="I5690" t="str">
            <v/>
          </cell>
          <cell r="J5690" t="str">
            <v/>
          </cell>
          <cell r="K5690" t="str">
            <v/>
          </cell>
          <cell r="L5690" t="str">
            <v/>
          </cell>
        </row>
        <row r="5691">
          <cell r="A5691">
            <v>34000000</v>
          </cell>
          <cell r="C5691">
            <v>34000000</v>
          </cell>
          <cell r="D5691">
            <v>34000000</v>
          </cell>
          <cell r="E5691">
            <v>34000000</v>
          </cell>
          <cell r="F5691">
            <v>34000000</v>
          </cell>
          <cell r="G5691">
            <v>34000000</v>
          </cell>
          <cell r="H5691">
            <v>34000000</v>
          </cell>
          <cell r="I5691" t="str">
            <v/>
          </cell>
          <cell r="J5691" t="str">
            <v/>
          </cell>
          <cell r="K5691" t="str">
            <v/>
          </cell>
          <cell r="L5691" t="str">
            <v/>
          </cell>
        </row>
        <row r="5692">
          <cell r="A5692">
            <v>34000000</v>
          </cell>
          <cell r="C5692">
            <v>34000000</v>
          </cell>
          <cell r="D5692">
            <v>34000000</v>
          </cell>
          <cell r="E5692">
            <v>34000000</v>
          </cell>
          <cell r="F5692">
            <v>34000000</v>
          </cell>
          <cell r="G5692">
            <v>34000000</v>
          </cell>
          <cell r="H5692">
            <v>34000000</v>
          </cell>
          <cell r="I5692" t="str">
            <v/>
          </cell>
          <cell r="J5692" t="str">
            <v/>
          </cell>
          <cell r="K5692" t="str">
            <v/>
          </cell>
          <cell r="L5692" t="str">
            <v/>
          </cell>
        </row>
        <row r="5693">
          <cell r="A5693">
            <v>34000000</v>
          </cell>
          <cell r="C5693">
            <v>34000000</v>
          </cell>
          <cell r="D5693">
            <v>34000000</v>
          </cell>
          <cell r="E5693">
            <v>34000000</v>
          </cell>
          <cell r="F5693">
            <v>34000000</v>
          </cell>
          <cell r="G5693">
            <v>34000000</v>
          </cell>
          <cell r="H5693">
            <v>34000000</v>
          </cell>
          <cell r="I5693" t="str">
            <v/>
          </cell>
          <cell r="J5693" t="str">
            <v/>
          </cell>
          <cell r="K5693" t="str">
            <v/>
          </cell>
          <cell r="L5693" t="str">
            <v/>
          </cell>
        </row>
        <row r="5694">
          <cell r="A5694">
            <v>34000000</v>
          </cell>
          <cell r="C5694">
            <v>34000000</v>
          </cell>
          <cell r="D5694">
            <v>34000000</v>
          </cell>
          <cell r="E5694">
            <v>34000000</v>
          </cell>
          <cell r="F5694">
            <v>34000000</v>
          </cell>
          <cell r="G5694">
            <v>34000000</v>
          </cell>
          <cell r="H5694">
            <v>34000000</v>
          </cell>
          <cell r="I5694" t="str">
            <v/>
          </cell>
          <cell r="J5694" t="str">
            <v/>
          </cell>
          <cell r="K5694" t="str">
            <v/>
          </cell>
          <cell r="L5694" t="str">
            <v/>
          </cell>
        </row>
        <row r="5695">
          <cell r="A5695">
            <v>34000000</v>
          </cell>
          <cell r="C5695">
            <v>34000000</v>
          </cell>
          <cell r="D5695">
            <v>34000000</v>
          </cell>
          <cell r="E5695">
            <v>34000000</v>
          </cell>
          <cell r="F5695">
            <v>34000000</v>
          </cell>
          <cell r="G5695">
            <v>34000000</v>
          </cell>
          <cell r="H5695">
            <v>34000000</v>
          </cell>
          <cell r="I5695" t="str">
            <v/>
          </cell>
          <cell r="J5695" t="str">
            <v/>
          </cell>
          <cell r="K5695" t="str">
            <v/>
          </cell>
          <cell r="L5695" t="str">
            <v/>
          </cell>
        </row>
        <row r="5696">
          <cell r="A5696">
            <v>34000000</v>
          </cell>
          <cell r="C5696">
            <v>34000000</v>
          </cell>
          <cell r="D5696">
            <v>34000000</v>
          </cell>
          <cell r="E5696">
            <v>34000000</v>
          </cell>
          <cell r="F5696">
            <v>34000000</v>
          </cell>
          <cell r="G5696">
            <v>34000000</v>
          </cell>
          <cell r="H5696">
            <v>34000000</v>
          </cell>
          <cell r="I5696" t="str">
            <v/>
          </cell>
          <cell r="J5696" t="str">
            <v/>
          </cell>
          <cell r="K5696" t="str">
            <v/>
          </cell>
          <cell r="L5696" t="str">
            <v/>
          </cell>
        </row>
        <row r="5697">
          <cell r="A5697">
            <v>34000000</v>
          </cell>
          <cell r="C5697">
            <v>34000000</v>
          </cell>
          <cell r="D5697">
            <v>34000000</v>
          </cell>
          <cell r="E5697">
            <v>34000000</v>
          </cell>
          <cell r="F5697">
            <v>34000000</v>
          </cell>
          <cell r="G5697">
            <v>34000000</v>
          </cell>
          <cell r="H5697">
            <v>34000000</v>
          </cell>
          <cell r="I5697" t="str">
            <v/>
          </cell>
          <cell r="J5697" t="str">
            <v/>
          </cell>
          <cell r="K5697" t="str">
            <v/>
          </cell>
          <cell r="L5697" t="str">
            <v/>
          </cell>
        </row>
        <row r="5698">
          <cell r="A5698">
            <v>34000000</v>
          </cell>
          <cell r="C5698">
            <v>34000000</v>
          </cell>
          <cell r="D5698">
            <v>34000000</v>
          </cell>
          <cell r="E5698">
            <v>34000000</v>
          </cell>
          <cell r="F5698">
            <v>34000000</v>
          </cell>
          <cell r="G5698">
            <v>34000000</v>
          </cell>
          <cell r="H5698">
            <v>34000000</v>
          </cell>
          <cell r="I5698" t="str">
            <v/>
          </cell>
          <cell r="J5698" t="str">
            <v/>
          </cell>
          <cell r="K5698" t="str">
            <v/>
          </cell>
          <cell r="L5698" t="str">
            <v/>
          </cell>
        </row>
        <row r="5699">
          <cell r="A5699">
            <v>34000000</v>
          </cell>
          <cell r="C5699">
            <v>34000000</v>
          </cell>
          <cell r="D5699">
            <v>34000000</v>
          </cell>
          <cell r="E5699">
            <v>34000000</v>
          </cell>
          <cell r="F5699">
            <v>34000000</v>
          </cell>
          <cell r="G5699">
            <v>34000000</v>
          </cell>
          <cell r="H5699">
            <v>34000000</v>
          </cell>
          <cell r="I5699" t="str">
            <v/>
          </cell>
          <cell r="J5699" t="str">
            <v/>
          </cell>
          <cell r="K5699" t="str">
            <v/>
          </cell>
          <cell r="L5699" t="str">
            <v/>
          </cell>
        </row>
        <row r="5700">
          <cell r="A5700">
            <v>34000000</v>
          </cell>
          <cell r="C5700">
            <v>34000000</v>
          </cell>
          <cell r="D5700">
            <v>34000000</v>
          </cell>
          <cell r="E5700">
            <v>34000000</v>
          </cell>
          <cell r="F5700">
            <v>34000000</v>
          </cell>
          <cell r="G5700">
            <v>34000000</v>
          </cell>
          <cell r="H5700">
            <v>34000000</v>
          </cell>
          <cell r="I5700" t="str">
            <v/>
          </cell>
          <cell r="J5700" t="str">
            <v/>
          </cell>
          <cell r="K5700" t="str">
            <v/>
          </cell>
          <cell r="L5700" t="str">
            <v/>
          </cell>
        </row>
        <row r="5701">
          <cell r="A5701">
            <v>34000000</v>
          </cell>
          <cell r="C5701">
            <v>34000000</v>
          </cell>
          <cell r="D5701">
            <v>34000000</v>
          </cell>
          <cell r="E5701">
            <v>34000000</v>
          </cell>
          <cell r="F5701">
            <v>34000000</v>
          </cell>
          <cell r="G5701">
            <v>34000000</v>
          </cell>
          <cell r="H5701">
            <v>34000000</v>
          </cell>
          <cell r="I5701" t="str">
            <v/>
          </cell>
          <cell r="J5701" t="str">
            <v/>
          </cell>
          <cell r="K5701" t="str">
            <v/>
          </cell>
          <cell r="L5701" t="str">
            <v/>
          </cell>
        </row>
        <row r="5702">
          <cell r="A5702">
            <v>34000000</v>
          </cell>
          <cell r="C5702">
            <v>34000000</v>
          </cell>
          <cell r="D5702">
            <v>34000000</v>
          </cell>
          <cell r="E5702">
            <v>34000000</v>
          </cell>
          <cell r="F5702">
            <v>34000000</v>
          </cell>
          <cell r="G5702">
            <v>34000000</v>
          </cell>
          <cell r="H5702">
            <v>34000000</v>
          </cell>
          <cell r="I5702" t="str">
            <v/>
          </cell>
          <cell r="J5702" t="str">
            <v/>
          </cell>
          <cell r="K5702" t="str">
            <v/>
          </cell>
          <cell r="L5702" t="str">
            <v/>
          </cell>
        </row>
        <row r="5703">
          <cell r="A5703">
            <v>34000000</v>
          </cell>
          <cell r="C5703">
            <v>34000000</v>
          </cell>
          <cell r="D5703">
            <v>34000000</v>
          </cell>
          <cell r="E5703">
            <v>34000000</v>
          </cell>
          <cell r="F5703">
            <v>34000000</v>
          </cell>
          <cell r="G5703">
            <v>34000000</v>
          </cell>
          <cell r="H5703">
            <v>34000000</v>
          </cell>
          <cell r="I5703" t="str">
            <v/>
          </cell>
          <cell r="J5703" t="str">
            <v/>
          </cell>
          <cell r="K5703" t="str">
            <v/>
          </cell>
          <cell r="L5703" t="str">
            <v/>
          </cell>
        </row>
        <row r="5704">
          <cell r="A5704">
            <v>34000000</v>
          </cell>
          <cell r="C5704">
            <v>34000000</v>
          </cell>
          <cell r="D5704">
            <v>34000000</v>
          </cell>
          <cell r="E5704">
            <v>34000000</v>
          </cell>
          <cell r="F5704">
            <v>34000000</v>
          </cell>
          <cell r="G5704">
            <v>34000000</v>
          </cell>
          <cell r="H5704">
            <v>34000000</v>
          </cell>
          <cell r="I5704" t="str">
            <v/>
          </cell>
          <cell r="J5704" t="str">
            <v/>
          </cell>
          <cell r="K5704" t="str">
            <v/>
          </cell>
          <cell r="L5704" t="str">
            <v/>
          </cell>
        </row>
        <row r="5705">
          <cell r="A5705">
            <v>34000000</v>
          </cell>
          <cell r="C5705">
            <v>34000000</v>
          </cell>
          <cell r="D5705">
            <v>34000000</v>
          </cell>
          <cell r="E5705">
            <v>34000000</v>
          </cell>
          <cell r="F5705">
            <v>34000000</v>
          </cell>
          <cell r="G5705">
            <v>34000000</v>
          </cell>
          <cell r="H5705">
            <v>34000000</v>
          </cell>
          <cell r="I5705" t="str">
            <v/>
          </cell>
          <cell r="J5705" t="str">
            <v/>
          </cell>
          <cell r="K5705" t="str">
            <v/>
          </cell>
          <cell r="L5705" t="str">
            <v/>
          </cell>
        </row>
        <row r="5706">
          <cell r="A5706">
            <v>34000000</v>
          </cell>
          <cell r="C5706">
            <v>34000000</v>
          </cell>
          <cell r="D5706">
            <v>34000000</v>
          </cell>
          <cell r="E5706">
            <v>34000000</v>
          </cell>
          <cell r="F5706">
            <v>34000000</v>
          </cell>
          <cell r="G5706">
            <v>34000000</v>
          </cell>
          <cell r="H5706">
            <v>34000000</v>
          </cell>
          <cell r="I5706" t="str">
            <v/>
          </cell>
          <cell r="J5706" t="str">
            <v/>
          </cell>
          <cell r="K5706" t="str">
            <v/>
          </cell>
          <cell r="L5706" t="str">
            <v/>
          </cell>
        </row>
        <row r="5707">
          <cell r="A5707">
            <v>34000000</v>
          </cell>
          <cell r="C5707">
            <v>34000000</v>
          </cell>
          <cell r="D5707">
            <v>34000000</v>
          </cell>
          <cell r="E5707">
            <v>34000000</v>
          </cell>
          <cell r="F5707">
            <v>34000000</v>
          </cell>
          <cell r="G5707">
            <v>34000000</v>
          </cell>
          <cell r="H5707">
            <v>34000000</v>
          </cell>
          <cell r="I5707" t="str">
            <v/>
          </cell>
          <cell r="J5707" t="str">
            <v/>
          </cell>
          <cell r="K5707" t="str">
            <v/>
          </cell>
          <cell r="L5707" t="str">
            <v/>
          </cell>
        </row>
        <row r="5708">
          <cell r="A5708">
            <v>34000000</v>
          </cell>
          <cell r="C5708">
            <v>34000000</v>
          </cell>
          <cell r="D5708">
            <v>34000000</v>
          </cell>
          <cell r="E5708">
            <v>34000000</v>
          </cell>
          <cell r="F5708">
            <v>34000000</v>
          </cell>
          <cell r="G5708">
            <v>34000000</v>
          </cell>
          <cell r="H5708">
            <v>34000000</v>
          </cell>
          <cell r="I5708" t="str">
            <v/>
          </cell>
          <cell r="J5708" t="str">
            <v/>
          </cell>
          <cell r="K5708" t="str">
            <v/>
          </cell>
          <cell r="L5708" t="str">
            <v/>
          </cell>
        </row>
        <row r="5709">
          <cell r="A5709">
            <v>34000000</v>
          </cell>
          <cell r="C5709">
            <v>34000000</v>
          </cell>
          <cell r="D5709">
            <v>34000000</v>
          </cell>
          <cell r="E5709">
            <v>34000000</v>
          </cell>
          <cell r="F5709">
            <v>34000000</v>
          </cell>
          <cell r="G5709">
            <v>34000000</v>
          </cell>
          <cell r="H5709">
            <v>34000000</v>
          </cell>
          <cell r="I5709" t="str">
            <v/>
          </cell>
          <cell r="J5709" t="str">
            <v/>
          </cell>
          <cell r="K5709" t="str">
            <v/>
          </cell>
          <cell r="L5709" t="str">
            <v/>
          </cell>
        </row>
        <row r="5710">
          <cell r="A5710">
            <v>34000000</v>
          </cell>
          <cell r="C5710">
            <v>34000000</v>
          </cell>
          <cell r="D5710">
            <v>34000000</v>
          </cell>
          <cell r="E5710">
            <v>34000000</v>
          </cell>
          <cell r="F5710">
            <v>34000000</v>
          </cell>
          <cell r="G5710">
            <v>34000000</v>
          </cell>
          <cell r="H5710">
            <v>34000000</v>
          </cell>
          <cell r="I5710" t="str">
            <v/>
          </cell>
          <cell r="J5710" t="str">
            <v/>
          </cell>
          <cell r="K5710" t="str">
            <v/>
          </cell>
          <cell r="L5710" t="str">
            <v/>
          </cell>
        </row>
        <row r="5711">
          <cell r="A5711">
            <v>34000000</v>
          </cell>
          <cell r="C5711">
            <v>34000000</v>
          </cell>
          <cell r="D5711">
            <v>34000000</v>
          </cell>
          <cell r="E5711">
            <v>34000000</v>
          </cell>
          <cell r="F5711">
            <v>34000000</v>
          </cell>
          <cell r="G5711">
            <v>34000000</v>
          </cell>
          <cell r="H5711">
            <v>34000000</v>
          </cell>
          <cell r="I5711" t="str">
            <v/>
          </cell>
          <cell r="J5711" t="str">
            <v/>
          </cell>
          <cell r="K5711" t="str">
            <v/>
          </cell>
          <cell r="L5711" t="str">
            <v/>
          </cell>
        </row>
        <row r="5712">
          <cell r="A5712">
            <v>34000000</v>
          </cell>
          <cell r="C5712">
            <v>34000000</v>
          </cell>
          <cell r="D5712">
            <v>34000000</v>
          </cell>
          <cell r="E5712">
            <v>34000000</v>
          </cell>
          <cell r="F5712">
            <v>34000000</v>
          </cell>
          <cell r="G5712">
            <v>34000000</v>
          </cell>
          <cell r="H5712">
            <v>34000000</v>
          </cell>
          <cell r="I5712" t="str">
            <v/>
          </cell>
          <cell r="J5712" t="str">
            <v/>
          </cell>
          <cell r="K5712" t="str">
            <v/>
          </cell>
          <cell r="L5712" t="str">
            <v/>
          </cell>
        </row>
        <row r="5713">
          <cell r="A5713">
            <v>34000000</v>
          </cell>
          <cell r="C5713">
            <v>34000000</v>
          </cell>
          <cell r="D5713">
            <v>34000000</v>
          </cell>
          <cell r="E5713">
            <v>34000000</v>
          </cell>
          <cell r="F5713">
            <v>34000000</v>
          </cell>
          <cell r="G5713">
            <v>34000000</v>
          </cell>
          <cell r="H5713">
            <v>34000000</v>
          </cell>
          <cell r="I5713" t="str">
            <v/>
          </cell>
          <cell r="J5713" t="str">
            <v/>
          </cell>
          <cell r="K5713" t="str">
            <v/>
          </cell>
          <cell r="L5713" t="str">
            <v/>
          </cell>
        </row>
        <row r="5714">
          <cell r="A5714">
            <v>34000000</v>
          </cell>
          <cell r="C5714">
            <v>34000000</v>
          </cell>
          <cell r="D5714">
            <v>34000000</v>
          </cell>
          <cell r="E5714">
            <v>34000000</v>
          </cell>
          <cell r="F5714">
            <v>34000000</v>
          </cell>
          <cell r="G5714">
            <v>34000000</v>
          </cell>
          <cell r="H5714">
            <v>34000000</v>
          </cell>
          <cell r="I5714" t="str">
            <v/>
          </cell>
          <cell r="J5714" t="str">
            <v/>
          </cell>
          <cell r="K5714" t="str">
            <v/>
          </cell>
          <cell r="L5714" t="str">
            <v/>
          </cell>
        </row>
        <row r="5715">
          <cell r="A5715">
            <v>34000000</v>
          </cell>
          <cell r="C5715">
            <v>34000000</v>
          </cell>
          <cell r="D5715">
            <v>34000000</v>
          </cell>
          <cell r="E5715">
            <v>34000000</v>
          </cell>
          <cell r="F5715">
            <v>34000000</v>
          </cell>
          <cell r="G5715">
            <v>34000000</v>
          </cell>
          <cell r="H5715">
            <v>34000000</v>
          </cell>
          <cell r="I5715" t="str">
            <v/>
          </cell>
          <cell r="J5715" t="str">
            <v/>
          </cell>
          <cell r="K5715" t="str">
            <v/>
          </cell>
          <cell r="L5715" t="str">
            <v/>
          </cell>
        </row>
        <row r="5716">
          <cell r="A5716">
            <v>34000000</v>
          </cell>
          <cell r="C5716">
            <v>34000000</v>
          </cell>
          <cell r="D5716">
            <v>34000000</v>
          </cell>
          <cell r="E5716">
            <v>34000000</v>
          </cell>
          <cell r="F5716">
            <v>34000000</v>
          </cell>
          <cell r="G5716">
            <v>34000000</v>
          </cell>
          <cell r="H5716">
            <v>34000000</v>
          </cell>
          <cell r="I5716" t="str">
            <v/>
          </cell>
          <cell r="J5716" t="str">
            <v/>
          </cell>
          <cell r="K5716" t="str">
            <v/>
          </cell>
          <cell r="L5716" t="str">
            <v/>
          </cell>
        </row>
        <row r="5717">
          <cell r="A5717">
            <v>34000000</v>
          </cell>
          <cell r="C5717">
            <v>34000000</v>
          </cell>
          <cell r="D5717">
            <v>34000000</v>
          </cell>
          <cell r="E5717">
            <v>34000000</v>
          </cell>
          <cell r="F5717">
            <v>34000000</v>
          </cell>
          <cell r="G5717">
            <v>34000000</v>
          </cell>
          <cell r="H5717">
            <v>34000000</v>
          </cell>
          <cell r="I5717" t="str">
            <v/>
          </cell>
          <cell r="J5717" t="str">
            <v/>
          </cell>
          <cell r="K5717" t="str">
            <v/>
          </cell>
          <cell r="L5717" t="str">
            <v/>
          </cell>
        </row>
        <row r="5718">
          <cell r="A5718">
            <v>34000000</v>
          </cell>
          <cell r="C5718">
            <v>34000000</v>
          </cell>
          <cell r="D5718">
            <v>34000000</v>
          </cell>
          <cell r="E5718">
            <v>34000000</v>
          </cell>
          <cell r="F5718">
            <v>34000000</v>
          </cell>
          <cell r="G5718">
            <v>34000000</v>
          </cell>
          <cell r="H5718">
            <v>34000000</v>
          </cell>
          <cell r="I5718" t="str">
            <v/>
          </cell>
          <cell r="J5718" t="str">
            <v/>
          </cell>
          <cell r="K5718" t="str">
            <v/>
          </cell>
          <cell r="L5718" t="str">
            <v/>
          </cell>
        </row>
        <row r="5719">
          <cell r="A5719">
            <v>34000000</v>
          </cell>
          <cell r="C5719">
            <v>34000000</v>
          </cell>
          <cell r="D5719">
            <v>34000000</v>
          </cell>
          <cell r="E5719">
            <v>34000000</v>
          </cell>
          <cell r="F5719">
            <v>34000000</v>
          </cell>
          <cell r="G5719">
            <v>34000000</v>
          </cell>
          <cell r="H5719">
            <v>34000000</v>
          </cell>
          <cell r="I5719" t="str">
            <v/>
          </cell>
          <cell r="J5719" t="str">
            <v/>
          </cell>
          <cell r="K5719" t="str">
            <v/>
          </cell>
          <cell r="L5719" t="str">
            <v/>
          </cell>
        </row>
        <row r="5720">
          <cell r="A5720">
            <v>34000000</v>
          </cell>
          <cell r="C5720">
            <v>34000000</v>
          </cell>
          <cell r="D5720">
            <v>34000000</v>
          </cell>
          <cell r="E5720">
            <v>34000000</v>
          </cell>
          <cell r="F5720">
            <v>34000000</v>
          </cell>
          <cell r="G5720">
            <v>34000000</v>
          </cell>
          <cell r="H5720">
            <v>34000000</v>
          </cell>
          <cell r="I5720" t="str">
            <v/>
          </cell>
          <cell r="J5720" t="str">
            <v/>
          </cell>
          <cell r="K5720" t="str">
            <v/>
          </cell>
          <cell r="L5720" t="str">
            <v/>
          </cell>
        </row>
        <row r="5721">
          <cell r="A5721">
            <v>34000000</v>
          </cell>
          <cell r="C5721">
            <v>34000000</v>
          </cell>
          <cell r="D5721">
            <v>34000000</v>
          </cell>
          <cell r="E5721">
            <v>34000000</v>
          </cell>
          <cell r="F5721">
            <v>34000000</v>
          </cell>
          <cell r="G5721">
            <v>34000000</v>
          </cell>
          <cell r="H5721">
            <v>34000000</v>
          </cell>
          <cell r="I5721" t="str">
            <v/>
          </cell>
          <cell r="J5721" t="str">
            <v/>
          </cell>
          <cell r="K5721" t="str">
            <v/>
          </cell>
          <cell r="L5721" t="str">
            <v/>
          </cell>
        </row>
        <row r="5722">
          <cell r="A5722">
            <v>34000000</v>
          </cell>
          <cell r="C5722">
            <v>34000000</v>
          </cell>
          <cell r="D5722">
            <v>34000000</v>
          </cell>
          <cell r="E5722">
            <v>34000000</v>
          </cell>
          <cell r="F5722">
            <v>34000000</v>
          </cell>
          <cell r="G5722">
            <v>34000000</v>
          </cell>
          <cell r="H5722">
            <v>34000000</v>
          </cell>
          <cell r="I5722" t="str">
            <v/>
          </cell>
          <cell r="J5722" t="str">
            <v/>
          </cell>
          <cell r="K5722" t="str">
            <v/>
          </cell>
          <cell r="L5722" t="str">
            <v/>
          </cell>
        </row>
        <row r="5723">
          <cell r="A5723">
            <v>34000000</v>
          </cell>
          <cell r="C5723">
            <v>34000000</v>
          </cell>
          <cell r="D5723">
            <v>34000000</v>
          </cell>
          <cell r="E5723">
            <v>34000000</v>
          </cell>
          <cell r="F5723">
            <v>34000000</v>
          </cell>
          <cell r="G5723">
            <v>34000000</v>
          </cell>
          <cell r="H5723">
            <v>34000000</v>
          </cell>
          <cell r="I5723" t="str">
            <v/>
          </cell>
          <cell r="J5723" t="str">
            <v/>
          </cell>
          <cell r="K5723" t="str">
            <v/>
          </cell>
          <cell r="L5723" t="str">
            <v/>
          </cell>
        </row>
        <row r="5724">
          <cell r="A5724">
            <v>34000000</v>
          </cell>
          <cell r="C5724">
            <v>34000000</v>
          </cell>
          <cell r="D5724">
            <v>34000000</v>
          </cell>
          <cell r="E5724">
            <v>34000000</v>
          </cell>
          <cell r="F5724">
            <v>34000000</v>
          </cell>
          <cell r="G5724">
            <v>34000000</v>
          </cell>
          <cell r="H5724">
            <v>34000000</v>
          </cell>
          <cell r="I5724" t="str">
            <v/>
          </cell>
          <cell r="J5724" t="str">
            <v/>
          </cell>
          <cell r="K5724" t="str">
            <v/>
          </cell>
          <cell r="L5724" t="str">
            <v/>
          </cell>
        </row>
        <row r="5725">
          <cell r="A5725">
            <v>34000000</v>
          </cell>
          <cell r="C5725">
            <v>34000000</v>
          </cell>
          <cell r="D5725">
            <v>34000000</v>
          </cell>
          <cell r="E5725">
            <v>34000000</v>
          </cell>
          <cell r="F5725">
            <v>34000000</v>
          </cell>
          <cell r="G5725">
            <v>34000000</v>
          </cell>
          <cell r="H5725">
            <v>34000000</v>
          </cell>
          <cell r="I5725" t="str">
            <v/>
          </cell>
          <cell r="J5725" t="str">
            <v/>
          </cell>
          <cell r="K5725" t="str">
            <v/>
          </cell>
          <cell r="L5725" t="str">
            <v/>
          </cell>
        </row>
        <row r="5726">
          <cell r="A5726">
            <v>34000000</v>
          </cell>
          <cell r="C5726">
            <v>34000000</v>
          </cell>
          <cell r="D5726">
            <v>34000000</v>
          </cell>
          <cell r="E5726">
            <v>34000000</v>
          </cell>
          <cell r="F5726">
            <v>34000000</v>
          </cell>
          <cell r="G5726">
            <v>34000000</v>
          </cell>
          <cell r="H5726">
            <v>34000000</v>
          </cell>
          <cell r="I5726" t="str">
            <v/>
          </cell>
          <cell r="J5726" t="str">
            <v/>
          </cell>
          <cell r="K5726" t="str">
            <v/>
          </cell>
          <cell r="L5726" t="str">
            <v/>
          </cell>
        </row>
        <row r="5727">
          <cell r="A5727">
            <v>34000000</v>
          </cell>
          <cell r="C5727">
            <v>34000000</v>
          </cell>
          <cell r="D5727">
            <v>34000000</v>
          </cell>
          <cell r="E5727">
            <v>34000000</v>
          </cell>
          <cell r="F5727">
            <v>34000000</v>
          </cell>
          <cell r="G5727">
            <v>34000000</v>
          </cell>
          <cell r="H5727">
            <v>34000000</v>
          </cell>
          <cell r="I5727" t="str">
            <v/>
          </cell>
          <cell r="J5727" t="str">
            <v/>
          </cell>
          <cell r="K5727" t="str">
            <v/>
          </cell>
          <cell r="L5727" t="str">
            <v/>
          </cell>
        </row>
        <row r="5728">
          <cell r="A5728">
            <v>34000000</v>
          </cell>
          <cell r="C5728">
            <v>34000000</v>
          </cell>
          <cell r="D5728">
            <v>34000000</v>
          </cell>
          <cell r="E5728">
            <v>34000000</v>
          </cell>
          <cell r="F5728">
            <v>34000000</v>
          </cell>
          <cell r="G5728">
            <v>34000000</v>
          </cell>
          <cell r="H5728">
            <v>34000000</v>
          </cell>
          <cell r="I5728" t="str">
            <v/>
          </cell>
          <cell r="J5728" t="str">
            <v/>
          </cell>
          <cell r="K5728" t="str">
            <v/>
          </cell>
          <cell r="L5728" t="str">
            <v/>
          </cell>
        </row>
        <row r="5729">
          <cell r="A5729">
            <v>34000000</v>
          </cell>
          <cell r="C5729">
            <v>34000000</v>
          </cell>
          <cell r="D5729">
            <v>34000000</v>
          </cell>
          <cell r="E5729">
            <v>34000000</v>
          </cell>
          <cell r="F5729">
            <v>34000000</v>
          </cell>
          <cell r="G5729">
            <v>34000000</v>
          </cell>
          <cell r="H5729">
            <v>34000000</v>
          </cell>
          <cell r="I5729" t="str">
            <v/>
          </cell>
          <cell r="J5729" t="str">
            <v/>
          </cell>
          <cell r="K5729" t="str">
            <v/>
          </cell>
          <cell r="L5729" t="str">
            <v/>
          </cell>
        </row>
        <row r="5730">
          <cell r="A5730">
            <v>34000000</v>
          </cell>
          <cell r="C5730">
            <v>34000000</v>
          </cell>
          <cell r="D5730">
            <v>34000000</v>
          </cell>
          <cell r="E5730">
            <v>34000000</v>
          </cell>
          <cell r="F5730">
            <v>34000000</v>
          </cell>
          <cell r="G5730">
            <v>34000000</v>
          </cell>
          <cell r="H5730">
            <v>34000000</v>
          </cell>
          <cell r="I5730" t="str">
            <v/>
          </cell>
          <cell r="J5730" t="str">
            <v/>
          </cell>
          <cell r="K5730" t="str">
            <v/>
          </cell>
          <cell r="L5730" t="str">
            <v/>
          </cell>
        </row>
        <row r="5731">
          <cell r="A5731">
            <v>34000000</v>
          </cell>
          <cell r="C5731">
            <v>34000000</v>
          </cell>
          <cell r="D5731">
            <v>34000000</v>
          </cell>
          <cell r="E5731">
            <v>34000000</v>
          </cell>
          <cell r="F5731">
            <v>34000000</v>
          </cell>
          <cell r="G5731">
            <v>34000000</v>
          </cell>
          <cell r="H5731">
            <v>34000000</v>
          </cell>
          <cell r="I5731" t="str">
            <v/>
          </cell>
          <cell r="J5731" t="str">
            <v/>
          </cell>
          <cell r="K5731" t="str">
            <v/>
          </cell>
          <cell r="L5731" t="str">
            <v/>
          </cell>
        </row>
        <row r="5732">
          <cell r="A5732">
            <v>34000000</v>
          </cell>
          <cell r="C5732">
            <v>34000000</v>
          </cell>
          <cell r="D5732">
            <v>34000000</v>
          </cell>
          <cell r="E5732">
            <v>34000000</v>
          </cell>
          <cell r="F5732">
            <v>34000000</v>
          </cell>
          <cell r="G5732">
            <v>34000000</v>
          </cell>
          <cell r="H5732">
            <v>34000000</v>
          </cell>
          <cell r="I5732" t="str">
            <v/>
          </cell>
          <cell r="J5732" t="str">
            <v/>
          </cell>
          <cell r="K5732" t="str">
            <v/>
          </cell>
          <cell r="L5732" t="str">
            <v/>
          </cell>
        </row>
        <row r="5733">
          <cell r="A5733">
            <v>34000000</v>
          </cell>
          <cell r="C5733">
            <v>34000000</v>
          </cell>
          <cell r="D5733">
            <v>34000000</v>
          </cell>
          <cell r="E5733">
            <v>34000000</v>
          </cell>
          <cell r="F5733">
            <v>34000000</v>
          </cell>
          <cell r="G5733">
            <v>34000000</v>
          </cell>
          <cell r="H5733">
            <v>34000000</v>
          </cell>
          <cell r="I5733" t="str">
            <v/>
          </cell>
          <cell r="J5733" t="str">
            <v/>
          </cell>
          <cell r="K5733" t="str">
            <v/>
          </cell>
          <cell r="L5733" t="str">
            <v/>
          </cell>
        </row>
        <row r="5734">
          <cell r="A5734">
            <v>34000000</v>
          </cell>
          <cell r="C5734">
            <v>34000000</v>
          </cell>
          <cell r="D5734">
            <v>34000000</v>
          </cell>
          <cell r="E5734">
            <v>34000000</v>
          </cell>
          <cell r="F5734">
            <v>34000000</v>
          </cell>
          <cell r="G5734">
            <v>34000000</v>
          </cell>
          <cell r="H5734">
            <v>34000000</v>
          </cell>
          <cell r="I5734" t="str">
            <v/>
          </cell>
          <cell r="J5734" t="str">
            <v/>
          </cell>
          <cell r="K5734" t="str">
            <v/>
          </cell>
          <cell r="L5734" t="str">
            <v/>
          </cell>
        </row>
        <row r="5735">
          <cell r="A5735">
            <v>34000000</v>
          </cell>
          <cell r="C5735">
            <v>34000000</v>
          </cell>
          <cell r="D5735">
            <v>34000000</v>
          </cell>
          <cell r="E5735">
            <v>34000000</v>
          </cell>
          <cell r="F5735">
            <v>34000000</v>
          </cell>
          <cell r="G5735">
            <v>34000000</v>
          </cell>
          <cell r="H5735">
            <v>34000000</v>
          </cell>
          <cell r="I5735" t="str">
            <v/>
          </cell>
          <cell r="J5735" t="str">
            <v/>
          </cell>
          <cell r="K5735" t="str">
            <v/>
          </cell>
          <cell r="L5735" t="str">
            <v/>
          </cell>
        </row>
        <row r="5736">
          <cell r="A5736">
            <v>34000000</v>
          </cell>
          <cell r="C5736">
            <v>34000000</v>
          </cell>
          <cell r="D5736">
            <v>34000000</v>
          </cell>
          <cell r="E5736">
            <v>34000000</v>
          </cell>
          <cell r="F5736">
            <v>34000000</v>
          </cell>
          <cell r="G5736">
            <v>34000000</v>
          </cell>
          <cell r="H5736">
            <v>34000000</v>
          </cell>
          <cell r="I5736" t="str">
            <v/>
          </cell>
          <cell r="J5736" t="str">
            <v/>
          </cell>
          <cell r="K5736" t="str">
            <v/>
          </cell>
          <cell r="L5736" t="str">
            <v/>
          </cell>
        </row>
        <row r="5737">
          <cell r="A5737">
            <v>34000000</v>
          </cell>
          <cell r="C5737">
            <v>34000000</v>
          </cell>
          <cell r="D5737">
            <v>34000000</v>
          </cell>
          <cell r="E5737">
            <v>34000000</v>
          </cell>
          <cell r="F5737">
            <v>34000000</v>
          </cell>
          <cell r="G5737">
            <v>34000000</v>
          </cell>
          <cell r="H5737">
            <v>34000000</v>
          </cell>
          <cell r="I5737" t="str">
            <v/>
          </cell>
          <cell r="J5737" t="str">
            <v/>
          </cell>
          <cell r="K5737" t="str">
            <v/>
          </cell>
          <cell r="L5737" t="str">
            <v/>
          </cell>
        </row>
        <row r="5738">
          <cell r="A5738">
            <v>34000000</v>
          </cell>
          <cell r="C5738">
            <v>34000000</v>
          </cell>
          <cell r="D5738">
            <v>34000000</v>
          </cell>
          <cell r="E5738">
            <v>34000000</v>
          </cell>
          <cell r="F5738">
            <v>34000000</v>
          </cell>
          <cell r="G5738">
            <v>34000000</v>
          </cell>
          <cell r="H5738">
            <v>34000000</v>
          </cell>
          <cell r="I5738" t="str">
            <v/>
          </cell>
          <cell r="J5738" t="str">
            <v/>
          </cell>
          <cell r="K5738" t="str">
            <v/>
          </cell>
          <cell r="L5738" t="str">
            <v/>
          </cell>
        </row>
        <row r="5739">
          <cell r="A5739">
            <v>34000000</v>
          </cell>
          <cell r="C5739">
            <v>34000000</v>
          </cell>
          <cell r="D5739">
            <v>34000000</v>
          </cell>
          <cell r="E5739">
            <v>34000000</v>
          </cell>
          <cell r="F5739">
            <v>34000000</v>
          </cell>
          <cell r="G5739">
            <v>34000000</v>
          </cell>
          <cell r="H5739">
            <v>34000000</v>
          </cell>
          <cell r="I5739" t="str">
            <v/>
          </cell>
          <cell r="J5739" t="str">
            <v/>
          </cell>
          <cell r="K5739" t="str">
            <v/>
          </cell>
          <cell r="L5739" t="str">
            <v/>
          </cell>
        </row>
        <row r="5740">
          <cell r="A5740">
            <v>34000000</v>
          </cell>
          <cell r="C5740">
            <v>34000000</v>
          </cell>
          <cell r="D5740">
            <v>34000000</v>
          </cell>
          <cell r="E5740">
            <v>34000000</v>
          </cell>
          <cell r="F5740">
            <v>34000000</v>
          </cell>
          <cell r="G5740">
            <v>34000000</v>
          </cell>
          <cell r="H5740">
            <v>34000000</v>
          </cell>
          <cell r="I5740" t="str">
            <v/>
          </cell>
          <cell r="J5740" t="str">
            <v/>
          </cell>
          <cell r="K5740" t="str">
            <v/>
          </cell>
          <cell r="L5740" t="str">
            <v/>
          </cell>
        </row>
        <row r="5741">
          <cell r="A5741">
            <v>34000000</v>
          </cell>
          <cell r="C5741">
            <v>34000000</v>
          </cell>
          <cell r="D5741">
            <v>34000000</v>
          </cell>
          <cell r="E5741">
            <v>34000000</v>
          </cell>
          <cell r="F5741">
            <v>34000000</v>
          </cell>
          <cell r="G5741">
            <v>34000000</v>
          </cell>
          <cell r="H5741">
            <v>34000000</v>
          </cell>
          <cell r="I5741" t="str">
            <v/>
          </cell>
          <cell r="J5741" t="str">
            <v/>
          </cell>
          <cell r="K5741" t="str">
            <v/>
          </cell>
          <cell r="L5741" t="str">
            <v/>
          </cell>
        </row>
        <row r="5742">
          <cell r="A5742">
            <v>34000000</v>
          </cell>
          <cell r="C5742">
            <v>34000000</v>
          </cell>
          <cell r="D5742">
            <v>34000000</v>
          </cell>
          <cell r="E5742">
            <v>34000000</v>
          </cell>
          <cell r="F5742">
            <v>34000000</v>
          </cell>
          <cell r="G5742">
            <v>34000000</v>
          </cell>
          <cell r="H5742">
            <v>34000000</v>
          </cell>
          <cell r="I5742" t="str">
            <v/>
          </cell>
          <cell r="J5742" t="str">
            <v/>
          </cell>
          <cell r="K5742" t="str">
            <v/>
          </cell>
          <cell r="L5742" t="str">
            <v/>
          </cell>
        </row>
        <row r="5743">
          <cell r="A5743">
            <v>34000000</v>
          </cell>
          <cell r="C5743">
            <v>34000000</v>
          </cell>
          <cell r="D5743">
            <v>34000000</v>
          </cell>
          <cell r="E5743">
            <v>34000000</v>
          </cell>
          <cell r="F5743">
            <v>34000000</v>
          </cell>
          <cell r="G5743">
            <v>34000000</v>
          </cell>
          <cell r="H5743">
            <v>34000000</v>
          </cell>
          <cell r="I5743" t="str">
            <v/>
          </cell>
          <cell r="J5743" t="str">
            <v/>
          </cell>
          <cell r="K5743" t="str">
            <v/>
          </cell>
          <cell r="L5743" t="str">
            <v/>
          </cell>
        </row>
        <row r="5744">
          <cell r="A5744">
            <v>34000000</v>
          </cell>
          <cell r="C5744">
            <v>34000000</v>
          </cell>
          <cell r="D5744">
            <v>34000000</v>
          </cell>
          <cell r="E5744">
            <v>34000000</v>
          </cell>
          <cell r="F5744">
            <v>34000000</v>
          </cell>
          <cell r="G5744">
            <v>34000000</v>
          </cell>
          <cell r="H5744">
            <v>34000000</v>
          </cell>
          <cell r="I5744" t="str">
            <v/>
          </cell>
          <cell r="J5744" t="str">
            <v/>
          </cell>
          <cell r="K5744" t="str">
            <v/>
          </cell>
          <cell r="L5744" t="str">
            <v/>
          </cell>
        </row>
        <row r="5745">
          <cell r="A5745">
            <v>34000000</v>
          </cell>
          <cell r="C5745">
            <v>34000000</v>
          </cell>
          <cell r="D5745">
            <v>34000000</v>
          </cell>
          <cell r="E5745">
            <v>34000000</v>
          </cell>
          <cell r="F5745">
            <v>34000000</v>
          </cell>
          <cell r="G5745">
            <v>34000000</v>
          </cell>
          <cell r="H5745">
            <v>34000000</v>
          </cell>
          <cell r="I5745" t="str">
            <v/>
          </cell>
          <cell r="J5745" t="str">
            <v/>
          </cell>
          <cell r="K5745" t="str">
            <v/>
          </cell>
          <cell r="L5745" t="str">
            <v/>
          </cell>
        </row>
        <row r="5746">
          <cell r="A5746">
            <v>34000000</v>
          </cell>
          <cell r="C5746">
            <v>34000000</v>
          </cell>
          <cell r="D5746">
            <v>34000000</v>
          </cell>
          <cell r="E5746">
            <v>34000000</v>
          </cell>
          <cell r="F5746">
            <v>34000000</v>
          </cell>
          <cell r="G5746">
            <v>34000000</v>
          </cell>
          <cell r="H5746">
            <v>34000000</v>
          </cell>
          <cell r="I5746" t="str">
            <v/>
          </cell>
          <cell r="J5746" t="str">
            <v/>
          </cell>
          <cell r="K5746" t="str">
            <v/>
          </cell>
          <cell r="L5746" t="str">
            <v/>
          </cell>
        </row>
        <row r="5747">
          <cell r="A5747">
            <v>34000000</v>
          </cell>
          <cell r="C5747">
            <v>34000000</v>
          </cell>
          <cell r="D5747">
            <v>34000000</v>
          </cell>
          <cell r="E5747">
            <v>34000000</v>
          </cell>
          <cell r="F5747">
            <v>34000000</v>
          </cell>
          <cell r="G5747">
            <v>34000000</v>
          </cell>
          <cell r="H5747">
            <v>34000000</v>
          </cell>
          <cell r="I5747" t="str">
            <v/>
          </cell>
          <cell r="J5747" t="str">
            <v/>
          </cell>
          <cell r="K5747" t="str">
            <v/>
          </cell>
          <cell r="L5747" t="str">
            <v/>
          </cell>
        </row>
        <row r="5748">
          <cell r="A5748">
            <v>34000000</v>
          </cell>
          <cell r="C5748">
            <v>34000000</v>
          </cell>
          <cell r="D5748">
            <v>34000000</v>
          </cell>
          <cell r="E5748">
            <v>34000000</v>
          </cell>
          <cell r="F5748">
            <v>34000000</v>
          </cell>
          <cell r="G5748">
            <v>34000000</v>
          </cell>
          <cell r="H5748">
            <v>34000000</v>
          </cell>
          <cell r="I5748" t="str">
            <v/>
          </cell>
          <cell r="J5748" t="str">
            <v/>
          </cell>
          <cell r="K5748" t="str">
            <v/>
          </cell>
          <cell r="L5748" t="str">
            <v/>
          </cell>
        </row>
        <row r="5749">
          <cell r="A5749">
            <v>34000000</v>
          </cell>
          <cell r="C5749">
            <v>34000000</v>
          </cell>
          <cell r="D5749">
            <v>34000000</v>
          </cell>
          <cell r="E5749">
            <v>34000000</v>
          </cell>
          <cell r="F5749">
            <v>34000000</v>
          </cell>
          <cell r="G5749">
            <v>34000000</v>
          </cell>
          <cell r="H5749">
            <v>34000000</v>
          </cell>
          <cell r="I5749" t="str">
            <v/>
          </cell>
          <cell r="J5749" t="str">
            <v/>
          </cell>
          <cell r="K5749" t="str">
            <v/>
          </cell>
          <cell r="L5749" t="str">
            <v/>
          </cell>
        </row>
        <row r="5750">
          <cell r="A5750">
            <v>34000000</v>
          </cell>
          <cell r="C5750">
            <v>34000000</v>
          </cell>
          <cell r="D5750">
            <v>34000000</v>
          </cell>
          <cell r="E5750">
            <v>34000000</v>
          </cell>
          <cell r="F5750">
            <v>34000000</v>
          </cell>
          <cell r="G5750">
            <v>34000000</v>
          </cell>
          <cell r="H5750">
            <v>34000000</v>
          </cell>
          <cell r="I5750" t="str">
            <v/>
          </cell>
          <cell r="J5750" t="str">
            <v/>
          </cell>
          <cell r="K5750" t="str">
            <v/>
          </cell>
          <cell r="L5750" t="str">
            <v/>
          </cell>
        </row>
        <row r="5751">
          <cell r="A5751">
            <v>34000000</v>
          </cell>
          <cell r="C5751">
            <v>34000000</v>
          </cell>
          <cell r="D5751">
            <v>34000000</v>
          </cell>
          <cell r="E5751">
            <v>34000000</v>
          </cell>
          <cell r="F5751">
            <v>34000000</v>
          </cell>
          <cell r="G5751">
            <v>34000000</v>
          </cell>
          <cell r="H5751">
            <v>34000000</v>
          </cell>
          <cell r="I5751" t="str">
            <v/>
          </cell>
          <cell r="J5751" t="str">
            <v/>
          </cell>
          <cell r="K5751" t="str">
            <v/>
          </cell>
          <cell r="L5751" t="str">
            <v/>
          </cell>
        </row>
        <row r="5752">
          <cell r="A5752">
            <v>34000000</v>
          </cell>
          <cell r="C5752">
            <v>34000000</v>
          </cell>
          <cell r="D5752">
            <v>34000000</v>
          </cell>
          <cell r="E5752">
            <v>34000000</v>
          </cell>
          <cell r="F5752">
            <v>34000000</v>
          </cell>
          <cell r="G5752">
            <v>34000000</v>
          </cell>
          <cell r="H5752">
            <v>34000000</v>
          </cell>
          <cell r="I5752" t="str">
            <v/>
          </cell>
          <cell r="J5752" t="str">
            <v/>
          </cell>
          <cell r="K5752" t="str">
            <v/>
          </cell>
          <cell r="L5752" t="str">
            <v/>
          </cell>
        </row>
        <row r="5753">
          <cell r="A5753">
            <v>34000000</v>
          </cell>
          <cell r="C5753">
            <v>34000000</v>
          </cell>
          <cell r="D5753">
            <v>34000000</v>
          </cell>
          <cell r="E5753">
            <v>34000000</v>
          </cell>
          <cell r="F5753">
            <v>34000000</v>
          </cell>
          <cell r="G5753">
            <v>34000000</v>
          </cell>
          <cell r="H5753">
            <v>34000000</v>
          </cell>
          <cell r="I5753" t="str">
            <v/>
          </cell>
          <cell r="J5753" t="str">
            <v/>
          </cell>
          <cell r="K5753" t="str">
            <v/>
          </cell>
          <cell r="L5753" t="str">
            <v/>
          </cell>
        </row>
        <row r="5754">
          <cell r="A5754">
            <v>34000000</v>
          </cell>
          <cell r="C5754">
            <v>34000000</v>
          </cell>
          <cell r="D5754">
            <v>34000000</v>
          </cell>
          <cell r="E5754">
            <v>34000000</v>
          </cell>
          <cell r="F5754">
            <v>34000000</v>
          </cell>
          <cell r="G5754">
            <v>34000000</v>
          </cell>
          <cell r="H5754">
            <v>34000000</v>
          </cell>
          <cell r="I5754" t="str">
            <v/>
          </cell>
          <cell r="J5754" t="str">
            <v/>
          </cell>
          <cell r="K5754" t="str">
            <v/>
          </cell>
          <cell r="L5754" t="str">
            <v/>
          </cell>
        </row>
        <row r="5755">
          <cell r="A5755">
            <v>34000000</v>
          </cell>
          <cell r="C5755">
            <v>34000000</v>
          </cell>
          <cell r="D5755">
            <v>34000000</v>
          </cell>
          <cell r="E5755">
            <v>34000000</v>
          </cell>
          <cell r="F5755">
            <v>34000000</v>
          </cell>
          <cell r="G5755">
            <v>34000000</v>
          </cell>
          <cell r="H5755">
            <v>34000000</v>
          </cell>
          <cell r="I5755" t="str">
            <v/>
          </cell>
          <cell r="J5755" t="str">
            <v/>
          </cell>
          <cell r="K5755" t="str">
            <v/>
          </cell>
          <cell r="L5755" t="str">
            <v/>
          </cell>
        </row>
        <row r="5756">
          <cell r="A5756">
            <v>34000000</v>
          </cell>
          <cell r="C5756">
            <v>34000000</v>
          </cell>
          <cell r="D5756">
            <v>34000000</v>
          </cell>
          <cell r="E5756">
            <v>34000000</v>
          </cell>
          <cell r="F5756">
            <v>34000000</v>
          </cell>
          <cell r="G5756">
            <v>34000000</v>
          </cell>
          <cell r="H5756">
            <v>34000000</v>
          </cell>
          <cell r="I5756" t="str">
            <v/>
          </cell>
          <cell r="J5756" t="str">
            <v/>
          </cell>
          <cell r="K5756" t="str">
            <v/>
          </cell>
          <cell r="L5756" t="str">
            <v/>
          </cell>
        </row>
        <row r="5757">
          <cell r="A5757">
            <v>34000000</v>
          </cell>
          <cell r="C5757">
            <v>34000000</v>
          </cell>
          <cell r="D5757">
            <v>34000000</v>
          </cell>
          <cell r="E5757">
            <v>34000000</v>
          </cell>
          <cell r="F5757">
            <v>34000000</v>
          </cell>
          <cell r="G5757">
            <v>34000000</v>
          </cell>
          <cell r="H5757">
            <v>34000000</v>
          </cell>
          <cell r="I5757" t="str">
            <v/>
          </cell>
          <cell r="J5757" t="str">
            <v/>
          </cell>
          <cell r="K5757" t="str">
            <v/>
          </cell>
          <cell r="L5757" t="str">
            <v/>
          </cell>
        </row>
        <row r="5758">
          <cell r="A5758">
            <v>34000000</v>
          </cell>
          <cell r="C5758">
            <v>34000000</v>
          </cell>
          <cell r="D5758">
            <v>34000000</v>
          </cell>
          <cell r="E5758">
            <v>34000000</v>
          </cell>
          <cell r="F5758">
            <v>34000000</v>
          </cell>
          <cell r="G5758">
            <v>34000000</v>
          </cell>
          <cell r="H5758">
            <v>34000000</v>
          </cell>
          <cell r="I5758" t="str">
            <v/>
          </cell>
          <cell r="J5758" t="str">
            <v/>
          </cell>
          <cell r="K5758" t="str">
            <v/>
          </cell>
          <cell r="L5758" t="str">
            <v/>
          </cell>
        </row>
        <row r="5759">
          <cell r="A5759">
            <v>34000000</v>
          </cell>
          <cell r="C5759">
            <v>34000000</v>
          </cell>
          <cell r="D5759">
            <v>34000000</v>
          </cell>
          <cell r="E5759">
            <v>34000000</v>
          </cell>
          <cell r="F5759">
            <v>34000000</v>
          </cell>
          <cell r="G5759">
            <v>34000000</v>
          </cell>
          <cell r="H5759">
            <v>34000000</v>
          </cell>
          <cell r="I5759" t="str">
            <v/>
          </cell>
          <cell r="J5759" t="str">
            <v/>
          </cell>
          <cell r="K5759" t="str">
            <v/>
          </cell>
          <cell r="L5759" t="str">
            <v/>
          </cell>
        </row>
        <row r="5760">
          <cell r="A5760">
            <v>34000000</v>
          </cell>
          <cell r="C5760">
            <v>34000000</v>
          </cell>
          <cell r="D5760">
            <v>34000000</v>
          </cell>
          <cell r="E5760">
            <v>34000000</v>
          </cell>
          <cell r="F5760">
            <v>34000000</v>
          </cell>
          <cell r="G5760">
            <v>34000000</v>
          </cell>
          <cell r="H5760">
            <v>34000000</v>
          </cell>
          <cell r="I5760" t="str">
            <v/>
          </cell>
          <cell r="J5760" t="str">
            <v/>
          </cell>
          <cell r="K5760" t="str">
            <v/>
          </cell>
          <cell r="L5760" t="str">
            <v/>
          </cell>
        </row>
        <row r="5761">
          <cell r="A5761">
            <v>34000000</v>
          </cell>
          <cell r="C5761">
            <v>34000000</v>
          </cell>
          <cell r="D5761">
            <v>34000000</v>
          </cell>
          <cell r="E5761">
            <v>34000000</v>
          </cell>
          <cell r="F5761">
            <v>34000000</v>
          </cell>
          <cell r="G5761">
            <v>34000000</v>
          </cell>
          <cell r="H5761">
            <v>34000000</v>
          </cell>
          <cell r="I5761" t="str">
            <v/>
          </cell>
          <cell r="J5761" t="str">
            <v/>
          </cell>
          <cell r="K5761" t="str">
            <v/>
          </cell>
          <cell r="L5761" t="str">
            <v/>
          </cell>
        </row>
        <row r="5762">
          <cell r="A5762">
            <v>34000000</v>
          </cell>
          <cell r="C5762">
            <v>34000000</v>
          </cell>
          <cell r="D5762">
            <v>34000000</v>
          </cell>
          <cell r="E5762">
            <v>34000000</v>
          </cell>
          <cell r="F5762">
            <v>34000000</v>
          </cell>
          <cell r="G5762">
            <v>34000000</v>
          </cell>
          <cell r="H5762">
            <v>34000000</v>
          </cell>
          <cell r="I5762" t="str">
            <v/>
          </cell>
          <cell r="J5762" t="str">
            <v/>
          </cell>
          <cell r="K5762" t="str">
            <v/>
          </cell>
          <cell r="L5762" t="str">
            <v/>
          </cell>
        </row>
        <row r="5763">
          <cell r="A5763">
            <v>34000000</v>
          </cell>
          <cell r="C5763">
            <v>34000000</v>
          </cell>
          <cell r="D5763">
            <v>34000000</v>
          </cell>
          <cell r="E5763">
            <v>34000000</v>
          </cell>
          <cell r="F5763">
            <v>34000000</v>
          </cell>
          <cell r="G5763">
            <v>34000000</v>
          </cell>
          <cell r="H5763">
            <v>34000000</v>
          </cell>
          <cell r="I5763" t="str">
            <v/>
          </cell>
          <cell r="J5763" t="str">
            <v/>
          </cell>
          <cell r="K5763" t="str">
            <v/>
          </cell>
          <cell r="L5763" t="str">
            <v/>
          </cell>
        </row>
        <row r="5764">
          <cell r="A5764">
            <v>34000000</v>
          </cell>
          <cell r="C5764">
            <v>34000000</v>
          </cell>
          <cell r="D5764">
            <v>34000000</v>
          </cell>
          <cell r="E5764">
            <v>34000000</v>
          </cell>
          <cell r="F5764">
            <v>34000000</v>
          </cell>
          <cell r="G5764">
            <v>34000000</v>
          </cell>
          <cell r="H5764">
            <v>34000000</v>
          </cell>
          <cell r="I5764" t="str">
            <v/>
          </cell>
          <cell r="J5764" t="str">
            <v/>
          </cell>
          <cell r="K5764" t="str">
            <v/>
          </cell>
          <cell r="L5764" t="str">
            <v/>
          </cell>
        </row>
        <row r="5765">
          <cell r="A5765">
            <v>34000000</v>
          </cell>
          <cell r="C5765">
            <v>34000000</v>
          </cell>
          <cell r="D5765">
            <v>34000000</v>
          </cell>
          <cell r="E5765">
            <v>34000000</v>
          </cell>
          <cell r="F5765">
            <v>34000000</v>
          </cell>
          <cell r="G5765">
            <v>34000000</v>
          </cell>
          <cell r="H5765">
            <v>34000000</v>
          </cell>
          <cell r="I5765" t="str">
            <v/>
          </cell>
          <cell r="J5765" t="str">
            <v/>
          </cell>
          <cell r="K5765" t="str">
            <v/>
          </cell>
          <cell r="L5765" t="str">
            <v/>
          </cell>
        </row>
        <row r="5766">
          <cell r="A5766">
            <v>34000000</v>
          </cell>
          <cell r="C5766">
            <v>34000000</v>
          </cell>
          <cell r="D5766">
            <v>34000000</v>
          </cell>
          <cell r="E5766">
            <v>34000000</v>
          </cell>
          <cell r="F5766">
            <v>34000000</v>
          </cell>
          <cell r="G5766">
            <v>34000000</v>
          </cell>
          <cell r="H5766">
            <v>34000000</v>
          </cell>
          <cell r="I5766" t="str">
            <v/>
          </cell>
          <cell r="J5766" t="str">
            <v/>
          </cell>
          <cell r="K5766" t="str">
            <v/>
          </cell>
          <cell r="L5766" t="str">
            <v/>
          </cell>
        </row>
        <row r="5767">
          <cell r="A5767">
            <v>34000000</v>
          </cell>
          <cell r="C5767">
            <v>34000000</v>
          </cell>
          <cell r="D5767">
            <v>34000000</v>
          </cell>
          <cell r="E5767">
            <v>34000000</v>
          </cell>
          <cell r="F5767">
            <v>34000000</v>
          </cell>
          <cell r="G5767">
            <v>34000000</v>
          </cell>
          <cell r="H5767">
            <v>34000000</v>
          </cell>
          <cell r="I5767" t="str">
            <v/>
          </cell>
          <cell r="J5767" t="str">
            <v/>
          </cell>
          <cell r="K5767" t="str">
            <v/>
          </cell>
          <cell r="L5767" t="str">
            <v/>
          </cell>
        </row>
        <row r="5768">
          <cell r="A5768">
            <v>34000000</v>
          </cell>
          <cell r="C5768">
            <v>34000000</v>
          </cell>
          <cell r="D5768">
            <v>34000000</v>
          </cell>
          <cell r="E5768">
            <v>34000000</v>
          </cell>
          <cell r="F5768">
            <v>34000000</v>
          </cell>
          <cell r="G5768">
            <v>34000000</v>
          </cell>
          <cell r="H5768">
            <v>34000000</v>
          </cell>
          <cell r="I5768" t="str">
            <v/>
          </cell>
          <cell r="J5768" t="str">
            <v/>
          </cell>
          <cell r="K5768" t="str">
            <v/>
          </cell>
          <cell r="L5768" t="str">
            <v/>
          </cell>
        </row>
        <row r="5769">
          <cell r="A5769">
            <v>34000000</v>
          </cell>
          <cell r="C5769">
            <v>34000000</v>
          </cell>
          <cell r="D5769">
            <v>34000000</v>
          </cell>
          <cell r="E5769">
            <v>34000000</v>
          </cell>
          <cell r="F5769">
            <v>34000000</v>
          </cell>
          <cell r="G5769">
            <v>34000000</v>
          </cell>
          <cell r="H5769">
            <v>34000000</v>
          </cell>
          <cell r="I5769" t="str">
            <v/>
          </cell>
          <cell r="J5769" t="str">
            <v/>
          </cell>
          <cell r="K5769" t="str">
            <v/>
          </cell>
          <cell r="L5769" t="str">
            <v/>
          </cell>
        </row>
        <row r="5770">
          <cell r="A5770">
            <v>34000000</v>
          </cell>
          <cell r="C5770">
            <v>34000000</v>
          </cell>
          <cell r="D5770">
            <v>34000000</v>
          </cell>
          <cell r="E5770">
            <v>34000000</v>
          </cell>
          <cell r="F5770">
            <v>34000000</v>
          </cell>
          <cell r="G5770">
            <v>34000000</v>
          </cell>
          <cell r="H5770">
            <v>34000000</v>
          </cell>
          <cell r="I5770" t="str">
            <v/>
          </cell>
          <cell r="J5770" t="str">
            <v/>
          </cell>
          <cell r="K5770" t="str">
            <v/>
          </cell>
          <cell r="L5770" t="str">
            <v/>
          </cell>
        </row>
        <row r="5771">
          <cell r="A5771">
            <v>34000000</v>
          </cell>
          <cell r="C5771">
            <v>34000000</v>
          </cell>
          <cell r="D5771">
            <v>34000000</v>
          </cell>
          <cell r="E5771">
            <v>34000000</v>
          </cell>
          <cell r="F5771">
            <v>34000000</v>
          </cell>
          <cell r="G5771">
            <v>34000000</v>
          </cell>
          <cell r="H5771">
            <v>34000000</v>
          </cell>
          <cell r="I5771" t="str">
            <v/>
          </cell>
          <cell r="J5771" t="str">
            <v/>
          </cell>
          <cell r="K5771" t="str">
            <v/>
          </cell>
          <cell r="L5771" t="str">
            <v/>
          </cell>
        </row>
        <row r="5772">
          <cell r="A5772">
            <v>34000000</v>
          </cell>
          <cell r="C5772">
            <v>34000000</v>
          </cell>
          <cell r="D5772">
            <v>34000000</v>
          </cell>
          <cell r="E5772">
            <v>34000000</v>
          </cell>
          <cell r="F5772">
            <v>34000000</v>
          </cell>
          <cell r="G5772">
            <v>34000000</v>
          </cell>
          <cell r="H5772">
            <v>34000000</v>
          </cell>
          <cell r="I5772" t="str">
            <v/>
          </cell>
          <cell r="J5772" t="str">
            <v/>
          </cell>
          <cell r="K5772" t="str">
            <v/>
          </cell>
          <cell r="L5772" t="str">
            <v/>
          </cell>
        </row>
        <row r="5773">
          <cell r="A5773">
            <v>34000000</v>
          </cell>
          <cell r="C5773">
            <v>34000000</v>
          </cell>
          <cell r="D5773">
            <v>34000000</v>
          </cell>
          <cell r="E5773">
            <v>34000000</v>
          </cell>
          <cell r="F5773">
            <v>34000000</v>
          </cell>
          <cell r="G5773">
            <v>34000000</v>
          </cell>
          <cell r="H5773">
            <v>34000000</v>
          </cell>
          <cell r="I5773" t="str">
            <v/>
          </cell>
          <cell r="J5773" t="str">
            <v/>
          </cell>
          <cell r="K5773" t="str">
            <v/>
          </cell>
          <cell r="L5773" t="str">
            <v/>
          </cell>
        </row>
        <row r="5774">
          <cell r="A5774">
            <v>34000000</v>
          </cell>
          <cell r="C5774">
            <v>34000000</v>
          </cell>
          <cell r="D5774">
            <v>34000000</v>
          </cell>
          <cell r="E5774">
            <v>34000000</v>
          </cell>
          <cell r="F5774">
            <v>34000000</v>
          </cell>
          <cell r="G5774">
            <v>34000000</v>
          </cell>
          <cell r="H5774">
            <v>34000000</v>
          </cell>
          <cell r="I5774" t="str">
            <v/>
          </cell>
          <cell r="J5774" t="str">
            <v/>
          </cell>
          <cell r="K5774" t="str">
            <v/>
          </cell>
          <cell r="L5774" t="str">
            <v/>
          </cell>
        </row>
        <row r="5775">
          <cell r="A5775">
            <v>34000000</v>
          </cell>
          <cell r="C5775">
            <v>34000000</v>
          </cell>
          <cell r="D5775">
            <v>34000000</v>
          </cell>
          <cell r="E5775">
            <v>34000000</v>
          </cell>
          <cell r="F5775">
            <v>34000000</v>
          </cell>
          <cell r="G5775">
            <v>34000000</v>
          </cell>
          <cell r="H5775">
            <v>34000000</v>
          </cell>
          <cell r="I5775" t="str">
            <v/>
          </cell>
          <cell r="J5775" t="str">
            <v/>
          </cell>
          <cell r="K5775" t="str">
            <v/>
          </cell>
          <cell r="L5775" t="str">
            <v/>
          </cell>
        </row>
        <row r="5776">
          <cell r="A5776">
            <v>34000000</v>
          </cell>
          <cell r="C5776">
            <v>34000000</v>
          </cell>
          <cell r="D5776">
            <v>34000000</v>
          </cell>
          <cell r="E5776">
            <v>34000000</v>
          </cell>
          <cell r="F5776">
            <v>34000000</v>
          </cell>
          <cell r="G5776">
            <v>34000000</v>
          </cell>
          <cell r="H5776">
            <v>34000000</v>
          </cell>
          <cell r="I5776" t="str">
            <v/>
          </cell>
          <cell r="J5776" t="str">
            <v/>
          </cell>
          <cell r="K5776" t="str">
            <v/>
          </cell>
          <cell r="L5776" t="str">
            <v/>
          </cell>
        </row>
        <row r="5777">
          <cell r="A5777">
            <v>34000000</v>
          </cell>
          <cell r="C5777">
            <v>34000000</v>
          </cell>
          <cell r="D5777">
            <v>34000000</v>
          </cell>
          <cell r="E5777">
            <v>34000000</v>
          </cell>
          <cell r="F5777">
            <v>34000000</v>
          </cell>
          <cell r="G5777">
            <v>34000000</v>
          </cell>
          <cell r="H5777">
            <v>34000000</v>
          </cell>
          <cell r="I5777" t="str">
            <v/>
          </cell>
          <cell r="J5777" t="str">
            <v/>
          </cell>
          <cell r="K5777" t="str">
            <v/>
          </cell>
          <cell r="L5777" t="str">
            <v/>
          </cell>
        </row>
        <row r="5778">
          <cell r="A5778">
            <v>34000000</v>
          </cell>
          <cell r="C5778">
            <v>34000000</v>
          </cell>
          <cell r="D5778">
            <v>34000000</v>
          </cell>
          <cell r="E5778">
            <v>34000000</v>
          </cell>
          <cell r="F5778">
            <v>34000000</v>
          </cell>
          <cell r="G5778">
            <v>34000000</v>
          </cell>
          <cell r="H5778">
            <v>34000000</v>
          </cell>
          <cell r="I5778" t="str">
            <v/>
          </cell>
          <cell r="J5778" t="str">
            <v/>
          </cell>
          <cell r="K5778" t="str">
            <v/>
          </cell>
          <cell r="L5778" t="str">
            <v/>
          </cell>
        </row>
        <row r="5779">
          <cell r="A5779">
            <v>34000000</v>
          </cell>
          <cell r="C5779">
            <v>34000000</v>
          </cell>
          <cell r="D5779">
            <v>34000000</v>
          </cell>
          <cell r="E5779">
            <v>34000000</v>
          </cell>
          <cell r="F5779">
            <v>34000000</v>
          </cell>
          <cell r="G5779">
            <v>34000000</v>
          </cell>
          <cell r="H5779">
            <v>34000000</v>
          </cell>
          <cell r="I5779" t="str">
            <v/>
          </cell>
          <cell r="J5779" t="str">
            <v/>
          </cell>
          <cell r="K5779" t="str">
            <v/>
          </cell>
          <cell r="L5779" t="str">
            <v/>
          </cell>
        </row>
        <row r="5780">
          <cell r="A5780">
            <v>34000000</v>
          </cell>
          <cell r="C5780">
            <v>34000000</v>
          </cell>
          <cell r="D5780">
            <v>34000000</v>
          </cell>
          <cell r="E5780">
            <v>34000000</v>
          </cell>
          <cell r="F5780">
            <v>34000000</v>
          </cell>
          <cell r="G5780">
            <v>34000000</v>
          </cell>
          <cell r="H5780">
            <v>34000000</v>
          </cell>
          <cell r="I5780" t="str">
            <v/>
          </cell>
          <cell r="J5780" t="str">
            <v/>
          </cell>
          <cell r="K5780" t="str">
            <v/>
          </cell>
          <cell r="L5780" t="str">
            <v/>
          </cell>
        </row>
        <row r="5781">
          <cell r="A5781">
            <v>34000000</v>
          </cell>
          <cell r="C5781">
            <v>34000000</v>
          </cell>
          <cell r="D5781">
            <v>34000000</v>
          </cell>
          <cell r="E5781">
            <v>34000000</v>
          </cell>
          <cell r="F5781">
            <v>34000000</v>
          </cell>
          <cell r="G5781">
            <v>34000000</v>
          </cell>
          <cell r="H5781">
            <v>34000000</v>
          </cell>
          <cell r="I5781" t="str">
            <v/>
          </cell>
          <cell r="J5781" t="str">
            <v/>
          </cell>
          <cell r="K5781" t="str">
            <v/>
          </cell>
          <cell r="L5781" t="str">
            <v/>
          </cell>
        </row>
        <row r="5782">
          <cell r="A5782">
            <v>34000000</v>
          </cell>
          <cell r="C5782">
            <v>34000000</v>
          </cell>
          <cell r="D5782">
            <v>34000000</v>
          </cell>
          <cell r="E5782">
            <v>34000000</v>
          </cell>
          <cell r="F5782">
            <v>34000000</v>
          </cell>
          <cell r="G5782">
            <v>34000000</v>
          </cell>
          <cell r="H5782">
            <v>34000000</v>
          </cell>
          <cell r="I5782" t="str">
            <v/>
          </cell>
          <cell r="J5782" t="str">
            <v/>
          </cell>
          <cell r="K5782" t="str">
            <v/>
          </cell>
          <cell r="L5782" t="str">
            <v/>
          </cell>
        </row>
        <row r="5783">
          <cell r="A5783">
            <v>34000000</v>
          </cell>
          <cell r="C5783">
            <v>34000000</v>
          </cell>
          <cell r="D5783">
            <v>34000000</v>
          </cell>
          <cell r="E5783">
            <v>34000000</v>
          </cell>
          <cell r="F5783">
            <v>34000000</v>
          </cell>
          <cell r="G5783">
            <v>34000000</v>
          </cell>
          <cell r="H5783">
            <v>34000000</v>
          </cell>
          <cell r="I5783" t="str">
            <v/>
          </cell>
          <cell r="J5783" t="str">
            <v/>
          </cell>
          <cell r="K5783" t="str">
            <v/>
          </cell>
          <cell r="L5783" t="str">
            <v/>
          </cell>
        </row>
        <row r="5784">
          <cell r="A5784">
            <v>34000000</v>
          </cell>
          <cell r="C5784">
            <v>34000000</v>
          </cell>
          <cell r="D5784">
            <v>34000000</v>
          </cell>
          <cell r="E5784">
            <v>34000000</v>
          </cell>
          <cell r="F5784">
            <v>34000000</v>
          </cell>
          <cell r="G5784">
            <v>34000000</v>
          </cell>
          <cell r="H5784">
            <v>34000000</v>
          </cell>
          <cell r="I5784" t="str">
            <v/>
          </cell>
          <cell r="J5784" t="str">
            <v/>
          </cell>
          <cell r="K5784" t="str">
            <v/>
          </cell>
          <cell r="L5784" t="str">
            <v/>
          </cell>
        </row>
        <row r="5785">
          <cell r="A5785">
            <v>34000000</v>
          </cell>
          <cell r="C5785">
            <v>34000000</v>
          </cell>
          <cell r="D5785">
            <v>34000000</v>
          </cell>
          <cell r="E5785">
            <v>34000000</v>
          </cell>
          <cell r="F5785">
            <v>34000000</v>
          </cell>
          <cell r="G5785">
            <v>34000000</v>
          </cell>
          <cell r="H5785">
            <v>34000000</v>
          </cell>
          <cell r="I5785" t="str">
            <v/>
          </cell>
          <cell r="J5785" t="str">
            <v/>
          </cell>
          <cell r="K5785" t="str">
            <v/>
          </cell>
          <cell r="L5785" t="str">
            <v/>
          </cell>
        </row>
        <row r="5786">
          <cell r="A5786">
            <v>34000000</v>
          </cell>
          <cell r="C5786">
            <v>34000000</v>
          </cell>
          <cell r="D5786">
            <v>34000000</v>
          </cell>
          <cell r="E5786">
            <v>34000000</v>
          </cell>
          <cell r="F5786">
            <v>34000000</v>
          </cell>
          <cell r="G5786">
            <v>34000000</v>
          </cell>
          <cell r="H5786">
            <v>34000000</v>
          </cell>
          <cell r="I5786" t="str">
            <v/>
          </cell>
          <cell r="J5786" t="str">
            <v/>
          </cell>
          <cell r="K5786" t="str">
            <v/>
          </cell>
          <cell r="L5786" t="str">
            <v/>
          </cell>
        </row>
        <row r="5787">
          <cell r="A5787">
            <v>34000000</v>
          </cell>
          <cell r="C5787">
            <v>34000000</v>
          </cell>
          <cell r="D5787">
            <v>34000000</v>
          </cell>
          <cell r="E5787">
            <v>34000000</v>
          </cell>
          <cell r="F5787">
            <v>34000000</v>
          </cell>
          <cell r="G5787">
            <v>34000000</v>
          </cell>
          <cell r="H5787">
            <v>34000000</v>
          </cell>
          <cell r="I5787" t="str">
            <v/>
          </cell>
          <cell r="J5787" t="str">
            <v/>
          </cell>
          <cell r="K5787" t="str">
            <v/>
          </cell>
          <cell r="L5787" t="str">
            <v/>
          </cell>
        </row>
        <row r="5788">
          <cell r="A5788">
            <v>34000000</v>
          </cell>
          <cell r="C5788">
            <v>34000000</v>
          </cell>
          <cell r="D5788">
            <v>34000000</v>
          </cell>
          <cell r="E5788">
            <v>34000000</v>
          </cell>
          <cell r="F5788">
            <v>34000000</v>
          </cell>
          <cell r="G5788">
            <v>34000000</v>
          </cell>
          <cell r="H5788">
            <v>34000000</v>
          </cell>
          <cell r="I5788" t="str">
            <v/>
          </cell>
          <cell r="J5788" t="str">
            <v/>
          </cell>
          <cell r="K5788" t="str">
            <v/>
          </cell>
          <cell r="L5788" t="str">
            <v/>
          </cell>
        </row>
        <row r="5789">
          <cell r="A5789">
            <v>34000000</v>
          </cell>
          <cell r="C5789">
            <v>34000000</v>
          </cell>
          <cell r="D5789">
            <v>34000000</v>
          </cell>
          <cell r="E5789">
            <v>34000000</v>
          </cell>
          <cell r="F5789">
            <v>34000000</v>
          </cell>
          <cell r="G5789">
            <v>34000000</v>
          </cell>
          <cell r="H5789">
            <v>34000000</v>
          </cell>
          <cell r="I5789" t="str">
            <v/>
          </cell>
          <cell r="J5789" t="str">
            <v/>
          </cell>
          <cell r="K5789" t="str">
            <v/>
          </cell>
          <cell r="L5789" t="str">
            <v/>
          </cell>
        </row>
        <row r="5790">
          <cell r="A5790">
            <v>34000000</v>
          </cell>
          <cell r="C5790">
            <v>34000000</v>
          </cell>
          <cell r="D5790">
            <v>34000000</v>
          </cell>
          <cell r="E5790">
            <v>34000000</v>
          </cell>
          <cell r="F5790">
            <v>34000000</v>
          </cell>
          <cell r="G5790">
            <v>34000000</v>
          </cell>
          <cell r="H5790">
            <v>34000000</v>
          </cell>
          <cell r="I5790" t="str">
            <v/>
          </cell>
          <cell r="J5790" t="str">
            <v/>
          </cell>
          <cell r="K5790" t="str">
            <v/>
          </cell>
          <cell r="L5790" t="str">
            <v/>
          </cell>
        </row>
        <row r="5791">
          <cell r="A5791">
            <v>34000000</v>
          </cell>
          <cell r="C5791">
            <v>34000000</v>
          </cell>
          <cell r="D5791">
            <v>34000000</v>
          </cell>
          <cell r="E5791">
            <v>34000000</v>
          </cell>
          <cell r="F5791">
            <v>34000000</v>
          </cell>
          <cell r="G5791">
            <v>34000000</v>
          </cell>
          <cell r="H5791">
            <v>34000000</v>
          </cell>
          <cell r="I5791" t="str">
            <v/>
          </cell>
          <cell r="J5791" t="str">
            <v/>
          </cell>
          <cell r="K5791" t="str">
            <v/>
          </cell>
          <cell r="L5791" t="str">
            <v/>
          </cell>
        </row>
        <row r="5792">
          <cell r="A5792">
            <v>34000000</v>
          </cell>
          <cell r="C5792">
            <v>34000000</v>
          </cell>
          <cell r="D5792">
            <v>34000000</v>
          </cell>
          <cell r="E5792">
            <v>34000000</v>
          </cell>
          <cell r="F5792">
            <v>34000000</v>
          </cell>
          <cell r="G5792">
            <v>34000000</v>
          </cell>
          <cell r="H5792">
            <v>34000000</v>
          </cell>
          <cell r="I5792" t="str">
            <v/>
          </cell>
          <cell r="J5792" t="str">
            <v/>
          </cell>
          <cell r="K5792" t="str">
            <v/>
          </cell>
          <cell r="L5792" t="str">
            <v/>
          </cell>
        </row>
        <row r="5793">
          <cell r="A5793">
            <v>34000000</v>
          </cell>
          <cell r="C5793">
            <v>34000000</v>
          </cell>
          <cell r="D5793">
            <v>34000000</v>
          </cell>
          <cell r="E5793">
            <v>34000000</v>
          </cell>
          <cell r="F5793">
            <v>34000000</v>
          </cell>
          <cell r="G5793">
            <v>34000000</v>
          </cell>
          <cell r="H5793">
            <v>34000000</v>
          </cell>
          <cell r="I5793" t="str">
            <v/>
          </cell>
          <cell r="J5793" t="str">
            <v/>
          </cell>
          <cell r="K5793" t="str">
            <v/>
          </cell>
          <cell r="L5793" t="str">
            <v/>
          </cell>
        </row>
        <row r="5794">
          <cell r="A5794">
            <v>34000000</v>
          </cell>
          <cell r="C5794">
            <v>34000000</v>
          </cell>
          <cell r="D5794">
            <v>34000000</v>
          </cell>
          <cell r="E5794">
            <v>34000000</v>
          </cell>
          <cell r="F5794">
            <v>34000000</v>
          </cell>
          <cell r="G5794">
            <v>34000000</v>
          </cell>
          <cell r="H5794">
            <v>34000000</v>
          </cell>
          <cell r="I5794" t="str">
            <v/>
          </cell>
          <cell r="J5794" t="str">
            <v/>
          </cell>
          <cell r="K5794" t="str">
            <v/>
          </cell>
          <cell r="L5794" t="str">
            <v/>
          </cell>
        </row>
        <row r="5795">
          <cell r="A5795">
            <v>34000000</v>
          </cell>
          <cell r="C5795">
            <v>34000000</v>
          </cell>
          <cell r="D5795">
            <v>34000000</v>
          </cell>
          <cell r="E5795">
            <v>34000000</v>
          </cell>
          <cell r="F5795">
            <v>34000000</v>
          </cell>
          <cell r="G5795">
            <v>34000000</v>
          </cell>
          <cell r="H5795">
            <v>34000000</v>
          </cell>
          <cell r="I5795" t="str">
            <v/>
          </cell>
          <cell r="J5795" t="str">
            <v/>
          </cell>
          <cell r="K5795" t="str">
            <v/>
          </cell>
          <cell r="L5795" t="str">
            <v/>
          </cell>
        </row>
        <row r="5796">
          <cell r="A5796">
            <v>34000000</v>
          </cell>
          <cell r="C5796">
            <v>34000000</v>
          </cell>
          <cell r="D5796">
            <v>34000000</v>
          </cell>
          <cell r="E5796">
            <v>34000000</v>
          </cell>
          <cell r="F5796">
            <v>34000000</v>
          </cell>
          <cell r="G5796">
            <v>34000000</v>
          </cell>
          <cell r="H5796">
            <v>34000000</v>
          </cell>
          <cell r="I5796" t="str">
            <v/>
          </cell>
          <cell r="J5796" t="str">
            <v/>
          </cell>
          <cell r="K5796" t="str">
            <v/>
          </cell>
          <cell r="L5796" t="str">
            <v/>
          </cell>
        </row>
        <row r="5797">
          <cell r="A5797">
            <v>34000000</v>
          </cell>
          <cell r="C5797">
            <v>34000000</v>
          </cell>
          <cell r="D5797">
            <v>34000000</v>
          </cell>
          <cell r="E5797">
            <v>34000000</v>
          </cell>
          <cell r="F5797">
            <v>34000000</v>
          </cell>
          <cell r="G5797">
            <v>34000000</v>
          </cell>
          <cell r="H5797">
            <v>34000000</v>
          </cell>
          <cell r="I5797" t="str">
            <v/>
          </cell>
          <cell r="J5797" t="str">
            <v/>
          </cell>
          <cell r="K5797" t="str">
            <v/>
          </cell>
          <cell r="L5797" t="str">
            <v/>
          </cell>
        </row>
        <row r="5798">
          <cell r="A5798">
            <v>34000000</v>
          </cell>
          <cell r="C5798">
            <v>34000000</v>
          </cell>
          <cell r="D5798">
            <v>34000000</v>
          </cell>
          <cell r="E5798">
            <v>34000000</v>
          </cell>
          <cell r="F5798">
            <v>34000000</v>
          </cell>
          <cell r="G5798">
            <v>34000000</v>
          </cell>
          <cell r="H5798">
            <v>34000000</v>
          </cell>
          <cell r="I5798" t="str">
            <v/>
          </cell>
          <cell r="J5798" t="str">
            <v/>
          </cell>
          <cell r="K5798" t="str">
            <v/>
          </cell>
          <cell r="L5798" t="str">
            <v/>
          </cell>
        </row>
        <row r="5799">
          <cell r="A5799">
            <v>34000000</v>
          </cell>
          <cell r="C5799">
            <v>34000000</v>
          </cell>
          <cell r="D5799">
            <v>34000000</v>
          </cell>
          <cell r="E5799">
            <v>34000000</v>
          </cell>
          <cell r="F5799">
            <v>34000000</v>
          </cell>
          <cell r="G5799">
            <v>34000000</v>
          </cell>
          <cell r="H5799">
            <v>34000000</v>
          </cell>
          <cell r="I5799" t="str">
            <v/>
          </cell>
          <cell r="J5799" t="str">
            <v/>
          </cell>
          <cell r="K5799" t="str">
            <v/>
          </cell>
          <cell r="L5799" t="str">
            <v/>
          </cell>
        </row>
        <row r="5800">
          <cell r="A5800">
            <v>34000000</v>
          </cell>
          <cell r="C5800">
            <v>34000000</v>
          </cell>
          <cell r="D5800">
            <v>34000000</v>
          </cell>
          <cell r="E5800">
            <v>34000000</v>
          </cell>
          <cell r="F5800">
            <v>34000000</v>
          </cell>
          <cell r="G5800">
            <v>34000000</v>
          </cell>
          <cell r="H5800">
            <v>34000000</v>
          </cell>
          <cell r="I5800" t="str">
            <v/>
          </cell>
          <cell r="J5800" t="str">
            <v/>
          </cell>
          <cell r="K5800" t="str">
            <v/>
          </cell>
          <cell r="L5800" t="str">
            <v/>
          </cell>
        </row>
        <row r="5801">
          <cell r="A5801">
            <v>34000000</v>
          </cell>
          <cell r="C5801">
            <v>34000000</v>
          </cell>
          <cell r="D5801">
            <v>34000000</v>
          </cell>
          <cell r="E5801">
            <v>34000000</v>
          </cell>
          <cell r="F5801">
            <v>34000000</v>
          </cell>
          <cell r="G5801">
            <v>34000000</v>
          </cell>
          <cell r="H5801">
            <v>34000000</v>
          </cell>
          <cell r="I5801" t="str">
            <v/>
          </cell>
          <cell r="J5801" t="str">
            <v/>
          </cell>
          <cell r="K5801" t="str">
            <v/>
          </cell>
          <cell r="L5801" t="str">
            <v/>
          </cell>
        </row>
        <row r="5802">
          <cell r="A5802">
            <v>34000000</v>
          </cell>
          <cell r="C5802">
            <v>34000000</v>
          </cell>
          <cell r="D5802">
            <v>34000000</v>
          </cell>
          <cell r="E5802">
            <v>34000000</v>
          </cell>
          <cell r="F5802">
            <v>34000000</v>
          </cell>
          <cell r="G5802">
            <v>34000000</v>
          </cell>
          <cell r="H5802">
            <v>34000000</v>
          </cell>
          <cell r="I5802" t="str">
            <v/>
          </cell>
          <cell r="J5802" t="str">
            <v/>
          </cell>
          <cell r="K5802" t="str">
            <v/>
          </cell>
          <cell r="L5802" t="str">
            <v/>
          </cell>
        </row>
        <row r="5803">
          <cell r="A5803">
            <v>34000000</v>
          </cell>
          <cell r="C5803">
            <v>34000000</v>
          </cell>
          <cell r="D5803">
            <v>34000000</v>
          </cell>
          <cell r="E5803">
            <v>34000000</v>
          </cell>
          <cell r="F5803">
            <v>34000000</v>
          </cell>
          <cell r="G5803">
            <v>34000000</v>
          </cell>
          <cell r="H5803">
            <v>34000000</v>
          </cell>
          <cell r="I5803" t="str">
            <v/>
          </cell>
          <cell r="J5803" t="str">
            <v/>
          </cell>
          <cell r="K5803" t="str">
            <v/>
          </cell>
          <cell r="L5803" t="str">
            <v/>
          </cell>
        </row>
        <row r="5804">
          <cell r="A5804">
            <v>34000000</v>
          </cell>
          <cell r="C5804">
            <v>34000000</v>
          </cell>
          <cell r="D5804">
            <v>34000000</v>
          </cell>
          <cell r="E5804">
            <v>34000000</v>
          </cell>
          <cell r="F5804">
            <v>34000000</v>
          </cell>
          <cell r="G5804">
            <v>34000000</v>
          </cell>
          <cell r="H5804">
            <v>34000000</v>
          </cell>
          <cell r="I5804" t="str">
            <v/>
          </cell>
          <cell r="J5804" t="str">
            <v/>
          </cell>
          <cell r="K5804" t="str">
            <v/>
          </cell>
          <cell r="L5804" t="str">
            <v/>
          </cell>
        </row>
        <row r="5805">
          <cell r="A5805">
            <v>34000000</v>
          </cell>
          <cell r="C5805">
            <v>34000000</v>
          </cell>
          <cell r="D5805">
            <v>34000000</v>
          </cell>
          <cell r="E5805">
            <v>34000000</v>
          </cell>
          <cell r="F5805">
            <v>34000000</v>
          </cell>
          <cell r="G5805">
            <v>34000000</v>
          </cell>
          <cell r="H5805">
            <v>34000000</v>
          </cell>
          <cell r="I5805" t="str">
            <v/>
          </cell>
          <cell r="J5805" t="str">
            <v/>
          </cell>
          <cell r="K5805" t="str">
            <v/>
          </cell>
          <cell r="L5805" t="str">
            <v/>
          </cell>
        </row>
        <row r="5806">
          <cell r="A5806">
            <v>34000000</v>
          </cell>
          <cell r="C5806">
            <v>34000000</v>
          </cell>
          <cell r="D5806">
            <v>34000000</v>
          </cell>
          <cell r="E5806">
            <v>34000000</v>
          </cell>
          <cell r="F5806">
            <v>34000000</v>
          </cell>
          <cell r="G5806">
            <v>34000000</v>
          </cell>
          <cell r="H5806">
            <v>34000000</v>
          </cell>
          <cell r="I5806" t="str">
            <v/>
          </cell>
          <cell r="J5806" t="str">
            <v/>
          </cell>
          <cell r="K5806" t="str">
            <v/>
          </cell>
          <cell r="L5806" t="str">
            <v/>
          </cell>
        </row>
        <row r="5807">
          <cell r="A5807">
            <v>34000000</v>
          </cell>
          <cell r="C5807">
            <v>34000000</v>
          </cell>
          <cell r="D5807">
            <v>34000000</v>
          </cell>
          <cell r="E5807">
            <v>34000000</v>
          </cell>
          <cell r="F5807">
            <v>34000000</v>
          </cell>
          <cell r="G5807">
            <v>34000000</v>
          </cell>
          <cell r="H5807">
            <v>34000000</v>
          </cell>
          <cell r="I5807" t="str">
            <v/>
          </cell>
          <cell r="J5807" t="str">
            <v/>
          </cell>
          <cell r="K5807" t="str">
            <v/>
          </cell>
          <cell r="L5807" t="str">
            <v/>
          </cell>
        </row>
        <row r="5808">
          <cell r="A5808">
            <v>34000000</v>
          </cell>
          <cell r="C5808">
            <v>34000000</v>
          </cell>
          <cell r="D5808">
            <v>34000000</v>
          </cell>
          <cell r="E5808">
            <v>34000000</v>
          </cell>
          <cell r="F5808">
            <v>34000000</v>
          </cell>
          <cell r="G5808">
            <v>34000000</v>
          </cell>
          <cell r="H5808">
            <v>34000000</v>
          </cell>
          <cell r="I5808" t="str">
            <v/>
          </cell>
          <cell r="J5808" t="str">
            <v/>
          </cell>
          <cell r="K5808" t="str">
            <v/>
          </cell>
          <cell r="L5808" t="str">
            <v/>
          </cell>
        </row>
        <row r="5809">
          <cell r="A5809">
            <v>34000000</v>
          </cell>
          <cell r="C5809">
            <v>34000000</v>
          </cell>
          <cell r="D5809">
            <v>34000000</v>
          </cell>
          <cell r="E5809">
            <v>34000000</v>
          </cell>
          <cell r="F5809">
            <v>34000000</v>
          </cell>
          <cell r="G5809">
            <v>34000000</v>
          </cell>
          <cell r="H5809">
            <v>34000000</v>
          </cell>
          <cell r="I5809" t="str">
            <v/>
          </cell>
          <cell r="J5809" t="str">
            <v/>
          </cell>
          <cell r="K5809" t="str">
            <v/>
          </cell>
          <cell r="L5809" t="str">
            <v/>
          </cell>
        </row>
        <row r="5810">
          <cell r="A5810">
            <v>34000000</v>
          </cell>
          <cell r="C5810">
            <v>34000000</v>
          </cell>
          <cell r="D5810">
            <v>34000000</v>
          </cell>
          <cell r="E5810">
            <v>34000000</v>
          </cell>
          <cell r="F5810">
            <v>34000000</v>
          </cell>
          <cell r="G5810">
            <v>34000000</v>
          </cell>
          <cell r="H5810">
            <v>34000000</v>
          </cell>
          <cell r="I5810" t="str">
            <v/>
          </cell>
          <cell r="J5810" t="str">
            <v/>
          </cell>
          <cell r="K5810" t="str">
            <v/>
          </cell>
          <cell r="L5810" t="str">
            <v/>
          </cell>
        </row>
        <row r="5811">
          <cell r="A5811">
            <v>34000000</v>
          </cell>
          <cell r="C5811">
            <v>34000000</v>
          </cell>
          <cell r="D5811">
            <v>34000000</v>
          </cell>
          <cell r="E5811">
            <v>34000000</v>
          </cell>
          <cell r="F5811">
            <v>34000000</v>
          </cell>
          <cell r="G5811">
            <v>34000000</v>
          </cell>
          <cell r="H5811">
            <v>34000000</v>
          </cell>
          <cell r="I5811" t="str">
            <v/>
          </cell>
          <cell r="J5811" t="str">
            <v/>
          </cell>
          <cell r="K5811" t="str">
            <v/>
          </cell>
          <cell r="L5811" t="str">
            <v/>
          </cell>
        </row>
        <row r="5812">
          <cell r="A5812">
            <v>34000000</v>
          </cell>
          <cell r="C5812">
            <v>34000000</v>
          </cell>
          <cell r="D5812">
            <v>34000000</v>
          </cell>
          <cell r="E5812">
            <v>34000000</v>
          </cell>
          <cell r="F5812">
            <v>34000000</v>
          </cell>
          <cell r="G5812">
            <v>34000000</v>
          </cell>
          <cell r="H5812">
            <v>34000000</v>
          </cell>
          <cell r="I5812" t="str">
            <v/>
          </cell>
          <cell r="J5812" t="str">
            <v/>
          </cell>
          <cell r="K5812" t="str">
            <v/>
          </cell>
          <cell r="L5812" t="str">
            <v/>
          </cell>
        </row>
        <row r="5813">
          <cell r="A5813">
            <v>34000000</v>
          </cell>
          <cell r="C5813">
            <v>34000000</v>
          </cell>
          <cell r="D5813">
            <v>34000000</v>
          </cell>
          <cell r="E5813">
            <v>34000000</v>
          </cell>
          <cell r="F5813">
            <v>34000000</v>
          </cell>
          <cell r="G5813">
            <v>34000000</v>
          </cell>
          <cell r="H5813">
            <v>34000000</v>
          </cell>
          <cell r="I5813" t="str">
            <v/>
          </cell>
          <cell r="J5813" t="str">
            <v/>
          </cell>
          <cell r="K5813" t="str">
            <v/>
          </cell>
          <cell r="L5813" t="str">
            <v/>
          </cell>
        </row>
        <row r="5814">
          <cell r="A5814">
            <v>34000000</v>
          </cell>
          <cell r="C5814">
            <v>34000000</v>
          </cell>
          <cell r="D5814">
            <v>34000000</v>
          </cell>
          <cell r="E5814">
            <v>34000000</v>
          </cell>
          <cell r="F5814">
            <v>34000000</v>
          </cell>
          <cell r="G5814">
            <v>34000000</v>
          </cell>
          <cell r="H5814">
            <v>34000000</v>
          </cell>
          <cell r="I5814" t="str">
            <v/>
          </cell>
          <cell r="J5814" t="str">
            <v/>
          </cell>
          <cell r="K5814" t="str">
            <v/>
          </cell>
          <cell r="L5814" t="str">
            <v/>
          </cell>
        </row>
        <row r="5815">
          <cell r="A5815">
            <v>34000000</v>
          </cell>
          <cell r="C5815">
            <v>34000000</v>
          </cell>
          <cell r="D5815">
            <v>34000000</v>
          </cell>
          <cell r="E5815">
            <v>34000000</v>
          </cell>
          <cell r="F5815">
            <v>34000000</v>
          </cell>
          <cell r="G5815">
            <v>34000000</v>
          </cell>
          <cell r="H5815">
            <v>34000000</v>
          </cell>
          <cell r="I5815" t="str">
            <v/>
          </cell>
          <cell r="J5815" t="str">
            <v/>
          </cell>
          <cell r="K5815" t="str">
            <v/>
          </cell>
          <cell r="L5815" t="str">
            <v/>
          </cell>
        </row>
        <row r="5816">
          <cell r="A5816">
            <v>34000000</v>
          </cell>
          <cell r="C5816">
            <v>34000000</v>
          </cell>
          <cell r="D5816">
            <v>34000000</v>
          </cell>
          <cell r="E5816">
            <v>34000000</v>
          </cell>
          <cell r="F5816">
            <v>34000000</v>
          </cell>
          <cell r="G5816">
            <v>34000000</v>
          </cell>
          <cell r="H5816">
            <v>34000000</v>
          </cell>
          <cell r="I5816" t="str">
            <v/>
          </cell>
          <cell r="J5816" t="str">
            <v/>
          </cell>
          <cell r="K5816" t="str">
            <v/>
          </cell>
          <cell r="L5816" t="str">
            <v/>
          </cell>
        </row>
        <row r="5817">
          <cell r="A5817">
            <v>34000000</v>
          </cell>
          <cell r="C5817">
            <v>34000000</v>
          </cell>
          <cell r="D5817">
            <v>34000000</v>
          </cell>
          <cell r="E5817">
            <v>34000000</v>
          </cell>
          <cell r="F5817">
            <v>34000000</v>
          </cell>
          <cell r="G5817">
            <v>34000000</v>
          </cell>
          <cell r="H5817">
            <v>34000000</v>
          </cell>
          <cell r="I5817" t="str">
            <v/>
          </cell>
          <cell r="J5817" t="str">
            <v/>
          </cell>
          <cell r="K5817" t="str">
            <v/>
          </cell>
          <cell r="L5817" t="str">
            <v/>
          </cell>
        </row>
        <row r="5818">
          <cell r="A5818">
            <v>34000000</v>
          </cell>
          <cell r="C5818">
            <v>34000000</v>
          </cell>
          <cell r="D5818">
            <v>34000000</v>
          </cell>
          <cell r="E5818">
            <v>34000000</v>
          </cell>
          <cell r="F5818">
            <v>34000000</v>
          </cell>
          <cell r="G5818">
            <v>34000000</v>
          </cell>
          <cell r="H5818">
            <v>34000000</v>
          </cell>
          <cell r="I5818" t="str">
            <v/>
          </cell>
          <cell r="J5818" t="str">
            <v/>
          </cell>
          <cell r="K5818" t="str">
            <v/>
          </cell>
          <cell r="L5818" t="str">
            <v/>
          </cell>
        </row>
        <row r="5819">
          <cell r="A5819">
            <v>34000000</v>
          </cell>
          <cell r="C5819">
            <v>34000000</v>
          </cell>
          <cell r="D5819">
            <v>34000000</v>
          </cell>
          <cell r="E5819">
            <v>34000000</v>
          </cell>
          <cell r="F5819">
            <v>34000000</v>
          </cell>
          <cell r="G5819">
            <v>34000000</v>
          </cell>
          <cell r="H5819">
            <v>34000000</v>
          </cell>
          <cell r="I5819" t="str">
            <v/>
          </cell>
          <cell r="J5819" t="str">
            <v/>
          </cell>
          <cell r="K5819" t="str">
            <v/>
          </cell>
          <cell r="L5819" t="str">
            <v/>
          </cell>
        </row>
        <row r="5820">
          <cell r="A5820">
            <v>34000000</v>
          </cell>
          <cell r="C5820">
            <v>34000000</v>
          </cell>
          <cell r="D5820">
            <v>34000000</v>
          </cell>
          <cell r="E5820">
            <v>34000000</v>
          </cell>
          <cell r="F5820">
            <v>34000000</v>
          </cell>
          <cell r="G5820">
            <v>34000000</v>
          </cell>
          <cell r="H5820">
            <v>34000000</v>
          </cell>
          <cell r="I5820" t="str">
            <v/>
          </cell>
          <cell r="J5820" t="str">
            <v/>
          </cell>
          <cell r="K5820" t="str">
            <v/>
          </cell>
          <cell r="L5820" t="str">
            <v/>
          </cell>
        </row>
        <row r="5821">
          <cell r="A5821">
            <v>34000000</v>
          </cell>
          <cell r="C5821">
            <v>34000000</v>
          </cell>
          <cell r="D5821">
            <v>34000000</v>
          </cell>
          <cell r="E5821">
            <v>34000000</v>
          </cell>
          <cell r="F5821">
            <v>34000000</v>
          </cell>
          <cell r="G5821">
            <v>34000000</v>
          </cell>
          <cell r="H5821">
            <v>34000000</v>
          </cell>
          <cell r="I5821" t="str">
            <v/>
          </cell>
          <cell r="J5821" t="str">
            <v/>
          </cell>
          <cell r="K5821" t="str">
            <v/>
          </cell>
          <cell r="L5821" t="str">
            <v/>
          </cell>
        </row>
        <row r="5822">
          <cell r="A5822">
            <v>34000000</v>
          </cell>
          <cell r="C5822">
            <v>34000000</v>
          </cell>
          <cell r="D5822">
            <v>34000000</v>
          </cell>
          <cell r="E5822">
            <v>34000000</v>
          </cell>
          <cell r="F5822">
            <v>34000000</v>
          </cell>
          <cell r="G5822">
            <v>34000000</v>
          </cell>
          <cell r="H5822">
            <v>34000000</v>
          </cell>
          <cell r="I5822" t="str">
            <v/>
          </cell>
          <cell r="J5822" t="str">
            <v/>
          </cell>
          <cell r="K5822" t="str">
            <v/>
          </cell>
          <cell r="L5822" t="str">
            <v/>
          </cell>
        </row>
        <row r="5823">
          <cell r="A5823">
            <v>34000000</v>
          </cell>
          <cell r="C5823">
            <v>34000000</v>
          </cell>
          <cell r="D5823">
            <v>34000000</v>
          </cell>
          <cell r="E5823">
            <v>34000000</v>
          </cell>
          <cell r="F5823">
            <v>34000000</v>
          </cell>
          <cell r="G5823">
            <v>34000000</v>
          </cell>
          <cell r="H5823">
            <v>34000000</v>
          </cell>
          <cell r="I5823" t="str">
            <v/>
          </cell>
          <cell r="J5823" t="str">
            <v/>
          </cell>
          <cell r="K5823" t="str">
            <v/>
          </cell>
          <cell r="L5823" t="str">
            <v/>
          </cell>
        </row>
        <row r="5824">
          <cell r="A5824">
            <v>34000000</v>
          </cell>
          <cell r="C5824">
            <v>34000000</v>
          </cell>
          <cell r="D5824">
            <v>34000000</v>
          </cell>
          <cell r="E5824">
            <v>34000000</v>
          </cell>
          <cell r="F5824">
            <v>34000000</v>
          </cell>
          <cell r="G5824">
            <v>34000000</v>
          </cell>
          <cell r="H5824">
            <v>34000000</v>
          </cell>
          <cell r="I5824" t="str">
            <v/>
          </cell>
          <cell r="J5824" t="str">
            <v/>
          </cell>
          <cell r="K5824" t="str">
            <v/>
          </cell>
          <cell r="L5824" t="str">
            <v/>
          </cell>
        </row>
        <row r="5825">
          <cell r="A5825">
            <v>34000000</v>
          </cell>
          <cell r="C5825">
            <v>34000000</v>
          </cell>
          <cell r="D5825">
            <v>34000000</v>
          </cell>
          <cell r="E5825">
            <v>34000000</v>
          </cell>
          <cell r="F5825">
            <v>34000000</v>
          </cell>
          <cell r="G5825">
            <v>34000000</v>
          </cell>
          <cell r="H5825">
            <v>34000000</v>
          </cell>
          <cell r="I5825" t="str">
            <v/>
          </cell>
          <cell r="J5825" t="str">
            <v/>
          </cell>
          <cell r="K5825" t="str">
            <v/>
          </cell>
          <cell r="L5825" t="str">
            <v/>
          </cell>
        </row>
        <row r="5826">
          <cell r="A5826">
            <v>34000000</v>
          </cell>
          <cell r="C5826">
            <v>34000000</v>
          </cell>
          <cell r="D5826">
            <v>34000000</v>
          </cell>
          <cell r="E5826">
            <v>34000000</v>
          </cell>
          <cell r="F5826">
            <v>34000000</v>
          </cell>
          <cell r="G5826">
            <v>34000000</v>
          </cell>
          <cell r="H5826">
            <v>34000000</v>
          </cell>
          <cell r="I5826" t="str">
            <v/>
          </cell>
          <cell r="J5826" t="str">
            <v/>
          </cell>
          <cell r="K5826" t="str">
            <v/>
          </cell>
          <cell r="L5826" t="str">
            <v/>
          </cell>
        </row>
        <row r="5827">
          <cell r="A5827">
            <v>34000000</v>
          </cell>
          <cell r="C5827">
            <v>34000000</v>
          </cell>
          <cell r="D5827">
            <v>34000000</v>
          </cell>
          <cell r="E5827">
            <v>34000000</v>
          </cell>
          <cell r="F5827">
            <v>34000000</v>
          </cell>
          <cell r="G5827">
            <v>34000000</v>
          </cell>
          <cell r="H5827">
            <v>34000000</v>
          </cell>
          <cell r="I5827" t="str">
            <v/>
          </cell>
          <cell r="J5827" t="str">
            <v/>
          </cell>
          <cell r="K5827" t="str">
            <v/>
          </cell>
          <cell r="L5827" t="str">
            <v/>
          </cell>
        </row>
        <row r="5828">
          <cell r="A5828">
            <v>34000000</v>
          </cell>
          <cell r="C5828">
            <v>34000000</v>
          </cell>
          <cell r="D5828">
            <v>34000000</v>
          </cell>
          <cell r="E5828">
            <v>34000000</v>
          </cell>
          <cell r="F5828">
            <v>34000000</v>
          </cell>
          <cell r="G5828">
            <v>34000000</v>
          </cell>
          <cell r="H5828">
            <v>34000000</v>
          </cell>
          <cell r="I5828" t="str">
            <v/>
          </cell>
          <cell r="J5828" t="str">
            <v/>
          </cell>
          <cell r="K5828" t="str">
            <v/>
          </cell>
          <cell r="L5828" t="str">
            <v/>
          </cell>
        </row>
        <row r="5829">
          <cell r="A5829">
            <v>34000000</v>
          </cell>
          <cell r="C5829">
            <v>34000000</v>
          </cell>
          <cell r="D5829">
            <v>34000000</v>
          </cell>
          <cell r="E5829">
            <v>34000000</v>
          </cell>
          <cell r="F5829">
            <v>34000000</v>
          </cell>
          <cell r="G5829">
            <v>34000000</v>
          </cell>
          <cell r="H5829">
            <v>34000000</v>
          </cell>
          <cell r="I5829" t="str">
            <v/>
          </cell>
          <cell r="J5829" t="str">
            <v/>
          </cell>
          <cell r="K5829" t="str">
            <v/>
          </cell>
          <cell r="L5829" t="str">
            <v/>
          </cell>
        </row>
        <row r="5830">
          <cell r="A5830">
            <v>34000000</v>
          </cell>
          <cell r="C5830">
            <v>34000000</v>
          </cell>
          <cell r="D5830">
            <v>34000000</v>
          </cell>
          <cell r="E5830">
            <v>34000000</v>
          </cell>
          <cell r="F5830">
            <v>34000000</v>
          </cell>
          <cell r="G5830">
            <v>34000000</v>
          </cell>
          <cell r="H5830">
            <v>34000000</v>
          </cell>
          <cell r="I5830" t="str">
            <v/>
          </cell>
          <cell r="J5830" t="str">
            <v/>
          </cell>
          <cell r="K5830" t="str">
            <v/>
          </cell>
          <cell r="L5830" t="str">
            <v/>
          </cell>
        </row>
        <row r="5831">
          <cell r="A5831">
            <v>34000000</v>
          </cell>
          <cell r="C5831">
            <v>34000000</v>
          </cell>
          <cell r="D5831">
            <v>34000000</v>
          </cell>
          <cell r="E5831">
            <v>34000000</v>
          </cell>
          <cell r="F5831">
            <v>34000000</v>
          </cell>
          <cell r="G5831">
            <v>34000000</v>
          </cell>
          <cell r="H5831">
            <v>34000000</v>
          </cell>
          <cell r="I5831" t="str">
            <v/>
          </cell>
          <cell r="J5831" t="str">
            <v/>
          </cell>
          <cell r="K5831" t="str">
            <v/>
          </cell>
          <cell r="L5831" t="str">
            <v/>
          </cell>
        </row>
        <row r="5832">
          <cell r="A5832">
            <v>34000000</v>
          </cell>
          <cell r="C5832">
            <v>34000000</v>
          </cell>
          <cell r="D5832">
            <v>34000000</v>
          </cell>
          <cell r="E5832">
            <v>34000000</v>
          </cell>
          <cell r="F5832">
            <v>34000000</v>
          </cell>
          <cell r="G5832">
            <v>34000000</v>
          </cell>
          <cell r="H5832">
            <v>34000000</v>
          </cell>
          <cell r="I5832" t="str">
            <v/>
          </cell>
          <cell r="J5832" t="str">
            <v/>
          </cell>
          <cell r="K5832" t="str">
            <v/>
          </cell>
          <cell r="L5832" t="str">
            <v/>
          </cell>
        </row>
        <row r="5833">
          <cell r="A5833">
            <v>34000000</v>
          </cell>
          <cell r="C5833">
            <v>34000000</v>
          </cell>
          <cell r="D5833">
            <v>34000000</v>
          </cell>
          <cell r="E5833">
            <v>34000000</v>
          </cell>
          <cell r="F5833">
            <v>34000000</v>
          </cell>
          <cell r="G5833">
            <v>34000000</v>
          </cell>
          <cell r="H5833">
            <v>34000000</v>
          </cell>
          <cell r="I5833" t="str">
            <v/>
          </cell>
          <cell r="J5833" t="str">
            <v/>
          </cell>
          <cell r="K5833" t="str">
            <v/>
          </cell>
          <cell r="L5833" t="str">
            <v/>
          </cell>
        </row>
        <row r="5834">
          <cell r="A5834">
            <v>34000000</v>
          </cell>
          <cell r="C5834">
            <v>34000000</v>
          </cell>
          <cell r="D5834">
            <v>34000000</v>
          </cell>
          <cell r="E5834">
            <v>34000000</v>
          </cell>
          <cell r="F5834">
            <v>34000000</v>
          </cell>
          <cell r="G5834">
            <v>34000000</v>
          </cell>
          <cell r="H5834">
            <v>34000000</v>
          </cell>
          <cell r="I5834" t="str">
            <v/>
          </cell>
          <cell r="J5834" t="str">
            <v/>
          </cell>
          <cell r="K5834" t="str">
            <v/>
          </cell>
          <cell r="L5834" t="str">
            <v/>
          </cell>
        </row>
        <row r="5835">
          <cell r="A5835">
            <v>34000000</v>
          </cell>
          <cell r="C5835">
            <v>34000000</v>
          </cell>
          <cell r="D5835">
            <v>34000000</v>
          </cell>
          <cell r="E5835">
            <v>34000000</v>
          </cell>
          <cell r="F5835">
            <v>34000000</v>
          </cell>
          <cell r="G5835">
            <v>34000000</v>
          </cell>
          <cell r="H5835">
            <v>34000000</v>
          </cell>
          <cell r="I5835" t="str">
            <v/>
          </cell>
          <cell r="J5835" t="str">
            <v/>
          </cell>
          <cell r="K5835" t="str">
            <v/>
          </cell>
          <cell r="L5835" t="str">
            <v/>
          </cell>
        </row>
        <row r="5836">
          <cell r="A5836">
            <v>34000000</v>
          </cell>
          <cell r="C5836">
            <v>34000000</v>
          </cell>
          <cell r="D5836">
            <v>34000000</v>
          </cell>
          <cell r="E5836">
            <v>34000000</v>
          </cell>
          <cell r="F5836">
            <v>34000000</v>
          </cell>
          <cell r="G5836">
            <v>34000000</v>
          </cell>
          <cell r="H5836">
            <v>34000000</v>
          </cell>
          <cell r="I5836" t="str">
            <v/>
          </cell>
          <cell r="J5836" t="str">
            <v/>
          </cell>
          <cell r="K5836" t="str">
            <v/>
          </cell>
          <cell r="L5836" t="str">
            <v/>
          </cell>
        </row>
        <row r="5837">
          <cell r="A5837">
            <v>34000000</v>
          </cell>
          <cell r="C5837">
            <v>34000000</v>
          </cell>
          <cell r="D5837">
            <v>34000000</v>
          </cell>
          <cell r="E5837">
            <v>34000000</v>
          </cell>
          <cell r="F5837">
            <v>34000000</v>
          </cell>
          <cell r="G5837">
            <v>34000000</v>
          </cell>
          <cell r="H5837">
            <v>34000000</v>
          </cell>
          <cell r="I5837" t="str">
            <v/>
          </cell>
          <cell r="J5837" t="str">
            <v/>
          </cell>
          <cell r="K5837" t="str">
            <v/>
          </cell>
          <cell r="L5837" t="str">
            <v/>
          </cell>
        </row>
        <row r="5838">
          <cell r="A5838">
            <v>34000000</v>
          </cell>
          <cell r="C5838">
            <v>34000000</v>
          </cell>
          <cell r="D5838">
            <v>34000000</v>
          </cell>
          <cell r="E5838">
            <v>34000000</v>
          </cell>
          <cell r="F5838">
            <v>34000000</v>
          </cell>
          <cell r="G5838">
            <v>34000000</v>
          </cell>
          <cell r="H5838">
            <v>34000000</v>
          </cell>
          <cell r="I5838" t="str">
            <v/>
          </cell>
          <cell r="J5838" t="str">
            <v/>
          </cell>
          <cell r="K5838" t="str">
            <v/>
          </cell>
          <cell r="L5838" t="str">
            <v/>
          </cell>
        </row>
        <row r="5839">
          <cell r="A5839">
            <v>34000000</v>
          </cell>
          <cell r="C5839">
            <v>34000000</v>
          </cell>
          <cell r="D5839">
            <v>34000000</v>
          </cell>
          <cell r="E5839">
            <v>34000000</v>
          </cell>
          <cell r="F5839">
            <v>34000000</v>
          </cell>
          <cell r="G5839">
            <v>34000000</v>
          </cell>
          <cell r="H5839">
            <v>34000000</v>
          </cell>
          <cell r="I5839" t="str">
            <v/>
          </cell>
          <cell r="J5839" t="str">
            <v/>
          </cell>
          <cell r="K5839" t="str">
            <v/>
          </cell>
          <cell r="L5839" t="str">
            <v/>
          </cell>
        </row>
        <row r="5840">
          <cell r="A5840">
            <v>34000000</v>
          </cell>
          <cell r="C5840">
            <v>34000000</v>
          </cell>
          <cell r="D5840">
            <v>34000000</v>
          </cell>
          <cell r="E5840">
            <v>34000000</v>
          </cell>
          <cell r="F5840">
            <v>34000000</v>
          </cell>
          <cell r="G5840">
            <v>34000000</v>
          </cell>
          <cell r="H5840">
            <v>34000000</v>
          </cell>
          <cell r="I5840" t="str">
            <v/>
          </cell>
          <cell r="J5840" t="str">
            <v/>
          </cell>
          <cell r="K5840" t="str">
            <v/>
          </cell>
          <cell r="L5840" t="str">
            <v/>
          </cell>
        </row>
        <row r="5841">
          <cell r="A5841">
            <v>34000000</v>
          </cell>
          <cell r="C5841">
            <v>34000000</v>
          </cell>
          <cell r="D5841">
            <v>34000000</v>
          </cell>
          <cell r="E5841">
            <v>34000000</v>
          </cell>
          <cell r="F5841">
            <v>34000000</v>
          </cell>
          <cell r="G5841">
            <v>34000000</v>
          </cell>
          <cell r="H5841">
            <v>34000000</v>
          </cell>
          <cell r="I5841" t="str">
            <v/>
          </cell>
          <cell r="J5841" t="str">
            <v/>
          </cell>
          <cell r="K5841" t="str">
            <v/>
          </cell>
          <cell r="L5841" t="str">
            <v/>
          </cell>
        </row>
        <row r="5842">
          <cell r="A5842">
            <v>34000000</v>
          </cell>
          <cell r="C5842">
            <v>34000000</v>
          </cell>
          <cell r="D5842">
            <v>34000000</v>
          </cell>
          <cell r="E5842">
            <v>34000000</v>
          </cell>
          <cell r="F5842">
            <v>34000000</v>
          </cell>
          <cell r="G5842">
            <v>34000000</v>
          </cell>
          <cell r="H5842">
            <v>34000000</v>
          </cell>
          <cell r="I5842" t="str">
            <v/>
          </cell>
          <cell r="J5842" t="str">
            <v/>
          </cell>
          <cell r="K5842" t="str">
            <v/>
          </cell>
          <cell r="L5842" t="str">
            <v/>
          </cell>
        </row>
        <row r="5843">
          <cell r="A5843">
            <v>34000000</v>
          </cell>
          <cell r="C5843">
            <v>34000000</v>
          </cell>
          <cell r="D5843">
            <v>34000000</v>
          </cell>
          <cell r="E5843">
            <v>34000000</v>
          </cell>
          <cell r="F5843">
            <v>34000000</v>
          </cell>
          <cell r="G5843">
            <v>34000000</v>
          </cell>
          <cell r="H5843">
            <v>34000000</v>
          </cell>
          <cell r="I5843" t="str">
            <v/>
          </cell>
          <cell r="J5843" t="str">
            <v/>
          </cell>
          <cell r="K5843" t="str">
            <v/>
          </cell>
          <cell r="L5843" t="str">
            <v/>
          </cell>
        </row>
        <row r="5844">
          <cell r="A5844">
            <v>34000000</v>
          </cell>
          <cell r="C5844">
            <v>34000000</v>
          </cell>
          <cell r="D5844">
            <v>34000000</v>
          </cell>
          <cell r="E5844">
            <v>34000000</v>
          </cell>
          <cell r="F5844">
            <v>34000000</v>
          </cell>
          <cell r="G5844">
            <v>34000000</v>
          </cell>
          <cell r="H5844">
            <v>34000000</v>
          </cell>
          <cell r="I5844" t="str">
            <v/>
          </cell>
          <cell r="J5844" t="str">
            <v/>
          </cell>
          <cell r="K5844" t="str">
            <v/>
          </cell>
          <cell r="L5844" t="str">
            <v/>
          </cell>
        </row>
        <row r="5845">
          <cell r="A5845">
            <v>34000000</v>
          </cell>
          <cell r="C5845">
            <v>34000000</v>
          </cell>
          <cell r="D5845">
            <v>34000000</v>
          </cell>
          <cell r="E5845">
            <v>34000000</v>
          </cell>
          <cell r="F5845">
            <v>34000000</v>
          </cell>
          <cell r="G5845">
            <v>34000000</v>
          </cell>
          <cell r="H5845">
            <v>34000000</v>
          </cell>
          <cell r="I5845" t="str">
            <v/>
          </cell>
          <cell r="J5845" t="str">
            <v/>
          </cell>
          <cell r="K5845" t="str">
            <v/>
          </cell>
          <cell r="L5845" t="str">
            <v/>
          </cell>
        </row>
        <row r="5846">
          <cell r="A5846">
            <v>34000000</v>
          </cell>
          <cell r="C5846">
            <v>34000000</v>
          </cell>
          <cell r="D5846">
            <v>34000000</v>
          </cell>
          <cell r="E5846">
            <v>34000000</v>
          </cell>
          <cell r="F5846">
            <v>34000000</v>
          </cell>
          <cell r="G5846">
            <v>34000000</v>
          </cell>
          <cell r="H5846">
            <v>34000000</v>
          </cell>
          <cell r="I5846" t="str">
            <v/>
          </cell>
          <cell r="J5846" t="str">
            <v/>
          </cell>
          <cell r="K5846" t="str">
            <v/>
          </cell>
          <cell r="L5846" t="str">
            <v/>
          </cell>
        </row>
        <row r="5847">
          <cell r="A5847">
            <v>34000000</v>
          </cell>
          <cell r="C5847">
            <v>34000000</v>
          </cell>
          <cell r="D5847">
            <v>34000000</v>
          </cell>
          <cell r="E5847">
            <v>34000000</v>
          </cell>
          <cell r="F5847">
            <v>34000000</v>
          </cell>
          <cell r="G5847">
            <v>34000000</v>
          </cell>
          <cell r="H5847">
            <v>34000000</v>
          </cell>
          <cell r="I5847" t="str">
            <v/>
          </cell>
          <cell r="J5847" t="str">
            <v/>
          </cell>
          <cell r="K5847" t="str">
            <v/>
          </cell>
          <cell r="L5847" t="str">
            <v/>
          </cell>
        </row>
        <row r="5848">
          <cell r="A5848">
            <v>34000000</v>
          </cell>
          <cell r="C5848">
            <v>34000000</v>
          </cell>
          <cell r="D5848">
            <v>34000000</v>
          </cell>
          <cell r="E5848">
            <v>34000000</v>
          </cell>
          <cell r="F5848">
            <v>34000000</v>
          </cell>
          <cell r="G5848">
            <v>34000000</v>
          </cell>
          <cell r="H5848">
            <v>34000000</v>
          </cell>
          <cell r="I5848" t="str">
            <v/>
          </cell>
          <cell r="J5848" t="str">
            <v/>
          </cell>
          <cell r="K5848" t="str">
            <v/>
          </cell>
          <cell r="L5848" t="str">
            <v/>
          </cell>
        </row>
        <row r="5849">
          <cell r="A5849">
            <v>34000000</v>
          </cell>
          <cell r="C5849">
            <v>34000000</v>
          </cell>
          <cell r="D5849">
            <v>34000000</v>
          </cell>
          <cell r="E5849">
            <v>34000000</v>
          </cell>
          <cell r="F5849">
            <v>34000000</v>
          </cell>
          <cell r="G5849">
            <v>34000000</v>
          </cell>
          <cell r="H5849">
            <v>34000000</v>
          </cell>
          <cell r="I5849" t="str">
            <v/>
          </cell>
          <cell r="J5849" t="str">
            <v/>
          </cell>
          <cell r="K5849" t="str">
            <v/>
          </cell>
          <cell r="L5849" t="str">
            <v/>
          </cell>
        </row>
        <row r="5850">
          <cell r="A5850">
            <v>34000000</v>
          </cell>
          <cell r="C5850">
            <v>34000000</v>
          </cell>
          <cell r="D5850">
            <v>34000000</v>
          </cell>
          <cell r="E5850">
            <v>34000000</v>
          </cell>
          <cell r="F5850">
            <v>34000000</v>
          </cell>
          <cell r="G5850">
            <v>34000000</v>
          </cell>
          <cell r="H5850">
            <v>34000000</v>
          </cell>
          <cell r="I5850" t="str">
            <v/>
          </cell>
          <cell r="J5850" t="str">
            <v/>
          </cell>
          <cell r="K5850" t="str">
            <v/>
          </cell>
          <cell r="L5850" t="str">
            <v/>
          </cell>
        </row>
        <row r="5851">
          <cell r="A5851">
            <v>34000000</v>
          </cell>
          <cell r="C5851">
            <v>34000000</v>
          </cell>
          <cell r="D5851">
            <v>34000000</v>
          </cell>
          <cell r="E5851">
            <v>34000000</v>
          </cell>
          <cell r="F5851">
            <v>34000000</v>
          </cell>
          <cell r="G5851">
            <v>34000000</v>
          </cell>
          <cell r="H5851">
            <v>34000000</v>
          </cell>
          <cell r="I5851" t="str">
            <v/>
          </cell>
          <cell r="J5851" t="str">
            <v/>
          </cell>
          <cell r="K5851" t="str">
            <v/>
          </cell>
          <cell r="L5851" t="str">
            <v/>
          </cell>
        </row>
        <row r="5852">
          <cell r="A5852">
            <v>34000000</v>
          </cell>
          <cell r="C5852">
            <v>34000000</v>
          </cell>
          <cell r="D5852">
            <v>34000000</v>
          </cell>
          <cell r="E5852">
            <v>34000000</v>
          </cell>
          <cell r="F5852">
            <v>34000000</v>
          </cell>
          <cell r="G5852">
            <v>34000000</v>
          </cell>
          <cell r="H5852">
            <v>34000000</v>
          </cell>
          <cell r="I5852" t="str">
            <v/>
          </cell>
          <cell r="J5852" t="str">
            <v/>
          </cell>
          <cell r="K5852" t="str">
            <v/>
          </cell>
          <cell r="L5852" t="str">
            <v/>
          </cell>
        </row>
        <row r="5853">
          <cell r="A5853">
            <v>34000000</v>
          </cell>
          <cell r="C5853">
            <v>34000000</v>
          </cell>
          <cell r="D5853">
            <v>34000000</v>
          </cell>
          <cell r="E5853">
            <v>34000000</v>
          </cell>
          <cell r="F5853">
            <v>34000000</v>
          </cell>
          <cell r="G5853">
            <v>34000000</v>
          </cell>
          <cell r="H5853">
            <v>34000000</v>
          </cell>
          <cell r="I5853" t="str">
            <v/>
          </cell>
          <cell r="J5853" t="str">
            <v/>
          </cell>
          <cell r="K5853" t="str">
            <v/>
          </cell>
          <cell r="L5853" t="str">
            <v/>
          </cell>
        </row>
        <row r="5854">
          <cell r="A5854">
            <v>34000000</v>
          </cell>
          <cell r="C5854">
            <v>34000000</v>
          </cell>
          <cell r="D5854">
            <v>34000000</v>
          </cell>
          <cell r="E5854">
            <v>34000000</v>
          </cell>
          <cell r="F5854">
            <v>34000000</v>
          </cell>
          <cell r="G5854">
            <v>34000000</v>
          </cell>
          <cell r="H5854">
            <v>34000000</v>
          </cell>
          <cell r="I5854" t="str">
            <v/>
          </cell>
          <cell r="J5854" t="str">
            <v/>
          </cell>
          <cell r="K5854" t="str">
            <v/>
          </cell>
          <cell r="L5854" t="str">
            <v/>
          </cell>
        </row>
        <row r="5855">
          <cell r="A5855">
            <v>34000000</v>
          </cell>
          <cell r="C5855">
            <v>34000000</v>
          </cell>
          <cell r="D5855">
            <v>34000000</v>
          </cell>
          <cell r="E5855">
            <v>34000000</v>
          </cell>
          <cell r="F5855">
            <v>34000000</v>
          </cell>
          <cell r="G5855">
            <v>34000000</v>
          </cell>
          <cell r="H5855">
            <v>34000000</v>
          </cell>
          <cell r="I5855" t="str">
            <v/>
          </cell>
          <cell r="J5855" t="str">
            <v/>
          </cell>
          <cell r="K5855" t="str">
            <v/>
          </cell>
          <cell r="L5855" t="str">
            <v/>
          </cell>
        </row>
        <row r="5856">
          <cell r="A5856">
            <v>34000000</v>
          </cell>
          <cell r="C5856">
            <v>34000000</v>
          </cell>
          <cell r="D5856">
            <v>34000000</v>
          </cell>
          <cell r="E5856">
            <v>34000000</v>
          </cell>
          <cell r="F5856">
            <v>34000000</v>
          </cell>
          <cell r="G5856">
            <v>34000000</v>
          </cell>
          <cell r="H5856">
            <v>34000000</v>
          </cell>
          <cell r="I5856" t="str">
            <v/>
          </cell>
          <cell r="J5856" t="str">
            <v/>
          </cell>
          <cell r="K5856" t="str">
            <v/>
          </cell>
          <cell r="L5856" t="str">
            <v/>
          </cell>
        </row>
        <row r="5857">
          <cell r="A5857">
            <v>34000000</v>
          </cell>
          <cell r="C5857">
            <v>34000000</v>
          </cell>
          <cell r="D5857">
            <v>34000000</v>
          </cell>
          <cell r="E5857">
            <v>34000000</v>
          </cell>
          <cell r="F5857">
            <v>34000000</v>
          </cell>
          <cell r="G5857">
            <v>34000000</v>
          </cell>
          <cell r="H5857">
            <v>34000000</v>
          </cell>
          <cell r="I5857" t="str">
            <v/>
          </cell>
          <cell r="J5857" t="str">
            <v/>
          </cell>
          <cell r="K5857" t="str">
            <v/>
          </cell>
          <cell r="L5857" t="str">
            <v/>
          </cell>
        </row>
        <row r="5858">
          <cell r="A5858">
            <v>34000000</v>
          </cell>
          <cell r="C5858">
            <v>34000000</v>
          </cell>
          <cell r="D5858">
            <v>34000000</v>
          </cell>
          <cell r="E5858">
            <v>34000000</v>
          </cell>
          <cell r="F5858">
            <v>34000000</v>
          </cell>
          <cell r="G5858">
            <v>34000000</v>
          </cell>
          <cell r="H5858">
            <v>34000000</v>
          </cell>
          <cell r="I5858" t="str">
            <v/>
          </cell>
          <cell r="J5858" t="str">
            <v/>
          </cell>
          <cell r="K5858" t="str">
            <v/>
          </cell>
          <cell r="L5858" t="str">
            <v/>
          </cell>
        </row>
        <row r="5859">
          <cell r="A5859">
            <v>34000000</v>
          </cell>
          <cell r="C5859">
            <v>34000000</v>
          </cell>
          <cell r="D5859">
            <v>34000000</v>
          </cell>
          <cell r="E5859">
            <v>34000000</v>
          </cell>
          <cell r="F5859">
            <v>34000000</v>
          </cell>
          <cell r="G5859">
            <v>34000000</v>
          </cell>
          <cell r="H5859">
            <v>34000000</v>
          </cell>
          <cell r="I5859" t="str">
            <v/>
          </cell>
          <cell r="J5859" t="str">
            <v/>
          </cell>
          <cell r="K5859" t="str">
            <v/>
          </cell>
          <cell r="L5859" t="str">
            <v/>
          </cell>
        </row>
        <row r="5860">
          <cell r="A5860">
            <v>34000000</v>
          </cell>
          <cell r="C5860">
            <v>34000000</v>
          </cell>
          <cell r="D5860">
            <v>34000000</v>
          </cell>
          <cell r="E5860">
            <v>34000000</v>
          </cell>
          <cell r="F5860">
            <v>34000000</v>
          </cell>
          <cell r="G5860">
            <v>34000000</v>
          </cell>
          <cell r="H5860">
            <v>34000000</v>
          </cell>
          <cell r="I5860" t="str">
            <v/>
          </cell>
          <cell r="J5860" t="str">
            <v/>
          </cell>
          <cell r="K5860" t="str">
            <v/>
          </cell>
          <cell r="L5860" t="str">
            <v/>
          </cell>
        </row>
        <row r="5861">
          <cell r="A5861">
            <v>34000000</v>
          </cell>
          <cell r="C5861">
            <v>34000000</v>
          </cell>
          <cell r="D5861">
            <v>34000000</v>
          </cell>
          <cell r="E5861">
            <v>34000000</v>
          </cell>
          <cell r="F5861">
            <v>34000000</v>
          </cell>
          <cell r="G5861">
            <v>34000000</v>
          </cell>
          <cell r="H5861">
            <v>34000000</v>
          </cell>
          <cell r="I5861" t="str">
            <v/>
          </cell>
          <cell r="J5861" t="str">
            <v/>
          </cell>
          <cell r="K5861" t="str">
            <v/>
          </cell>
          <cell r="L5861" t="str">
            <v/>
          </cell>
        </row>
        <row r="5862">
          <cell r="A5862">
            <v>34000000</v>
          </cell>
          <cell r="C5862">
            <v>34000000</v>
          </cell>
          <cell r="D5862">
            <v>34000000</v>
          </cell>
          <cell r="E5862">
            <v>34000000</v>
          </cell>
          <cell r="F5862">
            <v>34000000</v>
          </cell>
          <cell r="G5862">
            <v>34000000</v>
          </cell>
          <cell r="H5862">
            <v>34000000</v>
          </cell>
          <cell r="I5862" t="str">
            <v/>
          </cell>
          <cell r="J5862" t="str">
            <v/>
          </cell>
          <cell r="K5862" t="str">
            <v/>
          </cell>
          <cell r="L5862" t="str">
            <v/>
          </cell>
        </row>
        <row r="5863">
          <cell r="A5863">
            <v>34000000</v>
          </cell>
          <cell r="C5863">
            <v>34000000</v>
          </cell>
          <cell r="D5863">
            <v>34000000</v>
          </cell>
          <cell r="E5863">
            <v>34000000</v>
          </cell>
          <cell r="F5863">
            <v>34000000</v>
          </cell>
          <cell r="G5863">
            <v>34000000</v>
          </cell>
          <cell r="H5863">
            <v>34000000</v>
          </cell>
          <cell r="I5863" t="str">
            <v/>
          </cell>
          <cell r="J5863" t="str">
            <v/>
          </cell>
          <cell r="K5863" t="str">
            <v/>
          </cell>
          <cell r="L5863" t="str">
            <v/>
          </cell>
        </row>
        <row r="5864">
          <cell r="A5864">
            <v>34000000</v>
          </cell>
          <cell r="C5864">
            <v>34000000</v>
          </cell>
          <cell r="D5864">
            <v>34000000</v>
          </cell>
          <cell r="E5864">
            <v>34000000</v>
          </cell>
          <cell r="F5864">
            <v>34000000</v>
          </cell>
          <cell r="G5864">
            <v>34000000</v>
          </cell>
          <cell r="H5864">
            <v>34000000</v>
          </cell>
          <cell r="I5864" t="str">
            <v/>
          </cell>
          <cell r="J5864" t="str">
            <v/>
          </cell>
          <cell r="K5864" t="str">
            <v/>
          </cell>
          <cell r="L5864" t="str">
            <v/>
          </cell>
        </row>
        <row r="5865">
          <cell r="A5865">
            <v>34000000</v>
          </cell>
          <cell r="C5865">
            <v>34000000</v>
          </cell>
          <cell r="D5865">
            <v>34000000</v>
          </cell>
          <cell r="E5865">
            <v>34000000</v>
          </cell>
          <cell r="F5865">
            <v>34000000</v>
          </cell>
          <cell r="G5865">
            <v>34000000</v>
          </cell>
          <cell r="H5865">
            <v>34000000</v>
          </cell>
          <cell r="I5865" t="str">
            <v/>
          </cell>
          <cell r="J5865" t="str">
            <v/>
          </cell>
          <cell r="K5865" t="str">
            <v/>
          </cell>
          <cell r="L5865" t="str">
            <v/>
          </cell>
        </row>
        <row r="5866">
          <cell r="A5866">
            <v>34000000</v>
          </cell>
          <cell r="C5866">
            <v>34000000</v>
          </cell>
          <cell r="D5866">
            <v>34000000</v>
          </cell>
          <cell r="E5866">
            <v>34000000</v>
          </cell>
          <cell r="F5866">
            <v>34000000</v>
          </cell>
          <cell r="G5866">
            <v>34000000</v>
          </cell>
          <cell r="H5866">
            <v>34000000</v>
          </cell>
          <cell r="I5866" t="str">
            <v/>
          </cell>
          <cell r="J5866" t="str">
            <v/>
          </cell>
          <cell r="K5866" t="str">
            <v/>
          </cell>
          <cell r="L5866" t="str">
            <v/>
          </cell>
        </row>
        <row r="5867">
          <cell r="A5867">
            <v>34000000</v>
          </cell>
          <cell r="C5867">
            <v>34000000</v>
          </cell>
          <cell r="D5867">
            <v>34000000</v>
          </cell>
          <cell r="E5867">
            <v>34000000</v>
          </cell>
          <cell r="F5867">
            <v>34000000</v>
          </cell>
          <cell r="G5867">
            <v>34000000</v>
          </cell>
          <cell r="H5867">
            <v>34000000</v>
          </cell>
          <cell r="I5867" t="str">
            <v/>
          </cell>
          <cell r="J5867" t="str">
            <v/>
          </cell>
          <cell r="K5867" t="str">
            <v/>
          </cell>
          <cell r="L5867" t="str">
            <v/>
          </cell>
        </row>
        <row r="5868">
          <cell r="A5868">
            <v>34000000</v>
          </cell>
          <cell r="C5868">
            <v>34000000</v>
          </cell>
          <cell r="D5868">
            <v>34000000</v>
          </cell>
          <cell r="E5868">
            <v>34000000</v>
          </cell>
          <cell r="F5868">
            <v>34000000</v>
          </cell>
          <cell r="G5868">
            <v>34000000</v>
          </cell>
          <cell r="H5868">
            <v>34000000</v>
          </cell>
          <cell r="I5868" t="str">
            <v/>
          </cell>
          <cell r="J5868" t="str">
            <v/>
          </cell>
          <cell r="K5868" t="str">
            <v/>
          </cell>
          <cell r="L5868" t="str">
            <v/>
          </cell>
        </row>
        <row r="5869">
          <cell r="A5869">
            <v>34000000</v>
          </cell>
          <cell r="C5869">
            <v>34000000</v>
          </cell>
          <cell r="D5869">
            <v>34000000</v>
          </cell>
          <cell r="E5869">
            <v>34000000</v>
          </cell>
          <cell r="F5869">
            <v>34000000</v>
          </cell>
          <cell r="G5869">
            <v>34000000</v>
          </cell>
          <cell r="H5869">
            <v>34000000</v>
          </cell>
          <cell r="I5869" t="str">
            <v/>
          </cell>
          <cell r="J5869" t="str">
            <v/>
          </cell>
          <cell r="K5869" t="str">
            <v/>
          </cell>
          <cell r="L5869" t="str">
            <v/>
          </cell>
        </row>
        <row r="5870">
          <cell r="A5870">
            <v>34000000</v>
          </cell>
          <cell r="C5870">
            <v>34000000</v>
          </cell>
          <cell r="D5870">
            <v>34000000</v>
          </cell>
          <cell r="E5870">
            <v>34000000</v>
          </cell>
          <cell r="F5870">
            <v>34000000</v>
          </cell>
          <cell r="G5870">
            <v>34000000</v>
          </cell>
          <cell r="H5870">
            <v>34000000</v>
          </cell>
          <cell r="I5870" t="str">
            <v/>
          </cell>
          <cell r="J5870" t="str">
            <v/>
          </cell>
          <cell r="K5870" t="str">
            <v/>
          </cell>
          <cell r="L5870" t="str">
            <v/>
          </cell>
        </row>
        <row r="5871">
          <cell r="A5871">
            <v>34000000</v>
          </cell>
          <cell r="C5871">
            <v>34000000</v>
          </cell>
          <cell r="D5871">
            <v>34000000</v>
          </cell>
          <cell r="E5871">
            <v>34000000</v>
          </cell>
          <cell r="F5871">
            <v>34000000</v>
          </cell>
          <cell r="G5871">
            <v>34000000</v>
          </cell>
          <cell r="H5871">
            <v>34000000</v>
          </cell>
          <cell r="I5871" t="str">
            <v/>
          </cell>
          <cell r="J5871" t="str">
            <v/>
          </cell>
          <cell r="K5871" t="str">
            <v/>
          </cell>
          <cell r="L5871" t="str">
            <v/>
          </cell>
        </row>
        <row r="5872">
          <cell r="A5872">
            <v>34000000</v>
          </cell>
          <cell r="C5872">
            <v>34000000</v>
          </cell>
          <cell r="D5872">
            <v>34000000</v>
          </cell>
          <cell r="E5872">
            <v>34000000</v>
          </cell>
          <cell r="F5872">
            <v>34000000</v>
          </cell>
          <cell r="G5872">
            <v>34000000</v>
          </cell>
          <cell r="H5872">
            <v>34000000</v>
          </cell>
          <cell r="I5872" t="str">
            <v/>
          </cell>
          <cell r="J5872" t="str">
            <v/>
          </cell>
          <cell r="K5872" t="str">
            <v/>
          </cell>
          <cell r="L5872" t="str">
            <v/>
          </cell>
        </row>
        <row r="5873">
          <cell r="A5873">
            <v>34000000</v>
          </cell>
          <cell r="C5873">
            <v>34000000</v>
          </cell>
          <cell r="D5873">
            <v>34000000</v>
          </cell>
          <cell r="E5873">
            <v>34000000</v>
          </cell>
          <cell r="F5873">
            <v>34000000</v>
          </cell>
          <cell r="G5873">
            <v>34000000</v>
          </cell>
          <cell r="H5873">
            <v>34000000</v>
          </cell>
          <cell r="I5873" t="str">
            <v/>
          </cell>
          <cell r="J5873" t="str">
            <v/>
          </cell>
          <cell r="K5873" t="str">
            <v/>
          </cell>
          <cell r="L5873" t="str">
            <v/>
          </cell>
        </row>
        <row r="5874">
          <cell r="A5874">
            <v>34000000</v>
          </cell>
          <cell r="C5874">
            <v>34000000</v>
          </cell>
          <cell r="D5874">
            <v>34000000</v>
          </cell>
          <cell r="E5874">
            <v>34000000</v>
          </cell>
          <cell r="F5874">
            <v>34000000</v>
          </cell>
          <cell r="G5874">
            <v>34000000</v>
          </cell>
          <cell r="H5874">
            <v>34000000</v>
          </cell>
          <cell r="I5874" t="str">
            <v/>
          </cell>
          <cell r="J5874" t="str">
            <v/>
          </cell>
          <cell r="K5874" t="str">
            <v/>
          </cell>
          <cell r="L5874" t="str">
            <v/>
          </cell>
        </row>
        <row r="5875">
          <cell r="A5875">
            <v>34000000</v>
          </cell>
          <cell r="C5875">
            <v>34000000</v>
          </cell>
          <cell r="D5875">
            <v>34000000</v>
          </cell>
          <cell r="E5875">
            <v>34000000</v>
          </cell>
          <cell r="F5875">
            <v>34000000</v>
          </cell>
          <cell r="G5875">
            <v>34000000</v>
          </cell>
          <cell r="H5875">
            <v>34000000</v>
          </cell>
          <cell r="I5875" t="str">
            <v/>
          </cell>
          <cell r="J5875" t="str">
            <v/>
          </cell>
          <cell r="K5875" t="str">
            <v/>
          </cell>
          <cell r="L5875" t="str">
            <v/>
          </cell>
        </row>
        <row r="5876">
          <cell r="A5876">
            <v>34000000</v>
          </cell>
          <cell r="C5876">
            <v>34000000</v>
          </cell>
          <cell r="D5876">
            <v>34000000</v>
          </cell>
          <cell r="E5876">
            <v>34000000</v>
          </cell>
          <cell r="F5876">
            <v>34000000</v>
          </cell>
          <cell r="G5876">
            <v>34000000</v>
          </cell>
          <cell r="H5876">
            <v>34000000</v>
          </cell>
          <cell r="I5876" t="str">
            <v/>
          </cell>
          <cell r="J5876" t="str">
            <v/>
          </cell>
          <cell r="K5876" t="str">
            <v/>
          </cell>
          <cell r="L5876" t="str">
            <v/>
          </cell>
        </row>
        <row r="5877">
          <cell r="A5877">
            <v>34000000</v>
          </cell>
          <cell r="C5877">
            <v>34000000</v>
          </cell>
          <cell r="D5877">
            <v>34000000</v>
          </cell>
          <cell r="E5877">
            <v>34000000</v>
          </cell>
          <cell r="F5877">
            <v>34000000</v>
          </cell>
          <cell r="G5877">
            <v>34000000</v>
          </cell>
          <cell r="H5877">
            <v>34000000</v>
          </cell>
          <cell r="I5877" t="str">
            <v/>
          </cell>
          <cell r="J5877" t="str">
            <v/>
          </cell>
          <cell r="K5877" t="str">
            <v/>
          </cell>
          <cell r="L5877" t="str">
            <v/>
          </cell>
        </row>
        <row r="5878">
          <cell r="A5878">
            <v>34000000</v>
          </cell>
          <cell r="C5878">
            <v>34000000</v>
          </cell>
          <cell r="D5878">
            <v>34000000</v>
          </cell>
          <cell r="E5878">
            <v>34000000</v>
          </cell>
          <cell r="F5878">
            <v>34000000</v>
          </cell>
          <cell r="G5878">
            <v>34000000</v>
          </cell>
          <cell r="H5878">
            <v>34000000</v>
          </cell>
          <cell r="I5878" t="str">
            <v/>
          </cell>
          <cell r="J5878" t="str">
            <v/>
          </cell>
          <cell r="K5878" t="str">
            <v/>
          </cell>
          <cell r="L5878" t="str">
            <v/>
          </cell>
        </row>
        <row r="5879">
          <cell r="A5879">
            <v>34000000</v>
          </cell>
          <cell r="C5879">
            <v>34000000</v>
          </cell>
          <cell r="D5879">
            <v>34000000</v>
          </cell>
          <cell r="E5879">
            <v>34000000</v>
          </cell>
          <cell r="F5879">
            <v>34000000</v>
          </cell>
          <cell r="G5879">
            <v>34000000</v>
          </cell>
          <cell r="H5879">
            <v>34000000</v>
          </cell>
          <cell r="I5879" t="str">
            <v/>
          </cell>
          <cell r="J5879" t="str">
            <v/>
          </cell>
          <cell r="K5879" t="str">
            <v/>
          </cell>
          <cell r="L5879" t="str">
            <v/>
          </cell>
        </row>
        <row r="5880">
          <cell r="A5880">
            <v>34000000</v>
          </cell>
          <cell r="C5880">
            <v>34000000</v>
          </cell>
          <cell r="D5880">
            <v>34000000</v>
          </cell>
          <cell r="E5880">
            <v>34000000</v>
          </cell>
          <cell r="F5880">
            <v>34000000</v>
          </cell>
          <cell r="G5880">
            <v>34000000</v>
          </cell>
          <cell r="H5880">
            <v>34000000</v>
          </cell>
          <cell r="I5880" t="str">
            <v/>
          </cell>
          <cell r="J5880" t="str">
            <v/>
          </cell>
          <cell r="K5880" t="str">
            <v/>
          </cell>
          <cell r="L5880" t="str">
            <v/>
          </cell>
        </row>
        <row r="5881">
          <cell r="A5881">
            <v>34000000</v>
          </cell>
          <cell r="C5881">
            <v>34000000</v>
          </cell>
          <cell r="D5881">
            <v>34000000</v>
          </cell>
          <cell r="E5881">
            <v>34000000</v>
          </cell>
          <cell r="F5881">
            <v>34000000</v>
          </cell>
          <cell r="G5881">
            <v>34000000</v>
          </cell>
          <cell r="H5881">
            <v>34000000</v>
          </cell>
          <cell r="I5881" t="str">
            <v/>
          </cell>
          <cell r="J5881" t="str">
            <v/>
          </cell>
          <cell r="K5881" t="str">
            <v/>
          </cell>
          <cell r="L5881" t="str">
            <v/>
          </cell>
        </row>
        <row r="5882">
          <cell r="A5882">
            <v>34000000</v>
          </cell>
          <cell r="C5882">
            <v>34000000</v>
          </cell>
          <cell r="D5882">
            <v>34000000</v>
          </cell>
          <cell r="E5882">
            <v>34000000</v>
          </cell>
          <cell r="F5882">
            <v>34000000</v>
          </cell>
          <cell r="G5882">
            <v>34000000</v>
          </cell>
          <cell r="H5882">
            <v>34000000</v>
          </cell>
          <cell r="I5882" t="str">
            <v/>
          </cell>
          <cell r="J5882" t="str">
            <v/>
          </cell>
          <cell r="K5882" t="str">
            <v/>
          </cell>
          <cell r="L5882" t="str">
            <v/>
          </cell>
        </row>
        <row r="5883">
          <cell r="A5883">
            <v>34000000</v>
          </cell>
          <cell r="C5883">
            <v>34000000</v>
          </cell>
          <cell r="D5883">
            <v>34000000</v>
          </cell>
          <cell r="E5883">
            <v>34000000</v>
          </cell>
          <cell r="F5883">
            <v>34000000</v>
          </cell>
          <cell r="G5883">
            <v>34000000</v>
          </cell>
          <cell r="H5883">
            <v>34000000</v>
          </cell>
          <cell r="I5883" t="str">
            <v/>
          </cell>
          <cell r="J5883" t="str">
            <v/>
          </cell>
          <cell r="K5883" t="str">
            <v/>
          </cell>
          <cell r="L5883" t="str">
            <v/>
          </cell>
        </row>
        <row r="5884">
          <cell r="A5884">
            <v>34000000</v>
          </cell>
          <cell r="C5884">
            <v>34000000</v>
          </cell>
          <cell r="D5884">
            <v>34000000</v>
          </cell>
          <cell r="E5884">
            <v>34000000</v>
          </cell>
          <cell r="F5884">
            <v>34000000</v>
          </cell>
          <cell r="G5884">
            <v>34000000</v>
          </cell>
          <cell r="H5884">
            <v>34000000</v>
          </cell>
          <cell r="I5884" t="str">
            <v/>
          </cell>
          <cell r="J5884" t="str">
            <v/>
          </cell>
          <cell r="K5884" t="str">
            <v/>
          </cell>
          <cell r="L5884" t="str">
            <v/>
          </cell>
        </row>
        <row r="5885">
          <cell r="A5885">
            <v>34000000</v>
          </cell>
          <cell r="C5885">
            <v>34000000</v>
          </cell>
          <cell r="D5885">
            <v>34000000</v>
          </cell>
          <cell r="E5885">
            <v>34000000</v>
          </cell>
          <cell r="F5885">
            <v>34000000</v>
          </cell>
          <cell r="G5885">
            <v>34000000</v>
          </cell>
          <cell r="H5885">
            <v>34000000</v>
          </cell>
          <cell r="I5885" t="str">
            <v/>
          </cell>
          <cell r="J5885" t="str">
            <v/>
          </cell>
          <cell r="K5885" t="str">
            <v/>
          </cell>
          <cell r="L5885" t="str">
            <v/>
          </cell>
        </row>
        <row r="5886">
          <cell r="A5886">
            <v>34000000</v>
          </cell>
          <cell r="C5886">
            <v>34000000</v>
          </cell>
          <cell r="D5886">
            <v>34000000</v>
          </cell>
          <cell r="E5886">
            <v>34000000</v>
          </cell>
          <cell r="F5886">
            <v>34000000</v>
          </cell>
          <cell r="G5886">
            <v>34000000</v>
          </cell>
          <cell r="H5886">
            <v>34000000</v>
          </cell>
          <cell r="I5886" t="str">
            <v/>
          </cell>
          <cell r="J5886" t="str">
            <v/>
          </cell>
          <cell r="K5886" t="str">
            <v/>
          </cell>
          <cell r="L5886" t="str">
            <v/>
          </cell>
        </row>
        <row r="5887">
          <cell r="A5887">
            <v>34000000</v>
          </cell>
          <cell r="C5887">
            <v>34000000</v>
          </cell>
          <cell r="D5887">
            <v>34000000</v>
          </cell>
          <cell r="E5887">
            <v>34000000</v>
          </cell>
          <cell r="F5887">
            <v>34000000</v>
          </cell>
          <cell r="G5887">
            <v>34000000</v>
          </cell>
          <cell r="H5887">
            <v>34000000</v>
          </cell>
          <cell r="I5887" t="str">
            <v/>
          </cell>
          <cell r="J5887" t="str">
            <v/>
          </cell>
          <cell r="K5887" t="str">
            <v/>
          </cell>
          <cell r="L5887" t="str">
            <v/>
          </cell>
        </row>
        <row r="5888">
          <cell r="A5888">
            <v>34000000</v>
          </cell>
          <cell r="C5888">
            <v>34000000</v>
          </cell>
          <cell r="D5888">
            <v>34000000</v>
          </cell>
          <cell r="E5888">
            <v>34000000</v>
          </cell>
          <cell r="F5888">
            <v>34000000</v>
          </cell>
          <cell r="G5888">
            <v>34000000</v>
          </cell>
          <cell r="H5888">
            <v>34000000</v>
          </cell>
          <cell r="I5888" t="str">
            <v/>
          </cell>
          <cell r="J5888" t="str">
            <v/>
          </cell>
          <cell r="K5888" t="str">
            <v/>
          </cell>
          <cell r="L5888" t="str">
            <v/>
          </cell>
        </row>
        <row r="5889">
          <cell r="A5889">
            <v>34000000</v>
          </cell>
          <cell r="C5889">
            <v>34000000</v>
          </cell>
          <cell r="D5889">
            <v>34000000</v>
          </cell>
          <cell r="E5889">
            <v>34000000</v>
          </cell>
          <cell r="F5889">
            <v>34000000</v>
          </cell>
          <cell r="G5889">
            <v>34000000</v>
          </cell>
          <cell r="H5889">
            <v>34000000</v>
          </cell>
          <cell r="I5889" t="str">
            <v/>
          </cell>
          <cell r="J5889" t="str">
            <v/>
          </cell>
          <cell r="K5889" t="str">
            <v/>
          </cell>
          <cell r="L5889" t="str">
            <v/>
          </cell>
        </row>
        <row r="5890">
          <cell r="A5890">
            <v>34000000</v>
          </cell>
          <cell r="C5890">
            <v>34000000</v>
          </cell>
          <cell r="D5890">
            <v>34000000</v>
          </cell>
          <cell r="E5890">
            <v>34000000</v>
          </cell>
          <cell r="F5890">
            <v>34000000</v>
          </cell>
          <cell r="G5890">
            <v>34000000</v>
          </cell>
          <cell r="H5890">
            <v>34000000</v>
          </cell>
          <cell r="I5890" t="str">
            <v/>
          </cell>
          <cell r="J5890" t="str">
            <v/>
          </cell>
          <cell r="K5890" t="str">
            <v/>
          </cell>
          <cell r="L5890" t="str">
            <v/>
          </cell>
        </row>
        <row r="5891">
          <cell r="A5891">
            <v>34000000</v>
          </cell>
          <cell r="C5891">
            <v>34000000</v>
          </cell>
          <cell r="D5891">
            <v>34000000</v>
          </cell>
          <cell r="E5891">
            <v>34000000</v>
          </cell>
          <cell r="F5891">
            <v>34000000</v>
          </cell>
          <cell r="G5891">
            <v>34000000</v>
          </cell>
          <cell r="H5891">
            <v>34000000</v>
          </cell>
          <cell r="I5891" t="str">
            <v/>
          </cell>
          <cell r="J5891" t="str">
            <v/>
          </cell>
          <cell r="K5891" t="str">
            <v/>
          </cell>
          <cell r="L5891" t="str">
            <v/>
          </cell>
        </row>
        <row r="5892">
          <cell r="A5892">
            <v>34000000</v>
          </cell>
          <cell r="C5892">
            <v>34000000</v>
          </cell>
          <cell r="D5892">
            <v>34000000</v>
          </cell>
          <cell r="E5892">
            <v>34000000</v>
          </cell>
          <cell r="F5892">
            <v>34000000</v>
          </cell>
          <cell r="G5892">
            <v>34000000</v>
          </cell>
          <cell r="H5892">
            <v>34000000</v>
          </cell>
          <cell r="I5892" t="str">
            <v/>
          </cell>
          <cell r="J5892" t="str">
            <v/>
          </cell>
          <cell r="K5892" t="str">
            <v/>
          </cell>
          <cell r="L5892" t="str">
            <v/>
          </cell>
        </row>
        <row r="5893">
          <cell r="A5893">
            <v>34000000</v>
          </cell>
          <cell r="C5893">
            <v>34000000</v>
          </cell>
          <cell r="D5893">
            <v>34000000</v>
          </cell>
          <cell r="E5893">
            <v>34000000</v>
          </cell>
          <cell r="F5893">
            <v>34000000</v>
          </cell>
          <cell r="G5893">
            <v>34000000</v>
          </cell>
          <cell r="H5893">
            <v>34000000</v>
          </cell>
          <cell r="I5893" t="str">
            <v/>
          </cell>
          <cell r="J5893" t="str">
            <v/>
          </cell>
          <cell r="K5893" t="str">
            <v/>
          </cell>
          <cell r="L5893" t="str">
            <v/>
          </cell>
        </row>
        <row r="5894">
          <cell r="A5894">
            <v>34000000</v>
          </cell>
          <cell r="C5894">
            <v>34000000</v>
          </cell>
          <cell r="D5894">
            <v>34000000</v>
          </cell>
          <cell r="E5894">
            <v>34000000</v>
          </cell>
          <cell r="F5894">
            <v>34000000</v>
          </cell>
          <cell r="G5894">
            <v>34000000</v>
          </cell>
          <cell r="H5894">
            <v>34000000</v>
          </cell>
          <cell r="I5894" t="str">
            <v/>
          </cell>
          <cell r="J5894" t="str">
            <v/>
          </cell>
          <cell r="K5894" t="str">
            <v/>
          </cell>
          <cell r="L5894" t="str">
            <v/>
          </cell>
        </row>
        <row r="5895">
          <cell r="A5895">
            <v>34000000</v>
          </cell>
          <cell r="C5895">
            <v>34000000</v>
          </cell>
          <cell r="D5895">
            <v>34000000</v>
          </cell>
          <cell r="E5895">
            <v>34000000</v>
          </cell>
          <cell r="F5895">
            <v>34000000</v>
          </cell>
          <cell r="G5895">
            <v>34000000</v>
          </cell>
          <cell r="H5895">
            <v>34000000</v>
          </cell>
          <cell r="I5895" t="str">
            <v/>
          </cell>
          <cell r="J5895" t="str">
            <v/>
          </cell>
          <cell r="K5895" t="str">
            <v/>
          </cell>
          <cell r="L5895" t="str">
            <v/>
          </cell>
        </row>
        <row r="5896">
          <cell r="A5896">
            <v>34000000</v>
          </cell>
          <cell r="C5896">
            <v>34000000</v>
          </cell>
          <cell r="D5896">
            <v>34000000</v>
          </cell>
          <cell r="E5896">
            <v>34000000</v>
          </cell>
          <cell r="F5896">
            <v>34000000</v>
          </cell>
          <cell r="G5896">
            <v>34000000</v>
          </cell>
          <cell r="H5896">
            <v>34000000</v>
          </cell>
          <cell r="I5896" t="str">
            <v/>
          </cell>
          <cell r="J5896" t="str">
            <v/>
          </cell>
          <cell r="K5896" t="str">
            <v/>
          </cell>
          <cell r="L5896" t="str">
            <v/>
          </cell>
        </row>
        <row r="5897">
          <cell r="A5897">
            <v>34000000</v>
          </cell>
          <cell r="C5897">
            <v>34000000</v>
          </cell>
          <cell r="D5897">
            <v>34000000</v>
          </cell>
          <cell r="E5897">
            <v>34000000</v>
          </cell>
          <cell r="F5897">
            <v>34000000</v>
          </cell>
          <cell r="G5897">
            <v>34000000</v>
          </cell>
          <cell r="H5897">
            <v>34000000</v>
          </cell>
          <cell r="I5897" t="str">
            <v/>
          </cell>
          <cell r="J5897" t="str">
            <v/>
          </cell>
          <cell r="K5897" t="str">
            <v/>
          </cell>
          <cell r="L5897" t="str">
            <v/>
          </cell>
        </row>
        <row r="5898">
          <cell r="A5898">
            <v>34000000</v>
          </cell>
          <cell r="C5898">
            <v>34000000</v>
          </cell>
          <cell r="D5898">
            <v>34000000</v>
          </cell>
          <cell r="E5898">
            <v>34000000</v>
          </cell>
          <cell r="F5898">
            <v>34000000</v>
          </cell>
          <cell r="G5898">
            <v>34000000</v>
          </cell>
          <cell r="H5898">
            <v>34000000</v>
          </cell>
          <cell r="I5898" t="str">
            <v/>
          </cell>
          <cell r="J5898" t="str">
            <v/>
          </cell>
          <cell r="K5898" t="str">
            <v/>
          </cell>
          <cell r="L5898" t="str">
            <v/>
          </cell>
        </row>
        <row r="5899">
          <cell r="A5899">
            <v>34000000</v>
          </cell>
          <cell r="C5899">
            <v>34000000</v>
          </cell>
          <cell r="D5899">
            <v>34000000</v>
          </cell>
          <cell r="E5899">
            <v>34000000</v>
          </cell>
          <cell r="F5899">
            <v>34000000</v>
          </cell>
          <cell r="G5899">
            <v>34000000</v>
          </cell>
          <cell r="H5899">
            <v>34000000</v>
          </cell>
          <cell r="I5899" t="str">
            <v/>
          </cell>
          <cell r="J5899" t="str">
            <v/>
          </cell>
          <cell r="K5899" t="str">
            <v/>
          </cell>
          <cell r="L5899" t="str">
            <v/>
          </cell>
        </row>
        <row r="5900">
          <cell r="A5900">
            <v>34000000</v>
          </cell>
          <cell r="C5900">
            <v>34000000</v>
          </cell>
          <cell r="D5900">
            <v>34000000</v>
          </cell>
          <cell r="E5900">
            <v>34000000</v>
          </cell>
          <cell r="F5900">
            <v>34000000</v>
          </cell>
          <cell r="G5900">
            <v>34000000</v>
          </cell>
          <cell r="H5900">
            <v>34000000</v>
          </cell>
          <cell r="I5900" t="str">
            <v/>
          </cell>
          <cell r="J5900" t="str">
            <v/>
          </cell>
          <cell r="K5900" t="str">
            <v/>
          </cell>
          <cell r="L5900" t="str">
            <v/>
          </cell>
        </row>
        <row r="5901">
          <cell r="A5901">
            <v>34000000</v>
          </cell>
          <cell r="C5901">
            <v>34000000</v>
          </cell>
          <cell r="D5901">
            <v>34000000</v>
          </cell>
          <cell r="E5901">
            <v>34000000</v>
          </cell>
          <cell r="F5901">
            <v>34000000</v>
          </cell>
          <cell r="G5901">
            <v>34000000</v>
          </cell>
          <cell r="H5901">
            <v>34000000</v>
          </cell>
          <cell r="I5901" t="str">
            <v/>
          </cell>
          <cell r="J5901" t="str">
            <v/>
          </cell>
          <cell r="K5901" t="str">
            <v/>
          </cell>
          <cell r="L5901" t="str">
            <v/>
          </cell>
        </row>
        <row r="5902">
          <cell r="A5902">
            <v>34000000</v>
          </cell>
          <cell r="C5902">
            <v>34000000</v>
          </cell>
          <cell r="D5902">
            <v>34000000</v>
          </cell>
          <cell r="E5902">
            <v>34000000</v>
          </cell>
          <cell r="F5902">
            <v>34000000</v>
          </cell>
          <cell r="G5902">
            <v>34000000</v>
          </cell>
          <cell r="H5902">
            <v>34000000</v>
          </cell>
          <cell r="I5902" t="str">
            <v/>
          </cell>
          <cell r="J5902" t="str">
            <v/>
          </cell>
          <cell r="K5902" t="str">
            <v/>
          </cell>
          <cell r="L5902" t="str">
            <v/>
          </cell>
        </row>
        <row r="5903">
          <cell r="A5903">
            <v>34000000</v>
          </cell>
          <cell r="C5903">
            <v>34000000</v>
          </cell>
          <cell r="D5903">
            <v>34000000</v>
          </cell>
          <cell r="E5903">
            <v>34000000</v>
          </cell>
          <cell r="F5903">
            <v>34000000</v>
          </cell>
          <cell r="G5903">
            <v>34000000</v>
          </cell>
          <cell r="H5903">
            <v>34000000</v>
          </cell>
          <cell r="I5903" t="str">
            <v/>
          </cell>
          <cell r="J5903" t="str">
            <v/>
          </cell>
          <cell r="K5903" t="str">
            <v/>
          </cell>
          <cell r="L5903" t="str">
            <v/>
          </cell>
        </row>
        <row r="5904">
          <cell r="A5904">
            <v>34000000</v>
          </cell>
          <cell r="C5904">
            <v>34000000</v>
          </cell>
          <cell r="D5904">
            <v>34000000</v>
          </cell>
          <cell r="E5904">
            <v>34000000</v>
          </cell>
          <cell r="F5904">
            <v>34000000</v>
          </cell>
          <cell r="G5904">
            <v>34000000</v>
          </cell>
          <cell r="H5904">
            <v>34000000</v>
          </cell>
          <cell r="I5904" t="str">
            <v/>
          </cell>
          <cell r="J5904" t="str">
            <v/>
          </cell>
          <cell r="K5904" t="str">
            <v/>
          </cell>
          <cell r="L5904" t="str">
            <v/>
          </cell>
        </row>
        <row r="5905">
          <cell r="A5905">
            <v>34000000</v>
          </cell>
          <cell r="C5905">
            <v>34000000</v>
          </cell>
          <cell r="D5905">
            <v>34000000</v>
          </cell>
          <cell r="E5905">
            <v>34000000</v>
          </cell>
          <cell r="F5905">
            <v>34000000</v>
          </cell>
          <cell r="G5905">
            <v>34000000</v>
          </cell>
          <cell r="H5905">
            <v>34000000</v>
          </cell>
          <cell r="I5905" t="str">
            <v/>
          </cell>
          <cell r="J5905" t="str">
            <v/>
          </cell>
          <cell r="K5905" t="str">
            <v/>
          </cell>
          <cell r="L5905" t="str">
            <v/>
          </cell>
        </row>
        <row r="5906">
          <cell r="A5906">
            <v>34000000</v>
          </cell>
          <cell r="C5906">
            <v>34000000</v>
          </cell>
          <cell r="D5906">
            <v>34000000</v>
          </cell>
          <cell r="E5906">
            <v>34000000</v>
          </cell>
          <cell r="F5906">
            <v>34000000</v>
          </cell>
          <cell r="G5906">
            <v>34000000</v>
          </cell>
          <cell r="H5906">
            <v>34000000</v>
          </cell>
          <cell r="I5906" t="str">
            <v/>
          </cell>
          <cell r="J5906" t="str">
            <v/>
          </cell>
          <cell r="K5906" t="str">
            <v/>
          </cell>
          <cell r="L5906" t="str">
            <v/>
          </cell>
        </row>
        <row r="5907">
          <cell r="A5907">
            <v>34000000</v>
          </cell>
          <cell r="C5907">
            <v>34000000</v>
          </cell>
          <cell r="D5907">
            <v>34000000</v>
          </cell>
          <cell r="E5907">
            <v>34000000</v>
          </cell>
          <cell r="F5907">
            <v>34000000</v>
          </cell>
          <cell r="G5907">
            <v>34000000</v>
          </cell>
          <cell r="H5907">
            <v>34000000</v>
          </cell>
          <cell r="I5907" t="str">
            <v/>
          </cell>
          <cell r="J5907" t="str">
            <v/>
          </cell>
          <cell r="K5907" t="str">
            <v/>
          </cell>
          <cell r="L5907" t="str">
            <v/>
          </cell>
        </row>
        <row r="5908">
          <cell r="A5908">
            <v>34000000</v>
          </cell>
          <cell r="C5908">
            <v>34000000</v>
          </cell>
          <cell r="D5908">
            <v>34000000</v>
          </cell>
          <cell r="E5908">
            <v>34000000</v>
          </cell>
          <cell r="F5908">
            <v>34000000</v>
          </cell>
          <cell r="G5908">
            <v>34000000</v>
          </cell>
          <cell r="H5908">
            <v>34000000</v>
          </cell>
          <cell r="I5908" t="str">
            <v/>
          </cell>
          <cell r="J5908" t="str">
            <v/>
          </cell>
          <cell r="K5908" t="str">
            <v/>
          </cell>
          <cell r="L5908" t="str">
            <v/>
          </cell>
        </row>
        <row r="5909">
          <cell r="A5909">
            <v>34000000</v>
          </cell>
          <cell r="C5909">
            <v>34000000</v>
          </cell>
          <cell r="D5909">
            <v>34000000</v>
          </cell>
          <cell r="E5909">
            <v>34000000</v>
          </cell>
          <cell r="F5909">
            <v>34000000</v>
          </cell>
          <cell r="G5909">
            <v>34000000</v>
          </cell>
          <cell r="H5909">
            <v>34000000</v>
          </cell>
          <cell r="I5909" t="str">
            <v/>
          </cell>
          <cell r="J5909" t="str">
            <v/>
          </cell>
          <cell r="K5909" t="str">
            <v/>
          </cell>
          <cell r="L5909" t="str">
            <v/>
          </cell>
        </row>
        <row r="5910">
          <cell r="A5910">
            <v>34000000</v>
          </cell>
          <cell r="C5910">
            <v>34000000</v>
          </cell>
          <cell r="D5910">
            <v>34000000</v>
          </cell>
          <cell r="E5910">
            <v>34000000</v>
          </cell>
          <cell r="F5910">
            <v>34000000</v>
          </cell>
          <cell r="G5910">
            <v>34000000</v>
          </cell>
          <cell r="H5910">
            <v>34000000</v>
          </cell>
          <cell r="I5910" t="str">
            <v/>
          </cell>
          <cell r="J5910" t="str">
            <v/>
          </cell>
          <cell r="K5910" t="str">
            <v/>
          </cell>
          <cell r="L5910" t="str">
            <v/>
          </cell>
        </row>
        <row r="5911">
          <cell r="A5911">
            <v>34000000</v>
          </cell>
          <cell r="C5911">
            <v>34000000</v>
          </cell>
          <cell r="D5911">
            <v>34000000</v>
          </cell>
          <cell r="E5911">
            <v>34000000</v>
          </cell>
          <cell r="F5911">
            <v>34000000</v>
          </cell>
          <cell r="G5911">
            <v>34000000</v>
          </cell>
          <cell r="H5911">
            <v>34000000</v>
          </cell>
          <cell r="I5911" t="str">
            <v/>
          </cell>
          <cell r="J5911" t="str">
            <v/>
          </cell>
          <cell r="K5911" t="str">
            <v/>
          </cell>
          <cell r="L5911" t="str">
            <v/>
          </cell>
        </row>
        <row r="5912">
          <cell r="A5912">
            <v>34000000</v>
          </cell>
          <cell r="C5912">
            <v>34000000</v>
          </cell>
          <cell r="D5912">
            <v>34000000</v>
          </cell>
          <cell r="E5912">
            <v>34000000</v>
          </cell>
          <cell r="F5912">
            <v>34000000</v>
          </cell>
          <cell r="G5912">
            <v>34000000</v>
          </cell>
          <cell r="H5912">
            <v>34000000</v>
          </cell>
          <cell r="I5912" t="str">
            <v/>
          </cell>
          <cell r="J5912" t="str">
            <v/>
          </cell>
          <cell r="K5912" t="str">
            <v/>
          </cell>
          <cell r="L5912" t="str">
            <v/>
          </cell>
        </row>
        <row r="5913">
          <cell r="A5913">
            <v>34000000</v>
          </cell>
          <cell r="C5913">
            <v>34000000</v>
          </cell>
          <cell r="D5913">
            <v>34000000</v>
          </cell>
          <cell r="E5913">
            <v>34000000</v>
          </cell>
          <cell r="F5913">
            <v>34000000</v>
          </cell>
          <cell r="G5913">
            <v>34000000</v>
          </cell>
          <cell r="H5913">
            <v>34000000</v>
          </cell>
          <cell r="I5913" t="str">
            <v/>
          </cell>
          <cell r="J5913" t="str">
            <v/>
          </cell>
          <cell r="K5913" t="str">
            <v/>
          </cell>
          <cell r="L5913" t="str">
            <v/>
          </cell>
        </row>
        <row r="5914">
          <cell r="A5914">
            <v>34000000</v>
          </cell>
          <cell r="C5914">
            <v>34000000</v>
          </cell>
          <cell r="D5914">
            <v>34000000</v>
          </cell>
          <cell r="E5914">
            <v>34000000</v>
          </cell>
          <cell r="F5914">
            <v>34000000</v>
          </cell>
          <cell r="G5914">
            <v>34000000</v>
          </cell>
          <cell r="H5914">
            <v>34000000</v>
          </cell>
          <cell r="I5914" t="str">
            <v/>
          </cell>
          <cell r="J5914" t="str">
            <v/>
          </cell>
          <cell r="K5914" t="str">
            <v/>
          </cell>
          <cell r="L5914" t="str">
            <v/>
          </cell>
        </row>
        <row r="5915">
          <cell r="A5915">
            <v>34000000</v>
          </cell>
          <cell r="C5915">
            <v>34000000</v>
          </cell>
          <cell r="D5915">
            <v>34000000</v>
          </cell>
          <cell r="E5915">
            <v>34000000</v>
          </cell>
          <cell r="F5915">
            <v>34000000</v>
          </cell>
          <cell r="G5915">
            <v>34000000</v>
          </cell>
          <cell r="H5915">
            <v>34000000</v>
          </cell>
          <cell r="I5915" t="str">
            <v/>
          </cell>
          <cell r="J5915" t="str">
            <v/>
          </cell>
          <cell r="K5915" t="str">
            <v/>
          </cell>
          <cell r="L5915" t="str">
            <v/>
          </cell>
        </row>
        <row r="5916">
          <cell r="A5916">
            <v>34000000</v>
          </cell>
          <cell r="C5916">
            <v>34000000</v>
          </cell>
          <cell r="D5916">
            <v>34000000</v>
          </cell>
          <cell r="E5916">
            <v>34000000</v>
          </cell>
          <cell r="F5916">
            <v>34000000</v>
          </cell>
          <cell r="G5916">
            <v>34000000</v>
          </cell>
          <cell r="H5916">
            <v>34000000</v>
          </cell>
          <cell r="I5916" t="str">
            <v/>
          </cell>
          <cell r="J5916" t="str">
            <v/>
          </cell>
          <cell r="K5916" t="str">
            <v/>
          </cell>
          <cell r="L5916" t="str">
            <v/>
          </cell>
        </row>
        <row r="5917">
          <cell r="A5917">
            <v>34000000</v>
          </cell>
          <cell r="C5917">
            <v>34000000</v>
          </cell>
          <cell r="D5917">
            <v>34000000</v>
          </cell>
          <cell r="E5917">
            <v>34000000</v>
          </cell>
          <cell r="F5917">
            <v>34000000</v>
          </cell>
          <cell r="G5917">
            <v>34000000</v>
          </cell>
          <cell r="H5917">
            <v>34000000</v>
          </cell>
          <cell r="I5917" t="str">
            <v/>
          </cell>
          <cell r="J5917" t="str">
            <v/>
          </cell>
          <cell r="K5917" t="str">
            <v/>
          </cell>
          <cell r="L5917" t="str">
            <v/>
          </cell>
        </row>
        <row r="5918">
          <cell r="A5918">
            <v>34000000</v>
          </cell>
          <cell r="C5918">
            <v>34000000</v>
          </cell>
          <cell r="D5918">
            <v>34000000</v>
          </cell>
          <cell r="E5918">
            <v>34000000</v>
          </cell>
          <cell r="F5918">
            <v>34000000</v>
          </cell>
          <cell r="G5918">
            <v>34000000</v>
          </cell>
          <cell r="H5918">
            <v>34000000</v>
          </cell>
          <cell r="I5918" t="str">
            <v/>
          </cell>
          <cell r="J5918" t="str">
            <v/>
          </cell>
          <cell r="K5918" t="str">
            <v/>
          </cell>
          <cell r="L5918" t="str">
            <v/>
          </cell>
        </row>
        <row r="5919">
          <cell r="A5919">
            <v>34000000</v>
          </cell>
          <cell r="C5919">
            <v>34000000</v>
          </cell>
          <cell r="D5919">
            <v>34000000</v>
          </cell>
          <cell r="E5919">
            <v>34000000</v>
          </cell>
          <cell r="F5919">
            <v>34000000</v>
          </cell>
          <cell r="G5919">
            <v>34000000</v>
          </cell>
          <cell r="H5919">
            <v>34000000</v>
          </cell>
          <cell r="I5919" t="str">
            <v/>
          </cell>
          <cell r="J5919" t="str">
            <v/>
          </cell>
          <cell r="K5919" t="str">
            <v/>
          </cell>
          <cell r="L5919" t="str">
            <v/>
          </cell>
        </row>
        <row r="5920">
          <cell r="A5920">
            <v>34000000</v>
          </cell>
          <cell r="C5920">
            <v>34000000</v>
          </cell>
          <cell r="D5920">
            <v>34000000</v>
          </cell>
          <cell r="E5920">
            <v>34000000</v>
          </cell>
          <cell r="F5920">
            <v>34000000</v>
          </cell>
          <cell r="G5920">
            <v>34000000</v>
          </cell>
          <cell r="H5920">
            <v>34000000</v>
          </cell>
          <cell r="I5920" t="str">
            <v/>
          </cell>
          <cell r="J5920" t="str">
            <v/>
          </cell>
          <cell r="K5920" t="str">
            <v/>
          </cell>
          <cell r="L5920" t="str">
            <v/>
          </cell>
        </row>
        <row r="5921">
          <cell r="A5921">
            <v>34000000</v>
          </cell>
          <cell r="C5921">
            <v>34000000</v>
          </cell>
          <cell r="D5921">
            <v>34000000</v>
          </cell>
          <cell r="E5921">
            <v>34000000</v>
          </cell>
          <cell r="F5921">
            <v>34000000</v>
          </cell>
          <cell r="G5921">
            <v>34000000</v>
          </cell>
          <cell r="H5921">
            <v>34000000</v>
          </cell>
          <cell r="I5921" t="str">
            <v/>
          </cell>
          <cell r="J5921" t="str">
            <v/>
          </cell>
          <cell r="K5921" t="str">
            <v/>
          </cell>
          <cell r="L5921" t="str">
            <v/>
          </cell>
        </row>
        <row r="5922">
          <cell r="A5922">
            <v>34000000</v>
          </cell>
          <cell r="C5922">
            <v>34000000</v>
          </cell>
          <cell r="D5922">
            <v>34000000</v>
          </cell>
          <cell r="E5922">
            <v>34000000</v>
          </cell>
          <cell r="F5922">
            <v>34000000</v>
          </cell>
          <cell r="G5922">
            <v>34000000</v>
          </cell>
          <cell r="H5922">
            <v>34000000</v>
          </cell>
          <cell r="I5922" t="str">
            <v/>
          </cell>
          <cell r="J5922" t="str">
            <v/>
          </cell>
          <cell r="K5922" t="str">
            <v/>
          </cell>
          <cell r="L5922" t="str">
            <v/>
          </cell>
        </row>
        <row r="5923">
          <cell r="A5923">
            <v>34000000</v>
          </cell>
          <cell r="C5923">
            <v>34000000</v>
          </cell>
          <cell r="D5923">
            <v>34000000</v>
          </cell>
          <cell r="E5923">
            <v>34000000</v>
          </cell>
          <cell r="F5923">
            <v>34000000</v>
          </cell>
          <cell r="G5923">
            <v>34000000</v>
          </cell>
          <cell r="H5923">
            <v>34000000</v>
          </cell>
          <cell r="I5923" t="str">
            <v/>
          </cell>
          <cell r="J5923" t="str">
            <v/>
          </cell>
          <cell r="K5923" t="str">
            <v/>
          </cell>
          <cell r="L5923" t="str">
            <v/>
          </cell>
        </row>
        <row r="5924">
          <cell r="A5924">
            <v>34000000</v>
          </cell>
          <cell r="C5924">
            <v>34000000</v>
          </cell>
          <cell r="D5924">
            <v>34000000</v>
          </cell>
          <cell r="E5924">
            <v>34000000</v>
          </cell>
          <cell r="F5924">
            <v>34000000</v>
          </cell>
          <cell r="G5924">
            <v>34000000</v>
          </cell>
          <cell r="H5924">
            <v>34000000</v>
          </cell>
          <cell r="I5924" t="str">
            <v/>
          </cell>
          <cell r="J5924" t="str">
            <v/>
          </cell>
          <cell r="K5924" t="str">
            <v/>
          </cell>
          <cell r="L5924" t="str">
            <v/>
          </cell>
        </row>
        <row r="5925">
          <cell r="A5925">
            <v>34000000</v>
          </cell>
          <cell r="C5925">
            <v>34000000</v>
          </cell>
          <cell r="D5925">
            <v>34000000</v>
          </cell>
          <cell r="E5925">
            <v>34000000</v>
          </cell>
          <cell r="F5925">
            <v>34000000</v>
          </cell>
          <cell r="G5925">
            <v>34000000</v>
          </cell>
          <cell r="H5925">
            <v>34000000</v>
          </cell>
          <cell r="I5925" t="str">
            <v/>
          </cell>
          <cell r="J5925" t="str">
            <v/>
          </cell>
          <cell r="K5925" t="str">
            <v/>
          </cell>
          <cell r="L5925" t="str">
            <v/>
          </cell>
        </row>
        <row r="5926">
          <cell r="A5926">
            <v>34000000</v>
          </cell>
          <cell r="C5926">
            <v>34000000</v>
          </cell>
          <cell r="D5926">
            <v>34000000</v>
          </cell>
          <cell r="E5926">
            <v>34000000</v>
          </cell>
          <cell r="F5926">
            <v>34000000</v>
          </cell>
          <cell r="G5926">
            <v>34000000</v>
          </cell>
          <cell r="H5926">
            <v>34000000</v>
          </cell>
          <cell r="I5926" t="str">
            <v/>
          </cell>
          <cell r="J5926" t="str">
            <v/>
          </cell>
          <cell r="K5926" t="str">
            <v/>
          </cell>
          <cell r="L5926" t="str">
            <v/>
          </cell>
        </row>
        <row r="5927">
          <cell r="A5927">
            <v>34000000</v>
          </cell>
          <cell r="C5927">
            <v>34000000</v>
          </cell>
          <cell r="D5927">
            <v>34000000</v>
          </cell>
          <cell r="E5927">
            <v>34000000</v>
          </cell>
          <cell r="F5927">
            <v>34000000</v>
          </cell>
          <cell r="G5927">
            <v>34000000</v>
          </cell>
          <cell r="H5927">
            <v>34000000</v>
          </cell>
          <cell r="I5927" t="str">
            <v/>
          </cell>
          <cell r="J5927" t="str">
            <v/>
          </cell>
          <cell r="K5927" t="str">
            <v/>
          </cell>
          <cell r="L5927" t="str">
            <v/>
          </cell>
        </row>
        <row r="5928">
          <cell r="A5928">
            <v>34000000</v>
          </cell>
          <cell r="C5928">
            <v>34000000</v>
          </cell>
          <cell r="D5928">
            <v>34000000</v>
          </cell>
          <cell r="E5928">
            <v>34000000</v>
          </cell>
          <cell r="F5928">
            <v>34000000</v>
          </cell>
          <cell r="G5928">
            <v>34000000</v>
          </cell>
          <cell r="H5928">
            <v>34000000</v>
          </cell>
          <cell r="I5928" t="str">
            <v/>
          </cell>
          <cell r="J5928" t="str">
            <v/>
          </cell>
          <cell r="K5928" t="str">
            <v/>
          </cell>
          <cell r="L5928" t="str">
            <v/>
          </cell>
        </row>
        <row r="5929">
          <cell r="A5929">
            <v>34000000</v>
          </cell>
          <cell r="C5929">
            <v>34000000</v>
          </cell>
          <cell r="D5929">
            <v>34000000</v>
          </cell>
          <cell r="E5929">
            <v>34000000</v>
          </cell>
          <cell r="F5929">
            <v>34000000</v>
          </cell>
          <cell r="G5929">
            <v>34000000</v>
          </cell>
          <cell r="H5929">
            <v>34000000</v>
          </cell>
          <cell r="I5929" t="str">
            <v/>
          </cell>
          <cell r="J5929" t="str">
            <v/>
          </cell>
          <cell r="K5929" t="str">
            <v/>
          </cell>
          <cell r="L5929" t="str">
            <v/>
          </cell>
        </row>
        <row r="5930">
          <cell r="A5930">
            <v>34000000</v>
          </cell>
          <cell r="C5930">
            <v>34000000</v>
          </cell>
          <cell r="D5930">
            <v>34000000</v>
          </cell>
          <cell r="E5930">
            <v>34000000</v>
          </cell>
          <cell r="F5930">
            <v>34000000</v>
          </cell>
          <cell r="G5930">
            <v>34000000</v>
          </cell>
          <cell r="H5930">
            <v>34000000</v>
          </cell>
          <cell r="I5930" t="str">
            <v/>
          </cell>
          <cell r="J5930" t="str">
            <v/>
          </cell>
          <cell r="K5930" t="str">
            <v/>
          </cell>
          <cell r="L5930" t="str">
            <v/>
          </cell>
        </row>
        <row r="5931">
          <cell r="A5931">
            <v>34000000</v>
          </cell>
          <cell r="C5931">
            <v>34000000</v>
          </cell>
          <cell r="D5931">
            <v>34000000</v>
          </cell>
          <cell r="E5931">
            <v>34000000</v>
          </cell>
          <cell r="F5931">
            <v>34000000</v>
          </cell>
          <cell r="G5931">
            <v>34000000</v>
          </cell>
          <cell r="H5931">
            <v>34000000</v>
          </cell>
          <cell r="I5931" t="str">
            <v/>
          </cell>
          <cell r="J5931" t="str">
            <v/>
          </cell>
          <cell r="K5931" t="str">
            <v/>
          </cell>
          <cell r="L5931" t="str">
            <v/>
          </cell>
        </row>
        <row r="5932">
          <cell r="A5932">
            <v>34000000</v>
          </cell>
          <cell r="C5932">
            <v>34000000</v>
          </cell>
          <cell r="D5932">
            <v>34000000</v>
          </cell>
          <cell r="E5932">
            <v>34000000</v>
          </cell>
          <cell r="F5932">
            <v>34000000</v>
          </cell>
          <cell r="G5932">
            <v>34000000</v>
          </cell>
          <cell r="H5932">
            <v>34000000</v>
          </cell>
          <cell r="I5932" t="str">
            <v/>
          </cell>
          <cell r="J5932" t="str">
            <v/>
          </cell>
          <cell r="K5932" t="str">
            <v/>
          </cell>
          <cell r="L5932" t="str">
            <v/>
          </cell>
        </row>
        <row r="5933">
          <cell r="A5933">
            <v>34000000</v>
          </cell>
          <cell r="C5933">
            <v>34000000</v>
          </cell>
          <cell r="D5933">
            <v>34000000</v>
          </cell>
          <cell r="E5933">
            <v>34000000</v>
          </cell>
          <cell r="F5933">
            <v>34000000</v>
          </cell>
          <cell r="G5933">
            <v>34000000</v>
          </cell>
          <cell r="H5933">
            <v>34000000</v>
          </cell>
          <cell r="I5933" t="str">
            <v/>
          </cell>
          <cell r="J5933" t="str">
            <v/>
          </cell>
          <cell r="K5933" t="str">
            <v/>
          </cell>
          <cell r="L5933" t="str">
            <v/>
          </cell>
        </row>
        <row r="5934">
          <cell r="A5934">
            <v>34000000</v>
          </cell>
          <cell r="C5934">
            <v>34000000</v>
          </cell>
          <cell r="D5934">
            <v>34000000</v>
          </cell>
          <cell r="E5934">
            <v>34000000</v>
          </cell>
          <cell r="F5934">
            <v>34000000</v>
          </cell>
          <cell r="G5934">
            <v>34000000</v>
          </cell>
          <cell r="H5934">
            <v>34000000</v>
          </cell>
          <cell r="I5934" t="str">
            <v/>
          </cell>
          <cell r="J5934" t="str">
            <v/>
          </cell>
          <cell r="K5934" t="str">
            <v/>
          </cell>
          <cell r="L5934" t="str">
            <v/>
          </cell>
        </row>
        <row r="5935">
          <cell r="A5935">
            <v>34000000</v>
          </cell>
          <cell r="C5935">
            <v>34000000</v>
          </cell>
          <cell r="D5935">
            <v>34000000</v>
          </cell>
          <cell r="E5935">
            <v>34000000</v>
          </cell>
          <cell r="F5935">
            <v>34000000</v>
          </cell>
          <cell r="G5935">
            <v>34000000</v>
          </cell>
          <cell r="H5935">
            <v>34000000</v>
          </cell>
          <cell r="I5935" t="str">
            <v/>
          </cell>
          <cell r="J5935" t="str">
            <v/>
          </cell>
          <cell r="K5935" t="str">
            <v/>
          </cell>
          <cell r="L5935" t="str">
            <v/>
          </cell>
        </row>
        <row r="5936">
          <cell r="A5936">
            <v>34000000</v>
          </cell>
          <cell r="C5936">
            <v>34000000</v>
          </cell>
          <cell r="D5936">
            <v>34000000</v>
          </cell>
          <cell r="E5936">
            <v>34000000</v>
          </cell>
          <cell r="F5936">
            <v>34000000</v>
          </cell>
          <cell r="G5936">
            <v>34000000</v>
          </cell>
          <cell r="H5936">
            <v>34000000</v>
          </cell>
          <cell r="I5936" t="str">
            <v/>
          </cell>
          <cell r="J5936" t="str">
            <v/>
          </cell>
          <cell r="K5936" t="str">
            <v/>
          </cell>
          <cell r="L5936" t="str">
            <v/>
          </cell>
        </row>
        <row r="5937">
          <cell r="A5937">
            <v>34000000</v>
          </cell>
          <cell r="C5937">
            <v>34000000</v>
          </cell>
          <cell r="D5937">
            <v>34000000</v>
          </cell>
          <cell r="E5937">
            <v>34000000</v>
          </cell>
          <cell r="F5937">
            <v>34000000</v>
          </cell>
          <cell r="G5937">
            <v>34000000</v>
          </cell>
          <cell r="H5937">
            <v>34000000</v>
          </cell>
          <cell r="I5937" t="str">
            <v/>
          </cell>
          <cell r="J5937" t="str">
            <v/>
          </cell>
          <cell r="K5937" t="str">
            <v/>
          </cell>
          <cell r="L5937" t="str">
            <v/>
          </cell>
        </row>
        <row r="5938">
          <cell r="A5938">
            <v>34000000</v>
          </cell>
          <cell r="C5938">
            <v>34000000</v>
          </cell>
          <cell r="D5938">
            <v>34000000</v>
          </cell>
          <cell r="E5938">
            <v>34000000</v>
          </cell>
          <cell r="F5938">
            <v>34000000</v>
          </cell>
          <cell r="G5938">
            <v>34000000</v>
          </cell>
          <cell r="H5938">
            <v>34000000</v>
          </cell>
          <cell r="I5938" t="str">
            <v/>
          </cell>
          <cell r="J5938" t="str">
            <v/>
          </cell>
          <cell r="K5938" t="str">
            <v/>
          </cell>
          <cell r="L5938" t="str">
            <v/>
          </cell>
        </row>
        <row r="5939">
          <cell r="A5939">
            <v>34000000</v>
          </cell>
          <cell r="C5939">
            <v>34000000</v>
          </cell>
          <cell r="D5939">
            <v>34000000</v>
          </cell>
          <cell r="E5939">
            <v>34000000</v>
          </cell>
          <cell r="F5939">
            <v>34000000</v>
          </cell>
          <cell r="G5939">
            <v>34000000</v>
          </cell>
          <cell r="H5939">
            <v>34000000</v>
          </cell>
          <cell r="I5939" t="str">
            <v/>
          </cell>
          <cell r="J5939" t="str">
            <v/>
          </cell>
          <cell r="K5939" t="str">
            <v/>
          </cell>
          <cell r="L5939" t="str">
            <v/>
          </cell>
        </row>
        <row r="5940">
          <cell r="A5940">
            <v>34000000</v>
          </cell>
          <cell r="C5940">
            <v>34000000</v>
          </cell>
          <cell r="D5940">
            <v>34000000</v>
          </cell>
          <cell r="E5940">
            <v>34000000</v>
          </cell>
          <cell r="F5940">
            <v>34000000</v>
          </cell>
          <cell r="G5940">
            <v>34000000</v>
          </cell>
          <cell r="H5940">
            <v>34000000</v>
          </cell>
          <cell r="I5940" t="str">
            <v/>
          </cell>
          <cell r="J5940" t="str">
            <v/>
          </cell>
          <cell r="K5940" t="str">
            <v/>
          </cell>
          <cell r="L5940" t="str">
            <v/>
          </cell>
        </row>
        <row r="5941">
          <cell r="A5941">
            <v>34000000</v>
          </cell>
          <cell r="C5941">
            <v>34000000</v>
          </cell>
          <cell r="D5941">
            <v>34000000</v>
          </cell>
          <cell r="E5941">
            <v>34000000</v>
          </cell>
          <cell r="F5941">
            <v>34000000</v>
          </cell>
          <cell r="G5941">
            <v>34000000</v>
          </cell>
          <cell r="H5941">
            <v>34000000</v>
          </cell>
          <cell r="I5941" t="str">
            <v/>
          </cell>
          <cell r="J5941" t="str">
            <v/>
          </cell>
          <cell r="K5941" t="str">
            <v/>
          </cell>
          <cell r="L5941" t="str">
            <v/>
          </cell>
        </row>
        <row r="5942">
          <cell r="A5942">
            <v>34000000</v>
          </cell>
          <cell r="C5942">
            <v>34000000</v>
          </cell>
          <cell r="D5942">
            <v>34000000</v>
          </cell>
          <cell r="E5942">
            <v>34000000</v>
          </cell>
          <cell r="F5942">
            <v>34000000</v>
          </cell>
          <cell r="G5942">
            <v>34000000</v>
          </cell>
          <cell r="H5942">
            <v>34000000</v>
          </cell>
          <cell r="I5942" t="str">
            <v/>
          </cell>
          <cell r="J5942" t="str">
            <v/>
          </cell>
          <cell r="K5942" t="str">
            <v/>
          </cell>
          <cell r="L5942" t="str">
            <v/>
          </cell>
        </row>
        <row r="5943">
          <cell r="A5943">
            <v>34000000</v>
          </cell>
          <cell r="C5943">
            <v>34000000</v>
          </cell>
          <cell r="D5943">
            <v>34000000</v>
          </cell>
          <cell r="E5943">
            <v>34000000</v>
          </cell>
          <cell r="F5943">
            <v>34000000</v>
          </cell>
          <cell r="G5943">
            <v>34000000</v>
          </cell>
          <cell r="H5943">
            <v>34000000</v>
          </cell>
          <cell r="I5943" t="str">
            <v/>
          </cell>
          <cell r="J5943" t="str">
            <v/>
          </cell>
          <cell r="K5943" t="str">
            <v/>
          </cell>
          <cell r="L5943" t="str">
            <v/>
          </cell>
        </row>
        <row r="5944">
          <cell r="A5944">
            <v>34000000</v>
          </cell>
          <cell r="C5944">
            <v>34000000</v>
          </cell>
          <cell r="D5944">
            <v>34000000</v>
          </cell>
          <cell r="E5944">
            <v>34000000</v>
          </cell>
          <cell r="F5944">
            <v>34000000</v>
          </cell>
          <cell r="G5944">
            <v>34000000</v>
          </cell>
          <cell r="H5944">
            <v>34000000</v>
          </cell>
          <cell r="I5944" t="str">
            <v/>
          </cell>
          <cell r="J5944" t="str">
            <v/>
          </cell>
          <cell r="K5944" t="str">
            <v/>
          </cell>
          <cell r="L5944" t="str">
            <v/>
          </cell>
        </row>
        <row r="5945">
          <cell r="A5945">
            <v>34000000</v>
          </cell>
          <cell r="C5945">
            <v>34000000</v>
          </cell>
          <cell r="D5945">
            <v>34000000</v>
          </cell>
          <cell r="E5945">
            <v>34000000</v>
          </cell>
          <cell r="F5945">
            <v>34000000</v>
          </cell>
          <cell r="G5945">
            <v>34000000</v>
          </cell>
          <cell r="H5945">
            <v>34000000</v>
          </cell>
          <cell r="I5945" t="str">
            <v/>
          </cell>
          <cell r="J5945" t="str">
            <v/>
          </cell>
          <cell r="K5945" t="str">
            <v/>
          </cell>
          <cell r="L5945" t="str">
            <v/>
          </cell>
        </row>
        <row r="5946">
          <cell r="A5946">
            <v>34000000</v>
          </cell>
          <cell r="C5946">
            <v>34000000</v>
          </cell>
          <cell r="D5946">
            <v>34000000</v>
          </cell>
          <cell r="E5946">
            <v>34000000</v>
          </cell>
          <cell r="F5946">
            <v>34000000</v>
          </cell>
          <cell r="G5946">
            <v>34000000</v>
          </cell>
          <cell r="H5946">
            <v>34000000</v>
          </cell>
          <cell r="I5946" t="str">
            <v/>
          </cell>
          <cell r="J5946" t="str">
            <v/>
          </cell>
          <cell r="K5946" t="str">
            <v/>
          </cell>
          <cell r="L5946" t="str">
            <v/>
          </cell>
        </row>
        <row r="5947">
          <cell r="A5947">
            <v>34000000</v>
          </cell>
          <cell r="C5947">
            <v>34000000</v>
          </cell>
          <cell r="D5947">
            <v>34000000</v>
          </cell>
          <cell r="E5947">
            <v>34000000</v>
          </cell>
          <cell r="F5947">
            <v>34000000</v>
          </cell>
          <cell r="G5947">
            <v>34000000</v>
          </cell>
          <cell r="H5947">
            <v>34000000</v>
          </cell>
          <cell r="I5947" t="str">
            <v/>
          </cell>
          <cell r="J5947" t="str">
            <v/>
          </cell>
          <cell r="K5947" t="str">
            <v/>
          </cell>
          <cell r="L5947" t="str">
            <v/>
          </cell>
        </row>
        <row r="5948">
          <cell r="A5948">
            <v>34000000</v>
          </cell>
          <cell r="C5948">
            <v>34000000</v>
          </cell>
          <cell r="D5948">
            <v>34000000</v>
          </cell>
          <cell r="E5948">
            <v>34000000</v>
          </cell>
          <cell r="F5948">
            <v>34000000</v>
          </cell>
          <cell r="G5948">
            <v>34000000</v>
          </cell>
          <cell r="H5948">
            <v>34000000</v>
          </cell>
          <cell r="I5948" t="str">
            <v/>
          </cell>
          <cell r="J5948" t="str">
            <v/>
          </cell>
          <cell r="K5948" t="str">
            <v/>
          </cell>
          <cell r="L5948" t="str">
            <v/>
          </cell>
        </row>
        <row r="5949">
          <cell r="A5949">
            <v>34000000</v>
          </cell>
          <cell r="C5949">
            <v>34000000</v>
          </cell>
          <cell r="D5949">
            <v>34000000</v>
          </cell>
          <cell r="E5949">
            <v>34000000</v>
          </cell>
          <cell r="F5949">
            <v>34000000</v>
          </cell>
          <cell r="G5949">
            <v>34000000</v>
          </cell>
          <cell r="H5949">
            <v>34000000</v>
          </cell>
          <cell r="I5949" t="str">
            <v/>
          </cell>
          <cell r="J5949" t="str">
            <v/>
          </cell>
          <cell r="K5949" t="str">
            <v/>
          </cell>
          <cell r="L5949" t="str">
            <v/>
          </cell>
        </row>
        <row r="5950">
          <cell r="A5950">
            <v>34000000</v>
          </cell>
          <cell r="C5950">
            <v>34000000</v>
          </cell>
          <cell r="D5950">
            <v>34000000</v>
          </cell>
          <cell r="E5950">
            <v>34000000</v>
          </cell>
          <cell r="F5950">
            <v>34000000</v>
          </cell>
          <cell r="G5950">
            <v>34000000</v>
          </cell>
          <cell r="H5950">
            <v>34000000</v>
          </cell>
          <cell r="I5950" t="str">
            <v/>
          </cell>
          <cell r="J5950" t="str">
            <v/>
          </cell>
          <cell r="K5950" t="str">
            <v/>
          </cell>
          <cell r="L5950" t="str">
            <v/>
          </cell>
        </row>
        <row r="5951">
          <cell r="A5951">
            <v>34000000</v>
          </cell>
          <cell r="C5951">
            <v>34000000</v>
          </cell>
          <cell r="D5951">
            <v>34000000</v>
          </cell>
          <cell r="E5951">
            <v>34000000</v>
          </cell>
          <cell r="F5951">
            <v>34000000</v>
          </cell>
          <cell r="G5951">
            <v>34000000</v>
          </cell>
          <cell r="H5951">
            <v>34000000</v>
          </cell>
          <cell r="I5951" t="str">
            <v/>
          </cell>
          <cell r="J5951" t="str">
            <v/>
          </cell>
          <cell r="K5951" t="str">
            <v/>
          </cell>
          <cell r="L5951" t="str">
            <v/>
          </cell>
        </row>
        <row r="5952">
          <cell r="A5952">
            <v>34000000</v>
          </cell>
          <cell r="C5952">
            <v>34000000</v>
          </cell>
          <cell r="D5952">
            <v>34000000</v>
          </cell>
          <cell r="E5952">
            <v>34000000</v>
          </cell>
          <cell r="F5952">
            <v>34000000</v>
          </cell>
          <cell r="G5952">
            <v>34000000</v>
          </cell>
          <cell r="H5952">
            <v>34000000</v>
          </cell>
          <cell r="I5952" t="str">
            <v/>
          </cell>
          <cell r="J5952" t="str">
            <v/>
          </cell>
          <cell r="K5952" t="str">
            <v/>
          </cell>
          <cell r="L5952" t="str">
            <v/>
          </cell>
        </row>
        <row r="5953">
          <cell r="A5953">
            <v>34000000</v>
          </cell>
          <cell r="C5953">
            <v>34000000</v>
          </cell>
          <cell r="D5953">
            <v>34000000</v>
          </cell>
          <cell r="E5953">
            <v>34000000</v>
          </cell>
          <cell r="F5953">
            <v>34000000</v>
          </cell>
          <cell r="G5953">
            <v>34000000</v>
          </cell>
          <cell r="H5953">
            <v>34000000</v>
          </cell>
          <cell r="I5953" t="str">
            <v/>
          </cell>
          <cell r="J5953" t="str">
            <v/>
          </cell>
          <cell r="K5953" t="str">
            <v/>
          </cell>
          <cell r="L5953" t="str">
            <v/>
          </cell>
        </row>
        <row r="5954">
          <cell r="A5954">
            <v>34000000</v>
          </cell>
          <cell r="C5954">
            <v>34000000</v>
          </cell>
          <cell r="D5954">
            <v>34000000</v>
          </cell>
          <cell r="E5954">
            <v>34000000</v>
          </cell>
          <cell r="F5954">
            <v>34000000</v>
          </cell>
          <cell r="G5954">
            <v>34000000</v>
          </cell>
          <cell r="H5954">
            <v>34000000</v>
          </cell>
          <cell r="I5954" t="str">
            <v/>
          </cell>
          <cell r="J5954" t="str">
            <v/>
          </cell>
          <cell r="K5954" t="str">
            <v/>
          </cell>
          <cell r="L5954" t="str">
            <v/>
          </cell>
        </row>
        <row r="5955">
          <cell r="A5955">
            <v>34000000</v>
          </cell>
          <cell r="C5955">
            <v>34000000</v>
          </cell>
          <cell r="D5955">
            <v>34000000</v>
          </cell>
          <cell r="E5955">
            <v>34000000</v>
          </cell>
          <cell r="F5955">
            <v>34000000</v>
          </cell>
          <cell r="G5955">
            <v>34000000</v>
          </cell>
          <cell r="H5955">
            <v>34000000</v>
          </cell>
          <cell r="I5955" t="str">
            <v/>
          </cell>
          <cell r="J5955" t="str">
            <v/>
          </cell>
          <cell r="K5955" t="str">
            <v/>
          </cell>
          <cell r="L5955" t="str">
            <v/>
          </cell>
        </row>
        <row r="5956">
          <cell r="A5956">
            <v>34000000</v>
          </cell>
          <cell r="C5956">
            <v>34000000</v>
          </cell>
          <cell r="D5956">
            <v>34000000</v>
          </cell>
          <cell r="E5956">
            <v>34000000</v>
          </cell>
          <cell r="F5956">
            <v>34000000</v>
          </cell>
          <cell r="G5956">
            <v>34000000</v>
          </cell>
          <cell r="H5956">
            <v>34000000</v>
          </cell>
          <cell r="I5956" t="str">
            <v/>
          </cell>
          <cell r="J5956" t="str">
            <v/>
          </cell>
          <cell r="K5956" t="str">
            <v/>
          </cell>
          <cell r="L5956" t="str">
            <v/>
          </cell>
        </row>
        <row r="5957">
          <cell r="A5957">
            <v>34000000</v>
          </cell>
          <cell r="C5957">
            <v>34000000</v>
          </cell>
          <cell r="D5957">
            <v>34000000</v>
          </cell>
          <cell r="E5957">
            <v>34000000</v>
          </cell>
          <cell r="F5957">
            <v>34000000</v>
          </cell>
          <cell r="G5957">
            <v>34000000</v>
          </cell>
          <cell r="H5957">
            <v>34000000</v>
          </cell>
          <cell r="I5957" t="str">
            <v/>
          </cell>
          <cell r="J5957" t="str">
            <v/>
          </cell>
          <cell r="K5957" t="str">
            <v/>
          </cell>
          <cell r="L5957" t="str">
            <v/>
          </cell>
        </row>
        <row r="5958">
          <cell r="A5958">
            <v>34000000</v>
          </cell>
          <cell r="C5958">
            <v>34000000</v>
          </cell>
          <cell r="D5958">
            <v>34000000</v>
          </cell>
          <cell r="E5958">
            <v>34000000</v>
          </cell>
          <cell r="F5958">
            <v>34000000</v>
          </cell>
          <cell r="G5958">
            <v>34000000</v>
          </cell>
          <cell r="H5958">
            <v>34000000</v>
          </cell>
          <cell r="I5958" t="str">
            <v/>
          </cell>
          <cell r="J5958" t="str">
            <v/>
          </cell>
          <cell r="K5958" t="str">
            <v/>
          </cell>
          <cell r="L5958" t="str">
            <v/>
          </cell>
        </row>
        <row r="5959">
          <cell r="A5959">
            <v>34000000</v>
          </cell>
          <cell r="C5959">
            <v>34000000</v>
          </cell>
          <cell r="D5959">
            <v>34000000</v>
          </cell>
          <cell r="E5959">
            <v>34000000</v>
          </cell>
          <cell r="F5959">
            <v>34000000</v>
          </cell>
          <cell r="G5959">
            <v>34000000</v>
          </cell>
          <cell r="H5959">
            <v>34000000</v>
          </cell>
          <cell r="I5959" t="str">
            <v/>
          </cell>
          <cell r="J5959" t="str">
            <v/>
          </cell>
          <cell r="K5959" t="str">
            <v/>
          </cell>
          <cell r="L5959" t="str">
            <v/>
          </cell>
        </row>
        <row r="5960">
          <cell r="A5960">
            <v>34000000</v>
          </cell>
          <cell r="C5960">
            <v>34000000</v>
          </cell>
          <cell r="D5960">
            <v>34000000</v>
          </cell>
          <cell r="E5960">
            <v>34000000</v>
          </cell>
          <cell r="F5960">
            <v>34000000</v>
          </cell>
          <cell r="G5960">
            <v>34000000</v>
          </cell>
          <cell r="H5960">
            <v>34000000</v>
          </cell>
          <cell r="I5960" t="str">
            <v/>
          </cell>
          <cell r="J5960" t="str">
            <v/>
          </cell>
          <cell r="K5960" t="str">
            <v/>
          </cell>
          <cell r="L5960" t="str">
            <v/>
          </cell>
        </row>
        <row r="5961">
          <cell r="A5961">
            <v>34000000</v>
          </cell>
          <cell r="C5961">
            <v>34000000</v>
          </cell>
          <cell r="D5961">
            <v>34000000</v>
          </cell>
          <cell r="E5961">
            <v>34000000</v>
          </cell>
          <cell r="F5961">
            <v>34000000</v>
          </cell>
          <cell r="G5961">
            <v>34000000</v>
          </cell>
          <cell r="H5961">
            <v>34000000</v>
          </cell>
          <cell r="I5961" t="str">
            <v/>
          </cell>
          <cell r="J5961" t="str">
            <v/>
          </cell>
          <cell r="K5961" t="str">
            <v/>
          </cell>
          <cell r="L5961" t="str">
            <v/>
          </cell>
        </row>
        <row r="5962">
          <cell r="A5962">
            <v>34000000</v>
          </cell>
          <cell r="C5962">
            <v>34000000</v>
          </cell>
          <cell r="D5962">
            <v>34000000</v>
          </cell>
          <cell r="E5962">
            <v>34000000</v>
          </cell>
          <cell r="F5962">
            <v>34000000</v>
          </cell>
          <cell r="G5962">
            <v>34000000</v>
          </cell>
          <cell r="H5962">
            <v>34000000</v>
          </cell>
          <cell r="I5962" t="str">
            <v/>
          </cell>
          <cell r="J5962" t="str">
            <v/>
          </cell>
          <cell r="K5962" t="str">
            <v/>
          </cell>
          <cell r="L5962" t="str">
            <v/>
          </cell>
        </row>
        <row r="5963">
          <cell r="A5963">
            <v>34000000</v>
          </cell>
          <cell r="C5963">
            <v>34000000</v>
          </cell>
          <cell r="D5963">
            <v>34000000</v>
          </cell>
          <cell r="E5963">
            <v>34000000</v>
          </cell>
          <cell r="F5963">
            <v>34000000</v>
          </cell>
          <cell r="G5963">
            <v>34000000</v>
          </cell>
          <cell r="H5963">
            <v>34000000</v>
          </cell>
          <cell r="I5963" t="str">
            <v/>
          </cell>
          <cell r="J5963" t="str">
            <v/>
          </cell>
          <cell r="K5963" t="str">
            <v/>
          </cell>
          <cell r="L5963" t="str">
            <v/>
          </cell>
        </row>
        <row r="5964">
          <cell r="A5964">
            <v>34000000</v>
          </cell>
          <cell r="C5964">
            <v>34000000</v>
          </cell>
          <cell r="D5964">
            <v>34000000</v>
          </cell>
          <cell r="E5964">
            <v>34000000</v>
          </cell>
          <cell r="F5964">
            <v>34000000</v>
          </cell>
          <cell r="G5964">
            <v>34000000</v>
          </cell>
          <cell r="H5964">
            <v>34000000</v>
          </cell>
          <cell r="I5964" t="str">
            <v/>
          </cell>
          <cell r="J5964" t="str">
            <v/>
          </cell>
          <cell r="K5964" t="str">
            <v/>
          </cell>
          <cell r="L5964" t="str">
            <v/>
          </cell>
        </row>
        <row r="5965">
          <cell r="A5965">
            <v>34000000</v>
          </cell>
          <cell r="C5965">
            <v>34000000</v>
          </cell>
          <cell r="D5965">
            <v>34000000</v>
          </cell>
          <cell r="E5965">
            <v>34000000</v>
          </cell>
          <cell r="F5965">
            <v>34000000</v>
          </cell>
          <cell r="G5965">
            <v>34000000</v>
          </cell>
          <cell r="H5965">
            <v>34000000</v>
          </cell>
          <cell r="I5965" t="str">
            <v/>
          </cell>
          <cell r="J5965" t="str">
            <v/>
          </cell>
          <cell r="K5965" t="str">
            <v/>
          </cell>
          <cell r="L5965" t="str">
            <v/>
          </cell>
        </row>
        <row r="5966">
          <cell r="A5966">
            <v>34000000</v>
          </cell>
          <cell r="C5966">
            <v>34000000</v>
          </cell>
          <cell r="D5966">
            <v>34000000</v>
          </cell>
          <cell r="E5966">
            <v>34000000</v>
          </cell>
          <cell r="F5966">
            <v>34000000</v>
          </cell>
          <cell r="G5966">
            <v>34000000</v>
          </cell>
          <cell r="H5966">
            <v>34000000</v>
          </cell>
          <cell r="I5966" t="str">
            <v/>
          </cell>
          <cell r="J5966" t="str">
            <v/>
          </cell>
          <cell r="K5966" t="str">
            <v/>
          </cell>
          <cell r="L5966" t="str">
            <v/>
          </cell>
        </row>
        <row r="5967">
          <cell r="A5967">
            <v>34000000</v>
          </cell>
          <cell r="C5967">
            <v>34000000</v>
          </cell>
          <cell r="D5967">
            <v>34000000</v>
          </cell>
          <cell r="E5967">
            <v>34000000</v>
          </cell>
          <cell r="F5967">
            <v>34000000</v>
          </cell>
          <cell r="G5967">
            <v>34000000</v>
          </cell>
          <cell r="H5967">
            <v>34000000</v>
          </cell>
          <cell r="I5967" t="str">
            <v/>
          </cell>
          <cell r="J5967" t="str">
            <v/>
          </cell>
          <cell r="K5967" t="str">
            <v/>
          </cell>
          <cell r="L5967" t="str">
            <v/>
          </cell>
        </row>
        <row r="5968">
          <cell r="A5968">
            <v>34000000</v>
          </cell>
          <cell r="C5968">
            <v>34000000</v>
          </cell>
          <cell r="D5968">
            <v>34000000</v>
          </cell>
          <cell r="E5968">
            <v>34000000</v>
          </cell>
          <cell r="F5968">
            <v>34000000</v>
          </cell>
          <cell r="G5968">
            <v>34000000</v>
          </cell>
          <cell r="H5968">
            <v>34000000</v>
          </cell>
          <cell r="I5968" t="str">
            <v/>
          </cell>
          <cell r="J5968" t="str">
            <v/>
          </cell>
          <cell r="K5968" t="str">
            <v/>
          </cell>
          <cell r="L5968" t="str">
            <v/>
          </cell>
        </row>
        <row r="5969">
          <cell r="A5969">
            <v>34000000</v>
          </cell>
          <cell r="C5969">
            <v>34000000</v>
          </cell>
          <cell r="D5969">
            <v>34000000</v>
          </cell>
          <cell r="E5969">
            <v>34000000</v>
          </cell>
          <cell r="F5969">
            <v>34000000</v>
          </cell>
          <cell r="G5969">
            <v>34000000</v>
          </cell>
          <cell r="H5969">
            <v>34000000</v>
          </cell>
          <cell r="I5969" t="str">
            <v/>
          </cell>
          <cell r="J5969" t="str">
            <v/>
          </cell>
          <cell r="K5969" t="str">
            <v/>
          </cell>
          <cell r="L5969" t="str">
            <v/>
          </cell>
        </row>
        <row r="5970">
          <cell r="A5970">
            <v>34000000</v>
          </cell>
          <cell r="C5970">
            <v>34000000</v>
          </cell>
          <cell r="D5970">
            <v>34000000</v>
          </cell>
          <cell r="E5970">
            <v>34000000</v>
          </cell>
          <cell r="F5970">
            <v>34000000</v>
          </cell>
          <cell r="G5970">
            <v>34000000</v>
          </cell>
          <cell r="H5970">
            <v>34000000</v>
          </cell>
          <cell r="I5970" t="str">
            <v/>
          </cell>
          <cell r="J5970" t="str">
            <v/>
          </cell>
          <cell r="K5970" t="str">
            <v/>
          </cell>
          <cell r="L5970" t="str">
            <v/>
          </cell>
        </row>
        <row r="5971">
          <cell r="A5971">
            <v>34000000</v>
          </cell>
          <cell r="C5971">
            <v>34000000</v>
          </cell>
          <cell r="D5971">
            <v>34000000</v>
          </cell>
          <cell r="E5971">
            <v>34000000</v>
          </cell>
          <cell r="F5971">
            <v>34000000</v>
          </cell>
          <cell r="G5971">
            <v>34000000</v>
          </cell>
          <cell r="H5971">
            <v>34000000</v>
          </cell>
          <cell r="I5971" t="str">
            <v/>
          </cell>
          <cell r="J5971" t="str">
            <v/>
          </cell>
          <cell r="K5971" t="str">
            <v/>
          </cell>
          <cell r="L5971" t="str">
            <v/>
          </cell>
        </row>
        <row r="5972">
          <cell r="A5972">
            <v>34000000</v>
          </cell>
          <cell r="C5972">
            <v>34000000</v>
          </cell>
          <cell r="D5972">
            <v>34000000</v>
          </cell>
          <cell r="E5972">
            <v>34000000</v>
          </cell>
          <cell r="F5972">
            <v>34000000</v>
          </cell>
          <cell r="G5972">
            <v>34000000</v>
          </cell>
          <cell r="H5972">
            <v>34000000</v>
          </cell>
          <cell r="I5972" t="str">
            <v/>
          </cell>
          <cell r="J5972" t="str">
            <v/>
          </cell>
          <cell r="K5972" t="str">
            <v/>
          </cell>
          <cell r="L5972" t="str">
            <v/>
          </cell>
        </row>
        <row r="5973">
          <cell r="A5973">
            <v>34000000</v>
          </cell>
          <cell r="C5973">
            <v>34000000</v>
          </cell>
          <cell r="D5973">
            <v>34000000</v>
          </cell>
          <cell r="E5973">
            <v>34000000</v>
          </cell>
          <cell r="F5973">
            <v>34000000</v>
          </cell>
          <cell r="G5973">
            <v>34000000</v>
          </cell>
          <cell r="H5973">
            <v>34000000</v>
          </cell>
          <cell r="I5973" t="str">
            <v/>
          </cell>
          <cell r="J5973" t="str">
            <v/>
          </cell>
          <cell r="K5973" t="str">
            <v/>
          </cell>
          <cell r="L5973" t="str">
            <v/>
          </cell>
        </row>
        <row r="5974">
          <cell r="A5974">
            <v>34000000</v>
          </cell>
          <cell r="C5974">
            <v>34000000</v>
          </cell>
          <cell r="D5974">
            <v>34000000</v>
          </cell>
          <cell r="E5974">
            <v>34000000</v>
          </cell>
          <cell r="F5974">
            <v>34000000</v>
          </cell>
          <cell r="G5974">
            <v>34000000</v>
          </cell>
          <cell r="H5974">
            <v>34000000</v>
          </cell>
          <cell r="I5974" t="str">
            <v/>
          </cell>
          <cell r="J5974" t="str">
            <v/>
          </cell>
          <cell r="K5974" t="str">
            <v/>
          </cell>
          <cell r="L5974" t="str">
            <v/>
          </cell>
        </row>
        <row r="5975">
          <cell r="A5975">
            <v>34000000</v>
          </cell>
          <cell r="C5975">
            <v>34000000</v>
          </cell>
          <cell r="D5975">
            <v>34000000</v>
          </cell>
          <cell r="E5975">
            <v>34000000</v>
          </cell>
          <cell r="F5975">
            <v>34000000</v>
          </cell>
          <cell r="G5975">
            <v>34000000</v>
          </cell>
          <cell r="H5975">
            <v>34000000</v>
          </cell>
          <cell r="I5975" t="str">
            <v/>
          </cell>
          <cell r="J5975" t="str">
            <v/>
          </cell>
          <cell r="K5975" t="str">
            <v/>
          </cell>
          <cell r="L5975" t="str">
            <v/>
          </cell>
        </row>
        <row r="5976">
          <cell r="A5976">
            <v>34000000</v>
          </cell>
          <cell r="C5976">
            <v>34000000</v>
          </cell>
          <cell r="D5976">
            <v>34000000</v>
          </cell>
          <cell r="E5976">
            <v>34000000</v>
          </cell>
          <cell r="F5976">
            <v>34000000</v>
          </cell>
          <cell r="G5976">
            <v>34000000</v>
          </cell>
          <cell r="H5976">
            <v>34000000</v>
          </cell>
          <cell r="I5976" t="str">
            <v/>
          </cell>
          <cell r="J5976" t="str">
            <v/>
          </cell>
          <cell r="K5976" t="str">
            <v/>
          </cell>
          <cell r="L5976" t="str">
            <v/>
          </cell>
        </row>
        <row r="5977">
          <cell r="A5977">
            <v>34000000</v>
          </cell>
          <cell r="C5977">
            <v>34000000</v>
          </cell>
          <cell r="D5977">
            <v>34000000</v>
          </cell>
          <cell r="E5977">
            <v>34000000</v>
          </cell>
          <cell r="F5977">
            <v>34000000</v>
          </cell>
          <cell r="G5977">
            <v>34000000</v>
          </cell>
          <cell r="H5977">
            <v>34000000</v>
          </cell>
          <cell r="I5977" t="str">
            <v/>
          </cell>
          <cell r="J5977" t="str">
            <v/>
          </cell>
          <cell r="K5977" t="str">
            <v/>
          </cell>
          <cell r="L5977" t="str">
            <v/>
          </cell>
        </row>
        <row r="5978">
          <cell r="A5978">
            <v>34000000</v>
          </cell>
          <cell r="C5978">
            <v>34000000</v>
          </cell>
          <cell r="D5978">
            <v>34000000</v>
          </cell>
          <cell r="E5978">
            <v>34000000</v>
          </cell>
          <cell r="F5978">
            <v>34000000</v>
          </cell>
          <cell r="G5978">
            <v>34000000</v>
          </cell>
          <cell r="H5978">
            <v>34000000</v>
          </cell>
          <cell r="I5978" t="str">
            <v/>
          </cell>
          <cell r="J5978" t="str">
            <v/>
          </cell>
          <cell r="K5978" t="str">
            <v/>
          </cell>
          <cell r="L5978" t="str">
            <v/>
          </cell>
        </row>
        <row r="5979">
          <cell r="A5979">
            <v>34000000</v>
          </cell>
          <cell r="C5979">
            <v>34000000</v>
          </cell>
          <cell r="D5979">
            <v>34000000</v>
          </cell>
          <cell r="E5979">
            <v>34000000</v>
          </cell>
          <cell r="F5979">
            <v>34000000</v>
          </cell>
          <cell r="G5979">
            <v>34000000</v>
          </cell>
          <cell r="H5979">
            <v>34000000</v>
          </cell>
          <cell r="I5979" t="str">
            <v/>
          </cell>
          <cell r="J5979" t="str">
            <v/>
          </cell>
          <cell r="K5979" t="str">
            <v/>
          </cell>
          <cell r="L5979" t="str">
            <v/>
          </cell>
        </row>
        <row r="5980">
          <cell r="A5980">
            <v>34000000</v>
          </cell>
          <cell r="C5980">
            <v>34000000</v>
          </cell>
          <cell r="D5980">
            <v>34000000</v>
          </cell>
          <cell r="E5980">
            <v>34000000</v>
          </cell>
          <cell r="F5980">
            <v>34000000</v>
          </cell>
          <cell r="G5980">
            <v>34000000</v>
          </cell>
          <cell r="H5980">
            <v>34000000</v>
          </cell>
          <cell r="I5980" t="str">
            <v/>
          </cell>
          <cell r="J5980" t="str">
            <v/>
          </cell>
          <cell r="K5980" t="str">
            <v/>
          </cell>
          <cell r="L5980" t="str">
            <v/>
          </cell>
        </row>
        <row r="5981">
          <cell r="A5981">
            <v>34000000</v>
          </cell>
          <cell r="C5981">
            <v>34000000</v>
          </cell>
          <cell r="D5981">
            <v>34000000</v>
          </cell>
          <cell r="E5981">
            <v>34000000</v>
          </cell>
          <cell r="F5981">
            <v>34000000</v>
          </cell>
          <cell r="G5981">
            <v>34000000</v>
          </cell>
          <cell r="H5981">
            <v>34000000</v>
          </cell>
          <cell r="I5981" t="str">
            <v/>
          </cell>
          <cell r="J5981" t="str">
            <v/>
          </cell>
          <cell r="K5981" t="str">
            <v/>
          </cell>
          <cell r="L5981" t="str">
            <v/>
          </cell>
        </row>
        <row r="5982">
          <cell r="A5982">
            <v>34000000</v>
          </cell>
          <cell r="C5982">
            <v>34000000</v>
          </cell>
          <cell r="D5982">
            <v>34000000</v>
          </cell>
          <cell r="E5982">
            <v>34000000</v>
          </cell>
          <cell r="F5982">
            <v>34000000</v>
          </cell>
          <cell r="G5982">
            <v>34000000</v>
          </cell>
          <cell r="H5982">
            <v>34000000</v>
          </cell>
          <cell r="I5982" t="str">
            <v/>
          </cell>
          <cell r="J5982" t="str">
            <v/>
          </cell>
          <cell r="K5982" t="str">
            <v/>
          </cell>
          <cell r="L5982" t="str">
            <v/>
          </cell>
        </row>
        <row r="5983">
          <cell r="A5983">
            <v>34000000</v>
          </cell>
          <cell r="C5983">
            <v>34000000</v>
          </cell>
          <cell r="D5983">
            <v>34000000</v>
          </cell>
          <cell r="E5983">
            <v>34000000</v>
          </cell>
          <cell r="F5983">
            <v>34000000</v>
          </cell>
          <cell r="G5983">
            <v>34000000</v>
          </cell>
          <cell r="H5983">
            <v>34000000</v>
          </cell>
          <cell r="I5983" t="str">
            <v/>
          </cell>
          <cell r="J5983" t="str">
            <v/>
          </cell>
          <cell r="K5983" t="str">
            <v/>
          </cell>
          <cell r="L5983" t="str">
            <v/>
          </cell>
        </row>
        <row r="5984">
          <cell r="A5984">
            <v>34000000</v>
          </cell>
          <cell r="C5984">
            <v>34000000</v>
          </cell>
          <cell r="D5984">
            <v>34000000</v>
          </cell>
          <cell r="E5984">
            <v>34000000</v>
          </cell>
          <cell r="F5984">
            <v>34000000</v>
          </cell>
          <cell r="G5984">
            <v>34000000</v>
          </cell>
          <cell r="H5984">
            <v>34000000</v>
          </cell>
          <cell r="I5984" t="str">
            <v/>
          </cell>
          <cell r="J5984" t="str">
            <v/>
          </cell>
          <cell r="K5984" t="str">
            <v/>
          </cell>
          <cell r="L5984" t="str">
            <v/>
          </cell>
        </row>
        <row r="5985">
          <cell r="A5985">
            <v>34000000</v>
          </cell>
          <cell r="C5985">
            <v>34000000</v>
          </cell>
          <cell r="D5985">
            <v>34000000</v>
          </cell>
          <cell r="E5985">
            <v>34000000</v>
          </cell>
          <cell r="F5985">
            <v>34000000</v>
          </cell>
          <cell r="G5985">
            <v>34000000</v>
          </cell>
          <cell r="H5985">
            <v>34000000</v>
          </cell>
          <cell r="I5985" t="str">
            <v/>
          </cell>
          <cell r="J5985" t="str">
            <v/>
          </cell>
          <cell r="K5985" t="str">
            <v/>
          </cell>
          <cell r="L5985" t="str">
            <v/>
          </cell>
        </row>
        <row r="5986">
          <cell r="A5986">
            <v>34000000</v>
          </cell>
          <cell r="C5986">
            <v>34000000</v>
          </cell>
          <cell r="D5986">
            <v>34000000</v>
          </cell>
          <cell r="E5986">
            <v>34000000</v>
          </cell>
          <cell r="F5986">
            <v>34000000</v>
          </cell>
          <cell r="G5986">
            <v>34000000</v>
          </cell>
          <cell r="H5986">
            <v>34000000</v>
          </cell>
          <cell r="I5986" t="str">
            <v/>
          </cell>
          <cell r="J5986" t="str">
            <v/>
          </cell>
          <cell r="K5986" t="str">
            <v/>
          </cell>
          <cell r="L5986" t="str">
            <v/>
          </cell>
        </row>
        <row r="5987">
          <cell r="A5987">
            <v>34000000</v>
          </cell>
          <cell r="C5987">
            <v>34000000</v>
          </cell>
          <cell r="D5987">
            <v>34000000</v>
          </cell>
          <cell r="E5987">
            <v>34000000</v>
          </cell>
          <cell r="F5987">
            <v>34000000</v>
          </cell>
          <cell r="G5987">
            <v>34000000</v>
          </cell>
          <cell r="H5987">
            <v>34000000</v>
          </cell>
          <cell r="I5987" t="str">
            <v/>
          </cell>
          <cell r="J5987" t="str">
            <v/>
          </cell>
          <cell r="K5987" t="str">
            <v/>
          </cell>
          <cell r="L5987" t="str">
            <v/>
          </cell>
        </row>
        <row r="5988">
          <cell r="A5988">
            <v>34000000</v>
          </cell>
          <cell r="C5988">
            <v>34000000</v>
          </cell>
          <cell r="D5988">
            <v>34000000</v>
          </cell>
          <cell r="E5988">
            <v>34000000</v>
          </cell>
          <cell r="F5988">
            <v>34000000</v>
          </cell>
          <cell r="G5988">
            <v>34000000</v>
          </cell>
          <cell r="H5988">
            <v>34000000</v>
          </cell>
          <cell r="I5988" t="str">
            <v/>
          </cell>
          <cell r="J5988" t="str">
            <v/>
          </cell>
          <cell r="K5988" t="str">
            <v/>
          </cell>
          <cell r="L5988" t="str">
            <v/>
          </cell>
        </row>
        <row r="5989">
          <cell r="A5989">
            <v>34000000</v>
          </cell>
          <cell r="C5989">
            <v>34000000</v>
          </cell>
          <cell r="D5989">
            <v>34000000</v>
          </cell>
          <cell r="E5989">
            <v>34000000</v>
          </cell>
          <cell r="F5989">
            <v>34000000</v>
          </cell>
          <cell r="G5989">
            <v>34000000</v>
          </cell>
          <cell r="H5989">
            <v>34000000</v>
          </cell>
          <cell r="I5989" t="str">
            <v/>
          </cell>
          <cell r="J5989" t="str">
            <v/>
          </cell>
          <cell r="K5989" t="str">
            <v/>
          </cell>
          <cell r="L5989" t="str">
            <v/>
          </cell>
        </row>
        <row r="5990">
          <cell r="A5990">
            <v>34000000</v>
          </cell>
          <cell r="C5990">
            <v>34000000</v>
          </cell>
          <cell r="D5990">
            <v>34000000</v>
          </cell>
          <cell r="E5990">
            <v>34000000</v>
          </cell>
          <cell r="F5990">
            <v>34000000</v>
          </cell>
          <cell r="G5990">
            <v>34000000</v>
          </cell>
          <cell r="H5990">
            <v>34000000</v>
          </cell>
          <cell r="I5990" t="str">
            <v/>
          </cell>
          <cell r="J5990" t="str">
            <v/>
          </cell>
          <cell r="K5990" t="str">
            <v/>
          </cell>
          <cell r="L5990" t="str">
            <v/>
          </cell>
        </row>
        <row r="5991">
          <cell r="A5991">
            <v>34000000</v>
          </cell>
          <cell r="C5991">
            <v>34000000</v>
          </cell>
          <cell r="D5991">
            <v>34000000</v>
          </cell>
          <cell r="E5991">
            <v>34000000</v>
          </cell>
          <cell r="F5991">
            <v>34000000</v>
          </cell>
          <cell r="G5991">
            <v>34000000</v>
          </cell>
          <cell r="H5991">
            <v>34000000</v>
          </cell>
          <cell r="I5991" t="str">
            <v/>
          </cell>
          <cell r="J5991" t="str">
            <v/>
          </cell>
          <cell r="K5991" t="str">
            <v/>
          </cell>
          <cell r="L5991" t="str">
            <v/>
          </cell>
        </row>
        <row r="5992">
          <cell r="A5992">
            <v>34000000</v>
          </cell>
          <cell r="C5992">
            <v>34000000</v>
          </cell>
          <cell r="D5992">
            <v>34000000</v>
          </cell>
          <cell r="E5992">
            <v>34000000</v>
          </cell>
          <cell r="F5992">
            <v>34000000</v>
          </cell>
          <cell r="G5992">
            <v>34000000</v>
          </cell>
          <cell r="H5992">
            <v>34000000</v>
          </cell>
          <cell r="I5992" t="str">
            <v/>
          </cell>
          <cell r="J5992" t="str">
            <v/>
          </cell>
          <cell r="K5992" t="str">
            <v/>
          </cell>
          <cell r="L5992" t="str">
            <v/>
          </cell>
        </row>
        <row r="5993">
          <cell r="A5993">
            <v>34000000</v>
          </cell>
          <cell r="C5993">
            <v>34000000</v>
          </cell>
          <cell r="D5993">
            <v>34000000</v>
          </cell>
          <cell r="E5993">
            <v>34000000</v>
          </cell>
          <cell r="F5993">
            <v>34000000</v>
          </cell>
          <cell r="G5993">
            <v>34000000</v>
          </cell>
          <cell r="H5993">
            <v>34000000</v>
          </cell>
          <cell r="I5993" t="str">
            <v/>
          </cell>
          <cell r="J5993" t="str">
            <v/>
          </cell>
          <cell r="K5993" t="str">
            <v/>
          </cell>
          <cell r="L5993" t="str">
            <v/>
          </cell>
        </row>
        <row r="5994">
          <cell r="A5994">
            <v>34000000</v>
          </cell>
          <cell r="C5994">
            <v>34000000</v>
          </cell>
          <cell r="D5994">
            <v>34000000</v>
          </cell>
          <cell r="E5994">
            <v>34000000</v>
          </cell>
          <cell r="F5994">
            <v>34000000</v>
          </cell>
          <cell r="G5994">
            <v>34000000</v>
          </cell>
          <cell r="H5994">
            <v>34000000</v>
          </cell>
          <cell r="I5994" t="str">
            <v/>
          </cell>
          <cell r="J5994" t="str">
            <v/>
          </cell>
          <cell r="K5994" t="str">
            <v/>
          </cell>
          <cell r="L5994" t="str">
            <v/>
          </cell>
        </row>
        <row r="5995">
          <cell r="A5995">
            <v>34000000</v>
          </cell>
          <cell r="C5995">
            <v>34000000</v>
          </cell>
          <cell r="D5995">
            <v>34000000</v>
          </cell>
          <cell r="E5995">
            <v>34000000</v>
          </cell>
          <cell r="F5995">
            <v>34000000</v>
          </cell>
          <cell r="G5995">
            <v>34000000</v>
          </cell>
          <cell r="H5995">
            <v>34000000</v>
          </cell>
          <cell r="I5995" t="str">
            <v/>
          </cell>
          <cell r="J5995" t="str">
            <v/>
          </cell>
          <cell r="K5995" t="str">
            <v/>
          </cell>
          <cell r="L5995" t="str">
            <v/>
          </cell>
        </row>
        <row r="5996">
          <cell r="A5996">
            <v>34000000</v>
          </cell>
          <cell r="C5996">
            <v>34000000</v>
          </cell>
          <cell r="D5996">
            <v>34000000</v>
          </cell>
          <cell r="E5996">
            <v>34000000</v>
          </cell>
          <cell r="F5996">
            <v>34000000</v>
          </cell>
          <cell r="G5996">
            <v>34000000</v>
          </cell>
          <cell r="H5996">
            <v>34000000</v>
          </cell>
          <cell r="I5996" t="str">
            <v/>
          </cell>
          <cell r="J5996" t="str">
            <v/>
          </cell>
          <cell r="K5996" t="str">
            <v/>
          </cell>
          <cell r="L5996" t="str">
            <v/>
          </cell>
        </row>
        <row r="5997">
          <cell r="A5997">
            <v>34000000</v>
          </cell>
          <cell r="C5997">
            <v>34000000</v>
          </cell>
          <cell r="D5997">
            <v>34000000</v>
          </cell>
          <cell r="E5997">
            <v>34000000</v>
          </cell>
          <cell r="F5997">
            <v>34000000</v>
          </cell>
          <cell r="G5997">
            <v>34000000</v>
          </cell>
          <cell r="H5997">
            <v>34000000</v>
          </cell>
          <cell r="I5997" t="str">
            <v/>
          </cell>
          <cell r="J5997" t="str">
            <v/>
          </cell>
          <cell r="K5997" t="str">
            <v/>
          </cell>
          <cell r="L5997" t="str">
            <v/>
          </cell>
        </row>
        <row r="5998">
          <cell r="A5998">
            <v>34000000</v>
          </cell>
          <cell r="C5998">
            <v>34000000</v>
          </cell>
          <cell r="D5998">
            <v>34000000</v>
          </cell>
          <cell r="E5998">
            <v>34000000</v>
          </cell>
          <cell r="F5998">
            <v>34000000</v>
          </cell>
          <cell r="G5998">
            <v>34000000</v>
          </cell>
          <cell r="H5998">
            <v>34000000</v>
          </cell>
          <cell r="I5998" t="str">
            <v/>
          </cell>
          <cell r="J5998" t="str">
            <v/>
          </cell>
          <cell r="K5998" t="str">
            <v/>
          </cell>
          <cell r="L5998" t="str">
            <v/>
          </cell>
        </row>
        <row r="5999">
          <cell r="A5999">
            <v>34000000</v>
          </cell>
          <cell r="C5999">
            <v>34000000</v>
          </cell>
          <cell r="D5999">
            <v>34000000</v>
          </cell>
          <cell r="E5999">
            <v>34000000</v>
          </cell>
          <cell r="F5999">
            <v>34000000</v>
          </cell>
          <cell r="G5999">
            <v>34000000</v>
          </cell>
          <cell r="H5999">
            <v>34000000</v>
          </cell>
          <cell r="I5999" t="str">
            <v/>
          </cell>
          <cell r="J5999" t="str">
            <v/>
          </cell>
          <cell r="K5999" t="str">
            <v/>
          </cell>
          <cell r="L5999" t="str">
            <v/>
          </cell>
        </row>
        <row r="6000">
          <cell r="A6000">
            <v>34000000</v>
          </cell>
          <cell r="C6000">
            <v>34000000</v>
          </cell>
          <cell r="D6000">
            <v>34000000</v>
          </cell>
          <cell r="E6000">
            <v>34000000</v>
          </cell>
          <cell r="F6000">
            <v>34000000</v>
          </cell>
          <cell r="G6000">
            <v>34000000</v>
          </cell>
          <cell r="H6000">
            <v>34000000</v>
          </cell>
          <cell r="I6000" t="str">
            <v/>
          </cell>
          <cell r="J6000" t="str">
            <v/>
          </cell>
          <cell r="K6000" t="str">
            <v/>
          </cell>
          <cell r="L6000" t="str">
            <v/>
          </cell>
        </row>
        <row r="6001">
          <cell r="A6001">
            <v>34000000</v>
          </cell>
          <cell r="C6001">
            <v>34000000</v>
          </cell>
          <cell r="D6001">
            <v>34000000</v>
          </cell>
          <cell r="E6001">
            <v>34000000</v>
          </cell>
          <cell r="F6001">
            <v>34000000</v>
          </cell>
          <cell r="G6001">
            <v>34000000</v>
          </cell>
          <cell r="H6001">
            <v>34000000</v>
          </cell>
          <cell r="I6001" t="str">
            <v/>
          </cell>
          <cell r="J6001" t="str">
            <v/>
          </cell>
          <cell r="K6001" t="str">
            <v/>
          </cell>
          <cell r="L6001" t="str">
            <v/>
          </cell>
        </row>
        <row r="6002">
          <cell r="A6002">
            <v>34000000</v>
          </cell>
          <cell r="C6002">
            <v>34000000</v>
          </cell>
          <cell r="D6002">
            <v>34000000</v>
          </cell>
          <cell r="E6002">
            <v>34000000</v>
          </cell>
          <cell r="F6002">
            <v>34000000</v>
          </cell>
          <cell r="G6002">
            <v>34000000</v>
          </cell>
          <cell r="H6002">
            <v>34000000</v>
          </cell>
          <cell r="I6002" t="str">
            <v/>
          </cell>
          <cell r="J6002" t="str">
            <v/>
          </cell>
          <cell r="K6002" t="str">
            <v/>
          </cell>
          <cell r="L6002" t="str">
            <v/>
          </cell>
        </row>
        <row r="6003">
          <cell r="A6003">
            <v>34000000</v>
          </cell>
          <cell r="C6003">
            <v>34000000</v>
          </cell>
          <cell r="D6003">
            <v>34000000</v>
          </cell>
          <cell r="E6003">
            <v>34000000</v>
          </cell>
          <cell r="F6003">
            <v>34000000</v>
          </cell>
          <cell r="G6003">
            <v>34000000</v>
          </cell>
          <cell r="H6003">
            <v>34000000</v>
          </cell>
          <cell r="I6003" t="str">
            <v/>
          </cell>
          <cell r="J6003" t="str">
            <v/>
          </cell>
          <cell r="K6003" t="str">
            <v/>
          </cell>
          <cell r="L6003" t="str">
            <v/>
          </cell>
        </row>
        <row r="6004">
          <cell r="A6004">
            <v>34000000</v>
          </cell>
          <cell r="C6004">
            <v>34000000</v>
          </cell>
          <cell r="D6004">
            <v>34000000</v>
          </cell>
          <cell r="E6004">
            <v>34000000</v>
          </cell>
          <cell r="F6004">
            <v>34000000</v>
          </cell>
          <cell r="G6004">
            <v>34000000</v>
          </cell>
          <cell r="H6004">
            <v>34000000</v>
          </cell>
          <cell r="I6004" t="str">
            <v/>
          </cell>
          <cell r="J6004" t="str">
            <v/>
          </cell>
          <cell r="K6004" t="str">
            <v/>
          </cell>
          <cell r="L6004" t="str">
            <v/>
          </cell>
        </row>
        <row r="6005">
          <cell r="A6005">
            <v>34000000</v>
          </cell>
          <cell r="C6005">
            <v>34000000</v>
          </cell>
          <cell r="D6005">
            <v>34000000</v>
          </cell>
          <cell r="E6005">
            <v>34000000</v>
          </cell>
          <cell r="F6005">
            <v>34000000</v>
          </cell>
          <cell r="G6005">
            <v>34000000</v>
          </cell>
          <cell r="H6005">
            <v>34000000</v>
          </cell>
          <cell r="I6005" t="str">
            <v/>
          </cell>
          <cell r="J6005" t="str">
            <v/>
          </cell>
          <cell r="K6005" t="str">
            <v/>
          </cell>
          <cell r="L6005" t="str">
            <v/>
          </cell>
        </row>
        <row r="6006">
          <cell r="A6006">
            <v>34000000</v>
          </cell>
          <cell r="C6006">
            <v>34000000</v>
          </cell>
          <cell r="D6006">
            <v>34000000</v>
          </cell>
          <cell r="E6006">
            <v>34000000</v>
          </cell>
          <cell r="F6006">
            <v>34000000</v>
          </cell>
          <cell r="G6006">
            <v>34000000</v>
          </cell>
          <cell r="H6006">
            <v>34000000</v>
          </cell>
          <cell r="I6006" t="str">
            <v/>
          </cell>
          <cell r="J6006" t="str">
            <v/>
          </cell>
          <cell r="K6006" t="str">
            <v/>
          </cell>
          <cell r="L6006" t="str">
            <v/>
          </cell>
        </row>
        <row r="6007">
          <cell r="A6007">
            <v>34000000</v>
          </cell>
          <cell r="C6007">
            <v>34000000</v>
          </cell>
          <cell r="D6007">
            <v>34000000</v>
          </cell>
          <cell r="E6007">
            <v>34000000</v>
          </cell>
          <cell r="F6007">
            <v>34000000</v>
          </cell>
          <cell r="G6007">
            <v>34000000</v>
          </cell>
          <cell r="H6007">
            <v>34000000</v>
          </cell>
          <cell r="I6007" t="str">
            <v/>
          </cell>
          <cell r="J6007" t="str">
            <v/>
          </cell>
          <cell r="K6007" t="str">
            <v/>
          </cell>
          <cell r="L6007" t="str">
            <v/>
          </cell>
        </row>
        <row r="6008">
          <cell r="A6008">
            <v>34000000</v>
          </cell>
          <cell r="C6008">
            <v>34000000</v>
          </cell>
          <cell r="D6008">
            <v>34000000</v>
          </cell>
          <cell r="E6008">
            <v>34000000</v>
          </cell>
          <cell r="F6008">
            <v>34000000</v>
          </cell>
          <cell r="G6008">
            <v>34000000</v>
          </cell>
          <cell r="H6008">
            <v>34000000</v>
          </cell>
          <cell r="I6008" t="str">
            <v/>
          </cell>
          <cell r="J6008" t="str">
            <v/>
          </cell>
          <cell r="K6008" t="str">
            <v/>
          </cell>
          <cell r="L6008" t="str">
            <v/>
          </cell>
        </row>
        <row r="6009">
          <cell r="A6009">
            <v>34000000</v>
          </cell>
          <cell r="C6009">
            <v>34000000</v>
          </cell>
          <cell r="D6009">
            <v>34000000</v>
          </cell>
          <cell r="E6009">
            <v>34000000</v>
          </cell>
          <cell r="F6009">
            <v>34000000</v>
          </cell>
          <cell r="G6009">
            <v>34000000</v>
          </cell>
          <cell r="H6009">
            <v>34000000</v>
          </cell>
          <cell r="I6009" t="str">
            <v/>
          </cell>
          <cell r="J6009" t="str">
            <v/>
          </cell>
          <cell r="K6009" t="str">
            <v/>
          </cell>
          <cell r="L6009" t="str">
            <v/>
          </cell>
        </row>
        <row r="6010">
          <cell r="A6010">
            <v>34000000</v>
          </cell>
          <cell r="C6010">
            <v>34000000</v>
          </cell>
          <cell r="D6010">
            <v>34000000</v>
          </cell>
          <cell r="E6010">
            <v>34000000</v>
          </cell>
          <cell r="F6010">
            <v>34000000</v>
          </cell>
          <cell r="G6010">
            <v>34000000</v>
          </cell>
          <cell r="H6010">
            <v>34000000</v>
          </cell>
          <cell r="I6010" t="str">
            <v/>
          </cell>
          <cell r="J6010" t="str">
            <v/>
          </cell>
          <cell r="K6010" t="str">
            <v/>
          </cell>
          <cell r="L6010" t="str">
            <v/>
          </cell>
        </row>
        <row r="6011">
          <cell r="A6011">
            <v>34000000</v>
          </cell>
          <cell r="C6011">
            <v>34000000</v>
          </cell>
          <cell r="D6011">
            <v>34000000</v>
          </cell>
          <cell r="E6011">
            <v>34000000</v>
          </cell>
          <cell r="F6011">
            <v>34000000</v>
          </cell>
          <cell r="G6011">
            <v>34000000</v>
          </cell>
          <cell r="H6011">
            <v>34000000</v>
          </cell>
          <cell r="I6011" t="str">
            <v/>
          </cell>
          <cell r="J6011" t="str">
            <v/>
          </cell>
          <cell r="K6011" t="str">
            <v/>
          </cell>
          <cell r="L6011" t="str">
            <v/>
          </cell>
        </row>
        <row r="6012">
          <cell r="A6012">
            <v>34000000</v>
          </cell>
          <cell r="C6012">
            <v>34000000</v>
          </cell>
          <cell r="D6012">
            <v>34000000</v>
          </cell>
          <cell r="E6012">
            <v>34000000</v>
          </cell>
          <cell r="F6012">
            <v>34000000</v>
          </cell>
          <cell r="G6012">
            <v>34000000</v>
          </cell>
          <cell r="H6012">
            <v>34000000</v>
          </cell>
          <cell r="I6012" t="str">
            <v/>
          </cell>
          <cell r="J6012" t="str">
            <v/>
          </cell>
          <cell r="K6012" t="str">
            <v/>
          </cell>
          <cell r="L6012" t="str">
            <v/>
          </cell>
        </row>
        <row r="6013">
          <cell r="A6013">
            <v>34000000</v>
          </cell>
          <cell r="C6013">
            <v>34000000</v>
          </cell>
          <cell r="D6013">
            <v>34000000</v>
          </cell>
          <cell r="E6013">
            <v>34000000</v>
          </cell>
          <cell r="F6013">
            <v>34000000</v>
          </cell>
          <cell r="G6013">
            <v>34000000</v>
          </cell>
          <cell r="H6013">
            <v>34000000</v>
          </cell>
          <cell r="I6013" t="str">
            <v/>
          </cell>
          <cell r="J6013" t="str">
            <v/>
          </cell>
          <cell r="K6013" t="str">
            <v/>
          </cell>
          <cell r="L6013" t="str">
            <v/>
          </cell>
        </row>
        <row r="6014">
          <cell r="A6014">
            <v>34000000</v>
          </cell>
          <cell r="C6014">
            <v>34000000</v>
          </cell>
          <cell r="D6014">
            <v>34000000</v>
          </cell>
          <cell r="E6014">
            <v>34000000</v>
          </cell>
          <cell r="F6014">
            <v>34000000</v>
          </cell>
          <cell r="G6014">
            <v>34000000</v>
          </cell>
          <cell r="H6014">
            <v>34000000</v>
          </cell>
          <cell r="I6014" t="str">
            <v/>
          </cell>
          <cell r="J6014" t="str">
            <v/>
          </cell>
          <cell r="K6014" t="str">
            <v/>
          </cell>
          <cell r="L6014" t="str">
            <v/>
          </cell>
        </row>
        <row r="6015">
          <cell r="A6015">
            <v>34000000</v>
          </cell>
          <cell r="C6015">
            <v>34000000</v>
          </cell>
          <cell r="D6015">
            <v>34000000</v>
          </cell>
          <cell r="E6015">
            <v>34000000</v>
          </cell>
          <cell r="F6015">
            <v>34000000</v>
          </cell>
          <cell r="G6015">
            <v>34000000</v>
          </cell>
          <cell r="H6015">
            <v>34000000</v>
          </cell>
          <cell r="I6015" t="str">
            <v/>
          </cell>
          <cell r="J6015" t="str">
            <v/>
          </cell>
          <cell r="K6015" t="str">
            <v/>
          </cell>
          <cell r="L6015" t="str">
            <v/>
          </cell>
        </row>
        <row r="6016">
          <cell r="A6016">
            <v>34000000</v>
          </cell>
          <cell r="C6016">
            <v>34000000</v>
          </cell>
          <cell r="D6016">
            <v>34000000</v>
          </cell>
          <cell r="E6016">
            <v>34000000</v>
          </cell>
          <cell r="F6016">
            <v>34000000</v>
          </cell>
          <cell r="G6016">
            <v>34000000</v>
          </cell>
          <cell r="H6016">
            <v>34000000</v>
          </cell>
          <cell r="I6016" t="str">
            <v/>
          </cell>
          <cell r="J6016" t="str">
            <v/>
          </cell>
          <cell r="K6016" t="str">
            <v/>
          </cell>
          <cell r="L6016" t="str">
            <v/>
          </cell>
        </row>
        <row r="6017">
          <cell r="A6017">
            <v>34000000</v>
          </cell>
          <cell r="C6017">
            <v>34000000</v>
          </cell>
          <cell r="D6017">
            <v>34000000</v>
          </cell>
          <cell r="E6017">
            <v>34000000</v>
          </cell>
          <cell r="F6017">
            <v>34000000</v>
          </cell>
          <cell r="G6017">
            <v>34000000</v>
          </cell>
          <cell r="H6017">
            <v>34000000</v>
          </cell>
          <cell r="I6017" t="str">
            <v/>
          </cell>
          <cell r="J6017" t="str">
            <v/>
          </cell>
          <cell r="K6017" t="str">
            <v/>
          </cell>
          <cell r="L6017" t="str">
            <v/>
          </cell>
        </row>
        <row r="6018">
          <cell r="A6018">
            <v>34000000</v>
          </cell>
          <cell r="C6018">
            <v>34000000</v>
          </cell>
          <cell r="D6018">
            <v>34000000</v>
          </cell>
          <cell r="E6018">
            <v>34000000</v>
          </cell>
          <cell r="F6018">
            <v>34000000</v>
          </cell>
          <cell r="G6018">
            <v>34000000</v>
          </cell>
          <cell r="H6018">
            <v>34000000</v>
          </cell>
          <cell r="I6018" t="str">
            <v/>
          </cell>
          <cell r="J6018" t="str">
            <v/>
          </cell>
          <cell r="K6018" t="str">
            <v/>
          </cell>
          <cell r="L6018" t="str">
            <v/>
          </cell>
        </row>
        <row r="6019">
          <cell r="A6019">
            <v>34000000</v>
          </cell>
          <cell r="C6019">
            <v>34000000</v>
          </cell>
          <cell r="D6019">
            <v>34000000</v>
          </cell>
          <cell r="E6019">
            <v>34000000</v>
          </cell>
          <cell r="F6019">
            <v>34000000</v>
          </cell>
          <cell r="G6019">
            <v>34000000</v>
          </cell>
          <cell r="H6019">
            <v>34000000</v>
          </cell>
          <cell r="I6019" t="str">
            <v/>
          </cell>
          <cell r="J6019" t="str">
            <v/>
          </cell>
          <cell r="K6019" t="str">
            <v/>
          </cell>
          <cell r="L6019" t="str">
            <v/>
          </cell>
        </row>
        <row r="6020">
          <cell r="A6020">
            <v>34000000</v>
          </cell>
          <cell r="C6020">
            <v>34000000</v>
          </cell>
          <cell r="D6020">
            <v>34000000</v>
          </cell>
          <cell r="E6020">
            <v>34000000</v>
          </cell>
          <cell r="F6020">
            <v>34000000</v>
          </cell>
          <cell r="G6020">
            <v>34000000</v>
          </cell>
          <cell r="H6020">
            <v>34000000</v>
          </cell>
          <cell r="I6020" t="str">
            <v/>
          </cell>
          <cell r="J6020" t="str">
            <v/>
          </cell>
          <cell r="K6020" t="str">
            <v/>
          </cell>
          <cell r="L6020" t="str">
            <v/>
          </cell>
        </row>
        <row r="6021">
          <cell r="A6021">
            <v>34000000</v>
          </cell>
          <cell r="C6021">
            <v>34000000</v>
          </cell>
          <cell r="D6021">
            <v>34000000</v>
          </cell>
          <cell r="E6021">
            <v>34000000</v>
          </cell>
          <cell r="F6021">
            <v>34000000</v>
          </cell>
          <cell r="G6021">
            <v>34000000</v>
          </cell>
          <cell r="H6021">
            <v>34000000</v>
          </cell>
          <cell r="I6021" t="str">
            <v/>
          </cell>
          <cell r="J6021" t="str">
            <v/>
          </cell>
          <cell r="K6021" t="str">
            <v/>
          </cell>
          <cell r="L6021" t="str">
            <v/>
          </cell>
        </row>
        <row r="6022">
          <cell r="A6022">
            <v>34000000</v>
          </cell>
          <cell r="C6022">
            <v>34000000</v>
          </cell>
          <cell r="D6022">
            <v>34000000</v>
          </cell>
          <cell r="E6022">
            <v>34000000</v>
          </cell>
          <cell r="F6022">
            <v>34000000</v>
          </cell>
          <cell r="G6022">
            <v>34000000</v>
          </cell>
          <cell r="H6022">
            <v>34000000</v>
          </cell>
          <cell r="I6022" t="str">
            <v/>
          </cell>
          <cell r="J6022" t="str">
            <v/>
          </cell>
          <cell r="K6022" t="str">
            <v/>
          </cell>
          <cell r="L6022" t="str">
            <v/>
          </cell>
        </row>
        <row r="6023">
          <cell r="A6023">
            <v>34000000</v>
          </cell>
          <cell r="C6023">
            <v>34000000</v>
          </cell>
          <cell r="D6023">
            <v>34000000</v>
          </cell>
          <cell r="E6023">
            <v>34000000</v>
          </cell>
          <cell r="F6023">
            <v>34000000</v>
          </cell>
          <cell r="G6023">
            <v>34000000</v>
          </cell>
          <cell r="H6023">
            <v>34000000</v>
          </cell>
          <cell r="I6023" t="str">
            <v/>
          </cell>
          <cell r="J6023" t="str">
            <v/>
          </cell>
          <cell r="K6023" t="str">
            <v/>
          </cell>
          <cell r="L6023" t="str">
            <v/>
          </cell>
        </row>
        <row r="6024">
          <cell r="A6024">
            <v>34000000</v>
          </cell>
          <cell r="C6024">
            <v>34000000</v>
          </cell>
          <cell r="D6024">
            <v>34000000</v>
          </cell>
          <cell r="E6024">
            <v>34000000</v>
          </cell>
          <cell r="F6024">
            <v>34000000</v>
          </cell>
          <cell r="G6024">
            <v>34000000</v>
          </cell>
          <cell r="H6024">
            <v>34000000</v>
          </cell>
          <cell r="I6024" t="str">
            <v/>
          </cell>
          <cell r="J6024" t="str">
            <v/>
          </cell>
          <cell r="K6024" t="str">
            <v/>
          </cell>
          <cell r="L6024" t="str">
            <v/>
          </cell>
        </row>
        <row r="6025">
          <cell r="A6025">
            <v>34000000</v>
          </cell>
          <cell r="C6025">
            <v>34000000</v>
          </cell>
          <cell r="D6025">
            <v>34000000</v>
          </cell>
          <cell r="E6025">
            <v>34000000</v>
          </cell>
          <cell r="F6025">
            <v>34000000</v>
          </cell>
          <cell r="G6025">
            <v>34000000</v>
          </cell>
          <cell r="H6025">
            <v>34000000</v>
          </cell>
          <cell r="I6025" t="str">
            <v/>
          </cell>
          <cell r="J6025" t="str">
            <v/>
          </cell>
          <cell r="K6025" t="str">
            <v/>
          </cell>
          <cell r="L6025" t="str">
            <v/>
          </cell>
        </row>
        <row r="6026">
          <cell r="A6026">
            <v>34000000</v>
          </cell>
          <cell r="C6026">
            <v>34000000</v>
          </cell>
          <cell r="D6026">
            <v>34000000</v>
          </cell>
          <cell r="E6026">
            <v>34000000</v>
          </cell>
          <cell r="F6026">
            <v>34000000</v>
          </cell>
          <cell r="G6026">
            <v>34000000</v>
          </cell>
          <cell r="H6026">
            <v>34000000</v>
          </cell>
          <cell r="I6026" t="str">
            <v/>
          </cell>
          <cell r="J6026" t="str">
            <v/>
          </cell>
          <cell r="K6026" t="str">
            <v/>
          </cell>
          <cell r="L6026" t="str">
            <v/>
          </cell>
        </row>
        <row r="6027">
          <cell r="A6027">
            <v>34000000</v>
          </cell>
          <cell r="C6027">
            <v>34000000</v>
          </cell>
          <cell r="D6027">
            <v>34000000</v>
          </cell>
          <cell r="E6027">
            <v>34000000</v>
          </cell>
          <cell r="F6027">
            <v>34000000</v>
          </cell>
          <cell r="G6027">
            <v>34000000</v>
          </cell>
          <cell r="H6027">
            <v>34000000</v>
          </cell>
          <cell r="I6027" t="str">
            <v/>
          </cell>
          <cell r="J6027" t="str">
            <v/>
          </cell>
          <cell r="K6027" t="str">
            <v/>
          </cell>
          <cell r="L6027" t="str">
            <v/>
          </cell>
        </row>
        <row r="6028">
          <cell r="A6028">
            <v>34000000</v>
          </cell>
          <cell r="C6028">
            <v>34000000</v>
          </cell>
          <cell r="D6028">
            <v>34000000</v>
          </cell>
          <cell r="E6028">
            <v>34000000</v>
          </cell>
          <cell r="F6028">
            <v>34000000</v>
          </cell>
          <cell r="G6028">
            <v>34000000</v>
          </cell>
          <cell r="H6028">
            <v>34000000</v>
          </cell>
          <cell r="I6028" t="str">
            <v/>
          </cell>
          <cell r="J6028" t="str">
            <v/>
          </cell>
          <cell r="K6028" t="str">
            <v/>
          </cell>
          <cell r="L6028" t="str">
            <v/>
          </cell>
        </row>
        <row r="6029">
          <cell r="A6029">
            <v>34000000</v>
          </cell>
          <cell r="C6029">
            <v>34000000</v>
          </cell>
          <cell r="D6029">
            <v>34000000</v>
          </cell>
          <cell r="E6029">
            <v>34000000</v>
          </cell>
          <cell r="F6029">
            <v>34000000</v>
          </cell>
          <cell r="G6029">
            <v>34000000</v>
          </cell>
          <cell r="H6029">
            <v>34000000</v>
          </cell>
          <cell r="I6029" t="str">
            <v/>
          </cell>
          <cell r="J6029" t="str">
            <v/>
          </cell>
          <cell r="K6029" t="str">
            <v/>
          </cell>
          <cell r="L6029" t="str">
            <v/>
          </cell>
        </row>
        <row r="6030">
          <cell r="A6030">
            <v>34000000</v>
          </cell>
          <cell r="C6030">
            <v>34000000</v>
          </cell>
          <cell r="D6030">
            <v>34000000</v>
          </cell>
          <cell r="E6030">
            <v>34000000</v>
          </cell>
          <cell r="F6030">
            <v>34000000</v>
          </cell>
          <cell r="G6030">
            <v>34000000</v>
          </cell>
          <cell r="H6030">
            <v>34000000</v>
          </cell>
          <cell r="I6030" t="str">
            <v/>
          </cell>
          <cell r="J6030" t="str">
            <v/>
          </cell>
          <cell r="K6030" t="str">
            <v/>
          </cell>
          <cell r="L6030" t="str">
            <v/>
          </cell>
        </row>
        <row r="6031">
          <cell r="A6031">
            <v>34000000</v>
          </cell>
          <cell r="C6031">
            <v>34000000</v>
          </cell>
          <cell r="D6031">
            <v>34000000</v>
          </cell>
          <cell r="E6031">
            <v>34000000</v>
          </cell>
          <cell r="F6031">
            <v>34000000</v>
          </cell>
          <cell r="G6031">
            <v>34000000</v>
          </cell>
          <cell r="H6031">
            <v>34000000</v>
          </cell>
          <cell r="I6031" t="str">
            <v/>
          </cell>
          <cell r="J6031" t="str">
            <v/>
          </cell>
          <cell r="K6031" t="str">
            <v/>
          </cell>
          <cell r="L6031" t="str">
            <v/>
          </cell>
        </row>
        <row r="6032">
          <cell r="A6032">
            <v>34000000</v>
          </cell>
          <cell r="C6032">
            <v>34000000</v>
          </cell>
          <cell r="D6032">
            <v>34000000</v>
          </cell>
          <cell r="E6032">
            <v>34000000</v>
          </cell>
          <cell r="F6032">
            <v>34000000</v>
          </cell>
          <cell r="G6032">
            <v>34000000</v>
          </cell>
          <cell r="H6032">
            <v>34000000</v>
          </cell>
          <cell r="I6032" t="str">
            <v/>
          </cell>
          <cell r="J6032" t="str">
            <v/>
          </cell>
          <cell r="K6032" t="str">
            <v/>
          </cell>
          <cell r="L6032" t="str">
            <v/>
          </cell>
        </row>
        <row r="6033">
          <cell r="A6033">
            <v>34000000</v>
          </cell>
          <cell r="C6033">
            <v>34000000</v>
          </cell>
          <cell r="D6033">
            <v>34000000</v>
          </cell>
          <cell r="E6033">
            <v>34000000</v>
          </cell>
          <cell r="F6033">
            <v>34000000</v>
          </cell>
          <cell r="G6033">
            <v>34000000</v>
          </cell>
          <cell r="H6033">
            <v>34000000</v>
          </cell>
          <cell r="I6033" t="str">
            <v/>
          </cell>
          <cell r="J6033" t="str">
            <v/>
          </cell>
          <cell r="K6033" t="str">
            <v/>
          </cell>
          <cell r="L6033" t="str">
            <v/>
          </cell>
        </row>
        <row r="6034">
          <cell r="A6034">
            <v>34000000</v>
          </cell>
          <cell r="C6034">
            <v>34000000</v>
          </cell>
          <cell r="D6034">
            <v>34000000</v>
          </cell>
          <cell r="E6034">
            <v>34000000</v>
          </cell>
          <cell r="F6034">
            <v>34000000</v>
          </cell>
          <cell r="G6034">
            <v>34000000</v>
          </cell>
          <cell r="H6034">
            <v>34000000</v>
          </cell>
          <cell r="I6034" t="str">
            <v/>
          </cell>
          <cell r="J6034" t="str">
            <v/>
          </cell>
          <cell r="K6034" t="str">
            <v/>
          </cell>
          <cell r="L6034" t="str">
            <v/>
          </cell>
        </row>
        <row r="6035">
          <cell r="A6035">
            <v>34000000</v>
          </cell>
          <cell r="C6035">
            <v>34000000</v>
          </cell>
          <cell r="D6035">
            <v>34000000</v>
          </cell>
          <cell r="E6035">
            <v>34000000</v>
          </cell>
          <cell r="F6035">
            <v>34000000</v>
          </cell>
          <cell r="G6035">
            <v>34000000</v>
          </cell>
          <cell r="H6035">
            <v>34000000</v>
          </cell>
          <cell r="I6035" t="str">
            <v/>
          </cell>
          <cell r="J6035" t="str">
            <v/>
          </cell>
          <cell r="K6035" t="str">
            <v/>
          </cell>
          <cell r="L6035" t="str">
            <v/>
          </cell>
        </row>
        <row r="6036">
          <cell r="A6036">
            <v>34000000</v>
          </cell>
          <cell r="C6036">
            <v>34000000</v>
          </cell>
          <cell r="D6036">
            <v>34000000</v>
          </cell>
          <cell r="E6036">
            <v>34000000</v>
          </cell>
          <cell r="F6036">
            <v>34000000</v>
          </cell>
          <cell r="G6036">
            <v>34000000</v>
          </cell>
          <cell r="H6036">
            <v>34000000</v>
          </cell>
          <cell r="I6036" t="str">
            <v/>
          </cell>
          <cell r="J6036" t="str">
            <v/>
          </cell>
          <cell r="K6036" t="str">
            <v/>
          </cell>
          <cell r="L6036" t="str">
            <v/>
          </cell>
        </row>
        <row r="6037">
          <cell r="A6037">
            <v>34000000</v>
          </cell>
          <cell r="C6037">
            <v>34000000</v>
          </cell>
          <cell r="D6037">
            <v>34000000</v>
          </cell>
          <cell r="E6037">
            <v>34000000</v>
          </cell>
          <cell r="F6037">
            <v>34000000</v>
          </cell>
          <cell r="G6037">
            <v>34000000</v>
          </cell>
          <cell r="H6037">
            <v>34000000</v>
          </cell>
          <cell r="I6037" t="str">
            <v/>
          </cell>
          <cell r="J6037" t="str">
            <v/>
          </cell>
          <cell r="K6037" t="str">
            <v/>
          </cell>
          <cell r="L6037" t="str">
            <v/>
          </cell>
        </row>
        <row r="6038">
          <cell r="A6038">
            <v>34000000</v>
          </cell>
          <cell r="C6038">
            <v>34000000</v>
          </cell>
          <cell r="D6038">
            <v>34000000</v>
          </cell>
          <cell r="E6038">
            <v>34000000</v>
          </cell>
          <cell r="F6038">
            <v>34000000</v>
          </cell>
          <cell r="G6038">
            <v>34000000</v>
          </cell>
          <cell r="H6038">
            <v>34000000</v>
          </cell>
          <cell r="I6038" t="str">
            <v/>
          </cell>
          <cell r="J6038" t="str">
            <v/>
          </cell>
          <cell r="K6038" t="str">
            <v/>
          </cell>
          <cell r="L6038" t="str">
            <v/>
          </cell>
        </row>
        <row r="6039">
          <cell r="A6039">
            <v>34000000</v>
          </cell>
          <cell r="C6039">
            <v>34000000</v>
          </cell>
          <cell r="D6039">
            <v>34000000</v>
          </cell>
          <cell r="E6039">
            <v>34000000</v>
          </cell>
          <cell r="F6039">
            <v>34000000</v>
          </cell>
          <cell r="G6039">
            <v>34000000</v>
          </cell>
          <cell r="H6039">
            <v>34000000</v>
          </cell>
          <cell r="I6039" t="str">
            <v/>
          </cell>
          <cell r="J6039" t="str">
            <v/>
          </cell>
          <cell r="K6039" t="str">
            <v/>
          </cell>
          <cell r="L6039" t="str">
            <v/>
          </cell>
        </row>
        <row r="6040">
          <cell r="A6040">
            <v>34000000</v>
          </cell>
          <cell r="C6040">
            <v>34000000</v>
          </cell>
          <cell r="D6040">
            <v>34000000</v>
          </cell>
          <cell r="E6040">
            <v>34000000</v>
          </cell>
          <cell r="F6040">
            <v>34000000</v>
          </cell>
          <cell r="G6040">
            <v>34000000</v>
          </cell>
          <cell r="H6040">
            <v>34000000</v>
          </cell>
          <cell r="I6040" t="str">
            <v/>
          </cell>
          <cell r="J6040" t="str">
            <v/>
          </cell>
          <cell r="K6040" t="str">
            <v/>
          </cell>
          <cell r="L6040" t="str">
            <v/>
          </cell>
        </row>
        <row r="6041">
          <cell r="A6041">
            <v>34000000</v>
          </cell>
          <cell r="C6041">
            <v>34000000</v>
          </cell>
          <cell r="D6041">
            <v>34000000</v>
          </cell>
          <cell r="E6041">
            <v>34000000</v>
          </cell>
          <cell r="F6041">
            <v>34000000</v>
          </cell>
          <cell r="G6041">
            <v>34000000</v>
          </cell>
          <cell r="H6041">
            <v>34000000</v>
          </cell>
          <cell r="I6041" t="str">
            <v/>
          </cell>
          <cell r="J6041" t="str">
            <v/>
          </cell>
          <cell r="K6041" t="str">
            <v/>
          </cell>
          <cell r="L6041" t="str">
            <v/>
          </cell>
        </row>
        <row r="6042">
          <cell r="A6042">
            <v>34000000</v>
          </cell>
          <cell r="C6042">
            <v>34000000</v>
          </cell>
          <cell r="D6042">
            <v>34000000</v>
          </cell>
          <cell r="E6042">
            <v>34000000</v>
          </cell>
          <cell r="F6042">
            <v>34000000</v>
          </cell>
          <cell r="G6042">
            <v>34000000</v>
          </cell>
          <cell r="H6042">
            <v>34000000</v>
          </cell>
          <cell r="I6042" t="str">
            <v/>
          </cell>
          <cell r="J6042" t="str">
            <v/>
          </cell>
          <cell r="K6042" t="str">
            <v/>
          </cell>
          <cell r="L6042" t="str">
            <v/>
          </cell>
        </row>
        <row r="6043">
          <cell r="A6043">
            <v>34000000</v>
          </cell>
          <cell r="C6043">
            <v>34000000</v>
          </cell>
          <cell r="D6043">
            <v>34000000</v>
          </cell>
          <cell r="E6043">
            <v>34000000</v>
          </cell>
          <cell r="F6043">
            <v>34000000</v>
          </cell>
          <cell r="G6043">
            <v>34000000</v>
          </cell>
          <cell r="H6043">
            <v>34000000</v>
          </cell>
          <cell r="I6043" t="str">
            <v/>
          </cell>
          <cell r="J6043" t="str">
            <v/>
          </cell>
          <cell r="K6043" t="str">
            <v/>
          </cell>
          <cell r="L6043" t="str">
            <v/>
          </cell>
        </row>
        <row r="6044">
          <cell r="A6044">
            <v>34000000</v>
          </cell>
          <cell r="C6044">
            <v>34000000</v>
          </cell>
          <cell r="D6044">
            <v>34000000</v>
          </cell>
          <cell r="E6044">
            <v>34000000</v>
          </cell>
          <cell r="F6044">
            <v>34000000</v>
          </cell>
          <cell r="G6044">
            <v>34000000</v>
          </cell>
          <cell r="H6044">
            <v>34000000</v>
          </cell>
          <cell r="I6044" t="str">
            <v/>
          </cell>
          <cell r="J6044" t="str">
            <v/>
          </cell>
          <cell r="K6044" t="str">
            <v/>
          </cell>
          <cell r="L6044" t="str">
            <v/>
          </cell>
        </row>
        <row r="6045">
          <cell r="A6045">
            <v>34000000</v>
          </cell>
          <cell r="C6045">
            <v>34000000</v>
          </cell>
          <cell r="D6045">
            <v>34000000</v>
          </cell>
          <cell r="E6045">
            <v>34000000</v>
          </cell>
          <cell r="F6045">
            <v>34000000</v>
          </cell>
          <cell r="G6045">
            <v>34000000</v>
          </cell>
          <cell r="H6045">
            <v>34000000</v>
          </cell>
          <cell r="I6045" t="str">
            <v/>
          </cell>
          <cell r="J6045" t="str">
            <v/>
          </cell>
          <cell r="K6045" t="str">
            <v/>
          </cell>
          <cell r="L6045" t="str">
            <v/>
          </cell>
        </row>
        <row r="6046">
          <cell r="A6046">
            <v>34000000</v>
          </cell>
          <cell r="C6046">
            <v>34000000</v>
          </cell>
          <cell r="D6046">
            <v>34000000</v>
          </cell>
          <cell r="E6046">
            <v>34000000</v>
          </cell>
          <cell r="F6046">
            <v>34000000</v>
          </cell>
          <cell r="G6046">
            <v>34000000</v>
          </cell>
          <cell r="H6046">
            <v>34000000</v>
          </cell>
          <cell r="I6046" t="str">
            <v/>
          </cell>
          <cell r="J6046" t="str">
            <v/>
          </cell>
          <cell r="K6046" t="str">
            <v/>
          </cell>
          <cell r="L6046" t="str">
            <v/>
          </cell>
        </row>
        <row r="6047">
          <cell r="A6047">
            <v>34000000</v>
          </cell>
          <cell r="C6047">
            <v>34000000</v>
          </cell>
          <cell r="D6047">
            <v>34000000</v>
          </cell>
          <cell r="E6047">
            <v>34000000</v>
          </cell>
          <cell r="F6047">
            <v>34000000</v>
          </cell>
          <cell r="G6047">
            <v>34000000</v>
          </cell>
          <cell r="H6047">
            <v>34000000</v>
          </cell>
          <cell r="I6047" t="str">
            <v/>
          </cell>
          <cell r="J6047" t="str">
            <v/>
          </cell>
          <cell r="K6047" t="str">
            <v/>
          </cell>
          <cell r="L6047" t="str">
            <v/>
          </cell>
        </row>
        <row r="6048">
          <cell r="A6048">
            <v>34000000</v>
          </cell>
          <cell r="C6048">
            <v>34000000</v>
          </cell>
          <cell r="D6048">
            <v>34000000</v>
          </cell>
          <cell r="E6048">
            <v>34000000</v>
          </cell>
          <cell r="F6048">
            <v>34000000</v>
          </cell>
          <cell r="G6048">
            <v>34000000</v>
          </cell>
          <cell r="H6048">
            <v>34000000</v>
          </cell>
          <cell r="I6048" t="str">
            <v/>
          </cell>
          <cell r="J6048" t="str">
            <v/>
          </cell>
          <cell r="K6048" t="str">
            <v/>
          </cell>
          <cell r="L6048" t="str">
            <v/>
          </cell>
        </row>
        <row r="6049">
          <cell r="A6049">
            <v>34000000</v>
          </cell>
          <cell r="C6049">
            <v>34000000</v>
          </cell>
          <cell r="D6049">
            <v>34000000</v>
          </cell>
          <cell r="E6049">
            <v>34000000</v>
          </cell>
          <cell r="F6049">
            <v>34000000</v>
          </cell>
          <cell r="G6049">
            <v>34000000</v>
          </cell>
          <cell r="H6049">
            <v>34000000</v>
          </cell>
          <cell r="I6049" t="str">
            <v/>
          </cell>
          <cell r="J6049" t="str">
            <v/>
          </cell>
          <cell r="K6049" t="str">
            <v/>
          </cell>
          <cell r="L6049" t="str">
            <v/>
          </cell>
        </row>
        <row r="6050">
          <cell r="A6050">
            <v>34000000</v>
          </cell>
          <cell r="C6050">
            <v>34000000</v>
          </cell>
          <cell r="D6050">
            <v>34000000</v>
          </cell>
          <cell r="E6050">
            <v>34000000</v>
          </cell>
          <cell r="F6050">
            <v>34000000</v>
          </cell>
          <cell r="G6050">
            <v>34000000</v>
          </cell>
          <cell r="H6050">
            <v>34000000</v>
          </cell>
          <cell r="I6050" t="str">
            <v/>
          </cell>
          <cell r="J6050" t="str">
            <v/>
          </cell>
          <cell r="K6050" t="str">
            <v/>
          </cell>
          <cell r="L6050" t="str">
            <v/>
          </cell>
        </row>
        <row r="6051">
          <cell r="A6051">
            <v>34000000</v>
          </cell>
          <cell r="C6051">
            <v>34000000</v>
          </cell>
          <cell r="D6051">
            <v>34000000</v>
          </cell>
          <cell r="E6051">
            <v>34000000</v>
          </cell>
          <cell r="F6051">
            <v>34000000</v>
          </cell>
          <cell r="G6051">
            <v>34000000</v>
          </cell>
          <cell r="H6051">
            <v>34000000</v>
          </cell>
          <cell r="I6051" t="str">
            <v/>
          </cell>
          <cell r="J6051" t="str">
            <v/>
          </cell>
          <cell r="K6051" t="str">
            <v/>
          </cell>
          <cell r="L6051" t="str">
            <v/>
          </cell>
        </row>
        <row r="6052">
          <cell r="A6052">
            <v>34000000</v>
          </cell>
          <cell r="C6052">
            <v>34000000</v>
          </cell>
          <cell r="D6052">
            <v>34000000</v>
          </cell>
          <cell r="E6052">
            <v>34000000</v>
          </cell>
          <cell r="F6052">
            <v>34000000</v>
          </cell>
          <cell r="G6052">
            <v>34000000</v>
          </cell>
          <cell r="H6052">
            <v>34000000</v>
          </cell>
          <cell r="I6052" t="str">
            <v/>
          </cell>
          <cell r="J6052" t="str">
            <v/>
          </cell>
          <cell r="K6052" t="str">
            <v/>
          </cell>
          <cell r="L6052" t="str">
            <v/>
          </cell>
        </row>
        <row r="6053">
          <cell r="A6053">
            <v>34000000</v>
          </cell>
          <cell r="C6053">
            <v>34000000</v>
          </cell>
          <cell r="D6053">
            <v>34000000</v>
          </cell>
          <cell r="E6053">
            <v>34000000</v>
          </cell>
          <cell r="F6053">
            <v>34000000</v>
          </cell>
          <cell r="G6053">
            <v>34000000</v>
          </cell>
          <cell r="H6053">
            <v>34000000</v>
          </cell>
          <cell r="I6053" t="str">
            <v/>
          </cell>
          <cell r="J6053" t="str">
            <v/>
          </cell>
          <cell r="K6053" t="str">
            <v/>
          </cell>
          <cell r="L6053" t="str">
            <v/>
          </cell>
        </row>
        <row r="6054">
          <cell r="A6054">
            <v>34000000</v>
          </cell>
          <cell r="C6054">
            <v>34000000</v>
          </cell>
          <cell r="D6054">
            <v>34000000</v>
          </cell>
          <cell r="E6054">
            <v>34000000</v>
          </cell>
          <cell r="F6054">
            <v>34000000</v>
          </cell>
          <cell r="G6054">
            <v>34000000</v>
          </cell>
          <cell r="H6054">
            <v>34000000</v>
          </cell>
          <cell r="I6054" t="str">
            <v/>
          </cell>
          <cell r="J6054" t="str">
            <v/>
          </cell>
          <cell r="K6054" t="str">
            <v/>
          </cell>
          <cell r="L6054" t="str">
            <v/>
          </cell>
        </row>
        <row r="6055">
          <cell r="A6055">
            <v>34000000</v>
          </cell>
          <cell r="C6055">
            <v>34000000</v>
          </cell>
          <cell r="D6055">
            <v>34000000</v>
          </cell>
          <cell r="E6055">
            <v>34000000</v>
          </cell>
          <cell r="F6055">
            <v>34000000</v>
          </cell>
          <cell r="G6055">
            <v>34000000</v>
          </cell>
          <cell r="H6055">
            <v>34000000</v>
          </cell>
          <cell r="I6055" t="str">
            <v/>
          </cell>
          <cell r="J6055" t="str">
            <v/>
          </cell>
          <cell r="K6055" t="str">
            <v/>
          </cell>
          <cell r="L6055" t="str">
            <v/>
          </cell>
        </row>
        <row r="6056">
          <cell r="A6056">
            <v>34000000</v>
          </cell>
          <cell r="C6056">
            <v>34000000</v>
          </cell>
          <cell r="D6056">
            <v>34000000</v>
          </cell>
          <cell r="E6056">
            <v>34000000</v>
          </cell>
          <cell r="F6056">
            <v>34000000</v>
          </cell>
          <cell r="G6056">
            <v>34000000</v>
          </cell>
          <cell r="H6056">
            <v>34000000</v>
          </cell>
          <cell r="I6056" t="str">
            <v/>
          </cell>
          <cell r="J6056" t="str">
            <v/>
          </cell>
          <cell r="K6056" t="str">
            <v/>
          </cell>
          <cell r="L6056" t="str">
            <v/>
          </cell>
        </row>
        <row r="6057">
          <cell r="A6057">
            <v>34000000</v>
          </cell>
          <cell r="C6057">
            <v>34000000</v>
          </cell>
          <cell r="D6057">
            <v>34000000</v>
          </cell>
          <cell r="E6057">
            <v>34000000</v>
          </cell>
          <cell r="F6057">
            <v>34000000</v>
          </cell>
          <cell r="G6057">
            <v>34000000</v>
          </cell>
          <cell r="H6057">
            <v>34000000</v>
          </cell>
          <cell r="I6057" t="str">
            <v/>
          </cell>
          <cell r="J6057" t="str">
            <v/>
          </cell>
          <cell r="K6057" t="str">
            <v/>
          </cell>
          <cell r="L6057" t="str">
            <v/>
          </cell>
        </row>
        <row r="6058">
          <cell r="A6058">
            <v>34000000</v>
          </cell>
          <cell r="C6058">
            <v>34000000</v>
          </cell>
          <cell r="D6058">
            <v>34000000</v>
          </cell>
          <cell r="E6058">
            <v>34000000</v>
          </cell>
          <cell r="F6058">
            <v>34000000</v>
          </cell>
          <cell r="G6058">
            <v>34000000</v>
          </cell>
          <cell r="H6058">
            <v>34000000</v>
          </cell>
          <cell r="I6058" t="str">
            <v/>
          </cell>
          <cell r="J6058" t="str">
            <v/>
          </cell>
          <cell r="K6058" t="str">
            <v/>
          </cell>
          <cell r="L6058" t="str">
            <v/>
          </cell>
        </row>
        <row r="6059">
          <cell r="A6059">
            <v>34000000</v>
          </cell>
          <cell r="C6059">
            <v>34000000</v>
          </cell>
          <cell r="D6059">
            <v>34000000</v>
          </cell>
          <cell r="E6059">
            <v>34000000</v>
          </cell>
          <cell r="F6059">
            <v>34000000</v>
          </cell>
          <cell r="G6059">
            <v>34000000</v>
          </cell>
          <cell r="H6059">
            <v>34000000</v>
          </cell>
          <cell r="I6059" t="str">
            <v/>
          </cell>
          <cell r="J6059" t="str">
            <v/>
          </cell>
          <cell r="K6059" t="str">
            <v/>
          </cell>
          <cell r="L6059" t="str">
            <v/>
          </cell>
        </row>
        <row r="6060">
          <cell r="A6060">
            <v>34000000</v>
          </cell>
          <cell r="C6060">
            <v>34000000</v>
          </cell>
          <cell r="D6060">
            <v>34000000</v>
          </cell>
          <cell r="E6060">
            <v>34000000</v>
          </cell>
          <cell r="F6060">
            <v>34000000</v>
          </cell>
          <cell r="G6060">
            <v>34000000</v>
          </cell>
          <cell r="H6060">
            <v>34000000</v>
          </cell>
          <cell r="I6060" t="str">
            <v/>
          </cell>
          <cell r="J6060" t="str">
            <v/>
          </cell>
          <cell r="K6060" t="str">
            <v/>
          </cell>
          <cell r="L6060" t="str">
            <v/>
          </cell>
        </row>
        <row r="6061">
          <cell r="A6061">
            <v>34000000</v>
          </cell>
          <cell r="C6061">
            <v>34000000</v>
          </cell>
          <cell r="D6061">
            <v>34000000</v>
          </cell>
          <cell r="E6061">
            <v>34000000</v>
          </cell>
          <cell r="F6061">
            <v>34000000</v>
          </cell>
          <cell r="G6061">
            <v>34000000</v>
          </cell>
          <cell r="H6061">
            <v>34000000</v>
          </cell>
          <cell r="I6061" t="str">
            <v/>
          </cell>
          <cell r="J6061" t="str">
            <v/>
          </cell>
          <cell r="K6061" t="str">
            <v/>
          </cell>
          <cell r="L6061" t="str">
            <v/>
          </cell>
        </row>
        <row r="6062">
          <cell r="A6062">
            <v>34000000</v>
          </cell>
          <cell r="C6062">
            <v>34000000</v>
          </cell>
          <cell r="D6062">
            <v>34000000</v>
          </cell>
          <cell r="E6062">
            <v>34000000</v>
          </cell>
          <cell r="F6062">
            <v>34000000</v>
          </cell>
          <cell r="G6062">
            <v>34000000</v>
          </cell>
          <cell r="H6062">
            <v>34000000</v>
          </cell>
          <cell r="I6062" t="str">
            <v/>
          </cell>
          <cell r="J6062" t="str">
            <v/>
          </cell>
          <cell r="K6062" t="str">
            <v/>
          </cell>
          <cell r="L6062" t="str">
            <v/>
          </cell>
        </row>
        <row r="6063">
          <cell r="A6063">
            <v>34000000</v>
          </cell>
          <cell r="C6063">
            <v>34000000</v>
          </cell>
          <cell r="D6063">
            <v>34000000</v>
          </cell>
          <cell r="E6063">
            <v>34000000</v>
          </cell>
          <cell r="F6063">
            <v>34000000</v>
          </cell>
          <cell r="G6063">
            <v>34000000</v>
          </cell>
          <cell r="H6063">
            <v>34000000</v>
          </cell>
          <cell r="I6063" t="str">
            <v/>
          </cell>
          <cell r="J6063" t="str">
            <v/>
          </cell>
          <cell r="K6063" t="str">
            <v/>
          </cell>
          <cell r="L6063" t="str">
            <v/>
          </cell>
        </row>
        <row r="6064">
          <cell r="A6064">
            <v>34000000</v>
          </cell>
          <cell r="C6064">
            <v>34000000</v>
          </cell>
          <cell r="D6064">
            <v>34000000</v>
          </cell>
          <cell r="E6064">
            <v>34000000</v>
          </cell>
          <cell r="F6064">
            <v>34000000</v>
          </cell>
          <cell r="G6064">
            <v>34000000</v>
          </cell>
          <cell r="H6064">
            <v>34000000</v>
          </cell>
          <cell r="I6064" t="str">
            <v/>
          </cell>
          <cell r="J6064" t="str">
            <v/>
          </cell>
          <cell r="K6064" t="str">
            <v/>
          </cell>
          <cell r="L6064" t="str">
            <v/>
          </cell>
        </row>
        <row r="6065">
          <cell r="A6065">
            <v>34000000</v>
          </cell>
          <cell r="C6065">
            <v>34000000</v>
          </cell>
          <cell r="D6065">
            <v>34000000</v>
          </cell>
          <cell r="E6065">
            <v>34000000</v>
          </cell>
          <cell r="F6065">
            <v>34000000</v>
          </cell>
          <cell r="G6065">
            <v>34000000</v>
          </cell>
          <cell r="H6065">
            <v>34000000</v>
          </cell>
          <cell r="I6065" t="str">
            <v/>
          </cell>
          <cell r="J6065" t="str">
            <v/>
          </cell>
          <cell r="K6065" t="str">
            <v/>
          </cell>
          <cell r="L6065" t="str">
            <v/>
          </cell>
        </row>
        <row r="6066">
          <cell r="A6066">
            <v>34000000</v>
          </cell>
          <cell r="C6066">
            <v>34000000</v>
          </cell>
          <cell r="D6066">
            <v>34000000</v>
          </cell>
          <cell r="E6066">
            <v>34000000</v>
          </cell>
          <cell r="F6066">
            <v>34000000</v>
          </cell>
          <cell r="G6066">
            <v>34000000</v>
          </cell>
          <cell r="H6066">
            <v>34000000</v>
          </cell>
          <cell r="I6066" t="str">
            <v/>
          </cell>
          <cell r="J6066" t="str">
            <v/>
          </cell>
          <cell r="K6066" t="str">
            <v/>
          </cell>
          <cell r="L6066" t="str">
            <v/>
          </cell>
        </row>
        <row r="6067">
          <cell r="A6067">
            <v>34000000</v>
          </cell>
          <cell r="C6067">
            <v>34000000</v>
          </cell>
          <cell r="D6067">
            <v>34000000</v>
          </cell>
          <cell r="E6067">
            <v>34000000</v>
          </cell>
          <cell r="F6067">
            <v>34000000</v>
          </cell>
          <cell r="G6067">
            <v>34000000</v>
          </cell>
          <cell r="H6067">
            <v>34000000</v>
          </cell>
          <cell r="I6067" t="str">
            <v/>
          </cell>
          <cell r="J6067" t="str">
            <v/>
          </cell>
          <cell r="K6067" t="str">
            <v/>
          </cell>
          <cell r="L6067" t="str">
            <v/>
          </cell>
        </row>
        <row r="6068">
          <cell r="A6068">
            <v>34000000</v>
          </cell>
          <cell r="C6068">
            <v>34000000</v>
          </cell>
          <cell r="D6068">
            <v>34000000</v>
          </cell>
          <cell r="E6068">
            <v>34000000</v>
          </cell>
          <cell r="F6068">
            <v>34000000</v>
          </cell>
          <cell r="G6068">
            <v>34000000</v>
          </cell>
          <cell r="H6068">
            <v>34000000</v>
          </cell>
          <cell r="I6068" t="str">
            <v/>
          </cell>
          <cell r="J6068" t="str">
            <v/>
          </cell>
          <cell r="K6068" t="str">
            <v/>
          </cell>
          <cell r="L6068" t="str">
            <v/>
          </cell>
        </row>
        <row r="6069">
          <cell r="A6069">
            <v>34000000</v>
          </cell>
          <cell r="C6069">
            <v>34000000</v>
          </cell>
          <cell r="D6069">
            <v>34000000</v>
          </cell>
          <cell r="E6069">
            <v>34000000</v>
          </cell>
          <cell r="F6069">
            <v>34000000</v>
          </cell>
          <cell r="G6069">
            <v>34000000</v>
          </cell>
          <cell r="H6069">
            <v>34000000</v>
          </cell>
          <cell r="I6069" t="str">
            <v/>
          </cell>
          <cell r="J6069" t="str">
            <v/>
          </cell>
          <cell r="K6069" t="str">
            <v/>
          </cell>
          <cell r="L6069" t="str">
            <v/>
          </cell>
        </row>
        <row r="6070">
          <cell r="A6070">
            <v>34000000</v>
          </cell>
          <cell r="C6070">
            <v>34000000</v>
          </cell>
          <cell r="D6070">
            <v>34000000</v>
          </cell>
          <cell r="E6070">
            <v>34000000</v>
          </cell>
          <cell r="F6070">
            <v>34000000</v>
          </cell>
          <cell r="G6070">
            <v>34000000</v>
          </cell>
          <cell r="H6070">
            <v>34000000</v>
          </cell>
          <cell r="I6070" t="str">
            <v/>
          </cell>
          <cell r="J6070" t="str">
            <v/>
          </cell>
          <cell r="K6070" t="str">
            <v/>
          </cell>
          <cell r="L6070" t="str">
            <v/>
          </cell>
        </row>
        <row r="6071">
          <cell r="A6071">
            <v>34000000</v>
          </cell>
          <cell r="C6071">
            <v>34000000</v>
          </cell>
          <cell r="D6071">
            <v>34000000</v>
          </cell>
          <cell r="E6071">
            <v>34000000</v>
          </cell>
          <cell r="F6071">
            <v>34000000</v>
          </cell>
          <cell r="G6071">
            <v>34000000</v>
          </cell>
          <cell r="H6071">
            <v>34000000</v>
          </cell>
          <cell r="I6071" t="str">
            <v/>
          </cell>
          <cell r="J6071" t="str">
            <v/>
          </cell>
          <cell r="K6071" t="str">
            <v/>
          </cell>
          <cell r="L6071" t="str">
            <v/>
          </cell>
        </row>
        <row r="6072">
          <cell r="A6072">
            <v>34000000</v>
          </cell>
          <cell r="C6072">
            <v>34000000</v>
          </cell>
          <cell r="D6072">
            <v>34000000</v>
          </cell>
          <cell r="E6072">
            <v>34000000</v>
          </cell>
          <cell r="F6072">
            <v>34000000</v>
          </cell>
          <cell r="G6072">
            <v>34000000</v>
          </cell>
          <cell r="H6072">
            <v>34000000</v>
          </cell>
          <cell r="I6072" t="str">
            <v/>
          </cell>
          <cell r="J6072" t="str">
            <v/>
          </cell>
          <cell r="K6072" t="str">
            <v/>
          </cell>
          <cell r="L6072" t="str">
            <v/>
          </cell>
        </row>
        <row r="6073">
          <cell r="A6073">
            <v>34000000</v>
          </cell>
          <cell r="C6073">
            <v>34000000</v>
          </cell>
          <cell r="D6073">
            <v>34000000</v>
          </cell>
          <cell r="E6073">
            <v>34000000</v>
          </cell>
          <cell r="F6073">
            <v>34000000</v>
          </cell>
          <cell r="G6073">
            <v>34000000</v>
          </cell>
          <cell r="H6073">
            <v>34000000</v>
          </cell>
          <cell r="I6073" t="str">
            <v/>
          </cell>
          <cell r="J6073" t="str">
            <v/>
          </cell>
          <cell r="K6073" t="str">
            <v/>
          </cell>
          <cell r="L6073" t="str">
            <v/>
          </cell>
        </row>
        <row r="6074">
          <cell r="A6074">
            <v>34000000</v>
          </cell>
          <cell r="C6074">
            <v>34000000</v>
          </cell>
          <cell r="D6074">
            <v>34000000</v>
          </cell>
          <cell r="E6074">
            <v>34000000</v>
          </cell>
          <cell r="F6074">
            <v>34000000</v>
          </cell>
          <cell r="G6074">
            <v>34000000</v>
          </cell>
          <cell r="H6074">
            <v>34000000</v>
          </cell>
          <cell r="I6074" t="str">
            <v/>
          </cell>
          <cell r="J6074" t="str">
            <v/>
          </cell>
          <cell r="K6074" t="str">
            <v/>
          </cell>
          <cell r="L6074" t="str">
            <v/>
          </cell>
        </row>
        <row r="6075">
          <cell r="A6075">
            <v>34000000</v>
          </cell>
          <cell r="C6075">
            <v>34000000</v>
          </cell>
          <cell r="D6075">
            <v>34000000</v>
          </cell>
          <cell r="E6075">
            <v>34000000</v>
          </cell>
          <cell r="F6075">
            <v>34000000</v>
          </cell>
          <cell r="G6075">
            <v>34000000</v>
          </cell>
          <cell r="H6075">
            <v>34000000</v>
          </cell>
          <cell r="I6075" t="str">
            <v/>
          </cell>
          <cell r="J6075" t="str">
            <v/>
          </cell>
          <cell r="K6075" t="str">
            <v/>
          </cell>
          <cell r="L6075" t="str">
            <v/>
          </cell>
        </row>
        <row r="6076">
          <cell r="A6076">
            <v>34000000</v>
          </cell>
          <cell r="C6076">
            <v>34000000</v>
          </cell>
          <cell r="D6076">
            <v>34000000</v>
          </cell>
          <cell r="E6076">
            <v>34000000</v>
          </cell>
          <cell r="F6076">
            <v>34000000</v>
          </cell>
          <cell r="G6076">
            <v>34000000</v>
          </cell>
          <cell r="H6076">
            <v>34000000</v>
          </cell>
          <cell r="I6076" t="str">
            <v/>
          </cell>
          <cell r="J6076" t="str">
            <v/>
          </cell>
          <cell r="K6076" t="str">
            <v/>
          </cell>
          <cell r="L6076" t="str">
            <v/>
          </cell>
        </row>
        <row r="6077">
          <cell r="A6077">
            <v>34000000</v>
          </cell>
          <cell r="C6077">
            <v>34000000</v>
          </cell>
          <cell r="D6077">
            <v>34000000</v>
          </cell>
          <cell r="E6077">
            <v>34000000</v>
          </cell>
          <cell r="F6077">
            <v>34000000</v>
          </cell>
          <cell r="G6077">
            <v>34000000</v>
          </cell>
          <cell r="H6077">
            <v>34000000</v>
          </cell>
          <cell r="I6077" t="str">
            <v/>
          </cell>
          <cell r="J6077" t="str">
            <v/>
          </cell>
          <cell r="K6077" t="str">
            <v/>
          </cell>
          <cell r="L6077" t="str">
            <v/>
          </cell>
        </row>
        <row r="6078">
          <cell r="A6078">
            <v>34000000</v>
          </cell>
          <cell r="C6078">
            <v>34000000</v>
          </cell>
          <cell r="D6078">
            <v>34000000</v>
          </cell>
          <cell r="E6078">
            <v>34000000</v>
          </cell>
          <cell r="F6078">
            <v>34000000</v>
          </cell>
          <cell r="G6078">
            <v>34000000</v>
          </cell>
          <cell r="H6078">
            <v>34000000</v>
          </cell>
          <cell r="I6078" t="str">
            <v/>
          </cell>
          <cell r="J6078" t="str">
            <v/>
          </cell>
          <cell r="K6078" t="str">
            <v/>
          </cell>
          <cell r="L6078" t="str">
            <v/>
          </cell>
        </row>
        <row r="6079">
          <cell r="A6079">
            <v>34000000</v>
          </cell>
          <cell r="C6079">
            <v>34000000</v>
          </cell>
          <cell r="D6079">
            <v>34000000</v>
          </cell>
          <cell r="E6079">
            <v>34000000</v>
          </cell>
          <cell r="F6079">
            <v>34000000</v>
          </cell>
          <cell r="G6079">
            <v>34000000</v>
          </cell>
          <cell r="H6079">
            <v>34000000</v>
          </cell>
          <cell r="I6079" t="str">
            <v/>
          </cell>
          <cell r="J6079" t="str">
            <v/>
          </cell>
          <cell r="K6079" t="str">
            <v/>
          </cell>
          <cell r="L6079" t="str">
            <v/>
          </cell>
        </row>
        <row r="6080">
          <cell r="A6080">
            <v>34000000</v>
          </cell>
          <cell r="C6080">
            <v>34000000</v>
          </cell>
          <cell r="D6080">
            <v>34000000</v>
          </cell>
          <cell r="E6080">
            <v>34000000</v>
          </cell>
          <cell r="F6080">
            <v>34000000</v>
          </cell>
          <cell r="G6080">
            <v>34000000</v>
          </cell>
          <cell r="H6080">
            <v>34000000</v>
          </cell>
          <cell r="I6080" t="str">
            <v/>
          </cell>
          <cell r="J6080" t="str">
            <v/>
          </cell>
          <cell r="K6080" t="str">
            <v/>
          </cell>
          <cell r="L6080" t="str">
            <v/>
          </cell>
        </row>
        <row r="6081">
          <cell r="A6081">
            <v>34000000</v>
          </cell>
          <cell r="C6081">
            <v>34000000</v>
          </cell>
          <cell r="D6081">
            <v>34000000</v>
          </cell>
          <cell r="E6081">
            <v>34000000</v>
          </cell>
          <cell r="F6081">
            <v>34000000</v>
          </cell>
          <cell r="G6081">
            <v>34000000</v>
          </cell>
          <cell r="H6081">
            <v>34000000</v>
          </cell>
          <cell r="I6081" t="str">
            <v/>
          </cell>
          <cell r="J6081" t="str">
            <v/>
          </cell>
          <cell r="K6081" t="str">
            <v/>
          </cell>
          <cell r="L6081" t="str">
            <v/>
          </cell>
        </row>
        <row r="6082">
          <cell r="A6082">
            <v>34000000</v>
          </cell>
          <cell r="C6082">
            <v>34000000</v>
          </cell>
          <cell r="D6082">
            <v>34000000</v>
          </cell>
          <cell r="E6082">
            <v>34000000</v>
          </cell>
          <cell r="F6082">
            <v>34000000</v>
          </cell>
          <cell r="G6082">
            <v>34000000</v>
          </cell>
          <cell r="H6082">
            <v>34000000</v>
          </cell>
          <cell r="I6082" t="str">
            <v/>
          </cell>
          <cell r="J6082" t="str">
            <v/>
          </cell>
          <cell r="K6082" t="str">
            <v/>
          </cell>
          <cell r="L6082" t="str">
            <v/>
          </cell>
        </row>
        <row r="6083">
          <cell r="A6083">
            <v>34000000</v>
          </cell>
          <cell r="C6083">
            <v>34000000</v>
          </cell>
          <cell r="D6083">
            <v>34000000</v>
          </cell>
          <cell r="E6083">
            <v>34000000</v>
          </cell>
          <cell r="F6083">
            <v>34000000</v>
          </cell>
          <cell r="G6083">
            <v>34000000</v>
          </cell>
          <cell r="H6083">
            <v>34000000</v>
          </cell>
          <cell r="I6083" t="str">
            <v/>
          </cell>
          <cell r="J6083" t="str">
            <v/>
          </cell>
          <cell r="K6083" t="str">
            <v/>
          </cell>
          <cell r="L6083" t="str">
            <v/>
          </cell>
        </row>
        <row r="6084">
          <cell r="A6084">
            <v>34000000</v>
          </cell>
          <cell r="C6084">
            <v>34000000</v>
          </cell>
          <cell r="D6084">
            <v>34000000</v>
          </cell>
          <cell r="E6084">
            <v>34000000</v>
          </cell>
          <cell r="F6084">
            <v>34000000</v>
          </cell>
          <cell r="G6084">
            <v>34000000</v>
          </cell>
          <cell r="H6084">
            <v>34000000</v>
          </cell>
          <cell r="I6084" t="str">
            <v/>
          </cell>
          <cell r="J6084" t="str">
            <v/>
          </cell>
          <cell r="K6084" t="str">
            <v/>
          </cell>
          <cell r="L6084" t="str">
            <v/>
          </cell>
        </row>
        <row r="6085">
          <cell r="A6085">
            <v>34000000</v>
          </cell>
          <cell r="C6085">
            <v>34000000</v>
          </cell>
          <cell r="D6085">
            <v>34000000</v>
          </cell>
          <cell r="E6085">
            <v>34000000</v>
          </cell>
          <cell r="F6085">
            <v>34000000</v>
          </cell>
          <cell r="G6085">
            <v>34000000</v>
          </cell>
          <cell r="H6085">
            <v>34000000</v>
          </cell>
          <cell r="I6085" t="str">
            <v/>
          </cell>
          <cell r="J6085" t="str">
            <v/>
          </cell>
          <cell r="K6085" t="str">
            <v/>
          </cell>
          <cell r="L6085" t="str">
            <v/>
          </cell>
        </row>
        <row r="6086">
          <cell r="A6086">
            <v>34000000</v>
          </cell>
          <cell r="C6086">
            <v>34000000</v>
          </cell>
          <cell r="D6086">
            <v>34000000</v>
          </cell>
          <cell r="E6086">
            <v>34000000</v>
          </cell>
          <cell r="F6086">
            <v>34000000</v>
          </cell>
          <cell r="G6086">
            <v>34000000</v>
          </cell>
          <cell r="H6086">
            <v>34000000</v>
          </cell>
          <cell r="I6086" t="str">
            <v/>
          </cell>
          <cell r="J6086" t="str">
            <v/>
          </cell>
          <cell r="K6086" t="str">
            <v/>
          </cell>
          <cell r="L6086" t="str">
            <v/>
          </cell>
        </row>
        <row r="6087">
          <cell r="A6087">
            <v>34000000</v>
          </cell>
          <cell r="C6087">
            <v>34000000</v>
          </cell>
          <cell r="D6087">
            <v>34000000</v>
          </cell>
          <cell r="E6087">
            <v>34000000</v>
          </cell>
          <cell r="F6087">
            <v>34000000</v>
          </cell>
          <cell r="G6087">
            <v>34000000</v>
          </cell>
          <cell r="H6087">
            <v>34000000</v>
          </cell>
          <cell r="I6087" t="str">
            <v/>
          </cell>
          <cell r="J6087" t="str">
            <v/>
          </cell>
          <cell r="K6087" t="str">
            <v/>
          </cell>
          <cell r="L6087" t="str">
            <v/>
          </cell>
        </row>
        <row r="6088">
          <cell r="A6088">
            <v>34000000</v>
          </cell>
          <cell r="C6088">
            <v>34000000</v>
          </cell>
          <cell r="D6088">
            <v>34000000</v>
          </cell>
          <cell r="E6088">
            <v>34000000</v>
          </cell>
          <cell r="F6088">
            <v>34000000</v>
          </cell>
          <cell r="G6088">
            <v>34000000</v>
          </cell>
          <cell r="H6088">
            <v>34000000</v>
          </cell>
          <cell r="I6088" t="str">
            <v/>
          </cell>
          <cell r="J6088" t="str">
            <v/>
          </cell>
          <cell r="K6088" t="str">
            <v/>
          </cell>
          <cell r="L6088" t="str">
            <v/>
          </cell>
        </row>
        <row r="6089">
          <cell r="A6089">
            <v>34000000</v>
          </cell>
          <cell r="C6089">
            <v>34000000</v>
          </cell>
          <cell r="D6089">
            <v>34000000</v>
          </cell>
          <cell r="E6089">
            <v>34000000</v>
          </cell>
          <cell r="F6089">
            <v>34000000</v>
          </cell>
          <cell r="G6089">
            <v>34000000</v>
          </cell>
          <cell r="H6089">
            <v>34000000</v>
          </cell>
          <cell r="I6089" t="str">
            <v/>
          </cell>
          <cell r="J6089" t="str">
            <v/>
          </cell>
          <cell r="K6089" t="str">
            <v/>
          </cell>
          <cell r="L6089" t="str">
            <v/>
          </cell>
        </row>
        <row r="6090">
          <cell r="A6090">
            <v>34000000</v>
          </cell>
          <cell r="C6090">
            <v>34000000</v>
          </cell>
          <cell r="D6090">
            <v>34000000</v>
          </cell>
          <cell r="E6090">
            <v>34000000</v>
          </cell>
          <cell r="F6090">
            <v>34000000</v>
          </cell>
          <cell r="G6090">
            <v>34000000</v>
          </cell>
          <cell r="H6090">
            <v>34000000</v>
          </cell>
          <cell r="I6090" t="str">
            <v/>
          </cell>
          <cell r="J6090" t="str">
            <v/>
          </cell>
          <cell r="K6090" t="str">
            <v/>
          </cell>
          <cell r="L6090" t="str">
            <v/>
          </cell>
        </row>
        <row r="6091">
          <cell r="A6091">
            <v>34000000</v>
          </cell>
          <cell r="C6091">
            <v>34000000</v>
          </cell>
          <cell r="D6091">
            <v>34000000</v>
          </cell>
          <cell r="E6091">
            <v>34000000</v>
          </cell>
          <cell r="F6091">
            <v>34000000</v>
          </cell>
          <cell r="G6091">
            <v>34000000</v>
          </cell>
          <cell r="H6091">
            <v>34000000</v>
          </cell>
          <cell r="I6091" t="str">
            <v/>
          </cell>
          <cell r="J6091" t="str">
            <v/>
          </cell>
          <cell r="K6091" t="str">
            <v/>
          </cell>
          <cell r="L6091" t="str">
            <v/>
          </cell>
        </row>
        <row r="6092">
          <cell r="A6092">
            <v>34000000</v>
          </cell>
          <cell r="C6092">
            <v>34000000</v>
          </cell>
          <cell r="D6092">
            <v>34000000</v>
          </cell>
          <cell r="E6092">
            <v>34000000</v>
          </cell>
          <cell r="F6092">
            <v>34000000</v>
          </cell>
          <cell r="G6092">
            <v>34000000</v>
          </cell>
          <cell r="H6092">
            <v>34000000</v>
          </cell>
          <cell r="I6092" t="str">
            <v/>
          </cell>
          <cell r="J6092" t="str">
            <v/>
          </cell>
          <cell r="K6092" t="str">
            <v/>
          </cell>
          <cell r="L6092" t="str">
            <v/>
          </cell>
        </row>
        <row r="6093">
          <cell r="A6093">
            <v>34000000</v>
          </cell>
          <cell r="C6093">
            <v>34000000</v>
          </cell>
          <cell r="D6093">
            <v>34000000</v>
          </cell>
          <cell r="E6093">
            <v>34000000</v>
          </cell>
          <cell r="F6093">
            <v>34000000</v>
          </cell>
          <cell r="G6093">
            <v>34000000</v>
          </cell>
          <cell r="H6093">
            <v>34000000</v>
          </cell>
          <cell r="I6093" t="str">
            <v/>
          </cell>
          <cell r="J6093" t="str">
            <v/>
          </cell>
          <cell r="K6093" t="str">
            <v/>
          </cell>
          <cell r="L6093" t="str">
            <v/>
          </cell>
        </row>
        <row r="6094">
          <cell r="A6094">
            <v>34000000</v>
          </cell>
          <cell r="C6094">
            <v>34000000</v>
          </cell>
          <cell r="D6094">
            <v>34000000</v>
          </cell>
          <cell r="E6094">
            <v>34000000</v>
          </cell>
          <cell r="F6094">
            <v>34000000</v>
          </cell>
          <cell r="G6094">
            <v>34000000</v>
          </cell>
          <cell r="H6094">
            <v>34000000</v>
          </cell>
          <cell r="I6094" t="str">
            <v/>
          </cell>
          <cell r="J6094" t="str">
            <v/>
          </cell>
          <cell r="K6094" t="str">
            <v/>
          </cell>
          <cell r="L6094" t="str">
            <v/>
          </cell>
        </row>
        <row r="6095">
          <cell r="A6095">
            <v>34000000</v>
          </cell>
          <cell r="C6095">
            <v>34000000</v>
          </cell>
          <cell r="D6095">
            <v>34000000</v>
          </cell>
          <cell r="E6095">
            <v>34000000</v>
          </cell>
          <cell r="F6095">
            <v>34000000</v>
          </cell>
          <cell r="G6095">
            <v>34000000</v>
          </cell>
          <cell r="H6095">
            <v>34000000</v>
          </cell>
          <cell r="I6095" t="str">
            <v/>
          </cell>
          <cell r="J6095" t="str">
            <v/>
          </cell>
          <cell r="K6095" t="str">
            <v/>
          </cell>
          <cell r="L6095" t="str">
            <v/>
          </cell>
        </row>
        <row r="6096">
          <cell r="A6096">
            <v>34000000</v>
          </cell>
          <cell r="C6096">
            <v>34000000</v>
          </cell>
          <cell r="D6096">
            <v>34000000</v>
          </cell>
          <cell r="E6096">
            <v>34000000</v>
          </cell>
          <cell r="F6096">
            <v>34000000</v>
          </cell>
          <cell r="G6096">
            <v>34000000</v>
          </cell>
          <cell r="H6096">
            <v>34000000</v>
          </cell>
          <cell r="I6096" t="str">
            <v/>
          </cell>
          <cell r="J6096" t="str">
            <v/>
          </cell>
          <cell r="K6096" t="str">
            <v/>
          </cell>
          <cell r="L6096" t="str">
            <v/>
          </cell>
        </row>
        <row r="6097">
          <cell r="A6097">
            <v>34000000</v>
          </cell>
          <cell r="C6097">
            <v>34000000</v>
          </cell>
          <cell r="D6097">
            <v>34000000</v>
          </cell>
          <cell r="E6097">
            <v>34000000</v>
          </cell>
          <cell r="F6097">
            <v>34000000</v>
          </cell>
          <cell r="G6097">
            <v>34000000</v>
          </cell>
          <cell r="H6097">
            <v>34000000</v>
          </cell>
          <cell r="I6097" t="str">
            <v/>
          </cell>
          <cell r="J6097" t="str">
            <v/>
          </cell>
          <cell r="K6097" t="str">
            <v/>
          </cell>
          <cell r="L6097" t="str">
            <v/>
          </cell>
        </row>
        <row r="6098">
          <cell r="A6098">
            <v>34000000</v>
          </cell>
          <cell r="C6098">
            <v>34000000</v>
          </cell>
          <cell r="D6098">
            <v>34000000</v>
          </cell>
          <cell r="E6098">
            <v>34000000</v>
          </cell>
          <cell r="F6098">
            <v>34000000</v>
          </cell>
          <cell r="G6098">
            <v>34000000</v>
          </cell>
          <cell r="H6098">
            <v>34000000</v>
          </cell>
          <cell r="I6098" t="str">
            <v/>
          </cell>
          <cell r="J6098" t="str">
            <v/>
          </cell>
          <cell r="K6098" t="str">
            <v/>
          </cell>
          <cell r="L6098" t="str">
            <v/>
          </cell>
        </row>
        <row r="6099">
          <cell r="A6099">
            <v>34000000</v>
          </cell>
          <cell r="C6099">
            <v>34000000</v>
          </cell>
          <cell r="D6099">
            <v>34000000</v>
          </cell>
          <cell r="E6099">
            <v>34000000</v>
          </cell>
          <cell r="F6099">
            <v>34000000</v>
          </cell>
          <cell r="G6099">
            <v>34000000</v>
          </cell>
          <cell r="H6099">
            <v>34000000</v>
          </cell>
          <cell r="I6099" t="str">
            <v/>
          </cell>
          <cell r="J6099" t="str">
            <v/>
          </cell>
          <cell r="K6099" t="str">
            <v/>
          </cell>
          <cell r="L6099" t="str">
            <v/>
          </cell>
        </row>
        <row r="6100">
          <cell r="A6100">
            <v>34000000</v>
          </cell>
          <cell r="C6100">
            <v>34000000</v>
          </cell>
          <cell r="D6100">
            <v>34000000</v>
          </cell>
          <cell r="E6100">
            <v>34000000</v>
          </cell>
          <cell r="F6100">
            <v>34000000</v>
          </cell>
          <cell r="G6100">
            <v>34000000</v>
          </cell>
          <cell r="H6100">
            <v>34000000</v>
          </cell>
          <cell r="I6100" t="str">
            <v/>
          </cell>
          <cell r="J6100" t="str">
            <v/>
          </cell>
          <cell r="K6100" t="str">
            <v/>
          </cell>
          <cell r="L6100" t="str">
            <v/>
          </cell>
        </row>
        <row r="6101">
          <cell r="A6101">
            <v>34000000</v>
          </cell>
          <cell r="C6101">
            <v>34000000</v>
          </cell>
          <cell r="D6101">
            <v>34000000</v>
          </cell>
          <cell r="E6101">
            <v>34000000</v>
          </cell>
          <cell r="F6101">
            <v>34000000</v>
          </cell>
          <cell r="G6101">
            <v>34000000</v>
          </cell>
          <cell r="H6101">
            <v>34000000</v>
          </cell>
          <cell r="I6101" t="str">
            <v/>
          </cell>
          <cell r="J6101" t="str">
            <v/>
          </cell>
          <cell r="K6101" t="str">
            <v/>
          </cell>
          <cell r="L6101" t="str">
            <v/>
          </cell>
        </row>
        <row r="6102">
          <cell r="A6102">
            <v>34000000</v>
          </cell>
          <cell r="C6102">
            <v>34000000</v>
          </cell>
          <cell r="D6102">
            <v>34000000</v>
          </cell>
          <cell r="E6102">
            <v>34000000</v>
          </cell>
          <cell r="F6102">
            <v>34000000</v>
          </cell>
          <cell r="G6102">
            <v>34000000</v>
          </cell>
          <cell r="H6102">
            <v>34000000</v>
          </cell>
          <cell r="I6102" t="str">
            <v/>
          </cell>
          <cell r="J6102" t="str">
            <v/>
          </cell>
          <cell r="K6102" t="str">
            <v/>
          </cell>
          <cell r="L6102" t="str">
            <v/>
          </cell>
        </row>
        <row r="6103">
          <cell r="A6103">
            <v>34000000</v>
          </cell>
          <cell r="C6103">
            <v>34000000</v>
          </cell>
          <cell r="D6103">
            <v>34000000</v>
          </cell>
          <cell r="E6103">
            <v>34000000</v>
          </cell>
          <cell r="F6103">
            <v>34000000</v>
          </cell>
          <cell r="G6103">
            <v>34000000</v>
          </cell>
          <cell r="H6103">
            <v>34000000</v>
          </cell>
          <cell r="I6103" t="str">
            <v/>
          </cell>
          <cell r="J6103" t="str">
            <v/>
          </cell>
          <cell r="K6103" t="str">
            <v/>
          </cell>
          <cell r="L6103" t="str">
            <v/>
          </cell>
        </row>
        <row r="6104">
          <cell r="A6104">
            <v>34000000</v>
          </cell>
          <cell r="C6104">
            <v>34000000</v>
          </cell>
          <cell r="D6104">
            <v>34000000</v>
          </cell>
          <cell r="E6104">
            <v>34000000</v>
          </cell>
          <cell r="F6104">
            <v>34000000</v>
          </cell>
          <cell r="G6104">
            <v>34000000</v>
          </cell>
          <cell r="H6104">
            <v>34000000</v>
          </cell>
          <cell r="I6104" t="str">
            <v/>
          </cell>
          <cell r="J6104" t="str">
            <v/>
          </cell>
          <cell r="K6104" t="str">
            <v/>
          </cell>
          <cell r="L6104" t="str">
            <v/>
          </cell>
        </row>
        <row r="6105">
          <cell r="A6105">
            <v>34000000</v>
          </cell>
          <cell r="C6105">
            <v>34000000</v>
          </cell>
          <cell r="D6105">
            <v>34000000</v>
          </cell>
          <cell r="E6105">
            <v>34000000</v>
          </cell>
          <cell r="F6105">
            <v>34000000</v>
          </cell>
          <cell r="G6105">
            <v>34000000</v>
          </cell>
          <cell r="H6105">
            <v>34000000</v>
          </cell>
          <cell r="I6105" t="str">
            <v/>
          </cell>
          <cell r="J6105" t="str">
            <v/>
          </cell>
          <cell r="K6105" t="str">
            <v/>
          </cell>
          <cell r="L6105" t="str">
            <v/>
          </cell>
        </row>
        <row r="6106">
          <cell r="A6106">
            <v>34000000</v>
          </cell>
          <cell r="C6106">
            <v>34000000</v>
          </cell>
          <cell r="D6106">
            <v>34000000</v>
          </cell>
          <cell r="E6106">
            <v>34000000</v>
          </cell>
          <cell r="F6106">
            <v>34000000</v>
          </cell>
          <cell r="G6106">
            <v>34000000</v>
          </cell>
          <cell r="H6106">
            <v>34000000</v>
          </cell>
          <cell r="I6106" t="str">
            <v/>
          </cell>
          <cell r="J6106" t="str">
            <v/>
          </cell>
          <cell r="K6106" t="str">
            <v/>
          </cell>
          <cell r="L6106" t="str">
            <v/>
          </cell>
        </row>
        <row r="6107">
          <cell r="A6107">
            <v>34000000</v>
          </cell>
          <cell r="C6107">
            <v>34000000</v>
          </cell>
          <cell r="D6107">
            <v>34000000</v>
          </cell>
          <cell r="E6107">
            <v>34000000</v>
          </cell>
          <cell r="F6107">
            <v>34000000</v>
          </cell>
          <cell r="G6107">
            <v>34000000</v>
          </cell>
          <cell r="H6107">
            <v>34000000</v>
          </cell>
          <cell r="I6107" t="str">
            <v/>
          </cell>
          <cell r="J6107" t="str">
            <v/>
          </cell>
          <cell r="K6107" t="str">
            <v/>
          </cell>
          <cell r="L6107" t="str">
            <v/>
          </cell>
        </row>
        <row r="6108">
          <cell r="A6108">
            <v>34000000</v>
          </cell>
          <cell r="C6108">
            <v>34000000</v>
          </cell>
          <cell r="D6108">
            <v>34000000</v>
          </cell>
          <cell r="E6108">
            <v>34000000</v>
          </cell>
          <cell r="F6108">
            <v>34000000</v>
          </cell>
          <cell r="G6108">
            <v>34000000</v>
          </cell>
          <cell r="H6108">
            <v>34000000</v>
          </cell>
          <cell r="I6108" t="str">
            <v/>
          </cell>
          <cell r="J6108" t="str">
            <v/>
          </cell>
          <cell r="K6108" t="str">
            <v/>
          </cell>
          <cell r="L6108" t="str">
            <v/>
          </cell>
        </row>
        <row r="6109">
          <cell r="A6109">
            <v>34000000</v>
          </cell>
          <cell r="C6109">
            <v>34000000</v>
          </cell>
          <cell r="D6109">
            <v>34000000</v>
          </cell>
          <cell r="E6109">
            <v>34000000</v>
          </cell>
          <cell r="F6109">
            <v>34000000</v>
          </cell>
          <cell r="G6109">
            <v>34000000</v>
          </cell>
          <cell r="H6109">
            <v>34000000</v>
          </cell>
          <cell r="I6109" t="str">
            <v/>
          </cell>
          <cell r="J6109" t="str">
            <v/>
          </cell>
          <cell r="K6109" t="str">
            <v/>
          </cell>
          <cell r="L6109" t="str">
            <v/>
          </cell>
        </row>
        <row r="6110">
          <cell r="A6110">
            <v>34000000</v>
          </cell>
          <cell r="C6110">
            <v>34000000</v>
          </cell>
          <cell r="D6110">
            <v>34000000</v>
          </cell>
          <cell r="E6110">
            <v>34000000</v>
          </cell>
          <cell r="F6110">
            <v>34000000</v>
          </cell>
          <cell r="G6110">
            <v>34000000</v>
          </cell>
          <cell r="H6110">
            <v>34000000</v>
          </cell>
          <cell r="I6110" t="str">
            <v/>
          </cell>
          <cell r="J6110" t="str">
            <v/>
          </cell>
          <cell r="K6110" t="str">
            <v/>
          </cell>
          <cell r="L6110" t="str">
            <v/>
          </cell>
        </row>
        <row r="6111">
          <cell r="A6111">
            <v>34000000</v>
          </cell>
          <cell r="C6111">
            <v>34000000</v>
          </cell>
          <cell r="D6111">
            <v>34000000</v>
          </cell>
          <cell r="E6111">
            <v>34000000</v>
          </cell>
          <cell r="F6111">
            <v>34000000</v>
          </cell>
          <cell r="G6111">
            <v>34000000</v>
          </cell>
          <cell r="H6111">
            <v>34000000</v>
          </cell>
          <cell r="I6111" t="str">
            <v/>
          </cell>
          <cell r="J6111" t="str">
            <v/>
          </cell>
          <cell r="K6111" t="str">
            <v/>
          </cell>
          <cell r="L6111" t="str">
            <v/>
          </cell>
        </row>
        <row r="6112">
          <cell r="A6112">
            <v>34000000</v>
          </cell>
          <cell r="C6112">
            <v>34000000</v>
          </cell>
          <cell r="D6112">
            <v>34000000</v>
          </cell>
          <cell r="E6112">
            <v>34000000</v>
          </cell>
          <cell r="F6112">
            <v>34000000</v>
          </cell>
          <cell r="G6112">
            <v>34000000</v>
          </cell>
          <cell r="H6112">
            <v>34000000</v>
          </cell>
          <cell r="I6112" t="str">
            <v/>
          </cell>
          <cell r="J6112" t="str">
            <v/>
          </cell>
          <cell r="K6112" t="str">
            <v/>
          </cell>
          <cell r="L6112" t="str">
            <v/>
          </cell>
        </row>
        <row r="6113">
          <cell r="A6113">
            <v>34000000</v>
          </cell>
          <cell r="C6113">
            <v>34000000</v>
          </cell>
          <cell r="D6113">
            <v>34000000</v>
          </cell>
          <cell r="E6113">
            <v>34000000</v>
          </cell>
          <cell r="F6113">
            <v>34000000</v>
          </cell>
          <cell r="G6113">
            <v>34000000</v>
          </cell>
          <cell r="H6113">
            <v>34000000</v>
          </cell>
          <cell r="I6113" t="str">
            <v/>
          </cell>
          <cell r="J6113" t="str">
            <v/>
          </cell>
          <cell r="K6113" t="str">
            <v/>
          </cell>
          <cell r="L6113" t="str">
            <v/>
          </cell>
        </row>
        <row r="6114">
          <cell r="A6114">
            <v>34000000</v>
          </cell>
          <cell r="C6114">
            <v>34000000</v>
          </cell>
          <cell r="D6114">
            <v>34000000</v>
          </cell>
          <cell r="E6114">
            <v>34000000</v>
          </cell>
          <cell r="F6114">
            <v>34000000</v>
          </cell>
          <cell r="G6114">
            <v>34000000</v>
          </cell>
          <cell r="H6114">
            <v>34000000</v>
          </cell>
          <cell r="I6114" t="str">
            <v/>
          </cell>
          <cell r="J6114" t="str">
            <v/>
          </cell>
          <cell r="K6114" t="str">
            <v/>
          </cell>
          <cell r="L6114" t="str">
            <v/>
          </cell>
        </row>
        <row r="6115">
          <cell r="A6115">
            <v>34000000</v>
          </cell>
          <cell r="C6115">
            <v>34000000</v>
          </cell>
          <cell r="D6115">
            <v>34000000</v>
          </cell>
          <cell r="E6115">
            <v>34000000</v>
          </cell>
          <cell r="F6115">
            <v>34000000</v>
          </cell>
          <cell r="G6115">
            <v>34000000</v>
          </cell>
          <cell r="H6115">
            <v>34000000</v>
          </cell>
          <cell r="I6115" t="str">
            <v/>
          </cell>
          <cell r="J6115" t="str">
            <v/>
          </cell>
          <cell r="K6115" t="str">
            <v/>
          </cell>
          <cell r="L6115" t="str">
            <v/>
          </cell>
        </row>
        <row r="6116">
          <cell r="A6116">
            <v>34000000</v>
          </cell>
          <cell r="C6116">
            <v>34000000</v>
          </cell>
          <cell r="D6116">
            <v>34000000</v>
          </cell>
          <cell r="E6116">
            <v>34000000</v>
          </cell>
          <cell r="F6116">
            <v>34000000</v>
          </cell>
          <cell r="G6116">
            <v>34000000</v>
          </cell>
          <cell r="H6116">
            <v>34000000</v>
          </cell>
          <cell r="I6116" t="str">
            <v/>
          </cell>
          <cell r="J6116" t="str">
            <v/>
          </cell>
          <cell r="K6116" t="str">
            <v/>
          </cell>
          <cell r="L6116" t="str">
            <v/>
          </cell>
        </row>
        <row r="6117">
          <cell r="A6117">
            <v>34000000</v>
          </cell>
          <cell r="C6117">
            <v>34000000</v>
          </cell>
          <cell r="D6117">
            <v>34000000</v>
          </cell>
          <cell r="E6117">
            <v>34000000</v>
          </cell>
          <cell r="F6117">
            <v>34000000</v>
          </cell>
          <cell r="G6117">
            <v>34000000</v>
          </cell>
          <cell r="H6117">
            <v>34000000</v>
          </cell>
          <cell r="I6117" t="str">
            <v/>
          </cell>
          <cell r="J6117" t="str">
            <v/>
          </cell>
          <cell r="K6117" t="str">
            <v/>
          </cell>
          <cell r="L6117" t="str">
            <v/>
          </cell>
        </row>
        <row r="6118">
          <cell r="A6118">
            <v>34000000</v>
          </cell>
          <cell r="C6118">
            <v>34000000</v>
          </cell>
          <cell r="D6118">
            <v>34000000</v>
          </cell>
          <cell r="E6118">
            <v>34000000</v>
          </cell>
          <cell r="F6118">
            <v>34000000</v>
          </cell>
          <cell r="G6118">
            <v>34000000</v>
          </cell>
          <cell r="H6118">
            <v>34000000</v>
          </cell>
          <cell r="I6118" t="str">
            <v/>
          </cell>
          <cell r="J6118" t="str">
            <v/>
          </cell>
          <cell r="K6118" t="str">
            <v/>
          </cell>
          <cell r="L6118" t="str">
            <v/>
          </cell>
        </row>
        <row r="6119">
          <cell r="A6119">
            <v>34000000</v>
          </cell>
          <cell r="C6119">
            <v>34000000</v>
          </cell>
          <cell r="D6119">
            <v>34000000</v>
          </cell>
          <cell r="E6119">
            <v>34000000</v>
          </cell>
          <cell r="F6119">
            <v>34000000</v>
          </cell>
          <cell r="G6119">
            <v>34000000</v>
          </cell>
          <cell r="H6119">
            <v>34000000</v>
          </cell>
          <cell r="I6119" t="str">
            <v/>
          </cell>
          <cell r="J6119" t="str">
            <v/>
          </cell>
          <cell r="K6119" t="str">
            <v/>
          </cell>
          <cell r="L6119" t="str">
            <v/>
          </cell>
        </row>
        <row r="6120">
          <cell r="A6120">
            <v>34000000</v>
          </cell>
          <cell r="C6120">
            <v>34000000</v>
          </cell>
          <cell r="D6120">
            <v>34000000</v>
          </cell>
          <cell r="E6120">
            <v>34000000</v>
          </cell>
          <cell r="F6120">
            <v>34000000</v>
          </cell>
          <cell r="G6120">
            <v>34000000</v>
          </cell>
          <cell r="H6120">
            <v>34000000</v>
          </cell>
          <cell r="I6120" t="str">
            <v/>
          </cell>
          <cell r="J6120" t="str">
            <v/>
          </cell>
          <cell r="K6120" t="str">
            <v/>
          </cell>
          <cell r="L6120" t="str">
            <v/>
          </cell>
        </row>
        <row r="6121">
          <cell r="A6121">
            <v>34000000</v>
          </cell>
          <cell r="C6121">
            <v>34000000</v>
          </cell>
          <cell r="D6121">
            <v>34000000</v>
          </cell>
          <cell r="E6121">
            <v>34000000</v>
          </cell>
          <cell r="F6121">
            <v>34000000</v>
          </cell>
          <cell r="G6121">
            <v>34000000</v>
          </cell>
          <cell r="H6121">
            <v>34000000</v>
          </cell>
          <cell r="I6121" t="str">
            <v/>
          </cell>
          <cell r="J6121" t="str">
            <v/>
          </cell>
          <cell r="K6121" t="str">
            <v/>
          </cell>
          <cell r="L6121" t="str">
            <v/>
          </cell>
        </row>
        <row r="6122">
          <cell r="A6122">
            <v>34000000</v>
          </cell>
          <cell r="C6122">
            <v>34000000</v>
          </cell>
          <cell r="D6122">
            <v>34000000</v>
          </cell>
          <cell r="E6122">
            <v>34000000</v>
          </cell>
          <cell r="F6122">
            <v>34000000</v>
          </cell>
          <cell r="G6122">
            <v>34000000</v>
          </cell>
          <cell r="H6122">
            <v>34000000</v>
          </cell>
          <cell r="I6122" t="str">
            <v/>
          </cell>
          <cell r="J6122" t="str">
            <v/>
          </cell>
          <cell r="K6122" t="str">
            <v/>
          </cell>
          <cell r="L6122" t="str">
            <v/>
          </cell>
        </row>
        <row r="6123">
          <cell r="A6123">
            <v>34000000</v>
          </cell>
          <cell r="C6123">
            <v>34000000</v>
          </cell>
          <cell r="D6123">
            <v>34000000</v>
          </cell>
          <cell r="E6123">
            <v>34000000</v>
          </cell>
          <cell r="F6123">
            <v>34000000</v>
          </cell>
          <cell r="G6123">
            <v>34000000</v>
          </cell>
          <cell r="H6123">
            <v>34000000</v>
          </cell>
          <cell r="I6123" t="str">
            <v/>
          </cell>
          <cell r="J6123" t="str">
            <v/>
          </cell>
          <cell r="K6123" t="str">
            <v/>
          </cell>
          <cell r="L6123" t="str">
            <v/>
          </cell>
        </row>
        <row r="6124">
          <cell r="A6124">
            <v>34000000</v>
          </cell>
          <cell r="C6124">
            <v>34000000</v>
          </cell>
          <cell r="D6124">
            <v>34000000</v>
          </cell>
          <cell r="E6124">
            <v>34000000</v>
          </cell>
          <cell r="F6124">
            <v>34000000</v>
          </cell>
          <cell r="G6124">
            <v>34000000</v>
          </cell>
          <cell r="H6124">
            <v>34000000</v>
          </cell>
          <cell r="I6124" t="str">
            <v/>
          </cell>
          <cell r="J6124" t="str">
            <v/>
          </cell>
          <cell r="K6124" t="str">
            <v/>
          </cell>
          <cell r="L6124" t="str">
            <v/>
          </cell>
        </row>
        <row r="6125">
          <cell r="A6125">
            <v>34000000</v>
          </cell>
          <cell r="C6125">
            <v>34000000</v>
          </cell>
          <cell r="D6125">
            <v>34000000</v>
          </cell>
          <cell r="E6125">
            <v>34000000</v>
          </cell>
          <cell r="F6125">
            <v>34000000</v>
          </cell>
          <cell r="G6125">
            <v>34000000</v>
          </cell>
          <cell r="H6125">
            <v>34000000</v>
          </cell>
          <cell r="I6125" t="str">
            <v/>
          </cell>
          <cell r="J6125" t="str">
            <v/>
          </cell>
          <cell r="K6125" t="str">
            <v/>
          </cell>
          <cell r="L6125" t="str">
            <v/>
          </cell>
        </row>
        <row r="6126">
          <cell r="A6126">
            <v>34000000</v>
          </cell>
          <cell r="C6126">
            <v>34000000</v>
          </cell>
          <cell r="D6126">
            <v>34000000</v>
          </cell>
          <cell r="E6126">
            <v>34000000</v>
          </cell>
          <cell r="F6126">
            <v>34000000</v>
          </cell>
          <cell r="G6126">
            <v>34000000</v>
          </cell>
          <cell r="H6126">
            <v>34000000</v>
          </cell>
          <cell r="I6126" t="str">
            <v/>
          </cell>
          <cell r="J6126" t="str">
            <v/>
          </cell>
          <cell r="K6126" t="str">
            <v/>
          </cell>
          <cell r="L6126" t="str">
            <v/>
          </cell>
        </row>
        <row r="6127">
          <cell r="A6127">
            <v>34000000</v>
          </cell>
          <cell r="C6127">
            <v>34000000</v>
          </cell>
          <cell r="D6127">
            <v>34000000</v>
          </cell>
          <cell r="E6127">
            <v>34000000</v>
          </cell>
          <cell r="F6127">
            <v>34000000</v>
          </cell>
          <cell r="G6127">
            <v>34000000</v>
          </cell>
          <cell r="H6127">
            <v>34000000</v>
          </cell>
          <cell r="I6127" t="str">
            <v/>
          </cell>
          <cell r="J6127" t="str">
            <v/>
          </cell>
          <cell r="K6127" t="str">
            <v/>
          </cell>
          <cell r="L6127" t="str">
            <v/>
          </cell>
        </row>
        <row r="6128">
          <cell r="A6128">
            <v>34000000</v>
          </cell>
          <cell r="C6128">
            <v>34000000</v>
          </cell>
          <cell r="D6128">
            <v>34000000</v>
          </cell>
          <cell r="E6128">
            <v>34000000</v>
          </cell>
          <cell r="F6128">
            <v>34000000</v>
          </cell>
          <cell r="G6128">
            <v>34000000</v>
          </cell>
          <cell r="H6128">
            <v>34000000</v>
          </cell>
          <cell r="I6128" t="str">
            <v/>
          </cell>
          <cell r="J6128" t="str">
            <v/>
          </cell>
          <cell r="K6128" t="str">
            <v/>
          </cell>
          <cell r="L6128" t="str">
            <v/>
          </cell>
        </row>
        <row r="6129">
          <cell r="A6129">
            <v>34000000</v>
          </cell>
          <cell r="C6129">
            <v>34000000</v>
          </cell>
          <cell r="D6129">
            <v>34000000</v>
          </cell>
          <cell r="E6129">
            <v>34000000</v>
          </cell>
          <cell r="F6129">
            <v>34000000</v>
          </cell>
          <cell r="G6129">
            <v>34000000</v>
          </cell>
          <cell r="H6129">
            <v>34000000</v>
          </cell>
          <cell r="I6129" t="str">
            <v/>
          </cell>
          <cell r="J6129" t="str">
            <v/>
          </cell>
          <cell r="K6129" t="str">
            <v/>
          </cell>
          <cell r="L6129" t="str">
            <v/>
          </cell>
        </row>
        <row r="6130">
          <cell r="A6130">
            <v>34000000</v>
          </cell>
          <cell r="C6130">
            <v>34000000</v>
          </cell>
          <cell r="D6130">
            <v>34000000</v>
          </cell>
          <cell r="E6130">
            <v>34000000</v>
          </cell>
          <cell r="F6130">
            <v>34000000</v>
          </cell>
          <cell r="G6130">
            <v>34000000</v>
          </cell>
          <cell r="H6130">
            <v>34000000</v>
          </cell>
          <cell r="I6130" t="str">
            <v/>
          </cell>
          <cell r="J6130" t="str">
            <v/>
          </cell>
          <cell r="K6130" t="str">
            <v/>
          </cell>
          <cell r="L6130" t="str">
            <v/>
          </cell>
        </row>
        <row r="6131">
          <cell r="A6131">
            <v>34000000</v>
          </cell>
          <cell r="C6131">
            <v>34000000</v>
          </cell>
          <cell r="D6131">
            <v>34000000</v>
          </cell>
          <cell r="E6131">
            <v>34000000</v>
          </cell>
          <cell r="F6131">
            <v>34000000</v>
          </cell>
          <cell r="G6131">
            <v>34000000</v>
          </cell>
          <cell r="H6131">
            <v>34000000</v>
          </cell>
          <cell r="I6131" t="str">
            <v/>
          </cell>
          <cell r="J6131" t="str">
            <v/>
          </cell>
          <cell r="K6131" t="str">
            <v/>
          </cell>
          <cell r="L6131" t="str">
            <v/>
          </cell>
        </row>
        <row r="6132">
          <cell r="A6132">
            <v>34000000</v>
          </cell>
          <cell r="C6132">
            <v>34000000</v>
          </cell>
          <cell r="D6132">
            <v>34000000</v>
          </cell>
          <cell r="E6132">
            <v>34000000</v>
          </cell>
          <cell r="F6132">
            <v>34000000</v>
          </cell>
          <cell r="G6132">
            <v>34000000</v>
          </cell>
          <cell r="H6132">
            <v>34000000</v>
          </cell>
          <cell r="I6132" t="str">
            <v/>
          </cell>
          <cell r="J6132" t="str">
            <v/>
          </cell>
          <cell r="K6132" t="str">
            <v/>
          </cell>
          <cell r="L6132" t="str">
            <v/>
          </cell>
        </row>
        <row r="6133">
          <cell r="A6133">
            <v>34000000</v>
          </cell>
          <cell r="C6133">
            <v>34000000</v>
          </cell>
          <cell r="D6133">
            <v>34000000</v>
          </cell>
          <cell r="E6133">
            <v>34000000</v>
          </cell>
          <cell r="F6133">
            <v>34000000</v>
          </cell>
          <cell r="G6133">
            <v>34000000</v>
          </cell>
          <cell r="H6133">
            <v>34000000</v>
          </cell>
          <cell r="I6133" t="str">
            <v/>
          </cell>
          <cell r="J6133" t="str">
            <v/>
          </cell>
          <cell r="K6133" t="str">
            <v/>
          </cell>
          <cell r="L6133" t="str">
            <v/>
          </cell>
        </row>
        <row r="6134">
          <cell r="A6134">
            <v>34000000</v>
          </cell>
          <cell r="C6134">
            <v>34000000</v>
          </cell>
          <cell r="D6134">
            <v>34000000</v>
          </cell>
          <cell r="E6134">
            <v>34000000</v>
          </cell>
          <cell r="F6134">
            <v>34000000</v>
          </cell>
          <cell r="G6134">
            <v>34000000</v>
          </cell>
          <cell r="H6134">
            <v>34000000</v>
          </cell>
          <cell r="I6134" t="str">
            <v/>
          </cell>
          <cell r="J6134" t="str">
            <v/>
          </cell>
          <cell r="K6134" t="str">
            <v/>
          </cell>
          <cell r="L6134" t="str">
            <v/>
          </cell>
        </row>
        <row r="6135">
          <cell r="A6135">
            <v>34000000</v>
          </cell>
          <cell r="C6135">
            <v>34000000</v>
          </cell>
          <cell r="D6135">
            <v>34000000</v>
          </cell>
          <cell r="E6135">
            <v>34000000</v>
          </cell>
          <cell r="F6135">
            <v>34000000</v>
          </cell>
          <cell r="G6135">
            <v>34000000</v>
          </cell>
          <cell r="H6135">
            <v>34000000</v>
          </cell>
          <cell r="I6135" t="str">
            <v/>
          </cell>
          <cell r="J6135" t="str">
            <v/>
          </cell>
          <cell r="K6135" t="str">
            <v/>
          </cell>
          <cell r="L6135" t="str">
            <v/>
          </cell>
        </row>
        <row r="6136">
          <cell r="A6136">
            <v>34000000</v>
          </cell>
          <cell r="C6136">
            <v>34000000</v>
          </cell>
          <cell r="D6136">
            <v>34000000</v>
          </cell>
          <cell r="E6136">
            <v>34000000</v>
          </cell>
          <cell r="F6136">
            <v>34000000</v>
          </cell>
          <cell r="G6136">
            <v>34000000</v>
          </cell>
          <cell r="H6136">
            <v>34000000</v>
          </cell>
          <cell r="I6136" t="str">
            <v/>
          </cell>
          <cell r="J6136" t="str">
            <v/>
          </cell>
          <cell r="K6136" t="str">
            <v/>
          </cell>
          <cell r="L6136" t="str">
            <v/>
          </cell>
        </row>
        <row r="6137">
          <cell r="A6137">
            <v>34000000</v>
          </cell>
          <cell r="C6137">
            <v>34000000</v>
          </cell>
          <cell r="D6137">
            <v>34000000</v>
          </cell>
          <cell r="E6137">
            <v>34000000</v>
          </cell>
          <cell r="F6137">
            <v>34000000</v>
          </cell>
          <cell r="G6137">
            <v>34000000</v>
          </cell>
          <cell r="H6137">
            <v>34000000</v>
          </cell>
          <cell r="I6137" t="str">
            <v/>
          </cell>
          <cell r="J6137" t="str">
            <v/>
          </cell>
          <cell r="K6137" t="str">
            <v/>
          </cell>
          <cell r="L6137" t="str">
            <v/>
          </cell>
        </row>
        <row r="6138">
          <cell r="A6138">
            <v>34000000</v>
          </cell>
          <cell r="C6138">
            <v>34000000</v>
          </cell>
          <cell r="D6138">
            <v>34000000</v>
          </cell>
          <cell r="E6138">
            <v>34000000</v>
          </cell>
          <cell r="F6138">
            <v>34000000</v>
          </cell>
          <cell r="G6138">
            <v>34000000</v>
          </cell>
          <cell r="H6138">
            <v>34000000</v>
          </cell>
          <cell r="I6138" t="str">
            <v/>
          </cell>
          <cell r="J6138" t="str">
            <v/>
          </cell>
          <cell r="K6138" t="str">
            <v/>
          </cell>
          <cell r="L6138" t="str">
            <v/>
          </cell>
        </row>
        <row r="6139">
          <cell r="A6139">
            <v>34000000</v>
          </cell>
          <cell r="C6139">
            <v>34000000</v>
          </cell>
          <cell r="D6139">
            <v>34000000</v>
          </cell>
          <cell r="E6139">
            <v>34000000</v>
          </cell>
          <cell r="F6139">
            <v>34000000</v>
          </cell>
          <cell r="G6139">
            <v>34000000</v>
          </cell>
          <cell r="H6139">
            <v>34000000</v>
          </cell>
          <cell r="I6139" t="str">
            <v/>
          </cell>
          <cell r="J6139" t="str">
            <v/>
          </cell>
          <cell r="K6139" t="str">
            <v/>
          </cell>
          <cell r="L6139" t="str">
            <v/>
          </cell>
        </row>
        <row r="6140">
          <cell r="A6140">
            <v>34000000</v>
          </cell>
          <cell r="C6140">
            <v>34000000</v>
          </cell>
          <cell r="D6140">
            <v>34000000</v>
          </cell>
          <cell r="E6140">
            <v>34000000</v>
          </cell>
          <cell r="F6140">
            <v>34000000</v>
          </cell>
          <cell r="G6140">
            <v>34000000</v>
          </cell>
          <cell r="H6140">
            <v>34000000</v>
          </cell>
          <cell r="I6140" t="str">
            <v/>
          </cell>
          <cell r="J6140" t="str">
            <v/>
          </cell>
          <cell r="K6140" t="str">
            <v/>
          </cell>
          <cell r="L6140" t="str">
            <v/>
          </cell>
        </row>
        <row r="6141">
          <cell r="A6141">
            <v>34000000</v>
          </cell>
          <cell r="C6141">
            <v>34000000</v>
          </cell>
          <cell r="D6141">
            <v>34000000</v>
          </cell>
          <cell r="E6141">
            <v>34000000</v>
          </cell>
          <cell r="F6141">
            <v>34000000</v>
          </cell>
          <cell r="G6141">
            <v>34000000</v>
          </cell>
          <cell r="H6141">
            <v>34000000</v>
          </cell>
          <cell r="I6141" t="str">
            <v/>
          </cell>
          <cell r="J6141" t="str">
            <v/>
          </cell>
          <cell r="K6141" t="str">
            <v/>
          </cell>
          <cell r="L6141" t="str">
            <v/>
          </cell>
        </row>
        <row r="6142">
          <cell r="A6142">
            <v>34000000</v>
          </cell>
          <cell r="C6142">
            <v>34000000</v>
          </cell>
          <cell r="D6142">
            <v>34000000</v>
          </cell>
          <cell r="E6142">
            <v>34000000</v>
          </cell>
          <cell r="F6142">
            <v>34000000</v>
          </cell>
          <cell r="G6142">
            <v>34000000</v>
          </cell>
          <cell r="H6142">
            <v>34000000</v>
          </cell>
          <cell r="I6142" t="str">
            <v/>
          </cell>
          <cell r="J6142" t="str">
            <v/>
          </cell>
          <cell r="K6142" t="str">
            <v/>
          </cell>
          <cell r="L6142" t="str">
            <v/>
          </cell>
        </row>
        <row r="6143">
          <cell r="A6143">
            <v>34000000</v>
          </cell>
          <cell r="C6143">
            <v>34000000</v>
          </cell>
          <cell r="D6143">
            <v>34000000</v>
          </cell>
          <cell r="E6143">
            <v>34000000</v>
          </cell>
          <cell r="F6143">
            <v>34000000</v>
          </cell>
          <cell r="G6143">
            <v>34000000</v>
          </cell>
          <cell r="H6143">
            <v>34000000</v>
          </cell>
          <cell r="I6143" t="str">
            <v/>
          </cell>
          <cell r="J6143" t="str">
            <v/>
          </cell>
          <cell r="K6143" t="str">
            <v/>
          </cell>
          <cell r="L6143" t="str">
            <v/>
          </cell>
        </row>
        <row r="6144">
          <cell r="A6144">
            <v>34000000</v>
          </cell>
          <cell r="C6144">
            <v>34000000</v>
          </cell>
          <cell r="D6144">
            <v>34000000</v>
          </cell>
          <cell r="E6144">
            <v>34000000</v>
          </cell>
          <cell r="F6144">
            <v>34000000</v>
          </cell>
          <cell r="G6144">
            <v>34000000</v>
          </cell>
          <cell r="H6144">
            <v>34000000</v>
          </cell>
          <cell r="I6144" t="str">
            <v/>
          </cell>
          <cell r="J6144" t="str">
            <v/>
          </cell>
          <cell r="K6144" t="str">
            <v/>
          </cell>
          <cell r="L6144" t="str">
            <v/>
          </cell>
        </row>
        <row r="6145">
          <cell r="A6145">
            <v>34000000</v>
          </cell>
          <cell r="C6145">
            <v>34000000</v>
          </cell>
          <cell r="D6145">
            <v>34000000</v>
          </cell>
          <cell r="E6145">
            <v>34000000</v>
          </cell>
          <cell r="F6145">
            <v>34000000</v>
          </cell>
          <cell r="G6145">
            <v>34000000</v>
          </cell>
          <cell r="H6145">
            <v>34000000</v>
          </cell>
          <cell r="I6145" t="str">
            <v/>
          </cell>
          <cell r="J6145" t="str">
            <v/>
          </cell>
          <cell r="K6145" t="str">
            <v/>
          </cell>
          <cell r="L6145" t="str">
            <v/>
          </cell>
        </row>
        <row r="6146">
          <cell r="A6146">
            <v>34000000</v>
          </cell>
          <cell r="C6146">
            <v>34000000</v>
          </cell>
          <cell r="D6146">
            <v>34000000</v>
          </cell>
          <cell r="E6146">
            <v>34000000</v>
          </cell>
          <cell r="F6146">
            <v>34000000</v>
          </cell>
          <cell r="G6146">
            <v>34000000</v>
          </cell>
          <cell r="H6146">
            <v>34000000</v>
          </cell>
          <cell r="I6146" t="str">
            <v/>
          </cell>
          <cell r="J6146" t="str">
            <v/>
          </cell>
          <cell r="K6146" t="str">
            <v/>
          </cell>
          <cell r="L6146" t="str">
            <v/>
          </cell>
        </row>
        <row r="6147">
          <cell r="A6147">
            <v>34000000</v>
          </cell>
          <cell r="C6147">
            <v>34000000</v>
          </cell>
          <cell r="D6147">
            <v>34000000</v>
          </cell>
          <cell r="E6147">
            <v>34000000</v>
          </cell>
          <cell r="F6147">
            <v>34000000</v>
          </cell>
          <cell r="G6147">
            <v>34000000</v>
          </cell>
          <cell r="H6147">
            <v>34000000</v>
          </cell>
          <cell r="I6147" t="str">
            <v/>
          </cell>
          <cell r="J6147" t="str">
            <v/>
          </cell>
          <cell r="K6147" t="str">
            <v/>
          </cell>
          <cell r="L6147" t="str">
            <v/>
          </cell>
        </row>
        <row r="6148">
          <cell r="A6148">
            <v>34000000</v>
          </cell>
          <cell r="C6148">
            <v>34000000</v>
          </cell>
          <cell r="D6148">
            <v>34000000</v>
          </cell>
          <cell r="E6148">
            <v>34000000</v>
          </cell>
          <cell r="F6148">
            <v>34000000</v>
          </cell>
          <cell r="G6148">
            <v>34000000</v>
          </cell>
          <cell r="H6148">
            <v>34000000</v>
          </cell>
          <cell r="I6148" t="str">
            <v/>
          </cell>
          <cell r="J6148" t="str">
            <v/>
          </cell>
          <cell r="K6148" t="str">
            <v/>
          </cell>
          <cell r="L6148" t="str">
            <v/>
          </cell>
        </row>
        <row r="6149">
          <cell r="A6149">
            <v>34000000</v>
          </cell>
          <cell r="C6149">
            <v>34000000</v>
          </cell>
          <cell r="D6149">
            <v>34000000</v>
          </cell>
          <cell r="E6149">
            <v>34000000</v>
          </cell>
          <cell r="F6149">
            <v>34000000</v>
          </cell>
          <cell r="G6149">
            <v>34000000</v>
          </cell>
          <cell r="H6149">
            <v>34000000</v>
          </cell>
          <cell r="I6149" t="str">
            <v/>
          </cell>
          <cell r="J6149" t="str">
            <v/>
          </cell>
          <cell r="K6149" t="str">
            <v/>
          </cell>
          <cell r="L6149" t="str">
            <v/>
          </cell>
        </row>
        <row r="6150">
          <cell r="A6150">
            <v>34000000</v>
          </cell>
          <cell r="C6150">
            <v>34000000</v>
          </cell>
          <cell r="D6150">
            <v>34000000</v>
          </cell>
          <cell r="E6150">
            <v>34000000</v>
          </cell>
          <cell r="F6150">
            <v>34000000</v>
          </cell>
          <cell r="G6150">
            <v>34000000</v>
          </cell>
          <cell r="H6150">
            <v>34000000</v>
          </cell>
          <cell r="I6150" t="str">
            <v/>
          </cell>
          <cell r="J6150" t="str">
            <v/>
          </cell>
          <cell r="K6150" t="str">
            <v/>
          </cell>
          <cell r="L6150" t="str">
            <v/>
          </cell>
        </row>
        <row r="6151">
          <cell r="A6151">
            <v>34000000</v>
          </cell>
          <cell r="C6151">
            <v>34000000</v>
          </cell>
          <cell r="D6151">
            <v>34000000</v>
          </cell>
          <cell r="E6151">
            <v>34000000</v>
          </cell>
          <cell r="F6151">
            <v>34000000</v>
          </cell>
          <cell r="G6151">
            <v>34000000</v>
          </cell>
          <cell r="H6151">
            <v>34000000</v>
          </cell>
          <cell r="I6151" t="str">
            <v/>
          </cell>
          <cell r="J6151" t="str">
            <v/>
          </cell>
          <cell r="K6151" t="str">
            <v/>
          </cell>
          <cell r="L6151" t="str">
            <v/>
          </cell>
        </row>
        <row r="6152">
          <cell r="A6152">
            <v>34000000</v>
          </cell>
          <cell r="C6152">
            <v>34000000</v>
          </cell>
          <cell r="D6152">
            <v>34000000</v>
          </cell>
          <cell r="E6152">
            <v>34000000</v>
          </cell>
          <cell r="F6152">
            <v>34000000</v>
          </cell>
          <cell r="G6152">
            <v>34000000</v>
          </cell>
          <cell r="H6152">
            <v>34000000</v>
          </cell>
          <cell r="I6152" t="str">
            <v/>
          </cell>
          <cell r="J6152" t="str">
            <v/>
          </cell>
          <cell r="K6152" t="str">
            <v/>
          </cell>
          <cell r="L6152" t="str">
            <v/>
          </cell>
        </row>
        <row r="6153">
          <cell r="A6153">
            <v>34000000</v>
          </cell>
          <cell r="C6153">
            <v>34000000</v>
          </cell>
          <cell r="D6153">
            <v>34000000</v>
          </cell>
          <cell r="E6153">
            <v>34000000</v>
          </cell>
          <cell r="F6153">
            <v>34000000</v>
          </cell>
          <cell r="G6153">
            <v>34000000</v>
          </cell>
          <cell r="H6153">
            <v>34000000</v>
          </cell>
          <cell r="I6153" t="str">
            <v/>
          </cell>
          <cell r="J6153" t="str">
            <v/>
          </cell>
          <cell r="K6153" t="str">
            <v/>
          </cell>
          <cell r="L6153" t="str">
            <v/>
          </cell>
        </row>
        <row r="6154">
          <cell r="A6154">
            <v>34000000</v>
          </cell>
          <cell r="C6154">
            <v>34000000</v>
          </cell>
          <cell r="D6154">
            <v>34000000</v>
          </cell>
          <cell r="E6154">
            <v>34000000</v>
          </cell>
          <cell r="F6154">
            <v>34000000</v>
          </cell>
          <cell r="G6154">
            <v>34000000</v>
          </cell>
          <cell r="H6154">
            <v>34000000</v>
          </cell>
          <cell r="I6154" t="str">
            <v/>
          </cell>
          <cell r="J6154" t="str">
            <v/>
          </cell>
          <cell r="K6154" t="str">
            <v/>
          </cell>
          <cell r="L6154" t="str">
            <v/>
          </cell>
        </row>
        <row r="6155">
          <cell r="A6155">
            <v>34000000</v>
          </cell>
          <cell r="C6155">
            <v>34000000</v>
          </cell>
          <cell r="D6155">
            <v>34000000</v>
          </cell>
          <cell r="E6155">
            <v>34000000</v>
          </cell>
          <cell r="F6155">
            <v>34000000</v>
          </cell>
          <cell r="G6155">
            <v>34000000</v>
          </cell>
          <cell r="H6155">
            <v>34000000</v>
          </cell>
          <cell r="I6155" t="str">
            <v/>
          </cell>
          <cell r="J6155" t="str">
            <v/>
          </cell>
          <cell r="K6155" t="str">
            <v/>
          </cell>
          <cell r="L6155" t="str">
            <v/>
          </cell>
        </row>
        <row r="6156">
          <cell r="A6156">
            <v>34000000</v>
          </cell>
          <cell r="C6156">
            <v>34000000</v>
          </cell>
          <cell r="D6156">
            <v>34000000</v>
          </cell>
          <cell r="E6156">
            <v>34000000</v>
          </cell>
          <cell r="F6156">
            <v>34000000</v>
          </cell>
          <cell r="G6156">
            <v>34000000</v>
          </cell>
          <cell r="H6156">
            <v>34000000</v>
          </cell>
          <cell r="I6156" t="str">
            <v/>
          </cell>
          <cell r="J6156" t="str">
            <v/>
          </cell>
          <cell r="K6156" t="str">
            <v/>
          </cell>
          <cell r="L6156" t="str">
            <v/>
          </cell>
        </row>
        <row r="6157">
          <cell r="A6157">
            <v>34000000</v>
          </cell>
          <cell r="C6157">
            <v>34000000</v>
          </cell>
          <cell r="D6157">
            <v>34000000</v>
          </cell>
          <cell r="E6157">
            <v>34000000</v>
          </cell>
          <cell r="F6157">
            <v>34000000</v>
          </cell>
          <cell r="G6157">
            <v>34000000</v>
          </cell>
          <cell r="H6157">
            <v>34000000</v>
          </cell>
          <cell r="I6157" t="str">
            <v/>
          </cell>
          <cell r="J6157" t="str">
            <v/>
          </cell>
          <cell r="K6157" t="str">
            <v/>
          </cell>
          <cell r="L6157" t="str">
            <v/>
          </cell>
        </row>
        <row r="6158">
          <cell r="A6158">
            <v>34000000</v>
          </cell>
          <cell r="C6158">
            <v>34000000</v>
          </cell>
          <cell r="D6158">
            <v>34000000</v>
          </cell>
          <cell r="E6158">
            <v>34000000</v>
          </cell>
          <cell r="F6158">
            <v>34000000</v>
          </cell>
          <cell r="G6158">
            <v>34000000</v>
          </cell>
          <cell r="H6158">
            <v>34000000</v>
          </cell>
          <cell r="I6158" t="str">
            <v/>
          </cell>
          <cell r="J6158" t="str">
            <v/>
          </cell>
          <cell r="K6158" t="str">
            <v/>
          </cell>
          <cell r="L6158" t="str">
            <v/>
          </cell>
        </row>
        <row r="6159">
          <cell r="A6159">
            <v>34000000</v>
          </cell>
          <cell r="C6159">
            <v>34000000</v>
          </cell>
          <cell r="D6159">
            <v>34000000</v>
          </cell>
          <cell r="E6159">
            <v>34000000</v>
          </cell>
          <cell r="F6159">
            <v>34000000</v>
          </cell>
          <cell r="G6159">
            <v>34000000</v>
          </cell>
          <cell r="H6159">
            <v>34000000</v>
          </cell>
          <cell r="I6159" t="str">
            <v/>
          </cell>
          <cell r="J6159" t="str">
            <v/>
          </cell>
          <cell r="K6159" t="str">
            <v/>
          </cell>
          <cell r="L6159" t="str">
            <v/>
          </cell>
        </row>
        <row r="6160">
          <cell r="A6160">
            <v>34000000</v>
          </cell>
          <cell r="C6160">
            <v>34000000</v>
          </cell>
          <cell r="D6160">
            <v>34000000</v>
          </cell>
          <cell r="E6160">
            <v>34000000</v>
          </cell>
          <cell r="F6160">
            <v>34000000</v>
          </cell>
          <cell r="G6160">
            <v>34000000</v>
          </cell>
          <cell r="H6160">
            <v>34000000</v>
          </cell>
          <cell r="I6160" t="str">
            <v/>
          </cell>
          <cell r="J6160" t="str">
            <v/>
          </cell>
          <cell r="K6160" t="str">
            <v/>
          </cell>
          <cell r="L6160" t="str">
            <v/>
          </cell>
        </row>
        <row r="6161">
          <cell r="A6161">
            <v>34000000</v>
          </cell>
          <cell r="C6161">
            <v>34000000</v>
          </cell>
          <cell r="D6161">
            <v>34000000</v>
          </cell>
          <cell r="E6161">
            <v>34000000</v>
          </cell>
          <cell r="F6161">
            <v>34000000</v>
          </cell>
          <cell r="G6161">
            <v>34000000</v>
          </cell>
          <cell r="H6161">
            <v>34000000</v>
          </cell>
          <cell r="I6161" t="str">
            <v/>
          </cell>
          <cell r="J6161" t="str">
            <v/>
          </cell>
          <cell r="K6161" t="str">
            <v/>
          </cell>
          <cell r="L6161" t="str">
            <v/>
          </cell>
        </row>
        <row r="6162">
          <cell r="A6162">
            <v>34000000</v>
          </cell>
          <cell r="C6162">
            <v>34000000</v>
          </cell>
          <cell r="D6162">
            <v>34000000</v>
          </cell>
          <cell r="E6162">
            <v>34000000</v>
          </cell>
          <cell r="F6162">
            <v>34000000</v>
          </cell>
          <cell r="G6162">
            <v>34000000</v>
          </cell>
          <cell r="H6162">
            <v>34000000</v>
          </cell>
          <cell r="I6162" t="str">
            <v/>
          </cell>
          <cell r="J6162" t="str">
            <v/>
          </cell>
          <cell r="K6162" t="str">
            <v/>
          </cell>
          <cell r="L6162" t="str">
            <v/>
          </cell>
        </row>
        <row r="6163">
          <cell r="A6163">
            <v>34000000</v>
          </cell>
          <cell r="C6163">
            <v>34000000</v>
          </cell>
          <cell r="D6163">
            <v>34000000</v>
          </cell>
          <cell r="E6163">
            <v>34000000</v>
          </cell>
          <cell r="F6163">
            <v>34000000</v>
          </cell>
          <cell r="G6163">
            <v>34000000</v>
          </cell>
          <cell r="H6163">
            <v>34000000</v>
          </cell>
          <cell r="I6163" t="str">
            <v/>
          </cell>
          <cell r="J6163" t="str">
            <v/>
          </cell>
          <cell r="K6163" t="str">
            <v/>
          </cell>
          <cell r="L6163" t="str">
            <v/>
          </cell>
        </row>
        <row r="6164">
          <cell r="A6164">
            <v>34000000</v>
          </cell>
          <cell r="C6164">
            <v>34000000</v>
          </cell>
          <cell r="D6164">
            <v>34000000</v>
          </cell>
          <cell r="E6164">
            <v>34000000</v>
          </cell>
          <cell r="F6164">
            <v>34000000</v>
          </cell>
          <cell r="G6164">
            <v>34000000</v>
          </cell>
          <cell r="H6164">
            <v>34000000</v>
          </cell>
          <cell r="I6164" t="str">
            <v/>
          </cell>
          <cell r="J6164" t="str">
            <v/>
          </cell>
          <cell r="K6164" t="str">
            <v/>
          </cell>
          <cell r="L6164" t="str">
            <v/>
          </cell>
        </row>
        <row r="6165">
          <cell r="A6165">
            <v>34000000</v>
          </cell>
          <cell r="C6165">
            <v>34000000</v>
          </cell>
          <cell r="D6165">
            <v>34000000</v>
          </cell>
          <cell r="E6165">
            <v>34000000</v>
          </cell>
          <cell r="F6165">
            <v>34000000</v>
          </cell>
          <cell r="G6165">
            <v>34000000</v>
          </cell>
          <cell r="H6165">
            <v>34000000</v>
          </cell>
          <cell r="I6165" t="str">
            <v/>
          </cell>
          <cell r="J6165" t="str">
            <v/>
          </cell>
          <cell r="K6165" t="str">
            <v/>
          </cell>
          <cell r="L6165" t="str">
            <v/>
          </cell>
        </row>
        <row r="6166">
          <cell r="A6166">
            <v>34000000</v>
          </cell>
          <cell r="C6166">
            <v>34000000</v>
          </cell>
          <cell r="D6166">
            <v>34000000</v>
          </cell>
          <cell r="E6166">
            <v>34000000</v>
          </cell>
          <cell r="F6166">
            <v>34000000</v>
          </cell>
          <cell r="G6166">
            <v>34000000</v>
          </cell>
          <cell r="H6166">
            <v>34000000</v>
          </cell>
          <cell r="I6166" t="str">
            <v/>
          </cell>
          <cell r="J6166" t="str">
            <v/>
          </cell>
          <cell r="K6166" t="str">
            <v/>
          </cell>
          <cell r="L6166" t="str">
            <v/>
          </cell>
        </row>
        <row r="6167">
          <cell r="A6167">
            <v>34000000</v>
          </cell>
          <cell r="C6167">
            <v>34000000</v>
          </cell>
          <cell r="D6167">
            <v>34000000</v>
          </cell>
          <cell r="E6167">
            <v>34000000</v>
          </cell>
          <cell r="F6167">
            <v>34000000</v>
          </cell>
          <cell r="G6167">
            <v>34000000</v>
          </cell>
          <cell r="H6167">
            <v>34000000</v>
          </cell>
          <cell r="I6167" t="str">
            <v/>
          </cell>
          <cell r="J6167" t="str">
            <v/>
          </cell>
          <cell r="K6167" t="str">
            <v/>
          </cell>
          <cell r="L6167" t="str">
            <v/>
          </cell>
        </row>
        <row r="6168">
          <cell r="A6168">
            <v>34000000</v>
          </cell>
          <cell r="C6168">
            <v>34000000</v>
          </cell>
          <cell r="D6168">
            <v>34000000</v>
          </cell>
          <cell r="E6168">
            <v>34000000</v>
          </cell>
          <cell r="F6168">
            <v>34000000</v>
          </cell>
          <cell r="G6168">
            <v>34000000</v>
          </cell>
          <cell r="H6168">
            <v>34000000</v>
          </cell>
          <cell r="I6168" t="str">
            <v/>
          </cell>
          <cell r="J6168" t="str">
            <v/>
          </cell>
          <cell r="K6168" t="str">
            <v/>
          </cell>
          <cell r="L6168" t="str">
            <v/>
          </cell>
        </row>
        <row r="6169">
          <cell r="A6169">
            <v>34000000</v>
          </cell>
          <cell r="C6169">
            <v>34000000</v>
          </cell>
          <cell r="D6169">
            <v>34000000</v>
          </cell>
          <cell r="E6169">
            <v>34000000</v>
          </cell>
          <cell r="F6169">
            <v>34000000</v>
          </cell>
          <cell r="G6169">
            <v>34000000</v>
          </cell>
          <cell r="H6169">
            <v>34000000</v>
          </cell>
          <cell r="I6169" t="str">
            <v/>
          </cell>
          <cell r="J6169" t="str">
            <v/>
          </cell>
          <cell r="K6169" t="str">
            <v/>
          </cell>
          <cell r="L6169" t="str">
            <v/>
          </cell>
        </row>
        <row r="6170">
          <cell r="A6170">
            <v>34000000</v>
          </cell>
          <cell r="C6170">
            <v>34000000</v>
          </cell>
          <cell r="D6170">
            <v>34000000</v>
          </cell>
          <cell r="E6170">
            <v>34000000</v>
          </cell>
          <cell r="F6170">
            <v>34000000</v>
          </cell>
          <cell r="G6170">
            <v>34000000</v>
          </cell>
          <cell r="H6170">
            <v>34000000</v>
          </cell>
          <cell r="I6170" t="str">
            <v/>
          </cell>
          <cell r="J6170" t="str">
            <v/>
          </cell>
          <cell r="K6170" t="str">
            <v/>
          </cell>
          <cell r="L6170" t="str">
            <v/>
          </cell>
        </row>
        <row r="6171">
          <cell r="A6171">
            <v>34000000</v>
          </cell>
          <cell r="C6171">
            <v>34000000</v>
          </cell>
          <cell r="D6171">
            <v>34000000</v>
          </cell>
          <cell r="E6171">
            <v>34000000</v>
          </cell>
          <cell r="F6171">
            <v>34000000</v>
          </cell>
          <cell r="G6171">
            <v>34000000</v>
          </cell>
          <cell r="H6171">
            <v>34000000</v>
          </cell>
          <cell r="I6171" t="str">
            <v/>
          </cell>
          <cell r="J6171" t="str">
            <v/>
          </cell>
          <cell r="K6171" t="str">
            <v/>
          </cell>
          <cell r="L6171" t="str">
            <v/>
          </cell>
        </row>
        <row r="6172">
          <cell r="A6172">
            <v>34000000</v>
          </cell>
          <cell r="C6172">
            <v>34000000</v>
          </cell>
          <cell r="D6172">
            <v>34000000</v>
          </cell>
          <cell r="E6172">
            <v>34000000</v>
          </cell>
          <cell r="F6172">
            <v>34000000</v>
          </cell>
          <cell r="G6172">
            <v>34000000</v>
          </cell>
          <cell r="H6172">
            <v>34000000</v>
          </cell>
          <cell r="I6172" t="str">
            <v/>
          </cell>
          <cell r="J6172" t="str">
            <v/>
          </cell>
          <cell r="K6172" t="str">
            <v/>
          </cell>
          <cell r="L6172" t="str">
            <v/>
          </cell>
        </row>
        <row r="6173">
          <cell r="A6173">
            <v>34000000</v>
          </cell>
          <cell r="C6173">
            <v>34000000</v>
          </cell>
          <cell r="D6173">
            <v>34000000</v>
          </cell>
          <cell r="E6173">
            <v>34000000</v>
          </cell>
          <cell r="F6173">
            <v>34000000</v>
          </cell>
          <cell r="G6173">
            <v>34000000</v>
          </cell>
          <cell r="H6173">
            <v>34000000</v>
          </cell>
          <cell r="I6173" t="str">
            <v/>
          </cell>
          <cell r="J6173" t="str">
            <v/>
          </cell>
          <cell r="K6173" t="str">
            <v/>
          </cell>
          <cell r="L6173" t="str">
            <v/>
          </cell>
        </row>
        <row r="6174">
          <cell r="A6174">
            <v>34000000</v>
          </cell>
          <cell r="C6174">
            <v>34000000</v>
          </cell>
          <cell r="D6174">
            <v>34000000</v>
          </cell>
          <cell r="E6174">
            <v>34000000</v>
          </cell>
          <cell r="F6174">
            <v>34000000</v>
          </cell>
          <cell r="G6174">
            <v>34000000</v>
          </cell>
          <cell r="H6174">
            <v>34000000</v>
          </cell>
          <cell r="I6174" t="str">
            <v/>
          </cell>
          <cell r="J6174" t="str">
            <v/>
          </cell>
          <cell r="K6174" t="str">
            <v/>
          </cell>
          <cell r="L6174" t="str">
            <v/>
          </cell>
        </row>
        <row r="6175">
          <cell r="A6175">
            <v>34000000</v>
          </cell>
          <cell r="C6175">
            <v>34000000</v>
          </cell>
          <cell r="D6175">
            <v>34000000</v>
          </cell>
          <cell r="E6175">
            <v>34000000</v>
          </cell>
          <cell r="F6175">
            <v>34000000</v>
          </cell>
          <cell r="G6175">
            <v>34000000</v>
          </cell>
          <cell r="H6175">
            <v>34000000</v>
          </cell>
          <cell r="I6175" t="str">
            <v/>
          </cell>
          <cell r="J6175" t="str">
            <v/>
          </cell>
          <cell r="K6175" t="str">
            <v/>
          </cell>
          <cell r="L6175" t="str">
            <v/>
          </cell>
        </row>
        <row r="6176">
          <cell r="A6176">
            <v>34000000</v>
          </cell>
          <cell r="C6176">
            <v>34000000</v>
          </cell>
          <cell r="D6176">
            <v>34000000</v>
          </cell>
          <cell r="E6176">
            <v>34000000</v>
          </cell>
          <cell r="F6176">
            <v>34000000</v>
          </cell>
          <cell r="G6176">
            <v>34000000</v>
          </cell>
          <cell r="H6176">
            <v>34000000</v>
          </cell>
          <cell r="I6176" t="str">
            <v/>
          </cell>
          <cell r="J6176" t="str">
            <v/>
          </cell>
          <cell r="K6176" t="str">
            <v/>
          </cell>
          <cell r="L6176" t="str">
            <v/>
          </cell>
        </row>
        <row r="6177">
          <cell r="A6177">
            <v>34000000</v>
          </cell>
          <cell r="C6177">
            <v>34000000</v>
          </cell>
          <cell r="D6177">
            <v>34000000</v>
          </cell>
          <cell r="E6177">
            <v>34000000</v>
          </cell>
          <cell r="F6177">
            <v>34000000</v>
          </cell>
          <cell r="G6177">
            <v>34000000</v>
          </cell>
          <cell r="H6177">
            <v>34000000</v>
          </cell>
          <cell r="I6177" t="str">
            <v/>
          </cell>
          <cell r="J6177" t="str">
            <v/>
          </cell>
          <cell r="K6177" t="str">
            <v/>
          </cell>
          <cell r="L6177" t="str">
            <v/>
          </cell>
        </row>
        <row r="6178">
          <cell r="A6178">
            <v>34000000</v>
          </cell>
          <cell r="C6178">
            <v>34000000</v>
          </cell>
          <cell r="D6178">
            <v>34000000</v>
          </cell>
          <cell r="E6178">
            <v>34000000</v>
          </cell>
          <cell r="F6178">
            <v>34000000</v>
          </cell>
          <cell r="G6178">
            <v>34000000</v>
          </cell>
          <cell r="H6178">
            <v>34000000</v>
          </cell>
          <cell r="I6178" t="str">
            <v/>
          </cell>
          <cell r="J6178" t="str">
            <v/>
          </cell>
          <cell r="K6178" t="str">
            <v/>
          </cell>
          <cell r="L6178" t="str">
            <v/>
          </cell>
        </row>
        <row r="6179">
          <cell r="A6179">
            <v>34000000</v>
          </cell>
          <cell r="C6179">
            <v>34000000</v>
          </cell>
          <cell r="D6179">
            <v>34000000</v>
          </cell>
          <cell r="E6179">
            <v>34000000</v>
          </cell>
          <cell r="F6179">
            <v>34000000</v>
          </cell>
          <cell r="G6179">
            <v>34000000</v>
          </cell>
          <cell r="H6179">
            <v>34000000</v>
          </cell>
          <cell r="I6179" t="str">
            <v/>
          </cell>
          <cell r="J6179" t="str">
            <v/>
          </cell>
          <cell r="K6179" t="str">
            <v/>
          </cell>
          <cell r="L6179" t="str">
            <v/>
          </cell>
        </row>
        <row r="6180">
          <cell r="A6180">
            <v>34000000</v>
          </cell>
          <cell r="C6180">
            <v>34000000</v>
          </cell>
          <cell r="D6180">
            <v>34000000</v>
          </cell>
          <cell r="E6180">
            <v>34000000</v>
          </cell>
          <cell r="F6180">
            <v>34000000</v>
          </cell>
          <cell r="G6180">
            <v>34000000</v>
          </cell>
          <cell r="H6180">
            <v>34000000</v>
          </cell>
          <cell r="I6180" t="str">
            <v/>
          </cell>
          <cell r="J6180" t="str">
            <v/>
          </cell>
          <cell r="K6180" t="str">
            <v/>
          </cell>
          <cell r="L6180" t="str">
            <v/>
          </cell>
        </row>
        <row r="6181">
          <cell r="A6181">
            <v>34000000</v>
          </cell>
          <cell r="C6181">
            <v>34000000</v>
          </cell>
          <cell r="D6181">
            <v>34000000</v>
          </cell>
          <cell r="E6181">
            <v>34000000</v>
          </cell>
          <cell r="F6181">
            <v>34000000</v>
          </cell>
          <cell r="G6181">
            <v>34000000</v>
          </cell>
          <cell r="H6181">
            <v>34000000</v>
          </cell>
          <cell r="I6181" t="str">
            <v/>
          </cell>
          <cell r="J6181" t="str">
            <v/>
          </cell>
          <cell r="K6181" t="str">
            <v/>
          </cell>
          <cell r="L6181" t="str">
            <v/>
          </cell>
        </row>
        <row r="6182">
          <cell r="A6182">
            <v>34000000</v>
          </cell>
          <cell r="C6182">
            <v>34000000</v>
          </cell>
          <cell r="D6182">
            <v>34000000</v>
          </cell>
          <cell r="E6182">
            <v>34000000</v>
          </cell>
          <cell r="F6182">
            <v>34000000</v>
          </cell>
          <cell r="G6182">
            <v>34000000</v>
          </cell>
          <cell r="H6182">
            <v>34000000</v>
          </cell>
          <cell r="I6182" t="str">
            <v/>
          </cell>
          <cell r="J6182" t="str">
            <v/>
          </cell>
          <cell r="K6182" t="str">
            <v/>
          </cell>
          <cell r="L6182" t="str">
            <v/>
          </cell>
        </row>
        <row r="6183">
          <cell r="A6183">
            <v>34000000</v>
          </cell>
          <cell r="C6183">
            <v>34000000</v>
          </cell>
          <cell r="D6183">
            <v>34000000</v>
          </cell>
          <cell r="E6183">
            <v>34000000</v>
          </cell>
          <cell r="F6183">
            <v>34000000</v>
          </cell>
          <cell r="G6183">
            <v>34000000</v>
          </cell>
          <cell r="H6183">
            <v>34000000</v>
          </cell>
          <cell r="I6183" t="str">
            <v/>
          </cell>
          <cell r="J6183" t="str">
            <v/>
          </cell>
          <cell r="K6183" t="str">
            <v/>
          </cell>
          <cell r="L6183" t="str">
            <v/>
          </cell>
        </row>
        <row r="6184">
          <cell r="A6184">
            <v>34000000</v>
          </cell>
          <cell r="C6184">
            <v>34000000</v>
          </cell>
          <cell r="D6184">
            <v>34000000</v>
          </cell>
          <cell r="E6184">
            <v>34000000</v>
          </cell>
          <cell r="F6184">
            <v>34000000</v>
          </cell>
          <cell r="G6184">
            <v>34000000</v>
          </cell>
          <cell r="H6184">
            <v>34000000</v>
          </cell>
          <cell r="I6184" t="str">
            <v/>
          </cell>
          <cell r="J6184" t="str">
            <v/>
          </cell>
          <cell r="K6184" t="str">
            <v/>
          </cell>
          <cell r="L6184" t="str">
            <v/>
          </cell>
        </row>
        <row r="6185">
          <cell r="A6185">
            <v>34000000</v>
          </cell>
          <cell r="C6185">
            <v>34000000</v>
          </cell>
          <cell r="D6185">
            <v>34000000</v>
          </cell>
          <cell r="E6185">
            <v>34000000</v>
          </cell>
          <cell r="F6185">
            <v>34000000</v>
          </cell>
          <cell r="G6185">
            <v>34000000</v>
          </cell>
          <cell r="H6185">
            <v>34000000</v>
          </cell>
          <cell r="I6185" t="str">
            <v/>
          </cell>
          <cell r="J6185" t="str">
            <v/>
          </cell>
          <cell r="K6185" t="str">
            <v/>
          </cell>
          <cell r="L6185" t="str">
            <v/>
          </cell>
        </row>
        <row r="6186">
          <cell r="A6186">
            <v>34000000</v>
          </cell>
          <cell r="C6186">
            <v>34000000</v>
          </cell>
          <cell r="D6186">
            <v>34000000</v>
          </cell>
          <cell r="E6186">
            <v>34000000</v>
          </cell>
          <cell r="F6186">
            <v>34000000</v>
          </cell>
          <cell r="G6186">
            <v>34000000</v>
          </cell>
          <cell r="H6186">
            <v>34000000</v>
          </cell>
          <cell r="I6186" t="str">
            <v/>
          </cell>
          <cell r="J6186" t="str">
            <v/>
          </cell>
          <cell r="K6186" t="str">
            <v/>
          </cell>
          <cell r="L6186" t="str">
            <v/>
          </cell>
        </row>
        <row r="6187">
          <cell r="A6187">
            <v>34000000</v>
          </cell>
          <cell r="C6187">
            <v>34000000</v>
          </cell>
          <cell r="D6187">
            <v>34000000</v>
          </cell>
          <cell r="E6187">
            <v>34000000</v>
          </cell>
          <cell r="F6187">
            <v>34000000</v>
          </cell>
          <cell r="G6187">
            <v>34000000</v>
          </cell>
          <cell r="H6187">
            <v>34000000</v>
          </cell>
          <cell r="I6187" t="str">
            <v/>
          </cell>
          <cell r="J6187" t="str">
            <v/>
          </cell>
          <cell r="K6187" t="str">
            <v/>
          </cell>
          <cell r="L6187" t="str">
            <v/>
          </cell>
        </row>
        <row r="6188">
          <cell r="A6188">
            <v>34000000</v>
          </cell>
          <cell r="C6188">
            <v>34000000</v>
          </cell>
          <cell r="D6188">
            <v>34000000</v>
          </cell>
          <cell r="E6188">
            <v>34000000</v>
          </cell>
          <cell r="F6188">
            <v>34000000</v>
          </cell>
          <cell r="G6188">
            <v>34000000</v>
          </cell>
          <cell r="H6188">
            <v>34000000</v>
          </cell>
          <cell r="I6188" t="str">
            <v/>
          </cell>
          <cell r="J6188" t="str">
            <v/>
          </cell>
          <cell r="K6188" t="str">
            <v/>
          </cell>
          <cell r="L6188" t="str">
            <v/>
          </cell>
        </row>
        <row r="6189">
          <cell r="A6189">
            <v>34000000</v>
          </cell>
          <cell r="C6189">
            <v>34000000</v>
          </cell>
          <cell r="D6189">
            <v>34000000</v>
          </cell>
          <cell r="E6189">
            <v>34000000</v>
          </cell>
          <cell r="F6189">
            <v>34000000</v>
          </cell>
          <cell r="G6189">
            <v>34000000</v>
          </cell>
          <cell r="H6189">
            <v>34000000</v>
          </cell>
          <cell r="I6189" t="str">
            <v/>
          </cell>
          <cell r="J6189" t="str">
            <v/>
          </cell>
          <cell r="K6189" t="str">
            <v/>
          </cell>
          <cell r="L6189" t="str">
            <v/>
          </cell>
        </row>
        <row r="6190">
          <cell r="A6190">
            <v>34000000</v>
          </cell>
          <cell r="C6190">
            <v>34000000</v>
          </cell>
          <cell r="D6190">
            <v>34000000</v>
          </cell>
          <cell r="E6190">
            <v>34000000</v>
          </cell>
          <cell r="F6190">
            <v>34000000</v>
          </cell>
          <cell r="G6190">
            <v>34000000</v>
          </cell>
          <cell r="H6190">
            <v>34000000</v>
          </cell>
          <cell r="I6190" t="str">
            <v/>
          </cell>
          <cell r="J6190" t="str">
            <v/>
          </cell>
          <cell r="K6190" t="str">
            <v/>
          </cell>
          <cell r="L6190" t="str">
            <v/>
          </cell>
        </row>
        <row r="6191">
          <cell r="A6191">
            <v>34000000</v>
          </cell>
          <cell r="C6191">
            <v>34000000</v>
          </cell>
          <cell r="D6191">
            <v>34000000</v>
          </cell>
          <cell r="E6191">
            <v>34000000</v>
          </cell>
          <cell r="F6191">
            <v>34000000</v>
          </cell>
          <cell r="G6191">
            <v>34000000</v>
          </cell>
          <cell r="H6191">
            <v>34000000</v>
          </cell>
          <cell r="I6191" t="str">
            <v/>
          </cell>
          <cell r="J6191" t="str">
            <v/>
          </cell>
          <cell r="K6191" t="str">
            <v/>
          </cell>
          <cell r="L6191" t="str">
            <v/>
          </cell>
        </row>
        <row r="6192">
          <cell r="A6192">
            <v>34000000</v>
          </cell>
          <cell r="C6192">
            <v>34000000</v>
          </cell>
          <cell r="D6192">
            <v>34000000</v>
          </cell>
          <cell r="E6192">
            <v>34000000</v>
          </cell>
          <cell r="F6192">
            <v>34000000</v>
          </cell>
          <cell r="G6192">
            <v>34000000</v>
          </cell>
          <cell r="H6192">
            <v>34000000</v>
          </cell>
          <cell r="I6192" t="str">
            <v/>
          </cell>
          <cell r="J6192" t="str">
            <v/>
          </cell>
          <cell r="K6192" t="str">
            <v/>
          </cell>
          <cell r="L6192" t="str">
            <v/>
          </cell>
        </row>
        <row r="6193">
          <cell r="A6193">
            <v>34000000</v>
          </cell>
          <cell r="C6193">
            <v>34000000</v>
          </cell>
          <cell r="D6193">
            <v>34000000</v>
          </cell>
          <cell r="E6193">
            <v>34000000</v>
          </cell>
          <cell r="F6193">
            <v>34000000</v>
          </cell>
          <cell r="G6193">
            <v>34000000</v>
          </cell>
          <cell r="H6193">
            <v>34000000</v>
          </cell>
          <cell r="I6193" t="str">
            <v/>
          </cell>
          <cell r="J6193" t="str">
            <v/>
          </cell>
          <cell r="K6193" t="str">
            <v/>
          </cell>
          <cell r="L6193" t="str">
            <v/>
          </cell>
        </row>
        <row r="6194">
          <cell r="A6194">
            <v>34000000</v>
          </cell>
          <cell r="C6194">
            <v>34000000</v>
          </cell>
          <cell r="D6194">
            <v>34000000</v>
          </cell>
          <cell r="E6194">
            <v>34000000</v>
          </cell>
          <cell r="F6194">
            <v>34000000</v>
          </cell>
          <cell r="G6194">
            <v>34000000</v>
          </cell>
          <cell r="H6194">
            <v>34000000</v>
          </cell>
          <cell r="I6194" t="str">
            <v/>
          </cell>
          <cell r="J6194" t="str">
            <v/>
          </cell>
          <cell r="K6194" t="str">
            <v/>
          </cell>
          <cell r="L6194" t="str">
            <v/>
          </cell>
        </row>
        <row r="6195">
          <cell r="A6195">
            <v>34000000</v>
          </cell>
          <cell r="C6195">
            <v>34000000</v>
          </cell>
          <cell r="D6195">
            <v>34000000</v>
          </cell>
          <cell r="E6195">
            <v>34000000</v>
          </cell>
          <cell r="F6195">
            <v>34000000</v>
          </cell>
          <cell r="G6195">
            <v>34000000</v>
          </cell>
          <cell r="H6195">
            <v>34000000</v>
          </cell>
          <cell r="I6195" t="str">
            <v/>
          </cell>
          <cell r="J6195" t="str">
            <v/>
          </cell>
          <cell r="K6195" t="str">
            <v/>
          </cell>
          <cell r="L6195" t="str">
            <v/>
          </cell>
        </row>
        <row r="6196">
          <cell r="A6196">
            <v>34000000</v>
          </cell>
          <cell r="C6196">
            <v>34000000</v>
          </cell>
          <cell r="D6196">
            <v>34000000</v>
          </cell>
          <cell r="E6196">
            <v>34000000</v>
          </cell>
          <cell r="F6196">
            <v>34000000</v>
          </cell>
          <cell r="G6196">
            <v>34000000</v>
          </cell>
          <cell r="H6196">
            <v>34000000</v>
          </cell>
          <cell r="I6196" t="str">
            <v/>
          </cell>
          <cell r="J6196" t="str">
            <v/>
          </cell>
          <cell r="K6196" t="str">
            <v/>
          </cell>
          <cell r="L6196" t="str">
            <v/>
          </cell>
        </row>
        <row r="6197">
          <cell r="A6197">
            <v>34000000</v>
          </cell>
          <cell r="C6197">
            <v>34000000</v>
          </cell>
          <cell r="D6197">
            <v>34000000</v>
          </cell>
          <cell r="E6197">
            <v>34000000</v>
          </cell>
          <cell r="F6197">
            <v>34000000</v>
          </cell>
          <cell r="G6197">
            <v>34000000</v>
          </cell>
          <cell r="H6197">
            <v>34000000</v>
          </cell>
          <cell r="I6197" t="str">
            <v/>
          </cell>
          <cell r="J6197" t="str">
            <v/>
          </cell>
          <cell r="K6197" t="str">
            <v/>
          </cell>
          <cell r="L6197" t="str">
            <v/>
          </cell>
        </row>
        <row r="6198">
          <cell r="A6198">
            <v>34000000</v>
          </cell>
          <cell r="C6198">
            <v>34000000</v>
          </cell>
          <cell r="D6198">
            <v>34000000</v>
          </cell>
          <cell r="E6198">
            <v>34000000</v>
          </cell>
          <cell r="F6198">
            <v>34000000</v>
          </cell>
          <cell r="G6198">
            <v>34000000</v>
          </cell>
          <cell r="H6198">
            <v>34000000</v>
          </cell>
          <cell r="I6198" t="str">
            <v/>
          </cell>
          <cell r="J6198" t="str">
            <v/>
          </cell>
          <cell r="K6198" t="str">
            <v/>
          </cell>
          <cell r="L6198" t="str">
            <v/>
          </cell>
        </row>
        <row r="6199">
          <cell r="A6199">
            <v>34000000</v>
          </cell>
          <cell r="C6199">
            <v>34000000</v>
          </cell>
          <cell r="D6199">
            <v>34000000</v>
          </cell>
          <cell r="E6199">
            <v>34000000</v>
          </cell>
          <cell r="F6199">
            <v>34000000</v>
          </cell>
          <cell r="G6199">
            <v>34000000</v>
          </cell>
          <cell r="H6199">
            <v>34000000</v>
          </cell>
          <cell r="I6199" t="str">
            <v/>
          </cell>
          <cell r="J6199" t="str">
            <v/>
          </cell>
          <cell r="K6199" t="str">
            <v/>
          </cell>
          <cell r="L6199" t="str">
            <v/>
          </cell>
        </row>
        <row r="6200">
          <cell r="A6200">
            <v>34000000</v>
          </cell>
          <cell r="C6200">
            <v>34000000</v>
          </cell>
          <cell r="D6200">
            <v>34000000</v>
          </cell>
          <cell r="E6200">
            <v>34000000</v>
          </cell>
          <cell r="F6200">
            <v>34000000</v>
          </cell>
          <cell r="G6200">
            <v>34000000</v>
          </cell>
          <cell r="H6200">
            <v>34000000</v>
          </cell>
          <cell r="I6200" t="str">
            <v/>
          </cell>
          <cell r="J6200" t="str">
            <v/>
          </cell>
          <cell r="K6200" t="str">
            <v/>
          </cell>
          <cell r="L6200" t="str">
            <v/>
          </cell>
        </row>
        <row r="6201">
          <cell r="A6201">
            <v>34000000</v>
          </cell>
          <cell r="C6201">
            <v>34000000</v>
          </cell>
          <cell r="D6201">
            <v>34000000</v>
          </cell>
          <cell r="E6201">
            <v>34000000</v>
          </cell>
          <cell r="F6201">
            <v>34000000</v>
          </cell>
          <cell r="G6201">
            <v>34000000</v>
          </cell>
          <cell r="H6201">
            <v>34000000</v>
          </cell>
          <cell r="I6201" t="str">
            <v/>
          </cell>
          <cell r="J6201" t="str">
            <v/>
          </cell>
          <cell r="K6201" t="str">
            <v/>
          </cell>
          <cell r="L6201" t="str">
            <v/>
          </cell>
        </row>
        <row r="6202">
          <cell r="A6202">
            <v>34000000</v>
          </cell>
          <cell r="C6202">
            <v>34000000</v>
          </cell>
          <cell r="D6202">
            <v>34000000</v>
          </cell>
          <cell r="E6202">
            <v>34000000</v>
          </cell>
          <cell r="F6202">
            <v>34000000</v>
          </cell>
          <cell r="G6202">
            <v>34000000</v>
          </cell>
          <cell r="H6202">
            <v>34000000</v>
          </cell>
          <cell r="I6202" t="str">
            <v/>
          </cell>
          <cell r="J6202" t="str">
            <v/>
          </cell>
          <cell r="K6202" t="str">
            <v/>
          </cell>
          <cell r="L6202" t="str">
            <v/>
          </cell>
        </row>
        <row r="6203">
          <cell r="A6203">
            <v>34000000</v>
          </cell>
          <cell r="C6203">
            <v>34000000</v>
          </cell>
          <cell r="D6203">
            <v>34000000</v>
          </cell>
          <cell r="E6203">
            <v>34000000</v>
          </cell>
          <cell r="F6203">
            <v>34000000</v>
          </cell>
          <cell r="G6203">
            <v>34000000</v>
          </cell>
          <cell r="H6203">
            <v>34000000</v>
          </cell>
          <cell r="I6203" t="str">
            <v/>
          </cell>
          <cell r="J6203" t="str">
            <v/>
          </cell>
          <cell r="K6203" t="str">
            <v/>
          </cell>
          <cell r="L6203" t="str">
            <v/>
          </cell>
        </row>
        <row r="6204">
          <cell r="A6204">
            <v>34000000</v>
          </cell>
          <cell r="C6204">
            <v>34000000</v>
          </cell>
          <cell r="D6204">
            <v>34000000</v>
          </cell>
          <cell r="E6204">
            <v>34000000</v>
          </cell>
          <cell r="F6204">
            <v>34000000</v>
          </cell>
          <cell r="G6204">
            <v>34000000</v>
          </cell>
          <cell r="H6204">
            <v>34000000</v>
          </cell>
          <cell r="I6204" t="str">
            <v/>
          </cell>
          <cell r="J6204" t="str">
            <v/>
          </cell>
          <cell r="K6204" t="str">
            <v/>
          </cell>
          <cell r="L6204" t="str">
            <v/>
          </cell>
        </row>
        <row r="6205">
          <cell r="A6205">
            <v>34000000</v>
          </cell>
          <cell r="C6205">
            <v>34000000</v>
          </cell>
          <cell r="D6205">
            <v>34000000</v>
          </cell>
          <cell r="E6205">
            <v>34000000</v>
          </cell>
          <cell r="F6205">
            <v>34000000</v>
          </cell>
          <cell r="G6205">
            <v>34000000</v>
          </cell>
          <cell r="H6205">
            <v>34000000</v>
          </cell>
          <cell r="I6205" t="str">
            <v/>
          </cell>
          <cell r="J6205" t="str">
            <v/>
          </cell>
          <cell r="K6205" t="str">
            <v/>
          </cell>
          <cell r="L6205" t="str">
            <v/>
          </cell>
        </row>
        <row r="6206">
          <cell r="A6206">
            <v>34000000</v>
          </cell>
          <cell r="C6206">
            <v>34000000</v>
          </cell>
          <cell r="D6206">
            <v>34000000</v>
          </cell>
          <cell r="E6206">
            <v>34000000</v>
          </cell>
          <cell r="F6206">
            <v>34000000</v>
          </cell>
          <cell r="G6206">
            <v>34000000</v>
          </cell>
          <cell r="H6206">
            <v>34000000</v>
          </cell>
          <cell r="I6206" t="str">
            <v/>
          </cell>
          <cell r="J6206" t="str">
            <v/>
          </cell>
          <cell r="K6206" t="str">
            <v/>
          </cell>
          <cell r="L6206" t="str">
            <v/>
          </cell>
        </row>
        <row r="6207">
          <cell r="A6207">
            <v>34000000</v>
          </cell>
          <cell r="C6207">
            <v>34000000</v>
          </cell>
          <cell r="D6207">
            <v>34000000</v>
          </cell>
          <cell r="E6207">
            <v>34000000</v>
          </cell>
          <cell r="F6207">
            <v>34000000</v>
          </cell>
          <cell r="G6207">
            <v>34000000</v>
          </cell>
          <cell r="H6207">
            <v>34000000</v>
          </cell>
          <cell r="I6207" t="str">
            <v/>
          </cell>
          <cell r="J6207" t="str">
            <v/>
          </cell>
          <cell r="K6207" t="str">
            <v/>
          </cell>
          <cell r="L6207" t="str">
            <v/>
          </cell>
        </row>
        <row r="6208">
          <cell r="A6208">
            <v>34000000</v>
          </cell>
          <cell r="C6208">
            <v>34000000</v>
          </cell>
          <cell r="D6208">
            <v>34000000</v>
          </cell>
          <cell r="E6208">
            <v>34000000</v>
          </cell>
          <cell r="F6208">
            <v>34000000</v>
          </cell>
          <cell r="G6208">
            <v>34000000</v>
          </cell>
          <cell r="H6208">
            <v>34000000</v>
          </cell>
          <cell r="I6208" t="str">
            <v/>
          </cell>
          <cell r="J6208" t="str">
            <v/>
          </cell>
          <cell r="K6208" t="str">
            <v/>
          </cell>
          <cell r="L6208" t="str">
            <v/>
          </cell>
        </row>
        <row r="6209">
          <cell r="A6209">
            <v>34000000</v>
          </cell>
          <cell r="C6209">
            <v>34000000</v>
          </cell>
          <cell r="D6209">
            <v>34000000</v>
          </cell>
          <cell r="E6209">
            <v>34000000</v>
          </cell>
          <cell r="F6209">
            <v>34000000</v>
          </cell>
          <cell r="G6209">
            <v>34000000</v>
          </cell>
          <cell r="H6209">
            <v>34000000</v>
          </cell>
          <cell r="I6209" t="str">
            <v/>
          </cell>
          <cell r="J6209" t="str">
            <v/>
          </cell>
          <cell r="K6209" t="str">
            <v/>
          </cell>
          <cell r="L6209" t="str">
            <v/>
          </cell>
        </row>
        <row r="6210">
          <cell r="A6210">
            <v>34000000</v>
          </cell>
          <cell r="C6210">
            <v>34000000</v>
          </cell>
          <cell r="D6210">
            <v>34000000</v>
          </cell>
          <cell r="E6210">
            <v>34000000</v>
          </cell>
          <cell r="F6210">
            <v>34000000</v>
          </cell>
          <cell r="G6210">
            <v>34000000</v>
          </cell>
          <cell r="H6210">
            <v>34000000</v>
          </cell>
          <cell r="I6210" t="str">
            <v/>
          </cell>
          <cell r="J6210" t="str">
            <v/>
          </cell>
          <cell r="K6210" t="str">
            <v/>
          </cell>
          <cell r="L6210" t="str">
            <v/>
          </cell>
        </row>
        <row r="6211">
          <cell r="A6211">
            <v>34000000</v>
          </cell>
          <cell r="C6211">
            <v>34000000</v>
          </cell>
          <cell r="D6211">
            <v>34000000</v>
          </cell>
          <cell r="E6211">
            <v>34000000</v>
          </cell>
          <cell r="F6211">
            <v>34000000</v>
          </cell>
          <cell r="G6211">
            <v>34000000</v>
          </cell>
          <cell r="H6211">
            <v>34000000</v>
          </cell>
          <cell r="I6211" t="str">
            <v/>
          </cell>
          <cell r="J6211" t="str">
            <v/>
          </cell>
          <cell r="K6211" t="str">
            <v/>
          </cell>
          <cell r="L6211" t="str">
            <v/>
          </cell>
        </row>
        <row r="6212">
          <cell r="A6212">
            <v>34000000</v>
          </cell>
          <cell r="C6212">
            <v>34000000</v>
          </cell>
          <cell r="D6212">
            <v>34000000</v>
          </cell>
          <cell r="E6212">
            <v>34000000</v>
          </cell>
          <cell r="F6212">
            <v>34000000</v>
          </cell>
          <cell r="G6212">
            <v>34000000</v>
          </cell>
          <cell r="H6212">
            <v>34000000</v>
          </cell>
          <cell r="I6212" t="str">
            <v/>
          </cell>
          <cell r="J6212" t="str">
            <v/>
          </cell>
          <cell r="K6212" t="str">
            <v/>
          </cell>
          <cell r="L6212" t="str">
            <v/>
          </cell>
        </row>
        <row r="6213">
          <cell r="A6213">
            <v>34000000</v>
          </cell>
          <cell r="C6213">
            <v>34000000</v>
          </cell>
          <cell r="D6213">
            <v>34000000</v>
          </cell>
          <cell r="E6213">
            <v>34000000</v>
          </cell>
          <cell r="F6213">
            <v>34000000</v>
          </cell>
          <cell r="G6213">
            <v>34000000</v>
          </cell>
          <cell r="H6213">
            <v>34000000</v>
          </cell>
          <cell r="I6213" t="str">
            <v/>
          </cell>
          <cell r="J6213" t="str">
            <v/>
          </cell>
          <cell r="K6213" t="str">
            <v/>
          </cell>
          <cell r="L6213" t="str">
            <v/>
          </cell>
        </row>
        <row r="6214">
          <cell r="A6214">
            <v>34000000</v>
          </cell>
          <cell r="C6214">
            <v>34000000</v>
          </cell>
          <cell r="D6214">
            <v>34000000</v>
          </cell>
          <cell r="E6214">
            <v>34000000</v>
          </cell>
          <cell r="F6214">
            <v>34000000</v>
          </cell>
          <cell r="G6214">
            <v>34000000</v>
          </cell>
          <cell r="H6214">
            <v>34000000</v>
          </cell>
          <cell r="I6214" t="str">
            <v/>
          </cell>
          <cell r="J6214" t="str">
            <v/>
          </cell>
          <cell r="K6214" t="str">
            <v/>
          </cell>
          <cell r="L6214" t="str">
            <v/>
          </cell>
        </row>
        <row r="6215">
          <cell r="A6215">
            <v>34000000</v>
          </cell>
          <cell r="C6215">
            <v>34000000</v>
          </cell>
          <cell r="D6215">
            <v>34000000</v>
          </cell>
          <cell r="E6215">
            <v>34000000</v>
          </cell>
          <cell r="F6215">
            <v>34000000</v>
          </cell>
          <cell r="G6215">
            <v>34000000</v>
          </cell>
          <cell r="H6215">
            <v>34000000</v>
          </cell>
          <cell r="I6215" t="str">
            <v/>
          </cell>
          <cell r="J6215" t="str">
            <v/>
          </cell>
          <cell r="K6215" t="str">
            <v/>
          </cell>
          <cell r="L6215" t="str">
            <v/>
          </cell>
        </row>
        <row r="6216">
          <cell r="A6216">
            <v>34000000</v>
          </cell>
          <cell r="C6216">
            <v>34000000</v>
          </cell>
          <cell r="D6216">
            <v>34000000</v>
          </cell>
          <cell r="E6216">
            <v>34000000</v>
          </cell>
          <cell r="F6216">
            <v>34000000</v>
          </cell>
          <cell r="G6216">
            <v>34000000</v>
          </cell>
          <cell r="H6216">
            <v>34000000</v>
          </cell>
          <cell r="I6216" t="str">
            <v/>
          </cell>
          <cell r="J6216" t="str">
            <v/>
          </cell>
          <cell r="K6216" t="str">
            <v/>
          </cell>
          <cell r="L6216" t="str">
            <v/>
          </cell>
        </row>
        <row r="6217">
          <cell r="A6217">
            <v>34000000</v>
          </cell>
          <cell r="C6217">
            <v>34000000</v>
          </cell>
          <cell r="D6217">
            <v>34000000</v>
          </cell>
          <cell r="E6217">
            <v>34000000</v>
          </cell>
          <cell r="F6217">
            <v>34000000</v>
          </cell>
          <cell r="G6217">
            <v>34000000</v>
          </cell>
          <cell r="H6217">
            <v>34000000</v>
          </cell>
          <cell r="I6217" t="str">
            <v/>
          </cell>
          <cell r="J6217" t="str">
            <v/>
          </cell>
          <cell r="K6217" t="str">
            <v/>
          </cell>
          <cell r="L6217" t="str">
            <v/>
          </cell>
        </row>
        <row r="6218">
          <cell r="A6218">
            <v>34000000</v>
          </cell>
          <cell r="C6218">
            <v>34000000</v>
          </cell>
          <cell r="D6218">
            <v>34000000</v>
          </cell>
          <cell r="E6218">
            <v>34000000</v>
          </cell>
          <cell r="F6218">
            <v>34000000</v>
          </cell>
          <cell r="G6218">
            <v>34000000</v>
          </cell>
          <cell r="H6218">
            <v>34000000</v>
          </cell>
          <cell r="I6218" t="str">
            <v/>
          </cell>
          <cell r="J6218" t="str">
            <v/>
          </cell>
          <cell r="K6218" t="str">
            <v/>
          </cell>
          <cell r="L6218" t="str">
            <v/>
          </cell>
        </row>
        <row r="6219">
          <cell r="A6219">
            <v>34000000</v>
          </cell>
          <cell r="C6219">
            <v>34000000</v>
          </cell>
          <cell r="D6219">
            <v>34000000</v>
          </cell>
          <cell r="E6219">
            <v>34000000</v>
          </cell>
          <cell r="F6219">
            <v>34000000</v>
          </cell>
          <cell r="G6219">
            <v>34000000</v>
          </cell>
          <cell r="H6219">
            <v>34000000</v>
          </cell>
          <cell r="I6219" t="str">
            <v/>
          </cell>
          <cell r="J6219" t="str">
            <v/>
          </cell>
          <cell r="K6219" t="str">
            <v/>
          </cell>
          <cell r="L6219" t="str">
            <v/>
          </cell>
        </row>
        <row r="6220">
          <cell r="A6220">
            <v>34000000</v>
          </cell>
          <cell r="C6220">
            <v>34000000</v>
          </cell>
          <cell r="D6220">
            <v>34000000</v>
          </cell>
          <cell r="E6220">
            <v>34000000</v>
          </cell>
          <cell r="F6220">
            <v>34000000</v>
          </cell>
          <cell r="G6220">
            <v>34000000</v>
          </cell>
          <cell r="H6220">
            <v>34000000</v>
          </cell>
          <cell r="I6220" t="str">
            <v/>
          </cell>
          <cell r="J6220" t="str">
            <v/>
          </cell>
          <cell r="K6220" t="str">
            <v/>
          </cell>
          <cell r="L6220" t="str">
            <v/>
          </cell>
        </row>
        <row r="6221">
          <cell r="A6221">
            <v>34000000</v>
          </cell>
          <cell r="C6221">
            <v>34000000</v>
          </cell>
          <cell r="D6221">
            <v>34000000</v>
          </cell>
          <cell r="E6221">
            <v>34000000</v>
          </cell>
          <cell r="F6221">
            <v>34000000</v>
          </cell>
          <cell r="G6221">
            <v>34000000</v>
          </cell>
          <cell r="H6221">
            <v>34000000</v>
          </cell>
          <cell r="I6221" t="str">
            <v/>
          </cell>
          <cell r="J6221" t="str">
            <v/>
          </cell>
          <cell r="K6221" t="str">
            <v/>
          </cell>
          <cell r="L6221" t="str">
            <v/>
          </cell>
        </row>
        <row r="6222">
          <cell r="A6222">
            <v>34000000</v>
          </cell>
          <cell r="C6222">
            <v>34000000</v>
          </cell>
          <cell r="D6222">
            <v>34000000</v>
          </cell>
          <cell r="E6222">
            <v>34000000</v>
          </cell>
          <cell r="F6222">
            <v>34000000</v>
          </cell>
          <cell r="G6222">
            <v>34000000</v>
          </cell>
          <cell r="H6222">
            <v>34000000</v>
          </cell>
          <cell r="I6222" t="str">
            <v/>
          </cell>
          <cell r="J6222" t="str">
            <v/>
          </cell>
          <cell r="K6222" t="str">
            <v/>
          </cell>
          <cell r="L6222" t="str">
            <v/>
          </cell>
        </row>
        <row r="6223">
          <cell r="A6223">
            <v>34000000</v>
          </cell>
          <cell r="C6223">
            <v>34000000</v>
          </cell>
          <cell r="D6223">
            <v>34000000</v>
          </cell>
          <cell r="E6223">
            <v>34000000</v>
          </cell>
          <cell r="F6223">
            <v>34000000</v>
          </cell>
          <cell r="G6223">
            <v>34000000</v>
          </cell>
          <cell r="H6223">
            <v>34000000</v>
          </cell>
          <cell r="I6223" t="str">
            <v/>
          </cell>
          <cell r="J6223" t="str">
            <v/>
          </cell>
          <cell r="K6223" t="str">
            <v/>
          </cell>
          <cell r="L6223" t="str">
            <v/>
          </cell>
        </row>
        <row r="6224">
          <cell r="A6224">
            <v>34000000</v>
          </cell>
          <cell r="C6224">
            <v>34000000</v>
          </cell>
          <cell r="D6224">
            <v>34000000</v>
          </cell>
          <cell r="E6224">
            <v>34000000</v>
          </cell>
          <cell r="F6224">
            <v>34000000</v>
          </cell>
          <cell r="G6224">
            <v>34000000</v>
          </cell>
          <cell r="H6224">
            <v>34000000</v>
          </cell>
          <cell r="I6224" t="str">
            <v/>
          </cell>
          <cell r="J6224" t="str">
            <v/>
          </cell>
          <cell r="K6224" t="str">
            <v/>
          </cell>
          <cell r="L6224" t="str">
            <v/>
          </cell>
        </row>
        <row r="6225">
          <cell r="A6225">
            <v>34000000</v>
          </cell>
          <cell r="C6225">
            <v>34000000</v>
          </cell>
          <cell r="D6225">
            <v>34000000</v>
          </cell>
          <cell r="E6225">
            <v>34000000</v>
          </cell>
          <cell r="F6225">
            <v>34000000</v>
          </cell>
          <cell r="G6225">
            <v>34000000</v>
          </cell>
          <cell r="H6225">
            <v>34000000</v>
          </cell>
          <cell r="I6225" t="str">
            <v/>
          </cell>
          <cell r="J6225" t="str">
            <v/>
          </cell>
          <cell r="K6225" t="str">
            <v/>
          </cell>
          <cell r="L6225" t="str">
            <v/>
          </cell>
        </row>
        <row r="6226">
          <cell r="A6226">
            <v>34000000</v>
          </cell>
          <cell r="C6226">
            <v>34000000</v>
          </cell>
          <cell r="D6226">
            <v>34000000</v>
          </cell>
          <cell r="E6226">
            <v>34000000</v>
          </cell>
          <cell r="F6226">
            <v>34000000</v>
          </cell>
          <cell r="G6226">
            <v>34000000</v>
          </cell>
          <cell r="H6226">
            <v>34000000</v>
          </cell>
          <cell r="I6226" t="str">
            <v/>
          </cell>
          <cell r="J6226" t="str">
            <v/>
          </cell>
          <cell r="K6226" t="str">
            <v/>
          </cell>
          <cell r="L6226" t="str">
            <v/>
          </cell>
        </row>
        <row r="6227">
          <cell r="A6227">
            <v>34000000</v>
          </cell>
          <cell r="C6227">
            <v>34000000</v>
          </cell>
          <cell r="D6227">
            <v>34000000</v>
          </cell>
          <cell r="E6227">
            <v>34000000</v>
          </cell>
          <cell r="F6227">
            <v>34000000</v>
          </cell>
          <cell r="G6227">
            <v>34000000</v>
          </cell>
          <cell r="H6227">
            <v>34000000</v>
          </cell>
          <cell r="I6227" t="str">
            <v/>
          </cell>
          <cell r="J6227" t="str">
            <v/>
          </cell>
          <cell r="K6227" t="str">
            <v/>
          </cell>
          <cell r="L6227" t="str">
            <v/>
          </cell>
        </row>
        <row r="6228">
          <cell r="A6228">
            <v>34000000</v>
          </cell>
          <cell r="C6228">
            <v>34000000</v>
          </cell>
          <cell r="D6228">
            <v>34000000</v>
          </cell>
          <cell r="E6228">
            <v>34000000</v>
          </cell>
          <cell r="F6228">
            <v>34000000</v>
          </cell>
          <cell r="G6228">
            <v>34000000</v>
          </cell>
          <cell r="H6228">
            <v>34000000</v>
          </cell>
          <cell r="I6228" t="str">
            <v/>
          </cell>
          <cell r="J6228" t="str">
            <v/>
          </cell>
          <cell r="K6228" t="str">
            <v/>
          </cell>
          <cell r="L6228" t="str">
            <v/>
          </cell>
        </row>
        <row r="6229">
          <cell r="A6229">
            <v>34000000</v>
          </cell>
          <cell r="C6229">
            <v>34000000</v>
          </cell>
          <cell r="D6229">
            <v>34000000</v>
          </cell>
          <cell r="E6229">
            <v>34000000</v>
          </cell>
          <cell r="F6229">
            <v>34000000</v>
          </cell>
          <cell r="G6229">
            <v>34000000</v>
          </cell>
          <cell r="H6229">
            <v>34000000</v>
          </cell>
          <cell r="I6229" t="str">
            <v/>
          </cell>
          <cell r="J6229" t="str">
            <v/>
          </cell>
          <cell r="K6229" t="str">
            <v/>
          </cell>
          <cell r="L6229" t="str">
            <v/>
          </cell>
        </row>
        <row r="6230">
          <cell r="A6230">
            <v>34000000</v>
          </cell>
          <cell r="C6230">
            <v>34000000</v>
          </cell>
          <cell r="D6230">
            <v>34000000</v>
          </cell>
          <cell r="E6230">
            <v>34000000</v>
          </cell>
          <cell r="F6230">
            <v>34000000</v>
          </cell>
          <cell r="G6230">
            <v>34000000</v>
          </cell>
          <cell r="H6230">
            <v>34000000</v>
          </cell>
          <cell r="I6230" t="str">
            <v/>
          </cell>
          <cell r="J6230" t="str">
            <v/>
          </cell>
          <cell r="K6230" t="str">
            <v/>
          </cell>
          <cell r="L6230" t="str">
            <v/>
          </cell>
        </row>
        <row r="6231">
          <cell r="A6231">
            <v>34000000</v>
          </cell>
          <cell r="C6231">
            <v>34000000</v>
          </cell>
          <cell r="D6231">
            <v>34000000</v>
          </cell>
          <cell r="E6231">
            <v>34000000</v>
          </cell>
          <cell r="F6231">
            <v>34000000</v>
          </cell>
          <cell r="G6231">
            <v>34000000</v>
          </cell>
          <cell r="H6231">
            <v>34000000</v>
          </cell>
          <cell r="I6231" t="str">
            <v/>
          </cell>
          <cell r="J6231" t="str">
            <v/>
          </cell>
          <cell r="K6231" t="str">
            <v/>
          </cell>
          <cell r="L6231" t="str">
            <v/>
          </cell>
        </row>
        <row r="6232">
          <cell r="A6232">
            <v>34000000</v>
          </cell>
          <cell r="C6232">
            <v>34000000</v>
          </cell>
          <cell r="D6232">
            <v>34000000</v>
          </cell>
          <cell r="E6232">
            <v>34000000</v>
          </cell>
          <cell r="F6232">
            <v>34000000</v>
          </cell>
          <cell r="G6232">
            <v>34000000</v>
          </cell>
          <cell r="H6232">
            <v>34000000</v>
          </cell>
          <cell r="I6232" t="str">
            <v/>
          </cell>
          <cell r="J6232" t="str">
            <v/>
          </cell>
          <cell r="K6232" t="str">
            <v/>
          </cell>
          <cell r="L6232" t="str">
            <v/>
          </cell>
        </row>
        <row r="6233">
          <cell r="A6233">
            <v>34000000</v>
          </cell>
          <cell r="C6233">
            <v>34000000</v>
          </cell>
          <cell r="D6233">
            <v>34000000</v>
          </cell>
          <cell r="E6233">
            <v>34000000</v>
          </cell>
          <cell r="F6233">
            <v>34000000</v>
          </cell>
          <cell r="G6233">
            <v>34000000</v>
          </cell>
          <cell r="H6233">
            <v>34000000</v>
          </cell>
          <cell r="I6233" t="str">
            <v/>
          </cell>
          <cell r="J6233" t="str">
            <v/>
          </cell>
          <cell r="K6233" t="str">
            <v/>
          </cell>
          <cell r="L6233" t="str">
            <v/>
          </cell>
        </row>
        <row r="6234">
          <cell r="A6234">
            <v>34000000</v>
          </cell>
          <cell r="C6234">
            <v>34000000</v>
          </cell>
          <cell r="D6234">
            <v>34000000</v>
          </cell>
          <cell r="E6234">
            <v>34000000</v>
          </cell>
          <cell r="F6234">
            <v>34000000</v>
          </cell>
          <cell r="G6234">
            <v>34000000</v>
          </cell>
          <cell r="H6234">
            <v>34000000</v>
          </cell>
          <cell r="I6234" t="str">
            <v/>
          </cell>
          <cell r="J6234" t="str">
            <v/>
          </cell>
          <cell r="K6234" t="str">
            <v/>
          </cell>
          <cell r="L6234" t="str">
            <v/>
          </cell>
        </row>
        <row r="6235">
          <cell r="A6235">
            <v>34000000</v>
          </cell>
          <cell r="C6235">
            <v>34000000</v>
          </cell>
          <cell r="D6235">
            <v>34000000</v>
          </cell>
          <cell r="E6235">
            <v>34000000</v>
          </cell>
          <cell r="F6235">
            <v>34000000</v>
          </cell>
          <cell r="G6235">
            <v>34000000</v>
          </cell>
          <cell r="H6235">
            <v>34000000</v>
          </cell>
          <cell r="I6235" t="str">
            <v/>
          </cell>
          <cell r="J6235" t="str">
            <v/>
          </cell>
          <cell r="K6235" t="str">
            <v/>
          </cell>
          <cell r="L6235" t="str">
            <v/>
          </cell>
        </row>
        <row r="6236">
          <cell r="A6236">
            <v>34000000</v>
          </cell>
          <cell r="C6236">
            <v>34000000</v>
          </cell>
          <cell r="D6236">
            <v>34000000</v>
          </cell>
          <cell r="E6236">
            <v>34000000</v>
          </cell>
          <cell r="F6236">
            <v>34000000</v>
          </cell>
          <cell r="G6236">
            <v>34000000</v>
          </cell>
          <cell r="H6236">
            <v>34000000</v>
          </cell>
          <cell r="I6236" t="str">
            <v/>
          </cell>
          <cell r="J6236" t="str">
            <v/>
          </cell>
          <cell r="K6236" t="str">
            <v/>
          </cell>
          <cell r="L6236" t="str">
            <v/>
          </cell>
        </row>
        <row r="6237">
          <cell r="A6237">
            <v>34000000</v>
          </cell>
          <cell r="C6237">
            <v>34000000</v>
          </cell>
          <cell r="D6237">
            <v>34000000</v>
          </cell>
          <cell r="E6237">
            <v>34000000</v>
          </cell>
          <cell r="F6237">
            <v>34000000</v>
          </cell>
          <cell r="G6237">
            <v>34000000</v>
          </cell>
          <cell r="H6237">
            <v>34000000</v>
          </cell>
          <cell r="I6237" t="str">
            <v/>
          </cell>
          <cell r="J6237" t="str">
            <v/>
          </cell>
          <cell r="K6237" t="str">
            <v/>
          </cell>
          <cell r="L6237" t="str">
            <v/>
          </cell>
        </row>
        <row r="6238">
          <cell r="A6238">
            <v>34000000</v>
          </cell>
          <cell r="C6238">
            <v>34000000</v>
          </cell>
          <cell r="D6238">
            <v>34000000</v>
          </cell>
          <cell r="E6238">
            <v>34000000</v>
          </cell>
          <cell r="F6238">
            <v>34000000</v>
          </cell>
          <cell r="G6238">
            <v>34000000</v>
          </cell>
          <cell r="H6238">
            <v>34000000</v>
          </cell>
          <cell r="I6238" t="str">
            <v/>
          </cell>
          <cell r="J6238" t="str">
            <v/>
          </cell>
          <cell r="K6238" t="str">
            <v/>
          </cell>
          <cell r="L6238" t="str">
            <v/>
          </cell>
        </row>
        <row r="6239">
          <cell r="A6239">
            <v>34000000</v>
          </cell>
          <cell r="C6239">
            <v>34000000</v>
          </cell>
          <cell r="D6239">
            <v>34000000</v>
          </cell>
          <cell r="E6239">
            <v>34000000</v>
          </cell>
          <cell r="F6239">
            <v>34000000</v>
          </cell>
          <cell r="G6239">
            <v>34000000</v>
          </cell>
          <cell r="H6239">
            <v>34000000</v>
          </cell>
          <cell r="I6239" t="str">
            <v/>
          </cell>
          <cell r="J6239" t="str">
            <v/>
          </cell>
          <cell r="K6239" t="str">
            <v/>
          </cell>
          <cell r="L6239" t="str">
            <v/>
          </cell>
        </row>
        <row r="6240">
          <cell r="A6240">
            <v>34000000</v>
          </cell>
          <cell r="C6240">
            <v>34000000</v>
          </cell>
          <cell r="D6240">
            <v>34000000</v>
          </cell>
          <cell r="E6240">
            <v>34000000</v>
          </cell>
          <cell r="F6240">
            <v>34000000</v>
          </cell>
          <cell r="G6240">
            <v>34000000</v>
          </cell>
          <cell r="H6240">
            <v>34000000</v>
          </cell>
          <cell r="I6240" t="str">
            <v/>
          </cell>
          <cell r="J6240" t="str">
            <v/>
          </cell>
          <cell r="K6240" t="str">
            <v/>
          </cell>
          <cell r="L6240" t="str">
            <v/>
          </cell>
        </row>
        <row r="6241">
          <cell r="A6241">
            <v>34000000</v>
          </cell>
          <cell r="C6241">
            <v>34000000</v>
          </cell>
          <cell r="D6241">
            <v>34000000</v>
          </cell>
          <cell r="E6241">
            <v>34000000</v>
          </cell>
          <cell r="F6241">
            <v>34000000</v>
          </cell>
          <cell r="G6241">
            <v>34000000</v>
          </cell>
          <cell r="H6241">
            <v>34000000</v>
          </cell>
          <cell r="I6241" t="str">
            <v/>
          </cell>
          <cell r="J6241" t="str">
            <v/>
          </cell>
          <cell r="K6241" t="str">
            <v/>
          </cell>
          <cell r="L6241" t="str">
            <v/>
          </cell>
        </row>
        <row r="6242">
          <cell r="A6242">
            <v>34000000</v>
          </cell>
          <cell r="C6242">
            <v>34000000</v>
          </cell>
          <cell r="D6242">
            <v>34000000</v>
          </cell>
          <cell r="E6242">
            <v>34000000</v>
          </cell>
          <cell r="F6242">
            <v>34000000</v>
          </cell>
          <cell r="G6242">
            <v>34000000</v>
          </cell>
          <cell r="H6242">
            <v>34000000</v>
          </cell>
          <cell r="I6242" t="str">
            <v/>
          </cell>
          <cell r="J6242" t="str">
            <v/>
          </cell>
          <cell r="K6242" t="str">
            <v/>
          </cell>
          <cell r="L6242" t="str">
            <v/>
          </cell>
        </row>
        <row r="6243">
          <cell r="A6243">
            <v>34000000</v>
          </cell>
          <cell r="C6243">
            <v>34000000</v>
          </cell>
          <cell r="D6243">
            <v>34000000</v>
          </cell>
          <cell r="E6243">
            <v>34000000</v>
          </cell>
          <cell r="F6243">
            <v>34000000</v>
          </cell>
          <cell r="G6243">
            <v>34000000</v>
          </cell>
          <cell r="H6243">
            <v>34000000</v>
          </cell>
          <cell r="I6243" t="str">
            <v/>
          </cell>
          <cell r="J6243" t="str">
            <v/>
          </cell>
          <cell r="K6243" t="str">
            <v/>
          </cell>
          <cell r="L6243" t="str">
            <v/>
          </cell>
        </row>
        <row r="6244">
          <cell r="A6244">
            <v>34000000</v>
          </cell>
          <cell r="C6244">
            <v>34000000</v>
          </cell>
          <cell r="D6244">
            <v>34000000</v>
          </cell>
          <cell r="E6244">
            <v>34000000</v>
          </cell>
          <cell r="F6244">
            <v>34000000</v>
          </cell>
          <cell r="G6244">
            <v>34000000</v>
          </cell>
          <cell r="H6244">
            <v>34000000</v>
          </cell>
          <cell r="I6244" t="str">
            <v/>
          </cell>
          <cell r="J6244" t="str">
            <v/>
          </cell>
          <cell r="K6244" t="str">
            <v/>
          </cell>
          <cell r="L6244" t="str">
            <v/>
          </cell>
        </row>
        <row r="6245">
          <cell r="A6245">
            <v>34000000</v>
          </cell>
          <cell r="C6245">
            <v>34000000</v>
          </cell>
          <cell r="D6245">
            <v>34000000</v>
          </cell>
          <cell r="E6245">
            <v>34000000</v>
          </cell>
          <cell r="F6245">
            <v>34000000</v>
          </cell>
          <cell r="G6245">
            <v>34000000</v>
          </cell>
          <cell r="H6245">
            <v>34000000</v>
          </cell>
          <cell r="I6245" t="str">
            <v/>
          </cell>
          <cell r="J6245" t="str">
            <v/>
          </cell>
          <cell r="K6245" t="str">
            <v/>
          </cell>
          <cell r="L6245" t="str">
            <v/>
          </cell>
        </row>
        <row r="6246">
          <cell r="A6246">
            <v>34000000</v>
          </cell>
          <cell r="C6246">
            <v>34000000</v>
          </cell>
          <cell r="D6246">
            <v>34000000</v>
          </cell>
          <cell r="E6246">
            <v>34000000</v>
          </cell>
          <cell r="F6246">
            <v>34000000</v>
          </cell>
          <cell r="G6246">
            <v>34000000</v>
          </cell>
          <cell r="H6246">
            <v>34000000</v>
          </cell>
          <cell r="I6246" t="str">
            <v/>
          </cell>
          <cell r="J6246" t="str">
            <v/>
          </cell>
          <cell r="K6246" t="str">
            <v/>
          </cell>
          <cell r="L6246" t="str">
            <v/>
          </cell>
        </row>
        <row r="6247">
          <cell r="A6247">
            <v>34000000</v>
          </cell>
          <cell r="C6247">
            <v>34000000</v>
          </cell>
          <cell r="D6247">
            <v>34000000</v>
          </cell>
          <cell r="E6247">
            <v>34000000</v>
          </cell>
          <cell r="F6247">
            <v>34000000</v>
          </cell>
          <cell r="G6247">
            <v>34000000</v>
          </cell>
          <cell r="H6247">
            <v>34000000</v>
          </cell>
          <cell r="I6247" t="str">
            <v/>
          </cell>
          <cell r="J6247" t="str">
            <v/>
          </cell>
          <cell r="K6247" t="str">
            <v/>
          </cell>
          <cell r="L6247" t="str">
            <v/>
          </cell>
        </row>
        <row r="6248">
          <cell r="A6248">
            <v>34000000</v>
          </cell>
          <cell r="C6248">
            <v>34000000</v>
          </cell>
          <cell r="D6248">
            <v>34000000</v>
          </cell>
          <cell r="E6248">
            <v>34000000</v>
          </cell>
          <cell r="F6248">
            <v>34000000</v>
          </cell>
          <cell r="G6248">
            <v>34000000</v>
          </cell>
          <cell r="H6248">
            <v>34000000</v>
          </cell>
          <cell r="I6248" t="str">
            <v/>
          </cell>
          <cell r="J6248" t="str">
            <v/>
          </cell>
          <cell r="K6248" t="str">
            <v/>
          </cell>
          <cell r="L6248" t="str">
            <v/>
          </cell>
        </row>
        <row r="6249">
          <cell r="A6249">
            <v>34000000</v>
          </cell>
          <cell r="C6249">
            <v>34000000</v>
          </cell>
          <cell r="D6249">
            <v>34000000</v>
          </cell>
          <cell r="E6249">
            <v>34000000</v>
          </cell>
          <cell r="F6249">
            <v>34000000</v>
          </cell>
          <cell r="G6249">
            <v>34000000</v>
          </cell>
          <cell r="H6249">
            <v>34000000</v>
          </cell>
          <cell r="I6249" t="str">
            <v/>
          </cell>
          <cell r="J6249" t="str">
            <v/>
          </cell>
          <cell r="K6249" t="str">
            <v/>
          </cell>
          <cell r="L6249" t="str">
            <v/>
          </cell>
        </row>
        <row r="6250">
          <cell r="A6250">
            <v>34000000</v>
          </cell>
          <cell r="C6250">
            <v>34000000</v>
          </cell>
          <cell r="D6250">
            <v>34000000</v>
          </cell>
          <cell r="E6250">
            <v>34000000</v>
          </cell>
          <cell r="F6250">
            <v>34000000</v>
          </cell>
          <cell r="G6250">
            <v>34000000</v>
          </cell>
          <cell r="H6250">
            <v>34000000</v>
          </cell>
          <cell r="I6250" t="str">
            <v/>
          </cell>
          <cell r="J6250" t="str">
            <v/>
          </cell>
          <cell r="K6250" t="str">
            <v/>
          </cell>
          <cell r="L6250" t="str">
            <v/>
          </cell>
        </row>
        <row r="6251">
          <cell r="A6251">
            <v>34000000</v>
          </cell>
          <cell r="C6251">
            <v>34000000</v>
          </cell>
          <cell r="D6251">
            <v>34000000</v>
          </cell>
          <cell r="E6251">
            <v>34000000</v>
          </cell>
          <cell r="F6251">
            <v>34000000</v>
          </cell>
          <cell r="G6251">
            <v>34000000</v>
          </cell>
          <cell r="H6251">
            <v>34000000</v>
          </cell>
          <cell r="I6251" t="str">
            <v/>
          </cell>
          <cell r="J6251" t="str">
            <v/>
          </cell>
          <cell r="K6251" t="str">
            <v/>
          </cell>
          <cell r="L6251" t="str">
            <v/>
          </cell>
        </row>
        <row r="6252">
          <cell r="A6252">
            <v>34000000</v>
          </cell>
          <cell r="C6252">
            <v>34000000</v>
          </cell>
          <cell r="D6252">
            <v>34000000</v>
          </cell>
          <cell r="E6252">
            <v>34000000</v>
          </cell>
          <cell r="F6252">
            <v>34000000</v>
          </cell>
          <cell r="G6252">
            <v>34000000</v>
          </cell>
          <cell r="H6252">
            <v>34000000</v>
          </cell>
          <cell r="I6252" t="str">
            <v/>
          </cell>
          <cell r="J6252" t="str">
            <v/>
          </cell>
          <cell r="K6252" t="str">
            <v/>
          </cell>
          <cell r="L6252" t="str">
            <v/>
          </cell>
        </row>
        <row r="6253">
          <cell r="A6253">
            <v>34000000</v>
          </cell>
          <cell r="C6253">
            <v>34000000</v>
          </cell>
          <cell r="D6253">
            <v>34000000</v>
          </cell>
          <cell r="E6253">
            <v>34000000</v>
          </cell>
          <cell r="F6253">
            <v>34000000</v>
          </cell>
          <cell r="G6253">
            <v>34000000</v>
          </cell>
          <cell r="H6253">
            <v>34000000</v>
          </cell>
          <cell r="I6253" t="str">
            <v/>
          </cell>
          <cell r="J6253" t="str">
            <v/>
          </cell>
          <cell r="K6253" t="str">
            <v/>
          </cell>
          <cell r="L6253" t="str">
            <v/>
          </cell>
        </row>
        <row r="6254">
          <cell r="A6254">
            <v>34000000</v>
          </cell>
          <cell r="C6254">
            <v>34000000</v>
          </cell>
          <cell r="D6254">
            <v>34000000</v>
          </cell>
          <cell r="E6254">
            <v>34000000</v>
          </cell>
          <cell r="F6254">
            <v>34000000</v>
          </cell>
          <cell r="G6254">
            <v>34000000</v>
          </cell>
          <cell r="H6254">
            <v>34000000</v>
          </cell>
          <cell r="I6254" t="str">
            <v/>
          </cell>
          <cell r="J6254" t="str">
            <v/>
          </cell>
          <cell r="K6254" t="str">
            <v/>
          </cell>
          <cell r="L6254" t="str">
            <v/>
          </cell>
        </row>
        <row r="6255">
          <cell r="A6255">
            <v>34000000</v>
          </cell>
          <cell r="C6255">
            <v>34000000</v>
          </cell>
          <cell r="D6255">
            <v>34000000</v>
          </cell>
          <cell r="E6255">
            <v>34000000</v>
          </cell>
          <cell r="F6255">
            <v>34000000</v>
          </cell>
          <cell r="G6255">
            <v>34000000</v>
          </cell>
          <cell r="H6255">
            <v>34000000</v>
          </cell>
          <cell r="I6255" t="str">
            <v/>
          </cell>
          <cell r="J6255" t="str">
            <v/>
          </cell>
          <cell r="K6255" t="str">
            <v/>
          </cell>
          <cell r="L6255" t="str">
            <v/>
          </cell>
        </row>
        <row r="6256">
          <cell r="A6256">
            <v>34000000</v>
          </cell>
          <cell r="C6256">
            <v>34000000</v>
          </cell>
          <cell r="D6256">
            <v>34000000</v>
          </cell>
          <cell r="E6256">
            <v>34000000</v>
          </cell>
          <cell r="F6256">
            <v>34000000</v>
          </cell>
          <cell r="G6256">
            <v>34000000</v>
          </cell>
          <cell r="H6256">
            <v>34000000</v>
          </cell>
          <cell r="I6256" t="str">
            <v/>
          </cell>
          <cell r="J6256" t="str">
            <v/>
          </cell>
          <cell r="K6256" t="str">
            <v/>
          </cell>
          <cell r="L6256" t="str">
            <v/>
          </cell>
        </row>
        <row r="6257">
          <cell r="A6257">
            <v>34000000</v>
          </cell>
          <cell r="C6257">
            <v>34000000</v>
          </cell>
          <cell r="D6257">
            <v>34000000</v>
          </cell>
          <cell r="E6257">
            <v>34000000</v>
          </cell>
          <cell r="F6257">
            <v>34000000</v>
          </cell>
          <cell r="G6257">
            <v>34000000</v>
          </cell>
          <cell r="H6257">
            <v>34000000</v>
          </cell>
          <cell r="I6257" t="str">
            <v/>
          </cell>
          <cell r="J6257" t="str">
            <v/>
          </cell>
          <cell r="K6257" t="str">
            <v/>
          </cell>
          <cell r="L6257" t="str">
            <v/>
          </cell>
        </row>
        <row r="6258">
          <cell r="A6258">
            <v>34000000</v>
          </cell>
          <cell r="C6258">
            <v>34000000</v>
          </cell>
          <cell r="D6258">
            <v>34000000</v>
          </cell>
          <cell r="E6258">
            <v>34000000</v>
          </cell>
          <cell r="F6258">
            <v>34000000</v>
          </cell>
          <cell r="G6258">
            <v>34000000</v>
          </cell>
          <cell r="H6258">
            <v>34000000</v>
          </cell>
          <cell r="I6258" t="str">
            <v/>
          </cell>
          <cell r="J6258" t="str">
            <v/>
          </cell>
          <cell r="K6258" t="str">
            <v/>
          </cell>
          <cell r="L6258" t="str">
            <v/>
          </cell>
        </row>
        <row r="6259">
          <cell r="A6259">
            <v>34000000</v>
          </cell>
          <cell r="C6259">
            <v>34000000</v>
          </cell>
          <cell r="D6259">
            <v>34000000</v>
          </cell>
          <cell r="E6259">
            <v>34000000</v>
          </cell>
          <cell r="F6259">
            <v>34000000</v>
          </cell>
          <cell r="G6259">
            <v>34000000</v>
          </cell>
          <cell r="H6259">
            <v>34000000</v>
          </cell>
          <cell r="I6259" t="str">
            <v/>
          </cell>
          <cell r="J6259" t="str">
            <v/>
          </cell>
          <cell r="K6259" t="str">
            <v/>
          </cell>
          <cell r="L6259" t="str">
            <v/>
          </cell>
        </row>
        <row r="6260">
          <cell r="A6260">
            <v>34000000</v>
          </cell>
          <cell r="C6260">
            <v>34000000</v>
          </cell>
          <cell r="D6260">
            <v>34000000</v>
          </cell>
          <cell r="E6260">
            <v>34000000</v>
          </cell>
          <cell r="F6260">
            <v>34000000</v>
          </cell>
          <cell r="G6260">
            <v>34000000</v>
          </cell>
          <cell r="H6260">
            <v>34000000</v>
          </cell>
          <cell r="I6260" t="str">
            <v/>
          </cell>
          <cell r="J6260" t="str">
            <v/>
          </cell>
          <cell r="K6260" t="str">
            <v/>
          </cell>
          <cell r="L6260" t="str">
            <v/>
          </cell>
        </row>
        <row r="6261">
          <cell r="A6261">
            <v>34000000</v>
          </cell>
          <cell r="C6261">
            <v>34000000</v>
          </cell>
          <cell r="D6261">
            <v>34000000</v>
          </cell>
          <cell r="E6261">
            <v>34000000</v>
          </cell>
          <cell r="F6261">
            <v>34000000</v>
          </cell>
          <cell r="G6261">
            <v>34000000</v>
          </cell>
          <cell r="H6261">
            <v>34000000</v>
          </cell>
          <cell r="I6261" t="str">
            <v/>
          </cell>
          <cell r="J6261" t="str">
            <v/>
          </cell>
          <cell r="K6261" t="str">
            <v/>
          </cell>
          <cell r="L6261" t="str">
            <v/>
          </cell>
        </row>
        <row r="6262">
          <cell r="A6262">
            <v>34000000</v>
          </cell>
          <cell r="C6262">
            <v>34000000</v>
          </cell>
          <cell r="D6262">
            <v>34000000</v>
          </cell>
          <cell r="E6262">
            <v>34000000</v>
          </cell>
          <cell r="F6262">
            <v>34000000</v>
          </cell>
          <cell r="G6262">
            <v>34000000</v>
          </cell>
          <cell r="H6262">
            <v>34000000</v>
          </cell>
          <cell r="I6262" t="str">
            <v/>
          </cell>
          <cell r="J6262" t="str">
            <v/>
          </cell>
          <cell r="K6262" t="str">
            <v/>
          </cell>
          <cell r="L6262" t="str">
            <v/>
          </cell>
        </row>
        <row r="6263">
          <cell r="A6263">
            <v>34000000</v>
          </cell>
          <cell r="C6263">
            <v>34000000</v>
          </cell>
          <cell r="D6263">
            <v>34000000</v>
          </cell>
          <cell r="E6263">
            <v>34000000</v>
          </cell>
          <cell r="F6263">
            <v>34000000</v>
          </cell>
          <cell r="G6263">
            <v>34000000</v>
          </cell>
          <cell r="H6263">
            <v>34000000</v>
          </cell>
          <cell r="I6263" t="str">
            <v/>
          </cell>
          <cell r="J6263" t="str">
            <v/>
          </cell>
          <cell r="K6263" t="str">
            <v/>
          </cell>
          <cell r="L6263" t="str">
            <v/>
          </cell>
        </row>
        <row r="6264">
          <cell r="A6264">
            <v>34000000</v>
          </cell>
          <cell r="C6264">
            <v>34000000</v>
          </cell>
          <cell r="D6264">
            <v>34000000</v>
          </cell>
          <cell r="E6264">
            <v>34000000</v>
          </cell>
          <cell r="F6264">
            <v>34000000</v>
          </cell>
          <cell r="G6264">
            <v>34000000</v>
          </cell>
          <cell r="H6264">
            <v>34000000</v>
          </cell>
          <cell r="I6264" t="str">
            <v/>
          </cell>
          <cell r="J6264" t="str">
            <v/>
          </cell>
          <cell r="K6264" t="str">
            <v/>
          </cell>
          <cell r="L6264" t="str">
            <v/>
          </cell>
        </row>
        <row r="6265">
          <cell r="A6265">
            <v>34000000</v>
          </cell>
          <cell r="C6265">
            <v>34000000</v>
          </cell>
          <cell r="D6265">
            <v>34000000</v>
          </cell>
          <cell r="E6265">
            <v>34000000</v>
          </cell>
          <cell r="F6265">
            <v>34000000</v>
          </cell>
          <cell r="G6265">
            <v>34000000</v>
          </cell>
          <cell r="H6265">
            <v>34000000</v>
          </cell>
          <cell r="I6265" t="str">
            <v/>
          </cell>
          <cell r="J6265" t="str">
            <v/>
          </cell>
          <cell r="K6265" t="str">
            <v/>
          </cell>
          <cell r="L6265" t="str">
            <v/>
          </cell>
        </row>
        <row r="6266">
          <cell r="A6266">
            <v>34000000</v>
          </cell>
          <cell r="C6266">
            <v>34000000</v>
          </cell>
          <cell r="D6266">
            <v>34000000</v>
          </cell>
          <cell r="E6266">
            <v>34000000</v>
          </cell>
          <cell r="F6266">
            <v>34000000</v>
          </cell>
          <cell r="G6266">
            <v>34000000</v>
          </cell>
          <cell r="H6266">
            <v>34000000</v>
          </cell>
          <cell r="I6266" t="str">
            <v/>
          </cell>
          <cell r="J6266" t="str">
            <v/>
          </cell>
          <cell r="K6266" t="str">
            <v/>
          </cell>
          <cell r="L6266" t="str">
            <v/>
          </cell>
        </row>
        <row r="6267">
          <cell r="A6267">
            <v>34000000</v>
          </cell>
          <cell r="C6267">
            <v>34000000</v>
          </cell>
          <cell r="D6267">
            <v>34000000</v>
          </cell>
          <cell r="E6267">
            <v>34000000</v>
          </cell>
          <cell r="F6267">
            <v>34000000</v>
          </cell>
          <cell r="G6267">
            <v>34000000</v>
          </cell>
          <cell r="H6267">
            <v>34000000</v>
          </cell>
          <cell r="I6267" t="str">
            <v/>
          </cell>
          <cell r="J6267" t="str">
            <v/>
          </cell>
          <cell r="K6267" t="str">
            <v/>
          </cell>
          <cell r="L6267" t="str">
            <v/>
          </cell>
        </row>
        <row r="6268">
          <cell r="A6268">
            <v>34000000</v>
          </cell>
          <cell r="C6268">
            <v>34000000</v>
          </cell>
          <cell r="D6268">
            <v>34000000</v>
          </cell>
          <cell r="E6268">
            <v>34000000</v>
          </cell>
          <cell r="F6268">
            <v>34000000</v>
          </cell>
          <cell r="G6268">
            <v>34000000</v>
          </cell>
          <cell r="H6268">
            <v>34000000</v>
          </cell>
          <cell r="I6268" t="str">
            <v/>
          </cell>
          <cell r="J6268" t="str">
            <v/>
          </cell>
          <cell r="K6268" t="str">
            <v/>
          </cell>
          <cell r="L6268" t="str">
            <v/>
          </cell>
        </row>
        <row r="6269">
          <cell r="A6269">
            <v>34000000</v>
          </cell>
          <cell r="C6269">
            <v>34000000</v>
          </cell>
          <cell r="D6269">
            <v>34000000</v>
          </cell>
          <cell r="E6269">
            <v>34000000</v>
          </cell>
          <cell r="F6269">
            <v>34000000</v>
          </cell>
          <cell r="G6269">
            <v>34000000</v>
          </cell>
          <cell r="H6269">
            <v>34000000</v>
          </cell>
          <cell r="I6269" t="str">
            <v/>
          </cell>
          <cell r="J6269" t="str">
            <v/>
          </cell>
          <cell r="K6269" t="str">
            <v/>
          </cell>
          <cell r="L6269" t="str">
            <v/>
          </cell>
        </row>
        <row r="6270">
          <cell r="A6270">
            <v>34000000</v>
          </cell>
          <cell r="C6270">
            <v>34000000</v>
          </cell>
          <cell r="D6270">
            <v>34000000</v>
          </cell>
          <cell r="E6270">
            <v>34000000</v>
          </cell>
          <cell r="F6270">
            <v>34000000</v>
          </cell>
          <cell r="G6270">
            <v>34000000</v>
          </cell>
          <cell r="H6270">
            <v>34000000</v>
          </cell>
          <cell r="I6270" t="str">
            <v/>
          </cell>
          <cell r="J6270" t="str">
            <v/>
          </cell>
          <cell r="K6270" t="str">
            <v/>
          </cell>
          <cell r="L6270" t="str">
            <v/>
          </cell>
        </row>
        <row r="6271">
          <cell r="A6271">
            <v>34000000</v>
          </cell>
          <cell r="C6271">
            <v>34000000</v>
          </cell>
          <cell r="D6271">
            <v>34000000</v>
          </cell>
          <cell r="E6271">
            <v>34000000</v>
          </cell>
          <cell r="F6271">
            <v>34000000</v>
          </cell>
          <cell r="G6271">
            <v>34000000</v>
          </cell>
          <cell r="H6271">
            <v>34000000</v>
          </cell>
          <cell r="I6271" t="str">
            <v/>
          </cell>
          <cell r="J6271" t="str">
            <v/>
          </cell>
          <cell r="K6271" t="str">
            <v/>
          </cell>
          <cell r="L6271" t="str">
            <v/>
          </cell>
        </row>
        <row r="6272">
          <cell r="A6272">
            <v>34000000</v>
          </cell>
          <cell r="C6272">
            <v>34000000</v>
          </cell>
          <cell r="D6272">
            <v>34000000</v>
          </cell>
          <cell r="E6272">
            <v>34000000</v>
          </cell>
          <cell r="F6272">
            <v>34000000</v>
          </cell>
          <cell r="G6272">
            <v>34000000</v>
          </cell>
          <cell r="H6272">
            <v>34000000</v>
          </cell>
          <cell r="I6272" t="str">
            <v/>
          </cell>
          <cell r="J6272" t="str">
            <v/>
          </cell>
          <cell r="K6272" t="str">
            <v/>
          </cell>
          <cell r="L6272" t="str">
            <v/>
          </cell>
        </row>
        <row r="6273">
          <cell r="A6273">
            <v>34000000</v>
          </cell>
          <cell r="C6273">
            <v>34000000</v>
          </cell>
          <cell r="D6273">
            <v>34000000</v>
          </cell>
          <cell r="E6273">
            <v>34000000</v>
          </cell>
          <cell r="F6273">
            <v>34000000</v>
          </cell>
          <cell r="G6273">
            <v>34000000</v>
          </cell>
          <cell r="H6273">
            <v>34000000</v>
          </cell>
          <cell r="I6273" t="str">
            <v/>
          </cell>
          <cell r="J6273" t="str">
            <v/>
          </cell>
          <cell r="K6273" t="str">
            <v/>
          </cell>
          <cell r="L6273" t="str">
            <v/>
          </cell>
        </row>
        <row r="6274">
          <cell r="A6274">
            <v>34000000</v>
          </cell>
          <cell r="C6274">
            <v>34000000</v>
          </cell>
          <cell r="D6274">
            <v>34000000</v>
          </cell>
          <cell r="E6274">
            <v>34000000</v>
          </cell>
          <cell r="F6274">
            <v>34000000</v>
          </cell>
          <cell r="G6274">
            <v>34000000</v>
          </cell>
          <cell r="H6274">
            <v>34000000</v>
          </cell>
          <cell r="I6274" t="str">
            <v/>
          </cell>
          <cell r="J6274" t="str">
            <v/>
          </cell>
          <cell r="K6274" t="str">
            <v/>
          </cell>
          <cell r="L6274" t="str">
            <v/>
          </cell>
        </row>
        <row r="6275">
          <cell r="A6275">
            <v>34000000</v>
          </cell>
          <cell r="C6275">
            <v>34000000</v>
          </cell>
          <cell r="D6275">
            <v>34000000</v>
          </cell>
          <cell r="E6275">
            <v>34000000</v>
          </cell>
          <cell r="F6275">
            <v>34000000</v>
          </cell>
          <cell r="G6275">
            <v>34000000</v>
          </cell>
          <cell r="H6275">
            <v>34000000</v>
          </cell>
          <cell r="I6275" t="str">
            <v/>
          </cell>
          <cell r="J6275" t="str">
            <v/>
          </cell>
          <cell r="K6275" t="str">
            <v/>
          </cell>
          <cell r="L6275" t="str">
            <v/>
          </cell>
        </row>
        <row r="6276">
          <cell r="A6276">
            <v>34000000</v>
          </cell>
          <cell r="C6276">
            <v>34000000</v>
          </cell>
          <cell r="D6276">
            <v>34000000</v>
          </cell>
          <cell r="E6276">
            <v>34000000</v>
          </cell>
          <cell r="F6276">
            <v>34000000</v>
          </cell>
          <cell r="G6276">
            <v>34000000</v>
          </cell>
          <cell r="H6276">
            <v>34000000</v>
          </cell>
          <cell r="I6276" t="str">
            <v/>
          </cell>
          <cell r="J6276" t="str">
            <v/>
          </cell>
          <cell r="K6276" t="str">
            <v/>
          </cell>
          <cell r="L6276" t="str">
            <v/>
          </cell>
        </row>
        <row r="6277">
          <cell r="A6277">
            <v>34000000</v>
          </cell>
          <cell r="C6277">
            <v>34000000</v>
          </cell>
          <cell r="D6277">
            <v>34000000</v>
          </cell>
          <cell r="E6277">
            <v>34000000</v>
          </cell>
          <cell r="F6277">
            <v>34000000</v>
          </cell>
          <cell r="G6277">
            <v>34000000</v>
          </cell>
          <cell r="H6277">
            <v>34000000</v>
          </cell>
          <cell r="I6277" t="str">
            <v/>
          </cell>
          <cell r="J6277" t="str">
            <v/>
          </cell>
          <cell r="K6277" t="str">
            <v/>
          </cell>
          <cell r="L6277" t="str">
            <v/>
          </cell>
        </row>
        <row r="6278">
          <cell r="A6278">
            <v>34000000</v>
          </cell>
          <cell r="C6278">
            <v>34000000</v>
          </cell>
          <cell r="D6278">
            <v>34000000</v>
          </cell>
          <cell r="E6278">
            <v>34000000</v>
          </cell>
          <cell r="F6278">
            <v>34000000</v>
          </cell>
          <cell r="G6278">
            <v>34000000</v>
          </cell>
          <cell r="H6278">
            <v>34000000</v>
          </cell>
          <cell r="I6278" t="str">
            <v/>
          </cell>
          <cell r="J6278" t="str">
            <v/>
          </cell>
          <cell r="K6278" t="str">
            <v/>
          </cell>
          <cell r="L6278" t="str">
            <v/>
          </cell>
        </row>
        <row r="6279">
          <cell r="A6279">
            <v>34000000</v>
          </cell>
          <cell r="C6279">
            <v>34000000</v>
          </cell>
          <cell r="D6279">
            <v>34000000</v>
          </cell>
          <cell r="E6279">
            <v>34000000</v>
          </cell>
          <cell r="F6279">
            <v>34000000</v>
          </cell>
          <cell r="G6279">
            <v>34000000</v>
          </cell>
          <cell r="H6279">
            <v>34000000</v>
          </cell>
          <cell r="I6279" t="str">
            <v/>
          </cell>
          <cell r="J6279" t="str">
            <v/>
          </cell>
          <cell r="K6279" t="str">
            <v/>
          </cell>
          <cell r="L6279" t="str">
            <v/>
          </cell>
        </row>
        <row r="6280">
          <cell r="A6280">
            <v>34000000</v>
          </cell>
          <cell r="C6280">
            <v>34000000</v>
          </cell>
          <cell r="D6280">
            <v>34000000</v>
          </cell>
          <cell r="E6280">
            <v>34000000</v>
          </cell>
          <cell r="F6280">
            <v>34000000</v>
          </cell>
          <cell r="G6280">
            <v>34000000</v>
          </cell>
          <cell r="H6280">
            <v>34000000</v>
          </cell>
          <cell r="I6280" t="str">
            <v/>
          </cell>
          <cell r="J6280" t="str">
            <v/>
          </cell>
          <cell r="K6280" t="str">
            <v/>
          </cell>
          <cell r="L6280" t="str">
            <v/>
          </cell>
        </row>
        <row r="6281">
          <cell r="A6281">
            <v>34000000</v>
          </cell>
          <cell r="C6281">
            <v>34000000</v>
          </cell>
          <cell r="D6281">
            <v>34000000</v>
          </cell>
          <cell r="E6281">
            <v>34000000</v>
          </cell>
          <cell r="F6281">
            <v>34000000</v>
          </cell>
          <cell r="G6281">
            <v>34000000</v>
          </cell>
          <cell r="H6281">
            <v>34000000</v>
          </cell>
          <cell r="I6281" t="str">
            <v/>
          </cell>
          <cell r="J6281" t="str">
            <v/>
          </cell>
          <cell r="K6281" t="str">
            <v/>
          </cell>
          <cell r="L6281" t="str">
            <v/>
          </cell>
        </row>
        <row r="6282">
          <cell r="A6282">
            <v>34000000</v>
          </cell>
          <cell r="C6282">
            <v>34000000</v>
          </cell>
          <cell r="D6282">
            <v>34000000</v>
          </cell>
          <cell r="E6282">
            <v>34000000</v>
          </cell>
          <cell r="F6282">
            <v>34000000</v>
          </cell>
          <cell r="G6282">
            <v>34000000</v>
          </cell>
          <cell r="H6282">
            <v>34000000</v>
          </cell>
          <cell r="I6282" t="str">
            <v/>
          </cell>
          <cell r="J6282" t="str">
            <v/>
          </cell>
          <cell r="K6282" t="str">
            <v/>
          </cell>
          <cell r="L6282" t="str">
            <v/>
          </cell>
        </row>
        <row r="6283">
          <cell r="A6283">
            <v>34000000</v>
          </cell>
          <cell r="C6283">
            <v>34000000</v>
          </cell>
          <cell r="D6283">
            <v>34000000</v>
          </cell>
          <cell r="E6283">
            <v>34000000</v>
          </cell>
          <cell r="F6283">
            <v>34000000</v>
          </cell>
          <cell r="G6283">
            <v>34000000</v>
          </cell>
          <cell r="H6283">
            <v>34000000</v>
          </cell>
          <cell r="I6283" t="str">
            <v/>
          </cell>
          <cell r="J6283" t="str">
            <v/>
          </cell>
          <cell r="K6283" t="str">
            <v/>
          </cell>
          <cell r="L6283" t="str">
            <v/>
          </cell>
        </row>
        <row r="6284">
          <cell r="A6284">
            <v>34000000</v>
          </cell>
          <cell r="C6284">
            <v>34000000</v>
          </cell>
          <cell r="D6284">
            <v>34000000</v>
          </cell>
          <cell r="E6284">
            <v>34000000</v>
          </cell>
          <cell r="F6284">
            <v>34000000</v>
          </cell>
          <cell r="G6284">
            <v>34000000</v>
          </cell>
          <cell r="H6284">
            <v>34000000</v>
          </cell>
          <cell r="I6284" t="str">
            <v/>
          </cell>
          <cell r="J6284" t="str">
            <v/>
          </cell>
          <cell r="K6284" t="str">
            <v/>
          </cell>
          <cell r="L6284" t="str">
            <v/>
          </cell>
        </row>
        <row r="6285">
          <cell r="A6285">
            <v>34000000</v>
          </cell>
          <cell r="C6285">
            <v>34000000</v>
          </cell>
          <cell r="D6285">
            <v>34000000</v>
          </cell>
          <cell r="E6285">
            <v>34000000</v>
          </cell>
          <cell r="F6285">
            <v>34000000</v>
          </cell>
          <cell r="G6285">
            <v>34000000</v>
          </cell>
          <cell r="H6285">
            <v>34000000</v>
          </cell>
          <cell r="I6285" t="str">
            <v/>
          </cell>
          <cell r="J6285" t="str">
            <v/>
          </cell>
          <cell r="K6285" t="str">
            <v/>
          </cell>
          <cell r="L6285" t="str">
            <v/>
          </cell>
        </row>
        <row r="6286">
          <cell r="A6286">
            <v>34000000</v>
          </cell>
          <cell r="C6286">
            <v>34000000</v>
          </cell>
          <cell r="D6286">
            <v>34000000</v>
          </cell>
          <cell r="E6286">
            <v>34000000</v>
          </cell>
          <cell r="F6286">
            <v>34000000</v>
          </cell>
          <cell r="G6286">
            <v>34000000</v>
          </cell>
          <cell r="H6286">
            <v>34000000</v>
          </cell>
          <cell r="I6286" t="str">
            <v/>
          </cell>
          <cell r="J6286" t="str">
            <v/>
          </cell>
          <cell r="K6286" t="str">
            <v/>
          </cell>
          <cell r="L6286" t="str">
            <v/>
          </cell>
        </row>
        <row r="6287">
          <cell r="A6287">
            <v>34000000</v>
          </cell>
          <cell r="C6287">
            <v>34000000</v>
          </cell>
          <cell r="D6287">
            <v>34000000</v>
          </cell>
          <cell r="E6287">
            <v>34000000</v>
          </cell>
          <cell r="F6287">
            <v>34000000</v>
          </cell>
          <cell r="G6287">
            <v>34000000</v>
          </cell>
          <cell r="H6287">
            <v>34000000</v>
          </cell>
          <cell r="I6287" t="str">
            <v/>
          </cell>
          <cell r="J6287" t="str">
            <v/>
          </cell>
          <cell r="K6287" t="str">
            <v/>
          </cell>
          <cell r="L6287" t="str">
            <v/>
          </cell>
        </row>
        <row r="6288">
          <cell r="A6288">
            <v>34000000</v>
          </cell>
          <cell r="C6288">
            <v>34000000</v>
          </cell>
          <cell r="D6288">
            <v>34000000</v>
          </cell>
          <cell r="E6288">
            <v>34000000</v>
          </cell>
          <cell r="F6288">
            <v>34000000</v>
          </cell>
          <cell r="G6288">
            <v>34000000</v>
          </cell>
          <cell r="H6288">
            <v>34000000</v>
          </cell>
          <cell r="I6288" t="str">
            <v/>
          </cell>
          <cell r="J6288" t="str">
            <v/>
          </cell>
          <cell r="K6288" t="str">
            <v/>
          </cell>
          <cell r="L6288" t="str">
            <v/>
          </cell>
        </row>
        <row r="6289">
          <cell r="A6289">
            <v>34000000</v>
          </cell>
          <cell r="C6289">
            <v>34000000</v>
          </cell>
          <cell r="D6289">
            <v>34000000</v>
          </cell>
          <cell r="E6289">
            <v>34000000</v>
          </cell>
          <cell r="F6289">
            <v>34000000</v>
          </cell>
          <cell r="G6289">
            <v>34000000</v>
          </cell>
          <cell r="H6289">
            <v>34000000</v>
          </cell>
          <cell r="I6289" t="str">
            <v/>
          </cell>
          <cell r="J6289" t="str">
            <v/>
          </cell>
          <cell r="K6289" t="str">
            <v/>
          </cell>
          <cell r="L6289" t="str">
            <v/>
          </cell>
        </row>
        <row r="6290">
          <cell r="A6290">
            <v>34000000</v>
          </cell>
          <cell r="C6290">
            <v>34000000</v>
          </cell>
          <cell r="D6290">
            <v>34000000</v>
          </cell>
          <cell r="E6290">
            <v>34000000</v>
          </cell>
          <cell r="F6290">
            <v>34000000</v>
          </cell>
          <cell r="G6290">
            <v>34000000</v>
          </cell>
          <cell r="H6290">
            <v>34000000</v>
          </cell>
          <cell r="I6290" t="str">
            <v/>
          </cell>
          <cell r="J6290" t="str">
            <v/>
          </cell>
          <cell r="K6290" t="str">
            <v/>
          </cell>
          <cell r="L6290" t="str">
            <v/>
          </cell>
        </row>
        <row r="6291">
          <cell r="A6291">
            <v>34000000</v>
          </cell>
          <cell r="C6291">
            <v>34000000</v>
          </cell>
          <cell r="D6291">
            <v>34000000</v>
          </cell>
          <cell r="E6291">
            <v>34000000</v>
          </cell>
          <cell r="F6291">
            <v>34000000</v>
          </cell>
          <cell r="G6291">
            <v>34000000</v>
          </cell>
          <cell r="H6291">
            <v>34000000</v>
          </cell>
          <cell r="I6291" t="str">
            <v/>
          </cell>
          <cell r="J6291" t="str">
            <v/>
          </cell>
          <cell r="K6291" t="str">
            <v/>
          </cell>
          <cell r="L6291" t="str">
            <v/>
          </cell>
        </row>
        <row r="6292">
          <cell r="A6292">
            <v>34000000</v>
          </cell>
          <cell r="C6292">
            <v>34000000</v>
          </cell>
          <cell r="D6292">
            <v>34000000</v>
          </cell>
          <cell r="E6292">
            <v>34000000</v>
          </cell>
          <cell r="F6292">
            <v>34000000</v>
          </cell>
          <cell r="G6292">
            <v>34000000</v>
          </cell>
          <cell r="H6292">
            <v>34000000</v>
          </cell>
          <cell r="I6292" t="str">
            <v/>
          </cell>
          <cell r="J6292" t="str">
            <v/>
          </cell>
          <cell r="K6292" t="str">
            <v/>
          </cell>
          <cell r="L6292" t="str">
            <v/>
          </cell>
        </row>
        <row r="6293">
          <cell r="A6293">
            <v>34000000</v>
          </cell>
          <cell r="C6293">
            <v>34000000</v>
          </cell>
          <cell r="D6293">
            <v>34000000</v>
          </cell>
          <cell r="E6293">
            <v>34000000</v>
          </cell>
          <cell r="F6293">
            <v>34000000</v>
          </cell>
          <cell r="G6293">
            <v>34000000</v>
          </cell>
          <cell r="H6293">
            <v>34000000</v>
          </cell>
          <cell r="I6293" t="str">
            <v/>
          </cell>
          <cell r="J6293" t="str">
            <v/>
          </cell>
          <cell r="K6293" t="str">
            <v/>
          </cell>
          <cell r="L6293" t="str">
            <v/>
          </cell>
        </row>
        <row r="6294">
          <cell r="A6294">
            <v>34000000</v>
          </cell>
          <cell r="C6294">
            <v>34000000</v>
          </cell>
          <cell r="D6294">
            <v>34000000</v>
          </cell>
          <cell r="E6294">
            <v>34000000</v>
          </cell>
          <cell r="F6294">
            <v>34000000</v>
          </cell>
          <cell r="G6294">
            <v>34000000</v>
          </cell>
          <cell r="H6294">
            <v>34000000</v>
          </cell>
          <cell r="I6294" t="str">
            <v/>
          </cell>
          <cell r="J6294" t="str">
            <v/>
          </cell>
          <cell r="K6294" t="str">
            <v/>
          </cell>
          <cell r="L6294" t="str">
            <v/>
          </cell>
        </row>
        <row r="6295">
          <cell r="A6295">
            <v>34000000</v>
          </cell>
          <cell r="C6295">
            <v>34000000</v>
          </cell>
          <cell r="D6295">
            <v>34000000</v>
          </cell>
          <cell r="E6295">
            <v>34000000</v>
          </cell>
          <cell r="F6295">
            <v>34000000</v>
          </cell>
          <cell r="G6295">
            <v>34000000</v>
          </cell>
          <cell r="H6295">
            <v>34000000</v>
          </cell>
          <cell r="I6295" t="str">
            <v/>
          </cell>
          <cell r="J6295" t="str">
            <v/>
          </cell>
          <cell r="K6295" t="str">
            <v/>
          </cell>
          <cell r="L6295" t="str">
            <v/>
          </cell>
        </row>
        <row r="6296">
          <cell r="A6296">
            <v>34000000</v>
          </cell>
          <cell r="C6296">
            <v>34000000</v>
          </cell>
          <cell r="D6296">
            <v>34000000</v>
          </cell>
          <cell r="E6296">
            <v>34000000</v>
          </cell>
          <cell r="F6296">
            <v>34000000</v>
          </cell>
          <cell r="G6296">
            <v>34000000</v>
          </cell>
          <cell r="H6296">
            <v>34000000</v>
          </cell>
          <cell r="I6296" t="str">
            <v/>
          </cell>
          <cell r="J6296" t="str">
            <v/>
          </cell>
          <cell r="K6296" t="str">
            <v/>
          </cell>
          <cell r="L6296" t="str">
            <v/>
          </cell>
        </row>
        <row r="6297">
          <cell r="A6297">
            <v>34000000</v>
          </cell>
          <cell r="C6297">
            <v>34000000</v>
          </cell>
          <cell r="D6297">
            <v>34000000</v>
          </cell>
          <cell r="E6297">
            <v>34000000</v>
          </cell>
          <cell r="F6297">
            <v>34000000</v>
          </cell>
          <cell r="G6297">
            <v>34000000</v>
          </cell>
          <cell r="H6297">
            <v>34000000</v>
          </cell>
          <cell r="I6297" t="str">
            <v/>
          </cell>
          <cell r="J6297" t="str">
            <v/>
          </cell>
          <cell r="K6297" t="str">
            <v/>
          </cell>
          <cell r="L6297" t="str">
            <v/>
          </cell>
        </row>
        <row r="6298">
          <cell r="A6298">
            <v>34000000</v>
          </cell>
          <cell r="C6298">
            <v>34000000</v>
          </cell>
          <cell r="D6298">
            <v>34000000</v>
          </cell>
          <cell r="E6298">
            <v>34000000</v>
          </cell>
          <cell r="F6298">
            <v>34000000</v>
          </cell>
          <cell r="G6298">
            <v>34000000</v>
          </cell>
          <cell r="H6298">
            <v>34000000</v>
          </cell>
          <cell r="I6298" t="str">
            <v/>
          </cell>
          <cell r="J6298" t="str">
            <v/>
          </cell>
          <cell r="K6298" t="str">
            <v/>
          </cell>
          <cell r="L6298" t="str">
            <v/>
          </cell>
        </row>
        <row r="6299">
          <cell r="A6299">
            <v>34000000</v>
          </cell>
          <cell r="C6299">
            <v>34000000</v>
          </cell>
          <cell r="D6299">
            <v>34000000</v>
          </cell>
          <cell r="E6299">
            <v>34000000</v>
          </cell>
          <cell r="F6299">
            <v>34000000</v>
          </cell>
          <cell r="G6299">
            <v>34000000</v>
          </cell>
          <cell r="H6299">
            <v>34000000</v>
          </cell>
          <cell r="I6299" t="str">
            <v/>
          </cell>
          <cell r="J6299" t="str">
            <v/>
          </cell>
          <cell r="K6299" t="str">
            <v/>
          </cell>
          <cell r="L6299" t="str">
            <v/>
          </cell>
        </row>
        <row r="6300">
          <cell r="A6300">
            <v>34000000</v>
          </cell>
          <cell r="C6300">
            <v>34000000</v>
          </cell>
          <cell r="D6300">
            <v>34000000</v>
          </cell>
          <cell r="E6300">
            <v>34000000</v>
          </cell>
          <cell r="F6300">
            <v>34000000</v>
          </cell>
          <cell r="G6300">
            <v>34000000</v>
          </cell>
          <cell r="H6300">
            <v>34000000</v>
          </cell>
          <cell r="I6300" t="str">
            <v/>
          </cell>
          <cell r="J6300" t="str">
            <v/>
          </cell>
          <cell r="K6300" t="str">
            <v/>
          </cell>
          <cell r="L6300" t="str">
            <v/>
          </cell>
        </row>
        <row r="6301">
          <cell r="A6301">
            <v>34000000</v>
          </cell>
          <cell r="C6301">
            <v>34000000</v>
          </cell>
          <cell r="D6301">
            <v>34000000</v>
          </cell>
          <cell r="E6301">
            <v>34000000</v>
          </cell>
          <cell r="F6301">
            <v>34000000</v>
          </cell>
          <cell r="G6301">
            <v>34000000</v>
          </cell>
          <cell r="H6301">
            <v>34000000</v>
          </cell>
          <cell r="I6301" t="str">
            <v/>
          </cell>
          <cell r="J6301" t="str">
            <v/>
          </cell>
          <cell r="K6301" t="str">
            <v/>
          </cell>
          <cell r="L6301" t="str">
            <v/>
          </cell>
        </row>
        <row r="6302">
          <cell r="A6302">
            <v>34000000</v>
          </cell>
          <cell r="C6302">
            <v>34000000</v>
          </cell>
          <cell r="D6302">
            <v>34000000</v>
          </cell>
          <cell r="E6302">
            <v>34000000</v>
          </cell>
          <cell r="F6302">
            <v>34000000</v>
          </cell>
          <cell r="G6302">
            <v>34000000</v>
          </cell>
          <cell r="H6302">
            <v>34000000</v>
          </cell>
          <cell r="I6302" t="str">
            <v/>
          </cell>
          <cell r="J6302" t="str">
            <v/>
          </cell>
          <cell r="K6302" t="str">
            <v/>
          </cell>
          <cell r="L6302" t="str">
            <v/>
          </cell>
        </row>
        <row r="6303">
          <cell r="A6303">
            <v>34000000</v>
          </cell>
          <cell r="C6303">
            <v>34000000</v>
          </cell>
          <cell r="D6303">
            <v>34000000</v>
          </cell>
          <cell r="E6303">
            <v>34000000</v>
          </cell>
          <cell r="F6303">
            <v>34000000</v>
          </cell>
          <cell r="G6303">
            <v>34000000</v>
          </cell>
          <cell r="H6303">
            <v>34000000</v>
          </cell>
          <cell r="I6303" t="str">
            <v/>
          </cell>
          <cell r="J6303" t="str">
            <v/>
          </cell>
          <cell r="K6303" t="str">
            <v/>
          </cell>
          <cell r="L6303" t="str">
            <v/>
          </cell>
        </row>
        <row r="6304">
          <cell r="A6304">
            <v>34000000</v>
          </cell>
          <cell r="C6304">
            <v>34000000</v>
          </cell>
          <cell r="D6304">
            <v>34000000</v>
          </cell>
          <cell r="E6304">
            <v>34000000</v>
          </cell>
          <cell r="F6304">
            <v>34000000</v>
          </cell>
          <cell r="G6304">
            <v>34000000</v>
          </cell>
          <cell r="H6304">
            <v>34000000</v>
          </cell>
          <cell r="I6304" t="str">
            <v/>
          </cell>
          <cell r="J6304" t="str">
            <v/>
          </cell>
          <cell r="K6304" t="str">
            <v/>
          </cell>
          <cell r="L6304" t="str">
            <v/>
          </cell>
        </row>
        <row r="6305">
          <cell r="A6305">
            <v>34000000</v>
          </cell>
          <cell r="C6305">
            <v>34000000</v>
          </cell>
          <cell r="D6305">
            <v>34000000</v>
          </cell>
          <cell r="E6305">
            <v>34000000</v>
          </cell>
          <cell r="F6305">
            <v>34000000</v>
          </cell>
          <cell r="G6305">
            <v>34000000</v>
          </cell>
          <cell r="H6305">
            <v>34000000</v>
          </cell>
          <cell r="I6305" t="str">
            <v/>
          </cell>
          <cell r="J6305" t="str">
            <v/>
          </cell>
          <cell r="K6305" t="str">
            <v/>
          </cell>
          <cell r="L6305" t="str">
            <v/>
          </cell>
        </row>
        <row r="6306">
          <cell r="A6306">
            <v>34000000</v>
          </cell>
          <cell r="C6306">
            <v>34000000</v>
          </cell>
          <cell r="D6306">
            <v>34000000</v>
          </cell>
          <cell r="E6306">
            <v>34000000</v>
          </cell>
          <cell r="F6306">
            <v>34000000</v>
          </cell>
          <cell r="G6306">
            <v>34000000</v>
          </cell>
          <cell r="H6306">
            <v>34000000</v>
          </cell>
          <cell r="I6306" t="str">
            <v/>
          </cell>
          <cell r="J6306" t="str">
            <v/>
          </cell>
          <cell r="K6306" t="str">
            <v/>
          </cell>
          <cell r="L6306" t="str">
            <v/>
          </cell>
        </row>
        <row r="6307">
          <cell r="A6307">
            <v>34000000</v>
          </cell>
          <cell r="C6307">
            <v>34000000</v>
          </cell>
          <cell r="D6307">
            <v>34000000</v>
          </cell>
          <cell r="E6307">
            <v>34000000</v>
          </cell>
          <cell r="F6307">
            <v>34000000</v>
          </cell>
          <cell r="G6307">
            <v>34000000</v>
          </cell>
          <cell r="H6307">
            <v>34000000</v>
          </cell>
          <cell r="I6307" t="str">
            <v/>
          </cell>
          <cell r="J6307" t="str">
            <v/>
          </cell>
          <cell r="K6307" t="str">
            <v/>
          </cell>
          <cell r="L6307" t="str">
            <v/>
          </cell>
        </row>
        <row r="6308">
          <cell r="A6308">
            <v>34000000</v>
          </cell>
          <cell r="C6308">
            <v>34000000</v>
          </cell>
          <cell r="D6308">
            <v>34000000</v>
          </cell>
          <cell r="E6308">
            <v>34000000</v>
          </cell>
          <cell r="F6308">
            <v>34000000</v>
          </cell>
          <cell r="G6308">
            <v>34000000</v>
          </cell>
          <cell r="H6308">
            <v>34000000</v>
          </cell>
          <cell r="I6308" t="str">
            <v/>
          </cell>
          <cell r="J6308" t="str">
            <v/>
          </cell>
          <cell r="K6308" t="str">
            <v/>
          </cell>
          <cell r="L6308" t="str">
            <v/>
          </cell>
        </row>
        <row r="6309">
          <cell r="A6309">
            <v>34000000</v>
          </cell>
          <cell r="C6309">
            <v>34000000</v>
          </cell>
          <cell r="D6309">
            <v>34000000</v>
          </cell>
          <cell r="E6309">
            <v>34000000</v>
          </cell>
          <cell r="F6309">
            <v>34000000</v>
          </cell>
          <cell r="G6309">
            <v>34000000</v>
          </cell>
          <cell r="H6309">
            <v>34000000</v>
          </cell>
          <cell r="I6309" t="str">
            <v/>
          </cell>
          <cell r="J6309" t="str">
            <v/>
          </cell>
          <cell r="K6309" t="str">
            <v/>
          </cell>
          <cell r="L6309" t="str">
            <v/>
          </cell>
        </row>
        <row r="6310">
          <cell r="A6310">
            <v>34000000</v>
          </cell>
          <cell r="C6310">
            <v>34000000</v>
          </cell>
          <cell r="D6310">
            <v>34000000</v>
          </cell>
          <cell r="E6310">
            <v>34000000</v>
          </cell>
          <cell r="F6310">
            <v>34000000</v>
          </cell>
          <cell r="G6310">
            <v>34000000</v>
          </cell>
          <cell r="H6310">
            <v>34000000</v>
          </cell>
          <cell r="I6310" t="str">
            <v/>
          </cell>
          <cell r="J6310" t="str">
            <v/>
          </cell>
          <cell r="K6310" t="str">
            <v/>
          </cell>
          <cell r="L6310" t="str">
            <v/>
          </cell>
        </row>
        <row r="6311">
          <cell r="A6311">
            <v>34000000</v>
          </cell>
          <cell r="C6311">
            <v>34000000</v>
          </cell>
          <cell r="D6311">
            <v>34000000</v>
          </cell>
          <cell r="E6311">
            <v>34000000</v>
          </cell>
          <cell r="F6311">
            <v>34000000</v>
          </cell>
          <cell r="G6311">
            <v>34000000</v>
          </cell>
          <cell r="H6311">
            <v>34000000</v>
          </cell>
          <cell r="I6311" t="str">
            <v/>
          </cell>
          <cell r="J6311" t="str">
            <v/>
          </cell>
          <cell r="K6311" t="str">
            <v/>
          </cell>
          <cell r="L6311" t="str">
            <v/>
          </cell>
        </row>
        <row r="6312">
          <cell r="A6312">
            <v>34000000</v>
          </cell>
          <cell r="C6312">
            <v>34000000</v>
          </cell>
          <cell r="D6312">
            <v>34000000</v>
          </cell>
          <cell r="E6312">
            <v>34000000</v>
          </cell>
          <cell r="F6312">
            <v>34000000</v>
          </cell>
          <cell r="G6312">
            <v>34000000</v>
          </cell>
          <cell r="H6312">
            <v>34000000</v>
          </cell>
          <cell r="I6312" t="str">
            <v/>
          </cell>
          <cell r="J6312" t="str">
            <v/>
          </cell>
          <cell r="K6312" t="str">
            <v/>
          </cell>
          <cell r="L6312" t="str">
            <v/>
          </cell>
        </row>
        <row r="6313">
          <cell r="A6313">
            <v>34000000</v>
          </cell>
          <cell r="C6313">
            <v>34000000</v>
          </cell>
          <cell r="D6313">
            <v>34000000</v>
          </cell>
          <cell r="E6313">
            <v>34000000</v>
          </cell>
          <cell r="F6313">
            <v>34000000</v>
          </cell>
          <cell r="G6313">
            <v>34000000</v>
          </cell>
          <cell r="H6313">
            <v>34000000</v>
          </cell>
          <cell r="I6313" t="str">
            <v/>
          </cell>
          <cell r="J6313" t="str">
            <v/>
          </cell>
          <cell r="K6313" t="str">
            <v/>
          </cell>
          <cell r="L6313" t="str">
            <v/>
          </cell>
        </row>
        <row r="6314">
          <cell r="A6314">
            <v>34000000</v>
          </cell>
          <cell r="C6314">
            <v>34000000</v>
          </cell>
          <cell r="D6314">
            <v>34000000</v>
          </cell>
          <cell r="E6314">
            <v>34000000</v>
          </cell>
          <cell r="F6314">
            <v>34000000</v>
          </cell>
          <cell r="G6314">
            <v>34000000</v>
          </cell>
          <cell r="H6314">
            <v>34000000</v>
          </cell>
          <cell r="I6314" t="str">
            <v/>
          </cell>
          <cell r="J6314" t="str">
            <v/>
          </cell>
          <cell r="K6314" t="str">
            <v/>
          </cell>
          <cell r="L6314" t="str">
            <v/>
          </cell>
        </row>
        <row r="6315">
          <cell r="A6315">
            <v>34000000</v>
          </cell>
          <cell r="C6315">
            <v>34000000</v>
          </cell>
          <cell r="D6315">
            <v>34000000</v>
          </cell>
          <cell r="E6315">
            <v>34000000</v>
          </cell>
          <cell r="F6315">
            <v>34000000</v>
          </cell>
          <cell r="G6315">
            <v>34000000</v>
          </cell>
          <cell r="H6315">
            <v>34000000</v>
          </cell>
          <cell r="I6315" t="str">
            <v/>
          </cell>
          <cell r="J6315" t="str">
            <v/>
          </cell>
          <cell r="K6315" t="str">
            <v/>
          </cell>
          <cell r="L6315" t="str">
            <v/>
          </cell>
        </row>
        <row r="6316">
          <cell r="A6316">
            <v>34000000</v>
          </cell>
          <cell r="C6316">
            <v>34000000</v>
          </cell>
          <cell r="D6316">
            <v>34000000</v>
          </cell>
          <cell r="E6316">
            <v>34000000</v>
          </cell>
          <cell r="F6316">
            <v>34000000</v>
          </cell>
          <cell r="G6316">
            <v>34000000</v>
          </cell>
          <cell r="H6316">
            <v>34000000</v>
          </cell>
          <cell r="I6316" t="str">
            <v/>
          </cell>
          <cell r="J6316" t="str">
            <v/>
          </cell>
          <cell r="K6316" t="str">
            <v/>
          </cell>
          <cell r="L6316" t="str">
            <v/>
          </cell>
        </row>
        <row r="6317">
          <cell r="A6317">
            <v>34000000</v>
          </cell>
          <cell r="C6317">
            <v>34000000</v>
          </cell>
          <cell r="D6317">
            <v>34000000</v>
          </cell>
          <cell r="E6317">
            <v>34000000</v>
          </cell>
          <cell r="F6317">
            <v>34000000</v>
          </cell>
          <cell r="G6317">
            <v>34000000</v>
          </cell>
          <cell r="H6317">
            <v>34000000</v>
          </cell>
          <cell r="I6317" t="str">
            <v/>
          </cell>
          <cell r="J6317" t="str">
            <v/>
          </cell>
          <cell r="K6317" t="str">
            <v/>
          </cell>
          <cell r="L6317" t="str">
            <v/>
          </cell>
        </row>
        <row r="6318">
          <cell r="A6318">
            <v>34000000</v>
          </cell>
          <cell r="C6318">
            <v>34000000</v>
          </cell>
          <cell r="D6318">
            <v>34000000</v>
          </cell>
          <cell r="E6318">
            <v>34000000</v>
          </cell>
          <cell r="F6318">
            <v>34000000</v>
          </cell>
          <cell r="G6318">
            <v>34000000</v>
          </cell>
          <cell r="H6318">
            <v>34000000</v>
          </cell>
          <cell r="I6318" t="str">
            <v/>
          </cell>
          <cell r="J6318" t="str">
            <v/>
          </cell>
          <cell r="K6318" t="str">
            <v/>
          </cell>
          <cell r="L6318" t="str">
            <v/>
          </cell>
        </row>
        <row r="6319">
          <cell r="A6319">
            <v>34000000</v>
          </cell>
          <cell r="C6319">
            <v>34000000</v>
          </cell>
          <cell r="D6319">
            <v>34000000</v>
          </cell>
          <cell r="E6319">
            <v>34000000</v>
          </cell>
          <cell r="F6319">
            <v>34000000</v>
          </cell>
          <cell r="G6319">
            <v>34000000</v>
          </cell>
          <cell r="H6319">
            <v>34000000</v>
          </cell>
          <cell r="I6319" t="str">
            <v/>
          </cell>
          <cell r="J6319" t="str">
            <v/>
          </cell>
          <cell r="K6319" t="str">
            <v/>
          </cell>
          <cell r="L6319" t="str">
            <v/>
          </cell>
        </row>
        <row r="6320">
          <cell r="A6320">
            <v>34000000</v>
          </cell>
          <cell r="C6320">
            <v>34000000</v>
          </cell>
          <cell r="D6320">
            <v>34000000</v>
          </cell>
          <cell r="E6320">
            <v>34000000</v>
          </cell>
          <cell r="F6320">
            <v>34000000</v>
          </cell>
          <cell r="G6320">
            <v>34000000</v>
          </cell>
          <cell r="H6320">
            <v>34000000</v>
          </cell>
          <cell r="I6320" t="str">
            <v/>
          </cell>
          <cell r="J6320" t="str">
            <v/>
          </cell>
          <cell r="K6320" t="str">
            <v/>
          </cell>
          <cell r="L6320" t="str">
            <v/>
          </cell>
        </row>
        <row r="6321">
          <cell r="A6321">
            <v>34000000</v>
          </cell>
          <cell r="C6321">
            <v>34000000</v>
          </cell>
          <cell r="D6321">
            <v>34000000</v>
          </cell>
          <cell r="E6321">
            <v>34000000</v>
          </cell>
          <cell r="F6321">
            <v>34000000</v>
          </cell>
          <cell r="G6321">
            <v>34000000</v>
          </cell>
          <cell r="H6321">
            <v>34000000</v>
          </cell>
          <cell r="I6321" t="str">
            <v/>
          </cell>
          <cell r="J6321" t="str">
            <v/>
          </cell>
          <cell r="K6321" t="str">
            <v/>
          </cell>
          <cell r="L6321" t="str">
            <v/>
          </cell>
        </row>
        <row r="6322">
          <cell r="A6322">
            <v>34000000</v>
          </cell>
          <cell r="C6322">
            <v>34000000</v>
          </cell>
          <cell r="D6322">
            <v>34000000</v>
          </cell>
          <cell r="E6322">
            <v>34000000</v>
          </cell>
          <cell r="F6322">
            <v>34000000</v>
          </cell>
          <cell r="G6322">
            <v>34000000</v>
          </cell>
          <cell r="H6322">
            <v>34000000</v>
          </cell>
          <cell r="I6322" t="str">
            <v/>
          </cell>
          <cell r="J6322" t="str">
            <v/>
          </cell>
          <cell r="K6322" t="str">
            <v/>
          </cell>
          <cell r="L6322" t="str">
            <v/>
          </cell>
        </row>
        <row r="6323">
          <cell r="A6323">
            <v>34000000</v>
          </cell>
          <cell r="C6323">
            <v>34000000</v>
          </cell>
          <cell r="D6323">
            <v>34000000</v>
          </cell>
          <cell r="E6323">
            <v>34000000</v>
          </cell>
          <cell r="F6323">
            <v>34000000</v>
          </cell>
          <cell r="G6323">
            <v>34000000</v>
          </cell>
          <cell r="H6323">
            <v>34000000</v>
          </cell>
          <cell r="I6323" t="str">
            <v/>
          </cell>
          <cell r="J6323" t="str">
            <v/>
          </cell>
          <cell r="K6323" t="str">
            <v/>
          </cell>
          <cell r="L6323" t="str">
            <v/>
          </cell>
        </row>
        <row r="6324">
          <cell r="A6324">
            <v>34000000</v>
          </cell>
          <cell r="C6324">
            <v>34000000</v>
          </cell>
          <cell r="D6324">
            <v>34000000</v>
          </cell>
          <cell r="E6324">
            <v>34000000</v>
          </cell>
          <cell r="F6324">
            <v>34000000</v>
          </cell>
          <cell r="G6324">
            <v>34000000</v>
          </cell>
          <cell r="H6324">
            <v>34000000</v>
          </cell>
          <cell r="I6324" t="str">
            <v/>
          </cell>
          <cell r="J6324" t="str">
            <v/>
          </cell>
          <cell r="K6324" t="str">
            <v/>
          </cell>
          <cell r="L6324" t="str">
            <v/>
          </cell>
        </row>
        <row r="6325">
          <cell r="A6325">
            <v>34000000</v>
          </cell>
          <cell r="C6325">
            <v>34000000</v>
          </cell>
          <cell r="D6325">
            <v>34000000</v>
          </cell>
          <cell r="E6325">
            <v>34000000</v>
          </cell>
          <cell r="F6325">
            <v>34000000</v>
          </cell>
          <cell r="G6325">
            <v>34000000</v>
          </cell>
          <cell r="H6325">
            <v>34000000</v>
          </cell>
          <cell r="I6325" t="str">
            <v/>
          </cell>
          <cell r="J6325" t="str">
            <v/>
          </cell>
          <cell r="K6325" t="str">
            <v/>
          </cell>
          <cell r="L6325" t="str">
            <v/>
          </cell>
        </row>
        <row r="6326">
          <cell r="A6326">
            <v>34000000</v>
          </cell>
          <cell r="C6326">
            <v>34000000</v>
          </cell>
          <cell r="D6326">
            <v>34000000</v>
          </cell>
          <cell r="E6326">
            <v>34000000</v>
          </cell>
          <cell r="F6326">
            <v>34000000</v>
          </cell>
          <cell r="G6326">
            <v>34000000</v>
          </cell>
          <cell r="H6326">
            <v>34000000</v>
          </cell>
          <cell r="I6326" t="str">
            <v/>
          </cell>
          <cell r="J6326" t="str">
            <v/>
          </cell>
          <cell r="K6326" t="str">
            <v/>
          </cell>
          <cell r="L6326" t="str">
            <v/>
          </cell>
        </row>
        <row r="6327">
          <cell r="A6327">
            <v>34000000</v>
          </cell>
          <cell r="C6327">
            <v>34000000</v>
          </cell>
          <cell r="D6327">
            <v>34000000</v>
          </cell>
          <cell r="E6327">
            <v>34000000</v>
          </cell>
          <cell r="F6327">
            <v>34000000</v>
          </cell>
          <cell r="G6327">
            <v>34000000</v>
          </cell>
          <cell r="H6327">
            <v>34000000</v>
          </cell>
          <cell r="I6327" t="str">
            <v/>
          </cell>
          <cell r="J6327" t="str">
            <v/>
          </cell>
          <cell r="K6327" t="str">
            <v/>
          </cell>
          <cell r="L6327" t="str">
            <v/>
          </cell>
        </row>
        <row r="6328">
          <cell r="A6328">
            <v>34000000</v>
          </cell>
          <cell r="C6328">
            <v>34000000</v>
          </cell>
          <cell r="D6328">
            <v>34000000</v>
          </cell>
          <cell r="E6328">
            <v>34000000</v>
          </cell>
          <cell r="F6328">
            <v>34000000</v>
          </cell>
          <cell r="G6328">
            <v>34000000</v>
          </cell>
          <cell r="H6328">
            <v>34000000</v>
          </cell>
          <cell r="I6328" t="str">
            <v/>
          </cell>
          <cell r="J6328" t="str">
            <v/>
          </cell>
          <cell r="K6328" t="str">
            <v/>
          </cell>
          <cell r="L6328" t="str">
            <v/>
          </cell>
        </row>
        <row r="6329">
          <cell r="A6329">
            <v>34000000</v>
          </cell>
          <cell r="C6329">
            <v>34000000</v>
          </cell>
          <cell r="D6329">
            <v>34000000</v>
          </cell>
          <cell r="E6329">
            <v>34000000</v>
          </cell>
          <cell r="F6329">
            <v>34000000</v>
          </cell>
          <cell r="G6329">
            <v>34000000</v>
          </cell>
          <cell r="H6329">
            <v>34000000</v>
          </cell>
          <cell r="I6329" t="str">
            <v/>
          </cell>
          <cell r="J6329" t="str">
            <v/>
          </cell>
          <cell r="K6329" t="str">
            <v/>
          </cell>
          <cell r="L6329" t="str">
            <v/>
          </cell>
        </row>
        <row r="6330">
          <cell r="A6330">
            <v>34000000</v>
          </cell>
          <cell r="C6330">
            <v>34000000</v>
          </cell>
          <cell r="D6330">
            <v>34000000</v>
          </cell>
          <cell r="E6330">
            <v>34000000</v>
          </cell>
          <cell r="F6330">
            <v>34000000</v>
          </cell>
          <cell r="G6330">
            <v>34000000</v>
          </cell>
          <cell r="H6330">
            <v>34000000</v>
          </cell>
          <cell r="I6330" t="str">
            <v/>
          </cell>
          <cell r="J6330" t="str">
            <v/>
          </cell>
          <cell r="K6330" t="str">
            <v/>
          </cell>
          <cell r="L6330" t="str">
            <v/>
          </cell>
        </row>
        <row r="6331">
          <cell r="A6331">
            <v>34000000</v>
          </cell>
          <cell r="C6331">
            <v>34000000</v>
          </cell>
          <cell r="D6331">
            <v>34000000</v>
          </cell>
          <cell r="E6331">
            <v>34000000</v>
          </cell>
          <cell r="F6331">
            <v>34000000</v>
          </cell>
          <cell r="G6331">
            <v>34000000</v>
          </cell>
          <cell r="H6331">
            <v>34000000</v>
          </cell>
          <cell r="I6331" t="str">
            <v/>
          </cell>
          <cell r="J6331" t="str">
            <v/>
          </cell>
          <cell r="K6331" t="str">
            <v/>
          </cell>
          <cell r="L6331" t="str">
            <v/>
          </cell>
        </row>
        <row r="6332">
          <cell r="A6332">
            <v>34000000</v>
          </cell>
          <cell r="C6332">
            <v>34000000</v>
          </cell>
          <cell r="D6332">
            <v>34000000</v>
          </cell>
          <cell r="E6332">
            <v>34000000</v>
          </cell>
          <cell r="F6332">
            <v>34000000</v>
          </cell>
          <cell r="G6332">
            <v>34000000</v>
          </cell>
          <cell r="H6332">
            <v>34000000</v>
          </cell>
          <cell r="I6332" t="str">
            <v/>
          </cell>
          <cell r="J6332" t="str">
            <v/>
          </cell>
          <cell r="K6332" t="str">
            <v/>
          </cell>
          <cell r="L6332" t="str">
            <v/>
          </cell>
        </row>
        <row r="6333">
          <cell r="A6333">
            <v>34000000</v>
          </cell>
          <cell r="C6333">
            <v>34000000</v>
          </cell>
          <cell r="D6333">
            <v>34000000</v>
          </cell>
          <cell r="E6333">
            <v>34000000</v>
          </cell>
          <cell r="F6333">
            <v>34000000</v>
          </cell>
          <cell r="G6333">
            <v>34000000</v>
          </cell>
          <cell r="H6333">
            <v>34000000</v>
          </cell>
          <cell r="I6333" t="str">
            <v/>
          </cell>
          <cell r="J6333" t="str">
            <v/>
          </cell>
          <cell r="K6333" t="str">
            <v/>
          </cell>
          <cell r="L6333" t="str">
            <v/>
          </cell>
        </row>
        <row r="6334">
          <cell r="A6334">
            <v>34000000</v>
          </cell>
          <cell r="C6334">
            <v>34000000</v>
          </cell>
          <cell r="D6334">
            <v>34000000</v>
          </cell>
          <cell r="E6334">
            <v>34000000</v>
          </cell>
          <cell r="F6334">
            <v>34000000</v>
          </cell>
          <cell r="G6334">
            <v>34000000</v>
          </cell>
          <cell r="H6334">
            <v>34000000</v>
          </cell>
          <cell r="I6334" t="str">
            <v/>
          </cell>
          <cell r="J6334" t="str">
            <v/>
          </cell>
          <cell r="K6334" t="str">
            <v/>
          </cell>
          <cell r="L6334" t="str">
            <v/>
          </cell>
        </row>
        <row r="6335">
          <cell r="A6335">
            <v>34000000</v>
          </cell>
          <cell r="C6335">
            <v>34000000</v>
          </cell>
          <cell r="D6335">
            <v>34000000</v>
          </cell>
          <cell r="E6335">
            <v>34000000</v>
          </cell>
          <cell r="F6335">
            <v>34000000</v>
          </cell>
          <cell r="G6335">
            <v>34000000</v>
          </cell>
          <cell r="H6335">
            <v>34000000</v>
          </cell>
          <cell r="I6335" t="str">
            <v/>
          </cell>
          <cell r="J6335" t="str">
            <v/>
          </cell>
          <cell r="K6335" t="str">
            <v/>
          </cell>
          <cell r="L6335" t="str">
            <v/>
          </cell>
        </row>
        <row r="6336">
          <cell r="A6336">
            <v>34000000</v>
          </cell>
          <cell r="C6336">
            <v>34000000</v>
          </cell>
          <cell r="D6336">
            <v>34000000</v>
          </cell>
          <cell r="E6336">
            <v>34000000</v>
          </cell>
          <cell r="F6336">
            <v>34000000</v>
          </cell>
          <cell r="G6336">
            <v>34000000</v>
          </cell>
          <cell r="H6336">
            <v>34000000</v>
          </cell>
          <cell r="I6336" t="str">
            <v/>
          </cell>
          <cell r="J6336" t="str">
            <v/>
          </cell>
          <cell r="K6336" t="str">
            <v/>
          </cell>
          <cell r="L6336" t="str">
            <v/>
          </cell>
        </row>
        <row r="6337">
          <cell r="A6337">
            <v>34000000</v>
          </cell>
          <cell r="C6337">
            <v>34000000</v>
          </cell>
          <cell r="D6337">
            <v>34000000</v>
          </cell>
          <cell r="E6337">
            <v>34000000</v>
          </cell>
          <cell r="F6337">
            <v>34000000</v>
          </cell>
          <cell r="G6337">
            <v>34000000</v>
          </cell>
          <cell r="H6337">
            <v>34000000</v>
          </cell>
          <cell r="I6337" t="str">
            <v/>
          </cell>
          <cell r="J6337" t="str">
            <v/>
          </cell>
          <cell r="K6337" t="str">
            <v/>
          </cell>
          <cell r="L6337" t="str">
            <v/>
          </cell>
        </row>
        <row r="6338">
          <cell r="A6338">
            <v>34000000</v>
          </cell>
          <cell r="C6338">
            <v>34000000</v>
          </cell>
          <cell r="D6338">
            <v>34000000</v>
          </cell>
          <cell r="E6338">
            <v>34000000</v>
          </cell>
          <cell r="F6338">
            <v>34000000</v>
          </cell>
          <cell r="G6338">
            <v>34000000</v>
          </cell>
          <cell r="H6338">
            <v>34000000</v>
          </cell>
          <cell r="I6338" t="str">
            <v/>
          </cell>
          <cell r="J6338" t="str">
            <v/>
          </cell>
          <cell r="K6338" t="str">
            <v/>
          </cell>
          <cell r="L6338" t="str">
            <v/>
          </cell>
        </row>
        <row r="6339">
          <cell r="A6339">
            <v>34000000</v>
          </cell>
          <cell r="C6339">
            <v>34000000</v>
          </cell>
          <cell r="D6339">
            <v>34000000</v>
          </cell>
          <cell r="E6339">
            <v>34000000</v>
          </cell>
          <cell r="F6339">
            <v>34000000</v>
          </cell>
          <cell r="G6339">
            <v>34000000</v>
          </cell>
          <cell r="H6339">
            <v>34000000</v>
          </cell>
          <cell r="I6339" t="str">
            <v/>
          </cell>
          <cell r="J6339" t="str">
            <v/>
          </cell>
          <cell r="K6339" t="str">
            <v/>
          </cell>
          <cell r="L6339" t="str">
            <v/>
          </cell>
        </row>
        <row r="6340">
          <cell r="A6340">
            <v>34000000</v>
          </cell>
          <cell r="C6340">
            <v>34000000</v>
          </cell>
          <cell r="D6340">
            <v>34000000</v>
          </cell>
          <cell r="E6340">
            <v>34000000</v>
          </cell>
          <cell r="F6340">
            <v>34000000</v>
          </cell>
          <cell r="G6340">
            <v>34000000</v>
          </cell>
          <cell r="H6340">
            <v>34000000</v>
          </cell>
          <cell r="I6340" t="str">
            <v/>
          </cell>
          <cell r="J6340" t="str">
            <v/>
          </cell>
          <cell r="K6340" t="str">
            <v/>
          </cell>
          <cell r="L6340" t="str">
            <v/>
          </cell>
        </row>
        <row r="6341">
          <cell r="A6341">
            <v>34000000</v>
          </cell>
          <cell r="C6341">
            <v>34000000</v>
          </cell>
          <cell r="D6341">
            <v>34000000</v>
          </cell>
          <cell r="E6341">
            <v>34000000</v>
          </cell>
          <cell r="F6341">
            <v>34000000</v>
          </cell>
          <cell r="G6341">
            <v>34000000</v>
          </cell>
          <cell r="H6341">
            <v>34000000</v>
          </cell>
          <cell r="I6341" t="str">
            <v/>
          </cell>
          <cell r="J6341" t="str">
            <v/>
          </cell>
          <cell r="K6341" t="str">
            <v/>
          </cell>
          <cell r="L6341" t="str">
            <v/>
          </cell>
        </row>
        <row r="6342">
          <cell r="A6342">
            <v>34000000</v>
          </cell>
          <cell r="C6342">
            <v>34000000</v>
          </cell>
          <cell r="D6342">
            <v>34000000</v>
          </cell>
          <cell r="E6342">
            <v>34000000</v>
          </cell>
          <cell r="F6342">
            <v>34000000</v>
          </cell>
          <cell r="G6342">
            <v>34000000</v>
          </cell>
          <cell r="H6342">
            <v>34000000</v>
          </cell>
          <cell r="I6342" t="str">
            <v/>
          </cell>
          <cell r="J6342" t="str">
            <v/>
          </cell>
          <cell r="K6342" t="str">
            <v/>
          </cell>
          <cell r="L6342" t="str">
            <v/>
          </cell>
        </row>
        <row r="6343">
          <cell r="A6343">
            <v>34000000</v>
          </cell>
          <cell r="C6343">
            <v>34000000</v>
          </cell>
          <cell r="D6343">
            <v>34000000</v>
          </cell>
          <cell r="E6343">
            <v>34000000</v>
          </cell>
          <cell r="F6343">
            <v>34000000</v>
          </cell>
          <cell r="G6343">
            <v>34000000</v>
          </cell>
          <cell r="H6343">
            <v>34000000</v>
          </cell>
          <cell r="I6343" t="str">
            <v/>
          </cell>
          <cell r="J6343" t="str">
            <v/>
          </cell>
          <cell r="K6343" t="str">
            <v/>
          </cell>
          <cell r="L6343" t="str">
            <v/>
          </cell>
        </row>
        <row r="6344">
          <cell r="A6344">
            <v>34000000</v>
          </cell>
          <cell r="C6344">
            <v>34000000</v>
          </cell>
          <cell r="D6344">
            <v>34000000</v>
          </cell>
          <cell r="E6344">
            <v>34000000</v>
          </cell>
          <cell r="F6344">
            <v>34000000</v>
          </cell>
          <cell r="G6344">
            <v>34000000</v>
          </cell>
          <cell r="H6344">
            <v>34000000</v>
          </cell>
          <cell r="I6344" t="str">
            <v/>
          </cell>
          <cell r="J6344" t="str">
            <v/>
          </cell>
          <cell r="K6344" t="str">
            <v/>
          </cell>
          <cell r="L6344" t="str">
            <v/>
          </cell>
        </row>
        <row r="6345">
          <cell r="A6345">
            <v>34000000</v>
          </cell>
          <cell r="C6345">
            <v>34000000</v>
          </cell>
          <cell r="D6345">
            <v>34000000</v>
          </cell>
          <cell r="E6345">
            <v>34000000</v>
          </cell>
          <cell r="F6345">
            <v>34000000</v>
          </cell>
          <cell r="G6345">
            <v>34000000</v>
          </cell>
          <cell r="H6345">
            <v>34000000</v>
          </cell>
          <cell r="I6345" t="str">
            <v/>
          </cell>
          <cell r="J6345" t="str">
            <v/>
          </cell>
          <cell r="K6345" t="str">
            <v/>
          </cell>
          <cell r="L6345" t="str">
            <v/>
          </cell>
        </row>
        <row r="6346">
          <cell r="A6346">
            <v>34000000</v>
          </cell>
          <cell r="C6346">
            <v>34000000</v>
          </cell>
          <cell r="D6346">
            <v>34000000</v>
          </cell>
          <cell r="E6346">
            <v>34000000</v>
          </cell>
          <cell r="F6346">
            <v>34000000</v>
          </cell>
          <cell r="G6346">
            <v>34000000</v>
          </cell>
          <cell r="H6346">
            <v>34000000</v>
          </cell>
          <cell r="I6346" t="str">
            <v/>
          </cell>
          <cell r="J6346" t="str">
            <v/>
          </cell>
          <cell r="K6346" t="str">
            <v/>
          </cell>
          <cell r="L6346" t="str">
            <v/>
          </cell>
        </row>
        <row r="6347">
          <cell r="A6347">
            <v>34000000</v>
          </cell>
          <cell r="C6347">
            <v>34000000</v>
          </cell>
          <cell r="D6347">
            <v>34000000</v>
          </cell>
          <cell r="E6347">
            <v>34000000</v>
          </cell>
          <cell r="F6347">
            <v>34000000</v>
          </cell>
          <cell r="G6347">
            <v>34000000</v>
          </cell>
          <cell r="H6347">
            <v>34000000</v>
          </cell>
          <cell r="I6347" t="str">
            <v/>
          </cell>
          <cell r="J6347" t="str">
            <v/>
          </cell>
          <cell r="K6347" t="str">
            <v/>
          </cell>
          <cell r="L6347" t="str">
            <v/>
          </cell>
        </row>
        <row r="6348">
          <cell r="A6348">
            <v>34000000</v>
          </cell>
          <cell r="C6348">
            <v>34000000</v>
          </cell>
          <cell r="D6348">
            <v>34000000</v>
          </cell>
          <cell r="E6348">
            <v>34000000</v>
          </cell>
          <cell r="F6348">
            <v>34000000</v>
          </cell>
          <cell r="G6348">
            <v>34000000</v>
          </cell>
          <cell r="H6348">
            <v>34000000</v>
          </cell>
          <cell r="I6348" t="str">
            <v/>
          </cell>
          <cell r="J6348" t="str">
            <v/>
          </cell>
          <cell r="K6348" t="str">
            <v/>
          </cell>
          <cell r="L6348" t="str">
            <v/>
          </cell>
        </row>
        <row r="6349">
          <cell r="A6349">
            <v>34000000</v>
          </cell>
          <cell r="C6349">
            <v>34000000</v>
          </cell>
          <cell r="D6349">
            <v>34000000</v>
          </cell>
          <cell r="E6349">
            <v>34000000</v>
          </cell>
          <cell r="F6349">
            <v>34000000</v>
          </cell>
          <cell r="G6349">
            <v>34000000</v>
          </cell>
          <cell r="H6349">
            <v>34000000</v>
          </cell>
          <cell r="I6349" t="str">
            <v/>
          </cell>
          <cell r="J6349" t="str">
            <v/>
          </cell>
          <cell r="K6349" t="str">
            <v/>
          </cell>
          <cell r="L6349" t="str">
            <v/>
          </cell>
        </row>
        <row r="6350">
          <cell r="A6350">
            <v>34000000</v>
          </cell>
          <cell r="C6350">
            <v>34000000</v>
          </cell>
          <cell r="D6350">
            <v>34000000</v>
          </cell>
          <cell r="E6350">
            <v>34000000</v>
          </cell>
          <cell r="F6350">
            <v>34000000</v>
          </cell>
          <cell r="G6350">
            <v>34000000</v>
          </cell>
          <cell r="H6350">
            <v>34000000</v>
          </cell>
          <cell r="I6350" t="str">
            <v/>
          </cell>
          <cell r="J6350" t="str">
            <v/>
          </cell>
          <cell r="K6350" t="str">
            <v/>
          </cell>
          <cell r="L6350" t="str">
            <v/>
          </cell>
        </row>
        <row r="6351">
          <cell r="A6351">
            <v>34000000</v>
          </cell>
          <cell r="C6351">
            <v>34000000</v>
          </cell>
          <cell r="D6351">
            <v>34000000</v>
          </cell>
          <cell r="E6351">
            <v>34000000</v>
          </cell>
          <cell r="F6351">
            <v>34000000</v>
          </cell>
          <cell r="G6351">
            <v>34000000</v>
          </cell>
          <cell r="H6351">
            <v>34000000</v>
          </cell>
          <cell r="I6351" t="str">
            <v/>
          </cell>
          <cell r="J6351" t="str">
            <v/>
          </cell>
          <cell r="K6351" t="str">
            <v/>
          </cell>
          <cell r="L6351" t="str">
            <v/>
          </cell>
        </row>
        <row r="6352">
          <cell r="A6352">
            <v>34000000</v>
          </cell>
          <cell r="C6352">
            <v>34000000</v>
          </cell>
          <cell r="D6352">
            <v>34000000</v>
          </cell>
          <cell r="E6352">
            <v>34000000</v>
          </cell>
          <cell r="F6352">
            <v>34000000</v>
          </cell>
          <cell r="G6352">
            <v>34000000</v>
          </cell>
          <cell r="H6352">
            <v>34000000</v>
          </cell>
          <cell r="I6352" t="str">
            <v/>
          </cell>
          <cell r="J6352" t="str">
            <v/>
          </cell>
          <cell r="K6352" t="str">
            <v/>
          </cell>
          <cell r="L6352" t="str">
            <v/>
          </cell>
        </row>
        <row r="6353">
          <cell r="A6353">
            <v>34000000</v>
          </cell>
          <cell r="C6353">
            <v>34000000</v>
          </cell>
          <cell r="D6353">
            <v>34000000</v>
          </cell>
          <cell r="E6353">
            <v>34000000</v>
          </cell>
          <cell r="F6353">
            <v>34000000</v>
          </cell>
          <cell r="G6353">
            <v>34000000</v>
          </cell>
          <cell r="H6353">
            <v>34000000</v>
          </cell>
          <cell r="I6353" t="str">
            <v/>
          </cell>
          <cell r="J6353" t="str">
            <v/>
          </cell>
          <cell r="K6353" t="str">
            <v/>
          </cell>
          <cell r="L6353" t="str">
            <v/>
          </cell>
        </row>
        <row r="6354">
          <cell r="A6354">
            <v>34000000</v>
          </cell>
          <cell r="C6354">
            <v>34000000</v>
          </cell>
          <cell r="D6354">
            <v>34000000</v>
          </cell>
          <cell r="E6354">
            <v>34000000</v>
          </cell>
          <cell r="F6354">
            <v>34000000</v>
          </cell>
          <cell r="G6354">
            <v>34000000</v>
          </cell>
          <cell r="H6354">
            <v>34000000</v>
          </cell>
          <cell r="I6354" t="str">
            <v/>
          </cell>
          <cell r="J6354" t="str">
            <v/>
          </cell>
          <cell r="K6354" t="str">
            <v/>
          </cell>
          <cell r="L6354" t="str">
            <v/>
          </cell>
        </row>
        <row r="6355">
          <cell r="A6355">
            <v>34000000</v>
          </cell>
          <cell r="C6355">
            <v>34000000</v>
          </cell>
          <cell r="D6355">
            <v>34000000</v>
          </cell>
          <cell r="E6355">
            <v>34000000</v>
          </cell>
          <cell r="F6355">
            <v>34000000</v>
          </cell>
          <cell r="G6355">
            <v>34000000</v>
          </cell>
          <cell r="H6355">
            <v>34000000</v>
          </cell>
          <cell r="I6355" t="str">
            <v/>
          </cell>
          <cell r="J6355" t="str">
            <v/>
          </cell>
          <cell r="K6355" t="str">
            <v/>
          </cell>
          <cell r="L6355" t="str">
            <v/>
          </cell>
        </row>
        <row r="6356">
          <cell r="A6356">
            <v>34000000</v>
          </cell>
          <cell r="C6356">
            <v>34000000</v>
          </cell>
          <cell r="D6356">
            <v>34000000</v>
          </cell>
          <cell r="E6356">
            <v>34000000</v>
          </cell>
          <cell r="F6356">
            <v>34000000</v>
          </cell>
          <cell r="G6356">
            <v>34000000</v>
          </cell>
          <cell r="H6356">
            <v>34000000</v>
          </cell>
          <cell r="I6356" t="str">
            <v/>
          </cell>
          <cell r="J6356" t="str">
            <v/>
          </cell>
          <cell r="K6356" t="str">
            <v/>
          </cell>
          <cell r="L6356" t="str">
            <v/>
          </cell>
        </row>
        <row r="6357">
          <cell r="A6357">
            <v>34000000</v>
          </cell>
          <cell r="C6357">
            <v>34000000</v>
          </cell>
          <cell r="D6357">
            <v>34000000</v>
          </cell>
          <cell r="E6357">
            <v>34000000</v>
          </cell>
          <cell r="F6357">
            <v>34000000</v>
          </cell>
          <cell r="G6357">
            <v>34000000</v>
          </cell>
          <cell r="H6357">
            <v>34000000</v>
          </cell>
          <cell r="I6357" t="str">
            <v/>
          </cell>
          <cell r="J6357" t="str">
            <v/>
          </cell>
          <cell r="K6357" t="str">
            <v/>
          </cell>
          <cell r="L6357" t="str">
            <v/>
          </cell>
        </row>
        <row r="6358">
          <cell r="A6358">
            <v>34000000</v>
          </cell>
          <cell r="C6358">
            <v>34000000</v>
          </cell>
          <cell r="D6358">
            <v>34000000</v>
          </cell>
          <cell r="E6358">
            <v>34000000</v>
          </cell>
          <cell r="F6358">
            <v>34000000</v>
          </cell>
          <cell r="G6358">
            <v>34000000</v>
          </cell>
          <cell r="H6358">
            <v>34000000</v>
          </cell>
          <cell r="I6358" t="str">
            <v/>
          </cell>
          <cell r="J6358" t="str">
            <v/>
          </cell>
          <cell r="K6358" t="str">
            <v/>
          </cell>
          <cell r="L6358" t="str">
            <v/>
          </cell>
        </row>
        <row r="6359">
          <cell r="A6359">
            <v>34000000</v>
          </cell>
          <cell r="C6359">
            <v>34000000</v>
          </cell>
          <cell r="D6359">
            <v>34000000</v>
          </cell>
          <cell r="E6359">
            <v>34000000</v>
          </cell>
          <cell r="F6359">
            <v>34000000</v>
          </cell>
          <cell r="G6359">
            <v>34000000</v>
          </cell>
          <cell r="H6359">
            <v>34000000</v>
          </cell>
          <cell r="I6359" t="str">
            <v/>
          </cell>
          <cell r="J6359" t="str">
            <v/>
          </cell>
          <cell r="K6359" t="str">
            <v/>
          </cell>
          <cell r="L6359" t="str">
            <v/>
          </cell>
        </row>
        <row r="6360">
          <cell r="A6360">
            <v>34000000</v>
          </cell>
          <cell r="C6360">
            <v>34000000</v>
          </cell>
          <cell r="D6360">
            <v>34000000</v>
          </cell>
          <cell r="E6360">
            <v>34000000</v>
          </cell>
          <cell r="F6360">
            <v>34000000</v>
          </cell>
          <cell r="G6360">
            <v>34000000</v>
          </cell>
          <cell r="H6360">
            <v>34000000</v>
          </cell>
          <cell r="I6360" t="str">
            <v/>
          </cell>
          <cell r="J6360" t="str">
            <v/>
          </cell>
          <cell r="K6360" t="str">
            <v/>
          </cell>
          <cell r="L6360" t="str">
            <v/>
          </cell>
        </row>
        <row r="6361">
          <cell r="A6361">
            <v>34000000</v>
          </cell>
          <cell r="C6361">
            <v>34000000</v>
          </cell>
          <cell r="D6361">
            <v>34000000</v>
          </cell>
          <cell r="E6361">
            <v>34000000</v>
          </cell>
          <cell r="F6361">
            <v>34000000</v>
          </cell>
          <cell r="G6361">
            <v>34000000</v>
          </cell>
          <cell r="H6361">
            <v>34000000</v>
          </cell>
          <cell r="I6361" t="str">
            <v/>
          </cell>
          <cell r="J6361" t="str">
            <v/>
          </cell>
          <cell r="K6361" t="str">
            <v/>
          </cell>
          <cell r="L6361" t="str">
            <v/>
          </cell>
        </row>
        <row r="6362">
          <cell r="A6362">
            <v>34000000</v>
          </cell>
          <cell r="C6362">
            <v>34000000</v>
          </cell>
          <cell r="D6362">
            <v>34000000</v>
          </cell>
          <cell r="E6362">
            <v>34000000</v>
          </cell>
          <cell r="F6362">
            <v>34000000</v>
          </cell>
          <cell r="G6362">
            <v>34000000</v>
          </cell>
          <cell r="H6362">
            <v>34000000</v>
          </cell>
          <cell r="I6362" t="str">
            <v/>
          </cell>
          <cell r="J6362" t="str">
            <v/>
          </cell>
          <cell r="K6362" t="str">
            <v/>
          </cell>
          <cell r="L6362" t="str">
            <v/>
          </cell>
        </row>
        <row r="6363">
          <cell r="A6363">
            <v>34000000</v>
          </cell>
          <cell r="C6363">
            <v>34000000</v>
          </cell>
          <cell r="D6363">
            <v>34000000</v>
          </cell>
          <cell r="E6363">
            <v>34000000</v>
          </cell>
          <cell r="F6363">
            <v>34000000</v>
          </cell>
          <cell r="G6363">
            <v>34000000</v>
          </cell>
          <cell r="H6363">
            <v>34000000</v>
          </cell>
          <cell r="I6363" t="str">
            <v/>
          </cell>
          <cell r="J6363" t="str">
            <v/>
          </cell>
          <cell r="K6363" t="str">
            <v/>
          </cell>
          <cell r="L6363" t="str">
            <v/>
          </cell>
        </row>
        <row r="6364">
          <cell r="A6364">
            <v>34000000</v>
          </cell>
          <cell r="C6364">
            <v>34000000</v>
          </cell>
          <cell r="D6364">
            <v>34000000</v>
          </cell>
          <cell r="E6364">
            <v>34000000</v>
          </cell>
          <cell r="F6364">
            <v>34000000</v>
          </cell>
          <cell r="G6364">
            <v>34000000</v>
          </cell>
          <cell r="H6364">
            <v>34000000</v>
          </cell>
          <cell r="I6364" t="str">
            <v/>
          </cell>
          <cell r="J6364" t="str">
            <v/>
          </cell>
          <cell r="K6364" t="str">
            <v/>
          </cell>
          <cell r="L6364" t="str">
            <v/>
          </cell>
        </row>
        <row r="6365">
          <cell r="A6365">
            <v>34000000</v>
          </cell>
          <cell r="C6365">
            <v>34000000</v>
          </cell>
          <cell r="D6365">
            <v>34000000</v>
          </cell>
          <cell r="E6365">
            <v>34000000</v>
          </cell>
          <cell r="F6365">
            <v>34000000</v>
          </cell>
          <cell r="G6365">
            <v>34000000</v>
          </cell>
          <cell r="H6365">
            <v>34000000</v>
          </cell>
          <cell r="I6365" t="str">
            <v/>
          </cell>
          <cell r="J6365" t="str">
            <v/>
          </cell>
          <cell r="K6365" t="str">
            <v/>
          </cell>
          <cell r="L6365" t="str">
            <v/>
          </cell>
        </row>
        <row r="6366">
          <cell r="A6366">
            <v>34000000</v>
          </cell>
          <cell r="C6366">
            <v>34000000</v>
          </cell>
          <cell r="D6366">
            <v>34000000</v>
          </cell>
          <cell r="E6366">
            <v>34000000</v>
          </cell>
          <cell r="F6366">
            <v>34000000</v>
          </cell>
          <cell r="G6366">
            <v>34000000</v>
          </cell>
          <cell r="H6366">
            <v>34000000</v>
          </cell>
          <cell r="I6366" t="str">
            <v/>
          </cell>
          <cell r="J6366" t="str">
            <v/>
          </cell>
          <cell r="K6366" t="str">
            <v/>
          </cell>
          <cell r="L6366" t="str">
            <v/>
          </cell>
        </row>
        <row r="6367">
          <cell r="A6367">
            <v>34000000</v>
          </cell>
          <cell r="C6367">
            <v>34000000</v>
          </cell>
          <cell r="D6367">
            <v>34000000</v>
          </cell>
          <cell r="E6367">
            <v>34000000</v>
          </cell>
          <cell r="F6367">
            <v>34000000</v>
          </cell>
          <cell r="G6367">
            <v>34000000</v>
          </cell>
          <cell r="H6367">
            <v>34000000</v>
          </cell>
          <cell r="I6367" t="str">
            <v/>
          </cell>
          <cell r="J6367" t="str">
            <v/>
          </cell>
          <cell r="K6367" t="str">
            <v/>
          </cell>
          <cell r="L6367" t="str">
            <v/>
          </cell>
        </row>
        <row r="6368">
          <cell r="A6368">
            <v>34000000</v>
          </cell>
          <cell r="C6368">
            <v>34000000</v>
          </cell>
          <cell r="D6368">
            <v>34000000</v>
          </cell>
          <cell r="E6368">
            <v>34000000</v>
          </cell>
          <cell r="F6368">
            <v>34000000</v>
          </cell>
          <cell r="G6368">
            <v>34000000</v>
          </cell>
          <cell r="H6368">
            <v>34000000</v>
          </cell>
          <cell r="I6368" t="str">
            <v/>
          </cell>
          <cell r="J6368" t="str">
            <v/>
          </cell>
          <cell r="K6368" t="str">
            <v/>
          </cell>
          <cell r="L6368" t="str">
            <v/>
          </cell>
        </row>
        <row r="6369">
          <cell r="A6369">
            <v>34000000</v>
          </cell>
          <cell r="C6369">
            <v>34000000</v>
          </cell>
          <cell r="D6369">
            <v>34000000</v>
          </cell>
          <cell r="E6369">
            <v>34000000</v>
          </cell>
          <cell r="F6369">
            <v>34000000</v>
          </cell>
          <cell r="G6369">
            <v>34000000</v>
          </cell>
          <cell r="H6369">
            <v>34000000</v>
          </cell>
          <cell r="I6369" t="str">
            <v/>
          </cell>
          <cell r="J6369" t="str">
            <v/>
          </cell>
          <cell r="K6369" t="str">
            <v/>
          </cell>
          <cell r="L6369" t="str">
            <v/>
          </cell>
        </row>
        <row r="6370">
          <cell r="A6370">
            <v>34000000</v>
          </cell>
          <cell r="C6370">
            <v>34000000</v>
          </cell>
          <cell r="D6370">
            <v>34000000</v>
          </cell>
          <cell r="E6370">
            <v>34000000</v>
          </cell>
          <cell r="F6370">
            <v>34000000</v>
          </cell>
          <cell r="G6370">
            <v>34000000</v>
          </cell>
          <cell r="H6370">
            <v>34000000</v>
          </cell>
          <cell r="I6370" t="str">
            <v/>
          </cell>
          <cell r="J6370" t="str">
            <v/>
          </cell>
          <cell r="K6370" t="str">
            <v/>
          </cell>
          <cell r="L6370" t="str">
            <v/>
          </cell>
        </row>
        <row r="6371">
          <cell r="A6371">
            <v>34000000</v>
          </cell>
          <cell r="C6371">
            <v>34000000</v>
          </cell>
          <cell r="D6371">
            <v>34000000</v>
          </cell>
          <cell r="E6371">
            <v>34000000</v>
          </cell>
          <cell r="F6371">
            <v>34000000</v>
          </cell>
          <cell r="G6371">
            <v>34000000</v>
          </cell>
          <cell r="H6371">
            <v>34000000</v>
          </cell>
          <cell r="I6371" t="str">
            <v/>
          </cell>
          <cell r="J6371" t="str">
            <v/>
          </cell>
          <cell r="K6371" t="str">
            <v/>
          </cell>
          <cell r="L6371" t="str">
            <v/>
          </cell>
        </row>
        <row r="6372">
          <cell r="A6372">
            <v>34000000</v>
          </cell>
          <cell r="C6372">
            <v>34000000</v>
          </cell>
          <cell r="D6372">
            <v>34000000</v>
          </cell>
          <cell r="E6372">
            <v>34000000</v>
          </cell>
          <cell r="F6372">
            <v>34000000</v>
          </cell>
          <cell r="G6372">
            <v>34000000</v>
          </cell>
          <cell r="H6372">
            <v>34000000</v>
          </cell>
          <cell r="I6372" t="str">
            <v/>
          </cell>
          <cell r="J6372" t="str">
            <v/>
          </cell>
          <cell r="K6372" t="str">
            <v/>
          </cell>
          <cell r="L6372" t="str">
            <v/>
          </cell>
        </row>
        <row r="6373">
          <cell r="A6373">
            <v>34000000</v>
          </cell>
          <cell r="C6373">
            <v>34000000</v>
          </cell>
          <cell r="D6373">
            <v>34000000</v>
          </cell>
          <cell r="E6373">
            <v>34000000</v>
          </cell>
          <cell r="F6373">
            <v>34000000</v>
          </cell>
          <cell r="G6373">
            <v>34000000</v>
          </cell>
          <cell r="H6373">
            <v>34000000</v>
          </cell>
          <cell r="I6373" t="str">
            <v/>
          </cell>
          <cell r="J6373" t="str">
            <v/>
          </cell>
          <cell r="K6373" t="str">
            <v/>
          </cell>
          <cell r="L6373" t="str">
            <v/>
          </cell>
        </row>
        <row r="6374">
          <cell r="A6374">
            <v>34000000</v>
          </cell>
          <cell r="C6374">
            <v>34000000</v>
          </cell>
          <cell r="D6374">
            <v>34000000</v>
          </cell>
          <cell r="E6374">
            <v>34000000</v>
          </cell>
          <cell r="F6374">
            <v>34000000</v>
          </cell>
          <cell r="G6374">
            <v>34000000</v>
          </cell>
          <cell r="H6374">
            <v>34000000</v>
          </cell>
          <cell r="I6374" t="str">
            <v/>
          </cell>
          <cell r="J6374" t="str">
            <v/>
          </cell>
          <cell r="K6374" t="str">
            <v/>
          </cell>
          <cell r="L6374" t="str">
            <v/>
          </cell>
        </row>
        <row r="6375">
          <cell r="A6375">
            <v>34000000</v>
          </cell>
          <cell r="C6375">
            <v>34000000</v>
          </cell>
          <cell r="D6375">
            <v>34000000</v>
          </cell>
          <cell r="E6375">
            <v>34000000</v>
          </cell>
          <cell r="F6375">
            <v>34000000</v>
          </cell>
          <cell r="G6375">
            <v>34000000</v>
          </cell>
          <cell r="H6375">
            <v>34000000</v>
          </cell>
          <cell r="I6375" t="str">
            <v/>
          </cell>
          <cell r="J6375" t="str">
            <v/>
          </cell>
          <cell r="K6375" t="str">
            <v/>
          </cell>
          <cell r="L6375" t="str">
            <v/>
          </cell>
        </row>
        <row r="6376">
          <cell r="A6376">
            <v>34000000</v>
          </cell>
          <cell r="C6376">
            <v>34000000</v>
          </cell>
          <cell r="D6376">
            <v>34000000</v>
          </cell>
          <cell r="E6376">
            <v>34000000</v>
          </cell>
          <cell r="F6376">
            <v>34000000</v>
          </cell>
          <cell r="G6376">
            <v>34000000</v>
          </cell>
          <cell r="H6376">
            <v>34000000</v>
          </cell>
          <cell r="I6376" t="str">
            <v/>
          </cell>
          <cell r="J6376" t="str">
            <v/>
          </cell>
          <cell r="K6376" t="str">
            <v/>
          </cell>
          <cell r="L6376" t="str">
            <v/>
          </cell>
        </row>
        <row r="6377">
          <cell r="A6377">
            <v>34000000</v>
          </cell>
          <cell r="C6377">
            <v>34000000</v>
          </cell>
          <cell r="D6377">
            <v>34000000</v>
          </cell>
          <cell r="E6377">
            <v>34000000</v>
          </cell>
          <cell r="F6377">
            <v>34000000</v>
          </cell>
          <cell r="G6377">
            <v>34000000</v>
          </cell>
          <cell r="H6377">
            <v>34000000</v>
          </cell>
          <cell r="I6377" t="str">
            <v/>
          </cell>
          <cell r="J6377" t="str">
            <v/>
          </cell>
          <cell r="K6377" t="str">
            <v/>
          </cell>
          <cell r="L6377" t="str">
            <v/>
          </cell>
        </row>
        <row r="6378">
          <cell r="A6378">
            <v>34000000</v>
          </cell>
          <cell r="C6378">
            <v>34000000</v>
          </cell>
          <cell r="D6378">
            <v>34000000</v>
          </cell>
          <cell r="E6378">
            <v>34000000</v>
          </cell>
          <cell r="F6378">
            <v>34000000</v>
          </cell>
          <cell r="G6378">
            <v>34000000</v>
          </cell>
          <cell r="H6378">
            <v>34000000</v>
          </cell>
          <cell r="I6378" t="str">
            <v/>
          </cell>
          <cell r="J6378" t="str">
            <v/>
          </cell>
          <cell r="K6378" t="str">
            <v/>
          </cell>
          <cell r="L6378" t="str">
            <v/>
          </cell>
        </row>
        <row r="6379">
          <cell r="A6379">
            <v>34000000</v>
          </cell>
          <cell r="C6379">
            <v>34000000</v>
          </cell>
          <cell r="D6379">
            <v>34000000</v>
          </cell>
          <cell r="E6379">
            <v>34000000</v>
          </cell>
          <cell r="F6379">
            <v>34000000</v>
          </cell>
          <cell r="G6379">
            <v>34000000</v>
          </cell>
          <cell r="H6379">
            <v>34000000</v>
          </cell>
          <cell r="I6379" t="str">
            <v/>
          </cell>
          <cell r="J6379" t="str">
            <v/>
          </cell>
          <cell r="K6379" t="str">
            <v/>
          </cell>
          <cell r="L6379" t="str">
            <v/>
          </cell>
        </row>
        <row r="6380">
          <cell r="A6380">
            <v>34000000</v>
          </cell>
          <cell r="C6380">
            <v>34000000</v>
          </cell>
          <cell r="D6380">
            <v>34000000</v>
          </cell>
          <cell r="E6380">
            <v>34000000</v>
          </cell>
          <cell r="F6380">
            <v>34000000</v>
          </cell>
          <cell r="G6380">
            <v>34000000</v>
          </cell>
          <cell r="H6380">
            <v>34000000</v>
          </cell>
          <cell r="I6380" t="str">
            <v/>
          </cell>
          <cell r="J6380" t="str">
            <v/>
          </cell>
          <cell r="K6380" t="str">
            <v/>
          </cell>
          <cell r="L6380" t="str">
            <v/>
          </cell>
        </row>
        <row r="6381">
          <cell r="A6381">
            <v>34000000</v>
          </cell>
          <cell r="C6381">
            <v>34000000</v>
          </cell>
          <cell r="D6381">
            <v>34000000</v>
          </cell>
          <cell r="E6381">
            <v>34000000</v>
          </cell>
          <cell r="F6381">
            <v>34000000</v>
          </cell>
          <cell r="G6381">
            <v>34000000</v>
          </cell>
          <cell r="H6381">
            <v>34000000</v>
          </cell>
          <cell r="I6381" t="str">
            <v/>
          </cell>
          <cell r="J6381" t="str">
            <v/>
          </cell>
          <cell r="K6381" t="str">
            <v/>
          </cell>
          <cell r="L6381" t="str">
            <v/>
          </cell>
        </row>
        <row r="6382">
          <cell r="A6382">
            <v>34000000</v>
          </cell>
          <cell r="C6382">
            <v>34000000</v>
          </cell>
          <cell r="D6382">
            <v>34000000</v>
          </cell>
          <cell r="E6382">
            <v>34000000</v>
          </cell>
          <cell r="F6382">
            <v>34000000</v>
          </cell>
          <cell r="G6382">
            <v>34000000</v>
          </cell>
          <cell r="H6382">
            <v>34000000</v>
          </cell>
          <cell r="I6382" t="str">
            <v/>
          </cell>
          <cell r="J6382" t="str">
            <v/>
          </cell>
          <cell r="K6382" t="str">
            <v/>
          </cell>
          <cell r="L6382" t="str">
            <v/>
          </cell>
        </row>
        <row r="6383">
          <cell r="A6383">
            <v>34000000</v>
          </cell>
          <cell r="C6383">
            <v>34000000</v>
          </cell>
          <cell r="D6383">
            <v>34000000</v>
          </cell>
          <cell r="E6383">
            <v>34000000</v>
          </cell>
          <cell r="F6383">
            <v>34000000</v>
          </cell>
          <cell r="G6383">
            <v>34000000</v>
          </cell>
          <cell r="H6383">
            <v>34000000</v>
          </cell>
          <cell r="I6383" t="str">
            <v/>
          </cell>
          <cell r="J6383" t="str">
            <v/>
          </cell>
          <cell r="K6383" t="str">
            <v/>
          </cell>
          <cell r="L6383" t="str">
            <v/>
          </cell>
        </row>
        <row r="6384">
          <cell r="A6384">
            <v>34000000</v>
          </cell>
          <cell r="C6384">
            <v>34000000</v>
          </cell>
          <cell r="D6384">
            <v>34000000</v>
          </cell>
          <cell r="E6384">
            <v>34000000</v>
          </cell>
          <cell r="F6384">
            <v>34000000</v>
          </cell>
          <cell r="G6384">
            <v>34000000</v>
          </cell>
          <cell r="H6384">
            <v>34000000</v>
          </cell>
          <cell r="I6384" t="str">
            <v/>
          </cell>
          <cell r="J6384" t="str">
            <v/>
          </cell>
          <cell r="K6384" t="str">
            <v/>
          </cell>
          <cell r="L6384" t="str">
            <v/>
          </cell>
        </row>
        <row r="6385">
          <cell r="A6385">
            <v>34000000</v>
          </cell>
          <cell r="C6385">
            <v>34000000</v>
          </cell>
          <cell r="D6385">
            <v>34000000</v>
          </cell>
          <cell r="E6385">
            <v>34000000</v>
          </cell>
          <cell r="F6385">
            <v>34000000</v>
          </cell>
          <cell r="G6385">
            <v>34000000</v>
          </cell>
          <cell r="H6385">
            <v>34000000</v>
          </cell>
          <cell r="I6385" t="str">
            <v/>
          </cell>
          <cell r="J6385" t="str">
            <v/>
          </cell>
          <cell r="K6385" t="str">
            <v/>
          </cell>
          <cell r="L6385" t="str">
            <v/>
          </cell>
        </row>
        <row r="6386">
          <cell r="A6386">
            <v>34000000</v>
          </cell>
          <cell r="C6386">
            <v>34000000</v>
          </cell>
          <cell r="D6386">
            <v>34000000</v>
          </cell>
          <cell r="E6386">
            <v>34000000</v>
          </cell>
          <cell r="F6386">
            <v>34000000</v>
          </cell>
          <cell r="G6386">
            <v>34000000</v>
          </cell>
          <cell r="H6386">
            <v>34000000</v>
          </cell>
          <cell r="I6386" t="str">
            <v/>
          </cell>
          <cell r="J6386" t="str">
            <v/>
          </cell>
          <cell r="K6386" t="str">
            <v/>
          </cell>
          <cell r="L6386" t="str">
            <v/>
          </cell>
        </row>
        <row r="6387">
          <cell r="A6387">
            <v>34000000</v>
          </cell>
          <cell r="C6387">
            <v>34000000</v>
          </cell>
          <cell r="D6387">
            <v>34000000</v>
          </cell>
          <cell r="E6387">
            <v>34000000</v>
          </cell>
          <cell r="F6387">
            <v>34000000</v>
          </cell>
          <cell r="G6387">
            <v>34000000</v>
          </cell>
          <cell r="H6387">
            <v>34000000</v>
          </cell>
          <cell r="I6387" t="str">
            <v/>
          </cell>
          <cell r="J6387" t="str">
            <v/>
          </cell>
          <cell r="K6387" t="str">
            <v/>
          </cell>
          <cell r="L6387" t="str">
            <v/>
          </cell>
        </row>
        <row r="6388">
          <cell r="A6388">
            <v>34000000</v>
          </cell>
          <cell r="C6388">
            <v>34000000</v>
          </cell>
          <cell r="D6388">
            <v>34000000</v>
          </cell>
          <cell r="E6388">
            <v>34000000</v>
          </cell>
          <cell r="F6388">
            <v>34000000</v>
          </cell>
          <cell r="G6388">
            <v>34000000</v>
          </cell>
          <cell r="H6388">
            <v>34000000</v>
          </cell>
          <cell r="I6388" t="str">
            <v/>
          </cell>
          <cell r="J6388" t="str">
            <v/>
          </cell>
          <cell r="K6388" t="str">
            <v/>
          </cell>
          <cell r="L6388" t="str">
            <v/>
          </cell>
        </row>
        <row r="6389">
          <cell r="A6389">
            <v>34000000</v>
          </cell>
          <cell r="C6389">
            <v>34000000</v>
          </cell>
          <cell r="D6389">
            <v>34000000</v>
          </cell>
          <cell r="E6389">
            <v>34000000</v>
          </cell>
          <cell r="F6389">
            <v>34000000</v>
          </cell>
          <cell r="G6389">
            <v>34000000</v>
          </cell>
          <cell r="H6389">
            <v>34000000</v>
          </cell>
          <cell r="I6389" t="str">
            <v/>
          </cell>
          <cell r="J6389" t="str">
            <v/>
          </cell>
          <cell r="K6389" t="str">
            <v/>
          </cell>
          <cell r="L6389" t="str">
            <v/>
          </cell>
        </row>
        <row r="6390">
          <cell r="A6390">
            <v>34000000</v>
          </cell>
          <cell r="C6390">
            <v>34000000</v>
          </cell>
          <cell r="D6390">
            <v>34000000</v>
          </cell>
          <cell r="E6390">
            <v>34000000</v>
          </cell>
          <cell r="F6390">
            <v>34000000</v>
          </cell>
          <cell r="G6390">
            <v>34000000</v>
          </cell>
          <cell r="H6390">
            <v>34000000</v>
          </cell>
          <cell r="I6390" t="str">
            <v/>
          </cell>
          <cell r="J6390" t="str">
            <v/>
          </cell>
          <cell r="K6390" t="str">
            <v/>
          </cell>
          <cell r="L6390" t="str">
            <v/>
          </cell>
        </row>
        <row r="6391">
          <cell r="A6391">
            <v>34000000</v>
          </cell>
          <cell r="C6391">
            <v>34000000</v>
          </cell>
          <cell r="D6391">
            <v>34000000</v>
          </cell>
          <cell r="E6391">
            <v>34000000</v>
          </cell>
          <cell r="F6391">
            <v>34000000</v>
          </cell>
          <cell r="G6391">
            <v>34000000</v>
          </cell>
          <cell r="H6391">
            <v>34000000</v>
          </cell>
          <cell r="I6391" t="str">
            <v/>
          </cell>
          <cell r="J6391" t="str">
            <v/>
          </cell>
          <cell r="K6391" t="str">
            <v/>
          </cell>
          <cell r="L6391" t="str">
            <v/>
          </cell>
        </row>
        <row r="6392">
          <cell r="A6392">
            <v>34000000</v>
          </cell>
          <cell r="C6392">
            <v>34000000</v>
          </cell>
          <cell r="D6392">
            <v>34000000</v>
          </cell>
          <cell r="E6392">
            <v>34000000</v>
          </cell>
          <cell r="F6392">
            <v>34000000</v>
          </cell>
          <cell r="G6392">
            <v>34000000</v>
          </cell>
          <cell r="H6392">
            <v>34000000</v>
          </cell>
          <cell r="I6392" t="str">
            <v/>
          </cell>
          <cell r="J6392" t="str">
            <v/>
          </cell>
          <cell r="K6392" t="str">
            <v/>
          </cell>
          <cell r="L6392" t="str">
            <v/>
          </cell>
        </row>
        <row r="6393">
          <cell r="A6393">
            <v>34000000</v>
          </cell>
          <cell r="C6393">
            <v>34000000</v>
          </cell>
          <cell r="D6393">
            <v>34000000</v>
          </cell>
          <cell r="E6393">
            <v>34000000</v>
          </cell>
          <cell r="F6393">
            <v>34000000</v>
          </cell>
          <cell r="G6393">
            <v>34000000</v>
          </cell>
          <cell r="H6393">
            <v>34000000</v>
          </cell>
          <cell r="I6393" t="str">
            <v/>
          </cell>
          <cell r="J6393" t="str">
            <v/>
          </cell>
          <cell r="K6393" t="str">
            <v/>
          </cell>
          <cell r="L6393" t="str">
            <v/>
          </cell>
        </row>
        <row r="6394">
          <cell r="A6394">
            <v>34000000</v>
          </cell>
          <cell r="C6394">
            <v>34000000</v>
          </cell>
          <cell r="D6394">
            <v>34000000</v>
          </cell>
          <cell r="E6394">
            <v>34000000</v>
          </cell>
          <cell r="F6394">
            <v>34000000</v>
          </cell>
          <cell r="G6394">
            <v>34000000</v>
          </cell>
          <cell r="H6394">
            <v>34000000</v>
          </cell>
          <cell r="I6394" t="str">
            <v/>
          </cell>
          <cell r="J6394" t="str">
            <v/>
          </cell>
          <cell r="K6394" t="str">
            <v/>
          </cell>
          <cell r="L6394" t="str">
            <v/>
          </cell>
        </row>
        <row r="6395">
          <cell r="A6395">
            <v>34000000</v>
          </cell>
          <cell r="C6395">
            <v>34000000</v>
          </cell>
          <cell r="D6395">
            <v>34000000</v>
          </cell>
          <cell r="E6395">
            <v>34000000</v>
          </cell>
          <cell r="F6395">
            <v>34000000</v>
          </cell>
          <cell r="G6395">
            <v>34000000</v>
          </cell>
          <cell r="H6395">
            <v>34000000</v>
          </cell>
          <cell r="I6395" t="str">
            <v/>
          </cell>
          <cell r="J6395" t="str">
            <v/>
          </cell>
          <cell r="K6395" t="str">
            <v/>
          </cell>
          <cell r="L6395" t="str">
            <v/>
          </cell>
        </row>
        <row r="6396">
          <cell r="A6396">
            <v>34000000</v>
          </cell>
          <cell r="C6396">
            <v>34000000</v>
          </cell>
          <cell r="D6396">
            <v>34000000</v>
          </cell>
          <cell r="E6396">
            <v>34000000</v>
          </cell>
          <cell r="F6396">
            <v>34000000</v>
          </cell>
          <cell r="G6396">
            <v>34000000</v>
          </cell>
          <cell r="H6396">
            <v>34000000</v>
          </cell>
          <cell r="I6396" t="str">
            <v/>
          </cell>
          <cell r="J6396" t="str">
            <v/>
          </cell>
          <cell r="K6396" t="str">
            <v/>
          </cell>
          <cell r="L6396" t="str">
            <v/>
          </cell>
        </row>
        <row r="6397">
          <cell r="A6397">
            <v>34000000</v>
          </cell>
          <cell r="C6397">
            <v>34000000</v>
          </cell>
          <cell r="D6397">
            <v>34000000</v>
          </cell>
          <cell r="E6397">
            <v>34000000</v>
          </cell>
          <cell r="F6397">
            <v>34000000</v>
          </cell>
          <cell r="G6397">
            <v>34000000</v>
          </cell>
          <cell r="H6397">
            <v>34000000</v>
          </cell>
          <cell r="I6397" t="str">
            <v/>
          </cell>
          <cell r="J6397" t="str">
            <v/>
          </cell>
          <cell r="K6397" t="str">
            <v/>
          </cell>
          <cell r="L6397" t="str">
            <v/>
          </cell>
        </row>
        <row r="6398">
          <cell r="A6398">
            <v>34000000</v>
          </cell>
          <cell r="C6398">
            <v>34000000</v>
          </cell>
          <cell r="D6398">
            <v>34000000</v>
          </cell>
          <cell r="E6398">
            <v>34000000</v>
          </cell>
          <cell r="F6398">
            <v>34000000</v>
          </cell>
          <cell r="G6398">
            <v>34000000</v>
          </cell>
          <cell r="H6398">
            <v>34000000</v>
          </cell>
          <cell r="I6398" t="str">
            <v/>
          </cell>
          <cell r="J6398" t="str">
            <v/>
          </cell>
          <cell r="K6398" t="str">
            <v/>
          </cell>
          <cell r="L6398" t="str">
            <v/>
          </cell>
        </row>
        <row r="6399">
          <cell r="A6399">
            <v>34000000</v>
          </cell>
          <cell r="C6399">
            <v>34000000</v>
          </cell>
          <cell r="D6399">
            <v>34000000</v>
          </cell>
          <cell r="E6399">
            <v>34000000</v>
          </cell>
          <cell r="F6399">
            <v>34000000</v>
          </cell>
          <cell r="G6399">
            <v>34000000</v>
          </cell>
          <cell r="H6399">
            <v>34000000</v>
          </cell>
          <cell r="I6399" t="str">
            <v/>
          </cell>
          <cell r="J6399" t="str">
            <v/>
          </cell>
          <cell r="K6399" t="str">
            <v/>
          </cell>
          <cell r="L6399" t="str">
            <v/>
          </cell>
        </row>
        <row r="6400">
          <cell r="A6400">
            <v>34000000</v>
          </cell>
          <cell r="C6400">
            <v>34000000</v>
          </cell>
          <cell r="D6400">
            <v>34000000</v>
          </cell>
          <cell r="E6400">
            <v>34000000</v>
          </cell>
          <cell r="F6400">
            <v>34000000</v>
          </cell>
          <cell r="G6400">
            <v>34000000</v>
          </cell>
          <cell r="H6400">
            <v>34000000</v>
          </cell>
          <cell r="I6400" t="str">
            <v/>
          </cell>
          <cell r="J6400" t="str">
            <v/>
          </cell>
          <cell r="K6400" t="str">
            <v/>
          </cell>
          <cell r="L6400" t="str">
            <v/>
          </cell>
        </row>
        <row r="6401">
          <cell r="A6401">
            <v>34000000</v>
          </cell>
          <cell r="C6401">
            <v>34000000</v>
          </cell>
          <cell r="D6401">
            <v>34000000</v>
          </cell>
          <cell r="E6401">
            <v>34000000</v>
          </cell>
          <cell r="F6401">
            <v>34000000</v>
          </cell>
          <cell r="G6401">
            <v>34000000</v>
          </cell>
          <cell r="H6401">
            <v>34000000</v>
          </cell>
          <cell r="I6401" t="str">
            <v/>
          </cell>
          <cell r="J6401" t="str">
            <v/>
          </cell>
          <cell r="K6401" t="str">
            <v/>
          </cell>
          <cell r="L6401" t="str">
            <v/>
          </cell>
        </row>
        <row r="6402">
          <cell r="A6402">
            <v>34000000</v>
          </cell>
          <cell r="C6402">
            <v>34000000</v>
          </cell>
          <cell r="D6402">
            <v>34000000</v>
          </cell>
          <cell r="E6402">
            <v>34000000</v>
          </cell>
          <cell r="F6402">
            <v>34000000</v>
          </cell>
          <cell r="G6402">
            <v>34000000</v>
          </cell>
          <cell r="H6402">
            <v>34000000</v>
          </cell>
          <cell r="I6402" t="str">
            <v/>
          </cell>
          <cell r="J6402" t="str">
            <v/>
          </cell>
          <cell r="K6402" t="str">
            <v/>
          </cell>
          <cell r="L6402" t="str">
            <v/>
          </cell>
        </row>
        <row r="6403">
          <cell r="A6403">
            <v>34000000</v>
          </cell>
          <cell r="C6403">
            <v>34000000</v>
          </cell>
          <cell r="D6403">
            <v>34000000</v>
          </cell>
          <cell r="E6403">
            <v>34000000</v>
          </cell>
          <cell r="F6403">
            <v>34000000</v>
          </cell>
          <cell r="G6403">
            <v>34000000</v>
          </cell>
          <cell r="H6403">
            <v>34000000</v>
          </cell>
          <cell r="I6403" t="str">
            <v/>
          </cell>
          <cell r="J6403" t="str">
            <v/>
          </cell>
          <cell r="K6403" t="str">
            <v/>
          </cell>
          <cell r="L6403" t="str">
            <v/>
          </cell>
        </row>
        <row r="6404">
          <cell r="A6404">
            <v>34000000</v>
          </cell>
          <cell r="C6404">
            <v>34000000</v>
          </cell>
          <cell r="D6404">
            <v>34000000</v>
          </cell>
          <cell r="E6404">
            <v>34000000</v>
          </cell>
          <cell r="F6404">
            <v>34000000</v>
          </cell>
          <cell r="G6404">
            <v>34000000</v>
          </cell>
          <cell r="H6404">
            <v>34000000</v>
          </cell>
          <cell r="I6404" t="str">
            <v/>
          </cell>
          <cell r="J6404" t="str">
            <v/>
          </cell>
          <cell r="K6404" t="str">
            <v/>
          </cell>
          <cell r="L6404" t="str">
            <v/>
          </cell>
        </row>
        <row r="6405">
          <cell r="A6405">
            <v>34000000</v>
          </cell>
          <cell r="C6405">
            <v>34000000</v>
          </cell>
          <cell r="D6405">
            <v>34000000</v>
          </cell>
          <cell r="E6405">
            <v>34000000</v>
          </cell>
          <cell r="F6405">
            <v>34000000</v>
          </cell>
          <cell r="G6405">
            <v>34000000</v>
          </cell>
          <cell r="H6405">
            <v>34000000</v>
          </cell>
          <cell r="I6405" t="str">
            <v/>
          </cell>
          <cell r="J6405" t="str">
            <v/>
          </cell>
          <cell r="K6405" t="str">
            <v/>
          </cell>
          <cell r="L6405" t="str">
            <v/>
          </cell>
        </row>
        <row r="6406">
          <cell r="A6406">
            <v>34000000</v>
          </cell>
          <cell r="C6406">
            <v>34000000</v>
          </cell>
          <cell r="D6406">
            <v>34000000</v>
          </cell>
          <cell r="E6406">
            <v>34000000</v>
          </cell>
          <cell r="F6406">
            <v>34000000</v>
          </cell>
          <cell r="G6406">
            <v>34000000</v>
          </cell>
          <cell r="H6406">
            <v>34000000</v>
          </cell>
          <cell r="I6406" t="str">
            <v/>
          </cell>
          <cell r="J6406" t="str">
            <v/>
          </cell>
          <cell r="K6406" t="str">
            <v/>
          </cell>
          <cell r="L6406" t="str">
            <v/>
          </cell>
        </row>
        <row r="6407">
          <cell r="A6407">
            <v>34000000</v>
          </cell>
          <cell r="C6407">
            <v>34000000</v>
          </cell>
          <cell r="D6407">
            <v>34000000</v>
          </cell>
          <cell r="E6407">
            <v>34000000</v>
          </cell>
          <cell r="F6407">
            <v>34000000</v>
          </cell>
          <cell r="G6407">
            <v>34000000</v>
          </cell>
          <cell r="H6407">
            <v>34000000</v>
          </cell>
          <cell r="I6407" t="str">
            <v/>
          </cell>
          <cell r="J6407" t="str">
            <v/>
          </cell>
          <cell r="K6407" t="str">
            <v/>
          </cell>
          <cell r="L6407" t="str">
            <v/>
          </cell>
        </row>
        <row r="6408">
          <cell r="A6408">
            <v>34000000</v>
          </cell>
          <cell r="C6408">
            <v>34000000</v>
          </cell>
          <cell r="D6408">
            <v>34000000</v>
          </cell>
          <cell r="E6408">
            <v>34000000</v>
          </cell>
          <cell r="F6408">
            <v>34000000</v>
          </cell>
          <cell r="G6408">
            <v>34000000</v>
          </cell>
          <cell r="H6408">
            <v>34000000</v>
          </cell>
          <cell r="I6408" t="str">
            <v/>
          </cell>
          <cell r="J6408" t="str">
            <v/>
          </cell>
          <cell r="K6408" t="str">
            <v/>
          </cell>
          <cell r="L6408" t="str">
            <v/>
          </cell>
        </row>
        <row r="6409">
          <cell r="A6409">
            <v>34000000</v>
          </cell>
          <cell r="C6409">
            <v>34000000</v>
          </cell>
          <cell r="D6409">
            <v>34000000</v>
          </cell>
          <cell r="E6409">
            <v>34000000</v>
          </cell>
          <cell r="F6409">
            <v>34000000</v>
          </cell>
          <cell r="G6409">
            <v>34000000</v>
          </cell>
          <cell r="H6409">
            <v>34000000</v>
          </cell>
          <cell r="I6409" t="str">
            <v/>
          </cell>
          <cell r="J6409" t="str">
            <v/>
          </cell>
          <cell r="K6409" t="str">
            <v/>
          </cell>
          <cell r="L6409" t="str">
            <v/>
          </cell>
        </row>
        <row r="6410">
          <cell r="A6410">
            <v>34000000</v>
          </cell>
          <cell r="C6410">
            <v>34000000</v>
          </cell>
          <cell r="D6410">
            <v>34000000</v>
          </cell>
          <cell r="E6410">
            <v>34000000</v>
          </cell>
          <cell r="F6410">
            <v>34000000</v>
          </cell>
          <cell r="G6410">
            <v>34000000</v>
          </cell>
          <cell r="H6410">
            <v>34000000</v>
          </cell>
          <cell r="I6410" t="str">
            <v/>
          </cell>
          <cell r="J6410" t="str">
            <v/>
          </cell>
          <cell r="K6410" t="str">
            <v/>
          </cell>
          <cell r="L6410" t="str">
            <v/>
          </cell>
        </row>
        <row r="6411">
          <cell r="A6411">
            <v>34000000</v>
          </cell>
          <cell r="C6411">
            <v>34000000</v>
          </cell>
          <cell r="D6411">
            <v>34000000</v>
          </cell>
          <cell r="E6411">
            <v>34000000</v>
          </cell>
          <cell r="F6411">
            <v>34000000</v>
          </cell>
          <cell r="G6411">
            <v>34000000</v>
          </cell>
          <cell r="H6411">
            <v>34000000</v>
          </cell>
          <cell r="I6411" t="str">
            <v/>
          </cell>
          <cell r="J6411" t="str">
            <v/>
          </cell>
          <cell r="K6411" t="str">
            <v/>
          </cell>
          <cell r="L6411" t="str">
            <v/>
          </cell>
        </row>
        <row r="6412">
          <cell r="A6412">
            <v>34000000</v>
          </cell>
          <cell r="C6412">
            <v>34000000</v>
          </cell>
          <cell r="D6412">
            <v>34000000</v>
          </cell>
          <cell r="E6412">
            <v>34000000</v>
          </cell>
          <cell r="F6412">
            <v>34000000</v>
          </cell>
          <cell r="G6412">
            <v>34000000</v>
          </cell>
          <cell r="H6412">
            <v>34000000</v>
          </cell>
          <cell r="I6412" t="str">
            <v/>
          </cell>
          <cell r="J6412" t="str">
            <v/>
          </cell>
          <cell r="K6412" t="str">
            <v/>
          </cell>
          <cell r="L6412" t="str">
            <v/>
          </cell>
        </row>
        <row r="6413">
          <cell r="A6413">
            <v>34000000</v>
          </cell>
          <cell r="C6413">
            <v>34000000</v>
          </cell>
          <cell r="D6413">
            <v>34000000</v>
          </cell>
          <cell r="E6413">
            <v>34000000</v>
          </cell>
          <cell r="F6413">
            <v>34000000</v>
          </cell>
          <cell r="G6413">
            <v>34000000</v>
          </cell>
          <cell r="H6413">
            <v>34000000</v>
          </cell>
          <cell r="I6413" t="str">
            <v/>
          </cell>
          <cell r="J6413" t="str">
            <v/>
          </cell>
          <cell r="K6413" t="str">
            <v/>
          </cell>
          <cell r="L6413" t="str">
            <v/>
          </cell>
        </row>
        <row r="6414">
          <cell r="A6414">
            <v>34000000</v>
          </cell>
          <cell r="C6414">
            <v>34000000</v>
          </cell>
          <cell r="D6414">
            <v>34000000</v>
          </cell>
          <cell r="E6414">
            <v>34000000</v>
          </cell>
          <cell r="F6414">
            <v>34000000</v>
          </cell>
          <cell r="G6414">
            <v>34000000</v>
          </cell>
          <cell r="H6414">
            <v>34000000</v>
          </cell>
          <cell r="I6414" t="str">
            <v/>
          </cell>
          <cell r="J6414" t="str">
            <v/>
          </cell>
          <cell r="K6414" t="str">
            <v/>
          </cell>
          <cell r="L6414" t="str">
            <v/>
          </cell>
        </row>
        <row r="6415">
          <cell r="A6415">
            <v>34000000</v>
          </cell>
          <cell r="C6415">
            <v>34000000</v>
          </cell>
          <cell r="D6415">
            <v>34000000</v>
          </cell>
          <cell r="E6415">
            <v>34000000</v>
          </cell>
          <cell r="F6415">
            <v>34000000</v>
          </cell>
          <cell r="G6415">
            <v>34000000</v>
          </cell>
          <cell r="H6415">
            <v>34000000</v>
          </cell>
          <cell r="I6415" t="str">
            <v/>
          </cell>
          <cell r="J6415" t="str">
            <v/>
          </cell>
          <cell r="K6415" t="str">
            <v/>
          </cell>
          <cell r="L6415" t="str">
            <v/>
          </cell>
        </row>
        <row r="6416">
          <cell r="A6416">
            <v>34000000</v>
          </cell>
          <cell r="C6416">
            <v>34000000</v>
          </cell>
          <cell r="D6416">
            <v>34000000</v>
          </cell>
          <cell r="E6416">
            <v>34000000</v>
          </cell>
          <cell r="F6416">
            <v>34000000</v>
          </cell>
          <cell r="G6416">
            <v>34000000</v>
          </cell>
          <cell r="H6416">
            <v>34000000</v>
          </cell>
          <cell r="I6416" t="str">
            <v/>
          </cell>
          <cell r="J6416" t="str">
            <v/>
          </cell>
          <cell r="K6416" t="str">
            <v/>
          </cell>
          <cell r="L6416" t="str">
            <v/>
          </cell>
        </row>
        <row r="6417">
          <cell r="A6417">
            <v>34000000</v>
          </cell>
          <cell r="C6417">
            <v>34000000</v>
          </cell>
          <cell r="D6417">
            <v>34000000</v>
          </cell>
          <cell r="E6417">
            <v>34000000</v>
          </cell>
          <cell r="F6417">
            <v>34000000</v>
          </cell>
          <cell r="G6417">
            <v>34000000</v>
          </cell>
          <cell r="H6417">
            <v>34000000</v>
          </cell>
          <cell r="I6417" t="str">
            <v/>
          </cell>
          <cell r="J6417" t="str">
            <v/>
          </cell>
          <cell r="K6417" t="str">
            <v/>
          </cell>
          <cell r="L6417" t="str">
            <v/>
          </cell>
        </row>
        <row r="6418">
          <cell r="A6418">
            <v>34000000</v>
          </cell>
          <cell r="C6418">
            <v>34000000</v>
          </cell>
          <cell r="D6418">
            <v>34000000</v>
          </cell>
          <cell r="E6418">
            <v>34000000</v>
          </cell>
          <cell r="F6418">
            <v>34000000</v>
          </cell>
          <cell r="G6418">
            <v>34000000</v>
          </cell>
          <cell r="H6418">
            <v>34000000</v>
          </cell>
          <cell r="I6418" t="str">
            <v/>
          </cell>
          <cell r="J6418" t="str">
            <v/>
          </cell>
          <cell r="K6418" t="str">
            <v/>
          </cell>
          <cell r="L6418" t="str">
            <v/>
          </cell>
        </row>
        <row r="6419">
          <cell r="A6419">
            <v>34000000</v>
          </cell>
          <cell r="C6419">
            <v>34000000</v>
          </cell>
          <cell r="D6419">
            <v>34000000</v>
          </cell>
          <cell r="E6419">
            <v>34000000</v>
          </cell>
          <cell r="F6419">
            <v>34000000</v>
          </cell>
          <cell r="G6419">
            <v>34000000</v>
          </cell>
          <cell r="H6419">
            <v>34000000</v>
          </cell>
          <cell r="I6419" t="str">
            <v/>
          </cell>
          <cell r="J6419" t="str">
            <v/>
          </cell>
          <cell r="K6419" t="str">
            <v/>
          </cell>
          <cell r="L6419" t="str">
            <v/>
          </cell>
        </row>
        <row r="6420">
          <cell r="A6420">
            <v>34000000</v>
          </cell>
          <cell r="C6420">
            <v>34000000</v>
          </cell>
          <cell r="D6420">
            <v>34000000</v>
          </cell>
          <cell r="E6420">
            <v>34000000</v>
          </cell>
          <cell r="F6420">
            <v>34000000</v>
          </cell>
          <cell r="G6420">
            <v>34000000</v>
          </cell>
          <cell r="H6420">
            <v>34000000</v>
          </cell>
          <cell r="I6420" t="str">
            <v/>
          </cell>
          <cell r="J6420" t="str">
            <v/>
          </cell>
          <cell r="K6420" t="str">
            <v/>
          </cell>
          <cell r="L6420" t="str">
            <v/>
          </cell>
        </row>
        <row r="6421">
          <cell r="A6421">
            <v>34000000</v>
          </cell>
          <cell r="C6421">
            <v>34000000</v>
          </cell>
          <cell r="D6421">
            <v>34000000</v>
          </cell>
          <cell r="E6421">
            <v>34000000</v>
          </cell>
          <cell r="F6421">
            <v>34000000</v>
          </cell>
          <cell r="G6421">
            <v>34000000</v>
          </cell>
          <cell r="H6421">
            <v>34000000</v>
          </cell>
          <cell r="I6421" t="str">
            <v/>
          </cell>
          <cell r="J6421" t="str">
            <v/>
          </cell>
          <cell r="K6421" t="str">
            <v/>
          </cell>
          <cell r="L6421" t="str">
            <v/>
          </cell>
        </row>
        <row r="6422">
          <cell r="A6422">
            <v>34000000</v>
          </cell>
          <cell r="C6422">
            <v>34000000</v>
          </cell>
          <cell r="D6422">
            <v>34000000</v>
          </cell>
          <cell r="E6422">
            <v>34000000</v>
          </cell>
          <cell r="F6422">
            <v>34000000</v>
          </cell>
          <cell r="G6422">
            <v>34000000</v>
          </cell>
          <cell r="H6422">
            <v>34000000</v>
          </cell>
          <cell r="I6422" t="str">
            <v/>
          </cell>
          <cell r="J6422" t="str">
            <v/>
          </cell>
          <cell r="K6422" t="str">
            <v/>
          </cell>
          <cell r="L6422" t="str">
            <v/>
          </cell>
        </row>
        <row r="6423">
          <cell r="A6423">
            <v>34000000</v>
          </cell>
          <cell r="C6423">
            <v>34000000</v>
          </cell>
          <cell r="D6423">
            <v>34000000</v>
          </cell>
          <cell r="E6423">
            <v>34000000</v>
          </cell>
          <cell r="F6423">
            <v>34000000</v>
          </cell>
          <cell r="G6423">
            <v>34000000</v>
          </cell>
          <cell r="H6423">
            <v>34000000</v>
          </cell>
          <cell r="I6423" t="str">
            <v/>
          </cell>
          <cell r="J6423" t="str">
            <v/>
          </cell>
          <cell r="K6423" t="str">
            <v/>
          </cell>
          <cell r="L6423" t="str">
            <v/>
          </cell>
        </row>
        <row r="6424">
          <cell r="A6424">
            <v>34000000</v>
          </cell>
          <cell r="C6424">
            <v>34000000</v>
          </cell>
          <cell r="D6424">
            <v>34000000</v>
          </cell>
          <cell r="E6424">
            <v>34000000</v>
          </cell>
          <cell r="F6424">
            <v>34000000</v>
          </cell>
          <cell r="G6424">
            <v>34000000</v>
          </cell>
          <cell r="H6424">
            <v>34000000</v>
          </cell>
          <cell r="I6424" t="str">
            <v/>
          </cell>
          <cell r="J6424" t="str">
            <v/>
          </cell>
          <cell r="K6424" t="str">
            <v/>
          </cell>
          <cell r="L6424" t="str">
            <v/>
          </cell>
        </row>
        <row r="6425">
          <cell r="A6425">
            <v>34000000</v>
          </cell>
          <cell r="C6425">
            <v>34000000</v>
          </cell>
          <cell r="D6425">
            <v>34000000</v>
          </cell>
          <cell r="E6425">
            <v>34000000</v>
          </cell>
          <cell r="F6425">
            <v>34000000</v>
          </cell>
          <cell r="G6425">
            <v>34000000</v>
          </cell>
          <cell r="H6425">
            <v>34000000</v>
          </cell>
          <cell r="I6425" t="str">
            <v/>
          </cell>
          <cell r="J6425" t="str">
            <v/>
          </cell>
          <cell r="K6425" t="str">
            <v/>
          </cell>
          <cell r="L6425" t="str">
            <v/>
          </cell>
        </row>
        <row r="6426">
          <cell r="A6426">
            <v>34000000</v>
          </cell>
          <cell r="C6426">
            <v>34000000</v>
          </cell>
          <cell r="D6426">
            <v>34000000</v>
          </cell>
          <cell r="E6426">
            <v>34000000</v>
          </cell>
          <cell r="F6426">
            <v>34000000</v>
          </cell>
          <cell r="G6426">
            <v>34000000</v>
          </cell>
          <cell r="H6426">
            <v>34000000</v>
          </cell>
          <cell r="I6426" t="str">
            <v/>
          </cell>
          <cell r="J6426" t="str">
            <v/>
          </cell>
          <cell r="K6426" t="str">
            <v/>
          </cell>
          <cell r="L6426" t="str">
            <v/>
          </cell>
        </row>
        <row r="6427">
          <cell r="A6427">
            <v>34000000</v>
          </cell>
          <cell r="C6427">
            <v>34000000</v>
          </cell>
          <cell r="D6427">
            <v>34000000</v>
          </cell>
          <cell r="E6427">
            <v>34000000</v>
          </cell>
          <cell r="F6427">
            <v>34000000</v>
          </cell>
          <cell r="G6427">
            <v>34000000</v>
          </cell>
          <cell r="H6427">
            <v>34000000</v>
          </cell>
          <cell r="I6427" t="str">
            <v/>
          </cell>
          <cell r="J6427" t="str">
            <v/>
          </cell>
          <cell r="K6427" t="str">
            <v/>
          </cell>
          <cell r="L6427" t="str">
            <v/>
          </cell>
        </row>
        <row r="6428">
          <cell r="A6428">
            <v>34000000</v>
          </cell>
          <cell r="C6428">
            <v>34000000</v>
          </cell>
          <cell r="D6428">
            <v>34000000</v>
          </cell>
          <cell r="E6428">
            <v>34000000</v>
          </cell>
          <cell r="F6428">
            <v>34000000</v>
          </cell>
          <cell r="G6428">
            <v>34000000</v>
          </cell>
          <cell r="H6428">
            <v>34000000</v>
          </cell>
          <cell r="I6428" t="str">
            <v/>
          </cell>
          <cell r="J6428" t="str">
            <v/>
          </cell>
          <cell r="K6428" t="str">
            <v/>
          </cell>
          <cell r="L6428" t="str">
            <v/>
          </cell>
        </row>
        <row r="6429">
          <cell r="A6429">
            <v>34000000</v>
          </cell>
          <cell r="C6429">
            <v>34000000</v>
          </cell>
          <cell r="D6429">
            <v>34000000</v>
          </cell>
          <cell r="E6429">
            <v>34000000</v>
          </cell>
          <cell r="F6429">
            <v>34000000</v>
          </cell>
          <cell r="G6429">
            <v>34000000</v>
          </cell>
          <cell r="H6429">
            <v>34000000</v>
          </cell>
          <cell r="I6429" t="str">
            <v/>
          </cell>
          <cell r="J6429" t="str">
            <v/>
          </cell>
          <cell r="K6429" t="str">
            <v/>
          </cell>
          <cell r="L6429" t="str">
            <v/>
          </cell>
        </row>
        <row r="6430">
          <cell r="A6430">
            <v>34000000</v>
          </cell>
          <cell r="C6430">
            <v>34000000</v>
          </cell>
          <cell r="D6430">
            <v>34000000</v>
          </cell>
          <cell r="E6430">
            <v>34000000</v>
          </cell>
          <cell r="F6430">
            <v>34000000</v>
          </cell>
          <cell r="G6430">
            <v>34000000</v>
          </cell>
          <cell r="H6430">
            <v>34000000</v>
          </cell>
          <cell r="I6430" t="str">
            <v/>
          </cell>
          <cell r="J6430" t="str">
            <v/>
          </cell>
          <cell r="K6430" t="str">
            <v/>
          </cell>
          <cell r="L6430" t="str">
            <v/>
          </cell>
        </row>
        <row r="6431">
          <cell r="A6431">
            <v>34000000</v>
          </cell>
          <cell r="C6431">
            <v>34000000</v>
          </cell>
          <cell r="D6431">
            <v>34000000</v>
          </cell>
          <cell r="E6431">
            <v>34000000</v>
          </cell>
          <cell r="F6431">
            <v>34000000</v>
          </cell>
          <cell r="G6431">
            <v>34000000</v>
          </cell>
          <cell r="H6431">
            <v>34000000</v>
          </cell>
          <cell r="I6431" t="str">
            <v/>
          </cell>
          <cell r="J6431" t="str">
            <v/>
          </cell>
          <cell r="K6431" t="str">
            <v/>
          </cell>
          <cell r="L6431" t="str">
            <v/>
          </cell>
        </row>
        <row r="6432">
          <cell r="A6432">
            <v>34000000</v>
          </cell>
          <cell r="C6432">
            <v>34000000</v>
          </cell>
          <cell r="D6432">
            <v>34000000</v>
          </cell>
          <cell r="E6432">
            <v>34000000</v>
          </cell>
          <cell r="F6432">
            <v>34000000</v>
          </cell>
          <cell r="G6432">
            <v>34000000</v>
          </cell>
          <cell r="H6432">
            <v>34000000</v>
          </cell>
          <cell r="I6432" t="str">
            <v/>
          </cell>
          <cell r="J6432" t="str">
            <v/>
          </cell>
          <cell r="K6432" t="str">
            <v/>
          </cell>
          <cell r="L6432" t="str">
            <v/>
          </cell>
        </row>
        <row r="6433">
          <cell r="A6433">
            <v>34000000</v>
          </cell>
          <cell r="C6433">
            <v>34000000</v>
          </cell>
          <cell r="D6433">
            <v>34000000</v>
          </cell>
          <cell r="E6433">
            <v>34000000</v>
          </cell>
          <cell r="F6433">
            <v>34000000</v>
          </cell>
          <cell r="G6433">
            <v>34000000</v>
          </cell>
          <cell r="H6433">
            <v>34000000</v>
          </cell>
          <cell r="I6433" t="str">
            <v/>
          </cell>
          <cell r="J6433" t="str">
            <v/>
          </cell>
          <cell r="K6433" t="str">
            <v/>
          </cell>
          <cell r="L6433" t="str">
            <v/>
          </cell>
        </row>
        <row r="6434">
          <cell r="A6434">
            <v>34000000</v>
          </cell>
          <cell r="C6434">
            <v>34000000</v>
          </cell>
          <cell r="D6434">
            <v>34000000</v>
          </cell>
          <cell r="E6434">
            <v>34000000</v>
          </cell>
          <cell r="F6434">
            <v>34000000</v>
          </cell>
          <cell r="G6434">
            <v>34000000</v>
          </cell>
          <cell r="H6434">
            <v>34000000</v>
          </cell>
          <cell r="I6434" t="str">
            <v/>
          </cell>
          <cell r="J6434" t="str">
            <v/>
          </cell>
          <cell r="K6434" t="str">
            <v/>
          </cell>
          <cell r="L6434" t="str">
            <v/>
          </cell>
        </row>
        <row r="6435">
          <cell r="A6435">
            <v>34000000</v>
          </cell>
          <cell r="C6435">
            <v>34000000</v>
          </cell>
          <cell r="D6435">
            <v>34000000</v>
          </cell>
          <cell r="E6435">
            <v>34000000</v>
          </cell>
          <cell r="F6435">
            <v>34000000</v>
          </cell>
          <cell r="G6435">
            <v>34000000</v>
          </cell>
          <cell r="H6435">
            <v>34000000</v>
          </cell>
          <cell r="I6435" t="str">
            <v/>
          </cell>
          <cell r="J6435" t="str">
            <v/>
          </cell>
          <cell r="K6435" t="str">
            <v/>
          </cell>
          <cell r="L6435" t="str">
            <v/>
          </cell>
        </row>
        <row r="6436">
          <cell r="A6436">
            <v>34000000</v>
          </cell>
          <cell r="C6436">
            <v>34000000</v>
          </cell>
          <cell r="D6436">
            <v>34000000</v>
          </cell>
          <cell r="E6436">
            <v>34000000</v>
          </cell>
          <cell r="F6436">
            <v>34000000</v>
          </cell>
          <cell r="G6436">
            <v>34000000</v>
          </cell>
          <cell r="H6436">
            <v>34000000</v>
          </cell>
          <cell r="I6436" t="str">
            <v/>
          </cell>
          <cell r="J6436" t="str">
            <v/>
          </cell>
          <cell r="K6436" t="str">
            <v/>
          </cell>
          <cell r="L6436" t="str">
            <v/>
          </cell>
        </row>
        <row r="6437">
          <cell r="A6437">
            <v>34000000</v>
          </cell>
          <cell r="C6437">
            <v>34000000</v>
          </cell>
          <cell r="D6437">
            <v>34000000</v>
          </cell>
          <cell r="E6437">
            <v>34000000</v>
          </cell>
          <cell r="F6437">
            <v>34000000</v>
          </cell>
          <cell r="G6437">
            <v>34000000</v>
          </cell>
          <cell r="H6437">
            <v>34000000</v>
          </cell>
          <cell r="I6437" t="str">
            <v/>
          </cell>
          <cell r="J6437" t="str">
            <v/>
          </cell>
          <cell r="K6437" t="str">
            <v/>
          </cell>
          <cell r="L6437" t="str">
            <v/>
          </cell>
        </row>
        <row r="6438">
          <cell r="A6438">
            <v>34000000</v>
          </cell>
          <cell r="C6438">
            <v>34000000</v>
          </cell>
          <cell r="D6438">
            <v>34000000</v>
          </cell>
          <cell r="E6438">
            <v>34000000</v>
          </cell>
          <cell r="F6438">
            <v>34000000</v>
          </cell>
          <cell r="G6438">
            <v>34000000</v>
          </cell>
          <cell r="H6438">
            <v>34000000</v>
          </cell>
          <cell r="I6438" t="str">
            <v/>
          </cell>
          <cell r="J6438" t="str">
            <v/>
          </cell>
          <cell r="K6438" t="str">
            <v/>
          </cell>
          <cell r="L6438" t="str">
            <v/>
          </cell>
        </row>
        <row r="6439">
          <cell r="A6439">
            <v>34000000</v>
          </cell>
          <cell r="C6439">
            <v>34000000</v>
          </cell>
          <cell r="D6439">
            <v>34000000</v>
          </cell>
          <cell r="E6439">
            <v>34000000</v>
          </cell>
          <cell r="F6439">
            <v>34000000</v>
          </cell>
          <cell r="G6439">
            <v>34000000</v>
          </cell>
          <cell r="H6439">
            <v>34000000</v>
          </cell>
          <cell r="I6439" t="str">
            <v/>
          </cell>
          <cell r="J6439" t="str">
            <v/>
          </cell>
          <cell r="K6439" t="str">
            <v/>
          </cell>
          <cell r="L6439" t="str">
            <v/>
          </cell>
        </row>
        <row r="6440">
          <cell r="A6440">
            <v>34000000</v>
          </cell>
          <cell r="C6440">
            <v>34000000</v>
          </cell>
          <cell r="D6440">
            <v>34000000</v>
          </cell>
          <cell r="E6440">
            <v>34000000</v>
          </cell>
          <cell r="F6440">
            <v>34000000</v>
          </cell>
          <cell r="G6440">
            <v>34000000</v>
          </cell>
          <cell r="H6440">
            <v>34000000</v>
          </cell>
          <cell r="I6440" t="str">
            <v/>
          </cell>
          <cell r="J6440" t="str">
            <v/>
          </cell>
          <cell r="K6440" t="str">
            <v/>
          </cell>
          <cell r="L6440" t="str">
            <v/>
          </cell>
        </row>
        <row r="6441">
          <cell r="A6441">
            <v>34000000</v>
          </cell>
          <cell r="C6441">
            <v>34000000</v>
          </cell>
          <cell r="D6441">
            <v>34000000</v>
          </cell>
          <cell r="E6441">
            <v>34000000</v>
          </cell>
          <cell r="F6441">
            <v>34000000</v>
          </cell>
          <cell r="G6441">
            <v>34000000</v>
          </cell>
          <cell r="H6441">
            <v>34000000</v>
          </cell>
          <cell r="I6441" t="str">
            <v/>
          </cell>
          <cell r="J6441" t="str">
            <v/>
          </cell>
          <cell r="K6441" t="str">
            <v/>
          </cell>
          <cell r="L6441" t="str">
            <v/>
          </cell>
        </row>
        <row r="6442">
          <cell r="A6442">
            <v>34000000</v>
          </cell>
          <cell r="C6442">
            <v>34000000</v>
          </cell>
          <cell r="D6442">
            <v>34000000</v>
          </cell>
          <cell r="E6442">
            <v>34000000</v>
          </cell>
          <cell r="F6442">
            <v>34000000</v>
          </cell>
          <cell r="G6442">
            <v>34000000</v>
          </cell>
          <cell r="H6442">
            <v>34000000</v>
          </cell>
          <cell r="I6442" t="str">
            <v/>
          </cell>
          <cell r="J6442" t="str">
            <v/>
          </cell>
          <cell r="K6442" t="str">
            <v/>
          </cell>
          <cell r="L6442" t="str">
            <v/>
          </cell>
        </row>
        <row r="6443">
          <cell r="A6443">
            <v>34000000</v>
          </cell>
          <cell r="C6443">
            <v>34000000</v>
          </cell>
          <cell r="D6443">
            <v>34000000</v>
          </cell>
          <cell r="E6443">
            <v>34000000</v>
          </cell>
          <cell r="F6443">
            <v>34000000</v>
          </cell>
          <cell r="G6443">
            <v>34000000</v>
          </cell>
          <cell r="H6443">
            <v>34000000</v>
          </cell>
          <cell r="I6443" t="str">
            <v/>
          </cell>
          <cell r="J6443" t="str">
            <v/>
          </cell>
          <cell r="K6443" t="str">
            <v/>
          </cell>
          <cell r="L6443" t="str">
            <v/>
          </cell>
        </row>
        <row r="6444">
          <cell r="A6444">
            <v>34000000</v>
          </cell>
          <cell r="C6444">
            <v>34000000</v>
          </cell>
          <cell r="D6444">
            <v>34000000</v>
          </cell>
          <cell r="E6444">
            <v>34000000</v>
          </cell>
          <cell r="F6444">
            <v>34000000</v>
          </cell>
          <cell r="G6444">
            <v>34000000</v>
          </cell>
          <cell r="H6444">
            <v>34000000</v>
          </cell>
          <cell r="I6444" t="str">
            <v/>
          </cell>
          <cell r="J6444" t="str">
            <v/>
          </cell>
          <cell r="K6444" t="str">
            <v/>
          </cell>
          <cell r="L6444" t="str">
            <v/>
          </cell>
        </row>
        <row r="6445">
          <cell r="A6445">
            <v>34000000</v>
          </cell>
          <cell r="C6445">
            <v>34000000</v>
          </cell>
          <cell r="D6445">
            <v>34000000</v>
          </cell>
          <cell r="E6445">
            <v>34000000</v>
          </cell>
          <cell r="F6445">
            <v>34000000</v>
          </cell>
          <cell r="G6445">
            <v>34000000</v>
          </cell>
          <cell r="H6445">
            <v>34000000</v>
          </cell>
          <cell r="I6445" t="str">
            <v/>
          </cell>
          <cell r="J6445" t="str">
            <v/>
          </cell>
          <cell r="K6445" t="str">
            <v/>
          </cell>
          <cell r="L6445" t="str">
            <v/>
          </cell>
        </row>
        <row r="6446">
          <cell r="A6446">
            <v>34000000</v>
          </cell>
          <cell r="C6446">
            <v>34000000</v>
          </cell>
          <cell r="D6446">
            <v>34000000</v>
          </cell>
          <cell r="E6446">
            <v>34000000</v>
          </cell>
          <cell r="F6446">
            <v>34000000</v>
          </cell>
          <cell r="G6446">
            <v>34000000</v>
          </cell>
          <cell r="H6446">
            <v>34000000</v>
          </cell>
          <cell r="I6446" t="str">
            <v/>
          </cell>
          <cell r="J6446" t="str">
            <v/>
          </cell>
          <cell r="K6446" t="str">
            <v/>
          </cell>
          <cell r="L6446" t="str">
            <v/>
          </cell>
        </row>
        <row r="6447">
          <cell r="A6447">
            <v>34000000</v>
          </cell>
          <cell r="C6447">
            <v>34000000</v>
          </cell>
          <cell r="D6447">
            <v>34000000</v>
          </cell>
          <cell r="E6447">
            <v>34000000</v>
          </cell>
          <cell r="F6447">
            <v>34000000</v>
          </cell>
          <cell r="G6447">
            <v>34000000</v>
          </cell>
          <cell r="H6447">
            <v>34000000</v>
          </cell>
          <cell r="I6447" t="str">
            <v/>
          </cell>
          <cell r="J6447" t="str">
            <v/>
          </cell>
          <cell r="K6447" t="str">
            <v/>
          </cell>
          <cell r="L6447" t="str">
            <v/>
          </cell>
        </row>
        <row r="6448">
          <cell r="A6448">
            <v>34000000</v>
          </cell>
          <cell r="C6448">
            <v>34000000</v>
          </cell>
          <cell r="D6448">
            <v>34000000</v>
          </cell>
          <cell r="E6448">
            <v>34000000</v>
          </cell>
          <cell r="F6448">
            <v>34000000</v>
          </cell>
          <cell r="G6448">
            <v>34000000</v>
          </cell>
          <cell r="H6448">
            <v>34000000</v>
          </cell>
          <cell r="I6448" t="str">
            <v/>
          </cell>
          <cell r="J6448" t="str">
            <v/>
          </cell>
          <cell r="K6448" t="str">
            <v/>
          </cell>
          <cell r="L6448" t="str">
            <v/>
          </cell>
        </row>
        <row r="6449">
          <cell r="A6449">
            <v>34000000</v>
          </cell>
          <cell r="C6449">
            <v>34000000</v>
          </cell>
          <cell r="D6449">
            <v>34000000</v>
          </cell>
          <cell r="E6449">
            <v>34000000</v>
          </cell>
          <cell r="F6449">
            <v>34000000</v>
          </cell>
          <cell r="G6449">
            <v>34000000</v>
          </cell>
          <cell r="H6449">
            <v>34000000</v>
          </cell>
          <cell r="I6449" t="str">
            <v/>
          </cell>
          <cell r="J6449" t="str">
            <v/>
          </cell>
          <cell r="K6449" t="str">
            <v/>
          </cell>
          <cell r="L6449" t="str">
            <v/>
          </cell>
        </row>
        <row r="6450">
          <cell r="A6450">
            <v>34000000</v>
          </cell>
          <cell r="C6450">
            <v>34000000</v>
          </cell>
          <cell r="D6450">
            <v>34000000</v>
          </cell>
          <cell r="E6450">
            <v>34000000</v>
          </cell>
          <cell r="F6450">
            <v>34000000</v>
          </cell>
          <cell r="G6450">
            <v>34000000</v>
          </cell>
          <cell r="H6450">
            <v>34000000</v>
          </cell>
          <cell r="I6450" t="str">
            <v/>
          </cell>
          <cell r="J6450" t="str">
            <v/>
          </cell>
          <cell r="K6450" t="str">
            <v/>
          </cell>
          <cell r="L6450" t="str">
            <v/>
          </cell>
        </row>
        <row r="6451">
          <cell r="A6451">
            <v>34000000</v>
          </cell>
          <cell r="C6451">
            <v>34000000</v>
          </cell>
          <cell r="D6451">
            <v>34000000</v>
          </cell>
          <cell r="E6451">
            <v>34000000</v>
          </cell>
          <cell r="F6451">
            <v>34000000</v>
          </cell>
          <cell r="G6451">
            <v>34000000</v>
          </cell>
          <cell r="H6451">
            <v>34000000</v>
          </cell>
          <cell r="I6451" t="str">
            <v/>
          </cell>
          <cell r="J6451" t="str">
            <v/>
          </cell>
          <cell r="K6451" t="str">
            <v/>
          </cell>
          <cell r="L6451" t="str">
            <v/>
          </cell>
        </row>
        <row r="6452">
          <cell r="A6452">
            <v>34000000</v>
          </cell>
          <cell r="C6452">
            <v>34000000</v>
          </cell>
          <cell r="D6452">
            <v>34000000</v>
          </cell>
          <cell r="E6452">
            <v>34000000</v>
          </cell>
          <cell r="F6452">
            <v>34000000</v>
          </cell>
          <cell r="G6452">
            <v>34000000</v>
          </cell>
          <cell r="H6452">
            <v>34000000</v>
          </cell>
          <cell r="I6452" t="str">
            <v/>
          </cell>
          <cell r="J6452" t="str">
            <v/>
          </cell>
          <cell r="K6452" t="str">
            <v/>
          </cell>
          <cell r="L6452" t="str">
            <v/>
          </cell>
        </row>
        <row r="6453">
          <cell r="A6453">
            <v>34000000</v>
          </cell>
          <cell r="C6453">
            <v>34000000</v>
          </cell>
          <cell r="D6453">
            <v>34000000</v>
          </cell>
          <cell r="E6453">
            <v>34000000</v>
          </cell>
          <cell r="F6453">
            <v>34000000</v>
          </cell>
          <cell r="G6453">
            <v>34000000</v>
          </cell>
          <cell r="H6453">
            <v>34000000</v>
          </cell>
          <cell r="I6453" t="str">
            <v/>
          </cell>
          <cell r="J6453" t="str">
            <v/>
          </cell>
          <cell r="K6453" t="str">
            <v/>
          </cell>
          <cell r="L6453" t="str">
            <v/>
          </cell>
        </row>
        <row r="6454">
          <cell r="A6454">
            <v>34000000</v>
          </cell>
          <cell r="C6454">
            <v>34000000</v>
          </cell>
          <cell r="D6454">
            <v>34000000</v>
          </cell>
          <cell r="E6454">
            <v>34000000</v>
          </cell>
          <cell r="F6454">
            <v>34000000</v>
          </cell>
          <cell r="G6454">
            <v>34000000</v>
          </cell>
          <cell r="H6454">
            <v>34000000</v>
          </cell>
          <cell r="I6454" t="str">
            <v/>
          </cell>
          <cell r="J6454" t="str">
            <v/>
          </cell>
          <cell r="K6454" t="str">
            <v/>
          </cell>
          <cell r="L6454" t="str">
            <v/>
          </cell>
        </row>
        <row r="6455">
          <cell r="A6455">
            <v>34000000</v>
          </cell>
          <cell r="C6455">
            <v>34000000</v>
          </cell>
          <cell r="D6455">
            <v>34000000</v>
          </cell>
          <cell r="E6455">
            <v>34000000</v>
          </cell>
          <cell r="F6455">
            <v>34000000</v>
          </cell>
          <cell r="G6455">
            <v>34000000</v>
          </cell>
          <cell r="H6455">
            <v>34000000</v>
          </cell>
          <cell r="I6455" t="str">
            <v/>
          </cell>
          <cell r="J6455" t="str">
            <v/>
          </cell>
          <cell r="K6455" t="str">
            <v/>
          </cell>
          <cell r="L6455" t="str">
            <v/>
          </cell>
        </row>
        <row r="6456">
          <cell r="A6456">
            <v>34000000</v>
          </cell>
          <cell r="C6456">
            <v>34000000</v>
          </cell>
          <cell r="D6456">
            <v>34000000</v>
          </cell>
          <cell r="E6456">
            <v>34000000</v>
          </cell>
          <cell r="F6456">
            <v>34000000</v>
          </cell>
          <cell r="G6456">
            <v>34000000</v>
          </cell>
          <cell r="H6456">
            <v>34000000</v>
          </cell>
          <cell r="I6456" t="str">
            <v/>
          </cell>
          <cell r="J6456" t="str">
            <v/>
          </cell>
          <cell r="K6456" t="str">
            <v/>
          </cell>
          <cell r="L6456" t="str">
            <v/>
          </cell>
        </row>
        <row r="6457">
          <cell r="A6457">
            <v>34000000</v>
          </cell>
          <cell r="C6457">
            <v>34000000</v>
          </cell>
          <cell r="D6457">
            <v>34000000</v>
          </cell>
          <cell r="E6457">
            <v>34000000</v>
          </cell>
          <cell r="F6457">
            <v>34000000</v>
          </cell>
          <cell r="G6457">
            <v>34000000</v>
          </cell>
          <cell r="H6457">
            <v>34000000</v>
          </cell>
          <cell r="I6457" t="str">
            <v/>
          </cell>
          <cell r="J6457" t="str">
            <v/>
          </cell>
          <cell r="K6457" t="str">
            <v/>
          </cell>
          <cell r="L6457" t="str">
            <v/>
          </cell>
        </row>
        <row r="6458">
          <cell r="A6458">
            <v>34000000</v>
          </cell>
          <cell r="C6458">
            <v>34000000</v>
          </cell>
          <cell r="D6458">
            <v>34000000</v>
          </cell>
          <cell r="E6458">
            <v>34000000</v>
          </cell>
          <cell r="F6458">
            <v>34000000</v>
          </cell>
          <cell r="G6458">
            <v>34000000</v>
          </cell>
          <cell r="H6458">
            <v>34000000</v>
          </cell>
          <cell r="I6458" t="str">
            <v/>
          </cell>
          <cell r="J6458" t="str">
            <v/>
          </cell>
          <cell r="K6458" t="str">
            <v/>
          </cell>
          <cell r="L6458" t="str">
            <v/>
          </cell>
        </row>
        <row r="6459">
          <cell r="A6459">
            <v>34000000</v>
          </cell>
          <cell r="C6459">
            <v>34000000</v>
          </cell>
          <cell r="D6459">
            <v>34000000</v>
          </cell>
          <cell r="E6459">
            <v>34000000</v>
          </cell>
          <cell r="F6459">
            <v>34000000</v>
          </cell>
          <cell r="G6459">
            <v>34000000</v>
          </cell>
          <cell r="H6459">
            <v>34000000</v>
          </cell>
          <cell r="I6459" t="str">
            <v/>
          </cell>
          <cell r="J6459" t="str">
            <v/>
          </cell>
          <cell r="K6459" t="str">
            <v/>
          </cell>
          <cell r="L6459" t="str">
            <v/>
          </cell>
        </row>
        <row r="6460">
          <cell r="A6460">
            <v>34000000</v>
          </cell>
          <cell r="C6460">
            <v>34000000</v>
          </cell>
          <cell r="D6460">
            <v>34000000</v>
          </cell>
          <cell r="E6460">
            <v>34000000</v>
          </cell>
          <cell r="F6460">
            <v>34000000</v>
          </cell>
          <cell r="G6460">
            <v>34000000</v>
          </cell>
          <cell r="H6460">
            <v>34000000</v>
          </cell>
          <cell r="I6460" t="str">
            <v/>
          </cell>
          <cell r="J6460" t="str">
            <v/>
          </cell>
          <cell r="K6460" t="str">
            <v/>
          </cell>
          <cell r="L6460" t="str">
            <v/>
          </cell>
        </row>
        <row r="6461">
          <cell r="A6461">
            <v>34000000</v>
          </cell>
          <cell r="C6461">
            <v>34000000</v>
          </cell>
          <cell r="D6461">
            <v>34000000</v>
          </cell>
          <cell r="E6461">
            <v>34000000</v>
          </cell>
          <cell r="F6461">
            <v>34000000</v>
          </cell>
          <cell r="G6461">
            <v>34000000</v>
          </cell>
          <cell r="H6461">
            <v>34000000</v>
          </cell>
          <cell r="I6461" t="str">
            <v/>
          </cell>
          <cell r="J6461" t="str">
            <v/>
          </cell>
          <cell r="K6461" t="str">
            <v/>
          </cell>
          <cell r="L6461" t="str">
            <v/>
          </cell>
        </row>
        <row r="6462">
          <cell r="A6462">
            <v>34000000</v>
          </cell>
          <cell r="C6462">
            <v>34000000</v>
          </cell>
          <cell r="D6462">
            <v>34000000</v>
          </cell>
          <cell r="E6462">
            <v>34000000</v>
          </cell>
          <cell r="F6462">
            <v>34000000</v>
          </cell>
          <cell r="G6462">
            <v>34000000</v>
          </cell>
          <cell r="H6462">
            <v>34000000</v>
          </cell>
          <cell r="I6462" t="str">
            <v/>
          </cell>
          <cell r="J6462" t="str">
            <v/>
          </cell>
          <cell r="K6462" t="str">
            <v/>
          </cell>
          <cell r="L6462" t="str">
            <v/>
          </cell>
        </row>
        <row r="6463">
          <cell r="A6463">
            <v>34000000</v>
          </cell>
          <cell r="C6463">
            <v>34000000</v>
          </cell>
          <cell r="D6463">
            <v>34000000</v>
          </cell>
          <cell r="E6463">
            <v>34000000</v>
          </cell>
          <cell r="F6463">
            <v>34000000</v>
          </cell>
          <cell r="G6463">
            <v>34000000</v>
          </cell>
          <cell r="H6463">
            <v>34000000</v>
          </cell>
          <cell r="I6463" t="str">
            <v/>
          </cell>
          <cell r="J6463" t="str">
            <v/>
          </cell>
          <cell r="K6463" t="str">
            <v/>
          </cell>
          <cell r="L6463" t="str">
            <v/>
          </cell>
        </row>
        <row r="6464">
          <cell r="A6464">
            <v>34000000</v>
          </cell>
          <cell r="C6464">
            <v>34000000</v>
          </cell>
          <cell r="D6464">
            <v>34000000</v>
          </cell>
          <cell r="E6464">
            <v>34000000</v>
          </cell>
          <cell r="F6464">
            <v>34000000</v>
          </cell>
          <cell r="G6464">
            <v>34000000</v>
          </cell>
          <cell r="H6464">
            <v>34000000</v>
          </cell>
          <cell r="I6464" t="str">
            <v/>
          </cell>
          <cell r="J6464" t="str">
            <v/>
          </cell>
          <cell r="K6464" t="str">
            <v/>
          </cell>
          <cell r="L6464" t="str">
            <v/>
          </cell>
        </row>
        <row r="6465">
          <cell r="A6465">
            <v>34000000</v>
          </cell>
          <cell r="C6465">
            <v>34000000</v>
          </cell>
          <cell r="D6465">
            <v>34000000</v>
          </cell>
          <cell r="E6465">
            <v>34000000</v>
          </cell>
          <cell r="F6465">
            <v>34000000</v>
          </cell>
          <cell r="G6465">
            <v>34000000</v>
          </cell>
          <cell r="H6465">
            <v>34000000</v>
          </cell>
          <cell r="I6465" t="str">
            <v/>
          </cell>
          <cell r="J6465" t="str">
            <v/>
          </cell>
          <cell r="K6465" t="str">
            <v/>
          </cell>
          <cell r="L6465" t="str">
            <v/>
          </cell>
        </row>
        <row r="6466">
          <cell r="A6466">
            <v>34000000</v>
          </cell>
          <cell r="C6466">
            <v>34000000</v>
          </cell>
          <cell r="D6466">
            <v>34000000</v>
          </cell>
          <cell r="E6466">
            <v>34000000</v>
          </cell>
          <cell r="F6466">
            <v>34000000</v>
          </cell>
          <cell r="G6466">
            <v>34000000</v>
          </cell>
          <cell r="H6466">
            <v>34000000</v>
          </cell>
          <cell r="I6466" t="str">
            <v/>
          </cell>
          <cell r="J6466" t="str">
            <v/>
          </cell>
          <cell r="K6466" t="str">
            <v/>
          </cell>
          <cell r="L6466" t="str">
            <v/>
          </cell>
        </row>
        <row r="6467">
          <cell r="A6467">
            <v>34000000</v>
          </cell>
          <cell r="C6467">
            <v>34000000</v>
          </cell>
          <cell r="D6467">
            <v>34000000</v>
          </cell>
          <cell r="E6467">
            <v>34000000</v>
          </cell>
          <cell r="F6467">
            <v>34000000</v>
          </cell>
          <cell r="G6467">
            <v>34000000</v>
          </cell>
          <cell r="H6467">
            <v>34000000</v>
          </cell>
          <cell r="I6467" t="str">
            <v/>
          </cell>
          <cell r="J6467" t="str">
            <v/>
          </cell>
          <cell r="K6467" t="str">
            <v/>
          </cell>
          <cell r="L6467" t="str">
            <v/>
          </cell>
        </row>
        <row r="6468">
          <cell r="A6468">
            <v>34000000</v>
          </cell>
          <cell r="C6468">
            <v>34000000</v>
          </cell>
          <cell r="D6468">
            <v>34000000</v>
          </cell>
          <cell r="E6468">
            <v>34000000</v>
          </cell>
          <cell r="F6468">
            <v>34000000</v>
          </cell>
          <cell r="G6468">
            <v>34000000</v>
          </cell>
          <cell r="H6468">
            <v>34000000</v>
          </cell>
          <cell r="I6468" t="str">
            <v/>
          </cell>
          <cell r="J6468" t="str">
            <v/>
          </cell>
          <cell r="K6468" t="str">
            <v/>
          </cell>
          <cell r="L6468" t="str">
            <v/>
          </cell>
        </row>
        <row r="6469">
          <cell r="A6469">
            <v>34000000</v>
          </cell>
          <cell r="C6469">
            <v>34000000</v>
          </cell>
          <cell r="D6469">
            <v>34000000</v>
          </cell>
          <cell r="E6469">
            <v>34000000</v>
          </cell>
          <cell r="F6469">
            <v>34000000</v>
          </cell>
          <cell r="G6469">
            <v>34000000</v>
          </cell>
          <cell r="H6469">
            <v>34000000</v>
          </cell>
          <cell r="I6469" t="str">
            <v/>
          </cell>
          <cell r="J6469" t="str">
            <v/>
          </cell>
          <cell r="K6469" t="str">
            <v/>
          </cell>
          <cell r="L6469" t="str">
            <v/>
          </cell>
        </row>
        <row r="6470">
          <cell r="A6470">
            <v>34000000</v>
          </cell>
          <cell r="C6470">
            <v>34000000</v>
          </cell>
          <cell r="D6470">
            <v>34000000</v>
          </cell>
          <cell r="E6470">
            <v>34000000</v>
          </cell>
          <cell r="F6470">
            <v>34000000</v>
          </cell>
          <cell r="G6470">
            <v>34000000</v>
          </cell>
          <cell r="H6470">
            <v>34000000</v>
          </cell>
          <cell r="I6470" t="str">
            <v/>
          </cell>
          <cell r="J6470" t="str">
            <v/>
          </cell>
          <cell r="K6470" t="str">
            <v/>
          </cell>
          <cell r="L6470" t="str">
            <v/>
          </cell>
        </row>
        <row r="6471">
          <cell r="A6471">
            <v>34000000</v>
          </cell>
          <cell r="C6471">
            <v>34000000</v>
          </cell>
          <cell r="D6471">
            <v>34000000</v>
          </cell>
          <cell r="E6471">
            <v>34000000</v>
          </cell>
          <cell r="F6471">
            <v>34000000</v>
          </cell>
          <cell r="G6471">
            <v>34000000</v>
          </cell>
          <cell r="H6471">
            <v>34000000</v>
          </cell>
          <cell r="I6471" t="str">
            <v/>
          </cell>
          <cell r="J6471" t="str">
            <v/>
          </cell>
          <cell r="K6471" t="str">
            <v/>
          </cell>
          <cell r="L6471" t="str">
            <v/>
          </cell>
        </row>
        <row r="6472">
          <cell r="A6472">
            <v>34000000</v>
          </cell>
          <cell r="C6472">
            <v>34000000</v>
          </cell>
          <cell r="D6472">
            <v>34000000</v>
          </cell>
          <cell r="E6472">
            <v>34000000</v>
          </cell>
          <cell r="F6472">
            <v>34000000</v>
          </cell>
          <cell r="G6472">
            <v>34000000</v>
          </cell>
          <cell r="H6472">
            <v>34000000</v>
          </cell>
          <cell r="I6472" t="str">
            <v/>
          </cell>
          <cell r="J6472" t="str">
            <v/>
          </cell>
          <cell r="K6472" t="str">
            <v/>
          </cell>
          <cell r="L6472" t="str">
            <v/>
          </cell>
        </row>
        <row r="6473">
          <cell r="A6473">
            <v>34000000</v>
          </cell>
          <cell r="C6473">
            <v>34000000</v>
          </cell>
          <cell r="D6473">
            <v>34000000</v>
          </cell>
          <cell r="E6473">
            <v>34000000</v>
          </cell>
          <cell r="F6473">
            <v>34000000</v>
          </cell>
          <cell r="G6473">
            <v>34000000</v>
          </cell>
          <cell r="H6473">
            <v>34000000</v>
          </cell>
          <cell r="I6473" t="str">
            <v/>
          </cell>
          <cell r="J6473" t="str">
            <v/>
          </cell>
          <cell r="K6473" t="str">
            <v/>
          </cell>
          <cell r="L6473" t="str">
            <v/>
          </cell>
        </row>
        <row r="6474">
          <cell r="A6474">
            <v>34000000</v>
          </cell>
          <cell r="C6474">
            <v>34000000</v>
          </cell>
          <cell r="D6474">
            <v>34000000</v>
          </cell>
          <cell r="E6474">
            <v>34000000</v>
          </cell>
          <cell r="F6474">
            <v>34000000</v>
          </cell>
          <cell r="G6474">
            <v>34000000</v>
          </cell>
          <cell r="H6474">
            <v>34000000</v>
          </cell>
          <cell r="I6474" t="str">
            <v/>
          </cell>
          <cell r="J6474" t="str">
            <v/>
          </cell>
          <cell r="K6474" t="str">
            <v/>
          </cell>
          <cell r="L6474" t="str">
            <v/>
          </cell>
        </row>
        <row r="6475">
          <cell r="A6475">
            <v>34000000</v>
          </cell>
          <cell r="C6475">
            <v>34000000</v>
          </cell>
          <cell r="D6475">
            <v>34000000</v>
          </cell>
          <cell r="E6475">
            <v>34000000</v>
          </cell>
          <cell r="F6475">
            <v>34000000</v>
          </cell>
          <cell r="G6475">
            <v>34000000</v>
          </cell>
          <cell r="H6475">
            <v>34000000</v>
          </cell>
          <cell r="I6475" t="str">
            <v/>
          </cell>
          <cell r="J6475" t="str">
            <v/>
          </cell>
          <cell r="K6475" t="str">
            <v/>
          </cell>
          <cell r="L6475" t="str">
            <v/>
          </cell>
        </row>
        <row r="6476">
          <cell r="A6476">
            <v>34000000</v>
          </cell>
          <cell r="C6476">
            <v>34000000</v>
          </cell>
          <cell r="D6476">
            <v>34000000</v>
          </cell>
          <cell r="E6476">
            <v>34000000</v>
          </cell>
          <cell r="F6476">
            <v>34000000</v>
          </cell>
          <cell r="G6476">
            <v>34000000</v>
          </cell>
          <cell r="H6476">
            <v>34000000</v>
          </cell>
          <cell r="I6476" t="str">
            <v/>
          </cell>
          <cell r="J6476" t="str">
            <v/>
          </cell>
          <cell r="K6476" t="str">
            <v/>
          </cell>
          <cell r="L6476" t="str">
            <v/>
          </cell>
        </row>
        <row r="6477">
          <cell r="A6477">
            <v>34000000</v>
          </cell>
          <cell r="C6477">
            <v>34000000</v>
          </cell>
          <cell r="D6477">
            <v>34000000</v>
          </cell>
          <cell r="E6477">
            <v>34000000</v>
          </cell>
          <cell r="F6477">
            <v>34000000</v>
          </cell>
          <cell r="G6477">
            <v>34000000</v>
          </cell>
          <cell r="H6477">
            <v>34000000</v>
          </cell>
          <cell r="I6477" t="str">
            <v/>
          </cell>
          <cell r="J6477" t="str">
            <v/>
          </cell>
          <cell r="K6477" t="str">
            <v/>
          </cell>
          <cell r="L6477" t="str">
            <v/>
          </cell>
        </row>
        <row r="6478">
          <cell r="A6478">
            <v>34000000</v>
          </cell>
          <cell r="C6478">
            <v>34000000</v>
          </cell>
          <cell r="D6478">
            <v>34000000</v>
          </cell>
          <cell r="E6478">
            <v>34000000</v>
          </cell>
          <cell r="F6478">
            <v>34000000</v>
          </cell>
          <cell r="G6478">
            <v>34000000</v>
          </cell>
          <cell r="H6478">
            <v>34000000</v>
          </cell>
          <cell r="I6478" t="str">
            <v/>
          </cell>
          <cell r="J6478" t="str">
            <v/>
          </cell>
          <cell r="K6478" t="str">
            <v/>
          </cell>
          <cell r="L6478" t="str">
            <v/>
          </cell>
        </row>
        <row r="6479">
          <cell r="A6479">
            <v>34000000</v>
          </cell>
          <cell r="C6479">
            <v>34000000</v>
          </cell>
          <cell r="D6479">
            <v>34000000</v>
          </cell>
          <cell r="E6479">
            <v>34000000</v>
          </cell>
          <cell r="F6479">
            <v>34000000</v>
          </cell>
          <cell r="G6479">
            <v>34000000</v>
          </cell>
          <cell r="H6479">
            <v>34000000</v>
          </cell>
          <cell r="I6479" t="str">
            <v/>
          </cell>
          <cell r="J6479" t="str">
            <v/>
          </cell>
          <cell r="K6479" t="str">
            <v/>
          </cell>
          <cell r="L6479" t="str">
            <v/>
          </cell>
        </row>
        <row r="6480">
          <cell r="A6480">
            <v>34000000</v>
          </cell>
          <cell r="C6480">
            <v>34000000</v>
          </cell>
          <cell r="D6480">
            <v>34000000</v>
          </cell>
          <cell r="E6480">
            <v>34000000</v>
          </cell>
          <cell r="F6480">
            <v>34000000</v>
          </cell>
          <cell r="G6480">
            <v>34000000</v>
          </cell>
          <cell r="H6480">
            <v>34000000</v>
          </cell>
          <cell r="I6480" t="str">
            <v/>
          </cell>
          <cell r="J6480" t="str">
            <v/>
          </cell>
          <cell r="K6480" t="str">
            <v/>
          </cell>
          <cell r="L6480" t="str">
            <v/>
          </cell>
        </row>
        <row r="6481">
          <cell r="A6481">
            <v>34000000</v>
          </cell>
          <cell r="C6481">
            <v>34000000</v>
          </cell>
          <cell r="D6481">
            <v>34000000</v>
          </cell>
          <cell r="E6481">
            <v>34000000</v>
          </cell>
          <cell r="F6481">
            <v>34000000</v>
          </cell>
          <cell r="G6481">
            <v>34000000</v>
          </cell>
          <cell r="H6481">
            <v>34000000</v>
          </cell>
          <cell r="I6481" t="str">
            <v/>
          </cell>
          <cell r="J6481" t="str">
            <v/>
          </cell>
          <cell r="K6481" t="str">
            <v/>
          </cell>
          <cell r="L6481" t="str">
            <v/>
          </cell>
        </row>
        <row r="6482">
          <cell r="A6482">
            <v>34000000</v>
          </cell>
          <cell r="C6482">
            <v>34000000</v>
          </cell>
          <cell r="D6482">
            <v>34000000</v>
          </cell>
          <cell r="E6482">
            <v>34000000</v>
          </cell>
          <cell r="F6482">
            <v>34000000</v>
          </cell>
          <cell r="G6482">
            <v>34000000</v>
          </cell>
          <cell r="H6482">
            <v>34000000</v>
          </cell>
          <cell r="I6482" t="str">
            <v/>
          </cell>
          <cell r="J6482" t="str">
            <v/>
          </cell>
          <cell r="K6482" t="str">
            <v/>
          </cell>
          <cell r="L6482" t="str">
            <v/>
          </cell>
        </row>
        <row r="6483">
          <cell r="A6483">
            <v>34000000</v>
          </cell>
          <cell r="C6483">
            <v>34000000</v>
          </cell>
          <cell r="D6483">
            <v>34000000</v>
          </cell>
          <cell r="E6483">
            <v>34000000</v>
          </cell>
          <cell r="F6483">
            <v>34000000</v>
          </cell>
          <cell r="G6483">
            <v>34000000</v>
          </cell>
          <cell r="H6483">
            <v>34000000</v>
          </cell>
          <cell r="I6483" t="str">
            <v/>
          </cell>
          <cell r="J6483" t="str">
            <v/>
          </cell>
          <cell r="K6483" t="str">
            <v/>
          </cell>
          <cell r="L6483" t="str">
            <v/>
          </cell>
        </row>
        <row r="6484">
          <cell r="A6484">
            <v>34000000</v>
          </cell>
          <cell r="C6484">
            <v>34000000</v>
          </cell>
          <cell r="D6484">
            <v>34000000</v>
          </cell>
          <cell r="E6484">
            <v>34000000</v>
          </cell>
          <cell r="F6484">
            <v>34000000</v>
          </cell>
          <cell r="G6484">
            <v>34000000</v>
          </cell>
          <cell r="H6484">
            <v>34000000</v>
          </cell>
          <cell r="I6484" t="str">
            <v/>
          </cell>
          <cell r="J6484" t="str">
            <v/>
          </cell>
          <cell r="K6484" t="str">
            <v/>
          </cell>
          <cell r="L6484" t="str">
            <v/>
          </cell>
        </row>
        <row r="6485">
          <cell r="A6485">
            <v>34000000</v>
          </cell>
          <cell r="C6485">
            <v>34000000</v>
          </cell>
          <cell r="D6485">
            <v>34000000</v>
          </cell>
          <cell r="E6485">
            <v>34000000</v>
          </cell>
          <cell r="F6485">
            <v>34000000</v>
          </cell>
          <cell r="G6485">
            <v>34000000</v>
          </cell>
          <cell r="H6485">
            <v>34000000</v>
          </cell>
          <cell r="I6485" t="str">
            <v/>
          </cell>
          <cell r="J6485" t="str">
            <v/>
          </cell>
          <cell r="K6485" t="str">
            <v/>
          </cell>
          <cell r="L6485" t="str">
            <v/>
          </cell>
        </row>
        <row r="6486">
          <cell r="A6486">
            <v>34000000</v>
          </cell>
          <cell r="C6486">
            <v>34000000</v>
          </cell>
          <cell r="D6486">
            <v>34000000</v>
          </cell>
          <cell r="E6486">
            <v>34000000</v>
          </cell>
          <cell r="F6486">
            <v>34000000</v>
          </cell>
          <cell r="G6486">
            <v>34000000</v>
          </cell>
          <cell r="H6486">
            <v>34000000</v>
          </cell>
          <cell r="I6486" t="str">
            <v/>
          </cell>
          <cell r="J6486" t="str">
            <v/>
          </cell>
          <cell r="K6486" t="str">
            <v/>
          </cell>
          <cell r="L6486" t="str">
            <v/>
          </cell>
        </row>
        <row r="6487">
          <cell r="A6487">
            <v>34000000</v>
          </cell>
          <cell r="C6487">
            <v>34000000</v>
          </cell>
          <cell r="D6487">
            <v>34000000</v>
          </cell>
          <cell r="E6487">
            <v>34000000</v>
          </cell>
          <cell r="F6487">
            <v>34000000</v>
          </cell>
          <cell r="G6487">
            <v>34000000</v>
          </cell>
          <cell r="H6487">
            <v>34000000</v>
          </cell>
          <cell r="I6487" t="str">
            <v/>
          </cell>
          <cell r="J6487" t="str">
            <v/>
          </cell>
          <cell r="K6487" t="str">
            <v/>
          </cell>
          <cell r="L6487" t="str">
            <v/>
          </cell>
        </row>
        <row r="6488">
          <cell r="A6488">
            <v>34000000</v>
          </cell>
          <cell r="C6488">
            <v>34000000</v>
          </cell>
          <cell r="D6488">
            <v>34000000</v>
          </cell>
          <cell r="E6488">
            <v>34000000</v>
          </cell>
          <cell r="F6488">
            <v>34000000</v>
          </cell>
          <cell r="G6488">
            <v>34000000</v>
          </cell>
          <cell r="H6488">
            <v>34000000</v>
          </cell>
          <cell r="I6488" t="str">
            <v/>
          </cell>
          <cell r="J6488" t="str">
            <v/>
          </cell>
          <cell r="K6488" t="str">
            <v/>
          </cell>
          <cell r="L6488" t="str">
            <v/>
          </cell>
        </row>
        <row r="6489">
          <cell r="A6489">
            <v>34000000</v>
          </cell>
          <cell r="C6489">
            <v>34000000</v>
          </cell>
          <cell r="D6489">
            <v>34000000</v>
          </cell>
          <cell r="E6489">
            <v>34000000</v>
          </cell>
          <cell r="F6489">
            <v>34000000</v>
          </cell>
          <cell r="G6489">
            <v>34000000</v>
          </cell>
          <cell r="H6489">
            <v>34000000</v>
          </cell>
          <cell r="I6489" t="str">
            <v/>
          </cell>
          <cell r="J6489" t="str">
            <v/>
          </cell>
          <cell r="K6489" t="str">
            <v/>
          </cell>
          <cell r="L6489" t="str">
            <v/>
          </cell>
        </row>
        <row r="6490">
          <cell r="A6490">
            <v>34000000</v>
          </cell>
          <cell r="C6490">
            <v>34000000</v>
          </cell>
          <cell r="D6490">
            <v>34000000</v>
          </cell>
          <cell r="E6490">
            <v>34000000</v>
          </cell>
          <cell r="F6490">
            <v>34000000</v>
          </cell>
          <cell r="G6490">
            <v>34000000</v>
          </cell>
          <cell r="H6490">
            <v>34000000</v>
          </cell>
          <cell r="I6490" t="str">
            <v/>
          </cell>
          <cell r="J6490" t="str">
            <v/>
          </cell>
          <cell r="K6490" t="str">
            <v/>
          </cell>
          <cell r="L6490" t="str">
            <v/>
          </cell>
        </row>
        <row r="6491">
          <cell r="A6491">
            <v>34000000</v>
          </cell>
          <cell r="C6491">
            <v>34000000</v>
          </cell>
          <cell r="D6491">
            <v>34000000</v>
          </cell>
          <cell r="E6491">
            <v>34000000</v>
          </cell>
          <cell r="F6491">
            <v>34000000</v>
          </cell>
          <cell r="G6491">
            <v>34000000</v>
          </cell>
          <cell r="H6491">
            <v>34000000</v>
          </cell>
          <cell r="I6491" t="str">
            <v/>
          </cell>
          <cell r="J6491" t="str">
            <v/>
          </cell>
          <cell r="K6491" t="str">
            <v/>
          </cell>
          <cell r="L6491" t="str">
            <v/>
          </cell>
        </row>
        <row r="6492">
          <cell r="A6492">
            <v>34000000</v>
          </cell>
          <cell r="C6492">
            <v>34000000</v>
          </cell>
          <cell r="D6492">
            <v>34000000</v>
          </cell>
          <cell r="E6492">
            <v>34000000</v>
          </cell>
          <cell r="F6492">
            <v>34000000</v>
          </cell>
          <cell r="G6492">
            <v>34000000</v>
          </cell>
          <cell r="H6492">
            <v>34000000</v>
          </cell>
          <cell r="I6492" t="str">
            <v/>
          </cell>
          <cell r="J6492" t="str">
            <v/>
          </cell>
          <cell r="K6492" t="str">
            <v/>
          </cell>
          <cell r="L6492" t="str">
            <v/>
          </cell>
        </row>
        <row r="6493">
          <cell r="A6493">
            <v>34000000</v>
          </cell>
          <cell r="C6493">
            <v>34000000</v>
          </cell>
          <cell r="D6493">
            <v>34000000</v>
          </cell>
          <cell r="E6493">
            <v>34000000</v>
          </cell>
          <cell r="F6493">
            <v>34000000</v>
          </cell>
          <cell r="G6493">
            <v>34000000</v>
          </cell>
          <cell r="H6493">
            <v>34000000</v>
          </cell>
          <cell r="I6493" t="str">
            <v/>
          </cell>
          <cell r="J6493" t="str">
            <v/>
          </cell>
          <cell r="K6493" t="str">
            <v/>
          </cell>
          <cell r="L6493" t="str">
            <v/>
          </cell>
        </row>
        <row r="6494">
          <cell r="A6494">
            <v>34000000</v>
          </cell>
          <cell r="C6494">
            <v>34000000</v>
          </cell>
          <cell r="D6494">
            <v>34000000</v>
          </cell>
          <cell r="E6494">
            <v>34000000</v>
          </cell>
          <cell r="F6494">
            <v>34000000</v>
          </cell>
          <cell r="G6494">
            <v>34000000</v>
          </cell>
          <cell r="H6494">
            <v>34000000</v>
          </cell>
          <cell r="I6494" t="str">
            <v/>
          </cell>
          <cell r="J6494" t="str">
            <v/>
          </cell>
          <cell r="K6494" t="str">
            <v/>
          </cell>
          <cell r="L6494" t="str">
            <v/>
          </cell>
        </row>
        <row r="6495">
          <cell r="A6495">
            <v>34000000</v>
          </cell>
          <cell r="C6495">
            <v>34000000</v>
          </cell>
          <cell r="D6495">
            <v>34000000</v>
          </cell>
          <cell r="E6495">
            <v>34000000</v>
          </cell>
          <cell r="F6495">
            <v>34000000</v>
          </cell>
          <cell r="G6495">
            <v>34000000</v>
          </cell>
          <cell r="H6495">
            <v>34000000</v>
          </cell>
          <cell r="I6495" t="str">
            <v/>
          </cell>
          <cell r="J6495" t="str">
            <v/>
          </cell>
          <cell r="K6495" t="str">
            <v/>
          </cell>
          <cell r="L6495" t="str">
            <v/>
          </cell>
        </row>
        <row r="6496">
          <cell r="A6496">
            <v>34000000</v>
          </cell>
          <cell r="C6496">
            <v>34000000</v>
          </cell>
          <cell r="D6496">
            <v>34000000</v>
          </cell>
          <cell r="E6496">
            <v>34000000</v>
          </cell>
          <cell r="F6496">
            <v>34000000</v>
          </cell>
          <cell r="G6496">
            <v>34000000</v>
          </cell>
          <cell r="H6496">
            <v>34000000</v>
          </cell>
          <cell r="I6496" t="str">
            <v/>
          </cell>
          <cell r="J6496" t="str">
            <v/>
          </cell>
          <cell r="K6496" t="str">
            <v/>
          </cell>
          <cell r="L6496" t="str">
            <v/>
          </cell>
        </row>
        <row r="6497">
          <cell r="A6497">
            <v>34000000</v>
          </cell>
          <cell r="C6497">
            <v>34000000</v>
          </cell>
          <cell r="D6497">
            <v>34000000</v>
          </cell>
          <cell r="E6497">
            <v>34000000</v>
          </cell>
          <cell r="F6497">
            <v>34000000</v>
          </cell>
          <cell r="G6497">
            <v>34000000</v>
          </cell>
          <cell r="H6497">
            <v>34000000</v>
          </cell>
          <cell r="I6497" t="str">
            <v/>
          </cell>
          <cell r="J6497" t="str">
            <v/>
          </cell>
          <cell r="K6497" t="str">
            <v/>
          </cell>
          <cell r="L6497" t="str">
            <v/>
          </cell>
        </row>
        <row r="6498">
          <cell r="A6498">
            <v>34000000</v>
          </cell>
          <cell r="C6498">
            <v>34000000</v>
          </cell>
          <cell r="D6498">
            <v>34000000</v>
          </cell>
          <cell r="E6498">
            <v>34000000</v>
          </cell>
          <cell r="F6498">
            <v>34000000</v>
          </cell>
          <cell r="G6498">
            <v>34000000</v>
          </cell>
          <cell r="H6498">
            <v>34000000</v>
          </cell>
          <cell r="I6498" t="str">
            <v/>
          </cell>
          <cell r="J6498" t="str">
            <v/>
          </cell>
          <cell r="K6498" t="str">
            <v/>
          </cell>
          <cell r="L6498" t="str">
            <v/>
          </cell>
        </row>
        <row r="6499">
          <cell r="A6499">
            <v>34000000</v>
          </cell>
          <cell r="C6499">
            <v>34000000</v>
          </cell>
          <cell r="D6499">
            <v>34000000</v>
          </cell>
          <cell r="E6499">
            <v>34000000</v>
          </cell>
          <cell r="F6499">
            <v>34000000</v>
          </cell>
          <cell r="G6499">
            <v>34000000</v>
          </cell>
          <cell r="H6499">
            <v>34000000</v>
          </cell>
          <cell r="I6499" t="str">
            <v/>
          </cell>
          <cell r="J6499" t="str">
            <v/>
          </cell>
          <cell r="K6499" t="str">
            <v/>
          </cell>
          <cell r="L6499" t="str">
            <v/>
          </cell>
        </row>
        <row r="6500">
          <cell r="A6500">
            <v>34000000</v>
          </cell>
          <cell r="C6500">
            <v>34000000</v>
          </cell>
          <cell r="D6500">
            <v>34000000</v>
          </cell>
          <cell r="E6500">
            <v>34000000</v>
          </cell>
          <cell r="F6500">
            <v>34000000</v>
          </cell>
          <cell r="G6500">
            <v>34000000</v>
          </cell>
          <cell r="H6500">
            <v>34000000</v>
          </cell>
          <cell r="I6500" t="str">
            <v/>
          </cell>
          <cell r="J6500" t="str">
            <v/>
          </cell>
          <cell r="K6500" t="str">
            <v/>
          </cell>
          <cell r="L6500" t="str">
            <v/>
          </cell>
        </row>
        <row r="6501">
          <cell r="A6501">
            <v>34000000</v>
          </cell>
          <cell r="C6501">
            <v>34000000</v>
          </cell>
          <cell r="D6501">
            <v>34000000</v>
          </cell>
          <cell r="E6501">
            <v>34000000</v>
          </cell>
          <cell r="F6501">
            <v>34000000</v>
          </cell>
          <cell r="G6501">
            <v>34000000</v>
          </cell>
          <cell r="H6501">
            <v>34000000</v>
          </cell>
          <cell r="I6501" t="str">
            <v/>
          </cell>
          <cell r="J6501" t="str">
            <v/>
          </cell>
          <cell r="K6501" t="str">
            <v/>
          </cell>
          <cell r="L6501" t="str">
            <v/>
          </cell>
        </row>
        <row r="6502">
          <cell r="A6502">
            <v>34000000</v>
          </cell>
          <cell r="C6502">
            <v>34000000</v>
          </cell>
          <cell r="D6502">
            <v>34000000</v>
          </cell>
          <cell r="E6502">
            <v>34000000</v>
          </cell>
          <cell r="F6502">
            <v>34000000</v>
          </cell>
          <cell r="G6502">
            <v>34000000</v>
          </cell>
          <cell r="H6502">
            <v>34000000</v>
          </cell>
          <cell r="I6502" t="str">
            <v/>
          </cell>
          <cell r="J6502" t="str">
            <v/>
          </cell>
          <cell r="K6502" t="str">
            <v/>
          </cell>
          <cell r="L6502" t="str">
            <v/>
          </cell>
        </row>
        <row r="6503">
          <cell r="A6503">
            <v>34000000</v>
          </cell>
          <cell r="C6503">
            <v>34000000</v>
          </cell>
          <cell r="D6503">
            <v>34000000</v>
          </cell>
          <cell r="E6503">
            <v>34000000</v>
          </cell>
          <cell r="F6503">
            <v>34000000</v>
          </cell>
          <cell r="G6503">
            <v>34000000</v>
          </cell>
          <cell r="H6503">
            <v>34000000</v>
          </cell>
          <cell r="I6503" t="str">
            <v/>
          </cell>
          <cell r="J6503" t="str">
            <v/>
          </cell>
          <cell r="K6503" t="str">
            <v/>
          </cell>
          <cell r="L6503" t="str">
            <v/>
          </cell>
        </row>
        <row r="6504">
          <cell r="A6504">
            <v>34000000</v>
          </cell>
          <cell r="C6504">
            <v>34000000</v>
          </cell>
          <cell r="D6504">
            <v>34000000</v>
          </cell>
          <cell r="E6504">
            <v>34000000</v>
          </cell>
          <cell r="F6504">
            <v>34000000</v>
          </cell>
          <cell r="G6504">
            <v>34000000</v>
          </cell>
          <cell r="H6504">
            <v>34000000</v>
          </cell>
          <cell r="I6504" t="str">
            <v/>
          </cell>
          <cell r="J6504" t="str">
            <v/>
          </cell>
          <cell r="K6504" t="str">
            <v/>
          </cell>
          <cell r="L6504" t="str">
            <v/>
          </cell>
        </row>
        <row r="6505">
          <cell r="A6505">
            <v>34000000</v>
          </cell>
          <cell r="C6505">
            <v>34000000</v>
          </cell>
          <cell r="D6505">
            <v>34000000</v>
          </cell>
          <cell r="E6505">
            <v>34000000</v>
          </cell>
          <cell r="F6505">
            <v>34000000</v>
          </cell>
          <cell r="G6505">
            <v>34000000</v>
          </cell>
          <cell r="H6505">
            <v>34000000</v>
          </cell>
          <cell r="I6505" t="str">
            <v/>
          </cell>
          <cell r="J6505" t="str">
            <v/>
          </cell>
          <cell r="K6505" t="str">
            <v/>
          </cell>
          <cell r="L6505" t="str">
            <v/>
          </cell>
        </row>
        <row r="6506">
          <cell r="A6506">
            <v>34000000</v>
          </cell>
          <cell r="C6506">
            <v>34000000</v>
          </cell>
          <cell r="D6506">
            <v>34000000</v>
          </cell>
          <cell r="E6506">
            <v>34000000</v>
          </cell>
          <cell r="F6506">
            <v>34000000</v>
          </cell>
          <cell r="G6506">
            <v>34000000</v>
          </cell>
          <cell r="H6506">
            <v>34000000</v>
          </cell>
          <cell r="I6506" t="str">
            <v/>
          </cell>
          <cell r="J6506" t="str">
            <v/>
          </cell>
          <cell r="K6506" t="str">
            <v/>
          </cell>
          <cell r="L6506" t="str">
            <v/>
          </cell>
        </row>
        <row r="6507">
          <cell r="A6507">
            <v>34000000</v>
          </cell>
          <cell r="C6507">
            <v>34000000</v>
          </cell>
          <cell r="D6507">
            <v>34000000</v>
          </cell>
          <cell r="E6507">
            <v>34000000</v>
          </cell>
          <cell r="F6507">
            <v>34000000</v>
          </cell>
          <cell r="G6507">
            <v>34000000</v>
          </cell>
          <cell r="H6507">
            <v>34000000</v>
          </cell>
          <cell r="I6507" t="str">
            <v/>
          </cell>
          <cell r="J6507" t="str">
            <v/>
          </cell>
          <cell r="K6507" t="str">
            <v/>
          </cell>
          <cell r="L6507" t="str">
            <v/>
          </cell>
        </row>
        <row r="6508">
          <cell r="A6508">
            <v>34000000</v>
          </cell>
          <cell r="C6508">
            <v>34000000</v>
          </cell>
          <cell r="D6508">
            <v>34000000</v>
          </cell>
          <cell r="E6508">
            <v>34000000</v>
          </cell>
          <cell r="F6508">
            <v>34000000</v>
          </cell>
          <cell r="G6508">
            <v>34000000</v>
          </cell>
          <cell r="H6508">
            <v>34000000</v>
          </cell>
          <cell r="I6508" t="str">
            <v/>
          </cell>
          <cell r="J6508" t="str">
            <v/>
          </cell>
          <cell r="K6508" t="str">
            <v/>
          </cell>
          <cell r="L6508" t="str">
            <v/>
          </cell>
        </row>
        <row r="6509">
          <cell r="A6509">
            <v>34000000</v>
          </cell>
          <cell r="C6509">
            <v>34000000</v>
          </cell>
          <cell r="D6509">
            <v>34000000</v>
          </cell>
          <cell r="E6509">
            <v>34000000</v>
          </cell>
          <cell r="F6509">
            <v>34000000</v>
          </cell>
          <cell r="G6509">
            <v>34000000</v>
          </cell>
          <cell r="H6509">
            <v>34000000</v>
          </cell>
          <cell r="I6509" t="str">
            <v/>
          </cell>
          <cell r="J6509" t="str">
            <v/>
          </cell>
          <cell r="K6509" t="str">
            <v/>
          </cell>
          <cell r="L6509" t="str">
            <v/>
          </cell>
        </row>
        <row r="6510">
          <cell r="A6510">
            <v>34000000</v>
          </cell>
          <cell r="C6510">
            <v>34000000</v>
          </cell>
          <cell r="D6510">
            <v>34000000</v>
          </cell>
          <cell r="E6510">
            <v>34000000</v>
          </cell>
          <cell r="F6510">
            <v>34000000</v>
          </cell>
          <cell r="G6510">
            <v>34000000</v>
          </cell>
          <cell r="H6510">
            <v>34000000</v>
          </cell>
          <cell r="I6510" t="str">
            <v/>
          </cell>
          <cell r="J6510" t="str">
            <v/>
          </cell>
          <cell r="K6510" t="str">
            <v/>
          </cell>
          <cell r="L6510" t="str">
            <v/>
          </cell>
        </row>
        <row r="6511">
          <cell r="A6511">
            <v>34000000</v>
          </cell>
          <cell r="C6511">
            <v>34000000</v>
          </cell>
          <cell r="D6511">
            <v>34000000</v>
          </cell>
          <cell r="E6511">
            <v>34000000</v>
          </cell>
          <cell r="F6511">
            <v>34000000</v>
          </cell>
          <cell r="G6511">
            <v>34000000</v>
          </cell>
          <cell r="H6511">
            <v>34000000</v>
          </cell>
          <cell r="I6511" t="str">
            <v/>
          </cell>
          <cell r="J6511" t="str">
            <v/>
          </cell>
          <cell r="K6511" t="str">
            <v/>
          </cell>
          <cell r="L6511" t="str">
            <v/>
          </cell>
        </row>
        <row r="6512">
          <cell r="A6512">
            <v>34000000</v>
          </cell>
          <cell r="C6512">
            <v>34000000</v>
          </cell>
          <cell r="D6512">
            <v>34000000</v>
          </cell>
          <cell r="E6512">
            <v>34000000</v>
          </cell>
          <cell r="F6512">
            <v>34000000</v>
          </cell>
          <cell r="G6512">
            <v>34000000</v>
          </cell>
          <cell r="H6512">
            <v>34000000</v>
          </cell>
          <cell r="I6512" t="str">
            <v/>
          </cell>
          <cell r="J6512" t="str">
            <v/>
          </cell>
          <cell r="K6512" t="str">
            <v/>
          </cell>
          <cell r="L6512" t="str">
            <v/>
          </cell>
        </row>
        <row r="6513">
          <cell r="A6513">
            <v>34000000</v>
          </cell>
          <cell r="C6513">
            <v>34000000</v>
          </cell>
          <cell r="D6513">
            <v>34000000</v>
          </cell>
          <cell r="E6513">
            <v>34000000</v>
          </cell>
          <cell r="F6513">
            <v>34000000</v>
          </cell>
          <cell r="G6513">
            <v>34000000</v>
          </cell>
          <cell r="H6513">
            <v>34000000</v>
          </cell>
          <cell r="I6513" t="str">
            <v/>
          </cell>
          <cell r="J6513" t="str">
            <v/>
          </cell>
          <cell r="K6513" t="str">
            <v/>
          </cell>
          <cell r="L6513" t="str">
            <v/>
          </cell>
        </row>
        <row r="6514">
          <cell r="A6514">
            <v>34000000</v>
          </cell>
          <cell r="C6514">
            <v>34000000</v>
          </cell>
          <cell r="D6514">
            <v>34000000</v>
          </cell>
          <cell r="E6514">
            <v>34000000</v>
          </cell>
          <cell r="F6514">
            <v>34000000</v>
          </cell>
          <cell r="G6514">
            <v>34000000</v>
          </cell>
          <cell r="H6514">
            <v>34000000</v>
          </cell>
          <cell r="I6514" t="str">
            <v/>
          </cell>
          <cell r="J6514" t="str">
            <v/>
          </cell>
          <cell r="K6514" t="str">
            <v/>
          </cell>
          <cell r="L6514" t="str">
            <v/>
          </cell>
        </row>
        <row r="6515">
          <cell r="A6515">
            <v>34000000</v>
          </cell>
          <cell r="C6515">
            <v>34000000</v>
          </cell>
          <cell r="D6515">
            <v>34000000</v>
          </cell>
          <cell r="E6515">
            <v>34000000</v>
          </cell>
          <cell r="F6515">
            <v>34000000</v>
          </cell>
          <cell r="G6515">
            <v>34000000</v>
          </cell>
          <cell r="H6515">
            <v>34000000</v>
          </cell>
          <cell r="I6515" t="str">
            <v/>
          </cell>
          <cell r="J6515" t="str">
            <v/>
          </cell>
          <cell r="K6515" t="str">
            <v/>
          </cell>
          <cell r="L6515" t="str">
            <v/>
          </cell>
        </row>
        <row r="6516">
          <cell r="A6516">
            <v>34000000</v>
          </cell>
          <cell r="C6516">
            <v>34000000</v>
          </cell>
          <cell r="D6516">
            <v>34000000</v>
          </cell>
          <cell r="E6516">
            <v>34000000</v>
          </cell>
          <cell r="F6516">
            <v>34000000</v>
          </cell>
          <cell r="G6516">
            <v>34000000</v>
          </cell>
          <cell r="H6516">
            <v>34000000</v>
          </cell>
          <cell r="I6516" t="str">
            <v/>
          </cell>
          <cell r="J6516" t="str">
            <v/>
          </cell>
          <cell r="K6516" t="str">
            <v/>
          </cell>
          <cell r="L6516" t="str">
            <v/>
          </cell>
        </row>
        <row r="6517">
          <cell r="A6517">
            <v>34000000</v>
          </cell>
          <cell r="C6517">
            <v>34000000</v>
          </cell>
          <cell r="D6517">
            <v>34000000</v>
          </cell>
          <cell r="E6517">
            <v>34000000</v>
          </cell>
          <cell r="F6517">
            <v>34000000</v>
          </cell>
          <cell r="G6517">
            <v>34000000</v>
          </cell>
          <cell r="H6517">
            <v>34000000</v>
          </cell>
          <cell r="I6517" t="str">
            <v/>
          </cell>
          <cell r="J6517" t="str">
            <v/>
          </cell>
          <cell r="K6517" t="str">
            <v/>
          </cell>
          <cell r="L6517" t="str">
            <v/>
          </cell>
        </row>
        <row r="6518">
          <cell r="A6518">
            <v>34000000</v>
          </cell>
          <cell r="C6518">
            <v>34000000</v>
          </cell>
          <cell r="D6518">
            <v>34000000</v>
          </cell>
          <cell r="E6518">
            <v>34000000</v>
          </cell>
          <cell r="F6518">
            <v>34000000</v>
          </cell>
          <cell r="G6518">
            <v>34000000</v>
          </cell>
          <cell r="H6518">
            <v>34000000</v>
          </cell>
          <cell r="I6518" t="str">
            <v/>
          </cell>
          <cell r="J6518" t="str">
            <v/>
          </cell>
          <cell r="K6518" t="str">
            <v/>
          </cell>
          <cell r="L6518" t="str">
            <v/>
          </cell>
        </row>
        <row r="6519">
          <cell r="A6519">
            <v>34000000</v>
          </cell>
          <cell r="C6519">
            <v>34000000</v>
          </cell>
          <cell r="D6519">
            <v>34000000</v>
          </cell>
          <cell r="E6519">
            <v>34000000</v>
          </cell>
          <cell r="F6519">
            <v>34000000</v>
          </cell>
          <cell r="G6519">
            <v>34000000</v>
          </cell>
          <cell r="H6519">
            <v>34000000</v>
          </cell>
          <cell r="I6519" t="str">
            <v/>
          </cell>
          <cell r="J6519" t="str">
            <v/>
          </cell>
          <cell r="K6519" t="str">
            <v/>
          </cell>
          <cell r="L6519" t="str">
            <v/>
          </cell>
        </row>
        <row r="6520">
          <cell r="A6520">
            <v>34000000</v>
          </cell>
          <cell r="C6520">
            <v>34000000</v>
          </cell>
          <cell r="D6520">
            <v>34000000</v>
          </cell>
          <cell r="E6520">
            <v>34000000</v>
          </cell>
          <cell r="F6520">
            <v>34000000</v>
          </cell>
          <cell r="G6520">
            <v>34000000</v>
          </cell>
          <cell r="H6520">
            <v>34000000</v>
          </cell>
          <cell r="I6520" t="str">
            <v/>
          </cell>
          <cell r="J6520" t="str">
            <v/>
          </cell>
          <cell r="K6520" t="str">
            <v/>
          </cell>
          <cell r="L6520" t="str">
            <v/>
          </cell>
        </row>
        <row r="6521">
          <cell r="A6521">
            <v>34000000</v>
          </cell>
          <cell r="C6521">
            <v>34000000</v>
          </cell>
          <cell r="D6521">
            <v>34000000</v>
          </cell>
          <cell r="E6521">
            <v>34000000</v>
          </cell>
          <cell r="F6521">
            <v>34000000</v>
          </cell>
          <cell r="G6521">
            <v>34000000</v>
          </cell>
          <cell r="H6521">
            <v>34000000</v>
          </cell>
          <cell r="I6521" t="str">
            <v/>
          </cell>
          <cell r="J6521" t="str">
            <v/>
          </cell>
          <cell r="K6521" t="str">
            <v/>
          </cell>
          <cell r="L6521" t="str">
            <v/>
          </cell>
        </row>
        <row r="6522">
          <cell r="A6522">
            <v>34000000</v>
          </cell>
          <cell r="C6522">
            <v>34000000</v>
          </cell>
          <cell r="D6522">
            <v>34000000</v>
          </cell>
          <cell r="E6522">
            <v>34000000</v>
          </cell>
          <cell r="F6522">
            <v>34000000</v>
          </cell>
          <cell r="G6522">
            <v>34000000</v>
          </cell>
          <cell r="H6522">
            <v>34000000</v>
          </cell>
          <cell r="I6522" t="str">
            <v/>
          </cell>
          <cell r="J6522" t="str">
            <v/>
          </cell>
          <cell r="K6522" t="str">
            <v/>
          </cell>
          <cell r="L6522" t="str">
            <v/>
          </cell>
        </row>
        <row r="6523">
          <cell r="A6523">
            <v>34000000</v>
          </cell>
          <cell r="C6523">
            <v>34000000</v>
          </cell>
          <cell r="D6523">
            <v>34000000</v>
          </cell>
          <cell r="E6523">
            <v>34000000</v>
          </cell>
          <cell r="F6523">
            <v>34000000</v>
          </cell>
          <cell r="G6523">
            <v>34000000</v>
          </cell>
          <cell r="H6523">
            <v>34000000</v>
          </cell>
          <cell r="I6523" t="str">
            <v/>
          </cell>
          <cell r="J6523" t="str">
            <v/>
          </cell>
          <cell r="K6523" t="str">
            <v/>
          </cell>
          <cell r="L6523" t="str">
            <v/>
          </cell>
        </row>
        <row r="6524">
          <cell r="A6524">
            <v>34000000</v>
          </cell>
          <cell r="C6524">
            <v>34000000</v>
          </cell>
          <cell r="D6524">
            <v>34000000</v>
          </cell>
          <cell r="E6524">
            <v>34000000</v>
          </cell>
          <cell r="F6524">
            <v>34000000</v>
          </cell>
          <cell r="G6524">
            <v>34000000</v>
          </cell>
          <cell r="H6524">
            <v>34000000</v>
          </cell>
          <cell r="I6524" t="str">
            <v/>
          </cell>
          <cell r="J6524" t="str">
            <v/>
          </cell>
          <cell r="K6524" t="str">
            <v/>
          </cell>
          <cell r="L6524" t="str">
            <v/>
          </cell>
        </row>
        <row r="6525">
          <cell r="A6525">
            <v>34000000</v>
          </cell>
          <cell r="C6525">
            <v>34000000</v>
          </cell>
          <cell r="D6525">
            <v>34000000</v>
          </cell>
          <cell r="E6525">
            <v>34000000</v>
          </cell>
          <cell r="F6525">
            <v>34000000</v>
          </cell>
          <cell r="G6525">
            <v>34000000</v>
          </cell>
          <cell r="H6525">
            <v>34000000</v>
          </cell>
          <cell r="I6525" t="str">
            <v/>
          </cell>
          <cell r="J6525" t="str">
            <v/>
          </cell>
          <cell r="K6525" t="str">
            <v/>
          </cell>
          <cell r="L6525" t="str">
            <v/>
          </cell>
        </row>
        <row r="6526">
          <cell r="A6526">
            <v>34000000</v>
          </cell>
          <cell r="C6526">
            <v>34000000</v>
          </cell>
          <cell r="D6526">
            <v>34000000</v>
          </cell>
          <cell r="E6526">
            <v>34000000</v>
          </cell>
          <cell r="F6526">
            <v>34000000</v>
          </cell>
          <cell r="G6526">
            <v>34000000</v>
          </cell>
          <cell r="H6526">
            <v>34000000</v>
          </cell>
          <cell r="I6526" t="str">
            <v/>
          </cell>
          <cell r="J6526" t="str">
            <v/>
          </cell>
          <cell r="K6526" t="str">
            <v/>
          </cell>
          <cell r="L6526" t="str">
            <v/>
          </cell>
        </row>
        <row r="6527">
          <cell r="A6527">
            <v>34000000</v>
          </cell>
          <cell r="C6527">
            <v>34000000</v>
          </cell>
          <cell r="D6527">
            <v>34000000</v>
          </cell>
          <cell r="E6527">
            <v>34000000</v>
          </cell>
          <cell r="F6527">
            <v>34000000</v>
          </cell>
          <cell r="G6527">
            <v>34000000</v>
          </cell>
          <cell r="H6527">
            <v>34000000</v>
          </cell>
          <cell r="I6527" t="str">
            <v/>
          </cell>
          <cell r="J6527" t="str">
            <v/>
          </cell>
          <cell r="K6527" t="str">
            <v/>
          </cell>
          <cell r="L6527" t="str">
            <v/>
          </cell>
        </row>
        <row r="6528">
          <cell r="A6528">
            <v>34000000</v>
          </cell>
          <cell r="C6528">
            <v>34000000</v>
          </cell>
          <cell r="D6528">
            <v>34000000</v>
          </cell>
          <cell r="E6528">
            <v>34000000</v>
          </cell>
          <cell r="F6528">
            <v>34000000</v>
          </cell>
          <cell r="G6528">
            <v>34000000</v>
          </cell>
          <cell r="H6528">
            <v>34000000</v>
          </cell>
          <cell r="I6528" t="str">
            <v/>
          </cell>
          <cell r="J6528" t="str">
            <v/>
          </cell>
          <cell r="K6528" t="str">
            <v/>
          </cell>
          <cell r="L6528" t="str">
            <v/>
          </cell>
        </row>
        <row r="6529">
          <cell r="A6529">
            <v>34000000</v>
          </cell>
          <cell r="C6529">
            <v>34000000</v>
          </cell>
          <cell r="D6529">
            <v>34000000</v>
          </cell>
          <cell r="E6529">
            <v>34000000</v>
          </cell>
          <cell r="F6529">
            <v>34000000</v>
          </cell>
          <cell r="G6529">
            <v>34000000</v>
          </cell>
          <cell r="H6529">
            <v>34000000</v>
          </cell>
          <cell r="I6529" t="str">
            <v/>
          </cell>
          <cell r="J6529" t="str">
            <v/>
          </cell>
          <cell r="K6529" t="str">
            <v/>
          </cell>
          <cell r="L6529" t="str">
            <v/>
          </cell>
        </row>
        <row r="6530">
          <cell r="A6530">
            <v>34000000</v>
          </cell>
          <cell r="C6530">
            <v>34000000</v>
          </cell>
          <cell r="D6530">
            <v>34000000</v>
          </cell>
          <cell r="E6530">
            <v>34000000</v>
          </cell>
          <cell r="F6530">
            <v>34000000</v>
          </cell>
          <cell r="G6530">
            <v>34000000</v>
          </cell>
          <cell r="H6530">
            <v>34000000</v>
          </cell>
          <cell r="I6530" t="str">
            <v/>
          </cell>
          <cell r="J6530" t="str">
            <v/>
          </cell>
          <cell r="K6530" t="str">
            <v/>
          </cell>
          <cell r="L6530" t="str">
            <v/>
          </cell>
        </row>
        <row r="6531">
          <cell r="A6531">
            <v>34000000</v>
          </cell>
          <cell r="C6531">
            <v>34000000</v>
          </cell>
          <cell r="D6531">
            <v>34000000</v>
          </cell>
          <cell r="E6531">
            <v>34000000</v>
          </cell>
          <cell r="F6531">
            <v>34000000</v>
          </cell>
          <cell r="G6531">
            <v>34000000</v>
          </cell>
          <cell r="H6531">
            <v>34000000</v>
          </cell>
          <cell r="I6531" t="str">
            <v/>
          </cell>
          <cell r="J6531" t="str">
            <v/>
          </cell>
          <cell r="K6531" t="str">
            <v/>
          </cell>
          <cell r="L6531" t="str">
            <v/>
          </cell>
        </row>
        <row r="6532">
          <cell r="A6532">
            <v>34000000</v>
          </cell>
          <cell r="C6532">
            <v>34000000</v>
          </cell>
          <cell r="D6532">
            <v>34000000</v>
          </cell>
          <cell r="E6532">
            <v>34000000</v>
          </cell>
          <cell r="F6532">
            <v>34000000</v>
          </cell>
          <cell r="G6532">
            <v>34000000</v>
          </cell>
          <cell r="H6532">
            <v>34000000</v>
          </cell>
          <cell r="I6532" t="str">
            <v/>
          </cell>
          <cell r="J6532" t="str">
            <v/>
          </cell>
          <cell r="K6532" t="str">
            <v/>
          </cell>
          <cell r="L6532" t="str">
            <v/>
          </cell>
        </row>
        <row r="6533">
          <cell r="A6533">
            <v>34000000</v>
          </cell>
          <cell r="C6533">
            <v>34000000</v>
          </cell>
          <cell r="D6533">
            <v>34000000</v>
          </cell>
          <cell r="E6533">
            <v>34000000</v>
          </cell>
          <cell r="F6533">
            <v>34000000</v>
          </cell>
          <cell r="G6533">
            <v>34000000</v>
          </cell>
          <cell r="H6533">
            <v>34000000</v>
          </cell>
          <cell r="I6533" t="str">
            <v/>
          </cell>
          <cell r="J6533" t="str">
            <v/>
          </cell>
          <cell r="K6533" t="str">
            <v/>
          </cell>
          <cell r="L6533" t="str">
            <v/>
          </cell>
        </row>
        <row r="6534">
          <cell r="A6534">
            <v>34000000</v>
          </cell>
          <cell r="C6534">
            <v>34000000</v>
          </cell>
          <cell r="D6534">
            <v>34000000</v>
          </cell>
          <cell r="E6534">
            <v>34000000</v>
          </cell>
          <cell r="F6534">
            <v>34000000</v>
          </cell>
          <cell r="G6534">
            <v>34000000</v>
          </cell>
          <cell r="H6534">
            <v>34000000</v>
          </cell>
          <cell r="I6534" t="str">
            <v/>
          </cell>
          <cell r="J6534" t="str">
            <v/>
          </cell>
          <cell r="K6534" t="str">
            <v/>
          </cell>
          <cell r="L6534" t="str">
            <v/>
          </cell>
        </row>
        <row r="6535">
          <cell r="A6535">
            <v>34000000</v>
          </cell>
          <cell r="C6535">
            <v>34000000</v>
          </cell>
          <cell r="D6535">
            <v>34000000</v>
          </cell>
          <cell r="E6535">
            <v>34000000</v>
          </cell>
          <cell r="F6535">
            <v>34000000</v>
          </cell>
          <cell r="G6535">
            <v>34000000</v>
          </cell>
          <cell r="H6535">
            <v>34000000</v>
          </cell>
          <cell r="I6535" t="str">
            <v/>
          </cell>
          <cell r="J6535" t="str">
            <v/>
          </cell>
          <cell r="K6535" t="str">
            <v/>
          </cell>
          <cell r="L6535" t="str">
            <v/>
          </cell>
        </row>
        <row r="6536">
          <cell r="A6536">
            <v>34000000</v>
          </cell>
          <cell r="C6536">
            <v>34000000</v>
          </cell>
          <cell r="D6536">
            <v>34000000</v>
          </cell>
          <cell r="E6536">
            <v>34000000</v>
          </cell>
          <cell r="F6536">
            <v>34000000</v>
          </cell>
          <cell r="G6536">
            <v>34000000</v>
          </cell>
          <cell r="H6536">
            <v>34000000</v>
          </cell>
          <cell r="I6536" t="str">
            <v/>
          </cell>
          <cell r="J6536" t="str">
            <v/>
          </cell>
          <cell r="K6536" t="str">
            <v/>
          </cell>
          <cell r="L6536" t="str">
            <v/>
          </cell>
        </row>
        <row r="6537">
          <cell r="A6537">
            <v>34000000</v>
          </cell>
          <cell r="C6537">
            <v>34000000</v>
          </cell>
          <cell r="D6537">
            <v>34000000</v>
          </cell>
          <cell r="E6537">
            <v>34000000</v>
          </cell>
          <cell r="F6537">
            <v>34000000</v>
          </cell>
          <cell r="G6537">
            <v>34000000</v>
          </cell>
          <cell r="H6537">
            <v>34000000</v>
          </cell>
          <cell r="I6537" t="str">
            <v/>
          </cell>
          <cell r="J6537" t="str">
            <v/>
          </cell>
          <cell r="K6537" t="str">
            <v/>
          </cell>
          <cell r="L6537" t="str">
            <v/>
          </cell>
        </row>
        <row r="6538">
          <cell r="A6538">
            <v>34000000</v>
          </cell>
          <cell r="C6538">
            <v>34000000</v>
          </cell>
          <cell r="D6538">
            <v>34000000</v>
          </cell>
          <cell r="E6538">
            <v>34000000</v>
          </cell>
          <cell r="F6538">
            <v>34000000</v>
          </cell>
          <cell r="G6538">
            <v>34000000</v>
          </cell>
          <cell r="H6538">
            <v>34000000</v>
          </cell>
          <cell r="I6538" t="str">
            <v/>
          </cell>
          <cell r="J6538" t="str">
            <v/>
          </cell>
          <cell r="K6538" t="str">
            <v/>
          </cell>
          <cell r="L6538" t="str">
            <v/>
          </cell>
        </row>
        <row r="6539">
          <cell r="A6539">
            <v>34000000</v>
          </cell>
          <cell r="C6539">
            <v>34000000</v>
          </cell>
          <cell r="D6539">
            <v>34000000</v>
          </cell>
          <cell r="E6539">
            <v>34000000</v>
          </cell>
          <cell r="F6539">
            <v>34000000</v>
          </cell>
          <cell r="G6539">
            <v>34000000</v>
          </cell>
          <cell r="H6539">
            <v>34000000</v>
          </cell>
          <cell r="I6539" t="str">
            <v/>
          </cell>
          <cell r="J6539" t="str">
            <v/>
          </cell>
          <cell r="K6539" t="str">
            <v/>
          </cell>
          <cell r="L6539" t="str">
            <v/>
          </cell>
        </row>
        <row r="6540">
          <cell r="A6540">
            <v>34000000</v>
          </cell>
          <cell r="C6540">
            <v>34000000</v>
          </cell>
          <cell r="D6540">
            <v>34000000</v>
          </cell>
          <cell r="E6540">
            <v>34000000</v>
          </cell>
          <cell r="F6540">
            <v>34000000</v>
          </cell>
          <cell r="G6540">
            <v>34000000</v>
          </cell>
          <cell r="H6540">
            <v>34000000</v>
          </cell>
          <cell r="I6540" t="str">
            <v/>
          </cell>
          <cell r="J6540" t="str">
            <v/>
          </cell>
          <cell r="K6540" t="str">
            <v/>
          </cell>
          <cell r="L6540" t="str">
            <v/>
          </cell>
        </row>
        <row r="6541">
          <cell r="A6541">
            <v>34000000</v>
          </cell>
          <cell r="C6541">
            <v>34000000</v>
          </cell>
          <cell r="D6541">
            <v>34000000</v>
          </cell>
          <cell r="E6541">
            <v>34000000</v>
          </cell>
          <cell r="F6541">
            <v>34000000</v>
          </cell>
          <cell r="G6541">
            <v>34000000</v>
          </cell>
          <cell r="H6541">
            <v>34000000</v>
          </cell>
          <cell r="I6541" t="str">
            <v/>
          </cell>
          <cell r="J6541" t="str">
            <v/>
          </cell>
          <cell r="K6541" t="str">
            <v/>
          </cell>
          <cell r="L6541" t="str">
            <v/>
          </cell>
        </row>
        <row r="6542">
          <cell r="A6542">
            <v>34000000</v>
          </cell>
          <cell r="C6542">
            <v>34000000</v>
          </cell>
          <cell r="D6542">
            <v>34000000</v>
          </cell>
          <cell r="E6542">
            <v>34000000</v>
          </cell>
          <cell r="F6542">
            <v>34000000</v>
          </cell>
          <cell r="G6542">
            <v>34000000</v>
          </cell>
          <cell r="H6542">
            <v>34000000</v>
          </cell>
          <cell r="I6542" t="str">
            <v/>
          </cell>
          <cell r="J6542" t="str">
            <v/>
          </cell>
          <cell r="K6542" t="str">
            <v/>
          </cell>
          <cell r="L6542" t="str">
            <v/>
          </cell>
        </row>
        <row r="6543">
          <cell r="A6543">
            <v>34000000</v>
          </cell>
          <cell r="C6543">
            <v>34000000</v>
          </cell>
          <cell r="D6543">
            <v>34000000</v>
          </cell>
          <cell r="E6543">
            <v>34000000</v>
          </cell>
          <cell r="F6543">
            <v>34000000</v>
          </cell>
          <cell r="G6543">
            <v>34000000</v>
          </cell>
          <cell r="H6543">
            <v>34000000</v>
          </cell>
          <cell r="I6543" t="str">
            <v/>
          </cell>
          <cell r="J6543" t="str">
            <v/>
          </cell>
          <cell r="K6543" t="str">
            <v/>
          </cell>
          <cell r="L6543" t="str">
            <v/>
          </cell>
        </row>
        <row r="6544">
          <cell r="A6544">
            <v>34000000</v>
          </cell>
          <cell r="C6544">
            <v>34000000</v>
          </cell>
          <cell r="D6544">
            <v>34000000</v>
          </cell>
          <cell r="E6544">
            <v>34000000</v>
          </cell>
          <cell r="F6544">
            <v>34000000</v>
          </cell>
          <cell r="G6544">
            <v>34000000</v>
          </cell>
          <cell r="H6544">
            <v>34000000</v>
          </cell>
          <cell r="I6544" t="str">
            <v/>
          </cell>
          <cell r="J6544" t="str">
            <v/>
          </cell>
          <cell r="K6544" t="str">
            <v/>
          </cell>
          <cell r="L6544" t="str">
            <v/>
          </cell>
        </row>
        <row r="6545">
          <cell r="A6545">
            <v>34000000</v>
          </cell>
          <cell r="C6545">
            <v>34000000</v>
          </cell>
          <cell r="D6545">
            <v>34000000</v>
          </cell>
          <cell r="E6545">
            <v>34000000</v>
          </cell>
          <cell r="F6545">
            <v>34000000</v>
          </cell>
          <cell r="G6545">
            <v>34000000</v>
          </cell>
          <cell r="H6545">
            <v>34000000</v>
          </cell>
          <cell r="I6545" t="str">
            <v/>
          </cell>
          <cell r="J6545" t="str">
            <v/>
          </cell>
          <cell r="K6545" t="str">
            <v/>
          </cell>
          <cell r="L6545" t="str">
            <v/>
          </cell>
        </row>
        <row r="6546">
          <cell r="A6546">
            <v>34000000</v>
          </cell>
          <cell r="C6546">
            <v>34000000</v>
          </cell>
          <cell r="D6546">
            <v>34000000</v>
          </cell>
          <cell r="E6546">
            <v>34000000</v>
          </cell>
          <cell r="F6546">
            <v>34000000</v>
          </cell>
          <cell r="G6546">
            <v>34000000</v>
          </cell>
          <cell r="H6546">
            <v>34000000</v>
          </cell>
          <cell r="I6546" t="str">
            <v/>
          </cell>
          <cell r="J6546" t="str">
            <v/>
          </cell>
          <cell r="K6546" t="str">
            <v/>
          </cell>
          <cell r="L6546" t="str">
            <v/>
          </cell>
        </row>
        <row r="6547">
          <cell r="A6547">
            <v>34000000</v>
          </cell>
          <cell r="C6547">
            <v>34000000</v>
          </cell>
          <cell r="D6547">
            <v>34000000</v>
          </cell>
          <cell r="E6547">
            <v>34000000</v>
          </cell>
          <cell r="F6547">
            <v>34000000</v>
          </cell>
          <cell r="G6547">
            <v>34000000</v>
          </cell>
          <cell r="H6547">
            <v>34000000</v>
          </cell>
          <cell r="I6547" t="str">
            <v/>
          </cell>
          <cell r="J6547" t="str">
            <v/>
          </cell>
          <cell r="K6547" t="str">
            <v/>
          </cell>
          <cell r="L6547" t="str">
            <v/>
          </cell>
        </row>
        <row r="6548">
          <cell r="A6548">
            <v>34000000</v>
          </cell>
          <cell r="C6548">
            <v>34000000</v>
          </cell>
          <cell r="D6548">
            <v>34000000</v>
          </cell>
          <cell r="E6548">
            <v>34000000</v>
          </cell>
          <cell r="F6548">
            <v>34000000</v>
          </cell>
          <cell r="G6548">
            <v>34000000</v>
          </cell>
          <cell r="H6548">
            <v>34000000</v>
          </cell>
          <cell r="I6548" t="str">
            <v/>
          </cell>
          <cell r="J6548" t="str">
            <v/>
          </cell>
          <cell r="K6548" t="str">
            <v/>
          </cell>
          <cell r="L6548" t="str">
            <v/>
          </cell>
        </row>
        <row r="6549">
          <cell r="A6549">
            <v>34000000</v>
          </cell>
          <cell r="C6549">
            <v>34000000</v>
          </cell>
          <cell r="D6549">
            <v>34000000</v>
          </cell>
          <cell r="E6549">
            <v>34000000</v>
          </cell>
          <cell r="F6549">
            <v>34000000</v>
          </cell>
          <cell r="G6549">
            <v>34000000</v>
          </cell>
          <cell r="H6549">
            <v>34000000</v>
          </cell>
          <cell r="I6549" t="str">
            <v/>
          </cell>
          <cell r="J6549" t="str">
            <v/>
          </cell>
          <cell r="K6549" t="str">
            <v/>
          </cell>
          <cell r="L6549" t="str">
            <v/>
          </cell>
        </row>
        <row r="6550">
          <cell r="A6550">
            <v>34000000</v>
          </cell>
          <cell r="C6550">
            <v>34000000</v>
          </cell>
          <cell r="D6550">
            <v>34000000</v>
          </cell>
          <cell r="E6550">
            <v>34000000</v>
          </cell>
          <cell r="F6550">
            <v>34000000</v>
          </cell>
          <cell r="G6550">
            <v>34000000</v>
          </cell>
          <cell r="H6550">
            <v>34000000</v>
          </cell>
          <cell r="I6550" t="str">
            <v/>
          </cell>
          <cell r="J6550" t="str">
            <v/>
          </cell>
          <cell r="K6550" t="str">
            <v/>
          </cell>
          <cell r="L6550" t="str">
            <v/>
          </cell>
        </row>
        <row r="6551">
          <cell r="A6551">
            <v>34000000</v>
          </cell>
          <cell r="C6551">
            <v>34000000</v>
          </cell>
          <cell r="D6551">
            <v>34000000</v>
          </cell>
          <cell r="E6551">
            <v>34000000</v>
          </cell>
          <cell r="F6551">
            <v>34000000</v>
          </cell>
          <cell r="G6551">
            <v>34000000</v>
          </cell>
          <cell r="H6551">
            <v>34000000</v>
          </cell>
          <cell r="I6551" t="str">
            <v/>
          </cell>
          <cell r="J6551" t="str">
            <v/>
          </cell>
          <cell r="K6551" t="str">
            <v/>
          </cell>
          <cell r="L6551" t="str">
            <v/>
          </cell>
        </row>
        <row r="6552">
          <cell r="A6552">
            <v>34000000</v>
          </cell>
          <cell r="C6552">
            <v>34000000</v>
          </cell>
          <cell r="D6552">
            <v>34000000</v>
          </cell>
          <cell r="E6552">
            <v>34000000</v>
          </cell>
          <cell r="F6552">
            <v>34000000</v>
          </cell>
          <cell r="G6552">
            <v>34000000</v>
          </cell>
          <cell r="H6552">
            <v>34000000</v>
          </cell>
          <cell r="I6552" t="str">
            <v/>
          </cell>
          <cell r="J6552" t="str">
            <v/>
          </cell>
          <cell r="K6552" t="str">
            <v/>
          </cell>
          <cell r="L6552" t="str">
            <v/>
          </cell>
        </row>
        <row r="6553">
          <cell r="A6553">
            <v>34000000</v>
          </cell>
          <cell r="C6553">
            <v>34000000</v>
          </cell>
          <cell r="D6553">
            <v>34000000</v>
          </cell>
          <cell r="E6553">
            <v>34000000</v>
          </cell>
          <cell r="F6553">
            <v>34000000</v>
          </cell>
          <cell r="G6553">
            <v>34000000</v>
          </cell>
          <cell r="H6553">
            <v>34000000</v>
          </cell>
          <cell r="I6553" t="str">
            <v/>
          </cell>
          <cell r="J6553" t="str">
            <v/>
          </cell>
          <cell r="K6553" t="str">
            <v/>
          </cell>
          <cell r="L6553" t="str">
            <v/>
          </cell>
        </row>
        <row r="6554">
          <cell r="A6554">
            <v>34000000</v>
          </cell>
          <cell r="C6554">
            <v>34000000</v>
          </cell>
          <cell r="D6554">
            <v>34000000</v>
          </cell>
          <cell r="E6554">
            <v>34000000</v>
          </cell>
          <cell r="F6554">
            <v>34000000</v>
          </cell>
          <cell r="G6554">
            <v>34000000</v>
          </cell>
          <cell r="H6554">
            <v>34000000</v>
          </cell>
          <cell r="I6554" t="str">
            <v/>
          </cell>
          <cell r="J6554" t="str">
            <v/>
          </cell>
          <cell r="K6554" t="str">
            <v/>
          </cell>
          <cell r="L6554" t="str">
            <v/>
          </cell>
        </row>
        <row r="6555">
          <cell r="A6555">
            <v>34000000</v>
          </cell>
          <cell r="C6555">
            <v>34000000</v>
          </cell>
          <cell r="D6555">
            <v>34000000</v>
          </cell>
          <cell r="E6555">
            <v>34000000</v>
          </cell>
          <cell r="F6555">
            <v>34000000</v>
          </cell>
          <cell r="G6555">
            <v>34000000</v>
          </cell>
          <cell r="H6555">
            <v>34000000</v>
          </cell>
          <cell r="I6555" t="str">
            <v/>
          </cell>
          <cell r="J6555" t="str">
            <v/>
          </cell>
          <cell r="K6555" t="str">
            <v/>
          </cell>
          <cell r="L6555" t="str">
            <v/>
          </cell>
        </row>
        <row r="6556">
          <cell r="A6556">
            <v>34000000</v>
          </cell>
          <cell r="C6556">
            <v>34000000</v>
          </cell>
          <cell r="D6556">
            <v>34000000</v>
          </cell>
          <cell r="E6556">
            <v>34000000</v>
          </cell>
          <cell r="F6556">
            <v>34000000</v>
          </cell>
          <cell r="G6556">
            <v>34000000</v>
          </cell>
          <cell r="H6556">
            <v>34000000</v>
          </cell>
          <cell r="I6556" t="str">
            <v/>
          </cell>
          <cell r="J6556" t="str">
            <v/>
          </cell>
          <cell r="K6556" t="str">
            <v/>
          </cell>
          <cell r="L6556" t="str">
            <v/>
          </cell>
        </row>
        <row r="6557">
          <cell r="A6557">
            <v>34000000</v>
          </cell>
          <cell r="C6557">
            <v>34000000</v>
          </cell>
          <cell r="D6557">
            <v>34000000</v>
          </cell>
          <cell r="E6557">
            <v>34000000</v>
          </cell>
          <cell r="F6557">
            <v>34000000</v>
          </cell>
          <cell r="G6557">
            <v>34000000</v>
          </cell>
          <cell r="H6557">
            <v>34000000</v>
          </cell>
          <cell r="I6557" t="str">
            <v/>
          </cell>
          <cell r="J6557" t="str">
            <v/>
          </cell>
          <cell r="K6557" t="str">
            <v/>
          </cell>
          <cell r="L6557" t="str">
            <v/>
          </cell>
        </row>
        <row r="6558">
          <cell r="A6558">
            <v>34000000</v>
          </cell>
          <cell r="C6558">
            <v>34000000</v>
          </cell>
          <cell r="D6558">
            <v>34000000</v>
          </cell>
          <cell r="E6558">
            <v>34000000</v>
          </cell>
          <cell r="F6558">
            <v>34000000</v>
          </cell>
          <cell r="G6558">
            <v>34000000</v>
          </cell>
          <cell r="H6558">
            <v>34000000</v>
          </cell>
          <cell r="I6558" t="str">
            <v/>
          </cell>
          <cell r="J6558" t="str">
            <v/>
          </cell>
          <cell r="K6558" t="str">
            <v/>
          </cell>
          <cell r="L6558" t="str">
            <v/>
          </cell>
        </row>
        <row r="6559">
          <cell r="A6559">
            <v>34000000</v>
          </cell>
          <cell r="C6559">
            <v>34000000</v>
          </cell>
          <cell r="D6559">
            <v>34000000</v>
          </cell>
          <cell r="E6559">
            <v>34000000</v>
          </cell>
          <cell r="F6559">
            <v>34000000</v>
          </cell>
          <cell r="G6559">
            <v>34000000</v>
          </cell>
          <cell r="H6559">
            <v>34000000</v>
          </cell>
          <cell r="I6559" t="str">
            <v/>
          </cell>
          <cell r="J6559" t="str">
            <v/>
          </cell>
          <cell r="K6559" t="str">
            <v/>
          </cell>
          <cell r="L6559" t="str">
            <v/>
          </cell>
        </row>
        <row r="6560">
          <cell r="A6560">
            <v>34000000</v>
          </cell>
          <cell r="C6560">
            <v>34000000</v>
          </cell>
          <cell r="D6560">
            <v>34000000</v>
          </cell>
          <cell r="E6560">
            <v>34000000</v>
          </cell>
          <cell r="F6560">
            <v>34000000</v>
          </cell>
          <cell r="G6560">
            <v>34000000</v>
          </cell>
          <cell r="H6560">
            <v>34000000</v>
          </cell>
          <cell r="I6560" t="str">
            <v/>
          </cell>
          <cell r="J6560" t="str">
            <v/>
          </cell>
          <cell r="K6560" t="str">
            <v/>
          </cell>
          <cell r="L6560" t="str">
            <v/>
          </cell>
        </row>
        <row r="6561">
          <cell r="A6561">
            <v>34000000</v>
          </cell>
          <cell r="C6561">
            <v>34000000</v>
          </cell>
          <cell r="D6561">
            <v>34000000</v>
          </cell>
          <cell r="E6561">
            <v>34000000</v>
          </cell>
          <cell r="F6561">
            <v>34000000</v>
          </cell>
          <cell r="G6561">
            <v>34000000</v>
          </cell>
          <cell r="H6561">
            <v>34000000</v>
          </cell>
          <cell r="I6561" t="str">
            <v/>
          </cell>
          <cell r="J6561" t="str">
            <v/>
          </cell>
          <cell r="K6561" t="str">
            <v/>
          </cell>
          <cell r="L6561" t="str">
            <v/>
          </cell>
        </row>
        <row r="6562">
          <cell r="A6562">
            <v>34000000</v>
          </cell>
          <cell r="C6562">
            <v>34000000</v>
          </cell>
          <cell r="D6562">
            <v>34000000</v>
          </cell>
          <cell r="E6562">
            <v>34000000</v>
          </cell>
          <cell r="F6562">
            <v>34000000</v>
          </cell>
          <cell r="G6562">
            <v>34000000</v>
          </cell>
          <cell r="H6562">
            <v>34000000</v>
          </cell>
          <cell r="I6562" t="str">
            <v/>
          </cell>
          <cell r="J6562" t="str">
            <v/>
          </cell>
          <cell r="K6562" t="str">
            <v/>
          </cell>
          <cell r="L6562" t="str">
            <v/>
          </cell>
        </row>
        <row r="6563">
          <cell r="A6563">
            <v>34000000</v>
          </cell>
          <cell r="C6563">
            <v>34000000</v>
          </cell>
          <cell r="D6563">
            <v>34000000</v>
          </cell>
          <cell r="E6563">
            <v>34000000</v>
          </cell>
          <cell r="F6563">
            <v>34000000</v>
          </cell>
          <cell r="G6563">
            <v>34000000</v>
          </cell>
          <cell r="H6563">
            <v>34000000</v>
          </cell>
          <cell r="I6563" t="str">
            <v/>
          </cell>
          <cell r="J6563" t="str">
            <v/>
          </cell>
          <cell r="K6563" t="str">
            <v/>
          </cell>
          <cell r="L6563" t="str">
            <v/>
          </cell>
        </row>
        <row r="6564">
          <cell r="A6564">
            <v>34000000</v>
          </cell>
          <cell r="C6564">
            <v>34000000</v>
          </cell>
          <cell r="D6564">
            <v>34000000</v>
          </cell>
          <cell r="E6564">
            <v>34000000</v>
          </cell>
          <cell r="F6564">
            <v>34000000</v>
          </cell>
          <cell r="G6564">
            <v>34000000</v>
          </cell>
          <cell r="H6564">
            <v>34000000</v>
          </cell>
          <cell r="I6564" t="str">
            <v/>
          </cell>
          <cell r="J6564" t="str">
            <v/>
          </cell>
          <cell r="K6564" t="str">
            <v/>
          </cell>
          <cell r="L6564" t="str">
            <v/>
          </cell>
        </row>
        <row r="6565">
          <cell r="A6565">
            <v>34000000</v>
          </cell>
          <cell r="C6565">
            <v>34000000</v>
          </cell>
          <cell r="D6565">
            <v>34000000</v>
          </cell>
          <cell r="E6565">
            <v>34000000</v>
          </cell>
          <cell r="F6565">
            <v>34000000</v>
          </cell>
          <cell r="G6565">
            <v>34000000</v>
          </cell>
          <cell r="H6565">
            <v>34000000</v>
          </cell>
          <cell r="I6565" t="str">
            <v/>
          </cell>
          <cell r="J6565" t="str">
            <v/>
          </cell>
          <cell r="K6565" t="str">
            <v/>
          </cell>
          <cell r="L6565" t="str">
            <v/>
          </cell>
        </row>
        <row r="6566">
          <cell r="A6566">
            <v>34000000</v>
          </cell>
          <cell r="C6566">
            <v>34000000</v>
          </cell>
          <cell r="D6566">
            <v>34000000</v>
          </cell>
          <cell r="E6566">
            <v>34000000</v>
          </cell>
          <cell r="F6566">
            <v>34000000</v>
          </cell>
          <cell r="G6566">
            <v>34000000</v>
          </cell>
          <cell r="H6566">
            <v>34000000</v>
          </cell>
          <cell r="I6566" t="str">
            <v/>
          </cell>
          <cell r="J6566" t="str">
            <v/>
          </cell>
          <cell r="K6566" t="str">
            <v/>
          </cell>
          <cell r="L6566" t="str">
            <v/>
          </cell>
        </row>
        <row r="6567">
          <cell r="A6567">
            <v>34000000</v>
          </cell>
          <cell r="C6567">
            <v>34000000</v>
          </cell>
          <cell r="D6567">
            <v>34000000</v>
          </cell>
          <cell r="E6567">
            <v>34000000</v>
          </cell>
          <cell r="F6567">
            <v>34000000</v>
          </cell>
          <cell r="G6567">
            <v>34000000</v>
          </cell>
          <cell r="H6567">
            <v>34000000</v>
          </cell>
          <cell r="I6567" t="str">
            <v/>
          </cell>
          <cell r="J6567" t="str">
            <v/>
          </cell>
          <cell r="K6567" t="str">
            <v/>
          </cell>
          <cell r="L6567" t="str">
            <v/>
          </cell>
        </row>
        <row r="6568">
          <cell r="A6568">
            <v>34000000</v>
          </cell>
          <cell r="C6568">
            <v>34000000</v>
          </cell>
          <cell r="D6568">
            <v>34000000</v>
          </cell>
          <cell r="E6568">
            <v>34000000</v>
          </cell>
          <cell r="F6568">
            <v>34000000</v>
          </cell>
          <cell r="G6568">
            <v>34000000</v>
          </cell>
          <cell r="H6568">
            <v>34000000</v>
          </cell>
          <cell r="I6568" t="str">
            <v/>
          </cell>
          <cell r="J6568" t="str">
            <v/>
          </cell>
          <cell r="K6568" t="str">
            <v/>
          </cell>
          <cell r="L6568" t="str">
            <v/>
          </cell>
        </row>
        <row r="6569">
          <cell r="A6569">
            <v>34000000</v>
          </cell>
          <cell r="C6569">
            <v>34000000</v>
          </cell>
          <cell r="D6569">
            <v>34000000</v>
          </cell>
          <cell r="E6569">
            <v>34000000</v>
          </cell>
          <cell r="F6569">
            <v>34000000</v>
          </cell>
          <cell r="G6569">
            <v>34000000</v>
          </cell>
          <cell r="H6569">
            <v>34000000</v>
          </cell>
          <cell r="I6569" t="str">
            <v/>
          </cell>
          <cell r="J6569" t="str">
            <v/>
          </cell>
          <cell r="K6569" t="str">
            <v/>
          </cell>
          <cell r="L6569" t="str">
            <v/>
          </cell>
        </row>
        <row r="6570">
          <cell r="A6570">
            <v>34000000</v>
          </cell>
          <cell r="C6570">
            <v>34000000</v>
          </cell>
          <cell r="D6570">
            <v>34000000</v>
          </cell>
          <cell r="E6570">
            <v>34000000</v>
          </cell>
          <cell r="F6570">
            <v>34000000</v>
          </cell>
          <cell r="G6570">
            <v>34000000</v>
          </cell>
          <cell r="H6570">
            <v>34000000</v>
          </cell>
          <cell r="I6570" t="str">
            <v/>
          </cell>
          <cell r="J6570" t="str">
            <v/>
          </cell>
          <cell r="K6570" t="str">
            <v/>
          </cell>
          <cell r="L6570" t="str">
            <v/>
          </cell>
        </row>
        <row r="6571">
          <cell r="A6571">
            <v>34000000</v>
          </cell>
          <cell r="C6571">
            <v>34000000</v>
          </cell>
          <cell r="D6571">
            <v>34000000</v>
          </cell>
          <cell r="E6571">
            <v>34000000</v>
          </cell>
          <cell r="F6571">
            <v>34000000</v>
          </cell>
          <cell r="G6571">
            <v>34000000</v>
          </cell>
          <cell r="H6571">
            <v>34000000</v>
          </cell>
          <cell r="I6571" t="str">
            <v/>
          </cell>
          <cell r="J6571" t="str">
            <v/>
          </cell>
          <cell r="K6571" t="str">
            <v/>
          </cell>
          <cell r="L6571" t="str">
            <v/>
          </cell>
        </row>
        <row r="6572">
          <cell r="A6572">
            <v>34000000</v>
          </cell>
          <cell r="C6572">
            <v>34000000</v>
          </cell>
          <cell r="D6572">
            <v>34000000</v>
          </cell>
          <cell r="E6572">
            <v>34000000</v>
          </cell>
          <cell r="F6572">
            <v>34000000</v>
          </cell>
          <cell r="G6572">
            <v>34000000</v>
          </cell>
          <cell r="H6572">
            <v>34000000</v>
          </cell>
          <cell r="I6572" t="str">
            <v/>
          </cell>
          <cell r="J6572" t="str">
            <v/>
          </cell>
          <cell r="K6572" t="str">
            <v/>
          </cell>
          <cell r="L6572" t="str">
            <v/>
          </cell>
        </row>
        <row r="6573">
          <cell r="A6573">
            <v>34000000</v>
          </cell>
          <cell r="C6573">
            <v>34000000</v>
          </cell>
          <cell r="D6573">
            <v>34000000</v>
          </cell>
          <cell r="E6573">
            <v>34000000</v>
          </cell>
          <cell r="F6573">
            <v>34000000</v>
          </cell>
          <cell r="G6573">
            <v>34000000</v>
          </cell>
          <cell r="H6573">
            <v>34000000</v>
          </cell>
          <cell r="I6573" t="str">
            <v/>
          </cell>
          <cell r="J6573" t="str">
            <v/>
          </cell>
          <cell r="K6573" t="str">
            <v/>
          </cell>
          <cell r="L6573" t="str">
            <v/>
          </cell>
        </row>
        <row r="6574">
          <cell r="A6574">
            <v>34000000</v>
          </cell>
          <cell r="C6574">
            <v>34000000</v>
          </cell>
          <cell r="D6574">
            <v>34000000</v>
          </cell>
          <cell r="E6574">
            <v>34000000</v>
          </cell>
          <cell r="F6574">
            <v>34000000</v>
          </cell>
          <cell r="G6574">
            <v>34000000</v>
          </cell>
          <cell r="H6574">
            <v>34000000</v>
          </cell>
          <cell r="I6574" t="str">
            <v/>
          </cell>
          <cell r="J6574" t="str">
            <v/>
          </cell>
          <cell r="K6574" t="str">
            <v/>
          </cell>
          <cell r="L6574" t="str">
            <v/>
          </cell>
        </row>
        <row r="6575">
          <cell r="A6575">
            <v>34000000</v>
          </cell>
          <cell r="C6575">
            <v>34000000</v>
          </cell>
          <cell r="D6575">
            <v>34000000</v>
          </cell>
          <cell r="E6575">
            <v>34000000</v>
          </cell>
          <cell r="F6575">
            <v>34000000</v>
          </cell>
          <cell r="G6575">
            <v>34000000</v>
          </cell>
          <cell r="H6575">
            <v>34000000</v>
          </cell>
          <cell r="I6575" t="str">
            <v/>
          </cell>
          <cell r="J6575" t="str">
            <v/>
          </cell>
          <cell r="K6575" t="str">
            <v/>
          </cell>
          <cell r="L6575" t="str">
            <v/>
          </cell>
        </row>
        <row r="6576">
          <cell r="A6576">
            <v>34000000</v>
          </cell>
          <cell r="C6576">
            <v>34000000</v>
          </cell>
          <cell r="D6576">
            <v>34000000</v>
          </cell>
          <cell r="E6576">
            <v>34000000</v>
          </cell>
          <cell r="F6576">
            <v>34000000</v>
          </cell>
          <cell r="G6576">
            <v>34000000</v>
          </cell>
          <cell r="H6576">
            <v>34000000</v>
          </cell>
          <cell r="I6576" t="str">
            <v/>
          </cell>
          <cell r="J6576" t="str">
            <v/>
          </cell>
          <cell r="K6576" t="str">
            <v/>
          </cell>
          <cell r="L6576" t="str">
            <v/>
          </cell>
        </row>
        <row r="6577">
          <cell r="A6577">
            <v>34000000</v>
          </cell>
          <cell r="C6577">
            <v>34000000</v>
          </cell>
          <cell r="D6577">
            <v>34000000</v>
          </cell>
          <cell r="E6577">
            <v>34000000</v>
          </cell>
          <cell r="F6577">
            <v>34000000</v>
          </cell>
          <cell r="G6577">
            <v>34000000</v>
          </cell>
          <cell r="H6577">
            <v>34000000</v>
          </cell>
          <cell r="I6577" t="str">
            <v/>
          </cell>
          <cell r="J6577" t="str">
            <v/>
          </cell>
          <cell r="K6577" t="str">
            <v/>
          </cell>
          <cell r="L6577" t="str">
            <v/>
          </cell>
        </row>
        <row r="6578">
          <cell r="A6578">
            <v>34000000</v>
          </cell>
          <cell r="C6578">
            <v>34000000</v>
          </cell>
          <cell r="D6578">
            <v>34000000</v>
          </cell>
          <cell r="E6578">
            <v>34000000</v>
          </cell>
          <cell r="F6578">
            <v>34000000</v>
          </cell>
          <cell r="G6578">
            <v>34000000</v>
          </cell>
          <cell r="H6578">
            <v>34000000</v>
          </cell>
          <cell r="I6578" t="str">
            <v/>
          </cell>
          <cell r="J6578" t="str">
            <v/>
          </cell>
          <cell r="K6578" t="str">
            <v/>
          </cell>
          <cell r="L6578" t="str">
            <v/>
          </cell>
        </row>
        <row r="6579">
          <cell r="A6579">
            <v>34000000</v>
          </cell>
          <cell r="C6579">
            <v>34000000</v>
          </cell>
          <cell r="D6579">
            <v>34000000</v>
          </cell>
          <cell r="E6579">
            <v>34000000</v>
          </cell>
          <cell r="F6579">
            <v>34000000</v>
          </cell>
          <cell r="G6579">
            <v>34000000</v>
          </cell>
          <cell r="H6579">
            <v>34000000</v>
          </cell>
          <cell r="I6579" t="str">
            <v/>
          </cell>
          <cell r="J6579" t="str">
            <v/>
          </cell>
          <cell r="K6579" t="str">
            <v/>
          </cell>
          <cell r="L6579" t="str">
            <v/>
          </cell>
        </row>
        <row r="6580">
          <cell r="A6580">
            <v>34000000</v>
          </cell>
          <cell r="C6580">
            <v>34000000</v>
          </cell>
          <cell r="D6580">
            <v>34000000</v>
          </cell>
          <cell r="E6580">
            <v>34000000</v>
          </cell>
          <cell r="F6580">
            <v>34000000</v>
          </cell>
          <cell r="G6580">
            <v>34000000</v>
          </cell>
          <cell r="H6580">
            <v>34000000</v>
          </cell>
          <cell r="I6580" t="str">
            <v/>
          </cell>
          <cell r="J6580" t="str">
            <v/>
          </cell>
          <cell r="K6580" t="str">
            <v/>
          </cell>
          <cell r="L6580" t="str">
            <v/>
          </cell>
        </row>
        <row r="6581">
          <cell r="A6581">
            <v>34000000</v>
          </cell>
          <cell r="C6581">
            <v>34000000</v>
          </cell>
          <cell r="D6581">
            <v>34000000</v>
          </cell>
          <cell r="E6581">
            <v>34000000</v>
          </cell>
          <cell r="F6581">
            <v>34000000</v>
          </cell>
          <cell r="G6581">
            <v>34000000</v>
          </cell>
          <cell r="H6581">
            <v>34000000</v>
          </cell>
          <cell r="I6581" t="str">
            <v/>
          </cell>
          <cell r="J6581" t="str">
            <v/>
          </cell>
          <cell r="K6581" t="str">
            <v/>
          </cell>
          <cell r="L6581" t="str">
            <v/>
          </cell>
        </row>
        <row r="6582">
          <cell r="A6582">
            <v>34000000</v>
          </cell>
          <cell r="C6582">
            <v>34000000</v>
          </cell>
          <cell r="D6582">
            <v>34000000</v>
          </cell>
          <cell r="E6582">
            <v>34000000</v>
          </cell>
          <cell r="F6582">
            <v>34000000</v>
          </cell>
          <cell r="G6582">
            <v>34000000</v>
          </cell>
          <cell r="H6582">
            <v>34000000</v>
          </cell>
          <cell r="I6582" t="str">
            <v/>
          </cell>
          <cell r="J6582" t="str">
            <v/>
          </cell>
          <cell r="K6582" t="str">
            <v/>
          </cell>
          <cell r="L6582" t="str">
            <v/>
          </cell>
        </row>
        <row r="6583">
          <cell r="A6583">
            <v>34000000</v>
          </cell>
          <cell r="C6583">
            <v>34000000</v>
          </cell>
          <cell r="D6583">
            <v>34000000</v>
          </cell>
          <cell r="E6583">
            <v>34000000</v>
          </cell>
          <cell r="F6583">
            <v>34000000</v>
          </cell>
          <cell r="G6583">
            <v>34000000</v>
          </cell>
          <cell r="H6583">
            <v>34000000</v>
          </cell>
          <cell r="I6583" t="str">
            <v/>
          </cell>
          <cell r="J6583" t="str">
            <v/>
          </cell>
          <cell r="K6583" t="str">
            <v/>
          </cell>
          <cell r="L6583" t="str">
            <v/>
          </cell>
        </row>
        <row r="6584">
          <cell r="A6584">
            <v>34000000</v>
          </cell>
          <cell r="C6584">
            <v>34000000</v>
          </cell>
          <cell r="D6584">
            <v>34000000</v>
          </cell>
          <cell r="E6584">
            <v>34000000</v>
          </cell>
          <cell r="F6584">
            <v>34000000</v>
          </cell>
          <cell r="G6584">
            <v>34000000</v>
          </cell>
          <cell r="H6584">
            <v>34000000</v>
          </cell>
          <cell r="I6584" t="str">
            <v/>
          </cell>
          <cell r="J6584" t="str">
            <v/>
          </cell>
          <cell r="K6584" t="str">
            <v/>
          </cell>
          <cell r="L6584" t="str">
            <v/>
          </cell>
        </row>
        <row r="6585">
          <cell r="A6585">
            <v>34000000</v>
          </cell>
          <cell r="C6585">
            <v>34000000</v>
          </cell>
          <cell r="D6585">
            <v>34000000</v>
          </cell>
          <cell r="E6585">
            <v>34000000</v>
          </cell>
          <cell r="F6585">
            <v>34000000</v>
          </cell>
          <cell r="G6585">
            <v>34000000</v>
          </cell>
          <cell r="H6585">
            <v>34000000</v>
          </cell>
          <cell r="I6585" t="str">
            <v/>
          </cell>
          <cell r="J6585" t="str">
            <v/>
          </cell>
          <cell r="K6585" t="str">
            <v/>
          </cell>
          <cell r="L6585" t="str">
            <v/>
          </cell>
        </row>
        <row r="6586">
          <cell r="A6586">
            <v>34000000</v>
          </cell>
          <cell r="C6586">
            <v>34000000</v>
          </cell>
          <cell r="D6586">
            <v>34000000</v>
          </cell>
          <cell r="E6586">
            <v>34000000</v>
          </cell>
          <cell r="F6586">
            <v>34000000</v>
          </cell>
          <cell r="G6586">
            <v>34000000</v>
          </cell>
          <cell r="H6586">
            <v>34000000</v>
          </cell>
          <cell r="I6586" t="str">
            <v/>
          </cell>
          <cell r="J6586" t="str">
            <v/>
          </cell>
          <cell r="K6586" t="str">
            <v/>
          </cell>
          <cell r="L6586" t="str">
            <v/>
          </cell>
        </row>
        <row r="6587">
          <cell r="A6587">
            <v>34000000</v>
          </cell>
          <cell r="C6587">
            <v>34000000</v>
          </cell>
          <cell r="D6587">
            <v>34000000</v>
          </cell>
          <cell r="E6587">
            <v>34000000</v>
          </cell>
          <cell r="F6587">
            <v>34000000</v>
          </cell>
          <cell r="G6587">
            <v>34000000</v>
          </cell>
          <cell r="H6587">
            <v>34000000</v>
          </cell>
          <cell r="I6587" t="str">
            <v/>
          </cell>
          <cell r="J6587" t="str">
            <v/>
          </cell>
          <cell r="K6587" t="str">
            <v/>
          </cell>
          <cell r="L6587" t="str">
            <v/>
          </cell>
        </row>
        <row r="6588">
          <cell r="A6588">
            <v>34000000</v>
          </cell>
          <cell r="C6588">
            <v>34000000</v>
          </cell>
          <cell r="D6588">
            <v>34000000</v>
          </cell>
          <cell r="E6588">
            <v>34000000</v>
          </cell>
          <cell r="F6588">
            <v>34000000</v>
          </cell>
          <cell r="G6588">
            <v>34000000</v>
          </cell>
          <cell r="H6588">
            <v>34000000</v>
          </cell>
          <cell r="I6588" t="str">
            <v/>
          </cell>
          <cell r="J6588" t="str">
            <v/>
          </cell>
          <cell r="K6588" t="str">
            <v/>
          </cell>
          <cell r="L6588" t="str">
            <v/>
          </cell>
        </row>
        <row r="6589">
          <cell r="A6589">
            <v>34000000</v>
          </cell>
          <cell r="C6589">
            <v>34000000</v>
          </cell>
          <cell r="D6589">
            <v>34000000</v>
          </cell>
          <cell r="E6589">
            <v>34000000</v>
          </cell>
          <cell r="F6589">
            <v>34000000</v>
          </cell>
          <cell r="G6589">
            <v>34000000</v>
          </cell>
          <cell r="H6589">
            <v>34000000</v>
          </cell>
          <cell r="I6589" t="str">
            <v/>
          </cell>
          <cell r="J6589" t="str">
            <v/>
          </cell>
          <cell r="K6589" t="str">
            <v/>
          </cell>
          <cell r="L6589" t="str">
            <v/>
          </cell>
        </row>
        <row r="6590">
          <cell r="A6590">
            <v>34000000</v>
          </cell>
          <cell r="C6590">
            <v>34000000</v>
          </cell>
          <cell r="D6590">
            <v>34000000</v>
          </cell>
          <cell r="E6590">
            <v>34000000</v>
          </cell>
          <cell r="F6590">
            <v>34000000</v>
          </cell>
          <cell r="G6590">
            <v>34000000</v>
          </cell>
          <cell r="H6590">
            <v>34000000</v>
          </cell>
          <cell r="I6590" t="str">
            <v/>
          </cell>
          <cell r="J6590" t="str">
            <v/>
          </cell>
          <cell r="K6590" t="str">
            <v/>
          </cell>
          <cell r="L6590" t="str">
            <v/>
          </cell>
        </row>
        <row r="6591">
          <cell r="A6591">
            <v>34000000</v>
          </cell>
          <cell r="C6591">
            <v>34000000</v>
          </cell>
          <cell r="D6591">
            <v>34000000</v>
          </cell>
          <cell r="E6591">
            <v>34000000</v>
          </cell>
          <cell r="F6591">
            <v>34000000</v>
          </cell>
          <cell r="G6591">
            <v>34000000</v>
          </cell>
          <cell r="H6591">
            <v>34000000</v>
          </cell>
          <cell r="I6591" t="str">
            <v/>
          </cell>
          <cell r="J6591" t="str">
            <v/>
          </cell>
          <cell r="K6591" t="str">
            <v/>
          </cell>
          <cell r="L6591" t="str">
            <v/>
          </cell>
        </row>
        <row r="6592">
          <cell r="A6592">
            <v>34000000</v>
          </cell>
          <cell r="C6592">
            <v>34000000</v>
          </cell>
          <cell r="D6592">
            <v>34000000</v>
          </cell>
          <cell r="E6592">
            <v>34000000</v>
          </cell>
          <cell r="F6592">
            <v>34000000</v>
          </cell>
          <cell r="G6592">
            <v>34000000</v>
          </cell>
          <cell r="H6592">
            <v>34000000</v>
          </cell>
          <cell r="I6592" t="str">
            <v/>
          </cell>
          <cell r="J6592" t="str">
            <v/>
          </cell>
          <cell r="K6592" t="str">
            <v/>
          </cell>
          <cell r="L6592" t="str">
            <v/>
          </cell>
        </row>
        <row r="6593">
          <cell r="A6593">
            <v>34000000</v>
          </cell>
          <cell r="C6593">
            <v>34000000</v>
          </cell>
          <cell r="D6593">
            <v>34000000</v>
          </cell>
          <cell r="E6593">
            <v>34000000</v>
          </cell>
          <cell r="F6593">
            <v>34000000</v>
          </cell>
          <cell r="G6593">
            <v>34000000</v>
          </cell>
          <cell r="H6593">
            <v>34000000</v>
          </cell>
          <cell r="I6593" t="str">
            <v/>
          </cell>
          <cell r="J6593" t="str">
            <v/>
          </cell>
          <cell r="K6593" t="str">
            <v/>
          </cell>
          <cell r="L6593" t="str">
            <v/>
          </cell>
        </row>
        <row r="6594">
          <cell r="A6594">
            <v>34000000</v>
          </cell>
          <cell r="C6594">
            <v>34000000</v>
          </cell>
          <cell r="D6594">
            <v>34000000</v>
          </cell>
          <cell r="E6594">
            <v>34000000</v>
          </cell>
          <cell r="F6594">
            <v>34000000</v>
          </cell>
          <cell r="G6594">
            <v>34000000</v>
          </cell>
          <cell r="H6594">
            <v>34000000</v>
          </cell>
          <cell r="I6594" t="str">
            <v/>
          </cell>
          <cell r="J6594" t="str">
            <v/>
          </cell>
          <cell r="K6594" t="str">
            <v/>
          </cell>
          <cell r="L6594" t="str">
            <v/>
          </cell>
        </row>
        <row r="6595">
          <cell r="A6595">
            <v>34000000</v>
          </cell>
          <cell r="C6595">
            <v>34000000</v>
          </cell>
          <cell r="D6595">
            <v>34000000</v>
          </cell>
          <cell r="E6595">
            <v>34000000</v>
          </cell>
          <cell r="F6595">
            <v>34000000</v>
          </cell>
          <cell r="G6595">
            <v>34000000</v>
          </cell>
          <cell r="H6595">
            <v>34000000</v>
          </cell>
          <cell r="I6595" t="str">
            <v/>
          </cell>
          <cell r="J6595" t="str">
            <v/>
          </cell>
          <cell r="K6595" t="str">
            <v/>
          </cell>
          <cell r="L6595" t="str">
            <v/>
          </cell>
        </row>
        <row r="6596">
          <cell r="A6596">
            <v>34000000</v>
          </cell>
          <cell r="C6596">
            <v>34000000</v>
          </cell>
          <cell r="D6596">
            <v>34000000</v>
          </cell>
          <cell r="E6596">
            <v>34000000</v>
          </cell>
          <cell r="F6596">
            <v>34000000</v>
          </cell>
          <cell r="G6596">
            <v>34000000</v>
          </cell>
          <cell r="H6596">
            <v>34000000</v>
          </cell>
          <cell r="I6596" t="str">
            <v/>
          </cell>
          <cell r="J6596" t="str">
            <v/>
          </cell>
          <cell r="K6596" t="str">
            <v/>
          </cell>
          <cell r="L6596" t="str">
            <v/>
          </cell>
        </row>
        <row r="6597">
          <cell r="A6597">
            <v>34000000</v>
          </cell>
          <cell r="C6597">
            <v>34000000</v>
          </cell>
          <cell r="D6597">
            <v>34000000</v>
          </cell>
          <cell r="E6597">
            <v>34000000</v>
          </cell>
          <cell r="F6597">
            <v>34000000</v>
          </cell>
          <cell r="G6597">
            <v>34000000</v>
          </cell>
          <cell r="H6597">
            <v>34000000</v>
          </cell>
          <cell r="I6597" t="str">
            <v/>
          </cell>
          <cell r="J6597" t="str">
            <v/>
          </cell>
          <cell r="K6597" t="str">
            <v/>
          </cell>
          <cell r="L6597" t="str">
            <v/>
          </cell>
        </row>
        <row r="6598">
          <cell r="A6598">
            <v>34000000</v>
          </cell>
          <cell r="C6598">
            <v>34000000</v>
          </cell>
          <cell r="D6598">
            <v>34000000</v>
          </cell>
          <cell r="E6598">
            <v>34000000</v>
          </cell>
          <cell r="F6598">
            <v>34000000</v>
          </cell>
          <cell r="G6598">
            <v>34000000</v>
          </cell>
          <cell r="H6598">
            <v>34000000</v>
          </cell>
          <cell r="I6598" t="str">
            <v/>
          </cell>
          <cell r="J6598" t="str">
            <v/>
          </cell>
          <cell r="K6598" t="str">
            <v/>
          </cell>
          <cell r="L6598" t="str">
            <v/>
          </cell>
        </row>
        <row r="6599">
          <cell r="A6599">
            <v>34000000</v>
          </cell>
          <cell r="C6599">
            <v>34000000</v>
          </cell>
          <cell r="D6599">
            <v>34000000</v>
          </cell>
          <cell r="E6599">
            <v>34000000</v>
          </cell>
          <cell r="F6599">
            <v>34000000</v>
          </cell>
          <cell r="G6599">
            <v>34000000</v>
          </cell>
          <cell r="H6599">
            <v>34000000</v>
          </cell>
          <cell r="I6599" t="str">
            <v/>
          </cell>
          <cell r="J6599" t="str">
            <v/>
          </cell>
          <cell r="K6599" t="str">
            <v/>
          </cell>
          <cell r="L6599" t="str">
            <v/>
          </cell>
        </row>
        <row r="6600">
          <cell r="A6600">
            <v>34000000</v>
          </cell>
          <cell r="C6600">
            <v>34000000</v>
          </cell>
          <cell r="D6600">
            <v>34000000</v>
          </cell>
          <cell r="E6600">
            <v>34000000</v>
          </cell>
          <cell r="F6600">
            <v>34000000</v>
          </cell>
          <cell r="G6600">
            <v>34000000</v>
          </cell>
          <cell r="H6600">
            <v>34000000</v>
          </cell>
          <cell r="I6600" t="str">
            <v/>
          </cell>
          <cell r="J6600" t="str">
            <v/>
          </cell>
          <cell r="K6600" t="str">
            <v/>
          </cell>
          <cell r="L6600" t="str">
            <v/>
          </cell>
        </row>
        <row r="6601">
          <cell r="A6601">
            <v>34000000</v>
          </cell>
          <cell r="C6601">
            <v>34000000</v>
          </cell>
          <cell r="D6601">
            <v>34000000</v>
          </cell>
          <cell r="E6601">
            <v>34000000</v>
          </cell>
          <cell r="F6601">
            <v>34000000</v>
          </cell>
          <cell r="G6601">
            <v>34000000</v>
          </cell>
          <cell r="H6601">
            <v>34000000</v>
          </cell>
          <cell r="I6601" t="str">
            <v/>
          </cell>
          <cell r="J6601" t="str">
            <v/>
          </cell>
          <cell r="K6601" t="str">
            <v/>
          </cell>
          <cell r="L6601" t="str">
            <v/>
          </cell>
        </row>
        <row r="6602">
          <cell r="A6602">
            <v>34000000</v>
          </cell>
          <cell r="C6602">
            <v>34000000</v>
          </cell>
          <cell r="D6602">
            <v>34000000</v>
          </cell>
          <cell r="E6602">
            <v>34000000</v>
          </cell>
          <cell r="F6602">
            <v>34000000</v>
          </cell>
          <cell r="G6602">
            <v>34000000</v>
          </cell>
          <cell r="H6602">
            <v>34000000</v>
          </cell>
          <cell r="I6602" t="str">
            <v/>
          </cell>
          <cell r="J6602" t="str">
            <v/>
          </cell>
          <cell r="K6602" t="str">
            <v/>
          </cell>
          <cell r="L6602" t="str">
            <v/>
          </cell>
        </row>
        <row r="6603">
          <cell r="A6603">
            <v>34000000</v>
          </cell>
          <cell r="C6603">
            <v>34000000</v>
          </cell>
          <cell r="D6603">
            <v>34000000</v>
          </cell>
          <cell r="E6603">
            <v>34000000</v>
          </cell>
          <cell r="F6603">
            <v>34000000</v>
          </cell>
          <cell r="G6603">
            <v>34000000</v>
          </cell>
          <cell r="H6603">
            <v>34000000</v>
          </cell>
          <cell r="I6603" t="str">
            <v/>
          </cell>
          <cell r="J6603" t="str">
            <v/>
          </cell>
          <cell r="K6603" t="str">
            <v/>
          </cell>
          <cell r="L6603" t="str">
            <v/>
          </cell>
        </row>
        <row r="6604">
          <cell r="A6604">
            <v>34000000</v>
          </cell>
          <cell r="C6604">
            <v>34000000</v>
          </cell>
          <cell r="D6604">
            <v>34000000</v>
          </cell>
          <cell r="E6604">
            <v>34000000</v>
          </cell>
          <cell r="F6604">
            <v>34000000</v>
          </cell>
          <cell r="G6604">
            <v>34000000</v>
          </cell>
          <cell r="H6604">
            <v>34000000</v>
          </cell>
          <cell r="I6604" t="str">
            <v/>
          </cell>
          <cell r="J6604" t="str">
            <v/>
          </cell>
          <cell r="K6604" t="str">
            <v/>
          </cell>
          <cell r="L6604" t="str">
            <v/>
          </cell>
        </row>
        <row r="6605">
          <cell r="A6605">
            <v>34000000</v>
          </cell>
          <cell r="C6605">
            <v>34000000</v>
          </cell>
          <cell r="D6605">
            <v>34000000</v>
          </cell>
          <cell r="E6605">
            <v>34000000</v>
          </cell>
          <cell r="F6605">
            <v>34000000</v>
          </cell>
          <cell r="G6605">
            <v>34000000</v>
          </cell>
          <cell r="H6605">
            <v>34000000</v>
          </cell>
          <cell r="I6605" t="str">
            <v/>
          </cell>
          <cell r="J6605" t="str">
            <v/>
          </cell>
          <cell r="K6605" t="str">
            <v/>
          </cell>
          <cell r="L6605" t="str">
            <v/>
          </cell>
        </row>
        <row r="6606">
          <cell r="A6606">
            <v>34000000</v>
          </cell>
          <cell r="C6606">
            <v>34000000</v>
          </cell>
          <cell r="D6606">
            <v>34000000</v>
          </cell>
          <cell r="E6606">
            <v>34000000</v>
          </cell>
          <cell r="F6606">
            <v>34000000</v>
          </cell>
          <cell r="G6606">
            <v>34000000</v>
          </cell>
          <cell r="H6606">
            <v>34000000</v>
          </cell>
          <cell r="I6606" t="str">
            <v/>
          </cell>
          <cell r="J6606" t="str">
            <v/>
          </cell>
          <cell r="K6606" t="str">
            <v/>
          </cell>
          <cell r="L6606" t="str">
            <v/>
          </cell>
        </row>
        <row r="6607">
          <cell r="A6607">
            <v>34000000</v>
          </cell>
          <cell r="C6607">
            <v>34000000</v>
          </cell>
          <cell r="D6607">
            <v>34000000</v>
          </cell>
          <cell r="E6607">
            <v>34000000</v>
          </cell>
          <cell r="F6607">
            <v>34000000</v>
          </cell>
          <cell r="G6607">
            <v>34000000</v>
          </cell>
          <cell r="H6607">
            <v>34000000</v>
          </cell>
          <cell r="I6607" t="str">
            <v/>
          </cell>
          <cell r="J6607" t="str">
            <v/>
          </cell>
          <cell r="K6607" t="str">
            <v/>
          </cell>
          <cell r="L6607" t="str">
            <v/>
          </cell>
        </row>
        <row r="6608">
          <cell r="A6608">
            <v>34000000</v>
          </cell>
          <cell r="C6608">
            <v>34000000</v>
          </cell>
          <cell r="D6608">
            <v>34000000</v>
          </cell>
          <cell r="E6608">
            <v>34000000</v>
          </cell>
          <cell r="F6608">
            <v>34000000</v>
          </cell>
          <cell r="G6608">
            <v>34000000</v>
          </cell>
          <cell r="H6608">
            <v>34000000</v>
          </cell>
          <cell r="I6608" t="str">
            <v/>
          </cell>
          <cell r="J6608" t="str">
            <v/>
          </cell>
          <cell r="K6608" t="str">
            <v/>
          </cell>
          <cell r="L6608" t="str">
            <v/>
          </cell>
        </row>
        <row r="6609">
          <cell r="A6609">
            <v>34000000</v>
          </cell>
          <cell r="C6609">
            <v>34000000</v>
          </cell>
          <cell r="D6609">
            <v>34000000</v>
          </cell>
          <cell r="E6609">
            <v>34000000</v>
          </cell>
          <cell r="F6609">
            <v>34000000</v>
          </cell>
          <cell r="G6609">
            <v>34000000</v>
          </cell>
          <cell r="H6609">
            <v>34000000</v>
          </cell>
          <cell r="I6609" t="str">
            <v/>
          </cell>
          <cell r="J6609" t="str">
            <v/>
          </cell>
          <cell r="K6609" t="str">
            <v/>
          </cell>
          <cell r="L6609" t="str">
            <v/>
          </cell>
        </row>
        <row r="6610">
          <cell r="A6610">
            <v>34000000</v>
          </cell>
          <cell r="C6610">
            <v>34000000</v>
          </cell>
          <cell r="D6610">
            <v>34000000</v>
          </cell>
          <cell r="E6610">
            <v>34000000</v>
          </cell>
          <cell r="F6610">
            <v>34000000</v>
          </cell>
          <cell r="G6610">
            <v>34000000</v>
          </cell>
          <cell r="H6610">
            <v>34000000</v>
          </cell>
          <cell r="I6610" t="str">
            <v/>
          </cell>
          <cell r="J6610" t="str">
            <v/>
          </cell>
          <cell r="K6610" t="str">
            <v/>
          </cell>
          <cell r="L6610" t="str">
            <v/>
          </cell>
        </row>
        <row r="6611">
          <cell r="A6611">
            <v>34000000</v>
          </cell>
          <cell r="C6611">
            <v>34000000</v>
          </cell>
          <cell r="D6611">
            <v>34000000</v>
          </cell>
          <cell r="E6611">
            <v>34000000</v>
          </cell>
          <cell r="F6611">
            <v>34000000</v>
          </cell>
          <cell r="G6611">
            <v>34000000</v>
          </cell>
          <cell r="H6611">
            <v>34000000</v>
          </cell>
          <cell r="I6611" t="str">
            <v/>
          </cell>
          <cell r="J6611" t="str">
            <v/>
          </cell>
          <cell r="K6611" t="str">
            <v/>
          </cell>
          <cell r="L6611" t="str">
            <v/>
          </cell>
        </row>
        <row r="6612">
          <cell r="A6612">
            <v>34000000</v>
          </cell>
          <cell r="C6612">
            <v>34000000</v>
          </cell>
          <cell r="D6612">
            <v>34000000</v>
          </cell>
          <cell r="E6612">
            <v>34000000</v>
          </cell>
          <cell r="F6612">
            <v>34000000</v>
          </cell>
          <cell r="G6612">
            <v>34000000</v>
          </cell>
          <cell r="H6612">
            <v>34000000</v>
          </cell>
          <cell r="I6612" t="str">
            <v/>
          </cell>
          <cell r="J6612" t="str">
            <v/>
          </cell>
          <cell r="K6612" t="str">
            <v/>
          </cell>
          <cell r="L6612" t="str">
            <v/>
          </cell>
        </row>
        <row r="6613">
          <cell r="A6613">
            <v>34000000</v>
          </cell>
          <cell r="C6613">
            <v>34000000</v>
          </cell>
          <cell r="D6613">
            <v>34000000</v>
          </cell>
          <cell r="E6613">
            <v>34000000</v>
          </cell>
          <cell r="F6613">
            <v>34000000</v>
          </cell>
          <cell r="G6613">
            <v>34000000</v>
          </cell>
          <cell r="H6613">
            <v>34000000</v>
          </cell>
          <cell r="I6613" t="str">
            <v/>
          </cell>
          <cell r="J6613" t="str">
            <v/>
          </cell>
          <cell r="K6613" t="str">
            <v/>
          </cell>
          <cell r="L6613" t="str">
            <v/>
          </cell>
        </row>
        <row r="6614">
          <cell r="A6614">
            <v>34000000</v>
          </cell>
          <cell r="C6614">
            <v>34000000</v>
          </cell>
          <cell r="D6614">
            <v>34000000</v>
          </cell>
          <cell r="E6614">
            <v>34000000</v>
          </cell>
          <cell r="F6614">
            <v>34000000</v>
          </cell>
          <cell r="G6614">
            <v>34000000</v>
          </cell>
          <cell r="H6614">
            <v>34000000</v>
          </cell>
          <cell r="I6614" t="str">
            <v/>
          </cell>
          <cell r="J6614" t="str">
            <v/>
          </cell>
          <cell r="K6614" t="str">
            <v/>
          </cell>
          <cell r="L6614" t="str">
            <v/>
          </cell>
        </row>
        <row r="6615">
          <cell r="A6615">
            <v>34000000</v>
          </cell>
          <cell r="C6615">
            <v>34000000</v>
          </cell>
          <cell r="D6615">
            <v>34000000</v>
          </cell>
          <cell r="E6615">
            <v>34000000</v>
          </cell>
          <cell r="F6615">
            <v>34000000</v>
          </cell>
          <cell r="G6615">
            <v>34000000</v>
          </cell>
          <cell r="H6615">
            <v>34000000</v>
          </cell>
          <cell r="I6615" t="str">
            <v/>
          </cell>
          <cell r="J6615" t="str">
            <v/>
          </cell>
          <cell r="K6615" t="str">
            <v/>
          </cell>
          <cell r="L6615" t="str">
            <v/>
          </cell>
        </row>
        <row r="6616">
          <cell r="A6616">
            <v>34000000</v>
          </cell>
          <cell r="C6616">
            <v>34000000</v>
          </cell>
          <cell r="D6616">
            <v>34000000</v>
          </cell>
          <cell r="E6616">
            <v>34000000</v>
          </cell>
          <cell r="F6616">
            <v>34000000</v>
          </cell>
          <cell r="G6616">
            <v>34000000</v>
          </cell>
          <cell r="H6616">
            <v>34000000</v>
          </cell>
          <cell r="I6616" t="str">
            <v/>
          </cell>
          <cell r="J6616" t="str">
            <v/>
          </cell>
          <cell r="K6616" t="str">
            <v/>
          </cell>
          <cell r="L6616" t="str">
            <v/>
          </cell>
        </row>
        <row r="6617">
          <cell r="A6617">
            <v>34000000</v>
          </cell>
          <cell r="C6617">
            <v>34000000</v>
          </cell>
          <cell r="D6617">
            <v>34000000</v>
          </cell>
          <cell r="E6617">
            <v>34000000</v>
          </cell>
          <cell r="F6617">
            <v>34000000</v>
          </cell>
          <cell r="G6617">
            <v>34000000</v>
          </cell>
          <cell r="H6617">
            <v>34000000</v>
          </cell>
          <cell r="I6617" t="str">
            <v/>
          </cell>
          <cell r="J6617" t="str">
            <v/>
          </cell>
          <cell r="K6617" t="str">
            <v/>
          </cell>
          <cell r="L6617" t="str">
            <v/>
          </cell>
        </row>
        <row r="6618">
          <cell r="A6618">
            <v>34000000</v>
          </cell>
          <cell r="C6618">
            <v>34000000</v>
          </cell>
          <cell r="D6618">
            <v>34000000</v>
          </cell>
          <cell r="E6618">
            <v>34000000</v>
          </cell>
          <cell r="F6618">
            <v>34000000</v>
          </cell>
          <cell r="G6618">
            <v>34000000</v>
          </cell>
          <cell r="H6618">
            <v>34000000</v>
          </cell>
          <cell r="I6618" t="str">
            <v/>
          </cell>
          <cell r="J6618" t="str">
            <v/>
          </cell>
          <cell r="K6618" t="str">
            <v/>
          </cell>
          <cell r="L6618" t="str">
            <v/>
          </cell>
        </row>
        <row r="6619">
          <cell r="A6619">
            <v>34000000</v>
          </cell>
          <cell r="C6619">
            <v>34000000</v>
          </cell>
          <cell r="D6619">
            <v>34000000</v>
          </cell>
          <cell r="E6619">
            <v>34000000</v>
          </cell>
          <cell r="F6619">
            <v>34000000</v>
          </cell>
          <cell r="G6619">
            <v>34000000</v>
          </cell>
          <cell r="H6619">
            <v>34000000</v>
          </cell>
          <cell r="I6619" t="str">
            <v/>
          </cell>
          <cell r="J6619" t="str">
            <v/>
          </cell>
          <cell r="K6619" t="str">
            <v/>
          </cell>
          <cell r="L6619" t="str">
            <v/>
          </cell>
        </row>
        <row r="6620">
          <cell r="A6620">
            <v>34000000</v>
          </cell>
          <cell r="C6620">
            <v>34000000</v>
          </cell>
          <cell r="D6620">
            <v>34000000</v>
          </cell>
          <cell r="E6620">
            <v>34000000</v>
          </cell>
          <cell r="F6620">
            <v>34000000</v>
          </cell>
          <cell r="G6620">
            <v>34000000</v>
          </cell>
          <cell r="H6620">
            <v>34000000</v>
          </cell>
          <cell r="I6620" t="str">
            <v/>
          </cell>
          <cell r="J6620" t="str">
            <v/>
          </cell>
          <cell r="K6620" t="str">
            <v/>
          </cell>
          <cell r="L6620" t="str">
            <v/>
          </cell>
        </row>
        <row r="6621">
          <cell r="A6621">
            <v>34000000</v>
          </cell>
          <cell r="C6621">
            <v>34000000</v>
          </cell>
          <cell r="D6621">
            <v>34000000</v>
          </cell>
          <cell r="E6621">
            <v>34000000</v>
          </cell>
          <cell r="F6621">
            <v>34000000</v>
          </cell>
          <cell r="G6621">
            <v>34000000</v>
          </cell>
          <cell r="H6621">
            <v>34000000</v>
          </cell>
          <cell r="I6621" t="str">
            <v/>
          </cell>
          <cell r="J6621" t="str">
            <v/>
          </cell>
          <cell r="K6621" t="str">
            <v/>
          </cell>
          <cell r="L6621" t="str">
            <v/>
          </cell>
        </row>
        <row r="6622">
          <cell r="A6622">
            <v>34000000</v>
          </cell>
          <cell r="C6622">
            <v>34000000</v>
          </cell>
          <cell r="D6622">
            <v>34000000</v>
          </cell>
          <cell r="E6622">
            <v>34000000</v>
          </cell>
          <cell r="F6622">
            <v>34000000</v>
          </cell>
          <cell r="G6622">
            <v>34000000</v>
          </cell>
          <cell r="H6622">
            <v>34000000</v>
          </cell>
          <cell r="I6622" t="str">
            <v/>
          </cell>
          <cell r="J6622" t="str">
            <v/>
          </cell>
          <cell r="K6622" t="str">
            <v/>
          </cell>
          <cell r="L6622" t="str">
            <v/>
          </cell>
        </row>
        <row r="6623">
          <cell r="A6623">
            <v>34000000</v>
          </cell>
          <cell r="C6623">
            <v>34000000</v>
          </cell>
          <cell r="D6623">
            <v>34000000</v>
          </cell>
          <cell r="E6623">
            <v>34000000</v>
          </cell>
          <cell r="F6623">
            <v>34000000</v>
          </cell>
          <cell r="G6623">
            <v>34000000</v>
          </cell>
          <cell r="H6623">
            <v>34000000</v>
          </cell>
          <cell r="I6623" t="str">
            <v/>
          </cell>
          <cell r="J6623" t="str">
            <v/>
          </cell>
          <cell r="K6623" t="str">
            <v/>
          </cell>
          <cell r="L6623" t="str">
            <v/>
          </cell>
        </row>
        <row r="6624">
          <cell r="A6624">
            <v>34000000</v>
          </cell>
          <cell r="C6624">
            <v>34000000</v>
          </cell>
          <cell r="D6624">
            <v>34000000</v>
          </cell>
          <cell r="E6624">
            <v>34000000</v>
          </cell>
          <cell r="F6624">
            <v>34000000</v>
          </cell>
          <cell r="G6624">
            <v>34000000</v>
          </cell>
          <cell r="H6624">
            <v>34000000</v>
          </cell>
          <cell r="I6624" t="str">
            <v/>
          </cell>
          <cell r="J6624" t="str">
            <v/>
          </cell>
          <cell r="K6624" t="str">
            <v/>
          </cell>
          <cell r="L6624" t="str">
            <v/>
          </cell>
        </row>
        <row r="6625">
          <cell r="A6625">
            <v>34000000</v>
          </cell>
          <cell r="C6625">
            <v>34000000</v>
          </cell>
          <cell r="D6625">
            <v>34000000</v>
          </cell>
          <cell r="E6625">
            <v>34000000</v>
          </cell>
          <cell r="F6625">
            <v>34000000</v>
          </cell>
          <cell r="G6625">
            <v>34000000</v>
          </cell>
          <cell r="H6625">
            <v>34000000</v>
          </cell>
          <cell r="I6625" t="str">
            <v/>
          </cell>
          <cell r="J6625" t="str">
            <v/>
          </cell>
          <cell r="K6625" t="str">
            <v/>
          </cell>
          <cell r="L6625" t="str">
            <v/>
          </cell>
        </row>
        <row r="6626">
          <cell r="A6626">
            <v>34000000</v>
          </cell>
          <cell r="C6626">
            <v>34000000</v>
          </cell>
          <cell r="D6626">
            <v>34000000</v>
          </cell>
          <cell r="E6626">
            <v>34000000</v>
          </cell>
          <cell r="F6626">
            <v>34000000</v>
          </cell>
          <cell r="G6626">
            <v>34000000</v>
          </cell>
          <cell r="H6626">
            <v>34000000</v>
          </cell>
          <cell r="I6626" t="str">
            <v/>
          </cell>
          <cell r="J6626" t="str">
            <v/>
          </cell>
          <cell r="K6626" t="str">
            <v/>
          </cell>
          <cell r="L6626" t="str">
            <v/>
          </cell>
        </row>
        <row r="6627">
          <cell r="A6627">
            <v>34000000</v>
          </cell>
          <cell r="C6627">
            <v>34000000</v>
          </cell>
          <cell r="D6627">
            <v>34000000</v>
          </cell>
          <cell r="E6627">
            <v>34000000</v>
          </cell>
          <cell r="F6627">
            <v>34000000</v>
          </cell>
          <cell r="G6627">
            <v>34000000</v>
          </cell>
          <cell r="H6627">
            <v>34000000</v>
          </cell>
          <cell r="I6627" t="str">
            <v/>
          </cell>
          <cell r="J6627" t="str">
            <v/>
          </cell>
          <cell r="K6627" t="str">
            <v/>
          </cell>
          <cell r="L6627" t="str">
            <v/>
          </cell>
        </row>
        <row r="6628">
          <cell r="A6628">
            <v>34000000</v>
          </cell>
          <cell r="C6628">
            <v>34000000</v>
          </cell>
          <cell r="D6628">
            <v>34000000</v>
          </cell>
          <cell r="E6628">
            <v>34000000</v>
          </cell>
          <cell r="F6628">
            <v>34000000</v>
          </cell>
          <cell r="G6628">
            <v>34000000</v>
          </cell>
          <cell r="H6628">
            <v>34000000</v>
          </cell>
          <cell r="I6628" t="str">
            <v/>
          </cell>
          <cell r="J6628" t="str">
            <v/>
          </cell>
          <cell r="K6628" t="str">
            <v/>
          </cell>
          <cell r="L6628" t="str">
            <v/>
          </cell>
        </row>
        <row r="6629">
          <cell r="A6629">
            <v>34000000</v>
          </cell>
          <cell r="C6629">
            <v>34000000</v>
          </cell>
          <cell r="D6629">
            <v>34000000</v>
          </cell>
          <cell r="E6629">
            <v>34000000</v>
          </cell>
          <cell r="F6629">
            <v>34000000</v>
          </cell>
          <cell r="G6629">
            <v>34000000</v>
          </cell>
          <cell r="H6629">
            <v>34000000</v>
          </cell>
          <cell r="I6629" t="str">
            <v/>
          </cell>
          <cell r="J6629" t="str">
            <v/>
          </cell>
          <cell r="K6629" t="str">
            <v/>
          </cell>
          <cell r="L6629" t="str">
            <v/>
          </cell>
        </row>
        <row r="6630">
          <cell r="A6630">
            <v>34000000</v>
          </cell>
          <cell r="C6630">
            <v>34000000</v>
          </cell>
          <cell r="D6630">
            <v>34000000</v>
          </cell>
          <cell r="E6630">
            <v>34000000</v>
          </cell>
          <cell r="F6630">
            <v>34000000</v>
          </cell>
          <cell r="G6630">
            <v>34000000</v>
          </cell>
          <cell r="H6630">
            <v>34000000</v>
          </cell>
          <cell r="I6630" t="str">
            <v/>
          </cell>
          <cell r="J6630" t="str">
            <v/>
          </cell>
          <cell r="K6630" t="str">
            <v/>
          </cell>
          <cell r="L6630" t="str">
            <v/>
          </cell>
        </row>
        <row r="6631">
          <cell r="A6631">
            <v>34000000</v>
          </cell>
          <cell r="C6631">
            <v>34000000</v>
          </cell>
          <cell r="D6631">
            <v>34000000</v>
          </cell>
          <cell r="E6631">
            <v>34000000</v>
          </cell>
          <cell r="F6631">
            <v>34000000</v>
          </cell>
          <cell r="G6631">
            <v>34000000</v>
          </cell>
          <cell r="H6631">
            <v>34000000</v>
          </cell>
          <cell r="I6631" t="str">
            <v/>
          </cell>
          <cell r="J6631" t="str">
            <v/>
          </cell>
          <cell r="K6631" t="str">
            <v/>
          </cell>
          <cell r="L6631" t="str">
            <v/>
          </cell>
        </row>
        <row r="6632">
          <cell r="A6632">
            <v>34000000</v>
          </cell>
          <cell r="C6632">
            <v>34000000</v>
          </cell>
          <cell r="D6632">
            <v>34000000</v>
          </cell>
          <cell r="E6632">
            <v>34000000</v>
          </cell>
          <cell r="F6632">
            <v>34000000</v>
          </cell>
          <cell r="G6632">
            <v>34000000</v>
          </cell>
          <cell r="H6632">
            <v>34000000</v>
          </cell>
          <cell r="I6632" t="str">
            <v/>
          </cell>
          <cell r="J6632" t="str">
            <v/>
          </cell>
          <cell r="K6632" t="str">
            <v/>
          </cell>
          <cell r="L6632" t="str">
            <v/>
          </cell>
        </row>
        <row r="6633">
          <cell r="A6633">
            <v>34000000</v>
          </cell>
          <cell r="C6633">
            <v>34000000</v>
          </cell>
          <cell r="D6633">
            <v>34000000</v>
          </cell>
          <cell r="E6633">
            <v>34000000</v>
          </cell>
          <cell r="F6633">
            <v>34000000</v>
          </cell>
          <cell r="G6633">
            <v>34000000</v>
          </cell>
          <cell r="H6633">
            <v>34000000</v>
          </cell>
          <cell r="I6633" t="str">
            <v/>
          </cell>
          <cell r="J6633" t="str">
            <v/>
          </cell>
          <cell r="K6633" t="str">
            <v/>
          </cell>
          <cell r="L6633" t="str">
            <v/>
          </cell>
        </row>
        <row r="6634">
          <cell r="A6634">
            <v>34000000</v>
          </cell>
          <cell r="C6634">
            <v>34000000</v>
          </cell>
          <cell r="D6634">
            <v>34000000</v>
          </cell>
          <cell r="E6634">
            <v>34000000</v>
          </cell>
          <cell r="F6634">
            <v>34000000</v>
          </cell>
          <cell r="G6634">
            <v>34000000</v>
          </cell>
          <cell r="H6634">
            <v>34000000</v>
          </cell>
          <cell r="I6634" t="str">
            <v/>
          </cell>
          <cell r="J6634" t="str">
            <v/>
          </cell>
          <cell r="K6634" t="str">
            <v/>
          </cell>
          <cell r="L6634" t="str">
            <v/>
          </cell>
        </row>
        <row r="6635">
          <cell r="A6635">
            <v>34000000</v>
          </cell>
          <cell r="C6635">
            <v>34000000</v>
          </cell>
          <cell r="D6635">
            <v>34000000</v>
          </cell>
          <cell r="E6635">
            <v>34000000</v>
          </cell>
          <cell r="F6635">
            <v>34000000</v>
          </cell>
          <cell r="G6635">
            <v>34000000</v>
          </cell>
          <cell r="H6635">
            <v>34000000</v>
          </cell>
          <cell r="I6635" t="str">
            <v/>
          </cell>
          <cell r="J6635" t="str">
            <v/>
          </cell>
          <cell r="K6635" t="str">
            <v/>
          </cell>
          <cell r="L6635" t="str">
            <v/>
          </cell>
        </row>
        <row r="6636">
          <cell r="A6636">
            <v>34000000</v>
          </cell>
          <cell r="C6636">
            <v>34000000</v>
          </cell>
          <cell r="D6636">
            <v>34000000</v>
          </cell>
          <cell r="E6636">
            <v>34000000</v>
          </cell>
          <cell r="F6636">
            <v>34000000</v>
          </cell>
          <cell r="G6636">
            <v>34000000</v>
          </cell>
          <cell r="H6636">
            <v>34000000</v>
          </cell>
          <cell r="I6636" t="str">
            <v/>
          </cell>
          <cell r="J6636" t="str">
            <v/>
          </cell>
          <cell r="K6636" t="str">
            <v/>
          </cell>
          <cell r="L6636" t="str">
            <v/>
          </cell>
        </row>
        <row r="6637">
          <cell r="A6637">
            <v>34000000</v>
          </cell>
          <cell r="C6637">
            <v>34000000</v>
          </cell>
          <cell r="D6637">
            <v>34000000</v>
          </cell>
          <cell r="E6637">
            <v>34000000</v>
          </cell>
          <cell r="F6637">
            <v>34000000</v>
          </cell>
          <cell r="G6637">
            <v>34000000</v>
          </cell>
          <cell r="H6637">
            <v>34000000</v>
          </cell>
          <cell r="I6637" t="str">
            <v/>
          </cell>
          <cell r="J6637" t="str">
            <v/>
          </cell>
          <cell r="K6637" t="str">
            <v/>
          </cell>
          <cell r="L6637" t="str">
            <v/>
          </cell>
        </row>
        <row r="6638">
          <cell r="A6638">
            <v>34000000</v>
          </cell>
          <cell r="C6638">
            <v>34000000</v>
          </cell>
          <cell r="D6638">
            <v>34000000</v>
          </cell>
          <cell r="E6638">
            <v>34000000</v>
          </cell>
          <cell r="F6638">
            <v>34000000</v>
          </cell>
          <cell r="G6638">
            <v>34000000</v>
          </cell>
          <cell r="H6638">
            <v>34000000</v>
          </cell>
          <cell r="I6638" t="str">
            <v/>
          </cell>
          <cell r="J6638" t="str">
            <v/>
          </cell>
          <cell r="K6638" t="str">
            <v/>
          </cell>
          <cell r="L6638" t="str">
            <v/>
          </cell>
        </row>
        <row r="6639">
          <cell r="A6639">
            <v>34000000</v>
          </cell>
          <cell r="C6639">
            <v>34000000</v>
          </cell>
          <cell r="D6639">
            <v>34000000</v>
          </cell>
          <cell r="E6639">
            <v>34000000</v>
          </cell>
          <cell r="F6639">
            <v>34000000</v>
          </cell>
          <cell r="G6639">
            <v>34000000</v>
          </cell>
          <cell r="H6639">
            <v>34000000</v>
          </cell>
          <cell r="I6639" t="str">
            <v/>
          </cell>
          <cell r="J6639" t="str">
            <v/>
          </cell>
          <cell r="K6639" t="str">
            <v/>
          </cell>
          <cell r="L6639" t="str">
            <v/>
          </cell>
        </row>
        <row r="6640">
          <cell r="A6640">
            <v>34000000</v>
          </cell>
          <cell r="C6640">
            <v>34000000</v>
          </cell>
          <cell r="D6640">
            <v>34000000</v>
          </cell>
          <cell r="E6640">
            <v>34000000</v>
          </cell>
          <cell r="F6640">
            <v>34000000</v>
          </cell>
          <cell r="G6640">
            <v>34000000</v>
          </cell>
          <cell r="H6640">
            <v>34000000</v>
          </cell>
          <cell r="I6640" t="str">
            <v/>
          </cell>
          <cell r="J6640" t="str">
            <v/>
          </cell>
          <cell r="K6640" t="str">
            <v/>
          </cell>
          <cell r="L6640" t="str">
            <v/>
          </cell>
        </row>
        <row r="6641">
          <cell r="A6641">
            <v>34000000</v>
          </cell>
          <cell r="C6641">
            <v>34000000</v>
          </cell>
          <cell r="D6641">
            <v>34000000</v>
          </cell>
          <cell r="E6641">
            <v>34000000</v>
          </cell>
          <cell r="F6641">
            <v>34000000</v>
          </cell>
          <cell r="G6641">
            <v>34000000</v>
          </cell>
          <cell r="H6641">
            <v>34000000</v>
          </cell>
          <cell r="I6641" t="str">
            <v/>
          </cell>
          <cell r="J6641" t="str">
            <v/>
          </cell>
          <cell r="K6641" t="str">
            <v/>
          </cell>
          <cell r="L6641" t="str">
            <v/>
          </cell>
        </row>
        <row r="6642">
          <cell r="A6642">
            <v>34000000</v>
          </cell>
          <cell r="C6642">
            <v>34000000</v>
          </cell>
          <cell r="D6642">
            <v>34000000</v>
          </cell>
          <cell r="E6642">
            <v>34000000</v>
          </cell>
          <cell r="F6642">
            <v>34000000</v>
          </cell>
          <cell r="G6642">
            <v>34000000</v>
          </cell>
          <cell r="H6642">
            <v>34000000</v>
          </cell>
          <cell r="I6642" t="str">
            <v/>
          </cell>
          <cell r="J6642" t="str">
            <v/>
          </cell>
          <cell r="K6642" t="str">
            <v/>
          </cell>
          <cell r="L6642" t="str">
            <v/>
          </cell>
        </row>
        <row r="6643">
          <cell r="A6643">
            <v>34000000</v>
          </cell>
          <cell r="C6643">
            <v>34000000</v>
          </cell>
          <cell r="D6643">
            <v>34000000</v>
          </cell>
          <cell r="E6643">
            <v>34000000</v>
          </cell>
          <cell r="F6643">
            <v>34000000</v>
          </cell>
          <cell r="G6643">
            <v>34000000</v>
          </cell>
          <cell r="H6643">
            <v>34000000</v>
          </cell>
          <cell r="I6643" t="str">
            <v/>
          </cell>
          <cell r="J6643" t="str">
            <v/>
          </cell>
          <cell r="K6643" t="str">
            <v/>
          </cell>
          <cell r="L6643" t="str">
            <v/>
          </cell>
        </row>
        <row r="6644">
          <cell r="A6644">
            <v>34000000</v>
          </cell>
          <cell r="C6644">
            <v>34000000</v>
          </cell>
          <cell r="D6644">
            <v>34000000</v>
          </cell>
          <cell r="E6644">
            <v>34000000</v>
          </cell>
          <cell r="F6644">
            <v>34000000</v>
          </cell>
          <cell r="G6644">
            <v>34000000</v>
          </cell>
          <cell r="H6644">
            <v>34000000</v>
          </cell>
          <cell r="I6644" t="str">
            <v/>
          </cell>
          <cell r="J6644" t="str">
            <v/>
          </cell>
          <cell r="K6644" t="str">
            <v/>
          </cell>
          <cell r="L6644" t="str">
            <v/>
          </cell>
        </row>
        <row r="6645">
          <cell r="A6645">
            <v>34000000</v>
          </cell>
          <cell r="C6645">
            <v>34000000</v>
          </cell>
          <cell r="D6645">
            <v>34000000</v>
          </cell>
          <cell r="E6645">
            <v>34000000</v>
          </cell>
          <cell r="F6645">
            <v>34000000</v>
          </cell>
          <cell r="G6645">
            <v>34000000</v>
          </cell>
          <cell r="H6645">
            <v>34000000</v>
          </cell>
          <cell r="I6645" t="str">
            <v/>
          </cell>
          <cell r="J6645" t="str">
            <v/>
          </cell>
          <cell r="K6645" t="str">
            <v/>
          </cell>
          <cell r="L6645" t="str">
            <v/>
          </cell>
        </row>
        <row r="6646">
          <cell r="A6646">
            <v>34000000</v>
          </cell>
          <cell r="C6646">
            <v>34000000</v>
          </cell>
          <cell r="D6646">
            <v>34000000</v>
          </cell>
          <cell r="E6646">
            <v>34000000</v>
          </cell>
          <cell r="F6646">
            <v>34000000</v>
          </cell>
          <cell r="G6646">
            <v>34000000</v>
          </cell>
          <cell r="H6646">
            <v>34000000</v>
          </cell>
          <cell r="I6646" t="str">
            <v/>
          </cell>
          <cell r="J6646" t="str">
            <v/>
          </cell>
          <cell r="K6646" t="str">
            <v/>
          </cell>
          <cell r="L6646" t="str">
            <v/>
          </cell>
        </row>
        <row r="6647">
          <cell r="A6647">
            <v>34000000</v>
          </cell>
          <cell r="C6647">
            <v>34000000</v>
          </cell>
          <cell r="D6647">
            <v>34000000</v>
          </cell>
          <cell r="E6647">
            <v>34000000</v>
          </cell>
          <cell r="F6647">
            <v>34000000</v>
          </cell>
          <cell r="G6647">
            <v>34000000</v>
          </cell>
          <cell r="H6647">
            <v>34000000</v>
          </cell>
          <cell r="I6647" t="str">
            <v/>
          </cell>
          <cell r="J6647" t="str">
            <v/>
          </cell>
          <cell r="K6647" t="str">
            <v/>
          </cell>
          <cell r="L6647" t="str">
            <v/>
          </cell>
        </row>
        <row r="6648">
          <cell r="A6648">
            <v>34000000</v>
          </cell>
          <cell r="C6648">
            <v>34000000</v>
          </cell>
          <cell r="D6648">
            <v>34000000</v>
          </cell>
          <cell r="E6648">
            <v>34000000</v>
          </cell>
          <cell r="F6648">
            <v>34000000</v>
          </cell>
          <cell r="G6648">
            <v>34000000</v>
          </cell>
          <cell r="H6648">
            <v>34000000</v>
          </cell>
          <cell r="I6648" t="str">
            <v/>
          </cell>
          <cell r="J6648" t="str">
            <v/>
          </cell>
          <cell r="K6648" t="str">
            <v/>
          </cell>
          <cell r="L6648" t="str">
            <v/>
          </cell>
        </row>
        <row r="6649">
          <cell r="A6649">
            <v>34000000</v>
          </cell>
          <cell r="C6649">
            <v>34000000</v>
          </cell>
          <cell r="D6649">
            <v>34000000</v>
          </cell>
          <cell r="E6649">
            <v>34000000</v>
          </cell>
          <cell r="F6649">
            <v>34000000</v>
          </cell>
          <cell r="G6649">
            <v>34000000</v>
          </cell>
          <cell r="H6649">
            <v>34000000</v>
          </cell>
          <cell r="I6649" t="str">
            <v/>
          </cell>
          <cell r="J6649" t="str">
            <v/>
          </cell>
          <cell r="K6649" t="str">
            <v/>
          </cell>
          <cell r="L6649" t="str">
            <v/>
          </cell>
        </row>
        <row r="6650">
          <cell r="A6650">
            <v>34000000</v>
          </cell>
          <cell r="C6650">
            <v>34000000</v>
          </cell>
          <cell r="D6650">
            <v>34000000</v>
          </cell>
          <cell r="E6650">
            <v>34000000</v>
          </cell>
          <cell r="F6650">
            <v>34000000</v>
          </cell>
          <cell r="G6650">
            <v>34000000</v>
          </cell>
          <cell r="H6650">
            <v>34000000</v>
          </cell>
          <cell r="I6650" t="str">
            <v/>
          </cell>
          <cell r="J6650" t="str">
            <v/>
          </cell>
          <cell r="K6650" t="str">
            <v/>
          </cell>
          <cell r="L6650" t="str">
            <v/>
          </cell>
        </row>
        <row r="6651">
          <cell r="A6651">
            <v>34000000</v>
          </cell>
          <cell r="C6651">
            <v>34000000</v>
          </cell>
          <cell r="D6651">
            <v>34000000</v>
          </cell>
          <cell r="E6651">
            <v>34000000</v>
          </cell>
          <cell r="F6651">
            <v>34000000</v>
          </cell>
          <cell r="G6651">
            <v>34000000</v>
          </cell>
          <cell r="H6651">
            <v>34000000</v>
          </cell>
          <cell r="I6651" t="str">
            <v/>
          </cell>
          <cell r="J6651" t="str">
            <v/>
          </cell>
          <cell r="K6651" t="str">
            <v/>
          </cell>
          <cell r="L6651" t="str">
            <v/>
          </cell>
        </row>
        <row r="6652">
          <cell r="A6652">
            <v>34000000</v>
          </cell>
          <cell r="C6652">
            <v>34000000</v>
          </cell>
          <cell r="D6652">
            <v>34000000</v>
          </cell>
          <cell r="E6652">
            <v>34000000</v>
          </cell>
          <cell r="F6652">
            <v>34000000</v>
          </cell>
          <cell r="G6652">
            <v>34000000</v>
          </cell>
          <cell r="H6652">
            <v>34000000</v>
          </cell>
          <cell r="I6652" t="str">
            <v/>
          </cell>
          <cell r="J6652" t="str">
            <v/>
          </cell>
          <cell r="K6652" t="str">
            <v/>
          </cell>
          <cell r="L6652" t="str">
            <v/>
          </cell>
        </row>
        <row r="6653">
          <cell r="A6653">
            <v>34000000</v>
          </cell>
          <cell r="C6653">
            <v>34000000</v>
          </cell>
          <cell r="D6653">
            <v>34000000</v>
          </cell>
          <cell r="E6653">
            <v>34000000</v>
          </cell>
          <cell r="F6653">
            <v>34000000</v>
          </cell>
          <cell r="G6653">
            <v>34000000</v>
          </cell>
          <cell r="H6653">
            <v>34000000</v>
          </cell>
          <cell r="I6653" t="str">
            <v/>
          </cell>
          <cell r="J6653" t="str">
            <v/>
          </cell>
          <cell r="K6653" t="str">
            <v/>
          </cell>
          <cell r="L6653" t="str">
            <v/>
          </cell>
        </row>
        <row r="6654">
          <cell r="A6654">
            <v>34000000</v>
          </cell>
          <cell r="C6654">
            <v>34000000</v>
          </cell>
          <cell r="D6654">
            <v>34000000</v>
          </cell>
          <cell r="E6654">
            <v>34000000</v>
          </cell>
          <cell r="F6654">
            <v>34000000</v>
          </cell>
          <cell r="G6654">
            <v>34000000</v>
          </cell>
          <cell r="H6654">
            <v>34000000</v>
          </cell>
          <cell r="I6654" t="str">
            <v/>
          </cell>
          <cell r="J6654" t="str">
            <v/>
          </cell>
          <cell r="K6654" t="str">
            <v/>
          </cell>
          <cell r="L6654" t="str">
            <v/>
          </cell>
        </row>
        <row r="6655">
          <cell r="A6655">
            <v>34000000</v>
          </cell>
          <cell r="C6655">
            <v>34000000</v>
          </cell>
          <cell r="D6655">
            <v>34000000</v>
          </cell>
          <cell r="E6655">
            <v>34000000</v>
          </cell>
          <cell r="F6655">
            <v>34000000</v>
          </cell>
          <cell r="G6655">
            <v>34000000</v>
          </cell>
          <cell r="H6655">
            <v>34000000</v>
          </cell>
          <cell r="I6655" t="str">
            <v/>
          </cell>
          <cell r="J6655" t="str">
            <v/>
          </cell>
          <cell r="K6655" t="str">
            <v/>
          </cell>
          <cell r="L6655" t="str">
            <v/>
          </cell>
        </row>
        <row r="6656">
          <cell r="A6656">
            <v>34000000</v>
          </cell>
          <cell r="C6656">
            <v>34000000</v>
          </cell>
          <cell r="D6656">
            <v>34000000</v>
          </cell>
          <cell r="E6656">
            <v>34000000</v>
          </cell>
          <cell r="F6656">
            <v>34000000</v>
          </cell>
          <cell r="G6656">
            <v>34000000</v>
          </cell>
          <cell r="H6656">
            <v>34000000</v>
          </cell>
          <cell r="I6656" t="str">
            <v/>
          </cell>
          <cell r="J6656" t="str">
            <v/>
          </cell>
          <cell r="K6656" t="str">
            <v/>
          </cell>
          <cell r="L6656" t="str">
            <v/>
          </cell>
        </row>
        <row r="6657">
          <cell r="A6657">
            <v>34000000</v>
          </cell>
          <cell r="C6657">
            <v>34000000</v>
          </cell>
          <cell r="D6657">
            <v>34000000</v>
          </cell>
          <cell r="E6657">
            <v>34000000</v>
          </cell>
          <cell r="F6657">
            <v>34000000</v>
          </cell>
          <cell r="G6657">
            <v>34000000</v>
          </cell>
          <cell r="H6657">
            <v>34000000</v>
          </cell>
          <cell r="I6657" t="str">
            <v/>
          </cell>
          <cell r="J6657" t="str">
            <v/>
          </cell>
          <cell r="K6657" t="str">
            <v/>
          </cell>
          <cell r="L6657" t="str">
            <v/>
          </cell>
        </row>
        <row r="6658">
          <cell r="A6658">
            <v>34000000</v>
          </cell>
          <cell r="C6658">
            <v>34000000</v>
          </cell>
          <cell r="D6658">
            <v>34000000</v>
          </cell>
          <cell r="E6658">
            <v>34000000</v>
          </cell>
          <cell r="F6658">
            <v>34000000</v>
          </cell>
          <cell r="G6658">
            <v>34000000</v>
          </cell>
          <cell r="H6658">
            <v>34000000</v>
          </cell>
          <cell r="I6658" t="str">
            <v/>
          </cell>
          <cell r="J6658" t="str">
            <v/>
          </cell>
          <cell r="K6658" t="str">
            <v/>
          </cell>
          <cell r="L6658" t="str">
            <v/>
          </cell>
        </row>
        <row r="6659">
          <cell r="A6659">
            <v>34000000</v>
          </cell>
          <cell r="C6659">
            <v>34000000</v>
          </cell>
          <cell r="D6659">
            <v>34000000</v>
          </cell>
          <cell r="E6659">
            <v>34000000</v>
          </cell>
          <cell r="F6659">
            <v>34000000</v>
          </cell>
          <cell r="G6659">
            <v>34000000</v>
          </cell>
          <cell r="H6659">
            <v>34000000</v>
          </cell>
          <cell r="I6659" t="str">
            <v/>
          </cell>
          <cell r="J6659" t="str">
            <v/>
          </cell>
          <cell r="K6659" t="str">
            <v/>
          </cell>
          <cell r="L6659" t="str">
            <v/>
          </cell>
        </row>
        <row r="6660">
          <cell r="A6660">
            <v>34000000</v>
          </cell>
          <cell r="C6660">
            <v>34000000</v>
          </cell>
          <cell r="D6660">
            <v>34000000</v>
          </cell>
          <cell r="E6660">
            <v>34000000</v>
          </cell>
          <cell r="F6660">
            <v>34000000</v>
          </cell>
          <cell r="G6660">
            <v>34000000</v>
          </cell>
          <cell r="H6660">
            <v>34000000</v>
          </cell>
          <cell r="I6660" t="str">
            <v/>
          </cell>
          <cell r="J6660" t="str">
            <v/>
          </cell>
          <cell r="K6660" t="str">
            <v/>
          </cell>
          <cell r="L6660" t="str">
            <v/>
          </cell>
        </row>
        <row r="6661">
          <cell r="A6661">
            <v>34000000</v>
          </cell>
          <cell r="C6661">
            <v>34000000</v>
          </cell>
          <cell r="D6661">
            <v>34000000</v>
          </cell>
          <cell r="E6661">
            <v>34000000</v>
          </cell>
          <cell r="F6661">
            <v>34000000</v>
          </cell>
          <cell r="G6661">
            <v>34000000</v>
          </cell>
          <cell r="H6661">
            <v>34000000</v>
          </cell>
          <cell r="I6661" t="str">
            <v/>
          </cell>
          <cell r="J6661" t="str">
            <v/>
          </cell>
          <cell r="K6661" t="str">
            <v/>
          </cell>
          <cell r="L6661" t="str">
            <v/>
          </cell>
        </row>
        <row r="6662">
          <cell r="A6662">
            <v>34000000</v>
          </cell>
          <cell r="C6662">
            <v>34000000</v>
          </cell>
          <cell r="D6662">
            <v>34000000</v>
          </cell>
          <cell r="E6662">
            <v>34000000</v>
          </cell>
          <cell r="F6662">
            <v>34000000</v>
          </cell>
          <cell r="G6662">
            <v>34000000</v>
          </cell>
          <cell r="H6662">
            <v>34000000</v>
          </cell>
          <cell r="I6662" t="str">
            <v/>
          </cell>
          <cell r="J6662" t="str">
            <v/>
          </cell>
          <cell r="K6662" t="str">
            <v/>
          </cell>
          <cell r="L6662" t="str">
            <v/>
          </cell>
        </row>
        <row r="6663">
          <cell r="A6663">
            <v>34000000</v>
          </cell>
          <cell r="C6663">
            <v>34000000</v>
          </cell>
          <cell r="D6663">
            <v>34000000</v>
          </cell>
          <cell r="E6663">
            <v>34000000</v>
          </cell>
          <cell r="F6663">
            <v>34000000</v>
          </cell>
          <cell r="G6663">
            <v>34000000</v>
          </cell>
          <cell r="H6663">
            <v>34000000</v>
          </cell>
          <cell r="I6663" t="str">
            <v/>
          </cell>
          <cell r="J6663" t="str">
            <v/>
          </cell>
          <cell r="K6663" t="str">
            <v/>
          </cell>
          <cell r="L6663" t="str">
            <v/>
          </cell>
        </row>
        <row r="6664">
          <cell r="A6664">
            <v>34000000</v>
          </cell>
          <cell r="C6664">
            <v>34000000</v>
          </cell>
          <cell r="D6664">
            <v>34000000</v>
          </cell>
          <cell r="E6664">
            <v>34000000</v>
          </cell>
          <cell r="F6664">
            <v>34000000</v>
          </cell>
          <cell r="G6664">
            <v>34000000</v>
          </cell>
          <cell r="H6664">
            <v>34000000</v>
          </cell>
          <cell r="I6664" t="str">
            <v/>
          </cell>
          <cell r="J6664" t="str">
            <v/>
          </cell>
          <cell r="K6664" t="str">
            <v/>
          </cell>
          <cell r="L6664" t="str">
            <v/>
          </cell>
        </row>
        <row r="6665">
          <cell r="A6665">
            <v>34000000</v>
          </cell>
          <cell r="C6665">
            <v>34000000</v>
          </cell>
          <cell r="D6665">
            <v>34000000</v>
          </cell>
          <cell r="E6665">
            <v>34000000</v>
          </cell>
          <cell r="F6665">
            <v>34000000</v>
          </cell>
          <cell r="G6665">
            <v>34000000</v>
          </cell>
          <cell r="H6665">
            <v>34000000</v>
          </cell>
          <cell r="I6665" t="str">
            <v/>
          </cell>
          <cell r="J6665" t="str">
            <v/>
          </cell>
          <cell r="K6665" t="str">
            <v/>
          </cell>
          <cell r="L6665" t="str">
            <v/>
          </cell>
        </row>
        <row r="6666">
          <cell r="A6666">
            <v>34000000</v>
          </cell>
          <cell r="C6666">
            <v>34000000</v>
          </cell>
          <cell r="D6666">
            <v>34000000</v>
          </cell>
          <cell r="E6666">
            <v>34000000</v>
          </cell>
          <cell r="F6666">
            <v>34000000</v>
          </cell>
          <cell r="G6666">
            <v>34000000</v>
          </cell>
          <cell r="H6666">
            <v>34000000</v>
          </cell>
          <cell r="I6666" t="str">
            <v/>
          </cell>
          <cell r="J6666" t="str">
            <v/>
          </cell>
          <cell r="K6666" t="str">
            <v/>
          </cell>
          <cell r="L6666" t="str">
            <v/>
          </cell>
        </row>
        <row r="6667">
          <cell r="A6667">
            <v>34000000</v>
          </cell>
          <cell r="C6667">
            <v>34000000</v>
          </cell>
          <cell r="D6667">
            <v>34000000</v>
          </cell>
          <cell r="E6667">
            <v>34000000</v>
          </cell>
          <cell r="F6667">
            <v>34000000</v>
          </cell>
          <cell r="G6667">
            <v>34000000</v>
          </cell>
          <cell r="H6667">
            <v>34000000</v>
          </cell>
          <cell r="I6667" t="str">
            <v/>
          </cell>
          <cell r="J6667" t="str">
            <v/>
          </cell>
          <cell r="K6667" t="str">
            <v/>
          </cell>
          <cell r="L6667" t="str">
            <v/>
          </cell>
        </row>
        <row r="6668">
          <cell r="A6668">
            <v>34000000</v>
          </cell>
          <cell r="C6668">
            <v>34000000</v>
          </cell>
          <cell r="D6668">
            <v>34000000</v>
          </cell>
          <cell r="E6668">
            <v>34000000</v>
          </cell>
          <cell r="F6668">
            <v>34000000</v>
          </cell>
          <cell r="G6668">
            <v>34000000</v>
          </cell>
          <cell r="H6668">
            <v>34000000</v>
          </cell>
          <cell r="I6668" t="str">
            <v/>
          </cell>
          <cell r="J6668" t="str">
            <v/>
          </cell>
          <cell r="K6668" t="str">
            <v/>
          </cell>
          <cell r="L6668" t="str">
            <v/>
          </cell>
        </row>
        <row r="6669">
          <cell r="A6669">
            <v>34000000</v>
          </cell>
          <cell r="C6669">
            <v>34000000</v>
          </cell>
          <cell r="D6669">
            <v>34000000</v>
          </cell>
          <cell r="E6669">
            <v>34000000</v>
          </cell>
          <cell r="F6669">
            <v>34000000</v>
          </cell>
          <cell r="G6669">
            <v>34000000</v>
          </cell>
          <cell r="H6669">
            <v>34000000</v>
          </cell>
          <cell r="I6669" t="str">
            <v/>
          </cell>
          <cell r="J6669" t="str">
            <v/>
          </cell>
          <cell r="K6669" t="str">
            <v/>
          </cell>
          <cell r="L6669" t="str">
            <v/>
          </cell>
        </row>
        <row r="6670">
          <cell r="A6670">
            <v>34000000</v>
          </cell>
          <cell r="C6670">
            <v>34000000</v>
          </cell>
          <cell r="D6670">
            <v>34000000</v>
          </cell>
          <cell r="E6670">
            <v>34000000</v>
          </cell>
          <cell r="F6670">
            <v>34000000</v>
          </cell>
          <cell r="G6670">
            <v>34000000</v>
          </cell>
          <cell r="H6670">
            <v>34000000</v>
          </cell>
          <cell r="I6670" t="str">
            <v/>
          </cell>
          <cell r="J6670" t="str">
            <v/>
          </cell>
          <cell r="K6670" t="str">
            <v/>
          </cell>
          <cell r="L6670" t="str">
            <v/>
          </cell>
        </row>
        <row r="6671">
          <cell r="A6671">
            <v>34000000</v>
          </cell>
          <cell r="C6671">
            <v>34000000</v>
          </cell>
          <cell r="D6671">
            <v>34000000</v>
          </cell>
          <cell r="E6671">
            <v>34000000</v>
          </cell>
          <cell r="F6671">
            <v>34000000</v>
          </cell>
          <cell r="G6671">
            <v>34000000</v>
          </cell>
          <cell r="H6671">
            <v>34000000</v>
          </cell>
          <cell r="I6671" t="str">
            <v/>
          </cell>
          <cell r="J6671" t="str">
            <v/>
          </cell>
          <cell r="K6671" t="str">
            <v/>
          </cell>
          <cell r="L6671" t="str">
            <v/>
          </cell>
        </row>
        <row r="6672">
          <cell r="A6672">
            <v>34000000</v>
          </cell>
          <cell r="C6672">
            <v>34000000</v>
          </cell>
          <cell r="D6672">
            <v>34000000</v>
          </cell>
          <cell r="E6672">
            <v>34000000</v>
          </cell>
          <cell r="F6672">
            <v>34000000</v>
          </cell>
          <cell r="G6672">
            <v>34000000</v>
          </cell>
          <cell r="H6672">
            <v>34000000</v>
          </cell>
          <cell r="I6672" t="str">
            <v/>
          </cell>
          <cell r="J6672" t="str">
            <v/>
          </cell>
          <cell r="K6672" t="str">
            <v/>
          </cell>
          <cell r="L6672" t="str">
            <v/>
          </cell>
        </row>
        <row r="6673">
          <cell r="A6673">
            <v>34000000</v>
          </cell>
          <cell r="C6673">
            <v>34000000</v>
          </cell>
          <cell r="D6673">
            <v>34000000</v>
          </cell>
          <cell r="E6673">
            <v>34000000</v>
          </cell>
          <cell r="F6673">
            <v>34000000</v>
          </cell>
          <cell r="G6673">
            <v>34000000</v>
          </cell>
          <cell r="H6673">
            <v>34000000</v>
          </cell>
          <cell r="I6673" t="str">
            <v/>
          </cell>
          <cell r="J6673" t="str">
            <v/>
          </cell>
          <cell r="K6673" t="str">
            <v/>
          </cell>
          <cell r="L6673" t="str">
            <v/>
          </cell>
        </row>
        <row r="6674">
          <cell r="A6674">
            <v>34000000</v>
          </cell>
          <cell r="C6674">
            <v>34000000</v>
          </cell>
          <cell r="D6674">
            <v>34000000</v>
          </cell>
          <cell r="E6674">
            <v>34000000</v>
          </cell>
          <cell r="F6674">
            <v>34000000</v>
          </cell>
          <cell r="G6674">
            <v>34000000</v>
          </cell>
          <cell r="H6674">
            <v>34000000</v>
          </cell>
          <cell r="I6674" t="str">
            <v/>
          </cell>
          <cell r="J6674" t="str">
            <v/>
          </cell>
          <cell r="K6674" t="str">
            <v/>
          </cell>
          <cell r="L6674" t="str">
            <v/>
          </cell>
        </row>
        <row r="6675">
          <cell r="A6675">
            <v>34000000</v>
          </cell>
          <cell r="C6675">
            <v>34000000</v>
          </cell>
          <cell r="D6675">
            <v>34000000</v>
          </cell>
          <cell r="E6675">
            <v>34000000</v>
          </cell>
          <cell r="F6675">
            <v>34000000</v>
          </cell>
          <cell r="G6675">
            <v>34000000</v>
          </cell>
          <cell r="H6675">
            <v>34000000</v>
          </cell>
          <cell r="I6675" t="str">
            <v/>
          </cell>
          <cell r="J6675" t="str">
            <v/>
          </cell>
          <cell r="K6675" t="str">
            <v/>
          </cell>
          <cell r="L6675" t="str">
            <v/>
          </cell>
        </row>
        <row r="6676">
          <cell r="A6676">
            <v>34000000</v>
          </cell>
          <cell r="C6676">
            <v>34000000</v>
          </cell>
          <cell r="D6676">
            <v>34000000</v>
          </cell>
          <cell r="E6676">
            <v>34000000</v>
          </cell>
          <cell r="F6676">
            <v>34000000</v>
          </cell>
          <cell r="G6676">
            <v>34000000</v>
          </cell>
          <cell r="H6676">
            <v>34000000</v>
          </cell>
          <cell r="I6676" t="str">
            <v/>
          </cell>
          <cell r="J6676" t="str">
            <v/>
          </cell>
          <cell r="K6676" t="str">
            <v/>
          </cell>
          <cell r="L6676" t="str">
            <v/>
          </cell>
        </row>
        <row r="6677">
          <cell r="A6677">
            <v>34000000</v>
          </cell>
          <cell r="C6677">
            <v>34000000</v>
          </cell>
          <cell r="D6677">
            <v>34000000</v>
          </cell>
          <cell r="E6677">
            <v>34000000</v>
          </cell>
          <cell r="F6677">
            <v>34000000</v>
          </cell>
          <cell r="G6677">
            <v>34000000</v>
          </cell>
          <cell r="H6677">
            <v>34000000</v>
          </cell>
          <cell r="I6677" t="str">
            <v/>
          </cell>
          <cell r="J6677" t="str">
            <v/>
          </cell>
          <cell r="K6677" t="str">
            <v/>
          </cell>
          <cell r="L6677" t="str">
            <v/>
          </cell>
        </row>
        <row r="6678">
          <cell r="A6678">
            <v>34000000</v>
          </cell>
          <cell r="C6678">
            <v>34000000</v>
          </cell>
          <cell r="D6678">
            <v>34000000</v>
          </cell>
          <cell r="E6678">
            <v>34000000</v>
          </cell>
          <cell r="F6678">
            <v>34000000</v>
          </cell>
          <cell r="G6678">
            <v>34000000</v>
          </cell>
          <cell r="H6678">
            <v>34000000</v>
          </cell>
          <cell r="I6678" t="str">
            <v/>
          </cell>
          <cell r="J6678" t="str">
            <v/>
          </cell>
          <cell r="K6678" t="str">
            <v/>
          </cell>
          <cell r="L6678" t="str">
            <v/>
          </cell>
        </row>
        <row r="6679">
          <cell r="A6679">
            <v>34000000</v>
          </cell>
          <cell r="C6679">
            <v>34000000</v>
          </cell>
          <cell r="D6679">
            <v>34000000</v>
          </cell>
          <cell r="E6679">
            <v>34000000</v>
          </cell>
          <cell r="F6679">
            <v>34000000</v>
          </cell>
          <cell r="G6679">
            <v>34000000</v>
          </cell>
          <cell r="H6679">
            <v>34000000</v>
          </cell>
          <cell r="I6679" t="str">
            <v/>
          </cell>
          <cell r="J6679" t="str">
            <v/>
          </cell>
          <cell r="K6679" t="str">
            <v/>
          </cell>
          <cell r="L6679" t="str">
            <v/>
          </cell>
        </row>
        <row r="6680">
          <cell r="A6680">
            <v>34000000</v>
          </cell>
          <cell r="C6680">
            <v>34000000</v>
          </cell>
          <cell r="D6680">
            <v>34000000</v>
          </cell>
          <cell r="E6680">
            <v>34000000</v>
          </cell>
          <cell r="F6680">
            <v>34000000</v>
          </cell>
          <cell r="G6680">
            <v>34000000</v>
          </cell>
          <cell r="H6680">
            <v>34000000</v>
          </cell>
          <cell r="I6680" t="str">
            <v/>
          </cell>
          <cell r="J6680" t="str">
            <v/>
          </cell>
          <cell r="K6680" t="str">
            <v/>
          </cell>
          <cell r="L6680" t="str">
            <v/>
          </cell>
        </row>
        <row r="6681">
          <cell r="A6681">
            <v>34000000</v>
          </cell>
          <cell r="C6681">
            <v>34000000</v>
          </cell>
          <cell r="D6681">
            <v>34000000</v>
          </cell>
          <cell r="E6681">
            <v>34000000</v>
          </cell>
          <cell r="F6681">
            <v>34000000</v>
          </cell>
          <cell r="G6681">
            <v>34000000</v>
          </cell>
          <cell r="H6681">
            <v>34000000</v>
          </cell>
          <cell r="I6681" t="str">
            <v/>
          </cell>
          <cell r="J6681" t="str">
            <v/>
          </cell>
          <cell r="K6681" t="str">
            <v/>
          </cell>
          <cell r="L6681" t="str">
            <v/>
          </cell>
        </row>
        <row r="6682">
          <cell r="A6682">
            <v>34000000</v>
          </cell>
          <cell r="C6682">
            <v>34000000</v>
          </cell>
          <cell r="D6682">
            <v>34000000</v>
          </cell>
          <cell r="E6682">
            <v>34000000</v>
          </cell>
          <cell r="F6682">
            <v>34000000</v>
          </cell>
          <cell r="G6682">
            <v>34000000</v>
          </cell>
          <cell r="H6682">
            <v>34000000</v>
          </cell>
          <cell r="I6682" t="str">
            <v/>
          </cell>
          <cell r="J6682" t="str">
            <v/>
          </cell>
          <cell r="K6682" t="str">
            <v/>
          </cell>
          <cell r="L6682" t="str">
            <v/>
          </cell>
        </row>
        <row r="6683">
          <cell r="A6683">
            <v>34000000</v>
          </cell>
          <cell r="C6683">
            <v>34000000</v>
          </cell>
          <cell r="D6683">
            <v>34000000</v>
          </cell>
          <cell r="E6683">
            <v>34000000</v>
          </cell>
          <cell r="F6683">
            <v>34000000</v>
          </cell>
          <cell r="G6683">
            <v>34000000</v>
          </cell>
          <cell r="H6683">
            <v>34000000</v>
          </cell>
          <cell r="I6683" t="str">
            <v/>
          </cell>
          <cell r="J6683" t="str">
            <v/>
          </cell>
          <cell r="K6683" t="str">
            <v/>
          </cell>
          <cell r="L6683" t="str">
            <v/>
          </cell>
        </row>
        <row r="6684">
          <cell r="A6684">
            <v>34000000</v>
          </cell>
          <cell r="C6684">
            <v>34000000</v>
          </cell>
          <cell r="D6684">
            <v>34000000</v>
          </cell>
          <cell r="E6684">
            <v>34000000</v>
          </cell>
          <cell r="F6684">
            <v>34000000</v>
          </cell>
          <cell r="G6684">
            <v>34000000</v>
          </cell>
          <cell r="H6684">
            <v>34000000</v>
          </cell>
          <cell r="I6684" t="str">
            <v/>
          </cell>
          <cell r="J6684" t="str">
            <v/>
          </cell>
          <cell r="K6684" t="str">
            <v/>
          </cell>
          <cell r="L6684" t="str">
            <v/>
          </cell>
        </row>
        <row r="6685">
          <cell r="A6685">
            <v>34000000</v>
          </cell>
          <cell r="C6685">
            <v>34000000</v>
          </cell>
          <cell r="D6685">
            <v>34000000</v>
          </cell>
          <cell r="E6685">
            <v>34000000</v>
          </cell>
          <cell r="F6685">
            <v>34000000</v>
          </cell>
          <cell r="G6685">
            <v>34000000</v>
          </cell>
          <cell r="H6685">
            <v>34000000</v>
          </cell>
          <cell r="I6685" t="str">
            <v/>
          </cell>
          <cell r="J6685" t="str">
            <v/>
          </cell>
          <cell r="K6685" t="str">
            <v/>
          </cell>
          <cell r="L6685" t="str">
            <v/>
          </cell>
        </row>
        <row r="6686">
          <cell r="A6686">
            <v>34000000</v>
          </cell>
          <cell r="C6686">
            <v>34000000</v>
          </cell>
          <cell r="D6686">
            <v>34000000</v>
          </cell>
          <cell r="E6686">
            <v>34000000</v>
          </cell>
          <cell r="F6686">
            <v>34000000</v>
          </cell>
          <cell r="G6686">
            <v>34000000</v>
          </cell>
          <cell r="H6686">
            <v>34000000</v>
          </cell>
          <cell r="I6686" t="str">
            <v/>
          </cell>
          <cell r="J6686" t="str">
            <v/>
          </cell>
          <cell r="K6686" t="str">
            <v/>
          </cell>
          <cell r="L6686" t="str">
            <v/>
          </cell>
        </row>
        <row r="6687">
          <cell r="A6687">
            <v>34000000</v>
          </cell>
          <cell r="C6687">
            <v>34000000</v>
          </cell>
          <cell r="D6687">
            <v>34000000</v>
          </cell>
          <cell r="E6687">
            <v>34000000</v>
          </cell>
          <cell r="F6687">
            <v>34000000</v>
          </cell>
          <cell r="G6687">
            <v>34000000</v>
          </cell>
          <cell r="H6687">
            <v>34000000</v>
          </cell>
          <cell r="I6687" t="str">
            <v/>
          </cell>
          <cell r="J6687" t="str">
            <v/>
          </cell>
          <cell r="K6687" t="str">
            <v/>
          </cell>
          <cell r="L6687" t="str">
            <v/>
          </cell>
        </row>
        <row r="6688">
          <cell r="A6688">
            <v>34000000</v>
          </cell>
          <cell r="C6688">
            <v>34000000</v>
          </cell>
          <cell r="D6688">
            <v>34000000</v>
          </cell>
          <cell r="E6688">
            <v>34000000</v>
          </cell>
          <cell r="F6688">
            <v>34000000</v>
          </cell>
          <cell r="G6688">
            <v>34000000</v>
          </cell>
          <cell r="H6688">
            <v>34000000</v>
          </cell>
          <cell r="I6688" t="str">
            <v/>
          </cell>
          <cell r="J6688" t="str">
            <v/>
          </cell>
          <cell r="K6688" t="str">
            <v/>
          </cell>
          <cell r="L6688" t="str">
            <v/>
          </cell>
        </row>
        <row r="6689">
          <cell r="A6689">
            <v>34000000</v>
          </cell>
          <cell r="C6689">
            <v>34000000</v>
          </cell>
          <cell r="D6689">
            <v>34000000</v>
          </cell>
          <cell r="E6689">
            <v>34000000</v>
          </cell>
          <cell r="F6689">
            <v>34000000</v>
          </cell>
          <cell r="G6689">
            <v>34000000</v>
          </cell>
          <cell r="H6689">
            <v>34000000</v>
          </cell>
          <cell r="I6689" t="str">
            <v/>
          </cell>
          <cell r="J6689" t="str">
            <v/>
          </cell>
          <cell r="K6689" t="str">
            <v/>
          </cell>
          <cell r="L6689" t="str">
            <v/>
          </cell>
        </row>
        <row r="6690">
          <cell r="A6690">
            <v>34000000</v>
          </cell>
          <cell r="C6690">
            <v>34000000</v>
          </cell>
          <cell r="D6690">
            <v>34000000</v>
          </cell>
          <cell r="E6690">
            <v>34000000</v>
          </cell>
          <cell r="F6690">
            <v>34000000</v>
          </cell>
          <cell r="G6690">
            <v>34000000</v>
          </cell>
          <cell r="H6690">
            <v>34000000</v>
          </cell>
          <cell r="I6690" t="str">
            <v/>
          </cell>
          <cell r="J6690" t="str">
            <v/>
          </cell>
          <cell r="K6690" t="str">
            <v/>
          </cell>
          <cell r="L6690" t="str">
            <v/>
          </cell>
        </row>
        <row r="6691">
          <cell r="A6691">
            <v>34000000</v>
          </cell>
          <cell r="C6691">
            <v>34000000</v>
          </cell>
          <cell r="D6691">
            <v>34000000</v>
          </cell>
          <cell r="E6691">
            <v>34000000</v>
          </cell>
          <cell r="F6691">
            <v>34000000</v>
          </cell>
          <cell r="G6691">
            <v>34000000</v>
          </cell>
          <cell r="H6691">
            <v>34000000</v>
          </cell>
          <cell r="I6691" t="str">
            <v/>
          </cell>
          <cell r="J6691" t="str">
            <v/>
          </cell>
          <cell r="K6691" t="str">
            <v/>
          </cell>
          <cell r="L6691" t="str">
            <v/>
          </cell>
        </row>
        <row r="6692">
          <cell r="A6692">
            <v>34000000</v>
          </cell>
          <cell r="C6692">
            <v>34000000</v>
          </cell>
          <cell r="D6692">
            <v>34000000</v>
          </cell>
          <cell r="E6692">
            <v>34000000</v>
          </cell>
          <cell r="F6692">
            <v>34000000</v>
          </cell>
          <cell r="G6692">
            <v>34000000</v>
          </cell>
          <cell r="H6692">
            <v>34000000</v>
          </cell>
          <cell r="I6692" t="str">
            <v/>
          </cell>
          <cell r="J6692" t="str">
            <v/>
          </cell>
          <cell r="K6692" t="str">
            <v/>
          </cell>
          <cell r="L6692" t="str">
            <v/>
          </cell>
        </row>
        <row r="6693">
          <cell r="A6693">
            <v>34000000</v>
          </cell>
          <cell r="C6693">
            <v>34000000</v>
          </cell>
          <cell r="D6693">
            <v>34000000</v>
          </cell>
          <cell r="E6693">
            <v>34000000</v>
          </cell>
          <cell r="F6693">
            <v>34000000</v>
          </cell>
          <cell r="G6693">
            <v>34000000</v>
          </cell>
          <cell r="H6693">
            <v>34000000</v>
          </cell>
          <cell r="I6693" t="str">
            <v/>
          </cell>
          <cell r="J6693" t="str">
            <v/>
          </cell>
          <cell r="K6693" t="str">
            <v/>
          </cell>
          <cell r="L6693" t="str">
            <v/>
          </cell>
        </row>
        <row r="6694">
          <cell r="A6694">
            <v>34000000</v>
          </cell>
          <cell r="C6694">
            <v>34000000</v>
          </cell>
          <cell r="D6694">
            <v>34000000</v>
          </cell>
          <cell r="E6694">
            <v>34000000</v>
          </cell>
          <cell r="F6694">
            <v>34000000</v>
          </cell>
          <cell r="G6694">
            <v>34000000</v>
          </cell>
          <cell r="H6694">
            <v>34000000</v>
          </cell>
          <cell r="I6694" t="str">
            <v/>
          </cell>
          <cell r="J6694" t="str">
            <v/>
          </cell>
          <cell r="K6694" t="str">
            <v/>
          </cell>
          <cell r="L6694" t="str">
            <v/>
          </cell>
        </row>
        <row r="6695">
          <cell r="A6695">
            <v>34000000</v>
          </cell>
          <cell r="C6695">
            <v>34000000</v>
          </cell>
          <cell r="D6695">
            <v>34000000</v>
          </cell>
          <cell r="E6695">
            <v>34000000</v>
          </cell>
          <cell r="F6695">
            <v>34000000</v>
          </cell>
          <cell r="G6695">
            <v>34000000</v>
          </cell>
          <cell r="H6695">
            <v>34000000</v>
          </cell>
          <cell r="I6695" t="str">
            <v/>
          </cell>
          <cell r="J6695" t="str">
            <v/>
          </cell>
          <cell r="K6695" t="str">
            <v/>
          </cell>
          <cell r="L6695" t="str">
            <v/>
          </cell>
        </row>
        <row r="6696">
          <cell r="A6696">
            <v>34000000</v>
          </cell>
          <cell r="C6696">
            <v>34000000</v>
          </cell>
          <cell r="D6696">
            <v>34000000</v>
          </cell>
          <cell r="E6696">
            <v>34000000</v>
          </cell>
          <cell r="F6696">
            <v>34000000</v>
          </cell>
          <cell r="G6696">
            <v>34000000</v>
          </cell>
          <cell r="H6696">
            <v>34000000</v>
          </cell>
          <cell r="I6696" t="str">
            <v/>
          </cell>
          <cell r="J6696" t="str">
            <v/>
          </cell>
          <cell r="K6696" t="str">
            <v/>
          </cell>
          <cell r="L6696" t="str">
            <v/>
          </cell>
        </row>
        <row r="6697">
          <cell r="A6697">
            <v>34000000</v>
          </cell>
          <cell r="C6697">
            <v>34000000</v>
          </cell>
          <cell r="D6697">
            <v>34000000</v>
          </cell>
          <cell r="E6697">
            <v>34000000</v>
          </cell>
          <cell r="F6697">
            <v>34000000</v>
          </cell>
          <cell r="G6697">
            <v>34000000</v>
          </cell>
          <cell r="H6697">
            <v>34000000</v>
          </cell>
          <cell r="I6697" t="str">
            <v/>
          </cell>
          <cell r="J6697" t="str">
            <v/>
          </cell>
          <cell r="K6697" t="str">
            <v/>
          </cell>
          <cell r="L6697" t="str">
            <v/>
          </cell>
        </row>
        <row r="6698">
          <cell r="A6698">
            <v>34000000</v>
          </cell>
          <cell r="C6698">
            <v>34000000</v>
          </cell>
          <cell r="D6698">
            <v>34000000</v>
          </cell>
          <cell r="E6698">
            <v>34000000</v>
          </cell>
          <cell r="F6698">
            <v>34000000</v>
          </cell>
          <cell r="G6698">
            <v>34000000</v>
          </cell>
          <cell r="H6698">
            <v>34000000</v>
          </cell>
          <cell r="I6698" t="str">
            <v/>
          </cell>
          <cell r="J6698" t="str">
            <v/>
          </cell>
          <cell r="K6698" t="str">
            <v/>
          </cell>
          <cell r="L6698" t="str">
            <v/>
          </cell>
        </row>
        <row r="6699">
          <cell r="A6699">
            <v>34000000</v>
          </cell>
          <cell r="C6699">
            <v>34000000</v>
          </cell>
          <cell r="D6699">
            <v>34000000</v>
          </cell>
          <cell r="E6699">
            <v>34000000</v>
          </cell>
          <cell r="F6699">
            <v>34000000</v>
          </cell>
          <cell r="G6699">
            <v>34000000</v>
          </cell>
          <cell r="H6699">
            <v>34000000</v>
          </cell>
          <cell r="I6699" t="str">
            <v/>
          </cell>
          <cell r="J6699" t="str">
            <v/>
          </cell>
          <cell r="K6699" t="str">
            <v/>
          </cell>
          <cell r="L6699" t="str">
            <v/>
          </cell>
        </row>
        <row r="6700">
          <cell r="A6700">
            <v>34000000</v>
          </cell>
          <cell r="C6700">
            <v>34000000</v>
          </cell>
          <cell r="D6700">
            <v>34000000</v>
          </cell>
          <cell r="E6700">
            <v>34000000</v>
          </cell>
          <cell r="F6700">
            <v>34000000</v>
          </cell>
          <cell r="G6700">
            <v>34000000</v>
          </cell>
          <cell r="H6700">
            <v>34000000</v>
          </cell>
          <cell r="I6700" t="str">
            <v/>
          </cell>
          <cell r="J6700" t="str">
            <v/>
          </cell>
          <cell r="K6700" t="str">
            <v/>
          </cell>
          <cell r="L6700" t="str">
            <v/>
          </cell>
        </row>
        <row r="6701">
          <cell r="A6701">
            <v>34000000</v>
          </cell>
          <cell r="C6701">
            <v>34000000</v>
          </cell>
          <cell r="D6701">
            <v>34000000</v>
          </cell>
          <cell r="E6701">
            <v>34000000</v>
          </cell>
          <cell r="F6701">
            <v>34000000</v>
          </cell>
          <cell r="G6701">
            <v>34000000</v>
          </cell>
          <cell r="H6701">
            <v>34000000</v>
          </cell>
          <cell r="I6701" t="str">
            <v/>
          </cell>
          <cell r="J6701" t="str">
            <v/>
          </cell>
          <cell r="K6701" t="str">
            <v/>
          </cell>
          <cell r="L6701" t="str">
            <v/>
          </cell>
        </row>
        <row r="6702">
          <cell r="A6702">
            <v>34000000</v>
          </cell>
          <cell r="C6702">
            <v>34000000</v>
          </cell>
          <cell r="D6702">
            <v>34000000</v>
          </cell>
          <cell r="E6702">
            <v>34000000</v>
          </cell>
          <cell r="F6702">
            <v>34000000</v>
          </cell>
          <cell r="G6702">
            <v>34000000</v>
          </cell>
          <cell r="H6702">
            <v>34000000</v>
          </cell>
          <cell r="I6702" t="str">
            <v/>
          </cell>
          <cell r="J6702" t="str">
            <v/>
          </cell>
          <cell r="K6702" t="str">
            <v/>
          </cell>
          <cell r="L6702" t="str">
            <v/>
          </cell>
        </row>
        <row r="6703">
          <cell r="A6703">
            <v>34000000</v>
          </cell>
          <cell r="C6703">
            <v>34000000</v>
          </cell>
          <cell r="D6703">
            <v>34000000</v>
          </cell>
          <cell r="E6703">
            <v>34000000</v>
          </cell>
          <cell r="F6703">
            <v>34000000</v>
          </cell>
          <cell r="G6703">
            <v>34000000</v>
          </cell>
          <cell r="H6703">
            <v>34000000</v>
          </cell>
          <cell r="I6703" t="str">
            <v/>
          </cell>
          <cell r="J6703" t="str">
            <v/>
          </cell>
          <cell r="K6703" t="str">
            <v/>
          </cell>
          <cell r="L6703" t="str">
            <v/>
          </cell>
        </row>
        <row r="6704">
          <cell r="A6704">
            <v>34000000</v>
          </cell>
          <cell r="C6704">
            <v>34000000</v>
          </cell>
          <cell r="D6704">
            <v>34000000</v>
          </cell>
          <cell r="E6704">
            <v>34000000</v>
          </cell>
          <cell r="F6704">
            <v>34000000</v>
          </cell>
          <cell r="G6704">
            <v>34000000</v>
          </cell>
          <cell r="H6704">
            <v>34000000</v>
          </cell>
          <cell r="I6704" t="str">
            <v/>
          </cell>
          <cell r="J6704" t="str">
            <v/>
          </cell>
          <cell r="K6704" t="str">
            <v/>
          </cell>
          <cell r="L6704" t="str">
            <v/>
          </cell>
        </row>
        <row r="6705">
          <cell r="A6705">
            <v>34000000</v>
          </cell>
          <cell r="C6705">
            <v>34000000</v>
          </cell>
          <cell r="D6705">
            <v>34000000</v>
          </cell>
          <cell r="E6705">
            <v>34000000</v>
          </cell>
          <cell r="F6705">
            <v>34000000</v>
          </cell>
          <cell r="G6705">
            <v>34000000</v>
          </cell>
          <cell r="H6705">
            <v>34000000</v>
          </cell>
          <cell r="I6705" t="str">
            <v/>
          </cell>
          <cell r="J6705" t="str">
            <v/>
          </cell>
          <cell r="K6705" t="str">
            <v/>
          </cell>
          <cell r="L6705" t="str">
            <v/>
          </cell>
        </row>
        <row r="6706">
          <cell r="A6706">
            <v>34000000</v>
          </cell>
          <cell r="C6706">
            <v>34000000</v>
          </cell>
          <cell r="D6706">
            <v>34000000</v>
          </cell>
          <cell r="E6706">
            <v>34000000</v>
          </cell>
          <cell r="F6706">
            <v>34000000</v>
          </cell>
          <cell r="G6706">
            <v>34000000</v>
          </cell>
          <cell r="H6706">
            <v>34000000</v>
          </cell>
          <cell r="I6706" t="str">
            <v/>
          </cell>
          <cell r="J6706" t="str">
            <v/>
          </cell>
          <cell r="K6706" t="str">
            <v/>
          </cell>
          <cell r="L6706" t="str">
            <v/>
          </cell>
        </row>
        <row r="6707">
          <cell r="A6707">
            <v>34000000</v>
          </cell>
          <cell r="C6707">
            <v>34000000</v>
          </cell>
          <cell r="D6707">
            <v>34000000</v>
          </cell>
          <cell r="E6707">
            <v>34000000</v>
          </cell>
          <cell r="F6707">
            <v>34000000</v>
          </cell>
          <cell r="G6707">
            <v>34000000</v>
          </cell>
          <cell r="H6707">
            <v>34000000</v>
          </cell>
          <cell r="I6707" t="str">
            <v/>
          </cell>
          <cell r="J6707" t="str">
            <v/>
          </cell>
          <cell r="K6707" t="str">
            <v/>
          </cell>
          <cell r="L6707" t="str">
            <v/>
          </cell>
        </row>
        <row r="6708">
          <cell r="A6708">
            <v>34000000</v>
          </cell>
          <cell r="C6708">
            <v>34000000</v>
          </cell>
          <cell r="D6708">
            <v>34000000</v>
          </cell>
          <cell r="E6708">
            <v>34000000</v>
          </cell>
          <cell r="F6708">
            <v>34000000</v>
          </cell>
          <cell r="G6708">
            <v>34000000</v>
          </cell>
          <cell r="H6708">
            <v>34000000</v>
          </cell>
          <cell r="I6708" t="str">
            <v/>
          </cell>
          <cell r="J6708" t="str">
            <v/>
          </cell>
          <cell r="K6708" t="str">
            <v/>
          </cell>
          <cell r="L6708" t="str">
            <v/>
          </cell>
        </row>
        <row r="6709">
          <cell r="A6709">
            <v>34000000</v>
          </cell>
          <cell r="C6709">
            <v>34000000</v>
          </cell>
          <cell r="D6709">
            <v>34000000</v>
          </cell>
          <cell r="E6709">
            <v>34000000</v>
          </cell>
          <cell r="F6709">
            <v>34000000</v>
          </cell>
          <cell r="G6709">
            <v>34000000</v>
          </cell>
          <cell r="H6709">
            <v>34000000</v>
          </cell>
          <cell r="I6709" t="str">
            <v/>
          </cell>
          <cell r="J6709" t="str">
            <v/>
          </cell>
          <cell r="K6709" t="str">
            <v/>
          </cell>
          <cell r="L6709" t="str">
            <v/>
          </cell>
        </row>
        <row r="6710">
          <cell r="A6710">
            <v>34000000</v>
          </cell>
          <cell r="C6710">
            <v>34000000</v>
          </cell>
          <cell r="D6710">
            <v>34000000</v>
          </cell>
          <cell r="E6710">
            <v>34000000</v>
          </cell>
          <cell r="F6710">
            <v>34000000</v>
          </cell>
          <cell r="G6710">
            <v>34000000</v>
          </cell>
          <cell r="H6710">
            <v>34000000</v>
          </cell>
          <cell r="I6710" t="str">
            <v/>
          </cell>
          <cell r="J6710" t="str">
            <v/>
          </cell>
          <cell r="K6710" t="str">
            <v/>
          </cell>
          <cell r="L6710" t="str">
            <v/>
          </cell>
        </row>
        <row r="6711">
          <cell r="A6711">
            <v>34000000</v>
          </cell>
          <cell r="C6711">
            <v>34000000</v>
          </cell>
          <cell r="D6711">
            <v>34000000</v>
          </cell>
          <cell r="E6711">
            <v>34000000</v>
          </cell>
          <cell r="F6711">
            <v>34000000</v>
          </cell>
          <cell r="G6711">
            <v>34000000</v>
          </cell>
          <cell r="H6711">
            <v>34000000</v>
          </cell>
          <cell r="I6711" t="str">
            <v/>
          </cell>
          <cell r="J6711" t="str">
            <v/>
          </cell>
          <cell r="K6711" t="str">
            <v/>
          </cell>
          <cell r="L6711" t="str">
            <v/>
          </cell>
        </row>
        <row r="6712">
          <cell r="A6712">
            <v>34000000</v>
          </cell>
          <cell r="C6712">
            <v>34000000</v>
          </cell>
          <cell r="D6712">
            <v>34000000</v>
          </cell>
          <cell r="E6712">
            <v>34000000</v>
          </cell>
          <cell r="F6712">
            <v>34000000</v>
          </cell>
          <cell r="G6712">
            <v>34000000</v>
          </cell>
          <cell r="H6712">
            <v>34000000</v>
          </cell>
          <cell r="I6712" t="str">
            <v/>
          </cell>
          <cell r="J6712" t="str">
            <v/>
          </cell>
          <cell r="K6712" t="str">
            <v/>
          </cell>
          <cell r="L6712" t="str">
            <v/>
          </cell>
        </row>
        <row r="6713">
          <cell r="A6713">
            <v>34000000</v>
          </cell>
          <cell r="C6713">
            <v>34000000</v>
          </cell>
          <cell r="D6713">
            <v>34000000</v>
          </cell>
          <cell r="E6713">
            <v>34000000</v>
          </cell>
          <cell r="F6713">
            <v>34000000</v>
          </cell>
          <cell r="G6713">
            <v>34000000</v>
          </cell>
          <cell r="H6713">
            <v>34000000</v>
          </cell>
          <cell r="I6713" t="str">
            <v/>
          </cell>
          <cell r="J6713" t="str">
            <v/>
          </cell>
          <cell r="K6713" t="str">
            <v/>
          </cell>
          <cell r="L6713" t="str">
            <v/>
          </cell>
        </row>
        <row r="6714">
          <cell r="A6714">
            <v>34000000</v>
          </cell>
          <cell r="C6714">
            <v>34000000</v>
          </cell>
          <cell r="D6714">
            <v>34000000</v>
          </cell>
          <cell r="E6714">
            <v>34000000</v>
          </cell>
          <cell r="F6714">
            <v>34000000</v>
          </cell>
          <cell r="G6714">
            <v>34000000</v>
          </cell>
          <cell r="H6714">
            <v>34000000</v>
          </cell>
          <cell r="I6714" t="str">
            <v/>
          </cell>
          <cell r="J6714" t="str">
            <v/>
          </cell>
          <cell r="K6714" t="str">
            <v/>
          </cell>
          <cell r="L6714" t="str">
            <v/>
          </cell>
        </row>
        <row r="6715">
          <cell r="A6715">
            <v>34000000</v>
          </cell>
          <cell r="C6715">
            <v>34000000</v>
          </cell>
          <cell r="D6715">
            <v>34000000</v>
          </cell>
          <cell r="E6715">
            <v>34000000</v>
          </cell>
          <cell r="F6715">
            <v>34000000</v>
          </cell>
          <cell r="G6715">
            <v>34000000</v>
          </cell>
          <cell r="H6715">
            <v>34000000</v>
          </cell>
          <cell r="I6715" t="str">
            <v/>
          </cell>
          <cell r="J6715" t="str">
            <v/>
          </cell>
          <cell r="K6715" t="str">
            <v/>
          </cell>
          <cell r="L6715" t="str">
            <v/>
          </cell>
        </row>
        <row r="6716">
          <cell r="A6716">
            <v>34000000</v>
          </cell>
          <cell r="C6716">
            <v>34000000</v>
          </cell>
          <cell r="D6716">
            <v>34000000</v>
          </cell>
          <cell r="E6716">
            <v>34000000</v>
          </cell>
          <cell r="F6716">
            <v>34000000</v>
          </cell>
          <cell r="G6716">
            <v>34000000</v>
          </cell>
          <cell r="H6716">
            <v>34000000</v>
          </cell>
          <cell r="I6716" t="str">
            <v/>
          </cell>
          <cell r="J6716" t="str">
            <v/>
          </cell>
          <cell r="K6716" t="str">
            <v/>
          </cell>
          <cell r="L6716" t="str">
            <v/>
          </cell>
        </row>
        <row r="6717">
          <cell r="A6717">
            <v>34000000</v>
          </cell>
          <cell r="C6717">
            <v>34000000</v>
          </cell>
          <cell r="D6717">
            <v>34000000</v>
          </cell>
          <cell r="E6717">
            <v>34000000</v>
          </cell>
          <cell r="F6717">
            <v>34000000</v>
          </cell>
          <cell r="G6717">
            <v>34000000</v>
          </cell>
          <cell r="H6717">
            <v>34000000</v>
          </cell>
          <cell r="I6717" t="str">
            <v/>
          </cell>
          <cell r="J6717" t="str">
            <v/>
          </cell>
          <cell r="K6717" t="str">
            <v/>
          </cell>
          <cell r="L6717" t="str">
            <v/>
          </cell>
        </row>
        <row r="6718">
          <cell r="A6718">
            <v>34000000</v>
          </cell>
          <cell r="C6718">
            <v>34000000</v>
          </cell>
          <cell r="D6718">
            <v>34000000</v>
          </cell>
          <cell r="E6718">
            <v>34000000</v>
          </cell>
          <cell r="F6718">
            <v>34000000</v>
          </cell>
          <cell r="G6718">
            <v>34000000</v>
          </cell>
          <cell r="H6718">
            <v>34000000</v>
          </cell>
          <cell r="I6718" t="str">
            <v/>
          </cell>
          <cell r="J6718" t="str">
            <v/>
          </cell>
          <cell r="K6718" t="str">
            <v/>
          </cell>
          <cell r="L6718" t="str">
            <v/>
          </cell>
        </row>
        <row r="6719">
          <cell r="A6719">
            <v>34000000</v>
          </cell>
          <cell r="C6719">
            <v>34000000</v>
          </cell>
          <cell r="D6719">
            <v>34000000</v>
          </cell>
          <cell r="E6719">
            <v>34000000</v>
          </cell>
          <cell r="F6719">
            <v>34000000</v>
          </cell>
          <cell r="G6719">
            <v>34000000</v>
          </cell>
          <cell r="H6719">
            <v>34000000</v>
          </cell>
          <cell r="I6719" t="str">
            <v/>
          </cell>
          <cell r="J6719" t="str">
            <v/>
          </cell>
          <cell r="K6719" t="str">
            <v/>
          </cell>
          <cell r="L6719" t="str">
            <v/>
          </cell>
        </row>
        <row r="6720">
          <cell r="A6720">
            <v>34000000</v>
          </cell>
          <cell r="C6720">
            <v>34000000</v>
          </cell>
          <cell r="D6720">
            <v>34000000</v>
          </cell>
          <cell r="E6720">
            <v>34000000</v>
          </cell>
          <cell r="F6720">
            <v>34000000</v>
          </cell>
          <cell r="G6720">
            <v>34000000</v>
          </cell>
          <cell r="H6720">
            <v>34000000</v>
          </cell>
          <cell r="I6720" t="str">
            <v/>
          </cell>
          <cell r="J6720" t="str">
            <v/>
          </cell>
          <cell r="K6720" t="str">
            <v/>
          </cell>
          <cell r="L6720" t="str">
            <v/>
          </cell>
        </row>
        <row r="6721">
          <cell r="A6721">
            <v>34000000</v>
          </cell>
          <cell r="C6721">
            <v>34000000</v>
          </cell>
          <cell r="D6721">
            <v>34000000</v>
          </cell>
          <cell r="E6721">
            <v>34000000</v>
          </cell>
          <cell r="F6721">
            <v>34000000</v>
          </cell>
          <cell r="G6721">
            <v>34000000</v>
          </cell>
          <cell r="H6721">
            <v>34000000</v>
          </cell>
          <cell r="I6721" t="str">
            <v/>
          </cell>
          <cell r="J6721" t="str">
            <v/>
          </cell>
          <cell r="K6721" t="str">
            <v/>
          </cell>
          <cell r="L6721" t="str">
            <v/>
          </cell>
        </row>
        <row r="6722">
          <cell r="A6722">
            <v>34000000</v>
          </cell>
          <cell r="C6722">
            <v>34000000</v>
          </cell>
          <cell r="D6722">
            <v>34000000</v>
          </cell>
          <cell r="E6722">
            <v>34000000</v>
          </cell>
          <cell r="F6722">
            <v>34000000</v>
          </cell>
          <cell r="G6722">
            <v>34000000</v>
          </cell>
          <cell r="H6722">
            <v>34000000</v>
          </cell>
          <cell r="I6722" t="str">
            <v/>
          </cell>
          <cell r="J6722" t="str">
            <v/>
          </cell>
          <cell r="K6722" t="str">
            <v/>
          </cell>
          <cell r="L6722" t="str">
            <v/>
          </cell>
        </row>
        <row r="6723">
          <cell r="A6723">
            <v>34000000</v>
          </cell>
          <cell r="C6723">
            <v>34000000</v>
          </cell>
          <cell r="D6723">
            <v>34000000</v>
          </cell>
          <cell r="E6723">
            <v>34000000</v>
          </cell>
          <cell r="F6723">
            <v>34000000</v>
          </cell>
          <cell r="G6723">
            <v>34000000</v>
          </cell>
          <cell r="H6723">
            <v>34000000</v>
          </cell>
          <cell r="I6723" t="str">
            <v/>
          </cell>
          <cell r="J6723" t="str">
            <v/>
          </cell>
          <cell r="K6723" t="str">
            <v/>
          </cell>
          <cell r="L6723" t="str">
            <v/>
          </cell>
        </row>
        <row r="6724">
          <cell r="A6724">
            <v>34000000</v>
          </cell>
          <cell r="C6724">
            <v>34000000</v>
          </cell>
          <cell r="D6724">
            <v>34000000</v>
          </cell>
          <cell r="E6724">
            <v>34000000</v>
          </cell>
          <cell r="F6724">
            <v>34000000</v>
          </cell>
          <cell r="G6724">
            <v>34000000</v>
          </cell>
          <cell r="H6724">
            <v>34000000</v>
          </cell>
          <cell r="I6724" t="str">
            <v/>
          </cell>
          <cell r="J6724" t="str">
            <v/>
          </cell>
          <cell r="K6724" t="str">
            <v/>
          </cell>
          <cell r="L6724" t="str">
            <v/>
          </cell>
        </row>
        <row r="6725">
          <cell r="A6725">
            <v>34000000</v>
          </cell>
          <cell r="C6725">
            <v>34000000</v>
          </cell>
          <cell r="D6725">
            <v>34000000</v>
          </cell>
          <cell r="E6725">
            <v>34000000</v>
          </cell>
          <cell r="F6725">
            <v>34000000</v>
          </cell>
          <cell r="G6725">
            <v>34000000</v>
          </cell>
          <cell r="H6725">
            <v>34000000</v>
          </cell>
          <cell r="I6725" t="str">
            <v/>
          </cell>
          <cell r="J6725" t="str">
            <v/>
          </cell>
          <cell r="K6725" t="str">
            <v/>
          </cell>
          <cell r="L6725" t="str">
            <v/>
          </cell>
        </row>
        <row r="6726">
          <cell r="A6726">
            <v>34000000</v>
          </cell>
          <cell r="C6726">
            <v>34000000</v>
          </cell>
          <cell r="D6726">
            <v>34000000</v>
          </cell>
          <cell r="E6726">
            <v>34000000</v>
          </cell>
          <cell r="F6726">
            <v>34000000</v>
          </cell>
          <cell r="G6726">
            <v>34000000</v>
          </cell>
          <cell r="H6726">
            <v>34000000</v>
          </cell>
          <cell r="I6726" t="str">
            <v/>
          </cell>
          <cell r="J6726" t="str">
            <v/>
          </cell>
          <cell r="K6726" t="str">
            <v/>
          </cell>
          <cell r="L6726" t="str">
            <v/>
          </cell>
        </row>
        <row r="6727">
          <cell r="A6727">
            <v>34000000</v>
          </cell>
          <cell r="C6727">
            <v>34000000</v>
          </cell>
          <cell r="D6727">
            <v>34000000</v>
          </cell>
          <cell r="E6727">
            <v>34000000</v>
          </cell>
          <cell r="F6727">
            <v>34000000</v>
          </cell>
          <cell r="G6727">
            <v>34000000</v>
          </cell>
          <cell r="H6727">
            <v>34000000</v>
          </cell>
          <cell r="I6727" t="str">
            <v/>
          </cell>
          <cell r="J6727" t="str">
            <v/>
          </cell>
          <cell r="K6727" t="str">
            <v/>
          </cell>
          <cell r="L6727" t="str">
            <v/>
          </cell>
        </row>
        <row r="6728">
          <cell r="A6728">
            <v>34000000</v>
          </cell>
          <cell r="C6728">
            <v>34000000</v>
          </cell>
          <cell r="D6728">
            <v>34000000</v>
          </cell>
          <cell r="E6728">
            <v>34000000</v>
          </cell>
          <cell r="F6728">
            <v>34000000</v>
          </cell>
          <cell r="G6728">
            <v>34000000</v>
          </cell>
          <cell r="H6728">
            <v>34000000</v>
          </cell>
          <cell r="I6728" t="str">
            <v/>
          </cell>
          <cell r="J6728" t="str">
            <v/>
          </cell>
          <cell r="K6728" t="str">
            <v/>
          </cell>
          <cell r="L6728" t="str">
            <v/>
          </cell>
        </row>
        <row r="6729">
          <cell r="A6729">
            <v>34000000</v>
          </cell>
          <cell r="C6729">
            <v>34000000</v>
          </cell>
          <cell r="D6729">
            <v>34000000</v>
          </cell>
          <cell r="E6729">
            <v>34000000</v>
          </cell>
          <cell r="F6729">
            <v>34000000</v>
          </cell>
          <cell r="G6729">
            <v>34000000</v>
          </cell>
          <cell r="H6729">
            <v>34000000</v>
          </cell>
          <cell r="I6729" t="str">
            <v/>
          </cell>
          <cell r="J6729" t="str">
            <v/>
          </cell>
          <cell r="K6729" t="str">
            <v/>
          </cell>
          <cell r="L6729" t="str">
            <v/>
          </cell>
        </row>
        <row r="6730">
          <cell r="A6730">
            <v>34000000</v>
          </cell>
          <cell r="C6730">
            <v>34000000</v>
          </cell>
          <cell r="D6730">
            <v>34000000</v>
          </cell>
          <cell r="E6730">
            <v>34000000</v>
          </cell>
          <cell r="F6730">
            <v>34000000</v>
          </cell>
          <cell r="G6730">
            <v>34000000</v>
          </cell>
          <cell r="H6730">
            <v>34000000</v>
          </cell>
          <cell r="I6730" t="str">
            <v/>
          </cell>
          <cell r="J6730" t="str">
            <v/>
          </cell>
          <cell r="K6730" t="str">
            <v/>
          </cell>
          <cell r="L6730" t="str">
            <v/>
          </cell>
        </row>
        <row r="6731">
          <cell r="A6731">
            <v>34000000</v>
          </cell>
          <cell r="C6731">
            <v>34000000</v>
          </cell>
          <cell r="D6731">
            <v>34000000</v>
          </cell>
          <cell r="E6731">
            <v>34000000</v>
          </cell>
          <cell r="F6731">
            <v>34000000</v>
          </cell>
          <cell r="G6731">
            <v>34000000</v>
          </cell>
          <cell r="H6731">
            <v>34000000</v>
          </cell>
          <cell r="I6731" t="str">
            <v/>
          </cell>
          <cell r="J6731" t="str">
            <v/>
          </cell>
          <cell r="K6731" t="str">
            <v/>
          </cell>
          <cell r="L6731" t="str">
            <v/>
          </cell>
        </row>
        <row r="6732">
          <cell r="A6732">
            <v>34000000</v>
          </cell>
          <cell r="C6732">
            <v>34000000</v>
          </cell>
          <cell r="D6732">
            <v>34000000</v>
          </cell>
          <cell r="E6732">
            <v>34000000</v>
          </cell>
          <cell r="F6732">
            <v>34000000</v>
          </cell>
          <cell r="G6732">
            <v>34000000</v>
          </cell>
          <cell r="H6732">
            <v>34000000</v>
          </cell>
          <cell r="I6732" t="str">
            <v/>
          </cell>
          <cell r="J6732" t="str">
            <v/>
          </cell>
          <cell r="K6732" t="str">
            <v/>
          </cell>
          <cell r="L6732" t="str">
            <v/>
          </cell>
        </row>
        <row r="6733">
          <cell r="A6733">
            <v>34000000</v>
          </cell>
          <cell r="C6733">
            <v>34000000</v>
          </cell>
          <cell r="D6733">
            <v>34000000</v>
          </cell>
          <cell r="E6733">
            <v>34000000</v>
          </cell>
          <cell r="F6733">
            <v>34000000</v>
          </cell>
          <cell r="G6733">
            <v>34000000</v>
          </cell>
          <cell r="H6733">
            <v>34000000</v>
          </cell>
          <cell r="I6733" t="str">
            <v/>
          </cell>
          <cell r="J6733" t="str">
            <v/>
          </cell>
          <cell r="K6733" t="str">
            <v/>
          </cell>
          <cell r="L6733" t="str">
            <v/>
          </cell>
        </row>
        <row r="6734">
          <cell r="A6734">
            <v>34000000</v>
          </cell>
          <cell r="C6734">
            <v>34000000</v>
          </cell>
          <cell r="D6734">
            <v>34000000</v>
          </cell>
          <cell r="E6734">
            <v>34000000</v>
          </cell>
          <cell r="F6734">
            <v>34000000</v>
          </cell>
          <cell r="G6734">
            <v>34000000</v>
          </cell>
          <cell r="H6734">
            <v>34000000</v>
          </cell>
          <cell r="I6734" t="str">
            <v/>
          </cell>
          <cell r="J6734" t="str">
            <v/>
          </cell>
          <cell r="K6734" t="str">
            <v/>
          </cell>
          <cell r="L6734" t="str">
            <v/>
          </cell>
        </row>
        <row r="6735">
          <cell r="A6735">
            <v>34000000</v>
          </cell>
          <cell r="C6735">
            <v>34000000</v>
          </cell>
          <cell r="D6735">
            <v>34000000</v>
          </cell>
          <cell r="E6735">
            <v>34000000</v>
          </cell>
          <cell r="F6735">
            <v>34000000</v>
          </cell>
          <cell r="G6735">
            <v>34000000</v>
          </cell>
          <cell r="H6735">
            <v>34000000</v>
          </cell>
          <cell r="I6735" t="str">
            <v/>
          </cell>
          <cell r="J6735" t="str">
            <v/>
          </cell>
          <cell r="K6735" t="str">
            <v/>
          </cell>
          <cell r="L6735" t="str">
            <v/>
          </cell>
        </row>
        <row r="6736">
          <cell r="A6736">
            <v>34000000</v>
          </cell>
          <cell r="C6736">
            <v>34000000</v>
          </cell>
          <cell r="D6736">
            <v>34000000</v>
          </cell>
          <cell r="E6736">
            <v>34000000</v>
          </cell>
          <cell r="F6736">
            <v>34000000</v>
          </cell>
          <cell r="G6736">
            <v>34000000</v>
          </cell>
          <cell r="H6736">
            <v>34000000</v>
          </cell>
          <cell r="I6736" t="str">
            <v/>
          </cell>
          <cell r="J6736" t="str">
            <v/>
          </cell>
          <cell r="K6736" t="str">
            <v/>
          </cell>
          <cell r="L6736" t="str">
            <v/>
          </cell>
        </row>
        <row r="6737">
          <cell r="A6737">
            <v>34000000</v>
          </cell>
          <cell r="C6737">
            <v>34000000</v>
          </cell>
          <cell r="D6737">
            <v>34000000</v>
          </cell>
          <cell r="E6737">
            <v>34000000</v>
          </cell>
          <cell r="F6737">
            <v>34000000</v>
          </cell>
          <cell r="G6737">
            <v>34000000</v>
          </cell>
          <cell r="H6737">
            <v>34000000</v>
          </cell>
          <cell r="I6737" t="str">
            <v/>
          </cell>
          <cell r="J6737" t="str">
            <v/>
          </cell>
          <cell r="K6737" t="str">
            <v/>
          </cell>
          <cell r="L6737" t="str">
            <v/>
          </cell>
        </row>
        <row r="6738">
          <cell r="A6738">
            <v>34000000</v>
          </cell>
          <cell r="C6738">
            <v>34000000</v>
          </cell>
          <cell r="D6738">
            <v>34000000</v>
          </cell>
          <cell r="E6738">
            <v>34000000</v>
          </cell>
          <cell r="F6738">
            <v>34000000</v>
          </cell>
          <cell r="G6738">
            <v>34000000</v>
          </cell>
          <cell r="H6738">
            <v>34000000</v>
          </cell>
          <cell r="I6738" t="str">
            <v/>
          </cell>
          <cell r="J6738" t="str">
            <v/>
          </cell>
          <cell r="K6738" t="str">
            <v/>
          </cell>
          <cell r="L6738" t="str">
            <v/>
          </cell>
        </row>
        <row r="6739">
          <cell r="A6739">
            <v>34000000</v>
          </cell>
          <cell r="C6739">
            <v>34000000</v>
          </cell>
          <cell r="D6739">
            <v>34000000</v>
          </cell>
          <cell r="E6739">
            <v>34000000</v>
          </cell>
          <cell r="F6739">
            <v>34000000</v>
          </cell>
          <cell r="G6739">
            <v>34000000</v>
          </cell>
          <cell r="H6739">
            <v>34000000</v>
          </cell>
          <cell r="I6739" t="str">
            <v/>
          </cell>
          <cell r="J6739" t="str">
            <v/>
          </cell>
          <cell r="K6739" t="str">
            <v/>
          </cell>
          <cell r="L6739" t="str">
            <v/>
          </cell>
        </row>
        <row r="6740">
          <cell r="A6740">
            <v>34000000</v>
          </cell>
          <cell r="C6740">
            <v>34000000</v>
          </cell>
          <cell r="D6740">
            <v>34000000</v>
          </cell>
          <cell r="E6740">
            <v>34000000</v>
          </cell>
          <cell r="F6740">
            <v>34000000</v>
          </cell>
          <cell r="G6740">
            <v>34000000</v>
          </cell>
          <cell r="H6740">
            <v>34000000</v>
          </cell>
          <cell r="I6740" t="str">
            <v/>
          </cell>
          <cell r="J6740" t="str">
            <v/>
          </cell>
          <cell r="K6740" t="str">
            <v/>
          </cell>
          <cell r="L6740" t="str">
            <v/>
          </cell>
        </row>
        <row r="6741">
          <cell r="A6741">
            <v>34000000</v>
          </cell>
          <cell r="C6741">
            <v>34000000</v>
          </cell>
          <cell r="D6741">
            <v>34000000</v>
          </cell>
          <cell r="E6741">
            <v>34000000</v>
          </cell>
          <cell r="F6741">
            <v>34000000</v>
          </cell>
          <cell r="G6741">
            <v>34000000</v>
          </cell>
          <cell r="H6741">
            <v>34000000</v>
          </cell>
          <cell r="I6741" t="str">
            <v/>
          </cell>
          <cell r="J6741" t="str">
            <v/>
          </cell>
          <cell r="K6741" t="str">
            <v/>
          </cell>
          <cell r="L6741" t="str">
            <v/>
          </cell>
        </row>
        <row r="6742">
          <cell r="A6742">
            <v>34000000</v>
          </cell>
          <cell r="C6742">
            <v>34000000</v>
          </cell>
          <cell r="D6742">
            <v>34000000</v>
          </cell>
          <cell r="E6742">
            <v>34000000</v>
          </cell>
          <cell r="F6742">
            <v>34000000</v>
          </cell>
          <cell r="G6742">
            <v>34000000</v>
          </cell>
          <cell r="H6742">
            <v>34000000</v>
          </cell>
          <cell r="I6742" t="str">
            <v/>
          </cell>
          <cell r="J6742" t="str">
            <v/>
          </cell>
          <cell r="K6742" t="str">
            <v/>
          </cell>
          <cell r="L6742" t="str">
            <v/>
          </cell>
        </row>
        <row r="6743">
          <cell r="A6743">
            <v>34000000</v>
          </cell>
          <cell r="C6743">
            <v>34000000</v>
          </cell>
          <cell r="D6743">
            <v>34000000</v>
          </cell>
          <cell r="E6743">
            <v>34000000</v>
          </cell>
          <cell r="F6743">
            <v>34000000</v>
          </cell>
          <cell r="G6743">
            <v>34000000</v>
          </cell>
          <cell r="H6743">
            <v>34000000</v>
          </cell>
          <cell r="I6743" t="str">
            <v/>
          </cell>
          <cell r="J6743" t="str">
            <v/>
          </cell>
          <cell r="K6743" t="str">
            <v/>
          </cell>
          <cell r="L6743" t="str">
            <v/>
          </cell>
        </row>
        <row r="6744">
          <cell r="A6744">
            <v>34000000</v>
          </cell>
          <cell r="C6744">
            <v>34000000</v>
          </cell>
          <cell r="D6744">
            <v>34000000</v>
          </cell>
          <cell r="E6744">
            <v>34000000</v>
          </cell>
          <cell r="F6744">
            <v>34000000</v>
          </cell>
          <cell r="G6744">
            <v>34000000</v>
          </cell>
          <cell r="H6744">
            <v>34000000</v>
          </cell>
          <cell r="I6744" t="str">
            <v/>
          </cell>
          <cell r="J6744" t="str">
            <v/>
          </cell>
          <cell r="K6744" t="str">
            <v/>
          </cell>
          <cell r="L6744" t="str">
            <v/>
          </cell>
        </row>
        <row r="6745">
          <cell r="A6745">
            <v>34000000</v>
          </cell>
          <cell r="C6745">
            <v>34000000</v>
          </cell>
          <cell r="D6745">
            <v>34000000</v>
          </cell>
          <cell r="E6745">
            <v>34000000</v>
          </cell>
          <cell r="F6745">
            <v>34000000</v>
          </cell>
          <cell r="G6745">
            <v>34000000</v>
          </cell>
          <cell r="H6745">
            <v>34000000</v>
          </cell>
          <cell r="I6745" t="str">
            <v/>
          </cell>
          <cell r="J6745" t="str">
            <v/>
          </cell>
          <cell r="K6745" t="str">
            <v/>
          </cell>
          <cell r="L6745" t="str">
            <v/>
          </cell>
        </row>
        <row r="6746">
          <cell r="A6746">
            <v>34000000</v>
          </cell>
          <cell r="C6746">
            <v>34000000</v>
          </cell>
          <cell r="D6746">
            <v>34000000</v>
          </cell>
          <cell r="E6746">
            <v>34000000</v>
          </cell>
          <cell r="F6746">
            <v>34000000</v>
          </cell>
          <cell r="G6746">
            <v>34000000</v>
          </cell>
          <cell r="H6746">
            <v>34000000</v>
          </cell>
          <cell r="I6746" t="str">
            <v/>
          </cell>
          <cell r="J6746" t="str">
            <v/>
          </cell>
          <cell r="K6746" t="str">
            <v/>
          </cell>
          <cell r="L6746" t="str">
            <v/>
          </cell>
        </row>
        <row r="6747">
          <cell r="A6747">
            <v>34000000</v>
          </cell>
          <cell r="C6747">
            <v>34000000</v>
          </cell>
          <cell r="D6747">
            <v>34000000</v>
          </cell>
          <cell r="E6747">
            <v>34000000</v>
          </cell>
          <cell r="F6747">
            <v>34000000</v>
          </cell>
          <cell r="G6747">
            <v>34000000</v>
          </cell>
          <cell r="H6747">
            <v>34000000</v>
          </cell>
          <cell r="I6747" t="str">
            <v/>
          </cell>
          <cell r="J6747" t="str">
            <v/>
          </cell>
          <cell r="K6747" t="str">
            <v/>
          </cell>
          <cell r="L6747" t="str">
            <v/>
          </cell>
        </row>
        <row r="6748">
          <cell r="A6748">
            <v>34000000</v>
          </cell>
          <cell r="C6748">
            <v>34000000</v>
          </cell>
          <cell r="D6748">
            <v>34000000</v>
          </cell>
          <cell r="E6748">
            <v>34000000</v>
          </cell>
          <cell r="F6748">
            <v>34000000</v>
          </cell>
          <cell r="G6748">
            <v>34000000</v>
          </cell>
          <cell r="H6748">
            <v>34000000</v>
          </cell>
          <cell r="I6748" t="str">
            <v/>
          </cell>
          <cell r="J6748" t="str">
            <v/>
          </cell>
          <cell r="K6748" t="str">
            <v/>
          </cell>
          <cell r="L6748" t="str">
            <v/>
          </cell>
        </row>
        <row r="6749">
          <cell r="A6749">
            <v>34000000</v>
          </cell>
          <cell r="C6749">
            <v>34000000</v>
          </cell>
          <cell r="D6749">
            <v>34000000</v>
          </cell>
          <cell r="E6749">
            <v>34000000</v>
          </cell>
          <cell r="F6749">
            <v>34000000</v>
          </cell>
          <cell r="G6749">
            <v>34000000</v>
          </cell>
          <cell r="H6749">
            <v>34000000</v>
          </cell>
          <cell r="I6749" t="str">
            <v/>
          </cell>
          <cell r="J6749" t="str">
            <v/>
          </cell>
          <cell r="K6749" t="str">
            <v/>
          </cell>
          <cell r="L6749" t="str">
            <v/>
          </cell>
        </row>
        <row r="6750">
          <cell r="A6750">
            <v>34000000</v>
          </cell>
          <cell r="C6750">
            <v>34000000</v>
          </cell>
          <cell r="D6750">
            <v>34000000</v>
          </cell>
          <cell r="E6750">
            <v>34000000</v>
          </cell>
          <cell r="F6750">
            <v>34000000</v>
          </cell>
          <cell r="G6750">
            <v>34000000</v>
          </cell>
          <cell r="H6750">
            <v>34000000</v>
          </cell>
          <cell r="I6750" t="str">
            <v/>
          </cell>
          <cell r="J6750" t="str">
            <v/>
          </cell>
          <cell r="K6750" t="str">
            <v/>
          </cell>
          <cell r="L6750" t="str">
            <v/>
          </cell>
        </row>
        <row r="6751">
          <cell r="A6751">
            <v>34000000</v>
          </cell>
          <cell r="C6751">
            <v>34000000</v>
          </cell>
          <cell r="D6751">
            <v>34000000</v>
          </cell>
          <cell r="E6751">
            <v>34000000</v>
          </cell>
          <cell r="F6751">
            <v>34000000</v>
          </cell>
          <cell r="G6751">
            <v>34000000</v>
          </cell>
          <cell r="H6751">
            <v>34000000</v>
          </cell>
          <cell r="I6751" t="str">
            <v/>
          </cell>
          <cell r="J6751" t="str">
            <v/>
          </cell>
          <cell r="K6751" t="str">
            <v/>
          </cell>
          <cell r="L6751" t="str">
            <v/>
          </cell>
        </row>
        <row r="6752">
          <cell r="A6752">
            <v>34000000</v>
          </cell>
          <cell r="C6752">
            <v>34000000</v>
          </cell>
          <cell r="D6752">
            <v>34000000</v>
          </cell>
          <cell r="E6752">
            <v>34000000</v>
          </cell>
          <cell r="F6752">
            <v>34000000</v>
          </cell>
          <cell r="G6752">
            <v>34000000</v>
          </cell>
          <cell r="H6752">
            <v>34000000</v>
          </cell>
          <cell r="I6752" t="str">
            <v/>
          </cell>
          <cell r="J6752" t="str">
            <v/>
          </cell>
          <cell r="K6752" t="str">
            <v/>
          </cell>
          <cell r="L6752" t="str">
            <v/>
          </cell>
        </row>
        <row r="6753">
          <cell r="A6753">
            <v>34000000</v>
          </cell>
          <cell r="C6753">
            <v>34000000</v>
          </cell>
          <cell r="D6753">
            <v>34000000</v>
          </cell>
          <cell r="E6753">
            <v>34000000</v>
          </cell>
          <cell r="F6753">
            <v>34000000</v>
          </cell>
          <cell r="G6753">
            <v>34000000</v>
          </cell>
          <cell r="H6753">
            <v>34000000</v>
          </cell>
          <cell r="I6753" t="str">
            <v/>
          </cell>
          <cell r="J6753" t="str">
            <v/>
          </cell>
          <cell r="K6753" t="str">
            <v/>
          </cell>
          <cell r="L6753" t="str">
            <v/>
          </cell>
        </row>
        <row r="6754">
          <cell r="A6754">
            <v>34000000</v>
          </cell>
          <cell r="C6754">
            <v>34000000</v>
          </cell>
          <cell r="D6754">
            <v>34000000</v>
          </cell>
          <cell r="E6754">
            <v>34000000</v>
          </cell>
          <cell r="F6754">
            <v>34000000</v>
          </cell>
          <cell r="G6754">
            <v>34000000</v>
          </cell>
          <cell r="H6754">
            <v>34000000</v>
          </cell>
          <cell r="I6754" t="str">
            <v/>
          </cell>
          <cell r="J6754" t="str">
            <v/>
          </cell>
          <cell r="K6754" t="str">
            <v/>
          </cell>
          <cell r="L6754" t="str">
            <v/>
          </cell>
        </row>
        <row r="6755">
          <cell r="A6755">
            <v>34000000</v>
          </cell>
          <cell r="C6755">
            <v>34000000</v>
          </cell>
          <cell r="D6755">
            <v>34000000</v>
          </cell>
          <cell r="E6755">
            <v>34000000</v>
          </cell>
          <cell r="F6755">
            <v>34000000</v>
          </cell>
          <cell r="G6755">
            <v>34000000</v>
          </cell>
          <cell r="H6755">
            <v>34000000</v>
          </cell>
          <cell r="I6755" t="str">
            <v/>
          </cell>
          <cell r="J6755" t="str">
            <v/>
          </cell>
          <cell r="K6755" t="str">
            <v/>
          </cell>
          <cell r="L6755" t="str">
            <v/>
          </cell>
        </row>
        <row r="6756">
          <cell r="A6756">
            <v>34000000</v>
          </cell>
          <cell r="C6756">
            <v>34000000</v>
          </cell>
          <cell r="D6756">
            <v>34000000</v>
          </cell>
          <cell r="E6756">
            <v>34000000</v>
          </cell>
          <cell r="F6756">
            <v>34000000</v>
          </cell>
          <cell r="G6756">
            <v>34000000</v>
          </cell>
          <cell r="H6756">
            <v>34000000</v>
          </cell>
          <cell r="I6756" t="str">
            <v/>
          </cell>
          <cell r="J6756" t="str">
            <v/>
          </cell>
          <cell r="K6756" t="str">
            <v/>
          </cell>
          <cell r="L6756" t="str">
            <v/>
          </cell>
        </row>
        <row r="6757">
          <cell r="A6757">
            <v>34000000</v>
          </cell>
          <cell r="C6757">
            <v>34000000</v>
          </cell>
          <cell r="D6757">
            <v>34000000</v>
          </cell>
          <cell r="E6757">
            <v>34000000</v>
          </cell>
          <cell r="F6757">
            <v>34000000</v>
          </cell>
          <cell r="G6757">
            <v>34000000</v>
          </cell>
          <cell r="H6757">
            <v>34000000</v>
          </cell>
          <cell r="I6757" t="str">
            <v/>
          </cell>
          <cell r="J6757" t="str">
            <v/>
          </cell>
          <cell r="K6757" t="str">
            <v/>
          </cell>
          <cell r="L6757" t="str">
            <v/>
          </cell>
        </row>
        <row r="6758">
          <cell r="A6758">
            <v>34000000</v>
          </cell>
          <cell r="C6758">
            <v>34000000</v>
          </cell>
          <cell r="D6758">
            <v>34000000</v>
          </cell>
          <cell r="E6758">
            <v>34000000</v>
          </cell>
          <cell r="F6758">
            <v>34000000</v>
          </cell>
          <cell r="G6758">
            <v>34000000</v>
          </cell>
          <cell r="H6758">
            <v>34000000</v>
          </cell>
          <cell r="I6758" t="str">
            <v/>
          </cell>
          <cell r="J6758" t="str">
            <v/>
          </cell>
          <cell r="K6758" t="str">
            <v/>
          </cell>
          <cell r="L6758" t="str">
            <v/>
          </cell>
        </row>
        <row r="6759">
          <cell r="A6759">
            <v>34000000</v>
          </cell>
          <cell r="C6759">
            <v>34000000</v>
          </cell>
          <cell r="D6759">
            <v>34000000</v>
          </cell>
          <cell r="E6759">
            <v>34000000</v>
          </cell>
          <cell r="F6759">
            <v>34000000</v>
          </cell>
          <cell r="G6759">
            <v>34000000</v>
          </cell>
          <cell r="H6759">
            <v>34000000</v>
          </cell>
          <cell r="I6759" t="str">
            <v/>
          </cell>
          <cell r="J6759" t="str">
            <v/>
          </cell>
          <cell r="K6759" t="str">
            <v/>
          </cell>
          <cell r="L6759" t="str">
            <v/>
          </cell>
        </row>
        <row r="6760">
          <cell r="A6760">
            <v>34000000</v>
          </cell>
          <cell r="C6760">
            <v>34000000</v>
          </cell>
          <cell r="D6760">
            <v>34000000</v>
          </cell>
          <cell r="E6760">
            <v>34000000</v>
          </cell>
          <cell r="F6760">
            <v>34000000</v>
          </cell>
          <cell r="G6760">
            <v>34000000</v>
          </cell>
          <cell r="H6760">
            <v>34000000</v>
          </cell>
          <cell r="I6760" t="str">
            <v/>
          </cell>
          <cell r="J6760" t="str">
            <v/>
          </cell>
          <cell r="K6760" t="str">
            <v/>
          </cell>
          <cell r="L6760" t="str">
            <v/>
          </cell>
        </row>
        <row r="6761">
          <cell r="A6761">
            <v>34000000</v>
          </cell>
          <cell r="C6761">
            <v>34000000</v>
          </cell>
          <cell r="D6761">
            <v>34000000</v>
          </cell>
          <cell r="E6761">
            <v>34000000</v>
          </cell>
          <cell r="F6761">
            <v>34000000</v>
          </cell>
          <cell r="G6761">
            <v>34000000</v>
          </cell>
          <cell r="H6761">
            <v>34000000</v>
          </cell>
          <cell r="I6761" t="str">
            <v/>
          </cell>
          <cell r="J6761" t="str">
            <v/>
          </cell>
          <cell r="K6761" t="str">
            <v/>
          </cell>
          <cell r="L6761" t="str">
            <v/>
          </cell>
        </row>
        <row r="6762">
          <cell r="A6762">
            <v>34000000</v>
          </cell>
          <cell r="C6762">
            <v>34000000</v>
          </cell>
          <cell r="D6762">
            <v>34000000</v>
          </cell>
          <cell r="E6762">
            <v>34000000</v>
          </cell>
          <cell r="F6762">
            <v>34000000</v>
          </cell>
          <cell r="G6762">
            <v>34000000</v>
          </cell>
          <cell r="H6762">
            <v>34000000</v>
          </cell>
          <cell r="I6762" t="str">
            <v/>
          </cell>
          <cell r="J6762" t="str">
            <v/>
          </cell>
          <cell r="K6762" t="str">
            <v/>
          </cell>
          <cell r="L6762" t="str">
            <v/>
          </cell>
        </row>
        <row r="6763">
          <cell r="A6763">
            <v>34000000</v>
          </cell>
          <cell r="C6763">
            <v>34000000</v>
          </cell>
          <cell r="D6763">
            <v>34000000</v>
          </cell>
          <cell r="E6763">
            <v>34000000</v>
          </cell>
          <cell r="F6763">
            <v>34000000</v>
          </cell>
          <cell r="G6763">
            <v>34000000</v>
          </cell>
          <cell r="H6763">
            <v>34000000</v>
          </cell>
          <cell r="I6763" t="str">
            <v/>
          </cell>
          <cell r="J6763" t="str">
            <v/>
          </cell>
          <cell r="K6763" t="str">
            <v/>
          </cell>
          <cell r="L6763" t="str">
            <v/>
          </cell>
        </row>
        <row r="6764">
          <cell r="A6764">
            <v>34000000</v>
          </cell>
          <cell r="C6764">
            <v>34000000</v>
          </cell>
          <cell r="D6764">
            <v>34000000</v>
          </cell>
          <cell r="E6764">
            <v>34000000</v>
          </cell>
          <cell r="F6764">
            <v>34000000</v>
          </cell>
          <cell r="G6764">
            <v>34000000</v>
          </cell>
          <cell r="H6764">
            <v>34000000</v>
          </cell>
          <cell r="I6764" t="str">
            <v/>
          </cell>
          <cell r="J6764" t="str">
            <v/>
          </cell>
          <cell r="K6764" t="str">
            <v/>
          </cell>
          <cell r="L6764" t="str">
            <v/>
          </cell>
        </row>
        <row r="6765">
          <cell r="A6765">
            <v>34000000</v>
          </cell>
          <cell r="C6765">
            <v>34000000</v>
          </cell>
          <cell r="D6765">
            <v>34000000</v>
          </cell>
          <cell r="E6765">
            <v>34000000</v>
          </cell>
          <cell r="F6765">
            <v>34000000</v>
          </cell>
          <cell r="G6765">
            <v>34000000</v>
          </cell>
          <cell r="H6765">
            <v>34000000</v>
          </cell>
          <cell r="I6765" t="str">
            <v/>
          </cell>
          <cell r="J6765" t="str">
            <v/>
          </cell>
          <cell r="K6765" t="str">
            <v/>
          </cell>
          <cell r="L6765" t="str">
            <v/>
          </cell>
        </row>
        <row r="6766">
          <cell r="A6766">
            <v>34000000</v>
          </cell>
          <cell r="C6766">
            <v>34000000</v>
          </cell>
          <cell r="D6766">
            <v>34000000</v>
          </cell>
          <cell r="E6766">
            <v>34000000</v>
          </cell>
          <cell r="F6766">
            <v>34000000</v>
          </cell>
          <cell r="G6766">
            <v>34000000</v>
          </cell>
          <cell r="H6766">
            <v>34000000</v>
          </cell>
          <cell r="I6766" t="str">
            <v/>
          </cell>
          <cell r="J6766" t="str">
            <v/>
          </cell>
          <cell r="K6766" t="str">
            <v/>
          </cell>
          <cell r="L6766" t="str">
            <v/>
          </cell>
        </row>
        <row r="6767">
          <cell r="A6767">
            <v>34000000</v>
          </cell>
          <cell r="C6767">
            <v>34000000</v>
          </cell>
          <cell r="D6767">
            <v>34000000</v>
          </cell>
          <cell r="E6767">
            <v>34000000</v>
          </cell>
          <cell r="F6767">
            <v>34000000</v>
          </cell>
          <cell r="G6767">
            <v>34000000</v>
          </cell>
          <cell r="H6767">
            <v>34000000</v>
          </cell>
          <cell r="I6767" t="str">
            <v/>
          </cell>
          <cell r="J6767" t="str">
            <v/>
          </cell>
          <cell r="K6767" t="str">
            <v/>
          </cell>
          <cell r="L6767" t="str">
            <v/>
          </cell>
        </row>
        <row r="6768">
          <cell r="A6768">
            <v>34000000</v>
          </cell>
          <cell r="C6768">
            <v>34000000</v>
          </cell>
          <cell r="D6768">
            <v>34000000</v>
          </cell>
          <cell r="E6768">
            <v>34000000</v>
          </cell>
          <cell r="F6768">
            <v>34000000</v>
          </cell>
          <cell r="G6768">
            <v>34000000</v>
          </cell>
          <cell r="H6768">
            <v>34000000</v>
          </cell>
          <cell r="I6768" t="str">
            <v/>
          </cell>
          <cell r="J6768" t="str">
            <v/>
          </cell>
          <cell r="K6768" t="str">
            <v/>
          </cell>
          <cell r="L6768" t="str">
            <v/>
          </cell>
        </row>
        <row r="6769">
          <cell r="A6769">
            <v>34000000</v>
          </cell>
          <cell r="C6769">
            <v>34000000</v>
          </cell>
          <cell r="D6769">
            <v>34000000</v>
          </cell>
          <cell r="E6769">
            <v>34000000</v>
          </cell>
          <cell r="F6769">
            <v>34000000</v>
          </cell>
          <cell r="G6769">
            <v>34000000</v>
          </cell>
          <cell r="H6769">
            <v>34000000</v>
          </cell>
          <cell r="I6769" t="str">
            <v/>
          </cell>
          <cell r="J6769" t="str">
            <v/>
          </cell>
          <cell r="K6769" t="str">
            <v/>
          </cell>
          <cell r="L6769" t="str">
            <v/>
          </cell>
        </row>
        <row r="6770">
          <cell r="A6770">
            <v>34000000</v>
          </cell>
          <cell r="C6770">
            <v>34000000</v>
          </cell>
          <cell r="D6770">
            <v>34000000</v>
          </cell>
          <cell r="E6770">
            <v>34000000</v>
          </cell>
          <cell r="F6770">
            <v>34000000</v>
          </cell>
          <cell r="G6770">
            <v>34000000</v>
          </cell>
          <cell r="H6770">
            <v>34000000</v>
          </cell>
          <cell r="I6770" t="str">
            <v/>
          </cell>
          <cell r="J6770" t="str">
            <v/>
          </cell>
          <cell r="K6770" t="str">
            <v/>
          </cell>
          <cell r="L6770" t="str">
            <v/>
          </cell>
        </row>
        <row r="6771">
          <cell r="A6771">
            <v>34000000</v>
          </cell>
          <cell r="C6771">
            <v>34000000</v>
          </cell>
          <cell r="D6771">
            <v>34000000</v>
          </cell>
          <cell r="E6771">
            <v>34000000</v>
          </cell>
          <cell r="F6771">
            <v>34000000</v>
          </cell>
          <cell r="G6771">
            <v>34000000</v>
          </cell>
          <cell r="H6771">
            <v>34000000</v>
          </cell>
          <cell r="I6771" t="str">
            <v/>
          </cell>
          <cell r="J6771" t="str">
            <v/>
          </cell>
          <cell r="K6771" t="str">
            <v/>
          </cell>
          <cell r="L6771" t="str">
            <v/>
          </cell>
        </row>
        <row r="6772">
          <cell r="A6772">
            <v>34000000</v>
          </cell>
          <cell r="C6772">
            <v>34000000</v>
          </cell>
          <cell r="D6772">
            <v>34000000</v>
          </cell>
          <cell r="E6772">
            <v>34000000</v>
          </cell>
          <cell r="F6772">
            <v>34000000</v>
          </cell>
          <cell r="G6772">
            <v>34000000</v>
          </cell>
          <cell r="H6772">
            <v>34000000</v>
          </cell>
          <cell r="I6772" t="str">
            <v/>
          </cell>
          <cell r="J6772" t="str">
            <v/>
          </cell>
          <cell r="K6772" t="str">
            <v/>
          </cell>
          <cell r="L6772" t="str">
            <v/>
          </cell>
        </row>
        <row r="6773">
          <cell r="A6773">
            <v>34000000</v>
          </cell>
          <cell r="C6773">
            <v>34000000</v>
          </cell>
          <cell r="D6773">
            <v>34000000</v>
          </cell>
          <cell r="E6773">
            <v>34000000</v>
          </cell>
          <cell r="F6773">
            <v>34000000</v>
          </cell>
          <cell r="G6773">
            <v>34000000</v>
          </cell>
          <cell r="H6773">
            <v>34000000</v>
          </cell>
          <cell r="I6773" t="str">
            <v/>
          </cell>
          <cell r="J6773" t="str">
            <v/>
          </cell>
          <cell r="K6773" t="str">
            <v/>
          </cell>
          <cell r="L6773" t="str">
            <v/>
          </cell>
        </row>
        <row r="6774">
          <cell r="A6774">
            <v>34000000</v>
          </cell>
          <cell r="C6774">
            <v>34000000</v>
          </cell>
          <cell r="D6774">
            <v>34000000</v>
          </cell>
          <cell r="E6774">
            <v>34000000</v>
          </cell>
          <cell r="F6774">
            <v>34000000</v>
          </cell>
          <cell r="G6774">
            <v>34000000</v>
          </cell>
          <cell r="H6774">
            <v>34000000</v>
          </cell>
          <cell r="I6774" t="str">
            <v/>
          </cell>
          <cell r="J6774" t="str">
            <v/>
          </cell>
          <cell r="K6774" t="str">
            <v/>
          </cell>
          <cell r="L6774" t="str">
            <v/>
          </cell>
        </row>
        <row r="6775">
          <cell r="A6775">
            <v>34000000</v>
          </cell>
          <cell r="C6775">
            <v>34000000</v>
          </cell>
          <cell r="D6775">
            <v>34000000</v>
          </cell>
          <cell r="E6775">
            <v>34000000</v>
          </cell>
          <cell r="F6775">
            <v>34000000</v>
          </cell>
          <cell r="G6775">
            <v>34000000</v>
          </cell>
          <cell r="H6775">
            <v>34000000</v>
          </cell>
          <cell r="I6775" t="str">
            <v/>
          </cell>
          <cell r="J6775" t="str">
            <v/>
          </cell>
          <cell r="K6775" t="str">
            <v/>
          </cell>
          <cell r="L6775" t="str">
            <v/>
          </cell>
        </row>
        <row r="6776">
          <cell r="A6776">
            <v>34000000</v>
          </cell>
          <cell r="C6776">
            <v>34000000</v>
          </cell>
          <cell r="D6776">
            <v>34000000</v>
          </cell>
          <cell r="E6776">
            <v>34000000</v>
          </cell>
          <cell r="F6776">
            <v>34000000</v>
          </cell>
          <cell r="G6776">
            <v>34000000</v>
          </cell>
          <cell r="H6776">
            <v>34000000</v>
          </cell>
          <cell r="I6776" t="str">
            <v/>
          </cell>
          <cell r="J6776" t="str">
            <v/>
          </cell>
          <cell r="K6776" t="str">
            <v/>
          </cell>
          <cell r="L6776" t="str">
            <v/>
          </cell>
        </row>
        <row r="6777">
          <cell r="A6777">
            <v>34000000</v>
          </cell>
          <cell r="C6777">
            <v>34000000</v>
          </cell>
          <cell r="D6777">
            <v>34000000</v>
          </cell>
          <cell r="E6777">
            <v>34000000</v>
          </cell>
          <cell r="F6777">
            <v>34000000</v>
          </cell>
          <cell r="G6777">
            <v>34000000</v>
          </cell>
          <cell r="H6777">
            <v>34000000</v>
          </cell>
          <cell r="I6777" t="str">
            <v/>
          </cell>
          <cell r="J6777" t="str">
            <v/>
          </cell>
          <cell r="K6777" t="str">
            <v/>
          </cell>
          <cell r="L6777" t="str">
            <v/>
          </cell>
        </row>
        <row r="6778">
          <cell r="A6778">
            <v>34000000</v>
          </cell>
          <cell r="C6778">
            <v>34000000</v>
          </cell>
          <cell r="D6778">
            <v>34000000</v>
          </cell>
          <cell r="E6778">
            <v>34000000</v>
          </cell>
          <cell r="F6778">
            <v>34000000</v>
          </cell>
          <cell r="G6778">
            <v>34000000</v>
          </cell>
          <cell r="H6778">
            <v>34000000</v>
          </cell>
          <cell r="I6778" t="str">
            <v/>
          </cell>
          <cell r="J6778" t="str">
            <v/>
          </cell>
          <cell r="K6778" t="str">
            <v/>
          </cell>
          <cell r="L6778" t="str">
            <v/>
          </cell>
        </row>
        <row r="6779">
          <cell r="A6779">
            <v>34000000</v>
          </cell>
          <cell r="C6779">
            <v>34000000</v>
          </cell>
          <cell r="D6779">
            <v>34000000</v>
          </cell>
          <cell r="E6779">
            <v>34000000</v>
          </cell>
          <cell r="F6779">
            <v>34000000</v>
          </cell>
          <cell r="G6779">
            <v>34000000</v>
          </cell>
          <cell r="H6779">
            <v>34000000</v>
          </cell>
          <cell r="I6779" t="str">
            <v/>
          </cell>
          <cell r="J6779" t="str">
            <v/>
          </cell>
          <cell r="K6779" t="str">
            <v/>
          </cell>
          <cell r="L6779" t="str">
            <v/>
          </cell>
        </row>
        <row r="6780">
          <cell r="A6780">
            <v>34000000</v>
          </cell>
          <cell r="C6780">
            <v>34000000</v>
          </cell>
          <cell r="D6780">
            <v>34000000</v>
          </cell>
          <cell r="E6780">
            <v>34000000</v>
          </cell>
          <cell r="F6780">
            <v>34000000</v>
          </cell>
          <cell r="G6780">
            <v>34000000</v>
          </cell>
          <cell r="H6780">
            <v>34000000</v>
          </cell>
          <cell r="I6780" t="str">
            <v/>
          </cell>
          <cell r="J6780" t="str">
            <v/>
          </cell>
          <cell r="K6780" t="str">
            <v/>
          </cell>
          <cell r="L6780" t="str">
            <v/>
          </cell>
        </row>
        <row r="6781">
          <cell r="A6781">
            <v>34000000</v>
          </cell>
          <cell r="C6781">
            <v>34000000</v>
          </cell>
          <cell r="D6781">
            <v>34000000</v>
          </cell>
          <cell r="E6781">
            <v>34000000</v>
          </cell>
          <cell r="F6781">
            <v>34000000</v>
          </cell>
          <cell r="G6781">
            <v>34000000</v>
          </cell>
          <cell r="H6781">
            <v>34000000</v>
          </cell>
          <cell r="I6781" t="str">
            <v/>
          </cell>
          <cell r="J6781" t="str">
            <v/>
          </cell>
          <cell r="K6781" t="str">
            <v/>
          </cell>
          <cell r="L6781" t="str">
            <v/>
          </cell>
        </row>
        <row r="6782">
          <cell r="A6782">
            <v>34000000</v>
          </cell>
          <cell r="C6782">
            <v>34000000</v>
          </cell>
          <cell r="D6782">
            <v>34000000</v>
          </cell>
          <cell r="E6782">
            <v>34000000</v>
          </cell>
          <cell r="F6782">
            <v>34000000</v>
          </cell>
          <cell r="G6782">
            <v>34000000</v>
          </cell>
          <cell r="H6782">
            <v>34000000</v>
          </cell>
          <cell r="I6782" t="str">
            <v/>
          </cell>
          <cell r="J6782" t="str">
            <v/>
          </cell>
          <cell r="K6782" t="str">
            <v/>
          </cell>
          <cell r="L6782" t="str">
            <v/>
          </cell>
        </row>
        <row r="6783">
          <cell r="A6783">
            <v>34000000</v>
          </cell>
          <cell r="C6783">
            <v>34000000</v>
          </cell>
          <cell r="D6783">
            <v>34000000</v>
          </cell>
          <cell r="E6783">
            <v>34000000</v>
          </cell>
          <cell r="F6783">
            <v>34000000</v>
          </cell>
          <cell r="G6783">
            <v>34000000</v>
          </cell>
          <cell r="H6783">
            <v>34000000</v>
          </cell>
          <cell r="I6783" t="str">
            <v/>
          </cell>
          <cell r="J6783" t="str">
            <v/>
          </cell>
          <cell r="K6783" t="str">
            <v/>
          </cell>
          <cell r="L6783" t="str">
            <v/>
          </cell>
        </row>
        <row r="6784">
          <cell r="A6784">
            <v>34000000</v>
          </cell>
          <cell r="C6784">
            <v>34000000</v>
          </cell>
          <cell r="D6784">
            <v>34000000</v>
          </cell>
          <cell r="E6784">
            <v>34000000</v>
          </cell>
          <cell r="F6784">
            <v>34000000</v>
          </cell>
          <cell r="G6784">
            <v>34000000</v>
          </cell>
          <cell r="H6784">
            <v>34000000</v>
          </cell>
          <cell r="I6784" t="str">
            <v/>
          </cell>
          <cell r="J6784" t="str">
            <v/>
          </cell>
          <cell r="K6784" t="str">
            <v/>
          </cell>
          <cell r="L6784" t="str">
            <v/>
          </cell>
        </row>
        <row r="6785">
          <cell r="A6785">
            <v>34000000</v>
          </cell>
          <cell r="C6785">
            <v>34000000</v>
          </cell>
          <cell r="D6785">
            <v>34000000</v>
          </cell>
          <cell r="E6785">
            <v>34000000</v>
          </cell>
          <cell r="F6785">
            <v>34000000</v>
          </cell>
          <cell r="G6785">
            <v>34000000</v>
          </cell>
          <cell r="H6785">
            <v>34000000</v>
          </cell>
          <cell r="I6785" t="str">
            <v/>
          </cell>
          <cell r="J6785" t="str">
            <v/>
          </cell>
          <cell r="K6785" t="str">
            <v/>
          </cell>
          <cell r="L6785" t="str">
            <v/>
          </cell>
        </row>
        <row r="6786">
          <cell r="A6786">
            <v>34000000</v>
          </cell>
          <cell r="C6786">
            <v>34000000</v>
          </cell>
          <cell r="D6786">
            <v>34000000</v>
          </cell>
          <cell r="E6786">
            <v>34000000</v>
          </cell>
          <cell r="F6786">
            <v>34000000</v>
          </cell>
          <cell r="G6786">
            <v>34000000</v>
          </cell>
          <cell r="H6786">
            <v>34000000</v>
          </cell>
          <cell r="I6786" t="str">
            <v/>
          </cell>
          <cell r="J6786" t="str">
            <v/>
          </cell>
          <cell r="K6786" t="str">
            <v/>
          </cell>
          <cell r="L6786" t="str">
            <v/>
          </cell>
        </row>
        <row r="6787">
          <cell r="A6787">
            <v>34000000</v>
          </cell>
          <cell r="C6787">
            <v>34000000</v>
          </cell>
          <cell r="D6787">
            <v>34000000</v>
          </cell>
          <cell r="E6787">
            <v>34000000</v>
          </cell>
          <cell r="F6787">
            <v>34000000</v>
          </cell>
          <cell r="G6787">
            <v>34000000</v>
          </cell>
          <cell r="H6787">
            <v>34000000</v>
          </cell>
          <cell r="I6787" t="str">
            <v/>
          </cell>
          <cell r="J6787" t="str">
            <v/>
          </cell>
          <cell r="K6787" t="str">
            <v/>
          </cell>
          <cell r="L6787" t="str">
            <v/>
          </cell>
        </row>
        <row r="6788">
          <cell r="A6788">
            <v>34000000</v>
          </cell>
          <cell r="C6788">
            <v>34000000</v>
          </cell>
          <cell r="D6788">
            <v>34000000</v>
          </cell>
          <cell r="E6788">
            <v>34000000</v>
          </cell>
          <cell r="F6788">
            <v>34000000</v>
          </cell>
          <cell r="G6788">
            <v>34000000</v>
          </cell>
          <cell r="H6788">
            <v>34000000</v>
          </cell>
          <cell r="I6788" t="str">
            <v/>
          </cell>
          <cell r="J6788" t="str">
            <v/>
          </cell>
          <cell r="K6788" t="str">
            <v/>
          </cell>
          <cell r="L6788" t="str">
            <v/>
          </cell>
        </row>
        <row r="6789">
          <cell r="A6789">
            <v>34000000</v>
          </cell>
          <cell r="C6789">
            <v>34000000</v>
          </cell>
          <cell r="D6789">
            <v>34000000</v>
          </cell>
          <cell r="E6789">
            <v>34000000</v>
          </cell>
          <cell r="F6789">
            <v>34000000</v>
          </cell>
          <cell r="G6789">
            <v>34000000</v>
          </cell>
          <cell r="H6789">
            <v>34000000</v>
          </cell>
          <cell r="I6789" t="str">
            <v/>
          </cell>
          <cell r="J6789" t="str">
            <v/>
          </cell>
          <cell r="K6789" t="str">
            <v/>
          </cell>
          <cell r="L6789" t="str">
            <v/>
          </cell>
        </row>
        <row r="6790">
          <cell r="A6790">
            <v>34000000</v>
          </cell>
          <cell r="C6790">
            <v>34000000</v>
          </cell>
          <cell r="D6790">
            <v>34000000</v>
          </cell>
          <cell r="E6790">
            <v>34000000</v>
          </cell>
          <cell r="F6790">
            <v>34000000</v>
          </cell>
          <cell r="G6790">
            <v>34000000</v>
          </cell>
          <cell r="H6790">
            <v>34000000</v>
          </cell>
          <cell r="I6790" t="str">
            <v/>
          </cell>
          <cell r="J6790" t="str">
            <v/>
          </cell>
          <cell r="K6790" t="str">
            <v/>
          </cell>
          <cell r="L6790" t="str">
            <v/>
          </cell>
        </row>
        <row r="6791">
          <cell r="A6791">
            <v>34000000</v>
          </cell>
          <cell r="C6791">
            <v>34000000</v>
          </cell>
          <cell r="D6791">
            <v>34000000</v>
          </cell>
          <cell r="E6791">
            <v>34000000</v>
          </cell>
          <cell r="F6791">
            <v>34000000</v>
          </cell>
          <cell r="G6791">
            <v>34000000</v>
          </cell>
          <cell r="H6791">
            <v>34000000</v>
          </cell>
          <cell r="I6791" t="str">
            <v/>
          </cell>
          <cell r="J6791" t="str">
            <v/>
          </cell>
          <cell r="K6791" t="str">
            <v/>
          </cell>
          <cell r="L6791" t="str">
            <v/>
          </cell>
        </row>
        <row r="6792">
          <cell r="A6792">
            <v>34000000</v>
          </cell>
          <cell r="C6792">
            <v>34000000</v>
          </cell>
          <cell r="D6792">
            <v>34000000</v>
          </cell>
          <cell r="E6792">
            <v>34000000</v>
          </cell>
          <cell r="F6792">
            <v>34000000</v>
          </cell>
          <cell r="G6792">
            <v>34000000</v>
          </cell>
          <cell r="H6792">
            <v>34000000</v>
          </cell>
          <cell r="I6792" t="str">
            <v/>
          </cell>
          <cell r="J6792" t="str">
            <v/>
          </cell>
          <cell r="K6792" t="str">
            <v/>
          </cell>
          <cell r="L6792" t="str">
            <v/>
          </cell>
        </row>
        <row r="6793">
          <cell r="A6793">
            <v>34000000</v>
          </cell>
          <cell r="C6793">
            <v>34000000</v>
          </cell>
          <cell r="D6793">
            <v>34000000</v>
          </cell>
          <cell r="E6793">
            <v>34000000</v>
          </cell>
          <cell r="F6793">
            <v>34000000</v>
          </cell>
          <cell r="G6793">
            <v>34000000</v>
          </cell>
          <cell r="H6793">
            <v>34000000</v>
          </cell>
          <cell r="I6793" t="str">
            <v/>
          </cell>
          <cell r="J6793" t="str">
            <v/>
          </cell>
          <cell r="K6793" t="str">
            <v/>
          </cell>
          <cell r="L6793" t="str">
            <v/>
          </cell>
        </row>
        <row r="6794">
          <cell r="A6794">
            <v>34000000</v>
          </cell>
          <cell r="C6794">
            <v>34000000</v>
          </cell>
          <cell r="D6794">
            <v>34000000</v>
          </cell>
          <cell r="E6794">
            <v>34000000</v>
          </cell>
          <cell r="F6794">
            <v>34000000</v>
          </cell>
          <cell r="G6794">
            <v>34000000</v>
          </cell>
          <cell r="H6794">
            <v>34000000</v>
          </cell>
          <cell r="I6794" t="str">
            <v/>
          </cell>
          <cell r="J6794" t="str">
            <v/>
          </cell>
          <cell r="K6794" t="str">
            <v/>
          </cell>
          <cell r="L6794" t="str">
            <v/>
          </cell>
        </row>
        <row r="6795">
          <cell r="A6795">
            <v>34000000</v>
          </cell>
          <cell r="C6795">
            <v>34000000</v>
          </cell>
          <cell r="D6795">
            <v>34000000</v>
          </cell>
          <cell r="E6795">
            <v>34000000</v>
          </cell>
          <cell r="F6795">
            <v>34000000</v>
          </cell>
          <cell r="G6795">
            <v>34000000</v>
          </cell>
          <cell r="H6795">
            <v>34000000</v>
          </cell>
          <cell r="I6795" t="str">
            <v/>
          </cell>
          <cell r="J6795" t="str">
            <v/>
          </cell>
          <cell r="K6795" t="str">
            <v/>
          </cell>
          <cell r="L6795" t="str">
            <v/>
          </cell>
        </row>
        <row r="6796">
          <cell r="A6796">
            <v>34000000</v>
          </cell>
          <cell r="C6796">
            <v>34000000</v>
          </cell>
          <cell r="D6796">
            <v>34000000</v>
          </cell>
          <cell r="E6796">
            <v>34000000</v>
          </cell>
          <cell r="F6796">
            <v>34000000</v>
          </cell>
          <cell r="G6796">
            <v>34000000</v>
          </cell>
          <cell r="H6796">
            <v>34000000</v>
          </cell>
          <cell r="I6796" t="str">
            <v/>
          </cell>
          <cell r="J6796" t="str">
            <v/>
          </cell>
          <cell r="K6796" t="str">
            <v/>
          </cell>
          <cell r="L6796" t="str">
            <v/>
          </cell>
        </row>
        <row r="6797">
          <cell r="A6797">
            <v>34000000</v>
          </cell>
          <cell r="C6797">
            <v>34000000</v>
          </cell>
          <cell r="D6797">
            <v>34000000</v>
          </cell>
          <cell r="E6797">
            <v>34000000</v>
          </cell>
          <cell r="F6797">
            <v>34000000</v>
          </cell>
          <cell r="G6797">
            <v>34000000</v>
          </cell>
          <cell r="H6797">
            <v>34000000</v>
          </cell>
          <cell r="I6797" t="str">
            <v/>
          </cell>
          <cell r="J6797" t="str">
            <v/>
          </cell>
          <cell r="K6797" t="str">
            <v/>
          </cell>
          <cell r="L6797" t="str">
            <v/>
          </cell>
        </row>
        <row r="6798">
          <cell r="A6798">
            <v>34000000</v>
          </cell>
          <cell r="C6798">
            <v>34000000</v>
          </cell>
          <cell r="D6798">
            <v>34000000</v>
          </cell>
          <cell r="E6798">
            <v>34000000</v>
          </cell>
          <cell r="F6798">
            <v>34000000</v>
          </cell>
          <cell r="G6798">
            <v>34000000</v>
          </cell>
          <cell r="H6798">
            <v>34000000</v>
          </cell>
          <cell r="I6798" t="str">
            <v/>
          </cell>
          <cell r="J6798" t="str">
            <v/>
          </cell>
          <cell r="K6798" t="str">
            <v/>
          </cell>
          <cell r="L6798" t="str">
            <v/>
          </cell>
        </row>
        <row r="6799">
          <cell r="A6799">
            <v>34000000</v>
          </cell>
          <cell r="C6799">
            <v>34000000</v>
          </cell>
          <cell r="D6799">
            <v>34000000</v>
          </cell>
          <cell r="E6799">
            <v>34000000</v>
          </cell>
          <cell r="F6799">
            <v>34000000</v>
          </cell>
          <cell r="G6799">
            <v>34000000</v>
          </cell>
          <cell r="H6799">
            <v>34000000</v>
          </cell>
          <cell r="I6799" t="str">
            <v/>
          </cell>
          <cell r="J6799" t="str">
            <v/>
          </cell>
          <cell r="K6799" t="str">
            <v/>
          </cell>
          <cell r="L6799" t="str">
            <v/>
          </cell>
        </row>
        <row r="6800">
          <cell r="A6800">
            <v>34000000</v>
          </cell>
          <cell r="C6800">
            <v>34000000</v>
          </cell>
          <cell r="D6800">
            <v>34000000</v>
          </cell>
          <cell r="E6800">
            <v>34000000</v>
          </cell>
          <cell r="F6800">
            <v>34000000</v>
          </cell>
          <cell r="G6800">
            <v>34000000</v>
          </cell>
          <cell r="H6800">
            <v>34000000</v>
          </cell>
          <cell r="I6800" t="str">
            <v/>
          </cell>
          <cell r="J6800" t="str">
            <v/>
          </cell>
          <cell r="K6800" t="str">
            <v/>
          </cell>
          <cell r="L6800" t="str">
            <v/>
          </cell>
        </row>
        <row r="6801">
          <cell r="A6801">
            <v>34000000</v>
          </cell>
          <cell r="C6801">
            <v>34000000</v>
          </cell>
          <cell r="D6801">
            <v>34000000</v>
          </cell>
          <cell r="E6801">
            <v>34000000</v>
          </cell>
          <cell r="F6801">
            <v>34000000</v>
          </cell>
          <cell r="G6801">
            <v>34000000</v>
          </cell>
          <cell r="H6801">
            <v>34000000</v>
          </cell>
          <cell r="I6801" t="str">
            <v/>
          </cell>
          <cell r="J6801" t="str">
            <v/>
          </cell>
          <cell r="K6801" t="str">
            <v/>
          </cell>
          <cell r="L6801" t="str">
            <v/>
          </cell>
        </row>
        <row r="6802">
          <cell r="A6802">
            <v>34000000</v>
          </cell>
          <cell r="C6802">
            <v>34000000</v>
          </cell>
          <cell r="D6802">
            <v>34000000</v>
          </cell>
          <cell r="E6802">
            <v>34000000</v>
          </cell>
          <cell r="F6802">
            <v>34000000</v>
          </cell>
          <cell r="G6802">
            <v>34000000</v>
          </cell>
          <cell r="H6802">
            <v>34000000</v>
          </cell>
          <cell r="I6802" t="str">
            <v/>
          </cell>
          <cell r="J6802" t="str">
            <v/>
          </cell>
          <cell r="K6802" t="str">
            <v/>
          </cell>
          <cell r="L6802" t="str">
            <v/>
          </cell>
        </row>
        <row r="6803">
          <cell r="A6803">
            <v>34000000</v>
          </cell>
          <cell r="C6803">
            <v>34000000</v>
          </cell>
          <cell r="D6803">
            <v>34000000</v>
          </cell>
          <cell r="E6803">
            <v>34000000</v>
          </cell>
          <cell r="F6803">
            <v>34000000</v>
          </cell>
          <cell r="G6803">
            <v>34000000</v>
          </cell>
          <cell r="H6803">
            <v>34000000</v>
          </cell>
          <cell r="I6803" t="str">
            <v/>
          </cell>
          <cell r="J6803" t="str">
            <v/>
          </cell>
          <cell r="K6803" t="str">
            <v/>
          </cell>
          <cell r="L6803" t="str">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tables/table1.xml><?xml version="1.0" encoding="utf-8"?>
<table xmlns="http://schemas.openxmlformats.org/spreadsheetml/2006/main" id="1" name="Tableau1" displayName="Tableau1" ref="H40:J43" totalsRowShown="0" headerRowDxfId="11" dataDxfId="9" headerRowBorderDxfId="10" tableBorderDxfId="8" headerRowCellStyle="Milliers">
  <autoFilter ref="H40:J43"/>
  <tableColumns count="3">
    <tableColumn id="1" name="Colonne1" dataDxfId="7" dataCellStyle="Milliers"/>
    <tableColumn id="2" name="Colonne2" dataDxfId="6" dataCellStyle="Milliers"/>
    <tableColumn id="3" name="Colonne3" dataDxfId="5"/>
  </tableColumns>
  <tableStyleInfo name="TableStyleDark4"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ustin">
      <a:fillStyleLst>
        <a:solidFill>
          <a:schemeClr val="phClr"/>
        </a:solidFill>
        <a:gradFill rotWithShape="1">
          <a:gsLst>
            <a:gs pos="0">
              <a:schemeClr val="phClr">
                <a:tint val="20000"/>
                <a:satMod val="180000"/>
                <a:lumMod val="98000"/>
              </a:schemeClr>
            </a:gs>
            <a:gs pos="40000">
              <a:schemeClr val="phClr">
                <a:tint val="30000"/>
                <a:satMod val="260000"/>
                <a:lumMod val="84000"/>
              </a:schemeClr>
            </a:gs>
            <a:gs pos="100000">
              <a:schemeClr val="phClr">
                <a:tint val="100000"/>
                <a:satMod val="110000"/>
                <a:lumMod val="100000"/>
              </a:schemeClr>
            </a:gs>
          </a:gsLst>
          <a:lin ang="5040000" scaled="1"/>
        </a:gradFill>
        <a:gradFill rotWithShape="1">
          <a:gsLst>
            <a:gs pos="0">
              <a:schemeClr val="phClr"/>
            </a:gs>
            <a:gs pos="100000">
              <a:schemeClr val="phClr">
                <a:shade val="75000"/>
                <a:satMod val="120000"/>
                <a:lumMod val="90000"/>
              </a:schemeClr>
            </a:gs>
          </a:gsLst>
          <a:lin ang="5400000" scaled="0"/>
        </a:gradFill>
      </a:fillStyleLst>
      <a:lnStyleLst>
        <a:ln w="9525" cap="flat" cmpd="sng" algn="ctr">
          <a:solidFill>
            <a:schemeClr val="phClr"/>
          </a:solidFill>
          <a:prstDash val="solid"/>
        </a:ln>
        <a:ln w="15875" cap="flat" cmpd="sng" algn="ctr">
          <a:solidFill>
            <a:schemeClr val="phClr"/>
          </a:solidFill>
          <a:prstDash val="solid"/>
        </a:ln>
        <a:ln w="22225" cap="flat" cmpd="sng" algn="ctr">
          <a:solidFill>
            <a:schemeClr val="phClr"/>
          </a:solidFill>
          <a:prstDash val="solid"/>
        </a:ln>
      </a:lnStyleLst>
      <a:effectStyleLst>
        <a:effectStyle>
          <a:effectLst/>
        </a:effectStyle>
        <a:effectStyle>
          <a:effectLst>
            <a:outerShdw blurRad="50800" dist="25400" dir="5400000" rotWithShape="0">
              <a:srgbClr val="000000">
                <a:alpha val="28000"/>
              </a:srgbClr>
            </a:outerShdw>
          </a:effectLst>
          <a:scene3d>
            <a:camera prst="orthographicFront">
              <a:rot lat="0" lon="0" rev="0"/>
            </a:camera>
            <a:lightRig rig="threePt" dir="tl">
              <a:rot lat="0" lon="0" rev="20400000"/>
            </a:lightRig>
          </a:scene3d>
          <a:sp3d>
            <a:bevelT w="50800" h="12700" prst="softRound"/>
          </a:sp3d>
        </a:effectStyle>
        <a:effectStyle>
          <a:effectLst>
            <a:outerShdw blurRad="44450" dist="50800" dir="5400000" sx="96000" rotWithShape="0">
              <a:srgbClr val="000000">
                <a:alpha val="34000"/>
              </a:srgbClr>
            </a:outerShdw>
          </a:effectLst>
          <a:scene3d>
            <a:camera prst="orthographicFront">
              <a:rot lat="0" lon="0" rev="0"/>
            </a:camera>
            <a:lightRig rig="threePt" dir="tl">
              <a:rot lat="0" lon="0" rev="20400000"/>
            </a:lightRig>
          </a:scene3d>
          <a:sp3d contourW="15875" prstMaterial="metal">
            <a:bevelT w="101600" h="25400" prst="softRound"/>
            <a:contourClr>
              <a:schemeClr val="phClr">
                <a:shade val="3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226)%2025%2033%2028%207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2.bin"/><Relationship Id="rId1" Type="http://schemas.openxmlformats.org/officeDocument/2006/relationships/hyperlink" Target="tel:&#8230;&#8230;&#8230;&#8230;&#8230;&#8230;&#8230;&#8230;&#8230;&#8230;&#8230;" TargetMode="External"/><Relationship Id="rId5" Type="http://schemas.openxmlformats.org/officeDocument/2006/relationships/comments" Target="../comments1.xml"/><Relationship Id="rId4" Type="http://schemas.openxmlformats.org/officeDocument/2006/relationships/vmlDrawing" Target="../drawings/vmlDrawing4.v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FF0000"/>
  </sheetPr>
  <dimension ref="A1:H63"/>
  <sheetViews>
    <sheetView showGridLines="0" topLeftCell="A25" workbookViewId="0">
      <selection activeCell="H36" sqref="H36"/>
    </sheetView>
  </sheetViews>
  <sheetFormatPr baseColWidth="10" defaultRowHeight="15" x14ac:dyDescent="0.25"/>
  <cols>
    <col min="1" max="1" width="6.7109375" style="976" customWidth="1"/>
    <col min="2" max="7" width="11.42578125" style="976"/>
    <col min="8" max="8" width="40.28515625" style="976" customWidth="1"/>
    <col min="9" max="16384" width="11.42578125" style="976"/>
  </cols>
  <sheetData>
    <row r="1" spans="1:8" ht="18.75" thickTop="1" x14ac:dyDescent="0.25">
      <c r="A1" s="1727" t="s">
        <v>1831</v>
      </c>
      <c r="B1" s="1728"/>
      <c r="C1" s="1728"/>
      <c r="D1" s="1728"/>
      <c r="E1" s="1728"/>
      <c r="F1" s="1728"/>
      <c r="G1" s="1728"/>
      <c r="H1" s="1729"/>
    </row>
    <row r="2" spans="1:8" ht="17.25" customHeight="1" x14ac:dyDescent="0.25">
      <c r="A2" s="978"/>
      <c r="B2" s="979"/>
      <c r="C2" s="979"/>
      <c r="D2" s="979"/>
      <c r="E2" s="979"/>
      <c r="F2" s="979"/>
      <c r="G2" s="979"/>
      <c r="H2" s="980"/>
    </row>
    <row r="3" spans="1:8" ht="17.25" customHeight="1" x14ac:dyDescent="0.25">
      <c r="A3" s="981"/>
      <c r="B3" s="982" t="s">
        <v>3906</v>
      </c>
      <c r="C3" s="979"/>
      <c r="D3" s="979"/>
      <c r="E3" s="979"/>
      <c r="F3" s="979"/>
      <c r="G3" s="979"/>
      <c r="H3" s="980"/>
    </row>
    <row r="4" spans="1:8" ht="17.25" customHeight="1" x14ac:dyDescent="0.25">
      <c r="A4" s="983"/>
      <c r="B4" s="984" t="s">
        <v>3932</v>
      </c>
      <c r="C4" s="979"/>
      <c r="D4" s="979"/>
      <c r="E4" s="979"/>
      <c r="F4" s="979"/>
      <c r="G4" s="979"/>
      <c r="H4" s="980"/>
    </row>
    <row r="5" spans="1:8" ht="17.25" customHeight="1" x14ac:dyDescent="0.25">
      <c r="A5" s="983"/>
      <c r="B5" s="982" t="s">
        <v>3907</v>
      </c>
      <c r="C5" s="979"/>
      <c r="D5" s="979"/>
      <c r="E5" s="979"/>
      <c r="F5" s="979"/>
      <c r="G5" s="979"/>
      <c r="H5" s="980"/>
    </row>
    <row r="6" spans="1:8" ht="17.25" customHeight="1" x14ac:dyDescent="0.25">
      <c r="A6" s="981"/>
      <c r="B6" s="985" t="s">
        <v>3908</v>
      </c>
      <c r="C6" s="979"/>
      <c r="D6" s="979"/>
      <c r="E6" s="979"/>
      <c r="F6" s="979"/>
      <c r="G6" s="979"/>
      <c r="H6" s="980"/>
    </row>
    <row r="7" spans="1:8" ht="17.25" customHeight="1" x14ac:dyDescent="0.25">
      <c r="A7" s="981"/>
      <c r="B7" s="986" t="s">
        <v>3909</v>
      </c>
      <c r="C7" s="979"/>
      <c r="D7" s="979"/>
      <c r="E7" s="979"/>
      <c r="F7" s="979"/>
      <c r="G7" s="979"/>
      <c r="H7" s="980"/>
    </row>
    <row r="8" spans="1:8" ht="17.25" customHeight="1" x14ac:dyDescent="0.25">
      <c r="A8" s="981"/>
      <c r="B8" s="982" t="s">
        <v>3936</v>
      </c>
      <c r="C8" s="979"/>
      <c r="D8" s="979"/>
      <c r="E8" s="979"/>
      <c r="F8" s="979"/>
      <c r="G8" s="979"/>
      <c r="H8" s="980"/>
    </row>
    <row r="9" spans="1:8" ht="18" x14ac:dyDescent="0.25">
      <c r="A9" s="987"/>
      <c r="B9" s="985" t="s">
        <v>3912</v>
      </c>
      <c r="C9" s="979"/>
      <c r="D9" s="979"/>
      <c r="E9" s="979"/>
      <c r="F9" s="979"/>
      <c r="G9" s="979"/>
      <c r="H9" s="980"/>
    </row>
    <row r="10" spans="1:8" x14ac:dyDescent="0.25">
      <c r="A10" s="988"/>
      <c r="B10" s="985" t="s">
        <v>3913</v>
      </c>
      <c r="C10" s="989"/>
      <c r="D10" s="989"/>
      <c r="E10" s="989"/>
      <c r="F10" s="989"/>
      <c r="G10" s="989"/>
      <c r="H10" s="990"/>
    </row>
    <row r="11" spans="1:8" x14ac:dyDescent="0.25">
      <c r="A11" s="988"/>
      <c r="B11" s="991" t="s">
        <v>3937</v>
      </c>
      <c r="C11" s="989"/>
      <c r="D11" s="989"/>
      <c r="E11" s="989"/>
      <c r="F11" s="989"/>
      <c r="G11" s="989"/>
      <c r="H11" s="990"/>
    </row>
    <row r="12" spans="1:8" ht="15.75" thickBot="1" x14ac:dyDescent="0.3">
      <c r="A12" s="988"/>
      <c r="B12" s="992" t="s">
        <v>3938</v>
      </c>
      <c r="C12" s="989"/>
      <c r="D12" s="989"/>
      <c r="E12" s="989"/>
      <c r="F12" s="989"/>
      <c r="G12" s="989"/>
      <c r="H12" s="990"/>
    </row>
    <row r="13" spans="1:8" x14ac:dyDescent="0.25">
      <c r="A13" s="988"/>
      <c r="B13" s="1012" t="s">
        <v>3964</v>
      </c>
      <c r="C13" s="1013"/>
      <c r="D13" s="1013"/>
      <c r="E13" s="1013"/>
      <c r="F13" s="1013"/>
      <c r="G13" s="1013"/>
      <c r="H13" s="1014"/>
    </row>
    <row r="14" spans="1:8" x14ac:dyDescent="0.25">
      <c r="A14" s="988"/>
      <c r="B14" s="1015" t="s">
        <v>3965</v>
      </c>
      <c r="C14" s="997"/>
      <c r="D14" s="997"/>
      <c r="E14" s="997"/>
      <c r="F14" s="997"/>
      <c r="G14" s="997"/>
      <c r="H14" s="1016"/>
    </row>
    <row r="15" spans="1:8" ht="15.75" thickBot="1" x14ac:dyDescent="0.3">
      <c r="A15" s="988"/>
      <c r="B15" s="1017" t="s">
        <v>3966</v>
      </c>
      <c r="C15" s="1018"/>
      <c r="D15" s="1018"/>
      <c r="E15" s="1018"/>
      <c r="F15" s="1018"/>
      <c r="G15" s="1018"/>
      <c r="H15" s="1019"/>
    </row>
    <row r="16" spans="1:8" ht="15.75" thickBot="1" x14ac:dyDescent="0.3">
      <c r="A16" s="988"/>
      <c r="B16" s="985" t="s">
        <v>3914</v>
      </c>
      <c r="C16" s="989"/>
      <c r="D16" s="989"/>
      <c r="E16" s="989"/>
      <c r="F16" s="989"/>
      <c r="G16" s="989"/>
      <c r="H16" s="990"/>
    </row>
    <row r="17" spans="1:8" ht="14.25" customHeight="1" thickBot="1" x14ac:dyDescent="0.3">
      <c r="A17" s="988"/>
      <c r="B17" s="993" t="s">
        <v>3910</v>
      </c>
      <c r="C17" s="989"/>
      <c r="D17" s="994"/>
      <c r="E17" s="985" t="s">
        <v>3911</v>
      </c>
      <c r="F17" s="989"/>
      <c r="G17" s="989"/>
      <c r="H17" s="990"/>
    </row>
    <row r="18" spans="1:8" x14ac:dyDescent="0.25">
      <c r="A18" s="988"/>
      <c r="B18" s="985" t="s">
        <v>3931</v>
      </c>
      <c r="C18" s="987"/>
      <c r="D18" s="995"/>
      <c r="E18" s="989"/>
      <c r="F18" s="989"/>
      <c r="G18" s="989"/>
      <c r="H18" s="990"/>
    </row>
    <row r="19" spans="1:8" x14ac:dyDescent="0.25">
      <c r="A19" s="988"/>
      <c r="B19" s="995" t="s">
        <v>3933</v>
      </c>
      <c r="C19" s="987"/>
      <c r="D19" s="995"/>
      <c r="E19" s="989"/>
      <c r="F19" s="989"/>
      <c r="G19" s="989"/>
      <c r="H19" s="990"/>
    </row>
    <row r="20" spans="1:8" x14ac:dyDescent="0.25">
      <c r="A20" s="988"/>
      <c r="B20" s="984" t="s">
        <v>3916</v>
      </c>
      <c r="C20" s="995"/>
      <c r="D20" s="984" t="s">
        <v>3923</v>
      </c>
      <c r="E20" s="989"/>
      <c r="F20" s="989"/>
      <c r="G20" s="989"/>
      <c r="H20" s="990"/>
    </row>
    <row r="21" spans="1:8" x14ac:dyDescent="0.25">
      <c r="A21" s="988"/>
      <c r="B21" s="984" t="s">
        <v>3917</v>
      </c>
      <c r="C21" s="995"/>
      <c r="D21" s="984" t="s">
        <v>3924</v>
      </c>
      <c r="E21" s="989"/>
      <c r="F21" s="989"/>
      <c r="G21" s="989"/>
      <c r="H21" s="990"/>
    </row>
    <row r="22" spans="1:8" x14ac:dyDescent="0.25">
      <c r="A22" s="988"/>
      <c r="B22" s="984" t="s">
        <v>3915</v>
      </c>
      <c r="C22" s="995"/>
      <c r="D22" s="984" t="s">
        <v>3925</v>
      </c>
      <c r="E22" s="989"/>
      <c r="F22" s="989"/>
      <c r="G22" s="989"/>
      <c r="H22" s="990"/>
    </row>
    <row r="23" spans="1:8" x14ac:dyDescent="0.25">
      <c r="A23" s="988"/>
      <c r="B23" s="984" t="s">
        <v>3918</v>
      </c>
      <c r="C23" s="995"/>
      <c r="D23" s="984" t="s">
        <v>3926</v>
      </c>
      <c r="E23" s="989"/>
      <c r="F23" s="989"/>
      <c r="G23" s="989"/>
      <c r="H23" s="990"/>
    </row>
    <row r="24" spans="1:8" x14ac:dyDescent="0.25">
      <c r="A24" s="988"/>
      <c r="B24" s="984" t="s">
        <v>3919</v>
      </c>
      <c r="C24" s="995"/>
      <c r="D24" s="984" t="s">
        <v>3927</v>
      </c>
      <c r="E24" s="989"/>
      <c r="F24" s="989"/>
      <c r="G24" s="989"/>
      <c r="H24" s="990"/>
    </row>
    <row r="25" spans="1:8" x14ac:dyDescent="0.25">
      <c r="A25" s="988"/>
      <c r="B25" s="984" t="s">
        <v>3920</v>
      </c>
      <c r="C25" s="995"/>
      <c r="D25" s="984" t="s">
        <v>3928</v>
      </c>
      <c r="E25" s="989"/>
      <c r="F25" s="989"/>
      <c r="G25" s="989"/>
      <c r="H25" s="990"/>
    </row>
    <row r="26" spans="1:8" x14ac:dyDescent="0.25">
      <c r="A26" s="988"/>
      <c r="B26" s="984" t="s">
        <v>3921</v>
      </c>
      <c r="C26" s="995"/>
      <c r="D26" s="984" t="s">
        <v>3929</v>
      </c>
      <c r="E26" s="989"/>
      <c r="F26" s="989"/>
      <c r="G26" s="989"/>
      <c r="H26" s="990"/>
    </row>
    <row r="27" spans="1:8" x14ac:dyDescent="0.25">
      <c r="A27" s="988"/>
      <c r="B27" s="984" t="s">
        <v>3922</v>
      </c>
      <c r="C27" s="995"/>
      <c r="D27" s="984" t="s">
        <v>3930</v>
      </c>
      <c r="E27" s="989"/>
      <c r="F27" s="989"/>
      <c r="G27" s="989"/>
      <c r="H27" s="990"/>
    </row>
    <row r="28" spans="1:8" x14ac:dyDescent="0.25">
      <c r="A28" s="988"/>
      <c r="B28" s="996" t="s">
        <v>3934</v>
      </c>
      <c r="C28" s="997"/>
      <c r="D28" s="997"/>
      <c r="E28" s="997"/>
      <c r="F28" s="997"/>
      <c r="G28" s="997"/>
      <c r="H28" s="998"/>
    </row>
    <row r="29" spans="1:8" x14ac:dyDescent="0.25">
      <c r="A29" s="988"/>
      <c r="B29" s="995"/>
      <c r="C29" s="989"/>
      <c r="D29" s="989"/>
      <c r="E29" s="989"/>
      <c r="F29" s="989"/>
      <c r="G29" s="989"/>
      <c r="H29" s="990"/>
    </row>
    <row r="30" spans="1:8" x14ac:dyDescent="0.25">
      <c r="A30" s="988"/>
      <c r="B30" s="995" t="s">
        <v>3948</v>
      </c>
      <c r="C30" s="989"/>
      <c r="D30" s="989"/>
      <c r="E30" s="989"/>
      <c r="F30" s="989"/>
      <c r="G30" s="989"/>
      <c r="H30" s="990"/>
    </row>
    <row r="31" spans="1:8" x14ac:dyDescent="0.25">
      <c r="A31" s="988"/>
      <c r="B31" s="995"/>
      <c r="C31" s="989"/>
      <c r="D31" s="989"/>
      <c r="E31" s="989"/>
      <c r="F31" s="989"/>
      <c r="G31" s="989"/>
      <c r="H31" s="990"/>
    </row>
    <row r="32" spans="1:8" x14ac:dyDescent="0.25">
      <c r="A32" s="988"/>
      <c r="B32" s="995" t="s">
        <v>3947</v>
      </c>
      <c r="C32" s="989"/>
      <c r="D32" s="989"/>
      <c r="E32" s="989"/>
      <c r="F32" s="989"/>
      <c r="G32" s="989"/>
      <c r="H32" s="990"/>
    </row>
    <row r="33" spans="1:8" x14ac:dyDescent="0.25">
      <c r="A33" s="988"/>
      <c r="B33" s="984" t="s">
        <v>3935</v>
      </c>
      <c r="C33" s="989"/>
      <c r="D33" s="989"/>
      <c r="E33" s="989"/>
      <c r="F33" s="989"/>
      <c r="G33" s="989"/>
      <c r="H33" s="990"/>
    </row>
    <row r="34" spans="1:8" x14ac:dyDescent="0.25">
      <c r="A34" s="988"/>
      <c r="B34" s="989"/>
      <c r="C34" s="989"/>
      <c r="D34" s="989"/>
      <c r="E34" s="989"/>
      <c r="F34" s="989"/>
      <c r="G34" s="989"/>
      <c r="H34" s="990"/>
    </row>
    <row r="35" spans="1:8" x14ac:dyDescent="0.25">
      <c r="A35" s="988"/>
      <c r="B35" s="989" t="s">
        <v>3971</v>
      </c>
      <c r="C35" s="989"/>
      <c r="D35" s="989"/>
      <c r="E35" s="989"/>
      <c r="F35" s="989"/>
      <c r="G35" s="989"/>
      <c r="H35" s="990"/>
    </row>
    <row r="36" spans="1:8" x14ac:dyDescent="0.25">
      <c r="A36" s="988"/>
      <c r="B36" s="984" t="s">
        <v>3949</v>
      </c>
      <c r="C36" s="989"/>
      <c r="D36" s="989"/>
      <c r="E36" s="989"/>
      <c r="F36" s="989"/>
      <c r="G36" s="989"/>
      <c r="H36" s="990"/>
    </row>
    <row r="37" spans="1:8" x14ac:dyDescent="0.25">
      <c r="A37" s="988"/>
      <c r="B37" s="989" t="s">
        <v>3939</v>
      </c>
      <c r="C37" s="989"/>
      <c r="D37" s="999" t="s">
        <v>3940</v>
      </c>
      <c r="E37" s="989"/>
      <c r="F37" s="989" t="s">
        <v>3945</v>
      </c>
      <c r="G37" s="989"/>
      <c r="H37" s="990"/>
    </row>
    <row r="38" spans="1:8" x14ac:dyDescent="0.25">
      <c r="A38" s="988"/>
      <c r="B38" s="989"/>
      <c r="C38" s="984"/>
      <c r="D38" s="999" t="s">
        <v>3941</v>
      </c>
      <c r="E38" s="989"/>
      <c r="F38" s="989" t="s">
        <v>3946</v>
      </c>
      <c r="G38" s="989"/>
      <c r="H38" s="990"/>
    </row>
    <row r="39" spans="1:8" x14ac:dyDescent="0.25">
      <c r="A39" s="988"/>
      <c r="B39" s="989"/>
      <c r="C39" s="989"/>
      <c r="D39" s="999" t="s">
        <v>3942</v>
      </c>
      <c r="E39" s="989"/>
      <c r="F39" s="989"/>
      <c r="G39" s="989"/>
      <c r="H39" s="990"/>
    </row>
    <row r="40" spans="1:8" x14ac:dyDescent="0.25">
      <c r="A40" s="988"/>
      <c r="B40" s="989"/>
      <c r="C40" s="989"/>
      <c r="D40" s="999" t="s">
        <v>3943</v>
      </c>
      <c r="E40" s="989"/>
      <c r="F40" s="989"/>
      <c r="G40" s="989"/>
      <c r="H40" s="990"/>
    </row>
    <row r="41" spans="1:8" x14ac:dyDescent="0.25">
      <c r="A41" s="988"/>
      <c r="B41" s="999" t="s">
        <v>3944</v>
      </c>
      <c r="C41" s="989"/>
      <c r="D41" s="989"/>
      <c r="E41" s="989"/>
      <c r="F41" s="989"/>
      <c r="G41" s="989"/>
      <c r="H41" s="990"/>
    </row>
    <row r="42" spans="1:8" x14ac:dyDescent="0.25">
      <c r="A42" s="988"/>
      <c r="B42" s="1000" t="s">
        <v>3950</v>
      </c>
      <c r="C42" s="989"/>
      <c r="D42" s="989"/>
      <c r="E42" s="989"/>
      <c r="F42" s="989"/>
      <c r="G42" s="989"/>
      <c r="H42" s="990"/>
    </row>
    <row r="43" spans="1:8" x14ac:dyDescent="0.25">
      <c r="A43" s="988"/>
      <c r="B43" s="1000" t="s">
        <v>3951</v>
      </c>
      <c r="C43" s="989"/>
      <c r="D43" s="989"/>
      <c r="E43" s="989"/>
      <c r="F43" s="989"/>
      <c r="G43" s="989"/>
      <c r="H43" s="990"/>
    </row>
    <row r="44" spans="1:8" x14ac:dyDescent="0.25">
      <c r="A44" s="988"/>
      <c r="B44" s="1000" t="s">
        <v>3953</v>
      </c>
      <c r="C44" s="989"/>
      <c r="D44" s="989"/>
      <c r="E44" s="989"/>
      <c r="F44" s="989"/>
      <c r="G44" s="989"/>
      <c r="H44" s="990"/>
    </row>
    <row r="45" spans="1:8" x14ac:dyDescent="0.25">
      <c r="A45" s="988"/>
      <c r="B45" s="1001" t="s">
        <v>3952</v>
      </c>
      <c r="C45" s="989"/>
      <c r="D45" s="989"/>
      <c r="E45" s="989"/>
      <c r="F45" s="989"/>
      <c r="G45" s="989"/>
      <c r="H45" s="990"/>
    </row>
    <row r="46" spans="1:8" x14ac:dyDescent="0.25">
      <c r="A46" s="988"/>
      <c r="B46" s="1000" t="s">
        <v>3954</v>
      </c>
      <c r="C46" s="989"/>
      <c r="D46" s="989"/>
      <c r="E46" s="989"/>
      <c r="F46" s="989"/>
      <c r="G46" s="989"/>
      <c r="H46" s="990"/>
    </row>
    <row r="47" spans="1:8" x14ac:dyDescent="0.25">
      <c r="A47" s="988"/>
      <c r="B47" s="1000" t="s">
        <v>3955</v>
      </c>
      <c r="C47" s="989"/>
      <c r="D47" s="989"/>
      <c r="E47" s="989"/>
      <c r="F47" s="989"/>
      <c r="G47" s="989"/>
      <c r="H47" s="990"/>
    </row>
    <row r="48" spans="1:8" x14ac:dyDescent="0.25">
      <c r="A48" s="988"/>
      <c r="B48" s="1002" t="s">
        <v>3956</v>
      </c>
      <c r="C48" s="989"/>
      <c r="D48" s="989"/>
      <c r="E48" s="989"/>
      <c r="F48" s="989"/>
      <c r="G48" s="989"/>
      <c r="H48" s="990"/>
    </row>
    <row r="49" spans="1:8" x14ac:dyDescent="0.25">
      <c r="A49" s="988"/>
      <c r="B49" s="987" t="s">
        <v>3959</v>
      </c>
      <c r="C49" s="989"/>
      <c r="D49" s="989"/>
      <c r="E49" s="989"/>
      <c r="F49" s="989"/>
      <c r="G49" s="989"/>
      <c r="H49" s="990"/>
    </row>
    <row r="50" spans="1:8" x14ac:dyDescent="0.25">
      <c r="A50" s="988"/>
      <c r="B50" s="1003" t="s">
        <v>3957</v>
      </c>
      <c r="C50" s="989"/>
      <c r="D50" s="989"/>
      <c r="E50" s="989"/>
      <c r="F50" s="989"/>
      <c r="G50" s="989"/>
      <c r="H50" s="990"/>
    </row>
    <row r="51" spans="1:8" x14ac:dyDescent="0.25">
      <c r="A51" s="988"/>
      <c r="B51" s="987" t="s">
        <v>3958</v>
      </c>
      <c r="C51" s="989"/>
      <c r="D51" s="989"/>
      <c r="E51" s="989"/>
      <c r="F51" s="989"/>
      <c r="G51" s="989"/>
      <c r="H51" s="990"/>
    </row>
    <row r="52" spans="1:8" x14ac:dyDescent="0.25">
      <c r="A52" s="988"/>
      <c r="B52" s="987"/>
      <c r="C52" s="989"/>
      <c r="D52" s="989"/>
      <c r="E52" s="989"/>
      <c r="F52" s="989"/>
      <c r="G52" s="989"/>
      <c r="H52" s="990"/>
    </row>
    <row r="53" spans="1:8" x14ac:dyDescent="0.25">
      <c r="A53" s="1004"/>
      <c r="B53" s="1020"/>
      <c r="C53" s="1020"/>
      <c r="D53" s="1020"/>
      <c r="E53" s="1021" t="s">
        <v>3961</v>
      </c>
      <c r="F53" s="997"/>
      <c r="G53" s="997"/>
      <c r="H53" s="990"/>
    </row>
    <row r="54" spans="1:8" x14ac:dyDescent="0.25">
      <c r="A54" s="988"/>
      <c r="B54" s="1022" t="s">
        <v>3960</v>
      </c>
      <c r="C54" s="1020"/>
      <c r="D54" s="1020"/>
      <c r="E54" s="997"/>
      <c r="F54" s="997"/>
      <c r="G54" s="997"/>
      <c r="H54" s="990"/>
    </row>
    <row r="55" spans="1:8" x14ac:dyDescent="0.25">
      <c r="A55" s="988"/>
      <c r="B55" s="989"/>
      <c r="C55" s="989"/>
      <c r="D55" s="989"/>
      <c r="E55" s="989"/>
      <c r="F55" s="989"/>
      <c r="G55" s="989"/>
      <c r="H55" s="990"/>
    </row>
    <row r="56" spans="1:8" x14ac:dyDescent="0.25">
      <c r="A56" s="988"/>
      <c r="B56" s="989" t="s">
        <v>3968</v>
      </c>
      <c r="C56" s="989"/>
      <c r="D56" s="989"/>
      <c r="E56" s="989"/>
      <c r="F56" s="989"/>
      <c r="G56" s="989"/>
      <c r="H56" s="990"/>
    </row>
    <row r="57" spans="1:8" x14ac:dyDescent="0.25">
      <c r="A57" s="988"/>
      <c r="B57" s="989"/>
      <c r="C57" s="989"/>
      <c r="D57" s="989"/>
      <c r="E57" s="989"/>
      <c r="F57" s="989"/>
      <c r="G57" s="989"/>
      <c r="H57" s="990"/>
    </row>
    <row r="58" spans="1:8" ht="15" customHeight="1" thickBot="1" x14ac:dyDescent="0.3">
      <c r="A58" s="1730" t="s">
        <v>3967</v>
      </c>
      <c r="B58" s="1731"/>
      <c r="C58" s="1731"/>
      <c r="D58" s="1731"/>
      <c r="E58" s="1731"/>
      <c r="F58" s="1731"/>
      <c r="G58" s="1731"/>
      <c r="H58" s="1732"/>
    </row>
    <row r="59" spans="1:8" ht="17.25" customHeight="1" thickTop="1" x14ac:dyDescent="0.25">
      <c r="A59" s="1005"/>
      <c r="B59" s="1006"/>
      <c r="C59" s="1006"/>
      <c r="D59" s="1006"/>
      <c r="E59" s="1006"/>
      <c r="F59" s="1007" t="s">
        <v>3962</v>
      </c>
      <c r="G59" s="1006"/>
      <c r="H59" s="1008"/>
    </row>
    <row r="60" spans="1:8" ht="17.25" customHeight="1" x14ac:dyDescent="0.25">
      <c r="A60" s="1005"/>
      <c r="B60" s="1006"/>
      <c r="C60" s="1006"/>
      <c r="D60" s="1006"/>
      <c r="E60" s="1006"/>
      <c r="F60" s="1007" t="s">
        <v>3969</v>
      </c>
      <c r="G60" s="1006"/>
      <c r="H60" s="1008"/>
    </row>
    <row r="61" spans="1:8" ht="17.25" customHeight="1" x14ac:dyDescent="0.25">
      <c r="A61" s="1005"/>
      <c r="B61" s="1006"/>
      <c r="C61" s="1006"/>
      <c r="D61" s="1006"/>
      <c r="E61" s="1006"/>
      <c r="F61" s="1007" t="s">
        <v>3963</v>
      </c>
      <c r="G61" s="1006"/>
      <c r="H61" s="1008"/>
    </row>
    <row r="62" spans="1:8" ht="15.75" thickBot="1" x14ac:dyDescent="0.3">
      <c r="A62" s="1009"/>
      <c r="B62" s="1010"/>
      <c r="C62" s="1010"/>
      <c r="D62" s="1010"/>
      <c r="E62" s="1010"/>
      <c r="F62" s="1023" t="s">
        <v>3970</v>
      </c>
      <c r="G62" s="1010"/>
      <c r="H62" s="1011"/>
    </row>
    <row r="63" spans="1:8" ht="15.75" thickTop="1" x14ac:dyDescent="0.25">
      <c r="A63" s="977"/>
    </row>
  </sheetData>
  <sheetProtection algorithmName="SHA-512" hashValue="248MQN/fNaFP3cZtlA7rjW6rMs89ylMrOwo4oWutf+TJUslkNb1LCjnmhoLkya3ipKUbaHQqzYnrtxVzZD92/w==" saltValue="J+Zzg6XjQj3CRyaSzzVZxA==" spinCount="100000" sheet="1" pivotTables="0"/>
  <mergeCells count="2">
    <mergeCell ref="A1:H1"/>
    <mergeCell ref="A58:H58"/>
  </mergeCells>
  <hyperlinks>
    <hyperlink ref="F59" r:id="rId1"/>
  </hyperlinks>
  <printOptions horizontalCentered="1"/>
  <pageMargins left="0" right="0" top="0.98425196850393704" bottom="0.98425196850393704" header="0.51181102362204722" footer="0.51181102362204722"/>
  <pageSetup paperSize="9" orientation="portrait" r:id="rId2"/>
  <headerFooter alignWithMargins="0">
    <oddFooter>&amp;LBilan au 31/12/2004&amp;C&amp;N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tabColor rgb="FF00B050"/>
  </sheetPr>
  <dimension ref="A1:M96"/>
  <sheetViews>
    <sheetView zoomScaleNormal="100" workbookViewId="0">
      <selection activeCell="H36" sqref="H36"/>
    </sheetView>
  </sheetViews>
  <sheetFormatPr baseColWidth="10" defaultColWidth="0" defaultRowHeight="15" zeroHeight="1" x14ac:dyDescent="0.25"/>
  <cols>
    <col min="1" max="3" width="11.42578125" style="533" customWidth="1"/>
    <col min="4" max="4" width="42.85546875" style="120" customWidth="1"/>
    <col min="5" max="5" width="7.5703125" style="120" customWidth="1"/>
    <col min="6" max="6" width="7" style="120" customWidth="1"/>
    <col min="7" max="7" width="35.7109375" style="120" customWidth="1"/>
    <col min="8" max="8" width="9.85546875" style="120" customWidth="1"/>
    <col min="9" max="9" width="7.5703125" style="120" customWidth="1"/>
    <col min="10" max="10" width="11.42578125" style="120" customWidth="1"/>
    <col min="11" max="13" width="11.42578125" style="533" customWidth="1"/>
    <col min="14" max="16384" width="11.42578125" style="120" hidden="1"/>
  </cols>
  <sheetData>
    <row r="1" spans="1:13" ht="28.5" customHeight="1" x14ac:dyDescent="0.25">
      <c r="D1" s="1827" t="s">
        <v>795</v>
      </c>
      <c r="E1" s="1828"/>
      <c r="F1" s="1828"/>
      <c r="G1" s="1828"/>
      <c r="H1" s="1828"/>
      <c r="I1" s="1828"/>
      <c r="J1" s="1828"/>
    </row>
    <row r="2" spans="1:13" x14ac:dyDescent="0.25">
      <c r="D2" s="380"/>
      <c r="E2" s="380"/>
      <c r="F2" s="380"/>
      <c r="G2" s="380"/>
      <c r="H2" s="380"/>
      <c r="I2" s="380"/>
      <c r="J2" s="380"/>
    </row>
    <row r="3" spans="1:13" s="821" customFormat="1" ht="17.25" customHeight="1" x14ac:dyDescent="0.25">
      <c r="A3" s="817"/>
      <c r="B3" s="817"/>
      <c r="C3" s="817"/>
      <c r="D3" s="818" t="s">
        <v>42</v>
      </c>
      <c r="E3" s="1833" t="str">
        <f>INFORMATIONS!B10</f>
        <v>SAM CONSEILS</v>
      </c>
      <c r="F3" s="1833"/>
      <c r="G3" s="1833"/>
      <c r="H3" s="1834" t="s">
        <v>52</v>
      </c>
      <c r="I3" s="1834"/>
      <c r="J3" s="820">
        <f>INFORMATIONS!D31</f>
        <v>43465</v>
      </c>
      <c r="K3" s="817"/>
      <c r="L3" s="817"/>
      <c r="M3" s="817"/>
    </row>
    <row r="4" spans="1:13" ht="14.25" customHeight="1" x14ac:dyDescent="0.25">
      <c r="D4" s="621" t="s">
        <v>43</v>
      </c>
      <c r="E4" s="824"/>
      <c r="F4" s="825" t="str">
        <f>INFORMATIONS!B24</f>
        <v>00084404X</v>
      </c>
      <c r="G4" s="623"/>
      <c r="H4" s="826" t="s">
        <v>44</v>
      </c>
      <c r="I4" s="624"/>
      <c r="J4" s="823">
        <f>INFORMATIONS!F34</f>
        <v>12</v>
      </c>
    </row>
    <row r="5" spans="1:13" ht="14.25" customHeight="1" x14ac:dyDescent="0.25">
      <c r="D5" s="621" t="s">
        <v>4470</v>
      </c>
      <c r="E5" s="825" t="str">
        <f>INFORMATIONS!F24</f>
        <v>AMMTB89</v>
      </c>
      <c r="F5" s="622"/>
      <c r="G5" s="623"/>
      <c r="H5" s="826"/>
      <c r="I5" s="624"/>
      <c r="J5" s="823"/>
    </row>
    <row r="6" spans="1:13" x14ac:dyDescent="0.25"/>
    <row r="7" spans="1:13" ht="20.100000000000001" customHeight="1" x14ac:dyDescent="0.25">
      <c r="D7" s="1830" t="s">
        <v>750</v>
      </c>
      <c r="E7" s="1831"/>
      <c r="F7" s="1832"/>
      <c r="G7" s="1830" t="s">
        <v>751</v>
      </c>
      <c r="H7" s="1831"/>
      <c r="I7" s="1832"/>
    </row>
    <row r="8" spans="1:13" ht="20.100000000000001" customHeight="1" x14ac:dyDescent="0.25">
      <c r="D8" s="142" t="s">
        <v>752</v>
      </c>
      <c r="E8" s="142">
        <v>0</v>
      </c>
      <c r="F8" s="142">
        <v>0</v>
      </c>
      <c r="G8" s="142" t="s">
        <v>766</v>
      </c>
      <c r="H8" s="142"/>
      <c r="I8" s="142"/>
    </row>
    <row r="9" spans="1:13" ht="20.100000000000001" customHeight="1" x14ac:dyDescent="0.25">
      <c r="D9" s="142" t="s">
        <v>753</v>
      </c>
      <c r="E9" s="142">
        <v>0</v>
      </c>
      <c r="F9" s="142">
        <v>1</v>
      </c>
      <c r="G9" s="142" t="s">
        <v>767</v>
      </c>
      <c r="H9" s="142">
        <v>2</v>
      </c>
      <c r="I9" s="142">
        <v>1</v>
      </c>
    </row>
    <row r="10" spans="1:13" ht="20.100000000000001" customHeight="1" x14ac:dyDescent="0.25">
      <c r="D10" s="142" t="s">
        <v>754</v>
      </c>
      <c r="E10" s="142">
        <v>0</v>
      </c>
      <c r="F10" s="142">
        <v>2</v>
      </c>
      <c r="G10" s="142" t="s">
        <v>768</v>
      </c>
      <c r="H10" s="142">
        <v>2</v>
      </c>
      <c r="I10" s="142">
        <v>3</v>
      </c>
    </row>
    <row r="11" spans="1:13" ht="20.100000000000001" customHeight="1" x14ac:dyDescent="0.25">
      <c r="D11" s="142" t="s">
        <v>755</v>
      </c>
      <c r="E11" s="142">
        <v>0</v>
      </c>
      <c r="F11" s="142">
        <v>3</v>
      </c>
      <c r="G11" s="142" t="s">
        <v>769</v>
      </c>
      <c r="H11" s="142">
        <v>3</v>
      </c>
      <c r="I11" s="142">
        <v>9</v>
      </c>
    </row>
    <row r="12" spans="1:13" ht="20.100000000000001" customHeight="1" x14ac:dyDescent="0.25">
      <c r="D12" s="142" t="s">
        <v>775</v>
      </c>
      <c r="E12" s="142">
        <v>0</v>
      </c>
      <c r="F12" s="142">
        <v>4</v>
      </c>
      <c r="G12" s="142" t="s">
        <v>770</v>
      </c>
      <c r="H12" s="142">
        <v>4</v>
      </c>
      <c r="I12" s="142">
        <v>0</v>
      </c>
    </row>
    <row r="13" spans="1:13" ht="20.100000000000001" customHeight="1" x14ac:dyDescent="0.25">
      <c r="D13" s="142" t="s">
        <v>756</v>
      </c>
      <c r="E13" s="142">
        <v>0</v>
      </c>
      <c r="F13" s="142">
        <v>5</v>
      </c>
      <c r="G13" s="142" t="s">
        <v>771</v>
      </c>
      <c r="H13" s="142">
        <v>4</v>
      </c>
      <c r="I13" s="142">
        <v>1</v>
      </c>
    </row>
    <row r="14" spans="1:13" ht="20.100000000000001" customHeight="1" x14ac:dyDescent="0.25">
      <c r="D14" s="142" t="s">
        <v>757</v>
      </c>
      <c r="E14" s="142">
        <v>0</v>
      </c>
      <c r="F14" s="142">
        <v>6</v>
      </c>
      <c r="G14" s="142" t="s">
        <v>772</v>
      </c>
      <c r="H14" s="142">
        <v>4</v>
      </c>
      <c r="I14" s="142">
        <v>9</v>
      </c>
    </row>
    <row r="15" spans="1:13" ht="20.100000000000001" customHeight="1" x14ac:dyDescent="0.25">
      <c r="D15" s="142" t="s">
        <v>758</v>
      </c>
      <c r="E15" s="142">
        <v>0</v>
      </c>
      <c r="F15" s="142">
        <v>7</v>
      </c>
      <c r="G15" s="142" t="s">
        <v>773</v>
      </c>
      <c r="H15" s="142">
        <v>5</v>
      </c>
      <c r="I15" s="142">
        <v>0</v>
      </c>
    </row>
    <row r="16" spans="1:13" ht="20.100000000000001" customHeight="1" x14ac:dyDescent="0.25">
      <c r="D16" s="142" t="s">
        <v>759</v>
      </c>
      <c r="E16" s="142">
        <v>0</v>
      </c>
      <c r="F16" s="142">
        <v>8</v>
      </c>
      <c r="G16" s="142" t="s">
        <v>774</v>
      </c>
      <c r="H16" s="142">
        <v>9</v>
      </c>
      <c r="I16" s="142">
        <v>9</v>
      </c>
    </row>
    <row r="17" spans="4:10" ht="20.100000000000001" customHeight="1" x14ac:dyDescent="0.25">
      <c r="D17" s="142" t="s">
        <v>760</v>
      </c>
      <c r="E17" s="142">
        <v>0</v>
      </c>
      <c r="F17" s="142">
        <v>9</v>
      </c>
      <c r="H17" s="142"/>
      <c r="I17" s="142"/>
    </row>
    <row r="18" spans="4:10" ht="20.100000000000001" customHeight="1" x14ac:dyDescent="0.25">
      <c r="D18" s="299" t="s">
        <v>761</v>
      </c>
      <c r="G18" s="142"/>
      <c r="H18" s="142"/>
      <c r="I18" s="142"/>
    </row>
    <row r="19" spans="4:10" ht="20.100000000000001" customHeight="1" x14ac:dyDescent="0.25">
      <c r="D19" s="142" t="s">
        <v>762</v>
      </c>
      <c r="E19" s="142"/>
      <c r="F19" s="142">
        <v>1</v>
      </c>
      <c r="G19" s="142"/>
      <c r="H19" s="142"/>
      <c r="I19" s="142"/>
    </row>
    <row r="20" spans="4:10" ht="20.100000000000001" customHeight="1" x14ac:dyDescent="0.25">
      <c r="D20" s="142" t="s">
        <v>763</v>
      </c>
      <c r="E20" s="142"/>
      <c r="F20" s="142">
        <v>2</v>
      </c>
      <c r="G20" s="142"/>
      <c r="H20" s="142"/>
      <c r="I20" s="142"/>
    </row>
    <row r="21" spans="4:10" ht="20.100000000000001" customHeight="1" x14ac:dyDescent="0.25">
      <c r="D21" s="142" t="s">
        <v>764</v>
      </c>
      <c r="E21" s="142"/>
      <c r="F21" s="142">
        <v>3</v>
      </c>
      <c r="G21" s="142"/>
      <c r="H21" s="142"/>
      <c r="I21" s="142"/>
    </row>
    <row r="22" spans="4:10" ht="20.100000000000001" customHeight="1" x14ac:dyDescent="0.25">
      <c r="D22" s="142" t="s">
        <v>765</v>
      </c>
      <c r="E22" s="142"/>
      <c r="F22" s="142">
        <v>4</v>
      </c>
      <c r="G22" s="142"/>
      <c r="H22" s="142"/>
      <c r="I22" s="142"/>
    </row>
    <row r="23" spans="4:10" ht="20.100000000000001" customHeight="1" x14ac:dyDescent="0.25">
      <c r="D23" s="142"/>
      <c r="E23" s="142"/>
      <c r="F23" s="142"/>
      <c r="G23" s="142"/>
      <c r="H23" s="142"/>
      <c r="I23" s="142"/>
    </row>
    <row r="24" spans="4:10" x14ac:dyDescent="0.25"/>
    <row r="25" spans="4:10" x14ac:dyDescent="0.25">
      <c r="D25" s="1829" t="s">
        <v>776</v>
      </c>
      <c r="E25" s="1829"/>
      <c r="F25" s="1829"/>
      <c r="G25" s="1829"/>
      <c r="H25" s="1829"/>
      <c r="I25" s="1829"/>
      <c r="J25" s="1829"/>
    </row>
    <row r="26" spans="4:10" ht="18" customHeight="1" x14ac:dyDescent="0.25">
      <c r="D26" s="975" t="s">
        <v>777</v>
      </c>
      <c r="E26" s="975"/>
      <c r="F26" s="975"/>
      <c r="G26" s="975"/>
      <c r="H26" s="975"/>
      <c r="I26" s="975"/>
      <c r="J26" s="975"/>
    </row>
    <row r="27" spans="4:10" ht="18" customHeight="1" x14ac:dyDescent="0.25">
      <c r="D27" s="975" t="s">
        <v>778</v>
      </c>
      <c r="E27" s="142" t="s">
        <v>782</v>
      </c>
      <c r="F27" s="142"/>
      <c r="G27" s="280" t="s">
        <v>787</v>
      </c>
      <c r="H27" s="1826" t="s">
        <v>791</v>
      </c>
      <c r="I27" s="1826"/>
      <c r="J27" s="1826"/>
    </row>
    <row r="28" spans="4:10" ht="18" customHeight="1" x14ac:dyDescent="0.25">
      <c r="D28" s="142" t="s">
        <v>779</v>
      </c>
      <c r="E28" s="142" t="s">
        <v>783</v>
      </c>
      <c r="F28" s="142"/>
      <c r="G28" s="280" t="s">
        <v>788</v>
      </c>
      <c r="H28" s="1826" t="s">
        <v>792</v>
      </c>
      <c r="I28" s="1826"/>
      <c r="J28" s="1826"/>
    </row>
    <row r="29" spans="4:10" ht="18" customHeight="1" x14ac:dyDescent="0.25">
      <c r="D29" s="142" t="s">
        <v>780</v>
      </c>
      <c r="E29" s="142" t="s">
        <v>784</v>
      </c>
      <c r="F29" s="142"/>
      <c r="G29" s="280" t="s">
        <v>789</v>
      </c>
      <c r="H29" s="1826" t="s">
        <v>793</v>
      </c>
      <c r="I29" s="1826"/>
      <c r="J29" s="1826"/>
    </row>
    <row r="30" spans="4:10" ht="18" customHeight="1" x14ac:dyDescent="0.25">
      <c r="D30" s="142" t="s">
        <v>781</v>
      </c>
      <c r="E30" s="142" t="s">
        <v>785</v>
      </c>
      <c r="F30" s="142"/>
      <c r="G30" s="280" t="s">
        <v>790</v>
      </c>
      <c r="H30" s="1826" t="s">
        <v>794</v>
      </c>
      <c r="I30" s="1826"/>
      <c r="J30" s="1826"/>
    </row>
    <row r="31" spans="4:10" ht="18" customHeight="1" x14ac:dyDescent="0.25">
      <c r="D31" s="142"/>
      <c r="E31" s="142" t="s">
        <v>786</v>
      </c>
      <c r="F31" s="142"/>
      <c r="G31" s="280"/>
      <c r="H31" s="1826"/>
      <c r="I31" s="1826"/>
      <c r="J31" s="1826"/>
    </row>
    <row r="32" spans="4:10" ht="18" customHeight="1" x14ac:dyDescent="0.25">
      <c r="D32" s="142"/>
      <c r="E32" s="142"/>
      <c r="F32" s="142"/>
      <c r="G32" s="1302"/>
      <c r="H32" s="1302"/>
      <c r="I32" s="1302"/>
      <c r="J32" s="1302"/>
    </row>
    <row r="33" spans="4:10" ht="18" customHeight="1" x14ac:dyDescent="0.25">
      <c r="D33" s="142"/>
      <c r="E33" s="142"/>
      <c r="F33" s="142"/>
      <c r="G33" s="1302"/>
      <c r="H33" s="1302"/>
      <c r="I33" s="1302"/>
      <c r="J33" s="1302"/>
    </row>
    <row r="34" spans="4:10" ht="18" customHeight="1" thickBot="1" x14ac:dyDescent="0.3">
      <c r="D34" s="381" t="s">
        <v>4490</v>
      </c>
      <c r="E34" s="1332"/>
      <c r="F34" s="1332"/>
      <c r="G34" s="1332"/>
      <c r="H34" s="1332"/>
      <c r="I34" s="1332"/>
      <c r="J34" s="1332"/>
    </row>
    <row r="35" spans="4:10" ht="18" customHeight="1" thickBot="1" x14ac:dyDescent="0.3">
      <c r="D35" s="1339" t="s">
        <v>4491</v>
      </c>
      <c r="E35" s="1340"/>
      <c r="F35" s="1333"/>
      <c r="G35" s="1334"/>
      <c r="H35" s="1334"/>
      <c r="I35" s="1334"/>
      <c r="J35" s="1335"/>
    </row>
    <row r="36" spans="4:10" x14ac:dyDescent="0.25">
      <c r="D36" s="1336" t="s">
        <v>4492</v>
      </c>
      <c r="E36" s="1338"/>
      <c r="F36" s="1342"/>
      <c r="G36" s="1345" t="s">
        <v>4542</v>
      </c>
      <c r="H36" s="1345"/>
      <c r="I36" s="1345"/>
      <c r="J36" s="1346"/>
    </row>
    <row r="37" spans="4:10" x14ac:dyDescent="0.25">
      <c r="D37" s="1337" t="s">
        <v>4493</v>
      </c>
      <c r="E37" s="1338"/>
      <c r="F37" s="1343"/>
      <c r="G37" s="1338" t="s">
        <v>4543</v>
      </c>
      <c r="H37" s="1341"/>
      <c r="I37" s="1341"/>
      <c r="J37" s="1347"/>
    </row>
    <row r="38" spans="4:10" x14ac:dyDescent="0.25">
      <c r="D38" s="1337" t="s">
        <v>4494</v>
      </c>
      <c r="E38" s="1338"/>
      <c r="F38" s="1343"/>
      <c r="G38" s="1338" t="s">
        <v>4544</v>
      </c>
      <c r="H38" s="1341"/>
      <c r="I38" s="1341"/>
      <c r="J38" s="1347"/>
    </row>
    <row r="39" spans="4:10" x14ac:dyDescent="0.25">
      <c r="D39" s="1337" t="s">
        <v>4495</v>
      </c>
      <c r="E39" s="1338"/>
      <c r="F39" s="1343"/>
      <c r="G39" s="1338" t="s">
        <v>4545</v>
      </c>
      <c r="H39" s="1341"/>
      <c r="I39" s="1341"/>
      <c r="J39" s="1347"/>
    </row>
    <row r="40" spans="4:10" x14ac:dyDescent="0.25">
      <c r="D40" s="1337" t="s">
        <v>4496</v>
      </c>
      <c r="E40" s="1338"/>
      <c r="F40" s="1343"/>
      <c r="G40" s="1341" t="s">
        <v>4546</v>
      </c>
      <c r="H40" s="1341"/>
      <c r="I40" s="1341"/>
      <c r="J40" s="1347"/>
    </row>
    <row r="41" spans="4:10" x14ac:dyDescent="0.25">
      <c r="D41" s="1337" t="s">
        <v>4497</v>
      </c>
      <c r="E41" s="1338"/>
      <c r="F41" s="1343"/>
      <c r="G41" s="1341" t="s">
        <v>4547</v>
      </c>
      <c r="H41" s="1341"/>
      <c r="I41" s="1341"/>
      <c r="J41" s="1347"/>
    </row>
    <row r="42" spans="4:10" x14ac:dyDescent="0.25">
      <c r="D42" s="1337" t="s">
        <v>4535</v>
      </c>
      <c r="E42" s="1338"/>
      <c r="F42" s="1343"/>
      <c r="G42" s="1338" t="s">
        <v>4548</v>
      </c>
      <c r="H42" s="1341"/>
      <c r="I42" s="1341"/>
      <c r="J42" s="1347"/>
    </row>
    <row r="43" spans="4:10" x14ac:dyDescent="0.25">
      <c r="D43" s="1336" t="s">
        <v>4498</v>
      </c>
      <c r="E43" s="1338"/>
      <c r="F43" s="1343"/>
      <c r="G43" s="1338" t="s">
        <v>4571</v>
      </c>
      <c r="H43" s="1341"/>
      <c r="I43" s="1341"/>
      <c r="J43" s="1347"/>
    </row>
    <row r="44" spans="4:10" x14ac:dyDescent="0.25">
      <c r="D44" s="1337" t="s">
        <v>4499</v>
      </c>
      <c r="E44" s="1338"/>
      <c r="F44" s="1343"/>
      <c r="G44" s="1338" t="s">
        <v>4570</v>
      </c>
      <c r="H44" s="1341"/>
      <c r="I44" s="1341"/>
      <c r="J44" s="1347"/>
    </row>
    <row r="45" spans="4:10" x14ac:dyDescent="0.25">
      <c r="D45" s="1337" t="s">
        <v>4500</v>
      </c>
      <c r="E45" s="1338"/>
      <c r="F45" s="1343"/>
      <c r="G45" s="1341" t="s">
        <v>4549</v>
      </c>
      <c r="H45" s="1341"/>
      <c r="I45" s="1341"/>
      <c r="J45" s="1347"/>
    </row>
    <row r="46" spans="4:10" x14ac:dyDescent="0.25">
      <c r="D46" s="1337" t="s">
        <v>4501</v>
      </c>
      <c r="E46" s="1338"/>
      <c r="F46" s="1343"/>
      <c r="G46" s="1338" t="s">
        <v>4550</v>
      </c>
      <c r="H46" s="1341"/>
      <c r="I46" s="1341"/>
      <c r="J46" s="1347"/>
    </row>
    <row r="47" spans="4:10" x14ac:dyDescent="0.25">
      <c r="D47" s="1337" t="s">
        <v>4502</v>
      </c>
      <c r="E47" s="1338"/>
      <c r="F47" s="1343"/>
      <c r="G47" s="1338" t="s">
        <v>4551</v>
      </c>
      <c r="H47" s="1341"/>
      <c r="I47" s="1341"/>
      <c r="J47" s="1347"/>
    </row>
    <row r="48" spans="4:10" x14ac:dyDescent="0.25">
      <c r="D48" s="1337" t="s">
        <v>4503</v>
      </c>
      <c r="E48" s="1338"/>
      <c r="F48" s="1343"/>
      <c r="G48" s="1341" t="s">
        <v>4552</v>
      </c>
      <c r="H48" s="1341"/>
      <c r="I48" s="1341"/>
      <c r="J48" s="1347"/>
    </row>
    <row r="49" spans="4:10" x14ac:dyDescent="0.25">
      <c r="D49" s="1337" t="s">
        <v>4504</v>
      </c>
      <c r="E49" s="1338"/>
      <c r="F49" s="1343"/>
      <c r="G49" s="1341" t="s">
        <v>4553</v>
      </c>
      <c r="H49" s="1341"/>
      <c r="I49" s="1341"/>
      <c r="J49" s="1347"/>
    </row>
    <row r="50" spans="4:10" x14ac:dyDescent="0.25">
      <c r="D50" s="1337" t="s">
        <v>4505</v>
      </c>
      <c r="E50" s="1338"/>
      <c r="F50" s="1343"/>
      <c r="G50" s="1338" t="s">
        <v>4572</v>
      </c>
      <c r="H50" s="1341"/>
      <c r="I50" s="1341"/>
      <c r="J50" s="1347"/>
    </row>
    <row r="51" spans="4:10" x14ac:dyDescent="0.25">
      <c r="D51" s="1337" t="s">
        <v>4506</v>
      </c>
      <c r="E51" s="1338"/>
      <c r="F51" s="1343"/>
      <c r="G51" s="1338" t="s">
        <v>4554</v>
      </c>
      <c r="H51" s="1341"/>
      <c r="I51" s="1341"/>
      <c r="J51" s="1347"/>
    </row>
    <row r="52" spans="4:10" x14ac:dyDescent="0.25">
      <c r="D52" s="1337" t="s">
        <v>4507</v>
      </c>
      <c r="E52" s="1338"/>
      <c r="F52" s="1343"/>
      <c r="G52" s="1338" t="s">
        <v>4555</v>
      </c>
      <c r="H52" s="1341"/>
      <c r="I52" s="1341"/>
      <c r="J52" s="1347"/>
    </row>
    <row r="53" spans="4:10" x14ac:dyDescent="0.25">
      <c r="D53" s="1337" t="s">
        <v>4508</v>
      </c>
      <c r="E53" s="1338"/>
      <c r="F53" s="1343"/>
      <c r="G53" s="1341" t="s">
        <v>4556</v>
      </c>
      <c r="H53" s="1341"/>
      <c r="I53" s="1341"/>
      <c r="J53" s="1347"/>
    </row>
    <row r="54" spans="4:10" x14ac:dyDescent="0.25">
      <c r="D54" s="1337" t="s">
        <v>4509</v>
      </c>
      <c r="E54" s="1338"/>
      <c r="F54" s="1343"/>
      <c r="G54" s="1341" t="s">
        <v>4557</v>
      </c>
      <c r="H54" s="1341"/>
      <c r="I54" s="1341"/>
      <c r="J54" s="1347"/>
    </row>
    <row r="55" spans="4:10" x14ac:dyDescent="0.25">
      <c r="D55" s="1336" t="s">
        <v>4510</v>
      </c>
      <c r="E55" s="1338"/>
      <c r="F55" s="1343"/>
      <c r="G55" s="1341" t="s">
        <v>4558</v>
      </c>
      <c r="H55" s="1341"/>
      <c r="I55" s="1341"/>
      <c r="J55" s="1347"/>
    </row>
    <row r="56" spans="4:10" x14ac:dyDescent="0.25">
      <c r="D56" s="1337" t="s">
        <v>4511</v>
      </c>
      <c r="E56" s="1338"/>
      <c r="F56" s="1343"/>
      <c r="G56" s="1341" t="s">
        <v>4559</v>
      </c>
      <c r="H56" s="1341"/>
      <c r="I56" s="1341"/>
      <c r="J56" s="1347"/>
    </row>
    <row r="57" spans="4:10" x14ac:dyDescent="0.25">
      <c r="D57" s="1337" t="s">
        <v>4512</v>
      </c>
      <c r="E57" s="1338"/>
      <c r="F57" s="1343"/>
      <c r="G57" s="1338" t="s">
        <v>4573</v>
      </c>
      <c r="H57" s="1341"/>
      <c r="I57" s="1341"/>
      <c r="J57" s="1347"/>
    </row>
    <row r="58" spans="4:10" x14ac:dyDescent="0.25">
      <c r="D58" s="1337" t="s">
        <v>4513</v>
      </c>
      <c r="E58" s="1338"/>
      <c r="F58" s="1343"/>
      <c r="G58" s="1338" t="s">
        <v>4574</v>
      </c>
      <c r="H58" s="1341"/>
      <c r="I58" s="1341"/>
      <c r="J58" s="1347"/>
    </row>
    <row r="59" spans="4:10" x14ac:dyDescent="0.25">
      <c r="D59" s="1337" t="s">
        <v>4514</v>
      </c>
      <c r="E59" s="1338"/>
      <c r="F59" s="1343"/>
      <c r="G59" s="1341" t="s">
        <v>4560</v>
      </c>
      <c r="H59" s="1341"/>
      <c r="I59" s="1341"/>
      <c r="J59" s="1347"/>
    </row>
    <row r="60" spans="4:10" x14ac:dyDescent="0.25">
      <c r="D60" s="1337" t="s">
        <v>4515</v>
      </c>
      <c r="E60" s="1338"/>
      <c r="F60" s="1343"/>
      <c r="G60" s="1338" t="s">
        <v>4561</v>
      </c>
      <c r="H60" s="1341"/>
      <c r="I60" s="1341"/>
      <c r="J60" s="1347"/>
    </row>
    <row r="61" spans="4:10" x14ac:dyDescent="0.25">
      <c r="D61" s="1336" t="s">
        <v>4516</v>
      </c>
      <c r="E61" s="1338"/>
      <c r="F61" s="1343"/>
      <c r="G61" s="1338" t="s">
        <v>4575</v>
      </c>
      <c r="H61" s="1341"/>
      <c r="I61" s="1341"/>
      <c r="J61" s="1347"/>
    </row>
    <row r="62" spans="4:10" x14ac:dyDescent="0.25">
      <c r="D62" s="1337" t="s">
        <v>4517</v>
      </c>
      <c r="E62" s="1338"/>
      <c r="F62" s="1343"/>
      <c r="G62" s="1341" t="s">
        <v>4562</v>
      </c>
      <c r="H62" s="1341"/>
      <c r="I62" s="1341"/>
      <c r="J62" s="1347"/>
    </row>
    <row r="63" spans="4:10" x14ac:dyDescent="0.25">
      <c r="D63" s="1337" t="s">
        <v>4518</v>
      </c>
      <c r="E63" s="1338"/>
      <c r="F63" s="1343"/>
      <c r="G63" s="1338" t="s">
        <v>4563</v>
      </c>
      <c r="H63" s="1341"/>
      <c r="I63" s="1341"/>
      <c r="J63" s="1347"/>
    </row>
    <row r="64" spans="4:10" x14ac:dyDescent="0.25">
      <c r="D64" s="1336" t="s">
        <v>4519</v>
      </c>
      <c r="E64" s="1338"/>
      <c r="F64" s="1343"/>
      <c r="G64" s="1338" t="s">
        <v>4564</v>
      </c>
      <c r="H64" s="1341"/>
      <c r="I64" s="1341"/>
      <c r="J64" s="1347"/>
    </row>
    <row r="65" spans="4:10" x14ac:dyDescent="0.25">
      <c r="D65" s="1337" t="s">
        <v>4520</v>
      </c>
      <c r="E65" s="1338"/>
      <c r="F65" s="1343"/>
      <c r="G65" s="1341" t="s">
        <v>4565</v>
      </c>
      <c r="H65" s="1341"/>
      <c r="I65" s="1341"/>
      <c r="J65" s="1347"/>
    </row>
    <row r="66" spans="4:10" x14ac:dyDescent="0.25">
      <c r="D66" s="1337" t="s">
        <v>4521</v>
      </c>
      <c r="E66" s="1338"/>
      <c r="F66" s="1344"/>
      <c r="G66" s="1341" t="s">
        <v>4566</v>
      </c>
      <c r="H66" s="1341"/>
      <c r="I66" s="1341"/>
      <c r="J66" s="1347"/>
    </row>
    <row r="67" spans="4:10" s="533" customFormat="1" x14ac:dyDescent="0.25">
      <c r="D67" s="1336" t="s">
        <v>4522</v>
      </c>
      <c r="E67" s="1338"/>
      <c r="F67" s="1343"/>
      <c r="G67" s="1338" t="s">
        <v>4567</v>
      </c>
      <c r="H67" s="1341"/>
      <c r="I67" s="1341"/>
      <c r="J67" s="1347"/>
    </row>
    <row r="68" spans="4:10" s="533" customFormat="1" x14ac:dyDescent="0.25">
      <c r="D68" s="1337" t="s">
        <v>4523</v>
      </c>
      <c r="E68" s="1338"/>
      <c r="F68" s="1343"/>
      <c r="G68" s="1341" t="s">
        <v>4568</v>
      </c>
      <c r="H68" s="1341"/>
      <c r="I68" s="1341"/>
      <c r="J68" s="1347"/>
    </row>
    <row r="69" spans="4:10" s="533" customFormat="1" x14ac:dyDescent="0.25">
      <c r="D69" s="1337" t="s">
        <v>4524</v>
      </c>
      <c r="E69" s="1338"/>
      <c r="F69" s="1343"/>
      <c r="G69" s="1338" t="s">
        <v>4569</v>
      </c>
      <c r="H69" s="1341"/>
      <c r="I69" s="1341"/>
      <c r="J69" s="1347"/>
    </row>
    <row r="70" spans="4:10" s="533" customFormat="1" x14ac:dyDescent="0.25">
      <c r="D70" s="1336" t="s">
        <v>4525</v>
      </c>
      <c r="E70" s="1338"/>
      <c r="F70" s="1343"/>
      <c r="G70" s="1338" t="s">
        <v>4576</v>
      </c>
      <c r="H70" s="1341"/>
      <c r="I70" s="1341"/>
      <c r="J70" s="1347"/>
    </row>
    <row r="71" spans="4:10" s="533" customFormat="1" x14ac:dyDescent="0.25">
      <c r="D71" s="1337" t="s">
        <v>4539</v>
      </c>
      <c r="E71" s="1338"/>
      <c r="F71" s="1343"/>
      <c r="G71" s="1338" t="s">
        <v>4589</v>
      </c>
      <c r="H71" s="1341"/>
      <c r="I71" s="1341"/>
      <c r="J71" s="1347"/>
    </row>
    <row r="72" spans="4:10" s="533" customFormat="1" x14ac:dyDescent="0.25">
      <c r="D72" s="1337" t="s">
        <v>4538</v>
      </c>
      <c r="E72" s="1338"/>
      <c r="F72" s="1343"/>
      <c r="G72" s="1338" t="s">
        <v>4577</v>
      </c>
      <c r="H72" s="1341"/>
      <c r="I72" s="1341"/>
      <c r="J72" s="1347"/>
    </row>
    <row r="73" spans="4:10" s="533" customFormat="1" x14ac:dyDescent="0.25">
      <c r="D73" s="1336" t="s">
        <v>4540</v>
      </c>
      <c r="E73" s="1338"/>
      <c r="F73" s="1343"/>
      <c r="G73" s="1341" t="s">
        <v>4578</v>
      </c>
      <c r="H73" s="1341"/>
      <c r="I73" s="1341"/>
      <c r="J73" s="1347"/>
    </row>
    <row r="74" spans="4:10" s="533" customFormat="1" x14ac:dyDescent="0.25">
      <c r="D74" s="1337" t="s">
        <v>4537</v>
      </c>
      <c r="E74" s="1338"/>
      <c r="F74" s="1343"/>
      <c r="G74" s="1338" t="s">
        <v>4590</v>
      </c>
      <c r="H74" s="1341"/>
      <c r="I74" s="1341"/>
      <c r="J74" s="1347"/>
    </row>
    <row r="75" spans="4:10" s="533" customFormat="1" x14ac:dyDescent="0.25">
      <c r="D75" s="1336" t="s">
        <v>4526</v>
      </c>
      <c r="E75" s="1338"/>
      <c r="F75" s="1343"/>
      <c r="G75" s="1338" t="s">
        <v>4591</v>
      </c>
      <c r="H75" s="1341"/>
      <c r="I75" s="1341"/>
      <c r="J75" s="1347"/>
    </row>
    <row r="76" spans="4:10" s="533" customFormat="1" x14ac:dyDescent="0.25">
      <c r="D76" s="1337" t="s">
        <v>4527</v>
      </c>
      <c r="E76" s="1338"/>
      <c r="F76" s="1343"/>
      <c r="G76" s="1338" t="s">
        <v>4579</v>
      </c>
      <c r="H76" s="1341"/>
      <c r="I76" s="1341"/>
      <c r="J76" s="1347"/>
    </row>
    <row r="77" spans="4:10" s="533" customFormat="1" x14ac:dyDescent="0.25">
      <c r="D77" s="1337" t="s">
        <v>4528</v>
      </c>
      <c r="E77" s="1338"/>
      <c r="F77" s="1343"/>
      <c r="G77" s="1341" t="s">
        <v>4580</v>
      </c>
      <c r="H77" s="1341"/>
      <c r="I77" s="1341"/>
      <c r="J77" s="1347"/>
    </row>
    <row r="78" spans="4:10" s="533" customFormat="1" x14ac:dyDescent="0.25">
      <c r="D78" s="1336" t="s">
        <v>4529</v>
      </c>
      <c r="E78" s="1338"/>
      <c r="F78" s="1343"/>
      <c r="G78" s="1338" t="s">
        <v>4592</v>
      </c>
      <c r="H78" s="1341"/>
      <c r="I78" s="1341"/>
      <c r="J78" s="1347"/>
    </row>
    <row r="79" spans="4:10" s="533" customFormat="1" x14ac:dyDescent="0.25">
      <c r="D79" s="1337" t="s">
        <v>4530</v>
      </c>
      <c r="E79" s="1338"/>
      <c r="F79" s="1343"/>
      <c r="G79" s="1338" t="s">
        <v>4593</v>
      </c>
      <c r="H79" s="1341"/>
      <c r="I79" s="1341"/>
      <c r="J79" s="1347"/>
    </row>
    <row r="80" spans="4:10" s="533" customFormat="1" x14ac:dyDescent="0.25">
      <c r="D80" s="1337" t="s">
        <v>4531</v>
      </c>
      <c r="E80" s="1338"/>
      <c r="F80" s="1343"/>
      <c r="G80" s="1338" t="s">
        <v>4581</v>
      </c>
      <c r="H80" s="1341"/>
      <c r="I80" s="1341"/>
      <c r="J80" s="1347"/>
    </row>
    <row r="81" spans="4:10" s="533" customFormat="1" x14ac:dyDescent="0.25">
      <c r="D81" s="1336" t="s">
        <v>4541</v>
      </c>
      <c r="E81" s="1338"/>
      <c r="F81" s="1343"/>
      <c r="G81" s="1338" t="s">
        <v>4582</v>
      </c>
      <c r="H81" s="1341"/>
      <c r="I81" s="1341"/>
      <c r="J81" s="1347"/>
    </row>
    <row r="82" spans="4:10" s="533" customFormat="1" x14ac:dyDescent="0.25">
      <c r="D82" s="1337" t="s">
        <v>4536</v>
      </c>
      <c r="E82" s="1338"/>
      <c r="F82" s="1343"/>
      <c r="G82" s="1338" t="s">
        <v>4583</v>
      </c>
      <c r="H82" s="1341"/>
      <c r="I82" s="1341"/>
      <c r="J82" s="1347"/>
    </row>
    <row r="83" spans="4:10" s="533" customFormat="1" x14ac:dyDescent="0.25">
      <c r="D83" s="1337" t="s">
        <v>4532</v>
      </c>
      <c r="E83" s="1338"/>
      <c r="F83" s="1343"/>
      <c r="G83" s="1341" t="s">
        <v>4584</v>
      </c>
      <c r="H83" s="1341"/>
      <c r="I83" s="1341"/>
      <c r="J83" s="1347"/>
    </row>
    <row r="84" spans="4:10" x14ac:dyDescent="0.25">
      <c r="D84" s="1336" t="s">
        <v>4533</v>
      </c>
      <c r="E84" s="1338"/>
      <c r="F84" s="1343"/>
      <c r="G84" s="1338" t="s">
        <v>4585</v>
      </c>
      <c r="H84" s="1341"/>
      <c r="I84" s="1341"/>
      <c r="J84" s="1347"/>
    </row>
    <row r="85" spans="4:10" x14ac:dyDescent="0.25">
      <c r="D85" s="1337" t="s">
        <v>4534</v>
      </c>
      <c r="E85" s="1338"/>
      <c r="F85" s="1343"/>
      <c r="G85" s="1338" t="s">
        <v>4594</v>
      </c>
      <c r="H85" s="1341"/>
      <c r="I85" s="1341"/>
      <c r="J85" s="1347"/>
    </row>
    <row r="86" spans="4:10" s="533" customFormat="1" x14ac:dyDescent="0.25">
      <c r="D86" s="1337"/>
      <c r="E86" s="1338"/>
      <c r="F86" s="1343"/>
      <c r="G86" s="1338" t="s">
        <v>4586</v>
      </c>
      <c r="H86" s="1341"/>
      <c r="I86" s="1341"/>
      <c r="J86" s="1347"/>
    </row>
    <row r="87" spans="4:10" s="533" customFormat="1" x14ac:dyDescent="0.25">
      <c r="D87" s="1337"/>
      <c r="E87" s="1338"/>
      <c r="F87" s="1343"/>
      <c r="G87" s="1341" t="s">
        <v>4587</v>
      </c>
      <c r="H87" s="1341"/>
      <c r="I87" s="1341"/>
      <c r="J87" s="1347"/>
    </row>
    <row r="88" spans="4:10" x14ac:dyDescent="0.25">
      <c r="D88" s="1348"/>
      <c r="E88" s="1349"/>
      <c r="F88" s="1344"/>
      <c r="G88" s="1349" t="s">
        <v>4588</v>
      </c>
      <c r="H88" s="1350"/>
      <c r="I88" s="1350"/>
      <c r="J88" s="1351"/>
    </row>
    <row r="89" spans="4:10" x14ac:dyDescent="0.25"/>
    <row r="90" spans="4:10" x14ac:dyDescent="0.25"/>
    <row r="91" spans="4:10" x14ac:dyDescent="0.25"/>
    <row r="92" spans="4:10" x14ac:dyDescent="0.25"/>
    <row r="93" spans="4:10" x14ac:dyDescent="0.25"/>
    <row r="94" spans="4:10" x14ac:dyDescent="0.25"/>
    <row r="95" spans="4:10" x14ac:dyDescent="0.25"/>
    <row r="96" spans="4:10" x14ac:dyDescent="0.25"/>
  </sheetData>
  <sheetProtection pivotTables="0"/>
  <mergeCells count="11">
    <mergeCell ref="H31:J31"/>
    <mergeCell ref="D1:J1"/>
    <mergeCell ref="D25:J25"/>
    <mergeCell ref="D7:F7"/>
    <mergeCell ref="G7:I7"/>
    <mergeCell ref="H27:J27"/>
    <mergeCell ref="H28:J28"/>
    <mergeCell ref="H29:J29"/>
    <mergeCell ref="H30:J30"/>
    <mergeCell ref="E3:G3"/>
    <mergeCell ref="H3:I3"/>
  </mergeCells>
  <printOptions horizontalCentered="1"/>
  <pageMargins left="0.19685039370078741" right="0.11811023622047244" top="0" bottom="0.3543307086614173" header="0.31496062992125984" footer="0.31496062992125984"/>
  <pageSetup paperSize="9" scale="79" orientation="portrait" r:id="rId1"/>
  <rowBreaks count="1" manualBreakCount="1">
    <brk id="33" min="3" max="9"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0">
    <tabColor rgb="FF00B050"/>
    <pageSetUpPr fitToPage="1"/>
  </sheetPr>
  <dimension ref="A1:Q80"/>
  <sheetViews>
    <sheetView zoomScaleNormal="100" workbookViewId="0">
      <selection activeCell="H36" sqref="H36"/>
    </sheetView>
  </sheetViews>
  <sheetFormatPr baseColWidth="10" defaultColWidth="0" defaultRowHeight="15" zeroHeight="1" x14ac:dyDescent="0.25"/>
  <cols>
    <col min="1" max="3" width="11.42578125" style="300" customWidth="1"/>
    <col min="4" max="4" width="6.85546875" style="345" customWidth="1"/>
    <col min="5" max="5" width="9.85546875" style="345" customWidth="1"/>
    <col min="6" max="6" width="11.42578125" style="345" customWidth="1"/>
    <col min="7" max="7" width="14.140625" style="345" customWidth="1"/>
    <col min="8" max="10" width="11.42578125" style="345" customWidth="1"/>
    <col min="11" max="11" width="12.7109375" style="345" customWidth="1"/>
    <col min="12" max="12" width="4" style="345" customWidth="1"/>
    <col min="13" max="14" width="11.42578125" style="345" customWidth="1"/>
    <col min="15" max="17" width="11.42578125" style="300" customWidth="1"/>
    <col min="18" max="16384" width="11.42578125" style="345" hidden="1"/>
  </cols>
  <sheetData>
    <row r="1" spans="4:17" ht="28.5" customHeight="1" x14ac:dyDescent="0.25">
      <c r="D1" s="1885" t="s">
        <v>1140</v>
      </c>
      <c r="E1" s="1886"/>
      <c r="F1" s="1886"/>
      <c r="G1" s="1886"/>
      <c r="H1" s="1886"/>
      <c r="I1" s="1886"/>
      <c r="J1" s="1886"/>
      <c r="K1" s="1886"/>
      <c r="L1" s="1886"/>
      <c r="M1" s="1886"/>
      <c r="N1" s="1887"/>
      <c r="O1" s="344"/>
      <c r="P1" s="344"/>
      <c r="Q1" s="344"/>
    </row>
    <row r="2" spans="4:17" x14ac:dyDescent="0.25"/>
    <row r="3" spans="4:17" ht="15.75" x14ac:dyDescent="0.25">
      <c r="D3" s="1854" t="s">
        <v>1116</v>
      </c>
      <c r="E3" s="1855"/>
      <c r="F3" s="1855"/>
      <c r="G3" s="1855"/>
      <c r="H3" s="1856" t="str">
        <f>IF(INFORMATIONS!B12="INDIVIDUELLE",INFORMATIONS!B13&amp;"/"&amp;INFORMATIONS!B10,INFORMATIONS!B10)</f>
        <v>SAMBA BONIFACE/SAM CONSEILS</v>
      </c>
      <c r="I3" s="1855"/>
      <c r="J3" s="1855"/>
      <c r="K3" s="1855"/>
      <c r="L3" s="1855"/>
      <c r="M3" s="1855"/>
      <c r="N3" s="1857"/>
    </row>
    <row r="4" spans="4:17" ht="15.75" x14ac:dyDescent="0.25">
      <c r="D4" s="346"/>
      <c r="E4" s="347"/>
      <c r="F4" s="347"/>
      <c r="G4" s="347"/>
      <c r="H4" s="347"/>
      <c r="I4" s="1893" t="s">
        <v>1115</v>
      </c>
      <c r="J4" s="1893"/>
      <c r="K4" s="1890" t="str">
        <f>INFORMATIONS!B11</f>
        <v>SAM CONSEILS</v>
      </c>
      <c r="L4" s="1891"/>
      <c r="M4" s="1891"/>
      <c r="N4" s="1892"/>
    </row>
    <row r="5" spans="4:17" x14ac:dyDescent="0.25">
      <c r="D5" s="1868"/>
      <c r="E5" s="1862"/>
      <c r="F5" s="306"/>
      <c r="G5" s="306"/>
      <c r="H5" s="306"/>
      <c r="I5" s="306"/>
      <c r="J5" s="306"/>
      <c r="K5" s="306"/>
      <c r="L5" s="306"/>
      <c r="M5" s="306"/>
      <c r="N5" s="307"/>
    </row>
    <row r="6" spans="4:17" ht="15.75" x14ac:dyDescent="0.25">
      <c r="D6" s="348" t="s">
        <v>1117</v>
      </c>
      <c r="E6" s="349"/>
      <c r="F6" s="349"/>
      <c r="G6" s="1858" t="str">
        <f>INFORMATIONS!B24</f>
        <v>00084404X</v>
      </c>
      <c r="H6" s="1859"/>
      <c r="I6" s="1866" t="s">
        <v>1137</v>
      </c>
      <c r="J6" s="1867"/>
      <c r="K6" s="350">
        <f>INFORMATIONS!D31</f>
        <v>43465</v>
      </c>
      <c r="L6" s="1867" t="s">
        <v>1138</v>
      </c>
      <c r="M6" s="1867"/>
      <c r="N6" s="351">
        <f>INFORMATIONS!F31</f>
        <v>12</v>
      </c>
    </row>
    <row r="7" spans="4:17" ht="9.75" customHeight="1" x14ac:dyDescent="0.25">
      <c r="D7" s="309"/>
      <c r="E7" s="306"/>
      <c r="F7" s="306"/>
      <c r="G7" s="306"/>
      <c r="H7" s="306"/>
      <c r="I7" s="306"/>
      <c r="J7" s="306"/>
      <c r="K7" s="306"/>
      <c r="L7" s="306"/>
      <c r="M7" s="306"/>
      <c r="N7" s="307"/>
    </row>
    <row r="8" spans="4:17" ht="15.75" x14ac:dyDescent="0.25">
      <c r="D8" s="352" t="s">
        <v>988</v>
      </c>
      <c r="E8" s="1868" t="s">
        <v>1120</v>
      </c>
      <c r="F8" s="1862"/>
      <c r="G8" s="1862"/>
      <c r="H8" s="1862"/>
      <c r="I8" s="353" t="s">
        <v>1131</v>
      </c>
      <c r="J8" s="1869">
        <f>INFORMATIONS!B31</f>
        <v>43101</v>
      </c>
      <c r="K8" s="1861"/>
      <c r="L8" s="311" t="s">
        <v>1132</v>
      </c>
      <c r="M8" s="1869">
        <f>INFORMATIONS!D31</f>
        <v>43465</v>
      </c>
      <c r="N8" s="1861"/>
    </row>
    <row r="9" spans="4:17" ht="11.25" customHeight="1" x14ac:dyDescent="0.25">
      <c r="D9" s="309"/>
      <c r="E9" s="306"/>
      <c r="F9" s="306"/>
      <c r="G9" s="306"/>
      <c r="H9" s="306"/>
      <c r="I9" s="306"/>
      <c r="J9" s="306"/>
      <c r="K9" s="306"/>
      <c r="L9" s="306"/>
      <c r="M9" s="306"/>
      <c r="N9" s="307"/>
    </row>
    <row r="10" spans="4:17" ht="15.75" x14ac:dyDescent="0.25">
      <c r="D10" s="352" t="s">
        <v>994</v>
      </c>
      <c r="E10" s="354" t="s">
        <v>1129</v>
      </c>
      <c r="F10" s="355"/>
      <c r="G10" s="356"/>
      <c r="H10" s="1842">
        <f>INFORMATIONS!B32</f>
        <v>43465</v>
      </c>
      <c r="I10" s="1843"/>
      <c r="J10" s="306"/>
      <c r="K10" s="306"/>
      <c r="L10" s="306"/>
      <c r="M10" s="306"/>
      <c r="N10" s="307"/>
    </row>
    <row r="11" spans="4:17" x14ac:dyDescent="0.25">
      <c r="D11" s="309"/>
      <c r="E11" s="306"/>
      <c r="F11" s="306"/>
      <c r="G11" s="306"/>
      <c r="H11" s="306"/>
      <c r="I11" s="306"/>
      <c r="J11" s="306"/>
      <c r="K11" s="306"/>
      <c r="L11" s="306"/>
      <c r="M11" s="306"/>
      <c r="N11" s="307"/>
    </row>
    <row r="12" spans="4:17" ht="15.75" x14ac:dyDescent="0.25">
      <c r="D12" s="352" t="s">
        <v>1000</v>
      </c>
      <c r="E12" s="1862" t="s">
        <v>1130</v>
      </c>
      <c r="F12" s="1862"/>
      <c r="G12" s="1863"/>
      <c r="H12" s="1842">
        <f>INFORMATIONS!B33</f>
        <v>43100</v>
      </c>
      <c r="I12" s="1843"/>
      <c r="J12" s="1864" t="s">
        <v>1128</v>
      </c>
      <c r="K12" s="1864"/>
      <c r="L12" s="1864"/>
      <c r="M12" s="1865"/>
      <c r="N12" s="357">
        <f>INFORMATIONS!F34</f>
        <v>12</v>
      </c>
    </row>
    <row r="13" spans="4:17" x14ac:dyDescent="0.25">
      <c r="D13" s="309"/>
      <c r="E13" s="306"/>
      <c r="F13" s="306"/>
      <c r="G13" s="306"/>
      <c r="H13" s="306"/>
      <c r="I13" s="306"/>
      <c r="J13" s="306"/>
      <c r="K13" s="306"/>
      <c r="L13" s="306"/>
      <c r="M13" s="306"/>
      <c r="N13" s="307"/>
    </row>
    <row r="14" spans="4:17" ht="15.75" x14ac:dyDescent="0.25">
      <c r="D14" s="352" t="s">
        <v>1118</v>
      </c>
      <c r="E14" s="358" t="s">
        <v>1359</v>
      </c>
      <c r="F14" s="1844">
        <f>INFORMATIONS!B23</f>
        <v>0</v>
      </c>
      <c r="G14" s="1845"/>
      <c r="H14" s="306"/>
      <c r="I14" s="306"/>
      <c r="J14" s="1838"/>
      <c r="K14" s="1839"/>
      <c r="L14" s="1839"/>
      <c r="M14" s="1840"/>
      <c r="N14" s="307"/>
    </row>
    <row r="15" spans="4:17" ht="18" x14ac:dyDescent="0.25">
      <c r="D15" s="309"/>
      <c r="E15" s="359" t="s">
        <v>1121</v>
      </c>
      <c r="F15" s="1847" t="s">
        <v>1122</v>
      </c>
      <c r="G15" s="1847"/>
      <c r="H15" s="306"/>
      <c r="I15" s="306"/>
      <c r="J15" s="1841" t="s">
        <v>1127</v>
      </c>
      <c r="K15" s="1841"/>
      <c r="L15" s="1841"/>
      <c r="M15" s="1841"/>
      <c r="N15" s="307"/>
    </row>
    <row r="16" spans="4:17" ht="15.75" x14ac:dyDescent="0.25">
      <c r="D16" s="352" t="s">
        <v>1008</v>
      </c>
      <c r="E16" s="1849">
        <f>INFORMATIONS!B25</f>
        <v>0</v>
      </c>
      <c r="F16" s="1850"/>
      <c r="G16" s="306"/>
      <c r="H16" s="1848"/>
      <c r="I16" s="1848"/>
      <c r="J16" s="306"/>
      <c r="K16" s="306"/>
      <c r="L16" s="306"/>
      <c r="M16" s="1846">
        <f>INFORMATIONS!B26</f>
        <v>0</v>
      </c>
      <c r="N16" s="1845"/>
    </row>
    <row r="17" spans="1:17" ht="18" x14ac:dyDescent="0.25">
      <c r="D17" s="309"/>
      <c r="E17" s="1847" t="s">
        <v>1123</v>
      </c>
      <c r="F17" s="1847"/>
      <c r="G17" s="306"/>
      <c r="H17" s="1847" t="s">
        <v>1139</v>
      </c>
      <c r="I17" s="1847"/>
      <c r="J17" s="306"/>
      <c r="K17" s="306"/>
      <c r="L17" s="306"/>
      <c r="M17" s="1847" t="s">
        <v>1133</v>
      </c>
      <c r="N17" s="1853"/>
    </row>
    <row r="18" spans="1:17" ht="15.75" x14ac:dyDescent="0.25">
      <c r="D18" s="352" t="s">
        <v>1009</v>
      </c>
      <c r="E18" s="1852" t="str">
        <f>INFORMATIONS!B10</f>
        <v>SAM CONSEILS</v>
      </c>
      <c r="F18" s="1843"/>
      <c r="G18" s="1843"/>
      <c r="H18" s="1843"/>
      <c r="I18" s="1843"/>
      <c r="J18" s="1843"/>
      <c r="K18" s="1843"/>
      <c r="L18" s="1843"/>
      <c r="M18" s="1860" t="str">
        <f>INFORMATIONS!B11</f>
        <v>SAM CONSEILS</v>
      </c>
      <c r="N18" s="1861"/>
    </row>
    <row r="19" spans="1:17" ht="18" x14ac:dyDescent="0.25">
      <c r="D19" s="309"/>
      <c r="E19" s="1841" t="s">
        <v>1124</v>
      </c>
      <c r="F19" s="1841"/>
      <c r="G19" s="1841"/>
      <c r="H19" s="1841"/>
      <c r="I19" s="1841"/>
      <c r="J19" s="1841"/>
      <c r="K19" s="1841"/>
      <c r="L19" s="1841"/>
      <c r="M19" s="1847" t="s">
        <v>1134</v>
      </c>
      <c r="N19" s="1853"/>
    </row>
    <row r="20" spans="1:17" ht="15.75" x14ac:dyDescent="0.25">
      <c r="D20" s="352" t="s">
        <v>1010</v>
      </c>
      <c r="E20" s="1851">
        <f>INFORMATIONS!B21</f>
        <v>0</v>
      </c>
      <c r="F20" s="1851"/>
      <c r="G20" s="1894">
        <f>INFORMATIONS!B22</f>
        <v>0</v>
      </c>
      <c r="H20" s="1895"/>
      <c r="I20" s="356"/>
      <c r="J20" s="360" t="str">
        <f>INFORMATIONS!B19</f>
        <v>02</v>
      </c>
      <c r="K20" s="1896">
        <f>INFORMATIONS!D19</f>
        <v>5358</v>
      </c>
      <c r="L20" s="1897"/>
      <c r="M20" s="1898" t="str">
        <f>INFORMATIONS!E19</f>
        <v>OUAGA</v>
      </c>
      <c r="N20" s="1899"/>
    </row>
    <row r="21" spans="1:17" ht="18" x14ac:dyDescent="0.25">
      <c r="D21" s="309"/>
      <c r="E21" s="1847" t="s">
        <v>1125</v>
      </c>
      <c r="F21" s="1847"/>
      <c r="G21" s="1847" t="s">
        <v>1126</v>
      </c>
      <c r="H21" s="1847"/>
      <c r="I21" s="361"/>
      <c r="J21" s="359" t="s">
        <v>1135</v>
      </c>
      <c r="K21" s="1847" t="s">
        <v>1136</v>
      </c>
      <c r="L21" s="1847"/>
      <c r="M21" s="1847" t="s">
        <v>50</v>
      </c>
      <c r="N21" s="1853"/>
    </row>
    <row r="22" spans="1:17" ht="15.75" x14ac:dyDescent="0.25">
      <c r="D22" s="352" t="s">
        <v>1033</v>
      </c>
      <c r="E22" s="306"/>
      <c r="F22" s="358">
        <f>INFORMATIONS!C16</f>
        <v>0</v>
      </c>
      <c r="G22" s="358"/>
      <c r="H22" s="1888" t="str">
        <f>INFORMATIONS!B18</f>
        <v>Ouagadougou</v>
      </c>
      <c r="I22" s="1889"/>
      <c r="J22" s="362" t="str">
        <f>INFORMATIONS!D2</f>
        <v>BF</v>
      </c>
      <c r="K22" s="363" t="str">
        <f>INFORMATIONS!D16</f>
        <v>18</v>
      </c>
      <c r="L22" s="364"/>
      <c r="M22" s="365" t="str">
        <f>INFORMATIONS!E16</f>
        <v>05</v>
      </c>
      <c r="N22" s="358" t="str">
        <f>INFORMATIONS!F16</f>
        <v>AW</v>
      </c>
    </row>
    <row r="23" spans="1:17" s="370" customFormat="1" ht="17.25" customHeight="1" x14ac:dyDescent="0.25">
      <c r="A23" s="366"/>
      <c r="B23" s="366"/>
      <c r="C23" s="366"/>
      <c r="D23" s="367"/>
      <c r="E23" s="368"/>
      <c r="F23" s="359" t="s">
        <v>796</v>
      </c>
      <c r="G23" s="359" t="s">
        <v>797</v>
      </c>
      <c r="H23" s="1847" t="s">
        <v>50</v>
      </c>
      <c r="I23" s="1847"/>
      <c r="J23" s="359" t="s">
        <v>1109</v>
      </c>
      <c r="K23" s="359" t="s">
        <v>1142</v>
      </c>
      <c r="L23" s="368"/>
      <c r="M23" s="359" t="s">
        <v>1143</v>
      </c>
      <c r="N23" s="369" t="s">
        <v>1144</v>
      </c>
      <c r="O23" s="366"/>
      <c r="P23" s="366"/>
      <c r="Q23" s="366"/>
    </row>
    <row r="24" spans="1:17" ht="12.75" customHeight="1" x14ac:dyDescent="0.25">
      <c r="D24" s="371"/>
      <c r="E24" s="372"/>
      <c r="F24" s="1835" t="s">
        <v>1141</v>
      </c>
      <c r="G24" s="1836"/>
      <c r="H24" s="1836"/>
      <c r="I24" s="1836"/>
      <c r="J24" s="1836"/>
      <c r="K24" s="1836"/>
      <c r="L24" s="1836"/>
      <c r="M24" s="1836"/>
      <c r="N24" s="1837"/>
    </row>
    <row r="25" spans="1:17" ht="12.75" customHeight="1" x14ac:dyDescent="0.25">
      <c r="D25" s="371"/>
      <c r="E25" s="372"/>
      <c r="F25" s="373"/>
      <c r="G25" s="373"/>
      <c r="H25" s="373"/>
      <c r="I25" s="373"/>
      <c r="J25" s="373"/>
      <c r="K25" s="373"/>
      <c r="L25" s="373"/>
      <c r="M25" s="373"/>
      <c r="N25" s="374"/>
    </row>
    <row r="26" spans="1:17" x14ac:dyDescent="0.25">
      <c r="D26" s="352" t="s">
        <v>1119</v>
      </c>
      <c r="E26" s="1872">
        <f>INFORMATIONS!B27</f>
        <v>0</v>
      </c>
      <c r="F26" s="1873"/>
      <c r="G26" s="1873"/>
      <c r="H26" s="1873"/>
      <c r="I26" s="1873"/>
      <c r="J26" s="1873"/>
      <c r="K26" s="1873"/>
      <c r="L26" s="1873"/>
      <c r="M26" s="1873"/>
      <c r="N26" s="1874"/>
    </row>
    <row r="27" spans="1:17" ht="18" x14ac:dyDescent="0.25">
      <c r="D27" s="309"/>
      <c r="E27" s="1870" t="s">
        <v>1145</v>
      </c>
      <c r="F27" s="1870"/>
      <c r="G27" s="1870"/>
      <c r="H27" s="1870"/>
      <c r="I27" s="1870"/>
      <c r="J27" s="1870"/>
      <c r="K27" s="1870"/>
      <c r="L27" s="1870"/>
      <c r="M27" s="1870"/>
      <c r="N27" s="1871"/>
    </row>
    <row r="28" spans="1:17" x14ac:dyDescent="0.25">
      <c r="D28" s="309"/>
      <c r="E28" s="1900">
        <f>INFORMATIONS!B48</f>
        <v>0</v>
      </c>
      <c r="F28" s="1873"/>
      <c r="G28" s="1873"/>
      <c r="H28" s="1873"/>
      <c r="I28" s="1873"/>
      <c r="J28" s="1873"/>
      <c r="K28" s="1873"/>
      <c r="L28" s="1873"/>
      <c r="M28" s="1873"/>
      <c r="N28" s="1874"/>
    </row>
    <row r="29" spans="1:17" ht="18" x14ac:dyDescent="0.25">
      <c r="D29" s="309"/>
      <c r="E29" s="1870" t="s">
        <v>1146</v>
      </c>
      <c r="F29" s="1870"/>
      <c r="G29" s="1870"/>
      <c r="H29" s="1870"/>
      <c r="I29" s="1870"/>
      <c r="J29" s="1870"/>
      <c r="K29" s="1870"/>
      <c r="L29" s="1870"/>
      <c r="M29" s="1870"/>
      <c r="N29" s="1871"/>
    </row>
    <row r="30" spans="1:17" x14ac:dyDescent="0.25">
      <c r="D30" s="309"/>
      <c r="E30" s="1872">
        <f>INFORMATIONS!B49</f>
        <v>0</v>
      </c>
      <c r="F30" s="1873"/>
      <c r="G30" s="1873"/>
      <c r="H30" s="1873"/>
      <c r="I30" s="1873"/>
      <c r="J30" s="1873"/>
      <c r="K30" s="1873"/>
      <c r="L30" s="1873"/>
      <c r="M30" s="1873"/>
      <c r="N30" s="1874"/>
    </row>
    <row r="31" spans="1:17" ht="13.5" customHeight="1" x14ac:dyDescent="0.25">
      <c r="D31" s="309"/>
      <c r="E31" s="1870" t="s">
        <v>1147</v>
      </c>
      <c r="F31" s="1870"/>
      <c r="G31" s="1870"/>
      <c r="H31" s="1870"/>
      <c r="I31" s="1870"/>
      <c r="J31" s="1870"/>
      <c r="K31" s="1870"/>
      <c r="L31" s="1870"/>
      <c r="M31" s="1870"/>
      <c r="N31" s="1871"/>
    </row>
    <row r="32" spans="1:17" ht="14.25" customHeight="1" x14ac:dyDescent="0.25">
      <c r="D32" s="309"/>
      <c r="E32" s="1870" t="s">
        <v>1148</v>
      </c>
      <c r="F32" s="1870"/>
      <c r="G32" s="1870"/>
      <c r="H32" s="1870"/>
      <c r="I32" s="1870"/>
      <c r="J32" s="1870"/>
      <c r="K32" s="1870"/>
      <c r="L32" s="1870"/>
      <c r="M32" s="1870"/>
      <c r="N32" s="1871"/>
    </row>
    <row r="33" spans="4:14" ht="18" customHeight="1" x14ac:dyDescent="0.25">
      <c r="D33" s="309"/>
      <c r="E33" s="1870" t="s">
        <v>1149</v>
      </c>
      <c r="F33" s="1870"/>
      <c r="G33" s="1870"/>
      <c r="H33" s="1870"/>
      <c r="I33" s="1870"/>
      <c r="J33" s="1870"/>
      <c r="K33" s="1870"/>
      <c r="L33" s="1870"/>
      <c r="M33" s="1870"/>
      <c r="N33" s="1871"/>
    </row>
    <row r="34" spans="4:14" x14ac:dyDescent="0.25">
      <c r="D34" s="309"/>
      <c r="E34" s="306"/>
      <c r="F34" s="306"/>
      <c r="G34" s="306"/>
      <c r="H34" s="306"/>
      <c r="I34" s="306"/>
      <c r="J34" s="306"/>
      <c r="K34" s="306"/>
      <c r="L34" s="306"/>
      <c r="M34" s="306"/>
      <c r="N34" s="307"/>
    </row>
    <row r="35" spans="4:14" x14ac:dyDescent="0.25">
      <c r="D35" s="309"/>
      <c r="E35" s="306"/>
      <c r="F35" s="306"/>
      <c r="G35" s="306"/>
      <c r="H35" s="306"/>
      <c r="I35" s="306"/>
      <c r="J35" s="306"/>
      <c r="K35" s="306"/>
      <c r="L35" s="306"/>
      <c r="M35" s="306"/>
      <c r="N35" s="307"/>
    </row>
    <row r="36" spans="4:14" x14ac:dyDescent="0.25">
      <c r="D36" s="309"/>
      <c r="E36" s="306"/>
      <c r="F36" s="306"/>
      <c r="G36" s="306"/>
      <c r="H36" s="306"/>
      <c r="I36" s="306"/>
      <c r="J36" s="306"/>
      <c r="K36" s="306"/>
      <c r="L36" s="306"/>
      <c r="M36" s="306"/>
      <c r="N36" s="307"/>
    </row>
    <row r="37" spans="4:14" ht="18" x14ac:dyDescent="0.25">
      <c r="D37" s="309"/>
      <c r="E37" s="1875" t="s">
        <v>1150</v>
      </c>
      <c r="F37" s="1876"/>
      <c r="G37" s="1876"/>
      <c r="H37" s="1876"/>
      <c r="I37" s="1876"/>
      <c r="J37" s="1877"/>
      <c r="K37" s="375"/>
      <c r="L37" s="376"/>
      <c r="M37" s="376"/>
      <c r="N37" s="377"/>
    </row>
    <row r="38" spans="4:14" x14ac:dyDescent="0.25">
      <c r="D38" s="309"/>
      <c r="E38" s="1878"/>
      <c r="F38" s="1879"/>
      <c r="G38" s="1879"/>
      <c r="H38" s="1879"/>
      <c r="I38" s="1879"/>
      <c r="J38" s="1880"/>
      <c r="K38" s="309"/>
      <c r="L38" s="306"/>
      <c r="M38" s="306"/>
      <c r="N38" s="307"/>
    </row>
    <row r="39" spans="4:14" x14ac:dyDescent="0.25">
      <c r="D39" s="309"/>
      <c r="E39" s="1878"/>
      <c r="F39" s="1879"/>
      <c r="G39" s="1879"/>
      <c r="H39" s="1879"/>
      <c r="I39" s="1879"/>
      <c r="J39" s="1880"/>
      <c r="K39" s="1884" t="s">
        <v>1152</v>
      </c>
      <c r="L39" s="1864"/>
      <c r="M39" s="368" t="s">
        <v>1151</v>
      </c>
      <c r="N39" s="378" t="s">
        <v>1153</v>
      </c>
    </row>
    <row r="40" spans="4:14" x14ac:dyDescent="0.25">
      <c r="D40" s="309"/>
      <c r="E40" s="1878"/>
      <c r="F40" s="1879"/>
      <c r="G40" s="1879"/>
      <c r="H40" s="1879"/>
      <c r="I40" s="1879"/>
      <c r="J40" s="1880"/>
      <c r="K40" s="309"/>
      <c r="L40" s="306"/>
      <c r="M40" s="306"/>
      <c r="N40" s="307"/>
    </row>
    <row r="41" spans="4:14" x14ac:dyDescent="0.25">
      <c r="D41" s="309"/>
      <c r="E41" s="1881"/>
      <c r="F41" s="1882"/>
      <c r="G41" s="1882"/>
      <c r="H41" s="1882"/>
      <c r="I41" s="1882"/>
      <c r="J41" s="1883"/>
      <c r="K41" s="336"/>
      <c r="L41" s="379"/>
      <c r="M41" s="379"/>
      <c r="N41" s="337"/>
    </row>
    <row r="42" spans="4:14" x14ac:dyDescent="0.25">
      <c r="D42" s="309"/>
      <c r="E42" s="306"/>
      <c r="F42" s="306"/>
      <c r="G42" s="306"/>
      <c r="H42" s="306"/>
      <c r="I42" s="306"/>
      <c r="J42" s="306"/>
      <c r="K42" s="1911" t="s">
        <v>1154</v>
      </c>
      <c r="L42" s="1911"/>
      <c r="M42" s="1911"/>
      <c r="N42" s="1912"/>
    </row>
    <row r="43" spans="4:14" x14ac:dyDescent="0.25">
      <c r="D43" s="309"/>
      <c r="E43" s="306"/>
      <c r="F43" s="306"/>
      <c r="G43" s="306"/>
      <c r="H43" s="306"/>
      <c r="I43" s="306"/>
      <c r="J43" s="306"/>
      <c r="K43" s="1864" t="s">
        <v>1155</v>
      </c>
      <c r="L43" s="1864"/>
      <c r="M43" s="1864"/>
      <c r="N43" s="1865"/>
    </row>
    <row r="44" spans="4:14" x14ac:dyDescent="0.25">
      <c r="D44" s="309"/>
      <c r="E44" s="1906">
        <f>INFORMATIONS!B45</f>
        <v>0</v>
      </c>
      <c r="F44" s="1907"/>
      <c r="G44" s="1907"/>
      <c r="H44" s="1895"/>
      <c r="I44" s="306"/>
      <c r="J44" s="1902" t="s">
        <v>1160</v>
      </c>
      <c r="K44" s="1902"/>
      <c r="L44" s="1902"/>
      <c r="M44" s="1902"/>
      <c r="N44" s="1902"/>
    </row>
    <row r="45" spans="4:14" ht="18" x14ac:dyDescent="0.25">
      <c r="D45" s="309"/>
      <c r="E45" s="1841" t="s">
        <v>1156</v>
      </c>
      <c r="F45" s="1841"/>
      <c r="G45" s="1841"/>
      <c r="H45" s="1841"/>
      <c r="I45" s="306"/>
      <c r="J45" s="1903" t="s">
        <v>1161</v>
      </c>
      <c r="K45" s="1903"/>
      <c r="L45" s="1903" t="s">
        <v>1162</v>
      </c>
      <c r="M45" s="1903"/>
      <c r="N45" s="1903"/>
    </row>
    <row r="46" spans="4:14" ht="3" customHeight="1" x14ac:dyDescent="0.25">
      <c r="D46" s="309"/>
      <c r="E46" s="306"/>
      <c r="F46" s="306"/>
      <c r="G46" s="306"/>
      <c r="H46" s="306"/>
      <c r="I46" s="306"/>
      <c r="J46" s="1904"/>
      <c r="K46" s="1904"/>
      <c r="L46" s="1904"/>
      <c r="M46" s="1904"/>
      <c r="N46" s="1904"/>
    </row>
    <row r="47" spans="4:14" x14ac:dyDescent="0.25">
      <c r="D47" s="309"/>
      <c r="E47" s="1906">
        <f>INFORMATIONS!B46</f>
        <v>0</v>
      </c>
      <c r="F47" s="1907"/>
      <c r="G47" s="1907"/>
      <c r="H47" s="1895"/>
      <c r="I47" s="306"/>
      <c r="J47" s="1905">
        <f>INFORMATIONS!B36</f>
        <v>0</v>
      </c>
      <c r="K47" s="1905"/>
      <c r="L47" s="1905">
        <f>INFORMATIONS!D36</f>
        <v>0</v>
      </c>
      <c r="M47" s="1905"/>
      <c r="N47" s="1905"/>
    </row>
    <row r="48" spans="4:14" ht="18" x14ac:dyDescent="0.25">
      <c r="D48" s="309"/>
      <c r="E48" s="1841" t="s">
        <v>1157</v>
      </c>
      <c r="F48" s="1841"/>
      <c r="G48" s="1841"/>
      <c r="H48" s="1841"/>
      <c r="I48" s="306"/>
      <c r="J48" s="1905">
        <f>INFORMATIONS!B38</f>
        <v>0</v>
      </c>
      <c r="K48" s="1905"/>
      <c r="L48" s="1905">
        <f>INFORMATIONS!D38</f>
        <v>0</v>
      </c>
      <c r="M48" s="1905"/>
      <c r="N48" s="1905"/>
    </row>
    <row r="49" spans="4:14" x14ac:dyDescent="0.25">
      <c r="D49" s="309"/>
      <c r="E49" s="1909">
        <f>INFORMATIONS!B47</f>
        <v>0</v>
      </c>
      <c r="F49" s="1907"/>
      <c r="G49" s="1907"/>
      <c r="H49" s="1895"/>
      <c r="I49" s="306"/>
      <c r="J49" s="1905">
        <f>INFORMATIONS!B40</f>
        <v>0</v>
      </c>
      <c r="K49" s="1905"/>
      <c r="L49" s="1905">
        <f>INFORMATIONS!D40</f>
        <v>0</v>
      </c>
      <c r="M49" s="1905"/>
      <c r="N49" s="1905"/>
    </row>
    <row r="50" spans="4:14" ht="18" x14ac:dyDescent="0.25">
      <c r="D50" s="309"/>
      <c r="E50" s="1841" t="s">
        <v>1158</v>
      </c>
      <c r="F50" s="1841"/>
      <c r="G50" s="1841"/>
      <c r="H50" s="1841"/>
      <c r="I50" s="306"/>
      <c r="J50" s="1905">
        <f>INFORMATIONS!B42</f>
        <v>0</v>
      </c>
      <c r="K50" s="1905"/>
      <c r="L50" s="1905">
        <f>INFORMATIONS!D42</f>
        <v>0</v>
      </c>
      <c r="M50" s="1905"/>
      <c r="N50" s="1905"/>
    </row>
    <row r="51" spans="4:14" x14ac:dyDescent="0.25">
      <c r="D51" s="309"/>
      <c r="E51" s="1910"/>
      <c r="F51" s="1911"/>
      <c r="G51" s="1911"/>
      <c r="H51" s="1912"/>
      <c r="I51" s="306"/>
      <c r="J51" s="1905"/>
      <c r="K51" s="1905"/>
      <c r="L51" s="1905"/>
      <c r="M51" s="1905"/>
      <c r="N51" s="1905"/>
    </row>
    <row r="52" spans="4:14" x14ac:dyDescent="0.25">
      <c r="D52" s="309"/>
      <c r="E52" s="1884"/>
      <c r="F52" s="1864"/>
      <c r="G52" s="1864"/>
      <c r="H52" s="1865"/>
      <c r="I52" s="306"/>
      <c r="J52" s="1905"/>
      <c r="K52" s="1905"/>
      <c r="L52" s="1905"/>
      <c r="M52" s="1905"/>
      <c r="N52" s="1905"/>
    </row>
    <row r="53" spans="4:14" x14ac:dyDescent="0.25">
      <c r="D53" s="309"/>
      <c r="E53" s="1884"/>
      <c r="F53" s="1864"/>
      <c r="G53" s="1864"/>
      <c r="H53" s="1865"/>
      <c r="I53" s="306"/>
      <c r="J53" s="1905"/>
      <c r="K53" s="1905"/>
      <c r="L53" s="1905"/>
      <c r="M53" s="1905"/>
      <c r="N53" s="1905"/>
    </row>
    <row r="54" spans="4:14" x14ac:dyDescent="0.25">
      <c r="D54" s="309"/>
      <c r="E54" s="1913"/>
      <c r="F54" s="1914"/>
      <c r="G54" s="1914"/>
      <c r="H54" s="1915"/>
      <c r="I54" s="306"/>
      <c r="J54" s="1905"/>
      <c r="K54" s="1905"/>
      <c r="L54" s="1908"/>
      <c r="M54" s="1908"/>
      <c r="N54" s="1908"/>
    </row>
    <row r="55" spans="4:14" ht="18" x14ac:dyDescent="0.25">
      <c r="D55" s="336"/>
      <c r="E55" s="1901" t="s">
        <v>1159</v>
      </c>
      <c r="F55" s="1901"/>
      <c r="G55" s="1901"/>
      <c r="H55" s="1901"/>
      <c r="I55" s="379"/>
      <c r="J55" s="379"/>
      <c r="K55" s="379"/>
      <c r="L55" s="379"/>
      <c r="M55" s="379"/>
      <c r="N55" s="337"/>
    </row>
    <row r="56" spans="4:14" s="300" customFormat="1" x14ac:dyDescent="0.25"/>
    <row r="57" spans="4:14" s="300" customFormat="1" x14ac:dyDescent="0.25"/>
    <row r="58" spans="4:14" s="300" customFormat="1" x14ac:dyDescent="0.25"/>
    <row r="59" spans="4:14" s="300" customFormat="1" x14ac:dyDescent="0.25"/>
    <row r="60" spans="4:14" s="300" customFormat="1" x14ac:dyDescent="0.25"/>
    <row r="61" spans="4:14" s="300" customFormat="1" x14ac:dyDescent="0.25"/>
    <row r="62" spans="4:14" s="300" customFormat="1" x14ac:dyDescent="0.25"/>
    <row r="63" spans="4:14" s="300" customFormat="1" x14ac:dyDescent="0.25"/>
    <row r="64" spans="4:14" s="300" customFormat="1" x14ac:dyDescent="0.25"/>
    <row r="65" s="300" customFormat="1" x14ac:dyDescent="0.25"/>
    <row r="66" s="300" customFormat="1" x14ac:dyDescent="0.25"/>
    <row r="67" s="300" customFormat="1" x14ac:dyDescent="0.25"/>
    <row r="68" s="300" customFormat="1" x14ac:dyDescent="0.25"/>
    <row r="69" s="300" customFormat="1" x14ac:dyDescent="0.25"/>
    <row r="70" s="300" customFormat="1" x14ac:dyDescent="0.25"/>
    <row r="71" s="300" customFormat="1" x14ac:dyDescent="0.25"/>
    <row r="72" s="300" customFormat="1" x14ac:dyDescent="0.25"/>
    <row r="73" s="300" customFormat="1" x14ac:dyDescent="0.25"/>
    <row r="74" s="300" customFormat="1" x14ac:dyDescent="0.25"/>
    <row r="75" s="300" customFormat="1" x14ac:dyDescent="0.25"/>
    <row r="76" s="300" customFormat="1" x14ac:dyDescent="0.25"/>
    <row r="77" s="300" customFormat="1" x14ac:dyDescent="0.25"/>
    <row r="78" s="300" customFormat="1" x14ac:dyDescent="0.25"/>
    <row r="79" s="300" customFormat="1" x14ac:dyDescent="0.25"/>
    <row r="80" s="300" customFormat="1" x14ac:dyDescent="0.25"/>
  </sheetData>
  <sheetProtection formatCells="0" formatColumns="0" formatRows="0"/>
  <mergeCells count="82">
    <mergeCell ref="E26:N26"/>
    <mergeCell ref="L54:N54"/>
    <mergeCell ref="L49:N49"/>
    <mergeCell ref="L50:N50"/>
    <mergeCell ref="L51:N51"/>
    <mergeCell ref="L52:N52"/>
    <mergeCell ref="L53:N53"/>
    <mergeCell ref="E49:H49"/>
    <mergeCell ref="E50:H50"/>
    <mergeCell ref="E51:H54"/>
    <mergeCell ref="K43:N43"/>
    <mergeCell ref="E48:H48"/>
    <mergeCell ref="L46:N46"/>
    <mergeCell ref="L47:N47"/>
    <mergeCell ref="L48:N48"/>
    <mergeCell ref="K42:N42"/>
    <mergeCell ref="E55:H55"/>
    <mergeCell ref="J44:N44"/>
    <mergeCell ref="L45:N45"/>
    <mergeCell ref="J45:K45"/>
    <mergeCell ref="J46:K46"/>
    <mergeCell ref="J47:K47"/>
    <mergeCell ref="J48:K48"/>
    <mergeCell ref="J49:K49"/>
    <mergeCell ref="J50:K50"/>
    <mergeCell ref="J51:K51"/>
    <mergeCell ref="J52:K52"/>
    <mergeCell ref="J53:K53"/>
    <mergeCell ref="J54:K54"/>
    <mergeCell ref="E44:H44"/>
    <mergeCell ref="E45:H45"/>
    <mergeCell ref="E47:H47"/>
    <mergeCell ref="E27:N27"/>
    <mergeCell ref="E29:N29"/>
    <mergeCell ref="E28:N28"/>
    <mergeCell ref="E31:N31"/>
    <mergeCell ref="E32:N32"/>
    <mergeCell ref="E33:N33"/>
    <mergeCell ref="E30:N30"/>
    <mergeCell ref="E37:J41"/>
    <mergeCell ref="K39:L39"/>
    <mergeCell ref="D1:N1"/>
    <mergeCell ref="H22:I22"/>
    <mergeCell ref="H23:I23"/>
    <mergeCell ref="K4:N4"/>
    <mergeCell ref="I4:J4"/>
    <mergeCell ref="D5:E5"/>
    <mergeCell ref="M19:N19"/>
    <mergeCell ref="G20:H20"/>
    <mergeCell ref="G21:H21"/>
    <mergeCell ref="K20:L20"/>
    <mergeCell ref="K21:L21"/>
    <mergeCell ref="M20:N20"/>
    <mergeCell ref="D3:G3"/>
    <mergeCell ref="H3:N3"/>
    <mergeCell ref="G6:H6"/>
    <mergeCell ref="M17:N17"/>
    <mergeCell ref="M18:N18"/>
    <mergeCell ref="E12:G12"/>
    <mergeCell ref="J12:M12"/>
    <mergeCell ref="H10:I10"/>
    <mergeCell ref="I6:J6"/>
    <mergeCell ref="E8:H8"/>
    <mergeCell ref="L6:M6"/>
    <mergeCell ref="J8:K8"/>
    <mergeCell ref="M8:N8"/>
    <mergeCell ref="F24:N24"/>
    <mergeCell ref="J14:M14"/>
    <mergeCell ref="J15:M15"/>
    <mergeCell ref="H12:I12"/>
    <mergeCell ref="F14:G14"/>
    <mergeCell ref="M16:N16"/>
    <mergeCell ref="E21:F21"/>
    <mergeCell ref="H16:I16"/>
    <mergeCell ref="H17:I17"/>
    <mergeCell ref="E19:L19"/>
    <mergeCell ref="F15:G15"/>
    <mergeCell ref="E16:F16"/>
    <mergeCell ref="E17:F17"/>
    <mergeCell ref="E20:F20"/>
    <mergeCell ref="E18:L18"/>
    <mergeCell ref="M21:N21"/>
  </mergeCells>
  <pageMargins left="0.43307086614173229" right="0.31496062992125984" top="0.31496062992125984" bottom="0.15748031496062992" header="0.15748031496062992" footer="0.15748031496062992"/>
  <pageSetup paperSize="9" scale="82"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1" r:id="rId4" name="Check Box 1">
              <controlPr defaultSize="0" autoFill="0" autoLine="0" autoPict="0">
                <anchor moveWithCells="1">
                  <from>
                    <xdr:col>12</xdr:col>
                    <xdr:colOff>266700</xdr:colOff>
                    <xdr:row>37</xdr:row>
                    <xdr:rowOff>28575</xdr:rowOff>
                  </from>
                  <to>
                    <xdr:col>13</xdr:col>
                    <xdr:colOff>476250</xdr:colOff>
                    <xdr:row>38</xdr:row>
                    <xdr:rowOff>47625</xdr:rowOff>
                  </to>
                </anchor>
              </controlPr>
            </control>
          </mc:Choice>
        </mc:AlternateContent>
        <mc:AlternateContent xmlns:mc="http://schemas.openxmlformats.org/markup-compatibility/2006">
          <mc:Choice Requires="x14">
            <control shapeId="81922" r:id="rId5" name="Check Box 2">
              <controlPr defaultSize="0" autoFill="0" autoLine="0" autoPict="0">
                <anchor moveWithCells="1">
                  <from>
                    <xdr:col>13</xdr:col>
                    <xdr:colOff>266700</xdr:colOff>
                    <xdr:row>37</xdr:row>
                    <xdr:rowOff>9525</xdr:rowOff>
                  </from>
                  <to>
                    <xdr:col>14</xdr:col>
                    <xdr:colOff>476250</xdr:colOff>
                    <xdr:row>38</xdr:row>
                    <xdr:rowOff>28575</xdr:rowOff>
                  </to>
                </anchor>
              </controlPr>
            </control>
          </mc:Choice>
        </mc:AlternateContent>
        <mc:AlternateContent xmlns:mc="http://schemas.openxmlformats.org/markup-compatibility/2006">
          <mc:Choice Requires="x14">
            <control shapeId="81923" r:id="rId6" name="Check Box 3">
              <controlPr defaultSize="0" autoFill="0" autoLine="0" autoPict="0">
                <anchor moveWithCells="1">
                  <from>
                    <xdr:col>10</xdr:col>
                    <xdr:colOff>323850</xdr:colOff>
                    <xdr:row>37</xdr:row>
                    <xdr:rowOff>38100</xdr:rowOff>
                  </from>
                  <to>
                    <xdr:col>12</xdr:col>
                    <xdr:colOff>180975</xdr:colOff>
                    <xdr:row>38</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1">
    <tabColor rgb="FF00B050"/>
  </sheetPr>
  <dimension ref="A1:XFD84"/>
  <sheetViews>
    <sheetView topLeftCell="A6" zoomScaleNormal="100" workbookViewId="0">
      <selection activeCell="H36" sqref="H36"/>
    </sheetView>
  </sheetViews>
  <sheetFormatPr baseColWidth="10" defaultColWidth="0" defaultRowHeight="15" zeroHeight="1" x14ac:dyDescent="0.25"/>
  <cols>
    <col min="1" max="3" width="11.42578125" style="82" customWidth="1"/>
    <col min="4" max="4" width="4.28515625" style="50" customWidth="1"/>
    <col min="5" max="5" width="17.140625" style="50" customWidth="1"/>
    <col min="6" max="6" width="19.140625" style="50" customWidth="1"/>
    <col min="7" max="10" width="3" style="50" customWidth="1"/>
    <col min="11" max="11" width="3.7109375" style="50" customWidth="1"/>
    <col min="12" max="12" width="3.85546875" style="50" customWidth="1"/>
    <col min="13" max="13" width="3.5703125" style="50" customWidth="1"/>
    <col min="14" max="14" width="4.85546875" style="50" customWidth="1"/>
    <col min="15" max="15" width="19.42578125" style="50" customWidth="1"/>
    <col min="16" max="16" width="11" style="50" customWidth="1"/>
    <col min="17" max="20" width="3.85546875" style="50" customWidth="1"/>
    <col min="21" max="21" width="5" style="50" customWidth="1"/>
    <col min="22" max="24" width="11.42578125" style="82" customWidth="1"/>
    <col min="25" max="26" width="0" style="50" hidden="1" customWidth="1"/>
    <col min="27" max="16384" width="11.42578125" style="50" hidden="1"/>
  </cols>
  <sheetData>
    <row r="1" spans="1:24" ht="21.75" customHeight="1" x14ac:dyDescent="0.25">
      <c r="D1" s="1916" t="s">
        <v>1163</v>
      </c>
      <c r="E1" s="1917"/>
      <c r="F1" s="1917"/>
      <c r="G1" s="1917"/>
      <c r="H1" s="1917"/>
      <c r="I1" s="1917"/>
      <c r="J1" s="1917"/>
      <c r="K1" s="1917"/>
      <c r="L1" s="1917"/>
      <c r="M1" s="1917"/>
      <c r="N1" s="1917"/>
      <c r="O1" s="1917"/>
      <c r="P1" s="1917"/>
      <c r="Q1" s="1917"/>
      <c r="R1" s="1917"/>
      <c r="S1" s="1917"/>
      <c r="T1" s="1917"/>
      <c r="U1" s="1918"/>
    </row>
    <row r="2" spans="1:24" x14ac:dyDescent="0.25"/>
    <row r="3" spans="1:24" s="48" customFormat="1" ht="22.5" customHeight="1" x14ac:dyDescent="0.25">
      <c r="A3" s="83"/>
      <c r="B3" s="83"/>
      <c r="C3" s="83"/>
      <c r="D3" s="43" t="s">
        <v>42</v>
      </c>
      <c r="E3" s="44"/>
      <c r="F3" s="285" t="str">
        <f>INFORMATIONS!B10</f>
        <v>SAM CONSEILS</v>
      </c>
      <c r="G3" s="42"/>
      <c r="H3" s="42"/>
      <c r="I3" s="42"/>
      <c r="J3" s="44"/>
      <c r="K3" s="44"/>
      <c r="L3" s="44"/>
      <c r="M3" s="44"/>
      <c r="N3" s="44"/>
      <c r="O3" s="27"/>
      <c r="P3" s="40" t="s">
        <v>52</v>
      </c>
      <c r="Q3" s="42"/>
      <c r="R3" s="42"/>
      <c r="S3" s="1932">
        <f>INFORMATIONS!D31</f>
        <v>43465</v>
      </c>
      <c r="T3" s="1932"/>
      <c r="U3" s="1933"/>
      <c r="V3" s="83"/>
      <c r="W3" s="83"/>
      <c r="X3" s="83"/>
    </row>
    <row r="4" spans="1:24" s="48" customFormat="1" ht="19.5" customHeight="1" x14ac:dyDescent="0.25">
      <c r="A4" s="83"/>
      <c r="B4" s="83"/>
      <c r="C4" s="83"/>
      <c r="D4" s="45" t="s">
        <v>43</v>
      </c>
      <c r="E4" s="46"/>
      <c r="F4" s="47"/>
      <c r="G4" s="286" t="str">
        <f>INFORMATIONS!B24</f>
        <v>00084404X</v>
      </c>
      <c r="H4" s="47"/>
      <c r="I4" s="47"/>
      <c r="J4" s="46"/>
      <c r="K4" s="46"/>
      <c r="L4" s="46"/>
      <c r="M4" s="46"/>
      <c r="N4" s="30"/>
      <c r="O4" s="31"/>
      <c r="P4" s="41" t="s">
        <v>44</v>
      </c>
      <c r="Q4" s="46"/>
      <c r="R4" s="46"/>
      <c r="S4" s="46"/>
      <c r="T4" s="284">
        <f>INFORMATIONS!F31</f>
        <v>12</v>
      </c>
      <c r="U4" s="32"/>
      <c r="V4" s="83"/>
      <c r="W4" s="83"/>
      <c r="X4" s="83"/>
    </row>
    <row r="5" spans="1:24" s="48" customFormat="1" ht="19.5" customHeight="1" x14ac:dyDescent="0.25">
      <c r="A5" s="83"/>
      <c r="B5" s="83"/>
      <c r="C5" s="83"/>
      <c r="D5" s="75"/>
      <c r="G5" s="76"/>
      <c r="H5" s="76"/>
      <c r="I5" s="76"/>
      <c r="N5" s="57"/>
      <c r="O5" s="56"/>
      <c r="P5" s="77"/>
      <c r="R5" s="75"/>
      <c r="U5" s="75"/>
      <c r="V5" s="83"/>
      <c r="W5" s="83"/>
      <c r="X5" s="83"/>
    </row>
    <row r="6" spans="1:24" x14ac:dyDescent="0.25"/>
    <row r="7" spans="1:24" x14ac:dyDescent="0.25">
      <c r="D7" s="1919"/>
      <c r="E7" s="1920"/>
      <c r="F7" s="1920"/>
      <c r="G7" s="1920"/>
      <c r="H7" s="1920"/>
      <c r="I7" s="1920"/>
      <c r="J7" s="1920"/>
      <c r="K7" s="1921"/>
      <c r="L7" s="1934" t="s">
        <v>1185</v>
      </c>
      <c r="M7" s="1935"/>
      <c r="N7" s="1935"/>
      <c r="O7" s="1935"/>
      <c r="P7" s="1935"/>
      <c r="Q7" s="1935"/>
      <c r="R7" s="1935"/>
      <c r="S7" s="1935"/>
      <c r="T7" s="1935"/>
      <c r="U7" s="1936"/>
      <c r="W7" s="89"/>
    </row>
    <row r="8" spans="1:24" ht="8.25" customHeight="1" x14ac:dyDescent="0.25">
      <c r="D8" s="20"/>
      <c r="E8" s="21"/>
      <c r="F8" s="21"/>
      <c r="G8" s="21"/>
      <c r="H8" s="21"/>
      <c r="I8" s="21"/>
      <c r="J8" s="21"/>
      <c r="K8" s="21"/>
      <c r="L8" s="132"/>
      <c r="M8" s="130"/>
      <c r="N8" s="130"/>
      <c r="O8" s="130"/>
      <c r="P8" s="130"/>
      <c r="Q8" s="130"/>
      <c r="R8" s="130"/>
      <c r="S8" s="133"/>
      <c r="T8" s="130"/>
      <c r="U8" s="131"/>
    </row>
    <row r="9" spans="1:24" x14ac:dyDescent="0.25">
      <c r="D9" s="49" t="s">
        <v>1164</v>
      </c>
      <c r="E9" s="21" t="s">
        <v>1170</v>
      </c>
      <c r="F9" s="21"/>
      <c r="G9" s="134"/>
      <c r="H9" s="134"/>
      <c r="I9" s="134">
        <v>0</v>
      </c>
      <c r="J9" s="134">
        <v>1</v>
      </c>
      <c r="K9" s="21"/>
      <c r="L9" s="70" t="s">
        <v>1176</v>
      </c>
      <c r="M9" s="127"/>
      <c r="N9" s="21" t="s">
        <v>1179</v>
      </c>
      <c r="O9" s="21"/>
      <c r="P9" s="21"/>
      <c r="Q9" s="20"/>
      <c r="R9" s="21"/>
      <c r="S9" s="134"/>
      <c r="T9" s="21"/>
      <c r="U9" s="22"/>
    </row>
    <row r="10" spans="1:24" x14ac:dyDescent="0.25">
      <c r="D10" s="20"/>
      <c r="E10" s="21"/>
      <c r="F10" s="21"/>
      <c r="G10" s="21"/>
      <c r="H10" s="21"/>
      <c r="I10" s="21"/>
      <c r="J10" s="21"/>
      <c r="K10" s="21"/>
      <c r="L10" s="20"/>
      <c r="M10" s="21"/>
      <c r="N10" s="21"/>
      <c r="O10" s="21"/>
      <c r="P10" s="21"/>
      <c r="Q10" s="20"/>
      <c r="R10" s="21"/>
      <c r="S10" s="69"/>
      <c r="T10" s="21"/>
      <c r="U10" s="22"/>
    </row>
    <row r="11" spans="1:24" x14ac:dyDescent="0.25">
      <c r="D11" s="49" t="s">
        <v>1165</v>
      </c>
      <c r="E11" s="21" t="s">
        <v>1171</v>
      </c>
      <c r="F11" s="21"/>
      <c r="G11" s="134"/>
      <c r="H11" s="134">
        <v>0</v>
      </c>
      <c r="I11" s="88">
        <v>2</v>
      </c>
      <c r="J11" s="21"/>
      <c r="K11" s="21"/>
      <c r="L11" s="49" t="s">
        <v>1177</v>
      </c>
      <c r="M11" s="127"/>
      <c r="N11" s="21" t="s">
        <v>1180</v>
      </c>
      <c r="O11" s="21"/>
      <c r="P11" s="21"/>
      <c r="Q11" s="20"/>
      <c r="R11" s="21"/>
      <c r="S11" s="135"/>
      <c r="T11" s="21"/>
      <c r="U11" s="22"/>
    </row>
    <row r="12" spans="1:24" x14ac:dyDescent="0.25">
      <c r="D12" s="20"/>
      <c r="E12" s="21"/>
      <c r="F12" s="21"/>
      <c r="G12" s="21"/>
      <c r="H12" s="21"/>
      <c r="I12" s="21"/>
      <c r="J12" s="21"/>
      <c r="K12" s="21"/>
      <c r="L12" s="20"/>
      <c r="M12" s="21"/>
      <c r="N12" s="21"/>
      <c r="O12" s="21"/>
      <c r="P12" s="21"/>
      <c r="Q12" s="20"/>
      <c r="R12" s="21"/>
      <c r="S12" s="21"/>
      <c r="T12" s="21"/>
      <c r="U12" s="22"/>
    </row>
    <row r="13" spans="1:24" x14ac:dyDescent="0.25">
      <c r="D13" s="49" t="s">
        <v>1166</v>
      </c>
      <c r="E13" s="21" t="s">
        <v>1172</v>
      </c>
      <c r="F13" s="21"/>
      <c r="G13" s="134"/>
      <c r="H13" s="134"/>
      <c r="I13" s="134">
        <v>0</v>
      </c>
      <c r="J13" s="134">
        <v>2</v>
      </c>
      <c r="K13" s="21"/>
      <c r="L13" s="49" t="s">
        <v>1178</v>
      </c>
      <c r="M13" s="127"/>
      <c r="N13" s="21" t="s">
        <v>1181</v>
      </c>
      <c r="O13" s="21"/>
      <c r="P13" s="21"/>
      <c r="Q13" s="20"/>
      <c r="R13" s="21"/>
      <c r="S13" s="135"/>
      <c r="T13" s="21"/>
      <c r="U13" s="22"/>
    </row>
    <row r="14" spans="1:24" x14ac:dyDescent="0.25">
      <c r="D14" s="20"/>
      <c r="E14" s="21"/>
      <c r="F14" s="21"/>
      <c r="G14" s="21"/>
      <c r="H14" s="21"/>
      <c r="I14" s="21"/>
      <c r="J14" s="21"/>
      <c r="K14" s="21"/>
      <c r="L14" s="20"/>
      <c r="M14" s="21"/>
      <c r="N14" s="21"/>
      <c r="O14" s="21"/>
      <c r="P14" s="21"/>
      <c r="Q14" s="20"/>
      <c r="R14" s="21"/>
      <c r="S14" s="21"/>
      <c r="T14" s="21"/>
      <c r="U14" s="22"/>
    </row>
    <row r="15" spans="1:24" x14ac:dyDescent="0.25">
      <c r="D15" s="49" t="s">
        <v>1167</v>
      </c>
      <c r="E15" s="21" t="s">
        <v>1173</v>
      </c>
      <c r="F15" s="21"/>
      <c r="G15" s="134"/>
      <c r="H15" s="134"/>
      <c r="I15" s="134">
        <v>0</v>
      </c>
      <c r="J15" s="134">
        <v>1</v>
      </c>
      <c r="K15" s="21"/>
      <c r="L15" s="20"/>
      <c r="M15" s="21"/>
      <c r="N15" s="21"/>
      <c r="O15" s="21"/>
      <c r="P15" s="21"/>
      <c r="Q15" s="20"/>
      <c r="R15" s="21"/>
      <c r="S15" s="21"/>
      <c r="T15" s="21"/>
      <c r="U15" s="22"/>
    </row>
    <row r="16" spans="1:24" x14ac:dyDescent="0.25">
      <c r="D16" s="20"/>
      <c r="E16" s="21"/>
      <c r="F16" s="21"/>
      <c r="G16" s="21"/>
      <c r="H16" s="21"/>
      <c r="I16" s="21"/>
      <c r="J16" s="21"/>
      <c r="K16" s="21"/>
      <c r="L16" s="20"/>
      <c r="M16" s="21"/>
      <c r="N16" s="21"/>
      <c r="O16" s="21"/>
      <c r="P16" s="21"/>
      <c r="Q16" s="20"/>
      <c r="R16" s="21"/>
      <c r="S16" s="21"/>
      <c r="T16" s="21"/>
      <c r="U16" s="22"/>
    </row>
    <row r="17" spans="1:24" ht="24" customHeight="1" x14ac:dyDescent="0.25">
      <c r="D17" s="49" t="s">
        <v>1168</v>
      </c>
      <c r="E17" s="1922" t="s">
        <v>1174</v>
      </c>
      <c r="F17" s="1923"/>
      <c r="G17" s="134"/>
      <c r="H17" s="134"/>
      <c r="I17" s="134">
        <v>0</v>
      </c>
      <c r="J17" s="134">
        <v>0</v>
      </c>
      <c r="K17" s="69"/>
      <c r="L17" s="20"/>
      <c r="M17" s="21"/>
      <c r="N17" s="21"/>
      <c r="O17" s="21"/>
      <c r="P17" s="21"/>
      <c r="Q17" s="20"/>
      <c r="R17" s="21"/>
      <c r="S17" s="21"/>
      <c r="T17" s="21"/>
      <c r="U17" s="22"/>
    </row>
    <row r="18" spans="1:24" x14ac:dyDescent="0.25">
      <c r="D18" s="20"/>
      <c r="E18" s="21"/>
      <c r="F18" s="21"/>
      <c r="G18" s="21"/>
      <c r="H18" s="21"/>
      <c r="I18" s="21"/>
      <c r="J18" s="21"/>
      <c r="K18" s="21"/>
      <c r="L18" s="20"/>
      <c r="M18" s="21"/>
      <c r="N18" s="21"/>
      <c r="O18" s="21"/>
      <c r="P18" s="21"/>
      <c r="Q18" s="20"/>
      <c r="R18" s="21"/>
      <c r="S18" s="21"/>
      <c r="T18" s="21"/>
      <c r="U18" s="22"/>
    </row>
    <row r="19" spans="1:24" x14ac:dyDescent="0.25">
      <c r="D19" s="49" t="s">
        <v>1169</v>
      </c>
      <c r="E19" s="21" t="s">
        <v>1175</v>
      </c>
      <c r="F19" s="21"/>
      <c r="G19" s="134"/>
      <c r="H19" s="134"/>
      <c r="I19" s="134"/>
      <c r="J19" s="134"/>
      <c r="K19" s="20"/>
      <c r="L19" s="20"/>
      <c r="M19" s="21"/>
      <c r="N19" s="21"/>
      <c r="O19" s="21"/>
      <c r="P19" s="21"/>
      <c r="Q19" s="20"/>
      <c r="R19" s="21"/>
      <c r="S19" s="21"/>
      <c r="T19" s="21"/>
      <c r="U19" s="22"/>
    </row>
    <row r="20" spans="1:24" x14ac:dyDescent="0.25">
      <c r="D20" s="23"/>
      <c r="E20" s="19"/>
      <c r="F20" s="19"/>
      <c r="G20" s="19"/>
      <c r="H20" s="19"/>
      <c r="I20" s="19"/>
      <c r="J20" s="19"/>
      <c r="K20" s="19"/>
      <c r="L20" s="23"/>
      <c r="M20" s="19"/>
      <c r="N20" s="19"/>
      <c r="O20" s="19"/>
      <c r="P20" s="19"/>
      <c r="Q20" s="23"/>
      <c r="R20" s="19"/>
      <c r="S20" s="19"/>
      <c r="T20" s="19"/>
      <c r="U20" s="24"/>
    </row>
    <row r="21" spans="1:24" x14ac:dyDescent="0.25">
      <c r="D21" s="20"/>
      <c r="E21" s="21"/>
      <c r="F21" s="21"/>
      <c r="G21" s="21"/>
      <c r="H21" s="21"/>
      <c r="I21" s="21"/>
      <c r="J21" s="21"/>
      <c r="K21" s="21"/>
      <c r="L21" s="21"/>
      <c r="M21" s="21"/>
      <c r="N21" s="21"/>
      <c r="O21" s="21"/>
      <c r="P21" s="21"/>
      <c r="Q21" s="21"/>
      <c r="R21" s="21"/>
      <c r="S21" s="21"/>
      <c r="T21" s="21"/>
      <c r="U21" s="22"/>
    </row>
    <row r="22" spans="1:24" x14ac:dyDescent="0.25">
      <c r="D22" s="20"/>
      <c r="E22" s="21"/>
      <c r="F22" s="21"/>
      <c r="G22" s="21"/>
      <c r="H22" s="21"/>
      <c r="I22" s="21"/>
      <c r="J22" s="21"/>
      <c r="K22" s="21"/>
      <c r="L22" s="21"/>
      <c r="M22" s="21"/>
      <c r="N22" s="21"/>
      <c r="O22" s="21"/>
      <c r="P22" s="21"/>
      <c r="Q22" s="21"/>
      <c r="R22" s="21"/>
      <c r="S22" s="21"/>
      <c r="T22" s="21"/>
      <c r="U22" s="22"/>
    </row>
    <row r="23" spans="1:24" x14ac:dyDescent="0.25">
      <c r="D23" s="1937" t="s">
        <v>1182</v>
      </c>
      <c r="E23" s="1938"/>
      <c r="F23" s="1938"/>
      <c r="G23" s="1938"/>
      <c r="H23" s="1938"/>
      <c r="I23" s="1938"/>
      <c r="J23" s="1938"/>
      <c r="K23" s="1938"/>
      <c r="L23" s="1938"/>
      <c r="M23" s="1938"/>
      <c r="N23" s="1938"/>
      <c r="O23" s="1938"/>
      <c r="P23" s="1938"/>
      <c r="Q23" s="1938"/>
      <c r="R23" s="1938"/>
      <c r="S23" s="1938"/>
      <c r="T23" s="1938"/>
      <c r="U23" s="1939"/>
    </row>
    <row r="24" spans="1:24" x14ac:dyDescent="0.25">
      <c r="D24" s="20"/>
      <c r="E24" s="21"/>
      <c r="F24" s="21"/>
      <c r="G24" s="21"/>
      <c r="H24" s="21"/>
      <c r="I24" s="21"/>
      <c r="J24" s="21"/>
      <c r="K24" s="21"/>
      <c r="L24" s="21"/>
      <c r="M24" s="21"/>
      <c r="N24" s="21"/>
      <c r="O24" s="21"/>
      <c r="P24" s="21"/>
      <c r="Q24" s="21"/>
      <c r="R24" s="21"/>
      <c r="S24" s="21"/>
      <c r="T24" s="21"/>
      <c r="U24" s="22"/>
    </row>
    <row r="25" spans="1:24" ht="9" customHeight="1" x14ac:dyDescent="0.25">
      <c r="D25" s="1948" t="s">
        <v>1188</v>
      </c>
      <c r="E25" s="1948"/>
      <c r="F25" s="1948"/>
      <c r="G25" s="1949" t="s">
        <v>1189</v>
      </c>
      <c r="H25" s="1950"/>
      <c r="I25" s="1950"/>
      <c r="J25" s="1950"/>
      <c r="K25" s="1950"/>
      <c r="L25" s="1950"/>
      <c r="M25" s="1950"/>
      <c r="N25" s="1951"/>
      <c r="O25" s="1948" t="s">
        <v>1183</v>
      </c>
      <c r="P25" s="1948"/>
      <c r="Q25" s="1958" t="s">
        <v>1184</v>
      </c>
      <c r="R25" s="1958"/>
      <c r="S25" s="1958"/>
      <c r="T25" s="1958"/>
      <c r="U25" s="1958"/>
    </row>
    <row r="26" spans="1:24" ht="9" customHeight="1" x14ac:dyDescent="0.25">
      <c r="D26" s="1948"/>
      <c r="E26" s="1948"/>
      <c r="F26" s="1948"/>
      <c r="G26" s="1952"/>
      <c r="H26" s="1953"/>
      <c r="I26" s="1953"/>
      <c r="J26" s="1953"/>
      <c r="K26" s="1953"/>
      <c r="L26" s="1953"/>
      <c r="M26" s="1953"/>
      <c r="N26" s="1954"/>
      <c r="O26" s="1948"/>
      <c r="P26" s="1948"/>
      <c r="Q26" s="1958"/>
      <c r="R26" s="1958"/>
      <c r="S26" s="1958"/>
      <c r="T26" s="1958"/>
      <c r="U26" s="1958"/>
    </row>
    <row r="27" spans="1:24" x14ac:dyDescent="0.25">
      <c r="D27" s="1948"/>
      <c r="E27" s="1948"/>
      <c r="F27" s="1948"/>
      <c r="G27" s="1955"/>
      <c r="H27" s="1956"/>
      <c r="I27" s="1956"/>
      <c r="J27" s="1956"/>
      <c r="K27" s="1956"/>
      <c r="L27" s="1956"/>
      <c r="M27" s="1956"/>
      <c r="N27" s="1957"/>
      <c r="O27" s="1948"/>
      <c r="P27" s="1948"/>
      <c r="Q27" s="1958"/>
      <c r="R27" s="1958"/>
      <c r="S27" s="1958"/>
      <c r="T27" s="1958"/>
      <c r="U27" s="1958"/>
    </row>
    <row r="28" spans="1:24" ht="7.5" customHeight="1" x14ac:dyDescent="0.25">
      <c r="D28" s="58"/>
      <c r="E28" s="59"/>
      <c r="F28" s="60"/>
      <c r="G28" s="59"/>
      <c r="H28" s="59"/>
      <c r="I28" s="59"/>
      <c r="J28" s="59"/>
      <c r="K28" s="59"/>
      <c r="L28" s="59"/>
      <c r="M28" s="59"/>
      <c r="N28" s="59"/>
      <c r="O28" s="58"/>
      <c r="P28" s="60"/>
      <c r="Q28" s="61"/>
      <c r="R28" s="62"/>
      <c r="S28" s="62"/>
      <c r="T28" s="62"/>
      <c r="U28" s="63"/>
    </row>
    <row r="29" spans="1:24" ht="20.100000000000001" customHeight="1" x14ac:dyDescent="0.25">
      <c r="D29" s="71">
        <v>1</v>
      </c>
      <c r="E29" s="1926">
        <f>INFORMATIONS!B27</f>
        <v>0</v>
      </c>
      <c r="F29" s="1927"/>
      <c r="G29" s="22"/>
      <c r="H29" s="138">
        <f>INFORMATIONS!B26</f>
        <v>0</v>
      </c>
      <c r="I29" s="138"/>
      <c r="J29" s="138"/>
      <c r="K29" s="138"/>
      <c r="L29" s="138"/>
      <c r="M29" s="138"/>
      <c r="N29" s="20"/>
      <c r="O29" s="1961">
        <f>'COMPTE DE RESULTAT'!K15</f>
        <v>2041946745</v>
      </c>
      <c r="P29" s="1962"/>
      <c r="Q29" s="1924">
        <f>IF(O49=0,"",O29/O49)</f>
        <v>1</v>
      </c>
      <c r="R29" s="1924"/>
      <c r="S29" s="1924"/>
      <c r="T29" s="1924"/>
      <c r="U29" s="1925"/>
    </row>
    <row r="30" spans="1:24" s="21" customFormat="1" ht="3" customHeight="1" x14ac:dyDescent="0.25">
      <c r="A30" s="85"/>
      <c r="B30" s="85"/>
      <c r="C30" s="85"/>
      <c r="D30" s="129"/>
      <c r="E30" s="136"/>
      <c r="F30" s="137"/>
      <c r="G30" s="52"/>
      <c r="H30" s="139"/>
      <c r="I30" s="139"/>
      <c r="J30" s="139"/>
      <c r="K30" s="139"/>
      <c r="L30" s="139"/>
      <c r="M30" s="139"/>
      <c r="N30" s="52"/>
      <c r="O30" s="140"/>
      <c r="P30" s="141"/>
      <c r="Q30" s="67"/>
      <c r="R30" s="67"/>
      <c r="S30" s="67"/>
      <c r="T30" s="67"/>
      <c r="U30" s="68"/>
      <c r="V30" s="85"/>
      <c r="W30" s="85"/>
      <c r="X30" s="85"/>
    </row>
    <row r="31" spans="1:24" ht="20.100000000000001" customHeight="1" x14ac:dyDescent="0.25">
      <c r="D31" s="71">
        <v>2</v>
      </c>
      <c r="E31" s="1928"/>
      <c r="F31" s="1929"/>
      <c r="G31" s="22"/>
      <c r="H31" s="138"/>
      <c r="I31" s="138"/>
      <c r="J31" s="138"/>
      <c r="K31" s="138"/>
      <c r="L31" s="138"/>
      <c r="M31" s="138"/>
      <c r="N31" s="20"/>
      <c r="O31" s="1930"/>
      <c r="P31" s="1931"/>
      <c r="Q31" s="1924">
        <f>IF(O49=0,"",O31/O49)</f>
        <v>0</v>
      </c>
      <c r="R31" s="1924"/>
      <c r="S31" s="1924"/>
      <c r="T31" s="1924"/>
      <c r="U31" s="1925"/>
    </row>
    <row r="32" spans="1:24" s="21" customFormat="1" ht="3" customHeight="1" x14ac:dyDescent="0.25">
      <c r="A32" s="85"/>
      <c r="B32" s="85"/>
      <c r="C32" s="85"/>
      <c r="D32" s="129"/>
      <c r="E32" s="136"/>
      <c r="F32" s="137"/>
      <c r="G32" s="52"/>
      <c r="H32" s="139"/>
      <c r="I32" s="139"/>
      <c r="J32" s="139"/>
      <c r="K32" s="139"/>
      <c r="L32" s="139"/>
      <c r="M32" s="139"/>
      <c r="N32" s="52"/>
      <c r="O32" s="140"/>
      <c r="P32" s="141"/>
      <c r="Q32" s="67"/>
      <c r="R32" s="67"/>
      <c r="S32" s="67"/>
      <c r="T32" s="67"/>
      <c r="U32" s="68"/>
      <c r="V32" s="85"/>
      <c r="W32" s="85"/>
      <c r="X32" s="85"/>
    </row>
    <row r="33" spans="1:24" ht="20.100000000000001" customHeight="1" x14ac:dyDescent="0.25">
      <c r="D33" s="71">
        <v>3</v>
      </c>
      <c r="E33" s="1928"/>
      <c r="F33" s="1929"/>
      <c r="G33" s="22"/>
      <c r="H33" s="138"/>
      <c r="I33" s="138"/>
      <c r="J33" s="138"/>
      <c r="K33" s="138"/>
      <c r="L33" s="138"/>
      <c r="M33" s="138"/>
      <c r="N33" s="20"/>
      <c r="O33" s="1930"/>
      <c r="P33" s="1931"/>
      <c r="Q33" s="1924">
        <f>IF(O49=0,"",O33/O49)</f>
        <v>0</v>
      </c>
      <c r="R33" s="1924"/>
      <c r="S33" s="1924"/>
      <c r="T33" s="1924"/>
      <c r="U33" s="1925"/>
    </row>
    <row r="34" spans="1:24" s="52" customFormat="1" ht="3" customHeight="1" x14ac:dyDescent="0.25">
      <c r="A34" s="87"/>
      <c r="B34" s="87"/>
      <c r="C34" s="87"/>
      <c r="D34" s="129"/>
      <c r="E34" s="136"/>
      <c r="F34" s="137"/>
      <c r="H34" s="139"/>
      <c r="I34" s="139"/>
      <c r="J34" s="139"/>
      <c r="K34" s="139"/>
      <c r="L34" s="139"/>
      <c r="M34" s="139"/>
      <c r="O34" s="140"/>
      <c r="P34" s="141"/>
      <c r="Q34" s="67"/>
      <c r="R34" s="67"/>
      <c r="S34" s="67"/>
      <c r="T34" s="67"/>
      <c r="U34" s="68"/>
      <c r="V34" s="87"/>
      <c r="W34" s="87"/>
      <c r="X34" s="87"/>
    </row>
    <row r="35" spans="1:24" ht="20.100000000000001" customHeight="1" x14ac:dyDescent="0.25">
      <c r="D35" s="71">
        <v>4</v>
      </c>
      <c r="E35" s="1928"/>
      <c r="F35" s="1929"/>
      <c r="G35" s="22"/>
      <c r="H35" s="138"/>
      <c r="I35" s="138"/>
      <c r="J35" s="138"/>
      <c r="K35" s="138"/>
      <c r="L35" s="138"/>
      <c r="M35" s="138"/>
      <c r="N35" s="20"/>
      <c r="O35" s="1930"/>
      <c r="P35" s="1931"/>
      <c r="Q35" s="1924"/>
      <c r="R35" s="1924"/>
      <c r="S35" s="1924"/>
      <c r="T35" s="1924"/>
      <c r="U35" s="1925"/>
    </row>
    <row r="36" spans="1:24" s="21" customFormat="1" ht="3" customHeight="1" x14ac:dyDescent="0.25">
      <c r="A36" s="85"/>
      <c r="B36" s="85"/>
      <c r="C36" s="85"/>
      <c r="D36" s="129"/>
      <c r="E36" s="136"/>
      <c r="F36" s="137"/>
      <c r="G36" s="52"/>
      <c r="H36" s="139"/>
      <c r="I36" s="139"/>
      <c r="J36" s="139"/>
      <c r="K36" s="139"/>
      <c r="L36" s="139"/>
      <c r="M36" s="139"/>
      <c r="N36" s="52"/>
      <c r="O36" s="140"/>
      <c r="P36" s="141"/>
      <c r="Q36" s="67"/>
      <c r="R36" s="67"/>
      <c r="S36" s="67"/>
      <c r="T36" s="67"/>
      <c r="U36" s="68"/>
      <c r="V36" s="85"/>
      <c r="W36" s="85"/>
      <c r="X36" s="85"/>
    </row>
    <row r="37" spans="1:24" ht="20.100000000000001" customHeight="1" x14ac:dyDescent="0.25">
      <c r="D37" s="71">
        <v>5</v>
      </c>
      <c r="E37" s="1928"/>
      <c r="F37" s="1929"/>
      <c r="G37" s="22"/>
      <c r="H37" s="138"/>
      <c r="I37" s="138"/>
      <c r="J37" s="138"/>
      <c r="K37" s="138"/>
      <c r="L37" s="138"/>
      <c r="M37" s="138"/>
      <c r="N37" s="20"/>
      <c r="O37" s="1930"/>
      <c r="P37" s="1931"/>
      <c r="Q37" s="1924"/>
      <c r="R37" s="1924"/>
      <c r="S37" s="1924"/>
      <c r="T37" s="1924"/>
      <c r="U37" s="1925"/>
    </row>
    <row r="38" spans="1:24" s="52" customFormat="1" ht="3" customHeight="1" x14ac:dyDescent="0.25">
      <c r="A38" s="87"/>
      <c r="B38" s="87"/>
      <c r="C38" s="87"/>
      <c r="D38" s="129"/>
      <c r="E38" s="136"/>
      <c r="F38" s="137"/>
      <c r="H38" s="139"/>
      <c r="I38" s="139"/>
      <c r="J38" s="139"/>
      <c r="K38" s="139"/>
      <c r="L38" s="139"/>
      <c r="M38" s="139"/>
      <c r="O38" s="140"/>
      <c r="P38" s="141"/>
      <c r="Q38" s="67"/>
      <c r="R38" s="67"/>
      <c r="S38" s="67"/>
      <c r="T38" s="67"/>
      <c r="U38" s="68"/>
      <c r="V38" s="87"/>
      <c r="W38" s="87"/>
      <c r="X38" s="87"/>
    </row>
    <row r="39" spans="1:24" ht="20.100000000000001" customHeight="1" x14ac:dyDescent="0.25">
      <c r="D39" s="71">
        <v>6</v>
      </c>
      <c r="E39" s="1928"/>
      <c r="F39" s="1929"/>
      <c r="G39" s="22"/>
      <c r="H39" s="138"/>
      <c r="I39" s="138"/>
      <c r="J39" s="138"/>
      <c r="K39" s="138"/>
      <c r="L39" s="138"/>
      <c r="M39" s="138"/>
      <c r="N39" s="20"/>
      <c r="O39" s="1930"/>
      <c r="P39" s="1931"/>
      <c r="Q39" s="1924"/>
      <c r="R39" s="1924"/>
      <c r="S39" s="1924"/>
      <c r="T39" s="1924"/>
      <c r="U39" s="1925"/>
    </row>
    <row r="40" spans="1:24" s="52" customFormat="1" ht="3" customHeight="1" x14ac:dyDescent="0.25">
      <c r="A40" s="87"/>
      <c r="B40" s="87"/>
      <c r="C40" s="87"/>
      <c r="D40" s="129"/>
      <c r="E40" s="136"/>
      <c r="F40" s="137"/>
      <c r="H40" s="139"/>
      <c r="I40" s="139"/>
      <c r="J40" s="139"/>
      <c r="K40" s="139"/>
      <c r="L40" s="139"/>
      <c r="M40" s="139"/>
      <c r="O40" s="140"/>
      <c r="P40" s="141"/>
      <c r="Q40" s="67"/>
      <c r="R40" s="67"/>
      <c r="S40" s="67"/>
      <c r="T40" s="67"/>
      <c r="U40" s="68"/>
      <c r="V40" s="87"/>
      <c r="W40" s="87"/>
      <c r="X40" s="87"/>
    </row>
    <row r="41" spans="1:24" ht="20.100000000000001" customHeight="1" x14ac:dyDescent="0.25">
      <c r="D41" s="71">
        <v>7</v>
      </c>
      <c r="E41" s="1928"/>
      <c r="F41" s="1929"/>
      <c r="G41" s="22"/>
      <c r="H41" s="138"/>
      <c r="I41" s="138"/>
      <c r="J41" s="138"/>
      <c r="K41" s="138"/>
      <c r="L41" s="138"/>
      <c r="M41" s="138"/>
      <c r="N41" s="20"/>
      <c r="O41" s="1930"/>
      <c r="P41" s="1931"/>
      <c r="Q41" s="1924"/>
      <c r="R41" s="1924"/>
      <c r="S41" s="1924"/>
      <c r="T41" s="1924"/>
      <c r="U41" s="1925"/>
    </row>
    <row r="42" spans="1:24" s="52" customFormat="1" ht="3" customHeight="1" x14ac:dyDescent="0.25">
      <c r="A42" s="87"/>
      <c r="B42" s="87"/>
      <c r="C42" s="87"/>
      <c r="D42" s="129"/>
      <c r="E42" s="136"/>
      <c r="F42" s="137"/>
      <c r="H42" s="139"/>
      <c r="I42" s="139"/>
      <c r="J42" s="139"/>
      <c r="K42" s="139"/>
      <c r="L42" s="139"/>
      <c r="M42" s="139"/>
      <c r="O42" s="140"/>
      <c r="P42" s="141"/>
      <c r="Q42" s="67"/>
      <c r="R42" s="67"/>
      <c r="S42" s="67"/>
      <c r="T42" s="67"/>
      <c r="U42" s="68"/>
      <c r="V42" s="87"/>
      <c r="W42" s="87"/>
      <c r="X42" s="87"/>
    </row>
    <row r="43" spans="1:24" ht="20.100000000000001" customHeight="1" x14ac:dyDescent="0.25">
      <c r="D43" s="71">
        <v>8</v>
      </c>
      <c r="E43" s="1928"/>
      <c r="F43" s="1929"/>
      <c r="G43" s="22"/>
      <c r="H43" s="138"/>
      <c r="I43" s="138"/>
      <c r="J43" s="138"/>
      <c r="K43" s="138"/>
      <c r="L43" s="138"/>
      <c r="M43" s="138"/>
      <c r="N43" s="20"/>
      <c r="O43" s="1930"/>
      <c r="P43" s="1931"/>
      <c r="Q43" s="1924"/>
      <c r="R43" s="1924"/>
      <c r="S43" s="1924"/>
      <c r="T43" s="1924"/>
      <c r="U43" s="1925"/>
    </row>
    <row r="44" spans="1:24" s="52" customFormat="1" ht="3" customHeight="1" x14ac:dyDescent="0.25">
      <c r="A44" s="87"/>
      <c r="B44" s="87"/>
      <c r="C44" s="87"/>
      <c r="D44" s="129"/>
      <c r="E44" s="136"/>
      <c r="F44" s="137"/>
      <c r="H44" s="139"/>
      <c r="I44" s="139"/>
      <c r="J44" s="139"/>
      <c r="K44" s="139"/>
      <c r="L44" s="139"/>
      <c r="M44" s="139"/>
      <c r="O44" s="140"/>
      <c r="P44" s="141"/>
      <c r="Q44" s="67"/>
      <c r="R44" s="67"/>
      <c r="S44" s="67"/>
      <c r="T44" s="67"/>
      <c r="U44" s="68"/>
      <c r="V44" s="87"/>
      <c r="W44" s="87"/>
      <c r="X44" s="87"/>
    </row>
    <row r="45" spans="1:24" ht="20.100000000000001" customHeight="1" x14ac:dyDescent="0.25">
      <c r="D45" s="71">
        <v>9</v>
      </c>
      <c r="E45" s="1928"/>
      <c r="F45" s="1929"/>
      <c r="G45" s="22"/>
      <c r="H45" s="138"/>
      <c r="I45" s="138"/>
      <c r="J45" s="138"/>
      <c r="K45" s="138"/>
      <c r="L45" s="138"/>
      <c r="M45" s="138"/>
      <c r="N45" s="20"/>
      <c r="O45" s="1930"/>
      <c r="P45" s="1931"/>
      <c r="Q45" s="1924"/>
      <c r="R45" s="1924"/>
      <c r="S45" s="1924"/>
      <c r="T45" s="1924"/>
      <c r="U45" s="1925"/>
    </row>
    <row r="46" spans="1:24" s="52" customFormat="1" ht="3" customHeight="1" x14ac:dyDescent="0.25">
      <c r="A46" s="87"/>
      <c r="B46" s="87"/>
      <c r="C46" s="87"/>
      <c r="D46" s="129"/>
      <c r="E46" s="136"/>
      <c r="F46" s="137"/>
      <c r="H46" s="139"/>
      <c r="I46" s="139"/>
      <c r="J46" s="139"/>
      <c r="K46" s="139"/>
      <c r="L46" s="139"/>
      <c r="M46" s="139"/>
      <c r="O46" s="140"/>
      <c r="P46" s="141"/>
      <c r="Q46" s="67"/>
      <c r="R46" s="67"/>
      <c r="S46" s="67"/>
      <c r="T46" s="67"/>
      <c r="U46" s="68"/>
      <c r="V46" s="87"/>
      <c r="W46" s="87"/>
      <c r="X46" s="87"/>
    </row>
    <row r="47" spans="1:24" ht="20.100000000000001" customHeight="1" x14ac:dyDescent="0.25">
      <c r="D47" s="71">
        <v>10</v>
      </c>
      <c r="E47" s="1928"/>
      <c r="F47" s="1929"/>
      <c r="G47" s="66"/>
      <c r="H47" s="138"/>
      <c r="I47" s="138"/>
      <c r="J47" s="138"/>
      <c r="K47" s="138"/>
      <c r="L47" s="138"/>
      <c r="M47" s="138"/>
      <c r="N47" s="20"/>
      <c r="O47" s="1930"/>
      <c r="P47" s="1931"/>
      <c r="Q47" s="1924"/>
      <c r="R47" s="1924"/>
      <c r="S47" s="1924"/>
      <c r="T47" s="1924"/>
      <c r="U47" s="1925"/>
    </row>
    <row r="48" spans="1:24" s="52" customFormat="1" ht="3" customHeight="1" x14ac:dyDescent="0.25">
      <c r="A48" s="87"/>
      <c r="B48" s="87"/>
      <c r="C48" s="87"/>
      <c r="D48" s="51"/>
      <c r="F48" s="53"/>
      <c r="O48" s="64"/>
      <c r="P48" s="65"/>
      <c r="U48" s="53"/>
      <c r="V48" s="87"/>
      <c r="W48" s="87"/>
      <c r="X48" s="87"/>
    </row>
    <row r="49" spans="4:16384" x14ac:dyDescent="0.25">
      <c r="D49" s="1940"/>
      <c r="E49" s="1941"/>
      <c r="F49" s="1942"/>
      <c r="G49" s="1943" t="s">
        <v>262</v>
      </c>
      <c r="H49" s="1944"/>
      <c r="I49" s="1944"/>
      <c r="J49" s="1944"/>
      <c r="K49" s="1944"/>
      <c r="L49" s="1944"/>
      <c r="M49" s="1944"/>
      <c r="N49" s="1945"/>
      <c r="O49" s="1959">
        <f>SUM(O29:P47)</f>
        <v>2041946745</v>
      </c>
      <c r="P49" s="1960"/>
      <c r="Q49" s="1946">
        <f>SUM(Q29:U47)</f>
        <v>1</v>
      </c>
      <c r="R49" s="1947"/>
      <c r="S49" s="1947"/>
      <c r="T49" s="1947"/>
      <c r="U49" s="1947"/>
    </row>
    <row r="50" spans="4:16384" x14ac:dyDescent="0.25">
      <c r="D50" s="129"/>
      <c r="E50" s="130"/>
      <c r="F50" s="130"/>
      <c r="G50" s="127"/>
      <c r="H50" s="127"/>
      <c r="I50" s="127"/>
      <c r="J50" s="127"/>
      <c r="K50" s="127"/>
      <c r="L50" s="127"/>
      <c r="M50" s="127"/>
      <c r="N50" s="127"/>
      <c r="O50" s="72"/>
      <c r="P50" s="72"/>
      <c r="Q50" s="73"/>
      <c r="R50" s="127"/>
      <c r="S50" s="127"/>
      <c r="T50" s="127"/>
      <c r="U50" s="128"/>
    </row>
    <row r="51" spans="4:16384" x14ac:dyDescent="0.25">
      <c r="D51" s="129"/>
      <c r="E51" s="130"/>
      <c r="F51" s="130"/>
      <c r="G51" s="127"/>
      <c r="H51" s="127"/>
      <c r="I51" s="127"/>
      <c r="J51" s="127"/>
      <c r="K51" s="127"/>
      <c r="L51" s="127"/>
      <c r="M51" s="127"/>
      <c r="N51" s="127"/>
      <c r="O51" s="72"/>
      <c r="P51" s="72"/>
      <c r="Q51" s="73"/>
      <c r="R51" s="127"/>
      <c r="S51" s="127"/>
      <c r="T51" s="127"/>
      <c r="U51" s="128"/>
    </row>
    <row r="52" spans="4:16384" ht="17.25" x14ac:dyDescent="0.25">
      <c r="D52" s="74" t="s">
        <v>1186</v>
      </c>
      <c r="E52" s="21"/>
      <c r="F52" s="21"/>
      <c r="G52" s="21"/>
      <c r="H52" s="21"/>
      <c r="I52" s="21"/>
      <c r="J52" s="21"/>
      <c r="K52" s="21"/>
      <c r="L52" s="21"/>
      <c r="M52" s="21"/>
      <c r="N52" s="21"/>
      <c r="O52" s="21"/>
      <c r="P52" s="21"/>
      <c r="Q52" s="21"/>
      <c r="R52" s="21"/>
      <c r="S52" s="21"/>
      <c r="T52" s="21"/>
      <c r="U52" s="22"/>
    </row>
    <row r="53" spans="4:16384" x14ac:dyDescent="0.25">
      <c r="D53" s="74"/>
      <c r="E53" s="21"/>
      <c r="F53" s="21"/>
      <c r="G53" s="21"/>
      <c r="H53" s="21"/>
      <c r="I53" s="21"/>
      <c r="J53" s="21"/>
      <c r="K53" s="21"/>
      <c r="L53" s="21"/>
      <c r="M53" s="21"/>
      <c r="N53" s="21"/>
      <c r="O53" s="21"/>
      <c r="P53" s="21"/>
      <c r="Q53" s="21"/>
      <c r="R53" s="21"/>
      <c r="S53" s="21"/>
      <c r="T53" s="21"/>
      <c r="U53" s="22"/>
    </row>
    <row r="54" spans="4:16384" ht="17.25" x14ac:dyDescent="0.25">
      <c r="D54" s="74" t="s">
        <v>1187</v>
      </c>
      <c r="E54" s="21"/>
      <c r="F54" s="21"/>
      <c r="G54" s="21"/>
      <c r="H54" s="21"/>
      <c r="I54" s="21"/>
      <c r="J54" s="21"/>
      <c r="K54" s="21"/>
      <c r="L54" s="21"/>
      <c r="M54" s="21"/>
      <c r="N54" s="21"/>
      <c r="O54" s="21"/>
      <c r="P54" s="21"/>
      <c r="Q54" s="21"/>
      <c r="R54" s="21"/>
      <c r="S54" s="21"/>
      <c r="T54" s="21"/>
      <c r="U54" s="22"/>
    </row>
    <row r="55" spans="4:16384" x14ac:dyDescent="0.25">
      <c r="D55" s="20"/>
      <c r="E55" s="21"/>
      <c r="F55" s="21"/>
      <c r="G55" s="21"/>
      <c r="H55" s="21"/>
      <c r="I55" s="21"/>
      <c r="J55" s="21"/>
      <c r="K55" s="21"/>
      <c r="L55" s="21"/>
      <c r="M55" s="21"/>
      <c r="N55" s="21"/>
      <c r="O55" s="21"/>
      <c r="P55" s="21"/>
      <c r="Q55" s="21"/>
      <c r="R55" s="21"/>
      <c r="S55" s="21"/>
      <c r="T55" s="21"/>
      <c r="U55" s="2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82"/>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82"/>
      <c r="JY55" s="82"/>
      <c r="JZ55" s="82"/>
      <c r="KA55" s="82"/>
      <c r="KB55" s="82"/>
      <c r="KC55" s="82"/>
      <c r="KD55" s="82"/>
      <c r="KE55" s="82"/>
      <c r="KF55" s="82"/>
      <c r="KG55" s="82"/>
      <c r="KH55" s="82"/>
      <c r="KI55" s="82"/>
      <c r="KJ55" s="82"/>
      <c r="KK55" s="82"/>
      <c r="KL55" s="82"/>
      <c r="KM55" s="82"/>
      <c r="KN55" s="82"/>
      <c r="KO55" s="82"/>
      <c r="KP55" s="82"/>
      <c r="KQ55" s="82"/>
      <c r="KR55" s="82"/>
      <c r="KS55" s="82"/>
      <c r="KT55" s="82"/>
      <c r="KU55" s="82"/>
      <c r="KV55" s="82"/>
      <c r="KW55" s="82"/>
      <c r="KX55" s="82"/>
      <c r="KY55" s="82"/>
      <c r="KZ55" s="82"/>
      <c r="LA55" s="82"/>
      <c r="LB55" s="82"/>
      <c r="LC55" s="82"/>
      <c r="LD55" s="82"/>
      <c r="LE55" s="82"/>
      <c r="LF55" s="82"/>
      <c r="LG55" s="82"/>
      <c r="LH55" s="82"/>
      <c r="LI55" s="82"/>
      <c r="LJ55" s="82"/>
      <c r="LK55" s="82"/>
      <c r="LL55" s="82"/>
      <c r="LM55" s="82"/>
      <c r="LN55" s="82"/>
      <c r="LO55" s="82"/>
      <c r="LP55" s="82"/>
      <c r="LQ55" s="82"/>
      <c r="LR55" s="82"/>
      <c r="LS55" s="82"/>
      <c r="LT55" s="82"/>
      <c r="LU55" s="82"/>
      <c r="LV55" s="82"/>
      <c r="LW55" s="82"/>
      <c r="LX55" s="82"/>
      <c r="LY55" s="82"/>
      <c r="LZ55" s="82"/>
      <c r="MA55" s="82"/>
      <c r="MB55" s="82"/>
      <c r="MC55" s="82"/>
      <c r="MD55" s="82"/>
      <c r="ME55" s="82"/>
      <c r="MF55" s="82"/>
      <c r="MG55" s="82"/>
      <c r="MH55" s="82"/>
      <c r="MI55" s="82"/>
      <c r="MJ55" s="82"/>
      <c r="MK55" s="82"/>
      <c r="ML55" s="82"/>
      <c r="MM55" s="82"/>
      <c r="MN55" s="82"/>
      <c r="MO55" s="82"/>
      <c r="MP55" s="82"/>
      <c r="MQ55" s="82"/>
      <c r="MR55" s="82"/>
      <c r="MS55" s="82"/>
      <c r="MT55" s="82"/>
      <c r="MU55" s="82"/>
      <c r="MV55" s="82"/>
      <c r="MW55" s="82"/>
      <c r="MX55" s="82"/>
      <c r="MY55" s="82"/>
      <c r="MZ55" s="82"/>
      <c r="NA55" s="82"/>
      <c r="NB55" s="82"/>
      <c r="NC55" s="82"/>
      <c r="ND55" s="82"/>
      <c r="NE55" s="82"/>
      <c r="NF55" s="82"/>
      <c r="NG55" s="82"/>
      <c r="NH55" s="82"/>
      <c r="NI55" s="82"/>
      <c r="NJ55" s="82"/>
      <c r="NK55" s="82"/>
      <c r="NL55" s="82"/>
      <c r="NM55" s="82"/>
      <c r="NN55" s="82"/>
      <c r="NO55" s="82"/>
      <c r="NP55" s="82"/>
      <c r="NQ55" s="82"/>
      <c r="NR55" s="82"/>
      <c r="NS55" s="82"/>
      <c r="NT55" s="82"/>
      <c r="NU55" s="82"/>
      <c r="NV55" s="82"/>
      <c r="NW55" s="82"/>
      <c r="NX55" s="82"/>
      <c r="NY55" s="82"/>
      <c r="NZ55" s="82"/>
      <c r="OA55" s="82"/>
      <c r="OB55" s="82"/>
      <c r="OC55" s="82"/>
      <c r="OD55" s="82"/>
      <c r="OE55" s="82"/>
      <c r="OF55" s="82"/>
      <c r="OG55" s="82"/>
      <c r="OH55" s="82"/>
      <c r="OI55" s="82"/>
      <c r="OJ55" s="82"/>
      <c r="OK55" s="82"/>
      <c r="OL55" s="82"/>
      <c r="OM55" s="82"/>
      <c r="ON55" s="82"/>
      <c r="OO55" s="82"/>
      <c r="OP55" s="82"/>
      <c r="OQ55" s="82"/>
      <c r="OR55" s="82"/>
      <c r="OS55" s="82"/>
      <c r="OT55" s="82"/>
      <c r="OU55" s="82"/>
      <c r="OV55" s="82"/>
      <c r="OW55" s="82"/>
      <c r="OX55" s="82"/>
      <c r="OY55" s="82"/>
      <c r="OZ55" s="82"/>
      <c r="PA55" s="82"/>
      <c r="PB55" s="82"/>
      <c r="PC55" s="82"/>
      <c r="PD55" s="82"/>
      <c r="PE55" s="82"/>
      <c r="PF55" s="82"/>
      <c r="PG55" s="82"/>
      <c r="PH55" s="82"/>
      <c r="PI55" s="82"/>
      <c r="PJ55" s="82"/>
      <c r="PK55" s="82"/>
      <c r="PL55" s="82"/>
      <c r="PM55" s="82"/>
      <c r="PN55" s="82"/>
      <c r="PO55" s="82"/>
      <c r="PP55" s="82"/>
      <c r="PQ55" s="82"/>
      <c r="PR55" s="82"/>
      <c r="PS55" s="82"/>
      <c r="PT55" s="82"/>
      <c r="PU55" s="82"/>
      <c r="PV55" s="82"/>
      <c r="PW55" s="82"/>
      <c r="PX55" s="82"/>
      <c r="PY55" s="82"/>
      <c r="PZ55" s="82"/>
      <c r="QA55" s="82"/>
      <c r="QB55" s="82"/>
      <c r="QC55" s="82"/>
      <c r="QD55" s="82"/>
      <c r="QE55" s="82"/>
      <c r="QF55" s="82"/>
      <c r="QG55" s="82"/>
      <c r="QH55" s="82"/>
      <c r="QI55" s="82"/>
      <c r="QJ55" s="82"/>
      <c r="QK55" s="82"/>
      <c r="QL55" s="82"/>
      <c r="QM55" s="82"/>
      <c r="QN55" s="82"/>
      <c r="QO55" s="82"/>
      <c r="QP55" s="82"/>
      <c r="QQ55" s="82"/>
      <c r="QR55" s="82"/>
      <c r="QS55" s="82"/>
      <c r="QT55" s="82"/>
      <c r="QU55" s="82"/>
      <c r="QV55" s="82"/>
      <c r="QW55" s="82"/>
      <c r="QX55" s="82"/>
      <c r="QY55" s="82"/>
      <c r="QZ55" s="82"/>
      <c r="RA55" s="82"/>
      <c r="RB55" s="82"/>
      <c r="RC55" s="82"/>
      <c r="RD55" s="82"/>
      <c r="RE55" s="82"/>
      <c r="RF55" s="82"/>
      <c r="RG55" s="82"/>
      <c r="RH55" s="82"/>
      <c r="RI55" s="82"/>
      <c r="RJ55" s="82"/>
      <c r="RK55" s="82"/>
      <c r="RL55" s="82"/>
      <c r="RM55" s="82"/>
      <c r="RN55" s="82"/>
      <c r="RO55" s="82"/>
      <c r="RP55" s="82"/>
      <c r="RQ55" s="82"/>
      <c r="RR55" s="82"/>
      <c r="RS55" s="82"/>
      <c r="RT55" s="82"/>
      <c r="RU55" s="82"/>
      <c r="RV55" s="82"/>
      <c r="RW55" s="82"/>
      <c r="RX55" s="82"/>
      <c r="RY55" s="82"/>
      <c r="RZ55" s="82"/>
      <c r="SA55" s="82"/>
      <c r="SB55" s="82"/>
      <c r="SC55" s="82"/>
      <c r="SD55" s="82"/>
      <c r="SE55" s="82"/>
      <c r="SF55" s="82"/>
      <c r="SG55" s="82"/>
      <c r="SH55" s="82"/>
      <c r="SI55" s="82"/>
      <c r="SJ55" s="82"/>
      <c r="SK55" s="82"/>
      <c r="SL55" s="82"/>
      <c r="SM55" s="82"/>
      <c r="SN55" s="82"/>
      <c r="SO55" s="82"/>
      <c r="SP55" s="82"/>
      <c r="SQ55" s="82"/>
      <c r="SR55" s="82"/>
      <c r="SS55" s="82"/>
      <c r="ST55" s="82"/>
      <c r="SU55" s="82"/>
      <c r="SV55" s="82"/>
      <c r="SW55" s="82"/>
      <c r="SX55" s="82"/>
      <c r="SY55" s="82"/>
      <c r="SZ55" s="82"/>
      <c r="TA55" s="82"/>
      <c r="TB55" s="82"/>
      <c r="TC55" s="82"/>
      <c r="TD55" s="82"/>
      <c r="TE55" s="82"/>
      <c r="TF55" s="82"/>
      <c r="TG55" s="82"/>
      <c r="TH55" s="82"/>
      <c r="TI55" s="82"/>
      <c r="TJ55" s="82"/>
      <c r="TK55" s="82"/>
      <c r="TL55" s="82"/>
      <c r="TM55" s="82"/>
      <c r="TN55" s="82"/>
      <c r="TO55" s="82"/>
      <c r="TP55" s="82"/>
      <c r="TQ55" s="82"/>
      <c r="TR55" s="82"/>
      <c r="TS55" s="82"/>
      <c r="TT55" s="82"/>
      <c r="TU55" s="82"/>
      <c r="TV55" s="82"/>
      <c r="TW55" s="82"/>
      <c r="TX55" s="82"/>
      <c r="TY55" s="82"/>
      <c r="TZ55" s="82"/>
      <c r="UA55" s="82"/>
      <c r="UB55" s="82"/>
      <c r="UC55" s="82"/>
      <c r="UD55" s="82"/>
      <c r="UE55" s="82"/>
      <c r="UF55" s="82"/>
      <c r="UG55" s="82"/>
      <c r="UH55" s="82"/>
      <c r="UI55" s="82"/>
      <c r="UJ55" s="82"/>
      <c r="UK55" s="82"/>
      <c r="UL55" s="82"/>
      <c r="UM55" s="82"/>
      <c r="UN55" s="82"/>
      <c r="UO55" s="82"/>
      <c r="UP55" s="82"/>
      <c r="UQ55" s="82"/>
      <c r="UR55" s="82"/>
      <c r="US55" s="82"/>
      <c r="UT55" s="82"/>
      <c r="UU55" s="82"/>
      <c r="UV55" s="82"/>
      <c r="UW55" s="82"/>
      <c r="UX55" s="82"/>
      <c r="UY55" s="82"/>
      <c r="UZ55" s="82"/>
      <c r="VA55" s="82"/>
      <c r="VB55" s="82"/>
      <c r="VC55" s="82"/>
      <c r="VD55" s="82"/>
      <c r="VE55" s="82"/>
      <c r="VF55" s="82"/>
      <c r="VG55" s="82"/>
      <c r="VH55" s="82"/>
      <c r="VI55" s="82"/>
      <c r="VJ55" s="82"/>
      <c r="VK55" s="82"/>
      <c r="VL55" s="82"/>
      <c r="VM55" s="82"/>
      <c r="VN55" s="82"/>
      <c r="VO55" s="82"/>
      <c r="VP55" s="82"/>
      <c r="VQ55" s="82"/>
      <c r="VR55" s="82"/>
      <c r="VS55" s="82"/>
      <c r="VT55" s="82"/>
      <c r="VU55" s="82"/>
      <c r="VV55" s="82"/>
      <c r="VW55" s="82"/>
      <c r="VX55" s="82"/>
      <c r="VY55" s="82"/>
      <c r="VZ55" s="82"/>
      <c r="WA55" s="82"/>
      <c r="WB55" s="82"/>
      <c r="WC55" s="82"/>
      <c r="WD55" s="82"/>
      <c r="WE55" s="82"/>
      <c r="WF55" s="82"/>
      <c r="WG55" s="82"/>
      <c r="WH55" s="82"/>
      <c r="WI55" s="82"/>
      <c r="WJ55" s="82"/>
      <c r="WK55" s="82"/>
      <c r="WL55" s="82"/>
      <c r="WM55" s="82"/>
      <c r="WN55" s="82"/>
      <c r="WO55" s="82"/>
      <c r="WP55" s="82"/>
      <c r="WQ55" s="82"/>
      <c r="WR55" s="82"/>
      <c r="WS55" s="82"/>
      <c r="WT55" s="82"/>
      <c r="WU55" s="82"/>
      <c r="WV55" s="82"/>
      <c r="WW55" s="82"/>
      <c r="WX55" s="82"/>
      <c r="WY55" s="82"/>
      <c r="WZ55" s="82"/>
      <c r="XA55" s="82"/>
      <c r="XB55" s="82"/>
      <c r="XC55" s="82"/>
      <c r="XD55" s="82"/>
      <c r="XE55" s="82"/>
      <c r="XF55" s="82"/>
      <c r="XG55" s="82"/>
      <c r="XH55" s="82"/>
      <c r="XI55" s="82"/>
      <c r="XJ55" s="82"/>
      <c r="XK55" s="82"/>
      <c r="XL55" s="82"/>
      <c r="XM55" s="82"/>
      <c r="XN55" s="82"/>
      <c r="XO55" s="82"/>
      <c r="XP55" s="82"/>
      <c r="XQ55" s="82"/>
      <c r="XR55" s="82"/>
      <c r="XS55" s="82"/>
      <c r="XT55" s="82"/>
      <c r="XU55" s="82"/>
      <c r="XV55" s="82"/>
      <c r="XW55" s="82"/>
      <c r="XX55" s="82"/>
      <c r="XY55" s="82"/>
      <c r="XZ55" s="82"/>
      <c r="YA55" s="82"/>
      <c r="YB55" s="82"/>
      <c r="YC55" s="82"/>
      <c r="YD55" s="82"/>
      <c r="YE55" s="82"/>
      <c r="YF55" s="82"/>
      <c r="YG55" s="82"/>
      <c r="YH55" s="82"/>
      <c r="YI55" s="82"/>
      <c r="YJ55" s="82"/>
      <c r="YK55" s="82"/>
      <c r="YL55" s="82"/>
      <c r="YM55" s="82"/>
      <c r="YN55" s="82"/>
      <c r="YO55" s="82"/>
      <c r="YP55" s="82"/>
      <c r="YQ55" s="82"/>
      <c r="YR55" s="82"/>
      <c r="YS55" s="82"/>
      <c r="YT55" s="82"/>
      <c r="YU55" s="82"/>
      <c r="YV55" s="82"/>
      <c r="YW55" s="82"/>
      <c r="YX55" s="82"/>
      <c r="YY55" s="82"/>
      <c r="YZ55" s="82"/>
      <c r="ZA55" s="82"/>
      <c r="ZB55" s="82"/>
      <c r="ZC55" s="82"/>
      <c r="ZD55" s="82"/>
      <c r="ZE55" s="82"/>
      <c r="ZF55" s="82"/>
      <c r="ZG55" s="82"/>
      <c r="ZH55" s="82"/>
      <c r="ZI55" s="82"/>
      <c r="ZJ55" s="82"/>
      <c r="ZK55" s="82"/>
      <c r="ZL55" s="82"/>
      <c r="ZM55" s="82"/>
      <c r="ZN55" s="82"/>
      <c r="ZO55" s="82"/>
      <c r="ZP55" s="82"/>
      <c r="ZQ55" s="82"/>
      <c r="ZR55" s="82"/>
      <c r="ZS55" s="82"/>
      <c r="ZT55" s="82"/>
      <c r="ZU55" s="82"/>
      <c r="ZV55" s="82"/>
      <c r="ZW55" s="82"/>
      <c r="ZX55" s="82"/>
      <c r="ZY55" s="82"/>
      <c r="ZZ55" s="82"/>
      <c r="AAA55" s="82"/>
      <c r="AAB55" s="82"/>
      <c r="AAC55" s="82"/>
      <c r="AAD55" s="82"/>
      <c r="AAE55" s="82"/>
      <c r="AAF55" s="82"/>
      <c r="AAG55" s="82"/>
      <c r="AAH55" s="82"/>
      <c r="AAI55" s="82"/>
      <c r="AAJ55" s="82"/>
      <c r="AAK55" s="82"/>
      <c r="AAL55" s="82"/>
      <c r="AAM55" s="82"/>
      <c r="AAN55" s="82"/>
      <c r="AAO55" s="82"/>
      <c r="AAP55" s="82"/>
      <c r="AAQ55" s="82"/>
      <c r="AAR55" s="82"/>
      <c r="AAS55" s="82"/>
      <c r="AAT55" s="82"/>
      <c r="AAU55" s="82"/>
      <c r="AAV55" s="82"/>
      <c r="AAW55" s="82"/>
      <c r="AAX55" s="82"/>
      <c r="AAY55" s="82"/>
      <c r="AAZ55" s="82"/>
      <c r="ABA55" s="82"/>
      <c r="ABB55" s="82"/>
      <c r="ABC55" s="82"/>
      <c r="ABD55" s="82"/>
      <c r="ABE55" s="82"/>
      <c r="ABF55" s="82"/>
      <c r="ABG55" s="82"/>
      <c r="ABH55" s="82"/>
      <c r="ABI55" s="82"/>
      <c r="ABJ55" s="82"/>
      <c r="ABK55" s="82"/>
      <c r="ABL55" s="82"/>
      <c r="ABM55" s="82"/>
      <c r="ABN55" s="82"/>
      <c r="ABO55" s="82"/>
      <c r="ABP55" s="82"/>
      <c r="ABQ55" s="82"/>
      <c r="ABR55" s="82"/>
      <c r="ABS55" s="82"/>
      <c r="ABT55" s="82"/>
      <c r="ABU55" s="82"/>
      <c r="ABV55" s="82"/>
      <c r="ABW55" s="82"/>
      <c r="ABX55" s="82"/>
      <c r="ABY55" s="82"/>
      <c r="ABZ55" s="82"/>
      <c r="ACA55" s="82"/>
      <c r="ACB55" s="82"/>
      <c r="ACC55" s="82"/>
      <c r="ACD55" s="82"/>
      <c r="ACE55" s="82"/>
      <c r="ACF55" s="82"/>
      <c r="ACG55" s="82"/>
      <c r="ACH55" s="82"/>
      <c r="ACI55" s="82"/>
      <c r="ACJ55" s="82"/>
      <c r="ACK55" s="82"/>
      <c r="ACL55" s="82"/>
      <c r="ACM55" s="82"/>
      <c r="ACN55" s="82"/>
      <c r="ACO55" s="82"/>
      <c r="ACP55" s="82"/>
      <c r="ACQ55" s="82"/>
      <c r="ACR55" s="82"/>
      <c r="ACS55" s="82"/>
      <c r="ACT55" s="82"/>
      <c r="ACU55" s="82"/>
      <c r="ACV55" s="82"/>
      <c r="ACW55" s="82"/>
      <c r="ACX55" s="82"/>
      <c r="ACY55" s="82"/>
      <c r="ACZ55" s="82"/>
      <c r="ADA55" s="82"/>
      <c r="ADB55" s="82"/>
      <c r="ADC55" s="82"/>
      <c r="ADD55" s="82"/>
      <c r="ADE55" s="82"/>
      <c r="ADF55" s="82"/>
      <c r="ADG55" s="82"/>
      <c r="ADH55" s="82"/>
      <c r="ADI55" s="82"/>
      <c r="ADJ55" s="82"/>
      <c r="ADK55" s="82"/>
      <c r="ADL55" s="82"/>
      <c r="ADM55" s="82"/>
      <c r="ADN55" s="82"/>
      <c r="ADO55" s="82"/>
      <c r="ADP55" s="82"/>
      <c r="ADQ55" s="82"/>
      <c r="ADR55" s="82"/>
      <c r="ADS55" s="82"/>
      <c r="ADT55" s="82"/>
      <c r="ADU55" s="82"/>
      <c r="ADV55" s="82"/>
      <c r="ADW55" s="82"/>
      <c r="ADX55" s="82"/>
      <c r="ADY55" s="82"/>
      <c r="ADZ55" s="82"/>
      <c r="AEA55" s="82"/>
      <c r="AEB55" s="82"/>
      <c r="AEC55" s="82"/>
      <c r="AED55" s="82"/>
      <c r="AEE55" s="82"/>
      <c r="AEF55" s="82"/>
      <c r="AEG55" s="82"/>
      <c r="AEH55" s="82"/>
      <c r="AEI55" s="82"/>
      <c r="AEJ55" s="82"/>
      <c r="AEK55" s="82"/>
      <c r="AEL55" s="82"/>
      <c r="AEM55" s="82"/>
      <c r="AEN55" s="82"/>
      <c r="AEO55" s="82"/>
      <c r="AEP55" s="82"/>
      <c r="AEQ55" s="82"/>
      <c r="AER55" s="82"/>
      <c r="AES55" s="82"/>
      <c r="AET55" s="82"/>
      <c r="AEU55" s="82"/>
      <c r="AEV55" s="82"/>
      <c r="AEW55" s="82"/>
      <c r="AEX55" s="82"/>
      <c r="AEY55" s="82"/>
      <c r="AEZ55" s="82"/>
      <c r="AFA55" s="82"/>
      <c r="AFB55" s="82"/>
      <c r="AFC55" s="82"/>
      <c r="AFD55" s="82"/>
      <c r="AFE55" s="82"/>
      <c r="AFF55" s="82"/>
      <c r="AFG55" s="82"/>
      <c r="AFH55" s="82"/>
      <c r="AFI55" s="82"/>
      <c r="AFJ55" s="82"/>
      <c r="AFK55" s="82"/>
      <c r="AFL55" s="82"/>
      <c r="AFM55" s="82"/>
      <c r="AFN55" s="82"/>
      <c r="AFO55" s="82"/>
      <c r="AFP55" s="82"/>
      <c r="AFQ55" s="82"/>
      <c r="AFR55" s="82"/>
      <c r="AFS55" s="82"/>
      <c r="AFT55" s="82"/>
      <c r="AFU55" s="82"/>
      <c r="AFV55" s="82"/>
      <c r="AFW55" s="82"/>
      <c r="AFX55" s="82"/>
      <c r="AFY55" s="82"/>
      <c r="AFZ55" s="82"/>
      <c r="AGA55" s="82"/>
      <c r="AGB55" s="82"/>
      <c r="AGC55" s="82"/>
      <c r="AGD55" s="82"/>
      <c r="AGE55" s="82"/>
      <c r="AGF55" s="82"/>
      <c r="AGG55" s="82"/>
      <c r="AGH55" s="82"/>
      <c r="AGI55" s="82"/>
      <c r="AGJ55" s="82"/>
      <c r="AGK55" s="82"/>
      <c r="AGL55" s="82"/>
      <c r="AGM55" s="82"/>
      <c r="AGN55" s="82"/>
      <c r="AGO55" s="82"/>
      <c r="AGP55" s="82"/>
      <c r="AGQ55" s="82"/>
      <c r="AGR55" s="82"/>
      <c r="AGS55" s="82"/>
      <c r="AGT55" s="82"/>
      <c r="AGU55" s="82"/>
      <c r="AGV55" s="82"/>
      <c r="AGW55" s="82"/>
      <c r="AGX55" s="82"/>
      <c r="AGY55" s="82"/>
      <c r="AGZ55" s="82"/>
      <c r="AHA55" s="82"/>
      <c r="AHB55" s="82"/>
      <c r="AHC55" s="82"/>
      <c r="AHD55" s="82"/>
      <c r="AHE55" s="82"/>
      <c r="AHF55" s="82"/>
      <c r="AHG55" s="82"/>
      <c r="AHH55" s="82"/>
      <c r="AHI55" s="82"/>
      <c r="AHJ55" s="82"/>
      <c r="AHK55" s="82"/>
      <c r="AHL55" s="82"/>
      <c r="AHM55" s="82"/>
      <c r="AHN55" s="82"/>
      <c r="AHO55" s="82"/>
      <c r="AHP55" s="82"/>
      <c r="AHQ55" s="82"/>
      <c r="AHR55" s="82"/>
      <c r="AHS55" s="82"/>
      <c r="AHT55" s="82"/>
      <c r="AHU55" s="82"/>
      <c r="AHV55" s="82"/>
      <c r="AHW55" s="82"/>
      <c r="AHX55" s="82"/>
      <c r="AHY55" s="82"/>
      <c r="AHZ55" s="82"/>
      <c r="AIA55" s="82"/>
      <c r="AIB55" s="82"/>
      <c r="AIC55" s="82"/>
      <c r="AID55" s="82"/>
      <c r="AIE55" s="82"/>
      <c r="AIF55" s="82"/>
      <c r="AIG55" s="82"/>
      <c r="AIH55" s="82"/>
      <c r="AII55" s="82"/>
      <c r="AIJ55" s="82"/>
      <c r="AIK55" s="82"/>
      <c r="AIL55" s="82"/>
      <c r="AIM55" s="82"/>
      <c r="AIN55" s="82"/>
      <c r="AIO55" s="82"/>
      <c r="AIP55" s="82"/>
      <c r="AIQ55" s="82"/>
      <c r="AIR55" s="82"/>
      <c r="AIS55" s="82"/>
      <c r="AIT55" s="82"/>
      <c r="AIU55" s="82"/>
      <c r="AIV55" s="82"/>
      <c r="AIW55" s="82"/>
      <c r="AIX55" s="82"/>
      <c r="AIY55" s="82"/>
      <c r="AIZ55" s="82"/>
      <c r="AJA55" s="82"/>
      <c r="AJB55" s="82"/>
      <c r="AJC55" s="82"/>
      <c r="AJD55" s="82"/>
      <c r="AJE55" s="82"/>
      <c r="AJF55" s="82"/>
      <c r="AJG55" s="82"/>
      <c r="AJH55" s="82"/>
      <c r="AJI55" s="82"/>
      <c r="AJJ55" s="82"/>
      <c r="AJK55" s="82"/>
      <c r="AJL55" s="82"/>
      <c r="AJM55" s="82"/>
      <c r="AJN55" s="82"/>
      <c r="AJO55" s="82"/>
      <c r="AJP55" s="82"/>
      <c r="AJQ55" s="82"/>
      <c r="AJR55" s="82"/>
      <c r="AJS55" s="82"/>
      <c r="AJT55" s="82"/>
      <c r="AJU55" s="82"/>
      <c r="AJV55" s="82"/>
      <c r="AJW55" s="82"/>
      <c r="AJX55" s="82"/>
      <c r="AJY55" s="82"/>
      <c r="AJZ55" s="82"/>
      <c r="AKA55" s="82"/>
      <c r="AKB55" s="82"/>
      <c r="AKC55" s="82"/>
      <c r="AKD55" s="82"/>
      <c r="AKE55" s="82"/>
      <c r="AKF55" s="82"/>
      <c r="AKG55" s="82"/>
      <c r="AKH55" s="82"/>
      <c r="AKI55" s="82"/>
      <c r="AKJ55" s="82"/>
      <c r="AKK55" s="82"/>
      <c r="AKL55" s="82"/>
      <c r="AKM55" s="82"/>
      <c r="AKN55" s="82"/>
      <c r="AKO55" s="82"/>
      <c r="AKP55" s="82"/>
      <c r="AKQ55" s="82"/>
      <c r="AKR55" s="82"/>
      <c r="AKS55" s="82"/>
      <c r="AKT55" s="82"/>
      <c r="AKU55" s="82"/>
      <c r="AKV55" s="82"/>
      <c r="AKW55" s="82"/>
      <c r="AKX55" s="82"/>
      <c r="AKY55" s="82"/>
      <c r="AKZ55" s="82"/>
      <c r="ALA55" s="82"/>
      <c r="ALB55" s="82"/>
      <c r="ALC55" s="82"/>
      <c r="ALD55" s="82"/>
      <c r="ALE55" s="82"/>
      <c r="ALF55" s="82"/>
      <c r="ALG55" s="82"/>
      <c r="ALH55" s="82"/>
      <c r="ALI55" s="82"/>
      <c r="ALJ55" s="82"/>
      <c r="ALK55" s="82"/>
      <c r="ALL55" s="82"/>
      <c r="ALM55" s="82"/>
      <c r="ALN55" s="82"/>
      <c r="ALO55" s="82"/>
      <c r="ALP55" s="82"/>
      <c r="ALQ55" s="82"/>
      <c r="ALR55" s="82"/>
      <c r="ALS55" s="82"/>
      <c r="ALT55" s="82"/>
      <c r="ALU55" s="82"/>
      <c r="ALV55" s="82"/>
      <c r="ALW55" s="82"/>
      <c r="ALX55" s="82"/>
      <c r="ALY55" s="82"/>
      <c r="ALZ55" s="82"/>
      <c r="AMA55" s="82"/>
      <c r="AMB55" s="82"/>
      <c r="AMC55" s="82"/>
      <c r="AMD55" s="82"/>
      <c r="AME55" s="82"/>
      <c r="AMF55" s="82"/>
      <c r="AMG55" s="82"/>
      <c r="AMH55" s="82"/>
      <c r="AMI55" s="82"/>
      <c r="AMJ55" s="82"/>
      <c r="AMK55" s="82"/>
      <c r="AML55" s="82"/>
      <c r="AMM55" s="82"/>
      <c r="AMN55" s="82"/>
      <c r="AMO55" s="82"/>
      <c r="AMP55" s="82"/>
      <c r="AMQ55" s="82"/>
      <c r="AMR55" s="82"/>
      <c r="AMS55" s="82"/>
      <c r="AMT55" s="82"/>
      <c r="AMU55" s="82"/>
      <c r="AMV55" s="82"/>
      <c r="AMW55" s="82"/>
      <c r="AMX55" s="82"/>
      <c r="AMY55" s="82"/>
      <c r="AMZ55" s="82"/>
      <c r="ANA55" s="82"/>
      <c r="ANB55" s="82"/>
      <c r="ANC55" s="82"/>
      <c r="AND55" s="82"/>
      <c r="ANE55" s="82"/>
      <c r="ANF55" s="82"/>
      <c r="ANG55" s="82"/>
      <c r="ANH55" s="82"/>
      <c r="ANI55" s="82"/>
      <c r="ANJ55" s="82"/>
      <c r="ANK55" s="82"/>
      <c r="ANL55" s="82"/>
      <c r="ANM55" s="82"/>
      <c r="ANN55" s="82"/>
      <c r="ANO55" s="82"/>
      <c r="ANP55" s="82"/>
      <c r="ANQ55" s="82"/>
      <c r="ANR55" s="82"/>
      <c r="ANS55" s="82"/>
      <c r="ANT55" s="82"/>
      <c r="ANU55" s="82"/>
      <c r="ANV55" s="82"/>
      <c r="ANW55" s="82"/>
      <c r="ANX55" s="82"/>
      <c r="ANY55" s="82"/>
      <c r="ANZ55" s="82"/>
      <c r="AOA55" s="82"/>
      <c r="AOB55" s="82"/>
      <c r="AOC55" s="82"/>
      <c r="AOD55" s="82"/>
      <c r="AOE55" s="82"/>
      <c r="AOF55" s="82"/>
      <c r="AOG55" s="82"/>
      <c r="AOH55" s="82"/>
      <c r="AOI55" s="82"/>
      <c r="AOJ55" s="82"/>
      <c r="AOK55" s="82"/>
      <c r="AOL55" s="82"/>
      <c r="AOM55" s="82"/>
      <c r="AON55" s="82"/>
      <c r="AOO55" s="82"/>
      <c r="AOP55" s="82"/>
      <c r="AOQ55" s="82"/>
      <c r="AOR55" s="82"/>
      <c r="AOS55" s="82"/>
      <c r="AOT55" s="82"/>
      <c r="AOU55" s="82"/>
      <c r="AOV55" s="82"/>
      <c r="AOW55" s="82"/>
      <c r="AOX55" s="82"/>
      <c r="AOY55" s="82"/>
      <c r="AOZ55" s="82"/>
      <c r="APA55" s="82"/>
      <c r="APB55" s="82"/>
      <c r="APC55" s="82"/>
      <c r="APD55" s="82"/>
      <c r="APE55" s="82"/>
      <c r="APF55" s="82"/>
      <c r="APG55" s="82"/>
      <c r="APH55" s="82"/>
      <c r="API55" s="82"/>
      <c r="APJ55" s="82"/>
      <c r="APK55" s="82"/>
      <c r="APL55" s="82"/>
      <c r="APM55" s="82"/>
      <c r="APN55" s="82"/>
      <c r="APO55" s="82"/>
      <c r="APP55" s="82"/>
      <c r="APQ55" s="82"/>
      <c r="APR55" s="82"/>
      <c r="APS55" s="82"/>
      <c r="APT55" s="82"/>
      <c r="APU55" s="82"/>
      <c r="APV55" s="82"/>
      <c r="APW55" s="82"/>
      <c r="APX55" s="82"/>
      <c r="APY55" s="82"/>
      <c r="APZ55" s="82"/>
      <c r="AQA55" s="82"/>
      <c r="AQB55" s="82"/>
      <c r="AQC55" s="82"/>
      <c r="AQD55" s="82"/>
      <c r="AQE55" s="82"/>
      <c r="AQF55" s="82"/>
      <c r="AQG55" s="82"/>
      <c r="AQH55" s="82"/>
      <c r="AQI55" s="82"/>
      <c r="AQJ55" s="82"/>
      <c r="AQK55" s="82"/>
      <c r="AQL55" s="82"/>
      <c r="AQM55" s="82"/>
      <c r="AQN55" s="82"/>
      <c r="AQO55" s="82"/>
      <c r="AQP55" s="82"/>
      <c r="AQQ55" s="82"/>
      <c r="AQR55" s="82"/>
      <c r="AQS55" s="82"/>
      <c r="AQT55" s="82"/>
      <c r="AQU55" s="82"/>
      <c r="AQV55" s="82"/>
      <c r="AQW55" s="82"/>
      <c r="AQX55" s="82"/>
      <c r="AQY55" s="82"/>
      <c r="AQZ55" s="82"/>
      <c r="ARA55" s="82"/>
      <c r="ARB55" s="82"/>
      <c r="ARC55" s="82"/>
      <c r="ARD55" s="82"/>
      <c r="ARE55" s="82"/>
      <c r="ARF55" s="82"/>
      <c r="ARG55" s="82"/>
      <c r="ARH55" s="82"/>
      <c r="ARI55" s="82"/>
      <c r="ARJ55" s="82"/>
      <c r="ARK55" s="82"/>
      <c r="ARL55" s="82"/>
      <c r="ARM55" s="82"/>
      <c r="ARN55" s="82"/>
      <c r="ARO55" s="82"/>
      <c r="ARP55" s="82"/>
      <c r="ARQ55" s="82"/>
      <c r="ARR55" s="82"/>
      <c r="ARS55" s="82"/>
      <c r="ART55" s="82"/>
      <c r="ARU55" s="82"/>
      <c r="ARV55" s="82"/>
      <c r="ARW55" s="82"/>
      <c r="ARX55" s="82"/>
      <c r="ARY55" s="82"/>
      <c r="ARZ55" s="82"/>
      <c r="ASA55" s="82"/>
      <c r="ASB55" s="82"/>
      <c r="ASC55" s="82"/>
      <c r="ASD55" s="82"/>
      <c r="ASE55" s="82"/>
      <c r="ASF55" s="82"/>
      <c r="ASG55" s="82"/>
      <c r="ASH55" s="82"/>
      <c r="ASI55" s="82"/>
      <c r="ASJ55" s="82"/>
      <c r="ASK55" s="82"/>
      <c r="ASL55" s="82"/>
      <c r="ASM55" s="82"/>
      <c r="ASN55" s="82"/>
      <c r="ASO55" s="82"/>
      <c r="ASP55" s="82"/>
      <c r="ASQ55" s="82"/>
      <c r="ASR55" s="82"/>
      <c r="ASS55" s="82"/>
      <c r="AST55" s="82"/>
      <c r="ASU55" s="82"/>
      <c r="ASV55" s="82"/>
      <c r="ASW55" s="82"/>
      <c r="ASX55" s="82"/>
      <c r="ASY55" s="82"/>
      <c r="ASZ55" s="82"/>
      <c r="ATA55" s="82"/>
      <c r="ATB55" s="82"/>
      <c r="ATC55" s="82"/>
      <c r="ATD55" s="82"/>
      <c r="ATE55" s="82"/>
      <c r="ATF55" s="82"/>
      <c r="ATG55" s="82"/>
      <c r="ATH55" s="82"/>
      <c r="ATI55" s="82"/>
      <c r="ATJ55" s="82"/>
      <c r="ATK55" s="82"/>
      <c r="ATL55" s="82"/>
      <c r="ATM55" s="82"/>
      <c r="ATN55" s="82"/>
      <c r="ATO55" s="82"/>
      <c r="ATP55" s="82"/>
      <c r="ATQ55" s="82"/>
      <c r="ATR55" s="82"/>
      <c r="ATS55" s="82"/>
      <c r="ATT55" s="82"/>
      <c r="ATU55" s="82"/>
      <c r="ATV55" s="82"/>
      <c r="ATW55" s="82"/>
      <c r="ATX55" s="82"/>
      <c r="ATY55" s="82"/>
      <c r="ATZ55" s="82"/>
      <c r="AUA55" s="82"/>
      <c r="AUB55" s="82"/>
      <c r="AUC55" s="82"/>
      <c r="AUD55" s="82"/>
      <c r="AUE55" s="82"/>
      <c r="AUF55" s="82"/>
      <c r="AUG55" s="82"/>
      <c r="AUH55" s="82"/>
      <c r="AUI55" s="82"/>
      <c r="AUJ55" s="82"/>
      <c r="AUK55" s="82"/>
      <c r="AUL55" s="82"/>
      <c r="AUM55" s="82"/>
      <c r="AUN55" s="82"/>
      <c r="AUO55" s="82"/>
      <c r="AUP55" s="82"/>
      <c r="AUQ55" s="82"/>
      <c r="AUR55" s="82"/>
      <c r="AUS55" s="82"/>
      <c r="AUT55" s="82"/>
      <c r="AUU55" s="82"/>
      <c r="AUV55" s="82"/>
      <c r="AUW55" s="82"/>
      <c r="AUX55" s="82"/>
      <c r="AUY55" s="82"/>
      <c r="AUZ55" s="82"/>
      <c r="AVA55" s="82"/>
      <c r="AVB55" s="82"/>
      <c r="AVC55" s="82"/>
      <c r="AVD55" s="82"/>
      <c r="AVE55" s="82"/>
      <c r="AVF55" s="82"/>
      <c r="AVG55" s="82"/>
      <c r="AVH55" s="82"/>
      <c r="AVI55" s="82"/>
      <c r="AVJ55" s="82"/>
      <c r="AVK55" s="82"/>
      <c r="AVL55" s="82"/>
      <c r="AVM55" s="82"/>
      <c r="AVN55" s="82"/>
      <c r="AVO55" s="82"/>
      <c r="AVP55" s="82"/>
      <c r="AVQ55" s="82"/>
      <c r="AVR55" s="82"/>
      <c r="AVS55" s="82"/>
      <c r="AVT55" s="82"/>
      <c r="AVU55" s="82"/>
      <c r="AVV55" s="82"/>
      <c r="AVW55" s="82"/>
      <c r="AVX55" s="82"/>
      <c r="AVY55" s="82"/>
      <c r="AVZ55" s="82"/>
      <c r="AWA55" s="82"/>
      <c r="AWB55" s="82"/>
      <c r="AWC55" s="82"/>
      <c r="AWD55" s="82"/>
      <c r="AWE55" s="82"/>
      <c r="AWF55" s="82"/>
      <c r="AWG55" s="82"/>
      <c r="AWH55" s="82"/>
      <c r="AWI55" s="82"/>
      <c r="AWJ55" s="82"/>
      <c r="AWK55" s="82"/>
      <c r="AWL55" s="82"/>
      <c r="AWM55" s="82"/>
      <c r="AWN55" s="82"/>
      <c r="AWO55" s="82"/>
      <c r="AWP55" s="82"/>
      <c r="AWQ55" s="82"/>
      <c r="AWR55" s="82"/>
      <c r="AWS55" s="82"/>
      <c r="AWT55" s="82"/>
      <c r="AWU55" s="82"/>
      <c r="AWV55" s="82"/>
      <c r="AWW55" s="82"/>
      <c r="AWX55" s="82"/>
      <c r="AWY55" s="82"/>
      <c r="AWZ55" s="82"/>
      <c r="AXA55" s="82"/>
      <c r="AXB55" s="82"/>
      <c r="AXC55" s="82"/>
      <c r="AXD55" s="82"/>
      <c r="AXE55" s="82"/>
      <c r="AXF55" s="82"/>
      <c r="AXG55" s="82"/>
      <c r="AXH55" s="82"/>
      <c r="AXI55" s="82"/>
      <c r="AXJ55" s="82"/>
      <c r="AXK55" s="82"/>
      <c r="AXL55" s="82"/>
      <c r="AXM55" s="82"/>
      <c r="AXN55" s="82"/>
      <c r="AXO55" s="82"/>
      <c r="AXP55" s="82"/>
      <c r="AXQ55" s="82"/>
      <c r="AXR55" s="82"/>
      <c r="AXS55" s="82"/>
      <c r="AXT55" s="82"/>
      <c r="AXU55" s="82"/>
      <c r="AXV55" s="82"/>
      <c r="AXW55" s="82"/>
      <c r="AXX55" s="82"/>
      <c r="AXY55" s="82"/>
      <c r="AXZ55" s="82"/>
      <c r="AYA55" s="82"/>
      <c r="AYB55" s="82"/>
      <c r="AYC55" s="82"/>
      <c r="AYD55" s="82"/>
      <c r="AYE55" s="82"/>
      <c r="AYF55" s="82"/>
      <c r="AYG55" s="82"/>
      <c r="AYH55" s="82"/>
      <c r="AYI55" s="82"/>
      <c r="AYJ55" s="82"/>
      <c r="AYK55" s="82"/>
      <c r="AYL55" s="82"/>
      <c r="AYM55" s="82"/>
      <c r="AYN55" s="82"/>
      <c r="AYO55" s="82"/>
      <c r="AYP55" s="82"/>
      <c r="AYQ55" s="82"/>
      <c r="AYR55" s="82"/>
      <c r="AYS55" s="82"/>
      <c r="AYT55" s="82"/>
      <c r="AYU55" s="82"/>
      <c r="AYV55" s="82"/>
      <c r="AYW55" s="82"/>
      <c r="AYX55" s="82"/>
      <c r="AYY55" s="82"/>
      <c r="AYZ55" s="82"/>
      <c r="AZA55" s="82"/>
      <c r="AZB55" s="82"/>
      <c r="AZC55" s="82"/>
      <c r="AZD55" s="82"/>
      <c r="AZE55" s="82"/>
      <c r="AZF55" s="82"/>
      <c r="AZG55" s="82"/>
      <c r="AZH55" s="82"/>
      <c r="AZI55" s="82"/>
      <c r="AZJ55" s="82"/>
      <c r="AZK55" s="82"/>
      <c r="AZL55" s="82"/>
      <c r="AZM55" s="82"/>
      <c r="AZN55" s="82"/>
      <c r="AZO55" s="82"/>
      <c r="AZP55" s="82"/>
      <c r="AZQ55" s="82"/>
      <c r="AZR55" s="82"/>
      <c r="AZS55" s="82"/>
      <c r="AZT55" s="82"/>
      <c r="AZU55" s="82"/>
      <c r="AZV55" s="82"/>
      <c r="AZW55" s="82"/>
      <c r="AZX55" s="82"/>
      <c r="AZY55" s="82"/>
      <c r="AZZ55" s="82"/>
      <c r="BAA55" s="82"/>
      <c r="BAB55" s="82"/>
      <c r="BAC55" s="82"/>
      <c r="BAD55" s="82"/>
      <c r="BAE55" s="82"/>
      <c r="BAF55" s="82"/>
      <c r="BAG55" s="82"/>
      <c r="BAH55" s="82"/>
      <c r="BAI55" s="82"/>
      <c r="BAJ55" s="82"/>
      <c r="BAK55" s="82"/>
      <c r="BAL55" s="82"/>
      <c r="BAM55" s="82"/>
      <c r="BAN55" s="82"/>
      <c r="BAO55" s="82"/>
      <c r="BAP55" s="82"/>
      <c r="BAQ55" s="82"/>
      <c r="BAR55" s="82"/>
      <c r="BAS55" s="82"/>
      <c r="BAT55" s="82"/>
      <c r="BAU55" s="82"/>
      <c r="BAV55" s="82"/>
      <c r="BAW55" s="82"/>
      <c r="BAX55" s="82"/>
      <c r="BAY55" s="82"/>
      <c r="BAZ55" s="82"/>
      <c r="BBA55" s="82"/>
      <c r="BBB55" s="82"/>
      <c r="BBC55" s="82"/>
      <c r="BBD55" s="82"/>
      <c r="BBE55" s="82"/>
      <c r="BBF55" s="82"/>
      <c r="BBG55" s="82"/>
      <c r="BBH55" s="82"/>
      <c r="BBI55" s="82"/>
      <c r="BBJ55" s="82"/>
      <c r="BBK55" s="82"/>
      <c r="BBL55" s="82"/>
      <c r="BBM55" s="82"/>
      <c r="BBN55" s="82"/>
      <c r="BBO55" s="82"/>
      <c r="BBP55" s="82"/>
      <c r="BBQ55" s="82"/>
      <c r="BBR55" s="82"/>
      <c r="BBS55" s="82"/>
      <c r="BBT55" s="82"/>
      <c r="BBU55" s="82"/>
      <c r="BBV55" s="82"/>
      <c r="BBW55" s="82"/>
      <c r="BBX55" s="82"/>
      <c r="BBY55" s="82"/>
      <c r="BBZ55" s="82"/>
      <c r="BCA55" s="82"/>
      <c r="BCB55" s="82"/>
      <c r="BCC55" s="82"/>
      <c r="BCD55" s="82"/>
      <c r="BCE55" s="82"/>
      <c r="BCF55" s="82"/>
      <c r="BCG55" s="82"/>
      <c r="BCH55" s="82"/>
      <c r="BCI55" s="82"/>
      <c r="BCJ55" s="82"/>
      <c r="BCK55" s="82"/>
      <c r="BCL55" s="82"/>
      <c r="BCM55" s="82"/>
      <c r="BCN55" s="82"/>
      <c r="BCO55" s="82"/>
      <c r="BCP55" s="82"/>
      <c r="BCQ55" s="82"/>
      <c r="BCR55" s="82"/>
      <c r="BCS55" s="82"/>
      <c r="BCT55" s="82"/>
      <c r="BCU55" s="82"/>
      <c r="BCV55" s="82"/>
      <c r="BCW55" s="82"/>
      <c r="BCX55" s="82"/>
      <c r="BCY55" s="82"/>
      <c r="BCZ55" s="82"/>
      <c r="BDA55" s="82"/>
      <c r="BDB55" s="82"/>
      <c r="BDC55" s="82"/>
      <c r="BDD55" s="82"/>
      <c r="BDE55" s="82"/>
      <c r="BDF55" s="82"/>
      <c r="BDG55" s="82"/>
      <c r="BDH55" s="82"/>
      <c r="BDI55" s="82"/>
      <c r="BDJ55" s="82"/>
      <c r="BDK55" s="82"/>
      <c r="BDL55" s="82"/>
      <c r="BDM55" s="82"/>
      <c r="BDN55" s="82"/>
      <c r="BDO55" s="82"/>
      <c r="BDP55" s="82"/>
      <c r="BDQ55" s="82"/>
      <c r="BDR55" s="82"/>
      <c r="BDS55" s="82"/>
      <c r="BDT55" s="82"/>
      <c r="BDU55" s="82"/>
      <c r="BDV55" s="82"/>
      <c r="BDW55" s="82"/>
      <c r="BDX55" s="82"/>
      <c r="BDY55" s="82"/>
      <c r="BDZ55" s="82"/>
      <c r="BEA55" s="82"/>
      <c r="BEB55" s="82"/>
      <c r="BEC55" s="82"/>
      <c r="BED55" s="82"/>
      <c r="BEE55" s="82"/>
      <c r="BEF55" s="82"/>
      <c r="BEG55" s="82"/>
      <c r="BEH55" s="82"/>
      <c r="BEI55" s="82"/>
      <c r="BEJ55" s="82"/>
      <c r="BEK55" s="82"/>
      <c r="BEL55" s="82"/>
      <c r="BEM55" s="82"/>
      <c r="BEN55" s="82"/>
      <c r="BEO55" s="82"/>
      <c r="BEP55" s="82"/>
      <c r="BEQ55" s="82"/>
      <c r="BER55" s="82"/>
      <c r="BES55" s="82"/>
      <c r="BET55" s="82"/>
      <c r="BEU55" s="82"/>
      <c r="BEV55" s="82"/>
      <c r="BEW55" s="82"/>
      <c r="BEX55" s="82"/>
      <c r="BEY55" s="82"/>
      <c r="BEZ55" s="82"/>
      <c r="BFA55" s="82"/>
      <c r="BFB55" s="82"/>
      <c r="BFC55" s="82"/>
      <c r="BFD55" s="82"/>
      <c r="BFE55" s="82"/>
      <c r="BFF55" s="82"/>
      <c r="BFG55" s="82"/>
      <c r="BFH55" s="82"/>
      <c r="BFI55" s="82"/>
      <c r="BFJ55" s="82"/>
      <c r="BFK55" s="82"/>
      <c r="BFL55" s="82"/>
      <c r="BFM55" s="82"/>
      <c r="BFN55" s="82"/>
      <c r="BFO55" s="82"/>
      <c r="BFP55" s="82"/>
      <c r="BFQ55" s="82"/>
      <c r="BFR55" s="82"/>
      <c r="BFS55" s="82"/>
      <c r="BFT55" s="82"/>
      <c r="BFU55" s="82"/>
      <c r="BFV55" s="82"/>
      <c r="BFW55" s="82"/>
      <c r="BFX55" s="82"/>
      <c r="BFY55" s="82"/>
      <c r="BFZ55" s="82"/>
      <c r="BGA55" s="82"/>
      <c r="BGB55" s="82"/>
      <c r="BGC55" s="82"/>
      <c r="BGD55" s="82"/>
      <c r="BGE55" s="82"/>
      <c r="BGF55" s="82"/>
      <c r="BGG55" s="82"/>
      <c r="BGH55" s="82"/>
      <c r="BGI55" s="82"/>
      <c r="BGJ55" s="82"/>
      <c r="BGK55" s="82"/>
      <c r="BGL55" s="82"/>
      <c r="BGM55" s="82"/>
      <c r="BGN55" s="82"/>
      <c r="BGO55" s="82"/>
      <c r="BGP55" s="82"/>
      <c r="BGQ55" s="82"/>
      <c r="BGR55" s="82"/>
      <c r="BGS55" s="82"/>
      <c r="BGT55" s="82"/>
      <c r="BGU55" s="82"/>
      <c r="BGV55" s="82"/>
      <c r="BGW55" s="82"/>
      <c r="BGX55" s="82"/>
      <c r="BGY55" s="82"/>
      <c r="BGZ55" s="82"/>
      <c r="BHA55" s="82"/>
      <c r="BHB55" s="82"/>
      <c r="BHC55" s="82"/>
      <c r="BHD55" s="82"/>
      <c r="BHE55" s="82"/>
      <c r="BHF55" s="82"/>
      <c r="BHG55" s="82"/>
      <c r="BHH55" s="82"/>
      <c r="BHI55" s="82"/>
      <c r="BHJ55" s="82"/>
      <c r="BHK55" s="82"/>
      <c r="BHL55" s="82"/>
      <c r="BHM55" s="82"/>
      <c r="BHN55" s="82"/>
      <c r="BHO55" s="82"/>
      <c r="BHP55" s="82"/>
      <c r="BHQ55" s="82"/>
      <c r="BHR55" s="82"/>
      <c r="BHS55" s="82"/>
      <c r="BHT55" s="82"/>
      <c r="BHU55" s="82"/>
      <c r="BHV55" s="82"/>
      <c r="BHW55" s="82"/>
      <c r="BHX55" s="82"/>
      <c r="BHY55" s="82"/>
      <c r="BHZ55" s="82"/>
      <c r="BIA55" s="82"/>
      <c r="BIB55" s="82"/>
      <c r="BIC55" s="82"/>
      <c r="BID55" s="82"/>
      <c r="BIE55" s="82"/>
      <c r="BIF55" s="82"/>
      <c r="BIG55" s="82"/>
      <c r="BIH55" s="82"/>
      <c r="BII55" s="82"/>
      <c r="BIJ55" s="82"/>
      <c r="BIK55" s="82"/>
      <c r="BIL55" s="82"/>
      <c r="BIM55" s="82"/>
      <c r="BIN55" s="82"/>
      <c r="BIO55" s="82"/>
      <c r="BIP55" s="82"/>
      <c r="BIQ55" s="82"/>
      <c r="BIR55" s="82"/>
      <c r="BIS55" s="82"/>
      <c r="BIT55" s="82"/>
      <c r="BIU55" s="82"/>
      <c r="BIV55" s="82"/>
      <c r="BIW55" s="82"/>
      <c r="BIX55" s="82"/>
      <c r="BIY55" s="82"/>
      <c r="BIZ55" s="82"/>
      <c r="BJA55" s="82"/>
      <c r="BJB55" s="82"/>
      <c r="BJC55" s="82"/>
      <c r="BJD55" s="82"/>
      <c r="BJE55" s="82"/>
      <c r="BJF55" s="82"/>
      <c r="BJG55" s="82"/>
      <c r="BJH55" s="82"/>
      <c r="BJI55" s="82"/>
      <c r="BJJ55" s="82"/>
      <c r="BJK55" s="82"/>
      <c r="BJL55" s="82"/>
      <c r="BJM55" s="82"/>
      <c r="BJN55" s="82"/>
      <c r="BJO55" s="82"/>
      <c r="BJP55" s="82"/>
      <c r="BJQ55" s="82"/>
      <c r="BJR55" s="82"/>
      <c r="BJS55" s="82"/>
      <c r="BJT55" s="82"/>
      <c r="BJU55" s="82"/>
      <c r="BJV55" s="82"/>
      <c r="BJW55" s="82"/>
      <c r="BJX55" s="82"/>
      <c r="BJY55" s="82"/>
      <c r="BJZ55" s="82"/>
      <c r="BKA55" s="82"/>
      <c r="BKB55" s="82"/>
      <c r="BKC55" s="82"/>
      <c r="BKD55" s="82"/>
      <c r="BKE55" s="82"/>
      <c r="BKF55" s="82"/>
      <c r="BKG55" s="82"/>
      <c r="BKH55" s="82"/>
      <c r="BKI55" s="82"/>
      <c r="BKJ55" s="82"/>
      <c r="BKK55" s="82"/>
      <c r="BKL55" s="82"/>
      <c r="BKM55" s="82"/>
      <c r="BKN55" s="82"/>
      <c r="BKO55" s="82"/>
      <c r="BKP55" s="82"/>
      <c r="BKQ55" s="82"/>
      <c r="BKR55" s="82"/>
      <c r="BKS55" s="82"/>
      <c r="BKT55" s="82"/>
      <c r="BKU55" s="82"/>
      <c r="BKV55" s="82"/>
      <c r="BKW55" s="82"/>
      <c r="BKX55" s="82"/>
      <c r="BKY55" s="82"/>
      <c r="BKZ55" s="82"/>
      <c r="BLA55" s="82"/>
      <c r="BLB55" s="82"/>
      <c r="BLC55" s="82"/>
      <c r="BLD55" s="82"/>
      <c r="BLE55" s="82"/>
      <c r="BLF55" s="82"/>
      <c r="BLG55" s="82"/>
      <c r="BLH55" s="82"/>
      <c r="BLI55" s="82"/>
      <c r="BLJ55" s="82"/>
      <c r="BLK55" s="82"/>
      <c r="BLL55" s="82"/>
      <c r="BLM55" s="82"/>
      <c r="BLN55" s="82"/>
      <c r="BLO55" s="82"/>
      <c r="BLP55" s="82"/>
      <c r="BLQ55" s="82"/>
      <c r="BLR55" s="82"/>
      <c r="BLS55" s="82"/>
      <c r="BLT55" s="82"/>
      <c r="BLU55" s="82"/>
      <c r="BLV55" s="82"/>
      <c r="BLW55" s="82"/>
      <c r="BLX55" s="82"/>
      <c r="BLY55" s="82"/>
      <c r="BLZ55" s="82"/>
      <c r="BMA55" s="82"/>
      <c r="BMB55" s="82"/>
      <c r="BMC55" s="82"/>
      <c r="BMD55" s="82"/>
      <c r="BME55" s="82"/>
      <c r="BMF55" s="82"/>
      <c r="BMG55" s="82"/>
      <c r="BMH55" s="82"/>
      <c r="BMI55" s="82"/>
      <c r="BMJ55" s="82"/>
      <c r="BMK55" s="82"/>
      <c r="BML55" s="82"/>
      <c r="BMM55" s="82"/>
      <c r="BMN55" s="82"/>
      <c r="BMO55" s="82"/>
      <c r="BMP55" s="82"/>
      <c r="BMQ55" s="82"/>
      <c r="BMR55" s="82"/>
      <c r="BMS55" s="82"/>
      <c r="BMT55" s="82"/>
      <c r="BMU55" s="82"/>
      <c r="BMV55" s="82"/>
      <c r="BMW55" s="82"/>
      <c r="BMX55" s="82"/>
      <c r="BMY55" s="82"/>
      <c r="BMZ55" s="82"/>
      <c r="BNA55" s="82"/>
      <c r="BNB55" s="82"/>
      <c r="BNC55" s="82"/>
      <c r="BND55" s="82"/>
      <c r="BNE55" s="82"/>
      <c r="BNF55" s="82"/>
      <c r="BNG55" s="82"/>
      <c r="BNH55" s="82"/>
      <c r="BNI55" s="82"/>
      <c r="BNJ55" s="82"/>
      <c r="BNK55" s="82"/>
      <c r="BNL55" s="82"/>
      <c r="BNM55" s="82"/>
      <c r="BNN55" s="82"/>
      <c r="BNO55" s="82"/>
      <c r="BNP55" s="82"/>
      <c r="BNQ55" s="82"/>
      <c r="BNR55" s="82"/>
      <c r="BNS55" s="82"/>
      <c r="BNT55" s="82"/>
      <c r="BNU55" s="82"/>
      <c r="BNV55" s="82"/>
      <c r="BNW55" s="82"/>
      <c r="BNX55" s="82"/>
      <c r="BNY55" s="82"/>
      <c r="BNZ55" s="82"/>
      <c r="BOA55" s="82"/>
      <c r="BOB55" s="82"/>
      <c r="BOC55" s="82"/>
      <c r="BOD55" s="82"/>
      <c r="BOE55" s="82"/>
      <c r="BOF55" s="82"/>
      <c r="BOG55" s="82"/>
      <c r="BOH55" s="82"/>
      <c r="BOI55" s="82"/>
      <c r="BOJ55" s="82"/>
      <c r="BOK55" s="82"/>
      <c r="BOL55" s="82"/>
      <c r="BOM55" s="82"/>
      <c r="BON55" s="82"/>
      <c r="BOO55" s="82"/>
      <c r="BOP55" s="82"/>
      <c r="BOQ55" s="82"/>
      <c r="BOR55" s="82"/>
      <c r="BOS55" s="82"/>
      <c r="BOT55" s="82"/>
      <c r="BOU55" s="82"/>
      <c r="BOV55" s="82"/>
      <c r="BOW55" s="82"/>
      <c r="BOX55" s="82"/>
      <c r="BOY55" s="82"/>
      <c r="BOZ55" s="82"/>
      <c r="BPA55" s="82"/>
      <c r="BPB55" s="82"/>
      <c r="BPC55" s="82"/>
      <c r="BPD55" s="82"/>
      <c r="BPE55" s="82"/>
      <c r="BPF55" s="82"/>
      <c r="BPG55" s="82"/>
      <c r="BPH55" s="82"/>
      <c r="BPI55" s="82"/>
      <c r="BPJ55" s="82"/>
      <c r="BPK55" s="82"/>
      <c r="BPL55" s="82"/>
      <c r="BPM55" s="82"/>
      <c r="BPN55" s="82"/>
      <c r="BPO55" s="82"/>
      <c r="BPP55" s="82"/>
      <c r="BPQ55" s="82"/>
      <c r="BPR55" s="82"/>
      <c r="BPS55" s="82"/>
      <c r="BPT55" s="82"/>
      <c r="BPU55" s="82"/>
      <c r="BPV55" s="82"/>
      <c r="BPW55" s="82"/>
      <c r="BPX55" s="82"/>
      <c r="BPY55" s="82"/>
      <c r="BPZ55" s="82"/>
      <c r="BQA55" s="82"/>
      <c r="BQB55" s="82"/>
      <c r="BQC55" s="82"/>
      <c r="BQD55" s="82"/>
      <c r="BQE55" s="82"/>
      <c r="BQF55" s="82"/>
      <c r="BQG55" s="82"/>
      <c r="BQH55" s="82"/>
      <c r="BQI55" s="82"/>
      <c r="BQJ55" s="82"/>
      <c r="BQK55" s="82"/>
      <c r="BQL55" s="82"/>
      <c r="BQM55" s="82"/>
      <c r="BQN55" s="82"/>
      <c r="BQO55" s="82"/>
      <c r="BQP55" s="82"/>
      <c r="BQQ55" s="82"/>
      <c r="BQR55" s="82"/>
      <c r="BQS55" s="82"/>
      <c r="BQT55" s="82"/>
      <c r="BQU55" s="82"/>
      <c r="BQV55" s="82"/>
      <c r="BQW55" s="82"/>
      <c r="BQX55" s="82"/>
      <c r="BQY55" s="82"/>
      <c r="BQZ55" s="82"/>
      <c r="BRA55" s="82"/>
      <c r="BRB55" s="82"/>
      <c r="BRC55" s="82"/>
      <c r="BRD55" s="82"/>
      <c r="BRE55" s="82"/>
      <c r="BRF55" s="82"/>
      <c r="BRG55" s="82"/>
      <c r="BRH55" s="82"/>
      <c r="BRI55" s="82"/>
      <c r="BRJ55" s="82"/>
      <c r="BRK55" s="82"/>
      <c r="BRL55" s="82"/>
      <c r="BRM55" s="82"/>
      <c r="BRN55" s="82"/>
      <c r="BRO55" s="82"/>
      <c r="BRP55" s="82"/>
      <c r="BRQ55" s="82"/>
      <c r="BRR55" s="82"/>
      <c r="BRS55" s="82"/>
      <c r="BRT55" s="82"/>
      <c r="BRU55" s="82"/>
      <c r="BRV55" s="82"/>
      <c r="BRW55" s="82"/>
      <c r="BRX55" s="82"/>
      <c r="BRY55" s="82"/>
      <c r="BRZ55" s="82"/>
      <c r="BSA55" s="82"/>
      <c r="BSB55" s="82"/>
      <c r="BSC55" s="82"/>
      <c r="BSD55" s="82"/>
      <c r="BSE55" s="82"/>
      <c r="BSF55" s="82"/>
      <c r="BSG55" s="82"/>
      <c r="BSH55" s="82"/>
      <c r="BSI55" s="82"/>
      <c r="BSJ55" s="82"/>
      <c r="BSK55" s="82"/>
      <c r="BSL55" s="82"/>
      <c r="BSM55" s="82"/>
      <c r="BSN55" s="82"/>
      <c r="BSO55" s="82"/>
      <c r="BSP55" s="82"/>
      <c r="BSQ55" s="82"/>
      <c r="BSR55" s="82"/>
      <c r="BSS55" s="82"/>
      <c r="BST55" s="82"/>
      <c r="BSU55" s="82"/>
      <c r="BSV55" s="82"/>
      <c r="BSW55" s="82"/>
      <c r="BSX55" s="82"/>
      <c r="BSY55" s="82"/>
      <c r="BSZ55" s="82"/>
      <c r="BTA55" s="82"/>
      <c r="BTB55" s="82"/>
      <c r="BTC55" s="82"/>
      <c r="BTD55" s="82"/>
      <c r="BTE55" s="82"/>
      <c r="BTF55" s="82"/>
      <c r="BTG55" s="82"/>
      <c r="BTH55" s="82"/>
      <c r="BTI55" s="82"/>
      <c r="BTJ55" s="82"/>
      <c r="BTK55" s="82"/>
      <c r="BTL55" s="82"/>
      <c r="BTM55" s="82"/>
      <c r="BTN55" s="82"/>
      <c r="BTO55" s="82"/>
      <c r="BTP55" s="82"/>
      <c r="BTQ55" s="82"/>
      <c r="BTR55" s="82"/>
      <c r="BTS55" s="82"/>
      <c r="BTT55" s="82"/>
      <c r="BTU55" s="82"/>
      <c r="BTV55" s="82"/>
      <c r="BTW55" s="82"/>
      <c r="BTX55" s="82"/>
      <c r="BTY55" s="82"/>
      <c r="BTZ55" s="82"/>
      <c r="BUA55" s="82"/>
      <c r="BUB55" s="82"/>
      <c r="BUC55" s="82"/>
      <c r="BUD55" s="82"/>
      <c r="BUE55" s="82"/>
      <c r="BUF55" s="82"/>
      <c r="BUG55" s="82"/>
      <c r="BUH55" s="82"/>
      <c r="BUI55" s="82"/>
      <c r="BUJ55" s="82"/>
      <c r="BUK55" s="82"/>
      <c r="BUL55" s="82"/>
      <c r="BUM55" s="82"/>
      <c r="BUN55" s="82"/>
      <c r="BUO55" s="82"/>
      <c r="BUP55" s="82"/>
      <c r="BUQ55" s="82"/>
      <c r="BUR55" s="82"/>
      <c r="BUS55" s="82"/>
      <c r="BUT55" s="82"/>
      <c r="BUU55" s="82"/>
      <c r="BUV55" s="82"/>
      <c r="BUW55" s="82"/>
      <c r="BUX55" s="82"/>
      <c r="BUY55" s="82"/>
      <c r="BUZ55" s="82"/>
      <c r="BVA55" s="82"/>
      <c r="BVB55" s="82"/>
      <c r="BVC55" s="82"/>
      <c r="BVD55" s="82"/>
      <c r="BVE55" s="82"/>
      <c r="BVF55" s="82"/>
      <c r="BVG55" s="82"/>
      <c r="BVH55" s="82"/>
      <c r="BVI55" s="82"/>
      <c r="BVJ55" s="82"/>
      <c r="BVK55" s="82"/>
      <c r="BVL55" s="82"/>
      <c r="BVM55" s="82"/>
      <c r="BVN55" s="82"/>
      <c r="BVO55" s="82"/>
      <c r="BVP55" s="82"/>
      <c r="BVQ55" s="82"/>
      <c r="BVR55" s="82"/>
      <c r="BVS55" s="82"/>
      <c r="BVT55" s="82"/>
      <c r="BVU55" s="82"/>
      <c r="BVV55" s="82"/>
      <c r="BVW55" s="82"/>
      <c r="BVX55" s="82"/>
      <c r="BVY55" s="82"/>
      <c r="BVZ55" s="82"/>
      <c r="BWA55" s="82"/>
      <c r="BWB55" s="82"/>
      <c r="BWC55" s="82"/>
      <c r="BWD55" s="82"/>
      <c r="BWE55" s="82"/>
      <c r="BWF55" s="82"/>
      <c r="BWG55" s="82"/>
      <c r="BWH55" s="82"/>
      <c r="BWI55" s="82"/>
      <c r="BWJ55" s="82"/>
      <c r="BWK55" s="82"/>
      <c r="BWL55" s="82"/>
      <c r="BWM55" s="82"/>
      <c r="BWN55" s="82"/>
      <c r="BWO55" s="82"/>
      <c r="BWP55" s="82"/>
      <c r="BWQ55" s="82"/>
      <c r="BWR55" s="82"/>
      <c r="BWS55" s="82"/>
      <c r="BWT55" s="82"/>
      <c r="BWU55" s="82"/>
      <c r="BWV55" s="82"/>
      <c r="BWW55" s="82"/>
      <c r="BWX55" s="82"/>
      <c r="BWY55" s="82"/>
      <c r="BWZ55" s="82"/>
      <c r="BXA55" s="82"/>
      <c r="BXB55" s="82"/>
      <c r="BXC55" s="82"/>
      <c r="BXD55" s="82"/>
      <c r="BXE55" s="82"/>
      <c r="BXF55" s="82"/>
      <c r="BXG55" s="82"/>
      <c r="BXH55" s="82"/>
      <c r="BXI55" s="82"/>
      <c r="BXJ55" s="82"/>
      <c r="BXK55" s="82"/>
      <c r="BXL55" s="82"/>
      <c r="BXM55" s="82"/>
      <c r="BXN55" s="82"/>
      <c r="BXO55" s="82"/>
      <c r="BXP55" s="82"/>
      <c r="BXQ55" s="82"/>
      <c r="BXR55" s="82"/>
      <c r="BXS55" s="82"/>
      <c r="BXT55" s="82"/>
      <c r="BXU55" s="82"/>
      <c r="BXV55" s="82"/>
      <c r="BXW55" s="82"/>
      <c r="BXX55" s="82"/>
      <c r="BXY55" s="82"/>
      <c r="BXZ55" s="82"/>
      <c r="BYA55" s="82"/>
      <c r="BYB55" s="82"/>
      <c r="BYC55" s="82"/>
      <c r="BYD55" s="82"/>
      <c r="BYE55" s="82"/>
      <c r="BYF55" s="82"/>
      <c r="BYG55" s="82"/>
      <c r="BYH55" s="82"/>
      <c r="BYI55" s="82"/>
      <c r="BYJ55" s="82"/>
      <c r="BYK55" s="82"/>
      <c r="BYL55" s="82"/>
      <c r="BYM55" s="82"/>
      <c r="BYN55" s="82"/>
      <c r="BYO55" s="82"/>
      <c r="BYP55" s="82"/>
      <c r="BYQ55" s="82"/>
      <c r="BYR55" s="82"/>
      <c r="BYS55" s="82"/>
      <c r="BYT55" s="82"/>
      <c r="BYU55" s="82"/>
      <c r="BYV55" s="82"/>
      <c r="BYW55" s="82"/>
      <c r="BYX55" s="82"/>
      <c r="BYY55" s="82"/>
      <c r="BYZ55" s="82"/>
      <c r="BZA55" s="82"/>
      <c r="BZB55" s="82"/>
      <c r="BZC55" s="82"/>
      <c r="BZD55" s="82"/>
      <c r="BZE55" s="82"/>
      <c r="BZF55" s="82"/>
      <c r="BZG55" s="82"/>
      <c r="BZH55" s="82"/>
      <c r="BZI55" s="82"/>
      <c r="BZJ55" s="82"/>
      <c r="BZK55" s="82"/>
      <c r="BZL55" s="82"/>
      <c r="BZM55" s="82"/>
      <c r="BZN55" s="82"/>
      <c r="BZO55" s="82"/>
      <c r="BZP55" s="82"/>
      <c r="BZQ55" s="82"/>
      <c r="BZR55" s="82"/>
      <c r="BZS55" s="82"/>
      <c r="BZT55" s="82"/>
      <c r="BZU55" s="82"/>
      <c r="BZV55" s="82"/>
      <c r="BZW55" s="82"/>
      <c r="BZX55" s="82"/>
      <c r="BZY55" s="82"/>
      <c r="BZZ55" s="82"/>
      <c r="CAA55" s="82"/>
      <c r="CAB55" s="82"/>
      <c r="CAC55" s="82"/>
      <c r="CAD55" s="82"/>
      <c r="CAE55" s="82"/>
      <c r="CAF55" s="82"/>
      <c r="CAG55" s="82"/>
      <c r="CAH55" s="82"/>
      <c r="CAI55" s="82"/>
      <c r="CAJ55" s="82"/>
      <c r="CAK55" s="82"/>
      <c r="CAL55" s="82"/>
      <c r="CAM55" s="82"/>
      <c r="CAN55" s="82"/>
      <c r="CAO55" s="82"/>
      <c r="CAP55" s="82"/>
      <c r="CAQ55" s="82"/>
      <c r="CAR55" s="82"/>
      <c r="CAS55" s="82"/>
      <c r="CAT55" s="82"/>
      <c r="CAU55" s="82"/>
      <c r="CAV55" s="82"/>
      <c r="CAW55" s="82"/>
      <c r="CAX55" s="82"/>
      <c r="CAY55" s="82"/>
      <c r="CAZ55" s="82"/>
      <c r="CBA55" s="82"/>
      <c r="CBB55" s="82"/>
      <c r="CBC55" s="82"/>
      <c r="CBD55" s="82"/>
      <c r="CBE55" s="82"/>
      <c r="CBF55" s="82"/>
      <c r="CBG55" s="82"/>
      <c r="CBH55" s="82"/>
      <c r="CBI55" s="82"/>
      <c r="CBJ55" s="82"/>
      <c r="CBK55" s="82"/>
      <c r="CBL55" s="82"/>
      <c r="CBM55" s="82"/>
      <c r="CBN55" s="82"/>
      <c r="CBO55" s="82"/>
      <c r="CBP55" s="82"/>
      <c r="CBQ55" s="82"/>
      <c r="CBR55" s="82"/>
      <c r="CBS55" s="82"/>
      <c r="CBT55" s="82"/>
      <c r="CBU55" s="82"/>
      <c r="CBV55" s="82"/>
      <c r="CBW55" s="82"/>
      <c r="CBX55" s="82"/>
      <c r="CBY55" s="82"/>
      <c r="CBZ55" s="82"/>
      <c r="CCA55" s="82"/>
      <c r="CCB55" s="82"/>
      <c r="CCC55" s="82"/>
      <c r="CCD55" s="82"/>
      <c r="CCE55" s="82"/>
      <c r="CCF55" s="82"/>
      <c r="CCG55" s="82"/>
      <c r="CCH55" s="82"/>
      <c r="CCI55" s="82"/>
      <c r="CCJ55" s="82"/>
      <c r="CCK55" s="82"/>
      <c r="CCL55" s="82"/>
      <c r="CCM55" s="82"/>
      <c r="CCN55" s="82"/>
      <c r="CCO55" s="82"/>
      <c r="CCP55" s="82"/>
      <c r="CCQ55" s="82"/>
      <c r="CCR55" s="82"/>
      <c r="CCS55" s="82"/>
      <c r="CCT55" s="82"/>
      <c r="CCU55" s="82"/>
      <c r="CCV55" s="82"/>
      <c r="CCW55" s="82"/>
      <c r="CCX55" s="82"/>
      <c r="CCY55" s="82"/>
      <c r="CCZ55" s="82"/>
      <c r="CDA55" s="82"/>
      <c r="CDB55" s="82"/>
      <c r="CDC55" s="82"/>
      <c r="CDD55" s="82"/>
      <c r="CDE55" s="82"/>
      <c r="CDF55" s="82"/>
      <c r="CDG55" s="82"/>
      <c r="CDH55" s="82"/>
      <c r="CDI55" s="82"/>
      <c r="CDJ55" s="82"/>
      <c r="CDK55" s="82"/>
      <c r="CDL55" s="82"/>
      <c r="CDM55" s="82"/>
      <c r="CDN55" s="82"/>
      <c r="CDO55" s="82"/>
      <c r="CDP55" s="82"/>
      <c r="CDQ55" s="82"/>
      <c r="CDR55" s="82"/>
      <c r="CDS55" s="82"/>
      <c r="CDT55" s="82"/>
      <c r="CDU55" s="82"/>
      <c r="CDV55" s="82"/>
      <c r="CDW55" s="82"/>
      <c r="CDX55" s="82"/>
      <c r="CDY55" s="82"/>
      <c r="CDZ55" s="82"/>
      <c r="CEA55" s="82"/>
      <c r="CEB55" s="82"/>
      <c r="CEC55" s="82"/>
      <c r="CED55" s="82"/>
      <c r="CEE55" s="82"/>
      <c r="CEF55" s="82"/>
      <c r="CEG55" s="82"/>
      <c r="CEH55" s="82"/>
      <c r="CEI55" s="82"/>
      <c r="CEJ55" s="82"/>
      <c r="CEK55" s="82"/>
      <c r="CEL55" s="82"/>
      <c r="CEM55" s="82"/>
      <c r="CEN55" s="82"/>
      <c r="CEO55" s="82"/>
      <c r="CEP55" s="82"/>
      <c r="CEQ55" s="82"/>
      <c r="CER55" s="82"/>
      <c r="CES55" s="82"/>
      <c r="CET55" s="82"/>
      <c r="CEU55" s="82"/>
      <c r="CEV55" s="82"/>
      <c r="CEW55" s="82"/>
      <c r="CEX55" s="82"/>
      <c r="CEY55" s="82"/>
      <c r="CEZ55" s="82"/>
      <c r="CFA55" s="82"/>
      <c r="CFB55" s="82"/>
      <c r="CFC55" s="82"/>
      <c r="CFD55" s="82"/>
      <c r="CFE55" s="82"/>
      <c r="CFF55" s="82"/>
      <c r="CFG55" s="82"/>
      <c r="CFH55" s="82"/>
      <c r="CFI55" s="82"/>
      <c r="CFJ55" s="82"/>
      <c r="CFK55" s="82"/>
      <c r="CFL55" s="82"/>
      <c r="CFM55" s="82"/>
      <c r="CFN55" s="82"/>
      <c r="CFO55" s="82"/>
      <c r="CFP55" s="82"/>
      <c r="CFQ55" s="82"/>
      <c r="CFR55" s="82"/>
      <c r="CFS55" s="82"/>
      <c r="CFT55" s="82"/>
      <c r="CFU55" s="82"/>
      <c r="CFV55" s="82"/>
      <c r="CFW55" s="82"/>
      <c r="CFX55" s="82"/>
      <c r="CFY55" s="82"/>
      <c r="CFZ55" s="82"/>
      <c r="CGA55" s="82"/>
      <c r="CGB55" s="82"/>
      <c r="CGC55" s="82"/>
      <c r="CGD55" s="82"/>
      <c r="CGE55" s="82"/>
      <c r="CGF55" s="82"/>
      <c r="CGG55" s="82"/>
      <c r="CGH55" s="82"/>
      <c r="CGI55" s="82"/>
      <c r="CGJ55" s="82"/>
      <c r="CGK55" s="82"/>
      <c r="CGL55" s="82"/>
      <c r="CGM55" s="82"/>
      <c r="CGN55" s="82"/>
      <c r="CGO55" s="82"/>
      <c r="CGP55" s="82"/>
      <c r="CGQ55" s="82"/>
      <c r="CGR55" s="82"/>
      <c r="CGS55" s="82"/>
      <c r="CGT55" s="82"/>
      <c r="CGU55" s="82"/>
      <c r="CGV55" s="82"/>
      <c r="CGW55" s="82"/>
      <c r="CGX55" s="82"/>
      <c r="CGY55" s="82"/>
      <c r="CGZ55" s="82"/>
      <c r="CHA55" s="82"/>
      <c r="CHB55" s="82"/>
      <c r="CHC55" s="82"/>
      <c r="CHD55" s="82"/>
      <c r="CHE55" s="82"/>
      <c r="CHF55" s="82"/>
      <c r="CHG55" s="82"/>
      <c r="CHH55" s="82"/>
      <c r="CHI55" s="82"/>
      <c r="CHJ55" s="82"/>
      <c r="CHK55" s="82"/>
      <c r="CHL55" s="82"/>
      <c r="CHM55" s="82"/>
      <c r="CHN55" s="82"/>
      <c r="CHO55" s="82"/>
      <c r="CHP55" s="82"/>
      <c r="CHQ55" s="82"/>
      <c r="CHR55" s="82"/>
      <c r="CHS55" s="82"/>
      <c r="CHT55" s="82"/>
      <c r="CHU55" s="82"/>
      <c r="CHV55" s="82"/>
      <c r="CHW55" s="82"/>
      <c r="CHX55" s="82"/>
      <c r="CHY55" s="82"/>
      <c r="CHZ55" s="82"/>
      <c r="CIA55" s="82"/>
      <c r="CIB55" s="82"/>
      <c r="CIC55" s="82"/>
      <c r="CID55" s="82"/>
      <c r="CIE55" s="82"/>
      <c r="CIF55" s="82"/>
      <c r="CIG55" s="82"/>
      <c r="CIH55" s="82"/>
      <c r="CII55" s="82"/>
      <c r="CIJ55" s="82"/>
      <c r="CIK55" s="82"/>
      <c r="CIL55" s="82"/>
      <c r="CIM55" s="82"/>
      <c r="CIN55" s="82"/>
      <c r="CIO55" s="82"/>
      <c r="CIP55" s="82"/>
      <c r="CIQ55" s="82"/>
      <c r="CIR55" s="82"/>
      <c r="CIS55" s="82"/>
      <c r="CIT55" s="82"/>
      <c r="CIU55" s="82"/>
      <c r="CIV55" s="82"/>
      <c r="CIW55" s="82"/>
      <c r="CIX55" s="82"/>
      <c r="CIY55" s="82"/>
      <c r="CIZ55" s="82"/>
      <c r="CJA55" s="82"/>
      <c r="CJB55" s="82"/>
      <c r="CJC55" s="82"/>
      <c r="CJD55" s="82"/>
      <c r="CJE55" s="82"/>
      <c r="CJF55" s="82"/>
      <c r="CJG55" s="82"/>
      <c r="CJH55" s="82"/>
      <c r="CJI55" s="82"/>
      <c r="CJJ55" s="82"/>
      <c r="CJK55" s="82"/>
      <c r="CJL55" s="82"/>
      <c r="CJM55" s="82"/>
      <c r="CJN55" s="82"/>
      <c r="CJO55" s="82"/>
      <c r="CJP55" s="82"/>
      <c r="CJQ55" s="82"/>
      <c r="CJR55" s="82"/>
      <c r="CJS55" s="82"/>
      <c r="CJT55" s="82"/>
      <c r="CJU55" s="82"/>
      <c r="CJV55" s="82"/>
      <c r="CJW55" s="82"/>
      <c r="CJX55" s="82"/>
      <c r="CJY55" s="82"/>
      <c r="CJZ55" s="82"/>
      <c r="CKA55" s="82"/>
      <c r="CKB55" s="82"/>
      <c r="CKC55" s="82"/>
      <c r="CKD55" s="82"/>
      <c r="CKE55" s="82"/>
      <c r="CKF55" s="82"/>
      <c r="CKG55" s="82"/>
      <c r="CKH55" s="82"/>
      <c r="CKI55" s="82"/>
      <c r="CKJ55" s="82"/>
      <c r="CKK55" s="82"/>
      <c r="CKL55" s="82"/>
      <c r="CKM55" s="82"/>
      <c r="CKN55" s="82"/>
      <c r="CKO55" s="82"/>
      <c r="CKP55" s="82"/>
      <c r="CKQ55" s="82"/>
      <c r="CKR55" s="82"/>
      <c r="CKS55" s="82"/>
      <c r="CKT55" s="82"/>
      <c r="CKU55" s="82"/>
      <c r="CKV55" s="82"/>
      <c r="CKW55" s="82"/>
      <c r="CKX55" s="82"/>
      <c r="CKY55" s="82"/>
      <c r="CKZ55" s="82"/>
      <c r="CLA55" s="82"/>
      <c r="CLB55" s="82"/>
      <c r="CLC55" s="82"/>
      <c r="CLD55" s="82"/>
      <c r="CLE55" s="82"/>
      <c r="CLF55" s="82"/>
      <c r="CLG55" s="82"/>
      <c r="CLH55" s="82"/>
      <c r="CLI55" s="82"/>
      <c r="CLJ55" s="82"/>
      <c r="CLK55" s="82"/>
      <c r="CLL55" s="82"/>
      <c r="CLM55" s="82"/>
      <c r="CLN55" s="82"/>
      <c r="CLO55" s="82"/>
      <c r="CLP55" s="82"/>
      <c r="CLQ55" s="82"/>
      <c r="CLR55" s="82"/>
      <c r="CLS55" s="82"/>
      <c r="CLT55" s="82"/>
      <c r="CLU55" s="82"/>
      <c r="CLV55" s="82"/>
      <c r="CLW55" s="82"/>
      <c r="CLX55" s="82"/>
      <c r="CLY55" s="82"/>
      <c r="CLZ55" s="82"/>
      <c r="CMA55" s="82"/>
      <c r="CMB55" s="82"/>
      <c r="CMC55" s="82"/>
      <c r="CMD55" s="82"/>
      <c r="CME55" s="82"/>
      <c r="CMF55" s="82"/>
      <c r="CMG55" s="82"/>
      <c r="CMH55" s="82"/>
      <c r="CMI55" s="82"/>
      <c r="CMJ55" s="82"/>
      <c r="CMK55" s="82"/>
      <c r="CML55" s="82"/>
      <c r="CMM55" s="82"/>
      <c r="CMN55" s="82"/>
      <c r="CMO55" s="82"/>
      <c r="CMP55" s="82"/>
      <c r="CMQ55" s="82"/>
      <c r="CMR55" s="82"/>
      <c r="CMS55" s="82"/>
      <c r="CMT55" s="82"/>
      <c r="CMU55" s="82"/>
      <c r="CMV55" s="82"/>
      <c r="CMW55" s="82"/>
      <c r="CMX55" s="82"/>
      <c r="CMY55" s="82"/>
      <c r="CMZ55" s="82"/>
      <c r="CNA55" s="82"/>
      <c r="CNB55" s="82"/>
      <c r="CNC55" s="82"/>
      <c r="CND55" s="82"/>
      <c r="CNE55" s="82"/>
      <c r="CNF55" s="82"/>
      <c r="CNG55" s="82"/>
      <c r="CNH55" s="82"/>
      <c r="CNI55" s="82"/>
      <c r="CNJ55" s="82"/>
      <c r="CNK55" s="82"/>
      <c r="CNL55" s="82"/>
      <c r="CNM55" s="82"/>
      <c r="CNN55" s="82"/>
      <c r="CNO55" s="82"/>
      <c r="CNP55" s="82"/>
      <c r="CNQ55" s="82"/>
      <c r="CNR55" s="82"/>
      <c r="CNS55" s="82"/>
      <c r="CNT55" s="82"/>
      <c r="CNU55" s="82"/>
      <c r="CNV55" s="82"/>
      <c r="CNW55" s="82"/>
      <c r="CNX55" s="82"/>
      <c r="CNY55" s="82"/>
      <c r="CNZ55" s="82"/>
      <c r="COA55" s="82"/>
      <c r="COB55" s="82"/>
      <c r="COC55" s="82"/>
      <c r="COD55" s="82"/>
      <c r="COE55" s="82"/>
      <c r="COF55" s="82"/>
      <c r="COG55" s="82"/>
      <c r="COH55" s="82"/>
      <c r="COI55" s="82"/>
      <c r="COJ55" s="82"/>
      <c r="COK55" s="82"/>
      <c r="COL55" s="82"/>
      <c r="COM55" s="82"/>
      <c r="CON55" s="82"/>
      <c r="COO55" s="82"/>
      <c r="COP55" s="82"/>
      <c r="COQ55" s="82"/>
      <c r="COR55" s="82"/>
      <c r="COS55" s="82"/>
      <c r="COT55" s="82"/>
      <c r="COU55" s="82"/>
      <c r="COV55" s="82"/>
      <c r="COW55" s="82"/>
      <c r="COX55" s="82"/>
      <c r="COY55" s="82"/>
      <c r="COZ55" s="82"/>
      <c r="CPA55" s="82"/>
      <c r="CPB55" s="82"/>
      <c r="CPC55" s="82"/>
      <c r="CPD55" s="82"/>
      <c r="CPE55" s="82"/>
      <c r="CPF55" s="82"/>
      <c r="CPG55" s="82"/>
      <c r="CPH55" s="82"/>
      <c r="CPI55" s="82"/>
      <c r="CPJ55" s="82"/>
      <c r="CPK55" s="82"/>
      <c r="CPL55" s="82"/>
      <c r="CPM55" s="82"/>
      <c r="CPN55" s="82"/>
      <c r="CPO55" s="82"/>
      <c r="CPP55" s="82"/>
      <c r="CPQ55" s="82"/>
      <c r="CPR55" s="82"/>
      <c r="CPS55" s="82"/>
      <c r="CPT55" s="82"/>
      <c r="CPU55" s="82"/>
      <c r="CPV55" s="82"/>
      <c r="CPW55" s="82"/>
      <c r="CPX55" s="82"/>
      <c r="CPY55" s="82"/>
      <c r="CPZ55" s="82"/>
      <c r="CQA55" s="82"/>
      <c r="CQB55" s="82"/>
      <c r="CQC55" s="82"/>
      <c r="CQD55" s="82"/>
      <c r="CQE55" s="82"/>
      <c r="CQF55" s="82"/>
      <c r="CQG55" s="82"/>
      <c r="CQH55" s="82"/>
      <c r="CQI55" s="82"/>
      <c r="CQJ55" s="82"/>
      <c r="CQK55" s="82"/>
      <c r="CQL55" s="82"/>
      <c r="CQM55" s="82"/>
      <c r="CQN55" s="82"/>
      <c r="CQO55" s="82"/>
      <c r="CQP55" s="82"/>
      <c r="CQQ55" s="82"/>
      <c r="CQR55" s="82"/>
      <c r="CQS55" s="82"/>
      <c r="CQT55" s="82"/>
      <c r="CQU55" s="82"/>
      <c r="CQV55" s="82"/>
      <c r="CQW55" s="82"/>
      <c r="CQX55" s="82"/>
      <c r="CQY55" s="82"/>
      <c r="CQZ55" s="82"/>
      <c r="CRA55" s="82"/>
      <c r="CRB55" s="82"/>
      <c r="CRC55" s="82"/>
      <c r="CRD55" s="82"/>
      <c r="CRE55" s="82"/>
      <c r="CRF55" s="82"/>
      <c r="CRG55" s="82"/>
      <c r="CRH55" s="82"/>
      <c r="CRI55" s="82"/>
      <c r="CRJ55" s="82"/>
      <c r="CRK55" s="82"/>
      <c r="CRL55" s="82"/>
      <c r="CRM55" s="82"/>
      <c r="CRN55" s="82"/>
      <c r="CRO55" s="82"/>
      <c r="CRP55" s="82"/>
      <c r="CRQ55" s="82"/>
      <c r="CRR55" s="82"/>
      <c r="CRS55" s="82"/>
      <c r="CRT55" s="82"/>
      <c r="CRU55" s="82"/>
      <c r="CRV55" s="82"/>
      <c r="CRW55" s="82"/>
      <c r="CRX55" s="82"/>
      <c r="CRY55" s="82"/>
      <c r="CRZ55" s="82"/>
      <c r="CSA55" s="82"/>
      <c r="CSB55" s="82"/>
      <c r="CSC55" s="82"/>
      <c r="CSD55" s="82"/>
      <c r="CSE55" s="82"/>
      <c r="CSF55" s="82"/>
      <c r="CSG55" s="82"/>
      <c r="CSH55" s="82"/>
      <c r="CSI55" s="82"/>
      <c r="CSJ55" s="82"/>
      <c r="CSK55" s="82"/>
      <c r="CSL55" s="82"/>
      <c r="CSM55" s="82"/>
      <c r="CSN55" s="82"/>
      <c r="CSO55" s="82"/>
      <c r="CSP55" s="82"/>
      <c r="CSQ55" s="82"/>
      <c r="CSR55" s="82"/>
      <c r="CSS55" s="82"/>
      <c r="CST55" s="82"/>
      <c r="CSU55" s="82"/>
      <c r="CSV55" s="82"/>
      <c r="CSW55" s="82"/>
      <c r="CSX55" s="82"/>
      <c r="CSY55" s="82"/>
      <c r="CSZ55" s="82"/>
      <c r="CTA55" s="82"/>
      <c r="CTB55" s="82"/>
      <c r="CTC55" s="82"/>
      <c r="CTD55" s="82"/>
      <c r="CTE55" s="82"/>
      <c r="CTF55" s="82"/>
      <c r="CTG55" s="82"/>
      <c r="CTH55" s="82"/>
      <c r="CTI55" s="82"/>
      <c r="CTJ55" s="82"/>
      <c r="CTK55" s="82"/>
      <c r="CTL55" s="82"/>
      <c r="CTM55" s="82"/>
      <c r="CTN55" s="82"/>
      <c r="CTO55" s="82"/>
      <c r="CTP55" s="82"/>
      <c r="CTQ55" s="82"/>
      <c r="CTR55" s="82"/>
      <c r="CTS55" s="82"/>
      <c r="CTT55" s="82"/>
      <c r="CTU55" s="82"/>
      <c r="CTV55" s="82"/>
      <c r="CTW55" s="82"/>
      <c r="CTX55" s="82"/>
      <c r="CTY55" s="82"/>
      <c r="CTZ55" s="82"/>
      <c r="CUA55" s="82"/>
      <c r="CUB55" s="82"/>
      <c r="CUC55" s="82"/>
      <c r="CUD55" s="82"/>
      <c r="CUE55" s="82"/>
      <c r="CUF55" s="82"/>
      <c r="CUG55" s="82"/>
      <c r="CUH55" s="82"/>
      <c r="CUI55" s="82"/>
      <c r="CUJ55" s="82"/>
      <c r="CUK55" s="82"/>
      <c r="CUL55" s="82"/>
      <c r="CUM55" s="82"/>
      <c r="CUN55" s="82"/>
      <c r="CUO55" s="82"/>
      <c r="CUP55" s="82"/>
      <c r="CUQ55" s="82"/>
      <c r="CUR55" s="82"/>
      <c r="CUS55" s="82"/>
      <c r="CUT55" s="82"/>
      <c r="CUU55" s="82"/>
      <c r="CUV55" s="82"/>
      <c r="CUW55" s="82"/>
      <c r="CUX55" s="82"/>
      <c r="CUY55" s="82"/>
      <c r="CUZ55" s="82"/>
      <c r="CVA55" s="82"/>
      <c r="CVB55" s="82"/>
      <c r="CVC55" s="82"/>
      <c r="CVD55" s="82"/>
      <c r="CVE55" s="82"/>
      <c r="CVF55" s="82"/>
      <c r="CVG55" s="82"/>
      <c r="CVH55" s="82"/>
      <c r="CVI55" s="82"/>
      <c r="CVJ55" s="82"/>
      <c r="CVK55" s="82"/>
      <c r="CVL55" s="82"/>
      <c r="CVM55" s="82"/>
      <c r="CVN55" s="82"/>
      <c r="CVO55" s="82"/>
      <c r="CVP55" s="82"/>
      <c r="CVQ55" s="82"/>
      <c r="CVR55" s="82"/>
      <c r="CVS55" s="82"/>
      <c r="CVT55" s="82"/>
      <c r="CVU55" s="82"/>
      <c r="CVV55" s="82"/>
      <c r="CVW55" s="82"/>
      <c r="CVX55" s="82"/>
      <c r="CVY55" s="82"/>
      <c r="CVZ55" s="82"/>
      <c r="CWA55" s="82"/>
      <c r="CWB55" s="82"/>
      <c r="CWC55" s="82"/>
      <c r="CWD55" s="82"/>
      <c r="CWE55" s="82"/>
      <c r="CWF55" s="82"/>
      <c r="CWG55" s="82"/>
      <c r="CWH55" s="82"/>
      <c r="CWI55" s="82"/>
      <c r="CWJ55" s="82"/>
      <c r="CWK55" s="82"/>
      <c r="CWL55" s="82"/>
      <c r="CWM55" s="82"/>
      <c r="CWN55" s="82"/>
      <c r="CWO55" s="82"/>
      <c r="CWP55" s="82"/>
      <c r="CWQ55" s="82"/>
      <c r="CWR55" s="82"/>
      <c r="CWS55" s="82"/>
      <c r="CWT55" s="82"/>
      <c r="CWU55" s="82"/>
      <c r="CWV55" s="82"/>
      <c r="CWW55" s="82"/>
      <c r="CWX55" s="82"/>
      <c r="CWY55" s="82"/>
      <c r="CWZ55" s="82"/>
      <c r="CXA55" s="82"/>
      <c r="CXB55" s="82"/>
      <c r="CXC55" s="82"/>
      <c r="CXD55" s="82"/>
      <c r="CXE55" s="82"/>
      <c r="CXF55" s="82"/>
      <c r="CXG55" s="82"/>
      <c r="CXH55" s="82"/>
      <c r="CXI55" s="82"/>
      <c r="CXJ55" s="82"/>
      <c r="CXK55" s="82"/>
      <c r="CXL55" s="82"/>
      <c r="CXM55" s="82"/>
      <c r="CXN55" s="82"/>
      <c r="CXO55" s="82"/>
      <c r="CXP55" s="82"/>
      <c r="CXQ55" s="82"/>
      <c r="CXR55" s="82"/>
      <c r="CXS55" s="82"/>
      <c r="CXT55" s="82"/>
      <c r="CXU55" s="82"/>
      <c r="CXV55" s="82"/>
      <c r="CXW55" s="82"/>
      <c r="CXX55" s="82"/>
      <c r="CXY55" s="82"/>
      <c r="CXZ55" s="82"/>
      <c r="CYA55" s="82"/>
      <c r="CYB55" s="82"/>
      <c r="CYC55" s="82"/>
      <c r="CYD55" s="82"/>
      <c r="CYE55" s="82"/>
      <c r="CYF55" s="82"/>
      <c r="CYG55" s="82"/>
      <c r="CYH55" s="82"/>
      <c r="CYI55" s="82"/>
      <c r="CYJ55" s="82"/>
      <c r="CYK55" s="82"/>
      <c r="CYL55" s="82"/>
      <c r="CYM55" s="82"/>
      <c r="CYN55" s="82"/>
      <c r="CYO55" s="82"/>
      <c r="CYP55" s="82"/>
      <c r="CYQ55" s="82"/>
      <c r="CYR55" s="82"/>
      <c r="CYS55" s="82"/>
      <c r="CYT55" s="82"/>
      <c r="CYU55" s="82"/>
      <c r="CYV55" s="82"/>
      <c r="CYW55" s="82"/>
      <c r="CYX55" s="82"/>
      <c r="CYY55" s="82"/>
      <c r="CYZ55" s="82"/>
      <c r="CZA55" s="82"/>
      <c r="CZB55" s="82"/>
      <c r="CZC55" s="82"/>
      <c r="CZD55" s="82"/>
      <c r="CZE55" s="82"/>
      <c r="CZF55" s="82"/>
      <c r="CZG55" s="82"/>
      <c r="CZH55" s="82"/>
      <c r="CZI55" s="82"/>
      <c r="CZJ55" s="82"/>
      <c r="CZK55" s="82"/>
      <c r="CZL55" s="82"/>
      <c r="CZM55" s="82"/>
      <c r="CZN55" s="82"/>
      <c r="CZO55" s="82"/>
      <c r="CZP55" s="82"/>
      <c r="CZQ55" s="82"/>
      <c r="CZR55" s="82"/>
      <c r="CZS55" s="82"/>
      <c r="CZT55" s="82"/>
      <c r="CZU55" s="82"/>
      <c r="CZV55" s="82"/>
      <c r="CZW55" s="82"/>
      <c r="CZX55" s="82"/>
      <c r="CZY55" s="82"/>
      <c r="CZZ55" s="82"/>
      <c r="DAA55" s="82"/>
      <c r="DAB55" s="82"/>
      <c r="DAC55" s="82"/>
      <c r="DAD55" s="82"/>
      <c r="DAE55" s="82"/>
      <c r="DAF55" s="82"/>
      <c r="DAG55" s="82"/>
      <c r="DAH55" s="82"/>
      <c r="DAI55" s="82"/>
      <c r="DAJ55" s="82"/>
      <c r="DAK55" s="82"/>
      <c r="DAL55" s="82"/>
      <c r="DAM55" s="82"/>
      <c r="DAN55" s="82"/>
      <c r="DAO55" s="82"/>
      <c r="DAP55" s="82"/>
      <c r="DAQ55" s="82"/>
      <c r="DAR55" s="82"/>
      <c r="DAS55" s="82"/>
      <c r="DAT55" s="82"/>
      <c r="DAU55" s="82"/>
      <c r="DAV55" s="82"/>
      <c r="DAW55" s="82"/>
      <c r="DAX55" s="82"/>
      <c r="DAY55" s="82"/>
      <c r="DAZ55" s="82"/>
      <c r="DBA55" s="82"/>
      <c r="DBB55" s="82"/>
      <c r="DBC55" s="82"/>
      <c r="DBD55" s="82"/>
      <c r="DBE55" s="82"/>
      <c r="DBF55" s="82"/>
      <c r="DBG55" s="82"/>
      <c r="DBH55" s="82"/>
      <c r="DBI55" s="82"/>
      <c r="DBJ55" s="82"/>
      <c r="DBK55" s="82"/>
      <c r="DBL55" s="82"/>
      <c r="DBM55" s="82"/>
      <c r="DBN55" s="82"/>
      <c r="DBO55" s="82"/>
      <c r="DBP55" s="82"/>
      <c r="DBQ55" s="82"/>
      <c r="DBR55" s="82"/>
      <c r="DBS55" s="82"/>
      <c r="DBT55" s="82"/>
      <c r="DBU55" s="82"/>
      <c r="DBV55" s="82"/>
      <c r="DBW55" s="82"/>
      <c r="DBX55" s="82"/>
      <c r="DBY55" s="82"/>
      <c r="DBZ55" s="82"/>
      <c r="DCA55" s="82"/>
      <c r="DCB55" s="82"/>
      <c r="DCC55" s="82"/>
      <c r="DCD55" s="82"/>
      <c r="DCE55" s="82"/>
      <c r="DCF55" s="82"/>
      <c r="DCG55" s="82"/>
      <c r="DCH55" s="82"/>
      <c r="DCI55" s="82"/>
      <c r="DCJ55" s="82"/>
      <c r="DCK55" s="82"/>
      <c r="DCL55" s="82"/>
      <c r="DCM55" s="82"/>
      <c r="DCN55" s="82"/>
      <c r="DCO55" s="82"/>
      <c r="DCP55" s="82"/>
      <c r="DCQ55" s="82"/>
      <c r="DCR55" s="82"/>
      <c r="DCS55" s="82"/>
      <c r="DCT55" s="82"/>
      <c r="DCU55" s="82"/>
      <c r="DCV55" s="82"/>
      <c r="DCW55" s="82"/>
      <c r="DCX55" s="82"/>
      <c r="DCY55" s="82"/>
      <c r="DCZ55" s="82"/>
      <c r="DDA55" s="82"/>
      <c r="DDB55" s="82"/>
      <c r="DDC55" s="82"/>
      <c r="DDD55" s="82"/>
      <c r="DDE55" s="82"/>
      <c r="DDF55" s="82"/>
      <c r="DDG55" s="82"/>
      <c r="DDH55" s="82"/>
      <c r="DDI55" s="82"/>
      <c r="DDJ55" s="82"/>
      <c r="DDK55" s="82"/>
      <c r="DDL55" s="82"/>
      <c r="DDM55" s="82"/>
      <c r="DDN55" s="82"/>
      <c r="DDO55" s="82"/>
      <c r="DDP55" s="82"/>
      <c r="DDQ55" s="82"/>
      <c r="DDR55" s="82"/>
      <c r="DDS55" s="82"/>
      <c r="DDT55" s="82"/>
      <c r="DDU55" s="82"/>
      <c r="DDV55" s="82"/>
      <c r="DDW55" s="82"/>
      <c r="DDX55" s="82"/>
      <c r="DDY55" s="82"/>
      <c r="DDZ55" s="82"/>
      <c r="DEA55" s="82"/>
      <c r="DEB55" s="82"/>
      <c r="DEC55" s="82"/>
      <c r="DED55" s="82"/>
      <c r="DEE55" s="82"/>
      <c r="DEF55" s="82"/>
      <c r="DEG55" s="82"/>
      <c r="DEH55" s="82"/>
      <c r="DEI55" s="82"/>
      <c r="DEJ55" s="82"/>
      <c r="DEK55" s="82"/>
      <c r="DEL55" s="82"/>
      <c r="DEM55" s="82"/>
      <c r="DEN55" s="82"/>
      <c r="DEO55" s="82"/>
      <c r="DEP55" s="82"/>
      <c r="DEQ55" s="82"/>
      <c r="DER55" s="82"/>
      <c r="DES55" s="82"/>
      <c r="DET55" s="82"/>
      <c r="DEU55" s="82"/>
      <c r="DEV55" s="82"/>
      <c r="DEW55" s="82"/>
      <c r="DEX55" s="82"/>
      <c r="DEY55" s="82"/>
      <c r="DEZ55" s="82"/>
      <c r="DFA55" s="82"/>
      <c r="DFB55" s="82"/>
      <c r="DFC55" s="82"/>
      <c r="DFD55" s="82"/>
      <c r="DFE55" s="82"/>
      <c r="DFF55" s="82"/>
      <c r="DFG55" s="82"/>
      <c r="DFH55" s="82"/>
      <c r="DFI55" s="82"/>
      <c r="DFJ55" s="82"/>
      <c r="DFK55" s="82"/>
      <c r="DFL55" s="82"/>
      <c r="DFM55" s="82"/>
      <c r="DFN55" s="82"/>
      <c r="DFO55" s="82"/>
      <c r="DFP55" s="82"/>
      <c r="DFQ55" s="82"/>
      <c r="DFR55" s="82"/>
      <c r="DFS55" s="82"/>
      <c r="DFT55" s="82"/>
      <c r="DFU55" s="82"/>
      <c r="DFV55" s="82"/>
      <c r="DFW55" s="82"/>
      <c r="DFX55" s="82"/>
      <c r="DFY55" s="82"/>
      <c r="DFZ55" s="82"/>
      <c r="DGA55" s="82"/>
      <c r="DGB55" s="82"/>
      <c r="DGC55" s="82"/>
      <c r="DGD55" s="82"/>
      <c r="DGE55" s="82"/>
      <c r="DGF55" s="82"/>
      <c r="DGG55" s="82"/>
      <c r="DGH55" s="82"/>
      <c r="DGI55" s="82"/>
      <c r="DGJ55" s="82"/>
      <c r="DGK55" s="82"/>
      <c r="DGL55" s="82"/>
      <c r="DGM55" s="82"/>
      <c r="DGN55" s="82"/>
      <c r="DGO55" s="82"/>
      <c r="DGP55" s="82"/>
      <c r="DGQ55" s="82"/>
      <c r="DGR55" s="82"/>
      <c r="DGS55" s="82"/>
      <c r="DGT55" s="82"/>
      <c r="DGU55" s="82"/>
      <c r="DGV55" s="82"/>
      <c r="DGW55" s="82"/>
      <c r="DGX55" s="82"/>
      <c r="DGY55" s="82"/>
      <c r="DGZ55" s="82"/>
      <c r="DHA55" s="82"/>
      <c r="DHB55" s="82"/>
      <c r="DHC55" s="82"/>
      <c r="DHD55" s="82"/>
      <c r="DHE55" s="82"/>
      <c r="DHF55" s="82"/>
      <c r="DHG55" s="82"/>
      <c r="DHH55" s="82"/>
      <c r="DHI55" s="82"/>
      <c r="DHJ55" s="82"/>
      <c r="DHK55" s="82"/>
      <c r="DHL55" s="82"/>
      <c r="DHM55" s="82"/>
      <c r="DHN55" s="82"/>
      <c r="DHO55" s="82"/>
      <c r="DHP55" s="82"/>
      <c r="DHQ55" s="82"/>
      <c r="DHR55" s="82"/>
      <c r="DHS55" s="82"/>
      <c r="DHT55" s="82"/>
      <c r="DHU55" s="82"/>
      <c r="DHV55" s="82"/>
      <c r="DHW55" s="82"/>
      <c r="DHX55" s="82"/>
      <c r="DHY55" s="82"/>
      <c r="DHZ55" s="82"/>
      <c r="DIA55" s="82"/>
      <c r="DIB55" s="82"/>
      <c r="DIC55" s="82"/>
      <c r="DID55" s="82"/>
      <c r="DIE55" s="82"/>
      <c r="DIF55" s="82"/>
      <c r="DIG55" s="82"/>
      <c r="DIH55" s="82"/>
      <c r="DII55" s="82"/>
      <c r="DIJ55" s="82"/>
      <c r="DIK55" s="82"/>
      <c r="DIL55" s="82"/>
      <c r="DIM55" s="82"/>
      <c r="DIN55" s="82"/>
      <c r="DIO55" s="82"/>
      <c r="DIP55" s="82"/>
      <c r="DIQ55" s="82"/>
      <c r="DIR55" s="82"/>
      <c r="DIS55" s="82"/>
      <c r="DIT55" s="82"/>
      <c r="DIU55" s="82"/>
      <c r="DIV55" s="82"/>
      <c r="DIW55" s="82"/>
      <c r="DIX55" s="82"/>
      <c r="DIY55" s="82"/>
      <c r="DIZ55" s="82"/>
      <c r="DJA55" s="82"/>
      <c r="DJB55" s="82"/>
      <c r="DJC55" s="82"/>
      <c r="DJD55" s="82"/>
      <c r="DJE55" s="82"/>
      <c r="DJF55" s="82"/>
      <c r="DJG55" s="82"/>
      <c r="DJH55" s="82"/>
      <c r="DJI55" s="82"/>
      <c r="DJJ55" s="82"/>
      <c r="DJK55" s="82"/>
      <c r="DJL55" s="82"/>
      <c r="DJM55" s="82"/>
      <c r="DJN55" s="82"/>
      <c r="DJO55" s="82"/>
      <c r="DJP55" s="82"/>
      <c r="DJQ55" s="82"/>
      <c r="DJR55" s="82"/>
      <c r="DJS55" s="82"/>
      <c r="DJT55" s="82"/>
      <c r="DJU55" s="82"/>
      <c r="DJV55" s="82"/>
      <c r="DJW55" s="82"/>
      <c r="DJX55" s="82"/>
      <c r="DJY55" s="82"/>
      <c r="DJZ55" s="82"/>
      <c r="DKA55" s="82"/>
      <c r="DKB55" s="82"/>
      <c r="DKC55" s="82"/>
      <c r="DKD55" s="82"/>
      <c r="DKE55" s="82"/>
      <c r="DKF55" s="82"/>
      <c r="DKG55" s="82"/>
      <c r="DKH55" s="82"/>
      <c r="DKI55" s="82"/>
      <c r="DKJ55" s="82"/>
      <c r="DKK55" s="82"/>
      <c r="DKL55" s="82"/>
      <c r="DKM55" s="82"/>
      <c r="DKN55" s="82"/>
      <c r="DKO55" s="82"/>
      <c r="DKP55" s="82"/>
      <c r="DKQ55" s="82"/>
      <c r="DKR55" s="82"/>
      <c r="DKS55" s="82"/>
      <c r="DKT55" s="82"/>
      <c r="DKU55" s="82"/>
      <c r="DKV55" s="82"/>
      <c r="DKW55" s="82"/>
      <c r="DKX55" s="82"/>
      <c r="DKY55" s="82"/>
      <c r="DKZ55" s="82"/>
      <c r="DLA55" s="82"/>
      <c r="DLB55" s="82"/>
      <c r="DLC55" s="82"/>
      <c r="DLD55" s="82"/>
      <c r="DLE55" s="82"/>
      <c r="DLF55" s="82"/>
      <c r="DLG55" s="82"/>
      <c r="DLH55" s="82"/>
      <c r="DLI55" s="82"/>
      <c r="DLJ55" s="82"/>
      <c r="DLK55" s="82"/>
      <c r="DLL55" s="82"/>
      <c r="DLM55" s="82"/>
      <c r="DLN55" s="82"/>
      <c r="DLO55" s="82"/>
      <c r="DLP55" s="82"/>
      <c r="DLQ55" s="82"/>
      <c r="DLR55" s="82"/>
      <c r="DLS55" s="82"/>
      <c r="DLT55" s="82"/>
      <c r="DLU55" s="82"/>
      <c r="DLV55" s="82"/>
      <c r="DLW55" s="82"/>
      <c r="DLX55" s="82"/>
      <c r="DLY55" s="82"/>
      <c r="DLZ55" s="82"/>
      <c r="DMA55" s="82"/>
      <c r="DMB55" s="82"/>
      <c r="DMC55" s="82"/>
      <c r="DMD55" s="82"/>
      <c r="DME55" s="82"/>
      <c r="DMF55" s="82"/>
      <c r="DMG55" s="82"/>
      <c r="DMH55" s="82"/>
      <c r="DMI55" s="82"/>
      <c r="DMJ55" s="82"/>
      <c r="DMK55" s="82"/>
      <c r="DML55" s="82"/>
      <c r="DMM55" s="82"/>
      <c r="DMN55" s="82"/>
      <c r="DMO55" s="82"/>
      <c r="DMP55" s="82"/>
      <c r="DMQ55" s="82"/>
      <c r="DMR55" s="82"/>
      <c r="DMS55" s="82"/>
      <c r="DMT55" s="82"/>
      <c r="DMU55" s="82"/>
      <c r="DMV55" s="82"/>
      <c r="DMW55" s="82"/>
      <c r="DMX55" s="82"/>
      <c r="DMY55" s="82"/>
      <c r="DMZ55" s="82"/>
      <c r="DNA55" s="82"/>
      <c r="DNB55" s="82"/>
      <c r="DNC55" s="82"/>
      <c r="DND55" s="82"/>
      <c r="DNE55" s="82"/>
      <c r="DNF55" s="82"/>
      <c r="DNG55" s="82"/>
      <c r="DNH55" s="82"/>
      <c r="DNI55" s="82"/>
      <c r="DNJ55" s="82"/>
      <c r="DNK55" s="82"/>
      <c r="DNL55" s="82"/>
      <c r="DNM55" s="82"/>
      <c r="DNN55" s="82"/>
      <c r="DNO55" s="82"/>
      <c r="DNP55" s="82"/>
      <c r="DNQ55" s="82"/>
      <c r="DNR55" s="82"/>
      <c r="DNS55" s="82"/>
      <c r="DNT55" s="82"/>
      <c r="DNU55" s="82"/>
      <c r="DNV55" s="82"/>
      <c r="DNW55" s="82"/>
      <c r="DNX55" s="82"/>
      <c r="DNY55" s="82"/>
      <c r="DNZ55" s="82"/>
      <c r="DOA55" s="82"/>
      <c r="DOB55" s="82"/>
      <c r="DOC55" s="82"/>
      <c r="DOD55" s="82"/>
      <c r="DOE55" s="82"/>
      <c r="DOF55" s="82"/>
      <c r="DOG55" s="82"/>
      <c r="DOH55" s="82"/>
      <c r="DOI55" s="82"/>
      <c r="DOJ55" s="82"/>
      <c r="DOK55" s="82"/>
      <c r="DOL55" s="82"/>
      <c r="DOM55" s="82"/>
      <c r="DON55" s="82"/>
      <c r="DOO55" s="82"/>
      <c r="DOP55" s="82"/>
      <c r="DOQ55" s="82"/>
      <c r="DOR55" s="82"/>
      <c r="DOS55" s="82"/>
      <c r="DOT55" s="82"/>
      <c r="DOU55" s="82"/>
      <c r="DOV55" s="82"/>
      <c r="DOW55" s="82"/>
      <c r="DOX55" s="82"/>
      <c r="DOY55" s="82"/>
      <c r="DOZ55" s="82"/>
      <c r="DPA55" s="82"/>
      <c r="DPB55" s="82"/>
      <c r="DPC55" s="82"/>
      <c r="DPD55" s="82"/>
      <c r="DPE55" s="82"/>
      <c r="DPF55" s="82"/>
      <c r="DPG55" s="82"/>
      <c r="DPH55" s="82"/>
      <c r="DPI55" s="82"/>
      <c r="DPJ55" s="82"/>
      <c r="DPK55" s="82"/>
      <c r="DPL55" s="82"/>
      <c r="DPM55" s="82"/>
      <c r="DPN55" s="82"/>
      <c r="DPO55" s="82"/>
      <c r="DPP55" s="82"/>
      <c r="DPQ55" s="82"/>
      <c r="DPR55" s="82"/>
      <c r="DPS55" s="82"/>
      <c r="DPT55" s="82"/>
      <c r="DPU55" s="82"/>
      <c r="DPV55" s="82"/>
      <c r="DPW55" s="82"/>
      <c r="DPX55" s="82"/>
      <c r="DPY55" s="82"/>
      <c r="DPZ55" s="82"/>
      <c r="DQA55" s="82"/>
      <c r="DQB55" s="82"/>
      <c r="DQC55" s="82"/>
      <c r="DQD55" s="82"/>
      <c r="DQE55" s="82"/>
      <c r="DQF55" s="82"/>
      <c r="DQG55" s="82"/>
      <c r="DQH55" s="82"/>
      <c r="DQI55" s="82"/>
      <c r="DQJ55" s="82"/>
      <c r="DQK55" s="82"/>
      <c r="DQL55" s="82"/>
      <c r="DQM55" s="82"/>
      <c r="DQN55" s="82"/>
      <c r="DQO55" s="82"/>
      <c r="DQP55" s="82"/>
      <c r="DQQ55" s="82"/>
      <c r="DQR55" s="82"/>
      <c r="DQS55" s="82"/>
      <c r="DQT55" s="82"/>
      <c r="DQU55" s="82"/>
      <c r="DQV55" s="82"/>
      <c r="DQW55" s="82"/>
      <c r="DQX55" s="82"/>
      <c r="DQY55" s="82"/>
      <c r="DQZ55" s="82"/>
      <c r="DRA55" s="82"/>
      <c r="DRB55" s="82"/>
      <c r="DRC55" s="82"/>
      <c r="DRD55" s="82"/>
      <c r="DRE55" s="82"/>
      <c r="DRF55" s="82"/>
      <c r="DRG55" s="82"/>
      <c r="DRH55" s="82"/>
      <c r="DRI55" s="82"/>
      <c r="DRJ55" s="82"/>
      <c r="DRK55" s="82"/>
      <c r="DRL55" s="82"/>
      <c r="DRM55" s="82"/>
      <c r="DRN55" s="82"/>
      <c r="DRO55" s="82"/>
      <c r="DRP55" s="82"/>
      <c r="DRQ55" s="82"/>
      <c r="DRR55" s="82"/>
      <c r="DRS55" s="82"/>
      <c r="DRT55" s="82"/>
      <c r="DRU55" s="82"/>
      <c r="DRV55" s="82"/>
      <c r="DRW55" s="82"/>
      <c r="DRX55" s="82"/>
      <c r="DRY55" s="82"/>
      <c r="DRZ55" s="82"/>
      <c r="DSA55" s="82"/>
      <c r="DSB55" s="82"/>
      <c r="DSC55" s="82"/>
      <c r="DSD55" s="82"/>
      <c r="DSE55" s="82"/>
      <c r="DSF55" s="82"/>
      <c r="DSG55" s="82"/>
      <c r="DSH55" s="82"/>
      <c r="DSI55" s="82"/>
      <c r="DSJ55" s="82"/>
      <c r="DSK55" s="82"/>
      <c r="DSL55" s="82"/>
      <c r="DSM55" s="82"/>
      <c r="DSN55" s="82"/>
      <c r="DSO55" s="82"/>
      <c r="DSP55" s="82"/>
      <c r="DSQ55" s="82"/>
      <c r="DSR55" s="82"/>
      <c r="DSS55" s="82"/>
      <c r="DST55" s="82"/>
      <c r="DSU55" s="82"/>
      <c r="DSV55" s="82"/>
      <c r="DSW55" s="82"/>
      <c r="DSX55" s="82"/>
      <c r="DSY55" s="82"/>
      <c r="DSZ55" s="82"/>
      <c r="DTA55" s="82"/>
      <c r="DTB55" s="82"/>
      <c r="DTC55" s="82"/>
      <c r="DTD55" s="82"/>
      <c r="DTE55" s="82"/>
      <c r="DTF55" s="82"/>
      <c r="DTG55" s="82"/>
      <c r="DTH55" s="82"/>
      <c r="DTI55" s="82"/>
      <c r="DTJ55" s="82"/>
      <c r="DTK55" s="82"/>
      <c r="DTL55" s="82"/>
      <c r="DTM55" s="82"/>
      <c r="DTN55" s="82"/>
      <c r="DTO55" s="82"/>
      <c r="DTP55" s="82"/>
      <c r="DTQ55" s="82"/>
      <c r="DTR55" s="82"/>
      <c r="DTS55" s="82"/>
      <c r="DTT55" s="82"/>
      <c r="DTU55" s="82"/>
      <c r="DTV55" s="82"/>
      <c r="DTW55" s="82"/>
      <c r="DTX55" s="82"/>
      <c r="DTY55" s="82"/>
      <c r="DTZ55" s="82"/>
      <c r="DUA55" s="82"/>
      <c r="DUB55" s="82"/>
      <c r="DUC55" s="82"/>
      <c r="DUD55" s="82"/>
      <c r="DUE55" s="82"/>
      <c r="DUF55" s="82"/>
      <c r="DUG55" s="82"/>
      <c r="DUH55" s="82"/>
      <c r="DUI55" s="82"/>
      <c r="DUJ55" s="82"/>
      <c r="DUK55" s="82"/>
      <c r="DUL55" s="82"/>
      <c r="DUM55" s="82"/>
      <c r="DUN55" s="82"/>
      <c r="DUO55" s="82"/>
      <c r="DUP55" s="82"/>
      <c r="DUQ55" s="82"/>
      <c r="DUR55" s="82"/>
      <c r="DUS55" s="82"/>
      <c r="DUT55" s="82"/>
      <c r="DUU55" s="82"/>
      <c r="DUV55" s="82"/>
      <c r="DUW55" s="82"/>
      <c r="DUX55" s="82"/>
      <c r="DUY55" s="82"/>
      <c r="DUZ55" s="82"/>
      <c r="DVA55" s="82"/>
      <c r="DVB55" s="82"/>
      <c r="DVC55" s="82"/>
      <c r="DVD55" s="82"/>
      <c r="DVE55" s="82"/>
      <c r="DVF55" s="82"/>
      <c r="DVG55" s="82"/>
      <c r="DVH55" s="82"/>
      <c r="DVI55" s="82"/>
      <c r="DVJ55" s="82"/>
      <c r="DVK55" s="82"/>
      <c r="DVL55" s="82"/>
      <c r="DVM55" s="82"/>
      <c r="DVN55" s="82"/>
      <c r="DVO55" s="82"/>
      <c r="DVP55" s="82"/>
      <c r="DVQ55" s="82"/>
      <c r="DVR55" s="82"/>
      <c r="DVS55" s="82"/>
      <c r="DVT55" s="82"/>
      <c r="DVU55" s="82"/>
      <c r="DVV55" s="82"/>
      <c r="DVW55" s="82"/>
      <c r="DVX55" s="82"/>
      <c r="DVY55" s="82"/>
      <c r="DVZ55" s="82"/>
      <c r="DWA55" s="82"/>
      <c r="DWB55" s="82"/>
      <c r="DWC55" s="82"/>
      <c r="DWD55" s="82"/>
      <c r="DWE55" s="82"/>
      <c r="DWF55" s="82"/>
      <c r="DWG55" s="82"/>
      <c r="DWH55" s="82"/>
      <c r="DWI55" s="82"/>
      <c r="DWJ55" s="82"/>
      <c r="DWK55" s="82"/>
      <c r="DWL55" s="82"/>
      <c r="DWM55" s="82"/>
      <c r="DWN55" s="82"/>
      <c r="DWO55" s="82"/>
      <c r="DWP55" s="82"/>
      <c r="DWQ55" s="82"/>
      <c r="DWR55" s="82"/>
      <c r="DWS55" s="82"/>
      <c r="DWT55" s="82"/>
      <c r="DWU55" s="82"/>
      <c r="DWV55" s="82"/>
      <c r="DWW55" s="82"/>
      <c r="DWX55" s="82"/>
      <c r="DWY55" s="82"/>
      <c r="DWZ55" s="82"/>
      <c r="DXA55" s="82"/>
      <c r="DXB55" s="82"/>
      <c r="DXC55" s="82"/>
      <c r="DXD55" s="82"/>
      <c r="DXE55" s="82"/>
      <c r="DXF55" s="82"/>
      <c r="DXG55" s="82"/>
      <c r="DXH55" s="82"/>
      <c r="DXI55" s="82"/>
      <c r="DXJ55" s="82"/>
      <c r="DXK55" s="82"/>
      <c r="DXL55" s="82"/>
      <c r="DXM55" s="82"/>
      <c r="DXN55" s="82"/>
      <c r="DXO55" s="82"/>
      <c r="DXP55" s="82"/>
      <c r="DXQ55" s="82"/>
      <c r="DXR55" s="82"/>
      <c r="DXS55" s="82"/>
      <c r="DXT55" s="82"/>
      <c r="DXU55" s="82"/>
      <c r="DXV55" s="82"/>
      <c r="DXW55" s="82"/>
      <c r="DXX55" s="82"/>
      <c r="DXY55" s="82"/>
      <c r="DXZ55" s="82"/>
      <c r="DYA55" s="82"/>
      <c r="DYB55" s="82"/>
      <c r="DYC55" s="82"/>
      <c r="DYD55" s="82"/>
      <c r="DYE55" s="82"/>
      <c r="DYF55" s="82"/>
      <c r="DYG55" s="82"/>
      <c r="DYH55" s="82"/>
      <c r="DYI55" s="82"/>
      <c r="DYJ55" s="82"/>
      <c r="DYK55" s="82"/>
      <c r="DYL55" s="82"/>
      <c r="DYM55" s="82"/>
      <c r="DYN55" s="82"/>
      <c r="DYO55" s="82"/>
      <c r="DYP55" s="82"/>
      <c r="DYQ55" s="82"/>
      <c r="DYR55" s="82"/>
      <c r="DYS55" s="82"/>
      <c r="DYT55" s="82"/>
      <c r="DYU55" s="82"/>
      <c r="DYV55" s="82"/>
      <c r="DYW55" s="82"/>
      <c r="DYX55" s="82"/>
      <c r="DYY55" s="82"/>
      <c r="DYZ55" s="82"/>
      <c r="DZA55" s="82"/>
      <c r="DZB55" s="82"/>
      <c r="DZC55" s="82"/>
      <c r="DZD55" s="82"/>
      <c r="DZE55" s="82"/>
      <c r="DZF55" s="82"/>
      <c r="DZG55" s="82"/>
      <c r="DZH55" s="82"/>
      <c r="DZI55" s="82"/>
      <c r="DZJ55" s="82"/>
      <c r="DZK55" s="82"/>
      <c r="DZL55" s="82"/>
      <c r="DZM55" s="82"/>
      <c r="DZN55" s="82"/>
      <c r="DZO55" s="82"/>
      <c r="DZP55" s="82"/>
      <c r="DZQ55" s="82"/>
      <c r="DZR55" s="82"/>
      <c r="DZS55" s="82"/>
      <c r="DZT55" s="82"/>
      <c r="DZU55" s="82"/>
      <c r="DZV55" s="82"/>
      <c r="DZW55" s="82"/>
      <c r="DZX55" s="82"/>
      <c r="DZY55" s="82"/>
      <c r="DZZ55" s="82"/>
      <c r="EAA55" s="82"/>
      <c r="EAB55" s="82"/>
      <c r="EAC55" s="82"/>
      <c r="EAD55" s="82"/>
      <c r="EAE55" s="82"/>
      <c r="EAF55" s="82"/>
      <c r="EAG55" s="82"/>
      <c r="EAH55" s="82"/>
      <c r="EAI55" s="82"/>
      <c r="EAJ55" s="82"/>
      <c r="EAK55" s="82"/>
      <c r="EAL55" s="82"/>
      <c r="EAM55" s="82"/>
      <c r="EAN55" s="82"/>
      <c r="EAO55" s="82"/>
      <c r="EAP55" s="82"/>
      <c r="EAQ55" s="82"/>
      <c r="EAR55" s="82"/>
      <c r="EAS55" s="82"/>
      <c r="EAT55" s="82"/>
      <c r="EAU55" s="82"/>
      <c r="EAV55" s="82"/>
      <c r="EAW55" s="82"/>
      <c r="EAX55" s="82"/>
      <c r="EAY55" s="82"/>
      <c r="EAZ55" s="82"/>
      <c r="EBA55" s="82"/>
      <c r="EBB55" s="82"/>
      <c r="EBC55" s="82"/>
      <c r="EBD55" s="82"/>
      <c r="EBE55" s="82"/>
      <c r="EBF55" s="82"/>
      <c r="EBG55" s="82"/>
      <c r="EBH55" s="82"/>
      <c r="EBI55" s="82"/>
      <c r="EBJ55" s="82"/>
      <c r="EBK55" s="82"/>
      <c r="EBL55" s="82"/>
      <c r="EBM55" s="82"/>
      <c r="EBN55" s="82"/>
      <c r="EBO55" s="82"/>
      <c r="EBP55" s="82"/>
      <c r="EBQ55" s="82"/>
      <c r="EBR55" s="82"/>
      <c r="EBS55" s="82"/>
      <c r="EBT55" s="82"/>
      <c r="EBU55" s="82"/>
      <c r="EBV55" s="82"/>
      <c r="EBW55" s="82"/>
      <c r="EBX55" s="82"/>
      <c r="EBY55" s="82"/>
      <c r="EBZ55" s="82"/>
      <c r="ECA55" s="82"/>
      <c r="ECB55" s="82"/>
      <c r="ECC55" s="82"/>
      <c r="ECD55" s="82"/>
      <c r="ECE55" s="82"/>
      <c r="ECF55" s="82"/>
      <c r="ECG55" s="82"/>
      <c r="ECH55" s="82"/>
      <c r="ECI55" s="82"/>
      <c r="ECJ55" s="82"/>
      <c r="ECK55" s="82"/>
      <c r="ECL55" s="82"/>
      <c r="ECM55" s="82"/>
      <c r="ECN55" s="82"/>
      <c r="ECO55" s="82"/>
      <c r="ECP55" s="82"/>
      <c r="ECQ55" s="82"/>
      <c r="ECR55" s="82"/>
      <c r="ECS55" s="82"/>
      <c r="ECT55" s="82"/>
      <c r="ECU55" s="82"/>
      <c r="ECV55" s="82"/>
      <c r="ECW55" s="82"/>
      <c r="ECX55" s="82"/>
      <c r="ECY55" s="82"/>
      <c r="ECZ55" s="82"/>
      <c r="EDA55" s="82"/>
      <c r="EDB55" s="82"/>
      <c r="EDC55" s="82"/>
      <c r="EDD55" s="82"/>
      <c r="EDE55" s="82"/>
      <c r="EDF55" s="82"/>
      <c r="EDG55" s="82"/>
      <c r="EDH55" s="82"/>
      <c r="EDI55" s="82"/>
      <c r="EDJ55" s="82"/>
      <c r="EDK55" s="82"/>
      <c r="EDL55" s="82"/>
      <c r="EDM55" s="82"/>
      <c r="EDN55" s="82"/>
      <c r="EDO55" s="82"/>
      <c r="EDP55" s="82"/>
      <c r="EDQ55" s="82"/>
      <c r="EDR55" s="82"/>
      <c r="EDS55" s="82"/>
      <c r="EDT55" s="82"/>
      <c r="EDU55" s="82"/>
      <c r="EDV55" s="82"/>
      <c r="EDW55" s="82"/>
      <c r="EDX55" s="82"/>
      <c r="EDY55" s="82"/>
      <c r="EDZ55" s="82"/>
      <c r="EEA55" s="82"/>
      <c r="EEB55" s="82"/>
      <c r="EEC55" s="82"/>
      <c r="EED55" s="82"/>
      <c r="EEE55" s="82"/>
      <c r="EEF55" s="82"/>
      <c r="EEG55" s="82"/>
      <c r="EEH55" s="82"/>
      <c r="EEI55" s="82"/>
      <c r="EEJ55" s="82"/>
      <c r="EEK55" s="82"/>
      <c r="EEL55" s="82"/>
      <c r="EEM55" s="82"/>
      <c r="EEN55" s="82"/>
      <c r="EEO55" s="82"/>
      <c r="EEP55" s="82"/>
      <c r="EEQ55" s="82"/>
      <c r="EER55" s="82"/>
      <c r="EES55" s="82"/>
      <c r="EET55" s="82"/>
      <c r="EEU55" s="82"/>
      <c r="EEV55" s="82"/>
      <c r="EEW55" s="82"/>
      <c r="EEX55" s="82"/>
      <c r="EEY55" s="82"/>
      <c r="EEZ55" s="82"/>
      <c r="EFA55" s="82"/>
      <c r="EFB55" s="82"/>
      <c r="EFC55" s="82"/>
      <c r="EFD55" s="82"/>
      <c r="EFE55" s="82"/>
      <c r="EFF55" s="82"/>
      <c r="EFG55" s="82"/>
      <c r="EFH55" s="82"/>
      <c r="EFI55" s="82"/>
      <c r="EFJ55" s="82"/>
      <c r="EFK55" s="82"/>
      <c r="EFL55" s="82"/>
      <c r="EFM55" s="82"/>
      <c r="EFN55" s="82"/>
      <c r="EFO55" s="82"/>
      <c r="EFP55" s="82"/>
      <c r="EFQ55" s="82"/>
      <c r="EFR55" s="82"/>
      <c r="EFS55" s="82"/>
      <c r="EFT55" s="82"/>
      <c r="EFU55" s="82"/>
      <c r="EFV55" s="82"/>
      <c r="EFW55" s="82"/>
      <c r="EFX55" s="82"/>
      <c r="EFY55" s="82"/>
      <c r="EFZ55" s="82"/>
      <c r="EGA55" s="82"/>
      <c r="EGB55" s="82"/>
      <c r="EGC55" s="82"/>
      <c r="EGD55" s="82"/>
      <c r="EGE55" s="82"/>
      <c r="EGF55" s="82"/>
      <c r="EGG55" s="82"/>
      <c r="EGH55" s="82"/>
      <c r="EGI55" s="82"/>
      <c r="EGJ55" s="82"/>
      <c r="EGK55" s="82"/>
      <c r="EGL55" s="82"/>
      <c r="EGM55" s="82"/>
      <c r="EGN55" s="82"/>
      <c r="EGO55" s="82"/>
      <c r="EGP55" s="82"/>
      <c r="EGQ55" s="82"/>
      <c r="EGR55" s="82"/>
      <c r="EGS55" s="82"/>
      <c r="EGT55" s="82"/>
      <c r="EGU55" s="82"/>
      <c r="EGV55" s="82"/>
      <c r="EGW55" s="82"/>
      <c r="EGX55" s="82"/>
      <c r="EGY55" s="82"/>
      <c r="EGZ55" s="82"/>
      <c r="EHA55" s="82"/>
      <c r="EHB55" s="82"/>
      <c r="EHC55" s="82"/>
      <c r="EHD55" s="82"/>
      <c r="EHE55" s="82"/>
      <c r="EHF55" s="82"/>
      <c r="EHG55" s="82"/>
      <c r="EHH55" s="82"/>
      <c r="EHI55" s="82"/>
      <c r="EHJ55" s="82"/>
      <c r="EHK55" s="82"/>
      <c r="EHL55" s="82"/>
      <c r="EHM55" s="82"/>
      <c r="EHN55" s="82"/>
      <c r="EHO55" s="82"/>
      <c r="EHP55" s="82"/>
      <c r="EHQ55" s="82"/>
      <c r="EHR55" s="82"/>
      <c r="EHS55" s="82"/>
      <c r="EHT55" s="82"/>
      <c r="EHU55" s="82"/>
      <c r="EHV55" s="82"/>
      <c r="EHW55" s="82"/>
      <c r="EHX55" s="82"/>
      <c r="EHY55" s="82"/>
      <c r="EHZ55" s="82"/>
      <c r="EIA55" s="82"/>
      <c r="EIB55" s="82"/>
      <c r="EIC55" s="82"/>
      <c r="EID55" s="82"/>
      <c r="EIE55" s="82"/>
      <c r="EIF55" s="82"/>
      <c r="EIG55" s="82"/>
      <c r="EIH55" s="82"/>
      <c r="EII55" s="82"/>
      <c r="EIJ55" s="82"/>
      <c r="EIK55" s="82"/>
      <c r="EIL55" s="82"/>
      <c r="EIM55" s="82"/>
      <c r="EIN55" s="82"/>
      <c r="EIO55" s="82"/>
      <c r="EIP55" s="82"/>
      <c r="EIQ55" s="82"/>
      <c r="EIR55" s="82"/>
      <c r="EIS55" s="82"/>
      <c r="EIT55" s="82"/>
      <c r="EIU55" s="82"/>
      <c r="EIV55" s="82"/>
      <c r="EIW55" s="82"/>
      <c r="EIX55" s="82"/>
      <c r="EIY55" s="82"/>
      <c r="EIZ55" s="82"/>
      <c r="EJA55" s="82"/>
      <c r="EJB55" s="82"/>
      <c r="EJC55" s="82"/>
      <c r="EJD55" s="82"/>
      <c r="EJE55" s="82"/>
      <c r="EJF55" s="82"/>
      <c r="EJG55" s="82"/>
      <c r="EJH55" s="82"/>
      <c r="EJI55" s="82"/>
      <c r="EJJ55" s="82"/>
      <c r="EJK55" s="82"/>
      <c r="EJL55" s="82"/>
      <c r="EJM55" s="82"/>
      <c r="EJN55" s="82"/>
      <c r="EJO55" s="82"/>
      <c r="EJP55" s="82"/>
      <c r="EJQ55" s="82"/>
      <c r="EJR55" s="82"/>
      <c r="EJS55" s="82"/>
      <c r="EJT55" s="82"/>
      <c r="EJU55" s="82"/>
      <c r="EJV55" s="82"/>
      <c r="EJW55" s="82"/>
      <c r="EJX55" s="82"/>
      <c r="EJY55" s="82"/>
      <c r="EJZ55" s="82"/>
      <c r="EKA55" s="82"/>
      <c r="EKB55" s="82"/>
      <c r="EKC55" s="82"/>
      <c r="EKD55" s="82"/>
      <c r="EKE55" s="82"/>
      <c r="EKF55" s="82"/>
      <c r="EKG55" s="82"/>
      <c r="EKH55" s="82"/>
      <c r="EKI55" s="82"/>
      <c r="EKJ55" s="82"/>
      <c r="EKK55" s="82"/>
      <c r="EKL55" s="82"/>
      <c r="EKM55" s="82"/>
      <c r="EKN55" s="82"/>
      <c r="EKO55" s="82"/>
      <c r="EKP55" s="82"/>
      <c r="EKQ55" s="82"/>
      <c r="EKR55" s="82"/>
      <c r="EKS55" s="82"/>
      <c r="EKT55" s="82"/>
      <c r="EKU55" s="82"/>
      <c r="EKV55" s="82"/>
      <c r="EKW55" s="82"/>
      <c r="EKX55" s="82"/>
      <c r="EKY55" s="82"/>
      <c r="EKZ55" s="82"/>
      <c r="ELA55" s="82"/>
      <c r="ELB55" s="82"/>
      <c r="ELC55" s="82"/>
      <c r="ELD55" s="82"/>
      <c r="ELE55" s="82"/>
      <c r="ELF55" s="82"/>
      <c r="ELG55" s="82"/>
      <c r="ELH55" s="82"/>
      <c r="ELI55" s="82"/>
      <c r="ELJ55" s="82"/>
      <c r="ELK55" s="82"/>
      <c r="ELL55" s="82"/>
      <c r="ELM55" s="82"/>
      <c r="ELN55" s="82"/>
      <c r="ELO55" s="82"/>
      <c r="ELP55" s="82"/>
      <c r="ELQ55" s="82"/>
      <c r="ELR55" s="82"/>
      <c r="ELS55" s="82"/>
      <c r="ELT55" s="82"/>
      <c r="ELU55" s="82"/>
      <c r="ELV55" s="82"/>
      <c r="ELW55" s="82"/>
      <c r="ELX55" s="82"/>
      <c r="ELY55" s="82"/>
      <c r="ELZ55" s="82"/>
      <c r="EMA55" s="82"/>
      <c r="EMB55" s="82"/>
      <c r="EMC55" s="82"/>
      <c r="EMD55" s="82"/>
      <c r="EME55" s="82"/>
      <c r="EMF55" s="82"/>
      <c r="EMG55" s="82"/>
      <c r="EMH55" s="82"/>
      <c r="EMI55" s="82"/>
      <c r="EMJ55" s="82"/>
      <c r="EMK55" s="82"/>
      <c r="EML55" s="82"/>
      <c r="EMM55" s="82"/>
      <c r="EMN55" s="82"/>
      <c r="EMO55" s="82"/>
      <c r="EMP55" s="82"/>
      <c r="EMQ55" s="82"/>
      <c r="EMR55" s="82"/>
      <c r="EMS55" s="82"/>
      <c r="EMT55" s="82"/>
      <c r="EMU55" s="82"/>
      <c r="EMV55" s="82"/>
      <c r="EMW55" s="82"/>
      <c r="EMX55" s="82"/>
      <c r="EMY55" s="82"/>
      <c r="EMZ55" s="82"/>
      <c r="ENA55" s="82"/>
      <c r="ENB55" s="82"/>
      <c r="ENC55" s="82"/>
      <c r="END55" s="82"/>
      <c r="ENE55" s="82"/>
      <c r="ENF55" s="82"/>
      <c r="ENG55" s="82"/>
      <c r="ENH55" s="82"/>
      <c r="ENI55" s="82"/>
      <c r="ENJ55" s="82"/>
      <c r="ENK55" s="82"/>
      <c r="ENL55" s="82"/>
      <c r="ENM55" s="82"/>
      <c r="ENN55" s="82"/>
      <c r="ENO55" s="82"/>
      <c r="ENP55" s="82"/>
      <c r="ENQ55" s="82"/>
      <c r="ENR55" s="82"/>
      <c r="ENS55" s="82"/>
      <c r="ENT55" s="82"/>
      <c r="ENU55" s="82"/>
      <c r="ENV55" s="82"/>
      <c r="ENW55" s="82"/>
      <c r="ENX55" s="82"/>
      <c r="ENY55" s="82"/>
      <c r="ENZ55" s="82"/>
      <c r="EOA55" s="82"/>
      <c r="EOB55" s="82"/>
      <c r="EOC55" s="82"/>
      <c r="EOD55" s="82"/>
      <c r="EOE55" s="82"/>
      <c r="EOF55" s="82"/>
      <c r="EOG55" s="82"/>
      <c r="EOH55" s="82"/>
      <c r="EOI55" s="82"/>
      <c r="EOJ55" s="82"/>
      <c r="EOK55" s="82"/>
      <c r="EOL55" s="82"/>
      <c r="EOM55" s="82"/>
      <c r="EON55" s="82"/>
      <c r="EOO55" s="82"/>
      <c r="EOP55" s="82"/>
      <c r="EOQ55" s="82"/>
      <c r="EOR55" s="82"/>
      <c r="EOS55" s="82"/>
      <c r="EOT55" s="82"/>
      <c r="EOU55" s="82"/>
      <c r="EOV55" s="82"/>
      <c r="EOW55" s="82"/>
      <c r="EOX55" s="82"/>
      <c r="EOY55" s="82"/>
      <c r="EOZ55" s="82"/>
      <c r="EPA55" s="82"/>
      <c r="EPB55" s="82"/>
      <c r="EPC55" s="82"/>
      <c r="EPD55" s="82"/>
      <c r="EPE55" s="82"/>
      <c r="EPF55" s="82"/>
      <c r="EPG55" s="82"/>
      <c r="EPH55" s="82"/>
      <c r="EPI55" s="82"/>
      <c r="EPJ55" s="82"/>
      <c r="EPK55" s="82"/>
      <c r="EPL55" s="82"/>
      <c r="EPM55" s="82"/>
      <c r="EPN55" s="82"/>
      <c r="EPO55" s="82"/>
      <c r="EPP55" s="82"/>
      <c r="EPQ55" s="82"/>
      <c r="EPR55" s="82"/>
      <c r="EPS55" s="82"/>
      <c r="EPT55" s="82"/>
      <c r="EPU55" s="82"/>
      <c r="EPV55" s="82"/>
      <c r="EPW55" s="82"/>
      <c r="EPX55" s="82"/>
      <c r="EPY55" s="82"/>
      <c r="EPZ55" s="82"/>
      <c r="EQA55" s="82"/>
      <c r="EQB55" s="82"/>
      <c r="EQC55" s="82"/>
      <c r="EQD55" s="82"/>
      <c r="EQE55" s="82"/>
      <c r="EQF55" s="82"/>
      <c r="EQG55" s="82"/>
      <c r="EQH55" s="82"/>
      <c r="EQI55" s="82"/>
      <c r="EQJ55" s="82"/>
      <c r="EQK55" s="82"/>
      <c r="EQL55" s="82"/>
      <c r="EQM55" s="82"/>
      <c r="EQN55" s="82"/>
      <c r="EQO55" s="82"/>
      <c r="EQP55" s="82"/>
      <c r="EQQ55" s="82"/>
      <c r="EQR55" s="82"/>
      <c r="EQS55" s="82"/>
      <c r="EQT55" s="82"/>
      <c r="EQU55" s="82"/>
      <c r="EQV55" s="82"/>
      <c r="EQW55" s="82"/>
      <c r="EQX55" s="82"/>
      <c r="EQY55" s="82"/>
      <c r="EQZ55" s="82"/>
      <c r="ERA55" s="82"/>
      <c r="ERB55" s="82"/>
      <c r="ERC55" s="82"/>
      <c r="ERD55" s="82"/>
      <c r="ERE55" s="82"/>
      <c r="ERF55" s="82"/>
      <c r="ERG55" s="82"/>
      <c r="ERH55" s="82"/>
      <c r="ERI55" s="82"/>
      <c r="ERJ55" s="82"/>
      <c r="ERK55" s="82"/>
      <c r="ERL55" s="82"/>
      <c r="ERM55" s="82"/>
      <c r="ERN55" s="82"/>
      <c r="ERO55" s="82"/>
      <c r="ERP55" s="82"/>
      <c r="ERQ55" s="82"/>
      <c r="ERR55" s="82"/>
      <c r="ERS55" s="82"/>
      <c r="ERT55" s="82"/>
      <c r="ERU55" s="82"/>
      <c r="ERV55" s="82"/>
      <c r="ERW55" s="82"/>
      <c r="ERX55" s="82"/>
      <c r="ERY55" s="82"/>
      <c r="ERZ55" s="82"/>
      <c r="ESA55" s="82"/>
      <c r="ESB55" s="82"/>
      <c r="ESC55" s="82"/>
      <c r="ESD55" s="82"/>
      <c r="ESE55" s="82"/>
      <c r="ESF55" s="82"/>
      <c r="ESG55" s="82"/>
      <c r="ESH55" s="82"/>
      <c r="ESI55" s="82"/>
      <c r="ESJ55" s="82"/>
      <c r="ESK55" s="82"/>
      <c r="ESL55" s="82"/>
      <c r="ESM55" s="82"/>
      <c r="ESN55" s="82"/>
      <c r="ESO55" s="82"/>
      <c r="ESP55" s="82"/>
      <c r="ESQ55" s="82"/>
      <c r="ESR55" s="82"/>
      <c r="ESS55" s="82"/>
      <c r="EST55" s="82"/>
      <c r="ESU55" s="82"/>
      <c r="ESV55" s="82"/>
      <c r="ESW55" s="82"/>
      <c r="ESX55" s="82"/>
      <c r="ESY55" s="82"/>
      <c r="ESZ55" s="82"/>
      <c r="ETA55" s="82"/>
      <c r="ETB55" s="82"/>
      <c r="ETC55" s="82"/>
      <c r="ETD55" s="82"/>
      <c r="ETE55" s="82"/>
      <c r="ETF55" s="82"/>
      <c r="ETG55" s="82"/>
      <c r="ETH55" s="82"/>
      <c r="ETI55" s="82"/>
      <c r="ETJ55" s="82"/>
      <c r="ETK55" s="82"/>
      <c r="ETL55" s="82"/>
      <c r="ETM55" s="82"/>
      <c r="ETN55" s="82"/>
      <c r="ETO55" s="82"/>
      <c r="ETP55" s="82"/>
      <c r="ETQ55" s="82"/>
      <c r="ETR55" s="82"/>
      <c r="ETS55" s="82"/>
      <c r="ETT55" s="82"/>
      <c r="ETU55" s="82"/>
      <c r="ETV55" s="82"/>
      <c r="ETW55" s="82"/>
      <c r="ETX55" s="82"/>
      <c r="ETY55" s="82"/>
      <c r="ETZ55" s="82"/>
      <c r="EUA55" s="82"/>
      <c r="EUB55" s="82"/>
      <c r="EUC55" s="82"/>
      <c r="EUD55" s="82"/>
      <c r="EUE55" s="82"/>
      <c r="EUF55" s="82"/>
      <c r="EUG55" s="82"/>
      <c r="EUH55" s="82"/>
      <c r="EUI55" s="82"/>
      <c r="EUJ55" s="82"/>
      <c r="EUK55" s="82"/>
      <c r="EUL55" s="82"/>
      <c r="EUM55" s="82"/>
      <c r="EUN55" s="82"/>
      <c r="EUO55" s="82"/>
      <c r="EUP55" s="82"/>
      <c r="EUQ55" s="82"/>
      <c r="EUR55" s="82"/>
      <c r="EUS55" s="82"/>
      <c r="EUT55" s="82"/>
      <c r="EUU55" s="82"/>
      <c r="EUV55" s="82"/>
      <c r="EUW55" s="82"/>
      <c r="EUX55" s="82"/>
      <c r="EUY55" s="82"/>
      <c r="EUZ55" s="82"/>
      <c r="EVA55" s="82"/>
      <c r="EVB55" s="82"/>
      <c r="EVC55" s="82"/>
      <c r="EVD55" s="82"/>
      <c r="EVE55" s="82"/>
      <c r="EVF55" s="82"/>
      <c r="EVG55" s="82"/>
      <c r="EVH55" s="82"/>
      <c r="EVI55" s="82"/>
      <c r="EVJ55" s="82"/>
      <c r="EVK55" s="82"/>
      <c r="EVL55" s="82"/>
      <c r="EVM55" s="82"/>
      <c r="EVN55" s="82"/>
      <c r="EVO55" s="82"/>
      <c r="EVP55" s="82"/>
      <c r="EVQ55" s="82"/>
      <c r="EVR55" s="82"/>
      <c r="EVS55" s="82"/>
      <c r="EVT55" s="82"/>
      <c r="EVU55" s="82"/>
      <c r="EVV55" s="82"/>
      <c r="EVW55" s="82"/>
      <c r="EVX55" s="82"/>
      <c r="EVY55" s="82"/>
      <c r="EVZ55" s="82"/>
      <c r="EWA55" s="82"/>
      <c r="EWB55" s="82"/>
      <c r="EWC55" s="82"/>
      <c r="EWD55" s="82"/>
      <c r="EWE55" s="82"/>
      <c r="EWF55" s="82"/>
      <c r="EWG55" s="82"/>
      <c r="EWH55" s="82"/>
      <c r="EWI55" s="82"/>
      <c r="EWJ55" s="82"/>
      <c r="EWK55" s="82"/>
      <c r="EWL55" s="82"/>
      <c r="EWM55" s="82"/>
      <c r="EWN55" s="82"/>
      <c r="EWO55" s="82"/>
      <c r="EWP55" s="82"/>
      <c r="EWQ55" s="82"/>
      <c r="EWR55" s="82"/>
      <c r="EWS55" s="82"/>
      <c r="EWT55" s="82"/>
      <c r="EWU55" s="82"/>
      <c r="EWV55" s="82"/>
      <c r="EWW55" s="82"/>
      <c r="EWX55" s="82"/>
      <c r="EWY55" s="82"/>
      <c r="EWZ55" s="82"/>
      <c r="EXA55" s="82"/>
      <c r="EXB55" s="82"/>
      <c r="EXC55" s="82"/>
      <c r="EXD55" s="82"/>
      <c r="EXE55" s="82"/>
      <c r="EXF55" s="82"/>
      <c r="EXG55" s="82"/>
      <c r="EXH55" s="82"/>
      <c r="EXI55" s="82"/>
      <c r="EXJ55" s="82"/>
      <c r="EXK55" s="82"/>
      <c r="EXL55" s="82"/>
      <c r="EXM55" s="82"/>
      <c r="EXN55" s="82"/>
      <c r="EXO55" s="82"/>
      <c r="EXP55" s="82"/>
      <c r="EXQ55" s="82"/>
      <c r="EXR55" s="82"/>
      <c r="EXS55" s="82"/>
      <c r="EXT55" s="82"/>
      <c r="EXU55" s="82"/>
      <c r="EXV55" s="82"/>
      <c r="EXW55" s="82"/>
      <c r="EXX55" s="82"/>
      <c r="EXY55" s="82"/>
      <c r="EXZ55" s="82"/>
      <c r="EYA55" s="82"/>
      <c r="EYB55" s="82"/>
      <c r="EYC55" s="82"/>
      <c r="EYD55" s="82"/>
      <c r="EYE55" s="82"/>
      <c r="EYF55" s="82"/>
      <c r="EYG55" s="82"/>
      <c r="EYH55" s="82"/>
      <c r="EYI55" s="82"/>
      <c r="EYJ55" s="82"/>
      <c r="EYK55" s="82"/>
      <c r="EYL55" s="82"/>
      <c r="EYM55" s="82"/>
      <c r="EYN55" s="82"/>
      <c r="EYO55" s="82"/>
      <c r="EYP55" s="82"/>
      <c r="EYQ55" s="82"/>
      <c r="EYR55" s="82"/>
      <c r="EYS55" s="82"/>
      <c r="EYT55" s="82"/>
      <c r="EYU55" s="82"/>
      <c r="EYV55" s="82"/>
      <c r="EYW55" s="82"/>
      <c r="EYX55" s="82"/>
      <c r="EYY55" s="82"/>
      <c r="EYZ55" s="82"/>
      <c r="EZA55" s="82"/>
      <c r="EZB55" s="82"/>
      <c r="EZC55" s="82"/>
      <c r="EZD55" s="82"/>
      <c r="EZE55" s="82"/>
      <c r="EZF55" s="82"/>
      <c r="EZG55" s="82"/>
      <c r="EZH55" s="82"/>
      <c r="EZI55" s="82"/>
      <c r="EZJ55" s="82"/>
      <c r="EZK55" s="82"/>
      <c r="EZL55" s="82"/>
      <c r="EZM55" s="82"/>
      <c r="EZN55" s="82"/>
      <c r="EZO55" s="82"/>
      <c r="EZP55" s="82"/>
      <c r="EZQ55" s="82"/>
      <c r="EZR55" s="82"/>
      <c r="EZS55" s="82"/>
      <c r="EZT55" s="82"/>
      <c r="EZU55" s="82"/>
      <c r="EZV55" s="82"/>
      <c r="EZW55" s="82"/>
      <c r="EZX55" s="82"/>
      <c r="EZY55" s="82"/>
      <c r="EZZ55" s="82"/>
      <c r="FAA55" s="82"/>
      <c r="FAB55" s="82"/>
      <c r="FAC55" s="82"/>
      <c r="FAD55" s="82"/>
      <c r="FAE55" s="82"/>
      <c r="FAF55" s="82"/>
      <c r="FAG55" s="82"/>
      <c r="FAH55" s="82"/>
      <c r="FAI55" s="82"/>
      <c r="FAJ55" s="82"/>
      <c r="FAK55" s="82"/>
      <c r="FAL55" s="82"/>
      <c r="FAM55" s="82"/>
      <c r="FAN55" s="82"/>
      <c r="FAO55" s="82"/>
      <c r="FAP55" s="82"/>
      <c r="FAQ55" s="82"/>
      <c r="FAR55" s="82"/>
      <c r="FAS55" s="82"/>
      <c r="FAT55" s="82"/>
      <c r="FAU55" s="82"/>
      <c r="FAV55" s="82"/>
      <c r="FAW55" s="82"/>
      <c r="FAX55" s="82"/>
      <c r="FAY55" s="82"/>
      <c r="FAZ55" s="82"/>
      <c r="FBA55" s="82"/>
      <c r="FBB55" s="82"/>
      <c r="FBC55" s="82"/>
      <c r="FBD55" s="82"/>
      <c r="FBE55" s="82"/>
      <c r="FBF55" s="82"/>
      <c r="FBG55" s="82"/>
      <c r="FBH55" s="82"/>
      <c r="FBI55" s="82"/>
      <c r="FBJ55" s="82"/>
      <c r="FBK55" s="82"/>
      <c r="FBL55" s="82"/>
      <c r="FBM55" s="82"/>
      <c r="FBN55" s="82"/>
      <c r="FBO55" s="82"/>
      <c r="FBP55" s="82"/>
      <c r="FBQ55" s="82"/>
      <c r="FBR55" s="82"/>
      <c r="FBS55" s="82"/>
      <c r="FBT55" s="82"/>
      <c r="FBU55" s="82"/>
      <c r="FBV55" s="82"/>
      <c r="FBW55" s="82"/>
      <c r="FBX55" s="82"/>
      <c r="FBY55" s="82"/>
      <c r="FBZ55" s="82"/>
      <c r="FCA55" s="82"/>
      <c r="FCB55" s="82"/>
      <c r="FCC55" s="82"/>
      <c r="FCD55" s="82"/>
      <c r="FCE55" s="82"/>
      <c r="FCF55" s="82"/>
      <c r="FCG55" s="82"/>
      <c r="FCH55" s="82"/>
      <c r="FCI55" s="82"/>
      <c r="FCJ55" s="82"/>
      <c r="FCK55" s="82"/>
      <c r="FCL55" s="82"/>
      <c r="FCM55" s="82"/>
      <c r="FCN55" s="82"/>
      <c r="FCO55" s="82"/>
      <c r="FCP55" s="82"/>
      <c r="FCQ55" s="82"/>
      <c r="FCR55" s="82"/>
      <c r="FCS55" s="82"/>
      <c r="FCT55" s="82"/>
      <c r="FCU55" s="82"/>
      <c r="FCV55" s="82"/>
      <c r="FCW55" s="82"/>
      <c r="FCX55" s="82"/>
      <c r="FCY55" s="82"/>
      <c r="FCZ55" s="82"/>
      <c r="FDA55" s="82"/>
      <c r="FDB55" s="82"/>
      <c r="FDC55" s="82"/>
      <c r="FDD55" s="82"/>
      <c r="FDE55" s="82"/>
      <c r="FDF55" s="82"/>
      <c r="FDG55" s="82"/>
      <c r="FDH55" s="82"/>
      <c r="FDI55" s="82"/>
      <c r="FDJ55" s="82"/>
      <c r="FDK55" s="82"/>
      <c r="FDL55" s="82"/>
      <c r="FDM55" s="82"/>
      <c r="FDN55" s="82"/>
      <c r="FDO55" s="82"/>
      <c r="FDP55" s="82"/>
      <c r="FDQ55" s="82"/>
      <c r="FDR55" s="82"/>
      <c r="FDS55" s="82"/>
      <c r="FDT55" s="82"/>
      <c r="FDU55" s="82"/>
      <c r="FDV55" s="82"/>
      <c r="FDW55" s="82"/>
      <c r="FDX55" s="82"/>
      <c r="FDY55" s="82"/>
      <c r="FDZ55" s="82"/>
      <c r="FEA55" s="82"/>
      <c r="FEB55" s="82"/>
      <c r="FEC55" s="82"/>
      <c r="FED55" s="82"/>
      <c r="FEE55" s="82"/>
      <c r="FEF55" s="82"/>
      <c r="FEG55" s="82"/>
      <c r="FEH55" s="82"/>
      <c r="FEI55" s="82"/>
      <c r="FEJ55" s="82"/>
      <c r="FEK55" s="82"/>
      <c r="FEL55" s="82"/>
      <c r="FEM55" s="82"/>
      <c r="FEN55" s="82"/>
      <c r="FEO55" s="82"/>
      <c r="FEP55" s="82"/>
      <c r="FEQ55" s="82"/>
      <c r="FER55" s="82"/>
      <c r="FES55" s="82"/>
      <c r="FET55" s="82"/>
      <c r="FEU55" s="82"/>
      <c r="FEV55" s="82"/>
      <c r="FEW55" s="82"/>
      <c r="FEX55" s="82"/>
      <c r="FEY55" s="82"/>
      <c r="FEZ55" s="82"/>
      <c r="FFA55" s="82"/>
      <c r="FFB55" s="82"/>
      <c r="FFC55" s="82"/>
      <c r="FFD55" s="82"/>
      <c r="FFE55" s="82"/>
      <c r="FFF55" s="82"/>
      <c r="FFG55" s="82"/>
      <c r="FFH55" s="82"/>
      <c r="FFI55" s="82"/>
      <c r="FFJ55" s="82"/>
      <c r="FFK55" s="82"/>
      <c r="FFL55" s="82"/>
      <c r="FFM55" s="82"/>
      <c r="FFN55" s="82"/>
      <c r="FFO55" s="82"/>
      <c r="FFP55" s="82"/>
      <c r="FFQ55" s="82"/>
      <c r="FFR55" s="82"/>
      <c r="FFS55" s="82"/>
      <c r="FFT55" s="82"/>
      <c r="FFU55" s="82"/>
      <c r="FFV55" s="82"/>
      <c r="FFW55" s="82"/>
      <c r="FFX55" s="82"/>
      <c r="FFY55" s="82"/>
      <c r="FFZ55" s="82"/>
      <c r="FGA55" s="82"/>
      <c r="FGB55" s="82"/>
      <c r="FGC55" s="82"/>
      <c r="FGD55" s="82"/>
      <c r="FGE55" s="82"/>
      <c r="FGF55" s="82"/>
      <c r="FGG55" s="82"/>
      <c r="FGH55" s="82"/>
      <c r="FGI55" s="82"/>
      <c r="FGJ55" s="82"/>
      <c r="FGK55" s="82"/>
      <c r="FGL55" s="82"/>
      <c r="FGM55" s="82"/>
      <c r="FGN55" s="82"/>
      <c r="FGO55" s="82"/>
      <c r="FGP55" s="82"/>
      <c r="FGQ55" s="82"/>
      <c r="FGR55" s="82"/>
      <c r="FGS55" s="82"/>
      <c r="FGT55" s="82"/>
      <c r="FGU55" s="82"/>
      <c r="FGV55" s="82"/>
      <c r="FGW55" s="82"/>
      <c r="FGX55" s="82"/>
      <c r="FGY55" s="82"/>
      <c r="FGZ55" s="82"/>
      <c r="FHA55" s="82"/>
      <c r="FHB55" s="82"/>
      <c r="FHC55" s="82"/>
      <c r="FHD55" s="82"/>
      <c r="FHE55" s="82"/>
      <c r="FHF55" s="82"/>
      <c r="FHG55" s="82"/>
      <c r="FHH55" s="82"/>
      <c r="FHI55" s="82"/>
      <c r="FHJ55" s="82"/>
      <c r="FHK55" s="82"/>
      <c r="FHL55" s="82"/>
      <c r="FHM55" s="82"/>
      <c r="FHN55" s="82"/>
      <c r="FHO55" s="82"/>
      <c r="FHP55" s="82"/>
      <c r="FHQ55" s="82"/>
      <c r="FHR55" s="82"/>
      <c r="FHS55" s="82"/>
      <c r="FHT55" s="82"/>
      <c r="FHU55" s="82"/>
      <c r="FHV55" s="82"/>
      <c r="FHW55" s="82"/>
      <c r="FHX55" s="82"/>
      <c r="FHY55" s="82"/>
      <c r="FHZ55" s="82"/>
      <c r="FIA55" s="82"/>
      <c r="FIB55" s="82"/>
      <c r="FIC55" s="82"/>
      <c r="FID55" s="82"/>
      <c r="FIE55" s="82"/>
      <c r="FIF55" s="82"/>
      <c r="FIG55" s="82"/>
      <c r="FIH55" s="82"/>
      <c r="FII55" s="82"/>
      <c r="FIJ55" s="82"/>
      <c r="FIK55" s="82"/>
      <c r="FIL55" s="82"/>
      <c r="FIM55" s="82"/>
      <c r="FIN55" s="82"/>
      <c r="FIO55" s="82"/>
      <c r="FIP55" s="82"/>
      <c r="FIQ55" s="82"/>
      <c r="FIR55" s="82"/>
      <c r="FIS55" s="82"/>
      <c r="FIT55" s="82"/>
      <c r="FIU55" s="82"/>
      <c r="FIV55" s="82"/>
      <c r="FIW55" s="82"/>
      <c r="FIX55" s="82"/>
      <c r="FIY55" s="82"/>
      <c r="FIZ55" s="82"/>
      <c r="FJA55" s="82"/>
      <c r="FJB55" s="82"/>
      <c r="FJC55" s="82"/>
      <c r="FJD55" s="82"/>
      <c r="FJE55" s="82"/>
      <c r="FJF55" s="82"/>
      <c r="FJG55" s="82"/>
      <c r="FJH55" s="82"/>
      <c r="FJI55" s="82"/>
      <c r="FJJ55" s="82"/>
      <c r="FJK55" s="82"/>
      <c r="FJL55" s="82"/>
      <c r="FJM55" s="82"/>
      <c r="FJN55" s="82"/>
      <c r="FJO55" s="82"/>
      <c r="FJP55" s="82"/>
      <c r="FJQ55" s="82"/>
      <c r="FJR55" s="82"/>
      <c r="FJS55" s="82"/>
      <c r="FJT55" s="82"/>
      <c r="FJU55" s="82"/>
      <c r="FJV55" s="82"/>
      <c r="FJW55" s="82"/>
      <c r="FJX55" s="82"/>
      <c r="FJY55" s="82"/>
      <c r="FJZ55" s="82"/>
      <c r="FKA55" s="82"/>
      <c r="FKB55" s="82"/>
      <c r="FKC55" s="82"/>
      <c r="FKD55" s="82"/>
      <c r="FKE55" s="82"/>
      <c r="FKF55" s="82"/>
      <c r="FKG55" s="82"/>
      <c r="FKH55" s="82"/>
      <c r="FKI55" s="82"/>
      <c r="FKJ55" s="82"/>
      <c r="FKK55" s="82"/>
      <c r="FKL55" s="82"/>
      <c r="FKM55" s="82"/>
      <c r="FKN55" s="82"/>
      <c r="FKO55" s="82"/>
      <c r="FKP55" s="82"/>
      <c r="FKQ55" s="82"/>
      <c r="FKR55" s="82"/>
      <c r="FKS55" s="82"/>
      <c r="FKT55" s="82"/>
      <c r="FKU55" s="82"/>
      <c r="FKV55" s="82"/>
      <c r="FKW55" s="82"/>
      <c r="FKX55" s="82"/>
      <c r="FKY55" s="82"/>
      <c r="FKZ55" s="82"/>
      <c r="FLA55" s="82"/>
      <c r="FLB55" s="82"/>
      <c r="FLC55" s="82"/>
      <c r="FLD55" s="82"/>
      <c r="FLE55" s="82"/>
      <c r="FLF55" s="82"/>
      <c r="FLG55" s="82"/>
      <c r="FLH55" s="82"/>
      <c r="FLI55" s="82"/>
      <c r="FLJ55" s="82"/>
      <c r="FLK55" s="82"/>
      <c r="FLL55" s="82"/>
      <c r="FLM55" s="82"/>
      <c r="FLN55" s="82"/>
      <c r="FLO55" s="82"/>
      <c r="FLP55" s="82"/>
      <c r="FLQ55" s="82"/>
      <c r="FLR55" s="82"/>
      <c r="FLS55" s="82"/>
      <c r="FLT55" s="82"/>
      <c r="FLU55" s="82"/>
      <c r="FLV55" s="82"/>
      <c r="FLW55" s="82"/>
      <c r="FLX55" s="82"/>
      <c r="FLY55" s="82"/>
      <c r="FLZ55" s="82"/>
      <c r="FMA55" s="82"/>
      <c r="FMB55" s="82"/>
      <c r="FMC55" s="82"/>
      <c r="FMD55" s="82"/>
      <c r="FME55" s="82"/>
      <c r="FMF55" s="82"/>
      <c r="FMG55" s="82"/>
      <c r="FMH55" s="82"/>
      <c r="FMI55" s="82"/>
      <c r="FMJ55" s="82"/>
      <c r="FMK55" s="82"/>
      <c r="FML55" s="82"/>
      <c r="FMM55" s="82"/>
      <c r="FMN55" s="82"/>
      <c r="FMO55" s="82"/>
      <c r="FMP55" s="82"/>
      <c r="FMQ55" s="82"/>
      <c r="FMR55" s="82"/>
      <c r="FMS55" s="82"/>
      <c r="FMT55" s="82"/>
      <c r="FMU55" s="82"/>
      <c r="FMV55" s="82"/>
      <c r="FMW55" s="82"/>
      <c r="FMX55" s="82"/>
      <c r="FMY55" s="82"/>
      <c r="FMZ55" s="82"/>
      <c r="FNA55" s="82"/>
      <c r="FNB55" s="82"/>
      <c r="FNC55" s="82"/>
      <c r="FND55" s="82"/>
      <c r="FNE55" s="82"/>
      <c r="FNF55" s="82"/>
      <c r="FNG55" s="82"/>
      <c r="FNH55" s="82"/>
      <c r="FNI55" s="82"/>
      <c r="FNJ55" s="82"/>
      <c r="FNK55" s="82"/>
      <c r="FNL55" s="82"/>
      <c r="FNM55" s="82"/>
      <c r="FNN55" s="82"/>
      <c r="FNO55" s="82"/>
      <c r="FNP55" s="82"/>
      <c r="FNQ55" s="82"/>
      <c r="FNR55" s="82"/>
      <c r="FNS55" s="82"/>
      <c r="FNT55" s="82"/>
      <c r="FNU55" s="82"/>
      <c r="FNV55" s="82"/>
      <c r="FNW55" s="82"/>
      <c r="FNX55" s="82"/>
      <c r="FNY55" s="82"/>
      <c r="FNZ55" s="82"/>
      <c r="FOA55" s="82"/>
      <c r="FOB55" s="82"/>
      <c r="FOC55" s="82"/>
      <c r="FOD55" s="82"/>
      <c r="FOE55" s="82"/>
      <c r="FOF55" s="82"/>
      <c r="FOG55" s="82"/>
      <c r="FOH55" s="82"/>
      <c r="FOI55" s="82"/>
      <c r="FOJ55" s="82"/>
      <c r="FOK55" s="82"/>
      <c r="FOL55" s="82"/>
      <c r="FOM55" s="82"/>
      <c r="FON55" s="82"/>
      <c r="FOO55" s="82"/>
      <c r="FOP55" s="82"/>
      <c r="FOQ55" s="82"/>
      <c r="FOR55" s="82"/>
      <c r="FOS55" s="82"/>
      <c r="FOT55" s="82"/>
      <c r="FOU55" s="82"/>
      <c r="FOV55" s="82"/>
      <c r="FOW55" s="82"/>
      <c r="FOX55" s="82"/>
      <c r="FOY55" s="82"/>
      <c r="FOZ55" s="82"/>
      <c r="FPA55" s="82"/>
      <c r="FPB55" s="82"/>
      <c r="FPC55" s="82"/>
      <c r="FPD55" s="82"/>
      <c r="FPE55" s="82"/>
      <c r="FPF55" s="82"/>
      <c r="FPG55" s="82"/>
      <c r="FPH55" s="82"/>
      <c r="FPI55" s="82"/>
      <c r="FPJ55" s="82"/>
      <c r="FPK55" s="82"/>
      <c r="FPL55" s="82"/>
      <c r="FPM55" s="82"/>
      <c r="FPN55" s="82"/>
      <c r="FPO55" s="82"/>
      <c r="FPP55" s="82"/>
      <c r="FPQ55" s="82"/>
      <c r="FPR55" s="82"/>
      <c r="FPS55" s="82"/>
      <c r="FPT55" s="82"/>
      <c r="FPU55" s="82"/>
      <c r="FPV55" s="82"/>
      <c r="FPW55" s="82"/>
      <c r="FPX55" s="82"/>
      <c r="FPY55" s="82"/>
      <c r="FPZ55" s="82"/>
      <c r="FQA55" s="82"/>
      <c r="FQB55" s="82"/>
      <c r="FQC55" s="82"/>
      <c r="FQD55" s="82"/>
      <c r="FQE55" s="82"/>
      <c r="FQF55" s="82"/>
      <c r="FQG55" s="82"/>
      <c r="FQH55" s="82"/>
      <c r="FQI55" s="82"/>
      <c r="FQJ55" s="82"/>
      <c r="FQK55" s="82"/>
      <c r="FQL55" s="82"/>
      <c r="FQM55" s="82"/>
      <c r="FQN55" s="82"/>
      <c r="FQO55" s="82"/>
      <c r="FQP55" s="82"/>
      <c r="FQQ55" s="82"/>
      <c r="FQR55" s="82"/>
      <c r="FQS55" s="82"/>
      <c r="FQT55" s="82"/>
      <c r="FQU55" s="82"/>
      <c r="FQV55" s="82"/>
      <c r="FQW55" s="82"/>
      <c r="FQX55" s="82"/>
      <c r="FQY55" s="82"/>
      <c r="FQZ55" s="82"/>
      <c r="FRA55" s="82"/>
      <c r="FRB55" s="82"/>
      <c r="FRC55" s="82"/>
      <c r="FRD55" s="82"/>
      <c r="FRE55" s="82"/>
      <c r="FRF55" s="82"/>
      <c r="FRG55" s="82"/>
      <c r="FRH55" s="82"/>
      <c r="FRI55" s="82"/>
      <c r="FRJ55" s="82"/>
      <c r="FRK55" s="82"/>
      <c r="FRL55" s="82"/>
      <c r="FRM55" s="82"/>
      <c r="FRN55" s="82"/>
      <c r="FRO55" s="82"/>
      <c r="FRP55" s="82"/>
      <c r="FRQ55" s="82"/>
      <c r="FRR55" s="82"/>
      <c r="FRS55" s="82"/>
      <c r="FRT55" s="82"/>
      <c r="FRU55" s="82"/>
      <c r="FRV55" s="82"/>
      <c r="FRW55" s="82"/>
      <c r="FRX55" s="82"/>
      <c r="FRY55" s="82"/>
      <c r="FRZ55" s="82"/>
      <c r="FSA55" s="82"/>
      <c r="FSB55" s="82"/>
      <c r="FSC55" s="82"/>
      <c r="FSD55" s="82"/>
      <c r="FSE55" s="82"/>
      <c r="FSF55" s="82"/>
      <c r="FSG55" s="82"/>
      <c r="FSH55" s="82"/>
      <c r="FSI55" s="82"/>
      <c r="FSJ55" s="82"/>
      <c r="FSK55" s="82"/>
      <c r="FSL55" s="82"/>
      <c r="FSM55" s="82"/>
      <c r="FSN55" s="82"/>
      <c r="FSO55" s="82"/>
      <c r="FSP55" s="82"/>
      <c r="FSQ55" s="82"/>
      <c r="FSR55" s="82"/>
      <c r="FSS55" s="82"/>
      <c r="FST55" s="82"/>
      <c r="FSU55" s="82"/>
      <c r="FSV55" s="82"/>
      <c r="FSW55" s="82"/>
      <c r="FSX55" s="82"/>
      <c r="FSY55" s="82"/>
      <c r="FSZ55" s="82"/>
      <c r="FTA55" s="82"/>
      <c r="FTB55" s="82"/>
      <c r="FTC55" s="82"/>
      <c r="FTD55" s="82"/>
      <c r="FTE55" s="82"/>
      <c r="FTF55" s="82"/>
      <c r="FTG55" s="82"/>
      <c r="FTH55" s="82"/>
      <c r="FTI55" s="82"/>
      <c r="FTJ55" s="82"/>
      <c r="FTK55" s="82"/>
      <c r="FTL55" s="82"/>
      <c r="FTM55" s="82"/>
      <c r="FTN55" s="82"/>
      <c r="FTO55" s="82"/>
      <c r="FTP55" s="82"/>
      <c r="FTQ55" s="82"/>
      <c r="FTR55" s="82"/>
      <c r="FTS55" s="82"/>
      <c r="FTT55" s="82"/>
      <c r="FTU55" s="82"/>
      <c r="FTV55" s="82"/>
      <c r="FTW55" s="82"/>
      <c r="FTX55" s="82"/>
      <c r="FTY55" s="82"/>
      <c r="FTZ55" s="82"/>
      <c r="FUA55" s="82"/>
      <c r="FUB55" s="82"/>
      <c r="FUC55" s="82"/>
      <c r="FUD55" s="82"/>
      <c r="FUE55" s="82"/>
      <c r="FUF55" s="82"/>
      <c r="FUG55" s="82"/>
      <c r="FUH55" s="82"/>
      <c r="FUI55" s="82"/>
      <c r="FUJ55" s="82"/>
      <c r="FUK55" s="82"/>
      <c r="FUL55" s="82"/>
      <c r="FUM55" s="82"/>
      <c r="FUN55" s="82"/>
      <c r="FUO55" s="82"/>
      <c r="FUP55" s="82"/>
      <c r="FUQ55" s="82"/>
      <c r="FUR55" s="82"/>
      <c r="FUS55" s="82"/>
      <c r="FUT55" s="82"/>
      <c r="FUU55" s="82"/>
      <c r="FUV55" s="82"/>
      <c r="FUW55" s="82"/>
      <c r="FUX55" s="82"/>
      <c r="FUY55" s="82"/>
      <c r="FUZ55" s="82"/>
      <c r="FVA55" s="82"/>
      <c r="FVB55" s="82"/>
      <c r="FVC55" s="82"/>
      <c r="FVD55" s="82"/>
      <c r="FVE55" s="82"/>
      <c r="FVF55" s="82"/>
      <c r="FVG55" s="82"/>
      <c r="FVH55" s="82"/>
      <c r="FVI55" s="82"/>
      <c r="FVJ55" s="82"/>
      <c r="FVK55" s="82"/>
      <c r="FVL55" s="82"/>
      <c r="FVM55" s="82"/>
      <c r="FVN55" s="82"/>
      <c r="FVO55" s="82"/>
      <c r="FVP55" s="82"/>
      <c r="FVQ55" s="82"/>
      <c r="FVR55" s="82"/>
      <c r="FVS55" s="82"/>
      <c r="FVT55" s="82"/>
      <c r="FVU55" s="82"/>
      <c r="FVV55" s="82"/>
      <c r="FVW55" s="82"/>
      <c r="FVX55" s="82"/>
      <c r="FVY55" s="82"/>
      <c r="FVZ55" s="82"/>
      <c r="FWA55" s="82"/>
      <c r="FWB55" s="82"/>
      <c r="FWC55" s="82"/>
      <c r="FWD55" s="82"/>
      <c r="FWE55" s="82"/>
      <c r="FWF55" s="82"/>
      <c r="FWG55" s="82"/>
      <c r="FWH55" s="82"/>
      <c r="FWI55" s="82"/>
      <c r="FWJ55" s="82"/>
      <c r="FWK55" s="82"/>
      <c r="FWL55" s="82"/>
      <c r="FWM55" s="82"/>
      <c r="FWN55" s="82"/>
      <c r="FWO55" s="82"/>
      <c r="FWP55" s="82"/>
      <c r="FWQ55" s="82"/>
      <c r="FWR55" s="82"/>
      <c r="FWS55" s="82"/>
      <c r="FWT55" s="82"/>
      <c r="FWU55" s="82"/>
      <c r="FWV55" s="82"/>
      <c r="FWW55" s="82"/>
      <c r="FWX55" s="82"/>
      <c r="FWY55" s="82"/>
      <c r="FWZ55" s="82"/>
      <c r="FXA55" s="82"/>
      <c r="FXB55" s="82"/>
      <c r="FXC55" s="82"/>
      <c r="FXD55" s="82"/>
      <c r="FXE55" s="82"/>
      <c r="FXF55" s="82"/>
      <c r="FXG55" s="82"/>
      <c r="FXH55" s="82"/>
      <c r="FXI55" s="82"/>
      <c r="FXJ55" s="82"/>
      <c r="FXK55" s="82"/>
      <c r="FXL55" s="82"/>
      <c r="FXM55" s="82"/>
      <c r="FXN55" s="82"/>
      <c r="FXO55" s="82"/>
      <c r="FXP55" s="82"/>
      <c r="FXQ55" s="82"/>
      <c r="FXR55" s="82"/>
      <c r="FXS55" s="82"/>
      <c r="FXT55" s="82"/>
      <c r="FXU55" s="82"/>
      <c r="FXV55" s="82"/>
      <c r="FXW55" s="82"/>
      <c r="FXX55" s="82"/>
      <c r="FXY55" s="82"/>
      <c r="FXZ55" s="82"/>
      <c r="FYA55" s="82"/>
      <c r="FYB55" s="82"/>
      <c r="FYC55" s="82"/>
      <c r="FYD55" s="82"/>
      <c r="FYE55" s="82"/>
      <c r="FYF55" s="82"/>
      <c r="FYG55" s="82"/>
      <c r="FYH55" s="82"/>
      <c r="FYI55" s="82"/>
      <c r="FYJ55" s="82"/>
      <c r="FYK55" s="82"/>
      <c r="FYL55" s="82"/>
      <c r="FYM55" s="82"/>
      <c r="FYN55" s="82"/>
      <c r="FYO55" s="82"/>
      <c r="FYP55" s="82"/>
      <c r="FYQ55" s="82"/>
      <c r="FYR55" s="82"/>
      <c r="FYS55" s="82"/>
      <c r="FYT55" s="82"/>
      <c r="FYU55" s="82"/>
      <c r="FYV55" s="82"/>
      <c r="FYW55" s="82"/>
      <c r="FYX55" s="82"/>
      <c r="FYY55" s="82"/>
      <c r="FYZ55" s="82"/>
      <c r="FZA55" s="82"/>
      <c r="FZB55" s="82"/>
      <c r="FZC55" s="82"/>
      <c r="FZD55" s="82"/>
      <c r="FZE55" s="82"/>
      <c r="FZF55" s="82"/>
      <c r="FZG55" s="82"/>
      <c r="FZH55" s="82"/>
      <c r="FZI55" s="82"/>
      <c r="FZJ55" s="82"/>
      <c r="FZK55" s="82"/>
      <c r="FZL55" s="82"/>
      <c r="FZM55" s="82"/>
      <c r="FZN55" s="82"/>
      <c r="FZO55" s="82"/>
      <c r="FZP55" s="82"/>
      <c r="FZQ55" s="82"/>
      <c r="FZR55" s="82"/>
      <c r="FZS55" s="82"/>
      <c r="FZT55" s="82"/>
      <c r="FZU55" s="82"/>
      <c r="FZV55" s="82"/>
      <c r="FZW55" s="82"/>
      <c r="FZX55" s="82"/>
      <c r="FZY55" s="82"/>
      <c r="FZZ55" s="82"/>
      <c r="GAA55" s="82"/>
      <c r="GAB55" s="82"/>
      <c r="GAC55" s="82"/>
      <c r="GAD55" s="82"/>
      <c r="GAE55" s="82"/>
      <c r="GAF55" s="82"/>
      <c r="GAG55" s="82"/>
      <c r="GAH55" s="82"/>
      <c r="GAI55" s="82"/>
      <c r="GAJ55" s="82"/>
      <c r="GAK55" s="82"/>
      <c r="GAL55" s="82"/>
      <c r="GAM55" s="82"/>
      <c r="GAN55" s="82"/>
      <c r="GAO55" s="82"/>
      <c r="GAP55" s="82"/>
      <c r="GAQ55" s="82"/>
      <c r="GAR55" s="82"/>
      <c r="GAS55" s="82"/>
      <c r="GAT55" s="82"/>
      <c r="GAU55" s="82"/>
      <c r="GAV55" s="82"/>
      <c r="GAW55" s="82"/>
      <c r="GAX55" s="82"/>
      <c r="GAY55" s="82"/>
      <c r="GAZ55" s="82"/>
      <c r="GBA55" s="82"/>
      <c r="GBB55" s="82"/>
      <c r="GBC55" s="82"/>
      <c r="GBD55" s="82"/>
      <c r="GBE55" s="82"/>
      <c r="GBF55" s="82"/>
      <c r="GBG55" s="82"/>
      <c r="GBH55" s="82"/>
      <c r="GBI55" s="82"/>
      <c r="GBJ55" s="82"/>
      <c r="GBK55" s="82"/>
      <c r="GBL55" s="82"/>
      <c r="GBM55" s="82"/>
      <c r="GBN55" s="82"/>
      <c r="GBO55" s="82"/>
      <c r="GBP55" s="82"/>
      <c r="GBQ55" s="82"/>
      <c r="GBR55" s="82"/>
      <c r="GBS55" s="82"/>
      <c r="GBT55" s="82"/>
      <c r="GBU55" s="82"/>
      <c r="GBV55" s="82"/>
      <c r="GBW55" s="82"/>
      <c r="GBX55" s="82"/>
      <c r="GBY55" s="82"/>
      <c r="GBZ55" s="82"/>
      <c r="GCA55" s="82"/>
      <c r="GCB55" s="82"/>
      <c r="GCC55" s="82"/>
      <c r="GCD55" s="82"/>
      <c r="GCE55" s="82"/>
      <c r="GCF55" s="82"/>
      <c r="GCG55" s="82"/>
      <c r="GCH55" s="82"/>
      <c r="GCI55" s="82"/>
      <c r="GCJ55" s="82"/>
      <c r="GCK55" s="82"/>
      <c r="GCL55" s="82"/>
      <c r="GCM55" s="82"/>
      <c r="GCN55" s="82"/>
      <c r="GCO55" s="82"/>
      <c r="GCP55" s="82"/>
      <c r="GCQ55" s="82"/>
      <c r="GCR55" s="82"/>
      <c r="GCS55" s="82"/>
      <c r="GCT55" s="82"/>
      <c r="GCU55" s="82"/>
      <c r="GCV55" s="82"/>
      <c r="GCW55" s="82"/>
      <c r="GCX55" s="82"/>
      <c r="GCY55" s="82"/>
      <c r="GCZ55" s="82"/>
      <c r="GDA55" s="82"/>
      <c r="GDB55" s="82"/>
      <c r="GDC55" s="82"/>
      <c r="GDD55" s="82"/>
      <c r="GDE55" s="82"/>
      <c r="GDF55" s="82"/>
      <c r="GDG55" s="82"/>
      <c r="GDH55" s="82"/>
      <c r="GDI55" s="82"/>
      <c r="GDJ55" s="82"/>
      <c r="GDK55" s="82"/>
      <c r="GDL55" s="82"/>
      <c r="GDM55" s="82"/>
      <c r="GDN55" s="82"/>
      <c r="GDO55" s="82"/>
      <c r="GDP55" s="82"/>
      <c r="GDQ55" s="82"/>
      <c r="GDR55" s="82"/>
      <c r="GDS55" s="82"/>
      <c r="GDT55" s="82"/>
      <c r="GDU55" s="82"/>
      <c r="GDV55" s="82"/>
      <c r="GDW55" s="82"/>
      <c r="GDX55" s="82"/>
      <c r="GDY55" s="82"/>
      <c r="GDZ55" s="82"/>
      <c r="GEA55" s="82"/>
      <c r="GEB55" s="82"/>
      <c r="GEC55" s="82"/>
      <c r="GED55" s="82"/>
      <c r="GEE55" s="82"/>
      <c r="GEF55" s="82"/>
      <c r="GEG55" s="82"/>
      <c r="GEH55" s="82"/>
      <c r="GEI55" s="82"/>
      <c r="GEJ55" s="82"/>
      <c r="GEK55" s="82"/>
      <c r="GEL55" s="82"/>
      <c r="GEM55" s="82"/>
      <c r="GEN55" s="82"/>
      <c r="GEO55" s="82"/>
      <c r="GEP55" s="82"/>
      <c r="GEQ55" s="82"/>
      <c r="GER55" s="82"/>
      <c r="GES55" s="82"/>
      <c r="GET55" s="82"/>
      <c r="GEU55" s="82"/>
      <c r="GEV55" s="82"/>
      <c r="GEW55" s="82"/>
      <c r="GEX55" s="82"/>
      <c r="GEY55" s="82"/>
      <c r="GEZ55" s="82"/>
      <c r="GFA55" s="82"/>
      <c r="GFB55" s="82"/>
      <c r="GFC55" s="82"/>
      <c r="GFD55" s="82"/>
      <c r="GFE55" s="82"/>
      <c r="GFF55" s="82"/>
      <c r="GFG55" s="82"/>
      <c r="GFH55" s="82"/>
      <c r="GFI55" s="82"/>
      <c r="GFJ55" s="82"/>
      <c r="GFK55" s="82"/>
      <c r="GFL55" s="82"/>
      <c r="GFM55" s="82"/>
      <c r="GFN55" s="82"/>
      <c r="GFO55" s="82"/>
      <c r="GFP55" s="82"/>
      <c r="GFQ55" s="82"/>
      <c r="GFR55" s="82"/>
      <c r="GFS55" s="82"/>
      <c r="GFT55" s="82"/>
      <c r="GFU55" s="82"/>
      <c r="GFV55" s="82"/>
      <c r="GFW55" s="82"/>
      <c r="GFX55" s="82"/>
      <c r="GFY55" s="82"/>
      <c r="GFZ55" s="82"/>
      <c r="GGA55" s="82"/>
      <c r="GGB55" s="82"/>
      <c r="GGC55" s="82"/>
      <c r="GGD55" s="82"/>
      <c r="GGE55" s="82"/>
      <c r="GGF55" s="82"/>
      <c r="GGG55" s="82"/>
      <c r="GGH55" s="82"/>
      <c r="GGI55" s="82"/>
      <c r="GGJ55" s="82"/>
      <c r="GGK55" s="82"/>
      <c r="GGL55" s="82"/>
      <c r="GGM55" s="82"/>
      <c r="GGN55" s="82"/>
      <c r="GGO55" s="82"/>
      <c r="GGP55" s="82"/>
      <c r="GGQ55" s="82"/>
      <c r="GGR55" s="82"/>
      <c r="GGS55" s="82"/>
      <c r="GGT55" s="82"/>
      <c r="GGU55" s="82"/>
      <c r="GGV55" s="82"/>
      <c r="GGW55" s="82"/>
      <c r="GGX55" s="82"/>
      <c r="GGY55" s="82"/>
      <c r="GGZ55" s="82"/>
      <c r="GHA55" s="82"/>
      <c r="GHB55" s="82"/>
      <c r="GHC55" s="82"/>
      <c r="GHD55" s="82"/>
      <c r="GHE55" s="82"/>
      <c r="GHF55" s="82"/>
      <c r="GHG55" s="82"/>
      <c r="GHH55" s="82"/>
      <c r="GHI55" s="82"/>
      <c r="GHJ55" s="82"/>
      <c r="GHK55" s="82"/>
      <c r="GHL55" s="82"/>
      <c r="GHM55" s="82"/>
      <c r="GHN55" s="82"/>
      <c r="GHO55" s="82"/>
      <c r="GHP55" s="82"/>
      <c r="GHQ55" s="82"/>
      <c r="GHR55" s="82"/>
      <c r="GHS55" s="82"/>
      <c r="GHT55" s="82"/>
      <c r="GHU55" s="82"/>
      <c r="GHV55" s="82"/>
      <c r="GHW55" s="82"/>
      <c r="GHX55" s="82"/>
      <c r="GHY55" s="82"/>
      <c r="GHZ55" s="82"/>
      <c r="GIA55" s="82"/>
      <c r="GIB55" s="82"/>
      <c r="GIC55" s="82"/>
      <c r="GID55" s="82"/>
      <c r="GIE55" s="82"/>
      <c r="GIF55" s="82"/>
      <c r="GIG55" s="82"/>
      <c r="GIH55" s="82"/>
      <c r="GII55" s="82"/>
      <c r="GIJ55" s="82"/>
      <c r="GIK55" s="82"/>
      <c r="GIL55" s="82"/>
      <c r="GIM55" s="82"/>
      <c r="GIN55" s="82"/>
      <c r="GIO55" s="82"/>
      <c r="GIP55" s="82"/>
      <c r="GIQ55" s="82"/>
      <c r="GIR55" s="82"/>
      <c r="GIS55" s="82"/>
      <c r="GIT55" s="82"/>
      <c r="GIU55" s="82"/>
      <c r="GIV55" s="82"/>
      <c r="GIW55" s="82"/>
      <c r="GIX55" s="82"/>
      <c r="GIY55" s="82"/>
      <c r="GIZ55" s="82"/>
      <c r="GJA55" s="82"/>
      <c r="GJB55" s="82"/>
      <c r="GJC55" s="82"/>
      <c r="GJD55" s="82"/>
      <c r="GJE55" s="82"/>
      <c r="GJF55" s="82"/>
      <c r="GJG55" s="82"/>
      <c r="GJH55" s="82"/>
      <c r="GJI55" s="82"/>
      <c r="GJJ55" s="82"/>
      <c r="GJK55" s="82"/>
      <c r="GJL55" s="82"/>
      <c r="GJM55" s="82"/>
      <c r="GJN55" s="82"/>
      <c r="GJO55" s="82"/>
      <c r="GJP55" s="82"/>
      <c r="GJQ55" s="82"/>
      <c r="GJR55" s="82"/>
      <c r="GJS55" s="82"/>
      <c r="GJT55" s="82"/>
      <c r="GJU55" s="82"/>
      <c r="GJV55" s="82"/>
      <c r="GJW55" s="82"/>
      <c r="GJX55" s="82"/>
      <c r="GJY55" s="82"/>
      <c r="GJZ55" s="82"/>
      <c r="GKA55" s="82"/>
      <c r="GKB55" s="82"/>
      <c r="GKC55" s="82"/>
      <c r="GKD55" s="82"/>
      <c r="GKE55" s="82"/>
      <c r="GKF55" s="82"/>
      <c r="GKG55" s="82"/>
      <c r="GKH55" s="82"/>
      <c r="GKI55" s="82"/>
      <c r="GKJ55" s="82"/>
      <c r="GKK55" s="82"/>
      <c r="GKL55" s="82"/>
      <c r="GKM55" s="82"/>
      <c r="GKN55" s="82"/>
      <c r="GKO55" s="82"/>
      <c r="GKP55" s="82"/>
      <c r="GKQ55" s="82"/>
      <c r="GKR55" s="82"/>
      <c r="GKS55" s="82"/>
      <c r="GKT55" s="82"/>
      <c r="GKU55" s="82"/>
      <c r="GKV55" s="82"/>
      <c r="GKW55" s="82"/>
      <c r="GKX55" s="82"/>
      <c r="GKY55" s="82"/>
      <c r="GKZ55" s="82"/>
      <c r="GLA55" s="82"/>
      <c r="GLB55" s="82"/>
      <c r="GLC55" s="82"/>
      <c r="GLD55" s="82"/>
      <c r="GLE55" s="82"/>
      <c r="GLF55" s="82"/>
      <c r="GLG55" s="82"/>
      <c r="GLH55" s="82"/>
      <c r="GLI55" s="82"/>
      <c r="GLJ55" s="82"/>
      <c r="GLK55" s="82"/>
      <c r="GLL55" s="82"/>
      <c r="GLM55" s="82"/>
      <c r="GLN55" s="82"/>
      <c r="GLO55" s="82"/>
      <c r="GLP55" s="82"/>
      <c r="GLQ55" s="82"/>
      <c r="GLR55" s="82"/>
      <c r="GLS55" s="82"/>
      <c r="GLT55" s="82"/>
      <c r="GLU55" s="82"/>
      <c r="GLV55" s="82"/>
      <c r="GLW55" s="82"/>
      <c r="GLX55" s="82"/>
      <c r="GLY55" s="82"/>
      <c r="GLZ55" s="82"/>
      <c r="GMA55" s="82"/>
      <c r="GMB55" s="82"/>
      <c r="GMC55" s="82"/>
      <c r="GMD55" s="82"/>
      <c r="GME55" s="82"/>
      <c r="GMF55" s="82"/>
      <c r="GMG55" s="82"/>
      <c r="GMH55" s="82"/>
      <c r="GMI55" s="82"/>
      <c r="GMJ55" s="82"/>
      <c r="GMK55" s="82"/>
      <c r="GML55" s="82"/>
      <c r="GMM55" s="82"/>
      <c r="GMN55" s="82"/>
      <c r="GMO55" s="82"/>
      <c r="GMP55" s="82"/>
      <c r="GMQ55" s="82"/>
      <c r="GMR55" s="82"/>
      <c r="GMS55" s="82"/>
      <c r="GMT55" s="82"/>
      <c r="GMU55" s="82"/>
      <c r="GMV55" s="82"/>
      <c r="GMW55" s="82"/>
      <c r="GMX55" s="82"/>
      <c r="GMY55" s="82"/>
      <c r="GMZ55" s="82"/>
      <c r="GNA55" s="82"/>
      <c r="GNB55" s="82"/>
      <c r="GNC55" s="82"/>
      <c r="GND55" s="82"/>
      <c r="GNE55" s="82"/>
      <c r="GNF55" s="82"/>
      <c r="GNG55" s="82"/>
      <c r="GNH55" s="82"/>
      <c r="GNI55" s="82"/>
      <c r="GNJ55" s="82"/>
      <c r="GNK55" s="82"/>
      <c r="GNL55" s="82"/>
      <c r="GNM55" s="82"/>
      <c r="GNN55" s="82"/>
      <c r="GNO55" s="82"/>
      <c r="GNP55" s="82"/>
      <c r="GNQ55" s="82"/>
      <c r="GNR55" s="82"/>
      <c r="GNS55" s="82"/>
      <c r="GNT55" s="82"/>
      <c r="GNU55" s="82"/>
      <c r="GNV55" s="82"/>
      <c r="GNW55" s="82"/>
      <c r="GNX55" s="82"/>
      <c r="GNY55" s="82"/>
      <c r="GNZ55" s="82"/>
      <c r="GOA55" s="82"/>
      <c r="GOB55" s="82"/>
      <c r="GOC55" s="82"/>
      <c r="GOD55" s="82"/>
      <c r="GOE55" s="82"/>
      <c r="GOF55" s="82"/>
      <c r="GOG55" s="82"/>
      <c r="GOH55" s="82"/>
      <c r="GOI55" s="82"/>
      <c r="GOJ55" s="82"/>
      <c r="GOK55" s="82"/>
      <c r="GOL55" s="82"/>
      <c r="GOM55" s="82"/>
      <c r="GON55" s="82"/>
      <c r="GOO55" s="82"/>
      <c r="GOP55" s="82"/>
      <c r="GOQ55" s="82"/>
      <c r="GOR55" s="82"/>
      <c r="GOS55" s="82"/>
      <c r="GOT55" s="82"/>
      <c r="GOU55" s="82"/>
      <c r="GOV55" s="82"/>
      <c r="GOW55" s="82"/>
      <c r="GOX55" s="82"/>
      <c r="GOY55" s="82"/>
      <c r="GOZ55" s="82"/>
      <c r="GPA55" s="82"/>
      <c r="GPB55" s="82"/>
      <c r="GPC55" s="82"/>
      <c r="GPD55" s="82"/>
      <c r="GPE55" s="82"/>
      <c r="GPF55" s="82"/>
      <c r="GPG55" s="82"/>
      <c r="GPH55" s="82"/>
      <c r="GPI55" s="82"/>
      <c r="GPJ55" s="82"/>
      <c r="GPK55" s="82"/>
      <c r="GPL55" s="82"/>
      <c r="GPM55" s="82"/>
      <c r="GPN55" s="82"/>
      <c r="GPO55" s="82"/>
      <c r="GPP55" s="82"/>
      <c r="GPQ55" s="82"/>
      <c r="GPR55" s="82"/>
      <c r="GPS55" s="82"/>
      <c r="GPT55" s="82"/>
      <c r="GPU55" s="82"/>
      <c r="GPV55" s="82"/>
      <c r="GPW55" s="82"/>
      <c r="GPX55" s="82"/>
      <c r="GPY55" s="82"/>
      <c r="GPZ55" s="82"/>
      <c r="GQA55" s="82"/>
      <c r="GQB55" s="82"/>
      <c r="GQC55" s="82"/>
      <c r="GQD55" s="82"/>
      <c r="GQE55" s="82"/>
      <c r="GQF55" s="82"/>
      <c r="GQG55" s="82"/>
      <c r="GQH55" s="82"/>
      <c r="GQI55" s="82"/>
      <c r="GQJ55" s="82"/>
      <c r="GQK55" s="82"/>
      <c r="GQL55" s="82"/>
      <c r="GQM55" s="82"/>
      <c r="GQN55" s="82"/>
      <c r="GQO55" s="82"/>
      <c r="GQP55" s="82"/>
      <c r="GQQ55" s="82"/>
      <c r="GQR55" s="82"/>
      <c r="GQS55" s="82"/>
      <c r="GQT55" s="82"/>
      <c r="GQU55" s="82"/>
      <c r="GQV55" s="82"/>
      <c r="GQW55" s="82"/>
      <c r="GQX55" s="82"/>
      <c r="GQY55" s="82"/>
      <c r="GQZ55" s="82"/>
      <c r="GRA55" s="82"/>
      <c r="GRB55" s="82"/>
      <c r="GRC55" s="82"/>
      <c r="GRD55" s="82"/>
      <c r="GRE55" s="82"/>
      <c r="GRF55" s="82"/>
      <c r="GRG55" s="82"/>
      <c r="GRH55" s="82"/>
      <c r="GRI55" s="82"/>
      <c r="GRJ55" s="82"/>
      <c r="GRK55" s="82"/>
      <c r="GRL55" s="82"/>
      <c r="GRM55" s="82"/>
      <c r="GRN55" s="82"/>
      <c r="GRO55" s="82"/>
      <c r="GRP55" s="82"/>
      <c r="GRQ55" s="82"/>
      <c r="GRR55" s="82"/>
      <c r="GRS55" s="82"/>
      <c r="GRT55" s="82"/>
      <c r="GRU55" s="82"/>
      <c r="GRV55" s="82"/>
      <c r="GRW55" s="82"/>
      <c r="GRX55" s="82"/>
      <c r="GRY55" s="82"/>
      <c r="GRZ55" s="82"/>
      <c r="GSA55" s="82"/>
      <c r="GSB55" s="82"/>
      <c r="GSC55" s="82"/>
      <c r="GSD55" s="82"/>
      <c r="GSE55" s="82"/>
      <c r="GSF55" s="82"/>
      <c r="GSG55" s="82"/>
      <c r="GSH55" s="82"/>
      <c r="GSI55" s="82"/>
      <c r="GSJ55" s="82"/>
      <c r="GSK55" s="82"/>
      <c r="GSL55" s="82"/>
      <c r="GSM55" s="82"/>
      <c r="GSN55" s="82"/>
      <c r="GSO55" s="82"/>
      <c r="GSP55" s="82"/>
      <c r="GSQ55" s="82"/>
      <c r="GSR55" s="82"/>
      <c r="GSS55" s="82"/>
      <c r="GST55" s="82"/>
      <c r="GSU55" s="82"/>
      <c r="GSV55" s="82"/>
      <c r="GSW55" s="82"/>
      <c r="GSX55" s="82"/>
      <c r="GSY55" s="82"/>
      <c r="GSZ55" s="82"/>
      <c r="GTA55" s="82"/>
      <c r="GTB55" s="82"/>
      <c r="GTC55" s="82"/>
      <c r="GTD55" s="82"/>
      <c r="GTE55" s="82"/>
      <c r="GTF55" s="82"/>
      <c r="GTG55" s="82"/>
      <c r="GTH55" s="82"/>
      <c r="GTI55" s="82"/>
      <c r="GTJ55" s="82"/>
      <c r="GTK55" s="82"/>
      <c r="GTL55" s="82"/>
      <c r="GTM55" s="82"/>
      <c r="GTN55" s="82"/>
      <c r="GTO55" s="82"/>
      <c r="GTP55" s="82"/>
      <c r="GTQ55" s="82"/>
      <c r="GTR55" s="82"/>
      <c r="GTS55" s="82"/>
      <c r="GTT55" s="82"/>
      <c r="GTU55" s="82"/>
      <c r="GTV55" s="82"/>
      <c r="GTW55" s="82"/>
      <c r="GTX55" s="82"/>
      <c r="GTY55" s="82"/>
      <c r="GTZ55" s="82"/>
      <c r="GUA55" s="82"/>
      <c r="GUB55" s="82"/>
      <c r="GUC55" s="82"/>
      <c r="GUD55" s="82"/>
      <c r="GUE55" s="82"/>
      <c r="GUF55" s="82"/>
      <c r="GUG55" s="82"/>
      <c r="GUH55" s="82"/>
      <c r="GUI55" s="82"/>
      <c r="GUJ55" s="82"/>
      <c r="GUK55" s="82"/>
      <c r="GUL55" s="82"/>
      <c r="GUM55" s="82"/>
      <c r="GUN55" s="82"/>
      <c r="GUO55" s="82"/>
      <c r="GUP55" s="82"/>
      <c r="GUQ55" s="82"/>
      <c r="GUR55" s="82"/>
      <c r="GUS55" s="82"/>
      <c r="GUT55" s="82"/>
      <c r="GUU55" s="82"/>
      <c r="GUV55" s="82"/>
      <c r="GUW55" s="82"/>
      <c r="GUX55" s="82"/>
      <c r="GUY55" s="82"/>
      <c r="GUZ55" s="82"/>
      <c r="GVA55" s="82"/>
      <c r="GVB55" s="82"/>
      <c r="GVC55" s="82"/>
      <c r="GVD55" s="82"/>
      <c r="GVE55" s="82"/>
      <c r="GVF55" s="82"/>
      <c r="GVG55" s="82"/>
      <c r="GVH55" s="82"/>
      <c r="GVI55" s="82"/>
      <c r="GVJ55" s="82"/>
      <c r="GVK55" s="82"/>
      <c r="GVL55" s="82"/>
      <c r="GVM55" s="82"/>
      <c r="GVN55" s="82"/>
      <c r="GVO55" s="82"/>
      <c r="GVP55" s="82"/>
      <c r="GVQ55" s="82"/>
      <c r="GVR55" s="82"/>
      <c r="GVS55" s="82"/>
      <c r="GVT55" s="82"/>
      <c r="GVU55" s="82"/>
      <c r="GVV55" s="82"/>
      <c r="GVW55" s="82"/>
      <c r="GVX55" s="82"/>
      <c r="GVY55" s="82"/>
      <c r="GVZ55" s="82"/>
      <c r="GWA55" s="82"/>
      <c r="GWB55" s="82"/>
      <c r="GWC55" s="82"/>
      <c r="GWD55" s="82"/>
      <c r="GWE55" s="82"/>
      <c r="GWF55" s="82"/>
      <c r="GWG55" s="82"/>
      <c r="GWH55" s="82"/>
      <c r="GWI55" s="82"/>
      <c r="GWJ55" s="82"/>
      <c r="GWK55" s="82"/>
      <c r="GWL55" s="82"/>
      <c r="GWM55" s="82"/>
      <c r="GWN55" s="82"/>
      <c r="GWO55" s="82"/>
      <c r="GWP55" s="82"/>
      <c r="GWQ55" s="82"/>
      <c r="GWR55" s="82"/>
      <c r="GWS55" s="82"/>
      <c r="GWT55" s="82"/>
      <c r="GWU55" s="82"/>
      <c r="GWV55" s="82"/>
      <c r="GWW55" s="82"/>
      <c r="GWX55" s="82"/>
      <c r="GWY55" s="82"/>
      <c r="GWZ55" s="82"/>
      <c r="GXA55" s="82"/>
      <c r="GXB55" s="82"/>
      <c r="GXC55" s="82"/>
      <c r="GXD55" s="82"/>
      <c r="GXE55" s="82"/>
      <c r="GXF55" s="82"/>
      <c r="GXG55" s="82"/>
      <c r="GXH55" s="82"/>
      <c r="GXI55" s="82"/>
      <c r="GXJ55" s="82"/>
      <c r="GXK55" s="82"/>
      <c r="GXL55" s="82"/>
      <c r="GXM55" s="82"/>
      <c r="GXN55" s="82"/>
      <c r="GXO55" s="82"/>
      <c r="GXP55" s="82"/>
      <c r="GXQ55" s="82"/>
      <c r="GXR55" s="82"/>
      <c r="GXS55" s="82"/>
      <c r="GXT55" s="82"/>
      <c r="GXU55" s="82"/>
      <c r="GXV55" s="82"/>
      <c r="GXW55" s="82"/>
      <c r="GXX55" s="82"/>
      <c r="GXY55" s="82"/>
      <c r="GXZ55" s="82"/>
      <c r="GYA55" s="82"/>
      <c r="GYB55" s="82"/>
      <c r="GYC55" s="82"/>
      <c r="GYD55" s="82"/>
      <c r="GYE55" s="82"/>
      <c r="GYF55" s="82"/>
      <c r="GYG55" s="82"/>
      <c r="GYH55" s="82"/>
      <c r="GYI55" s="82"/>
      <c r="GYJ55" s="82"/>
      <c r="GYK55" s="82"/>
      <c r="GYL55" s="82"/>
      <c r="GYM55" s="82"/>
      <c r="GYN55" s="82"/>
      <c r="GYO55" s="82"/>
      <c r="GYP55" s="82"/>
      <c r="GYQ55" s="82"/>
      <c r="GYR55" s="82"/>
      <c r="GYS55" s="82"/>
      <c r="GYT55" s="82"/>
      <c r="GYU55" s="82"/>
      <c r="GYV55" s="82"/>
      <c r="GYW55" s="82"/>
      <c r="GYX55" s="82"/>
      <c r="GYY55" s="82"/>
      <c r="GYZ55" s="82"/>
      <c r="GZA55" s="82"/>
      <c r="GZB55" s="82"/>
      <c r="GZC55" s="82"/>
      <c r="GZD55" s="82"/>
      <c r="GZE55" s="82"/>
      <c r="GZF55" s="82"/>
      <c r="GZG55" s="82"/>
      <c r="GZH55" s="82"/>
      <c r="GZI55" s="82"/>
      <c r="GZJ55" s="82"/>
      <c r="GZK55" s="82"/>
      <c r="GZL55" s="82"/>
      <c r="GZM55" s="82"/>
      <c r="GZN55" s="82"/>
      <c r="GZO55" s="82"/>
      <c r="GZP55" s="82"/>
      <c r="GZQ55" s="82"/>
      <c r="GZR55" s="82"/>
      <c r="GZS55" s="82"/>
      <c r="GZT55" s="82"/>
      <c r="GZU55" s="82"/>
      <c r="GZV55" s="82"/>
      <c r="GZW55" s="82"/>
      <c r="GZX55" s="82"/>
      <c r="GZY55" s="82"/>
      <c r="GZZ55" s="82"/>
      <c r="HAA55" s="82"/>
      <c r="HAB55" s="82"/>
      <c r="HAC55" s="82"/>
      <c r="HAD55" s="82"/>
      <c r="HAE55" s="82"/>
      <c r="HAF55" s="82"/>
      <c r="HAG55" s="82"/>
      <c r="HAH55" s="82"/>
      <c r="HAI55" s="82"/>
      <c r="HAJ55" s="82"/>
      <c r="HAK55" s="82"/>
      <c r="HAL55" s="82"/>
      <c r="HAM55" s="82"/>
      <c r="HAN55" s="82"/>
      <c r="HAO55" s="82"/>
      <c r="HAP55" s="82"/>
      <c r="HAQ55" s="82"/>
      <c r="HAR55" s="82"/>
      <c r="HAS55" s="82"/>
      <c r="HAT55" s="82"/>
      <c r="HAU55" s="82"/>
      <c r="HAV55" s="82"/>
      <c r="HAW55" s="82"/>
      <c r="HAX55" s="82"/>
      <c r="HAY55" s="82"/>
      <c r="HAZ55" s="82"/>
      <c r="HBA55" s="82"/>
      <c r="HBB55" s="82"/>
      <c r="HBC55" s="82"/>
      <c r="HBD55" s="82"/>
      <c r="HBE55" s="82"/>
      <c r="HBF55" s="82"/>
      <c r="HBG55" s="82"/>
      <c r="HBH55" s="82"/>
      <c r="HBI55" s="82"/>
      <c r="HBJ55" s="82"/>
      <c r="HBK55" s="82"/>
      <c r="HBL55" s="82"/>
      <c r="HBM55" s="82"/>
      <c r="HBN55" s="82"/>
      <c r="HBO55" s="82"/>
      <c r="HBP55" s="82"/>
      <c r="HBQ55" s="82"/>
      <c r="HBR55" s="82"/>
      <c r="HBS55" s="82"/>
      <c r="HBT55" s="82"/>
      <c r="HBU55" s="82"/>
      <c r="HBV55" s="82"/>
      <c r="HBW55" s="82"/>
      <c r="HBX55" s="82"/>
      <c r="HBY55" s="82"/>
      <c r="HBZ55" s="82"/>
      <c r="HCA55" s="82"/>
      <c r="HCB55" s="82"/>
      <c r="HCC55" s="82"/>
      <c r="HCD55" s="82"/>
      <c r="HCE55" s="82"/>
      <c r="HCF55" s="82"/>
      <c r="HCG55" s="82"/>
      <c r="HCH55" s="82"/>
      <c r="HCI55" s="82"/>
      <c r="HCJ55" s="82"/>
      <c r="HCK55" s="82"/>
      <c r="HCL55" s="82"/>
      <c r="HCM55" s="82"/>
      <c r="HCN55" s="82"/>
      <c r="HCO55" s="82"/>
      <c r="HCP55" s="82"/>
      <c r="HCQ55" s="82"/>
      <c r="HCR55" s="82"/>
      <c r="HCS55" s="82"/>
      <c r="HCT55" s="82"/>
      <c r="HCU55" s="82"/>
      <c r="HCV55" s="82"/>
      <c r="HCW55" s="82"/>
      <c r="HCX55" s="82"/>
      <c r="HCY55" s="82"/>
      <c r="HCZ55" s="82"/>
      <c r="HDA55" s="82"/>
      <c r="HDB55" s="82"/>
      <c r="HDC55" s="82"/>
      <c r="HDD55" s="82"/>
      <c r="HDE55" s="82"/>
      <c r="HDF55" s="82"/>
      <c r="HDG55" s="82"/>
      <c r="HDH55" s="82"/>
      <c r="HDI55" s="82"/>
      <c r="HDJ55" s="82"/>
      <c r="HDK55" s="82"/>
      <c r="HDL55" s="82"/>
      <c r="HDM55" s="82"/>
      <c r="HDN55" s="82"/>
      <c r="HDO55" s="82"/>
      <c r="HDP55" s="82"/>
      <c r="HDQ55" s="82"/>
      <c r="HDR55" s="82"/>
      <c r="HDS55" s="82"/>
      <c r="HDT55" s="82"/>
      <c r="HDU55" s="82"/>
      <c r="HDV55" s="82"/>
      <c r="HDW55" s="82"/>
      <c r="HDX55" s="82"/>
      <c r="HDY55" s="82"/>
      <c r="HDZ55" s="82"/>
      <c r="HEA55" s="82"/>
      <c r="HEB55" s="82"/>
      <c r="HEC55" s="82"/>
      <c r="HED55" s="82"/>
      <c r="HEE55" s="82"/>
      <c r="HEF55" s="82"/>
      <c r="HEG55" s="82"/>
      <c r="HEH55" s="82"/>
      <c r="HEI55" s="82"/>
      <c r="HEJ55" s="82"/>
      <c r="HEK55" s="82"/>
      <c r="HEL55" s="82"/>
      <c r="HEM55" s="82"/>
      <c r="HEN55" s="82"/>
      <c r="HEO55" s="82"/>
      <c r="HEP55" s="82"/>
      <c r="HEQ55" s="82"/>
      <c r="HER55" s="82"/>
      <c r="HES55" s="82"/>
      <c r="HET55" s="82"/>
      <c r="HEU55" s="82"/>
      <c r="HEV55" s="82"/>
      <c r="HEW55" s="82"/>
      <c r="HEX55" s="82"/>
      <c r="HEY55" s="82"/>
      <c r="HEZ55" s="82"/>
      <c r="HFA55" s="82"/>
      <c r="HFB55" s="82"/>
      <c r="HFC55" s="82"/>
      <c r="HFD55" s="82"/>
      <c r="HFE55" s="82"/>
      <c r="HFF55" s="82"/>
      <c r="HFG55" s="82"/>
      <c r="HFH55" s="82"/>
      <c r="HFI55" s="82"/>
      <c r="HFJ55" s="82"/>
      <c r="HFK55" s="82"/>
      <c r="HFL55" s="82"/>
      <c r="HFM55" s="82"/>
      <c r="HFN55" s="82"/>
      <c r="HFO55" s="82"/>
      <c r="HFP55" s="82"/>
      <c r="HFQ55" s="82"/>
      <c r="HFR55" s="82"/>
      <c r="HFS55" s="82"/>
      <c r="HFT55" s="82"/>
      <c r="HFU55" s="82"/>
      <c r="HFV55" s="82"/>
      <c r="HFW55" s="82"/>
      <c r="HFX55" s="82"/>
      <c r="HFY55" s="82"/>
      <c r="HFZ55" s="82"/>
      <c r="HGA55" s="82"/>
      <c r="HGB55" s="82"/>
      <c r="HGC55" s="82"/>
      <c r="HGD55" s="82"/>
      <c r="HGE55" s="82"/>
      <c r="HGF55" s="82"/>
      <c r="HGG55" s="82"/>
      <c r="HGH55" s="82"/>
      <c r="HGI55" s="82"/>
      <c r="HGJ55" s="82"/>
      <c r="HGK55" s="82"/>
      <c r="HGL55" s="82"/>
      <c r="HGM55" s="82"/>
      <c r="HGN55" s="82"/>
      <c r="HGO55" s="82"/>
      <c r="HGP55" s="82"/>
      <c r="HGQ55" s="82"/>
      <c r="HGR55" s="82"/>
      <c r="HGS55" s="82"/>
      <c r="HGT55" s="82"/>
      <c r="HGU55" s="82"/>
      <c r="HGV55" s="82"/>
      <c r="HGW55" s="82"/>
      <c r="HGX55" s="82"/>
      <c r="HGY55" s="82"/>
      <c r="HGZ55" s="82"/>
      <c r="HHA55" s="82"/>
      <c r="HHB55" s="82"/>
      <c r="HHC55" s="82"/>
      <c r="HHD55" s="82"/>
      <c r="HHE55" s="82"/>
      <c r="HHF55" s="82"/>
      <c r="HHG55" s="82"/>
      <c r="HHH55" s="82"/>
      <c r="HHI55" s="82"/>
      <c r="HHJ55" s="82"/>
      <c r="HHK55" s="82"/>
      <c r="HHL55" s="82"/>
      <c r="HHM55" s="82"/>
      <c r="HHN55" s="82"/>
      <c r="HHO55" s="82"/>
      <c r="HHP55" s="82"/>
      <c r="HHQ55" s="82"/>
      <c r="HHR55" s="82"/>
      <c r="HHS55" s="82"/>
      <c r="HHT55" s="82"/>
      <c r="HHU55" s="82"/>
      <c r="HHV55" s="82"/>
      <c r="HHW55" s="82"/>
      <c r="HHX55" s="82"/>
      <c r="HHY55" s="82"/>
      <c r="HHZ55" s="82"/>
      <c r="HIA55" s="82"/>
      <c r="HIB55" s="82"/>
      <c r="HIC55" s="82"/>
      <c r="HID55" s="82"/>
      <c r="HIE55" s="82"/>
      <c r="HIF55" s="82"/>
      <c r="HIG55" s="82"/>
      <c r="HIH55" s="82"/>
      <c r="HII55" s="82"/>
      <c r="HIJ55" s="82"/>
      <c r="HIK55" s="82"/>
      <c r="HIL55" s="82"/>
      <c r="HIM55" s="82"/>
      <c r="HIN55" s="82"/>
      <c r="HIO55" s="82"/>
      <c r="HIP55" s="82"/>
      <c r="HIQ55" s="82"/>
      <c r="HIR55" s="82"/>
      <c r="HIS55" s="82"/>
      <c r="HIT55" s="82"/>
      <c r="HIU55" s="82"/>
      <c r="HIV55" s="82"/>
      <c r="HIW55" s="82"/>
      <c r="HIX55" s="82"/>
      <c r="HIY55" s="82"/>
      <c r="HIZ55" s="82"/>
      <c r="HJA55" s="82"/>
      <c r="HJB55" s="82"/>
      <c r="HJC55" s="82"/>
      <c r="HJD55" s="82"/>
      <c r="HJE55" s="82"/>
      <c r="HJF55" s="82"/>
      <c r="HJG55" s="82"/>
      <c r="HJH55" s="82"/>
      <c r="HJI55" s="82"/>
      <c r="HJJ55" s="82"/>
      <c r="HJK55" s="82"/>
      <c r="HJL55" s="82"/>
      <c r="HJM55" s="82"/>
      <c r="HJN55" s="82"/>
      <c r="HJO55" s="82"/>
      <c r="HJP55" s="82"/>
      <c r="HJQ55" s="82"/>
      <c r="HJR55" s="82"/>
      <c r="HJS55" s="82"/>
      <c r="HJT55" s="82"/>
      <c r="HJU55" s="82"/>
      <c r="HJV55" s="82"/>
      <c r="HJW55" s="82"/>
      <c r="HJX55" s="82"/>
      <c r="HJY55" s="82"/>
      <c r="HJZ55" s="82"/>
      <c r="HKA55" s="82"/>
      <c r="HKB55" s="82"/>
      <c r="HKC55" s="82"/>
      <c r="HKD55" s="82"/>
      <c r="HKE55" s="82"/>
      <c r="HKF55" s="82"/>
      <c r="HKG55" s="82"/>
      <c r="HKH55" s="82"/>
      <c r="HKI55" s="82"/>
      <c r="HKJ55" s="82"/>
      <c r="HKK55" s="82"/>
      <c r="HKL55" s="82"/>
      <c r="HKM55" s="82"/>
      <c r="HKN55" s="82"/>
      <c r="HKO55" s="82"/>
      <c r="HKP55" s="82"/>
      <c r="HKQ55" s="82"/>
      <c r="HKR55" s="82"/>
      <c r="HKS55" s="82"/>
      <c r="HKT55" s="82"/>
      <c r="HKU55" s="82"/>
      <c r="HKV55" s="82"/>
      <c r="HKW55" s="82"/>
      <c r="HKX55" s="82"/>
      <c r="HKY55" s="82"/>
      <c r="HKZ55" s="82"/>
      <c r="HLA55" s="82"/>
      <c r="HLB55" s="82"/>
      <c r="HLC55" s="82"/>
      <c r="HLD55" s="82"/>
      <c r="HLE55" s="82"/>
      <c r="HLF55" s="82"/>
      <c r="HLG55" s="82"/>
      <c r="HLH55" s="82"/>
      <c r="HLI55" s="82"/>
      <c r="HLJ55" s="82"/>
      <c r="HLK55" s="82"/>
      <c r="HLL55" s="82"/>
      <c r="HLM55" s="82"/>
      <c r="HLN55" s="82"/>
      <c r="HLO55" s="82"/>
      <c r="HLP55" s="82"/>
      <c r="HLQ55" s="82"/>
      <c r="HLR55" s="82"/>
      <c r="HLS55" s="82"/>
      <c r="HLT55" s="82"/>
      <c r="HLU55" s="82"/>
      <c r="HLV55" s="82"/>
      <c r="HLW55" s="82"/>
      <c r="HLX55" s="82"/>
      <c r="HLY55" s="82"/>
      <c r="HLZ55" s="82"/>
      <c r="HMA55" s="82"/>
      <c r="HMB55" s="82"/>
      <c r="HMC55" s="82"/>
      <c r="HMD55" s="82"/>
      <c r="HME55" s="82"/>
      <c r="HMF55" s="82"/>
      <c r="HMG55" s="82"/>
      <c r="HMH55" s="82"/>
      <c r="HMI55" s="82"/>
      <c r="HMJ55" s="82"/>
      <c r="HMK55" s="82"/>
      <c r="HML55" s="82"/>
      <c r="HMM55" s="82"/>
      <c r="HMN55" s="82"/>
      <c r="HMO55" s="82"/>
      <c r="HMP55" s="82"/>
      <c r="HMQ55" s="82"/>
      <c r="HMR55" s="82"/>
      <c r="HMS55" s="82"/>
      <c r="HMT55" s="82"/>
      <c r="HMU55" s="82"/>
      <c r="HMV55" s="82"/>
      <c r="HMW55" s="82"/>
      <c r="HMX55" s="82"/>
      <c r="HMY55" s="82"/>
      <c r="HMZ55" s="82"/>
      <c r="HNA55" s="82"/>
      <c r="HNB55" s="82"/>
      <c r="HNC55" s="82"/>
      <c r="HND55" s="82"/>
      <c r="HNE55" s="82"/>
      <c r="HNF55" s="82"/>
      <c r="HNG55" s="82"/>
      <c r="HNH55" s="82"/>
      <c r="HNI55" s="82"/>
      <c r="HNJ55" s="82"/>
      <c r="HNK55" s="82"/>
      <c r="HNL55" s="82"/>
      <c r="HNM55" s="82"/>
      <c r="HNN55" s="82"/>
      <c r="HNO55" s="82"/>
      <c r="HNP55" s="82"/>
      <c r="HNQ55" s="82"/>
      <c r="HNR55" s="82"/>
      <c r="HNS55" s="82"/>
      <c r="HNT55" s="82"/>
      <c r="HNU55" s="82"/>
      <c r="HNV55" s="82"/>
      <c r="HNW55" s="82"/>
      <c r="HNX55" s="82"/>
      <c r="HNY55" s="82"/>
      <c r="HNZ55" s="82"/>
      <c r="HOA55" s="82"/>
      <c r="HOB55" s="82"/>
      <c r="HOC55" s="82"/>
      <c r="HOD55" s="82"/>
      <c r="HOE55" s="82"/>
      <c r="HOF55" s="82"/>
      <c r="HOG55" s="82"/>
      <c r="HOH55" s="82"/>
      <c r="HOI55" s="82"/>
      <c r="HOJ55" s="82"/>
      <c r="HOK55" s="82"/>
      <c r="HOL55" s="82"/>
      <c r="HOM55" s="82"/>
      <c r="HON55" s="82"/>
      <c r="HOO55" s="82"/>
      <c r="HOP55" s="82"/>
      <c r="HOQ55" s="82"/>
      <c r="HOR55" s="82"/>
      <c r="HOS55" s="82"/>
      <c r="HOT55" s="82"/>
      <c r="HOU55" s="82"/>
      <c r="HOV55" s="82"/>
      <c r="HOW55" s="82"/>
      <c r="HOX55" s="82"/>
      <c r="HOY55" s="82"/>
      <c r="HOZ55" s="82"/>
      <c r="HPA55" s="82"/>
      <c r="HPB55" s="82"/>
      <c r="HPC55" s="82"/>
      <c r="HPD55" s="82"/>
      <c r="HPE55" s="82"/>
      <c r="HPF55" s="82"/>
      <c r="HPG55" s="82"/>
      <c r="HPH55" s="82"/>
      <c r="HPI55" s="82"/>
      <c r="HPJ55" s="82"/>
      <c r="HPK55" s="82"/>
      <c r="HPL55" s="82"/>
      <c r="HPM55" s="82"/>
      <c r="HPN55" s="82"/>
      <c r="HPO55" s="82"/>
      <c r="HPP55" s="82"/>
      <c r="HPQ55" s="82"/>
      <c r="HPR55" s="82"/>
      <c r="HPS55" s="82"/>
      <c r="HPT55" s="82"/>
      <c r="HPU55" s="82"/>
      <c r="HPV55" s="82"/>
      <c r="HPW55" s="82"/>
      <c r="HPX55" s="82"/>
      <c r="HPY55" s="82"/>
      <c r="HPZ55" s="82"/>
      <c r="HQA55" s="82"/>
      <c r="HQB55" s="82"/>
      <c r="HQC55" s="82"/>
      <c r="HQD55" s="82"/>
      <c r="HQE55" s="82"/>
      <c r="HQF55" s="82"/>
      <c r="HQG55" s="82"/>
      <c r="HQH55" s="82"/>
      <c r="HQI55" s="82"/>
      <c r="HQJ55" s="82"/>
      <c r="HQK55" s="82"/>
      <c r="HQL55" s="82"/>
      <c r="HQM55" s="82"/>
      <c r="HQN55" s="82"/>
      <c r="HQO55" s="82"/>
      <c r="HQP55" s="82"/>
      <c r="HQQ55" s="82"/>
      <c r="HQR55" s="82"/>
      <c r="HQS55" s="82"/>
      <c r="HQT55" s="82"/>
      <c r="HQU55" s="82"/>
      <c r="HQV55" s="82"/>
      <c r="HQW55" s="82"/>
      <c r="HQX55" s="82"/>
      <c r="HQY55" s="82"/>
      <c r="HQZ55" s="82"/>
      <c r="HRA55" s="82"/>
      <c r="HRB55" s="82"/>
      <c r="HRC55" s="82"/>
      <c r="HRD55" s="82"/>
      <c r="HRE55" s="82"/>
      <c r="HRF55" s="82"/>
      <c r="HRG55" s="82"/>
      <c r="HRH55" s="82"/>
      <c r="HRI55" s="82"/>
      <c r="HRJ55" s="82"/>
      <c r="HRK55" s="82"/>
      <c r="HRL55" s="82"/>
      <c r="HRM55" s="82"/>
      <c r="HRN55" s="82"/>
      <c r="HRO55" s="82"/>
      <c r="HRP55" s="82"/>
      <c r="HRQ55" s="82"/>
      <c r="HRR55" s="82"/>
      <c r="HRS55" s="82"/>
      <c r="HRT55" s="82"/>
      <c r="HRU55" s="82"/>
      <c r="HRV55" s="82"/>
      <c r="HRW55" s="82"/>
      <c r="HRX55" s="82"/>
      <c r="HRY55" s="82"/>
      <c r="HRZ55" s="82"/>
      <c r="HSA55" s="82"/>
      <c r="HSB55" s="82"/>
      <c r="HSC55" s="82"/>
      <c r="HSD55" s="82"/>
      <c r="HSE55" s="82"/>
      <c r="HSF55" s="82"/>
      <c r="HSG55" s="82"/>
      <c r="HSH55" s="82"/>
      <c r="HSI55" s="82"/>
      <c r="HSJ55" s="82"/>
      <c r="HSK55" s="82"/>
      <c r="HSL55" s="82"/>
      <c r="HSM55" s="82"/>
      <c r="HSN55" s="82"/>
      <c r="HSO55" s="82"/>
      <c r="HSP55" s="82"/>
      <c r="HSQ55" s="82"/>
      <c r="HSR55" s="82"/>
      <c r="HSS55" s="82"/>
      <c r="HST55" s="82"/>
      <c r="HSU55" s="82"/>
      <c r="HSV55" s="82"/>
      <c r="HSW55" s="82"/>
      <c r="HSX55" s="82"/>
      <c r="HSY55" s="82"/>
      <c r="HSZ55" s="82"/>
      <c r="HTA55" s="82"/>
      <c r="HTB55" s="82"/>
      <c r="HTC55" s="82"/>
      <c r="HTD55" s="82"/>
      <c r="HTE55" s="82"/>
      <c r="HTF55" s="82"/>
      <c r="HTG55" s="82"/>
      <c r="HTH55" s="82"/>
      <c r="HTI55" s="82"/>
      <c r="HTJ55" s="82"/>
      <c r="HTK55" s="82"/>
      <c r="HTL55" s="82"/>
      <c r="HTM55" s="82"/>
      <c r="HTN55" s="82"/>
      <c r="HTO55" s="82"/>
      <c r="HTP55" s="82"/>
      <c r="HTQ55" s="82"/>
      <c r="HTR55" s="82"/>
      <c r="HTS55" s="82"/>
      <c r="HTT55" s="82"/>
      <c r="HTU55" s="82"/>
      <c r="HTV55" s="82"/>
      <c r="HTW55" s="82"/>
      <c r="HTX55" s="82"/>
      <c r="HTY55" s="82"/>
      <c r="HTZ55" s="82"/>
      <c r="HUA55" s="82"/>
      <c r="HUB55" s="82"/>
      <c r="HUC55" s="82"/>
      <c r="HUD55" s="82"/>
      <c r="HUE55" s="82"/>
      <c r="HUF55" s="82"/>
      <c r="HUG55" s="82"/>
      <c r="HUH55" s="82"/>
      <c r="HUI55" s="82"/>
      <c r="HUJ55" s="82"/>
      <c r="HUK55" s="82"/>
      <c r="HUL55" s="82"/>
      <c r="HUM55" s="82"/>
      <c r="HUN55" s="82"/>
      <c r="HUO55" s="82"/>
      <c r="HUP55" s="82"/>
      <c r="HUQ55" s="82"/>
      <c r="HUR55" s="82"/>
      <c r="HUS55" s="82"/>
      <c r="HUT55" s="82"/>
      <c r="HUU55" s="82"/>
      <c r="HUV55" s="82"/>
      <c r="HUW55" s="82"/>
      <c r="HUX55" s="82"/>
      <c r="HUY55" s="82"/>
      <c r="HUZ55" s="82"/>
      <c r="HVA55" s="82"/>
      <c r="HVB55" s="82"/>
      <c r="HVC55" s="82"/>
      <c r="HVD55" s="82"/>
      <c r="HVE55" s="82"/>
      <c r="HVF55" s="82"/>
      <c r="HVG55" s="82"/>
      <c r="HVH55" s="82"/>
      <c r="HVI55" s="82"/>
      <c r="HVJ55" s="82"/>
      <c r="HVK55" s="82"/>
      <c r="HVL55" s="82"/>
      <c r="HVM55" s="82"/>
      <c r="HVN55" s="82"/>
      <c r="HVO55" s="82"/>
      <c r="HVP55" s="82"/>
      <c r="HVQ55" s="82"/>
      <c r="HVR55" s="82"/>
      <c r="HVS55" s="82"/>
      <c r="HVT55" s="82"/>
      <c r="HVU55" s="82"/>
      <c r="HVV55" s="82"/>
      <c r="HVW55" s="82"/>
      <c r="HVX55" s="82"/>
      <c r="HVY55" s="82"/>
      <c r="HVZ55" s="82"/>
      <c r="HWA55" s="82"/>
      <c r="HWB55" s="82"/>
      <c r="HWC55" s="82"/>
      <c r="HWD55" s="82"/>
      <c r="HWE55" s="82"/>
      <c r="HWF55" s="82"/>
      <c r="HWG55" s="82"/>
      <c r="HWH55" s="82"/>
      <c r="HWI55" s="82"/>
      <c r="HWJ55" s="82"/>
      <c r="HWK55" s="82"/>
      <c r="HWL55" s="82"/>
      <c r="HWM55" s="82"/>
      <c r="HWN55" s="82"/>
      <c r="HWO55" s="82"/>
      <c r="HWP55" s="82"/>
      <c r="HWQ55" s="82"/>
      <c r="HWR55" s="82"/>
      <c r="HWS55" s="82"/>
      <c r="HWT55" s="82"/>
      <c r="HWU55" s="82"/>
      <c r="HWV55" s="82"/>
      <c r="HWW55" s="82"/>
      <c r="HWX55" s="82"/>
      <c r="HWY55" s="82"/>
      <c r="HWZ55" s="82"/>
      <c r="HXA55" s="82"/>
      <c r="HXB55" s="82"/>
      <c r="HXC55" s="82"/>
      <c r="HXD55" s="82"/>
      <c r="HXE55" s="82"/>
      <c r="HXF55" s="82"/>
      <c r="HXG55" s="82"/>
      <c r="HXH55" s="82"/>
      <c r="HXI55" s="82"/>
      <c r="HXJ55" s="82"/>
      <c r="HXK55" s="82"/>
      <c r="HXL55" s="82"/>
      <c r="HXM55" s="82"/>
      <c r="HXN55" s="82"/>
      <c r="HXO55" s="82"/>
      <c r="HXP55" s="82"/>
      <c r="HXQ55" s="82"/>
      <c r="HXR55" s="82"/>
      <c r="HXS55" s="82"/>
      <c r="HXT55" s="82"/>
      <c r="HXU55" s="82"/>
      <c r="HXV55" s="82"/>
      <c r="HXW55" s="82"/>
      <c r="HXX55" s="82"/>
      <c r="HXY55" s="82"/>
      <c r="HXZ55" s="82"/>
      <c r="HYA55" s="82"/>
      <c r="HYB55" s="82"/>
      <c r="HYC55" s="82"/>
      <c r="HYD55" s="82"/>
      <c r="HYE55" s="82"/>
      <c r="HYF55" s="82"/>
      <c r="HYG55" s="82"/>
      <c r="HYH55" s="82"/>
      <c r="HYI55" s="82"/>
      <c r="HYJ55" s="82"/>
      <c r="HYK55" s="82"/>
      <c r="HYL55" s="82"/>
      <c r="HYM55" s="82"/>
      <c r="HYN55" s="82"/>
      <c r="HYO55" s="82"/>
      <c r="HYP55" s="82"/>
      <c r="HYQ55" s="82"/>
      <c r="HYR55" s="82"/>
      <c r="HYS55" s="82"/>
      <c r="HYT55" s="82"/>
      <c r="HYU55" s="82"/>
      <c r="HYV55" s="82"/>
      <c r="HYW55" s="82"/>
      <c r="HYX55" s="82"/>
      <c r="HYY55" s="82"/>
      <c r="HYZ55" s="82"/>
      <c r="HZA55" s="82"/>
      <c r="HZB55" s="82"/>
      <c r="HZC55" s="82"/>
      <c r="HZD55" s="82"/>
      <c r="HZE55" s="82"/>
      <c r="HZF55" s="82"/>
      <c r="HZG55" s="82"/>
      <c r="HZH55" s="82"/>
      <c r="HZI55" s="82"/>
      <c r="HZJ55" s="82"/>
      <c r="HZK55" s="82"/>
      <c r="HZL55" s="82"/>
      <c r="HZM55" s="82"/>
      <c r="HZN55" s="82"/>
      <c r="HZO55" s="82"/>
      <c r="HZP55" s="82"/>
      <c r="HZQ55" s="82"/>
      <c r="HZR55" s="82"/>
      <c r="HZS55" s="82"/>
      <c r="HZT55" s="82"/>
      <c r="HZU55" s="82"/>
      <c r="HZV55" s="82"/>
      <c r="HZW55" s="82"/>
      <c r="HZX55" s="82"/>
      <c r="HZY55" s="82"/>
      <c r="HZZ55" s="82"/>
      <c r="IAA55" s="82"/>
      <c r="IAB55" s="82"/>
      <c r="IAC55" s="82"/>
      <c r="IAD55" s="82"/>
      <c r="IAE55" s="82"/>
      <c r="IAF55" s="82"/>
      <c r="IAG55" s="82"/>
      <c r="IAH55" s="82"/>
      <c r="IAI55" s="82"/>
      <c r="IAJ55" s="82"/>
      <c r="IAK55" s="82"/>
      <c r="IAL55" s="82"/>
      <c r="IAM55" s="82"/>
      <c r="IAN55" s="82"/>
      <c r="IAO55" s="82"/>
      <c r="IAP55" s="82"/>
      <c r="IAQ55" s="82"/>
      <c r="IAR55" s="82"/>
      <c r="IAS55" s="82"/>
      <c r="IAT55" s="82"/>
      <c r="IAU55" s="82"/>
      <c r="IAV55" s="82"/>
      <c r="IAW55" s="82"/>
      <c r="IAX55" s="82"/>
      <c r="IAY55" s="82"/>
      <c r="IAZ55" s="82"/>
      <c r="IBA55" s="82"/>
      <c r="IBB55" s="82"/>
      <c r="IBC55" s="82"/>
      <c r="IBD55" s="82"/>
      <c r="IBE55" s="82"/>
      <c r="IBF55" s="82"/>
      <c r="IBG55" s="82"/>
      <c r="IBH55" s="82"/>
      <c r="IBI55" s="82"/>
      <c r="IBJ55" s="82"/>
      <c r="IBK55" s="82"/>
      <c r="IBL55" s="82"/>
      <c r="IBM55" s="82"/>
      <c r="IBN55" s="82"/>
      <c r="IBO55" s="82"/>
      <c r="IBP55" s="82"/>
      <c r="IBQ55" s="82"/>
      <c r="IBR55" s="82"/>
      <c r="IBS55" s="82"/>
      <c r="IBT55" s="82"/>
      <c r="IBU55" s="82"/>
      <c r="IBV55" s="82"/>
      <c r="IBW55" s="82"/>
      <c r="IBX55" s="82"/>
      <c r="IBY55" s="82"/>
      <c r="IBZ55" s="82"/>
      <c r="ICA55" s="82"/>
      <c r="ICB55" s="82"/>
      <c r="ICC55" s="82"/>
      <c r="ICD55" s="82"/>
      <c r="ICE55" s="82"/>
      <c r="ICF55" s="82"/>
      <c r="ICG55" s="82"/>
      <c r="ICH55" s="82"/>
      <c r="ICI55" s="82"/>
      <c r="ICJ55" s="82"/>
      <c r="ICK55" s="82"/>
      <c r="ICL55" s="82"/>
      <c r="ICM55" s="82"/>
      <c r="ICN55" s="82"/>
      <c r="ICO55" s="82"/>
      <c r="ICP55" s="82"/>
      <c r="ICQ55" s="82"/>
      <c r="ICR55" s="82"/>
      <c r="ICS55" s="82"/>
      <c r="ICT55" s="82"/>
      <c r="ICU55" s="82"/>
      <c r="ICV55" s="82"/>
      <c r="ICW55" s="82"/>
      <c r="ICX55" s="82"/>
      <c r="ICY55" s="82"/>
      <c r="ICZ55" s="82"/>
      <c r="IDA55" s="82"/>
      <c r="IDB55" s="82"/>
      <c r="IDC55" s="82"/>
      <c r="IDD55" s="82"/>
      <c r="IDE55" s="82"/>
      <c r="IDF55" s="82"/>
      <c r="IDG55" s="82"/>
      <c r="IDH55" s="82"/>
      <c r="IDI55" s="82"/>
      <c r="IDJ55" s="82"/>
      <c r="IDK55" s="82"/>
      <c r="IDL55" s="82"/>
      <c r="IDM55" s="82"/>
      <c r="IDN55" s="82"/>
      <c r="IDO55" s="82"/>
      <c r="IDP55" s="82"/>
      <c r="IDQ55" s="82"/>
      <c r="IDR55" s="82"/>
      <c r="IDS55" s="82"/>
      <c r="IDT55" s="82"/>
      <c r="IDU55" s="82"/>
      <c r="IDV55" s="82"/>
      <c r="IDW55" s="82"/>
      <c r="IDX55" s="82"/>
      <c r="IDY55" s="82"/>
      <c r="IDZ55" s="82"/>
      <c r="IEA55" s="82"/>
      <c r="IEB55" s="82"/>
      <c r="IEC55" s="82"/>
      <c r="IED55" s="82"/>
      <c r="IEE55" s="82"/>
      <c r="IEF55" s="82"/>
      <c r="IEG55" s="82"/>
      <c r="IEH55" s="82"/>
      <c r="IEI55" s="82"/>
      <c r="IEJ55" s="82"/>
      <c r="IEK55" s="82"/>
      <c r="IEL55" s="82"/>
      <c r="IEM55" s="82"/>
      <c r="IEN55" s="82"/>
      <c r="IEO55" s="82"/>
      <c r="IEP55" s="82"/>
      <c r="IEQ55" s="82"/>
      <c r="IER55" s="82"/>
      <c r="IES55" s="82"/>
      <c r="IET55" s="82"/>
      <c r="IEU55" s="82"/>
      <c r="IEV55" s="82"/>
      <c r="IEW55" s="82"/>
      <c r="IEX55" s="82"/>
      <c r="IEY55" s="82"/>
      <c r="IEZ55" s="82"/>
      <c r="IFA55" s="82"/>
      <c r="IFB55" s="82"/>
      <c r="IFC55" s="82"/>
      <c r="IFD55" s="82"/>
      <c r="IFE55" s="82"/>
      <c r="IFF55" s="82"/>
      <c r="IFG55" s="82"/>
      <c r="IFH55" s="82"/>
      <c r="IFI55" s="82"/>
      <c r="IFJ55" s="82"/>
      <c r="IFK55" s="82"/>
      <c r="IFL55" s="82"/>
      <c r="IFM55" s="82"/>
      <c r="IFN55" s="82"/>
      <c r="IFO55" s="82"/>
      <c r="IFP55" s="82"/>
      <c r="IFQ55" s="82"/>
      <c r="IFR55" s="82"/>
      <c r="IFS55" s="82"/>
      <c r="IFT55" s="82"/>
      <c r="IFU55" s="82"/>
      <c r="IFV55" s="82"/>
      <c r="IFW55" s="82"/>
      <c r="IFX55" s="82"/>
      <c r="IFY55" s="82"/>
      <c r="IFZ55" s="82"/>
      <c r="IGA55" s="82"/>
      <c r="IGB55" s="82"/>
      <c r="IGC55" s="82"/>
      <c r="IGD55" s="82"/>
      <c r="IGE55" s="82"/>
      <c r="IGF55" s="82"/>
      <c r="IGG55" s="82"/>
      <c r="IGH55" s="82"/>
      <c r="IGI55" s="82"/>
      <c r="IGJ55" s="82"/>
      <c r="IGK55" s="82"/>
      <c r="IGL55" s="82"/>
      <c r="IGM55" s="82"/>
      <c r="IGN55" s="82"/>
      <c r="IGO55" s="82"/>
      <c r="IGP55" s="82"/>
      <c r="IGQ55" s="82"/>
      <c r="IGR55" s="82"/>
      <c r="IGS55" s="82"/>
      <c r="IGT55" s="82"/>
      <c r="IGU55" s="82"/>
      <c r="IGV55" s="82"/>
      <c r="IGW55" s="82"/>
      <c r="IGX55" s="82"/>
      <c r="IGY55" s="82"/>
      <c r="IGZ55" s="82"/>
      <c r="IHA55" s="82"/>
      <c r="IHB55" s="82"/>
      <c r="IHC55" s="82"/>
      <c r="IHD55" s="82"/>
      <c r="IHE55" s="82"/>
      <c r="IHF55" s="82"/>
      <c r="IHG55" s="82"/>
      <c r="IHH55" s="82"/>
      <c r="IHI55" s="82"/>
      <c r="IHJ55" s="82"/>
      <c r="IHK55" s="82"/>
      <c r="IHL55" s="82"/>
      <c r="IHM55" s="82"/>
      <c r="IHN55" s="82"/>
      <c r="IHO55" s="82"/>
      <c r="IHP55" s="82"/>
      <c r="IHQ55" s="82"/>
      <c r="IHR55" s="82"/>
      <c r="IHS55" s="82"/>
      <c r="IHT55" s="82"/>
      <c r="IHU55" s="82"/>
      <c r="IHV55" s="82"/>
      <c r="IHW55" s="82"/>
      <c r="IHX55" s="82"/>
      <c r="IHY55" s="82"/>
      <c r="IHZ55" s="82"/>
      <c r="IIA55" s="82"/>
      <c r="IIB55" s="82"/>
      <c r="IIC55" s="82"/>
      <c r="IID55" s="82"/>
      <c r="IIE55" s="82"/>
      <c r="IIF55" s="82"/>
      <c r="IIG55" s="82"/>
      <c r="IIH55" s="82"/>
      <c r="III55" s="82"/>
      <c r="IIJ55" s="82"/>
      <c r="IIK55" s="82"/>
      <c r="IIL55" s="82"/>
      <c r="IIM55" s="82"/>
      <c r="IIN55" s="82"/>
      <c r="IIO55" s="82"/>
      <c r="IIP55" s="82"/>
      <c r="IIQ55" s="82"/>
      <c r="IIR55" s="82"/>
      <c r="IIS55" s="82"/>
      <c r="IIT55" s="82"/>
      <c r="IIU55" s="82"/>
      <c r="IIV55" s="82"/>
      <c r="IIW55" s="82"/>
      <c r="IIX55" s="82"/>
      <c r="IIY55" s="82"/>
      <c r="IIZ55" s="82"/>
      <c r="IJA55" s="82"/>
      <c r="IJB55" s="82"/>
      <c r="IJC55" s="82"/>
      <c r="IJD55" s="82"/>
      <c r="IJE55" s="82"/>
      <c r="IJF55" s="82"/>
      <c r="IJG55" s="82"/>
      <c r="IJH55" s="82"/>
      <c r="IJI55" s="82"/>
      <c r="IJJ55" s="82"/>
      <c r="IJK55" s="82"/>
      <c r="IJL55" s="82"/>
      <c r="IJM55" s="82"/>
      <c r="IJN55" s="82"/>
      <c r="IJO55" s="82"/>
      <c r="IJP55" s="82"/>
      <c r="IJQ55" s="82"/>
      <c r="IJR55" s="82"/>
      <c r="IJS55" s="82"/>
      <c r="IJT55" s="82"/>
      <c r="IJU55" s="82"/>
      <c r="IJV55" s="82"/>
      <c r="IJW55" s="82"/>
      <c r="IJX55" s="82"/>
      <c r="IJY55" s="82"/>
      <c r="IJZ55" s="82"/>
      <c r="IKA55" s="82"/>
      <c r="IKB55" s="82"/>
      <c r="IKC55" s="82"/>
      <c r="IKD55" s="82"/>
      <c r="IKE55" s="82"/>
      <c r="IKF55" s="82"/>
      <c r="IKG55" s="82"/>
      <c r="IKH55" s="82"/>
      <c r="IKI55" s="82"/>
      <c r="IKJ55" s="82"/>
      <c r="IKK55" s="82"/>
      <c r="IKL55" s="82"/>
      <c r="IKM55" s="82"/>
      <c r="IKN55" s="82"/>
      <c r="IKO55" s="82"/>
      <c r="IKP55" s="82"/>
      <c r="IKQ55" s="82"/>
      <c r="IKR55" s="82"/>
      <c r="IKS55" s="82"/>
      <c r="IKT55" s="82"/>
      <c r="IKU55" s="82"/>
      <c r="IKV55" s="82"/>
      <c r="IKW55" s="82"/>
      <c r="IKX55" s="82"/>
      <c r="IKY55" s="82"/>
      <c r="IKZ55" s="82"/>
      <c r="ILA55" s="82"/>
      <c r="ILB55" s="82"/>
      <c r="ILC55" s="82"/>
      <c r="ILD55" s="82"/>
      <c r="ILE55" s="82"/>
      <c r="ILF55" s="82"/>
      <c r="ILG55" s="82"/>
      <c r="ILH55" s="82"/>
      <c r="ILI55" s="82"/>
      <c r="ILJ55" s="82"/>
      <c r="ILK55" s="82"/>
      <c r="ILL55" s="82"/>
      <c r="ILM55" s="82"/>
      <c r="ILN55" s="82"/>
      <c r="ILO55" s="82"/>
      <c r="ILP55" s="82"/>
      <c r="ILQ55" s="82"/>
      <c r="ILR55" s="82"/>
      <c r="ILS55" s="82"/>
      <c r="ILT55" s="82"/>
      <c r="ILU55" s="82"/>
      <c r="ILV55" s="82"/>
      <c r="ILW55" s="82"/>
      <c r="ILX55" s="82"/>
      <c r="ILY55" s="82"/>
      <c r="ILZ55" s="82"/>
      <c r="IMA55" s="82"/>
      <c r="IMB55" s="82"/>
      <c r="IMC55" s="82"/>
      <c r="IMD55" s="82"/>
      <c r="IME55" s="82"/>
      <c r="IMF55" s="82"/>
      <c r="IMG55" s="82"/>
      <c r="IMH55" s="82"/>
      <c r="IMI55" s="82"/>
      <c r="IMJ55" s="82"/>
      <c r="IMK55" s="82"/>
      <c r="IML55" s="82"/>
      <c r="IMM55" s="82"/>
      <c r="IMN55" s="82"/>
      <c r="IMO55" s="82"/>
      <c r="IMP55" s="82"/>
      <c r="IMQ55" s="82"/>
      <c r="IMR55" s="82"/>
      <c r="IMS55" s="82"/>
      <c r="IMT55" s="82"/>
      <c r="IMU55" s="82"/>
      <c r="IMV55" s="82"/>
      <c r="IMW55" s="82"/>
      <c r="IMX55" s="82"/>
      <c r="IMY55" s="82"/>
      <c r="IMZ55" s="82"/>
      <c r="INA55" s="82"/>
      <c r="INB55" s="82"/>
      <c r="INC55" s="82"/>
      <c r="IND55" s="82"/>
      <c r="INE55" s="82"/>
      <c r="INF55" s="82"/>
      <c r="ING55" s="82"/>
      <c r="INH55" s="82"/>
      <c r="INI55" s="82"/>
      <c r="INJ55" s="82"/>
      <c r="INK55" s="82"/>
      <c r="INL55" s="82"/>
      <c r="INM55" s="82"/>
      <c r="INN55" s="82"/>
      <c r="INO55" s="82"/>
      <c r="INP55" s="82"/>
      <c r="INQ55" s="82"/>
      <c r="INR55" s="82"/>
      <c r="INS55" s="82"/>
      <c r="INT55" s="82"/>
      <c r="INU55" s="82"/>
      <c r="INV55" s="82"/>
      <c r="INW55" s="82"/>
      <c r="INX55" s="82"/>
      <c r="INY55" s="82"/>
      <c r="INZ55" s="82"/>
      <c r="IOA55" s="82"/>
      <c r="IOB55" s="82"/>
      <c r="IOC55" s="82"/>
      <c r="IOD55" s="82"/>
      <c r="IOE55" s="82"/>
      <c r="IOF55" s="82"/>
      <c r="IOG55" s="82"/>
      <c r="IOH55" s="82"/>
      <c r="IOI55" s="82"/>
      <c r="IOJ55" s="82"/>
      <c r="IOK55" s="82"/>
      <c r="IOL55" s="82"/>
      <c r="IOM55" s="82"/>
      <c r="ION55" s="82"/>
      <c r="IOO55" s="82"/>
      <c r="IOP55" s="82"/>
      <c r="IOQ55" s="82"/>
      <c r="IOR55" s="82"/>
      <c r="IOS55" s="82"/>
      <c r="IOT55" s="82"/>
      <c r="IOU55" s="82"/>
      <c r="IOV55" s="82"/>
      <c r="IOW55" s="82"/>
      <c r="IOX55" s="82"/>
      <c r="IOY55" s="82"/>
      <c r="IOZ55" s="82"/>
      <c r="IPA55" s="82"/>
      <c r="IPB55" s="82"/>
      <c r="IPC55" s="82"/>
      <c r="IPD55" s="82"/>
      <c r="IPE55" s="82"/>
      <c r="IPF55" s="82"/>
      <c r="IPG55" s="82"/>
      <c r="IPH55" s="82"/>
      <c r="IPI55" s="82"/>
      <c r="IPJ55" s="82"/>
      <c r="IPK55" s="82"/>
      <c r="IPL55" s="82"/>
      <c r="IPM55" s="82"/>
      <c r="IPN55" s="82"/>
      <c r="IPO55" s="82"/>
      <c r="IPP55" s="82"/>
      <c r="IPQ55" s="82"/>
      <c r="IPR55" s="82"/>
      <c r="IPS55" s="82"/>
      <c r="IPT55" s="82"/>
      <c r="IPU55" s="82"/>
      <c r="IPV55" s="82"/>
      <c r="IPW55" s="82"/>
      <c r="IPX55" s="82"/>
      <c r="IPY55" s="82"/>
      <c r="IPZ55" s="82"/>
      <c r="IQA55" s="82"/>
      <c r="IQB55" s="82"/>
      <c r="IQC55" s="82"/>
      <c r="IQD55" s="82"/>
      <c r="IQE55" s="82"/>
      <c r="IQF55" s="82"/>
      <c r="IQG55" s="82"/>
      <c r="IQH55" s="82"/>
      <c r="IQI55" s="82"/>
      <c r="IQJ55" s="82"/>
      <c r="IQK55" s="82"/>
      <c r="IQL55" s="82"/>
      <c r="IQM55" s="82"/>
      <c r="IQN55" s="82"/>
      <c r="IQO55" s="82"/>
      <c r="IQP55" s="82"/>
      <c r="IQQ55" s="82"/>
      <c r="IQR55" s="82"/>
      <c r="IQS55" s="82"/>
      <c r="IQT55" s="82"/>
      <c r="IQU55" s="82"/>
      <c r="IQV55" s="82"/>
      <c r="IQW55" s="82"/>
      <c r="IQX55" s="82"/>
      <c r="IQY55" s="82"/>
      <c r="IQZ55" s="82"/>
      <c r="IRA55" s="82"/>
      <c r="IRB55" s="82"/>
      <c r="IRC55" s="82"/>
      <c r="IRD55" s="82"/>
      <c r="IRE55" s="82"/>
      <c r="IRF55" s="82"/>
      <c r="IRG55" s="82"/>
      <c r="IRH55" s="82"/>
      <c r="IRI55" s="82"/>
      <c r="IRJ55" s="82"/>
      <c r="IRK55" s="82"/>
      <c r="IRL55" s="82"/>
      <c r="IRM55" s="82"/>
      <c r="IRN55" s="82"/>
      <c r="IRO55" s="82"/>
      <c r="IRP55" s="82"/>
      <c r="IRQ55" s="82"/>
      <c r="IRR55" s="82"/>
      <c r="IRS55" s="82"/>
      <c r="IRT55" s="82"/>
      <c r="IRU55" s="82"/>
      <c r="IRV55" s="82"/>
      <c r="IRW55" s="82"/>
      <c r="IRX55" s="82"/>
      <c r="IRY55" s="82"/>
      <c r="IRZ55" s="82"/>
      <c r="ISA55" s="82"/>
      <c r="ISB55" s="82"/>
      <c r="ISC55" s="82"/>
      <c r="ISD55" s="82"/>
      <c r="ISE55" s="82"/>
      <c r="ISF55" s="82"/>
      <c r="ISG55" s="82"/>
      <c r="ISH55" s="82"/>
      <c r="ISI55" s="82"/>
      <c r="ISJ55" s="82"/>
      <c r="ISK55" s="82"/>
      <c r="ISL55" s="82"/>
      <c r="ISM55" s="82"/>
      <c r="ISN55" s="82"/>
      <c r="ISO55" s="82"/>
      <c r="ISP55" s="82"/>
      <c r="ISQ55" s="82"/>
      <c r="ISR55" s="82"/>
      <c r="ISS55" s="82"/>
      <c r="IST55" s="82"/>
      <c r="ISU55" s="82"/>
      <c r="ISV55" s="82"/>
      <c r="ISW55" s="82"/>
      <c r="ISX55" s="82"/>
      <c r="ISY55" s="82"/>
      <c r="ISZ55" s="82"/>
      <c r="ITA55" s="82"/>
      <c r="ITB55" s="82"/>
      <c r="ITC55" s="82"/>
      <c r="ITD55" s="82"/>
      <c r="ITE55" s="82"/>
      <c r="ITF55" s="82"/>
      <c r="ITG55" s="82"/>
      <c r="ITH55" s="82"/>
      <c r="ITI55" s="82"/>
      <c r="ITJ55" s="82"/>
      <c r="ITK55" s="82"/>
      <c r="ITL55" s="82"/>
      <c r="ITM55" s="82"/>
      <c r="ITN55" s="82"/>
      <c r="ITO55" s="82"/>
      <c r="ITP55" s="82"/>
      <c r="ITQ55" s="82"/>
      <c r="ITR55" s="82"/>
      <c r="ITS55" s="82"/>
      <c r="ITT55" s="82"/>
      <c r="ITU55" s="82"/>
      <c r="ITV55" s="82"/>
      <c r="ITW55" s="82"/>
      <c r="ITX55" s="82"/>
      <c r="ITY55" s="82"/>
      <c r="ITZ55" s="82"/>
      <c r="IUA55" s="82"/>
      <c r="IUB55" s="82"/>
      <c r="IUC55" s="82"/>
      <c r="IUD55" s="82"/>
      <c r="IUE55" s="82"/>
      <c r="IUF55" s="82"/>
      <c r="IUG55" s="82"/>
      <c r="IUH55" s="82"/>
      <c r="IUI55" s="82"/>
      <c r="IUJ55" s="82"/>
      <c r="IUK55" s="82"/>
      <c r="IUL55" s="82"/>
      <c r="IUM55" s="82"/>
      <c r="IUN55" s="82"/>
      <c r="IUO55" s="82"/>
      <c r="IUP55" s="82"/>
      <c r="IUQ55" s="82"/>
      <c r="IUR55" s="82"/>
      <c r="IUS55" s="82"/>
      <c r="IUT55" s="82"/>
      <c r="IUU55" s="82"/>
      <c r="IUV55" s="82"/>
      <c r="IUW55" s="82"/>
      <c r="IUX55" s="82"/>
      <c r="IUY55" s="82"/>
      <c r="IUZ55" s="82"/>
      <c r="IVA55" s="82"/>
      <c r="IVB55" s="82"/>
      <c r="IVC55" s="82"/>
      <c r="IVD55" s="82"/>
      <c r="IVE55" s="82"/>
      <c r="IVF55" s="82"/>
      <c r="IVG55" s="82"/>
      <c r="IVH55" s="82"/>
      <c r="IVI55" s="82"/>
      <c r="IVJ55" s="82"/>
      <c r="IVK55" s="82"/>
      <c r="IVL55" s="82"/>
      <c r="IVM55" s="82"/>
      <c r="IVN55" s="82"/>
      <c r="IVO55" s="82"/>
      <c r="IVP55" s="82"/>
      <c r="IVQ55" s="82"/>
      <c r="IVR55" s="82"/>
      <c r="IVS55" s="82"/>
      <c r="IVT55" s="82"/>
      <c r="IVU55" s="82"/>
      <c r="IVV55" s="82"/>
      <c r="IVW55" s="82"/>
      <c r="IVX55" s="82"/>
      <c r="IVY55" s="82"/>
      <c r="IVZ55" s="82"/>
      <c r="IWA55" s="82"/>
      <c r="IWB55" s="82"/>
      <c r="IWC55" s="82"/>
      <c r="IWD55" s="82"/>
      <c r="IWE55" s="82"/>
      <c r="IWF55" s="82"/>
      <c r="IWG55" s="82"/>
      <c r="IWH55" s="82"/>
      <c r="IWI55" s="82"/>
      <c r="IWJ55" s="82"/>
      <c r="IWK55" s="82"/>
      <c r="IWL55" s="82"/>
      <c r="IWM55" s="82"/>
      <c r="IWN55" s="82"/>
      <c r="IWO55" s="82"/>
      <c r="IWP55" s="82"/>
      <c r="IWQ55" s="82"/>
      <c r="IWR55" s="82"/>
      <c r="IWS55" s="82"/>
      <c r="IWT55" s="82"/>
      <c r="IWU55" s="82"/>
      <c r="IWV55" s="82"/>
      <c r="IWW55" s="82"/>
      <c r="IWX55" s="82"/>
      <c r="IWY55" s="82"/>
      <c r="IWZ55" s="82"/>
      <c r="IXA55" s="82"/>
      <c r="IXB55" s="82"/>
      <c r="IXC55" s="82"/>
      <c r="IXD55" s="82"/>
      <c r="IXE55" s="82"/>
      <c r="IXF55" s="82"/>
      <c r="IXG55" s="82"/>
      <c r="IXH55" s="82"/>
      <c r="IXI55" s="82"/>
      <c r="IXJ55" s="82"/>
      <c r="IXK55" s="82"/>
      <c r="IXL55" s="82"/>
      <c r="IXM55" s="82"/>
      <c r="IXN55" s="82"/>
      <c r="IXO55" s="82"/>
      <c r="IXP55" s="82"/>
      <c r="IXQ55" s="82"/>
      <c r="IXR55" s="82"/>
      <c r="IXS55" s="82"/>
      <c r="IXT55" s="82"/>
      <c r="IXU55" s="82"/>
      <c r="IXV55" s="82"/>
      <c r="IXW55" s="82"/>
      <c r="IXX55" s="82"/>
      <c r="IXY55" s="82"/>
      <c r="IXZ55" s="82"/>
      <c r="IYA55" s="82"/>
      <c r="IYB55" s="82"/>
      <c r="IYC55" s="82"/>
      <c r="IYD55" s="82"/>
      <c r="IYE55" s="82"/>
      <c r="IYF55" s="82"/>
      <c r="IYG55" s="82"/>
      <c r="IYH55" s="82"/>
      <c r="IYI55" s="82"/>
      <c r="IYJ55" s="82"/>
      <c r="IYK55" s="82"/>
      <c r="IYL55" s="82"/>
      <c r="IYM55" s="82"/>
      <c r="IYN55" s="82"/>
      <c r="IYO55" s="82"/>
      <c r="IYP55" s="82"/>
      <c r="IYQ55" s="82"/>
      <c r="IYR55" s="82"/>
      <c r="IYS55" s="82"/>
      <c r="IYT55" s="82"/>
      <c r="IYU55" s="82"/>
      <c r="IYV55" s="82"/>
      <c r="IYW55" s="82"/>
      <c r="IYX55" s="82"/>
      <c r="IYY55" s="82"/>
      <c r="IYZ55" s="82"/>
      <c r="IZA55" s="82"/>
      <c r="IZB55" s="82"/>
      <c r="IZC55" s="82"/>
      <c r="IZD55" s="82"/>
      <c r="IZE55" s="82"/>
      <c r="IZF55" s="82"/>
      <c r="IZG55" s="82"/>
      <c r="IZH55" s="82"/>
      <c r="IZI55" s="82"/>
      <c r="IZJ55" s="82"/>
      <c r="IZK55" s="82"/>
      <c r="IZL55" s="82"/>
      <c r="IZM55" s="82"/>
      <c r="IZN55" s="82"/>
      <c r="IZO55" s="82"/>
      <c r="IZP55" s="82"/>
      <c r="IZQ55" s="82"/>
      <c r="IZR55" s="82"/>
      <c r="IZS55" s="82"/>
      <c r="IZT55" s="82"/>
      <c r="IZU55" s="82"/>
      <c r="IZV55" s="82"/>
      <c r="IZW55" s="82"/>
      <c r="IZX55" s="82"/>
      <c r="IZY55" s="82"/>
      <c r="IZZ55" s="82"/>
      <c r="JAA55" s="82"/>
      <c r="JAB55" s="82"/>
      <c r="JAC55" s="82"/>
      <c r="JAD55" s="82"/>
      <c r="JAE55" s="82"/>
      <c r="JAF55" s="82"/>
      <c r="JAG55" s="82"/>
      <c r="JAH55" s="82"/>
      <c r="JAI55" s="82"/>
      <c r="JAJ55" s="82"/>
      <c r="JAK55" s="82"/>
      <c r="JAL55" s="82"/>
      <c r="JAM55" s="82"/>
      <c r="JAN55" s="82"/>
      <c r="JAO55" s="82"/>
      <c r="JAP55" s="82"/>
      <c r="JAQ55" s="82"/>
      <c r="JAR55" s="82"/>
      <c r="JAS55" s="82"/>
      <c r="JAT55" s="82"/>
      <c r="JAU55" s="82"/>
      <c r="JAV55" s="82"/>
      <c r="JAW55" s="82"/>
      <c r="JAX55" s="82"/>
      <c r="JAY55" s="82"/>
      <c r="JAZ55" s="82"/>
      <c r="JBA55" s="82"/>
      <c r="JBB55" s="82"/>
      <c r="JBC55" s="82"/>
      <c r="JBD55" s="82"/>
      <c r="JBE55" s="82"/>
      <c r="JBF55" s="82"/>
      <c r="JBG55" s="82"/>
      <c r="JBH55" s="82"/>
      <c r="JBI55" s="82"/>
      <c r="JBJ55" s="82"/>
      <c r="JBK55" s="82"/>
      <c r="JBL55" s="82"/>
      <c r="JBM55" s="82"/>
      <c r="JBN55" s="82"/>
      <c r="JBO55" s="82"/>
      <c r="JBP55" s="82"/>
      <c r="JBQ55" s="82"/>
      <c r="JBR55" s="82"/>
      <c r="JBS55" s="82"/>
      <c r="JBT55" s="82"/>
      <c r="JBU55" s="82"/>
      <c r="JBV55" s="82"/>
      <c r="JBW55" s="82"/>
      <c r="JBX55" s="82"/>
      <c r="JBY55" s="82"/>
      <c r="JBZ55" s="82"/>
      <c r="JCA55" s="82"/>
      <c r="JCB55" s="82"/>
      <c r="JCC55" s="82"/>
      <c r="JCD55" s="82"/>
      <c r="JCE55" s="82"/>
      <c r="JCF55" s="82"/>
      <c r="JCG55" s="82"/>
      <c r="JCH55" s="82"/>
      <c r="JCI55" s="82"/>
      <c r="JCJ55" s="82"/>
      <c r="JCK55" s="82"/>
      <c r="JCL55" s="82"/>
      <c r="JCM55" s="82"/>
      <c r="JCN55" s="82"/>
      <c r="JCO55" s="82"/>
      <c r="JCP55" s="82"/>
      <c r="JCQ55" s="82"/>
      <c r="JCR55" s="82"/>
      <c r="JCS55" s="82"/>
      <c r="JCT55" s="82"/>
      <c r="JCU55" s="82"/>
      <c r="JCV55" s="82"/>
      <c r="JCW55" s="82"/>
      <c r="JCX55" s="82"/>
      <c r="JCY55" s="82"/>
      <c r="JCZ55" s="82"/>
      <c r="JDA55" s="82"/>
      <c r="JDB55" s="82"/>
      <c r="JDC55" s="82"/>
      <c r="JDD55" s="82"/>
      <c r="JDE55" s="82"/>
      <c r="JDF55" s="82"/>
      <c r="JDG55" s="82"/>
      <c r="JDH55" s="82"/>
      <c r="JDI55" s="82"/>
      <c r="JDJ55" s="82"/>
      <c r="JDK55" s="82"/>
      <c r="JDL55" s="82"/>
      <c r="JDM55" s="82"/>
      <c r="JDN55" s="82"/>
      <c r="JDO55" s="82"/>
      <c r="JDP55" s="82"/>
      <c r="JDQ55" s="82"/>
      <c r="JDR55" s="82"/>
      <c r="JDS55" s="82"/>
      <c r="JDT55" s="82"/>
      <c r="JDU55" s="82"/>
      <c r="JDV55" s="82"/>
      <c r="JDW55" s="82"/>
      <c r="JDX55" s="82"/>
      <c r="JDY55" s="82"/>
      <c r="JDZ55" s="82"/>
      <c r="JEA55" s="82"/>
      <c r="JEB55" s="82"/>
      <c r="JEC55" s="82"/>
      <c r="JED55" s="82"/>
      <c r="JEE55" s="82"/>
      <c r="JEF55" s="82"/>
      <c r="JEG55" s="82"/>
      <c r="JEH55" s="82"/>
      <c r="JEI55" s="82"/>
      <c r="JEJ55" s="82"/>
      <c r="JEK55" s="82"/>
      <c r="JEL55" s="82"/>
      <c r="JEM55" s="82"/>
      <c r="JEN55" s="82"/>
      <c r="JEO55" s="82"/>
      <c r="JEP55" s="82"/>
      <c r="JEQ55" s="82"/>
      <c r="JER55" s="82"/>
      <c r="JES55" s="82"/>
      <c r="JET55" s="82"/>
      <c r="JEU55" s="82"/>
      <c r="JEV55" s="82"/>
      <c r="JEW55" s="82"/>
      <c r="JEX55" s="82"/>
      <c r="JEY55" s="82"/>
      <c r="JEZ55" s="82"/>
      <c r="JFA55" s="82"/>
      <c r="JFB55" s="82"/>
      <c r="JFC55" s="82"/>
      <c r="JFD55" s="82"/>
      <c r="JFE55" s="82"/>
      <c r="JFF55" s="82"/>
      <c r="JFG55" s="82"/>
      <c r="JFH55" s="82"/>
      <c r="JFI55" s="82"/>
      <c r="JFJ55" s="82"/>
      <c r="JFK55" s="82"/>
      <c r="JFL55" s="82"/>
      <c r="JFM55" s="82"/>
      <c r="JFN55" s="82"/>
      <c r="JFO55" s="82"/>
      <c r="JFP55" s="82"/>
      <c r="JFQ55" s="82"/>
      <c r="JFR55" s="82"/>
      <c r="JFS55" s="82"/>
      <c r="JFT55" s="82"/>
      <c r="JFU55" s="82"/>
      <c r="JFV55" s="82"/>
      <c r="JFW55" s="82"/>
      <c r="JFX55" s="82"/>
      <c r="JFY55" s="82"/>
      <c r="JFZ55" s="82"/>
      <c r="JGA55" s="82"/>
      <c r="JGB55" s="82"/>
      <c r="JGC55" s="82"/>
      <c r="JGD55" s="82"/>
      <c r="JGE55" s="82"/>
      <c r="JGF55" s="82"/>
      <c r="JGG55" s="82"/>
      <c r="JGH55" s="82"/>
      <c r="JGI55" s="82"/>
      <c r="JGJ55" s="82"/>
      <c r="JGK55" s="82"/>
      <c r="JGL55" s="82"/>
      <c r="JGM55" s="82"/>
      <c r="JGN55" s="82"/>
      <c r="JGO55" s="82"/>
      <c r="JGP55" s="82"/>
      <c r="JGQ55" s="82"/>
      <c r="JGR55" s="82"/>
      <c r="JGS55" s="82"/>
      <c r="JGT55" s="82"/>
      <c r="JGU55" s="82"/>
      <c r="JGV55" s="82"/>
      <c r="JGW55" s="82"/>
      <c r="JGX55" s="82"/>
      <c r="JGY55" s="82"/>
      <c r="JGZ55" s="82"/>
      <c r="JHA55" s="82"/>
      <c r="JHB55" s="82"/>
      <c r="JHC55" s="82"/>
      <c r="JHD55" s="82"/>
      <c r="JHE55" s="82"/>
      <c r="JHF55" s="82"/>
      <c r="JHG55" s="82"/>
      <c r="JHH55" s="82"/>
      <c r="JHI55" s="82"/>
      <c r="JHJ55" s="82"/>
      <c r="JHK55" s="82"/>
      <c r="JHL55" s="82"/>
      <c r="JHM55" s="82"/>
      <c r="JHN55" s="82"/>
      <c r="JHO55" s="82"/>
      <c r="JHP55" s="82"/>
      <c r="JHQ55" s="82"/>
      <c r="JHR55" s="82"/>
      <c r="JHS55" s="82"/>
      <c r="JHT55" s="82"/>
      <c r="JHU55" s="82"/>
      <c r="JHV55" s="82"/>
      <c r="JHW55" s="82"/>
      <c r="JHX55" s="82"/>
      <c r="JHY55" s="82"/>
      <c r="JHZ55" s="82"/>
      <c r="JIA55" s="82"/>
      <c r="JIB55" s="82"/>
      <c r="JIC55" s="82"/>
      <c r="JID55" s="82"/>
      <c r="JIE55" s="82"/>
      <c r="JIF55" s="82"/>
      <c r="JIG55" s="82"/>
      <c r="JIH55" s="82"/>
      <c r="JII55" s="82"/>
      <c r="JIJ55" s="82"/>
      <c r="JIK55" s="82"/>
      <c r="JIL55" s="82"/>
      <c r="JIM55" s="82"/>
      <c r="JIN55" s="82"/>
      <c r="JIO55" s="82"/>
      <c r="JIP55" s="82"/>
      <c r="JIQ55" s="82"/>
      <c r="JIR55" s="82"/>
      <c r="JIS55" s="82"/>
      <c r="JIT55" s="82"/>
      <c r="JIU55" s="82"/>
      <c r="JIV55" s="82"/>
      <c r="JIW55" s="82"/>
      <c r="JIX55" s="82"/>
      <c r="JIY55" s="82"/>
      <c r="JIZ55" s="82"/>
      <c r="JJA55" s="82"/>
      <c r="JJB55" s="82"/>
      <c r="JJC55" s="82"/>
      <c r="JJD55" s="82"/>
      <c r="JJE55" s="82"/>
      <c r="JJF55" s="82"/>
      <c r="JJG55" s="82"/>
      <c r="JJH55" s="82"/>
      <c r="JJI55" s="82"/>
      <c r="JJJ55" s="82"/>
      <c r="JJK55" s="82"/>
      <c r="JJL55" s="82"/>
      <c r="JJM55" s="82"/>
      <c r="JJN55" s="82"/>
      <c r="JJO55" s="82"/>
      <c r="JJP55" s="82"/>
      <c r="JJQ55" s="82"/>
      <c r="JJR55" s="82"/>
      <c r="JJS55" s="82"/>
      <c r="JJT55" s="82"/>
      <c r="JJU55" s="82"/>
      <c r="JJV55" s="82"/>
      <c r="JJW55" s="82"/>
      <c r="JJX55" s="82"/>
      <c r="JJY55" s="82"/>
      <c r="JJZ55" s="82"/>
      <c r="JKA55" s="82"/>
      <c r="JKB55" s="82"/>
      <c r="JKC55" s="82"/>
      <c r="JKD55" s="82"/>
      <c r="JKE55" s="82"/>
      <c r="JKF55" s="82"/>
      <c r="JKG55" s="82"/>
      <c r="JKH55" s="82"/>
      <c r="JKI55" s="82"/>
      <c r="JKJ55" s="82"/>
      <c r="JKK55" s="82"/>
      <c r="JKL55" s="82"/>
      <c r="JKM55" s="82"/>
      <c r="JKN55" s="82"/>
      <c r="JKO55" s="82"/>
      <c r="JKP55" s="82"/>
      <c r="JKQ55" s="82"/>
      <c r="JKR55" s="82"/>
      <c r="JKS55" s="82"/>
      <c r="JKT55" s="82"/>
      <c r="JKU55" s="82"/>
      <c r="JKV55" s="82"/>
      <c r="JKW55" s="82"/>
      <c r="JKX55" s="82"/>
      <c r="JKY55" s="82"/>
      <c r="JKZ55" s="82"/>
      <c r="JLA55" s="82"/>
      <c r="JLB55" s="82"/>
      <c r="JLC55" s="82"/>
      <c r="JLD55" s="82"/>
      <c r="JLE55" s="82"/>
      <c r="JLF55" s="82"/>
      <c r="JLG55" s="82"/>
      <c r="JLH55" s="82"/>
      <c r="JLI55" s="82"/>
      <c r="JLJ55" s="82"/>
      <c r="JLK55" s="82"/>
      <c r="JLL55" s="82"/>
      <c r="JLM55" s="82"/>
      <c r="JLN55" s="82"/>
      <c r="JLO55" s="82"/>
      <c r="JLP55" s="82"/>
      <c r="JLQ55" s="82"/>
      <c r="JLR55" s="82"/>
      <c r="JLS55" s="82"/>
      <c r="JLT55" s="82"/>
      <c r="JLU55" s="82"/>
      <c r="JLV55" s="82"/>
      <c r="JLW55" s="82"/>
      <c r="JLX55" s="82"/>
      <c r="JLY55" s="82"/>
      <c r="JLZ55" s="82"/>
      <c r="JMA55" s="82"/>
      <c r="JMB55" s="82"/>
      <c r="JMC55" s="82"/>
      <c r="JMD55" s="82"/>
      <c r="JME55" s="82"/>
      <c r="JMF55" s="82"/>
      <c r="JMG55" s="82"/>
      <c r="JMH55" s="82"/>
      <c r="JMI55" s="82"/>
      <c r="JMJ55" s="82"/>
      <c r="JMK55" s="82"/>
      <c r="JML55" s="82"/>
      <c r="JMM55" s="82"/>
      <c r="JMN55" s="82"/>
      <c r="JMO55" s="82"/>
      <c r="JMP55" s="82"/>
      <c r="JMQ55" s="82"/>
      <c r="JMR55" s="82"/>
      <c r="JMS55" s="82"/>
      <c r="JMT55" s="82"/>
      <c r="JMU55" s="82"/>
      <c r="JMV55" s="82"/>
      <c r="JMW55" s="82"/>
      <c r="JMX55" s="82"/>
      <c r="JMY55" s="82"/>
      <c r="JMZ55" s="82"/>
      <c r="JNA55" s="82"/>
      <c r="JNB55" s="82"/>
      <c r="JNC55" s="82"/>
      <c r="JND55" s="82"/>
      <c r="JNE55" s="82"/>
      <c r="JNF55" s="82"/>
      <c r="JNG55" s="82"/>
      <c r="JNH55" s="82"/>
      <c r="JNI55" s="82"/>
      <c r="JNJ55" s="82"/>
      <c r="JNK55" s="82"/>
      <c r="JNL55" s="82"/>
      <c r="JNM55" s="82"/>
      <c r="JNN55" s="82"/>
      <c r="JNO55" s="82"/>
      <c r="JNP55" s="82"/>
      <c r="JNQ55" s="82"/>
      <c r="JNR55" s="82"/>
      <c r="JNS55" s="82"/>
      <c r="JNT55" s="82"/>
      <c r="JNU55" s="82"/>
      <c r="JNV55" s="82"/>
      <c r="JNW55" s="82"/>
      <c r="JNX55" s="82"/>
      <c r="JNY55" s="82"/>
      <c r="JNZ55" s="82"/>
      <c r="JOA55" s="82"/>
      <c r="JOB55" s="82"/>
      <c r="JOC55" s="82"/>
      <c r="JOD55" s="82"/>
      <c r="JOE55" s="82"/>
      <c r="JOF55" s="82"/>
      <c r="JOG55" s="82"/>
      <c r="JOH55" s="82"/>
      <c r="JOI55" s="82"/>
      <c r="JOJ55" s="82"/>
      <c r="JOK55" s="82"/>
      <c r="JOL55" s="82"/>
      <c r="JOM55" s="82"/>
      <c r="JON55" s="82"/>
      <c r="JOO55" s="82"/>
      <c r="JOP55" s="82"/>
      <c r="JOQ55" s="82"/>
      <c r="JOR55" s="82"/>
      <c r="JOS55" s="82"/>
      <c r="JOT55" s="82"/>
      <c r="JOU55" s="82"/>
      <c r="JOV55" s="82"/>
      <c r="JOW55" s="82"/>
      <c r="JOX55" s="82"/>
      <c r="JOY55" s="82"/>
      <c r="JOZ55" s="82"/>
      <c r="JPA55" s="82"/>
      <c r="JPB55" s="82"/>
      <c r="JPC55" s="82"/>
      <c r="JPD55" s="82"/>
      <c r="JPE55" s="82"/>
      <c r="JPF55" s="82"/>
      <c r="JPG55" s="82"/>
      <c r="JPH55" s="82"/>
      <c r="JPI55" s="82"/>
      <c r="JPJ55" s="82"/>
      <c r="JPK55" s="82"/>
      <c r="JPL55" s="82"/>
      <c r="JPM55" s="82"/>
      <c r="JPN55" s="82"/>
      <c r="JPO55" s="82"/>
      <c r="JPP55" s="82"/>
      <c r="JPQ55" s="82"/>
      <c r="JPR55" s="82"/>
      <c r="JPS55" s="82"/>
      <c r="JPT55" s="82"/>
      <c r="JPU55" s="82"/>
      <c r="JPV55" s="82"/>
      <c r="JPW55" s="82"/>
      <c r="JPX55" s="82"/>
      <c r="JPY55" s="82"/>
      <c r="JPZ55" s="82"/>
      <c r="JQA55" s="82"/>
      <c r="JQB55" s="82"/>
      <c r="JQC55" s="82"/>
      <c r="JQD55" s="82"/>
      <c r="JQE55" s="82"/>
      <c r="JQF55" s="82"/>
      <c r="JQG55" s="82"/>
      <c r="JQH55" s="82"/>
      <c r="JQI55" s="82"/>
      <c r="JQJ55" s="82"/>
      <c r="JQK55" s="82"/>
      <c r="JQL55" s="82"/>
      <c r="JQM55" s="82"/>
      <c r="JQN55" s="82"/>
      <c r="JQO55" s="82"/>
      <c r="JQP55" s="82"/>
      <c r="JQQ55" s="82"/>
      <c r="JQR55" s="82"/>
      <c r="JQS55" s="82"/>
      <c r="JQT55" s="82"/>
      <c r="JQU55" s="82"/>
      <c r="JQV55" s="82"/>
      <c r="JQW55" s="82"/>
      <c r="JQX55" s="82"/>
      <c r="JQY55" s="82"/>
      <c r="JQZ55" s="82"/>
      <c r="JRA55" s="82"/>
      <c r="JRB55" s="82"/>
      <c r="JRC55" s="82"/>
      <c r="JRD55" s="82"/>
      <c r="JRE55" s="82"/>
      <c r="JRF55" s="82"/>
      <c r="JRG55" s="82"/>
      <c r="JRH55" s="82"/>
      <c r="JRI55" s="82"/>
      <c r="JRJ55" s="82"/>
      <c r="JRK55" s="82"/>
      <c r="JRL55" s="82"/>
      <c r="JRM55" s="82"/>
      <c r="JRN55" s="82"/>
      <c r="JRO55" s="82"/>
      <c r="JRP55" s="82"/>
      <c r="JRQ55" s="82"/>
      <c r="JRR55" s="82"/>
      <c r="JRS55" s="82"/>
      <c r="JRT55" s="82"/>
      <c r="JRU55" s="82"/>
      <c r="JRV55" s="82"/>
      <c r="JRW55" s="82"/>
      <c r="JRX55" s="82"/>
      <c r="JRY55" s="82"/>
      <c r="JRZ55" s="82"/>
      <c r="JSA55" s="82"/>
      <c r="JSB55" s="82"/>
      <c r="JSC55" s="82"/>
      <c r="JSD55" s="82"/>
      <c r="JSE55" s="82"/>
      <c r="JSF55" s="82"/>
      <c r="JSG55" s="82"/>
      <c r="JSH55" s="82"/>
      <c r="JSI55" s="82"/>
      <c r="JSJ55" s="82"/>
      <c r="JSK55" s="82"/>
      <c r="JSL55" s="82"/>
      <c r="JSM55" s="82"/>
      <c r="JSN55" s="82"/>
      <c r="JSO55" s="82"/>
      <c r="JSP55" s="82"/>
      <c r="JSQ55" s="82"/>
      <c r="JSR55" s="82"/>
      <c r="JSS55" s="82"/>
      <c r="JST55" s="82"/>
      <c r="JSU55" s="82"/>
      <c r="JSV55" s="82"/>
      <c r="JSW55" s="82"/>
      <c r="JSX55" s="82"/>
      <c r="JSY55" s="82"/>
      <c r="JSZ55" s="82"/>
      <c r="JTA55" s="82"/>
      <c r="JTB55" s="82"/>
      <c r="JTC55" s="82"/>
      <c r="JTD55" s="82"/>
      <c r="JTE55" s="82"/>
      <c r="JTF55" s="82"/>
      <c r="JTG55" s="82"/>
      <c r="JTH55" s="82"/>
      <c r="JTI55" s="82"/>
      <c r="JTJ55" s="82"/>
      <c r="JTK55" s="82"/>
      <c r="JTL55" s="82"/>
      <c r="JTM55" s="82"/>
      <c r="JTN55" s="82"/>
      <c r="JTO55" s="82"/>
      <c r="JTP55" s="82"/>
      <c r="JTQ55" s="82"/>
      <c r="JTR55" s="82"/>
      <c r="JTS55" s="82"/>
      <c r="JTT55" s="82"/>
      <c r="JTU55" s="82"/>
      <c r="JTV55" s="82"/>
      <c r="JTW55" s="82"/>
      <c r="JTX55" s="82"/>
      <c r="JTY55" s="82"/>
      <c r="JTZ55" s="82"/>
      <c r="JUA55" s="82"/>
      <c r="JUB55" s="82"/>
      <c r="JUC55" s="82"/>
      <c r="JUD55" s="82"/>
      <c r="JUE55" s="82"/>
      <c r="JUF55" s="82"/>
      <c r="JUG55" s="82"/>
      <c r="JUH55" s="82"/>
      <c r="JUI55" s="82"/>
      <c r="JUJ55" s="82"/>
      <c r="JUK55" s="82"/>
      <c r="JUL55" s="82"/>
      <c r="JUM55" s="82"/>
      <c r="JUN55" s="82"/>
      <c r="JUO55" s="82"/>
      <c r="JUP55" s="82"/>
      <c r="JUQ55" s="82"/>
      <c r="JUR55" s="82"/>
      <c r="JUS55" s="82"/>
      <c r="JUT55" s="82"/>
      <c r="JUU55" s="82"/>
      <c r="JUV55" s="82"/>
      <c r="JUW55" s="82"/>
      <c r="JUX55" s="82"/>
      <c r="JUY55" s="82"/>
      <c r="JUZ55" s="82"/>
      <c r="JVA55" s="82"/>
      <c r="JVB55" s="82"/>
      <c r="JVC55" s="82"/>
      <c r="JVD55" s="82"/>
      <c r="JVE55" s="82"/>
      <c r="JVF55" s="82"/>
      <c r="JVG55" s="82"/>
      <c r="JVH55" s="82"/>
      <c r="JVI55" s="82"/>
      <c r="JVJ55" s="82"/>
      <c r="JVK55" s="82"/>
      <c r="JVL55" s="82"/>
      <c r="JVM55" s="82"/>
      <c r="JVN55" s="82"/>
      <c r="JVO55" s="82"/>
      <c r="JVP55" s="82"/>
      <c r="JVQ55" s="82"/>
      <c r="JVR55" s="82"/>
      <c r="JVS55" s="82"/>
      <c r="JVT55" s="82"/>
      <c r="JVU55" s="82"/>
      <c r="JVV55" s="82"/>
      <c r="JVW55" s="82"/>
      <c r="JVX55" s="82"/>
      <c r="JVY55" s="82"/>
      <c r="JVZ55" s="82"/>
      <c r="JWA55" s="82"/>
      <c r="JWB55" s="82"/>
      <c r="JWC55" s="82"/>
      <c r="JWD55" s="82"/>
      <c r="JWE55" s="82"/>
      <c r="JWF55" s="82"/>
      <c r="JWG55" s="82"/>
      <c r="JWH55" s="82"/>
      <c r="JWI55" s="82"/>
      <c r="JWJ55" s="82"/>
      <c r="JWK55" s="82"/>
      <c r="JWL55" s="82"/>
      <c r="JWM55" s="82"/>
      <c r="JWN55" s="82"/>
      <c r="JWO55" s="82"/>
      <c r="JWP55" s="82"/>
      <c r="JWQ55" s="82"/>
      <c r="JWR55" s="82"/>
      <c r="JWS55" s="82"/>
      <c r="JWT55" s="82"/>
      <c r="JWU55" s="82"/>
      <c r="JWV55" s="82"/>
      <c r="JWW55" s="82"/>
      <c r="JWX55" s="82"/>
      <c r="JWY55" s="82"/>
      <c r="JWZ55" s="82"/>
      <c r="JXA55" s="82"/>
      <c r="JXB55" s="82"/>
      <c r="JXC55" s="82"/>
      <c r="JXD55" s="82"/>
      <c r="JXE55" s="82"/>
      <c r="JXF55" s="82"/>
      <c r="JXG55" s="82"/>
      <c r="JXH55" s="82"/>
      <c r="JXI55" s="82"/>
      <c r="JXJ55" s="82"/>
      <c r="JXK55" s="82"/>
      <c r="JXL55" s="82"/>
      <c r="JXM55" s="82"/>
      <c r="JXN55" s="82"/>
      <c r="JXO55" s="82"/>
      <c r="JXP55" s="82"/>
      <c r="JXQ55" s="82"/>
      <c r="JXR55" s="82"/>
      <c r="JXS55" s="82"/>
      <c r="JXT55" s="82"/>
      <c r="JXU55" s="82"/>
      <c r="JXV55" s="82"/>
      <c r="JXW55" s="82"/>
      <c r="JXX55" s="82"/>
      <c r="JXY55" s="82"/>
      <c r="JXZ55" s="82"/>
      <c r="JYA55" s="82"/>
      <c r="JYB55" s="82"/>
      <c r="JYC55" s="82"/>
      <c r="JYD55" s="82"/>
      <c r="JYE55" s="82"/>
      <c r="JYF55" s="82"/>
      <c r="JYG55" s="82"/>
      <c r="JYH55" s="82"/>
      <c r="JYI55" s="82"/>
      <c r="JYJ55" s="82"/>
      <c r="JYK55" s="82"/>
      <c r="JYL55" s="82"/>
      <c r="JYM55" s="82"/>
      <c r="JYN55" s="82"/>
      <c r="JYO55" s="82"/>
      <c r="JYP55" s="82"/>
      <c r="JYQ55" s="82"/>
      <c r="JYR55" s="82"/>
      <c r="JYS55" s="82"/>
      <c r="JYT55" s="82"/>
      <c r="JYU55" s="82"/>
      <c r="JYV55" s="82"/>
      <c r="JYW55" s="82"/>
      <c r="JYX55" s="82"/>
      <c r="JYY55" s="82"/>
      <c r="JYZ55" s="82"/>
      <c r="JZA55" s="82"/>
      <c r="JZB55" s="82"/>
      <c r="JZC55" s="82"/>
      <c r="JZD55" s="82"/>
      <c r="JZE55" s="82"/>
      <c r="JZF55" s="82"/>
      <c r="JZG55" s="82"/>
      <c r="JZH55" s="82"/>
      <c r="JZI55" s="82"/>
      <c r="JZJ55" s="82"/>
      <c r="JZK55" s="82"/>
      <c r="JZL55" s="82"/>
      <c r="JZM55" s="82"/>
      <c r="JZN55" s="82"/>
      <c r="JZO55" s="82"/>
      <c r="JZP55" s="82"/>
      <c r="JZQ55" s="82"/>
      <c r="JZR55" s="82"/>
      <c r="JZS55" s="82"/>
      <c r="JZT55" s="82"/>
      <c r="JZU55" s="82"/>
      <c r="JZV55" s="82"/>
      <c r="JZW55" s="82"/>
      <c r="JZX55" s="82"/>
      <c r="JZY55" s="82"/>
      <c r="JZZ55" s="82"/>
      <c r="KAA55" s="82"/>
      <c r="KAB55" s="82"/>
      <c r="KAC55" s="82"/>
      <c r="KAD55" s="82"/>
      <c r="KAE55" s="82"/>
      <c r="KAF55" s="82"/>
      <c r="KAG55" s="82"/>
      <c r="KAH55" s="82"/>
      <c r="KAI55" s="82"/>
      <c r="KAJ55" s="82"/>
      <c r="KAK55" s="82"/>
      <c r="KAL55" s="82"/>
      <c r="KAM55" s="82"/>
      <c r="KAN55" s="82"/>
      <c r="KAO55" s="82"/>
      <c r="KAP55" s="82"/>
      <c r="KAQ55" s="82"/>
      <c r="KAR55" s="82"/>
      <c r="KAS55" s="82"/>
      <c r="KAT55" s="82"/>
      <c r="KAU55" s="82"/>
      <c r="KAV55" s="82"/>
      <c r="KAW55" s="82"/>
      <c r="KAX55" s="82"/>
      <c r="KAY55" s="82"/>
      <c r="KAZ55" s="82"/>
      <c r="KBA55" s="82"/>
      <c r="KBB55" s="82"/>
      <c r="KBC55" s="82"/>
      <c r="KBD55" s="82"/>
      <c r="KBE55" s="82"/>
      <c r="KBF55" s="82"/>
      <c r="KBG55" s="82"/>
      <c r="KBH55" s="82"/>
      <c r="KBI55" s="82"/>
      <c r="KBJ55" s="82"/>
      <c r="KBK55" s="82"/>
      <c r="KBL55" s="82"/>
      <c r="KBM55" s="82"/>
      <c r="KBN55" s="82"/>
      <c r="KBO55" s="82"/>
      <c r="KBP55" s="82"/>
      <c r="KBQ55" s="82"/>
      <c r="KBR55" s="82"/>
      <c r="KBS55" s="82"/>
      <c r="KBT55" s="82"/>
      <c r="KBU55" s="82"/>
      <c r="KBV55" s="82"/>
      <c r="KBW55" s="82"/>
      <c r="KBX55" s="82"/>
      <c r="KBY55" s="82"/>
      <c r="KBZ55" s="82"/>
      <c r="KCA55" s="82"/>
      <c r="KCB55" s="82"/>
      <c r="KCC55" s="82"/>
      <c r="KCD55" s="82"/>
      <c r="KCE55" s="82"/>
      <c r="KCF55" s="82"/>
      <c r="KCG55" s="82"/>
      <c r="KCH55" s="82"/>
      <c r="KCI55" s="82"/>
      <c r="KCJ55" s="82"/>
      <c r="KCK55" s="82"/>
      <c r="KCL55" s="82"/>
      <c r="KCM55" s="82"/>
      <c r="KCN55" s="82"/>
      <c r="KCO55" s="82"/>
      <c r="KCP55" s="82"/>
      <c r="KCQ55" s="82"/>
      <c r="KCR55" s="82"/>
      <c r="KCS55" s="82"/>
      <c r="KCT55" s="82"/>
      <c r="KCU55" s="82"/>
      <c r="KCV55" s="82"/>
      <c r="KCW55" s="82"/>
      <c r="KCX55" s="82"/>
      <c r="KCY55" s="82"/>
      <c r="KCZ55" s="82"/>
      <c r="KDA55" s="82"/>
      <c r="KDB55" s="82"/>
      <c r="KDC55" s="82"/>
      <c r="KDD55" s="82"/>
      <c r="KDE55" s="82"/>
      <c r="KDF55" s="82"/>
      <c r="KDG55" s="82"/>
      <c r="KDH55" s="82"/>
      <c r="KDI55" s="82"/>
      <c r="KDJ55" s="82"/>
      <c r="KDK55" s="82"/>
      <c r="KDL55" s="82"/>
      <c r="KDM55" s="82"/>
      <c r="KDN55" s="82"/>
      <c r="KDO55" s="82"/>
      <c r="KDP55" s="82"/>
      <c r="KDQ55" s="82"/>
      <c r="KDR55" s="82"/>
      <c r="KDS55" s="82"/>
      <c r="KDT55" s="82"/>
      <c r="KDU55" s="82"/>
      <c r="KDV55" s="82"/>
      <c r="KDW55" s="82"/>
      <c r="KDX55" s="82"/>
      <c r="KDY55" s="82"/>
      <c r="KDZ55" s="82"/>
      <c r="KEA55" s="82"/>
      <c r="KEB55" s="82"/>
      <c r="KEC55" s="82"/>
      <c r="KED55" s="82"/>
      <c r="KEE55" s="82"/>
      <c r="KEF55" s="82"/>
      <c r="KEG55" s="82"/>
      <c r="KEH55" s="82"/>
      <c r="KEI55" s="82"/>
      <c r="KEJ55" s="82"/>
      <c r="KEK55" s="82"/>
      <c r="KEL55" s="82"/>
      <c r="KEM55" s="82"/>
      <c r="KEN55" s="82"/>
      <c r="KEO55" s="82"/>
      <c r="KEP55" s="82"/>
      <c r="KEQ55" s="82"/>
      <c r="KER55" s="82"/>
      <c r="KES55" s="82"/>
      <c r="KET55" s="82"/>
      <c r="KEU55" s="82"/>
      <c r="KEV55" s="82"/>
      <c r="KEW55" s="82"/>
      <c r="KEX55" s="82"/>
      <c r="KEY55" s="82"/>
      <c r="KEZ55" s="82"/>
      <c r="KFA55" s="82"/>
      <c r="KFB55" s="82"/>
      <c r="KFC55" s="82"/>
      <c r="KFD55" s="82"/>
      <c r="KFE55" s="82"/>
      <c r="KFF55" s="82"/>
      <c r="KFG55" s="82"/>
      <c r="KFH55" s="82"/>
      <c r="KFI55" s="82"/>
      <c r="KFJ55" s="82"/>
      <c r="KFK55" s="82"/>
      <c r="KFL55" s="82"/>
      <c r="KFM55" s="82"/>
      <c r="KFN55" s="82"/>
      <c r="KFO55" s="82"/>
      <c r="KFP55" s="82"/>
      <c r="KFQ55" s="82"/>
      <c r="KFR55" s="82"/>
      <c r="KFS55" s="82"/>
      <c r="KFT55" s="82"/>
      <c r="KFU55" s="82"/>
      <c r="KFV55" s="82"/>
      <c r="KFW55" s="82"/>
      <c r="KFX55" s="82"/>
      <c r="KFY55" s="82"/>
      <c r="KFZ55" s="82"/>
      <c r="KGA55" s="82"/>
      <c r="KGB55" s="82"/>
      <c r="KGC55" s="82"/>
      <c r="KGD55" s="82"/>
      <c r="KGE55" s="82"/>
      <c r="KGF55" s="82"/>
      <c r="KGG55" s="82"/>
      <c r="KGH55" s="82"/>
      <c r="KGI55" s="82"/>
      <c r="KGJ55" s="82"/>
      <c r="KGK55" s="82"/>
      <c r="KGL55" s="82"/>
      <c r="KGM55" s="82"/>
      <c r="KGN55" s="82"/>
      <c r="KGO55" s="82"/>
      <c r="KGP55" s="82"/>
      <c r="KGQ55" s="82"/>
      <c r="KGR55" s="82"/>
      <c r="KGS55" s="82"/>
      <c r="KGT55" s="82"/>
      <c r="KGU55" s="82"/>
      <c r="KGV55" s="82"/>
      <c r="KGW55" s="82"/>
      <c r="KGX55" s="82"/>
      <c r="KGY55" s="82"/>
      <c r="KGZ55" s="82"/>
      <c r="KHA55" s="82"/>
      <c r="KHB55" s="82"/>
      <c r="KHC55" s="82"/>
      <c r="KHD55" s="82"/>
      <c r="KHE55" s="82"/>
      <c r="KHF55" s="82"/>
      <c r="KHG55" s="82"/>
      <c r="KHH55" s="82"/>
      <c r="KHI55" s="82"/>
      <c r="KHJ55" s="82"/>
      <c r="KHK55" s="82"/>
      <c r="KHL55" s="82"/>
      <c r="KHM55" s="82"/>
      <c r="KHN55" s="82"/>
      <c r="KHO55" s="82"/>
      <c r="KHP55" s="82"/>
      <c r="KHQ55" s="82"/>
      <c r="KHR55" s="82"/>
      <c r="KHS55" s="82"/>
      <c r="KHT55" s="82"/>
      <c r="KHU55" s="82"/>
      <c r="KHV55" s="82"/>
      <c r="KHW55" s="82"/>
      <c r="KHX55" s="82"/>
      <c r="KHY55" s="82"/>
      <c r="KHZ55" s="82"/>
      <c r="KIA55" s="82"/>
      <c r="KIB55" s="82"/>
      <c r="KIC55" s="82"/>
      <c r="KID55" s="82"/>
      <c r="KIE55" s="82"/>
      <c r="KIF55" s="82"/>
      <c r="KIG55" s="82"/>
      <c r="KIH55" s="82"/>
      <c r="KII55" s="82"/>
      <c r="KIJ55" s="82"/>
      <c r="KIK55" s="82"/>
      <c r="KIL55" s="82"/>
      <c r="KIM55" s="82"/>
      <c r="KIN55" s="82"/>
      <c r="KIO55" s="82"/>
      <c r="KIP55" s="82"/>
      <c r="KIQ55" s="82"/>
      <c r="KIR55" s="82"/>
      <c r="KIS55" s="82"/>
      <c r="KIT55" s="82"/>
      <c r="KIU55" s="82"/>
      <c r="KIV55" s="82"/>
      <c r="KIW55" s="82"/>
      <c r="KIX55" s="82"/>
      <c r="KIY55" s="82"/>
      <c r="KIZ55" s="82"/>
      <c r="KJA55" s="82"/>
      <c r="KJB55" s="82"/>
      <c r="KJC55" s="82"/>
      <c r="KJD55" s="82"/>
      <c r="KJE55" s="82"/>
      <c r="KJF55" s="82"/>
      <c r="KJG55" s="82"/>
      <c r="KJH55" s="82"/>
      <c r="KJI55" s="82"/>
      <c r="KJJ55" s="82"/>
      <c r="KJK55" s="82"/>
      <c r="KJL55" s="82"/>
      <c r="KJM55" s="82"/>
      <c r="KJN55" s="82"/>
      <c r="KJO55" s="82"/>
      <c r="KJP55" s="82"/>
      <c r="KJQ55" s="82"/>
      <c r="KJR55" s="82"/>
      <c r="KJS55" s="82"/>
      <c r="KJT55" s="82"/>
      <c r="KJU55" s="82"/>
      <c r="KJV55" s="82"/>
      <c r="KJW55" s="82"/>
      <c r="KJX55" s="82"/>
      <c r="KJY55" s="82"/>
      <c r="KJZ55" s="82"/>
      <c r="KKA55" s="82"/>
      <c r="KKB55" s="82"/>
      <c r="KKC55" s="82"/>
      <c r="KKD55" s="82"/>
      <c r="KKE55" s="82"/>
      <c r="KKF55" s="82"/>
      <c r="KKG55" s="82"/>
      <c r="KKH55" s="82"/>
      <c r="KKI55" s="82"/>
      <c r="KKJ55" s="82"/>
      <c r="KKK55" s="82"/>
      <c r="KKL55" s="82"/>
      <c r="KKM55" s="82"/>
      <c r="KKN55" s="82"/>
      <c r="KKO55" s="82"/>
      <c r="KKP55" s="82"/>
      <c r="KKQ55" s="82"/>
      <c r="KKR55" s="82"/>
      <c r="KKS55" s="82"/>
      <c r="KKT55" s="82"/>
      <c r="KKU55" s="82"/>
      <c r="KKV55" s="82"/>
      <c r="KKW55" s="82"/>
      <c r="KKX55" s="82"/>
      <c r="KKY55" s="82"/>
      <c r="KKZ55" s="82"/>
      <c r="KLA55" s="82"/>
      <c r="KLB55" s="82"/>
      <c r="KLC55" s="82"/>
      <c r="KLD55" s="82"/>
      <c r="KLE55" s="82"/>
      <c r="KLF55" s="82"/>
      <c r="KLG55" s="82"/>
      <c r="KLH55" s="82"/>
      <c r="KLI55" s="82"/>
      <c r="KLJ55" s="82"/>
      <c r="KLK55" s="82"/>
      <c r="KLL55" s="82"/>
      <c r="KLM55" s="82"/>
      <c r="KLN55" s="82"/>
      <c r="KLO55" s="82"/>
      <c r="KLP55" s="82"/>
      <c r="KLQ55" s="82"/>
      <c r="KLR55" s="82"/>
      <c r="KLS55" s="82"/>
      <c r="KLT55" s="82"/>
      <c r="KLU55" s="82"/>
      <c r="KLV55" s="82"/>
      <c r="KLW55" s="82"/>
      <c r="KLX55" s="82"/>
      <c r="KLY55" s="82"/>
      <c r="KLZ55" s="82"/>
      <c r="KMA55" s="82"/>
      <c r="KMB55" s="82"/>
      <c r="KMC55" s="82"/>
      <c r="KMD55" s="82"/>
      <c r="KME55" s="82"/>
      <c r="KMF55" s="82"/>
      <c r="KMG55" s="82"/>
      <c r="KMH55" s="82"/>
      <c r="KMI55" s="82"/>
      <c r="KMJ55" s="82"/>
      <c r="KMK55" s="82"/>
      <c r="KML55" s="82"/>
      <c r="KMM55" s="82"/>
      <c r="KMN55" s="82"/>
      <c r="KMO55" s="82"/>
      <c r="KMP55" s="82"/>
      <c r="KMQ55" s="82"/>
      <c r="KMR55" s="82"/>
      <c r="KMS55" s="82"/>
      <c r="KMT55" s="82"/>
      <c r="KMU55" s="82"/>
      <c r="KMV55" s="82"/>
      <c r="KMW55" s="82"/>
      <c r="KMX55" s="82"/>
      <c r="KMY55" s="82"/>
      <c r="KMZ55" s="82"/>
      <c r="KNA55" s="82"/>
      <c r="KNB55" s="82"/>
      <c r="KNC55" s="82"/>
      <c r="KND55" s="82"/>
      <c r="KNE55" s="82"/>
      <c r="KNF55" s="82"/>
      <c r="KNG55" s="82"/>
      <c r="KNH55" s="82"/>
      <c r="KNI55" s="82"/>
      <c r="KNJ55" s="82"/>
      <c r="KNK55" s="82"/>
      <c r="KNL55" s="82"/>
      <c r="KNM55" s="82"/>
      <c r="KNN55" s="82"/>
      <c r="KNO55" s="82"/>
      <c r="KNP55" s="82"/>
      <c r="KNQ55" s="82"/>
      <c r="KNR55" s="82"/>
      <c r="KNS55" s="82"/>
      <c r="KNT55" s="82"/>
      <c r="KNU55" s="82"/>
      <c r="KNV55" s="82"/>
      <c r="KNW55" s="82"/>
      <c r="KNX55" s="82"/>
      <c r="KNY55" s="82"/>
      <c r="KNZ55" s="82"/>
      <c r="KOA55" s="82"/>
      <c r="KOB55" s="82"/>
      <c r="KOC55" s="82"/>
      <c r="KOD55" s="82"/>
      <c r="KOE55" s="82"/>
      <c r="KOF55" s="82"/>
      <c r="KOG55" s="82"/>
      <c r="KOH55" s="82"/>
      <c r="KOI55" s="82"/>
      <c r="KOJ55" s="82"/>
      <c r="KOK55" s="82"/>
      <c r="KOL55" s="82"/>
      <c r="KOM55" s="82"/>
      <c r="KON55" s="82"/>
      <c r="KOO55" s="82"/>
      <c r="KOP55" s="82"/>
      <c r="KOQ55" s="82"/>
      <c r="KOR55" s="82"/>
      <c r="KOS55" s="82"/>
      <c r="KOT55" s="82"/>
      <c r="KOU55" s="82"/>
      <c r="KOV55" s="82"/>
      <c r="KOW55" s="82"/>
      <c r="KOX55" s="82"/>
      <c r="KOY55" s="82"/>
      <c r="KOZ55" s="82"/>
      <c r="KPA55" s="82"/>
      <c r="KPB55" s="82"/>
      <c r="KPC55" s="82"/>
      <c r="KPD55" s="82"/>
      <c r="KPE55" s="82"/>
      <c r="KPF55" s="82"/>
      <c r="KPG55" s="82"/>
      <c r="KPH55" s="82"/>
      <c r="KPI55" s="82"/>
      <c r="KPJ55" s="82"/>
      <c r="KPK55" s="82"/>
      <c r="KPL55" s="82"/>
      <c r="KPM55" s="82"/>
      <c r="KPN55" s="82"/>
      <c r="KPO55" s="82"/>
      <c r="KPP55" s="82"/>
      <c r="KPQ55" s="82"/>
      <c r="KPR55" s="82"/>
      <c r="KPS55" s="82"/>
      <c r="KPT55" s="82"/>
      <c r="KPU55" s="82"/>
      <c r="KPV55" s="82"/>
      <c r="KPW55" s="82"/>
      <c r="KPX55" s="82"/>
      <c r="KPY55" s="82"/>
      <c r="KPZ55" s="82"/>
      <c r="KQA55" s="82"/>
      <c r="KQB55" s="82"/>
      <c r="KQC55" s="82"/>
      <c r="KQD55" s="82"/>
      <c r="KQE55" s="82"/>
      <c r="KQF55" s="82"/>
      <c r="KQG55" s="82"/>
      <c r="KQH55" s="82"/>
      <c r="KQI55" s="82"/>
      <c r="KQJ55" s="82"/>
      <c r="KQK55" s="82"/>
      <c r="KQL55" s="82"/>
      <c r="KQM55" s="82"/>
      <c r="KQN55" s="82"/>
      <c r="KQO55" s="82"/>
      <c r="KQP55" s="82"/>
      <c r="KQQ55" s="82"/>
      <c r="KQR55" s="82"/>
      <c r="KQS55" s="82"/>
      <c r="KQT55" s="82"/>
      <c r="KQU55" s="82"/>
      <c r="KQV55" s="82"/>
      <c r="KQW55" s="82"/>
      <c r="KQX55" s="82"/>
      <c r="KQY55" s="82"/>
      <c r="KQZ55" s="82"/>
      <c r="KRA55" s="82"/>
      <c r="KRB55" s="82"/>
      <c r="KRC55" s="82"/>
      <c r="KRD55" s="82"/>
      <c r="KRE55" s="82"/>
      <c r="KRF55" s="82"/>
      <c r="KRG55" s="82"/>
      <c r="KRH55" s="82"/>
      <c r="KRI55" s="82"/>
      <c r="KRJ55" s="82"/>
      <c r="KRK55" s="82"/>
      <c r="KRL55" s="82"/>
      <c r="KRM55" s="82"/>
      <c r="KRN55" s="82"/>
      <c r="KRO55" s="82"/>
      <c r="KRP55" s="82"/>
      <c r="KRQ55" s="82"/>
      <c r="KRR55" s="82"/>
      <c r="KRS55" s="82"/>
      <c r="KRT55" s="82"/>
      <c r="KRU55" s="82"/>
      <c r="KRV55" s="82"/>
      <c r="KRW55" s="82"/>
      <c r="KRX55" s="82"/>
      <c r="KRY55" s="82"/>
      <c r="KRZ55" s="82"/>
      <c r="KSA55" s="82"/>
      <c r="KSB55" s="82"/>
      <c r="KSC55" s="82"/>
      <c r="KSD55" s="82"/>
      <c r="KSE55" s="82"/>
      <c r="KSF55" s="82"/>
      <c r="KSG55" s="82"/>
      <c r="KSH55" s="82"/>
      <c r="KSI55" s="82"/>
      <c r="KSJ55" s="82"/>
      <c r="KSK55" s="82"/>
      <c r="KSL55" s="82"/>
      <c r="KSM55" s="82"/>
      <c r="KSN55" s="82"/>
      <c r="KSO55" s="82"/>
      <c r="KSP55" s="82"/>
      <c r="KSQ55" s="82"/>
      <c r="KSR55" s="82"/>
      <c r="KSS55" s="82"/>
      <c r="KST55" s="82"/>
      <c r="KSU55" s="82"/>
      <c r="KSV55" s="82"/>
      <c r="KSW55" s="82"/>
      <c r="KSX55" s="82"/>
      <c r="KSY55" s="82"/>
      <c r="KSZ55" s="82"/>
      <c r="KTA55" s="82"/>
      <c r="KTB55" s="82"/>
      <c r="KTC55" s="82"/>
      <c r="KTD55" s="82"/>
      <c r="KTE55" s="82"/>
      <c r="KTF55" s="82"/>
      <c r="KTG55" s="82"/>
      <c r="KTH55" s="82"/>
      <c r="KTI55" s="82"/>
      <c r="KTJ55" s="82"/>
      <c r="KTK55" s="82"/>
      <c r="KTL55" s="82"/>
      <c r="KTM55" s="82"/>
      <c r="KTN55" s="82"/>
      <c r="KTO55" s="82"/>
      <c r="KTP55" s="82"/>
      <c r="KTQ55" s="82"/>
      <c r="KTR55" s="82"/>
      <c r="KTS55" s="82"/>
      <c r="KTT55" s="82"/>
      <c r="KTU55" s="82"/>
      <c r="KTV55" s="82"/>
      <c r="KTW55" s="82"/>
      <c r="KTX55" s="82"/>
      <c r="KTY55" s="82"/>
      <c r="KTZ55" s="82"/>
      <c r="KUA55" s="82"/>
      <c r="KUB55" s="82"/>
      <c r="KUC55" s="82"/>
      <c r="KUD55" s="82"/>
      <c r="KUE55" s="82"/>
      <c r="KUF55" s="82"/>
      <c r="KUG55" s="82"/>
      <c r="KUH55" s="82"/>
      <c r="KUI55" s="82"/>
      <c r="KUJ55" s="82"/>
      <c r="KUK55" s="82"/>
      <c r="KUL55" s="82"/>
      <c r="KUM55" s="82"/>
      <c r="KUN55" s="82"/>
      <c r="KUO55" s="82"/>
      <c r="KUP55" s="82"/>
      <c r="KUQ55" s="82"/>
      <c r="KUR55" s="82"/>
      <c r="KUS55" s="82"/>
      <c r="KUT55" s="82"/>
      <c r="KUU55" s="82"/>
      <c r="KUV55" s="82"/>
      <c r="KUW55" s="82"/>
      <c r="KUX55" s="82"/>
      <c r="KUY55" s="82"/>
      <c r="KUZ55" s="82"/>
      <c r="KVA55" s="82"/>
      <c r="KVB55" s="82"/>
      <c r="KVC55" s="82"/>
      <c r="KVD55" s="82"/>
      <c r="KVE55" s="82"/>
      <c r="KVF55" s="82"/>
      <c r="KVG55" s="82"/>
      <c r="KVH55" s="82"/>
      <c r="KVI55" s="82"/>
      <c r="KVJ55" s="82"/>
      <c r="KVK55" s="82"/>
      <c r="KVL55" s="82"/>
      <c r="KVM55" s="82"/>
      <c r="KVN55" s="82"/>
      <c r="KVO55" s="82"/>
      <c r="KVP55" s="82"/>
      <c r="KVQ55" s="82"/>
      <c r="KVR55" s="82"/>
      <c r="KVS55" s="82"/>
      <c r="KVT55" s="82"/>
      <c r="KVU55" s="82"/>
      <c r="KVV55" s="82"/>
      <c r="KVW55" s="82"/>
      <c r="KVX55" s="82"/>
      <c r="KVY55" s="82"/>
      <c r="KVZ55" s="82"/>
      <c r="KWA55" s="82"/>
      <c r="KWB55" s="82"/>
      <c r="KWC55" s="82"/>
      <c r="KWD55" s="82"/>
      <c r="KWE55" s="82"/>
      <c r="KWF55" s="82"/>
      <c r="KWG55" s="82"/>
      <c r="KWH55" s="82"/>
      <c r="KWI55" s="82"/>
      <c r="KWJ55" s="82"/>
      <c r="KWK55" s="82"/>
      <c r="KWL55" s="82"/>
      <c r="KWM55" s="82"/>
      <c r="KWN55" s="82"/>
      <c r="KWO55" s="82"/>
      <c r="KWP55" s="82"/>
      <c r="KWQ55" s="82"/>
      <c r="KWR55" s="82"/>
      <c r="KWS55" s="82"/>
      <c r="KWT55" s="82"/>
      <c r="KWU55" s="82"/>
      <c r="KWV55" s="82"/>
      <c r="KWW55" s="82"/>
      <c r="KWX55" s="82"/>
      <c r="KWY55" s="82"/>
      <c r="KWZ55" s="82"/>
      <c r="KXA55" s="82"/>
      <c r="KXB55" s="82"/>
      <c r="KXC55" s="82"/>
      <c r="KXD55" s="82"/>
      <c r="KXE55" s="82"/>
      <c r="KXF55" s="82"/>
      <c r="KXG55" s="82"/>
      <c r="KXH55" s="82"/>
      <c r="KXI55" s="82"/>
      <c r="KXJ55" s="82"/>
      <c r="KXK55" s="82"/>
      <c r="KXL55" s="82"/>
      <c r="KXM55" s="82"/>
      <c r="KXN55" s="82"/>
      <c r="KXO55" s="82"/>
      <c r="KXP55" s="82"/>
      <c r="KXQ55" s="82"/>
      <c r="KXR55" s="82"/>
      <c r="KXS55" s="82"/>
      <c r="KXT55" s="82"/>
      <c r="KXU55" s="82"/>
      <c r="KXV55" s="82"/>
      <c r="KXW55" s="82"/>
      <c r="KXX55" s="82"/>
      <c r="KXY55" s="82"/>
      <c r="KXZ55" s="82"/>
      <c r="KYA55" s="82"/>
      <c r="KYB55" s="82"/>
      <c r="KYC55" s="82"/>
      <c r="KYD55" s="82"/>
      <c r="KYE55" s="82"/>
      <c r="KYF55" s="82"/>
      <c r="KYG55" s="82"/>
      <c r="KYH55" s="82"/>
      <c r="KYI55" s="82"/>
      <c r="KYJ55" s="82"/>
      <c r="KYK55" s="82"/>
      <c r="KYL55" s="82"/>
      <c r="KYM55" s="82"/>
      <c r="KYN55" s="82"/>
      <c r="KYO55" s="82"/>
      <c r="KYP55" s="82"/>
      <c r="KYQ55" s="82"/>
      <c r="KYR55" s="82"/>
      <c r="KYS55" s="82"/>
      <c r="KYT55" s="82"/>
      <c r="KYU55" s="82"/>
      <c r="KYV55" s="82"/>
      <c r="KYW55" s="82"/>
      <c r="KYX55" s="82"/>
      <c r="KYY55" s="82"/>
      <c r="KYZ55" s="82"/>
      <c r="KZA55" s="82"/>
      <c r="KZB55" s="82"/>
      <c r="KZC55" s="82"/>
      <c r="KZD55" s="82"/>
      <c r="KZE55" s="82"/>
      <c r="KZF55" s="82"/>
      <c r="KZG55" s="82"/>
      <c r="KZH55" s="82"/>
      <c r="KZI55" s="82"/>
      <c r="KZJ55" s="82"/>
      <c r="KZK55" s="82"/>
      <c r="KZL55" s="82"/>
      <c r="KZM55" s="82"/>
      <c r="KZN55" s="82"/>
      <c r="KZO55" s="82"/>
      <c r="KZP55" s="82"/>
      <c r="KZQ55" s="82"/>
      <c r="KZR55" s="82"/>
      <c r="KZS55" s="82"/>
      <c r="KZT55" s="82"/>
      <c r="KZU55" s="82"/>
      <c r="KZV55" s="82"/>
      <c r="KZW55" s="82"/>
      <c r="KZX55" s="82"/>
      <c r="KZY55" s="82"/>
      <c r="KZZ55" s="82"/>
      <c r="LAA55" s="82"/>
      <c r="LAB55" s="82"/>
      <c r="LAC55" s="82"/>
      <c r="LAD55" s="82"/>
      <c r="LAE55" s="82"/>
      <c r="LAF55" s="82"/>
      <c r="LAG55" s="82"/>
      <c r="LAH55" s="82"/>
      <c r="LAI55" s="82"/>
      <c r="LAJ55" s="82"/>
      <c r="LAK55" s="82"/>
      <c r="LAL55" s="82"/>
      <c r="LAM55" s="82"/>
      <c r="LAN55" s="82"/>
      <c r="LAO55" s="82"/>
      <c r="LAP55" s="82"/>
      <c r="LAQ55" s="82"/>
      <c r="LAR55" s="82"/>
      <c r="LAS55" s="82"/>
      <c r="LAT55" s="82"/>
      <c r="LAU55" s="82"/>
      <c r="LAV55" s="82"/>
      <c r="LAW55" s="82"/>
      <c r="LAX55" s="82"/>
      <c r="LAY55" s="82"/>
      <c r="LAZ55" s="82"/>
      <c r="LBA55" s="82"/>
      <c r="LBB55" s="82"/>
      <c r="LBC55" s="82"/>
      <c r="LBD55" s="82"/>
      <c r="LBE55" s="82"/>
      <c r="LBF55" s="82"/>
      <c r="LBG55" s="82"/>
      <c r="LBH55" s="82"/>
      <c r="LBI55" s="82"/>
      <c r="LBJ55" s="82"/>
      <c r="LBK55" s="82"/>
      <c r="LBL55" s="82"/>
      <c r="LBM55" s="82"/>
      <c r="LBN55" s="82"/>
      <c r="LBO55" s="82"/>
      <c r="LBP55" s="82"/>
      <c r="LBQ55" s="82"/>
      <c r="LBR55" s="82"/>
      <c r="LBS55" s="82"/>
      <c r="LBT55" s="82"/>
      <c r="LBU55" s="82"/>
      <c r="LBV55" s="82"/>
      <c r="LBW55" s="82"/>
      <c r="LBX55" s="82"/>
      <c r="LBY55" s="82"/>
      <c r="LBZ55" s="82"/>
      <c r="LCA55" s="82"/>
      <c r="LCB55" s="82"/>
      <c r="LCC55" s="82"/>
      <c r="LCD55" s="82"/>
      <c r="LCE55" s="82"/>
      <c r="LCF55" s="82"/>
      <c r="LCG55" s="82"/>
      <c r="LCH55" s="82"/>
      <c r="LCI55" s="82"/>
      <c r="LCJ55" s="82"/>
      <c r="LCK55" s="82"/>
      <c r="LCL55" s="82"/>
      <c r="LCM55" s="82"/>
      <c r="LCN55" s="82"/>
      <c r="LCO55" s="82"/>
      <c r="LCP55" s="82"/>
      <c r="LCQ55" s="82"/>
      <c r="LCR55" s="82"/>
      <c r="LCS55" s="82"/>
      <c r="LCT55" s="82"/>
      <c r="LCU55" s="82"/>
      <c r="LCV55" s="82"/>
      <c r="LCW55" s="82"/>
      <c r="LCX55" s="82"/>
      <c r="LCY55" s="82"/>
      <c r="LCZ55" s="82"/>
      <c r="LDA55" s="82"/>
      <c r="LDB55" s="82"/>
      <c r="LDC55" s="82"/>
      <c r="LDD55" s="82"/>
      <c r="LDE55" s="82"/>
      <c r="LDF55" s="82"/>
      <c r="LDG55" s="82"/>
      <c r="LDH55" s="82"/>
      <c r="LDI55" s="82"/>
      <c r="LDJ55" s="82"/>
      <c r="LDK55" s="82"/>
      <c r="LDL55" s="82"/>
      <c r="LDM55" s="82"/>
      <c r="LDN55" s="82"/>
      <c r="LDO55" s="82"/>
      <c r="LDP55" s="82"/>
      <c r="LDQ55" s="82"/>
      <c r="LDR55" s="82"/>
      <c r="LDS55" s="82"/>
      <c r="LDT55" s="82"/>
      <c r="LDU55" s="82"/>
      <c r="LDV55" s="82"/>
      <c r="LDW55" s="82"/>
      <c r="LDX55" s="82"/>
      <c r="LDY55" s="82"/>
      <c r="LDZ55" s="82"/>
      <c r="LEA55" s="82"/>
      <c r="LEB55" s="82"/>
      <c r="LEC55" s="82"/>
      <c r="LED55" s="82"/>
      <c r="LEE55" s="82"/>
      <c r="LEF55" s="82"/>
      <c r="LEG55" s="82"/>
      <c r="LEH55" s="82"/>
      <c r="LEI55" s="82"/>
      <c r="LEJ55" s="82"/>
      <c r="LEK55" s="82"/>
      <c r="LEL55" s="82"/>
      <c r="LEM55" s="82"/>
      <c r="LEN55" s="82"/>
      <c r="LEO55" s="82"/>
      <c r="LEP55" s="82"/>
      <c r="LEQ55" s="82"/>
      <c r="LER55" s="82"/>
      <c r="LES55" s="82"/>
      <c r="LET55" s="82"/>
      <c r="LEU55" s="82"/>
      <c r="LEV55" s="82"/>
      <c r="LEW55" s="82"/>
      <c r="LEX55" s="82"/>
      <c r="LEY55" s="82"/>
      <c r="LEZ55" s="82"/>
      <c r="LFA55" s="82"/>
      <c r="LFB55" s="82"/>
      <c r="LFC55" s="82"/>
      <c r="LFD55" s="82"/>
      <c r="LFE55" s="82"/>
      <c r="LFF55" s="82"/>
      <c r="LFG55" s="82"/>
      <c r="LFH55" s="82"/>
      <c r="LFI55" s="82"/>
      <c r="LFJ55" s="82"/>
      <c r="LFK55" s="82"/>
      <c r="LFL55" s="82"/>
      <c r="LFM55" s="82"/>
      <c r="LFN55" s="82"/>
      <c r="LFO55" s="82"/>
      <c r="LFP55" s="82"/>
      <c r="LFQ55" s="82"/>
      <c r="LFR55" s="82"/>
      <c r="LFS55" s="82"/>
      <c r="LFT55" s="82"/>
      <c r="LFU55" s="82"/>
      <c r="LFV55" s="82"/>
      <c r="LFW55" s="82"/>
      <c r="LFX55" s="82"/>
      <c r="LFY55" s="82"/>
      <c r="LFZ55" s="82"/>
      <c r="LGA55" s="82"/>
      <c r="LGB55" s="82"/>
      <c r="LGC55" s="82"/>
      <c r="LGD55" s="82"/>
      <c r="LGE55" s="82"/>
      <c r="LGF55" s="82"/>
      <c r="LGG55" s="82"/>
      <c r="LGH55" s="82"/>
      <c r="LGI55" s="82"/>
      <c r="LGJ55" s="82"/>
      <c r="LGK55" s="82"/>
      <c r="LGL55" s="82"/>
      <c r="LGM55" s="82"/>
      <c r="LGN55" s="82"/>
      <c r="LGO55" s="82"/>
      <c r="LGP55" s="82"/>
      <c r="LGQ55" s="82"/>
      <c r="LGR55" s="82"/>
      <c r="LGS55" s="82"/>
      <c r="LGT55" s="82"/>
      <c r="LGU55" s="82"/>
      <c r="LGV55" s="82"/>
      <c r="LGW55" s="82"/>
      <c r="LGX55" s="82"/>
      <c r="LGY55" s="82"/>
      <c r="LGZ55" s="82"/>
      <c r="LHA55" s="82"/>
      <c r="LHB55" s="82"/>
      <c r="LHC55" s="82"/>
      <c r="LHD55" s="82"/>
      <c r="LHE55" s="82"/>
      <c r="LHF55" s="82"/>
      <c r="LHG55" s="82"/>
      <c r="LHH55" s="82"/>
      <c r="LHI55" s="82"/>
      <c r="LHJ55" s="82"/>
      <c r="LHK55" s="82"/>
      <c r="LHL55" s="82"/>
      <c r="LHM55" s="82"/>
      <c r="LHN55" s="82"/>
      <c r="LHO55" s="82"/>
      <c r="LHP55" s="82"/>
      <c r="LHQ55" s="82"/>
      <c r="LHR55" s="82"/>
      <c r="LHS55" s="82"/>
      <c r="LHT55" s="82"/>
      <c r="LHU55" s="82"/>
      <c r="LHV55" s="82"/>
      <c r="LHW55" s="82"/>
      <c r="LHX55" s="82"/>
      <c r="LHY55" s="82"/>
      <c r="LHZ55" s="82"/>
      <c r="LIA55" s="82"/>
      <c r="LIB55" s="82"/>
      <c r="LIC55" s="82"/>
      <c r="LID55" s="82"/>
      <c r="LIE55" s="82"/>
      <c r="LIF55" s="82"/>
      <c r="LIG55" s="82"/>
      <c r="LIH55" s="82"/>
      <c r="LII55" s="82"/>
      <c r="LIJ55" s="82"/>
      <c r="LIK55" s="82"/>
      <c r="LIL55" s="82"/>
      <c r="LIM55" s="82"/>
      <c r="LIN55" s="82"/>
      <c r="LIO55" s="82"/>
      <c r="LIP55" s="82"/>
      <c r="LIQ55" s="82"/>
      <c r="LIR55" s="82"/>
      <c r="LIS55" s="82"/>
      <c r="LIT55" s="82"/>
      <c r="LIU55" s="82"/>
      <c r="LIV55" s="82"/>
      <c r="LIW55" s="82"/>
      <c r="LIX55" s="82"/>
      <c r="LIY55" s="82"/>
      <c r="LIZ55" s="82"/>
      <c r="LJA55" s="82"/>
      <c r="LJB55" s="82"/>
      <c r="LJC55" s="82"/>
      <c r="LJD55" s="82"/>
      <c r="LJE55" s="82"/>
      <c r="LJF55" s="82"/>
      <c r="LJG55" s="82"/>
      <c r="LJH55" s="82"/>
      <c r="LJI55" s="82"/>
      <c r="LJJ55" s="82"/>
      <c r="LJK55" s="82"/>
      <c r="LJL55" s="82"/>
      <c r="LJM55" s="82"/>
      <c r="LJN55" s="82"/>
      <c r="LJO55" s="82"/>
      <c r="LJP55" s="82"/>
      <c r="LJQ55" s="82"/>
      <c r="LJR55" s="82"/>
      <c r="LJS55" s="82"/>
      <c r="LJT55" s="82"/>
      <c r="LJU55" s="82"/>
      <c r="LJV55" s="82"/>
      <c r="LJW55" s="82"/>
      <c r="LJX55" s="82"/>
      <c r="LJY55" s="82"/>
      <c r="LJZ55" s="82"/>
      <c r="LKA55" s="82"/>
      <c r="LKB55" s="82"/>
      <c r="LKC55" s="82"/>
      <c r="LKD55" s="82"/>
      <c r="LKE55" s="82"/>
      <c r="LKF55" s="82"/>
      <c r="LKG55" s="82"/>
      <c r="LKH55" s="82"/>
      <c r="LKI55" s="82"/>
      <c r="LKJ55" s="82"/>
      <c r="LKK55" s="82"/>
      <c r="LKL55" s="82"/>
      <c r="LKM55" s="82"/>
      <c r="LKN55" s="82"/>
      <c r="LKO55" s="82"/>
      <c r="LKP55" s="82"/>
      <c r="LKQ55" s="82"/>
      <c r="LKR55" s="82"/>
      <c r="LKS55" s="82"/>
      <c r="LKT55" s="82"/>
      <c r="LKU55" s="82"/>
      <c r="LKV55" s="82"/>
      <c r="LKW55" s="82"/>
      <c r="LKX55" s="82"/>
      <c r="LKY55" s="82"/>
      <c r="LKZ55" s="82"/>
      <c r="LLA55" s="82"/>
      <c r="LLB55" s="82"/>
      <c r="LLC55" s="82"/>
      <c r="LLD55" s="82"/>
      <c r="LLE55" s="82"/>
      <c r="LLF55" s="82"/>
      <c r="LLG55" s="82"/>
      <c r="LLH55" s="82"/>
      <c r="LLI55" s="82"/>
      <c r="LLJ55" s="82"/>
      <c r="LLK55" s="82"/>
      <c r="LLL55" s="82"/>
      <c r="LLM55" s="82"/>
      <c r="LLN55" s="82"/>
      <c r="LLO55" s="82"/>
      <c r="LLP55" s="82"/>
      <c r="LLQ55" s="82"/>
      <c r="LLR55" s="82"/>
      <c r="LLS55" s="82"/>
      <c r="LLT55" s="82"/>
      <c r="LLU55" s="82"/>
      <c r="LLV55" s="82"/>
      <c r="LLW55" s="82"/>
      <c r="LLX55" s="82"/>
      <c r="LLY55" s="82"/>
      <c r="LLZ55" s="82"/>
      <c r="LMA55" s="82"/>
      <c r="LMB55" s="82"/>
      <c r="LMC55" s="82"/>
      <c r="LMD55" s="82"/>
      <c r="LME55" s="82"/>
      <c r="LMF55" s="82"/>
      <c r="LMG55" s="82"/>
      <c r="LMH55" s="82"/>
      <c r="LMI55" s="82"/>
      <c r="LMJ55" s="82"/>
      <c r="LMK55" s="82"/>
      <c r="LML55" s="82"/>
      <c r="LMM55" s="82"/>
      <c r="LMN55" s="82"/>
      <c r="LMO55" s="82"/>
      <c r="LMP55" s="82"/>
      <c r="LMQ55" s="82"/>
      <c r="LMR55" s="82"/>
      <c r="LMS55" s="82"/>
      <c r="LMT55" s="82"/>
      <c r="LMU55" s="82"/>
      <c r="LMV55" s="82"/>
      <c r="LMW55" s="82"/>
      <c r="LMX55" s="82"/>
      <c r="LMY55" s="82"/>
      <c r="LMZ55" s="82"/>
      <c r="LNA55" s="82"/>
      <c r="LNB55" s="82"/>
      <c r="LNC55" s="82"/>
      <c r="LND55" s="82"/>
      <c r="LNE55" s="82"/>
      <c r="LNF55" s="82"/>
      <c r="LNG55" s="82"/>
      <c r="LNH55" s="82"/>
      <c r="LNI55" s="82"/>
      <c r="LNJ55" s="82"/>
      <c r="LNK55" s="82"/>
      <c r="LNL55" s="82"/>
      <c r="LNM55" s="82"/>
      <c r="LNN55" s="82"/>
      <c r="LNO55" s="82"/>
      <c r="LNP55" s="82"/>
      <c r="LNQ55" s="82"/>
      <c r="LNR55" s="82"/>
      <c r="LNS55" s="82"/>
      <c r="LNT55" s="82"/>
      <c r="LNU55" s="82"/>
      <c r="LNV55" s="82"/>
      <c r="LNW55" s="82"/>
      <c r="LNX55" s="82"/>
      <c r="LNY55" s="82"/>
      <c r="LNZ55" s="82"/>
      <c r="LOA55" s="82"/>
      <c r="LOB55" s="82"/>
      <c r="LOC55" s="82"/>
      <c r="LOD55" s="82"/>
      <c r="LOE55" s="82"/>
      <c r="LOF55" s="82"/>
      <c r="LOG55" s="82"/>
      <c r="LOH55" s="82"/>
      <c r="LOI55" s="82"/>
      <c r="LOJ55" s="82"/>
      <c r="LOK55" s="82"/>
      <c r="LOL55" s="82"/>
      <c r="LOM55" s="82"/>
      <c r="LON55" s="82"/>
      <c r="LOO55" s="82"/>
      <c r="LOP55" s="82"/>
      <c r="LOQ55" s="82"/>
      <c r="LOR55" s="82"/>
      <c r="LOS55" s="82"/>
      <c r="LOT55" s="82"/>
      <c r="LOU55" s="82"/>
      <c r="LOV55" s="82"/>
      <c r="LOW55" s="82"/>
      <c r="LOX55" s="82"/>
      <c r="LOY55" s="82"/>
      <c r="LOZ55" s="82"/>
      <c r="LPA55" s="82"/>
      <c r="LPB55" s="82"/>
      <c r="LPC55" s="82"/>
      <c r="LPD55" s="82"/>
      <c r="LPE55" s="82"/>
      <c r="LPF55" s="82"/>
      <c r="LPG55" s="82"/>
      <c r="LPH55" s="82"/>
      <c r="LPI55" s="82"/>
      <c r="LPJ55" s="82"/>
      <c r="LPK55" s="82"/>
      <c r="LPL55" s="82"/>
      <c r="LPM55" s="82"/>
      <c r="LPN55" s="82"/>
      <c r="LPO55" s="82"/>
      <c r="LPP55" s="82"/>
      <c r="LPQ55" s="82"/>
      <c r="LPR55" s="82"/>
      <c r="LPS55" s="82"/>
      <c r="LPT55" s="82"/>
      <c r="LPU55" s="82"/>
      <c r="LPV55" s="82"/>
      <c r="LPW55" s="82"/>
      <c r="LPX55" s="82"/>
      <c r="LPY55" s="82"/>
      <c r="LPZ55" s="82"/>
      <c r="LQA55" s="82"/>
      <c r="LQB55" s="82"/>
      <c r="LQC55" s="82"/>
      <c r="LQD55" s="82"/>
      <c r="LQE55" s="82"/>
      <c r="LQF55" s="82"/>
      <c r="LQG55" s="82"/>
      <c r="LQH55" s="82"/>
      <c r="LQI55" s="82"/>
      <c r="LQJ55" s="82"/>
      <c r="LQK55" s="82"/>
      <c r="LQL55" s="82"/>
      <c r="LQM55" s="82"/>
      <c r="LQN55" s="82"/>
      <c r="LQO55" s="82"/>
      <c r="LQP55" s="82"/>
      <c r="LQQ55" s="82"/>
      <c r="LQR55" s="82"/>
      <c r="LQS55" s="82"/>
      <c r="LQT55" s="82"/>
      <c r="LQU55" s="82"/>
      <c r="LQV55" s="82"/>
      <c r="LQW55" s="82"/>
      <c r="LQX55" s="82"/>
      <c r="LQY55" s="82"/>
      <c r="LQZ55" s="82"/>
      <c r="LRA55" s="82"/>
      <c r="LRB55" s="82"/>
      <c r="LRC55" s="82"/>
      <c r="LRD55" s="82"/>
      <c r="LRE55" s="82"/>
      <c r="LRF55" s="82"/>
      <c r="LRG55" s="82"/>
      <c r="LRH55" s="82"/>
      <c r="LRI55" s="82"/>
      <c r="LRJ55" s="82"/>
      <c r="LRK55" s="82"/>
      <c r="LRL55" s="82"/>
      <c r="LRM55" s="82"/>
      <c r="LRN55" s="82"/>
      <c r="LRO55" s="82"/>
      <c r="LRP55" s="82"/>
      <c r="LRQ55" s="82"/>
      <c r="LRR55" s="82"/>
      <c r="LRS55" s="82"/>
      <c r="LRT55" s="82"/>
      <c r="LRU55" s="82"/>
      <c r="LRV55" s="82"/>
      <c r="LRW55" s="82"/>
      <c r="LRX55" s="82"/>
      <c r="LRY55" s="82"/>
      <c r="LRZ55" s="82"/>
      <c r="LSA55" s="82"/>
      <c r="LSB55" s="82"/>
      <c r="LSC55" s="82"/>
      <c r="LSD55" s="82"/>
      <c r="LSE55" s="82"/>
      <c r="LSF55" s="82"/>
      <c r="LSG55" s="82"/>
      <c r="LSH55" s="82"/>
      <c r="LSI55" s="82"/>
      <c r="LSJ55" s="82"/>
      <c r="LSK55" s="82"/>
      <c r="LSL55" s="82"/>
      <c r="LSM55" s="82"/>
      <c r="LSN55" s="82"/>
      <c r="LSO55" s="82"/>
      <c r="LSP55" s="82"/>
      <c r="LSQ55" s="82"/>
      <c r="LSR55" s="82"/>
      <c r="LSS55" s="82"/>
      <c r="LST55" s="82"/>
      <c r="LSU55" s="82"/>
      <c r="LSV55" s="82"/>
      <c r="LSW55" s="82"/>
      <c r="LSX55" s="82"/>
      <c r="LSY55" s="82"/>
      <c r="LSZ55" s="82"/>
      <c r="LTA55" s="82"/>
      <c r="LTB55" s="82"/>
      <c r="LTC55" s="82"/>
      <c r="LTD55" s="82"/>
      <c r="LTE55" s="82"/>
      <c r="LTF55" s="82"/>
      <c r="LTG55" s="82"/>
      <c r="LTH55" s="82"/>
      <c r="LTI55" s="82"/>
      <c r="LTJ55" s="82"/>
      <c r="LTK55" s="82"/>
      <c r="LTL55" s="82"/>
      <c r="LTM55" s="82"/>
      <c r="LTN55" s="82"/>
      <c r="LTO55" s="82"/>
      <c r="LTP55" s="82"/>
      <c r="LTQ55" s="82"/>
      <c r="LTR55" s="82"/>
      <c r="LTS55" s="82"/>
      <c r="LTT55" s="82"/>
      <c r="LTU55" s="82"/>
      <c r="LTV55" s="82"/>
      <c r="LTW55" s="82"/>
      <c r="LTX55" s="82"/>
      <c r="LTY55" s="82"/>
      <c r="LTZ55" s="82"/>
      <c r="LUA55" s="82"/>
      <c r="LUB55" s="82"/>
      <c r="LUC55" s="82"/>
      <c r="LUD55" s="82"/>
      <c r="LUE55" s="82"/>
      <c r="LUF55" s="82"/>
      <c r="LUG55" s="82"/>
      <c r="LUH55" s="82"/>
      <c r="LUI55" s="82"/>
      <c r="LUJ55" s="82"/>
      <c r="LUK55" s="82"/>
      <c r="LUL55" s="82"/>
      <c r="LUM55" s="82"/>
      <c r="LUN55" s="82"/>
      <c r="LUO55" s="82"/>
      <c r="LUP55" s="82"/>
      <c r="LUQ55" s="82"/>
      <c r="LUR55" s="82"/>
      <c r="LUS55" s="82"/>
      <c r="LUT55" s="82"/>
      <c r="LUU55" s="82"/>
      <c r="LUV55" s="82"/>
      <c r="LUW55" s="82"/>
      <c r="LUX55" s="82"/>
      <c r="LUY55" s="82"/>
      <c r="LUZ55" s="82"/>
      <c r="LVA55" s="82"/>
      <c r="LVB55" s="82"/>
      <c r="LVC55" s="82"/>
      <c r="LVD55" s="82"/>
      <c r="LVE55" s="82"/>
      <c r="LVF55" s="82"/>
      <c r="LVG55" s="82"/>
      <c r="LVH55" s="82"/>
      <c r="LVI55" s="82"/>
      <c r="LVJ55" s="82"/>
      <c r="LVK55" s="82"/>
      <c r="LVL55" s="82"/>
      <c r="LVM55" s="82"/>
      <c r="LVN55" s="82"/>
      <c r="LVO55" s="82"/>
      <c r="LVP55" s="82"/>
      <c r="LVQ55" s="82"/>
      <c r="LVR55" s="82"/>
      <c r="LVS55" s="82"/>
      <c r="LVT55" s="82"/>
      <c r="LVU55" s="82"/>
      <c r="LVV55" s="82"/>
      <c r="LVW55" s="82"/>
      <c r="LVX55" s="82"/>
      <c r="LVY55" s="82"/>
      <c r="LVZ55" s="82"/>
      <c r="LWA55" s="82"/>
      <c r="LWB55" s="82"/>
      <c r="LWC55" s="82"/>
      <c r="LWD55" s="82"/>
      <c r="LWE55" s="82"/>
      <c r="LWF55" s="82"/>
      <c r="LWG55" s="82"/>
      <c r="LWH55" s="82"/>
      <c r="LWI55" s="82"/>
      <c r="LWJ55" s="82"/>
      <c r="LWK55" s="82"/>
      <c r="LWL55" s="82"/>
      <c r="LWM55" s="82"/>
      <c r="LWN55" s="82"/>
      <c r="LWO55" s="82"/>
      <c r="LWP55" s="82"/>
      <c r="LWQ55" s="82"/>
      <c r="LWR55" s="82"/>
      <c r="LWS55" s="82"/>
      <c r="LWT55" s="82"/>
      <c r="LWU55" s="82"/>
      <c r="LWV55" s="82"/>
      <c r="LWW55" s="82"/>
      <c r="LWX55" s="82"/>
      <c r="LWY55" s="82"/>
      <c r="LWZ55" s="82"/>
      <c r="LXA55" s="82"/>
      <c r="LXB55" s="82"/>
      <c r="LXC55" s="82"/>
      <c r="LXD55" s="82"/>
      <c r="LXE55" s="82"/>
      <c r="LXF55" s="82"/>
      <c r="LXG55" s="82"/>
      <c r="LXH55" s="82"/>
      <c r="LXI55" s="82"/>
      <c r="LXJ55" s="82"/>
      <c r="LXK55" s="82"/>
      <c r="LXL55" s="82"/>
      <c r="LXM55" s="82"/>
      <c r="LXN55" s="82"/>
      <c r="LXO55" s="82"/>
      <c r="LXP55" s="82"/>
      <c r="LXQ55" s="82"/>
      <c r="LXR55" s="82"/>
      <c r="LXS55" s="82"/>
      <c r="LXT55" s="82"/>
      <c r="LXU55" s="82"/>
      <c r="LXV55" s="82"/>
      <c r="LXW55" s="82"/>
      <c r="LXX55" s="82"/>
      <c r="LXY55" s="82"/>
      <c r="LXZ55" s="82"/>
      <c r="LYA55" s="82"/>
      <c r="LYB55" s="82"/>
      <c r="LYC55" s="82"/>
      <c r="LYD55" s="82"/>
      <c r="LYE55" s="82"/>
      <c r="LYF55" s="82"/>
      <c r="LYG55" s="82"/>
      <c r="LYH55" s="82"/>
      <c r="LYI55" s="82"/>
      <c r="LYJ55" s="82"/>
      <c r="LYK55" s="82"/>
      <c r="LYL55" s="82"/>
      <c r="LYM55" s="82"/>
      <c r="LYN55" s="82"/>
      <c r="LYO55" s="82"/>
      <c r="LYP55" s="82"/>
      <c r="LYQ55" s="82"/>
      <c r="LYR55" s="82"/>
      <c r="LYS55" s="82"/>
      <c r="LYT55" s="82"/>
      <c r="LYU55" s="82"/>
      <c r="LYV55" s="82"/>
      <c r="LYW55" s="82"/>
      <c r="LYX55" s="82"/>
      <c r="LYY55" s="82"/>
      <c r="LYZ55" s="82"/>
      <c r="LZA55" s="82"/>
      <c r="LZB55" s="82"/>
      <c r="LZC55" s="82"/>
      <c r="LZD55" s="82"/>
      <c r="LZE55" s="82"/>
      <c r="LZF55" s="82"/>
      <c r="LZG55" s="82"/>
      <c r="LZH55" s="82"/>
      <c r="LZI55" s="82"/>
      <c r="LZJ55" s="82"/>
      <c r="LZK55" s="82"/>
      <c r="LZL55" s="82"/>
      <c r="LZM55" s="82"/>
      <c r="LZN55" s="82"/>
      <c r="LZO55" s="82"/>
      <c r="LZP55" s="82"/>
      <c r="LZQ55" s="82"/>
      <c r="LZR55" s="82"/>
      <c r="LZS55" s="82"/>
      <c r="LZT55" s="82"/>
      <c r="LZU55" s="82"/>
      <c r="LZV55" s="82"/>
      <c r="LZW55" s="82"/>
      <c r="LZX55" s="82"/>
      <c r="LZY55" s="82"/>
      <c r="LZZ55" s="82"/>
      <c r="MAA55" s="82"/>
      <c r="MAB55" s="82"/>
      <c r="MAC55" s="82"/>
      <c r="MAD55" s="82"/>
      <c r="MAE55" s="82"/>
      <c r="MAF55" s="82"/>
      <c r="MAG55" s="82"/>
      <c r="MAH55" s="82"/>
      <c r="MAI55" s="82"/>
      <c r="MAJ55" s="82"/>
      <c r="MAK55" s="82"/>
      <c r="MAL55" s="82"/>
      <c r="MAM55" s="82"/>
      <c r="MAN55" s="82"/>
      <c r="MAO55" s="82"/>
      <c r="MAP55" s="82"/>
      <c r="MAQ55" s="82"/>
      <c r="MAR55" s="82"/>
      <c r="MAS55" s="82"/>
      <c r="MAT55" s="82"/>
      <c r="MAU55" s="82"/>
      <c r="MAV55" s="82"/>
      <c r="MAW55" s="82"/>
      <c r="MAX55" s="82"/>
      <c r="MAY55" s="82"/>
      <c r="MAZ55" s="82"/>
      <c r="MBA55" s="82"/>
      <c r="MBB55" s="82"/>
      <c r="MBC55" s="82"/>
      <c r="MBD55" s="82"/>
      <c r="MBE55" s="82"/>
      <c r="MBF55" s="82"/>
      <c r="MBG55" s="82"/>
      <c r="MBH55" s="82"/>
      <c r="MBI55" s="82"/>
      <c r="MBJ55" s="82"/>
      <c r="MBK55" s="82"/>
      <c r="MBL55" s="82"/>
      <c r="MBM55" s="82"/>
      <c r="MBN55" s="82"/>
      <c r="MBO55" s="82"/>
      <c r="MBP55" s="82"/>
      <c r="MBQ55" s="82"/>
      <c r="MBR55" s="82"/>
      <c r="MBS55" s="82"/>
      <c r="MBT55" s="82"/>
      <c r="MBU55" s="82"/>
      <c r="MBV55" s="82"/>
      <c r="MBW55" s="82"/>
      <c r="MBX55" s="82"/>
      <c r="MBY55" s="82"/>
      <c r="MBZ55" s="82"/>
      <c r="MCA55" s="82"/>
      <c r="MCB55" s="82"/>
      <c r="MCC55" s="82"/>
      <c r="MCD55" s="82"/>
      <c r="MCE55" s="82"/>
      <c r="MCF55" s="82"/>
      <c r="MCG55" s="82"/>
      <c r="MCH55" s="82"/>
      <c r="MCI55" s="82"/>
      <c r="MCJ55" s="82"/>
      <c r="MCK55" s="82"/>
      <c r="MCL55" s="82"/>
      <c r="MCM55" s="82"/>
      <c r="MCN55" s="82"/>
      <c r="MCO55" s="82"/>
      <c r="MCP55" s="82"/>
      <c r="MCQ55" s="82"/>
      <c r="MCR55" s="82"/>
      <c r="MCS55" s="82"/>
      <c r="MCT55" s="82"/>
      <c r="MCU55" s="82"/>
      <c r="MCV55" s="82"/>
      <c r="MCW55" s="82"/>
      <c r="MCX55" s="82"/>
      <c r="MCY55" s="82"/>
      <c r="MCZ55" s="82"/>
      <c r="MDA55" s="82"/>
      <c r="MDB55" s="82"/>
      <c r="MDC55" s="82"/>
      <c r="MDD55" s="82"/>
      <c r="MDE55" s="82"/>
      <c r="MDF55" s="82"/>
      <c r="MDG55" s="82"/>
      <c r="MDH55" s="82"/>
      <c r="MDI55" s="82"/>
      <c r="MDJ55" s="82"/>
      <c r="MDK55" s="82"/>
      <c r="MDL55" s="82"/>
      <c r="MDM55" s="82"/>
      <c r="MDN55" s="82"/>
      <c r="MDO55" s="82"/>
      <c r="MDP55" s="82"/>
      <c r="MDQ55" s="82"/>
      <c r="MDR55" s="82"/>
      <c r="MDS55" s="82"/>
      <c r="MDT55" s="82"/>
      <c r="MDU55" s="82"/>
      <c r="MDV55" s="82"/>
      <c r="MDW55" s="82"/>
      <c r="MDX55" s="82"/>
      <c r="MDY55" s="82"/>
      <c r="MDZ55" s="82"/>
      <c r="MEA55" s="82"/>
      <c r="MEB55" s="82"/>
      <c r="MEC55" s="82"/>
      <c r="MED55" s="82"/>
      <c r="MEE55" s="82"/>
      <c r="MEF55" s="82"/>
      <c r="MEG55" s="82"/>
      <c r="MEH55" s="82"/>
      <c r="MEI55" s="82"/>
      <c r="MEJ55" s="82"/>
      <c r="MEK55" s="82"/>
      <c r="MEL55" s="82"/>
      <c r="MEM55" s="82"/>
      <c r="MEN55" s="82"/>
      <c r="MEO55" s="82"/>
      <c r="MEP55" s="82"/>
      <c r="MEQ55" s="82"/>
      <c r="MER55" s="82"/>
      <c r="MES55" s="82"/>
      <c r="MET55" s="82"/>
      <c r="MEU55" s="82"/>
      <c r="MEV55" s="82"/>
      <c r="MEW55" s="82"/>
      <c r="MEX55" s="82"/>
      <c r="MEY55" s="82"/>
      <c r="MEZ55" s="82"/>
      <c r="MFA55" s="82"/>
      <c r="MFB55" s="82"/>
      <c r="MFC55" s="82"/>
      <c r="MFD55" s="82"/>
      <c r="MFE55" s="82"/>
      <c r="MFF55" s="82"/>
      <c r="MFG55" s="82"/>
      <c r="MFH55" s="82"/>
      <c r="MFI55" s="82"/>
      <c r="MFJ55" s="82"/>
      <c r="MFK55" s="82"/>
      <c r="MFL55" s="82"/>
      <c r="MFM55" s="82"/>
      <c r="MFN55" s="82"/>
      <c r="MFO55" s="82"/>
      <c r="MFP55" s="82"/>
      <c r="MFQ55" s="82"/>
      <c r="MFR55" s="82"/>
      <c r="MFS55" s="82"/>
      <c r="MFT55" s="82"/>
      <c r="MFU55" s="82"/>
      <c r="MFV55" s="82"/>
      <c r="MFW55" s="82"/>
      <c r="MFX55" s="82"/>
      <c r="MFY55" s="82"/>
      <c r="MFZ55" s="82"/>
      <c r="MGA55" s="82"/>
      <c r="MGB55" s="82"/>
      <c r="MGC55" s="82"/>
      <c r="MGD55" s="82"/>
      <c r="MGE55" s="82"/>
      <c r="MGF55" s="82"/>
      <c r="MGG55" s="82"/>
      <c r="MGH55" s="82"/>
      <c r="MGI55" s="82"/>
      <c r="MGJ55" s="82"/>
      <c r="MGK55" s="82"/>
      <c r="MGL55" s="82"/>
      <c r="MGM55" s="82"/>
      <c r="MGN55" s="82"/>
      <c r="MGO55" s="82"/>
      <c r="MGP55" s="82"/>
      <c r="MGQ55" s="82"/>
      <c r="MGR55" s="82"/>
      <c r="MGS55" s="82"/>
      <c r="MGT55" s="82"/>
      <c r="MGU55" s="82"/>
      <c r="MGV55" s="82"/>
      <c r="MGW55" s="82"/>
      <c r="MGX55" s="82"/>
      <c r="MGY55" s="82"/>
      <c r="MGZ55" s="82"/>
      <c r="MHA55" s="82"/>
      <c r="MHB55" s="82"/>
      <c r="MHC55" s="82"/>
      <c r="MHD55" s="82"/>
      <c r="MHE55" s="82"/>
      <c r="MHF55" s="82"/>
      <c r="MHG55" s="82"/>
      <c r="MHH55" s="82"/>
      <c r="MHI55" s="82"/>
      <c r="MHJ55" s="82"/>
      <c r="MHK55" s="82"/>
      <c r="MHL55" s="82"/>
      <c r="MHM55" s="82"/>
      <c r="MHN55" s="82"/>
      <c r="MHO55" s="82"/>
      <c r="MHP55" s="82"/>
      <c r="MHQ55" s="82"/>
      <c r="MHR55" s="82"/>
      <c r="MHS55" s="82"/>
      <c r="MHT55" s="82"/>
      <c r="MHU55" s="82"/>
      <c r="MHV55" s="82"/>
      <c r="MHW55" s="82"/>
      <c r="MHX55" s="82"/>
      <c r="MHY55" s="82"/>
      <c r="MHZ55" s="82"/>
      <c r="MIA55" s="82"/>
      <c r="MIB55" s="82"/>
      <c r="MIC55" s="82"/>
      <c r="MID55" s="82"/>
      <c r="MIE55" s="82"/>
      <c r="MIF55" s="82"/>
      <c r="MIG55" s="82"/>
      <c r="MIH55" s="82"/>
      <c r="MII55" s="82"/>
      <c r="MIJ55" s="82"/>
      <c r="MIK55" s="82"/>
      <c r="MIL55" s="82"/>
      <c r="MIM55" s="82"/>
      <c r="MIN55" s="82"/>
      <c r="MIO55" s="82"/>
      <c r="MIP55" s="82"/>
      <c r="MIQ55" s="82"/>
      <c r="MIR55" s="82"/>
      <c r="MIS55" s="82"/>
      <c r="MIT55" s="82"/>
      <c r="MIU55" s="82"/>
      <c r="MIV55" s="82"/>
      <c r="MIW55" s="82"/>
      <c r="MIX55" s="82"/>
      <c r="MIY55" s="82"/>
      <c r="MIZ55" s="82"/>
      <c r="MJA55" s="82"/>
      <c r="MJB55" s="82"/>
      <c r="MJC55" s="82"/>
      <c r="MJD55" s="82"/>
      <c r="MJE55" s="82"/>
      <c r="MJF55" s="82"/>
      <c r="MJG55" s="82"/>
      <c r="MJH55" s="82"/>
      <c r="MJI55" s="82"/>
      <c r="MJJ55" s="82"/>
      <c r="MJK55" s="82"/>
      <c r="MJL55" s="82"/>
      <c r="MJM55" s="82"/>
      <c r="MJN55" s="82"/>
      <c r="MJO55" s="82"/>
      <c r="MJP55" s="82"/>
      <c r="MJQ55" s="82"/>
      <c r="MJR55" s="82"/>
      <c r="MJS55" s="82"/>
      <c r="MJT55" s="82"/>
      <c r="MJU55" s="82"/>
      <c r="MJV55" s="82"/>
      <c r="MJW55" s="82"/>
      <c r="MJX55" s="82"/>
      <c r="MJY55" s="82"/>
      <c r="MJZ55" s="82"/>
      <c r="MKA55" s="82"/>
      <c r="MKB55" s="82"/>
      <c r="MKC55" s="82"/>
      <c r="MKD55" s="82"/>
      <c r="MKE55" s="82"/>
      <c r="MKF55" s="82"/>
      <c r="MKG55" s="82"/>
      <c r="MKH55" s="82"/>
      <c r="MKI55" s="82"/>
      <c r="MKJ55" s="82"/>
      <c r="MKK55" s="82"/>
      <c r="MKL55" s="82"/>
      <c r="MKM55" s="82"/>
      <c r="MKN55" s="82"/>
      <c r="MKO55" s="82"/>
      <c r="MKP55" s="82"/>
      <c r="MKQ55" s="82"/>
      <c r="MKR55" s="82"/>
      <c r="MKS55" s="82"/>
      <c r="MKT55" s="82"/>
      <c r="MKU55" s="82"/>
      <c r="MKV55" s="82"/>
      <c r="MKW55" s="82"/>
      <c r="MKX55" s="82"/>
      <c r="MKY55" s="82"/>
      <c r="MKZ55" s="82"/>
      <c r="MLA55" s="82"/>
      <c r="MLB55" s="82"/>
      <c r="MLC55" s="82"/>
      <c r="MLD55" s="82"/>
      <c r="MLE55" s="82"/>
      <c r="MLF55" s="82"/>
      <c r="MLG55" s="82"/>
      <c r="MLH55" s="82"/>
      <c r="MLI55" s="82"/>
      <c r="MLJ55" s="82"/>
      <c r="MLK55" s="82"/>
      <c r="MLL55" s="82"/>
      <c r="MLM55" s="82"/>
      <c r="MLN55" s="82"/>
      <c r="MLO55" s="82"/>
      <c r="MLP55" s="82"/>
      <c r="MLQ55" s="82"/>
      <c r="MLR55" s="82"/>
      <c r="MLS55" s="82"/>
      <c r="MLT55" s="82"/>
      <c r="MLU55" s="82"/>
      <c r="MLV55" s="82"/>
      <c r="MLW55" s="82"/>
      <c r="MLX55" s="82"/>
      <c r="MLY55" s="82"/>
      <c r="MLZ55" s="82"/>
      <c r="MMA55" s="82"/>
      <c r="MMB55" s="82"/>
      <c r="MMC55" s="82"/>
      <c r="MMD55" s="82"/>
      <c r="MME55" s="82"/>
      <c r="MMF55" s="82"/>
      <c r="MMG55" s="82"/>
      <c r="MMH55" s="82"/>
      <c r="MMI55" s="82"/>
      <c r="MMJ55" s="82"/>
      <c r="MMK55" s="82"/>
      <c r="MML55" s="82"/>
      <c r="MMM55" s="82"/>
      <c r="MMN55" s="82"/>
      <c r="MMO55" s="82"/>
      <c r="MMP55" s="82"/>
      <c r="MMQ55" s="82"/>
      <c r="MMR55" s="82"/>
      <c r="MMS55" s="82"/>
      <c r="MMT55" s="82"/>
      <c r="MMU55" s="82"/>
      <c r="MMV55" s="82"/>
      <c r="MMW55" s="82"/>
      <c r="MMX55" s="82"/>
      <c r="MMY55" s="82"/>
      <c r="MMZ55" s="82"/>
      <c r="MNA55" s="82"/>
      <c r="MNB55" s="82"/>
      <c r="MNC55" s="82"/>
      <c r="MND55" s="82"/>
      <c r="MNE55" s="82"/>
      <c r="MNF55" s="82"/>
      <c r="MNG55" s="82"/>
      <c r="MNH55" s="82"/>
      <c r="MNI55" s="82"/>
      <c r="MNJ55" s="82"/>
      <c r="MNK55" s="82"/>
      <c r="MNL55" s="82"/>
      <c r="MNM55" s="82"/>
      <c r="MNN55" s="82"/>
      <c r="MNO55" s="82"/>
      <c r="MNP55" s="82"/>
      <c r="MNQ55" s="82"/>
      <c r="MNR55" s="82"/>
      <c r="MNS55" s="82"/>
      <c r="MNT55" s="82"/>
      <c r="MNU55" s="82"/>
      <c r="MNV55" s="82"/>
      <c r="MNW55" s="82"/>
      <c r="MNX55" s="82"/>
      <c r="MNY55" s="82"/>
      <c r="MNZ55" s="82"/>
      <c r="MOA55" s="82"/>
      <c r="MOB55" s="82"/>
      <c r="MOC55" s="82"/>
      <c r="MOD55" s="82"/>
      <c r="MOE55" s="82"/>
      <c r="MOF55" s="82"/>
      <c r="MOG55" s="82"/>
      <c r="MOH55" s="82"/>
      <c r="MOI55" s="82"/>
      <c r="MOJ55" s="82"/>
      <c r="MOK55" s="82"/>
      <c r="MOL55" s="82"/>
      <c r="MOM55" s="82"/>
      <c r="MON55" s="82"/>
      <c r="MOO55" s="82"/>
      <c r="MOP55" s="82"/>
      <c r="MOQ55" s="82"/>
      <c r="MOR55" s="82"/>
      <c r="MOS55" s="82"/>
      <c r="MOT55" s="82"/>
      <c r="MOU55" s="82"/>
      <c r="MOV55" s="82"/>
      <c r="MOW55" s="82"/>
      <c r="MOX55" s="82"/>
      <c r="MOY55" s="82"/>
      <c r="MOZ55" s="82"/>
      <c r="MPA55" s="82"/>
      <c r="MPB55" s="82"/>
      <c r="MPC55" s="82"/>
      <c r="MPD55" s="82"/>
      <c r="MPE55" s="82"/>
      <c r="MPF55" s="82"/>
      <c r="MPG55" s="82"/>
      <c r="MPH55" s="82"/>
      <c r="MPI55" s="82"/>
      <c r="MPJ55" s="82"/>
      <c r="MPK55" s="82"/>
      <c r="MPL55" s="82"/>
      <c r="MPM55" s="82"/>
      <c r="MPN55" s="82"/>
      <c r="MPO55" s="82"/>
      <c r="MPP55" s="82"/>
      <c r="MPQ55" s="82"/>
      <c r="MPR55" s="82"/>
      <c r="MPS55" s="82"/>
      <c r="MPT55" s="82"/>
      <c r="MPU55" s="82"/>
      <c r="MPV55" s="82"/>
      <c r="MPW55" s="82"/>
      <c r="MPX55" s="82"/>
      <c r="MPY55" s="82"/>
      <c r="MPZ55" s="82"/>
      <c r="MQA55" s="82"/>
      <c r="MQB55" s="82"/>
      <c r="MQC55" s="82"/>
      <c r="MQD55" s="82"/>
      <c r="MQE55" s="82"/>
      <c r="MQF55" s="82"/>
      <c r="MQG55" s="82"/>
      <c r="MQH55" s="82"/>
      <c r="MQI55" s="82"/>
      <c r="MQJ55" s="82"/>
      <c r="MQK55" s="82"/>
      <c r="MQL55" s="82"/>
      <c r="MQM55" s="82"/>
      <c r="MQN55" s="82"/>
      <c r="MQO55" s="82"/>
      <c r="MQP55" s="82"/>
      <c r="MQQ55" s="82"/>
      <c r="MQR55" s="82"/>
      <c r="MQS55" s="82"/>
      <c r="MQT55" s="82"/>
      <c r="MQU55" s="82"/>
      <c r="MQV55" s="82"/>
      <c r="MQW55" s="82"/>
      <c r="MQX55" s="82"/>
      <c r="MQY55" s="82"/>
      <c r="MQZ55" s="82"/>
      <c r="MRA55" s="82"/>
      <c r="MRB55" s="82"/>
      <c r="MRC55" s="82"/>
      <c r="MRD55" s="82"/>
      <c r="MRE55" s="82"/>
      <c r="MRF55" s="82"/>
      <c r="MRG55" s="82"/>
      <c r="MRH55" s="82"/>
      <c r="MRI55" s="82"/>
      <c r="MRJ55" s="82"/>
      <c r="MRK55" s="82"/>
      <c r="MRL55" s="82"/>
      <c r="MRM55" s="82"/>
      <c r="MRN55" s="82"/>
      <c r="MRO55" s="82"/>
      <c r="MRP55" s="82"/>
      <c r="MRQ55" s="82"/>
      <c r="MRR55" s="82"/>
      <c r="MRS55" s="82"/>
      <c r="MRT55" s="82"/>
      <c r="MRU55" s="82"/>
      <c r="MRV55" s="82"/>
      <c r="MRW55" s="82"/>
      <c r="MRX55" s="82"/>
      <c r="MRY55" s="82"/>
      <c r="MRZ55" s="82"/>
      <c r="MSA55" s="82"/>
      <c r="MSB55" s="82"/>
      <c r="MSC55" s="82"/>
      <c r="MSD55" s="82"/>
      <c r="MSE55" s="82"/>
      <c r="MSF55" s="82"/>
      <c r="MSG55" s="82"/>
      <c r="MSH55" s="82"/>
      <c r="MSI55" s="82"/>
      <c r="MSJ55" s="82"/>
      <c r="MSK55" s="82"/>
      <c r="MSL55" s="82"/>
      <c r="MSM55" s="82"/>
      <c r="MSN55" s="82"/>
      <c r="MSO55" s="82"/>
      <c r="MSP55" s="82"/>
      <c r="MSQ55" s="82"/>
      <c r="MSR55" s="82"/>
      <c r="MSS55" s="82"/>
      <c r="MST55" s="82"/>
      <c r="MSU55" s="82"/>
      <c r="MSV55" s="82"/>
      <c r="MSW55" s="82"/>
      <c r="MSX55" s="82"/>
      <c r="MSY55" s="82"/>
      <c r="MSZ55" s="82"/>
      <c r="MTA55" s="82"/>
      <c r="MTB55" s="82"/>
      <c r="MTC55" s="82"/>
      <c r="MTD55" s="82"/>
      <c r="MTE55" s="82"/>
      <c r="MTF55" s="82"/>
      <c r="MTG55" s="82"/>
      <c r="MTH55" s="82"/>
      <c r="MTI55" s="82"/>
      <c r="MTJ55" s="82"/>
      <c r="MTK55" s="82"/>
      <c r="MTL55" s="82"/>
      <c r="MTM55" s="82"/>
      <c r="MTN55" s="82"/>
      <c r="MTO55" s="82"/>
      <c r="MTP55" s="82"/>
      <c r="MTQ55" s="82"/>
      <c r="MTR55" s="82"/>
      <c r="MTS55" s="82"/>
      <c r="MTT55" s="82"/>
      <c r="MTU55" s="82"/>
      <c r="MTV55" s="82"/>
      <c r="MTW55" s="82"/>
      <c r="MTX55" s="82"/>
      <c r="MTY55" s="82"/>
      <c r="MTZ55" s="82"/>
      <c r="MUA55" s="82"/>
      <c r="MUB55" s="82"/>
      <c r="MUC55" s="82"/>
      <c r="MUD55" s="82"/>
      <c r="MUE55" s="82"/>
      <c r="MUF55" s="82"/>
      <c r="MUG55" s="82"/>
      <c r="MUH55" s="82"/>
      <c r="MUI55" s="82"/>
      <c r="MUJ55" s="82"/>
      <c r="MUK55" s="82"/>
      <c r="MUL55" s="82"/>
      <c r="MUM55" s="82"/>
      <c r="MUN55" s="82"/>
      <c r="MUO55" s="82"/>
      <c r="MUP55" s="82"/>
      <c r="MUQ55" s="82"/>
      <c r="MUR55" s="82"/>
      <c r="MUS55" s="82"/>
      <c r="MUT55" s="82"/>
      <c r="MUU55" s="82"/>
      <c r="MUV55" s="82"/>
      <c r="MUW55" s="82"/>
      <c r="MUX55" s="82"/>
      <c r="MUY55" s="82"/>
      <c r="MUZ55" s="82"/>
      <c r="MVA55" s="82"/>
      <c r="MVB55" s="82"/>
      <c r="MVC55" s="82"/>
      <c r="MVD55" s="82"/>
      <c r="MVE55" s="82"/>
      <c r="MVF55" s="82"/>
      <c r="MVG55" s="82"/>
      <c r="MVH55" s="82"/>
      <c r="MVI55" s="82"/>
      <c r="MVJ55" s="82"/>
      <c r="MVK55" s="82"/>
      <c r="MVL55" s="82"/>
      <c r="MVM55" s="82"/>
      <c r="MVN55" s="82"/>
      <c r="MVO55" s="82"/>
      <c r="MVP55" s="82"/>
      <c r="MVQ55" s="82"/>
      <c r="MVR55" s="82"/>
      <c r="MVS55" s="82"/>
      <c r="MVT55" s="82"/>
      <c r="MVU55" s="82"/>
      <c r="MVV55" s="82"/>
      <c r="MVW55" s="82"/>
      <c r="MVX55" s="82"/>
      <c r="MVY55" s="82"/>
      <c r="MVZ55" s="82"/>
      <c r="MWA55" s="82"/>
      <c r="MWB55" s="82"/>
      <c r="MWC55" s="82"/>
      <c r="MWD55" s="82"/>
      <c r="MWE55" s="82"/>
      <c r="MWF55" s="82"/>
      <c r="MWG55" s="82"/>
      <c r="MWH55" s="82"/>
      <c r="MWI55" s="82"/>
      <c r="MWJ55" s="82"/>
      <c r="MWK55" s="82"/>
      <c r="MWL55" s="82"/>
      <c r="MWM55" s="82"/>
      <c r="MWN55" s="82"/>
      <c r="MWO55" s="82"/>
      <c r="MWP55" s="82"/>
      <c r="MWQ55" s="82"/>
      <c r="MWR55" s="82"/>
      <c r="MWS55" s="82"/>
      <c r="MWT55" s="82"/>
      <c r="MWU55" s="82"/>
      <c r="MWV55" s="82"/>
      <c r="MWW55" s="82"/>
      <c r="MWX55" s="82"/>
      <c r="MWY55" s="82"/>
      <c r="MWZ55" s="82"/>
      <c r="MXA55" s="82"/>
      <c r="MXB55" s="82"/>
      <c r="MXC55" s="82"/>
      <c r="MXD55" s="82"/>
      <c r="MXE55" s="82"/>
      <c r="MXF55" s="82"/>
      <c r="MXG55" s="82"/>
      <c r="MXH55" s="82"/>
      <c r="MXI55" s="82"/>
      <c r="MXJ55" s="82"/>
      <c r="MXK55" s="82"/>
      <c r="MXL55" s="82"/>
      <c r="MXM55" s="82"/>
      <c r="MXN55" s="82"/>
      <c r="MXO55" s="82"/>
      <c r="MXP55" s="82"/>
      <c r="MXQ55" s="82"/>
      <c r="MXR55" s="82"/>
      <c r="MXS55" s="82"/>
      <c r="MXT55" s="82"/>
      <c r="MXU55" s="82"/>
      <c r="MXV55" s="82"/>
      <c r="MXW55" s="82"/>
      <c r="MXX55" s="82"/>
      <c r="MXY55" s="82"/>
      <c r="MXZ55" s="82"/>
      <c r="MYA55" s="82"/>
      <c r="MYB55" s="82"/>
      <c r="MYC55" s="82"/>
      <c r="MYD55" s="82"/>
      <c r="MYE55" s="82"/>
      <c r="MYF55" s="82"/>
      <c r="MYG55" s="82"/>
      <c r="MYH55" s="82"/>
      <c r="MYI55" s="82"/>
      <c r="MYJ55" s="82"/>
      <c r="MYK55" s="82"/>
      <c r="MYL55" s="82"/>
      <c r="MYM55" s="82"/>
      <c r="MYN55" s="82"/>
      <c r="MYO55" s="82"/>
      <c r="MYP55" s="82"/>
      <c r="MYQ55" s="82"/>
      <c r="MYR55" s="82"/>
      <c r="MYS55" s="82"/>
      <c r="MYT55" s="82"/>
      <c r="MYU55" s="82"/>
      <c r="MYV55" s="82"/>
      <c r="MYW55" s="82"/>
      <c r="MYX55" s="82"/>
      <c r="MYY55" s="82"/>
      <c r="MYZ55" s="82"/>
      <c r="MZA55" s="82"/>
      <c r="MZB55" s="82"/>
      <c r="MZC55" s="82"/>
      <c r="MZD55" s="82"/>
      <c r="MZE55" s="82"/>
      <c r="MZF55" s="82"/>
      <c r="MZG55" s="82"/>
      <c r="MZH55" s="82"/>
      <c r="MZI55" s="82"/>
      <c r="MZJ55" s="82"/>
      <c r="MZK55" s="82"/>
      <c r="MZL55" s="82"/>
      <c r="MZM55" s="82"/>
      <c r="MZN55" s="82"/>
      <c r="MZO55" s="82"/>
      <c r="MZP55" s="82"/>
      <c r="MZQ55" s="82"/>
      <c r="MZR55" s="82"/>
      <c r="MZS55" s="82"/>
      <c r="MZT55" s="82"/>
      <c r="MZU55" s="82"/>
      <c r="MZV55" s="82"/>
      <c r="MZW55" s="82"/>
      <c r="MZX55" s="82"/>
      <c r="MZY55" s="82"/>
      <c r="MZZ55" s="82"/>
      <c r="NAA55" s="82"/>
      <c r="NAB55" s="82"/>
      <c r="NAC55" s="82"/>
      <c r="NAD55" s="82"/>
      <c r="NAE55" s="82"/>
      <c r="NAF55" s="82"/>
      <c r="NAG55" s="82"/>
      <c r="NAH55" s="82"/>
      <c r="NAI55" s="82"/>
      <c r="NAJ55" s="82"/>
      <c r="NAK55" s="82"/>
      <c r="NAL55" s="82"/>
      <c r="NAM55" s="82"/>
      <c r="NAN55" s="82"/>
      <c r="NAO55" s="82"/>
      <c r="NAP55" s="82"/>
      <c r="NAQ55" s="82"/>
      <c r="NAR55" s="82"/>
      <c r="NAS55" s="82"/>
      <c r="NAT55" s="82"/>
      <c r="NAU55" s="82"/>
      <c r="NAV55" s="82"/>
      <c r="NAW55" s="82"/>
      <c r="NAX55" s="82"/>
      <c r="NAY55" s="82"/>
      <c r="NAZ55" s="82"/>
      <c r="NBA55" s="82"/>
      <c r="NBB55" s="82"/>
      <c r="NBC55" s="82"/>
      <c r="NBD55" s="82"/>
      <c r="NBE55" s="82"/>
      <c r="NBF55" s="82"/>
      <c r="NBG55" s="82"/>
      <c r="NBH55" s="82"/>
      <c r="NBI55" s="82"/>
      <c r="NBJ55" s="82"/>
      <c r="NBK55" s="82"/>
      <c r="NBL55" s="82"/>
      <c r="NBM55" s="82"/>
      <c r="NBN55" s="82"/>
      <c r="NBO55" s="82"/>
      <c r="NBP55" s="82"/>
      <c r="NBQ55" s="82"/>
      <c r="NBR55" s="82"/>
      <c r="NBS55" s="82"/>
      <c r="NBT55" s="82"/>
      <c r="NBU55" s="82"/>
      <c r="NBV55" s="82"/>
      <c r="NBW55" s="82"/>
      <c r="NBX55" s="82"/>
      <c r="NBY55" s="82"/>
      <c r="NBZ55" s="82"/>
      <c r="NCA55" s="82"/>
      <c r="NCB55" s="82"/>
      <c r="NCC55" s="82"/>
      <c r="NCD55" s="82"/>
      <c r="NCE55" s="82"/>
      <c r="NCF55" s="82"/>
      <c r="NCG55" s="82"/>
      <c r="NCH55" s="82"/>
      <c r="NCI55" s="82"/>
      <c r="NCJ55" s="82"/>
      <c r="NCK55" s="82"/>
      <c r="NCL55" s="82"/>
      <c r="NCM55" s="82"/>
      <c r="NCN55" s="82"/>
      <c r="NCO55" s="82"/>
      <c r="NCP55" s="82"/>
      <c r="NCQ55" s="82"/>
      <c r="NCR55" s="82"/>
      <c r="NCS55" s="82"/>
      <c r="NCT55" s="82"/>
      <c r="NCU55" s="82"/>
      <c r="NCV55" s="82"/>
      <c r="NCW55" s="82"/>
      <c r="NCX55" s="82"/>
      <c r="NCY55" s="82"/>
      <c r="NCZ55" s="82"/>
      <c r="NDA55" s="82"/>
      <c r="NDB55" s="82"/>
      <c r="NDC55" s="82"/>
      <c r="NDD55" s="82"/>
      <c r="NDE55" s="82"/>
      <c r="NDF55" s="82"/>
      <c r="NDG55" s="82"/>
      <c r="NDH55" s="82"/>
      <c r="NDI55" s="82"/>
      <c r="NDJ55" s="82"/>
      <c r="NDK55" s="82"/>
      <c r="NDL55" s="82"/>
      <c r="NDM55" s="82"/>
      <c r="NDN55" s="82"/>
      <c r="NDO55" s="82"/>
      <c r="NDP55" s="82"/>
      <c r="NDQ55" s="82"/>
      <c r="NDR55" s="82"/>
      <c r="NDS55" s="82"/>
      <c r="NDT55" s="82"/>
      <c r="NDU55" s="82"/>
      <c r="NDV55" s="82"/>
      <c r="NDW55" s="82"/>
      <c r="NDX55" s="82"/>
      <c r="NDY55" s="82"/>
      <c r="NDZ55" s="82"/>
      <c r="NEA55" s="82"/>
      <c r="NEB55" s="82"/>
      <c r="NEC55" s="82"/>
      <c r="NED55" s="82"/>
      <c r="NEE55" s="82"/>
      <c r="NEF55" s="82"/>
      <c r="NEG55" s="82"/>
      <c r="NEH55" s="82"/>
      <c r="NEI55" s="82"/>
      <c r="NEJ55" s="82"/>
      <c r="NEK55" s="82"/>
      <c r="NEL55" s="82"/>
      <c r="NEM55" s="82"/>
      <c r="NEN55" s="82"/>
      <c r="NEO55" s="82"/>
      <c r="NEP55" s="82"/>
      <c r="NEQ55" s="82"/>
      <c r="NER55" s="82"/>
      <c r="NES55" s="82"/>
      <c r="NET55" s="82"/>
      <c r="NEU55" s="82"/>
      <c r="NEV55" s="82"/>
      <c r="NEW55" s="82"/>
      <c r="NEX55" s="82"/>
      <c r="NEY55" s="82"/>
      <c r="NEZ55" s="82"/>
      <c r="NFA55" s="82"/>
      <c r="NFB55" s="82"/>
      <c r="NFC55" s="82"/>
      <c r="NFD55" s="82"/>
      <c r="NFE55" s="82"/>
      <c r="NFF55" s="82"/>
      <c r="NFG55" s="82"/>
      <c r="NFH55" s="82"/>
      <c r="NFI55" s="82"/>
      <c r="NFJ55" s="82"/>
      <c r="NFK55" s="82"/>
      <c r="NFL55" s="82"/>
      <c r="NFM55" s="82"/>
      <c r="NFN55" s="82"/>
      <c r="NFO55" s="82"/>
      <c r="NFP55" s="82"/>
      <c r="NFQ55" s="82"/>
      <c r="NFR55" s="82"/>
      <c r="NFS55" s="82"/>
      <c r="NFT55" s="82"/>
      <c r="NFU55" s="82"/>
      <c r="NFV55" s="82"/>
      <c r="NFW55" s="82"/>
      <c r="NFX55" s="82"/>
      <c r="NFY55" s="82"/>
      <c r="NFZ55" s="82"/>
      <c r="NGA55" s="82"/>
      <c r="NGB55" s="82"/>
      <c r="NGC55" s="82"/>
      <c r="NGD55" s="82"/>
      <c r="NGE55" s="82"/>
      <c r="NGF55" s="82"/>
      <c r="NGG55" s="82"/>
      <c r="NGH55" s="82"/>
      <c r="NGI55" s="82"/>
      <c r="NGJ55" s="82"/>
      <c r="NGK55" s="82"/>
      <c r="NGL55" s="82"/>
      <c r="NGM55" s="82"/>
      <c r="NGN55" s="82"/>
      <c r="NGO55" s="82"/>
      <c r="NGP55" s="82"/>
      <c r="NGQ55" s="82"/>
      <c r="NGR55" s="82"/>
      <c r="NGS55" s="82"/>
      <c r="NGT55" s="82"/>
      <c r="NGU55" s="82"/>
      <c r="NGV55" s="82"/>
      <c r="NGW55" s="82"/>
      <c r="NGX55" s="82"/>
      <c r="NGY55" s="82"/>
      <c r="NGZ55" s="82"/>
      <c r="NHA55" s="82"/>
      <c r="NHB55" s="82"/>
      <c r="NHC55" s="82"/>
      <c r="NHD55" s="82"/>
      <c r="NHE55" s="82"/>
      <c r="NHF55" s="82"/>
      <c r="NHG55" s="82"/>
      <c r="NHH55" s="82"/>
      <c r="NHI55" s="82"/>
      <c r="NHJ55" s="82"/>
      <c r="NHK55" s="82"/>
      <c r="NHL55" s="82"/>
      <c r="NHM55" s="82"/>
      <c r="NHN55" s="82"/>
      <c r="NHO55" s="82"/>
      <c r="NHP55" s="82"/>
      <c r="NHQ55" s="82"/>
      <c r="NHR55" s="82"/>
      <c r="NHS55" s="82"/>
      <c r="NHT55" s="82"/>
      <c r="NHU55" s="82"/>
      <c r="NHV55" s="82"/>
      <c r="NHW55" s="82"/>
      <c r="NHX55" s="82"/>
      <c r="NHY55" s="82"/>
      <c r="NHZ55" s="82"/>
      <c r="NIA55" s="82"/>
      <c r="NIB55" s="82"/>
      <c r="NIC55" s="82"/>
      <c r="NID55" s="82"/>
      <c r="NIE55" s="82"/>
      <c r="NIF55" s="82"/>
      <c r="NIG55" s="82"/>
      <c r="NIH55" s="82"/>
      <c r="NII55" s="82"/>
      <c r="NIJ55" s="82"/>
      <c r="NIK55" s="82"/>
      <c r="NIL55" s="82"/>
      <c r="NIM55" s="82"/>
      <c r="NIN55" s="82"/>
      <c r="NIO55" s="82"/>
      <c r="NIP55" s="82"/>
      <c r="NIQ55" s="82"/>
      <c r="NIR55" s="82"/>
      <c r="NIS55" s="82"/>
      <c r="NIT55" s="82"/>
      <c r="NIU55" s="82"/>
      <c r="NIV55" s="82"/>
      <c r="NIW55" s="82"/>
      <c r="NIX55" s="82"/>
      <c r="NIY55" s="82"/>
      <c r="NIZ55" s="82"/>
      <c r="NJA55" s="82"/>
      <c r="NJB55" s="82"/>
      <c r="NJC55" s="82"/>
      <c r="NJD55" s="82"/>
      <c r="NJE55" s="82"/>
      <c r="NJF55" s="82"/>
      <c r="NJG55" s="82"/>
      <c r="NJH55" s="82"/>
      <c r="NJI55" s="82"/>
      <c r="NJJ55" s="82"/>
      <c r="NJK55" s="82"/>
      <c r="NJL55" s="82"/>
      <c r="NJM55" s="82"/>
      <c r="NJN55" s="82"/>
      <c r="NJO55" s="82"/>
      <c r="NJP55" s="82"/>
      <c r="NJQ55" s="82"/>
      <c r="NJR55" s="82"/>
      <c r="NJS55" s="82"/>
      <c r="NJT55" s="82"/>
      <c r="NJU55" s="82"/>
      <c r="NJV55" s="82"/>
      <c r="NJW55" s="82"/>
      <c r="NJX55" s="82"/>
      <c r="NJY55" s="82"/>
      <c r="NJZ55" s="82"/>
      <c r="NKA55" s="82"/>
      <c r="NKB55" s="82"/>
      <c r="NKC55" s="82"/>
      <c r="NKD55" s="82"/>
      <c r="NKE55" s="82"/>
      <c r="NKF55" s="82"/>
      <c r="NKG55" s="82"/>
      <c r="NKH55" s="82"/>
      <c r="NKI55" s="82"/>
      <c r="NKJ55" s="82"/>
      <c r="NKK55" s="82"/>
      <c r="NKL55" s="82"/>
      <c r="NKM55" s="82"/>
      <c r="NKN55" s="82"/>
      <c r="NKO55" s="82"/>
      <c r="NKP55" s="82"/>
      <c r="NKQ55" s="82"/>
      <c r="NKR55" s="82"/>
      <c r="NKS55" s="82"/>
      <c r="NKT55" s="82"/>
      <c r="NKU55" s="82"/>
      <c r="NKV55" s="82"/>
      <c r="NKW55" s="82"/>
      <c r="NKX55" s="82"/>
      <c r="NKY55" s="82"/>
      <c r="NKZ55" s="82"/>
      <c r="NLA55" s="82"/>
      <c r="NLB55" s="82"/>
      <c r="NLC55" s="82"/>
      <c r="NLD55" s="82"/>
      <c r="NLE55" s="82"/>
      <c r="NLF55" s="82"/>
      <c r="NLG55" s="82"/>
      <c r="NLH55" s="82"/>
      <c r="NLI55" s="82"/>
      <c r="NLJ55" s="82"/>
      <c r="NLK55" s="82"/>
      <c r="NLL55" s="82"/>
      <c r="NLM55" s="82"/>
      <c r="NLN55" s="82"/>
      <c r="NLO55" s="82"/>
      <c r="NLP55" s="82"/>
      <c r="NLQ55" s="82"/>
      <c r="NLR55" s="82"/>
      <c r="NLS55" s="82"/>
      <c r="NLT55" s="82"/>
      <c r="NLU55" s="82"/>
      <c r="NLV55" s="82"/>
      <c r="NLW55" s="82"/>
      <c r="NLX55" s="82"/>
      <c r="NLY55" s="82"/>
      <c r="NLZ55" s="82"/>
      <c r="NMA55" s="82"/>
      <c r="NMB55" s="82"/>
      <c r="NMC55" s="82"/>
      <c r="NMD55" s="82"/>
      <c r="NME55" s="82"/>
      <c r="NMF55" s="82"/>
      <c r="NMG55" s="82"/>
      <c r="NMH55" s="82"/>
      <c r="NMI55" s="82"/>
      <c r="NMJ55" s="82"/>
      <c r="NMK55" s="82"/>
      <c r="NML55" s="82"/>
      <c r="NMM55" s="82"/>
      <c r="NMN55" s="82"/>
      <c r="NMO55" s="82"/>
      <c r="NMP55" s="82"/>
      <c r="NMQ55" s="82"/>
      <c r="NMR55" s="82"/>
      <c r="NMS55" s="82"/>
      <c r="NMT55" s="82"/>
      <c r="NMU55" s="82"/>
      <c r="NMV55" s="82"/>
      <c r="NMW55" s="82"/>
      <c r="NMX55" s="82"/>
      <c r="NMY55" s="82"/>
      <c r="NMZ55" s="82"/>
      <c r="NNA55" s="82"/>
      <c r="NNB55" s="82"/>
      <c r="NNC55" s="82"/>
      <c r="NND55" s="82"/>
      <c r="NNE55" s="82"/>
      <c r="NNF55" s="82"/>
      <c r="NNG55" s="82"/>
      <c r="NNH55" s="82"/>
      <c r="NNI55" s="82"/>
      <c r="NNJ55" s="82"/>
      <c r="NNK55" s="82"/>
      <c r="NNL55" s="82"/>
      <c r="NNM55" s="82"/>
      <c r="NNN55" s="82"/>
      <c r="NNO55" s="82"/>
      <c r="NNP55" s="82"/>
      <c r="NNQ55" s="82"/>
      <c r="NNR55" s="82"/>
      <c r="NNS55" s="82"/>
      <c r="NNT55" s="82"/>
      <c r="NNU55" s="82"/>
      <c r="NNV55" s="82"/>
      <c r="NNW55" s="82"/>
      <c r="NNX55" s="82"/>
      <c r="NNY55" s="82"/>
      <c r="NNZ55" s="82"/>
      <c r="NOA55" s="82"/>
      <c r="NOB55" s="82"/>
      <c r="NOC55" s="82"/>
      <c r="NOD55" s="82"/>
      <c r="NOE55" s="82"/>
      <c r="NOF55" s="82"/>
      <c r="NOG55" s="82"/>
      <c r="NOH55" s="82"/>
      <c r="NOI55" s="82"/>
      <c r="NOJ55" s="82"/>
      <c r="NOK55" s="82"/>
      <c r="NOL55" s="82"/>
      <c r="NOM55" s="82"/>
      <c r="NON55" s="82"/>
      <c r="NOO55" s="82"/>
      <c r="NOP55" s="82"/>
      <c r="NOQ55" s="82"/>
      <c r="NOR55" s="82"/>
      <c r="NOS55" s="82"/>
      <c r="NOT55" s="82"/>
      <c r="NOU55" s="82"/>
      <c r="NOV55" s="82"/>
      <c r="NOW55" s="82"/>
      <c r="NOX55" s="82"/>
      <c r="NOY55" s="82"/>
      <c r="NOZ55" s="82"/>
      <c r="NPA55" s="82"/>
      <c r="NPB55" s="82"/>
      <c r="NPC55" s="82"/>
      <c r="NPD55" s="82"/>
      <c r="NPE55" s="82"/>
      <c r="NPF55" s="82"/>
      <c r="NPG55" s="82"/>
      <c r="NPH55" s="82"/>
      <c r="NPI55" s="82"/>
      <c r="NPJ55" s="82"/>
      <c r="NPK55" s="82"/>
      <c r="NPL55" s="82"/>
      <c r="NPM55" s="82"/>
      <c r="NPN55" s="82"/>
      <c r="NPO55" s="82"/>
      <c r="NPP55" s="82"/>
      <c r="NPQ55" s="82"/>
      <c r="NPR55" s="82"/>
      <c r="NPS55" s="82"/>
      <c r="NPT55" s="82"/>
      <c r="NPU55" s="82"/>
      <c r="NPV55" s="82"/>
      <c r="NPW55" s="82"/>
      <c r="NPX55" s="82"/>
      <c r="NPY55" s="82"/>
      <c r="NPZ55" s="82"/>
      <c r="NQA55" s="82"/>
      <c r="NQB55" s="82"/>
      <c r="NQC55" s="82"/>
      <c r="NQD55" s="82"/>
      <c r="NQE55" s="82"/>
      <c r="NQF55" s="82"/>
      <c r="NQG55" s="82"/>
      <c r="NQH55" s="82"/>
      <c r="NQI55" s="82"/>
      <c r="NQJ55" s="82"/>
      <c r="NQK55" s="82"/>
      <c r="NQL55" s="82"/>
      <c r="NQM55" s="82"/>
      <c r="NQN55" s="82"/>
      <c r="NQO55" s="82"/>
      <c r="NQP55" s="82"/>
      <c r="NQQ55" s="82"/>
      <c r="NQR55" s="82"/>
      <c r="NQS55" s="82"/>
      <c r="NQT55" s="82"/>
      <c r="NQU55" s="82"/>
      <c r="NQV55" s="82"/>
      <c r="NQW55" s="82"/>
      <c r="NQX55" s="82"/>
      <c r="NQY55" s="82"/>
      <c r="NQZ55" s="82"/>
      <c r="NRA55" s="82"/>
      <c r="NRB55" s="82"/>
      <c r="NRC55" s="82"/>
      <c r="NRD55" s="82"/>
      <c r="NRE55" s="82"/>
      <c r="NRF55" s="82"/>
      <c r="NRG55" s="82"/>
      <c r="NRH55" s="82"/>
      <c r="NRI55" s="82"/>
      <c r="NRJ55" s="82"/>
      <c r="NRK55" s="82"/>
      <c r="NRL55" s="82"/>
      <c r="NRM55" s="82"/>
      <c r="NRN55" s="82"/>
      <c r="NRO55" s="82"/>
      <c r="NRP55" s="82"/>
      <c r="NRQ55" s="82"/>
      <c r="NRR55" s="82"/>
      <c r="NRS55" s="82"/>
      <c r="NRT55" s="82"/>
      <c r="NRU55" s="82"/>
      <c r="NRV55" s="82"/>
      <c r="NRW55" s="82"/>
      <c r="NRX55" s="82"/>
      <c r="NRY55" s="82"/>
      <c r="NRZ55" s="82"/>
      <c r="NSA55" s="82"/>
      <c r="NSB55" s="82"/>
      <c r="NSC55" s="82"/>
      <c r="NSD55" s="82"/>
      <c r="NSE55" s="82"/>
      <c r="NSF55" s="82"/>
      <c r="NSG55" s="82"/>
      <c r="NSH55" s="82"/>
      <c r="NSI55" s="82"/>
      <c r="NSJ55" s="82"/>
      <c r="NSK55" s="82"/>
      <c r="NSL55" s="82"/>
      <c r="NSM55" s="82"/>
      <c r="NSN55" s="82"/>
      <c r="NSO55" s="82"/>
      <c r="NSP55" s="82"/>
      <c r="NSQ55" s="82"/>
      <c r="NSR55" s="82"/>
      <c r="NSS55" s="82"/>
      <c r="NST55" s="82"/>
      <c r="NSU55" s="82"/>
      <c r="NSV55" s="82"/>
      <c r="NSW55" s="82"/>
      <c r="NSX55" s="82"/>
      <c r="NSY55" s="82"/>
      <c r="NSZ55" s="82"/>
      <c r="NTA55" s="82"/>
      <c r="NTB55" s="82"/>
      <c r="NTC55" s="82"/>
      <c r="NTD55" s="82"/>
      <c r="NTE55" s="82"/>
      <c r="NTF55" s="82"/>
      <c r="NTG55" s="82"/>
      <c r="NTH55" s="82"/>
      <c r="NTI55" s="82"/>
      <c r="NTJ55" s="82"/>
      <c r="NTK55" s="82"/>
      <c r="NTL55" s="82"/>
      <c r="NTM55" s="82"/>
      <c r="NTN55" s="82"/>
      <c r="NTO55" s="82"/>
      <c r="NTP55" s="82"/>
      <c r="NTQ55" s="82"/>
      <c r="NTR55" s="82"/>
      <c r="NTS55" s="82"/>
      <c r="NTT55" s="82"/>
      <c r="NTU55" s="82"/>
      <c r="NTV55" s="82"/>
      <c r="NTW55" s="82"/>
      <c r="NTX55" s="82"/>
      <c r="NTY55" s="82"/>
      <c r="NTZ55" s="82"/>
      <c r="NUA55" s="82"/>
      <c r="NUB55" s="82"/>
      <c r="NUC55" s="82"/>
      <c r="NUD55" s="82"/>
      <c r="NUE55" s="82"/>
      <c r="NUF55" s="82"/>
      <c r="NUG55" s="82"/>
      <c r="NUH55" s="82"/>
      <c r="NUI55" s="82"/>
      <c r="NUJ55" s="82"/>
      <c r="NUK55" s="82"/>
      <c r="NUL55" s="82"/>
      <c r="NUM55" s="82"/>
      <c r="NUN55" s="82"/>
      <c r="NUO55" s="82"/>
      <c r="NUP55" s="82"/>
      <c r="NUQ55" s="82"/>
      <c r="NUR55" s="82"/>
      <c r="NUS55" s="82"/>
      <c r="NUT55" s="82"/>
      <c r="NUU55" s="82"/>
      <c r="NUV55" s="82"/>
      <c r="NUW55" s="82"/>
      <c r="NUX55" s="82"/>
      <c r="NUY55" s="82"/>
      <c r="NUZ55" s="82"/>
      <c r="NVA55" s="82"/>
      <c r="NVB55" s="82"/>
      <c r="NVC55" s="82"/>
      <c r="NVD55" s="82"/>
      <c r="NVE55" s="82"/>
      <c r="NVF55" s="82"/>
      <c r="NVG55" s="82"/>
      <c r="NVH55" s="82"/>
      <c r="NVI55" s="82"/>
      <c r="NVJ55" s="82"/>
      <c r="NVK55" s="82"/>
      <c r="NVL55" s="82"/>
      <c r="NVM55" s="82"/>
      <c r="NVN55" s="82"/>
      <c r="NVO55" s="82"/>
      <c r="NVP55" s="82"/>
      <c r="NVQ55" s="82"/>
      <c r="NVR55" s="82"/>
      <c r="NVS55" s="82"/>
      <c r="NVT55" s="82"/>
      <c r="NVU55" s="82"/>
      <c r="NVV55" s="82"/>
      <c r="NVW55" s="82"/>
      <c r="NVX55" s="82"/>
      <c r="NVY55" s="82"/>
      <c r="NVZ55" s="82"/>
      <c r="NWA55" s="82"/>
      <c r="NWB55" s="82"/>
      <c r="NWC55" s="82"/>
      <c r="NWD55" s="82"/>
      <c r="NWE55" s="82"/>
      <c r="NWF55" s="82"/>
      <c r="NWG55" s="82"/>
      <c r="NWH55" s="82"/>
      <c r="NWI55" s="82"/>
      <c r="NWJ55" s="82"/>
      <c r="NWK55" s="82"/>
      <c r="NWL55" s="82"/>
      <c r="NWM55" s="82"/>
      <c r="NWN55" s="82"/>
      <c r="NWO55" s="82"/>
      <c r="NWP55" s="82"/>
      <c r="NWQ55" s="82"/>
      <c r="NWR55" s="82"/>
      <c r="NWS55" s="82"/>
      <c r="NWT55" s="82"/>
      <c r="NWU55" s="82"/>
      <c r="NWV55" s="82"/>
      <c r="NWW55" s="82"/>
      <c r="NWX55" s="82"/>
      <c r="NWY55" s="82"/>
      <c r="NWZ55" s="82"/>
      <c r="NXA55" s="82"/>
      <c r="NXB55" s="82"/>
      <c r="NXC55" s="82"/>
      <c r="NXD55" s="82"/>
      <c r="NXE55" s="82"/>
      <c r="NXF55" s="82"/>
      <c r="NXG55" s="82"/>
      <c r="NXH55" s="82"/>
      <c r="NXI55" s="82"/>
      <c r="NXJ55" s="82"/>
      <c r="NXK55" s="82"/>
      <c r="NXL55" s="82"/>
      <c r="NXM55" s="82"/>
      <c r="NXN55" s="82"/>
      <c r="NXO55" s="82"/>
      <c r="NXP55" s="82"/>
      <c r="NXQ55" s="82"/>
      <c r="NXR55" s="82"/>
      <c r="NXS55" s="82"/>
      <c r="NXT55" s="82"/>
      <c r="NXU55" s="82"/>
      <c r="NXV55" s="82"/>
      <c r="NXW55" s="82"/>
      <c r="NXX55" s="82"/>
      <c r="NXY55" s="82"/>
      <c r="NXZ55" s="82"/>
      <c r="NYA55" s="82"/>
      <c r="NYB55" s="82"/>
      <c r="NYC55" s="82"/>
      <c r="NYD55" s="82"/>
      <c r="NYE55" s="82"/>
      <c r="NYF55" s="82"/>
      <c r="NYG55" s="82"/>
      <c r="NYH55" s="82"/>
      <c r="NYI55" s="82"/>
      <c r="NYJ55" s="82"/>
      <c r="NYK55" s="82"/>
      <c r="NYL55" s="82"/>
      <c r="NYM55" s="82"/>
      <c r="NYN55" s="82"/>
      <c r="NYO55" s="82"/>
      <c r="NYP55" s="82"/>
      <c r="NYQ55" s="82"/>
      <c r="NYR55" s="82"/>
      <c r="NYS55" s="82"/>
      <c r="NYT55" s="82"/>
      <c r="NYU55" s="82"/>
      <c r="NYV55" s="82"/>
      <c r="NYW55" s="82"/>
      <c r="NYX55" s="82"/>
      <c r="NYY55" s="82"/>
      <c r="NYZ55" s="82"/>
      <c r="NZA55" s="82"/>
      <c r="NZB55" s="82"/>
      <c r="NZC55" s="82"/>
      <c r="NZD55" s="82"/>
      <c r="NZE55" s="82"/>
      <c r="NZF55" s="82"/>
      <c r="NZG55" s="82"/>
      <c r="NZH55" s="82"/>
      <c r="NZI55" s="82"/>
      <c r="NZJ55" s="82"/>
      <c r="NZK55" s="82"/>
      <c r="NZL55" s="82"/>
      <c r="NZM55" s="82"/>
      <c r="NZN55" s="82"/>
      <c r="NZO55" s="82"/>
      <c r="NZP55" s="82"/>
      <c r="NZQ55" s="82"/>
      <c r="NZR55" s="82"/>
      <c r="NZS55" s="82"/>
      <c r="NZT55" s="82"/>
      <c r="NZU55" s="82"/>
      <c r="NZV55" s="82"/>
      <c r="NZW55" s="82"/>
      <c r="NZX55" s="82"/>
      <c r="NZY55" s="82"/>
      <c r="NZZ55" s="82"/>
      <c r="OAA55" s="82"/>
      <c r="OAB55" s="82"/>
      <c r="OAC55" s="82"/>
      <c r="OAD55" s="82"/>
      <c r="OAE55" s="82"/>
      <c r="OAF55" s="82"/>
      <c r="OAG55" s="82"/>
      <c r="OAH55" s="82"/>
      <c r="OAI55" s="82"/>
      <c r="OAJ55" s="82"/>
      <c r="OAK55" s="82"/>
      <c r="OAL55" s="82"/>
      <c r="OAM55" s="82"/>
      <c r="OAN55" s="82"/>
      <c r="OAO55" s="82"/>
      <c r="OAP55" s="82"/>
      <c r="OAQ55" s="82"/>
      <c r="OAR55" s="82"/>
      <c r="OAS55" s="82"/>
      <c r="OAT55" s="82"/>
      <c r="OAU55" s="82"/>
      <c r="OAV55" s="82"/>
      <c r="OAW55" s="82"/>
      <c r="OAX55" s="82"/>
      <c r="OAY55" s="82"/>
      <c r="OAZ55" s="82"/>
      <c r="OBA55" s="82"/>
      <c r="OBB55" s="82"/>
      <c r="OBC55" s="82"/>
      <c r="OBD55" s="82"/>
      <c r="OBE55" s="82"/>
      <c r="OBF55" s="82"/>
      <c r="OBG55" s="82"/>
      <c r="OBH55" s="82"/>
      <c r="OBI55" s="82"/>
      <c r="OBJ55" s="82"/>
      <c r="OBK55" s="82"/>
      <c r="OBL55" s="82"/>
      <c r="OBM55" s="82"/>
      <c r="OBN55" s="82"/>
      <c r="OBO55" s="82"/>
      <c r="OBP55" s="82"/>
      <c r="OBQ55" s="82"/>
      <c r="OBR55" s="82"/>
      <c r="OBS55" s="82"/>
      <c r="OBT55" s="82"/>
      <c r="OBU55" s="82"/>
      <c r="OBV55" s="82"/>
      <c r="OBW55" s="82"/>
      <c r="OBX55" s="82"/>
      <c r="OBY55" s="82"/>
      <c r="OBZ55" s="82"/>
      <c r="OCA55" s="82"/>
      <c r="OCB55" s="82"/>
      <c r="OCC55" s="82"/>
      <c r="OCD55" s="82"/>
      <c r="OCE55" s="82"/>
      <c r="OCF55" s="82"/>
      <c r="OCG55" s="82"/>
      <c r="OCH55" s="82"/>
      <c r="OCI55" s="82"/>
      <c r="OCJ55" s="82"/>
      <c r="OCK55" s="82"/>
      <c r="OCL55" s="82"/>
      <c r="OCM55" s="82"/>
      <c r="OCN55" s="82"/>
      <c r="OCO55" s="82"/>
      <c r="OCP55" s="82"/>
      <c r="OCQ55" s="82"/>
      <c r="OCR55" s="82"/>
      <c r="OCS55" s="82"/>
      <c r="OCT55" s="82"/>
      <c r="OCU55" s="82"/>
      <c r="OCV55" s="82"/>
      <c r="OCW55" s="82"/>
      <c r="OCX55" s="82"/>
      <c r="OCY55" s="82"/>
      <c r="OCZ55" s="82"/>
      <c r="ODA55" s="82"/>
      <c r="ODB55" s="82"/>
      <c r="ODC55" s="82"/>
      <c r="ODD55" s="82"/>
      <c r="ODE55" s="82"/>
      <c r="ODF55" s="82"/>
      <c r="ODG55" s="82"/>
      <c r="ODH55" s="82"/>
      <c r="ODI55" s="82"/>
      <c r="ODJ55" s="82"/>
      <c r="ODK55" s="82"/>
      <c r="ODL55" s="82"/>
      <c r="ODM55" s="82"/>
      <c r="ODN55" s="82"/>
      <c r="ODO55" s="82"/>
      <c r="ODP55" s="82"/>
      <c r="ODQ55" s="82"/>
      <c r="ODR55" s="82"/>
      <c r="ODS55" s="82"/>
      <c r="ODT55" s="82"/>
      <c r="ODU55" s="82"/>
      <c r="ODV55" s="82"/>
      <c r="ODW55" s="82"/>
      <c r="ODX55" s="82"/>
      <c r="ODY55" s="82"/>
      <c r="ODZ55" s="82"/>
      <c r="OEA55" s="82"/>
      <c r="OEB55" s="82"/>
      <c r="OEC55" s="82"/>
      <c r="OED55" s="82"/>
      <c r="OEE55" s="82"/>
      <c r="OEF55" s="82"/>
      <c r="OEG55" s="82"/>
      <c r="OEH55" s="82"/>
      <c r="OEI55" s="82"/>
      <c r="OEJ55" s="82"/>
      <c r="OEK55" s="82"/>
      <c r="OEL55" s="82"/>
      <c r="OEM55" s="82"/>
      <c r="OEN55" s="82"/>
      <c r="OEO55" s="82"/>
      <c r="OEP55" s="82"/>
      <c r="OEQ55" s="82"/>
      <c r="OER55" s="82"/>
      <c r="OES55" s="82"/>
      <c r="OET55" s="82"/>
      <c r="OEU55" s="82"/>
      <c r="OEV55" s="82"/>
      <c r="OEW55" s="82"/>
      <c r="OEX55" s="82"/>
      <c r="OEY55" s="82"/>
      <c r="OEZ55" s="82"/>
      <c r="OFA55" s="82"/>
      <c r="OFB55" s="82"/>
      <c r="OFC55" s="82"/>
      <c r="OFD55" s="82"/>
      <c r="OFE55" s="82"/>
      <c r="OFF55" s="82"/>
      <c r="OFG55" s="82"/>
      <c r="OFH55" s="82"/>
      <c r="OFI55" s="82"/>
      <c r="OFJ55" s="82"/>
      <c r="OFK55" s="82"/>
      <c r="OFL55" s="82"/>
      <c r="OFM55" s="82"/>
      <c r="OFN55" s="82"/>
      <c r="OFO55" s="82"/>
      <c r="OFP55" s="82"/>
      <c r="OFQ55" s="82"/>
      <c r="OFR55" s="82"/>
      <c r="OFS55" s="82"/>
      <c r="OFT55" s="82"/>
      <c r="OFU55" s="82"/>
      <c r="OFV55" s="82"/>
      <c r="OFW55" s="82"/>
      <c r="OFX55" s="82"/>
      <c r="OFY55" s="82"/>
      <c r="OFZ55" s="82"/>
      <c r="OGA55" s="82"/>
      <c r="OGB55" s="82"/>
      <c r="OGC55" s="82"/>
      <c r="OGD55" s="82"/>
      <c r="OGE55" s="82"/>
      <c r="OGF55" s="82"/>
      <c r="OGG55" s="82"/>
      <c r="OGH55" s="82"/>
      <c r="OGI55" s="82"/>
      <c r="OGJ55" s="82"/>
      <c r="OGK55" s="82"/>
      <c r="OGL55" s="82"/>
      <c r="OGM55" s="82"/>
      <c r="OGN55" s="82"/>
      <c r="OGO55" s="82"/>
      <c r="OGP55" s="82"/>
      <c r="OGQ55" s="82"/>
      <c r="OGR55" s="82"/>
      <c r="OGS55" s="82"/>
      <c r="OGT55" s="82"/>
      <c r="OGU55" s="82"/>
      <c r="OGV55" s="82"/>
      <c r="OGW55" s="82"/>
      <c r="OGX55" s="82"/>
      <c r="OGY55" s="82"/>
      <c r="OGZ55" s="82"/>
      <c r="OHA55" s="82"/>
      <c r="OHB55" s="82"/>
      <c r="OHC55" s="82"/>
      <c r="OHD55" s="82"/>
      <c r="OHE55" s="82"/>
      <c r="OHF55" s="82"/>
      <c r="OHG55" s="82"/>
      <c r="OHH55" s="82"/>
      <c r="OHI55" s="82"/>
      <c r="OHJ55" s="82"/>
      <c r="OHK55" s="82"/>
      <c r="OHL55" s="82"/>
      <c r="OHM55" s="82"/>
      <c r="OHN55" s="82"/>
      <c r="OHO55" s="82"/>
      <c r="OHP55" s="82"/>
      <c r="OHQ55" s="82"/>
      <c r="OHR55" s="82"/>
      <c r="OHS55" s="82"/>
      <c r="OHT55" s="82"/>
      <c r="OHU55" s="82"/>
      <c r="OHV55" s="82"/>
      <c r="OHW55" s="82"/>
      <c r="OHX55" s="82"/>
      <c r="OHY55" s="82"/>
      <c r="OHZ55" s="82"/>
      <c r="OIA55" s="82"/>
      <c r="OIB55" s="82"/>
      <c r="OIC55" s="82"/>
      <c r="OID55" s="82"/>
      <c r="OIE55" s="82"/>
      <c r="OIF55" s="82"/>
      <c r="OIG55" s="82"/>
      <c r="OIH55" s="82"/>
      <c r="OII55" s="82"/>
      <c r="OIJ55" s="82"/>
      <c r="OIK55" s="82"/>
      <c r="OIL55" s="82"/>
      <c r="OIM55" s="82"/>
      <c r="OIN55" s="82"/>
      <c r="OIO55" s="82"/>
      <c r="OIP55" s="82"/>
      <c r="OIQ55" s="82"/>
      <c r="OIR55" s="82"/>
      <c r="OIS55" s="82"/>
      <c r="OIT55" s="82"/>
      <c r="OIU55" s="82"/>
      <c r="OIV55" s="82"/>
      <c r="OIW55" s="82"/>
      <c r="OIX55" s="82"/>
      <c r="OIY55" s="82"/>
      <c r="OIZ55" s="82"/>
      <c r="OJA55" s="82"/>
      <c r="OJB55" s="82"/>
      <c r="OJC55" s="82"/>
      <c r="OJD55" s="82"/>
      <c r="OJE55" s="82"/>
      <c r="OJF55" s="82"/>
      <c r="OJG55" s="82"/>
      <c r="OJH55" s="82"/>
      <c r="OJI55" s="82"/>
      <c r="OJJ55" s="82"/>
      <c r="OJK55" s="82"/>
      <c r="OJL55" s="82"/>
      <c r="OJM55" s="82"/>
      <c r="OJN55" s="82"/>
      <c r="OJO55" s="82"/>
      <c r="OJP55" s="82"/>
      <c r="OJQ55" s="82"/>
      <c r="OJR55" s="82"/>
      <c r="OJS55" s="82"/>
      <c r="OJT55" s="82"/>
      <c r="OJU55" s="82"/>
      <c r="OJV55" s="82"/>
      <c r="OJW55" s="82"/>
      <c r="OJX55" s="82"/>
      <c r="OJY55" s="82"/>
      <c r="OJZ55" s="82"/>
      <c r="OKA55" s="82"/>
      <c r="OKB55" s="82"/>
      <c r="OKC55" s="82"/>
      <c r="OKD55" s="82"/>
      <c r="OKE55" s="82"/>
      <c r="OKF55" s="82"/>
      <c r="OKG55" s="82"/>
      <c r="OKH55" s="82"/>
      <c r="OKI55" s="82"/>
      <c r="OKJ55" s="82"/>
      <c r="OKK55" s="82"/>
      <c r="OKL55" s="82"/>
      <c r="OKM55" s="82"/>
      <c r="OKN55" s="82"/>
      <c r="OKO55" s="82"/>
      <c r="OKP55" s="82"/>
      <c r="OKQ55" s="82"/>
      <c r="OKR55" s="82"/>
      <c r="OKS55" s="82"/>
      <c r="OKT55" s="82"/>
      <c r="OKU55" s="82"/>
      <c r="OKV55" s="82"/>
      <c r="OKW55" s="82"/>
      <c r="OKX55" s="82"/>
      <c r="OKY55" s="82"/>
      <c r="OKZ55" s="82"/>
      <c r="OLA55" s="82"/>
      <c r="OLB55" s="82"/>
      <c r="OLC55" s="82"/>
      <c r="OLD55" s="82"/>
      <c r="OLE55" s="82"/>
      <c r="OLF55" s="82"/>
      <c r="OLG55" s="82"/>
      <c r="OLH55" s="82"/>
      <c r="OLI55" s="82"/>
      <c r="OLJ55" s="82"/>
      <c r="OLK55" s="82"/>
      <c r="OLL55" s="82"/>
      <c r="OLM55" s="82"/>
      <c r="OLN55" s="82"/>
      <c r="OLO55" s="82"/>
      <c r="OLP55" s="82"/>
      <c r="OLQ55" s="82"/>
      <c r="OLR55" s="82"/>
      <c r="OLS55" s="82"/>
      <c r="OLT55" s="82"/>
      <c r="OLU55" s="82"/>
      <c r="OLV55" s="82"/>
      <c r="OLW55" s="82"/>
      <c r="OLX55" s="82"/>
      <c r="OLY55" s="82"/>
      <c r="OLZ55" s="82"/>
      <c r="OMA55" s="82"/>
      <c r="OMB55" s="82"/>
      <c r="OMC55" s="82"/>
      <c r="OMD55" s="82"/>
      <c r="OME55" s="82"/>
      <c r="OMF55" s="82"/>
      <c r="OMG55" s="82"/>
      <c r="OMH55" s="82"/>
      <c r="OMI55" s="82"/>
      <c r="OMJ55" s="82"/>
      <c r="OMK55" s="82"/>
      <c r="OML55" s="82"/>
      <c r="OMM55" s="82"/>
      <c r="OMN55" s="82"/>
      <c r="OMO55" s="82"/>
      <c r="OMP55" s="82"/>
      <c r="OMQ55" s="82"/>
      <c r="OMR55" s="82"/>
      <c r="OMS55" s="82"/>
      <c r="OMT55" s="82"/>
      <c r="OMU55" s="82"/>
      <c r="OMV55" s="82"/>
      <c r="OMW55" s="82"/>
      <c r="OMX55" s="82"/>
      <c r="OMY55" s="82"/>
      <c r="OMZ55" s="82"/>
      <c r="ONA55" s="82"/>
      <c r="ONB55" s="82"/>
      <c r="ONC55" s="82"/>
      <c r="OND55" s="82"/>
      <c r="ONE55" s="82"/>
      <c r="ONF55" s="82"/>
      <c r="ONG55" s="82"/>
      <c r="ONH55" s="82"/>
      <c r="ONI55" s="82"/>
      <c r="ONJ55" s="82"/>
      <c r="ONK55" s="82"/>
      <c r="ONL55" s="82"/>
      <c r="ONM55" s="82"/>
      <c r="ONN55" s="82"/>
      <c r="ONO55" s="82"/>
      <c r="ONP55" s="82"/>
      <c r="ONQ55" s="82"/>
      <c r="ONR55" s="82"/>
      <c r="ONS55" s="82"/>
      <c r="ONT55" s="82"/>
      <c r="ONU55" s="82"/>
      <c r="ONV55" s="82"/>
      <c r="ONW55" s="82"/>
      <c r="ONX55" s="82"/>
      <c r="ONY55" s="82"/>
      <c r="ONZ55" s="82"/>
      <c r="OOA55" s="82"/>
      <c r="OOB55" s="82"/>
      <c r="OOC55" s="82"/>
      <c r="OOD55" s="82"/>
      <c r="OOE55" s="82"/>
      <c r="OOF55" s="82"/>
      <c r="OOG55" s="82"/>
      <c r="OOH55" s="82"/>
      <c r="OOI55" s="82"/>
      <c r="OOJ55" s="82"/>
      <c r="OOK55" s="82"/>
      <c r="OOL55" s="82"/>
      <c r="OOM55" s="82"/>
      <c r="OON55" s="82"/>
      <c r="OOO55" s="82"/>
      <c r="OOP55" s="82"/>
      <c r="OOQ55" s="82"/>
      <c r="OOR55" s="82"/>
      <c r="OOS55" s="82"/>
      <c r="OOT55" s="82"/>
      <c r="OOU55" s="82"/>
      <c r="OOV55" s="82"/>
      <c r="OOW55" s="82"/>
      <c r="OOX55" s="82"/>
      <c r="OOY55" s="82"/>
      <c r="OOZ55" s="82"/>
      <c r="OPA55" s="82"/>
      <c r="OPB55" s="82"/>
      <c r="OPC55" s="82"/>
      <c r="OPD55" s="82"/>
      <c r="OPE55" s="82"/>
      <c r="OPF55" s="82"/>
      <c r="OPG55" s="82"/>
      <c r="OPH55" s="82"/>
      <c r="OPI55" s="82"/>
      <c r="OPJ55" s="82"/>
      <c r="OPK55" s="82"/>
      <c r="OPL55" s="82"/>
      <c r="OPM55" s="82"/>
      <c r="OPN55" s="82"/>
      <c r="OPO55" s="82"/>
      <c r="OPP55" s="82"/>
      <c r="OPQ55" s="82"/>
      <c r="OPR55" s="82"/>
      <c r="OPS55" s="82"/>
      <c r="OPT55" s="82"/>
      <c r="OPU55" s="82"/>
      <c r="OPV55" s="82"/>
      <c r="OPW55" s="82"/>
      <c r="OPX55" s="82"/>
      <c r="OPY55" s="82"/>
      <c r="OPZ55" s="82"/>
      <c r="OQA55" s="82"/>
      <c r="OQB55" s="82"/>
      <c r="OQC55" s="82"/>
      <c r="OQD55" s="82"/>
      <c r="OQE55" s="82"/>
      <c r="OQF55" s="82"/>
      <c r="OQG55" s="82"/>
      <c r="OQH55" s="82"/>
      <c r="OQI55" s="82"/>
      <c r="OQJ55" s="82"/>
      <c r="OQK55" s="82"/>
      <c r="OQL55" s="82"/>
      <c r="OQM55" s="82"/>
      <c r="OQN55" s="82"/>
      <c r="OQO55" s="82"/>
      <c r="OQP55" s="82"/>
      <c r="OQQ55" s="82"/>
      <c r="OQR55" s="82"/>
      <c r="OQS55" s="82"/>
      <c r="OQT55" s="82"/>
      <c r="OQU55" s="82"/>
      <c r="OQV55" s="82"/>
      <c r="OQW55" s="82"/>
      <c r="OQX55" s="82"/>
      <c r="OQY55" s="82"/>
      <c r="OQZ55" s="82"/>
      <c r="ORA55" s="82"/>
      <c r="ORB55" s="82"/>
      <c r="ORC55" s="82"/>
      <c r="ORD55" s="82"/>
      <c r="ORE55" s="82"/>
      <c r="ORF55" s="82"/>
      <c r="ORG55" s="82"/>
      <c r="ORH55" s="82"/>
      <c r="ORI55" s="82"/>
      <c r="ORJ55" s="82"/>
      <c r="ORK55" s="82"/>
      <c r="ORL55" s="82"/>
      <c r="ORM55" s="82"/>
      <c r="ORN55" s="82"/>
      <c r="ORO55" s="82"/>
      <c r="ORP55" s="82"/>
      <c r="ORQ55" s="82"/>
      <c r="ORR55" s="82"/>
      <c r="ORS55" s="82"/>
      <c r="ORT55" s="82"/>
      <c r="ORU55" s="82"/>
      <c r="ORV55" s="82"/>
      <c r="ORW55" s="82"/>
      <c r="ORX55" s="82"/>
      <c r="ORY55" s="82"/>
      <c r="ORZ55" s="82"/>
      <c r="OSA55" s="82"/>
      <c r="OSB55" s="82"/>
      <c r="OSC55" s="82"/>
      <c r="OSD55" s="82"/>
      <c r="OSE55" s="82"/>
      <c r="OSF55" s="82"/>
      <c r="OSG55" s="82"/>
      <c r="OSH55" s="82"/>
      <c r="OSI55" s="82"/>
      <c r="OSJ55" s="82"/>
      <c r="OSK55" s="82"/>
      <c r="OSL55" s="82"/>
      <c r="OSM55" s="82"/>
      <c r="OSN55" s="82"/>
      <c r="OSO55" s="82"/>
      <c r="OSP55" s="82"/>
      <c r="OSQ55" s="82"/>
      <c r="OSR55" s="82"/>
      <c r="OSS55" s="82"/>
      <c r="OST55" s="82"/>
      <c r="OSU55" s="82"/>
      <c r="OSV55" s="82"/>
      <c r="OSW55" s="82"/>
      <c r="OSX55" s="82"/>
      <c r="OSY55" s="82"/>
      <c r="OSZ55" s="82"/>
      <c r="OTA55" s="82"/>
      <c r="OTB55" s="82"/>
      <c r="OTC55" s="82"/>
      <c r="OTD55" s="82"/>
      <c r="OTE55" s="82"/>
      <c r="OTF55" s="82"/>
      <c r="OTG55" s="82"/>
      <c r="OTH55" s="82"/>
      <c r="OTI55" s="82"/>
      <c r="OTJ55" s="82"/>
      <c r="OTK55" s="82"/>
      <c r="OTL55" s="82"/>
      <c r="OTM55" s="82"/>
      <c r="OTN55" s="82"/>
      <c r="OTO55" s="82"/>
      <c r="OTP55" s="82"/>
      <c r="OTQ55" s="82"/>
      <c r="OTR55" s="82"/>
      <c r="OTS55" s="82"/>
      <c r="OTT55" s="82"/>
      <c r="OTU55" s="82"/>
      <c r="OTV55" s="82"/>
      <c r="OTW55" s="82"/>
      <c r="OTX55" s="82"/>
      <c r="OTY55" s="82"/>
      <c r="OTZ55" s="82"/>
      <c r="OUA55" s="82"/>
      <c r="OUB55" s="82"/>
      <c r="OUC55" s="82"/>
      <c r="OUD55" s="82"/>
      <c r="OUE55" s="82"/>
      <c r="OUF55" s="82"/>
      <c r="OUG55" s="82"/>
      <c r="OUH55" s="82"/>
      <c r="OUI55" s="82"/>
      <c r="OUJ55" s="82"/>
      <c r="OUK55" s="82"/>
      <c r="OUL55" s="82"/>
      <c r="OUM55" s="82"/>
      <c r="OUN55" s="82"/>
      <c r="OUO55" s="82"/>
      <c r="OUP55" s="82"/>
      <c r="OUQ55" s="82"/>
      <c r="OUR55" s="82"/>
      <c r="OUS55" s="82"/>
      <c r="OUT55" s="82"/>
      <c r="OUU55" s="82"/>
      <c r="OUV55" s="82"/>
      <c r="OUW55" s="82"/>
      <c r="OUX55" s="82"/>
      <c r="OUY55" s="82"/>
      <c r="OUZ55" s="82"/>
      <c r="OVA55" s="82"/>
      <c r="OVB55" s="82"/>
      <c r="OVC55" s="82"/>
      <c r="OVD55" s="82"/>
      <c r="OVE55" s="82"/>
      <c r="OVF55" s="82"/>
      <c r="OVG55" s="82"/>
      <c r="OVH55" s="82"/>
      <c r="OVI55" s="82"/>
      <c r="OVJ55" s="82"/>
      <c r="OVK55" s="82"/>
      <c r="OVL55" s="82"/>
      <c r="OVM55" s="82"/>
      <c r="OVN55" s="82"/>
      <c r="OVO55" s="82"/>
      <c r="OVP55" s="82"/>
      <c r="OVQ55" s="82"/>
      <c r="OVR55" s="82"/>
      <c r="OVS55" s="82"/>
      <c r="OVT55" s="82"/>
      <c r="OVU55" s="82"/>
      <c r="OVV55" s="82"/>
      <c r="OVW55" s="82"/>
      <c r="OVX55" s="82"/>
      <c r="OVY55" s="82"/>
      <c r="OVZ55" s="82"/>
      <c r="OWA55" s="82"/>
      <c r="OWB55" s="82"/>
      <c r="OWC55" s="82"/>
      <c r="OWD55" s="82"/>
      <c r="OWE55" s="82"/>
      <c r="OWF55" s="82"/>
      <c r="OWG55" s="82"/>
      <c r="OWH55" s="82"/>
      <c r="OWI55" s="82"/>
      <c r="OWJ55" s="82"/>
      <c r="OWK55" s="82"/>
      <c r="OWL55" s="82"/>
      <c r="OWM55" s="82"/>
      <c r="OWN55" s="82"/>
      <c r="OWO55" s="82"/>
      <c r="OWP55" s="82"/>
      <c r="OWQ55" s="82"/>
      <c r="OWR55" s="82"/>
      <c r="OWS55" s="82"/>
      <c r="OWT55" s="82"/>
      <c r="OWU55" s="82"/>
      <c r="OWV55" s="82"/>
      <c r="OWW55" s="82"/>
      <c r="OWX55" s="82"/>
      <c r="OWY55" s="82"/>
      <c r="OWZ55" s="82"/>
      <c r="OXA55" s="82"/>
      <c r="OXB55" s="82"/>
      <c r="OXC55" s="82"/>
      <c r="OXD55" s="82"/>
      <c r="OXE55" s="82"/>
      <c r="OXF55" s="82"/>
      <c r="OXG55" s="82"/>
      <c r="OXH55" s="82"/>
      <c r="OXI55" s="82"/>
      <c r="OXJ55" s="82"/>
      <c r="OXK55" s="82"/>
      <c r="OXL55" s="82"/>
      <c r="OXM55" s="82"/>
      <c r="OXN55" s="82"/>
      <c r="OXO55" s="82"/>
      <c r="OXP55" s="82"/>
      <c r="OXQ55" s="82"/>
      <c r="OXR55" s="82"/>
      <c r="OXS55" s="82"/>
      <c r="OXT55" s="82"/>
      <c r="OXU55" s="82"/>
      <c r="OXV55" s="82"/>
      <c r="OXW55" s="82"/>
      <c r="OXX55" s="82"/>
      <c r="OXY55" s="82"/>
      <c r="OXZ55" s="82"/>
      <c r="OYA55" s="82"/>
      <c r="OYB55" s="82"/>
      <c r="OYC55" s="82"/>
      <c r="OYD55" s="82"/>
      <c r="OYE55" s="82"/>
      <c r="OYF55" s="82"/>
      <c r="OYG55" s="82"/>
      <c r="OYH55" s="82"/>
      <c r="OYI55" s="82"/>
      <c r="OYJ55" s="82"/>
      <c r="OYK55" s="82"/>
      <c r="OYL55" s="82"/>
      <c r="OYM55" s="82"/>
      <c r="OYN55" s="82"/>
      <c r="OYO55" s="82"/>
      <c r="OYP55" s="82"/>
      <c r="OYQ55" s="82"/>
      <c r="OYR55" s="82"/>
      <c r="OYS55" s="82"/>
      <c r="OYT55" s="82"/>
      <c r="OYU55" s="82"/>
      <c r="OYV55" s="82"/>
      <c r="OYW55" s="82"/>
      <c r="OYX55" s="82"/>
      <c r="OYY55" s="82"/>
      <c r="OYZ55" s="82"/>
      <c r="OZA55" s="82"/>
      <c r="OZB55" s="82"/>
      <c r="OZC55" s="82"/>
      <c r="OZD55" s="82"/>
      <c r="OZE55" s="82"/>
      <c r="OZF55" s="82"/>
      <c r="OZG55" s="82"/>
      <c r="OZH55" s="82"/>
      <c r="OZI55" s="82"/>
      <c r="OZJ55" s="82"/>
      <c r="OZK55" s="82"/>
      <c r="OZL55" s="82"/>
      <c r="OZM55" s="82"/>
      <c r="OZN55" s="82"/>
      <c r="OZO55" s="82"/>
      <c r="OZP55" s="82"/>
      <c r="OZQ55" s="82"/>
      <c r="OZR55" s="82"/>
      <c r="OZS55" s="82"/>
      <c r="OZT55" s="82"/>
      <c r="OZU55" s="82"/>
      <c r="OZV55" s="82"/>
      <c r="OZW55" s="82"/>
      <c r="OZX55" s="82"/>
      <c r="OZY55" s="82"/>
      <c r="OZZ55" s="82"/>
      <c r="PAA55" s="82"/>
      <c r="PAB55" s="82"/>
      <c r="PAC55" s="82"/>
      <c r="PAD55" s="82"/>
      <c r="PAE55" s="82"/>
      <c r="PAF55" s="82"/>
      <c r="PAG55" s="82"/>
      <c r="PAH55" s="82"/>
      <c r="PAI55" s="82"/>
      <c r="PAJ55" s="82"/>
      <c r="PAK55" s="82"/>
      <c r="PAL55" s="82"/>
      <c r="PAM55" s="82"/>
      <c r="PAN55" s="82"/>
      <c r="PAO55" s="82"/>
      <c r="PAP55" s="82"/>
      <c r="PAQ55" s="82"/>
      <c r="PAR55" s="82"/>
      <c r="PAS55" s="82"/>
      <c r="PAT55" s="82"/>
      <c r="PAU55" s="82"/>
      <c r="PAV55" s="82"/>
      <c r="PAW55" s="82"/>
      <c r="PAX55" s="82"/>
      <c r="PAY55" s="82"/>
      <c r="PAZ55" s="82"/>
      <c r="PBA55" s="82"/>
      <c r="PBB55" s="82"/>
      <c r="PBC55" s="82"/>
      <c r="PBD55" s="82"/>
      <c r="PBE55" s="82"/>
      <c r="PBF55" s="82"/>
      <c r="PBG55" s="82"/>
      <c r="PBH55" s="82"/>
      <c r="PBI55" s="82"/>
      <c r="PBJ55" s="82"/>
      <c r="PBK55" s="82"/>
      <c r="PBL55" s="82"/>
      <c r="PBM55" s="82"/>
      <c r="PBN55" s="82"/>
      <c r="PBO55" s="82"/>
      <c r="PBP55" s="82"/>
      <c r="PBQ55" s="82"/>
      <c r="PBR55" s="82"/>
      <c r="PBS55" s="82"/>
      <c r="PBT55" s="82"/>
      <c r="PBU55" s="82"/>
      <c r="PBV55" s="82"/>
      <c r="PBW55" s="82"/>
      <c r="PBX55" s="82"/>
      <c r="PBY55" s="82"/>
      <c r="PBZ55" s="82"/>
      <c r="PCA55" s="82"/>
      <c r="PCB55" s="82"/>
      <c r="PCC55" s="82"/>
      <c r="PCD55" s="82"/>
      <c r="PCE55" s="82"/>
      <c r="PCF55" s="82"/>
      <c r="PCG55" s="82"/>
      <c r="PCH55" s="82"/>
      <c r="PCI55" s="82"/>
      <c r="PCJ55" s="82"/>
      <c r="PCK55" s="82"/>
      <c r="PCL55" s="82"/>
      <c r="PCM55" s="82"/>
      <c r="PCN55" s="82"/>
      <c r="PCO55" s="82"/>
      <c r="PCP55" s="82"/>
      <c r="PCQ55" s="82"/>
      <c r="PCR55" s="82"/>
      <c r="PCS55" s="82"/>
      <c r="PCT55" s="82"/>
      <c r="PCU55" s="82"/>
      <c r="PCV55" s="82"/>
      <c r="PCW55" s="82"/>
      <c r="PCX55" s="82"/>
      <c r="PCY55" s="82"/>
      <c r="PCZ55" s="82"/>
      <c r="PDA55" s="82"/>
      <c r="PDB55" s="82"/>
      <c r="PDC55" s="82"/>
      <c r="PDD55" s="82"/>
      <c r="PDE55" s="82"/>
      <c r="PDF55" s="82"/>
      <c r="PDG55" s="82"/>
      <c r="PDH55" s="82"/>
      <c r="PDI55" s="82"/>
      <c r="PDJ55" s="82"/>
      <c r="PDK55" s="82"/>
      <c r="PDL55" s="82"/>
      <c r="PDM55" s="82"/>
      <c r="PDN55" s="82"/>
      <c r="PDO55" s="82"/>
      <c r="PDP55" s="82"/>
      <c r="PDQ55" s="82"/>
      <c r="PDR55" s="82"/>
      <c r="PDS55" s="82"/>
      <c r="PDT55" s="82"/>
      <c r="PDU55" s="82"/>
      <c r="PDV55" s="82"/>
      <c r="PDW55" s="82"/>
      <c r="PDX55" s="82"/>
      <c r="PDY55" s="82"/>
      <c r="PDZ55" s="82"/>
      <c r="PEA55" s="82"/>
      <c r="PEB55" s="82"/>
      <c r="PEC55" s="82"/>
      <c r="PED55" s="82"/>
      <c r="PEE55" s="82"/>
      <c r="PEF55" s="82"/>
      <c r="PEG55" s="82"/>
      <c r="PEH55" s="82"/>
      <c r="PEI55" s="82"/>
      <c r="PEJ55" s="82"/>
      <c r="PEK55" s="82"/>
      <c r="PEL55" s="82"/>
      <c r="PEM55" s="82"/>
      <c r="PEN55" s="82"/>
      <c r="PEO55" s="82"/>
      <c r="PEP55" s="82"/>
      <c r="PEQ55" s="82"/>
      <c r="PER55" s="82"/>
      <c r="PES55" s="82"/>
      <c r="PET55" s="82"/>
      <c r="PEU55" s="82"/>
      <c r="PEV55" s="82"/>
      <c r="PEW55" s="82"/>
      <c r="PEX55" s="82"/>
      <c r="PEY55" s="82"/>
      <c r="PEZ55" s="82"/>
      <c r="PFA55" s="82"/>
      <c r="PFB55" s="82"/>
      <c r="PFC55" s="82"/>
      <c r="PFD55" s="82"/>
      <c r="PFE55" s="82"/>
      <c r="PFF55" s="82"/>
      <c r="PFG55" s="82"/>
      <c r="PFH55" s="82"/>
      <c r="PFI55" s="82"/>
      <c r="PFJ55" s="82"/>
      <c r="PFK55" s="82"/>
      <c r="PFL55" s="82"/>
      <c r="PFM55" s="82"/>
      <c r="PFN55" s="82"/>
      <c r="PFO55" s="82"/>
      <c r="PFP55" s="82"/>
      <c r="PFQ55" s="82"/>
      <c r="PFR55" s="82"/>
      <c r="PFS55" s="82"/>
      <c r="PFT55" s="82"/>
      <c r="PFU55" s="82"/>
      <c r="PFV55" s="82"/>
      <c r="PFW55" s="82"/>
      <c r="PFX55" s="82"/>
      <c r="PFY55" s="82"/>
      <c r="PFZ55" s="82"/>
      <c r="PGA55" s="82"/>
      <c r="PGB55" s="82"/>
      <c r="PGC55" s="82"/>
      <c r="PGD55" s="82"/>
      <c r="PGE55" s="82"/>
      <c r="PGF55" s="82"/>
      <c r="PGG55" s="82"/>
      <c r="PGH55" s="82"/>
      <c r="PGI55" s="82"/>
      <c r="PGJ55" s="82"/>
      <c r="PGK55" s="82"/>
      <c r="PGL55" s="82"/>
      <c r="PGM55" s="82"/>
      <c r="PGN55" s="82"/>
      <c r="PGO55" s="82"/>
      <c r="PGP55" s="82"/>
      <c r="PGQ55" s="82"/>
      <c r="PGR55" s="82"/>
      <c r="PGS55" s="82"/>
      <c r="PGT55" s="82"/>
      <c r="PGU55" s="82"/>
      <c r="PGV55" s="82"/>
      <c r="PGW55" s="82"/>
      <c r="PGX55" s="82"/>
      <c r="PGY55" s="82"/>
      <c r="PGZ55" s="82"/>
      <c r="PHA55" s="82"/>
      <c r="PHB55" s="82"/>
      <c r="PHC55" s="82"/>
      <c r="PHD55" s="82"/>
      <c r="PHE55" s="82"/>
      <c r="PHF55" s="82"/>
      <c r="PHG55" s="82"/>
      <c r="PHH55" s="82"/>
      <c r="PHI55" s="82"/>
      <c r="PHJ55" s="82"/>
      <c r="PHK55" s="82"/>
      <c r="PHL55" s="82"/>
      <c r="PHM55" s="82"/>
      <c r="PHN55" s="82"/>
      <c r="PHO55" s="82"/>
      <c r="PHP55" s="82"/>
      <c r="PHQ55" s="82"/>
      <c r="PHR55" s="82"/>
      <c r="PHS55" s="82"/>
      <c r="PHT55" s="82"/>
      <c r="PHU55" s="82"/>
      <c r="PHV55" s="82"/>
      <c r="PHW55" s="82"/>
      <c r="PHX55" s="82"/>
      <c r="PHY55" s="82"/>
      <c r="PHZ55" s="82"/>
      <c r="PIA55" s="82"/>
      <c r="PIB55" s="82"/>
      <c r="PIC55" s="82"/>
      <c r="PID55" s="82"/>
      <c r="PIE55" s="82"/>
      <c r="PIF55" s="82"/>
      <c r="PIG55" s="82"/>
      <c r="PIH55" s="82"/>
      <c r="PII55" s="82"/>
      <c r="PIJ55" s="82"/>
      <c r="PIK55" s="82"/>
      <c r="PIL55" s="82"/>
      <c r="PIM55" s="82"/>
      <c r="PIN55" s="82"/>
      <c r="PIO55" s="82"/>
      <c r="PIP55" s="82"/>
      <c r="PIQ55" s="82"/>
      <c r="PIR55" s="82"/>
      <c r="PIS55" s="82"/>
      <c r="PIT55" s="82"/>
      <c r="PIU55" s="82"/>
      <c r="PIV55" s="82"/>
      <c r="PIW55" s="82"/>
      <c r="PIX55" s="82"/>
      <c r="PIY55" s="82"/>
      <c r="PIZ55" s="82"/>
      <c r="PJA55" s="82"/>
      <c r="PJB55" s="82"/>
      <c r="PJC55" s="82"/>
      <c r="PJD55" s="82"/>
      <c r="PJE55" s="82"/>
      <c r="PJF55" s="82"/>
      <c r="PJG55" s="82"/>
      <c r="PJH55" s="82"/>
      <c r="PJI55" s="82"/>
      <c r="PJJ55" s="82"/>
      <c r="PJK55" s="82"/>
      <c r="PJL55" s="82"/>
      <c r="PJM55" s="82"/>
      <c r="PJN55" s="82"/>
      <c r="PJO55" s="82"/>
      <c r="PJP55" s="82"/>
      <c r="PJQ55" s="82"/>
      <c r="PJR55" s="82"/>
      <c r="PJS55" s="82"/>
      <c r="PJT55" s="82"/>
      <c r="PJU55" s="82"/>
      <c r="PJV55" s="82"/>
      <c r="PJW55" s="82"/>
      <c r="PJX55" s="82"/>
      <c r="PJY55" s="82"/>
      <c r="PJZ55" s="82"/>
      <c r="PKA55" s="82"/>
      <c r="PKB55" s="82"/>
      <c r="PKC55" s="82"/>
      <c r="PKD55" s="82"/>
      <c r="PKE55" s="82"/>
      <c r="PKF55" s="82"/>
      <c r="PKG55" s="82"/>
      <c r="PKH55" s="82"/>
      <c r="PKI55" s="82"/>
      <c r="PKJ55" s="82"/>
      <c r="PKK55" s="82"/>
      <c r="PKL55" s="82"/>
      <c r="PKM55" s="82"/>
      <c r="PKN55" s="82"/>
      <c r="PKO55" s="82"/>
      <c r="PKP55" s="82"/>
      <c r="PKQ55" s="82"/>
      <c r="PKR55" s="82"/>
      <c r="PKS55" s="82"/>
      <c r="PKT55" s="82"/>
      <c r="PKU55" s="82"/>
      <c r="PKV55" s="82"/>
      <c r="PKW55" s="82"/>
      <c r="PKX55" s="82"/>
      <c r="PKY55" s="82"/>
      <c r="PKZ55" s="82"/>
      <c r="PLA55" s="82"/>
      <c r="PLB55" s="82"/>
      <c r="PLC55" s="82"/>
      <c r="PLD55" s="82"/>
      <c r="PLE55" s="82"/>
      <c r="PLF55" s="82"/>
      <c r="PLG55" s="82"/>
      <c r="PLH55" s="82"/>
      <c r="PLI55" s="82"/>
      <c r="PLJ55" s="82"/>
      <c r="PLK55" s="82"/>
      <c r="PLL55" s="82"/>
      <c r="PLM55" s="82"/>
      <c r="PLN55" s="82"/>
      <c r="PLO55" s="82"/>
      <c r="PLP55" s="82"/>
      <c r="PLQ55" s="82"/>
      <c r="PLR55" s="82"/>
      <c r="PLS55" s="82"/>
      <c r="PLT55" s="82"/>
      <c r="PLU55" s="82"/>
      <c r="PLV55" s="82"/>
      <c r="PLW55" s="82"/>
      <c r="PLX55" s="82"/>
      <c r="PLY55" s="82"/>
      <c r="PLZ55" s="82"/>
      <c r="PMA55" s="82"/>
      <c r="PMB55" s="82"/>
      <c r="PMC55" s="82"/>
      <c r="PMD55" s="82"/>
      <c r="PME55" s="82"/>
      <c r="PMF55" s="82"/>
      <c r="PMG55" s="82"/>
      <c r="PMH55" s="82"/>
      <c r="PMI55" s="82"/>
      <c r="PMJ55" s="82"/>
      <c r="PMK55" s="82"/>
      <c r="PML55" s="82"/>
      <c r="PMM55" s="82"/>
      <c r="PMN55" s="82"/>
      <c r="PMO55" s="82"/>
      <c r="PMP55" s="82"/>
      <c r="PMQ55" s="82"/>
      <c r="PMR55" s="82"/>
      <c r="PMS55" s="82"/>
      <c r="PMT55" s="82"/>
      <c r="PMU55" s="82"/>
      <c r="PMV55" s="82"/>
      <c r="PMW55" s="82"/>
      <c r="PMX55" s="82"/>
      <c r="PMY55" s="82"/>
      <c r="PMZ55" s="82"/>
      <c r="PNA55" s="82"/>
      <c r="PNB55" s="82"/>
      <c r="PNC55" s="82"/>
      <c r="PND55" s="82"/>
      <c r="PNE55" s="82"/>
      <c r="PNF55" s="82"/>
      <c r="PNG55" s="82"/>
      <c r="PNH55" s="82"/>
      <c r="PNI55" s="82"/>
      <c r="PNJ55" s="82"/>
      <c r="PNK55" s="82"/>
      <c r="PNL55" s="82"/>
      <c r="PNM55" s="82"/>
      <c r="PNN55" s="82"/>
      <c r="PNO55" s="82"/>
      <c r="PNP55" s="82"/>
      <c r="PNQ55" s="82"/>
      <c r="PNR55" s="82"/>
      <c r="PNS55" s="82"/>
      <c r="PNT55" s="82"/>
      <c r="PNU55" s="82"/>
      <c r="PNV55" s="82"/>
      <c r="PNW55" s="82"/>
      <c r="PNX55" s="82"/>
      <c r="PNY55" s="82"/>
      <c r="PNZ55" s="82"/>
      <c r="POA55" s="82"/>
      <c r="POB55" s="82"/>
      <c r="POC55" s="82"/>
      <c r="POD55" s="82"/>
      <c r="POE55" s="82"/>
      <c r="POF55" s="82"/>
      <c r="POG55" s="82"/>
      <c r="POH55" s="82"/>
      <c r="POI55" s="82"/>
      <c r="POJ55" s="82"/>
      <c r="POK55" s="82"/>
      <c r="POL55" s="82"/>
      <c r="POM55" s="82"/>
      <c r="PON55" s="82"/>
      <c r="POO55" s="82"/>
      <c r="POP55" s="82"/>
      <c r="POQ55" s="82"/>
      <c r="POR55" s="82"/>
      <c r="POS55" s="82"/>
      <c r="POT55" s="82"/>
      <c r="POU55" s="82"/>
      <c r="POV55" s="82"/>
      <c r="POW55" s="82"/>
      <c r="POX55" s="82"/>
      <c r="POY55" s="82"/>
      <c r="POZ55" s="82"/>
      <c r="PPA55" s="82"/>
      <c r="PPB55" s="82"/>
      <c r="PPC55" s="82"/>
      <c r="PPD55" s="82"/>
      <c r="PPE55" s="82"/>
      <c r="PPF55" s="82"/>
      <c r="PPG55" s="82"/>
      <c r="PPH55" s="82"/>
      <c r="PPI55" s="82"/>
      <c r="PPJ55" s="82"/>
      <c r="PPK55" s="82"/>
      <c r="PPL55" s="82"/>
      <c r="PPM55" s="82"/>
      <c r="PPN55" s="82"/>
      <c r="PPO55" s="82"/>
      <c r="PPP55" s="82"/>
      <c r="PPQ55" s="82"/>
      <c r="PPR55" s="82"/>
      <c r="PPS55" s="82"/>
      <c r="PPT55" s="82"/>
      <c r="PPU55" s="82"/>
      <c r="PPV55" s="82"/>
      <c r="PPW55" s="82"/>
      <c r="PPX55" s="82"/>
      <c r="PPY55" s="82"/>
      <c r="PPZ55" s="82"/>
      <c r="PQA55" s="82"/>
      <c r="PQB55" s="82"/>
      <c r="PQC55" s="82"/>
      <c r="PQD55" s="82"/>
      <c r="PQE55" s="82"/>
      <c r="PQF55" s="82"/>
      <c r="PQG55" s="82"/>
      <c r="PQH55" s="82"/>
      <c r="PQI55" s="82"/>
      <c r="PQJ55" s="82"/>
      <c r="PQK55" s="82"/>
      <c r="PQL55" s="82"/>
      <c r="PQM55" s="82"/>
      <c r="PQN55" s="82"/>
      <c r="PQO55" s="82"/>
      <c r="PQP55" s="82"/>
      <c r="PQQ55" s="82"/>
      <c r="PQR55" s="82"/>
      <c r="PQS55" s="82"/>
      <c r="PQT55" s="82"/>
      <c r="PQU55" s="82"/>
      <c r="PQV55" s="82"/>
      <c r="PQW55" s="82"/>
      <c r="PQX55" s="82"/>
      <c r="PQY55" s="82"/>
      <c r="PQZ55" s="82"/>
      <c r="PRA55" s="82"/>
      <c r="PRB55" s="82"/>
      <c r="PRC55" s="82"/>
      <c r="PRD55" s="82"/>
      <c r="PRE55" s="82"/>
      <c r="PRF55" s="82"/>
      <c r="PRG55" s="82"/>
      <c r="PRH55" s="82"/>
      <c r="PRI55" s="82"/>
      <c r="PRJ55" s="82"/>
      <c r="PRK55" s="82"/>
      <c r="PRL55" s="82"/>
      <c r="PRM55" s="82"/>
      <c r="PRN55" s="82"/>
      <c r="PRO55" s="82"/>
      <c r="PRP55" s="82"/>
      <c r="PRQ55" s="82"/>
      <c r="PRR55" s="82"/>
      <c r="PRS55" s="82"/>
      <c r="PRT55" s="82"/>
      <c r="PRU55" s="82"/>
      <c r="PRV55" s="82"/>
      <c r="PRW55" s="82"/>
      <c r="PRX55" s="82"/>
      <c r="PRY55" s="82"/>
      <c r="PRZ55" s="82"/>
      <c r="PSA55" s="82"/>
      <c r="PSB55" s="82"/>
      <c r="PSC55" s="82"/>
      <c r="PSD55" s="82"/>
      <c r="PSE55" s="82"/>
      <c r="PSF55" s="82"/>
      <c r="PSG55" s="82"/>
      <c r="PSH55" s="82"/>
      <c r="PSI55" s="82"/>
      <c r="PSJ55" s="82"/>
      <c r="PSK55" s="82"/>
      <c r="PSL55" s="82"/>
      <c r="PSM55" s="82"/>
      <c r="PSN55" s="82"/>
      <c r="PSO55" s="82"/>
      <c r="PSP55" s="82"/>
      <c r="PSQ55" s="82"/>
      <c r="PSR55" s="82"/>
      <c r="PSS55" s="82"/>
      <c r="PST55" s="82"/>
      <c r="PSU55" s="82"/>
      <c r="PSV55" s="82"/>
      <c r="PSW55" s="82"/>
      <c r="PSX55" s="82"/>
      <c r="PSY55" s="82"/>
      <c r="PSZ55" s="82"/>
      <c r="PTA55" s="82"/>
      <c r="PTB55" s="82"/>
      <c r="PTC55" s="82"/>
      <c r="PTD55" s="82"/>
      <c r="PTE55" s="82"/>
      <c r="PTF55" s="82"/>
      <c r="PTG55" s="82"/>
      <c r="PTH55" s="82"/>
      <c r="PTI55" s="82"/>
      <c r="PTJ55" s="82"/>
      <c r="PTK55" s="82"/>
      <c r="PTL55" s="82"/>
      <c r="PTM55" s="82"/>
      <c r="PTN55" s="82"/>
      <c r="PTO55" s="82"/>
      <c r="PTP55" s="82"/>
      <c r="PTQ55" s="82"/>
      <c r="PTR55" s="82"/>
      <c r="PTS55" s="82"/>
      <c r="PTT55" s="82"/>
      <c r="PTU55" s="82"/>
      <c r="PTV55" s="82"/>
      <c r="PTW55" s="82"/>
      <c r="PTX55" s="82"/>
      <c r="PTY55" s="82"/>
      <c r="PTZ55" s="82"/>
      <c r="PUA55" s="82"/>
      <c r="PUB55" s="82"/>
      <c r="PUC55" s="82"/>
      <c r="PUD55" s="82"/>
      <c r="PUE55" s="82"/>
      <c r="PUF55" s="82"/>
      <c r="PUG55" s="82"/>
      <c r="PUH55" s="82"/>
      <c r="PUI55" s="82"/>
      <c r="PUJ55" s="82"/>
      <c r="PUK55" s="82"/>
      <c r="PUL55" s="82"/>
      <c r="PUM55" s="82"/>
      <c r="PUN55" s="82"/>
      <c r="PUO55" s="82"/>
      <c r="PUP55" s="82"/>
      <c r="PUQ55" s="82"/>
      <c r="PUR55" s="82"/>
      <c r="PUS55" s="82"/>
      <c r="PUT55" s="82"/>
      <c r="PUU55" s="82"/>
      <c r="PUV55" s="82"/>
      <c r="PUW55" s="82"/>
      <c r="PUX55" s="82"/>
      <c r="PUY55" s="82"/>
      <c r="PUZ55" s="82"/>
      <c r="PVA55" s="82"/>
      <c r="PVB55" s="82"/>
      <c r="PVC55" s="82"/>
      <c r="PVD55" s="82"/>
      <c r="PVE55" s="82"/>
      <c r="PVF55" s="82"/>
      <c r="PVG55" s="82"/>
      <c r="PVH55" s="82"/>
      <c r="PVI55" s="82"/>
      <c r="PVJ55" s="82"/>
      <c r="PVK55" s="82"/>
      <c r="PVL55" s="82"/>
      <c r="PVM55" s="82"/>
      <c r="PVN55" s="82"/>
      <c r="PVO55" s="82"/>
      <c r="PVP55" s="82"/>
      <c r="PVQ55" s="82"/>
      <c r="PVR55" s="82"/>
      <c r="PVS55" s="82"/>
      <c r="PVT55" s="82"/>
      <c r="PVU55" s="82"/>
      <c r="PVV55" s="82"/>
      <c r="PVW55" s="82"/>
      <c r="PVX55" s="82"/>
      <c r="PVY55" s="82"/>
      <c r="PVZ55" s="82"/>
      <c r="PWA55" s="82"/>
      <c r="PWB55" s="82"/>
      <c r="PWC55" s="82"/>
      <c r="PWD55" s="82"/>
      <c r="PWE55" s="82"/>
      <c r="PWF55" s="82"/>
      <c r="PWG55" s="82"/>
      <c r="PWH55" s="82"/>
      <c r="PWI55" s="82"/>
      <c r="PWJ55" s="82"/>
      <c r="PWK55" s="82"/>
      <c r="PWL55" s="82"/>
      <c r="PWM55" s="82"/>
      <c r="PWN55" s="82"/>
      <c r="PWO55" s="82"/>
      <c r="PWP55" s="82"/>
      <c r="PWQ55" s="82"/>
      <c r="PWR55" s="82"/>
      <c r="PWS55" s="82"/>
      <c r="PWT55" s="82"/>
      <c r="PWU55" s="82"/>
      <c r="PWV55" s="82"/>
      <c r="PWW55" s="82"/>
      <c r="PWX55" s="82"/>
      <c r="PWY55" s="82"/>
      <c r="PWZ55" s="82"/>
      <c r="PXA55" s="82"/>
      <c r="PXB55" s="82"/>
      <c r="PXC55" s="82"/>
      <c r="PXD55" s="82"/>
      <c r="PXE55" s="82"/>
      <c r="PXF55" s="82"/>
      <c r="PXG55" s="82"/>
      <c r="PXH55" s="82"/>
      <c r="PXI55" s="82"/>
      <c r="PXJ55" s="82"/>
      <c r="PXK55" s="82"/>
      <c r="PXL55" s="82"/>
      <c r="PXM55" s="82"/>
      <c r="PXN55" s="82"/>
      <c r="PXO55" s="82"/>
      <c r="PXP55" s="82"/>
      <c r="PXQ55" s="82"/>
      <c r="PXR55" s="82"/>
      <c r="PXS55" s="82"/>
      <c r="PXT55" s="82"/>
      <c r="PXU55" s="82"/>
      <c r="PXV55" s="82"/>
      <c r="PXW55" s="82"/>
      <c r="PXX55" s="82"/>
      <c r="PXY55" s="82"/>
      <c r="PXZ55" s="82"/>
      <c r="PYA55" s="82"/>
      <c r="PYB55" s="82"/>
      <c r="PYC55" s="82"/>
      <c r="PYD55" s="82"/>
      <c r="PYE55" s="82"/>
      <c r="PYF55" s="82"/>
      <c r="PYG55" s="82"/>
      <c r="PYH55" s="82"/>
      <c r="PYI55" s="82"/>
      <c r="PYJ55" s="82"/>
      <c r="PYK55" s="82"/>
      <c r="PYL55" s="82"/>
      <c r="PYM55" s="82"/>
      <c r="PYN55" s="82"/>
      <c r="PYO55" s="82"/>
      <c r="PYP55" s="82"/>
      <c r="PYQ55" s="82"/>
      <c r="PYR55" s="82"/>
      <c r="PYS55" s="82"/>
      <c r="PYT55" s="82"/>
      <c r="PYU55" s="82"/>
      <c r="PYV55" s="82"/>
      <c r="PYW55" s="82"/>
      <c r="PYX55" s="82"/>
      <c r="PYY55" s="82"/>
      <c r="PYZ55" s="82"/>
      <c r="PZA55" s="82"/>
      <c r="PZB55" s="82"/>
      <c r="PZC55" s="82"/>
      <c r="PZD55" s="82"/>
      <c r="PZE55" s="82"/>
      <c r="PZF55" s="82"/>
      <c r="PZG55" s="82"/>
      <c r="PZH55" s="82"/>
      <c r="PZI55" s="82"/>
      <c r="PZJ55" s="82"/>
      <c r="PZK55" s="82"/>
      <c r="PZL55" s="82"/>
      <c r="PZM55" s="82"/>
      <c r="PZN55" s="82"/>
      <c r="PZO55" s="82"/>
      <c r="PZP55" s="82"/>
      <c r="PZQ55" s="82"/>
      <c r="PZR55" s="82"/>
      <c r="PZS55" s="82"/>
      <c r="PZT55" s="82"/>
      <c r="PZU55" s="82"/>
      <c r="PZV55" s="82"/>
      <c r="PZW55" s="82"/>
      <c r="PZX55" s="82"/>
      <c r="PZY55" s="82"/>
      <c r="PZZ55" s="82"/>
      <c r="QAA55" s="82"/>
      <c r="QAB55" s="82"/>
      <c r="QAC55" s="82"/>
      <c r="QAD55" s="82"/>
      <c r="QAE55" s="82"/>
      <c r="QAF55" s="82"/>
      <c r="QAG55" s="82"/>
      <c r="QAH55" s="82"/>
      <c r="QAI55" s="82"/>
      <c r="QAJ55" s="82"/>
      <c r="QAK55" s="82"/>
      <c r="QAL55" s="82"/>
      <c r="QAM55" s="82"/>
      <c r="QAN55" s="82"/>
      <c r="QAO55" s="82"/>
      <c r="QAP55" s="82"/>
      <c r="QAQ55" s="82"/>
      <c r="QAR55" s="82"/>
      <c r="QAS55" s="82"/>
      <c r="QAT55" s="82"/>
      <c r="QAU55" s="82"/>
      <c r="QAV55" s="82"/>
      <c r="QAW55" s="82"/>
      <c r="QAX55" s="82"/>
      <c r="QAY55" s="82"/>
      <c r="QAZ55" s="82"/>
      <c r="QBA55" s="82"/>
      <c r="QBB55" s="82"/>
      <c r="QBC55" s="82"/>
      <c r="QBD55" s="82"/>
      <c r="QBE55" s="82"/>
      <c r="QBF55" s="82"/>
      <c r="QBG55" s="82"/>
      <c r="QBH55" s="82"/>
      <c r="QBI55" s="82"/>
      <c r="QBJ55" s="82"/>
      <c r="QBK55" s="82"/>
      <c r="QBL55" s="82"/>
      <c r="QBM55" s="82"/>
      <c r="QBN55" s="82"/>
      <c r="QBO55" s="82"/>
      <c r="QBP55" s="82"/>
      <c r="QBQ55" s="82"/>
      <c r="QBR55" s="82"/>
      <c r="QBS55" s="82"/>
      <c r="QBT55" s="82"/>
      <c r="QBU55" s="82"/>
      <c r="QBV55" s="82"/>
      <c r="QBW55" s="82"/>
      <c r="QBX55" s="82"/>
      <c r="QBY55" s="82"/>
      <c r="QBZ55" s="82"/>
      <c r="QCA55" s="82"/>
      <c r="QCB55" s="82"/>
      <c r="QCC55" s="82"/>
      <c r="QCD55" s="82"/>
      <c r="QCE55" s="82"/>
      <c r="QCF55" s="82"/>
      <c r="QCG55" s="82"/>
      <c r="QCH55" s="82"/>
      <c r="QCI55" s="82"/>
      <c r="QCJ55" s="82"/>
      <c r="QCK55" s="82"/>
      <c r="QCL55" s="82"/>
      <c r="QCM55" s="82"/>
      <c r="QCN55" s="82"/>
      <c r="QCO55" s="82"/>
      <c r="QCP55" s="82"/>
      <c r="QCQ55" s="82"/>
      <c r="QCR55" s="82"/>
      <c r="QCS55" s="82"/>
      <c r="QCT55" s="82"/>
      <c r="QCU55" s="82"/>
      <c r="QCV55" s="82"/>
      <c r="QCW55" s="82"/>
      <c r="QCX55" s="82"/>
      <c r="QCY55" s="82"/>
      <c r="QCZ55" s="82"/>
      <c r="QDA55" s="82"/>
      <c r="QDB55" s="82"/>
      <c r="QDC55" s="82"/>
      <c r="QDD55" s="82"/>
      <c r="QDE55" s="82"/>
      <c r="QDF55" s="82"/>
      <c r="QDG55" s="82"/>
      <c r="QDH55" s="82"/>
      <c r="QDI55" s="82"/>
      <c r="QDJ55" s="82"/>
      <c r="QDK55" s="82"/>
      <c r="QDL55" s="82"/>
      <c r="QDM55" s="82"/>
      <c r="QDN55" s="82"/>
      <c r="QDO55" s="82"/>
      <c r="QDP55" s="82"/>
      <c r="QDQ55" s="82"/>
      <c r="QDR55" s="82"/>
      <c r="QDS55" s="82"/>
      <c r="QDT55" s="82"/>
      <c r="QDU55" s="82"/>
      <c r="QDV55" s="82"/>
      <c r="QDW55" s="82"/>
      <c r="QDX55" s="82"/>
      <c r="QDY55" s="82"/>
      <c r="QDZ55" s="82"/>
      <c r="QEA55" s="82"/>
      <c r="QEB55" s="82"/>
      <c r="QEC55" s="82"/>
      <c r="QED55" s="82"/>
      <c r="QEE55" s="82"/>
      <c r="QEF55" s="82"/>
      <c r="QEG55" s="82"/>
      <c r="QEH55" s="82"/>
      <c r="QEI55" s="82"/>
      <c r="QEJ55" s="82"/>
      <c r="QEK55" s="82"/>
      <c r="QEL55" s="82"/>
      <c r="QEM55" s="82"/>
      <c r="QEN55" s="82"/>
      <c r="QEO55" s="82"/>
      <c r="QEP55" s="82"/>
      <c r="QEQ55" s="82"/>
      <c r="QER55" s="82"/>
      <c r="QES55" s="82"/>
      <c r="QET55" s="82"/>
      <c r="QEU55" s="82"/>
      <c r="QEV55" s="82"/>
      <c r="QEW55" s="82"/>
      <c r="QEX55" s="82"/>
      <c r="QEY55" s="82"/>
      <c r="QEZ55" s="82"/>
      <c r="QFA55" s="82"/>
      <c r="QFB55" s="82"/>
      <c r="QFC55" s="82"/>
      <c r="QFD55" s="82"/>
      <c r="QFE55" s="82"/>
      <c r="QFF55" s="82"/>
      <c r="QFG55" s="82"/>
      <c r="QFH55" s="82"/>
      <c r="QFI55" s="82"/>
      <c r="QFJ55" s="82"/>
      <c r="QFK55" s="82"/>
      <c r="QFL55" s="82"/>
      <c r="QFM55" s="82"/>
      <c r="QFN55" s="82"/>
      <c r="QFO55" s="82"/>
      <c r="QFP55" s="82"/>
      <c r="QFQ55" s="82"/>
      <c r="QFR55" s="82"/>
      <c r="QFS55" s="82"/>
      <c r="QFT55" s="82"/>
      <c r="QFU55" s="82"/>
      <c r="QFV55" s="82"/>
      <c r="QFW55" s="82"/>
      <c r="QFX55" s="82"/>
      <c r="QFY55" s="82"/>
      <c r="QFZ55" s="82"/>
      <c r="QGA55" s="82"/>
      <c r="QGB55" s="82"/>
      <c r="QGC55" s="82"/>
      <c r="QGD55" s="82"/>
      <c r="QGE55" s="82"/>
      <c r="QGF55" s="82"/>
      <c r="QGG55" s="82"/>
      <c r="QGH55" s="82"/>
      <c r="QGI55" s="82"/>
      <c r="QGJ55" s="82"/>
      <c r="QGK55" s="82"/>
      <c r="QGL55" s="82"/>
      <c r="QGM55" s="82"/>
      <c r="QGN55" s="82"/>
      <c r="QGO55" s="82"/>
      <c r="QGP55" s="82"/>
      <c r="QGQ55" s="82"/>
      <c r="QGR55" s="82"/>
      <c r="QGS55" s="82"/>
      <c r="QGT55" s="82"/>
      <c r="QGU55" s="82"/>
      <c r="QGV55" s="82"/>
      <c r="QGW55" s="82"/>
      <c r="QGX55" s="82"/>
      <c r="QGY55" s="82"/>
      <c r="QGZ55" s="82"/>
      <c r="QHA55" s="82"/>
      <c r="QHB55" s="82"/>
      <c r="QHC55" s="82"/>
      <c r="QHD55" s="82"/>
      <c r="QHE55" s="82"/>
      <c r="QHF55" s="82"/>
      <c r="QHG55" s="82"/>
      <c r="QHH55" s="82"/>
      <c r="QHI55" s="82"/>
      <c r="QHJ55" s="82"/>
      <c r="QHK55" s="82"/>
      <c r="QHL55" s="82"/>
      <c r="QHM55" s="82"/>
      <c r="QHN55" s="82"/>
      <c r="QHO55" s="82"/>
      <c r="QHP55" s="82"/>
      <c r="QHQ55" s="82"/>
      <c r="QHR55" s="82"/>
      <c r="QHS55" s="82"/>
      <c r="QHT55" s="82"/>
      <c r="QHU55" s="82"/>
      <c r="QHV55" s="82"/>
      <c r="QHW55" s="82"/>
      <c r="QHX55" s="82"/>
      <c r="QHY55" s="82"/>
      <c r="QHZ55" s="82"/>
      <c r="QIA55" s="82"/>
      <c r="QIB55" s="82"/>
      <c r="QIC55" s="82"/>
      <c r="QID55" s="82"/>
      <c r="QIE55" s="82"/>
      <c r="QIF55" s="82"/>
      <c r="QIG55" s="82"/>
      <c r="QIH55" s="82"/>
      <c r="QII55" s="82"/>
      <c r="QIJ55" s="82"/>
      <c r="QIK55" s="82"/>
      <c r="QIL55" s="82"/>
      <c r="QIM55" s="82"/>
      <c r="QIN55" s="82"/>
      <c r="QIO55" s="82"/>
      <c r="QIP55" s="82"/>
      <c r="QIQ55" s="82"/>
      <c r="QIR55" s="82"/>
      <c r="QIS55" s="82"/>
      <c r="QIT55" s="82"/>
      <c r="QIU55" s="82"/>
      <c r="QIV55" s="82"/>
      <c r="QIW55" s="82"/>
      <c r="QIX55" s="82"/>
      <c r="QIY55" s="82"/>
      <c r="QIZ55" s="82"/>
      <c r="QJA55" s="82"/>
      <c r="QJB55" s="82"/>
      <c r="QJC55" s="82"/>
      <c r="QJD55" s="82"/>
      <c r="QJE55" s="82"/>
      <c r="QJF55" s="82"/>
      <c r="QJG55" s="82"/>
      <c r="QJH55" s="82"/>
      <c r="QJI55" s="82"/>
      <c r="QJJ55" s="82"/>
      <c r="QJK55" s="82"/>
      <c r="QJL55" s="82"/>
      <c r="QJM55" s="82"/>
      <c r="QJN55" s="82"/>
      <c r="QJO55" s="82"/>
      <c r="QJP55" s="82"/>
      <c r="QJQ55" s="82"/>
      <c r="QJR55" s="82"/>
      <c r="QJS55" s="82"/>
      <c r="QJT55" s="82"/>
      <c r="QJU55" s="82"/>
      <c r="QJV55" s="82"/>
      <c r="QJW55" s="82"/>
      <c r="QJX55" s="82"/>
      <c r="QJY55" s="82"/>
      <c r="QJZ55" s="82"/>
      <c r="QKA55" s="82"/>
      <c r="QKB55" s="82"/>
      <c r="QKC55" s="82"/>
      <c r="QKD55" s="82"/>
      <c r="QKE55" s="82"/>
      <c r="QKF55" s="82"/>
      <c r="QKG55" s="82"/>
      <c r="QKH55" s="82"/>
      <c r="QKI55" s="82"/>
      <c r="QKJ55" s="82"/>
      <c r="QKK55" s="82"/>
      <c r="QKL55" s="82"/>
      <c r="QKM55" s="82"/>
      <c r="QKN55" s="82"/>
      <c r="QKO55" s="82"/>
      <c r="QKP55" s="82"/>
      <c r="QKQ55" s="82"/>
      <c r="QKR55" s="82"/>
      <c r="QKS55" s="82"/>
      <c r="QKT55" s="82"/>
      <c r="QKU55" s="82"/>
      <c r="QKV55" s="82"/>
      <c r="QKW55" s="82"/>
      <c r="QKX55" s="82"/>
      <c r="QKY55" s="82"/>
      <c r="QKZ55" s="82"/>
      <c r="QLA55" s="82"/>
      <c r="QLB55" s="82"/>
      <c r="QLC55" s="82"/>
      <c r="QLD55" s="82"/>
      <c r="QLE55" s="82"/>
      <c r="QLF55" s="82"/>
      <c r="QLG55" s="82"/>
      <c r="QLH55" s="82"/>
      <c r="QLI55" s="82"/>
      <c r="QLJ55" s="82"/>
      <c r="QLK55" s="82"/>
      <c r="QLL55" s="82"/>
      <c r="QLM55" s="82"/>
      <c r="QLN55" s="82"/>
      <c r="QLO55" s="82"/>
      <c r="QLP55" s="82"/>
      <c r="QLQ55" s="82"/>
      <c r="QLR55" s="82"/>
      <c r="QLS55" s="82"/>
      <c r="QLT55" s="82"/>
      <c r="QLU55" s="82"/>
      <c r="QLV55" s="82"/>
      <c r="QLW55" s="82"/>
      <c r="QLX55" s="82"/>
      <c r="QLY55" s="82"/>
      <c r="QLZ55" s="82"/>
      <c r="QMA55" s="82"/>
      <c r="QMB55" s="82"/>
      <c r="QMC55" s="82"/>
      <c r="QMD55" s="82"/>
      <c r="QME55" s="82"/>
      <c r="QMF55" s="82"/>
      <c r="QMG55" s="82"/>
      <c r="QMH55" s="82"/>
      <c r="QMI55" s="82"/>
      <c r="QMJ55" s="82"/>
      <c r="QMK55" s="82"/>
      <c r="QML55" s="82"/>
      <c r="QMM55" s="82"/>
      <c r="QMN55" s="82"/>
      <c r="QMO55" s="82"/>
      <c r="QMP55" s="82"/>
      <c r="QMQ55" s="82"/>
      <c r="QMR55" s="82"/>
      <c r="QMS55" s="82"/>
      <c r="QMT55" s="82"/>
      <c r="QMU55" s="82"/>
      <c r="QMV55" s="82"/>
      <c r="QMW55" s="82"/>
      <c r="QMX55" s="82"/>
      <c r="QMY55" s="82"/>
      <c r="QMZ55" s="82"/>
      <c r="QNA55" s="82"/>
      <c r="QNB55" s="82"/>
      <c r="QNC55" s="82"/>
      <c r="QND55" s="82"/>
      <c r="QNE55" s="82"/>
      <c r="QNF55" s="82"/>
      <c r="QNG55" s="82"/>
      <c r="QNH55" s="82"/>
      <c r="QNI55" s="82"/>
      <c r="QNJ55" s="82"/>
      <c r="QNK55" s="82"/>
      <c r="QNL55" s="82"/>
      <c r="QNM55" s="82"/>
      <c r="QNN55" s="82"/>
      <c r="QNO55" s="82"/>
      <c r="QNP55" s="82"/>
      <c r="QNQ55" s="82"/>
      <c r="QNR55" s="82"/>
      <c r="QNS55" s="82"/>
      <c r="QNT55" s="82"/>
      <c r="QNU55" s="82"/>
      <c r="QNV55" s="82"/>
      <c r="QNW55" s="82"/>
      <c r="QNX55" s="82"/>
      <c r="QNY55" s="82"/>
      <c r="QNZ55" s="82"/>
      <c r="QOA55" s="82"/>
      <c r="QOB55" s="82"/>
      <c r="QOC55" s="82"/>
      <c r="QOD55" s="82"/>
      <c r="QOE55" s="82"/>
      <c r="QOF55" s="82"/>
      <c r="QOG55" s="82"/>
      <c r="QOH55" s="82"/>
      <c r="QOI55" s="82"/>
      <c r="QOJ55" s="82"/>
      <c r="QOK55" s="82"/>
      <c r="QOL55" s="82"/>
      <c r="QOM55" s="82"/>
      <c r="QON55" s="82"/>
      <c r="QOO55" s="82"/>
      <c r="QOP55" s="82"/>
      <c r="QOQ55" s="82"/>
      <c r="QOR55" s="82"/>
      <c r="QOS55" s="82"/>
      <c r="QOT55" s="82"/>
      <c r="QOU55" s="82"/>
      <c r="QOV55" s="82"/>
      <c r="QOW55" s="82"/>
      <c r="QOX55" s="82"/>
      <c r="QOY55" s="82"/>
      <c r="QOZ55" s="82"/>
      <c r="QPA55" s="82"/>
      <c r="QPB55" s="82"/>
      <c r="QPC55" s="82"/>
      <c r="QPD55" s="82"/>
      <c r="QPE55" s="82"/>
      <c r="QPF55" s="82"/>
      <c r="QPG55" s="82"/>
      <c r="QPH55" s="82"/>
      <c r="QPI55" s="82"/>
      <c r="QPJ55" s="82"/>
      <c r="QPK55" s="82"/>
      <c r="QPL55" s="82"/>
      <c r="QPM55" s="82"/>
      <c r="QPN55" s="82"/>
      <c r="QPO55" s="82"/>
      <c r="QPP55" s="82"/>
      <c r="QPQ55" s="82"/>
      <c r="QPR55" s="82"/>
      <c r="QPS55" s="82"/>
      <c r="QPT55" s="82"/>
      <c r="QPU55" s="82"/>
      <c r="QPV55" s="82"/>
      <c r="QPW55" s="82"/>
      <c r="QPX55" s="82"/>
      <c r="QPY55" s="82"/>
      <c r="QPZ55" s="82"/>
      <c r="QQA55" s="82"/>
      <c r="QQB55" s="82"/>
      <c r="QQC55" s="82"/>
      <c r="QQD55" s="82"/>
      <c r="QQE55" s="82"/>
      <c r="QQF55" s="82"/>
      <c r="QQG55" s="82"/>
      <c r="QQH55" s="82"/>
      <c r="QQI55" s="82"/>
      <c r="QQJ55" s="82"/>
      <c r="QQK55" s="82"/>
      <c r="QQL55" s="82"/>
      <c r="QQM55" s="82"/>
      <c r="QQN55" s="82"/>
      <c r="QQO55" s="82"/>
      <c r="QQP55" s="82"/>
      <c r="QQQ55" s="82"/>
      <c r="QQR55" s="82"/>
      <c r="QQS55" s="82"/>
      <c r="QQT55" s="82"/>
      <c r="QQU55" s="82"/>
      <c r="QQV55" s="82"/>
      <c r="QQW55" s="82"/>
      <c r="QQX55" s="82"/>
      <c r="QQY55" s="82"/>
      <c r="QQZ55" s="82"/>
      <c r="QRA55" s="82"/>
      <c r="QRB55" s="82"/>
      <c r="QRC55" s="82"/>
      <c r="QRD55" s="82"/>
      <c r="QRE55" s="82"/>
      <c r="QRF55" s="82"/>
      <c r="QRG55" s="82"/>
      <c r="QRH55" s="82"/>
      <c r="QRI55" s="82"/>
      <c r="QRJ55" s="82"/>
      <c r="QRK55" s="82"/>
      <c r="QRL55" s="82"/>
      <c r="QRM55" s="82"/>
      <c r="QRN55" s="82"/>
      <c r="QRO55" s="82"/>
      <c r="QRP55" s="82"/>
      <c r="QRQ55" s="82"/>
      <c r="QRR55" s="82"/>
      <c r="QRS55" s="82"/>
      <c r="QRT55" s="82"/>
      <c r="QRU55" s="82"/>
      <c r="QRV55" s="82"/>
      <c r="QRW55" s="82"/>
      <c r="QRX55" s="82"/>
      <c r="QRY55" s="82"/>
      <c r="QRZ55" s="82"/>
      <c r="QSA55" s="82"/>
      <c r="QSB55" s="82"/>
      <c r="QSC55" s="82"/>
      <c r="QSD55" s="82"/>
      <c r="QSE55" s="82"/>
      <c r="QSF55" s="82"/>
      <c r="QSG55" s="82"/>
      <c r="QSH55" s="82"/>
      <c r="QSI55" s="82"/>
      <c r="QSJ55" s="82"/>
      <c r="QSK55" s="82"/>
      <c r="QSL55" s="82"/>
      <c r="QSM55" s="82"/>
      <c r="QSN55" s="82"/>
      <c r="QSO55" s="82"/>
      <c r="QSP55" s="82"/>
      <c r="QSQ55" s="82"/>
      <c r="QSR55" s="82"/>
      <c r="QSS55" s="82"/>
      <c r="QST55" s="82"/>
      <c r="QSU55" s="82"/>
      <c r="QSV55" s="82"/>
      <c r="QSW55" s="82"/>
      <c r="QSX55" s="82"/>
      <c r="QSY55" s="82"/>
      <c r="QSZ55" s="82"/>
      <c r="QTA55" s="82"/>
      <c r="QTB55" s="82"/>
      <c r="QTC55" s="82"/>
      <c r="QTD55" s="82"/>
      <c r="QTE55" s="82"/>
      <c r="QTF55" s="82"/>
      <c r="QTG55" s="82"/>
      <c r="QTH55" s="82"/>
      <c r="QTI55" s="82"/>
      <c r="QTJ55" s="82"/>
      <c r="QTK55" s="82"/>
      <c r="QTL55" s="82"/>
      <c r="QTM55" s="82"/>
      <c r="QTN55" s="82"/>
      <c r="QTO55" s="82"/>
      <c r="QTP55" s="82"/>
      <c r="QTQ55" s="82"/>
      <c r="QTR55" s="82"/>
      <c r="QTS55" s="82"/>
      <c r="QTT55" s="82"/>
      <c r="QTU55" s="82"/>
      <c r="QTV55" s="82"/>
      <c r="QTW55" s="82"/>
      <c r="QTX55" s="82"/>
      <c r="QTY55" s="82"/>
      <c r="QTZ55" s="82"/>
      <c r="QUA55" s="82"/>
      <c r="QUB55" s="82"/>
      <c r="QUC55" s="82"/>
      <c r="QUD55" s="82"/>
      <c r="QUE55" s="82"/>
      <c r="QUF55" s="82"/>
      <c r="QUG55" s="82"/>
      <c r="QUH55" s="82"/>
      <c r="QUI55" s="82"/>
      <c r="QUJ55" s="82"/>
      <c r="QUK55" s="82"/>
      <c r="QUL55" s="82"/>
      <c r="QUM55" s="82"/>
      <c r="QUN55" s="82"/>
      <c r="QUO55" s="82"/>
      <c r="QUP55" s="82"/>
      <c r="QUQ55" s="82"/>
      <c r="QUR55" s="82"/>
      <c r="QUS55" s="82"/>
      <c r="QUT55" s="82"/>
      <c r="QUU55" s="82"/>
      <c r="QUV55" s="82"/>
      <c r="QUW55" s="82"/>
      <c r="QUX55" s="82"/>
      <c r="QUY55" s="82"/>
      <c r="QUZ55" s="82"/>
      <c r="QVA55" s="82"/>
      <c r="QVB55" s="82"/>
      <c r="QVC55" s="82"/>
      <c r="QVD55" s="82"/>
      <c r="QVE55" s="82"/>
      <c r="QVF55" s="82"/>
      <c r="QVG55" s="82"/>
      <c r="QVH55" s="82"/>
      <c r="QVI55" s="82"/>
      <c r="QVJ55" s="82"/>
      <c r="QVK55" s="82"/>
      <c r="QVL55" s="82"/>
      <c r="QVM55" s="82"/>
      <c r="QVN55" s="82"/>
      <c r="QVO55" s="82"/>
      <c r="QVP55" s="82"/>
      <c r="QVQ55" s="82"/>
      <c r="QVR55" s="82"/>
      <c r="QVS55" s="82"/>
      <c r="QVT55" s="82"/>
      <c r="QVU55" s="82"/>
      <c r="QVV55" s="82"/>
      <c r="QVW55" s="82"/>
      <c r="QVX55" s="82"/>
      <c r="QVY55" s="82"/>
      <c r="QVZ55" s="82"/>
      <c r="QWA55" s="82"/>
      <c r="QWB55" s="82"/>
      <c r="QWC55" s="82"/>
      <c r="QWD55" s="82"/>
      <c r="QWE55" s="82"/>
      <c r="QWF55" s="82"/>
      <c r="QWG55" s="82"/>
      <c r="QWH55" s="82"/>
      <c r="QWI55" s="82"/>
      <c r="QWJ55" s="82"/>
      <c r="QWK55" s="82"/>
      <c r="QWL55" s="82"/>
      <c r="QWM55" s="82"/>
      <c r="QWN55" s="82"/>
      <c r="QWO55" s="82"/>
      <c r="QWP55" s="82"/>
      <c r="QWQ55" s="82"/>
      <c r="QWR55" s="82"/>
      <c r="QWS55" s="82"/>
      <c r="QWT55" s="82"/>
      <c r="QWU55" s="82"/>
      <c r="QWV55" s="82"/>
      <c r="QWW55" s="82"/>
      <c r="QWX55" s="82"/>
      <c r="QWY55" s="82"/>
      <c r="QWZ55" s="82"/>
      <c r="QXA55" s="82"/>
      <c r="QXB55" s="82"/>
      <c r="QXC55" s="82"/>
      <c r="QXD55" s="82"/>
      <c r="QXE55" s="82"/>
      <c r="QXF55" s="82"/>
      <c r="QXG55" s="82"/>
      <c r="QXH55" s="82"/>
      <c r="QXI55" s="82"/>
      <c r="QXJ55" s="82"/>
      <c r="QXK55" s="82"/>
      <c r="QXL55" s="82"/>
      <c r="QXM55" s="82"/>
      <c r="QXN55" s="82"/>
      <c r="QXO55" s="82"/>
      <c r="QXP55" s="82"/>
      <c r="QXQ55" s="82"/>
      <c r="QXR55" s="82"/>
      <c r="QXS55" s="82"/>
      <c r="QXT55" s="82"/>
      <c r="QXU55" s="82"/>
      <c r="QXV55" s="82"/>
      <c r="QXW55" s="82"/>
      <c r="QXX55" s="82"/>
      <c r="QXY55" s="82"/>
      <c r="QXZ55" s="82"/>
      <c r="QYA55" s="82"/>
      <c r="QYB55" s="82"/>
      <c r="QYC55" s="82"/>
      <c r="QYD55" s="82"/>
      <c r="QYE55" s="82"/>
      <c r="QYF55" s="82"/>
      <c r="QYG55" s="82"/>
      <c r="QYH55" s="82"/>
      <c r="QYI55" s="82"/>
      <c r="QYJ55" s="82"/>
      <c r="QYK55" s="82"/>
      <c r="QYL55" s="82"/>
      <c r="QYM55" s="82"/>
      <c r="QYN55" s="82"/>
      <c r="QYO55" s="82"/>
      <c r="QYP55" s="82"/>
      <c r="QYQ55" s="82"/>
      <c r="QYR55" s="82"/>
      <c r="QYS55" s="82"/>
      <c r="QYT55" s="82"/>
      <c r="QYU55" s="82"/>
      <c r="QYV55" s="82"/>
      <c r="QYW55" s="82"/>
      <c r="QYX55" s="82"/>
      <c r="QYY55" s="82"/>
      <c r="QYZ55" s="82"/>
      <c r="QZA55" s="82"/>
      <c r="QZB55" s="82"/>
      <c r="QZC55" s="82"/>
      <c r="QZD55" s="82"/>
      <c r="QZE55" s="82"/>
      <c r="QZF55" s="82"/>
      <c r="QZG55" s="82"/>
      <c r="QZH55" s="82"/>
      <c r="QZI55" s="82"/>
      <c r="QZJ55" s="82"/>
      <c r="QZK55" s="82"/>
      <c r="QZL55" s="82"/>
      <c r="QZM55" s="82"/>
      <c r="QZN55" s="82"/>
      <c r="QZO55" s="82"/>
      <c r="QZP55" s="82"/>
      <c r="QZQ55" s="82"/>
      <c r="QZR55" s="82"/>
      <c r="QZS55" s="82"/>
      <c r="QZT55" s="82"/>
      <c r="QZU55" s="82"/>
      <c r="QZV55" s="82"/>
      <c r="QZW55" s="82"/>
      <c r="QZX55" s="82"/>
      <c r="QZY55" s="82"/>
      <c r="QZZ55" s="82"/>
      <c r="RAA55" s="82"/>
      <c r="RAB55" s="82"/>
      <c r="RAC55" s="82"/>
      <c r="RAD55" s="82"/>
      <c r="RAE55" s="82"/>
      <c r="RAF55" s="82"/>
      <c r="RAG55" s="82"/>
      <c r="RAH55" s="82"/>
      <c r="RAI55" s="82"/>
      <c r="RAJ55" s="82"/>
      <c r="RAK55" s="82"/>
      <c r="RAL55" s="82"/>
      <c r="RAM55" s="82"/>
      <c r="RAN55" s="82"/>
      <c r="RAO55" s="82"/>
      <c r="RAP55" s="82"/>
      <c r="RAQ55" s="82"/>
      <c r="RAR55" s="82"/>
      <c r="RAS55" s="82"/>
      <c r="RAT55" s="82"/>
      <c r="RAU55" s="82"/>
      <c r="RAV55" s="82"/>
      <c r="RAW55" s="82"/>
      <c r="RAX55" s="82"/>
      <c r="RAY55" s="82"/>
      <c r="RAZ55" s="82"/>
      <c r="RBA55" s="82"/>
      <c r="RBB55" s="82"/>
      <c r="RBC55" s="82"/>
      <c r="RBD55" s="82"/>
      <c r="RBE55" s="82"/>
      <c r="RBF55" s="82"/>
      <c r="RBG55" s="82"/>
      <c r="RBH55" s="82"/>
      <c r="RBI55" s="82"/>
      <c r="RBJ55" s="82"/>
      <c r="RBK55" s="82"/>
      <c r="RBL55" s="82"/>
      <c r="RBM55" s="82"/>
      <c r="RBN55" s="82"/>
      <c r="RBO55" s="82"/>
      <c r="RBP55" s="82"/>
      <c r="RBQ55" s="82"/>
      <c r="RBR55" s="82"/>
      <c r="RBS55" s="82"/>
      <c r="RBT55" s="82"/>
      <c r="RBU55" s="82"/>
      <c r="RBV55" s="82"/>
      <c r="RBW55" s="82"/>
      <c r="RBX55" s="82"/>
      <c r="RBY55" s="82"/>
      <c r="RBZ55" s="82"/>
      <c r="RCA55" s="82"/>
      <c r="RCB55" s="82"/>
      <c r="RCC55" s="82"/>
      <c r="RCD55" s="82"/>
      <c r="RCE55" s="82"/>
      <c r="RCF55" s="82"/>
      <c r="RCG55" s="82"/>
      <c r="RCH55" s="82"/>
      <c r="RCI55" s="82"/>
      <c r="RCJ55" s="82"/>
      <c r="RCK55" s="82"/>
      <c r="RCL55" s="82"/>
      <c r="RCM55" s="82"/>
      <c r="RCN55" s="82"/>
      <c r="RCO55" s="82"/>
      <c r="RCP55" s="82"/>
      <c r="RCQ55" s="82"/>
      <c r="RCR55" s="82"/>
      <c r="RCS55" s="82"/>
      <c r="RCT55" s="82"/>
      <c r="RCU55" s="82"/>
      <c r="RCV55" s="82"/>
      <c r="RCW55" s="82"/>
      <c r="RCX55" s="82"/>
      <c r="RCY55" s="82"/>
      <c r="RCZ55" s="82"/>
      <c r="RDA55" s="82"/>
      <c r="RDB55" s="82"/>
      <c r="RDC55" s="82"/>
      <c r="RDD55" s="82"/>
      <c r="RDE55" s="82"/>
      <c r="RDF55" s="82"/>
      <c r="RDG55" s="82"/>
      <c r="RDH55" s="82"/>
      <c r="RDI55" s="82"/>
      <c r="RDJ55" s="82"/>
      <c r="RDK55" s="82"/>
      <c r="RDL55" s="82"/>
      <c r="RDM55" s="82"/>
      <c r="RDN55" s="82"/>
      <c r="RDO55" s="82"/>
      <c r="RDP55" s="82"/>
      <c r="RDQ55" s="82"/>
      <c r="RDR55" s="82"/>
      <c r="RDS55" s="82"/>
      <c r="RDT55" s="82"/>
      <c r="RDU55" s="82"/>
      <c r="RDV55" s="82"/>
      <c r="RDW55" s="82"/>
      <c r="RDX55" s="82"/>
      <c r="RDY55" s="82"/>
      <c r="RDZ55" s="82"/>
      <c r="REA55" s="82"/>
      <c r="REB55" s="82"/>
      <c r="REC55" s="82"/>
      <c r="RED55" s="82"/>
      <c r="REE55" s="82"/>
      <c r="REF55" s="82"/>
      <c r="REG55" s="82"/>
      <c r="REH55" s="82"/>
      <c r="REI55" s="82"/>
      <c r="REJ55" s="82"/>
      <c r="REK55" s="82"/>
      <c r="REL55" s="82"/>
      <c r="REM55" s="82"/>
      <c r="REN55" s="82"/>
      <c r="REO55" s="82"/>
      <c r="REP55" s="82"/>
      <c r="REQ55" s="82"/>
      <c r="RER55" s="82"/>
      <c r="RES55" s="82"/>
      <c r="RET55" s="82"/>
      <c r="REU55" s="82"/>
      <c r="REV55" s="82"/>
      <c r="REW55" s="82"/>
      <c r="REX55" s="82"/>
      <c r="REY55" s="82"/>
      <c r="REZ55" s="82"/>
      <c r="RFA55" s="82"/>
      <c r="RFB55" s="82"/>
      <c r="RFC55" s="82"/>
      <c r="RFD55" s="82"/>
      <c r="RFE55" s="82"/>
      <c r="RFF55" s="82"/>
      <c r="RFG55" s="82"/>
      <c r="RFH55" s="82"/>
      <c r="RFI55" s="82"/>
      <c r="RFJ55" s="82"/>
      <c r="RFK55" s="82"/>
      <c r="RFL55" s="82"/>
      <c r="RFM55" s="82"/>
      <c r="RFN55" s="82"/>
      <c r="RFO55" s="82"/>
      <c r="RFP55" s="82"/>
      <c r="RFQ55" s="82"/>
      <c r="RFR55" s="82"/>
      <c r="RFS55" s="82"/>
      <c r="RFT55" s="82"/>
      <c r="RFU55" s="82"/>
      <c r="RFV55" s="82"/>
      <c r="RFW55" s="82"/>
      <c r="RFX55" s="82"/>
      <c r="RFY55" s="82"/>
      <c r="RFZ55" s="82"/>
      <c r="RGA55" s="82"/>
      <c r="RGB55" s="82"/>
      <c r="RGC55" s="82"/>
      <c r="RGD55" s="82"/>
      <c r="RGE55" s="82"/>
      <c r="RGF55" s="82"/>
      <c r="RGG55" s="82"/>
      <c r="RGH55" s="82"/>
      <c r="RGI55" s="82"/>
      <c r="RGJ55" s="82"/>
      <c r="RGK55" s="82"/>
      <c r="RGL55" s="82"/>
      <c r="RGM55" s="82"/>
      <c r="RGN55" s="82"/>
      <c r="RGO55" s="82"/>
      <c r="RGP55" s="82"/>
      <c r="RGQ55" s="82"/>
      <c r="RGR55" s="82"/>
      <c r="RGS55" s="82"/>
      <c r="RGT55" s="82"/>
      <c r="RGU55" s="82"/>
      <c r="RGV55" s="82"/>
      <c r="RGW55" s="82"/>
      <c r="RGX55" s="82"/>
      <c r="RGY55" s="82"/>
      <c r="RGZ55" s="82"/>
      <c r="RHA55" s="82"/>
      <c r="RHB55" s="82"/>
      <c r="RHC55" s="82"/>
      <c r="RHD55" s="82"/>
      <c r="RHE55" s="82"/>
      <c r="RHF55" s="82"/>
      <c r="RHG55" s="82"/>
      <c r="RHH55" s="82"/>
      <c r="RHI55" s="82"/>
      <c r="RHJ55" s="82"/>
      <c r="RHK55" s="82"/>
      <c r="RHL55" s="82"/>
      <c r="RHM55" s="82"/>
      <c r="RHN55" s="82"/>
      <c r="RHO55" s="82"/>
      <c r="RHP55" s="82"/>
      <c r="RHQ55" s="82"/>
      <c r="RHR55" s="82"/>
      <c r="RHS55" s="82"/>
      <c r="RHT55" s="82"/>
      <c r="RHU55" s="82"/>
      <c r="RHV55" s="82"/>
      <c r="RHW55" s="82"/>
      <c r="RHX55" s="82"/>
      <c r="RHY55" s="82"/>
      <c r="RHZ55" s="82"/>
      <c r="RIA55" s="82"/>
      <c r="RIB55" s="82"/>
      <c r="RIC55" s="82"/>
      <c r="RID55" s="82"/>
      <c r="RIE55" s="82"/>
      <c r="RIF55" s="82"/>
      <c r="RIG55" s="82"/>
      <c r="RIH55" s="82"/>
      <c r="RII55" s="82"/>
      <c r="RIJ55" s="82"/>
      <c r="RIK55" s="82"/>
      <c r="RIL55" s="82"/>
      <c r="RIM55" s="82"/>
      <c r="RIN55" s="82"/>
      <c r="RIO55" s="82"/>
      <c r="RIP55" s="82"/>
      <c r="RIQ55" s="82"/>
      <c r="RIR55" s="82"/>
      <c r="RIS55" s="82"/>
      <c r="RIT55" s="82"/>
      <c r="RIU55" s="82"/>
      <c r="RIV55" s="82"/>
      <c r="RIW55" s="82"/>
      <c r="RIX55" s="82"/>
      <c r="RIY55" s="82"/>
      <c r="RIZ55" s="82"/>
      <c r="RJA55" s="82"/>
      <c r="RJB55" s="82"/>
      <c r="RJC55" s="82"/>
      <c r="RJD55" s="82"/>
      <c r="RJE55" s="82"/>
      <c r="RJF55" s="82"/>
      <c r="RJG55" s="82"/>
      <c r="RJH55" s="82"/>
      <c r="RJI55" s="82"/>
      <c r="RJJ55" s="82"/>
      <c r="RJK55" s="82"/>
      <c r="RJL55" s="82"/>
      <c r="RJM55" s="82"/>
      <c r="RJN55" s="82"/>
      <c r="RJO55" s="82"/>
      <c r="RJP55" s="82"/>
      <c r="RJQ55" s="82"/>
      <c r="RJR55" s="82"/>
      <c r="RJS55" s="82"/>
      <c r="RJT55" s="82"/>
      <c r="RJU55" s="82"/>
      <c r="RJV55" s="82"/>
      <c r="RJW55" s="82"/>
      <c r="RJX55" s="82"/>
      <c r="RJY55" s="82"/>
      <c r="RJZ55" s="82"/>
      <c r="RKA55" s="82"/>
      <c r="RKB55" s="82"/>
      <c r="RKC55" s="82"/>
      <c r="RKD55" s="82"/>
      <c r="RKE55" s="82"/>
      <c r="RKF55" s="82"/>
      <c r="RKG55" s="82"/>
      <c r="RKH55" s="82"/>
      <c r="RKI55" s="82"/>
      <c r="RKJ55" s="82"/>
      <c r="RKK55" s="82"/>
      <c r="RKL55" s="82"/>
      <c r="RKM55" s="82"/>
      <c r="RKN55" s="82"/>
      <c r="RKO55" s="82"/>
      <c r="RKP55" s="82"/>
      <c r="RKQ55" s="82"/>
      <c r="RKR55" s="82"/>
      <c r="RKS55" s="82"/>
      <c r="RKT55" s="82"/>
      <c r="RKU55" s="82"/>
      <c r="RKV55" s="82"/>
      <c r="RKW55" s="82"/>
      <c r="RKX55" s="82"/>
      <c r="RKY55" s="82"/>
      <c r="RKZ55" s="82"/>
      <c r="RLA55" s="82"/>
      <c r="RLB55" s="82"/>
      <c r="RLC55" s="82"/>
      <c r="RLD55" s="82"/>
      <c r="RLE55" s="82"/>
      <c r="RLF55" s="82"/>
      <c r="RLG55" s="82"/>
      <c r="RLH55" s="82"/>
      <c r="RLI55" s="82"/>
      <c r="RLJ55" s="82"/>
      <c r="RLK55" s="82"/>
      <c r="RLL55" s="82"/>
      <c r="RLM55" s="82"/>
      <c r="RLN55" s="82"/>
      <c r="RLO55" s="82"/>
      <c r="RLP55" s="82"/>
      <c r="RLQ55" s="82"/>
      <c r="RLR55" s="82"/>
      <c r="RLS55" s="82"/>
      <c r="RLT55" s="82"/>
      <c r="RLU55" s="82"/>
      <c r="RLV55" s="82"/>
      <c r="RLW55" s="82"/>
      <c r="RLX55" s="82"/>
      <c r="RLY55" s="82"/>
      <c r="RLZ55" s="82"/>
      <c r="RMA55" s="82"/>
      <c r="RMB55" s="82"/>
      <c r="RMC55" s="82"/>
      <c r="RMD55" s="82"/>
      <c r="RME55" s="82"/>
      <c r="RMF55" s="82"/>
      <c r="RMG55" s="82"/>
      <c r="RMH55" s="82"/>
      <c r="RMI55" s="82"/>
      <c r="RMJ55" s="82"/>
      <c r="RMK55" s="82"/>
      <c r="RML55" s="82"/>
      <c r="RMM55" s="82"/>
      <c r="RMN55" s="82"/>
      <c r="RMO55" s="82"/>
      <c r="RMP55" s="82"/>
      <c r="RMQ55" s="82"/>
      <c r="RMR55" s="82"/>
      <c r="RMS55" s="82"/>
      <c r="RMT55" s="82"/>
      <c r="RMU55" s="82"/>
      <c r="RMV55" s="82"/>
      <c r="RMW55" s="82"/>
      <c r="RMX55" s="82"/>
      <c r="RMY55" s="82"/>
      <c r="RMZ55" s="82"/>
      <c r="RNA55" s="82"/>
      <c r="RNB55" s="82"/>
      <c r="RNC55" s="82"/>
      <c r="RND55" s="82"/>
      <c r="RNE55" s="82"/>
      <c r="RNF55" s="82"/>
      <c r="RNG55" s="82"/>
      <c r="RNH55" s="82"/>
      <c r="RNI55" s="82"/>
      <c r="RNJ55" s="82"/>
      <c r="RNK55" s="82"/>
      <c r="RNL55" s="82"/>
      <c r="RNM55" s="82"/>
      <c r="RNN55" s="82"/>
      <c r="RNO55" s="82"/>
      <c r="RNP55" s="82"/>
      <c r="RNQ55" s="82"/>
      <c r="RNR55" s="82"/>
      <c r="RNS55" s="82"/>
      <c r="RNT55" s="82"/>
      <c r="RNU55" s="82"/>
      <c r="RNV55" s="82"/>
      <c r="RNW55" s="82"/>
      <c r="RNX55" s="82"/>
      <c r="RNY55" s="82"/>
      <c r="RNZ55" s="82"/>
      <c r="ROA55" s="82"/>
      <c r="ROB55" s="82"/>
      <c r="ROC55" s="82"/>
      <c r="ROD55" s="82"/>
      <c r="ROE55" s="82"/>
      <c r="ROF55" s="82"/>
      <c r="ROG55" s="82"/>
      <c r="ROH55" s="82"/>
      <c r="ROI55" s="82"/>
      <c r="ROJ55" s="82"/>
      <c r="ROK55" s="82"/>
      <c r="ROL55" s="82"/>
      <c r="ROM55" s="82"/>
      <c r="RON55" s="82"/>
      <c r="ROO55" s="82"/>
      <c r="ROP55" s="82"/>
      <c r="ROQ55" s="82"/>
      <c r="ROR55" s="82"/>
      <c r="ROS55" s="82"/>
      <c r="ROT55" s="82"/>
      <c r="ROU55" s="82"/>
      <c r="ROV55" s="82"/>
      <c r="ROW55" s="82"/>
      <c r="ROX55" s="82"/>
      <c r="ROY55" s="82"/>
      <c r="ROZ55" s="82"/>
      <c r="RPA55" s="82"/>
      <c r="RPB55" s="82"/>
      <c r="RPC55" s="82"/>
      <c r="RPD55" s="82"/>
      <c r="RPE55" s="82"/>
      <c r="RPF55" s="82"/>
      <c r="RPG55" s="82"/>
      <c r="RPH55" s="82"/>
      <c r="RPI55" s="82"/>
      <c r="RPJ55" s="82"/>
      <c r="RPK55" s="82"/>
      <c r="RPL55" s="82"/>
      <c r="RPM55" s="82"/>
      <c r="RPN55" s="82"/>
      <c r="RPO55" s="82"/>
      <c r="RPP55" s="82"/>
      <c r="RPQ55" s="82"/>
      <c r="RPR55" s="82"/>
      <c r="RPS55" s="82"/>
      <c r="RPT55" s="82"/>
      <c r="RPU55" s="82"/>
      <c r="RPV55" s="82"/>
      <c r="RPW55" s="82"/>
      <c r="RPX55" s="82"/>
      <c r="RPY55" s="82"/>
      <c r="RPZ55" s="82"/>
      <c r="RQA55" s="82"/>
      <c r="RQB55" s="82"/>
      <c r="RQC55" s="82"/>
      <c r="RQD55" s="82"/>
      <c r="RQE55" s="82"/>
      <c r="RQF55" s="82"/>
      <c r="RQG55" s="82"/>
      <c r="RQH55" s="82"/>
      <c r="RQI55" s="82"/>
      <c r="RQJ55" s="82"/>
      <c r="RQK55" s="82"/>
      <c r="RQL55" s="82"/>
      <c r="RQM55" s="82"/>
      <c r="RQN55" s="82"/>
      <c r="RQO55" s="82"/>
      <c r="RQP55" s="82"/>
      <c r="RQQ55" s="82"/>
      <c r="RQR55" s="82"/>
      <c r="RQS55" s="82"/>
      <c r="RQT55" s="82"/>
      <c r="RQU55" s="82"/>
      <c r="RQV55" s="82"/>
      <c r="RQW55" s="82"/>
      <c r="RQX55" s="82"/>
      <c r="RQY55" s="82"/>
      <c r="RQZ55" s="82"/>
      <c r="RRA55" s="82"/>
      <c r="RRB55" s="82"/>
      <c r="RRC55" s="82"/>
      <c r="RRD55" s="82"/>
      <c r="RRE55" s="82"/>
      <c r="RRF55" s="82"/>
      <c r="RRG55" s="82"/>
      <c r="RRH55" s="82"/>
      <c r="RRI55" s="82"/>
      <c r="RRJ55" s="82"/>
      <c r="RRK55" s="82"/>
      <c r="RRL55" s="82"/>
      <c r="RRM55" s="82"/>
      <c r="RRN55" s="82"/>
      <c r="RRO55" s="82"/>
      <c r="RRP55" s="82"/>
      <c r="RRQ55" s="82"/>
      <c r="RRR55" s="82"/>
      <c r="RRS55" s="82"/>
      <c r="RRT55" s="82"/>
      <c r="RRU55" s="82"/>
      <c r="RRV55" s="82"/>
      <c r="RRW55" s="82"/>
      <c r="RRX55" s="82"/>
      <c r="RRY55" s="82"/>
      <c r="RRZ55" s="82"/>
      <c r="RSA55" s="82"/>
      <c r="RSB55" s="82"/>
      <c r="RSC55" s="82"/>
      <c r="RSD55" s="82"/>
      <c r="RSE55" s="82"/>
      <c r="RSF55" s="82"/>
      <c r="RSG55" s="82"/>
      <c r="RSH55" s="82"/>
      <c r="RSI55" s="82"/>
      <c r="RSJ55" s="82"/>
      <c r="RSK55" s="82"/>
      <c r="RSL55" s="82"/>
      <c r="RSM55" s="82"/>
      <c r="RSN55" s="82"/>
      <c r="RSO55" s="82"/>
      <c r="RSP55" s="82"/>
      <c r="RSQ55" s="82"/>
      <c r="RSR55" s="82"/>
      <c r="RSS55" s="82"/>
      <c r="RST55" s="82"/>
      <c r="RSU55" s="82"/>
      <c r="RSV55" s="82"/>
      <c r="RSW55" s="82"/>
      <c r="RSX55" s="82"/>
      <c r="RSY55" s="82"/>
      <c r="RSZ55" s="82"/>
      <c r="RTA55" s="82"/>
      <c r="RTB55" s="82"/>
      <c r="RTC55" s="82"/>
      <c r="RTD55" s="82"/>
      <c r="RTE55" s="82"/>
      <c r="RTF55" s="82"/>
      <c r="RTG55" s="82"/>
      <c r="RTH55" s="82"/>
      <c r="RTI55" s="82"/>
      <c r="RTJ55" s="82"/>
      <c r="RTK55" s="82"/>
      <c r="RTL55" s="82"/>
      <c r="RTM55" s="82"/>
      <c r="RTN55" s="82"/>
      <c r="RTO55" s="82"/>
      <c r="RTP55" s="82"/>
      <c r="RTQ55" s="82"/>
      <c r="RTR55" s="82"/>
      <c r="RTS55" s="82"/>
      <c r="RTT55" s="82"/>
      <c r="RTU55" s="82"/>
      <c r="RTV55" s="82"/>
      <c r="RTW55" s="82"/>
      <c r="RTX55" s="82"/>
      <c r="RTY55" s="82"/>
      <c r="RTZ55" s="82"/>
      <c r="RUA55" s="82"/>
      <c r="RUB55" s="82"/>
      <c r="RUC55" s="82"/>
      <c r="RUD55" s="82"/>
      <c r="RUE55" s="82"/>
      <c r="RUF55" s="82"/>
      <c r="RUG55" s="82"/>
      <c r="RUH55" s="82"/>
      <c r="RUI55" s="82"/>
      <c r="RUJ55" s="82"/>
      <c r="RUK55" s="82"/>
      <c r="RUL55" s="82"/>
      <c r="RUM55" s="82"/>
      <c r="RUN55" s="82"/>
      <c r="RUO55" s="82"/>
      <c r="RUP55" s="82"/>
      <c r="RUQ55" s="82"/>
      <c r="RUR55" s="82"/>
      <c r="RUS55" s="82"/>
      <c r="RUT55" s="82"/>
      <c r="RUU55" s="82"/>
      <c r="RUV55" s="82"/>
      <c r="RUW55" s="82"/>
      <c r="RUX55" s="82"/>
      <c r="RUY55" s="82"/>
      <c r="RUZ55" s="82"/>
      <c r="RVA55" s="82"/>
      <c r="RVB55" s="82"/>
      <c r="RVC55" s="82"/>
      <c r="RVD55" s="82"/>
      <c r="RVE55" s="82"/>
      <c r="RVF55" s="82"/>
      <c r="RVG55" s="82"/>
      <c r="RVH55" s="82"/>
      <c r="RVI55" s="82"/>
      <c r="RVJ55" s="82"/>
      <c r="RVK55" s="82"/>
      <c r="RVL55" s="82"/>
      <c r="RVM55" s="82"/>
      <c r="RVN55" s="82"/>
      <c r="RVO55" s="82"/>
      <c r="RVP55" s="82"/>
      <c r="RVQ55" s="82"/>
      <c r="RVR55" s="82"/>
      <c r="RVS55" s="82"/>
      <c r="RVT55" s="82"/>
      <c r="RVU55" s="82"/>
      <c r="RVV55" s="82"/>
      <c r="RVW55" s="82"/>
      <c r="RVX55" s="82"/>
      <c r="RVY55" s="82"/>
      <c r="RVZ55" s="82"/>
      <c r="RWA55" s="82"/>
      <c r="RWB55" s="82"/>
      <c r="RWC55" s="82"/>
      <c r="RWD55" s="82"/>
      <c r="RWE55" s="82"/>
      <c r="RWF55" s="82"/>
      <c r="RWG55" s="82"/>
      <c r="RWH55" s="82"/>
      <c r="RWI55" s="82"/>
      <c r="RWJ55" s="82"/>
      <c r="RWK55" s="82"/>
      <c r="RWL55" s="82"/>
      <c r="RWM55" s="82"/>
      <c r="RWN55" s="82"/>
      <c r="RWO55" s="82"/>
      <c r="RWP55" s="82"/>
      <c r="RWQ55" s="82"/>
      <c r="RWR55" s="82"/>
      <c r="RWS55" s="82"/>
      <c r="RWT55" s="82"/>
      <c r="RWU55" s="82"/>
      <c r="RWV55" s="82"/>
      <c r="RWW55" s="82"/>
      <c r="RWX55" s="82"/>
      <c r="RWY55" s="82"/>
      <c r="RWZ55" s="82"/>
      <c r="RXA55" s="82"/>
      <c r="RXB55" s="82"/>
      <c r="RXC55" s="82"/>
      <c r="RXD55" s="82"/>
      <c r="RXE55" s="82"/>
      <c r="RXF55" s="82"/>
      <c r="RXG55" s="82"/>
      <c r="RXH55" s="82"/>
      <c r="RXI55" s="82"/>
      <c r="RXJ55" s="82"/>
      <c r="RXK55" s="82"/>
      <c r="RXL55" s="82"/>
      <c r="RXM55" s="82"/>
      <c r="RXN55" s="82"/>
      <c r="RXO55" s="82"/>
      <c r="RXP55" s="82"/>
      <c r="RXQ55" s="82"/>
      <c r="RXR55" s="82"/>
      <c r="RXS55" s="82"/>
      <c r="RXT55" s="82"/>
      <c r="RXU55" s="82"/>
      <c r="RXV55" s="82"/>
      <c r="RXW55" s="82"/>
      <c r="RXX55" s="82"/>
      <c r="RXY55" s="82"/>
      <c r="RXZ55" s="82"/>
      <c r="RYA55" s="82"/>
      <c r="RYB55" s="82"/>
      <c r="RYC55" s="82"/>
      <c r="RYD55" s="82"/>
      <c r="RYE55" s="82"/>
      <c r="RYF55" s="82"/>
      <c r="RYG55" s="82"/>
      <c r="RYH55" s="82"/>
      <c r="RYI55" s="82"/>
      <c r="RYJ55" s="82"/>
      <c r="RYK55" s="82"/>
      <c r="RYL55" s="82"/>
      <c r="RYM55" s="82"/>
      <c r="RYN55" s="82"/>
      <c r="RYO55" s="82"/>
      <c r="RYP55" s="82"/>
      <c r="RYQ55" s="82"/>
      <c r="RYR55" s="82"/>
      <c r="RYS55" s="82"/>
      <c r="RYT55" s="82"/>
      <c r="RYU55" s="82"/>
      <c r="RYV55" s="82"/>
      <c r="RYW55" s="82"/>
      <c r="RYX55" s="82"/>
      <c r="RYY55" s="82"/>
      <c r="RYZ55" s="82"/>
      <c r="RZA55" s="82"/>
      <c r="RZB55" s="82"/>
      <c r="RZC55" s="82"/>
      <c r="RZD55" s="82"/>
      <c r="RZE55" s="82"/>
      <c r="RZF55" s="82"/>
      <c r="RZG55" s="82"/>
      <c r="RZH55" s="82"/>
      <c r="RZI55" s="82"/>
      <c r="RZJ55" s="82"/>
      <c r="RZK55" s="82"/>
      <c r="RZL55" s="82"/>
      <c r="RZM55" s="82"/>
      <c r="RZN55" s="82"/>
      <c r="RZO55" s="82"/>
      <c r="RZP55" s="82"/>
      <c r="RZQ55" s="82"/>
      <c r="RZR55" s="82"/>
      <c r="RZS55" s="82"/>
      <c r="RZT55" s="82"/>
      <c r="RZU55" s="82"/>
      <c r="RZV55" s="82"/>
      <c r="RZW55" s="82"/>
      <c r="RZX55" s="82"/>
      <c r="RZY55" s="82"/>
      <c r="RZZ55" s="82"/>
      <c r="SAA55" s="82"/>
      <c r="SAB55" s="82"/>
      <c r="SAC55" s="82"/>
      <c r="SAD55" s="82"/>
      <c r="SAE55" s="82"/>
      <c r="SAF55" s="82"/>
      <c r="SAG55" s="82"/>
      <c r="SAH55" s="82"/>
      <c r="SAI55" s="82"/>
      <c r="SAJ55" s="82"/>
      <c r="SAK55" s="82"/>
      <c r="SAL55" s="82"/>
      <c r="SAM55" s="82"/>
      <c r="SAN55" s="82"/>
      <c r="SAO55" s="82"/>
      <c r="SAP55" s="82"/>
      <c r="SAQ55" s="82"/>
      <c r="SAR55" s="82"/>
      <c r="SAS55" s="82"/>
      <c r="SAT55" s="82"/>
      <c r="SAU55" s="82"/>
      <c r="SAV55" s="82"/>
      <c r="SAW55" s="82"/>
      <c r="SAX55" s="82"/>
      <c r="SAY55" s="82"/>
      <c r="SAZ55" s="82"/>
      <c r="SBA55" s="82"/>
      <c r="SBB55" s="82"/>
      <c r="SBC55" s="82"/>
      <c r="SBD55" s="82"/>
      <c r="SBE55" s="82"/>
      <c r="SBF55" s="82"/>
      <c r="SBG55" s="82"/>
      <c r="SBH55" s="82"/>
      <c r="SBI55" s="82"/>
      <c r="SBJ55" s="82"/>
      <c r="SBK55" s="82"/>
      <c r="SBL55" s="82"/>
      <c r="SBM55" s="82"/>
      <c r="SBN55" s="82"/>
      <c r="SBO55" s="82"/>
      <c r="SBP55" s="82"/>
      <c r="SBQ55" s="82"/>
      <c r="SBR55" s="82"/>
      <c r="SBS55" s="82"/>
      <c r="SBT55" s="82"/>
      <c r="SBU55" s="82"/>
      <c r="SBV55" s="82"/>
      <c r="SBW55" s="82"/>
      <c r="SBX55" s="82"/>
      <c r="SBY55" s="82"/>
      <c r="SBZ55" s="82"/>
      <c r="SCA55" s="82"/>
      <c r="SCB55" s="82"/>
      <c r="SCC55" s="82"/>
      <c r="SCD55" s="82"/>
      <c r="SCE55" s="82"/>
      <c r="SCF55" s="82"/>
      <c r="SCG55" s="82"/>
      <c r="SCH55" s="82"/>
      <c r="SCI55" s="82"/>
      <c r="SCJ55" s="82"/>
      <c r="SCK55" s="82"/>
      <c r="SCL55" s="82"/>
      <c r="SCM55" s="82"/>
      <c r="SCN55" s="82"/>
      <c r="SCO55" s="82"/>
      <c r="SCP55" s="82"/>
      <c r="SCQ55" s="82"/>
      <c r="SCR55" s="82"/>
      <c r="SCS55" s="82"/>
      <c r="SCT55" s="82"/>
      <c r="SCU55" s="82"/>
      <c r="SCV55" s="82"/>
      <c r="SCW55" s="82"/>
      <c r="SCX55" s="82"/>
      <c r="SCY55" s="82"/>
      <c r="SCZ55" s="82"/>
      <c r="SDA55" s="82"/>
      <c r="SDB55" s="82"/>
      <c r="SDC55" s="82"/>
      <c r="SDD55" s="82"/>
      <c r="SDE55" s="82"/>
      <c r="SDF55" s="82"/>
      <c r="SDG55" s="82"/>
      <c r="SDH55" s="82"/>
      <c r="SDI55" s="82"/>
      <c r="SDJ55" s="82"/>
      <c r="SDK55" s="82"/>
      <c r="SDL55" s="82"/>
      <c r="SDM55" s="82"/>
      <c r="SDN55" s="82"/>
      <c r="SDO55" s="82"/>
      <c r="SDP55" s="82"/>
      <c r="SDQ55" s="82"/>
      <c r="SDR55" s="82"/>
      <c r="SDS55" s="82"/>
      <c r="SDT55" s="82"/>
      <c r="SDU55" s="82"/>
      <c r="SDV55" s="82"/>
      <c r="SDW55" s="82"/>
      <c r="SDX55" s="82"/>
      <c r="SDY55" s="82"/>
      <c r="SDZ55" s="82"/>
      <c r="SEA55" s="82"/>
      <c r="SEB55" s="82"/>
      <c r="SEC55" s="82"/>
      <c r="SED55" s="82"/>
      <c r="SEE55" s="82"/>
      <c r="SEF55" s="82"/>
      <c r="SEG55" s="82"/>
      <c r="SEH55" s="82"/>
      <c r="SEI55" s="82"/>
      <c r="SEJ55" s="82"/>
      <c r="SEK55" s="82"/>
      <c r="SEL55" s="82"/>
      <c r="SEM55" s="82"/>
      <c r="SEN55" s="82"/>
      <c r="SEO55" s="82"/>
      <c r="SEP55" s="82"/>
      <c r="SEQ55" s="82"/>
      <c r="SER55" s="82"/>
      <c r="SES55" s="82"/>
      <c r="SET55" s="82"/>
      <c r="SEU55" s="82"/>
      <c r="SEV55" s="82"/>
      <c r="SEW55" s="82"/>
      <c r="SEX55" s="82"/>
      <c r="SEY55" s="82"/>
      <c r="SEZ55" s="82"/>
      <c r="SFA55" s="82"/>
      <c r="SFB55" s="82"/>
      <c r="SFC55" s="82"/>
      <c r="SFD55" s="82"/>
      <c r="SFE55" s="82"/>
      <c r="SFF55" s="82"/>
      <c r="SFG55" s="82"/>
      <c r="SFH55" s="82"/>
      <c r="SFI55" s="82"/>
      <c r="SFJ55" s="82"/>
      <c r="SFK55" s="82"/>
      <c r="SFL55" s="82"/>
      <c r="SFM55" s="82"/>
      <c r="SFN55" s="82"/>
      <c r="SFO55" s="82"/>
      <c r="SFP55" s="82"/>
      <c r="SFQ55" s="82"/>
      <c r="SFR55" s="82"/>
      <c r="SFS55" s="82"/>
      <c r="SFT55" s="82"/>
      <c r="SFU55" s="82"/>
      <c r="SFV55" s="82"/>
      <c r="SFW55" s="82"/>
      <c r="SFX55" s="82"/>
      <c r="SFY55" s="82"/>
      <c r="SFZ55" s="82"/>
      <c r="SGA55" s="82"/>
      <c r="SGB55" s="82"/>
      <c r="SGC55" s="82"/>
      <c r="SGD55" s="82"/>
      <c r="SGE55" s="82"/>
      <c r="SGF55" s="82"/>
      <c r="SGG55" s="82"/>
      <c r="SGH55" s="82"/>
      <c r="SGI55" s="82"/>
      <c r="SGJ55" s="82"/>
      <c r="SGK55" s="82"/>
      <c r="SGL55" s="82"/>
      <c r="SGM55" s="82"/>
      <c r="SGN55" s="82"/>
      <c r="SGO55" s="82"/>
      <c r="SGP55" s="82"/>
      <c r="SGQ55" s="82"/>
      <c r="SGR55" s="82"/>
      <c r="SGS55" s="82"/>
      <c r="SGT55" s="82"/>
      <c r="SGU55" s="82"/>
      <c r="SGV55" s="82"/>
      <c r="SGW55" s="82"/>
      <c r="SGX55" s="82"/>
      <c r="SGY55" s="82"/>
      <c r="SGZ55" s="82"/>
      <c r="SHA55" s="82"/>
      <c r="SHB55" s="82"/>
      <c r="SHC55" s="82"/>
      <c r="SHD55" s="82"/>
      <c r="SHE55" s="82"/>
      <c r="SHF55" s="82"/>
      <c r="SHG55" s="82"/>
      <c r="SHH55" s="82"/>
      <c r="SHI55" s="82"/>
      <c r="SHJ55" s="82"/>
      <c r="SHK55" s="82"/>
      <c r="SHL55" s="82"/>
      <c r="SHM55" s="82"/>
      <c r="SHN55" s="82"/>
      <c r="SHO55" s="82"/>
      <c r="SHP55" s="82"/>
      <c r="SHQ55" s="82"/>
      <c r="SHR55" s="82"/>
      <c r="SHS55" s="82"/>
      <c r="SHT55" s="82"/>
      <c r="SHU55" s="82"/>
      <c r="SHV55" s="82"/>
      <c r="SHW55" s="82"/>
      <c r="SHX55" s="82"/>
      <c r="SHY55" s="82"/>
      <c r="SHZ55" s="82"/>
      <c r="SIA55" s="82"/>
      <c r="SIB55" s="82"/>
      <c r="SIC55" s="82"/>
      <c r="SID55" s="82"/>
      <c r="SIE55" s="82"/>
      <c r="SIF55" s="82"/>
      <c r="SIG55" s="82"/>
      <c r="SIH55" s="82"/>
      <c r="SII55" s="82"/>
      <c r="SIJ55" s="82"/>
      <c r="SIK55" s="82"/>
      <c r="SIL55" s="82"/>
      <c r="SIM55" s="82"/>
      <c r="SIN55" s="82"/>
      <c r="SIO55" s="82"/>
      <c r="SIP55" s="82"/>
      <c r="SIQ55" s="82"/>
      <c r="SIR55" s="82"/>
      <c r="SIS55" s="82"/>
      <c r="SIT55" s="82"/>
      <c r="SIU55" s="82"/>
      <c r="SIV55" s="82"/>
      <c r="SIW55" s="82"/>
      <c r="SIX55" s="82"/>
      <c r="SIY55" s="82"/>
      <c r="SIZ55" s="82"/>
      <c r="SJA55" s="82"/>
      <c r="SJB55" s="82"/>
      <c r="SJC55" s="82"/>
      <c r="SJD55" s="82"/>
      <c r="SJE55" s="82"/>
      <c r="SJF55" s="82"/>
      <c r="SJG55" s="82"/>
      <c r="SJH55" s="82"/>
      <c r="SJI55" s="82"/>
      <c r="SJJ55" s="82"/>
      <c r="SJK55" s="82"/>
      <c r="SJL55" s="82"/>
      <c r="SJM55" s="82"/>
      <c r="SJN55" s="82"/>
      <c r="SJO55" s="82"/>
      <c r="SJP55" s="82"/>
      <c r="SJQ55" s="82"/>
      <c r="SJR55" s="82"/>
      <c r="SJS55" s="82"/>
      <c r="SJT55" s="82"/>
      <c r="SJU55" s="82"/>
      <c r="SJV55" s="82"/>
      <c r="SJW55" s="82"/>
      <c r="SJX55" s="82"/>
      <c r="SJY55" s="82"/>
      <c r="SJZ55" s="82"/>
      <c r="SKA55" s="82"/>
      <c r="SKB55" s="82"/>
      <c r="SKC55" s="82"/>
      <c r="SKD55" s="82"/>
      <c r="SKE55" s="82"/>
      <c r="SKF55" s="82"/>
      <c r="SKG55" s="82"/>
      <c r="SKH55" s="82"/>
      <c r="SKI55" s="82"/>
      <c r="SKJ55" s="82"/>
      <c r="SKK55" s="82"/>
      <c r="SKL55" s="82"/>
      <c r="SKM55" s="82"/>
      <c r="SKN55" s="82"/>
      <c r="SKO55" s="82"/>
      <c r="SKP55" s="82"/>
      <c r="SKQ55" s="82"/>
      <c r="SKR55" s="82"/>
      <c r="SKS55" s="82"/>
      <c r="SKT55" s="82"/>
      <c r="SKU55" s="82"/>
      <c r="SKV55" s="82"/>
      <c r="SKW55" s="82"/>
      <c r="SKX55" s="82"/>
      <c r="SKY55" s="82"/>
      <c r="SKZ55" s="82"/>
      <c r="SLA55" s="82"/>
      <c r="SLB55" s="82"/>
      <c r="SLC55" s="82"/>
      <c r="SLD55" s="82"/>
      <c r="SLE55" s="82"/>
      <c r="SLF55" s="82"/>
      <c r="SLG55" s="82"/>
      <c r="SLH55" s="82"/>
      <c r="SLI55" s="82"/>
      <c r="SLJ55" s="82"/>
      <c r="SLK55" s="82"/>
      <c r="SLL55" s="82"/>
      <c r="SLM55" s="82"/>
      <c r="SLN55" s="82"/>
      <c r="SLO55" s="82"/>
      <c r="SLP55" s="82"/>
      <c r="SLQ55" s="82"/>
      <c r="SLR55" s="82"/>
      <c r="SLS55" s="82"/>
      <c r="SLT55" s="82"/>
      <c r="SLU55" s="82"/>
      <c r="SLV55" s="82"/>
      <c r="SLW55" s="82"/>
      <c r="SLX55" s="82"/>
      <c r="SLY55" s="82"/>
      <c r="SLZ55" s="82"/>
      <c r="SMA55" s="82"/>
      <c r="SMB55" s="82"/>
      <c r="SMC55" s="82"/>
      <c r="SMD55" s="82"/>
      <c r="SME55" s="82"/>
      <c r="SMF55" s="82"/>
      <c r="SMG55" s="82"/>
      <c r="SMH55" s="82"/>
      <c r="SMI55" s="82"/>
      <c r="SMJ55" s="82"/>
      <c r="SMK55" s="82"/>
      <c r="SML55" s="82"/>
      <c r="SMM55" s="82"/>
      <c r="SMN55" s="82"/>
      <c r="SMO55" s="82"/>
      <c r="SMP55" s="82"/>
      <c r="SMQ55" s="82"/>
      <c r="SMR55" s="82"/>
      <c r="SMS55" s="82"/>
      <c r="SMT55" s="82"/>
      <c r="SMU55" s="82"/>
      <c r="SMV55" s="82"/>
      <c r="SMW55" s="82"/>
      <c r="SMX55" s="82"/>
      <c r="SMY55" s="82"/>
      <c r="SMZ55" s="82"/>
      <c r="SNA55" s="82"/>
      <c r="SNB55" s="82"/>
      <c r="SNC55" s="82"/>
      <c r="SND55" s="82"/>
      <c r="SNE55" s="82"/>
      <c r="SNF55" s="82"/>
      <c r="SNG55" s="82"/>
      <c r="SNH55" s="82"/>
      <c r="SNI55" s="82"/>
      <c r="SNJ55" s="82"/>
      <c r="SNK55" s="82"/>
      <c r="SNL55" s="82"/>
      <c r="SNM55" s="82"/>
      <c r="SNN55" s="82"/>
      <c r="SNO55" s="82"/>
      <c r="SNP55" s="82"/>
      <c r="SNQ55" s="82"/>
      <c r="SNR55" s="82"/>
      <c r="SNS55" s="82"/>
      <c r="SNT55" s="82"/>
      <c r="SNU55" s="82"/>
      <c r="SNV55" s="82"/>
      <c r="SNW55" s="82"/>
      <c r="SNX55" s="82"/>
      <c r="SNY55" s="82"/>
      <c r="SNZ55" s="82"/>
      <c r="SOA55" s="82"/>
      <c r="SOB55" s="82"/>
      <c r="SOC55" s="82"/>
      <c r="SOD55" s="82"/>
      <c r="SOE55" s="82"/>
      <c r="SOF55" s="82"/>
      <c r="SOG55" s="82"/>
      <c r="SOH55" s="82"/>
      <c r="SOI55" s="82"/>
      <c r="SOJ55" s="82"/>
      <c r="SOK55" s="82"/>
      <c r="SOL55" s="82"/>
      <c r="SOM55" s="82"/>
      <c r="SON55" s="82"/>
      <c r="SOO55" s="82"/>
      <c r="SOP55" s="82"/>
      <c r="SOQ55" s="82"/>
      <c r="SOR55" s="82"/>
      <c r="SOS55" s="82"/>
      <c r="SOT55" s="82"/>
      <c r="SOU55" s="82"/>
      <c r="SOV55" s="82"/>
      <c r="SOW55" s="82"/>
      <c r="SOX55" s="82"/>
      <c r="SOY55" s="82"/>
      <c r="SOZ55" s="82"/>
      <c r="SPA55" s="82"/>
      <c r="SPB55" s="82"/>
      <c r="SPC55" s="82"/>
      <c r="SPD55" s="82"/>
      <c r="SPE55" s="82"/>
      <c r="SPF55" s="82"/>
      <c r="SPG55" s="82"/>
      <c r="SPH55" s="82"/>
      <c r="SPI55" s="82"/>
      <c r="SPJ55" s="82"/>
      <c r="SPK55" s="82"/>
      <c r="SPL55" s="82"/>
      <c r="SPM55" s="82"/>
      <c r="SPN55" s="82"/>
      <c r="SPO55" s="82"/>
      <c r="SPP55" s="82"/>
      <c r="SPQ55" s="82"/>
      <c r="SPR55" s="82"/>
      <c r="SPS55" s="82"/>
      <c r="SPT55" s="82"/>
      <c r="SPU55" s="82"/>
      <c r="SPV55" s="82"/>
      <c r="SPW55" s="82"/>
      <c r="SPX55" s="82"/>
      <c r="SPY55" s="82"/>
      <c r="SPZ55" s="82"/>
      <c r="SQA55" s="82"/>
      <c r="SQB55" s="82"/>
      <c r="SQC55" s="82"/>
      <c r="SQD55" s="82"/>
      <c r="SQE55" s="82"/>
      <c r="SQF55" s="82"/>
      <c r="SQG55" s="82"/>
      <c r="SQH55" s="82"/>
      <c r="SQI55" s="82"/>
      <c r="SQJ55" s="82"/>
      <c r="SQK55" s="82"/>
      <c r="SQL55" s="82"/>
      <c r="SQM55" s="82"/>
      <c r="SQN55" s="82"/>
      <c r="SQO55" s="82"/>
      <c r="SQP55" s="82"/>
      <c r="SQQ55" s="82"/>
      <c r="SQR55" s="82"/>
      <c r="SQS55" s="82"/>
      <c r="SQT55" s="82"/>
      <c r="SQU55" s="82"/>
      <c r="SQV55" s="82"/>
      <c r="SQW55" s="82"/>
      <c r="SQX55" s="82"/>
      <c r="SQY55" s="82"/>
      <c r="SQZ55" s="82"/>
      <c r="SRA55" s="82"/>
      <c r="SRB55" s="82"/>
      <c r="SRC55" s="82"/>
      <c r="SRD55" s="82"/>
      <c r="SRE55" s="82"/>
      <c r="SRF55" s="82"/>
      <c r="SRG55" s="82"/>
      <c r="SRH55" s="82"/>
      <c r="SRI55" s="82"/>
      <c r="SRJ55" s="82"/>
      <c r="SRK55" s="82"/>
      <c r="SRL55" s="82"/>
      <c r="SRM55" s="82"/>
      <c r="SRN55" s="82"/>
      <c r="SRO55" s="82"/>
      <c r="SRP55" s="82"/>
      <c r="SRQ55" s="82"/>
      <c r="SRR55" s="82"/>
      <c r="SRS55" s="82"/>
      <c r="SRT55" s="82"/>
      <c r="SRU55" s="82"/>
      <c r="SRV55" s="82"/>
      <c r="SRW55" s="82"/>
      <c r="SRX55" s="82"/>
      <c r="SRY55" s="82"/>
      <c r="SRZ55" s="82"/>
      <c r="SSA55" s="82"/>
      <c r="SSB55" s="82"/>
      <c r="SSC55" s="82"/>
      <c r="SSD55" s="82"/>
      <c r="SSE55" s="82"/>
      <c r="SSF55" s="82"/>
      <c r="SSG55" s="82"/>
      <c r="SSH55" s="82"/>
      <c r="SSI55" s="82"/>
      <c r="SSJ55" s="82"/>
      <c r="SSK55" s="82"/>
      <c r="SSL55" s="82"/>
      <c r="SSM55" s="82"/>
      <c r="SSN55" s="82"/>
      <c r="SSO55" s="82"/>
      <c r="SSP55" s="82"/>
      <c r="SSQ55" s="82"/>
      <c r="SSR55" s="82"/>
      <c r="SSS55" s="82"/>
      <c r="SST55" s="82"/>
      <c r="SSU55" s="82"/>
      <c r="SSV55" s="82"/>
      <c r="SSW55" s="82"/>
      <c r="SSX55" s="82"/>
      <c r="SSY55" s="82"/>
      <c r="SSZ55" s="82"/>
      <c r="STA55" s="82"/>
      <c r="STB55" s="82"/>
      <c r="STC55" s="82"/>
      <c r="STD55" s="82"/>
      <c r="STE55" s="82"/>
      <c r="STF55" s="82"/>
      <c r="STG55" s="82"/>
      <c r="STH55" s="82"/>
      <c r="STI55" s="82"/>
      <c r="STJ55" s="82"/>
      <c r="STK55" s="82"/>
      <c r="STL55" s="82"/>
      <c r="STM55" s="82"/>
      <c r="STN55" s="82"/>
      <c r="STO55" s="82"/>
      <c r="STP55" s="82"/>
      <c r="STQ55" s="82"/>
      <c r="STR55" s="82"/>
      <c r="STS55" s="82"/>
      <c r="STT55" s="82"/>
      <c r="STU55" s="82"/>
      <c r="STV55" s="82"/>
      <c r="STW55" s="82"/>
      <c r="STX55" s="82"/>
      <c r="STY55" s="82"/>
      <c r="STZ55" s="82"/>
      <c r="SUA55" s="82"/>
      <c r="SUB55" s="82"/>
      <c r="SUC55" s="82"/>
      <c r="SUD55" s="82"/>
      <c r="SUE55" s="82"/>
      <c r="SUF55" s="82"/>
      <c r="SUG55" s="82"/>
      <c r="SUH55" s="82"/>
      <c r="SUI55" s="82"/>
      <c r="SUJ55" s="82"/>
      <c r="SUK55" s="82"/>
      <c r="SUL55" s="82"/>
      <c r="SUM55" s="82"/>
      <c r="SUN55" s="82"/>
      <c r="SUO55" s="82"/>
      <c r="SUP55" s="82"/>
      <c r="SUQ55" s="82"/>
      <c r="SUR55" s="82"/>
      <c r="SUS55" s="82"/>
      <c r="SUT55" s="82"/>
      <c r="SUU55" s="82"/>
      <c r="SUV55" s="82"/>
      <c r="SUW55" s="82"/>
      <c r="SUX55" s="82"/>
      <c r="SUY55" s="82"/>
      <c r="SUZ55" s="82"/>
      <c r="SVA55" s="82"/>
      <c r="SVB55" s="82"/>
      <c r="SVC55" s="82"/>
      <c r="SVD55" s="82"/>
      <c r="SVE55" s="82"/>
      <c r="SVF55" s="82"/>
      <c r="SVG55" s="82"/>
      <c r="SVH55" s="82"/>
      <c r="SVI55" s="82"/>
      <c r="SVJ55" s="82"/>
      <c r="SVK55" s="82"/>
      <c r="SVL55" s="82"/>
      <c r="SVM55" s="82"/>
      <c r="SVN55" s="82"/>
      <c r="SVO55" s="82"/>
      <c r="SVP55" s="82"/>
      <c r="SVQ55" s="82"/>
      <c r="SVR55" s="82"/>
      <c r="SVS55" s="82"/>
      <c r="SVT55" s="82"/>
      <c r="SVU55" s="82"/>
      <c r="SVV55" s="82"/>
      <c r="SVW55" s="82"/>
      <c r="SVX55" s="82"/>
      <c r="SVY55" s="82"/>
      <c r="SVZ55" s="82"/>
      <c r="SWA55" s="82"/>
      <c r="SWB55" s="82"/>
      <c r="SWC55" s="82"/>
      <c r="SWD55" s="82"/>
      <c r="SWE55" s="82"/>
      <c r="SWF55" s="82"/>
      <c r="SWG55" s="82"/>
      <c r="SWH55" s="82"/>
      <c r="SWI55" s="82"/>
      <c r="SWJ55" s="82"/>
      <c r="SWK55" s="82"/>
      <c r="SWL55" s="82"/>
      <c r="SWM55" s="82"/>
      <c r="SWN55" s="82"/>
      <c r="SWO55" s="82"/>
      <c r="SWP55" s="82"/>
      <c r="SWQ55" s="82"/>
      <c r="SWR55" s="82"/>
      <c r="SWS55" s="82"/>
      <c r="SWT55" s="82"/>
      <c r="SWU55" s="82"/>
      <c r="SWV55" s="82"/>
      <c r="SWW55" s="82"/>
      <c r="SWX55" s="82"/>
      <c r="SWY55" s="82"/>
      <c r="SWZ55" s="82"/>
      <c r="SXA55" s="82"/>
      <c r="SXB55" s="82"/>
      <c r="SXC55" s="82"/>
      <c r="SXD55" s="82"/>
      <c r="SXE55" s="82"/>
      <c r="SXF55" s="82"/>
      <c r="SXG55" s="82"/>
      <c r="SXH55" s="82"/>
      <c r="SXI55" s="82"/>
      <c r="SXJ55" s="82"/>
      <c r="SXK55" s="82"/>
      <c r="SXL55" s="82"/>
      <c r="SXM55" s="82"/>
      <c r="SXN55" s="82"/>
      <c r="SXO55" s="82"/>
      <c r="SXP55" s="82"/>
      <c r="SXQ55" s="82"/>
      <c r="SXR55" s="82"/>
      <c r="SXS55" s="82"/>
      <c r="SXT55" s="82"/>
      <c r="SXU55" s="82"/>
      <c r="SXV55" s="82"/>
      <c r="SXW55" s="82"/>
      <c r="SXX55" s="82"/>
      <c r="SXY55" s="82"/>
      <c r="SXZ55" s="82"/>
      <c r="SYA55" s="82"/>
      <c r="SYB55" s="82"/>
      <c r="SYC55" s="82"/>
      <c r="SYD55" s="82"/>
      <c r="SYE55" s="82"/>
      <c r="SYF55" s="82"/>
      <c r="SYG55" s="82"/>
      <c r="SYH55" s="82"/>
      <c r="SYI55" s="82"/>
      <c r="SYJ55" s="82"/>
      <c r="SYK55" s="82"/>
      <c r="SYL55" s="82"/>
      <c r="SYM55" s="82"/>
      <c r="SYN55" s="82"/>
      <c r="SYO55" s="82"/>
      <c r="SYP55" s="82"/>
      <c r="SYQ55" s="82"/>
      <c r="SYR55" s="82"/>
      <c r="SYS55" s="82"/>
      <c r="SYT55" s="82"/>
      <c r="SYU55" s="82"/>
      <c r="SYV55" s="82"/>
      <c r="SYW55" s="82"/>
      <c r="SYX55" s="82"/>
      <c r="SYY55" s="82"/>
      <c r="SYZ55" s="82"/>
      <c r="SZA55" s="82"/>
      <c r="SZB55" s="82"/>
      <c r="SZC55" s="82"/>
      <c r="SZD55" s="82"/>
      <c r="SZE55" s="82"/>
      <c r="SZF55" s="82"/>
      <c r="SZG55" s="82"/>
      <c r="SZH55" s="82"/>
      <c r="SZI55" s="82"/>
      <c r="SZJ55" s="82"/>
      <c r="SZK55" s="82"/>
      <c r="SZL55" s="82"/>
      <c r="SZM55" s="82"/>
      <c r="SZN55" s="82"/>
      <c r="SZO55" s="82"/>
      <c r="SZP55" s="82"/>
      <c r="SZQ55" s="82"/>
      <c r="SZR55" s="82"/>
      <c r="SZS55" s="82"/>
      <c r="SZT55" s="82"/>
      <c r="SZU55" s="82"/>
      <c r="SZV55" s="82"/>
      <c r="SZW55" s="82"/>
      <c r="SZX55" s="82"/>
      <c r="SZY55" s="82"/>
      <c r="SZZ55" s="82"/>
      <c r="TAA55" s="82"/>
      <c r="TAB55" s="82"/>
      <c r="TAC55" s="82"/>
      <c r="TAD55" s="82"/>
      <c r="TAE55" s="82"/>
      <c r="TAF55" s="82"/>
      <c r="TAG55" s="82"/>
      <c r="TAH55" s="82"/>
      <c r="TAI55" s="82"/>
      <c r="TAJ55" s="82"/>
      <c r="TAK55" s="82"/>
      <c r="TAL55" s="82"/>
      <c r="TAM55" s="82"/>
      <c r="TAN55" s="82"/>
      <c r="TAO55" s="82"/>
      <c r="TAP55" s="82"/>
      <c r="TAQ55" s="82"/>
      <c r="TAR55" s="82"/>
      <c r="TAS55" s="82"/>
      <c r="TAT55" s="82"/>
      <c r="TAU55" s="82"/>
      <c r="TAV55" s="82"/>
      <c r="TAW55" s="82"/>
      <c r="TAX55" s="82"/>
      <c r="TAY55" s="82"/>
      <c r="TAZ55" s="82"/>
      <c r="TBA55" s="82"/>
      <c r="TBB55" s="82"/>
      <c r="TBC55" s="82"/>
      <c r="TBD55" s="82"/>
      <c r="TBE55" s="82"/>
      <c r="TBF55" s="82"/>
      <c r="TBG55" s="82"/>
      <c r="TBH55" s="82"/>
      <c r="TBI55" s="82"/>
      <c r="TBJ55" s="82"/>
      <c r="TBK55" s="82"/>
      <c r="TBL55" s="82"/>
      <c r="TBM55" s="82"/>
      <c r="TBN55" s="82"/>
      <c r="TBO55" s="82"/>
      <c r="TBP55" s="82"/>
      <c r="TBQ55" s="82"/>
      <c r="TBR55" s="82"/>
      <c r="TBS55" s="82"/>
      <c r="TBT55" s="82"/>
      <c r="TBU55" s="82"/>
      <c r="TBV55" s="82"/>
      <c r="TBW55" s="82"/>
      <c r="TBX55" s="82"/>
      <c r="TBY55" s="82"/>
      <c r="TBZ55" s="82"/>
      <c r="TCA55" s="82"/>
      <c r="TCB55" s="82"/>
      <c r="TCC55" s="82"/>
      <c r="TCD55" s="82"/>
      <c r="TCE55" s="82"/>
      <c r="TCF55" s="82"/>
      <c r="TCG55" s="82"/>
      <c r="TCH55" s="82"/>
      <c r="TCI55" s="82"/>
      <c r="TCJ55" s="82"/>
      <c r="TCK55" s="82"/>
      <c r="TCL55" s="82"/>
      <c r="TCM55" s="82"/>
      <c r="TCN55" s="82"/>
      <c r="TCO55" s="82"/>
      <c r="TCP55" s="82"/>
      <c r="TCQ55" s="82"/>
      <c r="TCR55" s="82"/>
      <c r="TCS55" s="82"/>
      <c r="TCT55" s="82"/>
      <c r="TCU55" s="82"/>
      <c r="TCV55" s="82"/>
      <c r="TCW55" s="82"/>
      <c r="TCX55" s="82"/>
      <c r="TCY55" s="82"/>
      <c r="TCZ55" s="82"/>
      <c r="TDA55" s="82"/>
      <c r="TDB55" s="82"/>
      <c r="TDC55" s="82"/>
      <c r="TDD55" s="82"/>
      <c r="TDE55" s="82"/>
      <c r="TDF55" s="82"/>
      <c r="TDG55" s="82"/>
      <c r="TDH55" s="82"/>
      <c r="TDI55" s="82"/>
      <c r="TDJ55" s="82"/>
      <c r="TDK55" s="82"/>
      <c r="TDL55" s="82"/>
      <c r="TDM55" s="82"/>
      <c r="TDN55" s="82"/>
      <c r="TDO55" s="82"/>
      <c r="TDP55" s="82"/>
      <c r="TDQ55" s="82"/>
      <c r="TDR55" s="82"/>
      <c r="TDS55" s="82"/>
      <c r="TDT55" s="82"/>
      <c r="TDU55" s="82"/>
      <c r="TDV55" s="82"/>
      <c r="TDW55" s="82"/>
      <c r="TDX55" s="82"/>
      <c r="TDY55" s="82"/>
      <c r="TDZ55" s="82"/>
      <c r="TEA55" s="82"/>
      <c r="TEB55" s="82"/>
      <c r="TEC55" s="82"/>
      <c r="TED55" s="82"/>
      <c r="TEE55" s="82"/>
      <c r="TEF55" s="82"/>
      <c r="TEG55" s="82"/>
      <c r="TEH55" s="82"/>
      <c r="TEI55" s="82"/>
      <c r="TEJ55" s="82"/>
      <c r="TEK55" s="82"/>
      <c r="TEL55" s="82"/>
      <c r="TEM55" s="82"/>
      <c r="TEN55" s="82"/>
      <c r="TEO55" s="82"/>
      <c r="TEP55" s="82"/>
      <c r="TEQ55" s="82"/>
      <c r="TER55" s="82"/>
      <c r="TES55" s="82"/>
      <c r="TET55" s="82"/>
      <c r="TEU55" s="82"/>
      <c r="TEV55" s="82"/>
      <c r="TEW55" s="82"/>
      <c r="TEX55" s="82"/>
      <c r="TEY55" s="82"/>
      <c r="TEZ55" s="82"/>
      <c r="TFA55" s="82"/>
      <c r="TFB55" s="82"/>
      <c r="TFC55" s="82"/>
      <c r="TFD55" s="82"/>
      <c r="TFE55" s="82"/>
      <c r="TFF55" s="82"/>
      <c r="TFG55" s="82"/>
      <c r="TFH55" s="82"/>
      <c r="TFI55" s="82"/>
      <c r="TFJ55" s="82"/>
      <c r="TFK55" s="82"/>
      <c r="TFL55" s="82"/>
      <c r="TFM55" s="82"/>
      <c r="TFN55" s="82"/>
      <c r="TFO55" s="82"/>
      <c r="TFP55" s="82"/>
      <c r="TFQ55" s="82"/>
      <c r="TFR55" s="82"/>
      <c r="TFS55" s="82"/>
      <c r="TFT55" s="82"/>
      <c r="TFU55" s="82"/>
      <c r="TFV55" s="82"/>
      <c r="TFW55" s="82"/>
      <c r="TFX55" s="82"/>
      <c r="TFY55" s="82"/>
      <c r="TFZ55" s="82"/>
      <c r="TGA55" s="82"/>
      <c r="TGB55" s="82"/>
      <c r="TGC55" s="82"/>
      <c r="TGD55" s="82"/>
      <c r="TGE55" s="82"/>
      <c r="TGF55" s="82"/>
      <c r="TGG55" s="82"/>
      <c r="TGH55" s="82"/>
      <c r="TGI55" s="82"/>
      <c r="TGJ55" s="82"/>
      <c r="TGK55" s="82"/>
      <c r="TGL55" s="82"/>
      <c r="TGM55" s="82"/>
      <c r="TGN55" s="82"/>
      <c r="TGO55" s="82"/>
      <c r="TGP55" s="82"/>
      <c r="TGQ55" s="82"/>
      <c r="TGR55" s="82"/>
      <c r="TGS55" s="82"/>
      <c r="TGT55" s="82"/>
      <c r="TGU55" s="82"/>
      <c r="TGV55" s="82"/>
      <c r="TGW55" s="82"/>
      <c r="TGX55" s="82"/>
      <c r="TGY55" s="82"/>
      <c r="TGZ55" s="82"/>
      <c r="THA55" s="82"/>
      <c r="THB55" s="82"/>
      <c r="THC55" s="82"/>
      <c r="THD55" s="82"/>
      <c r="THE55" s="82"/>
      <c r="THF55" s="82"/>
      <c r="THG55" s="82"/>
      <c r="THH55" s="82"/>
      <c r="THI55" s="82"/>
      <c r="THJ55" s="82"/>
      <c r="THK55" s="82"/>
      <c r="THL55" s="82"/>
      <c r="THM55" s="82"/>
      <c r="THN55" s="82"/>
      <c r="THO55" s="82"/>
      <c r="THP55" s="82"/>
      <c r="THQ55" s="82"/>
      <c r="THR55" s="82"/>
      <c r="THS55" s="82"/>
      <c r="THT55" s="82"/>
      <c r="THU55" s="82"/>
      <c r="THV55" s="82"/>
      <c r="THW55" s="82"/>
      <c r="THX55" s="82"/>
      <c r="THY55" s="82"/>
      <c r="THZ55" s="82"/>
      <c r="TIA55" s="82"/>
      <c r="TIB55" s="82"/>
      <c r="TIC55" s="82"/>
      <c r="TID55" s="82"/>
      <c r="TIE55" s="82"/>
      <c r="TIF55" s="82"/>
      <c r="TIG55" s="82"/>
      <c r="TIH55" s="82"/>
      <c r="TII55" s="82"/>
      <c r="TIJ55" s="82"/>
      <c r="TIK55" s="82"/>
      <c r="TIL55" s="82"/>
      <c r="TIM55" s="82"/>
      <c r="TIN55" s="82"/>
      <c r="TIO55" s="82"/>
      <c r="TIP55" s="82"/>
      <c r="TIQ55" s="82"/>
      <c r="TIR55" s="82"/>
      <c r="TIS55" s="82"/>
      <c r="TIT55" s="82"/>
      <c r="TIU55" s="82"/>
      <c r="TIV55" s="82"/>
      <c r="TIW55" s="82"/>
      <c r="TIX55" s="82"/>
      <c r="TIY55" s="82"/>
      <c r="TIZ55" s="82"/>
      <c r="TJA55" s="82"/>
      <c r="TJB55" s="82"/>
      <c r="TJC55" s="82"/>
      <c r="TJD55" s="82"/>
      <c r="TJE55" s="82"/>
      <c r="TJF55" s="82"/>
      <c r="TJG55" s="82"/>
      <c r="TJH55" s="82"/>
      <c r="TJI55" s="82"/>
      <c r="TJJ55" s="82"/>
      <c r="TJK55" s="82"/>
      <c r="TJL55" s="82"/>
      <c r="TJM55" s="82"/>
      <c r="TJN55" s="82"/>
      <c r="TJO55" s="82"/>
      <c r="TJP55" s="82"/>
      <c r="TJQ55" s="82"/>
      <c r="TJR55" s="82"/>
      <c r="TJS55" s="82"/>
      <c r="TJT55" s="82"/>
      <c r="TJU55" s="82"/>
      <c r="TJV55" s="82"/>
      <c r="TJW55" s="82"/>
      <c r="TJX55" s="82"/>
      <c r="TJY55" s="82"/>
      <c r="TJZ55" s="82"/>
      <c r="TKA55" s="82"/>
      <c r="TKB55" s="82"/>
      <c r="TKC55" s="82"/>
      <c r="TKD55" s="82"/>
      <c r="TKE55" s="82"/>
      <c r="TKF55" s="82"/>
      <c r="TKG55" s="82"/>
      <c r="TKH55" s="82"/>
      <c r="TKI55" s="82"/>
      <c r="TKJ55" s="82"/>
      <c r="TKK55" s="82"/>
      <c r="TKL55" s="82"/>
      <c r="TKM55" s="82"/>
      <c r="TKN55" s="82"/>
      <c r="TKO55" s="82"/>
      <c r="TKP55" s="82"/>
      <c r="TKQ55" s="82"/>
      <c r="TKR55" s="82"/>
      <c r="TKS55" s="82"/>
      <c r="TKT55" s="82"/>
      <c r="TKU55" s="82"/>
      <c r="TKV55" s="82"/>
      <c r="TKW55" s="82"/>
      <c r="TKX55" s="82"/>
      <c r="TKY55" s="82"/>
      <c r="TKZ55" s="82"/>
      <c r="TLA55" s="82"/>
      <c r="TLB55" s="82"/>
      <c r="TLC55" s="82"/>
      <c r="TLD55" s="82"/>
      <c r="TLE55" s="82"/>
      <c r="TLF55" s="82"/>
      <c r="TLG55" s="82"/>
      <c r="TLH55" s="82"/>
      <c r="TLI55" s="82"/>
      <c r="TLJ55" s="82"/>
      <c r="TLK55" s="82"/>
      <c r="TLL55" s="82"/>
      <c r="TLM55" s="82"/>
      <c r="TLN55" s="82"/>
      <c r="TLO55" s="82"/>
      <c r="TLP55" s="82"/>
      <c r="TLQ55" s="82"/>
      <c r="TLR55" s="82"/>
      <c r="TLS55" s="82"/>
      <c r="TLT55" s="82"/>
      <c r="TLU55" s="82"/>
      <c r="TLV55" s="82"/>
      <c r="TLW55" s="82"/>
      <c r="TLX55" s="82"/>
      <c r="TLY55" s="82"/>
      <c r="TLZ55" s="82"/>
      <c r="TMA55" s="82"/>
      <c r="TMB55" s="82"/>
      <c r="TMC55" s="82"/>
      <c r="TMD55" s="82"/>
      <c r="TME55" s="82"/>
      <c r="TMF55" s="82"/>
      <c r="TMG55" s="82"/>
      <c r="TMH55" s="82"/>
      <c r="TMI55" s="82"/>
      <c r="TMJ55" s="82"/>
      <c r="TMK55" s="82"/>
      <c r="TML55" s="82"/>
      <c r="TMM55" s="82"/>
      <c r="TMN55" s="82"/>
      <c r="TMO55" s="82"/>
      <c r="TMP55" s="82"/>
      <c r="TMQ55" s="82"/>
      <c r="TMR55" s="82"/>
      <c r="TMS55" s="82"/>
      <c r="TMT55" s="82"/>
      <c r="TMU55" s="82"/>
      <c r="TMV55" s="82"/>
      <c r="TMW55" s="82"/>
      <c r="TMX55" s="82"/>
      <c r="TMY55" s="82"/>
      <c r="TMZ55" s="82"/>
      <c r="TNA55" s="82"/>
      <c r="TNB55" s="82"/>
      <c r="TNC55" s="82"/>
      <c r="TND55" s="82"/>
      <c r="TNE55" s="82"/>
      <c r="TNF55" s="82"/>
      <c r="TNG55" s="82"/>
      <c r="TNH55" s="82"/>
      <c r="TNI55" s="82"/>
      <c r="TNJ55" s="82"/>
      <c r="TNK55" s="82"/>
      <c r="TNL55" s="82"/>
      <c r="TNM55" s="82"/>
      <c r="TNN55" s="82"/>
      <c r="TNO55" s="82"/>
      <c r="TNP55" s="82"/>
      <c r="TNQ55" s="82"/>
      <c r="TNR55" s="82"/>
      <c r="TNS55" s="82"/>
      <c r="TNT55" s="82"/>
      <c r="TNU55" s="82"/>
      <c r="TNV55" s="82"/>
      <c r="TNW55" s="82"/>
      <c r="TNX55" s="82"/>
      <c r="TNY55" s="82"/>
      <c r="TNZ55" s="82"/>
      <c r="TOA55" s="82"/>
      <c r="TOB55" s="82"/>
      <c r="TOC55" s="82"/>
      <c r="TOD55" s="82"/>
      <c r="TOE55" s="82"/>
      <c r="TOF55" s="82"/>
      <c r="TOG55" s="82"/>
      <c r="TOH55" s="82"/>
      <c r="TOI55" s="82"/>
      <c r="TOJ55" s="82"/>
      <c r="TOK55" s="82"/>
      <c r="TOL55" s="82"/>
      <c r="TOM55" s="82"/>
      <c r="TON55" s="82"/>
      <c r="TOO55" s="82"/>
      <c r="TOP55" s="82"/>
      <c r="TOQ55" s="82"/>
      <c r="TOR55" s="82"/>
      <c r="TOS55" s="82"/>
      <c r="TOT55" s="82"/>
      <c r="TOU55" s="82"/>
      <c r="TOV55" s="82"/>
      <c r="TOW55" s="82"/>
      <c r="TOX55" s="82"/>
      <c r="TOY55" s="82"/>
      <c r="TOZ55" s="82"/>
      <c r="TPA55" s="82"/>
      <c r="TPB55" s="82"/>
      <c r="TPC55" s="82"/>
      <c r="TPD55" s="82"/>
      <c r="TPE55" s="82"/>
      <c r="TPF55" s="82"/>
      <c r="TPG55" s="82"/>
      <c r="TPH55" s="82"/>
      <c r="TPI55" s="82"/>
      <c r="TPJ55" s="82"/>
      <c r="TPK55" s="82"/>
      <c r="TPL55" s="82"/>
      <c r="TPM55" s="82"/>
      <c r="TPN55" s="82"/>
      <c r="TPO55" s="82"/>
      <c r="TPP55" s="82"/>
      <c r="TPQ55" s="82"/>
      <c r="TPR55" s="82"/>
      <c r="TPS55" s="82"/>
      <c r="TPT55" s="82"/>
      <c r="TPU55" s="82"/>
      <c r="TPV55" s="82"/>
      <c r="TPW55" s="82"/>
      <c r="TPX55" s="82"/>
      <c r="TPY55" s="82"/>
      <c r="TPZ55" s="82"/>
      <c r="TQA55" s="82"/>
      <c r="TQB55" s="82"/>
      <c r="TQC55" s="82"/>
      <c r="TQD55" s="82"/>
      <c r="TQE55" s="82"/>
      <c r="TQF55" s="82"/>
      <c r="TQG55" s="82"/>
      <c r="TQH55" s="82"/>
      <c r="TQI55" s="82"/>
      <c r="TQJ55" s="82"/>
      <c r="TQK55" s="82"/>
      <c r="TQL55" s="82"/>
      <c r="TQM55" s="82"/>
      <c r="TQN55" s="82"/>
      <c r="TQO55" s="82"/>
      <c r="TQP55" s="82"/>
      <c r="TQQ55" s="82"/>
      <c r="TQR55" s="82"/>
      <c r="TQS55" s="82"/>
      <c r="TQT55" s="82"/>
      <c r="TQU55" s="82"/>
      <c r="TQV55" s="82"/>
      <c r="TQW55" s="82"/>
      <c r="TQX55" s="82"/>
      <c r="TQY55" s="82"/>
      <c r="TQZ55" s="82"/>
      <c r="TRA55" s="82"/>
      <c r="TRB55" s="82"/>
      <c r="TRC55" s="82"/>
      <c r="TRD55" s="82"/>
      <c r="TRE55" s="82"/>
      <c r="TRF55" s="82"/>
      <c r="TRG55" s="82"/>
      <c r="TRH55" s="82"/>
      <c r="TRI55" s="82"/>
      <c r="TRJ55" s="82"/>
      <c r="TRK55" s="82"/>
      <c r="TRL55" s="82"/>
      <c r="TRM55" s="82"/>
      <c r="TRN55" s="82"/>
      <c r="TRO55" s="82"/>
      <c r="TRP55" s="82"/>
      <c r="TRQ55" s="82"/>
      <c r="TRR55" s="82"/>
      <c r="TRS55" s="82"/>
      <c r="TRT55" s="82"/>
      <c r="TRU55" s="82"/>
      <c r="TRV55" s="82"/>
      <c r="TRW55" s="82"/>
      <c r="TRX55" s="82"/>
      <c r="TRY55" s="82"/>
      <c r="TRZ55" s="82"/>
      <c r="TSA55" s="82"/>
      <c r="TSB55" s="82"/>
      <c r="TSC55" s="82"/>
      <c r="TSD55" s="82"/>
      <c r="TSE55" s="82"/>
      <c r="TSF55" s="82"/>
      <c r="TSG55" s="82"/>
      <c r="TSH55" s="82"/>
      <c r="TSI55" s="82"/>
      <c r="TSJ55" s="82"/>
      <c r="TSK55" s="82"/>
      <c r="TSL55" s="82"/>
      <c r="TSM55" s="82"/>
      <c r="TSN55" s="82"/>
      <c r="TSO55" s="82"/>
      <c r="TSP55" s="82"/>
      <c r="TSQ55" s="82"/>
      <c r="TSR55" s="82"/>
      <c r="TSS55" s="82"/>
      <c r="TST55" s="82"/>
      <c r="TSU55" s="82"/>
      <c r="TSV55" s="82"/>
      <c r="TSW55" s="82"/>
      <c r="TSX55" s="82"/>
      <c r="TSY55" s="82"/>
      <c r="TSZ55" s="82"/>
      <c r="TTA55" s="82"/>
      <c r="TTB55" s="82"/>
      <c r="TTC55" s="82"/>
      <c r="TTD55" s="82"/>
      <c r="TTE55" s="82"/>
      <c r="TTF55" s="82"/>
      <c r="TTG55" s="82"/>
      <c r="TTH55" s="82"/>
      <c r="TTI55" s="82"/>
      <c r="TTJ55" s="82"/>
      <c r="TTK55" s="82"/>
      <c r="TTL55" s="82"/>
      <c r="TTM55" s="82"/>
      <c r="TTN55" s="82"/>
      <c r="TTO55" s="82"/>
      <c r="TTP55" s="82"/>
      <c r="TTQ55" s="82"/>
      <c r="TTR55" s="82"/>
      <c r="TTS55" s="82"/>
      <c r="TTT55" s="82"/>
      <c r="TTU55" s="82"/>
      <c r="TTV55" s="82"/>
      <c r="TTW55" s="82"/>
      <c r="TTX55" s="82"/>
      <c r="TTY55" s="82"/>
      <c r="TTZ55" s="82"/>
      <c r="TUA55" s="82"/>
      <c r="TUB55" s="82"/>
      <c r="TUC55" s="82"/>
      <c r="TUD55" s="82"/>
      <c r="TUE55" s="82"/>
      <c r="TUF55" s="82"/>
      <c r="TUG55" s="82"/>
      <c r="TUH55" s="82"/>
      <c r="TUI55" s="82"/>
      <c r="TUJ55" s="82"/>
      <c r="TUK55" s="82"/>
      <c r="TUL55" s="82"/>
      <c r="TUM55" s="82"/>
      <c r="TUN55" s="82"/>
      <c r="TUO55" s="82"/>
      <c r="TUP55" s="82"/>
      <c r="TUQ55" s="82"/>
      <c r="TUR55" s="82"/>
      <c r="TUS55" s="82"/>
      <c r="TUT55" s="82"/>
      <c r="TUU55" s="82"/>
      <c r="TUV55" s="82"/>
      <c r="TUW55" s="82"/>
      <c r="TUX55" s="82"/>
      <c r="TUY55" s="82"/>
      <c r="TUZ55" s="82"/>
      <c r="TVA55" s="82"/>
      <c r="TVB55" s="82"/>
      <c r="TVC55" s="82"/>
      <c r="TVD55" s="82"/>
      <c r="TVE55" s="82"/>
      <c r="TVF55" s="82"/>
      <c r="TVG55" s="82"/>
      <c r="TVH55" s="82"/>
      <c r="TVI55" s="82"/>
      <c r="TVJ55" s="82"/>
      <c r="TVK55" s="82"/>
      <c r="TVL55" s="82"/>
      <c r="TVM55" s="82"/>
      <c r="TVN55" s="82"/>
      <c r="TVO55" s="82"/>
      <c r="TVP55" s="82"/>
      <c r="TVQ55" s="82"/>
      <c r="TVR55" s="82"/>
      <c r="TVS55" s="82"/>
      <c r="TVT55" s="82"/>
      <c r="TVU55" s="82"/>
      <c r="TVV55" s="82"/>
      <c r="TVW55" s="82"/>
      <c r="TVX55" s="82"/>
      <c r="TVY55" s="82"/>
      <c r="TVZ55" s="82"/>
      <c r="TWA55" s="82"/>
      <c r="TWB55" s="82"/>
      <c r="TWC55" s="82"/>
      <c r="TWD55" s="82"/>
      <c r="TWE55" s="82"/>
      <c r="TWF55" s="82"/>
      <c r="TWG55" s="82"/>
      <c r="TWH55" s="82"/>
      <c r="TWI55" s="82"/>
      <c r="TWJ55" s="82"/>
      <c r="TWK55" s="82"/>
      <c r="TWL55" s="82"/>
      <c r="TWM55" s="82"/>
      <c r="TWN55" s="82"/>
      <c r="TWO55" s="82"/>
      <c r="TWP55" s="82"/>
      <c r="TWQ55" s="82"/>
      <c r="TWR55" s="82"/>
      <c r="TWS55" s="82"/>
      <c r="TWT55" s="82"/>
      <c r="TWU55" s="82"/>
      <c r="TWV55" s="82"/>
      <c r="TWW55" s="82"/>
      <c r="TWX55" s="82"/>
      <c r="TWY55" s="82"/>
      <c r="TWZ55" s="82"/>
      <c r="TXA55" s="82"/>
      <c r="TXB55" s="82"/>
      <c r="TXC55" s="82"/>
      <c r="TXD55" s="82"/>
      <c r="TXE55" s="82"/>
      <c r="TXF55" s="82"/>
      <c r="TXG55" s="82"/>
      <c r="TXH55" s="82"/>
      <c r="TXI55" s="82"/>
      <c r="TXJ55" s="82"/>
      <c r="TXK55" s="82"/>
      <c r="TXL55" s="82"/>
      <c r="TXM55" s="82"/>
      <c r="TXN55" s="82"/>
      <c r="TXO55" s="82"/>
      <c r="TXP55" s="82"/>
      <c r="TXQ55" s="82"/>
      <c r="TXR55" s="82"/>
      <c r="TXS55" s="82"/>
      <c r="TXT55" s="82"/>
      <c r="TXU55" s="82"/>
      <c r="TXV55" s="82"/>
      <c r="TXW55" s="82"/>
      <c r="TXX55" s="82"/>
      <c r="TXY55" s="82"/>
      <c r="TXZ55" s="82"/>
      <c r="TYA55" s="82"/>
      <c r="TYB55" s="82"/>
      <c r="TYC55" s="82"/>
      <c r="TYD55" s="82"/>
      <c r="TYE55" s="82"/>
      <c r="TYF55" s="82"/>
      <c r="TYG55" s="82"/>
      <c r="TYH55" s="82"/>
      <c r="TYI55" s="82"/>
      <c r="TYJ55" s="82"/>
      <c r="TYK55" s="82"/>
      <c r="TYL55" s="82"/>
      <c r="TYM55" s="82"/>
      <c r="TYN55" s="82"/>
      <c r="TYO55" s="82"/>
      <c r="TYP55" s="82"/>
      <c r="TYQ55" s="82"/>
      <c r="TYR55" s="82"/>
      <c r="TYS55" s="82"/>
      <c r="TYT55" s="82"/>
      <c r="TYU55" s="82"/>
      <c r="TYV55" s="82"/>
      <c r="TYW55" s="82"/>
      <c r="TYX55" s="82"/>
      <c r="TYY55" s="82"/>
      <c r="TYZ55" s="82"/>
      <c r="TZA55" s="82"/>
      <c r="TZB55" s="82"/>
      <c r="TZC55" s="82"/>
      <c r="TZD55" s="82"/>
      <c r="TZE55" s="82"/>
      <c r="TZF55" s="82"/>
      <c r="TZG55" s="82"/>
      <c r="TZH55" s="82"/>
      <c r="TZI55" s="82"/>
      <c r="TZJ55" s="82"/>
      <c r="TZK55" s="82"/>
      <c r="TZL55" s="82"/>
      <c r="TZM55" s="82"/>
      <c r="TZN55" s="82"/>
      <c r="TZO55" s="82"/>
      <c r="TZP55" s="82"/>
      <c r="TZQ55" s="82"/>
      <c r="TZR55" s="82"/>
      <c r="TZS55" s="82"/>
      <c r="TZT55" s="82"/>
      <c r="TZU55" s="82"/>
      <c r="TZV55" s="82"/>
      <c r="TZW55" s="82"/>
      <c r="TZX55" s="82"/>
      <c r="TZY55" s="82"/>
      <c r="TZZ55" s="82"/>
      <c r="UAA55" s="82"/>
      <c r="UAB55" s="82"/>
      <c r="UAC55" s="82"/>
      <c r="UAD55" s="82"/>
      <c r="UAE55" s="82"/>
      <c r="UAF55" s="82"/>
      <c r="UAG55" s="82"/>
      <c r="UAH55" s="82"/>
      <c r="UAI55" s="82"/>
      <c r="UAJ55" s="82"/>
      <c r="UAK55" s="82"/>
      <c r="UAL55" s="82"/>
      <c r="UAM55" s="82"/>
      <c r="UAN55" s="82"/>
      <c r="UAO55" s="82"/>
      <c r="UAP55" s="82"/>
      <c r="UAQ55" s="82"/>
      <c r="UAR55" s="82"/>
      <c r="UAS55" s="82"/>
      <c r="UAT55" s="82"/>
      <c r="UAU55" s="82"/>
      <c r="UAV55" s="82"/>
      <c r="UAW55" s="82"/>
      <c r="UAX55" s="82"/>
      <c r="UAY55" s="82"/>
      <c r="UAZ55" s="82"/>
      <c r="UBA55" s="82"/>
      <c r="UBB55" s="82"/>
      <c r="UBC55" s="82"/>
      <c r="UBD55" s="82"/>
      <c r="UBE55" s="82"/>
      <c r="UBF55" s="82"/>
      <c r="UBG55" s="82"/>
      <c r="UBH55" s="82"/>
      <c r="UBI55" s="82"/>
      <c r="UBJ55" s="82"/>
      <c r="UBK55" s="82"/>
      <c r="UBL55" s="82"/>
      <c r="UBM55" s="82"/>
      <c r="UBN55" s="82"/>
      <c r="UBO55" s="82"/>
      <c r="UBP55" s="82"/>
      <c r="UBQ55" s="82"/>
      <c r="UBR55" s="82"/>
      <c r="UBS55" s="82"/>
      <c r="UBT55" s="82"/>
      <c r="UBU55" s="82"/>
      <c r="UBV55" s="82"/>
      <c r="UBW55" s="82"/>
      <c r="UBX55" s="82"/>
      <c r="UBY55" s="82"/>
      <c r="UBZ55" s="82"/>
      <c r="UCA55" s="82"/>
      <c r="UCB55" s="82"/>
      <c r="UCC55" s="82"/>
      <c r="UCD55" s="82"/>
      <c r="UCE55" s="82"/>
      <c r="UCF55" s="82"/>
      <c r="UCG55" s="82"/>
      <c r="UCH55" s="82"/>
      <c r="UCI55" s="82"/>
      <c r="UCJ55" s="82"/>
      <c r="UCK55" s="82"/>
      <c r="UCL55" s="82"/>
      <c r="UCM55" s="82"/>
      <c r="UCN55" s="82"/>
      <c r="UCO55" s="82"/>
      <c r="UCP55" s="82"/>
      <c r="UCQ55" s="82"/>
      <c r="UCR55" s="82"/>
      <c r="UCS55" s="82"/>
      <c r="UCT55" s="82"/>
      <c r="UCU55" s="82"/>
      <c r="UCV55" s="82"/>
      <c r="UCW55" s="82"/>
      <c r="UCX55" s="82"/>
      <c r="UCY55" s="82"/>
      <c r="UCZ55" s="82"/>
      <c r="UDA55" s="82"/>
      <c r="UDB55" s="82"/>
      <c r="UDC55" s="82"/>
      <c r="UDD55" s="82"/>
      <c r="UDE55" s="82"/>
      <c r="UDF55" s="82"/>
      <c r="UDG55" s="82"/>
      <c r="UDH55" s="82"/>
      <c r="UDI55" s="82"/>
      <c r="UDJ55" s="82"/>
      <c r="UDK55" s="82"/>
      <c r="UDL55" s="82"/>
      <c r="UDM55" s="82"/>
      <c r="UDN55" s="82"/>
      <c r="UDO55" s="82"/>
      <c r="UDP55" s="82"/>
      <c r="UDQ55" s="82"/>
      <c r="UDR55" s="82"/>
      <c r="UDS55" s="82"/>
      <c r="UDT55" s="82"/>
      <c r="UDU55" s="82"/>
      <c r="UDV55" s="82"/>
      <c r="UDW55" s="82"/>
      <c r="UDX55" s="82"/>
      <c r="UDY55" s="82"/>
      <c r="UDZ55" s="82"/>
      <c r="UEA55" s="82"/>
      <c r="UEB55" s="82"/>
      <c r="UEC55" s="82"/>
      <c r="UED55" s="82"/>
      <c r="UEE55" s="82"/>
      <c r="UEF55" s="82"/>
      <c r="UEG55" s="82"/>
      <c r="UEH55" s="82"/>
      <c r="UEI55" s="82"/>
      <c r="UEJ55" s="82"/>
      <c r="UEK55" s="82"/>
      <c r="UEL55" s="82"/>
      <c r="UEM55" s="82"/>
      <c r="UEN55" s="82"/>
      <c r="UEO55" s="82"/>
      <c r="UEP55" s="82"/>
      <c r="UEQ55" s="82"/>
      <c r="UER55" s="82"/>
      <c r="UES55" s="82"/>
      <c r="UET55" s="82"/>
      <c r="UEU55" s="82"/>
      <c r="UEV55" s="82"/>
      <c r="UEW55" s="82"/>
      <c r="UEX55" s="82"/>
      <c r="UEY55" s="82"/>
      <c r="UEZ55" s="82"/>
      <c r="UFA55" s="82"/>
      <c r="UFB55" s="82"/>
      <c r="UFC55" s="82"/>
      <c r="UFD55" s="82"/>
      <c r="UFE55" s="82"/>
      <c r="UFF55" s="82"/>
      <c r="UFG55" s="82"/>
      <c r="UFH55" s="82"/>
      <c r="UFI55" s="82"/>
      <c r="UFJ55" s="82"/>
      <c r="UFK55" s="82"/>
      <c r="UFL55" s="82"/>
      <c r="UFM55" s="82"/>
      <c r="UFN55" s="82"/>
      <c r="UFO55" s="82"/>
      <c r="UFP55" s="82"/>
      <c r="UFQ55" s="82"/>
      <c r="UFR55" s="82"/>
      <c r="UFS55" s="82"/>
      <c r="UFT55" s="82"/>
      <c r="UFU55" s="82"/>
      <c r="UFV55" s="82"/>
      <c r="UFW55" s="82"/>
      <c r="UFX55" s="82"/>
      <c r="UFY55" s="82"/>
      <c r="UFZ55" s="82"/>
      <c r="UGA55" s="82"/>
      <c r="UGB55" s="82"/>
      <c r="UGC55" s="82"/>
      <c r="UGD55" s="82"/>
      <c r="UGE55" s="82"/>
      <c r="UGF55" s="82"/>
      <c r="UGG55" s="82"/>
      <c r="UGH55" s="82"/>
      <c r="UGI55" s="82"/>
      <c r="UGJ55" s="82"/>
      <c r="UGK55" s="82"/>
      <c r="UGL55" s="82"/>
      <c r="UGM55" s="82"/>
      <c r="UGN55" s="82"/>
      <c r="UGO55" s="82"/>
      <c r="UGP55" s="82"/>
      <c r="UGQ55" s="82"/>
      <c r="UGR55" s="82"/>
      <c r="UGS55" s="82"/>
      <c r="UGT55" s="82"/>
      <c r="UGU55" s="82"/>
      <c r="UGV55" s="82"/>
      <c r="UGW55" s="82"/>
      <c r="UGX55" s="82"/>
      <c r="UGY55" s="82"/>
      <c r="UGZ55" s="82"/>
      <c r="UHA55" s="82"/>
      <c r="UHB55" s="82"/>
      <c r="UHC55" s="82"/>
      <c r="UHD55" s="82"/>
      <c r="UHE55" s="82"/>
      <c r="UHF55" s="82"/>
      <c r="UHG55" s="82"/>
      <c r="UHH55" s="82"/>
      <c r="UHI55" s="82"/>
      <c r="UHJ55" s="82"/>
      <c r="UHK55" s="82"/>
      <c r="UHL55" s="82"/>
      <c r="UHM55" s="82"/>
      <c r="UHN55" s="82"/>
      <c r="UHO55" s="82"/>
      <c r="UHP55" s="82"/>
      <c r="UHQ55" s="82"/>
      <c r="UHR55" s="82"/>
      <c r="UHS55" s="82"/>
      <c r="UHT55" s="82"/>
      <c r="UHU55" s="82"/>
      <c r="UHV55" s="82"/>
      <c r="UHW55" s="82"/>
      <c r="UHX55" s="82"/>
      <c r="UHY55" s="82"/>
      <c r="UHZ55" s="82"/>
      <c r="UIA55" s="82"/>
      <c r="UIB55" s="82"/>
      <c r="UIC55" s="82"/>
      <c r="UID55" s="82"/>
      <c r="UIE55" s="82"/>
      <c r="UIF55" s="82"/>
      <c r="UIG55" s="82"/>
      <c r="UIH55" s="82"/>
      <c r="UII55" s="82"/>
      <c r="UIJ55" s="82"/>
      <c r="UIK55" s="82"/>
      <c r="UIL55" s="82"/>
      <c r="UIM55" s="82"/>
      <c r="UIN55" s="82"/>
      <c r="UIO55" s="82"/>
      <c r="UIP55" s="82"/>
      <c r="UIQ55" s="82"/>
      <c r="UIR55" s="82"/>
      <c r="UIS55" s="82"/>
      <c r="UIT55" s="82"/>
      <c r="UIU55" s="82"/>
      <c r="UIV55" s="82"/>
      <c r="UIW55" s="82"/>
      <c r="UIX55" s="82"/>
      <c r="UIY55" s="82"/>
      <c r="UIZ55" s="82"/>
      <c r="UJA55" s="82"/>
      <c r="UJB55" s="82"/>
      <c r="UJC55" s="82"/>
      <c r="UJD55" s="82"/>
      <c r="UJE55" s="82"/>
      <c r="UJF55" s="82"/>
      <c r="UJG55" s="82"/>
      <c r="UJH55" s="82"/>
      <c r="UJI55" s="82"/>
      <c r="UJJ55" s="82"/>
      <c r="UJK55" s="82"/>
      <c r="UJL55" s="82"/>
      <c r="UJM55" s="82"/>
      <c r="UJN55" s="82"/>
      <c r="UJO55" s="82"/>
      <c r="UJP55" s="82"/>
      <c r="UJQ55" s="82"/>
      <c r="UJR55" s="82"/>
      <c r="UJS55" s="82"/>
      <c r="UJT55" s="82"/>
      <c r="UJU55" s="82"/>
      <c r="UJV55" s="82"/>
      <c r="UJW55" s="82"/>
      <c r="UJX55" s="82"/>
      <c r="UJY55" s="82"/>
      <c r="UJZ55" s="82"/>
      <c r="UKA55" s="82"/>
      <c r="UKB55" s="82"/>
      <c r="UKC55" s="82"/>
      <c r="UKD55" s="82"/>
      <c r="UKE55" s="82"/>
      <c r="UKF55" s="82"/>
      <c r="UKG55" s="82"/>
      <c r="UKH55" s="82"/>
      <c r="UKI55" s="82"/>
      <c r="UKJ55" s="82"/>
      <c r="UKK55" s="82"/>
      <c r="UKL55" s="82"/>
      <c r="UKM55" s="82"/>
      <c r="UKN55" s="82"/>
      <c r="UKO55" s="82"/>
      <c r="UKP55" s="82"/>
      <c r="UKQ55" s="82"/>
      <c r="UKR55" s="82"/>
      <c r="UKS55" s="82"/>
      <c r="UKT55" s="82"/>
      <c r="UKU55" s="82"/>
      <c r="UKV55" s="82"/>
      <c r="UKW55" s="82"/>
      <c r="UKX55" s="82"/>
      <c r="UKY55" s="82"/>
      <c r="UKZ55" s="82"/>
      <c r="ULA55" s="82"/>
      <c r="ULB55" s="82"/>
      <c r="ULC55" s="82"/>
      <c r="ULD55" s="82"/>
      <c r="ULE55" s="82"/>
      <c r="ULF55" s="82"/>
      <c r="ULG55" s="82"/>
      <c r="ULH55" s="82"/>
      <c r="ULI55" s="82"/>
      <c r="ULJ55" s="82"/>
      <c r="ULK55" s="82"/>
      <c r="ULL55" s="82"/>
      <c r="ULM55" s="82"/>
      <c r="ULN55" s="82"/>
      <c r="ULO55" s="82"/>
      <c r="ULP55" s="82"/>
      <c r="ULQ55" s="82"/>
      <c r="ULR55" s="82"/>
      <c r="ULS55" s="82"/>
      <c r="ULT55" s="82"/>
      <c r="ULU55" s="82"/>
      <c r="ULV55" s="82"/>
      <c r="ULW55" s="82"/>
      <c r="ULX55" s="82"/>
      <c r="ULY55" s="82"/>
      <c r="ULZ55" s="82"/>
      <c r="UMA55" s="82"/>
      <c r="UMB55" s="82"/>
      <c r="UMC55" s="82"/>
      <c r="UMD55" s="82"/>
      <c r="UME55" s="82"/>
      <c r="UMF55" s="82"/>
      <c r="UMG55" s="82"/>
      <c r="UMH55" s="82"/>
      <c r="UMI55" s="82"/>
      <c r="UMJ55" s="82"/>
      <c r="UMK55" s="82"/>
      <c r="UML55" s="82"/>
      <c r="UMM55" s="82"/>
      <c r="UMN55" s="82"/>
      <c r="UMO55" s="82"/>
      <c r="UMP55" s="82"/>
      <c r="UMQ55" s="82"/>
      <c r="UMR55" s="82"/>
      <c r="UMS55" s="82"/>
      <c r="UMT55" s="82"/>
      <c r="UMU55" s="82"/>
      <c r="UMV55" s="82"/>
      <c r="UMW55" s="82"/>
      <c r="UMX55" s="82"/>
      <c r="UMY55" s="82"/>
      <c r="UMZ55" s="82"/>
      <c r="UNA55" s="82"/>
      <c r="UNB55" s="82"/>
      <c r="UNC55" s="82"/>
      <c r="UND55" s="82"/>
      <c r="UNE55" s="82"/>
      <c r="UNF55" s="82"/>
      <c r="UNG55" s="82"/>
      <c r="UNH55" s="82"/>
      <c r="UNI55" s="82"/>
      <c r="UNJ55" s="82"/>
      <c r="UNK55" s="82"/>
      <c r="UNL55" s="82"/>
      <c r="UNM55" s="82"/>
      <c r="UNN55" s="82"/>
      <c r="UNO55" s="82"/>
      <c r="UNP55" s="82"/>
      <c r="UNQ55" s="82"/>
      <c r="UNR55" s="82"/>
      <c r="UNS55" s="82"/>
      <c r="UNT55" s="82"/>
      <c r="UNU55" s="82"/>
      <c r="UNV55" s="82"/>
      <c r="UNW55" s="82"/>
      <c r="UNX55" s="82"/>
      <c r="UNY55" s="82"/>
      <c r="UNZ55" s="82"/>
      <c r="UOA55" s="82"/>
      <c r="UOB55" s="82"/>
      <c r="UOC55" s="82"/>
      <c r="UOD55" s="82"/>
      <c r="UOE55" s="82"/>
      <c r="UOF55" s="82"/>
      <c r="UOG55" s="82"/>
      <c r="UOH55" s="82"/>
      <c r="UOI55" s="82"/>
      <c r="UOJ55" s="82"/>
      <c r="UOK55" s="82"/>
      <c r="UOL55" s="82"/>
      <c r="UOM55" s="82"/>
      <c r="UON55" s="82"/>
      <c r="UOO55" s="82"/>
      <c r="UOP55" s="82"/>
      <c r="UOQ55" s="82"/>
      <c r="UOR55" s="82"/>
      <c r="UOS55" s="82"/>
      <c r="UOT55" s="82"/>
      <c r="UOU55" s="82"/>
      <c r="UOV55" s="82"/>
      <c r="UOW55" s="82"/>
      <c r="UOX55" s="82"/>
      <c r="UOY55" s="82"/>
      <c r="UOZ55" s="82"/>
      <c r="UPA55" s="82"/>
      <c r="UPB55" s="82"/>
      <c r="UPC55" s="82"/>
      <c r="UPD55" s="82"/>
      <c r="UPE55" s="82"/>
      <c r="UPF55" s="82"/>
      <c r="UPG55" s="82"/>
      <c r="UPH55" s="82"/>
      <c r="UPI55" s="82"/>
      <c r="UPJ55" s="82"/>
      <c r="UPK55" s="82"/>
      <c r="UPL55" s="82"/>
      <c r="UPM55" s="82"/>
      <c r="UPN55" s="82"/>
      <c r="UPO55" s="82"/>
      <c r="UPP55" s="82"/>
      <c r="UPQ55" s="82"/>
      <c r="UPR55" s="82"/>
      <c r="UPS55" s="82"/>
      <c r="UPT55" s="82"/>
      <c r="UPU55" s="82"/>
      <c r="UPV55" s="82"/>
      <c r="UPW55" s="82"/>
      <c r="UPX55" s="82"/>
      <c r="UPY55" s="82"/>
      <c r="UPZ55" s="82"/>
      <c r="UQA55" s="82"/>
      <c r="UQB55" s="82"/>
      <c r="UQC55" s="82"/>
      <c r="UQD55" s="82"/>
      <c r="UQE55" s="82"/>
      <c r="UQF55" s="82"/>
      <c r="UQG55" s="82"/>
      <c r="UQH55" s="82"/>
      <c r="UQI55" s="82"/>
      <c r="UQJ55" s="82"/>
      <c r="UQK55" s="82"/>
      <c r="UQL55" s="82"/>
      <c r="UQM55" s="82"/>
      <c r="UQN55" s="82"/>
      <c r="UQO55" s="82"/>
      <c r="UQP55" s="82"/>
      <c r="UQQ55" s="82"/>
      <c r="UQR55" s="82"/>
      <c r="UQS55" s="82"/>
      <c r="UQT55" s="82"/>
      <c r="UQU55" s="82"/>
      <c r="UQV55" s="82"/>
      <c r="UQW55" s="82"/>
      <c r="UQX55" s="82"/>
      <c r="UQY55" s="82"/>
      <c r="UQZ55" s="82"/>
      <c r="URA55" s="82"/>
      <c r="URB55" s="82"/>
      <c r="URC55" s="82"/>
      <c r="URD55" s="82"/>
      <c r="URE55" s="82"/>
      <c r="URF55" s="82"/>
      <c r="URG55" s="82"/>
      <c r="URH55" s="82"/>
      <c r="URI55" s="82"/>
      <c r="URJ55" s="82"/>
      <c r="URK55" s="82"/>
      <c r="URL55" s="82"/>
      <c r="URM55" s="82"/>
      <c r="URN55" s="82"/>
      <c r="URO55" s="82"/>
      <c r="URP55" s="82"/>
      <c r="URQ55" s="82"/>
      <c r="URR55" s="82"/>
      <c r="URS55" s="82"/>
      <c r="URT55" s="82"/>
      <c r="URU55" s="82"/>
      <c r="URV55" s="82"/>
      <c r="URW55" s="82"/>
      <c r="URX55" s="82"/>
      <c r="URY55" s="82"/>
      <c r="URZ55" s="82"/>
      <c r="USA55" s="82"/>
      <c r="USB55" s="82"/>
      <c r="USC55" s="82"/>
      <c r="USD55" s="82"/>
      <c r="USE55" s="82"/>
      <c r="USF55" s="82"/>
      <c r="USG55" s="82"/>
      <c r="USH55" s="82"/>
      <c r="USI55" s="82"/>
      <c r="USJ55" s="82"/>
      <c r="USK55" s="82"/>
      <c r="USL55" s="82"/>
      <c r="USM55" s="82"/>
      <c r="USN55" s="82"/>
      <c r="USO55" s="82"/>
      <c r="USP55" s="82"/>
      <c r="USQ55" s="82"/>
      <c r="USR55" s="82"/>
      <c r="USS55" s="82"/>
      <c r="UST55" s="82"/>
      <c r="USU55" s="82"/>
      <c r="USV55" s="82"/>
      <c r="USW55" s="82"/>
      <c r="USX55" s="82"/>
      <c r="USY55" s="82"/>
      <c r="USZ55" s="82"/>
      <c r="UTA55" s="82"/>
      <c r="UTB55" s="82"/>
      <c r="UTC55" s="82"/>
      <c r="UTD55" s="82"/>
      <c r="UTE55" s="82"/>
      <c r="UTF55" s="82"/>
      <c r="UTG55" s="82"/>
      <c r="UTH55" s="82"/>
      <c r="UTI55" s="82"/>
      <c r="UTJ55" s="82"/>
      <c r="UTK55" s="82"/>
      <c r="UTL55" s="82"/>
      <c r="UTM55" s="82"/>
      <c r="UTN55" s="82"/>
      <c r="UTO55" s="82"/>
      <c r="UTP55" s="82"/>
      <c r="UTQ55" s="82"/>
      <c r="UTR55" s="82"/>
      <c r="UTS55" s="82"/>
      <c r="UTT55" s="82"/>
      <c r="UTU55" s="82"/>
      <c r="UTV55" s="82"/>
      <c r="UTW55" s="82"/>
      <c r="UTX55" s="82"/>
      <c r="UTY55" s="82"/>
      <c r="UTZ55" s="82"/>
      <c r="UUA55" s="82"/>
      <c r="UUB55" s="82"/>
      <c r="UUC55" s="82"/>
      <c r="UUD55" s="82"/>
      <c r="UUE55" s="82"/>
      <c r="UUF55" s="82"/>
      <c r="UUG55" s="82"/>
      <c r="UUH55" s="82"/>
      <c r="UUI55" s="82"/>
      <c r="UUJ55" s="82"/>
      <c r="UUK55" s="82"/>
      <c r="UUL55" s="82"/>
      <c r="UUM55" s="82"/>
      <c r="UUN55" s="82"/>
      <c r="UUO55" s="82"/>
      <c r="UUP55" s="82"/>
      <c r="UUQ55" s="82"/>
      <c r="UUR55" s="82"/>
      <c r="UUS55" s="82"/>
      <c r="UUT55" s="82"/>
      <c r="UUU55" s="82"/>
      <c r="UUV55" s="82"/>
      <c r="UUW55" s="82"/>
      <c r="UUX55" s="82"/>
      <c r="UUY55" s="82"/>
      <c r="UUZ55" s="82"/>
      <c r="UVA55" s="82"/>
      <c r="UVB55" s="82"/>
      <c r="UVC55" s="82"/>
      <c r="UVD55" s="82"/>
      <c r="UVE55" s="82"/>
      <c r="UVF55" s="82"/>
      <c r="UVG55" s="82"/>
      <c r="UVH55" s="82"/>
      <c r="UVI55" s="82"/>
      <c r="UVJ55" s="82"/>
      <c r="UVK55" s="82"/>
      <c r="UVL55" s="82"/>
      <c r="UVM55" s="82"/>
      <c r="UVN55" s="82"/>
      <c r="UVO55" s="82"/>
      <c r="UVP55" s="82"/>
      <c r="UVQ55" s="82"/>
      <c r="UVR55" s="82"/>
      <c r="UVS55" s="82"/>
      <c r="UVT55" s="82"/>
      <c r="UVU55" s="82"/>
      <c r="UVV55" s="82"/>
      <c r="UVW55" s="82"/>
      <c r="UVX55" s="82"/>
      <c r="UVY55" s="82"/>
      <c r="UVZ55" s="82"/>
      <c r="UWA55" s="82"/>
      <c r="UWB55" s="82"/>
      <c r="UWC55" s="82"/>
      <c r="UWD55" s="82"/>
      <c r="UWE55" s="82"/>
      <c r="UWF55" s="82"/>
      <c r="UWG55" s="82"/>
      <c r="UWH55" s="82"/>
      <c r="UWI55" s="82"/>
      <c r="UWJ55" s="82"/>
      <c r="UWK55" s="82"/>
      <c r="UWL55" s="82"/>
      <c r="UWM55" s="82"/>
      <c r="UWN55" s="82"/>
      <c r="UWO55" s="82"/>
      <c r="UWP55" s="82"/>
      <c r="UWQ55" s="82"/>
      <c r="UWR55" s="82"/>
      <c r="UWS55" s="82"/>
      <c r="UWT55" s="82"/>
      <c r="UWU55" s="82"/>
      <c r="UWV55" s="82"/>
      <c r="UWW55" s="82"/>
      <c r="UWX55" s="82"/>
      <c r="UWY55" s="82"/>
      <c r="UWZ55" s="82"/>
      <c r="UXA55" s="82"/>
      <c r="UXB55" s="82"/>
      <c r="UXC55" s="82"/>
      <c r="UXD55" s="82"/>
      <c r="UXE55" s="82"/>
      <c r="UXF55" s="82"/>
      <c r="UXG55" s="82"/>
      <c r="UXH55" s="82"/>
      <c r="UXI55" s="82"/>
      <c r="UXJ55" s="82"/>
      <c r="UXK55" s="82"/>
      <c r="UXL55" s="82"/>
      <c r="UXM55" s="82"/>
      <c r="UXN55" s="82"/>
      <c r="UXO55" s="82"/>
      <c r="UXP55" s="82"/>
      <c r="UXQ55" s="82"/>
      <c r="UXR55" s="82"/>
      <c r="UXS55" s="82"/>
      <c r="UXT55" s="82"/>
      <c r="UXU55" s="82"/>
      <c r="UXV55" s="82"/>
      <c r="UXW55" s="82"/>
      <c r="UXX55" s="82"/>
      <c r="UXY55" s="82"/>
      <c r="UXZ55" s="82"/>
      <c r="UYA55" s="82"/>
      <c r="UYB55" s="82"/>
      <c r="UYC55" s="82"/>
      <c r="UYD55" s="82"/>
      <c r="UYE55" s="82"/>
      <c r="UYF55" s="82"/>
      <c r="UYG55" s="82"/>
      <c r="UYH55" s="82"/>
      <c r="UYI55" s="82"/>
      <c r="UYJ55" s="82"/>
      <c r="UYK55" s="82"/>
      <c r="UYL55" s="82"/>
      <c r="UYM55" s="82"/>
      <c r="UYN55" s="82"/>
      <c r="UYO55" s="82"/>
      <c r="UYP55" s="82"/>
      <c r="UYQ55" s="82"/>
      <c r="UYR55" s="82"/>
      <c r="UYS55" s="82"/>
      <c r="UYT55" s="82"/>
      <c r="UYU55" s="82"/>
      <c r="UYV55" s="82"/>
      <c r="UYW55" s="82"/>
      <c r="UYX55" s="82"/>
      <c r="UYY55" s="82"/>
      <c r="UYZ55" s="82"/>
      <c r="UZA55" s="82"/>
      <c r="UZB55" s="82"/>
      <c r="UZC55" s="82"/>
      <c r="UZD55" s="82"/>
      <c r="UZE55" s="82"/>
      <c r="UZF55" s="82"/>
      <c r="UZG55" s="82"/>
      <c r="UZH55" s="82"/>
      <c r="UZI55" s="82"/>
      <c r="UZJ55" s="82"/>
      <c r="UZK55" s="82"/>
      <c r="UZL55" s="82"/>
      <c r="UZM55" s="82"/>
      <c r="UZN55" s="82"/>
      <c r="UZO55" s="82"/>
      <c r="UZP55" s="82"/>
      <c r="UZQ55" s="82"/>
      <c r="UZR55" s="82"/>
      <c r="UZS55" s="82"/>
      <c r="UZT55" s="82"/>
      <c r="UZU55" s="82"/>
      <c r="UZV55" s="82"/>
      <c r="UZW55" s="82"/>
      <c r="UZX55" s="82"/>
      <c r="UZY55" s="82"/>
      <c r="UZZ55" s="82"/>
      <c r="VAA55" s="82"/>
      <c r="VAB55" s="82"/>
      <c r="VAC55" s="82"/>
      <c r="VAD55" s="82"/>
      <c r="VAE55" s="82"/>
      <c r="VAF55" s="82"/>
      <c r="VAG55" s="82"/>
      <c r="VAH55" s="82"/>
      <c r="VAI55" s="82"/>
      <c r="VAJ55" s="82"/>
      <c r="VAK55" s="82"/>
      <c r="VAL55" s="82"/>
      <c r="VAM55" s="82"/>
      <c r="VAN55" s="82"/>
      <c r="VAO55" s="82"/>
      <c r="VAP55" s="82"/>
      <c r="VAQ55" s="82"/>
      <c r="VAR55" s="82"/>
      <c r="VAS55" s="82"/>
      <c r="VAT55" s="82"/>
      <c r="VAU55" s="82"/>
      <c r="VAV55" s="82"/>
      <c r="VAW55" s="82"/>
      <c r="VAX55" s="82"/>
      <c r="VAY55" s="82"/>
      <c r="VAZ55" s="82"/>
      <c r="VBA55" s="82"/>
      <c r="VBB55" s="82"/>
      <c r="VBC55" s="82"/>
      <c r="VBD55" s="82"/>
      <c r="VBE55" s="82"/>
      <c r="VBF55" s="82"/>
      <c r="VBG55" s="82"/>
      <c r="VBH55" s="82"/>
      <c r="VBI55" s="82"/>
      <c r="VBJ55" s="82"/>
      <c r="VBK55" s="82"/>
      <c r="VBL55" s="82"/>
      <c r="VBM55" s="82"/>
      <c r="VBN55" s="82"/>
      <c r="VBO55" s="82"/>
      <c r="VBP55" s="82"/>
      <c r="VBQ55" s="82"/>
      <c r="VBR55" s="82"/>
      <c r="VBS55" s="82"/>
      <c r="VBT55" s="82"/>
      <c r="VBU55" s="82"/>
      <c r="VBV55" s="82"/>
      <c r="VBW55" s="82"/>
      <c r="VBX55" s="82"/>
      <c r="VBY55" s="82"/>
      <c r="VBZ55" s="82"/>
      <c r="VCA55" s="82"/>
      <c r="VCB55" s="82"/>
      <c r="VCC55" s="82"/>
      <c r="VCD55" s="82"/>
      <c r="VCE55" s="82"/>
      <c r="VCF55" s="82"/>
      <c r="VCG55" s="82"/>
      <c r="VCH55" s="82"/>
      <c r="VCI55" s="82"/>
      <c r="VCJ55" s="82"/>
      <c r="VCK55" s="82"/>
      <c r="VCL55" s="82"/>
      <c r="VCM55" s="82"/>
      <c r="VCN55" s="82"/>
      <c r="VCO55" s="82"/>
      <c r="VCP55" s="82"/>
      <c r="VCQ55" s="82"/>
      <c r="VCR55" s="82"/>
      <c r="VCS55" s="82"/>
      <c r="VCT55" s="82"/>
      <c r="VCU55" s="82"/>
      <c r="VCV55" s="82"/>
      <c r="VCW55" s="82"/>
      <c r="VCX55" s="82"/>
      <c r="VCY55" s="82"/>
      <c r="VCZ55" s="82"/>
      <c r="VDA55" s="82"/>
      <c r="VDB55" s="82"/>
      <c r="VDC55" s="82"/>
      <c r="VDD55" s="82"/>
      <c r="VDE55" s="82"/>
      <c r="VDF55" s="82"/>
      <c r="VDG55" s="82"/>
      <c r="VDH55" s="82"/>
      <c r="VDI55" s="82"/>
      <c r="VDJ55" s="82"/>
      <c r="VDK55" s="82"/>
      <c r="VDL55" s="82"/>
      <c r="VDM55" s="82"/>
      <c r="VDN55" s="82"/>
      <c r="VDO55" s="82"/>
      <c r="VDP55" s="82"/>
      <c r="VDQ55" s="82"/>
      <c r="VDR55" s="82"/>
      <c r="VDS55" s="82"/>
      <c r="VDT55" s="82"/>
      <c r="VDU55" s="82"/>
      <c r="VDV55" s="82"/>
      <c r="VDW55" s="82"/>
      <c r="VDX55" s="82"/>
      <c r="VDY55" s="82"/>
      <c r="VDZ55" s="82"/>
      <c r="VEA55" s="82"/>
      <c r="VEB55" s="82"/>
      <c r="VEC55" s="82"/>
      <c r="VED55" s="82"/>
      <c r="VEE55" s="82"/>
      <c r="VEF55" s="82"/>
      <c r="VEG55" s="82"/>
      <c r="VEH55" s="82"/>
      <c r="VEI55" s="82"/>
      <c r="VEJ55" s="82"/>
      <c r="VEK55" s="82"/>
      <c r="VEL55" s="82"/>
      <c r="VEM55" s="82"/>
      <c r="VEN55" s="82"/>
      <c r="VEO55" s="82"/>
      <c r="VEP55" s="82"/>
      <c r="VEQ55" s="82"/>
      <c r="VER55" s="82"/>
      <c r="VES55" s="82"/>
      <c r="VET55" s="82"/>
      <c r="VEU55" s="82"/>
      <c r="VEV55" s="82"/>
      <c r="VEW55" s="82"/>
      <c r="VEX55" s="82"/>
      <c r="VEY55" s="82"/>
      <c r="VEZ55" s="82"/>
      <c r="VFA55" s="82"/>
      <c r="VFB55" s="82"/>
      <c r="VFC55" s="82"/>
      <c r="VFD55" s="82"/>
      <c r="VFE55" s="82"/>
      <c r="VFF55" s="82"/>
      <c r="VFG55" s="82"/>
      <c r="VFH55" s="82"/>
      <c r="VFI55" s="82"/>
      <c r="VFJ55" s="82"/>
      <c r="VFK55" s="82"/>
      <c r="VFL55" s="82"/>
      <c r="VFM55" s="82"/>
      <c r="VFN55" s="82"/>
      <c r="VFO55" s="82"/>
      <c r="VFP55" s="82"/>
      <c r="VFQ55" s="82"/>
      <c r="VFR55" s="82"/>
      <c r="VFS55" s="82"/>
      <c r="VFT55" s="82"/>
      <c r="VFU55" s="82"/>
      <c r="VFV55" s="82"/>
      <c r="VFW55" s="82"/>
      <c r="VFX55" s="82"/>
      <c r="VFY55" s="82"/>
      <c r="VFZ55" s="82"/>
      <c r="VGA55" s="82"/>
      <c r="VGB55" s="82"/>
      <c r="VGC55" s="82"/>
      <c r="VGD55" s="82"/>
      <c r="VGE55" s="82"/>
      <c r="VGF55" s="82"/>
      <c r="VGG55" s="82"/>
      <c r="VGH55" s="82"/>
      <c r="VGI55" s="82"/>
      <c r="VGJ55" s="82"/>
      <c r="VGK55" s="82"/>
      <c r="VGL55" s="82"/>
      <c r="VGM55" s="82"/>
      <c r="VGN55" s="82"/>
      <c r="VGO55" s="82"/>
      <c r="VGP55" s="82"/>
      <c r="VGQ55" s="82"/>
      <c r="VGR55" s="82"/>
      <c r="VGS55" s="82"/>
      <c r="VGT55" s="82"/>
      <c r="VGU55" s="82"/>
      <c r="VGV55" s="82"/>
      <c r="VGW55" s="82"/>
      <c r="VGX55" s="82"/>
      <c r="VGY55" s="82"/>
      <c r="VGZ55" s="82"/>
      <c r="VHA55" s="82"/>
      <c r="VHB55" s="82"/>
      <c r="VHC55" s="82"/>
      <c r="VHD55" s="82"/>
      <c r="VHE55" s="82"/>
      <c r="VHF55" s="82"/>
      <c r="VHG55" s="82"/>
      <c r="VHH55" s="82"/>
      <c r="VHI55" s="82"/>
      <c r="VHJ55" s="82"/>
      <c r="VHK55" s="82"/>
      <c r="VHL55" s="82"/>
      <c r="VHM55" s="82"/>
      <c r="VHN55" s="82"/>
      <c r="VHO55" s="82"/>
      <c r="VHP55" s="82"/>
      <c r="VHQ55" s="82"/>
      <c r="VHR55" s="82"/>
      <c r="VHS55" s="82"/>
      <c r="VHT55" s="82"/>
      <c r="VHU55" s="82"/>
      <c r="VHV55" s="82"/>
      <c r="VHW55" s="82"/>
      <c r="VHX55" s="82"/>
      <c r="VHY55" s="82"/>
      <c r="VHZ55" s="82"/>
      <c r="VIA55" s="82"/>
      <c r="VIB55" s="82"/>
      <c r="VIC55" s="82"/>
      <c r="VID55" s="82"/>
      <c r="VIE55" s="82"/>
      <c r="VIF55" s="82"/>
      <c r="VIG55" s="82"/>
      <c r="VIH55" s="82"/>
      <c r="VII55" s="82"/>
      <c r="VIJ55" s="82"/>
      <c r="VIK55" s="82"/>
      <c r="VIL55" s="82"/>
      <c r="VIM55" s="82"/>
      <c r="VIN55" s="82"/>
      <c r="VIO55" s="82"/>
      <c r="VIP55" s="82"/>
      <c r="VIQ55" s="82"/>
      <c r="VIR55" s="82"/>
      <c r="VIS55" s="82"/>
      <c r="VIT55" s="82"/>
      <c r="VIU55" s="82"/>
      <c r="VIV55" s="82"/>
      <c r="VIW55" s="82"/>
      <c r="VIX55" s="82"/>
      <c r="VIY55" s="82"/>
      <c r="VIZ55" s="82"/>
      <c r="VJA55" s="82"/>
      <c r="VJB55" s="82"/>
      <c r="VJC55" s="82"/>
      <c r="VJD55" s="82"/>
      <c r="VJE55" s="82"/>
      <c r="VJF55" s="82"/>
      <c r="VJG55" s="82"/>
      <c r="VJH55" s="82"/>
      <c r="VJI55" s="82"/>
      <c r="VJJ55" s="82"/>
      <c r="VJK55" s="82"/>
      <c r="VJL55" s="82"/>
      <c r="VJM55" s="82"/>
      <c r="VJN55" s="82"/>
      <c r="VJO55" s="82"/>
      <c r="VJP55" s="82"/>
      <c r="VJQ55" s="82"/>
      <c r="VJR55" s="82"/>
      <c r="VJS55" s="82"/>
      <c r="VJT55" s="82"/>
      <c r="VJU55" s="82"/>
      <c r="VJV55" s="82"/>
      <c r="VJW55" s="82"/>
      <c r="VJX55" s="82"/>
      <c r="VJY55" s="82"/>
      <c r="VJZ55" s="82"/>
      <c r="VKA55" s="82"/>
      <c r="VKB55" s="82"/>
      <c r="VKC55" s="82"/>
      <c r="VKD55" s="82"/>
      <c r="VKE55" s="82"/>
      <c r="VKF55" s="82"/>
      <c r="VKG55" s="82"/>
      <c r="VKH55" s="82"/>
      <c r="VKI55" s="82"/>
      <c r="VKJ55" s="82"/>
      <c r="VKK55" s="82"/>
      <c r="VKL55" s="82"/>
      <c r="VKM55" s="82"/>
      <c r="VKN55" s="82"/>
      <c r="VKO55" s="82"/>
      <c r="VKP55" s="82"/>
      <c r="VKQ55" s="82"/>
      <c r="VKR55" s="82"/>
      <c r="VKS55" s="82"/>
      <c r="VKT55" s="82"/>
      <c r="VKU55" s="82"/>
      <c r="VKV55" s="82"/>
      <c r="VKW55" s="82"/>
      <c r="VKX55" s="82"/>
      <c r="VKY55" s="82"/>
      <c r="VKZ55" s="82"/>
      <c r="VLA55" s="82"/>
      <c r="VLB55" s="82"/>
      <c r="VLC55" s="82"/>
      <c r="VLD55" s="82"/>
      <c r="VLE55" s="82"/>
      <c r="VLF55" s="82"/>
      <c r="VLG55" s="82"/>
      <c r="VLH55" s="82"/>
      <c r="VLI55" s="82"/>
      <c r="VLJ55" s="82"/>
      <c r="VLK55" s="82"/>
      <c r="VLL55" s="82"/>
      <c r="VLM55" s="82"/>
      <c r="VLN55" s="82"/>
      <c r="VLO55" s="82"/>
      <c r="VLP55" s="82"/>
      <c r="VLQ55" s="82"/>
      <c r="VLR55" s="82"/>
      <c r="VLS55" s="82"/>
      <c r="VLT55" s="82"/>
      <c r="VLU55" s="82"/>
      <c r="VLV55" s="82"/>
      <c r="VLW55" s="82"/>
      <c r="VLX55" s="82"/>
      <c r="VLY55" s="82"/>
      <c r="VLZ55" s="82"/>
      <c r="VMA55" s="82"/>
      <c r="VMB55" s="82"/>
      <c r="VMC55" s="82"/>
      <c r="VMD55" s="82"/>
      <c r="VME55" s="82"/>
      <c r="VMF55" s="82"/>
      <c r="VMG55" s="82"/>
      <c r="VMH55" s="82"/>
      <c r="VMI55" s="82"/>
      <c r="VMJ55" s="82"/>
      <c r="VMK55" s="82"/>
      <c r="VML55" s="82"/>
      <c r="VMM55" s="82"/>
      <c r="VMN55" s="82"/>
      <c r="VMO55" s="82"/>
      <c r="VMP55" s="82"/>
      <c r="VMQ55" s="82"/>
      <c r="VMR55" s="82"/>
      <c r="VMS55" s="82"/>
      <c r="VMT55" s="82"/>
      <c r="VMU55" s="82"/>
      <c r="VMV55" s="82"/>
      <c r="VMW55" s="82"/>
      <c r="VMX55" s="82"/>
      <c r="VMY55" s="82"/>
      <c r="VMZ55" s="82"/>
      <c r="VNA55" s="82"/>
      <c r="VNB55" s="82"/>
      <c r="VNC55" s="82"/>
      <c r="VND55" s="82"/>
      <c r="VNE55" s="82"/>
      <c r="VNF55" s="82"/>
      <c r="VNG55" s="82"/>
      <c r="VNH55" s="82"/>
      <c r="VNI55" s="82"/>
      <c r="VNJ55" s="82"/>
      <c r="VNK55" s="82"/>
      <c r="VNL55" s="82"/>
      <c r="VNM55" s="82"/>
      <c r="VNN55" s="82"/>
      <c r="VNO55" s="82"/>
      <c r="VNP55" s="82"/>
      <c r="VNQ55" s="82"/>
      <c r="VNR55" s="82"/>
      <c r="VNS55" s="82"/>
      <c r="VNT55" s="82"/>
      <c r="VNU55" s="82"/>
      <c r="VNV55" s="82"/>
      <c r="VNW55" s="82"/>
      <c r="VNX55" s="82"/>
      <c r="VNY55" s="82"/>
      <c r="VNZ55" s="82"/>
      <c r="VOA55" s="82"/>
      <c r="VOB55" s="82"/>
      <c r="VOC55" s="82"/>
      <c r="VOD55" s="82"/>
      <c r="VOE55" s="82"/>
      <c r="VOF55" s="82"/>
      <c r="VOG55" s="82"/>
      <c r="VOH55" s="82"/>
      <c r="VOI55" s="82"/>
      <c r="VOJ55" s="82"/>
      <c r="VOK55" s="82"/>
      <c r="VOL55" s="82"/>
      <c r="VOM55" s="82"/>
      <c r="VON55" s="82"/>
      <c r="VOO55" s="82"/>
      <c r="VOP55" s="82"/>
      <c r="VOQ55" s="82"/>
      <c r="VOR55" s="82"/>
      <c r="VOS55" s="82"/>
      <c r="VOT55" s="82"/>
      <c r="VOU55" s="82"/>
      <c r="VOV55" s="82"/>
      <c r="VOW55" s="82"/>
      <c r="VOX55" s="82"/>
      <c r="VOY55" s="82"/>
      <c r="VOZ55" s="82"/>
      <c r="VPA55" s="82"/>
      <c r="VPB55" s="82"/>
      <c r="VPC55" s="82"/>
      <c r="VPD55" s="82"/>
      <c r="VPE55" s="82"/>
      <c r="VPF55" s="82"/>
      <c r="VPG55" s="82"/>
      <c r="VPH55" s="82"/>
      <c r="VPI55" s="82"/>
      <c r="VPJ55" s="82"/>
      <c r="VPK55" s="82"/>
      <c r="VPL55" s="82"/>
      <c r="VPM55" s="82"/>
      <c r="VPN55" s="82"/>
      <c r="VPO55" s="82"/>
      <c r="VPP55" s="82"/>
      <c r="VPQ55" s="82"/>
      <c r="VPR55" s="82"/>
      <c r="VPS55" s="82"/>
      <c r="VPT55" s="82"/>
      <c r="VPU55" s="82"/>
      <c r="VPV55" s="82"/>
      <c r="VPW55" s="82"/>
      <c r="VPX55" s="82"/>
      <c r="VPY55" s="82"/>
      <c r="VPZ55" s="82"/>
      <c r="VQA55" s="82"/>
      <c r="VQB55" s="82"/>
      <c r="VQC55" s="82"/>
      <c r="VQD55" s="82"/>
      <c r="VQE55" s="82"/>
      <c r="VQF55" s="82"/>
      <c r="VQG55" s="82"/>
      <c r="VQH55" s="82"/>
      <c r="VQI55" s="82"/>
      <c r="VQJ55" s="82"/>
      <c r="VQK55" s="82"/>
      <c r="VQL55" s="82"/>
      <c r="VQM55" s="82"/>
      <c r="VQN55" s="82"/>
      <c r="VQO55" s="82"/>
      <c r="VQP55" s="82"/>
      <c r="VQQ55" s="82"/>
      <c r="VQR55" s="82"/>
      <c r="VQS55" s="82"/>
      <c r="VQT55" s="82"/>
      <c r="VQU55" s="82"/>
      <c r="VQV55" s="82"/>
      <c r="VQW55" s="82"/>
      <c r="VQX55" s="82"/>
      <c r="VQY55" s="82"/>
      <c r="VQZ55" s="82"/>
      <c r="VRA55" s="82"/>
      <c r="VRB55" s="82"/>
      <c r="VRC55" s="82"/>
      <c r="VRD55" s="82"/>
      <c r="VRE55" s="82"/>
      <c r="VRF55" s="82"/>
      <c r="VRG55" s="82"/>
      <c r="VRH55" s="82"/>
      <c r="VRI55" s="82"/>
      <c r="VRJ55" s="82"/>
      <c r="VRK55" s="82"/>
      <c r="VRL55" s="82"/>
      <c r="VRM55" s="82"/>
      <c r="VRN55" s="82"/>
      <c r="VRO55" s="82"/>
      <c r="VRP55" s="82"/>
      <c r="VRQ55" s="82"/>
      <c r="VRR55" s="82"/>
      <c r="VRS55" s="82"/>
      <c r="VRT55" s="82"/>
      <c r="VRU55" s="82"/>
      <c r="VRV55" s="82"/>
      <c r="VRW55" s="82"/>
      <c r="VRX55" s="82"/>
      <c r="VRY55" s="82"/>
      <c r="VRZ55" s="82"/>
      <c r="VSA55" s="82"/>
      <c r="VSB55" s="82"/>
      <c r="VSC55" s="82"/>
      <c r="VSD55" s="82"/>
      <c r="VSE55" s="82"/>
      <c r="VSF55" s="82"/>
      <c r="VSG55" s="82"/>
      <c r="VSH55" s="82"/>
      <c r="VSI55" s="82"/>
      <c r="VSJ55" s="82"/>
      <c r="VSK55" s="82"/>
      <c r="VSL55" s="82"/>
      <c r="VSM55" s="82"/>
      <c r="VSN55" s="82"/>
      <c r="VSO55" s="82"/>
      <c r="VSP55" s="82"/>
      <c r="VSQ55" s="82"/>
      <c r="VSR55" s="82"/>
      <c r="VSS55" s="82"/>
      <c r="VST55" s="82"/>
      <c r="VSU55" s="82"/>
      <c r="VSV55" s="82"/>
      <c r="VSW55" s="82"/>
      <c r="VSX55" s="82"/>
      <c r="VSY55" s="82"/>
      <c r="VSZ55" s="82"/>
      <c r="VTA55" s="82"/>
      <c r="VTB55" s="82"/>
      <c r="VTC55" s="82"/>
      <c r="VTD55" s="82"/>
      <c r="VTE55" s="82"/>
      <c r="VTF55" s="82"/>
      <c r="VTG55" s="82"/>
      <c r="VTH55" s="82"/>
      <c r="VTI55" s="82"/>
      <c r="VTJ55" s="82"/>
      <c r="VTK55" s="82"/>
      <c r="VTL55" s="82"/>
      <c r="VTM55" s="82"/>
      <c r="VTN55" s="82"/>
      <c r="VTO55" s="82"/>
      <c r="VTP55" s="82"/>
      <c r="VTQ55" s="82"/>
      <c r="VTR55" s="82"/>
      <c r="VTS55" s="82"/>
      <c r="VTT55" s="82"/>
      <c r="VTU55" s="82"/>
      <c r="VTV55" s="82"/>
      <c r="VTW55" s="82"/>
      <c r="VTX55" s="82"/>
      <c r="VTY55" s="82"/>
      <c r="VTZ55" s="82"/>
      <c r="VUA55" s="82"/>
      <c r="VUB55" s="82"/>
      <c r="VUC55" s="82"/>
      <c r="VUD55" s="82"/>
      <c r="VUE55" s="82"/>
      <c r="VUF55" s="82"/>
      <c r="VUG55" s="82"/>
      <c r="VUH55" s="82"/>
      <c r="VUI55" s="82"/>
      <c r="VUJ55" s="82"/>
      <c r="VUK55" s="82"/>
      <c r="VUL55" s="82"/>
      <c r="VUM55" s="82"/>
      <c r="VUN55" s="82"/>
      <c r="VUO55" s="82"/>
      <c r="VUP55" s="82"/>
      <c r="VUQ55" s="82"/>
      <c r="VUR55" s="82"/>
      <c r="VUS55" s="82"/>
      <c r="VUT55" s="82"/>
      <c r="VUU55" s="82"/>
      <c r="VUV55" s="82"/>
      <c r="VUW55" s="82"/>
      <c r="VUX55" s="82"/>
      <c r="VUY55" s="82"/>
      <c r="VUZ55" s="82"/>
      <c r="VVA55" s="82"/>
      <c r="VVB55" s="82"/>
      <c r="VVC55" s="82"/>
      <c r="VVD55" s="82"/>
      <c r="VVE55" s="82"/>
      <c r="VVF55" s="82"/>
      <c r="VVG55" s="82"/>
      <c r="VVH55" s="82"/>
      <c r="VVI55" s="82"/>
      <c r="VVJ55" s="82"/>
      <c r="VVK55" s="82"/>
      <c r="VVL55" s="82"/>
      <c r="VVM55" s="82"/>
      <c r="VVN55" s="82"/>
      <c r="VVO55" s="82"/>
      <c r="VVP55" s="82"/>
      <c r="VVQ55" s="82"/>
      <c r="VVR55" s="82"/>
      <c r="VVS55" s="82"/>
      <c r="VVT55" s="82"/>
      <c r="VVU55" s="82"/>
      <c r="VVV55" s="82"/>
      <c r="VVW55" s="82"/>
      <c r="VVX55" s="82"/>
      <c r="VVY55" s="82"/>
      <c r="VVZ55" s="82"/>
      <c r="VWA55" s="82"/>
      <c r="VWB55" s="82"/>
      <c r="VWC55" s="82"/>
      <c r="VWD55" s="82"/>
      <c r="VWE55" s="82"/>
      <c r="VWF55" s="82"/>
      <c r="VWG55" s="82"/>
      <c r="VWH55" s="82"/>
      <c r="VWI55" s="82"/>
      <c r="VWJ55" s="82"/>
      <c r="VWK55" s="82"/>
      <c r="VWL55" s="82"/>
      <c r="VWM55" s="82"/>
      <c r="VWN55" s="82"/>
      <c r="VWO55" s="82"/>
      <c r="VWP55" s="82"/>
      <c r="VWQ55" s="82"/>
      <c r="VWR55" s="82"/>
      <c r="VWS55" s="82"/>
      <c r="VWT55" s="82"/>
      <c r="VWU55" s="82"/>
      <c r="VWV55" s="82"/>
      <c r="VWW55" s="82"/>
      <c r="VWX55" s="82"/>
      <c r="VWY55" s="82"/>
      <c r="VWZ55" s="82"/>
      <c r="VXA55" s="82"/>
      <c r="VXB55" s="82"/>
      <c r="VXC55" s="82"/>
      <c r="VXD55" s="82"/>
      <c r="VXE55" s="82"/>
      <c r="VXF55" s="82"/>
      <c r="VXG55" s="82"/>
      <c r="VXH55" s="82"/>
      <c r="VXI55" s="82"/>
      <c r="VXJ55" s="82"/>
      <c r="VXK55" s="82"/>
      <c r="VXL55" s="82"/>
      <c r="VXM55" s="82"/>
      <c r="VXN55" s="82"/>
      <c r="VXO55" s="82"/>
      <c r="VXP55" s="82"/>
      <c r="VXQ55" s="82"/>
      <c r="VXR55" s="82"/>
      <c r="VXS55" s="82"/>
      <c r="VXT55" s="82"/>
      <c r="VXU55" s="82"/>
      <c r="VXV55" s="82"/>
      <c r="VXW55" s="82"/>
      <c r="VXX55" s="82"/>
      <c r="VXY55" s="82"/>
      <c r="VXZ55" s="82"/>
      <c r="VYA55" s="82"/>
      <c r="VYB55" s="82"/>
      <c r="VYC55" s="82"/>
      <c r="VYD55" s="82"/>
      <c r="VYE55" s="82"/>
      <c r="VYF55" s="82"/>
      <c r="VYG55" s="82"/>
      <c r="VYH55" s="82"/>
      <c r="VYI55" s="82"/>
      <c r="VYJ55" s="82"/>
      <c r="VYK55" s="82"/>
      <c r="VYL55" s="82"/>
      <c r="VYM55" s="82"/>
      <c r="VYN55" s="82"/>
      <c r="VYO55" s="82"/>
      <c r="VYP55" s="82"/>
      <c r="VYQ55" s="82"/>
      <c r="VYR55" s="82"/>
      <c r="VYS55" s="82"/>
      <c r="VYT55" s="82"/>
      <c r="VYU55" s="82"/>
      <c r="VYV55" s="82"/>
      <c r="VYW55" s="82"/>
      <c r="VYX55" s="82"/>
      <c r="VYY55" s="82"/>
      <c r="VYZ55" s="82"/>
      <c r="VZA55" s="82"/>
      <c r="VZB55" s="82"/>
      <c r="VZC55" s="82"/>
      <c r="VZD55" s="82"/>
      <c r="VZE55" s="82"/>
      <c r="VZF55" s="82"/>
      <c r="VZG55" s="82"/>
      <c r="VZH55" s="82"/>
      <c r="VZI55" s="82"/>
      <c r="VZJ55" s="82"/>
      <c r="VZK55" s="82"/>
      <c r="VZL55" s="82"/>
      <c r="VZM55" s="82"/>
      <c r="VZN55" s="82"/>
      <c r="VZO55" s="82"/>
      <c r="VZP55" s="82"/>
      <c r="VZQ55" s="82"/>
      <c r="VZR55" s="82"/>
      <c r="VZS55" s="82"/>
      <c r="VZT55" s="82"/>
      <c r="VZU55" s="82"/>
      <c r="VZV55" s="82"/>
      <c r="VZW55" s="82"/>
      <c r="VZX55" s="82"/>
      <c r="VZY55" s="82"/>
      <c r="VZZ55" s="82"/>
      <c r="WAA55" s="82"/>
      <c r="WAB55" s="82"/>
      <c r="WAC55" s="82"/>
      <c r="WAD55" s="82"/>
      <c r="WAE55" s="82"/>
      <c r="WAF55" s="82"/>
      <c r="WAG55" s="82"/>
      <c r="WAH55" s="82"/>
      <c r="WAI55" s="82"/>
      <c r="WAJ55" s="82"/>
      <c r="WAK55" s="82"/>
      <c r="WAL55" s="82"/>
      <c r="WAM55" s="82"/>
      <c r="WAN55" s="82"/>
      <c r="WAO55" s="82"/>
      <c r="WAP55" s="82"/>
      <c r="WAQ55" s="82"/>
      <c r="WAR55" s="82"/>
      <c r="WAS55" s="82"/>
      <c r="WAT55" s="82"/>
      <c r="WAU55" s="82"/>
      <c r="WAV55" s="82"/>
      <c r="WAW55" s="82"/>
      <c r="WAX55" s="82"/>
      <c r="WAY55" s="82"/>
      <c r="WAZ55" s="82"/>
      <c r="WBA55" s="82"/>
      <c r="WBB55" s="82"/>
      <c r="WBC55" s="82"/>
      <c r="WBD55" s="82"/>
      <c r="WBE55" s="82"/>
      <c r="WBF55" s="82"/>
      <c r="WBG55" s="82"/>
      <c r="WBH55" s="82"/>
      <c r="WBI55" s="82"/>
      <c r="WBJ55" s="82"/>
      <c r="WBK55" s="82"/>
      <c r="WBL55" s="82"/>
      <c r="WBM55" s="82"/>
      <c r="WBN55" s="82"/>
      <c r="WBO55" s="82"/>
      <c r="WBP55" s="82"/>
      <c r="WBQ55" s="82"/>
      <c r="WBR55" s="82"/>
      <c r="WBS55" s="82"/>
      <c r="WBT55" s="82"/>
      <c r="WBU55" s="82"/>
      <c r="WBV55" s="82"/>
      <c r="WBW55" s="82"/>
      <c r="WBX55" s="82"/>
      <c r="WBY55" s="82"/>
      <c r="WBZ55" s="82"/>
      <c r="WCA55" s="82"/>
      <c r="WCB55" s="82"/>
      <c r="WCC55" s="82"/>
      <c r="WCD55" s="82"/>
      <c r="WCE55" s="82"/>
      <c r="WCF55" s="82"/>
      <c r="WCG55" s="82"/>
      <c r="WCH55" s="82"/>
      <c r="WCI55" s="82"/>
      <c r="WCJ55" s="82"/>
      <c r="WCK55" s="82"/>
      <c r="WCL55" s="82"/>
      <c r="WCM55" s="82"/>
      <c r="WCN55" s="82"/>
      <c r="WCO55" s="82"/>
      <c r="WCP55" s="82"/>
      <c r="WCQ55" s="82"/>
      <c r="WCR55" s="82"/>
      <c r="WCS55" s="82"/>
      <c r="WCT55" s="82"/>
      <c r="WCU55" s="82"/>
      <c r="WCV55" s="82"/>
      <c r="WCW55" s="82"/>
      <c r="WCX55" s="82"/>
      <c r="WCY55" s="82"/>
      <c r="WCZ55" s="82"/>
      <c r="WDA55" s="82"/>
      <c r="WDB55" s="82"/>
      <c r="WDC55" s="82"/>
      <c r="WDD55" s="82"/>
      <c r="WDE55" s="82"/>
      <c r="WDF55" s="82"/>
      <c r="WDG55" s="82"/>
      <c r="WDH55" s="82"/>
      <c r="WDI55" s="82"/>
      <c r="WDJ55" s="82"/>
      <c r="WDK55" s="82"/>
      <c r="WDL55" s="82"/>
      <c r="WDM55" s="82"/>
      <c r="WDN55" s="82"/>
      <c r="WDO55" s="82"/>
      <c r="WDP55" s="82"/>
      <c r="WDQ55" s="82"/>
      <c r="WDR55" s="82"/>
      <c r="WDS55" s="82"/>
      <c r="WDT55" s="82"/>
      <c r="WDU55" s="82"/>
      <c r="WDV55" s="82"/>
      <c r="WDW55" s="82"/>
      <c r="WDX55" s="82"/>
      <c r="WDY55" s="82"/>
      <c r="WDZ55" s="82"/>
      <c r="WEA55" s="82"/>
      <c r="WEB55" s="82"/>
      <c r="WEC55" s="82"/>
      <c r="WED55" s="82"/>
      <c r="WEE55" s="82"/>
      <c r="WEF55" s="82"/>
      <c r="WEG55" s="82"/>
      <c r="WEH55" s="82"/>
      <c r="WEI55" s="82"/>
      <c r="WEJ55" s="82"/>
      <c r="WEK55" s="82"/>
      <c r="WEL55" s="82"/>
      <c r="WEM55" s="82"/>
      <c r="WEN55" s="82"/>
      <c r="WEO55" s="82"/>
      <c r="WEP55" s="82"/>
      <c r="WEQ55" s="82"/>
      <c r="WER55" s="82"/>
      <c r="WES55" s="82"/>
      <c r="WET55" s="82"/>
      <c r="WEU55" s="82"/>
      <c r="WEV55" s="82"/>
      <c r="WEW55" s="82"/>
      <c r="WEX55" s="82"/>
      <c r="WEY55" s="82"/>
      <c r="WEZ55" s="82"/>
      <c r="WFA55" s="82"/>
      <c r="WFB55" s="82"/>
      <c r="WFC55" s="82"/>
      <c r="WFD55" s="82"/>
      <c r="WFE55" s="82"/>
      <c r="WFF55" s="82"/>
      <c r="WFG55" s="82"/>
      <c r="WFH55" s="82"/>
      <c r="WFI55" s="82"/>
      <c r="WFJ55" s="82"/>
      <c r="WFK55" s="82"/>
      <c r="WFL55" s="82"/>
      <c r="WFM55" s="82"/>
      <c r="WFN55" s="82"/>
      <c r="WFO55" s="82"/>
      <c r="WFP55" s="82"/>
      <c r="WFQ55" s="82"/>
      <c r="WFR55" s="82"/>
      <c r="WFS55" s="82"/>
      <c r="WFT55" s="82"/>
      <c r="WFU55" s="82"/>
      <c r="WFV55" s="82"/>
      <c r="WFW55" s="82"/>
      <c r="WFX55" s="82"/>
      <c r="WFY55" s="82"/>
      <c r="WFZ55" s="82"/>
      <c r="WGA55" s="82"/>
      <c r="WGB55" s="82"/>
      <c r="WGC55" s="82"/>
      <c r="WGD55" s="82"/>
      <c r="WGE55" s="82"/>
      <c r="WGF55" s="82"/>
      <c r="WGG55" s="82"/>
      <c r="WGH55" s="82"/>
      <c r="WGI55" s="82"/>
      <c r="WGJ55" s="82"/>
      <c r="WGK55" s="82"/>
      <c r="WGL55" s="82"/>
      <c r="WGM55" s="82"/>
      <c r="WGN55" s="82"/>
      <c r="WGO55" s="82"/>
      <c r="WGP55" s="82"/>
      <c r="WGQ55" s="82"/>
      <c r="WGR55" s="82"/>
      <c r="WGS55" s="82"/>
      <c r="WGT55" s="82"/>
      <c r="WGU55" s="82"/>
      <c r="WGV55" s="82"/>
      <c r="WGW55" s="82"/>
      <c r="WGX55" s="82"/>
      <c r="WGY55" s="82"/>
      <c r="WGZ55" s="82"/>
      <c r="WHA55" s="82"/>
      <c r="WHB55" s="82"/>
      <c r="WHC55" s="82"/>
      <c r="WHD55" s="82"/>
      <c r="WHE55" s="82"/>
      <c r="WHF55" s="82"/>
      <c r="WHG55" s="82"/>
      <c r="WHH55" s="82"/>
      <c r="WHI55" s="82"/>
      <c r="WHJ55" s="82"/>
      <c r="WHK55" s="82"/>
      <c r="WHL55" s="82"/>
      <c r="WHM55" s="82"/>
      <c r="WHN55" s="82"/>
      <c r="WHO55" s="82"/>
      <c r="WHP55" s="82"/>
      <c r="WHQ55" s="82"/>
      <c r="WHR55" s="82"/>
      <c r="WHS55" s="82"/>
      <c r="WHT55" s="82"/>
      <c r="WHU55" s="82"/>
      <c r="WHV55" s="82"/>
      <c r="WHW55" s="82"/>
      <c r="WHX55" s="82"/>
      <c r="WHY55" s="82"/>
      <c r="WHZ55" s="82"/>
      <c r="WIA55" s="82"/>
      <c r="WIB55" s="82"/>
      <c r="WIC55" s="82"/>
      <c r="WID55" s="82"/>
      <c r="WIE55" s="82"/>
      <c r="WIF55" s="82"/>
      <c r="WIG55" s="82"/>
      <c r="WIH55" s="82"/>
      <c r="WII55" s="82"/>
      <c r="WIJ55" s="82"/>
      <c r="WIK55" s="82"/>
      <c r="WIL55" s="82"/>
      <c r="WIM55" s="82"/>
      <c r="WIN55" s="82"/>
      <c r="WIO55" s="82"/>
      <c r="WIP55" s="82"/>
      <c r="WIQ55" s="82"/>
      <c r="WIR55" s="82"/>
      <c r="WIS55" s="82"/>
      <c r="WIT55" s="82"/>
      <c r="WIU55" s="82"/>
      <c r="WIV55" s="82"/>
      <c r="WIW55" s="82"/>
      <c r="WIX55" s="82"/>
      <c r="WIY55" s="82"/>
      <c r="WIZ55" s="82"/>
      <c r="WJA55" s="82"/>
      <c r="WJB55" s="82"/>
      <c r="WJC55" s="82"/>
      <c r="WJD55" s="82"/>
      <c r="WJE55" s="82"/>
      <c r="WJF55" s="82"/>
      <c r="WJG55" s="82"/>
      <c r="WJH55" s="82"/>
      <c r="WJI55" s="82"/>
      <c r="WJJ55" s="82"/>
      <c r="WJK55" s="82"/>
      <c r="WJL55" s="82"/>
      <c r="WJM55" s="82"/>
      <c r="WJN55" s="82"/>
      <c r="WJO55" s="82"/>
      <c r="WJP55" s="82"/>
      <c r="WJQ55" s="82"/>
      <c r="WJR55" s="82"/>
      <c r="WJS55" s="82"/>
      <c r="WJT55" s="82"/>
      <c r="WJU55" s="82"/>
      <c r="WJV55" s="82"/>
      <c r="WJW55" s="82"/>
      <c r="WJX55" s="82"/>
      <c r="WJY55" s="82"/>
      <c r="WJZ55" s="82"/>
      <c r="WKA55" s="82"/>
      <c r="WKB55" s="82"/>
      <c r="WKC55" s="82"/>
      <c r="WKD55" s="82"/>
      <c r="WKE55" s="82"/>
      <c r="WKF55" s="82"/>
      <c r="WKG55" s="82"/>
      <c r="WKH55" s="82"/>
      <c r="WKI55" s="82"/>
      <c r="WKJ55" s="82"/>
      <c r="WKK55" s="82"/>
      <c r="WKL55" s="82"/>
      <c r="WKM55" s="82"/>
      <c r="WKN55" s="82"/>
      <c r="WKO55" s="82"/>
      <c r="WKP55" s="82"/>
      <c r="WKQ55" s="82"/>
      <c r="WKR55" s="82"/>
      <c r="WKS55" s="82"/>
      <c r="WKT55" s="82"/>
      <c r="WKU55" s="82"/>
      <c r="WKV55" s="82"/>
      <c r="WKW55" s="82"/>
      <c r="WKX55" s="82"/>
      <c r="WKY55" s="82"/>
      <c r="WKZ55" s="82"/>
      <c r="WLA55" s="82"/>
      <c r="WLB55" s="82"/>
      <c r="WLC55" s="82"/>
      <c r="WLD55" s="82"/>
      <c r="WLE55" s="82"/>
      <c r="WLF55" s="82"/>
      <c r="WLG55" s="82"/>
      <c r="WLH55" s="82"/>
      <c r="WLI55" s="82"/>
      <c r="WLJ55" s="82"/>
      <c r="WLK55" s="82"/>
      <c r="WLL55" s="82"/>
      <c r="WLM55" s="82"/>
      <c r="WLN55" s="82"/>
      <c r="WLO55" s="82"/>
      <c r="WLP55" s="82"/>
      <c r="WLQ55" s="82"/>
      <c r="WLR55" s="82"/>
      <c r="WLS55" s="82"/>
      <c r="WLT55" s="82"/>
      <c r="WLU55" s="82"/>
      <c r="WLV55" s="82"/>
      <c r="WLW55" s="82"/>
      <c r="WLX55" s="82"/>
      <c r="WLY55" s="82"/>
      <c r="WLZ55" s="82"/>
      <c r="WMA55" s="82"/>
      <c r="WMB55" s="82"/>
      <c r="WMC55" s="82"/>
      <c r="WMD55" s="82"/>
      <c r="WME55" s="82"/>
      <c r="WMF55" s="82"/>
      <c r="WMG55" s="82"/>
      <c r="WMH55" s="82"/>
      <c r="WMI55" s="82"/>
      <c r="WMJ55" s="82"/>
      <c r="WMK55" s="82"/>
      <c r="WML55" s="82"/>
      <c r="WMM55" s="82"/>
      <c r="WMN55" s="82"/>
      <c r="WMO55" s="82"/>
      <c r="WMP55" s="82"/>
      <c r="WMQ55" s="82"/>
      <c r="WMR55" s="82"/>
      <c r="WMS55" s="82"/>
      <c r="WMT55" s="82"/>
      <c r="WMU55" s="82"/>
      <c r="WMV55" s="82"/>
      <c r="WMW55" s="82"/>
      <c r="WMX55" s="82"/>
      <c r="WMY55" s="82"/>
      <c r="WMZ55" s="82"/>
      <c r="WNA55" s="82"/>
      <c r="WNB55" s="82"/>
      <c r="WNC55" s="82"/>
      <c r="WND55" s="82"/>
      <c r="WNE55" s="82"/>
      <c r="WNF55" s="82"/>
      <c r="WNG55" s="82"/>
      <c r="WNH55" s="82"/>
      <c r="WNI55" s="82"/>
      <c r="WNJ55" s="82"/>
      <c r="WNK55" s="82"/>
      <c r="WNL55" s="82"/>
      <c r="WNM55" s="82"/>
      <c r="WNN55" s="82"/>
      <c r="WNO55" s="82"/>
      <c r="WNP55" s="82"/>
      <c r="WNQ55" s="82"/>
      <c r="WNR55" s="82"/>
      <c r="WNS55" s="82"/>
      <c r="WNT55" s="82"/>
      <c r="WNU55" s="82"/>
      <c r="WNV55" s="82"/>
      <c r="WNW55" s="82"/>
      <c r="WNX55" s="82"/>
      <c r="WNY55" s="82"/>
      <c r="WNZ55" s="82"/>
      <c r="WOA55" s="82"/>
      <c r="WOB55" s="82"/>
      <c r="WOC55" s="82"/>
      <c r="WOD55" s="82"/>
      <c r="WOE55" s="82"/>
      <c r="WOF55" s="82"/>
      <c r="WOG55" s="82"/>
      <c r="WOH55" s="82"/>
      <c r="WOI55" s="82"/>
      <c r="WOJ55" s="82"/>
      <c r="WOK55" s="82"/>
      <c r="WOL55" s="82"/>
      <c r="WOM55" s="82"/>
      <c r="WON55" s="82"/>
      <c r="WOO55" s="82"/>
      <c r="WOP55" s="82"/>
      <c r="WOQ55" s="82"/>
      <c r="WOR55" s="82"/>
      <c r="WOS55" s="82"/>
      <c r="WOT55" s="82"/>
      <c r="WOU55" s="82"/>
      <c r="WOV55" s="82"/>
      <c r="WOW55" s="82"/>
      <c r="WOX55" s="82"/>
      <c r="WOY55" s="82"/>
      <c r="WOZ55" s="82"/>
      <c r="WPA55" s="82"/>
      <c r="WPB55" s="82"/>
      <c r="WPC55" s="82"/>
      <c r="WPD55" s="82"/>
      <c r="WPE55" s="82"/>
      <c r="WPF55" s="82"/>
      <c r="WPG55" s="82"/>
      <c r="WPH55" s="82"/>
      <c r="WPI55" s="82"/>
      <c r="WPJ55" s="82"/>
      <c r="WPK55" s="82"/>
      <c r="WPL55" s="82"/>
      <c r="WPM55" s="82"/>
      <c r="WPN55" s="82"/>
      <c r="WPO55" s="82"/>
      <c r="WPP55" s="82"/>
      <c r="WPQ55" s="82"/>
      <c r="WPR55" s="82"/>
      <c r="WPS55" s="82"/>
      <c r="WPT55" s="82"/>
      <c r="WPU55" s="82"/>
      <c r="WPV55" s="82"/>
      <c r="WPW55" s="82"/>
      <c r="WPX55" s="82"/>
      <c r="WPY55" s="82"/>
      <c r="WPZ55" s="82"/>
      <c r="WQA55" s="82"/>
      <c r="WQB55" s="82"/>
      <c r="WQC55" s="82"/>
      <c r="WQD55" s="82"/>
      <c r="WQE55" s="82"/>
      <c r="WQF55" s="82"/>
      <c r="WQG55" s="82"/>
      <c r="WQH55" s="82"/>
      <c r="WQI55" s="82"/>
      <c r="WQJ55" s="82"/>
      <c r="WQK55" s="82"/>
      <c r="WQL55" s="82"/>
      <c r="WQM55" s="82"/>
      <c r="WQN55" s="82"/>
      <c r="WQO55" s="82"/>
      <c r="WQP55" s="82"/>
      <c r="WQQ55" s="82"/>
      <c r="WQR55" s="82"/>
      <c r="WQS55" s="82"/>
      <c r="WQT55" s="82"/>
      <c r="WQU55" s="82"/>
      <c r="WQV55" s="82"/>
      <c r="WQW55" s="82"/>
      <c r="WQX55" s="82"/>
      <c r="WQY55" s="82"/>
      <c r="WQZ55" s="82"/>
      <c r="WRA55" s="82"/>
      <c r="WRB55" s="82"/>
      <c r="WRC55" s="82"/>
      <c r="WRD55" s="82"/>
      <c r="WRE55" s="82"/>
      <c r="WRF55" s="82"/>
      <c r="WRG55" s="82"/>
      <c r="WRH55" s="82"/>
      <c r="WRI55" s="82"/>
      <c r="WRJ55" s="82"/>
      <c r="WRK55" s="82"/>
      <c r="WRL55" s="82"/>
      <c r="WRM55" s="82"/>
      <c r="WRN55" s="82"/>
      <c r="WRO55" s="82"/>
      <c r="WRP55" s="82"/>
      <c r="WRQ55" s="82"/>
      <c r="WRR55" s="82"/>
      <c r="WRS55" s="82"/>
      <c r="WRT55" s="82"/>
      <c r="WRU55" s="82"/>
      <c r="WRV55" s="82"/>
      <c r="WRW55" s="82"/>
      <c r="WRX55" s="82"/>
      <c r="WRY55" s="82"/>
      <c r="WRZ55" s="82"/>
      <c r="WSA55" s="82"/>
      <c r="WSB55" s="82"/>
      <c r="WSC55" s="82"/>
      <c r="WSD55" s="82"/>
      <c r="WSE55" s="82"/>
      <c r="WSF55" s="82"/>
      <c r="WSG55" s="82"/>
      <c r="WSH55" s="82"/>
      <c r="WSI55" s="82"/>
      <c r="WSJ55" s="82"/>
      <c r="WSK55" s="82"/>
      <c r="WSL55" s="82"/>
      <c r="WSM55" s="82"/>
      <c r="WSN55" s="82"/>
      <c r="WSO55" s="82"/>
      <c r="WSP55" s="82"/>
      <c r="WSQ55" s="82"/>
      <c r="WSR55" s="82"/>
      <c r="WSS55" s="82"/>
      <c r="WST55" s="82"/>
      <c r="WSU55" s="82"/>
      <c r="WSV55" s="82"/>
      <c r="WSW55" s="82"/>
      <c r="WSX55" s="82"/>
      <c r="WSY55" s="82"/>
      <c r="WSZ55" s="82"/>
      <c r="WTA55" s="82"/>
      <c r="WTB55" s="82"/>
      <c r="WTC55" s="82"/>
      <c r="WTD55" s="82"/>
      <c r="WTE55" s="82"/>
      <c r="WTF55" s="82"/>
      <c r="WTG55" s="82"/>
      <c r="WTH55" s="82"/>
      <c r="WTI55" s="82"/>
      <c r="WTJ55" s="82"/>
      <c r="WTK55" s="82"/>
      <c r="WTL55" s="82"/>
      <c r="WTM55" s="82"/>
      <c r="WTN55" s="82"/>
      <c r="WTO55" s="82"/>
      <c r="WTP55" s="82"/>
      <c r="WTQ55" s="82"/>
      <c r="WTR55" s="82"/>
      <c r="WTS55" s="82"/>
      <c r="WTT55" s="82"/>
      <c r="WTU55" s="82"/>
      <c r="WTV55" s="82"/>
      <c r="WTW55" s="82"/>
      <c r="WTX55" s="82"/>
      <c r="WTY55" s="82"/>
      <c r="WTZ55" s="82"/>
      <c r="WUA55" s="82"/>
      <c r="WUB55" s="82"/>
      <c r="WUC55" s="82"/>
      <c r="WUD55" s="82"/>
      <c r="WUE55" s="82"/>
      <c r="WUF55" s="82"/>
      <c r="WUG55" s="82"/>
      <c r="WUH55" s="82"/>
      <c r="WUI55" s="82"/>
      <c r="WUJ55" s="82"/>
      <c r="WUK55" s="82"/>
      <c r="WUL55" s="82"/>
      <c r="WUM55" s="82"/>
      <c r="WUN55" s="82"/>
      <c r="WUO55" s="82"/>
      <c r="WUP55" s="82"/>
      <c r="WUQ55" s="82"/>
      <c r="WUR55" s="82"/>
      <c r="WUS55" s="82"/>
      <c r="WUT55" s="82"/>
      <c r="WUU55" s="82"/>
      <c r="WUV55" s="82"/>
      <c r="WUW55" s="82"/>
      <c r="WUX55" s="82"/>
      <c r="WUY55" s="82"/>
      <c r="WUZ55" s="82"/>
      <c r="WVA55" s="82"/>
      <c r="WVB55" s="82"/>
      <c r="WVC55" s="82"/>
      <c r="WVD55" s="82"/>
      <c r="WVE55" s="82"/>
      <c r="WVF55" s="82"/>
      <c r="WVG55" s="82"/>
      <c r="WVH55" s="82"/>
      <c r="WVI55" s="82"/>
      <c r="WVJ55" s="82"/>
      <c r="WVK55" s="82"/>
      <c r="WVL55" s="82"/>
      <c r="WVM55" s="82"/>
      <c r="WVN55" s="82"/>
      <c r="WVO55" s="82"/>
      <c r="WVP55" s="82"/>
      <c r="WVQ55" s="82"/>
      <c r="WVR55" s="82"/>
      <c r="WVS55" s="82"/>
      <c r="WVT55" s="82"/>
      <c r="WVU55" s="82"/>
      <c r="WVV55" s="82"/>
      <c r="WVW55" s="82"/>
      <c r="WVX55" s="82"/>
      <c r="WVY55" s="82"/>
      <c r="WVZ55" s="82"/>
      <c r="WWA55" s="82"/>
      <c r="WWB55" s="82"/>
      <c r="WWC55" s="82"/>
      <c r="WWD55" s="82"/>
      <c r="WWE55" s="82"/>
      <c r="WWF55" s="82"/>
      <c r="WWG55" s="82"/>
      <c r="WWH55" s="82"/>
      <c r="WWI55" s="82"/>
      <c r="WWJ55" s="82"/>
      <c r="WWK55" s="82"/>
      <c r="WWL55" s="82"/>
      <c r="WWM55" s="82"/>
      <c r="WWN55" s="82"/>
      <c r="WWO55" s="82"/>
      <c r="WWP55" s="82"/>
      <c r="WWQ55" s="82"/>
      <c r="WWR55" s="82"/>
      <c r="WWS55" s="82"/>
      <c r="WWT55" s="82"/>
      <c r="WWU55" s="82"/>
      <c r="WWV55" s="82"/>
      <c r="WWW55" s="82"/>
      <c r="WWX55" s="82"/>
      <c r="WWY55" s="82"/>
      <c r="WWZ55" s="82"/>
      <c r="WXA55" s="82"/>
      <c r="WXB55" s="82"/>
      <c r="WXC55" s="82"/>
      <c r="WXD55" s="82"/>
      <c r="WXE55" s="82"/>
      <c r="WXF55" s="82"/>
      <c r="WXG55" s="82"/>
      <c r="WXH55" s="82"/>
      <c r="WXI55" s="82"/>
      <c r="WXJ55" s="82"/>
      <c r="WXK55" s="82"/>
      <c r="WXL55" s="82"/>
      <c r="WXM55" s="82"/>
      <c r="WXN55" s="82"/>
      <c r="WXO55" s="82"/>
      <c r="WXP55" s="82"/>
      <c r="WXQ55" s="82"/>
      <c r="WXR55" s="82"/>
      <c r="WXS55" s="82"/>
      <c r="WXT55" s="82"/>
      <c r="WXU55" s="82"/>
      <c r="WXV55" s="82"/>
      <c r="WXW55" s="82"/>
      <c r="WXX55" s="82"/>
      <c r="WXY55" s="82"/>
      <c r="WXZ55" s="82"/>
      <c r="WYA55" s="82"/>
      <c r="WYB55" s="82"/>
      <c r="WYC55" s="82"/>
      <c r="WYD55" s="82"/>
      <c r="WYE55" s="82"/>
      <c r="WYF55" s="82"/>
      <c r="WYG55" s="82"/>
      <c r="WYH55" s="82"/>
      <c r="WYI55" s="82"/>
      <c r="WYJ55" s="82"/>
      <c r="WYK55" s="82"/>
      <c r="WYL55" s="82"/>
      <c r="WYM55" s="82"/>
      <c r="WYN55" s="82"/>
      <c r="WYO55" s="82"/>
      <c r="WYP55" s="82"/>
      <c r="WYQ55" s="82"/>
      <c r="WYR55" s="82"/>
      <c r="WYS55" s="82"/>
      <c r="WYT55" s="82"/>
      <c r="WYU55" s="82"/>
      <c r="WYV55" s="82"/>
      <c r="WYW55" s="82"/>
      <c r="WYX55" s="82"/>
      <c r="WYY55" s="82"/>
      <c r="WYZ55" s="82"/>
      <c r="WZA55" s="82"/>
      <c r="WZB55" s="82"/>
      <c r="WZC55" s="82"/>
      <c r="WZD55" s="82"/>
      <c r="WZE55" s="82"/>
      <c r="WZF55" s="82"/>
      <c r="WZG55" s="82"/>
      <c r="WZH55" s="82"/>
      <c r="WZI55" s="82"/>
      <c r="WZJ55" s="82"/>
      <c r="WZK55" s="82"/>
      <c r="WZL55" s="82"/>
      <c r="WZM55" s="82"/>
      <c r="WZN55" s="82"/>
      <c r="WZO55" s="82"/>
      <c r="WZP55" s="82"/>
      <c r="WZQ55" s="82"/>
      <c r="WZR55" s="82"/>
      <c r="WZS55" s="82"/>
      <c r="WZT55" s="82"/>
      <c r="WZU55" s="82"/>
      <c r="WZV55" s="82"/>
      <c r="WZW55" s="82"/>
      <c r="WZX55" s="82"/>
      <c r="WZY55" s="82"/>
      <c r="WZZ55" s="82"/>
      <c r="XAA55" s="82"/>
      <c r="XAB55" s="82"/>
      <c r="XAC55" s="82"/>
      <c r="XAD55" s="82"/>
      <c r="XAE55" s="82"/>
      <c r="XAF55" s="82"/>
      <c r="XAG55" s="82"/>
      <c r="XAH55" s="82"/>
      <c r="XAI55" s="82"/>
      <c r="XAJ55" s="82"/>
      <c r="XAK55" s="82"/>
      <c r="XAL55" s="82"/>
      <c r="XAM55" s="82"/>
      <c r="XAN55" s="82"/>
      <c r="XAO55" s="82"/>
      <c r="XAP55" s="82"/>
      <c r="XAQ55" s="82"/>
      <c r="XAR55" s="82"/>
      <c r="XAS55" s="82"/>
      <c r="XAT55" s="82"/>
      <c r="XAU55" s="82"/>
      <c r="XAV55" s="82"/>
      <c r="XAW55" s="82"/>
      <c r="XAX55" s="82"/>
      <c r="XAY55" s="82"/>
      <c r="XAZ55" s="82"/>
      <c r="XBA55" s="82"/>
      <c r="XBB55" s="82"/>
      <c r="XBC55" s="82"/>
      <c r="XBD55" s="82"/>
      <c r="XBE55" s="82"/>
      <c r="XBF55" s="82"/>
      <c r="XBG55" s="82"/>
      <c r="XBH55" s="82"/>
      <c r="XBI55" s="82"/>
      <c r="XBJ55" s="82"/>
      <c r="XBK55" s="82"/>
      <c r="XBL55" s="82"/>
      <c r="XBM55" s="82"/>
      <c r="XBN55" s="82"/>
      <c r="XBO55" s="82"/>
      <c r="XBP55" s="82"/>
      <c r="XBQ55" s="82"/>
      <c r="XBR55" s="82"/>
      <c r="XBS55" s="82"/>
      <c r="XBT55" s="82"/>
      <c r="XBU55" s="82"/>
      <c r="XBV55" s="82"/>
      <c r="XBW55" s="82"/>
      <c r="XBX55" s="82"/>
      <c r="XBY55" s="82"/>
      <c r="XBZ55" s="82"/>
      <c r="XCA55" s="82"/>
      <c r="XCB55" s="82"/>
      <c r="XCC55" s="82"/>
      <c r="XCD55" s="82"/>
      <c r="XCE55" s="82"/>
      <c r="XCF55" s="82"/>
      <c r="XCG55" s="82"/>
      <c r="XCH55" s="82"/>
      <c r="XCI55" s="82"/>
      <c r="XCJ55" s="82"/>
      <c r="XCK55" s="82"/>
      <c r="XCL55" s="82"/>
      <c r="XCM55" s="82"/>
      <c r="XCN55" s="82"/>
      <c r="XCO55" s="82"/>
      <c r="XCP55" s="82"/>
      <c r="XCQ55" s="82"/>
      <c r="XCR55" s="82"/>
      <c r="XCS55" s="82"/>
      <c r="XCT55" s="82"/>
      <c r="XCU55" s="82"/>
      <c r="XCV55" s="82"/>
      <c r="XCW55" s="82"/>
      <c r="XCX55" s="82"/>
      <c r="XCY55" s="82"/>
      <c r="XCZ55" s="82"/>
      <c r="XDA55" s="82"/>
      <c r="XDB55" s="82"/>
      <c r="XDC55" s="82"/>
      <c r="XDD55" s="82"/>
      <c r="XDE55" s="82"/>
      <c r="XDF55" s="82"/>
      <c r="XDG55" s="82"/>
      <c r="XDH55" s="82"/>
      <c r="XDI55" s="82"/>
      <c r="XDJ55" s="82"/>
      <c r="XDK55" s="82"/>
      <c r="XDL55" s="82"/>
      <c r="XDM55" s="82"/>
      <c r="XDN55" s="82"/>
      <c r="XDO55" s="82"/>
      <c r="XDP55" s="82"/>
      <c r="XDQ55" s="82"/>
      <c r="XDR55" s="82"/>
      <c r="XDS55" s="82"/>
      <c r="XDT55" s="82"/>
      <c r="XDU55" s="82"/>
      <c r="XDV55" s="82"/>
      <c r="XDW55" s="82"/>
      <c r="XDX55" s="82"/>
      <c r="XDY55" s="82"/>
      <c r="XDZ55" s="82"/>
      <c r="XEA55" s="82"/>
      <c r="XEB55" s="82"/>
      <c r="XEC55" s="82"/>
      <c r="XED55" s="82"/>
      <c r="XEE55" s="82"/>
      <c r="XEF55" s="82"/>
      <c r="XEG55" s="82"/>
      <c r="XEH55" s="82"/>
      <c r="XEI55" s="82"/>
      <c r="XEJ55" s="82"/>
      <c r="XEK55" s="82"/>
      <c r="XEL55" s="82"/>
      <c r="XEM55" s="82"/>
      <c r="XEN55" s="82"/>
      <c r="XEO55" s="82"/>
      <c r="XEP55" s="82"/>
      <c r="XEQ55" s="82"/>
      <c r="XER55" s="82"/>
      <c r="XES55" s="82"/>
      <c r="XET55" s="82"/>
      <c r="XEU55" s="82"/>
      <c r="XEV55" s="82"/>
      <c r="XEW55" s="82"/>
      <c r="XEX55" s="82"/>
      <c r="XEY55" s="82"/>
      <c r="XEZ55" s="82"/>
      <c r="XFA55" s="82"/>
      <c r="XFB55" s="82"/>
      <c r="XFC55" s="82"/>
      <c r="XFD55" s="82"/>
    </row>
    <row r="56" spans="4:16384" x14ac:dyDescent="0.25">
      <c r="D56" s="20"/>
      <c r="E56" s="21"/>
      <c r="F56" s="21"/>
      <c r="G56" s="21"/>
      <c r="H56" s="21"/>
      <c r="I56" s="21"/>
      <c r="J56" s="21"/>
      <c r="K56" s="21"/>
      <c r="L56" s="21"/>
      <c r="M56" s="21"/>
      <c r="N56" s="21"/>
      <c r="O56" s="21"/>
      <c r="P56" s="21"/>
      <c r="Q56" s="21"/>
      <c r="R56" s="21"/>
      <c r="S56" s="21"/>
      <c r="T56" s="21"/>
      <c r="U56" s="22"/>
    </row>
    <row r="57" spans="4:16384" x14ac:dyDescent="0.25">
      <c r="D57" s="20"/>
      <c r="E57" s="21"/>
      <c r="F57" s="21"/>
      <c r="G57" s="21"/>
      <c r="H57" s="21"/>
      <c r="I57" s="21"/>
      <c r="J57" s="21"/>
      <c r="K57" s="21"/>
      <c r="L57" s="21"/>
      <c r="M57" s="21"/>
      <c r="N57" s="21"/>
      <c r="O57" s="21"/>
      <c r="P57" s="21"/>
      <c r="Q57" s="21"/>
      <c r="R57" s="21"/>
      <c r="S57" s="21"/>
      <c r="T57" s="21"/>
      <c r="U57" s="22"/>
    </row>
    <row r="58" spans="4:16384" x14ac:dyDescent="0.25">
      <c r="D58" s="23"/>
      <c r="E58" s="19"/>
      <c r="F58" s="19"/>
      <c r="G58" s="19"/>
      <c r="H58" s="19"/>
      <c r="I58" s="19"/>
      <c r="J58" s="19"/>
      <c r="K58" s="19"/>
      <c r="L58" s="19"/>
      <c r="M58" s="19"/>
      <c r="N58" s="19"/>
      <c r="O58" s="19"/>
      <c r="P58" s="19"/>
      <c r="Q58" s="19"/>
      <c r="R58" s="19"/>
      <c r="S58" s="19"/>
      <c r="T58" s="19"/>
      <c r="U58" s="24"/>
    </row>
    <row r="59" spans="4:16384" x14ac:dyDescent="0.25"/>
    <row r="60" spans="4:16384" s="82" customFormat="1" x14ac:dyDescent="0.25"/>
    <row r="61" spans="4:16384" s="82" customFormat="1" x14ac:dyDescent="0.25"/>
    <row r="62" spans="4:16384" s="82" customFormat="1" x14ac:dyDescent="0.25"/>
    <row r="63" spans="4:16384" s="82" customFormat="1" x14ac:dyDescent="0.25"/>
    <row r="64" spans="4:16384" s="82" customFormat="1" x14ac:dyDescent="0.25"/>
    <row r="65" s="82" customFormat="1" x14ac:dyDescent="0.25"/>
    <row r="66" s="82" customFormat="1" x14ac:dyDescent="0.25"/>
    <row r="67" s="82" customFormat="1" x14ac:dyDescent="0.25"/>
    <row r="68" s="82" customFormat="1" x14ac:dyDescent="0.25"/>
    <row r="69" s="82" customFormat="1" x14ac:dyDescent="0.25"/>
    <row r="70" s="82" customFormat="1" x14ac:dyDescent="0.25"/>
    <row r="71" s="82" customFormat="1" x14ac:dyDescent="0.25"/>
    <row r="72" s="82" customFormat="1" x14ac:dyDescent="0.25"/>
    <row r="73" s="82" customFormat="1" x14ac:dyDescent="0.25"/>
    <row r="74" s="82" customFormat="1" x14ac:dyDescent="0.25"/>
    <row r="75" s="82" customFormat="1" x14ac:dyDescent="0.25"/>
    <row r="76" s="82" customFormat="1" x14ac:dyDescent="0.25"/>
    <row r="77" s="82" customFormat="1" x14ac:dyDescent="0.25"/>
    <row r="78" s="82" customFormat="1" x14ac:dyDescent="0.25"/>
    <row r="79" s="82" customFormat="1" x14ac:dyDescent="0.25"/>
    <row r="80" s="82" customFormat="1" x14ac:dyDescent="0.25"/>
    <row r="81" s="82" customFormat="1" x14ac:dyDescent="0.25"/>
    <row r="82" s="82" customFormat="1" x14ac:dyDescent="0.25"/>
    <row r="83" s="82" customFormat="1" x14ac:dyDescent="0.25"/>
    <row r="84" s="82" customFormat="1" x14ac:dyDescent="0.25"/>
  </sheetData>
  <sheetProtection pivotTables="0"/>
  <mergeCells count="44">
    <mergeCell ref="Q49:U49"/>
    <mergeCell ref="D25:F27"/>
    <mergeCell ref="G25:N27"/>
    <mergeCell ref="O25:P27"/>
    <mergeCell ref="Q25:U27"/>
    <mergeCell ref="E31:F31"/>
    <mergeCell ref="E33:F33"/>
    <mergeCell ref="O37:P37"/>
    <mergeCell ref="O49:P49"/>
    <mergeCell ref="Q29:U29"/>
    <mergeCell ref="Q31:U31"/>
    <mergeCell ref="Q33:U33"/>
    <mergeCell ref="Q35:U35"/>
    <mergeCell ref="O29:P29"/>
    <mergeCell ref="O31:P31"/>
    <mergeCell ref="O33:P33"/>
    <mergeCell ref="D49:F49"/>
    <mergeCell ref="G49:N49"/>
    <mergeCell ref="O39:P39"/>
    <mergeCell ref="O41:P41"/>
    <mergeCell ref="O43:P43"/>
    <mergeCell ref="O45:P45"/>
    <mergeCell ref="O47:P47"/>
    <mergeCell ref="E39:F39"/>
    <mergeCell ref="E41:F41"/>
    <mergeCell ref="E43:F43"/>
    <mergeCell ref="E45:F45"/>
    <mergeCell ref="E47:F47"/>
    <mergeCell ref="D1:U1"/>
    <mergeCell ref="D7:K7"/>
    <mergeCell ref="E17:F17"/>
    <mergeCell ref="Q47:U47"/>
    <mergeCell ref="E29:F29"/>
    <mergeCell ref="Q39:U39"/>
    <mergeCell ref="Q41:U41"/>
    <mergeCell ref="Q43:U43"/>
    <mergeCell ref="Q45:U45"/>
    <mergeCell ref="E37:F37"/>
    <mergeCell ref="Q37:U37"/>
    <mergeCell ref="O35:P35"/>
    <mergeCell ref="E35:F35"/>
    <mergeCell ref="S3:U3"/>
    <mergeCell ref="L7:U7"/>
    <mergeCell ref="D23:U23"/>
  </mergeCells>
  <pageMargins left="0.39370078740157483" right="0.19685039370078741" top="0.68748031496062989" bottom="0.74803149606299213" header="0.31496062992125984" footer="0.31496062992125984"/>
  <pageSetup paperSize="9" scale="8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18</xdr:col>
                    <xdr:colOff>28575</xdr:colOff>
                    <xdr:row>8</xdr:row>
                    <xdr:rowOff>0</xdr:rowOff>
                  </from>
                  <to>
                    <xdr:col>21</xdr:col>
                    <xdr:colOff>152400</xdr:colOff>
                    <xdr:row>9</xdr:row>
                    <xdr:rowOff>19050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18</xdr:col>
                    <xdr:colOff>19050</xdr:colOff>
                    <xdr:row>9</xdr:row>
                    <xdr:rowOff>180975</xdr:rowOff>
                  </from>
                  <to>
                    <xdr:col>21</xdr:col>
                    <xdr:colOff>142875</xdr:colOff>
                    <xdr:row>11</xdr:row>
                    <xdr:rowOff>9525</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18</xdr:col>
                    <xdr:colOff>19050</xdr:colOff>
                    <xdr:row>11</xdr:row>
                    <xdr:rowOff>180975</xdr:rowOff>
                  </from>
                  <to>
                    <xdr:col>21</xdr:col>
                    <xdr:colOff>142875</xdr:colOff>
                    <xdr:row>13</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tabColor rgb="FF00B050"/>
    <pageSetUpPr fitToPage="1"/>
  </sheetPr>
  <dimension ref="A1:M47"/>
  <sheetViews>
    <sheetView showRowColHeaders="0" zoomScaleNormal="100" workbookViewId="0">
      <selection activeCell="H36" sqref="H36"/>
    </sheetView>
  </sheetViews>
  <sheetFormatPr baseColWidth="10" defaultColWidth="0" defaultRowHeight="15" zeroHeight="1" x14ac:dyDescent="0.25"/>
  <cols>
    <col min="1" max="3" width="11.42578125" style="99" customWidth="1"/>
    <col min="4" max="4" width="26.5703125" style="50" customWidth="1"/>
    <col min="5" max="6" width="9.7109375" style="50" customWidth="1"/>
    <col min="7" max="7" width="18.42578125" style="50" customWidth="1"/>
    <col min="8" max="8" width="19.140625" style="50" customWidth="1"/>
    <col min="9" max="9" width="20" style="50" customWidth="1"/>
    <col min="10" max="10" width="17.42578125" style="50" customWidth="1"/>
    <col min="11" max="13" width="11.42578125" style="82" customWidth="1"/>
    <col min="14" max="16384" width="11.42578125" style="50" hidden="1"/>
  </cols>
  <sheetData>
    <row r="1" spans="1:13" ht="21.75" customHeight="1" x14ac:dyDescent="0.25">
      <c r="D1" s="1916" t="s">
        <v>1195</v>
      </c>
      <c r="E1" s="1917"/>
      <c r="F1" s="1917"/>
      <c r="G1" s="1917"/>
      <c r="H1" s="1917"/>
      <c r="I1" s="1917"/>
      <c r="J1" s="1917"/>
    </row>
    <row r="2" spans="1:13" x14ac:dyDescent="0.25"/>
    <row r="3" spans="1:13" s="48" customFormat="1" ht="22.5" customHeight="1" x14ac:dyDescent="0.25">
      <c r="A3" s="100"/>
      <c r="B3" s="100"/>
      <c r="C3" s="100"/>
      <c r="D3" s="43" t="s">
        <v>42</v>
      </c>
      <c r="E3" s="42" t="str">
        <f>INFORMATIONS!B10</f>
        <v>SAM CONSEILS</v>
      </c>
      <c r="F3" s="44"/>
      <c r="G3" s="44"/>
      <c r="H3" s="44"/>
      <c r="I3" s="40" t="s">
        <v>52</v>
      </c>
      <c r="J3" s="28">
        <f>INFORMATIONS!D31</f>
        <v>43465</v>
      </c>
      <c r="K3" s="83"/>
      <c r="L3" s="83"/>
      <c r="M3" s="83"/>
    </row>
    <row r="4" spans="1:13" s="48" customFormat="1" ht="19.5" customHeight="1" x14ac:dyDescent="0.25">
      <c r="A4" s="100"/>
      <c r="B4" s="100"/>
      <c r="C4" s="100"/>
      <c r="D4" s="45" t="s">
        <v>43</v>
      </c>
      <c r="E4" s="47"/>
      <c r="F4" s="286" t="str">
        <f>INFORMATIONS!B24</f>
        <v>00084404X</v>
      </c>
      <c r="G4" s="46"/>
      <c r="H4" s="46"/>
      <c r="I4" s="41" t="s">
        <v>44</v>
      </c>
      <c r="J4" s="32">
        <f>INFORMATIONS!F34</f>
        <v>12</v>
      </c>
      <c r="K4" s="83"/>
      <c r="L4" s="83"/>
      <c r="M4" s="83"/>
    </row>
    <row r="5" spans="1:13" x14ac:dyDescent="0.25"/>
    <row r="6" spans="1:13" x14ac:dyDescent="0.25"/>
    <row r="7" spans="1:13" x14ac:dyDescent="0.25"/>
    <row r="8" spans="1:13" ht="21" x14ac:dyDescent="0.3">
      <c r="D8" s="1966" t="s">
        <v>1198</v>
      </c>
      <c r="E8" s="1967"/>
      <c r="F8" s="1967"/>
      <c r="G8" s="1967"/>
      <c r="H8" s="1967"/>
      <c r="I8" s="1967"/>
      <c r="J8" s="1968"/>
    </row>
    <row r="9" spans="1:13" x14ac:dyDescent="0.25">
      <c r="D9" s="96"/>
      <c r="E9" s="97"/>
      <c r="F9" s="97"/>
      <c r="G9" s="97"/>
      <c r="H9" s="97"/>
      <c r="I9" s="97"/>
      <c r="J9" s="98"/>
    </row>
    <row r="10" spans="1:13" ht="30" x14ac:dyDescent="0.25">
      <c r="D10" s="1969" t="s">
        <v>1190</v>
      </c>
      <c r="E10" s="1970"/>
      <c r="F10" s="1969" t="s">
        <v>1191</v>
      </c>
      <c r="G10" s="1970"/>
      <c r="H10" s="25" t="s">
        <v>1192</v>
      </c>
      <c r="I10" s="95" t="s">
        <v>1193</v>
      </c>
      <c r="J10" s="95" t="s">
        <v>1194</v>
      </c>
    </row>
    <row r="11" spans="1:13" ht="30" customHeight="1" x14ac:dyDescent="0.25">
      <c r="D11" s="1964"/>
      <c r="E11" s="1965"/>
      <c r="F11" s="1964"/>
      <c r="G11" s="1965"/>
      <c r="H11" s="142"/>
      <c r="I11" s="142"/>
      <c r="J11" s="142"/>
    </row>
    <row r="12" spans="1:13" ht="30" customHeight="1" x14ac:dyDescent="0.25">
      <c r="D12" s="1964"/>
      <c r="E12" s="1965"/>
      <c r="F12" s="1964"/>
      <c r="G12" s="1965"/>
      <c r="H12" s="142"/>
      <c r="I12" s="142"/>
      <c r="J12" s="142"/>
    </row>
    <row r="13" spans="1:13" ht="30" customHeight="1" x14ac:dyDescent="0.25">
      <c r="D13" s="1964"/>
      <c r="E13" s="1965"/>
      <c r="F13" s="1964"/>
      <c r="G13" s="1965"/>
      <c r="H13" s="142"/>
      <c r="I13" s="142"/>
      <c r="J13" s="142"/>
    </row>
    <row r="14" spans="1:13" x14ac:dyDescent="0.25">
      <c r="D14" s="20"/>
      <c r="E14" s="21"/>
      <c r="F14" s="21"/>
      <c r="G14" s="21"/>
      <c r="H14" s="21"/>
      <c r="I14" s="21"/>
      <c r="J14" s="22"/>
    </row>
    <row r="15" spans="1:13" x14ac:dyDescent="0.25">
      <c r="D15" s="20" t="s">
        <v>1196</v>
      </c>
      <c r="E15" s="21"/>
      <c r="F15" s="21"/>
      <c r="G15" s="21"/>
      <c r="H15" s="21"/>
      <c r="I15" s="21"/>
      <c r="J15" s="22"/>
    </row>
    <row r="16" spans="1:13" x14ac:dyDescent="0.25">
      <c r="D16" s="20"/>
      <c r="E16" s="21"/>
      <c r="F16" s="21"/>
      <c r="G16" s="21"/>
      <c r="H16" s="21"/>
      <c r="I16" s="21"/>
      <c r="J16" s="22"/>
    </row>
    <row r="17" spans="4:10" x14ac:dyDescent="0.25">
      <c r="D17" s="20"/>
      <c r="E17" s="21"/>
      <c r="F17" s="21"/>
      <c r="G17" s="21"/>
      <c r="H17" s="21"/>
      <c r="I17" s="21"/>
      <c r="J17" s="22"/>
    </row>
    <row r="18" spans="4:10" x14ac:dyDescent="0.25">
      <c r="D18" s="20"/>
      <c r="E18" s="21"/>
      <c r="F18" s="21"/>
      <c r="G18" s="21"/>
      <c r="H18" s="21"/>
      <c r="I18" s="21"/>
      <c r="J18" s="22"/>
    </row>
    <row r="19" spans="4:10" x14ac:dyDescent="0.25">
      <c r="D19" s="20"/>
      <c r="E19" s="21"/>
      <c r="F19" s="21"/>
      <c r="G19" s="21"/>
      <c r="H19" s="21"/>
      <c r="I19" s="21"/>
      <c r="J19" s="22"/>
    </row>
    <row r="20" spans="4:10" ht="33" customHeight="1" x14ac:dyDescent="0.25">
      <c r="D20" s="1971" t="s">
        <v>1197</v>
      </c>
      <c r="E20" s="1972"/>
      <c r="F20" s="1972"/>
      <c r="G20" s="1972"/>
      <c r="H20" s="1972"/>
      <c r="I20" s="1972"/>
      <c r="J20" s="1973"/>
    </row>
    <row r="21" spans="4:10" ht="30" customHeight="1" x14ac:dyDescent="0.25">
      <c r="D21" s="1969" t="s">
        <v>1190</v>
      </c>
      <c r="E21" s="1970"/>
      <c r="F21" s="1948" t="s">
        <v>1191</v>
      </c>
      <c r="G21" s="1948"/>
      <c r="H21" s="25" t="s">
        <v>1192</v>
      </c>
      <c r="I21" s="1963" t="s">
        <v>1194</v>
      </c>
      <c r="J21" s="1963"/>
    </row>
    <row r="22" spans="4:10" ht="20.100000000000001" customHeight="1" x14ac:dyDescent="0.25">
      <c r="D22" s="1964"/>
      <c r="E22" s="1965"/>
      <c r="F22" s="1964"/>
      <c r="G22" s="1965"/>
      <c r="H22" s="142"/>
      <c r="I22" s="1826"/>
      <c r="J22" s="1826"/>
    </row>
    <row r="23" spans="4:10" ht="20.100000000000001" customHeight="1" x14ac:dyDescent="0.25">
      <c r="D23" s="1964"/>
      <c r="E23" s="1965"/>
      <c r="F23" s="1964"/>
      <c r="G23" s="1965"/>
      <c r="H23" s="142"/>
      <c r="I23" s="1826"/>
      <c r="J23" s="1826"/>
    </row>
    <row r="24" spans="4:10" ht="20.100000000000001" customHeight="1" x14ac:dyDescent="0.25">
      <c r="D24" s="1964"/>
      <c r="E24" s="1965"/>
      <c r="F24" s="1964"/>
      <c r="G24" s="1965"/>
      <c r="H24" s="142"/>
      <c r="I24" s="1826"/>
      <c r="J24" s="1826"/>
    </row>
    <row r="25" spans="4:10" ht="20.100000000000001" customHeight="1" x14ac:dyDescent="0.25">
      <c r="D25" s="1964"/>
      <c r="E25" s="1965"/>
      <c r="F25" s="1964"/>
      <c r="G25" s="1965"/>
      <c r="H25" s="142"/>
      <c r="I25" s="1826"/>
      <c r="J25" s="1826"/>
    </row>
    <row r="26" spans="4:10" ht="20.100000000000001" customHeight="1" x14ac:dyDescent="0.25">
      <c r="D26" s="1964"/>
      <c r="E26" s="1965"/>
      <c r="F26" s="1964"/>
      <c r="G26" s="1965"/>
      <c r="H26" s="142"/>
      <c r="I26" s="1826"/>
      <c r="J26" s="1826"/>
    </row>
    <row r="27" spans="4:10" ht="20.100000000000001" customHeight="1" x14ac:dyDescent="0.25">
      <c r="D27" s="1964"/>
      <c r="E27" s="1965"/>
      <c r="F27" s="1964"/>
      <c r="G27" s="1965"/>
      <c r="H27" s="142"/>
      <c r="I27" s="1826"/>
      <c r="J27" s="1826"/>
    </row>
    <row r="28" spans="4:10" ht="20.100000000000001" customHeight="1" x14ac:dyDescent="0.25">
      <c r="D28" s="1964"/>
      <c r="E28" s="1965"/>
      <c r="F28" s="1964"/>
      <c r="G28" s="1965"/>
      <c r="H28" s="142"/>
      <c r="I28" s="1826"/>
      <c r="J28" s="1826"/>
    </row>
    <row r="29" spans="4:10" ht="20.100000000000001" customHeight="1" x14ac:dyDescent="0.25">
      <c r="D29" s="1964"/>
      <c r="E29" s="1965"/>
      <c r="F29" s="1964"/>
      <c r="G29" s="1965"/>
      <c r="H29" s="142"/>
      <c r="I29" s="1826"/>
      <c r="J29" s="1826"/>
    </row>
    <row r="30" spans="4:10" ht="20.100000000000001" customHeight="1" x14ac:dyDescent="0.25">
      <c r="D30" s="1964"/>
      <c r="E30" s="1965"/>
      <c r="F30" s="1964"/>
      <c r="G30" s="1965"/>
      <c r="H30" s="142"/>
      <c r="I30" s="1826"/>
      <c r="J30" s="1826"/>
    </row>
    <row r="31" spans="4:10" ht="20.100000000000001" customHeight="1" x14ac:dyDescent="0.25">
      <c r="D31" s="1964"/>
      <c r="E31" s="1965"/>
      <c r="F31" s="1964"/>
      <c r="G31" s="1965"/>
      <c r="H31" s="142"/>
      <c r="I31" s="1826"/>
      <c r="J31" s="1826"/>
    </row>
    <row r="32" spans="4:10" ht="20.100000000000001" customHeight="1" x14ac:dyDescent="0.25">
      <c r="D32" s="1964"/>
      <c r="E32" s="1965"/>
      <c r="F32" s="1964"/>
      <c r="G32" s="1965"/>
      <c r="H32" s="142"/>
      <c r="I32" s="1826"/>
      <c r="J32" s="1826"/>
    </row>
    <row r="33" spans="1:10" ht="20.100000000000001" customHeight="1" x14ac:dyDescent="0.25">
      <c r="D33" s="1964"/>
      <c r="E33" s="1965"/>
      <c r="F33" s="1964"/>
      <c r="G33" s="1965"/>
      <c r="H33" s="142"/>
      <c r="I33" s="1826"/>
      <c r="J33" s="1826"/>
    </row>
    <row r="34" spans="1:10" ht="20.100000000000001" customHeight="1" x14ac:dyDescent="0.25">
      <c r="D34" s="1964"/>
      <c r="E34" s="1965"/>
      <c r="F34" s="1964"/>
      <c r="G34" s="1965"/>
      <c r="H34" s="142"/>
      <c r="I34" s="1826"/>
      <c r="J34" s="1826"/>
    </row>
    <row r="35" spans="1:10" s="82" customFormat="1" x14ac:dyDescent="0.25">
      <c r="A35" s="99"/>
      <c r="B35" s="99"/>
      <c r="C35" s="99"/>
      <c r="D35" s="90"/>
      <c r="E35" s="85"/>
      <c r="F35" s="85"/>
      <c r="G35" s="85"/>
      <c r="H35" s="85"/>
      <c r="I35" s="85"/>
      <c r="J35" s="91"/>
    </row>
    <row r="36" spans="1:10" s="82" customFormat="1" x14ac:dyDescent="0.25">
      <c r="A36" s="99"/>
      <c r="B36" s="99"/>
      <c r="C36" s="99"/>
      <c r="D36" s="90"/>
      <c r="E36" s="85"/>
      <c r="F36" s="85"/>
      <c r="G36" s="85"/>
      <c r="H36" s="85"/>
      <c r="I36" s="85"/>
      <c r="J36" s="91"/>
    </row>
    <row r="37" spans="1:10" s="82" customFormat="1" x14ac:dyDescent="0.25">
      <c r="A37" s="99"/>
      <c r="B37" s="99"/>
      <c r="C37" s="99"/>
      <c r="D37" s="90"/>
      <c r="E37" s="85"/>
      <c r="F37" s="85"/>
      <c r="G37" s="85"/>
      <c r="H37" s="85"/>
      <c r="I37" s="85"/>
      <c r="J37" s="91"/>
    </row>
    <row r="38" spans="1:10" s="82" customFormat="1" x14ac:dyDescent="0.25">
      <c r="A38" s="99"/>
      <c r="B38" s="99"/>
      <c r="C38" s="99"/>
      <c r="D38" s="90"/>
      <c r="E38" s="85"/>
      <c r="F38" s="85"/>
      <c r="G38" s="85"/>
      <c r="H38" s="85"/>
      <c r="I38" s="85"/>
      <c r="J38" s="91"/>
    </row>
    <row r="39" spans="1:10" s="82" customFormat="1" x14ac:dyDescent="0.25">
      <c r="A39" s="99"/>
      <c r="B39" s="99"/>
      <c r="C39" s="99"/>
      <c r="D39" s="90"/>
      <c r="E39" s="85"/>
      <c r="F39" s="85"/>
      <c r="G39" s="85"/>
      <c r="H39" s="85"/>
      <c r="I39" s="85"/>
      <c r="J39" s="91"/>
    </row>
    <row r="40" spans="1:10" s="82" customFormat="1" x14ac:dyDescent="0.25">
      <c r="A40" s="99"/>
      <c r="B40" s="99"/>
      <c r="C40" s="99"/>
      <c r="D40" s="90"/>
      <c r="E40" s="85"/>
      <c r="F40" s="85"/>
      <c r="G40" s="85"/>
      <c r="H40" s="85"/>
      <c r="I40" s="85"/>
      <c r="J40" s="91"/>
    </row>
    <row r="41" spans="1:10" s="82" customFormat="1" x14ac:dyDescent="0.25">
      <c r="A41" s="99"/>
      <c r="B41" s="99"/>
      <c r="C41" s="99"/>
      <c r="D41" s="90"/>
      <c r="E41" s="85"/>
      <c r="F41" s="85"/>
      <c r="G41" s="85"/>
      <c r="H41" s="85"/>
      <c r="I41" s="85"/>
      <c r="J41" s="91"/>
    </row>
    <row r="42" spans="1:10" s="82" customFormat="1" x14ac:dyDescent="0.25">
      <c r="A42" s="99"/>
      <c r="B42" s="99"/>
      <c r="C42" s="99"/>
      <c r="D42" s="90"/>
      <c r="E42" s="85"/>
      <c r="F42" s="85"/>
      <c r="G42" s="85"/>
      <c r="H42" s="85"/>
      <c r="I42" s="85"/>
      <c r="J42" s="91"/>
    </row>
    <row r="43" spans="1:10" s="82" customFormat="1" x14ac:dyDescent="0.25">
      <c r="A43" s="99"/>
      <c r="B43" s="99"/>
      <c r="C43" s="99"/>
      <c r="D43" s="90"/>
      <c r="E43" s="85"/>
      <c r="F43" s="85"/>
      <c r="G43" s="85"/>
      <c r="H43" s="85"/>
      <c r="I43" s="85"/>
      <c r="J43" s="91"/>
    </row>
    <row r="44" spans="1:10" s="82" customFormat="1" x14ac:dyDescent="0.25">
      <c r="A44" s="99"/>
      <c r="B44" s="99"/>
      <c r="C44" s="99"/>
      <c r="D44" s="90"/>
      <c r="E44" s="85"/>
      <c r="F44" s="85"/>
      <c r="G44" s="85"/>
      <c r="H44" s="85"/>
      <c r="I44" s="85"/>
      <c r="J44" s="91"/>
    </row>
    <row r="45" spans="1:10" s="82" customFormat="1" x14ac:dyDescent="0.25">
      <c r="A45" s="99"/>
      <c r="B45" s="99"/>
      <c r="C45" s="99"/>
      <c r="D45" s="90"/>
      <c r="E45" s="85"/>
      <c r="F45" s="85"/>
      <c r="G45" s="85"/>
      <c r="H45" s="85"/>
      <c r="I45" s="85"/>
      <c r="J45" s="91"/>
    </row>
    <row r="46" spans="1:10" s="82" customFormat="1" x14ac:dyDescent="0.25">
      <c r="A46" s="99"/>
      <c r="B46" s="99"/>
      <c r="C46" s="99"/>
      <c r="D46" s="90"/>
      <c r="E46" s="85"/>
      <c r="F46" s="85"/>
      <c r="G46" s="85"/>
      <c r="H46" s="85"/>
      <c r="I46" s="85"/>
      <c r="J46" s="91"/>
    </row>
    <row r="47" spans="1:10" s="82" customFormat="1" x14ac:dyDescent="0.25">
      <c r="A47" s="99"/>
      <c r="B47" s="99"/>
      <c r="C47" s="99"/>
      <c r="D47" s="92"/>
      <c r="E47" s="93"/>
      <c r="F47" s="93"/>
      <c r="G47" s="93"/>
      <c r="H47" s="93"/>
      <c r="I47" s="93"/>
      <c r="J47" s="94"/>
    </row>
  </sheetData>
  <sheetProtection pivotTables="0"/>
  <mergeCells count="53">
    <mergeCell ref="D1:J1"/>
    <mergeCell ref="I30:J30"/>
    <mergeCell ref="I31:J31"/>
    <mergeCell ref="D27:E27"/>
    <mergeCell ref="D28:E28"/>
    <mergeCell ref="F26:G26"/>
    <mergeCell ref="D10:E10"/>
    <mergeCell ref="F10:G10"/>
    <mergeCell ref="D11:E11"/>
    <mergeCell ref="D12:E12"/>
    <mergeCell ref="D13:E13"/>
    <mergeCell ref="D29:E29"/>
    <mergeCell ref="D30:E30"/>
    <mergeCell ref="D31:E31"/>
    <mergeCell ref="D34:E34"/>
    <mergeCell ref="D8:J8"/>
    <mergeCell ref="D22:E22"/>
    <mergeCell ref="D23:E23"/>
    <mergeCell ref="D24:E24"/>
    <mergeCell ref="D25:E25"/>
    <mergeCell ref="F22:G22"/>
    <mergeCell ref="F23:G23"/>
    <mergeCell ref="F24:G24"/>
    <mergeCell ref="F25:G25"/>
    <mergeCell ref="D21:E21"/>
    <mergeCell ref="F21:G21"/>
    <mergeCell ref="D20:J20"/>
    <mergeCell ref="F11:G11"/>
    <mergeCell ref="F12:G12"/>
    <mergeCell ref="F13:G13"/>
    <mergeCell ref="D32:E32"/>
    <mergeCell ref="D33:E33"/>
    <mergeCell ref="F28:G28"/>
    <mergeCell ref="F29:G29"/>
    <mergeCell ref="F30:G30"/>
    <mergeCell ref="F31:G31"/>
    <mergeCell ref="F32:G32"/>
    <mergeCell ref="I32:J32"/>
    <mergeCell ref="I33:J33"/>
    <mergeCell ref="I34:J34"/>
    <mergeCell ref="I21:J21"/>
    <mergeCell ref="D26:E26"/>
    <mergeCell ref="F33:G33"/>
    <mergeCell ref="F34:G34"/>
    <mergeCell ref="I22:J22"/>
    <mergeCell ref="I23:J23"/>
    <mergeCell ref="I24:J24"/>
    <mergeCell ref="I25:J25"/>
    <mergeCell ref="I26:J26"/>
    <mergeCell ref="I27:J27"/>
    <mergeCell ref="I28:J28"/>
    <mergeCell ref="I29:J29"/>
    <mergeCell ref="F27:G27"/>
  </mergeCells>
  <pageMargins left="0.39370078740157483" right="0.19685039370078741" top="0.15748031496062992" bottom="0.74803149606299213" header="0.31496062992125984" footer="0.31496062992125984"/>
  <pageSetup paperSize="9" scale="8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tabColor rgb="FF00B050"/>
    <pageSetUpPr fitToPage="1"/>
  </sheetPr>
  <dimension ref="A1:O81"/>
  <sheetViews>
    <sheetView zoomScaleNormal="100" workbookViewId="0">
      <selection activeCell="H36" sqref="H36"/>
    </sheetView>
  </sheetViews>
  <sheetFormatPr baseColWidth="10" defaultColWidth="0" defaultRowHeight="15" zeroHeight="1" x14ac:dyDescent="0.25"/>
  <cols>
    <col min="1" max="3" width="11.42578125" style="82" customWidth="1"/>
    <col min="4" max="4" width="8.140625" style="54" customWidth="1"/>
    <col min="5" max="5" width="14.5703125" style="50" customWidth="1"/>
    <col min="6" max="6" width="4.5703125" style="50" customWidth="1"/>
    <col min="7" max="8" width="9.7109375" style="50" customWidth="1"/>
    <col min="9" max="9" width="18.42578125" style="50" customWidth="1"/>
    <col min="10" max="10" width="14.85546875" style="50" customWidth="1"/>
    <col min="11" max="11" width="20" style="50" customWidth="1"/>
    <col min="12" max="12" width="17.42578125" style="50" customWidth="1"/>
    <col min="13" max="15" width="11.42578125" style="82" customWidth="1"/>
    <col min="16" max="16384" width="11.42578125" style="50" hidden="1"/>
  </cols>
  <sheetData>
    <row r="1" spans="1:15" ht="21.75" customHeight="1" x14ac:dyDescent="0.25">
      <c r="D1" s="1916" t="s">
        <v>1202</v>
      </c>
      <c r="E1" s="1917"/>
      <c r="F1" s="1917"/>
      <c r="G1" s="1917"/>
      <c r="H1" s="1917"/>
      <c r="I1" s="1917"/>
      <c r="J1" s="1917"/>
      <c r="K1" s="1917"/>
      <c r="L1" s="1917"/>
    </row>
    <row r="2" spans="1:15" x14ac:dyDescent="0.25"/>
    <row r="3" spans="1:15" s="48" customFormat="1" ht="22.5" customHeight="1" x14ac:dyDescent="0.25">
      <c r="A3" s="83"/>
      <c r="B3" s="83"/>
      <c r="C3" s="83"/>
      <c r="D3" s="101" t="s">
        <v>1260</v>
      </c>
      <c r="E3" s="26"/>
      <c r="F3" s="26"/>
      <c r="G3" s="42" t="str">
        <f>INFORMATIONS!B10</f>
        <v>SAM CONSEILS</v>
      </c>
      <c r="H3" s="44"/>
      <c r="I3" s="44"/>
      <c r="J3" s="44"/>
      <c r="K3" s="40" t="s">
        <v>52</v>
      </c>
      <c r="L3" s="276">
        <f>INFORMATIONS!D31</f>
        <v>43465</v>
      </c>
      <c r="M3" s="83"/>
      <c r="N3" s="83"/>
      <c r="O3" s="83"/>
    </row>
    <row r="4" spans="1:15" s="48" customFormat="1" ht="19.5" customHeight="1" x14ac:dyDescent="0.25">
      <c r="A4" s="83"/>
      <c r="B4" s="103"/>
      <c r="C4" s="83"/>
      <c r="D4" s="102" t="s">
        <v>43</v>
      </c>
      <c r="E4" s="29"/>
      <c r="F4" s="29"/>
      <c r="G4" s="47"/>
      <c r="H4" s="286" t="str">
        <f>INFORMATIONS!B24</f>
        <v>00084404X</v>
      </c>
      <c r="I4" s="46"/>
      <c r="J4" s="46"/>
      <c r="K4" s="41" t="s">
        <v>44</v>
      </c>
      <c r="L4" s="32">
        <f>INFORMATIONS!F34</f>
        <v>12</v>
      </c>
      <c r="M4" s="83"/>
      <c r="N4" s="83"/>
      <c r="O4" s="83"/>
    </row>
    <row r="5" spans="1:15" x14ac:dyDescent="0.25"/>
    <row r="6" spans="1:15" x14ac:dyDescent="0.25"/>
    <row r="7" spans="1:15" x14ac:dyDescent="0.25">
      <c r="D7" s="55" t="s">
        <v>1199</v>
      </c>
      <c r="E7" s="1982" t="s">
        <v>1200</v>
      </c>
      <c r="F7" s="1982"/>
      <c r="G7" s="1982"/>
      <c r="H7" s="1982"/>
      <c r="I7" s="1982"/>
      <c r="J7" s="1982"/>
      <c r="K7" s="55" t="s">
        <v>88</v>
      </c>
      <c r="L7" s="55" t="s">
        <v>1201</v>
      </c>
    </row>
    <row r="8" spans="1:15" ht="15.75" x14ac:dyDescent="0.25">
      <c r="D8" s="78">
        <v>1</v>
      </c>
      <c r="E8" s="1975" t="s">
        <v>1214</v>
      </c>
      <c r="F8" s="1976"/>
      <c r="G8" s="1976"/>
      <c r="H8" s="1976"/>
      <c r="I8" s="1976"/>
      <c r="J8" s="1977"/>
      <c r="K8" s="210" t="str">
        <f>IF(('NOTE 1'!G30+'NOTE 1'!G39)&gt;0,"X"," ")</f>
        <v xml:space="preserve"> </v>
      </c>
      <c r="L8" s="210" t="str">
        <f>IF(('NOTE 1'!G30+'NOTE 1'!G39)&gt;0," ","X")</f>
        <v>X</v>
      </c>
    </row>
    <row r="9" spans="1:15" ht="15.75" x14ac:dyDescent="0.25">
      <c r="D9" s="78">
        <v>2</v>
      </c>
      <c r="E9" s="1975" t="s">
        <v>1215</v>
      </c>
      <c r="F9" s="1976"/>
      <c r="G9" s="1976"/>
      <c r="H9" s="1976"/>
      <c r="I9" s="1976"/>
      <c r="J9" s="1977"/>
      <c r="K9" s="210" t="str">
        <f>IF('NOTE 2'!K4&gt;0,"X"," ")</f>
        <v>X</v>
      </c>
      <c r="L9" s="210"/>
    </row>
    <row r="10" spans="1:15" ht="15.75" x14ac:dyDescent="0.25">
      <c r="D10" s="78" t="s">
        <v>1203</v>
      </c>
      <c r="E10" s="1975" t="s">
        <v>1216</v>
      </c>
      <c r="F10" s="1976"/>
      <c r="G10" s="1976"/>
      <c r="H10" s="1976"/>
      <c r="I10" s="1976"/>
      <c r="J10" s="1977"/>
      <c r="K10" s="210" t="str">
        <f>IF('NOTE 3A'!K27&gt;0,"X"," ")</f>
        <v>X</v>
      </c>
      <c r="L10" s="210" t="str">
        <f>IF('NOTE 3A'!K27&gt;0," ","x")</f>
        <v xml:space="preserve"> </v>
      </c>
    </row>
    <row r="11" spans="1:15" ht="15.75" x14ac:dyDescent="0.25">
      <c r="D11" s="78" t="s">
        <v>1204</v>
      </c>
      <c r="E11" s="1975" t="s">
        <v>1217</v>
      </c>
      <c r="F11" s="1976"/>
      <c r="G11" s="1976"/>
      <c r="H11" s="1976"/>
      <c r="I11" s="1976"/>
      <c r="J11" s="1977"/>
      <c r="K11" s="210" t="str">
        <f>IF('NOTE 3B'!K18&gt;0,"X"," ")</f>
        <v xml:space="preserve"> </v>
      </c>
      <c r="L11" s="210" t="str">
        <f>IF('NOTE 3B'!K18&gt;0," ","X")</f>
        <v>X</v>
      </c>
    </row>
    <row r="12" spans="1:15" ht="15.75" x14ac:dyDescent="0.25">
      <c r="D12" s="78" t="s">
        <v>1205</v>
      </c>
      <c r="E12" s="1975" t="s">
        <v>1218</v>
      </c>
      <c r="F12" s="1976"/>
      <c r="G12" s="1976"/>
      <c r="H12" s="1976"/>
      <c r="I12" s="1976"/>
      <c r="J12" s="1977"/>
      <c r="K12" s="210" t="str">
        <f>IF('NOTE 3C'!I20&gt;0,"X"," ")</f>
        <v>X</v>
      </c>
      <c r="L12" s="210" t="str">
        <f>IF('NOTE 3C'!I20&gt;0," ","X")</f>
        <v xml:space="preserve"> </v>
      </c>
    </row>
    <row r="13" spans="1:15" ht="15.75" x14ac:dyDescent="0.25">
      <c r="D13" s="78" t="s">
        <v>983</v>
      </c>
      <c r="E13" s="1975" t="s">
        <v>1219</v>
      </c>
      <c r="F13" s="1976"/>
      <c r="G13" s="1976"/>
      <c r="H13" s="1976"/>
      <c r="I13" s="1976"/>
      <c r="J13" s="1977"/>
      <c r="K13" s="210" t="str">
        <f>IF('NOTE 3D'!F21&gt;0,"X"," ")</f>
        <v>X</v>
      </c>
      <c r="L13" s="210" t="str">
        <f>IF('NOTE 3D'!F21&gt;0," ","X")</f>
        <v xml:space="preserve"> </v>
      </c>
    </row>
    <row r="14" spans="1:15" ht="15.75" x14ac:dyDescent="0.25">
      <c r="D14" s="78" t="s">
        <v>301</v>
      </c>
      <c r="E14" s="1975" t="s">
        <v>1220</v>
      </c>
      <c r="F14" s="1976"/>
      <c r="G14" s="1976"/>
      <c r="H14" s="1976"/>
      <c r="I14" s="1976"/>
      <c r="J14" s="1977"/>
      <c r="K14" s="210" t="str">
        <f>IF('NOTE 3E'!H19&gt;0,"X"," ")</f>
        <v>X</v>
      </c>
      <c r="L14" s="210" t="str">
        <f>IF('NOTE 3E'!H19&gt;0," ","X")</f>
        <v xml:space="preserve"> </v>
      </c>
    </row>
    <row r="15" spans="1:15" ht="15.75" x14ac:dyDescent="0.25">
      <c r="D15" s="78">
        <v>4</v>
      </c>
      <c r="E15" s="1975" t="s">
        <v>81</v>
      </c>
      <c r="F15" s="1976"/>
      <c r="G15" s="1976"/>
      <c r="H15" s="1976"/>
      <c r="I15" s="1976"/>
      <c r="J15" s="1977"/>
      <c r="K15" s="210" t="str">
        <f>IF('NOTE 4'!F16&gt;0,"x"," ")</f>
        <v>x</v>
      </c>
      <c r="L15" s="210" t="str">
        <f>IF('NOTE 4'!F16&gt;0," ","X")</f>
        <v xml:space="preserve"> </v>
      </c>
    </row>
    <row r="16" spans="1:15" ht="15.75" x14ac:dyDescent="0.25">
      <c r="D16" s="78">
        <v>5</v>
      </c>
      <c r="E16" s="1975" t="s">
        <v>1222</v>
      </c>
      <c r="F16" s="1976"/>
      <c r="G16" s="1976"/>
      <c r="H16" s="1976"/>
      <c r="I16" s="1976"/>
      <c r="J16" s="1977"/>
      <c r="K16" s="210" t="str">
        <f>IF(('NOTE 5'!G9+'NOTE 5'!G29)&gt;0,"x"," ")</f>
        <v>x</v>
      </c>
      <c r="L16" s="210" t="str">
        <f>IF(('NOTE 5'!G9+'NOTE 5'!G29)&gt;0," ","X")</f>
        <v xml:space="preserve"> </v>
      </c>
    </row>
    <row r="17" spans="4:12" ht="15.75" x14ac:dyDescent="0.25">
      <c r="D17" s="78">
        <v>6</v>
      </c>
      <c r="E17" s="1975" t="s">
        <v>893</v>
      </c>
      <c r="F17" s="1976"/>
      <c r="G17" s="1976"/>
      <c r="H17" s="1976"/>
      <c r="I17" s="1976"/>
      <c r="J17" s="1977"/>
      <c r="K17" s="210" t="str">
        <f>IF('NOTE 6'!J15&gt;0,"X"," ")</f>
        <v xml:space="preserve"> </v>
      </c>
      <c r="L17" s="210" t="str">
        <f>IF('NOTE 6'!J15&gt;0," ","X")</f>
        <v>X</v>
      </c>
    </row>
    <row r="18" spans="4:12" ht="15.75" x14ac:dyDescent="0.25">
      <c r="D18" s="78">
        <v>7</v>
      </c>
      <c r="E18" s="1975" t="s">
        <v>1223</v>
      </c>
      <c r="F18" s="1976"/>
      <c r="G18" s="1976"/>
      <c r="H18" s="1976"/>
      <c r="I18" s="1976"/>
      <c r="J18" s="1977"/>
      <c r="K18" s="210" t="str">
        <f>IF('NOTE 6'!J16&gt;0,"X"," ")</f>
        <v>X</v>
      </c>
      <c r="L18" s="210" t="str">
        <f>IF('NOTE 6'!J16&gt;0," ","X")</f>
        <v xml:space="preserve"> </v>
      </c>
    </row>
    <row r="19" spans="4:12" ht="15.75" x14ac:dyDescent="0.25">
      <c r="D19" s="78">
        <v>8</v>
      </c>
      <c r="E19" s="1975" t="s">
        <v>1224</v>
      </c>
      <c r="F19" s="1976"/>
      <c r="G19" s="1976"/>
      <c r="H19" s="1976"/>
      <c r="I19" s="1976"/>
      <c r="J19" s="1977"/>
      <c r="K19" s="210" t="str">
        <f>IF(('NOTE 8'!F17+'NOTE 8'!G17)&gt;0,"X"," ")</f>
        <v>X</v>
      </c>
      <c r="L19" s="210" t="str">
        <f>IF(('NOTE 8'!F17+'NOTE 8'!G17)&gt;0," ","X")</f>
        <v xml:space="preserve"> </v>
      </c>
    </row>
    <row r="20" spans="4:12" ht="15.75" x14ac:dyDescent="0.25">
      <c r="D20" s="78" t="s">
        <v>1364</v>
      </c>
      <c r="E20" s="204" t="s">
        <v>1221</v>
      </c>
      <c r="F20" s="205"/>
      <c r="G20" s="205"/>
      <c r="H20" s="205"/>
      <c r="I20" s="205"/>
      <c r="J20" s="206"/>
      <c r="K20" s="210" t="str">
        <f>IF(('NOTE 8A'!H20+'NOTE 8A'!J20+'NOTE 8A'!L20)&gt;0,"X"," ")</f>
        <v xml:space="preserve"> </v>
      </c>
      <c r="L20" s="210" t="str">
        <f>IF(('NOTE 8A'!H20+'NOTE 8A'!J20+'NOTE 8A'!L20)&gt;0," ","X")</f>
        <v>X</v>
      </c>
    </row>
    <row r="21" spans="4:12" ht="15.75" x14ac:dyDescent="0.25">
      <c r="D21" s="78">
        <v>9</v>
      </c>
      <c r="E21" s="1975" t="s">
        <v>1225</v>
      </c>
      <c r="F21" s="1976"/>
      <c r="G21" s="1976"/>
      <c r="H21" s="1976"/>
      <c r="I21" s="1976"/>
      <c r="J21" s="1977"/>
      <c r="K21" s="210" t="str">
        <f>IF(('NOTE 9'!G14+'NOTE 9'!H14)&gt;0,"X"," ")</f>
        <v xml:space="preserve"> </v>
      </c>
      <c r="L21" s="210" t="str">
        <f>IF(('NOTE 9'!G14+'NOTE 9'!H14)&gt;0," ","X")</f>
        <v>X</v>
      </c>
    </row>
    <row r="22" spans="4:12" ht="15.75" x14ac:dyDescent="0.25">
      <c r="D22" s="78">
        <v>10</v>
      </c>
      <c r="E22" s="1975" t="s">
        <v>1226</v>
      </c>
      <c r="F22" s="1976"/>
      <c r="G22" s="1976"/>
      <c r="H22" s="1976"/>
      <c r="I22" s="1976"/>
      <c r="J22" s="1977"/>
      <c r="K22" s="210" t="str">
        <f>IF(('NOTE 10'!G13+'NOTE 10'!H13)&gt;0,"X"," ")</f>
        <v xml:space="preserve"> </v>
      </c>
      <c r="L22" s="210" t="str">
        <f>IF(('NOTE 10'!G13+'NOTE 10'!H13)&gt;0," ","X")</f>
        <v>X</v>
      </c>
    </row>
    <row r="23" spans="4:12" ht="15.75" x14ac:dyDescent="0.25">
      <c r="D23" s="78">
        <v>11</v>
      </c>
      <c r="E23" s="1975" t="s">
        <v>1227</v>
      </c>
      <c r="F23" s="1976"/>
      <c r="G23" s="1976"/>
      <c r="H23" s="1976"/>
      <c r="I23" s="1976"/>
      <c r="J23" s="1977"/>
      <c r="K23" s="210" t="str">
        <f>IF(('NOTE 11'!G20+'NOTE 11'!H20)&gt;0,"X"," ")</f>
        <v>X</v>
      </c>
      <c r="L23" s="210" t="str">
        <f>IF(('NOTE 11'!G20+'NOTE 11'!H20)&gt;0," ","X")</f>
        <v xml:space="preserve"> </v>
      </c>
    </row>
    <row r="24" spans="4:12" ht="15.75" x14ac:dyDescent="0.25">
      <c r="D24" s="78">
        <v>12</v>
      </c>
      <c r="E24" s="1975" t="s">
        <v>1228</v>
      </c>
      <c r="F24" s="1976"/>
      <c r="G24" s="1976"/>
      <c r="H24" s="1976"/>
      <c r="I24" s="1976"/>
      <c r="J24" s="1977"/>
      <c r="K24" s="210" t="str">
        <f>IF(('NOTE 12'!G13+'NOTE 12'!G20)&gt;0,"X"," ")</f>
        <v xml:space="preserve"> </v>
      </c>
      <c r="L24" s="210" t="str">
        <f>IF(('NOTE 12'!GH13+'NOTE 12'!G20)&gt;0," ","X")</f>
        <v>X</v>
      </c>
    </row>
    <row r="25" spans="4:12" ht="15.75" x14ac:dyDescent="0.25">
      <c r="D25" s="78">
        <v>13</v>
      </c>
      <c r="E25" s="1975" t="s">
        <v>1229</v>
      </c>
      <c r="F25" s="1976"/>
      <c r="G25" s="1976"/>
      <c r="H25" s="1976"/>
      <c r="I25" s="1976"/>
      <c r="J25" s="1977"/>
      <c r="K25" s="210" t="str">
        <f>IF(('NOTE 13'!I18)&gt;0,"X"," ")</f>
        <v xml:space="preserve"> </v>
      </c>
      <c r="L25" s="210" t="str">
        <f>IF(('NOTE 13'!I18)&gt;0," ","X")</f>
        <v>X</v>
      </c>
    </row>
    <row r="26" spans="4:12" ht="15.75" x14ac:dyDescent="0.25">
      <c r="D26" s="78">
        <v>14</v>
      </c>
      <c r="E26" s="1975" t="s">
        <v>1230</v>
      </c>
      <c r="F26" s="1976"/>
      <c r="G26" s="1976"/>
      <c r="H26" s="1976"/>
      <c r="I26" s="1976"/>
      <c r="J26" s="1977"/>
      <c r="K26" s="210" t="str">
        <f>IF(('NOTE 14'!G12+'NOTE 14'!H12+'NOTE 14'!G18+'NOTE 14'!H18+'NOTE 14'!G19+'NOTE 14'!H19+'NOTE 14'!G20+'NOTE 14'!H20)&gt;0,"X"," ")</f>
        <v>X</v>
      </c>
      <c r="L26" s="210" t="str">
        <f>IF(('NOTE 14'!G12+'NOTE 14'!H12+'NOTE 14'!G18+'NOTE 14'!H18+'NOTE 14'!G19+'NOTE 14'!H19+'NOTE 14'!G20+'NOTE 14'!H20)&gt;0," ","X")</f>
        <v xml:space="preserve"> </v>
      </c>
    </row>
    <row r="27" spans="4:12" ht="15.75" x14ac:dyDescent="0.25">
      <c r="D27" s="78" t="s">
        <v>1206</v>
      </c>
      <c r="E27" s="1975" t="s">
        <v>1231</v>
      </c>
      <c r="F27" s="1976"/>
      <c r="G27" s="1976"/>
      <c r="H27" s="1976"/>
      <c r="I27" s="1976"/>
      <c r="J27" s="1977"/>
      <c r="K27" s="210" t="str">
        <f>IF(('NOTE 15A'!F24+'NOTE 15A'!G24)&gt;0,"X"," ")</f>
        <v>X</v>
      </c>
      <c r="L27" s="210" t="str">
        <f>IF(('NOTE 15A'!F24+'NOTE 15A'!G24)&gt;0," ","X")</f>
        <v xml:space="preserve"> </v>
      </c>
    </row>
    <row r="28" spans="4:12" ht="15.75" x14ac:dyDescent="0.25">
      <c r="D28" s="78" t="s">
        <v>1207</v>
      </c>
      <c r="E28" s="1975" t="s">
        <v>1232</v>
      </c>
      <c r="F28" s="1976"/>
      <c r="G28" s="1976"/>
      <c r="H28" s="1976"/>
      <c r="I28" s="1976"/>
      <c r="J28" s="1977"/>
      <c r="K28" s="210" t="str">
        <f>IF(('NOTE 15 B'!G12+'NOTE 15 B'!H12)&gt;0,"X"," ")</f>
        <v xml:space="preserve"> </v>
      </c>
      <c r="L28" s="210" t="str">
        <f>IF(('NOTE 15 B'!G12+'NOTE 15 B'!H12)&gt;0," ","X")</f>
        <v>X</v>
      </c>
    </row>
    <row r="29" spans="4:12" ht="15.75" x14ac:dyDescent="0.25">
      <c r="D29" s="78" t="s">
        <v>1208</v>
      </c>
      <c r="E29" s="1975" t="s">
        <v>1233</v>
      </c>
      <c r="F29" s="1976"/>
      <c r="G29" s="1976"/>
      <c r="H29" s="1976"/>
      <c r="I29" s="1976"/>
      <c r="J29" s="1977"/>
      <c r="K29" s="210" t="str">
        <f>IF(('NOTE 16A'!E17+'NOTE 16A'!F17+'NOTE 16A'!E23+'NOTE 16A'!F23)&gt;0,"X"," ")</f>
        <v>X</v>
      </c>
      <c r="L29" s="210" t="str">
        <f>IF(('NOTE 16A'!E17+'NOTE 16A'!F17+'NOTE 16A'!E23+'NOTE 16A'!F23)&gt;0," ","X")</f>
        <v xml:space="preserve"> </v>
      </c>
    </row>
    <row r="30" spans="4:12" ht="15.75" x14ac:dyDescent="0.25">
      <c r="D30" s="78" t="s">
        <v>1209</v>
      </c>
      <c r="E30" s="1975" t="s">
        <v>1234</v>
      </c>
      <c r="F30" s="1976"/>
      <c r="G30" s="1976"/>
      <c r="H30" s="1976"/>
      <c r="I30" s="1976"/>
      <c r="J30" s="1977"/>
      <c r="K30" s="210" t="str">
        <f>IF(('NOTE 16 B'!F26+'NOTE 16 B'!F27+'NOTE 16 B'!F28+'NOTE 16 B'!F29+'NOTE 16 B'!F30+'NOTE 16 B'!F31+'NOTE 16 B'!G26+'NOTE 16 B'!G27+'NOTE 16 B'!G28+'NOTE 16 B'!G29+'NOTE 16 B'!G30+'NOTE 16 B'!G31)&gt;0,"X"," ")</f>
        <v xml:space="preserve"> </v>
      </c>
      <c r="L30" s="210" t="str">
        <f>IF(('NOTE 16 B'!F26+'NOTE 16 B'!F27+'NOTE 16 B'!F28+'NOTE 16 B'!F29+'NOTE 16 B'!F30+'NOTE 16 B'!F31+'NOTE 16 B'!G26+'NOTE 16 B'!G27+'NOTE 16 B'!G28+'NOTE 16 B'!G29+'NOTE 16 B'!G30+'NOTE 16 B'!G31)&gt;0," ","X")</f>
        <v>X</v>
      </c>
    </row>
    <row r="31" spans="4:12" ht="15.75" x14ac:dyDescent="0.25">
      <c r="D31" s="78" t="s">
        <v>1210</v>
      </c>
      <c r="E31" s="1975" t="s">
        <v>1234</v>
      </c>
      <c r="F31" s="1976"/>
      <c r="G31" s="1976"/>
      <c r="H31" s="1976"/>
      <c r="I31" s="1976"/>
      <c r="J31" s="1977"/>
      <c r="K31" s="210" t="str">
        <f>IF(('NOTE 16 B bis'!F26+'NOTE 16 B bis'!G26+'NOTE 16 B bis'!H26+'NOTE 16 B bis'!I26)&gt;0,"X"," ")</f>
        <v xml:space="preserve"> </v>
      </c>
      <c r="L31" s="210" t="str">
        <f>IF(('NOTE 16 B bis'!F26+'NOTE 16 B bis'!G26+'NOTE 16 B bis'!H26+'NOTE 16 B bis'!I26)&gt;0," ","X")</f>
        <v>X</v>
      </c>
    </row>
    <row r="32" spans="4:12" ht="15.75" x14ac:dyDescent="0.25">
      <c r="D32" s="78" t="s">
        <v>1211</v>
      </c>
      <c r="E32" s="1975" t="s">
        <v>1235</v>
      </c>
      <c r="F32" s="1976"/>
      <c r="G32" s="1976"/>
      <c r="H32" s="1976"/>
      <c r="I32" s="1976"/>
      <c r="J32" s="1977"/>
      <c r="K32" s="210" t="str">
        <f>IF(('NOTE 16 C'!G13+'NOTE 16 C'!H13+'NOTE 16 C'!G21+'NOTE 16 C'!H21)&gt;0,"X"," ")</f>
        <v xml:space="preserve"> </v>
      </c>
      <c r="L32" s="210" t="str">
        <f>IF(('NOTE 16 C'!G13+'NOTE 16 C'!H13+'NOTE 16 C'!G21+'NOTE 16 C'!H21)&gt;0," ","X")</f>
        <v>X</v>
      </c>
    </row>
    <row r="33" spans="4:12" ht="15.75" x14ac:dyDescent="0.25">
      <c r="D33" s="78">
        <v>17</v>
      </c>
      <c r="E33" s="1975" t="s">
        <v>1236</v>
      </c>
      <c r="F33" s="1976"/>
      <c r="G33" s="1976"/>
      <c r="H33" s="1976"/>
      <c r="I33" s="1976"/>
      <c r="J33" s="1977"/>
      <c r="K33" s="210" t="str">
        <f>IF(('NOTE 17'!E13+'NOTE 17'!F13+'NOTE 17'!E17+'NOTE 17'!F17)&gt;0,"X"," ")</f>
        <v>X</v>
      </c>
      <c r="L33" s="210" t="str">
        <f>IF(('NOTE 17'!E13+'NOTE 17'!F13+'NOTE 17'!E17+'NOTE 17'!F17)&gt;0," ","X")</f>
        <v xml:space="preserve"> </v>
      </c>
    </row>
    <row r="34" spans="4:12" ht="15.75" x14ac:dyDescent="0.25">
      <c r="D34" s="78">
        <v>18</v>
      </c>
      <c r="E34" s="1975" t="s">
        <v>1237</v>
      </c>
      <c r="F34" s="1976"/>
      <c r="G34" s="1976"/>
      <c r="H34" s="1976"/>
      <c r="I34" s="1976"/>
      <c r="J34" s="1977"/>
      <c r="K34" s="210" t="str">
        <f>IF(('NOTE 17'!E14+'NOTE 17'!F14+'NOTE 17'!E18+'NOTE 17'!F18)&gt;0,"X"," ")</f>
        <v>X</v>
      </c>
      <c r="L34" s="210" t="str">
        <f>IF(('NOTE 17'!E14+'NOTE 17'!F14+'NOTE 17'!E18+'NOTE 17'!F18)&gt;0," ","X")</f>
        <v xml:space="preserve"> </v>
      </c>
    </row>
    <row r="35" spans="4:12" ht="15.75" x14ac:dyDescent="0.25">
      <c r="D35" s="78">
        <v>19</v>
      </c>
      <c r="E35" s="1975" t="s">
        <v>1238</v>
      </c>
      <c r="F35" s="1976"/>
      <c r="G35" s="1976"/>
      <c r="H35" s="1976"/>
      <c r="I35" s="1976"/>
      <c r="J35" s="1977"/>
      <c r="K35" s="210" t="str">
        <f>IF(('NOTE 19'!E26+'NOTE 19'!F26)&gt;0,"X"," ")</f>
        <v>X</v>
      </c>
      <c r="L35" s="210" t="str">
        <f>IF(('NOTE 19'!E26+'NOTE 19'!F26)&gt;0," ","X")</f>
        <v xml:space="preserve"> </v>
      </c>
    </row>
    <row r="36" spans="4:12" ht="15.75" x14ac:dyDescent="0.25">
      <c r="D36" s="78">
        <v>20</v>
      </c>
      <c r="E36" s="1975" t="s">
        <v>1239</v>
      </c>
      <c r="F36" s="1976"/>
      <c r="G36" s="1976"/>
      <c r="H36" s="1976"/>
      <c r="I36" s="1976"/>
      <c r="J36" s="1977"/>
      <c r="K36" s="210" t="str">
        <f>IF(('NOTE 20'!G16+'NOTE 20'!H16)&gt;0,"X"," ")</f>
        <v xml:space="preserve"> </v>
      </c>
      <c r="L36" s="210" t="str">
        <f>IF(('NOTE 20'!G16+'NOTE 20'!H16)&gt;0," ","X")</f>
        <v>X</v>
      </c>
    </row>
    <row r="37" spans="4:12" ht="15.75" x14ac:dyDescent="0.25">
      <c r="D37" s="78">
        <v>21</v>
      </c>
      <c r="E37" s="1975" t="s">
        <v>1240</v>
      </c>
      <c r="F37" s="1976"/>
      <c r="G37" s="1976"/>
      <c r="H37" s="1976"/>
      <c r="I37" s="1976"/>
      <c r="J37" s="1977"/>
      <c r="K37" s="210" t="str">
        <f>IF(('NOTE 21'!G31+'NOTE 21'!H31)&gt;0,"X"," ")</f>
        <v>X</v>
      </c>
      <c r="L37" s="210" t="str">
        <f>IF(('NOTE 21'!G31+'NOTE 21'!H31)&gt;0," ","X")</f>
        <v xml:space="preserve"> </v>
      </c>
    </row>
    <row r="38" spans="4:12" ht="15.75" x14ac:dyDescent="0.25">
      <c r="D38" s="78">
        <v>22</v>
      </c>
      <c r="E38" s="1975" t="s">
        <v>1241</v>
      </c>
      <c r="F38" s="1976"/>
      <c r="G38" s="1976"/>
      <c r="H38" s="1976"/>
      <c r="I38" s="1976"/>
      <c r="J38" s="1977"/>
      <c r="K38" s="210" t="str">
        <f>IF(('NOTE 22'!G37+'NOTE 22'!H37)&gt;0,"X"," ")</f>
        <v>X</v>
      </c>
      <c r="L38" s="210" t="str">
        <f>IF(('NOTE 22'!G37+'NOTE 22'!H37)&gt;0," ","X")</f>
        <v xml:space="preserve"> </v>
      </c>
    </row>
    <row r="39" spans="4:12" ht="15.75" x14ac:dyDescent="0.25">
      <c r="D39" s="78">
        <v>23</v>
      </c>
      <c r="E39" s="1975" t="s">
        <v>1242</v>
      </c>
      <c r="F39" s="1976"/>
      <c r="G39" s="1976"/>
      <c r="H39" s="1976"/>
      <c r="I39" s="1976"/>
      <c r="J39" s="1977"/>
      <c r="K39" s="210" t="str">
        <f>IF(('NOTE 23'!G12+'NOTE 23'!H12)&gt;0,"X"," ")</f>
        <v>X</v>
      </c>
      <c r="L39" s="210" t="str">
        <f>IF(('NOTE 23'!G12+'NOTE 23'!H12)&gt;0," ","X")</f>
        <v xml:space="preserve"> </v>
      </c>
    </row>
    <row r="40" spans="4:12" ht="15.75" x14ac:dyDescent="0.25">
      <c r="D40" s="78">
        <v>24</v>
      </c>
      <c r="E40" s="1975" t="s">
        <v>1243</v>
      </c>
      <c r="F40" s="1976"/>
      <c r="G40" s="1976"/>
      <c r="H40" s="1976"/>
      <c r="I40" s="1976"/>
      <c r="J40" s="1977"/>
      <c r="K40" s="210" t="str">
        <f>IF(('NOTE 24'!G21+'NOTE 24'!H21)&gt;0,"X"," ")</f>
        <v>X</v>
      </c>
      <c r="L40" s="210" t="str">
        <f>IF(('NOTE 24'!G21+'NOTE 24'!H21)&gt;0," ","X")</f>
        <v xml:space="preserve"> </v>
      </c>
    </row>
    <row r="41" spans="4:12" ht="15.75" x14ac:dyDescent="0.25">
      <c r="D41" s="78">
        <v>25</v>
      </c>
      <c r="E41" s="1975" t="s">
        <v>1244</v>
      </c>
      <c r="F41" s="1976"/>
      <c r="G41" s="1976"/>
      <c r="H41" s="1976"/>
      <c r="I41" s="1976"/>
      <c r="J41" s="1977"/>
      <c r="K41" s="210" t="str">
        <f>IF(('NOTE 25'!G12+'NOTE 25'!H12)&gt;0,"X"," ")</f>
        <v>X</v>
      </c>
      <c r="L41" s="210" t="str">
        <f>IF(('NOTE 25'!G12+'NOTE 25'!H12)&gt;0," ","X")</f>
        <v xml:space="preserve"> </v>
      </c>
    </row>
    <row r="42" spans="4:12" ht="15.75" x14ac:dyDescent="0.25">
      <c r="D42" s="78">
        <v>26</v>
      </c>
      <c r="E42" s="1975" t="s">
        <v>1245</v>
      </c>
      <c r="F42" s="1976"/>
      <c r="G42" s="1976"/>
      <c r="H42" s="1976"/>
      <c r="I42" s="1976"/>
      <c r="J42" s="1977"/>
      <c r="K42" s="210" t="str">
        <f>IF(('NOTE 26'!G16+'NOTE 26'!H16)&gt;0,"X"," ")</f>
        <v>X</v>
      </c>
      <c r="L42" s="210" t="str">
        <f>IF(('NOTE 26'!G16+'NOTE 26'!H16)&gt;0," ","X")</f>
        <v xml:space="preserve"> </v>
      </c>
    </row>
    <row r="43" spans="4:12" ht="15.75" x14ac:dyDescent="0.25">
      <c r="D43" s="78" t="s">
        <v>1212</v>
      </c>
      <c r="E43" s="1975" t="s">
        <v>1246</v>
      </c>
      <c r="F43" s="1976"/>
      <c r="G43" s="1976"/>
      <c r="H43" s="1976"/>
      <c r="I43" s="1976"/>
      <c r="J43" s="1977"/>
      <c r="K43" s="210" t="str">
        <f>IF(('NOTE 27A'!G13+'NOTE 27A'!H13)&gt;0,"X"," ")</f>
        <v>X</v>
      </c>
      <c r="L43" s="210" t="str">
        <f>IF(('NOTE 27A'!G13+'NOTE 27A'!H13)&gt;0," ","X")</f>
        <v xml:space="preserve"> </v>
      </c>
    </row>
    <row r="44" spans="4:12" ht="15.75" x14ac:dyDescent="0.25">
      <c r="D44" s="78" t="s">
        <v>1213</v>
      </c>
      <c r="E44" s="1975" t="s">
        <v>1247</v>
      </c>
      <c r="F44" s="1976"/>
      <c r="G44" s="1976"/>
      <c r="H44" s="1976"/>
      <c r="I44" s="1976"/>
      <c r="J44" s="1977"/>
      <c r="K44" s="210" t="str">
        <f>IF(('NOTE 27B'!Q13+'NOTE 27B'!K22+'NOTE 27B'!L22)&gt;0,"X"," ")</f>
        <v xml:space="preserve"> </v>
      </c>
      <c r="L44" s="210" t="str">
        <f>IF(('NOTE 27B'!Q13+'NOTE 27B'!Q22+'NOTE 27B'!L22)&gt;0," ","X")</f>
        <v>X</v>
      </c>
    </row>
    <row r="45" spans="4:12" ht="15.75" x14ac:dyDescent="0.25">
      <c r="D45" s="78">
        <v>28</v>
      </c>
      <c r="E45" s="1975" t="s">
        <v>1248</v>
      </c>
      <c r="F45" s="1976"/>
      <c r="G45" s="1976"/>
      <c r="H45" s="1976"/>
      <c r="I45" s="1976"/>
      <c r="J45" s="1977"/>
      <c r="K45" s="210" t="str">
        <f>IF(('NOTE 28'!K24)&gt;0,"X"," ")</f>
        <v>X</v>
      </c>
      <c r="L45" s="210" t="str">
        <f>IF(('NOTE 28'!K24)&gt;0," ","X")</f>
        <v xml:space="preserve"> </v>
      </c>
    </row>
    <row r="46" spans="4:12" ht="15.75" x14ac:dyDescent="0.25">
      <c r="D46" s="78">
        <v>29</v>
      </c>
      <c r="E46" s="1975" t="s">
        <v>1249</v>
      </c>
      <c r="F46" s="1976"/>
      <c r="G46" s="1976"/>
      <c r="H46" s="1976"/>
      <c r="I46" s="1976"/>
      <c r="J46" s="1977"/>
      <c r="K46" s="210" t="str">
        <f>IF(('NOTE 28'!K25)&gt;0,"X"," ")</f>
        <v xml:space="preserve"> </v>
      </c>
      <c r="L46" s="210" t="str">
        <f>IF(('NOTE 28'!K25)&gt;0," ","X")</f>
        <v>X</v>
      </c>
    </row>
    <row r="47" spans="4:12" ht="15.75" x14ac:dyDescent="0.25">
      <c r="D47" s="78">
        <v>30</v>
      </c>
      <c r="E47" s="1975" t="s">
        <v>1250</v>
      </c>
      <c r="F47" s="1976"/>
      <c r="G47" s="1976"/>
      <c r="H47" s="1976"/>
      <c r="I47" s="1976"/>
      <c r="J47" s="1977"/>
      <c r="K47" s="210" t="str">
        <f>IF(('NOTE 28'!K26)&gt;0,"X"," ")</f>
        <v xml:space="preserve"> </v>
      </c>
      <c r="L47" s="210" t="str">
        <f>IF(('NOTE 28'!K26)&gt;0," ","X")</f>
        <v>X</v>
      </c>
    </row>
    <row r="48" spans="4:12" ht="30.75" customHeight="1" x14ac:dyDescent="0.25">
      <c r="D48" s="78">
        <v>31</v>
      </c>
      <c r="E48" s="1978" t="s">
        <v>1251</v>
      </c>
      <c r="F48" s="1979"/>
      <c r="G48" s="1979"/>
      <c r="H48" s="1979"/>
      <c r="I48" s="1979"/>
      <c r="J48" s="1980"/>
      <c r="K48" s="210" t="str">
        <f>IF(('NOTE 31'!F9+'NOTE 31'!G9+'NOTE 31'!H9+'NOTE 31'!I9+'NOTE 31'!J9)&gt;0,"X"," ")</f>
        <v>X</v>
      </c>
      <c r="L48" s="210" t="str">
        <f>IF(('NOTE 31'!F9+'NOTE 31'!G9+'NOTE 31'!H9+'NOTE 31'!I9+'NOTE 31'!J9)&gt;0," ","X")</f>
        <v xml:space="preserve"> </v>
      </c>
    </row>
    <row r="49" spans="4:12" ht="15.75" x14ac:dyDescent="0.25">
      <c r="D49" s="78">
        <v>32</v>
      </c>
      <c r="E49" s="1975" t="s">
        <v>1252</v>
      </c>
      <c r="F49" s="1976"/>
      <c r="G49" s="1976"/>
      <c r="H49" s="1976"/>
      <c r="I49" s="1976"/>
      <c r="J49" s="1977"/>
      <c r="K49" s="210" t="str">
        <f>IF(('NOTE 32'!E29+'NOTE 32'!G29+'NOTE 32'!I29+'NOTE 32'!K29+'NOTE 32'!M29+'NOTE 32'!O29)&gt;0,"X"," ")</f>
        <v xml:space="preserve"> </v>
      </c>
      <c r="L49" s="210" t="str">
        <f>IF(('NOTE 32'!E29+'NOTE 32'!G29+'NOTE 32'!I29+'NOTE 32'!K29+'NOTE 32'!M29+'NOTE 32'!O29)&gt;0," ","X")</f>
        <v>X</v>
      </c>
    </row>
    <row r="50" spans="4:12" ht="15.75" x14ac:dyDescent="0.25">
      <c r="D50" s="78">
        <v>33</v>
      </c>
      <c r="E50" s="1975" t="s">
        <v>1253</v>
      </c>
      <c r="F50" s="1976"/>
      <c r="G50" s="1976"/>
      <c r="H50" s="1976"/>
      <c r="I50" s="1976"/>
      <c r="J50" s="1977"/>
      <c r="K50" s="210" t="str">
        <f>IF(('NOTE 33'!G30+'NOTE 33'!I30+'NOTE 33'!K30+'NOTE 33'!L30)&gt;0,"X"," ")</f>
        <v xml:space="preserve"> </v>
      </c>
      <c r="L50" s="210" t="str">
        <f>IF(('NOTE 33'!G30+'NOTE 33'!I30+'NOTE 33'!K30+'NOTE 33'!L30)&gt;0," ","X")</f>
        <v>X</v>
      </c>
    </row>
    <row r="51" spans="4:12" ht="15.75" x14ac:dyDescent="0.25">
      <c r="D51" s="78">
        <v>34</v>
      </c>
      <c r="E51" s="1975" t="s">
        <v>1254</v>
      </c>
      <c r="F51" s="1976"/>
      <c r="G51" s="1976"/>
      <c r="H51" s="1976"/>
      <c r="I51" s="1976"/>
      <c r="J51" s="1977"/>
      <c r="K51" s="210" t="str">
        <f>IF((BILAN!N8+BILAN!O8+BILAN!N9+BILAN!O9)&gt;0,"X"," ")</f>
        <v>X</v>
      </c>
      <c r="L51" s="210" t="str">
        <f>IF((BILAN!N8+BILAN!O8+BILAN!N9+BILAN!O9)&gt;0," ","X")</f>
        <v xml:space="preserve"> </v>
      </c>
    </row>
    <row r="52" spans="4:12" ht="31.5" customHeight="1" x14ac:dyDescent="0.25">
      <c r="D52" s="78">
        <v>35</v>
      </c>
      <c r="E52" s="1978" t="s">
        <v>1255</v>
      </c>
      <c r="F52" s="1979"/>
      <c r="G52" s="1979"/>
      <c r="H52" s="1979"/>
      <c r="I52" s="1979"/>
      <c r="J52" s="1980"/>
      <c r="K52" s="210" t="s">
        <v>1347</v>
      </c>
      <c r="L52" s="210"/>
    </row>
    <row r="53" spans="4:12" ht="15.75" x14ac:dyDescent="0.25">
      <c r="D53" s="78">
        <v>36</v>
      </c>
      <c r="E53" s="1975" t="s">
        <v>1256</v>
      </c>
      <c r="F53" s="1976"/>
      <c r="G53" s="1976"/>
      <c r="H53" s="1976"/>
      <c r="I53" s="1976"/>
      <c r="J53" s="1977"/>
      <c r="K53" s="210" t="s">
        <v>1347</v>
      </c>
      <c r="L53" s="210"/>
    </row>
    <row r="54" spans="4:12" x14ac:dyDescent="0.25">
      <c r="D54" s="1981" t="s">
        <v>1257</v>
      </c>
      <c r="E54" s="1981"/>
      <c r="F54" s="50" t="s">
        <v>1258</v>
      </c>
    </row>
    <row r="55" spans="4:12" x14ac:dyDescent="0.25">
      <c r="D55" s="1974" t="s">
        <v>1259</v>
      </c>
      <c r="E55" s="1974"/>
      <c r="F55" s="1974"/>
      <c r="G55" s="1974"/>
      <c r="H55" s="1974"/>
      <c r="I55" s="1974"/>
      <c r="J55" s="1974"/>
      <c r="K55" s="1974"/>
      <c r="L55" s="1974"/>
    </row>
    <row r="56" spans="4:12" s="82" customFormat="1" x14ac:dyDescent="0.25">
      <c r="D56" s="86"/>
    </row>
    <row r="57" spans="4:12" s="82" customFormat="1" x14ac:dyDescent="0.25">
      <c r="D57" s="86"/>
    </row>
    <row r="58" spans="4:12" s="82" customFormat="1" x14ac:dyDescent="0.25">
      <c r="D58" s="86"/>
    </row>
    <row r="59" spans="4:12" s="82" customFormat="1" x14ac:dyDescent="0.25">
      <c r="D59" s="86"/>
    </row>
    <row r="60" spans="4:12" s="82" customFormat="1" x14ac:dyDescent="0.25">
      <c r="D60" s="86"/>
    </row>
    <row r="61" spans="4:12" s="82" customFormat="1" x14ac:dyDescent="0.25">
      <c r="D61" s="86"/>
    </row>
    <row r="62" spans="4:12" s="82" customFormat="1" x14ac:dyDescent="0.25">
      <c r="D62" s="86"/>
    </row>
    <row r="63" spans="4:12" s="82" customFormat="1" x14ac:dyDescent="0.25">
      <c r="D63" s="86"/>
    </row>
    <row r="64" spans="4:12" s="82" customFormat="1" x14ac:dyDescent="0.25">
      <c r="D64" s="86"/>
    </row>
    <row r="65" spans="4:4" s="82" customFormat="1" x14ac:dyDescent="0.25">
      <c r="D65" s="86"/>
    </row>
    <row r="66" spans="4:4" s="82" customFormat="1" x14ac:dyDescent="0.25">
      <c r="D66" s="86"/>
    </row>
    <row r="67" spans="4:4" s="82" customFormat="1" x14ac:dyDescent="0.25">
      <c r="D67" s="86"/>
    </row>
    <row r="68" spans="4:4" s="82" customFormat="1" x14ac:dyDescent="0.25">
      <c r="D68" s="86"/>
    </row>
    <row r="69" spans="4:4" s="82" customFormat="1" x14ac:dyDescent="0.25">
      <c r="D69" s="86"/>
    </row>
    <row r="70" spans="4:4" s="82" customFormat="1" x14ac:dyDescent="0.25">
      <c r="D70" s="86"/>
    </row>
    <row r="71" spans="4:4" s="82" customFormat="1" x14ac:dyDescent="0.25">
      <c r="D71" s="86"/>
    </row>
    <row r="72" spans="4:4" s="82" customFormat="1" x14ac:dyDescent="0.25">
      <c r="D72" s="86"/>
    </row>
    <row r="73" spans="4:4" s="82" customFormat="1" x14ac:dyDescent="0.25">
      <c r="D73" s="86"/>
    </row>
    <row r="74" spans="4:4" s="82" customFormat="1" x14ac:dyDescent="0.25">
      <c r="D74" s="86"/>
    </row>
    <row r="75" spans="4:4" s="82" customFormat="1" x14ac:dyDescent="0.25">
      <c r="D75" s="86"/>
    </row>
    <row r="76" spans="4:4" s="82" customFormat="1" x14ac:dyDescent="0.25">
      <c r="D76" s="86"/>
    </row>
    <row r="77" spans="4:4" s="82" customFormat="1" x14ac:dyDescent="0.25">
      <c r="D77" s="86"/>
    </row>
    <row r="78" spans="4:4" s="82" customFormat="1" x14ac:dyDescent="0.25">
      <c r="D78" s="86"/>
    </row>
    <row r="79" spans="4:4" s="82" customFormat="1" x14ac:dyDescent="0.25">
      <c r="D79" s="86"/>
    </row>
    <row r="80" spans="4:4" x14ac:dyDescent="0.25"/>
    <row r="81" x14ac:dyDescent="0.25"/>
  </sheetData>
  <sheetProtection algorithmName="SHA-512" hashValue="qviBb9RCNzjkLOiICiL/BwB9zlHO7BgBHjXfVdev7l+Sz1ywTThd5JiTbl5K6a+BI3sDxNCG6oTnbG6889JV6g==" saltValue="BSdB3vLz0wm4vfLzk8/Omw==" spinCount="100000" sheet="1" formatCells="0" formatColumns="0" formatRows="0" pivotTables="0"/>
  <mergeCells count="49">
    <mergeCell ref="D1:L1"/>
    <mergeCell ref="E12:J12"/>
    <mergeCell ref="E13:J13"/>
    <mergeCell ref="E29:J29"/>
    <mergeCell ref="E30:J30"/>
    <mergeCell ref="E27:J27"/>
    <mergeCell ref="E28:J28"/>
    <mergeCell ref="E25:J25"/>
    <mergeCell ref="E26:J26"/>
    <mergeCell ref="E23:J23"/>
    <mergeCell ref="E24:J24"/>
    <mergeCell ref="E22:J22"/>
    <mergeCell ref="E14:J14"/>
    <mergeCell ref="E7:J7"/>
    <mergeCell ref="E8:J8"/>
    <mergeCell ref="E9:J9"/>
    <mergeCell ref="E10:J10"/>
    <mergeCell ref="E11:J11"/>
    <mergeCell ref="E36:J36"/>
    <mergeCell ref="E15:J15"/>
    <mergeCell ref="E16:J16"/>
    <mergeCell ref="E17:J17"/>
    <mergeCell ref="E18:J18"/>
    <mergeCell ref="E19:J19"/>
    <mergeCell ref="E21:J21"/>
    <mergeCell ref="E31:J31"/>
    <mergeCell ref="E32:J32"/>
    <mergeCell ref="E33:J33"/>
    <mergeCell ref="E34:J34"/>
    <mergeCell ref="E35:J35"/>
    <mergeCell ref="E48:J48"/>
    <mergeCell ref="E37:J37"/>
    <mergeCell ref="E38:J38"/>
    <mergeCell ref="E39:J39"/>
    <mergeCell ref="E40:J40"/>
    <mergeCell ref="E41:J41"/>
    <mergeCell ref="E42:J42"/>
    <mergeCell ref="E43:J43"/>
    <mergeCell ref="E44:J44"/>
    <mergeCell ref="E45:J45"/>
    <mergeCell ref="E46:J46"/>
    <mergeCell ref="E47:J47"/>
    <mergeCell ref="D55:L55"/>
    <mergeCell ref="E49:J49"/>
    <mergeCell ref="E50:J50"/>
    <mergeCell ref="E51:J51"/>
    <mergeCell ref="E52:J52"/>
    <mergeCell ref="E53:J53"/>
    <mergeCell ref="D54:E54"/>
  </mergeCells>
  <pageMargins left="0.39370078740157483" right="0.19685039370078741" top="0.15748031496062992" bottom="0.74803149606299213" header="0.31496062992125984" footer="0.31496062992125984"/>
  <pageSetup paperSize="9"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tabColor rgb="FF00B050"/>
    <pageSetUpPr fitToPage="1"/>
  </sheetPr>
  <dimension ref="A1:P66"/>
  <sheetViews>
    <sheetView topLeftCell="B22" zoomScale="90" zoomScaleNormal="90" workbookViewId="0">
      <selection activeCell="H36" sqref="H36"/>
    </sheetView>
  </sheetViews>
  <sheetFormatPr baseColWidth="10" defaultColWidth="0" defaultRowHeight="15" zeroHeight="1" x14ac:dyDescent="0.25"/>
  <cols>
    <col min="1" max="1" width="8.42578125" style="300" customWidth="1"/>
    <col min="2" max="2" width="4.85546875" style="387" customWidth="1"/>
    <col min="3" max="3" width="23" style="388" customWidth="1"/>
    <col min="4" max="4" width="9.5703125" style="388" customWidth="1"/>
    <col min="5" max="5" width="18.5703125" style="388" customWidth="1"/>
    <col min="6" max="6" width="5.140625" style="387" customWidth="1"/>
    <col min="7" max="10" width="15.5703125" style="389" customWidth="1"/>
    <col min="11" max="11" width="5.85546875" style="387" customWidth="1"/>
    <col min="12" max="12" width="32.28515625" style="388" customWidth="1"/>
    <col min="13" max="13" width="5.85546875" style="387" customWidth="1"/>
    <col min="14" max="14" width="15.5703125" style="390" customWidth="1"/>
    <col min="15" max="15" width="16.42578125" style="391" customWidth="1"/>
    <col min="16" max="16" width="5.7109375" style="300" customWidth="1"/>
    <col min="17" max="16384" width="11.42578125" style="345" hidden="1"/>
  </cols>
  <sheetData>
    <row r="1" spans="1:16" ht="28.5" customHeight="1" x14ac:dyDescent="0.25">
      <c r="B1" s="1983" t="s">
        <v>1351</v>
      </c>
      <c r="C1" s="1984"/>
      <c r="D1" s="1984"/>
      <c r="E1" s="1984"/>
      <c r="F1" s="1984"/>
      <c r="G1" s="1984"/>
      <c r="H1" s="1984"/>
      <c r="I1" s="1984"/>
      <c r="J1" s="383">
        <f>INFORMATIONS!D31</f>
        <v>43465</v>
      </c>
      <c r="K1" s="384"/>
      <c r="L1" s="384"/>
      <c r="M1" s="384"/>
      <c r="N1" s="385"/>
      <c r="O1" s="386"/>
    </row>
    <row r="2" spans="1:16" x14ac:dyDescent="0.25"/>
    <row r="3" spans="1:16" s="398" customFormat="1" ht="22.5" customHeight="1" x14ac:dyDescent="0.25">
      <c r="A3" s="392"/>
      <c r="B3" s="393"/>
      <c r="C3" s="394" t="s">
        <v>42</v>
      </c>
      <c r="D3" s="395" t="str">
        <f>INFORMATIONS!B10</f>
        <v>SAM CONSEILS</v>
      </c>
      <c r="E3" s="394"/>
      <c r="F3" s="396"/>
      <c r="G3" s="1996"/>
      <c r="H3" s="1996"/>
      <c r="I3" s="1996"/>
      <c r="J3" s="1996"/>
      <c r="K3" s="1996"/>
      <c r="L3" s="1996"/>
      <c r="M3" s="1993" t="s">
        <v>52</v>
      </c>
      <c r="N3" s="1993"/>
      <c r="O3" s="397">
        <f>INFORMATIONS!D31</f>
        <v>43465</v>
      </c>
      <c r="P3" s="392"/>
    </row>
    <row r="4" spans="1:16" s="398" customFormat="1" ht="19.5" customHeight="1" x14ac:dyDescent="0.25">
      <c r="A4" s="392"/>
      <c r="B4" s="399"/>
      <c r="C4" s="400" t="s">
        <v>43</v>
      </c>
      <c r="D4" s="400"/>
      <c r="E4" s="400" t="str">
        <f>INFORMATIONS!B24</f>
        <v>00084404X</v>
      </c>
      <c r="F4" s="401"/>
      <c r="G4" s="1997"/>
      <c r="H4" s="1997"/>
      <c r="I4" s="1997"/>
      <c r="J4" s="402"/>
      <c r="K4" s="403"/>
      <c r="L4" s="404"/>
      <c r="M4" s="1994" t="s">
        <v>44</v>
      </c>
      <c r="N4" s="1994"/>
      <c r="O4" s="405">
        <f>INFORMATIONS!F34</f>
        <v>12</v>
      </c>
      <c r="P4" s="392"/>
    </row>
    <row r="5" spans="1:16" ht="9" customHeight="1" x14ac:dyDescent="0.25">
      <c r="C5" s="1995"/>
      <c r="D5" s="1995"/>
      <c r="E5" s="1995"/>
      <c r="F5" s="1995"/>
      <c r="G5" s="1995"/>
      <c r="H5" s="1995"/>
      <c r="I5" s="1995"/>
      <c r="J5" s="1995"/>
      <c r="K5" s="1995"/>
      <c r="L5" s="1995"/>
    </row>
    <row r="6" spans="1:16" s="408" customFormat="1" ht="32.25" customHeight="1" x14ac:dyDescent="0.25">
      <c r="A6" s="406"/>
      <c r="B6" s="1985" t="s">
        <v>877</v>
      </c>
      <c r="C6" s="1986" t="s">
        <v>876</v>
      </c>
      <c r="D6" s="1987"/>
      <c r="E6" s="1988"/>
      <c r="F6" s="1985" t="s">
        <v>2</v>
      </c>
      <c r="G6" s="2012" t="s">
        <v>1352</v>
      </c>
      <c r="H6" s="2013"/>
      <c r="I6" s="407">
        <f>O3</f>
        <v>43465</v>
      </c>
      <c r="J6" s="407"/>
      <c r="K6" s="1992" t="s">
        <v>877</v>
      </c>
      <c r="L6" s="1985" t="s">
        <v>880</v>
      </c>
      <c r="M6" s="1985" t="s">
        <v>2</v>
      </c>
      <c r="N6" s="407">
        <f>O3</f>
        <v>43465</v>
      </c>
      <c r="O6" s="407">
        <f>INFORMATIONS!D34</f>
        <v>43100</v>
      </c>
      <c r="P6" s="406"/>
    </row>
    <row r="7" spans="1:16" s="408" customFormat="1" ht="31.5" customHeight="1" x14ac:dyDescent="0.25">
      <c r="A7" s="406"/>
      <c r="B7" s="1985"/>
      <c r="C7" s="1989"/>
      <c r="D7" s="1990"/>
      <c r="E7" s="1991"/>
      <c r="F7" s="1985"/>
      <c r="G7" s="409" t="s">
        <v>878</v>
      </c>
      <c r="H7" s="410" t="s">
        <v>881</v>
      </c>
      <c r="I7" s="409" t="s">
        <v>879</v>
      </c>
      <c r="J7" s="411" t="s">
        <v>879</v>
      </c>
      <c r="K7" s="1992"/>
      <c r="L7" s="1985"/>
      <c r="M7" s="1985"/>
      <c r="N7" s="409" t="s">
        <v>879</v>
      </c>
      <c r="O7" s="410" t="s">
        <v>879</v>
      </c>
      <c r="P7" s="406"/>
    </row>
    <row r="8" spans="1:16" s="422" customFormat="1" ht="20.100000000000001" customHeight="1" x14ac:dyDescent="0.25">
      <c r="A8" s="412"/>
      <c r="B8" s="413" t="s">
        <v>882</v>
      </c>
      <c r="C8" s="414" t="s">
        <v>66</v>
      </c>
      <c r="D8" s="415"/>
      <c r="E8" s="416"/>
      <c r="F8" s="413">
        <v>3</v>
      </c>
      <c r="G8" s="417">
        <f>SUM(G9:G12)</f>
        <v>4650000</v>
      </c>
      <c r="H8" s="417">
        <f>SUM(H9:H12)</f>
        <v>0</v>
      </c>
      <c r="I8" s="417">
        <f>SUM(I9:I12)</f>
        <v>4650000</v>
      </c>
      <c r="J8" s="417">
        <f>SUM(J9:J12)</f>
        <v>2650000</v>
      </c>
      <c r="K8" s="418" t="s">
        <v>819</v>
      </c>
      <c r="L8" s="419" t="s">
        <v>903</v>
      </c>
      <c r="M8" s="420">
        <v>13</v>
      </c>
      <c r="N8" s="421">
        <f>SUMPRODUCT(((LEFT(BalanceN!$A$4:$A$9999,3)="101")+(LEFT(BalanceN!$A$4:$A$9999,3)="102")+(LEFT(BalanceN!$A$4:$A$9999,3)="103")+(LEFT(BalanceN!$A$4:$A$9999,3)="104"))*BalanceN!$H$4:$H$9999)</f>
        <v>400000000</v>
      </c>
      <c r="O8" s="421">
        <f>SUMPRODUCT(((LEFT(BalanceN!$A$4:$A$9999,3)="101")+(LEFT(BalanceN!$A$4:$A$9999,3)="102")+(LEFT(BalanceN!$A$4:$A$9999,3)="103")+(LEFT(BalanceN!$A$4:$A$9999,3)="104"))*BalanceN!$D$4:$D$9999)</f>
        <v>100000000</v>
      </c>
      <c r="P8" s="412"/>
    </row>
    <row r="9" spans="1:16" ht="20.100000000000001" customHeight="1" x14ac:dyDescent="0.25">
      <c r="B9" s="420" t="s">
        <v>799</v>
      </c>
      <c r="C9" s="423" t="s">
        <v>67</v>
      </c>
      <c r="D9" s="424"/>
      <c r="E9" s="425"/>
      <c r="F9" s="420"/>
      <c r="G9" s="426">
        <f>SUMPRODUCT(((LEFT(BalanceN!$A$4:$A$9999,3)="211")+(LEFT(BalanceN!$A$4:$A$9999,4)="2181")+(LEFT(BalanceN!$A$4:$A$9999,4)="2191"))*BalanceN!$G$4:$G$9999)</f>
        <v>0</v>
      </c>
      <c r="H9" s="427">
        <f>SUMPRODUCT(((LEFT(BalanceN!$A$4:$A$9999,4)="2811")+(LEFT(BalanceN!$A$4:$A$9999,5)="28181")+(LEFT(BalanceN!$A$4:$A$9999,4)="2911")+(LEFT(BalanceN!$A$4:$A$9999,5)="29181")+(LEFT(BalanceN!$A$4:$A$9999,5)="29191"))*BalanceN!$H$4:$H$9999)</f>
        <v>0</v>
      </c>
      <c r="I9" s="427">
        <f>G9-H9</f>
        <v>0</v>
      </c>
      <c r="J9" s="428">
        <f>SUMPRODUCT(((LEFT(BalanceN!$A$4:$A$9999,3)="211")+(LEFT(BalanceN!$A$4:$A$9999,4)="2181")+(LEFT(BalanceN!$A$4:$A$9999,4)="2191"))*BalanceN!$C$4:$C$9999)-SUMPRODUCT(((LEFT(BalanceN!$A$4:$A$9999,4)="2811")+(LEFT(BalanceN!$A$4:$A$9999,5)="28181")+(LEFT(BalanceN!$A$4:$A$9999,4)="2911")+(LEFT(BalanceN!$A$4:$A$9999,5)="29181")+(LEFT(BalanceN!$A$4:$A$9999,5)="29191"))*BalanceN!$D$4:$D$9999)</f>
        <v>0</v>
      </c>
      <c r="K9" s="418" t="s">
        <v>820</v>
      </c>
      <c r="L9" s="419" t="s">
        <v>904</v>
      </c>
      <c r="M9" s="420">
        <v>13</v>
      </c>
      <c r="N9" s="421">
        <f>-SUMPRODUCT(((LEFT(BalanceN!$A$4:$A$9999,3)="109"))*BalanceN!$G$4:$G$9999)</f>
        <v>-100000000</v>
      </c>
      <c r="O9" s="421">
        <f>-SUMPRODUCT(((LEFT(BalanceN!$A$4:$A$9999,3)="109"))*BalanceN!$C$4:$C$9999)</f>
        <v>0</v>
      </c>
    </row>
    <row r="10" spans="1:16" ht="20.100000000000001" customHeight="1" x14ac:dyDescent="0.25">
      <c r="B10" s="420" t="s">
        <v>800</v>
      </c>
      <c r="C10" s="2001" t="s">
        <v>98</v>
      </c>
      <c r="D10" s="2002"/>
      <c r="E10" s="2003"/>
      <c r="F10" s="420"/>
      <c r="G10" s="427">
        <f>SUMPRODUCT(((LEFT(BalanceN!$A$4:$A$9999,3)="212")+(LEFT(BalanceN!$A$4:$A$9999,3)="213")+(LEFT(BalanceN!$A$4:$A$9999,3)="214")+(LEFT(BalanceN!$A$4:$A$9999,4)="2193"))*BalanceN!$G$4:$G$9999)</f>
        <v>3050000</v>
      </c>
      <c r="H10" s="427">
        <f>SUMPRODUCT(((LEFT(BalanceN!$A$4:$A$9999,4)="2812")+(LEFT(BalanceN!$A$4:$A$9999,4)="2813")+(LEFT(BalanceN!$A$4:$A$9999,4)="2814")+(LEFT(BalanceN!$A$4:$A$9999,4)="2912")+(LEFT(BalanceN!$A$4:$A$9999,4)="2913")+(LEFT(BalanceN!$A$4:$A$9999,4)="2914")+(LEFT(BalanceN!$A$4:$A$9999,5)="29193"))*BalanceN!$H$4:$H$9999)</f>
        <v>0</v>
      </c>
      <c r="I10" s="427">
        <f>G10-H10</f>
        <v>3050000</v>
      </c>
      <c r="J10" s="427">
        <f>SUMPRODUCT(((LEFT(BalanceN!$A$4:$A$9999,3)="212")+(LEFT(BalanceN!$A$4:$A$9999,3)="213")+(LEFT(BalanceN!$A$4:$A$9999,3)="214")+(LEFT(BalanceN!$A$4:$A$9999,4)="2193"))*BalanceN!$C$4:$C$9999)-SUMPRODUCT(((LEFT(BalanceN!$A$4:$A$9999,4)="2812")+(LEFT(BalanceN!$A$4:$A$9999,4)="2813")+(LEFT(BalanceN!$A$4:$A$9999,4)="2814")+(LEFT(BalanceN!$A$4:$A$9999,4)="2912")+(LEFT(BalanceN!$A$4:$A$9999,4)="2913")+(LEFT(BalanceN!$A$4:$A$9999,4)="2914")+(LEFT(BalanceN!$A$4:$A$9999,5)="29193"))*BalanceN!$D$4:$D$9999)</f>
        <v>1050000</v>
      </c>
      <c r="K10" s="418" t="s">
        <v>821</v>
      </c>
      <c r="L10" s="419" t="s">
        <v>910</v>
      </c>
      <c r="M10" s="420">
        <v>14</v>
      </c>
      <c r="N10" s="421">
        <f>SUMPRODUCT(((LEFT(BalanceN!$A$4:$A$9999,3)="105"))*BalanceN!$H$4:$H$9999)</f>
        <v>0</v>
      </c>
      <c r="O10" s="421">
        <f>SUMPRODUCT(((LEFT(BalanceN!$A$4:$A$9999,3)="105"))*BalanceN!$D$4:$D$9999)</f>
        <v>0</v>
      </c>
    </row>
    <row r="11" spans="1:16" ht="20.100000000000001" customHeight="1" x14ac:dyDescent="0.25">
      <c r="B11" s="420" t="s">
        <v>801</v>
      </c>
      <c r="C11" s="423" t="s">
        <v>99</v>
      </c>
      <c r="D11" s="424"/>
      <c r="E11" s="425"/>
      <c r="F11" s="420"/>
      <c r="G11" s="427">
        <f>SUMPRODUCT(((LEFT(BalanceN!$A$4:$A$9999,3)="215")+(LEFT(BalanceN!$A$4:$A$9999,3)="216"))*BalanceN!$G$4:$G$9999)</f>
        <v>1600000</v>
      </c>
      <c r="H11" s="427">
        <f>SUMPRODUCT(((LEFT(BalanceN!$A$4:$A$9999,4)="2815")+(LEFT(BalanceN!$A$4:$A$9999,4)="2816")+(LEFT(BalanceN!$A$4:$A$9999,4)="2915")+(LEFT(BalanceN!$A$4:$A$9999,4)="2916"))*BalanceN!$H$4:$H$9999)</f>
        <v>0</v>
      </c>
      <c r="I11" s="427">
        <f>G11-H11</f>
        <v>1600000</v>
      </c>
      <c r="J11" s="428">
        <f>SUMPRODUCT(((LEFT(BalanceN!$A$4:$A$9999,3)="215")+(LEFT(BalanceN!$A$4:$A$9999,3)="216"))*BalanceN!$C$4:$C$9999)-SUMPRODUCT(((LEFT(BalanceN!$A$4:$A$9999,4)="2815")+(LEFT(BalanceN!$A$4:$A$9999,4)="2816")+(LEFT(BalanceN!$A$4:$A$9999,4)="2915")+(LEFT(BalanceN!$A$4:$A$9999,4)="2916"))*BalanceN!$D$4:$D$9999)</f>
        <v>1600000</v>
      </c>
      <c r="K11" s="418" t="s">
        <v>822</v>
      </c>
      <c r="L11" s="419" t="s">
        <v>911</v>
      </c>
      <c r="M11" s="420" t="s">
        <v>301</v>
      </c>
      <c r="N11" s="421">
        <f>SUMPRODUCT(((LEFT(BalanceN!$A$4:$A$9999,3)="106"))*BalanceN!$H$4:$H$9999)</f>
        <v>3500000</v>
      </c>
      <c r="O11" s="421">
        <f>SUMPRODUCT(((LEFT(BalanceN!$A$4:$A$9999,3)="106"))*BalanceN!$D$4:$D$9999)</f>
        <v>0</v>
      </c>
    </row>
    <row r="12" spans="1:16" ht="20.100000000000001" customHeight="1" x14ac:dyDescent="0.25">
      <c r="B12" s="420" t="s">
        <v>802</v>
      </c>
      <c r="C12" s="423" t="s">
        <v>69</v>
      </c>
      <c r="D12" s="424"/>
      <c r="E12" s="425"/>
      <c r="F12" s="420"/>
      <c r="G12" s="427">
        <f>SUMPRODUCT(((LEFT(BalanceN!$A$4:$A$9999,3)="217")+(LEFT(BalanceN!$A$4:$A$9999,3)="218")+(LEFT(BalanceN!$A$4:$A$9999,4)="2198")-(LEFT(BalanceN!$A$4:$A$9999,4)="2181"))*BalanceN!$G$4:$G$9999)</f>
        <v>0</v>
      </c>
      <c r="H12" s="427">
        <f>SUMPRODUCT(((LEFT(BalanceN!$A$4:$A$9999,4)="2817")+(LEFT(BalanceN!$A$4:$A$9999,4)="2818")+(LEFT(BalanceN!$A$4:$A$9999,4)="2917")+(LEFT(BalanceN!$A$4:$A$9999,4)="2918")+(LEFT(BalanceN!$A$4:$A$9999,4)="2919")-(LEFT(BalanceN!$A$4:$A$9999,5)="28181")-(LEFT(BalanceN!$A$4:$A$9999,5)="29181")-(LEFT(BalanceN!$A$4:$A$9999,5)="29191")-(LEFT(BalanceN!$A$4:$A$9999,5)="29193"))*BalanceN!$H$4:$H$9999)</f>
        <v>0</v>
      </c>
      <c r="I12" s="427">
        <f>G12-H12</f>
        <v>0</v>
      </c>
      <c r="J12" s="428">
        <f>SUMPRODUCT(((LEFT(BalanceN!$A$4:$A$9999,3)="217")+(LEFT(BalanceN!$A$4:$A$9999,3)="218")+(LEFT(BalanceN!$A$4:$A$9999,4)="2198")-(LEFT(BalanceN!$A$4:$A$9999,4)="2181"))*BalanceN!$C$4:$C$9999)-SUMPRODUCT(((LEFT(BalanceN!$A$4:$A$9999,4)="2817")+(LEFT(BalanceN!$A$4:$A$9999,4)="2818")+(LEFT(BalanceN!$A$4:$A$9999,4)="2917")+(LEFT(BalanceN!$A$4:$A$9999,4)="2918")+(LEFT(BalanceN!$A$4:$A$9999,4)="2919")-(LEFT(BalanceN!$A$4:$A$9999,5)="28181")-(LEFT(BalanceN!$A$4:$A$9999,5)="29181")-(LEFT(BalanceN!$A$4:$A$9999,5)="29191")-(LEFT(BalanceN!$A$4:$A$9999,5)="29193"))*BalanceN!$D$4:$D$9999)</f>
        <v>0</v>
      </c>
      <c r="K12" s="418" t="s">
        <v>823</v>
      </c>
      <c r="L12" s="419" t="s">
        <v>912</v>
      </c>
      <c r="M12" s="420">
        <v>14</v>
      </c>
      <c r="N12" s="421">
        <f>SUMPRODUCT(((LEFT(BalanceN!$A$4:$A$9999,3)="111")+(LEFT(BalanceN!$A$4:$A$9999,3)="112")+(LEFT(BalanceN!$A$4:$A$9999,3)="113"))*BalanceN!$H$4:$H$9999)</f>
        <v>20000000</v>
      </c>
      <c r="O12" s="421">
        <f>SUMPRODUCT(((LEFT(BalanceN!$A$4:$A$9999,3)="111")+(LEFT(BalanceN!$A$4:$A$9999,3)="112")+(LEFT(BalanceN!$A$4:$A$9999,3)="113"))*BalanceN!$D$4:$D$9999)</f>
        <v>20000000</v>
      </c>
    </row>
    <row r="13" spans="1:16" s="422" customFormat="1" ht="20.100000000000001" customHeight="1" x14ac:dyDescent="0.25">
      <c r="A13" s="412"/>
      <c r="B13" s="413" t="s">
        <v>883</v>
      </c>
      <c r="C13" s="414" t="s">
        <v>70</v>
      </c>
      <c r="D13" s="415"/>
      <c r="E13" s="416"/>
      <c r="F13" s="413">
        <v>3</v>
      </c>
      <c r="G13" s="417">
        <f>SUM(G14:G18)</f>
        <v>1012410344</v>
      </c>
      <c r="H13" s="417">
        <f>SUM(H14:H18)</f>
        <v>321157361</v>
      </c>
      <c r="I13" s="417">
        <f>SUM(I14:I18)</f>
        <v>691252983</v>
      </c>
      <c r="J13" s="417">
        <f>SUM(J14:J18)</f>
        <v>203544627</v>
      </c>
      <c r="K13" s="429" t="s">
        <v>824</v>
      </c>
      <c r="L13" s="419" t="s">
        <v>282</v>
      </c>
      <c r="M13" s="420">
        <v>14</v>
      </c>
      <c r="N13" s="421">
        <f>SUMPRODUCT(((LEFT(BalanceN!$A$4:$A$9999,3)="118"))*BalanceN!$H$4:$H$9999)</f>
        <v>0</v>
      </c>
      <c r="O13" s="421">
        <f>SUMPRODUCT(((LEFT(BalanceN!$A$4:$A$9999,3)="118"))*BalanceN!$D$4:$D$9999)</f>
        <v>0</v>
      </c>
      <c r="P13" s="412"/>
    </row>
    <row r="14" spans="1:16" ht="30" customHeight="1" x14ac:dyDescent="0.25">
      <c r="B14" s="420" t="s">
        <v>803</v>
      </c>
      <c r="C14" s="430" t="s">
        <v>1378</v>
      </c>
      <c r="D14" s="427"/>
      <c r="E14" s="431">
        <f>SUMPRODUCT(((LEFT(BalanceN!$A$4:$A$9999,4)="2281"))*BalanceN!$G$4:$G$9999)-SUMPRODUCT(((LEFT(BalanceN!$A$4:$A$9999,5)="29281"))*BalanceN!$H$4:$H$9999)</f>
        <v>0</v>
      </c>
      <c r="F14" s="420"/>
      <c r="G14" s="427">
        <f>SUMPRODUCT(((LEFT(BalanceN!$A$4:$A$9999,2)="22"))*BalanceN!$G$4:$G$9999)</f>
        <v>38673950</v>
      </c>
      <c r="H14" s="427">
        <f>SUMPRODUCT(((LEFT(BalanceN!$A$4:$A$9999,3)="282")+(LEFT(BalanceN!$A$4:$A$9999,3)="292"))*BalanceN!$H$4:$H$9999)</f>
        <v>0</v>
      </c>
      <c r="I14" s="427">
        <f t="shared" ref="I14:I19" si="0">G14-H14</f>
        <v>38673950</v>
      </c>
      <c r="J14" s="428">
        <f>SUMPRODUCT(((LEFT(BalanceN!$A$4:$A$9999,2)="22"))*BalanceN!$C$4:$C$9999)-SUMPRODUCT(((LEFT(BalanceN!$A$4:$A$9999,3)="282")+(LEFT(BalanceN!$A$4:$A$9999,3)="292"))*BalanceN!$D$4:$D$9999)</f>
        <v>35173950</v>
      </c>
      <c r="K14" s="432" t="s">
        <v>825</v>
      </c>
      <c r="L14" s="433" t="s">
        <v>913</v>
      </c>
      <c r="M14" s="434">
        <v>14</v>
      </c>
      <c r="N14" s="421">
        <f>-SUMPRODUCT(((LEFT(BalanceN!$A$4:$A$9999,2)="12"))*BalanceN!$G$4:$G$9999)+SUMPRODUCT(((LEFT(BalanceN!$A$4:$A$9999,2)="12"))*BalanceN!$H$4:$H$9999)</f>
        <v>76069991</v>
      </c>
      <c r="O14" s="421">
        <f>-SUMPRODUCT(((LEFT(BalanceN!$A$4:$A$9999,2)="12"))*BalanceN!$C$4:$C$9999)+SUMPRODUCT(((LEFT(BalanceN!$A$4:$A$9999,2)="12"))*BalanceN!$D$4:$D$9999)</f>
        <v>47450317</v>
      </c>
    </row>
    <row r="15" spans="1:16" ht="30.75" customHeight="1" x14ac:dyDescent="0.25">
      <c r="B15" s="420" t="s">
        <v>804</v>
      </c>
      <c r="C15" s="430" t="s">
        <v>1379</v>
      </c>
      <c r="D15" s="427"/>
      <c r="E15" s="431">
        <f>SUMPRODUCT(((LEFT(BalanceN!$A$4:$A$9999,4)="2315")+(LEFT(BalanceN!$A$4:$A$9999,4)="2325"))*BalanceN!$G$4:$G$9999)-SUMPRODUCT(((LEFT(BalanceN!$A$4:$A$9999,5)="29315")+(LEFT(BalanceN!$A$4:$A$9999,5)="29325"))*BalanceN!$H$4:$H$9999)</f>
        <v>0</v>
      </c>
      <c r="F15" s="420"/>
      <c r="G15" s="427">
        <f>SUMPRODUCT(((LEFT(BalanceN!$A$4:$A$9999,3)="231")+(LEFT(BalanceN!$A$4:$A$9999,3)="232")+(LEFT(BalanceN!$A$4:$A$9999,3)="233")+(LEFT(BalanceN!$A$4:$A$9999,3)="237")+(LEFT(BalanceN!$A$4:$A$9999,4)="2391"))*BalanceN!$G$4:$G$9999)</f>
        <v>741411100</v>
      </c>
      <c r="H15" s="427">
        <f>SUMPRODUCT(((LEFT(BalanceN!$A$4:$A$9999,4)="2831")+(LEFT(BalanceN!$A$4:$A$9999,4)="2832")+(LEFT(BalanceN!$A$4:$A$9999,4)="2833")+(LEFT(BalanceN!$A$4:$A$9999,4)="2837")+(LEFT(BalanceN!$A$4:$A$9999,4)="2931")+(LEFT(BalanceN!$A$4:$A$9999,4)="2932")+(LEFT(BalanceN!$A$4:$A$9999,4)="2933")+(LEFT(BalanceN!$A$4:$A$9999,4)="2937")+(LEFT(BalanceN!$A$4:$A$9999,5)="29391"))*BalanceN!$H$4:$H$9999)</f>
        <v>160048641</v>
      </c>
      <c r="I15" s="427">
        <f t="shared" si="0"/>
        <v>581362459</v>
      </c>
      <c r="J15" s="428">
        <f>SUMPRODUCT(((LEFT(BalanceN!$A$4:$A$9999,3)="231")+(LEFT(BalanceN!$A$4:$A$9999,3)="232")+(LEFT(BalanceN!$A$4:$A$9999,3)="233")+(LEFT(BalanceN!$A$4:$A$9999,3)="237")+(LEFT(BalanceN!$A$4:$A$9999,4)="2391"))*BalanceN!$C$4:$C$9999)-SUMPRODUCT(((LEFT(BalanceN!$A$4:$A$9999,4)="2831")+(LEFT(BalanceN!$A$4:$A$9999,4)="2832")+(LEFT(BalanceN!$A$4:$A$9999,4)="2833")+(LEFT(BalanceN!$A$4:$A$9999,4)="2837")+(LEFT(BalanceN!$A$4:$A$9999,4)="2931")+(LEFT(BalanceN!$A$4:$A$9999,4)="2932")+(LEFT(BalanceN!$A$4:$A$9999,4)="2933")+(LEFT(BalanceN!$A$4:$A$9999,4)="2937")+(LEFT(BalanceN!$A$4:$A$9999,5)="29391"))*BalanceN!$D$4:$D$9999)</f>
        <v>136097141</v>
      </c>
      <c r="K15" s="418" t="s">
        <v>862</v>
      </c>
      <c r="L15" s="435" t="s">
        <v>914</v>
      </c>
      <c r="M15" s="420"/>
      <c r="N15" s="421">
        <f>'COMPTE DE RESULTAT'!K49</f>
        <v>178831885</v>
      </c>
      <c r="O15" s="421">
        <f>-SUMPRODUCT(((LEFT(BalanceN!$A$4:$A$9999,2)="13"))*BalanceN!$C$4:$C$9999)+SUMPRODUCT(((LEFT(BalanceN!$A$4:$A$9999,2)="13"))*BalanceN!$D$4:$D$9999)</f>
        <v>118619674</v>
      </c>
    </row>
    <row r="16" spans="1:16" ht="20.100000000000001" customHeight="1" x14ac:dyDescent="0.25">
      <c r="B16" s="420" t="s">
        <v>805</v>
      </c>
      <c r="C16" s="2001" t="s">
        <v>75</v>
      </c>
      <c r="D16" s="2002"/>
      <c r="E16" s="2003"/>
      <c r="F16" s="420"/>
      <c r="G16" s="427">
        <f>SUMPRODUCT(((LEFT(BalanceN!$A$4:$A$9999,3)="234")+(LEFT(BalanceN!$A$4:$A$9999,3)="235")+(LEFT(BalanceN!$A$4:$A$9999,3)="238")+(LEFT(BalanceN!$A$4:$A$9999,4)="2392")+(LEFT(BalanceN!$A$4:$A$9999,4)="2393"))*BalanceN!$G$4:$G$9999)</f>
        <v>73328267</v>
      </c>
      <c r="H16" s="427">
        <f>SUMPRODUCT(((LEFT(BalanceN!$A$4:$A$9999,4)="2834")+(LEFT(BalanceN!$A$4:$A$9999,4)="2835")+(LEFT(BalanceN!$A$4:$A$9999,4)="2838")+(LEFT(BalanceN!$A$4:$A$9999,4)="2934")+(LEFT(BalanceN!$A$4:$A$9999,4)="2935")+(LEFT(BalanceN!$A$4:$A$9999,4)="2938")+(LEFT(BalanceN!$A$4:$A$9999,5)="29392")+(LEFT(BalanceN!$A$4:$A$9999,5)="29393"))*BalanceN!$H$4:$H$9999)</f>
        <v>71328267</v>
      </c>
      <c r="I16" s="427">
        <f t="shared" si="0"/>
        <v>2000000</v>
      </c>
      <c r="J16" s="428">
        <f>SUMPRODUCT(((LEFT(BalanceN!$A$4:$A$9999,3)="234")+(LEFT(BalanceN!$A$4:$A$9999,3)="235")+(LEFT(BalanceN!$A$4:$A$9999,3)="238")+(LEFT(BalanceN!$A$4:$A$9999,4)="2392")+(LEFT(BalanceN!$A$4:$A$9999,4)="2393"))*BalanceN!$C$4:$C$9999)-SUMPRODUCT(((LEFT(BalanceN!$A$4:$A$9999,4)="2834")+(LEFT(BalanceN!$A$4:$A$9999,4)="2835")+(LEFT(BalanceN!$A$4:$A$9999,4)="2838")+(LEFT(BalanceN!$A$4:$A$9999,4)="2934")+(LEFT(BalanceN!$A$4:$A$9999,4)="2935")+(LEFT(BalanceN!$A$4:$A$9999,4)="2938")+(LEFT(BalanceN!$A$4:$A$9999,5)="29392")+(LEFT(BalanceN!$A$4:$A$9999,5)="29393"))*BalanceN!$D$4:$D$9999)</f>
        <v>0</v>
      </c>
      <c r="K16" s="418" t="s">
        <v>826</v>
      </c>
      <c r="L16" s="436" t="s">
        <v>915</v>
      </c>
      <c r="M16" s="420">
        <v>15</v>
      </c>
      <c r="N16" s="421">
        <f>SUMPRODUCT(((LEFT(BalanceN!$A$4:$A$9999,2)="14"))*BalanceN!$H$4:$H$9999)</f>
        <v>2000000</v>
      </c>
      <c r="O16" s="427">
        <f>SUMPRODUCT(((LEFT(BalanceN!$A$4:$A$9999,2)="14"))*BalanceN!$D$4:$D$9999)</f>
        <v>0</v>
      </c>
    </row>
    <row r="17" spans="1:16" ht="20.100000000000001" customHeight="1" x14ac:dyDescent="0.25">
      <c r="B17" s="420" t="s">
        <v>806</v>
      </c>
      <c r="C17" s="423" t="s">
        <v>76</v>
      </c>
      <c r="D17" s="424"/>
      <c r="E17" s="425"/>
      <c r="F17" s="420"/>
      <c r="G17" s="427">
        <f>SUMPRODUCT(((LEFT(BalanceN!$A$4:$A$9999,2)="24")-(LEFT(BalanceN!$A$4:$A$9999,3)="245")-(LEFT(BalanceN!$A$4:$A$9999,4)="2495"))*BalanceN!$G$4:$G$9999)</f>
        <v>82947027</v>
      </c>
      <c r="H17" s="427">
        <f>SUMPRODUCT(((LEFT(BalanceN!$A$4:$A$9999,3)="284")+(LEFT(BalanceN!$A$4:$A$9999,3)="294")-(LEFT(BalanceN!$A$4:$A$9999,4)="2845")-(LEFT(BalanceN!$A$4:$A$9999,4)="2945")-(LEFT(BalanceN!$A$4:$A$9999,5)="29495"))*BalanceN!$H$4:$H$9999)</f>
        <v>35540453</v>
      </c>
      <c r="I17" s="427">
        <f t="shared" si="0"/>
        <v>47406574</v>
      </c>
      <c r="J17" s="428">
        <f>SUMPRODUCT(((LEFT(BalanceN!$A$4:$A$9999,2)="24")-(LEFT(BalanceN!$A$4:$A$9999,3)="245")-(LEFT(BalanceN!$A$4:$A$9999,4)="2495"))*BalanceN!$C$4:$C$9999)-SUMPRODUCT(((LEFT(BalanceN!$A$4:$A$9999,3)="284")+(LEFT(BalanceN!$A$4:$A$9999,3)="294")-(LEFT(BalanceN!$A$4:$A$9999,4)="2845")-(LEFT(BalanceN!$A$4:$A$9999,4)="2945")-(LEFT(BalanceN!$A$4:$A$9999,5)="29495"))*BalanceN!$D$4:$D$9999)</f>
        <v>32086036</v>
      </c>
      <c r="K17" s="418" t="s">
        <v>827</v>
      </c>
      <c r="L17" s="419" t="s">
        <v>916</v>
      </c>
      <c r="M17" s="420">
        <v>15</v>
      </c>
      <c r="N17" s="421">
        <f>SUMPRODUCT(((LEFT(BalanceN!$A$4:$A$9999,2)="15"))*BalanceN!$H$4:$H$9999)</f>
        <v>40000000</v>
      </c>
      <c r="O17" s="421">
        <f>SUMPRODUCT(((LEFT(BalanceN!$A$4:$A$9999,2)="15"))*BalanceN!$D$4:$D$9999)</f>
        <v>0</v>
      </c>
    </row>
    <row r="18" spans="1:16" ht="35.25" customHeight="1" x14ac:dyDescent="0.25">
      <c r="B18" s="434" t="s">
        <v>807</v>
      </c>
      <c r="C18" s="437" t="s">
        <v>77</v>
      </c>
      <c r="D18" s="438"/>
      <c r="E18" s="439"/>
      <c r="F18" s="434"/>
      <c r="G18" s="427">
        <f>SUMPRODUCT(((LEFT(BalanceN!$A$4:$A$9999,3)="245")+(LEFT(BalanceN!$A$4:$A$9999,4)="2495"))*BalanceN!$G$4:$G$9999)</f>
        <v>76050000</v>
      </c>
      <c r="H18" s="427">
        <f>SUMPRODUCT(((LEFT(BalanceN!$A$4:$A$9999,4)="2845")+(LEFT(BalanceN!$A$4:$A$9999,4)="2945")+(LEFT(BalanceN!$A$4:$A$9999,5)="29495"))*BalanceN!$H$4:$H$9999)</f>
        <v>54240000</v>
      </c>
      <c r="I18" s="427">
        <f t="shared" si="0"/>
        <v>21810000</v>
      </c>
      <c r="J18" s="428">
        <f>SUMPRODUCT(((LEFT(BalanceN!$A$4:$A$9999,3)="245")+(LEFT(BalanceN!$A$4:$A$9999,4)="2495"))*BalanceN!$C$4:$C$9999)-SUMPRODUCT(((LEFT(BalanceN!$A$4:$A$9999,4)="2845")+(LEFT(BalanceN!$A$4:$A$9999,4)="2945")+(LEFT(BalanceN!$A$4:$A$9999,5)="29495"))*BalanceN!$D$4:$D$9999)</f>
        <v>187500</v>
      </c>
      <c r="K18" s="440" t="s">
        <v>905</v>
      </c>
      <c r="L18" s="441" t="s">
        <v>917</v>
      </c>
      <c r="M18" s="442"/>
      <c r="N18" s="443">
        <f>SUM(N8:N17)</f>
        <v>620401876</v>
      </c>
      <c r="O18" s="443">
        <f>SUM(O8:O17)</f>
        <v>286069991</v>
      </c>
    </row>
    <row r="19" spans="1:16" ht="31.5" customHeight="1" x14ac:dyDescent="0.25">
      <c r="B19" s="413" t="s">
        <v>808</v>
      </c>
      <c r="C19" s="414" t="s">
        <v>889</v>
      </c>
      <c r="D19" s="415"/>
      <c r="E19" s="416"/>
      <c r="F19" s="413">
        <v>3</v>
      </c>
      <c r="G19" s="417">
        <f>SUMPRODUCT(((LEFT(BalanceN!$A$4:$A$9999,3)="251")+(LEFT(BalanceN!$A$4:$A$9999,3)="252"))*BalanceN!$G$4:$G$9999)</f>
        <v>20000000</v>
      </c>
      <c r="H19" s="417">
        <f>SUMPRODUCT(((LEFT(BalanceN!$A$4:$A$9999,4)="2951")+(LEFT(BalanceN!$A$4:$A$9999,4)="2952"))*BalanceN!$H$4:$H$9999)</f>
        <v>0</v>
      </c>
      <c r="I19" s="417">
        <f t="shared" si="0"/>
        <v>20000000</v>
      </c>
      <c r="J19" s="417">
        <f>SUMPRODUCT(((LEFT(BalanceN!$A$4:$A$9999,3)="251")+(LEFT(BalanceN!$A$4:$A$9999,3)="252"))*BalanceN!$C$4:$C$9999)-SUMPRODUCT(((LEFT(BalanceN!$A$4:$A$9999,4)="2951")+(LEFT(BalanceN!$A$4:$A$9999,4)="2952"))*BalanceN!$D$4:$D$9999)</f>
        <v>0</v>
      </c>
      <c r="K19" s="432" t="s">
        <v>828</v>
      </c>
      <c r="L19" s="435" t="s">
        <v>918</v>
      </c>
      <c r="M19" s="444">
        <v>16</v>
      </c>
      <c r="N19" s="421">
        <f>SUMPRODUCT(((LEFT(BalanceN!$A$4:$A$9999,2)="16")+(LEFT(BalanceN!$A$4:$A$9999,3)="181")+(LEFT(BalanceN!$A$4:$A$9999,3)="182")+(LEFT(BalanceN!$A$4:$A$9999,3)="183")+(LEFT(BalanceN!$A$4:$A$9999,3)="184"))*BalanceN!$H$4:$H$9999)</f>
        <v>94699075</v>
      </c>
      <c r="O19" s="421">
        <f>SUMPRODUCT(((LEFT(BalanceN!$A$4:$A$9999,2)="16")+(LEFT(BalanceN!$A$4:$A$9999,3)="181")+(LEFT(BalanceN!$A$4:$A$9999,3)="182")+(LEFT(BalanceN!$A$4:$A$9999,3)="183")+(LEFT(BalanceN!$A$4:$A$9999,3)="184"))*BalanceN!$D$4:$D$9999)</f>
        <v>2200000</v>
      </c>
    </row>
    <row r="20" spans="1:16" s="422" customFormat="1" ht="20.100000000000001" customHeight="1" x14ac:dyDescent="0.25">
      <c r="A20" s="412"/>
      <c r="B20" s="413" t="s">
        <v>890</v>
      </c>
      <c r="C20" s="414" t="s">
        <v>81</v>
      </c>
      <c r="D20" s="415"/>
      <c r="E20" s="416"/>
      <c r="F20" s="413">
        <v>4</v>
      </c>
      <c r="G20" s="417">
        <f>SUM(G21:G22)</f>
        <v>4419790</v>
      </c>
      <c r="H20" s="417">
        <f>SUM(H21:H22)</f>
        <v>0</v>
      </c>
      <c r="I20" s="417">
        <f>SUM(I21:I22)</f>
        <v>4419790</v>
      </c>
      <c r="J20" s="417">
        <f>SUM(J21:J22)</f>
        <v>4548658</v>
      </c>
      <c r="K20" s="418" t="s">
        <v>829</v>
      </c>
      <c r="L20" s="419" t="s">
        <v>919</v>
      </c>
      <c r="M20" s="420">
        <v>16</v>
      </c>
      <c r="N20" s="421">
        <f>SUMPRODUCT(((LEFT(BalanceN!$A$4:$A$9999,2)="17"))*BalanceN!$H$4:$H$9999)</f>
        <v>0</v>
      </c>
      <c r="O20" s="421">
        <f>SUMPRODUCT(((LEFT(BalanceN!$A$4:$A$9999,2)="17"))*BalanceN!$D$4:$D$9999)</f>
        <v>0</v>
      </c>
      <c r="P20" s="412"/>
    </row>
    <row r="21" spans="1:16" ht="20.100000000000001" customHeight="1" x14ac:dyDescent="0.25">
      <c r="B21" s="420" t="s">
        <v>809</v>
      </c>
      <c r="C21" s="423" t="s">
        <v>82</v>
      </c>
      <c r="D21" s="424"/>
      <c r="E21" s="425"/>
      <c r="F21" s="420"/>
      <c r="G21" s="427">
        <f>SUMPRODUCT(((LEFT(BalanceN!$A$4:$A$9999,2)="26"))*BalanceN!$G$4:$G$9999)</f>
        <v>0</v>
      </c>
      <c r="H21" s="427">
        <f>SUMPRODUCT(((LEFT(BalanceN!$A$4:$A$9999,3)="296"))*BalanceN!$H$4:$H$9999)</f>
        <v>0</v>
      </c>
      <c r="I21" s="427">
        <f>G21-H21</f>
        <v>0</v>
      </c>
      <c r="J21" s="428">
        <f>SUMPRODUCT(((LEFT(BalanceN!$A$4:$A$9999,2)="26"))*BalanceN!$C$4:$C$9999)-SUMPRODUCT(((LEFT(BalanceN!$A$4:$A$9999,3)="296"))*BalanceN!$D$4:$D$9999)</f>
        <v>0</v>
      </c>
      <c r="K21" s="418" t="s">
        <v>830</v>
      </c>
      <c r="L21" s="419" t="s">
        <v>920</v>
      </c>
      <c r="M21" s="420">
        <v>16</v>
      </c>
      <c r="N21" s="421">
        <f>SUMPRODUCT(((LEFT(BalanceN!$A$4:$A$9999,2)="19"))*BalanceN!$H$4:$H$9999)</f>
        <v>62116366</v>
      </c>
      <c r="O21" s="421">
        <f>SUMPRODUCT(((LEFT(BalanceN!$A$4:$A$9999,2)="19"))*BalanceN!$D$4:$D$9999)</f>
        <v>54864697</v>
      </c>
    </row>
    <row r="22" spans="1:16" ht="34.5" customHeight="1" x14ac:dyDescent="0.25">
      <c r="B22" s="434" t="s">
        <v>810</v>
      </c>
      <c r="C22" s="437" t="s">
        <v>83</v>
      </c>
      <c r="D22" s="438"/>
      <c r="E22" s="439"/>
      <c r="F22" s="420"/>
      <c r="G22" s="427">
        <f>SUMPRODUCT(((LEFT(BalanceN!$A$4:$A$9999,2)="27"))*BalanceN!$G$4:$G$9999)</f>
        <v>4419790</v>
      </c>
      <c r="H22" s="427">
        <f>SUMPRODUCT(((LEFT(BalanceN!$A$4:$A$9999,3)="297"))*BalanceN!$H$4:$H$9999)</f>
        <v>0</v>
      </c>
      <c r="I22" s="427">
        <f>G22-H22</f>
        <v>4419790</v>
      </c>
      <c r="J22" s="428">
        <f>SUMPRODUCT(((LEFT(BalanceN!$A$4:$A$9999,2)="27"))*BalanceN!$C$4:$C$9999)-SUMPRODUCT(((LEFT(BalanceN!$A$4:$A$9999,3)="297"))*BalanceN!$D$4:$D$9999)</f>
        <v>4548658</v>
      </c>
      <c r="K22" s="440" t="s">
        <v>831</v>
      </c>
      <c r="L22" s="441" t="s">
        <v>921</v>
      </c>
      <c r="M22" s="442"/>
      <c r="N22" s="443">
        <f>SUM(N19:N21)</f>
        <v>156815441</v>
      </c>
      <c r="O22" s="443">
        <f>SUM(O19:O21)</f>
        <v>57064697</v>
      </c>
    </row>
    <row r="23" spans="1:16" s="422" customFormat="1" ht="20.100000000000001" customHeight="1" x14ac:dyDescent="0.25">
      <c r="A23" s="412"/>
      <c r="B23" s="413" t="s">
        <v>884</v>
      </c>
      <c r="C23" s="414" t="s">
        <v>891</v>
      </c>
      <c r="D23" s="415"/>
      <c r="E23" s="416"/>
      <c r="F23" s="413"/>
      <c r="G23" s="417">
        <f>SUM(G8,G13,G20,G19)</f>
        <v>1041480134</v>
      </c>
      <c r="H23" s="417">
        <f>SUM(H8,H13,H20,H19)</f>
        <v>321157361</v>
      </c>
      <c r="I23" s="417">
        <f>SUM(I8,I13,I20,I19)</f>
        <v>720322773</v>
      </c>
      <c r="J23" s="417">
        <f>SUM(J8,J13,J20,J19)</f>
        <v>210743285</v>
      </c>
      <c r="K23" s="445" t="s">
        <v>906</v>
      </c>
      <c r="L23" s="446" t="s">
        <v>922</v>
      </c>
      <c r="M23" s="413"/>
      <c r="N23" s="443">
        <f>SUM(N18,N22)</f>
        <v>777217317</v>
      </c>
      <c r="O23" s="443">
        <f>SUM(O18,O22)</f>
        <v>343134688</v>
      </c>
      <c r="P23" s="447"/>
    </row>
    <row r="24" spans="1:16" s="422" customFormat="1" ht="20.100000000000001" customHeight="1" x14ac:dyDescent="0.25">
      <c r="A24" s="412"/>
      <c r="B24" s="413" t="s">
        <v>811</v>
      </c>
      <c r="C24" s="414" t="s">
        <v>892</v>
      </c>
      <c r="D24" s="415"/>
      <c r="E24" s="416"/>
      <c r="F24" s="413">
        <v>5</v>
      </c>
      <c r="G24" s="417">
        <f>SUMPRODUCT(((LEFT(BalanceN!$A$4:$A$9999,3)="485")+(LEFT(BalanceN!$A$4:$A$9999,3)="488"))*BalanceN!$G$4:$G$9999)</f>
        <v>2140000</v>
      </c>
      <c r="H24" s="417">
        <f>SUMPRODUCT(((LEFT(BalanceN!$A$4:$A$9999,3)="498"))*BalanceN!$H$4:$H$9999)</f>
        <v>0</v>
      </c>
      <c r="I24" s="417">
        <f>G24-H24</f>
        <v>2140000</v>
      </c>
      <c r="J24" s="417">
        <f>SUMPRODUCT(((LEFT(BalanceN!$A$4:$A$9999,3)="485")+(LEFT(BalanceN!$A$4:$A$9999,3)="488"))*BalanceN!$C$4:$C$9999)-SUMPRODUCT(((LEFT(BalanceN!$A$4:$A$9999,3)="498"))*BalanceN!$D$4:$D$9999)</f>
        <v>380000</v>
      </c>
      <c r="K24" s="418" t="s">
        <v>832</v>
      </c>
      <c r="L24" s="419" t="s">
        <v>923</v>
      </c>
      <c r="M24" s="420">
        <v>5</v>
      </c>
      <c r="N24" s="421">
        <f>SUMPRODUCT(((LEFT(BalanceN!$A$4:$A$9999,3)="481")+(LEFT(BalanceN!$A$4:$A$9999,3)="482")+(LEFT(BalanceN!$A$4:$A$9999,3)="484")+(LEFT(BalanceN!$A$4:$A$9999,4)="4998"))*BalanceN!$H$4:$H$9999)</f>
        <v>156649942</v>
      </c>
      <c r="O24" s="421">
        <f>SUMPRODUCT(((LEFT(BalanceN!$A$4:$A$9999,3)="481")+(LEFT(BalanceN!$A$4:$A$9999,3)="482")+(LEFT(BalanceN!$A$4:$A$9999,3)="484")+(LEFT(BalanceN!$A$4:$A$9999,4)="4998"))*BalanceN!$D$4:$D$9999)</f>
        <v>399942</v>
      </c>
      <c r="P24" s="412"/>
    </row>
    <row r="25" spans="1:16" s="422" customFormat="1" ht="20.100000000000001" customHeight="1" x14ac:dyDescent="0.25">
      <c r="A25" s="412"/>
      <c r="B25" s="413" t="s">
        <v>861</v>
      </c>
      <c r="C25" s="414" t="s">
        <v>893</v>
      </c>
      <c r="D25" s="415"/>
      <c r="E25" s="416"/>
      <c r="F25" s="413">
        <v>6</v>
      </c>
      <c r="G25" s="417">
        <f>SUMPRODUCT(((LEFT(BalanceN!$A$4:$A$9999,2)="31")+(LEFT(BalanceN!$A$4:$A$9999,2)="32")+(LEFT(BalanceN!$A$4:$A$9999,2)="33")+(LEFT(BalanceN!$A$4:$A$9999,2)="34")+(LEFT(BalanceN!$A$4:$A$9999,2)="35")+(LEFT(BalanceN!$A$4:$A$9999,2)="36")+(LEFT(BalanceN!$A$4:$A$9999,2)="37")+(LEFT(BalanceN!$A$4:$A$9999,2)="38"))*BalanceN!$G$4:$G$9999)</f>
        <v>18560138</v>
      </c>
      <c r="H25" s="417">
        <f>SUMPRODUCT(((LEFT(BalanceN!$A$4:$A$9999,2)="39"))*BalanceN!$H$4:$H$9999)</f>
        <v>0</v>
      </c>
      <c r="I25" s="417">
        <f>G25-H25</f>
        <v>18560138</v>
      </c>
      <c r="J25" s="448">
        <f>SUMPRODUCT(((LEFT(BalanceN!$A$4:$A$9999,2)="31")+(LEFT(BalanceN!$A$4:$A$9999,2)="32")+(LEFT(BalanceN!$A$4:$A$9999,2)="33")+(LEFT(BalanceN!$A$4:$A$9999,2)="34")+(LEFT(BalanceN!$A$4:$A$9999,2)="35")+(LEFT(BalanceN!$A$4:$A$9999,2)="36")+(LEFT(BalanceN!$A$4:$A$9999,2)="37")+(LEFT(BalanceN!$A$4:$A$9999,2)="38"))*BalanceN!$C$4:$C$9999)-SUMPRODUCT(((LEFT(BalanceN!$A$4:$A$9999,2)="39"))*BalanceN!$D$4:$D$9999)</f>
        <v>15868433</v>
      </c>
      <c r="K25" s="418" t="s">
        <v>833</v>
      </c>
      <c r="L25" s="419" t="s">
        <v>924</v>
      </c>
      <c r="M25" s="420">
        <v>7</v>
      </c>
      <c r="N25" s="421">
        <f>SUMPRODUCT(((LEFT(BalanceN!$A$4:$A$9999,3)="419"))*BalanceN!$H$4:$H$9999)</f>
        <v>0</v>
      </c>
      <c r="O25" s="421">
        <f>SUMPRODUCT(((LEFT(BalanceN!$A$4:$A$9999,3)="419"))*BalanceN!$D$4:$D$9999)</f>
        <v>0</v>
      </c>
      <c r="P25" s="412"/>
    </row>
    <row r="26" spans="1:16" s="422" customFormat="1" ht="20.100000000000001" customHeight="1" x14ac:dyDescent="0.25">
      <c r="A26" s="412"/>
      <c r="B26" s="413" t="s">
        <v>885</v>
      </c>
      <c r="C26" s="414" t="s">
        <v>894</v>
      </c>
      <c r="D26" s="415"/>
      <c r="E26" s="416"/>
      <c r="F26" s="413"/>
      <c r="G26" s="417">
        <f>SUM(G27:G29)</f>
        <v>206981960</v>
      </c>
      <c r="H26" s="417">
        <f>SUM(H27:H29)</f>
        <v>31677520</v>
      </c>
      <c r="I26" s="417">
        <f>SUM(I27:I29)</f>
        <v>175304440</v>
      </c>
      <c r="J26" s="417">
        <f>SUM(J27:J29)</f>
        <v>144512218</v>
      </c>
      <c r="K26" s="418" t="s">
        <v>834</v>
      </c>
      <c r="L26" s="419" t="s">
        <v>925</v>
      </c>
      <c r="M26" s="420">
        <v>17</v>
      </c>
      <c r="N26" s="421">
        <f>SUMPRODUCT(((LEFT(BalanceN!$A$4:$A$9999,2)="40")-(LEFT(BalanceN!$A$4:$A$9999,3)="409"))*BalanceN!$H$4:$H$9999)</f>
        <v>38210222</v>
      </c>
      <c r="O26" s="421">
        <f>SUMPRODUCT(((LEFT(BalanceN!$A$4:$A$9999,2)="40")-(LEFT(BalanceN!$A$4:$A$9999,3)="409"))*BalanceN!$D$4:$D$9999)</f>
        <v>55894206</v>
      </c>
      <c r="P26" s="412"/>
    </row>
    <row r="27" spans="1:16" ht="20.100000000000001" customHeight="1" x14ac:dyDescent="0.25">
      <c r="B27" s="420" t="s">
        <v>812</v>
      </c>
      <c r="C27" s="423" t="s">
        <v>895</v>
      </c>
      <c r="D27" s="424"/>
      <c r="E27" s="425"/>
      <c r="F27" s="420">
        <v>17</v>
      </c>
      <c r="G27" s="427">
        <f>SUMPRODUCT(((LEFT(BalanceN!$A$4:$A$9999,3)="409"))*BalanceN!$G$4:$G$9999)</f>
        <v>857612</v>
      </c>
      <c r="H27" s="427">
        <f>SUMPRODUCT(((LEFT(BalanceN!$A$4:$A$9999,3)="490"))*BalanceN!$H$4:$H$9999)</f>
        <v>0</v>
      </c>
      <c r="I27" s="427">
        <f>G27-H27</f>
        <v>857612</v>
      </c>
      <c r="J27" s="428">
        <f>SUMPRODUCT(((LEFT(BalanceN!$A$4:$A$9999,3)="409"))*BalanceN!$C$4:$C$9999)-SUMPRODUCT(((LEFT(BalanceN!$A$4:$A$9999,3)="490"))*BalanceN!$D$4:$D$9999)</f>
        <v>700000</v>
      </c>
      <c r="K27" s="418" t="s">
        <v>835</v>
      </c>
      <c r="L27" s="419" t="s">
        <v>926</v>
      </c>
      <c r="M27" s="420">
        <v>18</v>
      </c>
      <c r="N27" s="421">
        <f>SUMPRODUCT(((LEFT(BalanceN!$A$4:$A$9999,2)="42")+(LEFT(BalanceN!$A$4:$A$9999,2)="43")+(LEFT(BalanceN!$A$4:$A$9999,2)="44"))*BalanceN!$H$4:$H$9999)+ABS('COMPTE DE RESULTAT'!K48)</f>
        <v>79226072</v>
      </c>
      <c r="O27" s="421">
        <f>SUMPRODUCT(((LEFT(BalanceN!$A$4:$A$9999,2)="42")+(LEFT(BalanceN!$A$4:$A$9999,2)="43")+(LEFT(BalanceN!$A$4:$A$9999,2)="44"))*BalanceN!$D$4:$D$9999)</f>
        <v>36010298</v>
      </c>
    </row>
    <row r="28" spans="1:16" ht="20.100000000000001" customHeight="1" x14ac:dyDescent="0.25">
      <c r="B28" s="420" t="s">
        <v>813</v>
      </c>
      <c r="C28" s="423" t="s">
        <v>22</v>
      </c>
      <c r="D28" s="424"/>
      <c r="E28" s="425"/>
      <c r="F28" s="420">
        <v>7</v>
      </c>
      <c r="G28" s="427">
        <f>SUMPRODUCT(((LEFT(BalanceN!$A$4:$A$9999,2)="41")-(LEFT(BalanceN!$A$4:$A$9999,3)="419"))*BalanceN!$G$4:$G$9999)</f>
        <v>167938821</v>
      </c>
      <c r="H28" s="427">
        <f>SUMPRODUCT(((LEFT(BalanceN!$A$4:$A$9999,3)="491"))*BalanceN!$H$4:$H$9999)</f>
        <v>31677520</v>
      </c>
      <c r="I28" s="427">
        <f>G28-H28</f>
        <v>136261301</v>
      </c>
      <c r="J28" s="428">
        <f>SUMPRODUCT(((LEFT(BalanceN!$A$4:$A$9999,2)="41")-(LEFT(BalanceN!$A$4:$A$9999,3)="419"))*BalanceN!$C$4:$C$9999)-SUMPRODUCT(((LEFT(BalanceN!$A$4:$A$9999,3)="491"))*BalanceN!$D$4:$D$9999)</f>
        <v>140683833</v>
      </c>
      <c r="K28" s="418" t="s">
        <v>836</v>
      </c>
      <c r="L28" s="419" t="s">
        <v>927</v>
      </c>
      <c r="M28" s="420">
        <v>19</v>
      </c>
      <c r="N28" s="421">
        <f>SUMPRODUCT(((LEFT(BalanceN!$A$4:$A$9999,3)="185")+(LEFT(BalanceN!$A$4:$A$9999,2)="45")+(LEFT(BalanceN!$A$4:$A$9999,2)="46")+(LEFT(BalanceN!$A$4:$A$9999,2)="47")-(LEFT(BalanceN!$A$4:$A$9999,3)="479"))*BalanceN!$H$4:$H$9999)</f>
        <v>620000</v>
      </c>
      <c r="O28" s="421">
        <f>SUMPRODUCT(((LEFT(BalanceN!$A$4:$A$9999,3)="185")+(LEFT(BalanceN!$A$4:$A$9999,2)="45")+(LEFT(BalanceN!$A$4:$A$9999,2)="46")+(LEFT(BalanceN!$A$4:$A$9999,2)="47")-(LEFT(BalanceN!$A$4:$A$9999,3)="479"))*BalanceN!$D$4:$D$9999)</f>
        <v>10648959</v>
      </c>
    </row>
    <row r="29" spans="1:16" s="450" customFormat="1" ht="26.25" customHeight="1" x14ac:dyDescent="0.25">
      <c r="A29" s="449"/>
      <c r="B29" s="434" t="s">
        <v>814</v>
      </c>
      <c r="C29" s="437" t="s">
        <v>896</v>
      </c>
      <c r="D29" s="438"/>
      <c r="E29" s="439"/>
      <c r="F29" s="434">
        <v>8</v>
      </c>
      <c r="G29" s="427">
        <f>SUMPRODUCT(((LEFT(BalanceN!$A$4:$A$9999,3)="185")+(LEFT(BalanceN!$A$4:$A$9999,2)="42")+(LEFT(BalanceN!$A$4:$A$9999,2)="43")+(LEFT(BalanceN!$A$4:$A$9999,2)="44")+(LEFT(BalanceN!$A$4:$A$9999,2)="45")+(LEFT(BalanceN!$A$4:$A$9999,2)="46")+(LEFT(BalanceN!$A$4:$A$9999,2)="47")-(LEFT(BalanceN!$A$4:$A$9999,3)="478"))*BalanceN!$G$4:$G$9999)</f>
        <v>38185527</v>
      </c>
      <c r="H29" s="427">
        <f>SUMPRODUCT(((LEFT(BalanceN!$A$4:$A$9999,3)="492")+(LEFT(BalanceN!$A$4:$A$9999,3)="493")+(LEFT(BalanceN!$A$4:$A$9999,3)="494")+(LEFT(BalanceN!$A$4:$A$9999,3)="495")+(LEFT(BalanceN!$A$4:$A$9999,3)="496")+(LEFT(BalanceN!$A$4:$A$9999,3)="497"))*BalanceN!$H$4:$H$9999)</f>
        <v>0</v>
      </c>
      <c r="I29" s="427">
        <f>G29-H29</f>
        <v>38185527</v>
      </c>
      <c r="J29" s="427">
        <f>SUMPRODUCT(((LEFT(BalanceN!$A$4:$A$9999,3)="185")+(LEFT(BalanceN!$A$4:$A$9999,2)="42")+(LEFT(BalanceN!$A$4:$A$9999,2)="43")+(LEFT(BalanceN!$A$4:$A$9999,2)="44")+(LEFT(BalanceN!$A$4:$A$9999,2)="45")+(LEFT(BalanceN!$A$4:$A$9999,2)="46")+(LEFT(BalanceN!$A$4:$A$9999,2)="47")-(LEFT(BalanceN!$A$4:$A$9999,3)="478"))*BalanceN!$C$4:$C$9999)-SUMPRODUCT(((LEFT(BalanceN!$A$4:$A$9999,3)="492")+(LEFT(BalanceN!$A$4:$A$9999,3)="493")+(LEFT(BalanceN!$A$4:$A$9999,3)="494")+(LEFT(BalanceN!$A$4:$A$9999,3)="495")+(LEFT(BalanceN!$A$4:$A$9999,3)="496")+(LEFT(BalanceN!$A$4:$A$9999,3)="497"))*BalanceN!$D$4:$D$9999)</f>
        <v>3128385</v>
      </c>
      <c r="K29" s="432" t="s">
        <v>837</v>
      </c>
      <c r="L29" s="436" t="s">
        <v>928</v>
      </c>
      <c r="M29" s="434">
        <v>19</v>
      </c>
      <c r="N29" s="421">
        <f>SUMPRODUCT(((LEFT(BalanceN!$A$4:$A$9999,3)="499")-(LEFT(BalanceN!$A$4:$A$9999,4)="4998")+(LEFT(BalanceN!$A$4:$A$9999,3)="599"))*BalanceN!$H$4:$H$9999)</f>
        <v>0</v>
      </c>
      <c r="O29" s="421">
        <f>SUMPRODUCT(((LEFT(BalanceN!$A$4:$A$9999,3)="499")-(LEFT(BalanceN!$A$4:$A$9999,4)="4998")+(LEFT(BalanceN!$A$4:$A$9999,3)="599"))*BalanceN!$D$4:$D$9999)</f>
        <v>0</v>
      </c>
      <c r="P29" s="449"/>
    </row>
    <row r="30" spans="1:16" s="422" customFormat="1" x14ac:dyDescent="0.25">
      <c r="A30" s="412"/>
      <c r="B30" s="413" t="s">
        <v>886</v>
      </c>
      <c r="C30" s="414" t="s">
        <v>897</v>
      </c>
      <c r="D30" s="415"/>
      <c r="E30" s="416"/>
      <c r="F30" s="413"/>
      <c r="G30" s="417">
        <f>SUM(G24,G25,G26)</f>
        <v>227682098</v>
      </c>
      <c r="H30" s="417">
        <f>SUM(H24,H25,H26)</f>
        <v>31677520</v>
      </c>
      <c r="I30" s="417">
        <f>SUM(I24,I25,I26)</f>
        <v>196004578</v>
      </c>
      <c r="J30" s="417">
        <f>SUM(J24,J25,J26)</f>
        <v>160760651</v>
      </c>
      <c r="K30" s="445" t="s">
        <v>907</v>
      </c>
      <c r="L30" s="446" t="s">
        <v>929</v>
      </c>
      <c r="M30" s="413"/>
      <c r="N30" s="443">
        <f>SUM(N24:N29)</f>
        <v>274706236</v>
      </c>
      <c r="O30" s="443">
        <f>SUM(O24:O29)</f>
        <v>102953405</v>
      </c>
      <c r="P30" s="412"/>
    </row>
    <row r="31" spans="1:16" ht="20.25" customHeight="1" x14ac:dyDescent="0.25">
      <c r="B31" s="420" t="s">
        <v>815</v>
      </c>
      <c r="C31" s="423" t="s">
        <v>898</v>
      </c>
      <c r="D31" s="424"/>
      <c r="E31" s="425"/>
      <c r="F31" s="420">
        <v>9</v>
      </c>
      <c r="G31" s="427">
        <f>SUMPRODUCT(((LEFT(BalanceN!$A$4:$A$9999,2)="50"))*BalanceN!$G$4:$G$9999)</f>
        <v>0</v>
      </c>
      <c r="H31" s="427">
        <f>SUMPRODUCT(((LEFT(BalanceN!$A$4:$A$9999,3)="590"))*BalanceN!$H$4:$H$9999)</f>
        <v>0</v>
      </c>
      <c r="I31" s="427">
        <f>G31-H31</f>
        <v>0</v>
      </c>
      <c r="J31" s="428">
        <f>SUMPRODUCT(((LEFT(BalanceN!$A$4:$A$9999,2)="50"))*BalanceN!$C$4:$C$9999)-SUMPRODUCT(((LEFT(BalanceN!$A$4:$A$9999,3)="590"))*BalanceN!$D$4:$D$9999)</f>
        <v>0</v>
      </c>
      <c r="K31" s="418" t="s">
        <v>838</v>
      </c>
      <c r="L31" s="419" t="s">
        <v>931</v>
      </c>
      <c r="M31" s="420">
        <v>20</v>
      </c>
      <c r="N31" s="421">
        <f>SUMPRODUCT(((LEFT(BalanceN!$A$4:$A$9999,3)="564")+(LEFT(BalanceN!$A$4:$A$9999,3)="565"))*BalanceN!$H$4:$H$9999)</f>
        <v>0</v>
      </c>
      <c r="O31" s="421">
        <f>SUMPRODUCT(((LEFT(BalanceN!$A$4:$A$9999,3)="564")+(LEFT(BalanceN!$A$4:$A$9999,3)="565"))*BalanceN!$D$4:$D$9999)</f>
        <v>0</v>
      </c>
    </row>
    <row r="32" spans="1:16" s="450" customFormat="1" ht="18.75" customHeight="1" x14ac:dyDescent="0.25">
      <c r="A32" s="449"/>
      <c r="B32" s="434" t="s">
        <v>816</v>
      </c>
      <c r="C32" s="2004" t="s">
        <v>899</v>
      </c>
      <c r="D32" s="2005"/>
      <c r="E32" s="2006"/>
      <c r="F32" s="434">
        <v>10</v>
      </c>
      <c r="G32" s="427">
        <f>SUMPRODUCT(((LEFT(BalanceN!$A$4:$A$9999,2)="51"))*BalanceN!$G$4:$G$9999)</f>
        <v>0</v>
      </c>
      <c r="H32" s="427">
        <f>SUMPRODUCT(((LEFT(BalanceN!$A$4:$A$9999,3)="591"))*BalanceN!$H$4:$H$9999)</f>
        <v>0</v>
      </c>
      <c r="I32" s="427">
        <f>G32-H32</f>
        <v>0</v>
      </c>
      <c r="J32" s="428">
        <f>SUMPRODUCT(((LEFT(BalanceN!$A$4:$A$9999,2)="51"))*BalanceN!$C$4:$C$9999)-SUMPRODUCT(((LEFT(BalanceN!$A$4:$A$9999,3)="591"))*BalanceN!$D$4:$D$9999)</f>
        <v>0</v>
      </c>
      <c r="K32" s="2007" t="s">
        <v>839</v>
      </c>
      <c r="L32" s="2009" t="s">
        <v>930</v>
      </c>
      <c r="M32" s="2010">
        <v>20</v>
      </c>
      <c r="N32" s="451">
        <f>SUMPRODUCT(((LEFT(BalanceN!$A$4:$A$9999,2)="52")+(LEFT(BalanceN!$A$4:$A$9999,2)="53")+(LEFT(BalanceN!$A$4:$A$9999,3)="561")+(LEFT(BalanceN!$A$4:$A$9999,3)="566"))*BalanceN!$H$4:$H$9999)</f>
        <v>0</v>
      </c>
      <c r="O32" s="451">
        <f>SUMPRODUCT(((LEFT(BalanceN!$A$4:$A$9999,2)="52")+(LEFT(BalanceN!$A$4:$A$9999,2)="53")+(LEFT(BalanceN!$A$4:$A$9999,3)="561")+(LEFT(BalanceN!$A$4:$A$9999,3)="566"))*BalanceN!$D$4:$D$9999)</f>
        <v>0</v>
      </c>
      <c r="P32" s="449"/>
    </row>
    <row r="33" spans="1:16" s="450" customFormat="1" ht="20.25" customHeight="1" x14ac:dyDescent="0.25">
      <c r="A33" s="449"/>
      <c r="B33" s="434" t="s">
        <v>817</v>
      </c>
      <c r="C33" s="1998" t="s">
        <v>900</v>
      </c>
      <c r="D33" s="1999"/>
      <c r="E33" s="2000"/>
      <c r="F33" s="434">
        <v>11</v>
      </c>
      <c r="G33" s="427">
        <f>SUMPRODUCT(((LEFT(BalanceN!$A$4:$A$9999,2)="52")+(LEFT(BalanceN!$A$4:$A$9999,2)="53")+(LEFT(BalanceN!$A$4:$A$9999,2)="54")+(LEFT(BalanceN!$A$4:$A$9999,2)="55")+(LEFT(BalanceN!$A$4:$A$9999,2)="57")+(LEFT(BalanceN!$A$4:$A$9999,3)="581")+(LEFT(BalanceN!$A$4:$A$9999,3)="582"))*BalanceN!$G$4:$G$9999)</f>
        <v>123097127</v>
      </c>
      <c r="H33" s="427">
        <f>SUMPRODUCT(((LEFT(BalanceN!$A$4:$A$9999,3)="592")+(LEFT(BalanceN!$A$4:$A$9999,3)="593")+(LEFT(BalanceN!$A$4:$A$9999,3)="594"))*BalanceN!$H$4:$H$9999)</f>
        <v>0</v>
      </c>
      <c r="I33" s="427">
        <f>G33-H33</f>
        <v>123097127</v>
      </c>
      <c r="J33" s="427">
        <f>SUMPRODUCT(((LEFT(BalanceN!$A$4:$A$9999,2)="52")+(LEFT(BalanceN!$A$4:$A$9999,2)="53")+(LEFT(BalanceN!$A$4:$A$9999,2)="54")+(LEFT(BalanceN!$A$4:$A$9999,2)="55")+(LEFT(BalanceN!$A$4:$A$9999,2)="57")+(LEFT(BalanceN!$A$4:$A$9999,3)="581")+(LEFT(BalanceN!$A$4:$A$9999,3)="582"))*BalanceN!$C$4:$C$9999)-SUMPRODUCT(((LEFT(BalanceN!$A$4:$A$9999,3)="592")+(LEFT(BalanceN!$A$4:$A$9999,3)="593")+(LEFT(BalanceN!$A$4:$A$9999,3)="594"))*BalanceN!$D$4:$D$9999)</f>
        <v>74584157</v>
      </c>
      <c r="K33" s="2008"/>
      <c r="L33" s="2009"/>
      <c r="M33" s="2011"/>
      <c r="N33" s="452"/>
      <c r="O33" s="452"/>
      <c r="P33" s="449"/>
    </row>
    <row r="34" spans="1:16" s="422" customFormat="1" ht="20.100000000000001" customHeight="1" x14ac:dyDescent="0.25">
      <c r="A34" s="412"/>
      <c r="B34" s="413" t="s">
        <v>887</v>
      </c>
      <c r="C34" s="414" t="s">
        <v>901</v>
      </c>
      <c r="D34" s="415"/>
      <c r="E34" s="416"/>
      <c r="F34" s="413"/>
      <c r="G34" s="417">
        <f>SUM(G31:G33)</f>
        <v>123097127</v>
      </c>
      <c r="H34" s="417">
        <f>SUM(H31:H33)</f>
        <v>0</v>
      </c>
      <c r="I34" s="417">
        <f>SUM(I31:I33)</f>
        <v>123097127</v>
      </c>
      <c r="J34" s="417">
        <f>SUM(J31:J33)</f>
        <v>74584157</v>
      </c>
      <c r="K34" s="453" t="s">
        <v>908</v>
      </c>
      <c r="L34" s="454" t="s">
        <v>932</v>
      </c>
      <c r="M34" s="413"/>
      <c r="N34" s="443">
        <f>SUM(N31:N33)</f>
        <v>0</v>
      </c>
      <c r="O34" s="443">
        <f>SUM(O31:O33)</f>
        <v>0</v>
      </c>
      <c r="P34" s="412"/>
    </row>
    <row r="35" spans="1:16" ht="20.100000000000001" customHeight="1" x14ac:dyDescent="0.25">
      <c r="B35" s="420" t="s">
        <v>818</v>
      </c>
      <c r="C35" s="423" t="s">
        <v>902</v>
      </c>
      <c r="D35" s="424"/>
      <c r="E35" s="425"/>
      <c r="F35" s="420">
        <v>12</v>
      </c>
      <c r="G35" s="427">
        <f>SUMPRODUCT(((LEFT(BalanceN!$A$4:$A$9999,3)="478"))*BalanceN!$G$4:$G$9999)</f>
        <v>15000000</v>
      </c>
      <c r="H35" s="427"/>
      <c r="I35" s="427">
        <f>G35-H35</f>
        <v>15000000</v>
      </c>
      <c r="J35" s="428">
        <f>SUMPRODUCT(((LEFT(BalanceN!$A$4:$A$9999,3)="478"))*BalanceN!$C$4:$C$9999)</f>
        <v>0</v>
      </c>
      <c r="K35" s="418" t="s">
        <v>840</v>
      </c>
      <c r="L35" s="419" t="s">
        <v>933</v>
      </c>
      <c r="M35" s="420">
        <v>12</v>
      </c>
      <c r="N35" s="421">
        <f>SUMPRODUCT(((LEFT(BalanceN!$A$4:$A$9999,3)="479"))*BalanceN!$H$4:$H$9999)</f>
        <v>2500925</v>
      </c>
      <c r="O35" s="421">
        <f>SUMPRODUCT(((LEFT(BalanceN!$A$4:$A$9999,3)="479"))*BalanceN!$D$4:$D$9999)</f>
        <v>0</v>
      </c>
    </row>
    <row r="36" spans="1:16" s="422" customFormat="1" ht="20.100000000000001" customHeight="1" x14ac:dyDescent="0.25">
      <c r="A36" s="412"/>
      <c r="B36" s="413" t="s">
        <v>888</v>
      </c>
      <c r="C36" s="414" t="s">
        <v>84</v>
      </c>
      <c r="D36" s="415"/>
      <c r="E36" s="416"/>
      <c r="F36" s="413"/>
      <c r="G36" s="417">
        <f>SUM(G35,G34,G30,G23)</f>
        <v>1407259359</v>
      </c>
      <c r="H36" s="417">
        <f>SUM(H35,H34,H30,H23)</f>
        <v>352834881</v>
      </c>
      <c r="I36" s="417">
        <f>SUM(I35,I34,I30,I23)</f>
        <v>1054424478</v>
      </c>
      <c r="J36" s="417">
        <f>SUM(J35,J34,J30,J23)</f>
        <v>446088093</v>
      </c>
      <c r="K36" s="445" t="s">
        <v>909</v>
      </c>
      <c r="L36" s="446" t="s">
        <v>84</v>
      </c>
      <c r="M36" s="413"/>
      <c r="N36" s="443">
        <f>SUM(N35,N34,N30,N23)</f>
        <v>1054424478</v>
      </c>
      <c r="O36" s="443">
        <f>SUM(O35,O34,O30,O23)</f>
        <v>446088093</v>
      </c>
      <c r="P36" s="412"/>
    </row>
    <row r="37" spans="1:16" s="300" customFormat="1" x14ac:dyDescent="0.25">
      <c r="B37" s="455"/>
      <c r="C37" s="456"/>
      <c r="D37" s="456"/>
      <c r="E37" s="456"/>
      <c r="F37" s="455"/>
      <c r="G37" s="457"/>
      <c r="H37" s="457"/>
      <c r="I37" s="457"/>
      <c r="J37" s="457"/>
      <c r="K37" s="455"/>
      <c r="L37" s="456"/>
      <c r="M37" s="455"/>
      <c r="N37" s="458"/>
      <c r="O37" s="459"/>
    </row>
    <row r="38" spans="1:16" s="300" customFormat="1" x14ac:dyDescent="0.25">
      <c r="B38" s="455"/>
      <c r="C38" s="456"/>
      <c r="D38" s="456"/>
      <c r="E38" s="456"/>
      <c r="F38" s="455"/>
      <c r="G38" s="457"/>
      <c r="H38" s="457"/>
      <c r="I38" s="457"/>
      <c r="J38" s="457"/>
      <c r="K38" s="455"/>
      <c r="L38" s="456"/>
      <c r="M38" s="455"/>
      <c r="N38" s="458"/>
      <c r="O38" s="459"/>
    </row>
    <row r="39" spans="1:16" s="300" customFormat="1" x14ac:dyDescent="0.25">
      <c r="B39" s="455"/>
      <c r="C39" s="456"/>
      <c r="D39" s="456"/>
      <c r="E39" s="456"/>
      <c r="F39" s="455"/>
      <c r="G39" s="457"/>
      <c r="H39" s="457"/>
      <c r="I39" s="457"/>
      <c r="J39" s="457"/>
      <c r="K39" s="455"/>
      <c r="L39" s="456"/>
      <c r="M39" s="455"/>
      <c r="N39" s="458"/>
      <c r="O39" s="459"/>
    </row>
    <row r="40" spans="1:16" s="300" customFormat="1" hidden="1" x14ac:dyDescent="0.25">
      <c r="B40" s="455"/>
      <c r="C40" s="456"/>
      <c r="D40" s="456"/>
      <c r="E40" s="456"/>
      <c r="F40" s="455"/>
      <c r="G40" s="457"/>
      <c r="H40" s="460" t="s">
        <v>1045</v>
      </c>
      <c r="I40" s="460" t="s">
        <v>1046</v>
      </c>
      <c r="J40" s="461" t="s">
        <v>1047</v>
      </c>
      <c r="K40" s="455"/>
      <c r="L40" s="456"/>
      <c r="M40" s="455"/>
      <c r="N40" s="458"/>
      <c r="O40" s="459"/>
    </row>
    <row r="41" spans="1:16" s="300" customFormat="1" x14ac:dyDescent="0.25">
      <c r="B41" s="455"/>
      <c r="C41" s="456"/>
      <c r="D41" s="456"/>
      <c r="E41" s="456"/>
      <c r="F41" s="455"/>
      <c r="G41" s="457"/>
      <c r="H41" s="462" t="s">
        <v>1044</v>
      </c>
      <c r="I41" s="462"/>
      <c r="J41" s="463">
        <f>+J26-'TABLEAU DES FLUX DE TRESORERIE'!J13</f>
        <v>172114759</v>
      </c>
      <c r="K41" s="455"/>
      <c r="L41" s="464"/>
      <c r="M41" s="455"/>
      <c r="N41" s="458"/>
      <c r="O41" s="459"/>
    </row>
    <row r="42" spans="1:16" s="300" customFormat="1" x14ac:dyDescent="0.25">
      <c r="B42" s="455"/>
      <c r="C42" s="456"/>
      <c r="D42" s="456"/>
      <c r="E42" s="456"/>
      <c r="F42" s="455"/>
      <c r="G42" s="457"/>
      <c r="H42" s="465"/>
      <c r="I42" s="462" t="s">
        <v>596</v>
      </c>
      <c r="J42" s="466">
        <f>+I36-N36</f>
        <v>0</v>
      </c>
      <c r="K42" s="455"/>
      <c r="L42" s="456"/>
      <c r="M42" s="455"/>
      <c r="N42" s="458"/>
      <c r="O42" s="459"/>
    </row>
    <row r="43" spans="1:16" s="300" customFormat="1" x14ac:dyDescent="0.25">
      <c r="B43" s="455"/>
      <c r="C43" s="456"/>
      <c r="D43" s="456"/>
      <c r="E43" s="456"/>
      <c r="F43" s="455"/>
      <c r="G43" s="457"/>
      <c r="H43" s="465"/>
      <c r="I43" s="462" t="s">
        <v>597</v>
      </c>
      <c r="J43" s="466">
        <f>+J36-O36</f>
        <v>0</v>
      </c>
      <c r="K43" s="455"/>
      <c r="L43" s="456"/>
      <c r="M43" s="455"/>
      <c r="N43" s="458"/>
      <c r="O43" s="459"/>
    </row>
    <row r="44" spans="1:16" s="300" customFormat="1" x14ac:dyDescent="0.25">
      <c r="B44" s="455"/>
      <c r="C44" s="456"/>
      <c r="D44" s="456"/>
      <c r="E44" s="456"/>
      <c r="F44" s="455"/>
      <c r="G44" s="457"/>
      <c r="H44" s="457"/>
      <c r="I44" s="457"/>
      <c r="J44" s="457"/>
      <c r="K44" s="455"/>
      <c r="L44" s="456"/>
      <c r="M44" s="455"/>
      <c r="N44" s="458"/>
      <c r="O44" s="459"/>
    </row>
    <row r="45" spans="1:16" s="300" customFormat="1" x14ac:dyDescent="0.25">
      <c r="B45" s="455"/>
      <c r="C45" s="456"/>
      <c r="D45" s="456"/>
      <c r="E45" s="456"/>
      <c r="F45" s="455"/>
      <c r="G45" s="457"/>
      <c r="H45" s="457"/>
      <c r="I45" s="457"/>
      <c r="J45" s="457"/>
      <c r="K45" s="455"/>
      <c r="L45" s="456"/>
      <c r="M45" s="455"/>
      <c r="N45" s="458"/>
      <c r="O45" s="459"/>
    </row>
    <row r="46" spans="1:16" s="300" customFormat="1" x14ac:dyDescent="0.25">
      <c r="B46" s="455"/>
      <c r="C46" s="456"/>
      <c r="D46" s="456"/>
      <c r="E46" s="456"/>
      <c r="F46" s="455"/>
      <c r="G46" s="457"/>
      <c r="H46" s="457"/>
      <c r="I46" s="457"/>
      <c r="J46" s="457"/>
      <c r="K46" s="455"/>
      <c r="L46" s="456"/>
      <c r="M46" s="455"/>
      <c r="N46" s="458"/>
      <c r="O46" s="459"/>
    </row>
    <row r="47" spans="1:16" s="300" customFormat="1" x14ac:dyDescent="0.25">
      <c r="B47" s="455"/>
      <c r="C47" s="456"/>
      <c r="D47" s="456"/>
      <c r="E47" s="456"/>
      <c r="F47" s="455"/>
      <c r="G47" s="457"/>
      <c r="H47" s="457"/>
      <c r="I47" s="457"/>
      <c r="J47" s="457"/>
      <c r="K47" s="455"/>
      <c r="L47" s="456"/>
      <c r="M47" s="455"/>
      <c r="N47" s="458"/>
      <c r="O47" s="459"/>
    </row>
    <row r="48" spans="1:16" s="300" customFormat="1" x14ac:dyDescent="0.25">
      <c r="B48" s="455"/>
      <c r="C48" s="456"/>
      <c r="D48" s="456"/>
      <c r="E48" s="456"/>
      <c r="F48" s="455"/>
      <c r="G48" s="457"/>
      <c r="H48" s="457"/>
      <c r="I48" s="457"/>
      <c r="J48" s="457"/>
      <c r="K48" s="455"/>
      <c r="L48" s="456"/>
      <c r="M48" s="455"/>
      <c r="N48" s="458"/>
      <c r="O48" s="459"/>
    </row>
    <row r="49" spans="2:15" s="300" customFormat="1" x14ac:dyDescent="0.25">
      <c r="B49" s="455"/>
      <c r="C49" s="456"/>
      <c r="D49" s="456"/>
      <c r="E49" s="456"/>
      <c r="F49" s="455"/>
      <c r="G49" s="457"/>
      <c r="H49" s="457"/>
      <c r="I49" s="457"/>
      <c r="J49" s="457"/>
      <c r="K49" s="455"/>
      <c r="L49" s="456"/>
      <c r="M49" s="455"/>
      <c r="N49" s="458"/>
      <c r="O49" s="459"/>
    </row>
    <row r="50" spans="2:15" s="300" customFormat="1" x14ac:dyDescent="0.25">
      <c r="B50" s="455"/>
      <c r="C50" s="456"/>
      <c r="D50" s="456"/>
      <c r="E50" s="456"/>
      <c r="F50" s="455"/>
      <c r="G50" s="457"/>
      <c r="H50" s="457"/>
      <c r="I50" s="457"/>
      <c r="J50" s="457"/>
      <c r="K50" s="455"/>
      <c r="L50" s="456"/>
      <c r="M50" s="455"/>
      <c r="N50" s="458"/>
      <c r="O50" s="459"/>
    </row>
    <row r="51" spans="2:15" s="300" customFormat="1" x14ac:dyDescent="0.25">
      <c r="B51" s="455"/>
      <c r="C51" s="456"/>
      <c r="D51" s="456"/>
      <c r="E51" s="456"/>
      <c r="F51" s="455"/>
      <c r="G51" s="457"/>
      <c r="H51" s="457"/>
      <c r="I51" s="457"/>
      <c r="J51" s="457"/>
      <c r="K51" s="455"/>
      <c r="L51" s="456"/>
      <c r="M51" s="455"/>
      <c r="N51" s="458"/>
      <c r="O51" s="459"/>
    </row>
    <row r="52" spans="2:15" s="300" customFormat="1" x14ac:dyDescent="0.25">
      <c r="B52" s="455"/>
      <c r="C52" s="456"/>
      <c r="D52" s="456"/>
      <c r="E52" s="456"/>
      <c r="F52" s="455"/>
      <c r="G52" s="457"/>
      <c r="H52" s="457"/>
      <c r="I52" s="457"/>
      <c r="J52" s="457"/>
      <c r="K52" s="455"/>
      <c r="L52" s="456"/>
      <c r="M52" s="455"/>
      <c r="N52" s="458"/>
      <c r="O52" s="459"/>
    </row>
    <row r="53" spans="2:15" s="300" customFormat="1" x14ac:dyDescent="0.25">
      <c r="B53" s="455"/>
      <c r="C53" s="456"/>
      <c r="D53" s="456"/>
      <c r="E53" s="456"/>
      <c r="F53" s="455"/>
      <c r="G53" s="457"/>
      <c r="H53" s="457"/>
      <c r="I53" s="457"/>
      <c r="J53" s="457"/>
      <c r="K53" s="455"/>
      <c r="L53" s="456"/>
      <c r="M53" s="455"/>
      <c r="N53" s="458"/>
      <c r="O53" s="459"/>
    </row>
    <row r="54" spans="2:15" s="300" customFormat="1" x14ac:dyDescent="0.25">
      <c r="B54" s="455"/>
      <c r="C54" s="456"/>
      <c r="D54" s="456"/>
      <c r="E54" s="456"/>
      <c r="F54" s="455"/>
      <c r="G54" s="457"/>
      <c r="H54" s="457"/>
      <c r="I54" s="457"/>
      <c r="J54" s="457"/>
      <c r="K54" s="455"/>
      <c r="L54" s="456"/>
      <c r="M54" s="455"/>
      <c r="N54" s="458"/>
      <c r="O54" s="459"/>
    </row>
    <row r="55" spans="2:15" s="300" customFormat="1" x14ac:dyDescent="0.25">
      <c r="B55" s="455"/>
      <c r="C55" s="456"/>
      <c r="D55" s="456"/>
      <c r="E55" s="456"/>
      <c r="F55" s="455"/>
      <c r="G55" s="457"/>
      <c r="H55" s="457"/>
      <c r="I55" s="457"/>
      <c r="J55" s="457"/>
      <c r="K55" s="455"/>
      <c r="L55" s="456"/>
      <c r="M55" s="455"/>
      <c r="N55" s="458"/>
      <c r="O55" s="459"/>
    </row>
    <row r="56" spans="2:15" s="300" customFormat="1" x14ac:dyDescent="0.25">
      <c r="B56" s="455"/>
      <c r="C56" s="456"/>
      <c r="D56" s="456"/>
      <c r="E56" s="456"/>
      <c r="F56" s="455"/>
      <c r="G56" s="457"/>
      <c r="H56" s="457"/>
      <c r="I56" s="457"/>
      <c r="J56" s="457"/>
      <c r="K56" s="455"/>
      <c r="L56" s="456"/>
      <c r="M56" s="455"/>
      <c r="N56" s="458"/>
      <c r="O56" s="459"/>
    </row>
    <row r="57" spans="2:15" s="300" customFormat="1" x14ac:dyDescent="0.25">
      <c r="B57" s="455"/>
      <c r="C57" s="456"/>
      <c r="D57" s="456"/>
      <c r="E57" s="456"/>
      <c r="F57" s="455"/>
      <c r="G57" s="457"/>
      <c r="H57" s="457"/>
      <c r="I57" s="457"/>
      <c r="J57" s="457"/>
      <c r="K57" s="455"/>
      <c r="L57" s="456"/>
      <c r="M57" s="455"/>
      <c r="N57" s="458"/>
      <c r="O57" s="459"/>
    </row>
    <row r="58" spans="2:15" s="300" customFormat="1" x14ac:dyDescent="0.25">
      <c r="B58" s="455"/>
      <c r="C58" s="456"/>
      <c r="D58" s="456"/>
      <c r="E58" s="456"/>
      <c r="F58" s="455"/>
      <c r="G58" s="457"/>
      <c r="H58" s="457"/>
      <c r="I58" s="457"/>
      <c r="J58" s="457"/>
      <c r="K58" s="455"/>
      <c r="L58" s="456"/>
      <c r="M58" s="455"/>
      <c r="N58" s="458"/>
      <c r="O58" s="459"/>
    </row>
    <row r="59" spans="2:15" s="300" customFormat="1" x14ac:dyDescent="0.25">
      <c r="B59" s="455"/>
      <c r="C59" s="456"/>
      <c r="D59" s="456"/>
      <c r="E59" s="456"/>
      <c r="F59" s="455"/>
      <c r="G59" s="457"/>
      <c r="H59" s="457"/>
      <c r="I59" s="457"/>
      <c r="J59" s="457"/>
      <c r="K59" s="455"/>
      <c r="L59" s="456"/>
      <c r="M59" s="455"/>
      <c r="N59" s="458"/>
      <c r="O59" s="459"/>
    </row>
    <row r="60" spans="2:15" s="300" customFormat="1" x14ac:dyDescent="0.25">
      <c r="B60" s="455"/>
      <c r="C60" s="456"/>
      <c r="D60" s="456"/>
      <c r="E60" s="456"/>
      <c r="F60" s="455"/>
      <c r="G60" s="457"/>
      <c r="H60" s="457"/>
      <c r="I60" s="457"/>
      <c r="J60" s="457"/>
      <c r="K60" s="455"/>
      <c r="L60" s="456"/>
      <c r="M60" s="455"/>
      <c r="N60" s="458"/>
      <c r="O60" s="459"/>
    </row>
    <row r="61" spans="2:15" s="300" customFormat="1" x14ac:dyDescent="0.25">
      <c r="B61" s="455"/>
      <c r="C61" s="456"/>
      <c r="D61" s="456"/>
      <c r="E61" s="456"/>
      <c r="F61" s="455"/>
      <c r="G61" s="457"/>
      <c r="H61" s="457"/>
      <c r="I61" s="457"/>
      <c r="J61" s="457"/>
      <c r="K61" s="455"/>
      <c r="L61" s="456"/>
      <c r="M61" s="455"/>
      <c r="N61" s="458"/>
      <c r="O61" s="459"/>
    </row>
    <row r="62" spans="2:15" s="300" customFormat="1" x14ac:dyDescent="0.25">
      <c r="B62" s="455"/>
      <c r="C62" s="456"/>
      <c r="D62" s="456"/>
      <c r="E62" s="456"/>
      <c r="F62" s="455"/>
      <c r="G62" s="457"/>
      <c r="H62" s="457"/>
      <c r="I62" s="457"/>
      <c r="J62" s="457"/>
      <c r="K62" s="455"/>
      <c r="L62" s="456"/>
      <c r="M62" s="455"/>
      <c r="N62" s="458"/>
      <c r="O62" s="459"/>
    </row>
    <row r="63" spans="2:15" s="300" customFormat="1" x14ac:dyDescent="0.25">
      <c r="B63" s="455"/>
      <c r="C63" s="456"/>
      <c r="D63" s="456"/>
      <c r="E63" s="456"/>
      <c r="F63" s="455"/>
      <c r="G63" s="457"/>
      <c r="H63" s="457"/>
      <c r="I63" s="457"/>
      <c r="J63" s="457"/>
      <c r="K63" s="455"/>
      <c r="L63" s="456"/>
      <c r="M63" s="455"/>
      <c r="N63" s="458"/>
      <c r="O63" s="459"/>
    </row>
    <row r="64" spans="2:15" s="300" customFormat="1" x14ac:dyDescent="0.25">
      <c r="B64" s="455"/>
      <c r="C64" s="456"/>
      <c r="D64" s="456"/>
      <c r="E64" s="456"/>
      <c r="F64" s="455"/>
      <c r="G64" s="457"/>
      <c r="H64" s="457"/>
      <c r="I64" s="457"/>
      <c r="J64" s="457"/>
      <c r="K64" s="455"/>
      <c r="L64" s="456"/>
      <c r="M64" s="455"/>
      <c r="N64" s="458"/>
      <c r="O64" s="459"/>
    </row>
    <row r="65" spans="2:15" s="300" customFormat="1" x14ac:dyDescent="0.25">
      <c r="B65" s="455"/>
      <c r="C65" s="456"/>
      <c r="D65" s="456"/>
      <c r="E65" s="456"/>
      <c r="F65" s="455"/>
      <c r="G65" s="457"/>
      <c r="H65" s="457"/>
      <c r="I65" s="457"/>
      <c r="J65" s="457"/>
      <c r="K65" s="455"/>
      <c r="L65" s="456"/>
      <c r="M65" s="455"/>
      <c r="N65" s="458"/>
      <c r="O65" s="459"/>
    </row>
    <row r="66" spans="2:15" s="300" customFormat="1" x14ac:dyDescent="0.25">
      <c r="B66" s="455"/>
      <c r="C66" s="456"/>
      <c r="D66" s="456"/>
      <c r="E66" s="456"/>
      <c r="F66" s="455"/>
      <c r="G66" s="457"/>
      <c r="H66" s="457"/>
      <c r="I66" s="457"/>
      <c r="J66" s="457"/>
      <c r="K66" s="455"/>
      <c r="L66" s="456"/>
      <c r="M66" s="455"/>
      <c r="N66" s="458"/>
      <c r="O66" s="459"/>
    </row>
  </sheetData>
  <sheetProtection algorithmName="SHA-512" hashValue="ds1H4T1rfL6QwBFvSnWLqTeCgZc0hjBVxfPNb0Kea5wMXib333dh/tviQPqX0ryQpBvA7wQMDWDsgPepza6HBw==" saltValue="ABPZn/GtYpLDTXr+gIk7dw==" spinCount="100000" sheet="1" formatCells="0" formatColumns="0" formatRows="0" pivotTables="0"/>
  <protectedRanges>
    <protectedRange sqref="D14:D15" name="Plage1"/>
  </protectedRanges>
  <mergeCells count="20">
    <mergeCell ref="C33:E33"/>
    <mergeCell ref="L6:L7"/>
    <mergeCell ref="M6:M7"/>
    <mergeCell ref="C10:E10"/>
    <mergeCell ref="C16:E16"/>
    <mergeCell ref="C32:E32"/>
    <mergeCell ref="K32:K33"/>
    <mergeCell ref="L32:L33"/>
    <mergeCell ref="M32:M33"/>
    <mergeCell ref="G6:H6"/>
    <mergeCell ref="M3:N3"/>
    <mergeCell ref="M4:N4"/>
    <mergeCell ref="C5:L5"/>
    <mergeCell ref="G3:L3"/>
    <mergeCell ref="G4:I4"/>
    <mergeCell ref="B1:I1"/>
    <mergeCell ref="B6:B7"/>
    <mergeCell ref="C6:E7"/>
    <mergeCell ref="F6:F7"/>
    <mergeCell ref="K6:K7"/>
  </mergeCells>
  <conditionalFormatting sqref="H41:J41 H42:I43">
    <cfRule type="iconSet" priority="4">
      <iconSet iconSet="3Symbols2">
        <cfvo type="percent" val="0"/>
        <cfvo type="percent" val="33"/>
        <cfvo type="percent" val="67"/>
      </iconSet>
    </cfRule>
  </conditionalFormatting>
  <conditionalFormatting sqref="H40:J40">
    <cfRule type="iconSet" priority="1">
      <iconSet iconSet="3Symbols2">
        <cfvo type="percent" val="0"/>
        <cfvo type="percent" val="33"/>
        <cfvo type="percent" val="67"/>
      </iconSet>
    </cfRule>
  </conditionalFormatting>
  <printOptions horizontalCentered="1"/>
  <pageMargins left="0.27559055118110237" right="0" top="0.19685039370078741" bottom="0" header="0" footer="0"/>
  <pageSetup paperSize="9" scale="69" fitToHeight="0" orientation="landscape" r:id="rId1"/>
  <tableParts count="1">
    <tablePart r:id="rId2"/>
  </tableParts>
  <extLst>
    <ext xmlns:x14="http://schemas.microsoft.com/office/spreadsheetml/2009/9/main" uri="{78C0D931-6437-407d-A8EE-F0AAD7539E65}">
      <x14:conditionalFormattings>
        <x14:conditionalFormatting xmlns:xm="http://schemas.microsoft.com/office/excel/2006/main">
          <x14:cfRule type="iconSet" priority="3" id="{5AE5C30D-D671-4923-BC9E-072AF56B4A1D}">
            <x14:iconSet custom="1">
              <x14:cfvo type="percent">
                <xm:f>0</xm:f>
              </x14:cfvo>
              <x14:cfvo type="percent">
                <xm:f>0</xm:f>
              </x14:cfvo>
              <x14:cfvo type="percent">
                <xm:f>1</xm:f>
              </x14:cfvo>
              <x14:cfIcon iconSet="3TrafficLights1" iconId="0"/>
              <x14:cfIcon iconSet="3TrafficLights1" iconId="2"/>
              <x14:cfIcon iconSet="4RedToBlack" iconId="3"/>
            </x14:iconSet>
          </x14:cfRule>
          <xm:sqref>J42</xm:sqref>
        </x14:conditionalFormatting>
        <x14:conditionalFormatting xmlns:xm="http://schemas.microsoft.com/office/excel/2006/main">
          <x14:cfRule type="iconSet" priority="2" id="{865BBFD0-52E8-4269-A293-48380D02B586}">
            <x14:iconSet custom="1">
              <x14:cfvo type="percent">
                <xm:f>0</xm:f>
              </x14:cfvo>
              <x14:cfvo type="percent">
                <xm:f>0</xm:f>
              </x14:cfvo>
              <x14:cfvo type="percent">
                <xm:f>1</xm:f>
              </x14:cfvo>
              <x14:cfIcon iconSet="3TrafficLights1" iconId="0"/>
              <x14:cfIcon iconSet="3TrafficLights1" iconId="2"/>
              <x14:cfIcon iconSet="4RedToBlack" iconId="3"/>
            </x14:iconSet>
          </x14:cfRule>
          <xm:sqref>J43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tabColor rgb="FF00B050"/>
  </sheetPr>
  <dimension ref="A1:Q78"/>
  <sheetViews>
    <sheetView showGridLines="0" topLeftCell="C1" zoomScaleNormal="100" zoomScalePageLayoutView="90" workbookViewId="0">
      <selection activeCell="H36" sqref="H36"/>
    </sheetView>
  </sheetViews>
  <sheetFormatPr baseColWidth="10" defaultColWidth="0" defaultRowHeight="15" zeroHeight="1" x14ac:dyDescent="0.25"/>
  <cols>
    <col min="1" max="4" width="11.42578125" style="300" customWidth="1"/>
    <col min="5" max="5" width="4.85546875" style="387" customWidth="1"/>
    <col min="6" max="6" width="22.7109375" style="388" customWidth="1"/>
    <col min="7" max="7" width="38.42578125" style="388" customWidth="1"/>
    <col min="8" max="8" width="4" style="388" customWidth="1"/>
    <col min="9" max="9" width="4.85546875" style="387" customWidth="1"/>
    <col min="10" max="10" width="8" style="387" customWidth="1"/>
    <col min="11" max="11" width="16.7109375" style="391" customWidth="1"/>
    <col min="12" max="12" width="17" style="532" customWidth="1"/>
    <col min="13" max="13" width="15.28515625" style="300" customWidth="1"/>
    <col min="14" max="16" width="11.42578125" style="300" customWidth="1"/>
    <col min="17" max="17" width="0" style="470" hidden="1" customWidth="1"/>
    <col min="18" max="16384" width="11.42578125" style="470" hidden="1"/>
  </cols>
  <sheetData>
    <row r="1" spans="1:17" ht="28.5" customHeight="1" x14ac:dyDescent="0.25">
      <c r="E1" s="1983" t="s">
        <v>1353</v>
      </c>
      <c r="F1" s="1984"/>
      <c r="G1" s="1984"/>
      <c r="H1" s="1984"/>
      <c r="I1" s="1984"/>
      <c r="J1" s="1984"/>
      <c r="K1" s="468"/>
      <c r="L1" s="469"/>
    </row>
    <row r="2" spans="1:17" x14ac:dyDescent="0.25">
      <c r="E2" s="471"/>
      <c r="F2" s="472"/>
      <c r="G2" s="472"/>
      <c r="H2" s="472"/>
      <c r="I2" s="471"/>
      <c r="J2" s="471"/>
      <c r="K2" s="473"/>
      <c r="L2" s="474"/>
    </row>
    <row r="3" spans="1:17" s="485" customFormat="1" ht="24.75" customHeight="1" x14ac:dyDescent="0.25">
      <c r="A3" s="475"/>
      <c r="B3" s="475"/>
      <c r="C3" s="475"/>
      <c r="D3" s="475"/>
      <c r="E3" s="476" t="s">
        <v>42</v>
      </c>
      <c r="F3" s="477"/>
      <c r="G3" s="478" t="str">
        <f>INFORMATIONS!B10</f>
        <v>SAM CONSEILS</v>
      </c>
      <c r="H3" s="478"/>
      <c r="I3" s="478"/>
      <c r="J3" s="479" t="s">
        <v>52</v>
      </c>
      <c r="K3" s="480"/>
      <c r="L3" s="481">
        <f>INFORMATIONS!D31</f>
        <v>43465</v>
      </c>
      <c r="M3" s="475"/>
      <c r="N3" s="482"/>
      <c r="O3" s="483"/>
      <c r="P3" s="475"/>
      <c r="Q3" s="484"/>
    </row>
    <row r="4" spans="1:17" s="497" customFormat="1" ht="19.5" customHeight="1" x14ac:dyDescent="0.25">
      <c r="A4" s="486"/>
      <c r="B4" s="486"/>
      <c r="C4" s="486"/>
      <c r="D4" s="486"/>
      <c r="E4" s="487" t="s">
        <v>43</v>
      </c>
      <c r="F4" s="488"/>
      <c r="G4" s="489" t="str">
        <f>INFORMATIONS!B24</f>
        <v>00084404X</v>
      </c>
      <c r="H4" s="489"/>
      <c r="I4" s="489"/>
      <c r="J4" s="490" t="s">
        <v>44</v>
      </c>
      <c r="K4" s="491"/>
      <c r="L4" s="492">
        <f>INFORMATIONS!F34</f>
        <v>12</v>
      </c>
      <c r="M4" s="493"/>
      <c r="N4" s="494"/>
      <c r="O4" s="495"/>
      <c r="P4" s="486"/>
      <c r="Q4" s="496"/>
    </row>
    <row r="5" spans="1:17" ht="8.25" customHeight="1" x14ac:dyDescent="0.25">
      <c r="E5" s="471"/>
      <c r="F5" s="2014"/>
      <c r="G5" s="2014"/>
      <c r="H5" s="2014"/>
      <c r="I5" s="498"/>
      <c r="J5" s="471"/>
      <c r="K5" s="473"/>
      <c r="L5" s="474"/>
    </row>
    <row r="6" spans="1:17" s="501" customFormat="1" ht="32.25" customHeight="1" x14ac:dyDescent="0.25">
      <c r="A6" s="406"/>
      <c r="B6" s="406"/>
      <c r="C6" s="406"/>
      <c r="D6" s="406"/>
      <c r="E6" s="1985" t="s">
        <v>877</v>
      </c>
      <c r="F6" s="1986" t="s">
        <v>1</v>
      </c>
      <c r="G6" s="1987"/>
      <c r="H6" s="1988"/>
      <c r="I6" s="499"/>
      <c r="J6" s="1985" t="s">
        <v>2</v>
      </c>
      <c r="K6" s="500"/>
      <c r="L6" s="500"/>
      <c r="M6" s="406"/>
      <c r="N6" s="406"/>
      <c r="O6" s="406"/>
      <c r="P6" s="406"/>
    </row>
    <row r="7" spans="1:17" s="501" customFormat="1" ht="15.75" customHeight="1" x14ac:dyDescent="0.25">
      <c r="A7" s="406"/>
      <c r="B7" s="406"/>
      <c r="C7" s="406"/>
      <c r="D7" s="406"/>
      <c r="E7" s="1985"/>
      <c r="F7" s="1989"/>
      <c r="G7" s="1990"/>
      <c r="H7" s="1991"/>
      <c r="I7" s="502"/>
      <c r="J7" s="1985"/>
      <c r="K7" s="409" t="s">
        <v>879</v>
      </c>
      <c r="L7" s="410" t="s">
        <v>879</v>
      </c>
      <c r="M7" s="406"/>
      <c r="N7" s="406"/>
      <c r="O7" s="406"/>
      <c r="P7" s="406"/>
    </row>
    <row r="8" spans="1:17" ht="20.100000000000001" customHeight="1" x14ac:dyDescent="0.25">
      <c r="E8" s="503" t="s">
        <v>853</v>
      </c>
      <c r="F8" s="504" t="s">
        <v>943</v>
      </c>
      <c r="G8" s="505"/>
      <c r="H8" s="506" t="s">
        <v>88</v>
      </c>
      <c r="I8" s="506" t="s">
        <v>979</v>
      </c>
      <c r="J8" s="503">
        <v>21</v>
      </c>
      <c r="K8" s="507">
        <f>SUMPRODUCT(((LEFT(BalanceN!$A$4:$A$9999,3)="701"))*BalanceN!$H$4:$H$9999)-SUMPRODUCT(((LEFT(BalanceN!$A$4:$A$9999,3)="701"))*BalanceN!$G$4:$G$9999)</f>
        <v>110000000</v>
      </c>
      <c r="L8" s="421">
        <f>SUMPRODUCT(((LEFT('BalanceN-1'!$A$4:$A$9999,3)="701"))*'BalanceN-1'!$H$4:$H$9999)-SUMPRODUCT(((LEFT('BalanceN-1'!$A$4:$A$9999,3)="701"))*'BalanceN-1'!$G$4:$G$9999)</f>
        <v>0</v>
      </c>
    </row>
    <row r="9" spans="1:17" ht="20.100000000000001" customHeight="1" x14ac:dyDescent="0.25">
      <c r="E9" s="503" t="s">
        <v>841</v>
      </c>
      <c r="F9" s="2021" t="s">
        <v>944</v>
      </c>
      <c r="G9" s="2022"/>
      <c r="H9" s="2025"/>
      <c r="I9" s="508" t="s">
        <v>980</v>
      </c>
      <c r="J9" s="503">
        <v>22</v>
      </c>
      <c r="K9" s="507">
        <f>-SUMPRODUCT(((LEFT(BalanceN!$A$4:$A$9999,3)="601"))*BalanceN!$G$4:$G$9999)+SUMPRODUCT(((LEFT(BalanceN!$A$4:$A$9999,3)="601"))*BalanceN!$H$4:$H$9999)</f>
        <v>-75000000</v>
      </c>
      <c r="L9" s="509">
        <f>-SUMPRODUCT(((LEFT('BalanceN-1'!$A$4:$A$9999,3)="601"))*'BalanceN-1'!$G$4:$G$9999)+SUMPRODUCT(((LEFT('BalanceN-1'!$A$4:$A$9999,3)="601"))*'BalanceN-1'!$H$4:$H$9999)</f>
        <v>0</v>
      </c>
    </row>
    <row r="10" spans="1:17" ht="20.100000000000001" customHeight="1" x14ac:dyDescent="0.25">
      <c r="E10" s="503" t="s">
        <v>842</v>
      </c>
      <c r="F10" s="504" t="s">
        <v>945</v>
      </c>
      <c r="G10" s="505"/>
      <c r="H10" s="510"/>
      <c r="I10" s="511" t="s">
        <v>981</v>
      </c>
      <c r="J10" s="503">
        <v>6</v>
      </c>
      <c r="K10" s="507">
        <f>-SUMPRODUCT(((LEFT(BalanceN!$A$4:$A$9999,4)="6031"))*BalanceN!$G$4:$G$9999)+SUMPRODUCT(((LEFT(BalanceN!$A$4:$A$9999,4)="6031"))*BalanceN!$H$4:$H$9999)</f>
        <v>5000000</v>
      </c>
      <c r="L10" s="509">
        <f>-SUMPRODUCT(((LEFT('BalanceN-1'!$A$4:$A$9999,4)="6031"))*'BalanceN-1'!$G$4:$G$9999)+SUMPRODUCT(((LEFT('BalanceN-1'!$A$4:$A$9999,4)="6031"))*'BalanceN-1'!$H$4:$H$9999)</f>
        <v>0</v>
      </c>
    </row>
    <row r="11" spans="1:17" s="514" customFormat="1" ht="20.100000000000001" customHeight="1" x14ac:dyDescent="0.25">
      <c r="A11" s="412"/>
      <c r="B11" s="412"/>
      <c r="C11" s="412"/>
      <c r="D11" s="412"/>
      <c r="E11" s="413" t="s">
        <v>934</v>
      </c>
      <c r="F11" s="414" t="s">
        <v>946</v>
      </c>
      <c r="G11" s="415"/>
      <c r="H11" s="416"/>
      <c r="I11" s="512"/>
      <c r="J11" s="413"/>
      <c r="K11" s="443">
        <f>SUM(K8:K10)</f>
        <v>40000000</v>
      </c>
      <c r="L11" s="513">
        <f>SUM(L8:L10)</f>
        <v>0</v>
      </c>
      <c r="M11" s="412"/>
      <c r="N11" s="412"/>
      <c r="O11" s="412"/>
      <c r="P11" s="412"/>
    </row>
    <row r="12" spans="1:17" ht="20.100000000000001" customHeight="1" x14ac:dyDescent="0.25">
      <c r="E12" s="503" t="s">
        <v>869</v>
      </c>
      <c r="F12" s="2021" t="s">
        <v>947</v>
      </c>
      <c r="G12" s="2022"/>
      <c r="H12" s="515" t="s">
        <v>109</v>
      </c>
      <c r="I12" s="515" t="s">
        <v>979</v>
      </c>
      <c r="J12" s="503">
        <v>21</v>
      </c>
      <c r="K12" s="507">
        <f>SUMPRODUCT(((LEFT(BalanceN!$A$4:$A$9999,3)="702")+(LEFT(BalanceN!$A$4:$A$9999,3)="703")+(LEFT(BalanceN!$A$4:$A$9999,3)="704"))*BalanceN!$H$4:$H$9999)-SUMPRODUCT(((LEFT(BalanceN!$A$4:$A$9999,3)="702")+(LEFT(BalanceN!$A$4:$A$9999,3)="703")+(LEFT(BalanceN!$A$4:$A$9999,3)="704"))*BalanceN!$G$4:$G$9999)</f>
        <v>1918144745</v>
      </c>
      <c r="L12" s="509">
        <f>SUMPRODUCT(((LEFT('BalanceN-1'!$A$4:$A$9999,3)="702")+(LEFT('BalanceN-1'!$A$4:$A$9999,3)="703")+(LEFT('BalanceN-1'!$A$4:$A$9999,3)="704"))*'BalanceN-1'!$H$4:$H$9999)-SUMPRODUCT(((LEFT('BalanceN-1'!$A$4:$A$9999,3)="702")+(LEFT('BalanceN-1'!$A$4:$A$9999,3)="703")+(LEFT('BalanceN-1'!$A$4:$A$9999,3)="704"))*'BalanceN-1'!$G$4:$G$9999)</f>
        <v>1857424110</v>
      </c>
      <c r="N12" s="516"/>
    </row>
    <row r="13" spans="1:17" ht="20.100000000000001" customHeight="1" x14ac:dyDescent="0.25">
      <c r="E13" s="503" t="s">
        <v>854</v>
      </c>
      <c r="F13" s="2023" t="s">
        <v>948</v>
      </c>
      <c r="G13" s="2024"/>
      <c r="H13" s="506" t="s">
        <v>111</v>
      </c>
      <c r="I13" s="506" t="s">
        <v>979</v>
      </c>
      <c r="J13" s="503">
        <v>21</v>
      </c>
      <c r="K13" s="507">
        <f>SUMPRODUCT(((LEFT(BalanceN!$A$4:$A$9999,3)="705")+(LEFT(BalanceN!$A$4:$A$9999,3)="706"))*BalanceN!$H$4:$H$9999)-SUMPRODUCT(((LEFT(BalanceN!$A$4:$A$9999,3)="705")+(LEFT(BalanceN!$A$4:$A$9999,3)="706"))*BalanceN!$G$4:$G$9999)</f>
        <v>12672000</v>
      </c>
      <c r="L13" s="509">
        <f>SUMPRODUCT(((LEFT('BalanceN-1'!$A$4:$A$9999,3)="705")+(LEFT('BalanceN-1'!$A$4:$A$9999,3)="706"))*'BalanceN-1'!$H$4:$H$9999)-SUMPRODUCT(((LEFT('BalanceN-1'!$A$4:$A$9999,3)="705")+(LEFT('BalanceN-1'!$A$4:$A$9999,3)="706"))*'BalanceN-1'!$G$4:$G$9999)</f>
        <v>12804000</v>
      </c>
    </row>
    <row r="14" spans="1:17" x14ac:dyDescent="0.25">
      <c r="E14" s="517" t="s">
        <v>855</v>
      </c>
      <c r="F14" s="2018" t="s">
        <v>434</v>
      </c>
      <c r="G14" s="2019"/>
      <c r="H14" s="518" t="s">
        <v>123</v>
      </c>
      <c r="I14" s="518" t="s">
        <v>979</v>
      </c>
      <c r="J14" s="503">
        <v>21</v>
      </c>
      <c r="K14" s="507">
        <f>SUMPRODUCT(((LEFT(BalanceN!$A$4:$A$9999,3)="707"))*BalanceN!$H$4:$H$9999)-SUMPRODUCT(((LEFT(BalanceN!$A$4:$A$9999,3)="707"))*BalanceN!$G$4:$G$9999)</f>
        <v>1130000</v>
      </c>
      <c r="L14" s="509">
        <f>SUMPRODUCT(((LEFT('BalanceN-1'!$A$4:$A$9999,3)="707"))*'BalanceN-1'!$H$4:$H$9999)-SUMPRODUCT(((LEFT('BalanceN-1'!$A$4:$A$9999,3)="707"))*'BalanceN-1'!$G$4:$G$9999)</f>
        <v>1598780</v>
      </c>
    </row>
    <row r="15" spans="1:17" s="514" customFormat="1" ht="19.5" customHeight="1" x14ac:dyDescent="0.25">
      <c r="A15" s="412"/>
      <c r="B15" s="412"/>
      <c r="C15" s="412"/>
      <c r="D15" s="412"/>
      <c r="E15" s="519" t="s">
        <v>935</v>
      </c>
      <c r="F15" s="2026" t="s">
        <v>949</v>
      </c>
      <c r="G15" s="2027"/>
      <c r="H15" s="2028"/>
      <c r="I15" s="520"/>
      <c r="J15" s="521"/>
      <c r="K15" s="443">
        <f>SUM(K12:K14,K8)</f>
        <v>2041946745</v>
      </c>
      <c r="L15" s="443">
        <f>SUM(L12:L14,L8)</f>
        <v>1871826890</v>
      </c>
      <c r="M15" s="412"/>
      <c r="N15" s="412"/>
      <c r="O15" s="412"/>
      <c r="P15" s="412"/>
    </row>
    <row r="16" spans="1:17" ht="20.100000000000001" customHeight="1" x14ac:dyDescent="0.25">
      <c r="E16" s="503" t="s">
        <v>856</v>
      </c>
      <c r="F16" s="504" t="s">
        <v>950</v>
      </c>
      <c r="G16" s="505"/>
      <c r="H16" s="510"/>
      <c r="I16" s="511" t="s">
        <v>981</v>
      </c>
      <c r="J16" s="503">
        <v>6</v>
      </c>
      <c r="K16" s="507">
        <f>-SUMPRODUCT(((LEFT(BalanceN!$A$4:$A$9999,2)="73"))*BalanceN!$G$4:$G$9999)+SUMPRODUCT(((LEFT(BalanceN!$A$4:$A$9999,2)="73"))*BalanceN!$H$4:$H$9999)</f>
        <v>0</v>
      </c>
      <c r="L16" s="509">
        <f>-SUMPRODUCT(((LEFT('BalanceN-1'!$A$4:$A$9999,2)="73"))*'BalanceN-1'!$G$4:$G$9999)+SUMPRODUCT(((LEFT('BalanceN-1'!$A$4:$A$9999,2)="73"))*'BalanceN-1'!$H$4:$H$9999)</f>
        <v>0</v>
      </c>
    </row>
    <row r="17" spans="1:16" x14ac:dyDescent="0.25">
      <c r="E17" s="517" t="s">
        <v>857</v>
      </c>
      <c r="F17" s="522" t="s">
        <v>436</v>
      </c>
      <c r="G17" s="523"/>
      <c r="H17" s="524"/>
      <c r="I17" s="525" t="s">
        <v>979</v>
      </c>
      <c r="J17" s="503">
        <v>21</v>
      </c>
      <c r="K17" s="507">
        <f>SUMPRODUCT(((LEFT(BalanceN!$A$4:$A$9999,2)="72"))*BalanceN!$H$4:$H$9999)-SUMPRODUCT(((LEFT(BalanceN!$A$4:$A$9999,2)="72"))*BalanceN!$G$4:$G$9999)</f>
        <v>4500000</v>
      </c>
      <c r="L17" s="509">
        <f>SUMPRODUCT(((LEFT('BalanceN-1'!$A$4:$A$9999,2)="72"))*'BalanceN-1'!$H$4:$H$9999)-SUMPRODUCT(((LEFT('BalanceN-1'!$A$4:$A$9999,2)="72"))*'BalanceN-1'!$G$4:$G$9999)</f>
        <v>0</v>
      </c>
    </row>
    <row r="18" spans="1:16" ht="20.100000000000001" customHeight="1" x14ac:dyDescent="0.25">
      <c r="E18" s="503" t="s">
        <v>870</v>
      </c>
      <c r="F18" s="504" t="s">
        <v>437</v>
      </c>
      <c r="G18" s="505"/>
      <c r="H18" s="510"/>
      <c r="I18" s="511" t="s">
        <v>979</v>
      </c>
      <c r="J18" s="503">
        <v>21</v>
      </c>
      <c r="K18" s="507">
        <f>SUMPRODUCT(((LEFT(BalanceN!$A$4:$A$9999,2)="71"))*BalanceN!$H$4:$H$9999)-SUMPRODUCT(((LEFT(BalanceN!$A$4:$A$9999,2)="71"))*BalanceN!$G$4:$G$9999)</f>
        <v>0</v>
      </c>
      <c r="L18" s="509">
        <f>SUMPRODUCT(((LEFT('BalanceN-1'!$A$4:$A$9999,2)="71"))*'BalanceN-1'!$H$4:$H$9999)-SUMPRODUCT(((LEFT('BalanceN-1'!$A$4:$A$9999,2)="71"))*'BalanceN-1'!$G$4:$G$9999)</f>
        <v>0</v>
      </c>
    </row>
    <row r="19" spans="1:16" ht="20.100000000000001" customHeight="1" x14ac:dyDescent="0.25">
      <c r="E19" s="503" t="s">
        <v>858</v>
      </c>
      <c r="F19" s="504" t="s">
        <v>438</v>
      </c>
      <c r="G19" s="505"/>
      <c r="H19" s="510"/>
      <c r="I19" s="511" t="s">
        <v>979</v>
      </c>
      <c r="J19" s="503">
        <v>21</v>
      </c>
      <c r="K19" s="507">
        <f>SUMPRODUCT(((LEFT(BalanceN!$A$4:$A$9999,2)="75"))*BalanceN!$H$4:$H$9999)-SUMPRODUCT(((LEFT(BalanceN!$A$4:$A$9999,2)="75"))*BalanceN!$G$4:$G$9999)</f>
        <v>3436978</v>
      </c>
      <c r="L19" s="509">
        <f>SUMPRODUCT(((LEFT('BalanceN-1'!$A$4:$A$9999,2)="75"))*'BalanceN-1'!$H$4:$H$9999)-SUMPRODUCT(((LEFT('BalanceN-1'!$A$4:$A$9999,2)="75"))*'BalanceN-1'!$G$4:$G$9999)</f>
        <v>11486537</v>
      </c>
    </row>
    <row r="20" spans="1:16" s="526" customFormat="1" ht="19.5" customHeight="1" x14ac:dyDescent="0.25">
      <c r="A20" s="449"/>
      <c r="B20" s="449"/>
      <c r="C20" s="449"/>
      <c r="D20" s="449"/>
      <c r="E20" s="517" t="s">
        <v>871</v>
      </c>
      <c r="F20" s="522" t="s">
        <v>951</v>
      </c>
      <c r="G20" s="523"/>
      <c r="H20" s="524"/>
      <c r="I20" s="525" t="s">
        <v>979</v>
      </c>
      <c r="J20" s="517">
        <v>12</v>
      </c>
      <c r="K20" s="507">
        <f>SUMPRODUCT(((LEFT(BalanceN!$A$4:$A$9999,3)="781"))*BalanceN!$H$4:$H$9999)-SUMPRODUCT(((LEFT(BalanceN!$A$4:$A$9999,3)="781"))*BalanceN!$G$4:$G$9999)</f>
        <v>3233550</v>
      </c>
      <c r="L20" s="509">
        <f>SUMPRODUCT(((LEFT('BalanceN-1'!$A$4:$A$9999,3)="781"))*'BalanceN-1'!$H$4:$H$9999)-SUMPRODUCT(((LEFT('BalanceN-1'!$A$4:$A$9999,3)="781"))*'BalanceN-1'!$G$4:$G$9999)</f>
        <v>5817880</v>
      </c>
      <c r="M20" s="449"/>
      <c r="N20" s="449"/>
      <c r="O20" s="449"/>
      <c r="P20" s="449"/>
    </row>
    <row r="21" spans="1:16" ht="20.25" customHeight="1" x14ac:dyDescent="0.25">
      <c r="E21" s="503" t="s">
        <v>843</v>
      </c>
      <c r="F21" s="504" t="s">
        <v>952</v>
      </c>
      <c r="G21" s="505"/>
      <c r="H21" s="510"/>
      <c r="I21" s="511" t="s">
        <v>984</v>
      </c>
      <c r="J21" s="503">
        <v>22</v>
      </c>
      <c r="K21" s="507">
        <f>-SUMPRODUCT(((LEFT(BalanceN!$A$4:$A$9999,3)="602"))*BalanceN!$G$4:$G$9999)+SUMPRODUCT(((LEFT(BalanceN!$A$4:$A$9999,3)="602"))*BalanceN!$H$4:$H$9999)</f>
        <v>-928303692</v>
      </c>
      <c r="L21" s="507">
        <f>-SUMPRODUCT(((LEFT('BalanceN-1'!$A$4:$A$9999,3)="602"))*'BalanceN-1'!$G$4:$G$9999)+SUMPRODUCT(((LEFT('BalanceN-1'!$A$4:$A$9999,3)="602"))*'BalanceN-1'!$H$4:$H$9999)</f>
        <v>-954585472</v>
      </c>
    </row>
    <row r="22" spans="1:16" s="526" customFormat="1" ht="23.25" customHeight="1" x14ac:dyDescent="0.25">
      <c r="A22" s="449"/>
      <c r="B22" s="449"/>
      <c r="C22" s="449"/>
      <c r="D22" s="449"/>
      <c r="E22" s="517" t="s">
        <v>844</v>
      </c>
      <c r="F22" s="2018" t="s">
        <v>953</v>
      </c>
      <c r="G22" s="2019"/>
      <c r="H22" s="2020"/>
      <c r="I22" s="517" t="s">
        <v>985</v>
      </c>
      <c r="J22" s="517">
        <v>6</v>
      </c>
      <c r="K22" s="507">
        <f>-SUMPRODUCT(((LEFT(BalanceN!$A$4:$A$9999,4)="6032"))*BalanceN!$G$4:$G$9999)+SUMPRODUCT(((LEFT(BalanceN!$A$4:$A$9999,4)="6032"))*BalanceN!$H$4:$H$9999)</f>
        <v>106416</v>
      </c>
      <c r="L22" s="507">
        <f>-SUMPRODUCT(((LEFT('BalanceN-1'!$A$4:$A$9999,4)="6032"))*'BalanceN-1'!$G$4:$G$9999)+SUMPRODUCT(((LEFT('BalanceN-1'!$A$4:$A$9999,4)="6032"))*'BalanceN-1'!$H$4:$H$9999)</f>
        <v>-2830600</v>
      </c>
      <c r="M22" s="449"/>
      <c r="N22" s="449"/>
      <c r="O22" s="449"/>
      <c r="P22" s="449"/>
    </row>
    <row r="23" spans="1:16" s="526" customFormat="1" ht="20.25" customHeight="1" x14ac:dyDescent="0.25">
      <c r="A23" s="449"/>
      <c r="B23" s="449"/>
      <c r="C23" s="449"/>
      <c r="D23" s="449"/>
      <c r="E23" s="517" t="s">
        <v>845</v>
      </c>
      <c r="F23" s="2015" t="s">
        <v>954</v>
      </c>
      <c r="G23" s="2016"/>
      <c r="H23" s="2017"/>
      <c r="I23" s="527" t="s">
        <v>986</v>
      </c>
      <c r="J23" s="528">
        <v>22</v>
      </c>
      <c r="K23" s="507">
        <f>-SUMPRODUCT(((LEFT(BalanceN!$A$4:$A$9999,3)="604")+(LEFT(BalanceN!$A$4:$A$9999,3)="605")+(LEFT(BalanceN!$A$4:$A$9999,3)="608"))*BalanceN!$G$4:$G$9999)+SUMPRODUCT(((LEFT(BalanceN!$A$4:$A$9999,3)="604")+(LEFT(BalanceN!$A$4:$A$9999,3)="605")+(LEFT(BalanceN!$A$4:$A$9999,3)="608"))*BalanceN!$H$4:$H$9999)</f>
        <v>-158266959</v>
      </c>
      <c r="L23" s="507">
        <f>-SUMPRODUCT(((LEFT('BalanceN-1'!$A$4:$A$9999,3)="604")+(LEFT('BalanceN-1'!$A$4:$A$9999,3)="605")+(LEFT('BalanceN-1'!$A$4:$A$9999,3)="608"))*'BalanceN-1'!$G$4:$G$9999)+SUMPRODUCT(((LEFT('BalanceN-1'!$A$4:$A$9999,3)="604")+(LEFT('BalanceN-1'!$A$4:$A$9999,3)="605")+(LEFT('BalanceN-1'!$A$4:$A$9999,3)="608"))*'BalanceN-1'!$H$4:$H$9999)</f>
        <v>-161120517</v>
      </c>
      <c r="M23" s="449"/>
      <c r="N23" s="449"/>
      <c r="O23" s="449"/>
      <c r="P23" s="449"/>
    </row>
    <row r="24" spans="1:16" ht="20.100000000000001" customHeight="1" x14ac:dyDescent="0.25">
      <c r="E24" s="503" t="s">
        <v>863</v>
      </c>
      <c r="F24" s="504" t="s">
        <v>955</v>
      </c>
      <c r="G24" s="505"/>
      <c r="H24" s="510"/>
      <c r="I24" s="511" t="s">
        <v>985</v>
      </c>
      <c r="J24" s="503">
        <v>6</v>
      </c>
      <c r="K24" s="507">
        <f>-SUMPRODUCT(((LEFT(BalanceN!$A$4:$A$9999,4)="6033"))*BalanceN!$G$4:$G$9999)+SUMPRODUCT(((LEFT(BalanceN!$A$4:$A$9999,4)="6033"))*BalanceN!$H$4:$H$9999)</f>
        <v>-2414711</v>
      </c>
      <c r="L24" s="507">
        <f>-SUMPRODUCT(((LEFT('BalanceN-1'!$A$4:$A$9999,4)="6033"))*'BalanceN-1'!$G$4:$G$9999)+SUMPRODUCT(((LEFT('BalanceN-1'!$A$4:$A$9999,4)="6033"))*'BalanceN-1'!$H$4:$H$9999)</f>
        <v>1884647</v>
      </c>
    </row>
    <row r="25" spans="1:16" ht="20.100000000000001" customHeight="1" x14ac:dyDescent="0.25">
      <c r="E25" s="420" t="s">
        <v>864</v>
      </c>
      <c r="F25" s="423" t="s">
        <v>956</v>
      </c>
      <c r="G25" s="424"/>
      <c r="H25" s="425"/>
      <c r="I25" s="529" t="s">
        <v>984</v>
      </c>
      <c r="J25" s="420">
        <v>23</v>
      </c>
      <c r="K25" s="507">
        <f>-SUMPRODUCT(((LEFT(BalanceN!$A$4:$A$9999,2)="61"))*BalanceN!$G$4:$G$9999)+SUMPRODUCT(((LEFT(BalanceN!$A$4:$A$9999,2)="61"))*BalanceN!$H$4:$H$9999)</f>
        <v>-329146672</v>
      </c>
      <c r="L25" s="507">
        <f>-SUMPRODUCT(((LEFT('BalanceN-1'!$A$4:$A$9999,2)="61")-(LEFT('BalanceN-1'!$A$4:$A$9999,3)="611"))*'BalanceN-1'!$G$4:$G$9999)+SUMPRODUCT(((LEFT('BalanceN-1'!$A$4:$A$9999,2)="61")-(LEFT('BalanceN-1'!$A$4:$A$9999,3)="611"))*'BalanceN-1'!$H$4:$H$9999)</f>
        <v>-329073556</v>
      </c>
    </row>
    <row r="26" spans="1:16" ht="20.100000000000001" customHeight="1" x14ac:dyDescent="0.25">
      <c r="E26" s="503" t="s">
        <v>846</v>
      </c>
      <c r="F26" s="504" t="s">
        <v>957</v>
      </c>
      <c r="G26" s="505"/>
      <c r="H26" s="510"/>
      <c r="I26" s="511" t="s">
        <v>984</v>
      </c>
      <c r="J26" s="503">
        <v>24</v>
      </c>
      <c r="K26" s="507">
        <f>-SUMPRODUCT(((LEFT(BalanceN!$A$4:$A$9999,2)="62")+(LEFT(BalanceN!$A$4:$A$9999,2)="63"))*BalanceN!$G$4:$G$9999)+SUMPRODUCT(((LEFT(BalanceN!$A$4:$A$9999,2)="62")+(LEFT(BalanceN!$A$4:$A$9999,2)="63"))*BalanceN!$H$4:$H$9999)</f>
        <v>-72599329</v>
      </c>
      <c r="L26" s="507">
        <f>-SUMPRODUCT(((LEFT('BalanceN-1'!$A$4:$A$9999,2)="62")+(LEFT('BalanceN-1'!$A$4:$A$9999,2)="63")-(LEFT('BalanceN-1'!$A$4:$A$9999,4)="6235")-(LEFT('BalanceN-1'!$A$4:$A$9999,4)="6256")-(LEFT('BalanceN-1'!$A$4:$A$9999,4)="6321")-(LEFT('BalanceN-1'!$A$4:$A$9999,4)="6323"))*'BalanceN-1'!$G$4:$G$9999)+SUMPRODUCT(((LEFT('BalanceN-1'!$A$4:$A$9999,2)="62")+(LEFT('BalanceN-1'!$A$4:$A$9999,2)="63")-(LEFT('BalanceN-1'!$A$4:$A$9999,4)="6235")-(LEFT('BalanceN-1'!$A$4:$A$9999,4)="6256")-(LEFT('BalanceN-1'!$A$4:$A$9999,4)="6321")-(LEFT('BalanceN-1'!$A$4:$A$9999,4)="6323"))*'BalanceN-1'!$H$4:$H$9999)</f>
        <v>-60787379</v>
      </c>
    </row>
    <row r="27" spans="1:16" ht="20.100000000000001" customHeight="1" x14ac:dyDescent="0.25">
      <c r="E27" s="503" t="s">
        <v>847</v>
      </c>
      <c r="F27" s="504" t="s">
        <v>958</v>
      </c>
      <c r="G27" s="505"/>
      <c r="H27" s="510"/>
      <c r="I27" s="511" t="s">
        <v>984</v>
      </c>
      <c r="J27" s="503">
        <v>25</v>
      </c>
      <c r="K27" s="507">
        <f>-SUMPRODUCT(((LEFT(BalanceN!$A$4:$A$9999,2)="64"))*BalanceN!$G$4:$G$9999)+SUMPRODUCT(((LEFT(BalanceN!$A$4:$A$9999,2)="64"))*BalanceN!$H$4:$H$9999)</f>
        <v>-3135200</v>
      </c>
      <c r="L27" s="507">
        <f>-SUMPRODUCT(((LEFT('BalanceN-1'!$A$4:$A$9999,2)="64"))*'BalanceN-1'!$G$4:$G$9999)+SUMPRODUCT(((LEFT('BalanceN-1'!$A$4:$A$9999,2)="64"))*'BalanceN-1'!$H$4:$H$9999)</f>
        <v>-110000</v>
      </c>
    </row>
    <row r="28" spans="1:16" ht="20.100000000000001" customHeight="1" x14ac:dyDescent="0.25">
      <c r="E28" s="503" t="s">
        <v>848</v>
      </c>
      <c r="F28" s="504" t="s">
        <v>959</v>
      </c>
      <c r="G28" s="505"/>
      <c r="H28" s="510"/>
      <c r="I28" s="511" t="s">
        <v>984</v>
      </c>
      <c r="J28" s="503">
        <v>26</v>
      </c>
      <c r="K28" s="507">
        <f>-SUMPRODUCT(((LEFT(BalanceN!$A$4:$A$9999,2)="65"))*BalanceN!$G$4:$G$9999)+SUMPRODUCT(((LEFT(BalanceN!$A$4:$A$9999,2)="65"))*BalanceN!$H$4:$H$9999)</f>
        <v>-4263929</v>
      </c>
      <c r="L28" s="507">
        <f>-SUMPRODUCT(((LEFT('BalanceN-1'!$A$4:$A$9999,2)="65"))*'BalanceN-1'!$G$4:$G$9999)+SUMPRODUCT(((LEFT('BalanceN-1'!$A$4:$A$9999,2)="65"))*'BalanceN-1'!$H$4:$H$9999)</f>
        <v>-67670</v>
      </c>
    </row>
    <row r="29" spans="1:16" s="514" customFormat="1" ht="20.100000000000001" customHeight="1" x14ac:dyDescent="0.25">
      <c r="A29" s="412"/>
      <c r="B29" s="412"/>
      <c r="C29" s="412"/>
      <c r="D29" s="412"/>
      <c r="E29" s="413" t="s">
        <v>936</v>
      </c>
      <c r="F29" s="414" t="s">
        <v>960</v>
      </c>
      <c r="G29" s="415"/>
      <c r="H29" s="416"/>
      <c r="I29" s="512"/>
      <c r="J29" s="413"/>
      <c r="K29" s="443">
        <f>SUM(K16:K28,K15,K9,K10)</f>
        <v>485093197</v>
      </c>
      <c r="L29" s="443">
        <f>SUM(L16:L28,L15,L9,L10)</f>
        <v>382440760</v>
      </c>
      <c r="M29" s="412"/>
      <c r="N29" s="412"/>
      <c r="O29" s="412"/>
      <c r="P29" s="412"/>
    </row>
    <row r="30" spans="1:16" ht="20.100000000000001" customHeight="1" x14ac:dyDescent="0.25">
      <c r="E30" s="503" t="s">
        <v>849</v>
      </c>
      <c r="F30" s="504" t="s">
        <v>961</v>
      </c>
      <c r="G30" s="505"/>
      <c r="H30" s="510"/>
      <c r="I30" s="511" t="s">
        <v>984</v>
      </c>
      <c r="J30" s="503">
        <v>27</v>
      </c>
      <c r="K30" s="507">
        <f>-SUMPRODUCT(((LEFT(BalanceN!$A$4:$A$9999,2)="66"))*BalanceN!$G$4:$G$9999)+SUMPRODUCT(((LEFT(BalanceN!$A$4:$A$9999,2)="66"))*BalanceN!$H$4:$H$9999)</f>
        <v>-218217093</v>
      </c>
      <c r="L30" s="509">
        <f>-SUMPRODUCT(((LEFT('BalanceN-1'!$A$4:$A$9999,2)="66"))*'BalanceN-1'!$G$4:$G$9999)+SUMPRODUCT(((LEFT('BalanceN-1'!$A$4:$A$9999,2)="66"))*'BalanceN-1'!$H$4:$H$9999)</f>
        <v>-208852251</v>
      </c>
    </row>
    <row r="31" spans="1:16" s="514" customFormat="1" ht="20.100000000000001" customHeight="1" x14ac:dyDescent="0.25">
      <c r="A31" s="412"/>
      <c r="B31" s="412"/>
      <c r="C31" s="412"/>
      <c r="D31" s="412"/>
      <c r="E31" s="413" t="s">
        <v>937</v>
      </c>
      <c r="F31" s="414" t="s">
        <v>962</v>
      </c>
      <c r="G31" s="415"/>
      <c r="H31" s="416"/>
      <c r="I31" s="512"/>
      <c r="J31" s="413">
        <v>28</v>
      </c>
      <c r="K31" s="443">
        <f>SUM(K29:K30)</f>
        <v>266876104</v>
      </c>
      <c r="L31" s="443">
        <f>SUM(L29:L30)</f>
        <v>173588509</v>
      </c>
      <c r="M31" s="412"/>
      <c r="N31" s="412"/>
      <c r="O31" s="412"/>
      <c r="P31" s="412"/>
    </row>
    <row r="32" spans="1:16" ht="20.100000000000001" customHeight="1" x14ac:dyDescent="0.25">
      <c r="E32" s="503" t="s">
        <v>872</v>
      </c>
      <c r="F32" s="504" t="s">
        <v>963</v>
      </c>
      <c r="G32" s="505"/>
      <c r="H32" s="510"/>
      <c r="I32" s="511" t="s">
        <v>979</v>
      </c>
      <c r="J32" s="503">
        <v>28</v>
      </c>
      <c r="K32" s="507">
        <f>SUMPRODUCT(((LEFT(BalanceN!$A$4:$A$9999,3)="791")+(LEFT(BalanceN!$A$4:$A$9999,3)="798")+(LEFT(BalanceN!$A$4:$A$9999,3)="799"))*BalanceN!$H$4:$H$9999)</f>
        <v>0</v>
      </c>
      <c r="L32" s="507">
        <f>SUMPRODUCT(((LEFT('BalanceN-1'!$A$4:$A$9999,3)="791")+(LEFT('BalanceN-1'!$A$4:$A$9999,3)="798")+(LEFT('BalanceN-1'!$A$4:$A$9999,3)="799"))*'BalanceN-1'!$H$4:$H$9999)</f>
        <v>0</v>
      </c>
    </row>
    <row r="33" spans="1:16" ht="20.100000000000001" customHeight="1" x14ac:dyDescent="0.25">
      <c r="E33" s="503" t="s">
        <v>850</v>
      </c>
      <c r="F33" s="504" t="s">
        <v>964</v>
      </c>
      <c r="G33" s="505"/>
      <c r="H33" s="510"/>
      <c r="I33" s="511" t="s">
        <v>984</v>
      </c>
      <c r="J33" s="530" t="s">
        <v>982</v>
      </c>
      <c r="K33" s="507">
        <f>-SUMPRODUCT(((LEFT(BalanceN!$A$4:$A$9999,3)="681")+(LEFT(BalanceN!$A$4:$A$9999,3)="691")-(LEFT(BalanceN!$A$4:$A$9999,4)="6811")-(LEFT(BalanceN!$A$4:$A$9999,4)="6912"))*BalanceN!$G$4:$G$9999)+SUMPRODUCT(((LEFT(BalanceN!$A$4:$A$9999,3)="681")+(LEFT(BalanceN!$A$4:$A$9999,3)="691")-(LEFT(BalanceN!$A$4:$A$9999,4)="6811")-(LEFT(BalanceN!$A$4:$A$9999,4)="6912"))*BalanceN!$H$4:$H$9999)</f>
        <v>-26511313</v>
      </c>
      <c r="L33" s="507">
        <f>-SUMPRODUCT(((LEFT('BalanceN-1'!$A$4:$A$9999,3)="681")+(LEFT('BalanceN-1'!$A$4:$A$9999,3)="691")-(LEFT('BalanceN-1'!$A$4:$A$9999,4)="6811")-(LEFT('BalanceN-1'!$A$4:$A$9999,4)="6912"))*'BalanceN-1'!$G$4:$G$9999)+SUMPRODUCT(((LEFT('BalanceN-1'!$A$4:$A$9999,3)="681")+(LEFT('BalanceN-1'!$A$4:$A$9999,3)="691")-(LEFT('BalanceN-1'!$A$4:$A$9999,4)="6811")-(LEFT('BalanceN-1'!$A$4:$A$9999,4)="6912"))*'BalanceN-1'!$H$4:$H$9999)</f>
        <v>-31615755</v>
      </c>
    </row>
    <row r="34" spans="1:16" s="514" customFormat="1" ht="20.100000000000001" customHeight="1" x14ac:dyDescent="0.25">
      <c r="A34" s="412"/>
      <c r="B34" s="412"/>
      <c r="C34" s="412"/>
      <c r="D34" s="412"/>
      <c r="E34" s="413" t="s">
        <v>938</v>
      </c>
      <c r="F34" s="414" t="s">
        <v>965</v>
      </c>
      <c r="G34" s="415"/>
      <c r="H34" s="416"/>
      <c r="I34" s="512"/>
      <c r="J34" s="413"/>
      <c r="K34" s="443">
        <f>SUM(K31:K33)</f>
        <v>240364791</v>
      </c>
      <c r="L34" s="443">
        <f>SUM(L31:L33)</f>
        <v>141972754</v>
      </c>
      <c r="M34" s="412"/>
      <c r="N34" s="412"/>
      <c r="O34" s="412"/>
      <c r="P34" s="412"/>
    </row>
    <row r="35" spans="1:16" ht="20.100000000000001" customHeight="1" x14ac:dyDescent="0.25">
      <c r="E35" s="503" t="s">
        <v>859</v>
      </c>
      <c r="F35" s="504" t="s">
        <v>966</v>
      </c>
      <c r="G35" s="505"/>
      <c r="H35" s="510"/>
      <c r="I35" s="511" t="s">
        <v>979</v>
      </c>
      <c r="J35" s="503">
        <v>29</v>
      </c>
      <c r="K35" s="507">
        <f>SUMPRODUCT(((LEFT(BalanceN!$A$4:$A$9999,2)="77"))*BalanceN!$H$4:$H$9999)-SUMPRODUCT(((LEFT(BalanceN!$A$4:$A$9999,2)="77"))*BalanceN!$G$4:$G$9999)</f>
        <v>7500000</v>
      </c>
      <c r="L35" s="507">
        <f>SUMPRODUCT(((LEFT('BalanceN-1'!$A$4:$A$9999,2)="77"))*'BalanceN-1'!$H$4:$H$9999)-SUMPRODUCT(((LEFT('BalanceN-1'!$A$4:$A$9999,2)="77"))*'BalanceN-1'!$G$4:$G$9999)</f>
        <v>0</v>
      </c>
    </row>
    <row r="36" spans="1:16" ht="15" customHeight="1" x14ac:dyDescent="0.25">
      <c r="E36" s="503" t="s">
        <v>860</v>
      </c>
      <c r="F36" s="504" t="s">
        <v>967</v>
      </c>
      <c r="G36" s="505"/>
      <c r="H36" s="510"/>
      <c r="I36" s="511" t="s">
        <v>979</v>
      </c>
      <c r="J36" s="503">
        <v>28</v>
      </c>
      <c r="K36" s="507">
        <f>SUMPRODUCT(((LEFT(BalanceN!$A$4:$A$9999,3)="797"))*BalanceN!$H$4:$H$9999)</f>
        <v>0</v>
      </c>
      <c r="L36" s="507">
        <f>SUMPRODUCT(((LEFT('BalanceN-1'!$A$4:$A$9999,3)="797"))*'BalanceN-1'!$H$4:$H$9999)</f>
        <v>0</v>
      </c>
    </row>
    <row r="37" spans="1:16" ht="15.75" customHeight="1" x14ac:dyDescent="0.25">
      <c r="E37" s="503" t="s">
        <v>873</v>
      </c>
      <c r="F37" s="504" t="s">
        <v>968</v>
      </c>
      <c r="G37" s="505"/>
      <c r="H37" s="510"/>
      <c r="I37" s="511" t="s">
        <v>979</v>
      </c>
      <c r="J37" s="503">
        <v>12</v>
      </c>
      <c r="K37" s="507">
        <f>SUMPRODUCT(((LEFT(BalanceN!$A$4:$A$9999,3)="787"))*BalanceN!$H$4:$H$9999)-SUMPRODUCT(((LEFT(BalanceN!$A$4:$A$9999,3)="787"))*BalanceN!$G$4:$G$9999)</f>
        <v>0</v>
      </c>
      <c r="L37" s="507">
        <f>SUMPRODUCT(((LEFT('BalanceN-1'!$A$4:$A$9999,3)="787"))*'BalanceN-1'!$H$4:$H$9999)-SUMPRODUCT(((LEFT('BalanceN-1'!$A$4:$A$9999,3)="787"))*'BalanceN-1'!$G$4:$G$9999)</f>
        <v>0</v>
      </c>
    </row>
    <row r="38" spans="1:16" ht="17.25" customHeight="1" x14ac:dyDescent="0.25">
      <c r="E38" s="503" t="s">
        <v>865</v>
      </c>
      <c r="F38" s="504" t="s">
        <v>969</v>
      </c>
      <c r="G38" s="505"/>
      <c r="H38" s="510"/>
      <c r="I38" s="511" t="s">
        <v>984</v>
      </c>
      <c r="J38" s="503">
        <v>29</v>
      </c>
      <c r="K38" s="507">
        <f>-SUMPRODUCT(((LEFT(BalanceN!$A$4:$A$9999,2)="67"))*BalanceN!$G$4:$G$9999)+SUMPRODUCT(((LEFT(BalanceN!$A$4:$A$9999,2)="67"))*BalanceN!$H$4:$H$9999)</f>
        <v>-3500000</v>
      </c>
      <c r="L38" s="507">
        <f>-SUMPRODUCT(((LEFT('BalanceN-1'!$A$4:$A$9999,2)="67"))*'BalanceN-1'!$G$4:$G$9999)+SUMPRODUCT(((LEFT('BalanceN-1'!$A$4:$A$9999,2)="67"))*'BalanceN-1'!$H$4:$H$9999)</f>
        <v>0</v>
      </c>
    </row>
    <row r="39" spans="1:16" ht="17.25" customHeight="1" x14ac:dyDescent="0.25">
      <c r="E39" s="503" t="s">
        <v>866</v>
      </c>
      <c r="F39" s="504" t="s">
        <v>970</v>
      </c>
      <c r="G39" s="505"/>
      <c r="H39" s="510"/>
      <c r="I39" s="511" t="s">
        <v>984</v>
      </c>
      <c r="J39" s="503" t="s">
        <v>982</v>
      </c>
      <c r="K39" s="507">
        <f>-SUMPRODUCT(((LEFT(BalanceN!$A$4:$A$9999,3)="697"))*BalanceN!$G$4:$G$9999)+SUMPRODUCT(((LEFT(BalanceN!$A$4:$A$9999,3)="697"))*BalanceN!$H$4:$H$9999)</f>
        <v>0</v>
      </c>
      <c r="L39" s="507">
        <f>-SUMPRODUCT(((LEFT('BalanceN-1'!$A$4:$A$9999,3)="697"))*'BalanceN-1'!$G$4:$G$9999)+SUMPRODUCT(((LEFT('BalanceN-1'!$A$4:$A$9999,3)="697"))*'BalanceN-1'!$H$4:$H$9999)</f>
        <v>0</v>
      </c>
    </row>
    <row r="40" spans="1:16" s="514" customFormat="1" ht="17.25" customHeight="1" x14ac:dyDescent="0.25">
      <c r="A40" s="412"/>
      <c r="B40" s="412"/>
      <c r="C40" s="412"/>
      <c r="D40" s="412"/>
      <c r="E40" s="413" t="s">
        <v>939</v>
      </c>
      <c r="F40" s="414" t="s">
        <v>971</v>
      </c>
      <c r="G40" s="415"/>
      <c r="H40" s="416"/>
      <c r="I40" s="512"/>
      <c r="J40" s="413"/>
      <c r="K40" s="443">
        <f>SUM(K35:K39)</f>
        <v>4000000</v>
      </c>
      <c r="L40" s="443">
        <f>SUM(L35:L39)</f>
        <v>0</v>
      </c>
      <c r="M40" s="412"/>
      <c r="N40" s="412"/>
      <c r="O40" s="412"/>
      <c r="P40" s="412"/>
    </row>
    <row r="41" spans="1:16" s="514" customFormat="1" ht="20.100000000000001" customHeight="1" x14ac:dyDescent="0.25">
      <c r="A41" s="412"/>
      <c r="B41" s="412"/>
      <c r="C41" s="412"/>
      <c r="D41" s="412"/>
      <c r="E41" s="413" t="s">
        <v>940</v>
      </c>
      <c r="F41" s="414" t="s">
        <v>972</v>
      </c>
      <c r="G41" s="415"/>
      <c r="H41" s="416"/>
      <c r="I41" s="512"/>
      <c r="J41" s="413"/>
      <c r="K41" s="443">
        <f>SUM(K34,K40)</f>
        <v>244364791</v>
      </c>
      <c r="L41" s="443">
        <f>SUM(L34,L40)</f>
        <v>141972754</v>
      </c>
      <c r="M41" s="412"/>
      <c r="N41" s="412"/>
      <c r="O41" s="412"/>
      <c r="P41" s="412"/>
    </row>
    <row r="42" spans="1:16" ht="16.5" customHeight="1" x14ac:dyDescent="0.25">
      <c r="E42" s="503" t="s">
        <v>874</v>
      </c>
      <c r="F42" s="504" t="s">
        <v>973</v>
      </c>
      <c r="G42" s="505"/>
      <c r="H42" s="510"/>
      <c r="I42" s="511" t="s">
        <v>987</v>
      </c>
      <c r="J42" s="503" t="s">
        <v>983</v>
      </c>
      <c r="K42" s="507">
        <f>SUMPRODUCT(((LEFT(BalanceN!$A$4:$A$9999,2)="82"))*BalanceN!$H$4:$H$9999)-SUMPRODUCT(((LEFT(BalanceN!$A$4:$A$9999,2)="82"))*BalanceN!$G$4:$G$9999)</f>
        <v>127119</v>
      </c>
      <c r="L42" s="507">
        <f>SUMPRODUCT(((LEFT('BalanceN-1'!$A$4:$A$9999,2)="82"))*'BalanceN-1'!$H$4:$H$9999)-SUMPRODUCT(((LEFT('BalanceN-1'!$A$4:$A$9999,2)="82"))*'BalanceN-1'!$G$4:$G$9999)</f>
        <v>350000</v>
      </c>
    </row>
    <row r="43" spans="1:16" ht="20.100000000000001" customHeight="1" x14ac:dyDescent="0.25">
      <c r="E43" s="503" t="s">
        <v>875</v>
      </c>
      <c r="F43" s="504" t="s">
        <v>974</v>
      </c>
      <c r="G43" s="505"/>
      <c r="H43" s="510"/>
      <c r="I43" s="511" t="s">
        <v>979</v>
      </c>
      <c r="J43" s="503">
        <v>30</v>
      </c>
      <c r="K43" s="507">
        <f>SUMPRODUCT(((LEFT(BalanceN!$A$4:$A$9999,2)="84")+(LEFT(BalanceN!$A$4:$A$9999,2)="86")+(LEFT(BalanceN!$A$4:$A$9999,2)="88"))*BalanceN!$H$4:$H$9999)-SUMPRODUCT(((LEFT(BalanceN!$A$4:$A$9999,2)="84")+(LEFT(BalanceN!$A$4:$A$9999,2)="86")+(LEFT(BalanceN!$A$4:$A$9999,2)="88"))*BalanceN!$G$4:$G$9999)</f>
        <v>2000000</v>
      </c>
      <c r="L43" s="507">
        <f>SUMPRODUCT(((LEFT('BalanceN-1'!$A$4:$A$9999,2)="84")+(LEFT('BalanceN-1'!$A$4:$A$9999,2)="86")+(LEFT('BalanceN-1'!$A$4:$A$9999,2)="88"))*'BalanceN-1'!$H$4:$H$9999)-SUMPRODUCT(((LEFT('BalanceN-1'!$A$4:$A$9999,2)="84")+(LEFT('BalanceN-1'!$A$4:$A$9999,2)="86")+(LEFT('BalanceN-1'!$A$4:$A$9999,2)="88"))*'BalanceN-1'!$G$4:$G$9999)</f>
        <v>0</v>
      </c>
    </row>
    <row r="44" spans="1:16" ht="17.25" customHeight="1" x14ac:dyDescent="0.25">
      <c r="E44" s="503" t="s">
        <v>867</v>
      </c>
      <c r="F44" s="504" t="s">
        <v>975</v>
      </c>
      <c r="G44" s="505"/>
      <c r="H44" s="510"/>
      <c r="I44" s="511" t="s">
        <v>984</v>
      </c>
      <c r="J44" s="503" t="s">
        <v>983</v>
      </c>
      <c r="K44" s="507">
        <f>-SUMPRODUCT(((LEFT(BalanceN!$A$4:$A$9999,2)="81"))*BalanceN!$G$4:$G$9999)</f>
        <v>0</v>
      </c>
      <c r="L44" s="507">
        <f>-SUMPRODUCT(((LEFT('BalanceN-1'!$A$4:$A$9999,2)="81"))*'BalanceN-1'!$G$4:$G$9999)</f>
        <v>-291667</v>
      </c>
    </row>
    <row r="45" spans="1:16" ht="15.75" customHeight="1" x14ac:dyDescent="0.25">
      <c r="E45" s="503" t="s">
        <v>851</v>
      </c>
      <c r="F45" s="504" t="s">
        <v>976</v>
      </c>
      <c r="G45" s="505"/>
      <c r="H45" s="510"/>
      <c r="I45" s="511" t="s">
        <v>984</v>
      </c>
      <c r="J45" s="503">
        <v>30</v>
      </c>
      <c r="K45" s="507">
        <f>-SUMPRODUCT(((LEFT(BalanceN!$A$4:$A$9999,2)="83")+(LEFT(BalanceN!$A$4:$A$9999,2)="85"))*BalanceN!$G$4:$G$9999)</f>
        <v>0</v>
      </c>
      <c r="L45" s="507">
        <f>-SUMPRODUCT(((LEFT('BalanceN-1'!$A$4:$A$9999,2)="83")+(LEFT('BalanceN-1'!$A$4:$A$9999,2)="85"))*'BalanceN-1'!$G$4:$G$9999)</f>
        <v>0</v>
      </c>
    </row>
    <row r="46" spans="1:16" s="514" customFormat="1" ht="20.100000000000001" customHeight="1" x14ac:dyDescent="0.25">
      <c r="A46" s="412"/>
      <c r="B46" s="412"/>
      <c r="C46" s="412"/>
      <c r="D46" s="412"/>
      <c r="E46" s="413" t="s">
        <v>941</v>
      </c>
      <c r="F46" s="414" t="s">
        <v>977</v>
      </c>
      <c r="G46" s="415"/>
      <c r="H46" s="416"/>
      <c r="I46" s="512"/>
      <c r="J46" s="413"/>
      <c r="K46" s="443">
        <f>SUM(K42:K45)</f>
        <v>2127119</v>
      </c>
      <c r="L46" s="443">
        <f>SUM(L42:L45)</f>
        <v>58333</v>
      </c>
      <c r="M46" s="412"/>
      <c r="N46" s="412"/>
      <c r="O46" s="412"/>
      <c r="P46" s="412"/>
    </row>
    <row r="47" spans="1:16" x14ac:dyDescent="0.25">
      <c r="E47" s="503" t="s">
        <v>868</v>
      </c>
      <c r="F47" s="504" t="s">
        <v>585</v>
      </c>
      <c r="G47" s="505"/>
      <c r="H47" s="510"/>
      <c r="I47" s="511" t="s">
        <v>984</v>
      </c>
      <c r="J47" s="503">
        <v>30</v>
      </c>
      <c r="K47" s="507">
        <f>-SUMPRODUCT(((LEFT(BalanceN!$A$4:$A$9999,2)="87"))*BalanceN!$G$4:$G$9999)</f>
        <v>0</v>
      </c>
      <c r="L47" s="507">
        <f>-SUMPRODUCT(((LEFT('BalanceN-1'!$A$4:$A$9999,2)="87"))*'BalanceN-1'!$G$4:$G$9999)</f>
        <v>0</v>
      </c>
    </row>
    <row r="48" spans="1:16" ht="16.5" customHeight="1" x14ac:dyDescent="0.25">
      <c r="E48" s="503" t="s">
        <v>852</v>
      </c>
      <c r="F48" s="504" t="s">
        <v>614</v>
      </c>
      <c r="G48" s="505"/>
      <c r="H48" s="510"/>
      <c r="I48" s="511" t="s">
        <v>1049</v>
      </c>
      <c r="J48" s="503"/>
      <c r="K48" s="507">
        <f>-'CALCULS FISCAUX'!G62</f>
        <v>-67660025</v>
      </c>
      <c r="L48" s="507">
        <f>-SUMPRODUCT(((LEFT('BalanceN-1'!$A$4:$A$9999,2)="89"))*'BalanceN-1'!$G$4:$G$9999)</f>
        <v>-23411413</v>
      </c>
    </row>
    <row r="49" spans="1:16" s="514" customFormat="1" ht="20.100000000000001" customHeight="1" x14ac:dyDescent="0.25">
      <c r="A49" s="412"/>
      <c r="B49" s="412"/>
      <c r="C49" s="412"/>
      <c r="D49" s="412"/>
      <c r="E49" s="413" t="s">
        <v>942</v>
      </c>
      <c r="F49" s="414" t="s">
        <v>978</v>
      </c>
      <c r="G49" s="415"/>
      <c r="H49" s="416"/>
      <c r="I49" s="512"/>
      <c r="J49" s="413"/>
      <c r="K49" s="443">
        <f>SUM(K47:K48,K41,K46)</f>
        <v>178831885</v>
      </c>
      <c r="L49" s="443">
        <f>SUM(L47:L48,L41,L46)</f>
        <v>118619674</v>
      </c>
      <c r="M49" s="412"/>
      <c r="N49" s="412"/>
      <c r="O49" s="412"/>
      <c r="P49" s="412"/>
    </row>
    <row r="50" spans="1:16" s="300" customFormat="1" x14ac:dyDescent="0.25">
      <c r="E50" s="455"/>
      <c r="F50" s="456"/>
      <c r="G50" s="456"/>
      <c r="H50" s="456"/>
      <c r="I50" s="455"/>
      <c r="J50" s="455"/>
      <c r="K50" s="459"/>
      <c r="L50" s="531"/>
    </row>
    <row r="51" spans="1:16" s="300" customFormat="1" x14ac:dyDescent="0.25">
      <c r="E51" s="455"/>
      <c r="F51" s="456"/>
      <c r="G51" s="456"/>
      <c r="H51" s="456"/>
      <c r="I51" s="455"/>
      <c r="J51" s="455"/>
      <c r="K51" s="459"/>
      <c r="L51" s="531"/>
    </row>
    <row r="52" spans="1:16" s="300" customFormat="1" x14ac:dyDescent="0.25">
      <c r="E52" s="455"/>
      <c r="F52" s="456"/>
      <c r="G52" s="456"/>
      <c r="H52" s="456"/>
      <c r="I52" s="455"/>
      <c r="J52" s="455"/>
      <c r="K52" s="459"/>
      <c r="L52" s="531"/>
    </row>
    <row r="53" spans="1:16" s="300" customFormat="1" x14ac:dyDescent="0.25">
      <c r="E53" s="455"/>
      <c r="F53" s="456"/>
      <c r="G53" s="456"/>
      <c r="H53" s="456"/>
      <c r="I53" s="455"/>
      <c r="J53" s="455"/>
      <c r="K53" s="459"/>
      <c r="L53" s="531"/>
    </row>
    <row r="54" spans="1:16" s="300" customFormat="1" x14ac:dyDescent="0.25">
      <c r="E54" s="455"/>
      <c r="F54" s="456"/>
      <c r="G54" s="456"/>
      <c r="H54" s="456"/>
      <c r="I54" s="455"/>
      <c r="J54" s="455"/>
      <c r="K54" s="459"/>
      <c r="L54" s="531"/>
    </row>
    <row r="55" spans="1:16" s="300" customFormat="1" x14ac:dyDescent="0.25">
      <c r="E55" s="455"/>
      <c r="F55" s="456"/>
      <c r="G55" s="456"/>
      <c r="H55" s="456"/>
      <c r="I55" s="455"/>
      <c r="J55" s="455"/>
      <c r="K55" s="459"/>
      <c r="L55" s="531"/>
    </row>
    <row r="56" spans="1:16" s="300" customFormat="1" x14ac:dyDescent="0.25">
      <c r="E56" s="455"/>
      <c r="F56" s="456"/>
      <c r="G56" s="456"/>
      <c r="H56" s="456"/>
      <c r="I56" s="455"/>
      <c r="J56" s="455"/>
      <c r="K56" s="459"/>
      <c r="L56" s="531"/>
    </row>
    <row r="57" spans="1:16" s="300" customFormat="1" x14ac:dyDescent="0.25">
      <c r="E57" s="455"/>
      <c r="F57" s="456"/>
      <c r="G57" s="456"/>
      <c r="H57" s="456"/>
      <c r="I57" s="455"/>
      <c r="J57" s="455"/>
      <c r="K57" s="459"/>
      <c r="L57" s="531"/>
    </row>
    <row r="58" spans="1:16" s="300" customFormat="1" x14ac:dyDescent="0.25">
      <c r="E58" s="455"/>
      <c r="F58" s="456"/>
      <c r="G58" s="456"/>
      <c r="H58" s="456"/>
      <c r="I58" s="455"/>
      <c r="J58" s="455"/>
      <c r="K58" s="459"/>
      <c r="L58" s="531"/>
    </row>
    <row r="59" spans="1:16" s="300" customFormat="1" x14ac:dyDescent="0.25">
      <c r="E59" s="455"/>
      <c r="F59" s="456"/>
      <c r="G59" s="456"/>
      <c r="H59" s="456"/>
      <c r="I59" s="455"/>
      <c r="J59" s="455"/>
      <c r="K59" s="459"/>
      <c r="L59" s="531"/>
    </row>
    <row r="60" spans="1:16" s="300" customFormat="1" x14ac:dyDescent="0.25">
      <c r="E60" s="455"/>
      <c r="F60" s="456"/>
      <c r="G60" s="456"/>
      <c r="H60" s="456"/>
      <c r="I60" s="455"/>
      <c r="J60" s="455"/>
      <c r="K60" s="459"/>
      <c r="L60" s="531"/>
    </row>
    <row r="61" spans="1:16" s="300" customFormat="1" x14ac:dyDescent="0.25">
      <c r="E61" s="455"/>
      <c r="F61" s="456"/>
      <c r="G61" s="456"/>
      <c r="H61" s="456"/>
      <c r="I61" s="455"/>
      <c r="J61" s="455"/>
      <c r="K61" s="459"/>
      <c r="L61" s="531"/>
    </row>
    <row r="62" spans="1:16" s="300" customFormat="1" x14ac:dyDescent="0.25">
      <c r="E62" s="455"/>
      <c r="F62" s="456"/>
      <c r="G62" s="456"/>
      <c r="H62" s="456"/>
      <c r="I62" s="455"/>
      <c r="J62" s="455"/>
      <c r="K62" s="459"/>
      <c r="L62" s="531"/>
    </row>
    <row r="63" spans="1:16" s="300" customFormat="1" x14ac:dyDescent="0.25">
      <c r="E63" s="455"/>
      <c r="F63" s="456"/>
      <c r="G63" s="456"/>
      <c r="H63" s="456"/>
      <c r="I63" s="455"/>
      <c r="J63" s="455"/>
      <c r="K63" s="459"/>
      <c r="L63" s="531"/>
    </row>
    <row r="64" spans="1:16" s="300" customFormat="1" x14ac:dyDescent="0.25">
      <c r="E64" s="455"/>
      <c r="F64" s="456"/>
      <c r="G64" s="456"/>
      <c r="H64" s="456"/>
      <c r="I64" s="455"/>
      <c r="J64" s="455"/>
      <c r="K64" s="459"/>
      <c r="L64" s="531"/>
    </row>
    <row r="65" spans="5:12" s="300" customFormat="1" x14ac:dyDescent="0.25">
      <c r="E65" s="455"/>
      <c r="F65" s="456"/>
      <c r="G65" s="456"/>
      <c r="H65" s="456"/>
      <c r="I65" s="455"/>
      <c r="J65" s="455"/>
      <c r="K65" s="459"/>
      <c r="L65" s="531"/>
    </row>
    <row r="66" spans="5:12" s="300" customFormat="1" x14ac:dyDescent="0.25">
      <c r="E66" s="455"/>
      <c r="F66" s="456"/>
      <c r="G66" s="456"/>
      <c r="H66" s="456"/>
      <c r="I66" s="455"/>
      <c r="J66" s="455"/>
      <c r="K66" s="459"/>
      <c r="L66" s="531"/>
    </row>
    <row r="67" spans="5:12" s="300" customFormat="1" x14ac:dyDescent="0.25">
      <c r="E67" s="455"/>
      <c r="F67" s="456"/>
      <c r="G67" s="456"/>
      <c r="H67" s="456"/>
      <c r="I67" s="455"/>
      <c r="J67" s="455"/>
      <c r="K67" s="459"/>
      <c r="L67" s="531"/>
    </row>
    <row r="68" spans="5:12" s="300" customFormat="1" x14ac:dyDescent="0.25">
      <c r="E68" s="455"/>
      <c r="F68" s="456"/>
      <c r="G68" s="456"/>
      <c r="H68" s="456"/>
      <c r="I68" s="455"/>
      <c r="J68" s="455"/>
      <c r="K68" s="459"/>
      <c r="L68" s="531"/>
    </row>
    <row r="69" spans="5:12" s="300" customFormat="1" x14ac:dyDescent="0.25">
      <c r="E69" s="455"/>
      <c r="F69" s="456"/>
      <c r="G69" s="456"/>
      <c r="H69" s="456"/>
      <c r="I69" s="455"/>
      <c r="J69" s="455"/>
      <c r="K69" s="459"/>
      <c r="L69" s="531"/>
    </row>
    <row r="70" spans="5:12" s="300" customFormat="1" x14ac:dyDescent="0.25">
      <c r="E70" s="455"/>
      <c r="F70" s="456"/>
      <c r="G70" s="456"/>
      <c r="H70" s="456"/>
      <c r="I70" s="455"/>
      <c r="J70" s="455"/>
      <c r="K70" s="459"/>
      <c r="L70" s="531"/>
    </row>
    <row r="71" spans="5:12" s="300" customFormat="1" x14ac:dyDescent="0.25">
      <c r="E71" s="455"/>
      <c r="F71" s="456"/>
      <c r="G71" s="456"/>
      <c r="H71" s="456"/>
      <c r="I71" s="455"/>
      <c r="J71" s="455"/>
      <c r="K71" s="459"/>
      <c r="L71" s="531"/>
    </row>
    <row r="72" spans="5:12" s="300" customFormat="1" x14ac:dyDescent="0.25">
      <c r="E72" s="455"/>
      <c r="F72" s="456"/>
      <c r="G72" s="456"/>
      <c r="H72" s="456"/>
      <c r="I72" s="455"/>
      <c r="J72" s="455"/>
      <c r="K72" s="459"/>
      <c r="L72" s="531"/>
    </row>
    <row r="73" spans="5:12" s="300" customFormat="1" x14ac:dyDescent="0.25">
      <c r="E73" s="455"/>
      <c r="F73" s="456"/>
      <c r="G73" s="456"/>
      <c r="H73" s="456"/>
      <c r="I73" s="455"/>
      <c r="J73" s="455"/>
      <c r="K73" s="459"/>
      <c r="L73" s="531"/>
    </row>
    <row r="74" spans="5:12" s="300" customFormat="1" x14ac:dyDescent="0.25">
      <c r="E74" s="455"/>
      <c r="F74" s="456"/>
      <c r="G74" s="456"/>
      <c r="H74" s="456"/>
      <c r="I74" s="455"/>
      <c r="J74" s="455"/>
      <c r="K74" s="459"/>
      <c r="L74" s="531"/>
    </row>
    <row r="75" spans="5:12" s="300" customFormat="1" x14ac:dyDescent="0.25">
      <c r="E75" s="455"/>
      <c r="F75" s="456"/>
      <c r="G75" s="456"/>
      <c r="H75" s="456"/>
      <c r="I75" s="455"/>
      <c r="J75" s="455"/>
      <c r="K75" s="459"/>
      <c r="L75" s="531"/>
    </row>
    <row r="76" spans="5:12" s="300" customFormat="1" x14ac:dyDescent="0.25">
      <c r="E76" s="455"/>
      <c r="F76" s="456"/>
      <c r="G76" s="456"/>
      <c r="H76" s="456"/>
      <c r="I76" s="455"/>
      <c r="J76" s="455"/>
      <c r="K76" s="459"/>
      <c r="L76" s="531"/>
    </row>
    <row r="77" spans="5:12" s="300" customFormat="1" x14ac:dyDescent="0.25">
      <c r="E77" s="455"/>
      <c r="F77" s="456"/>
      <c r="G77" s="456"/>
      <c r="H77" s="456"/>
      <c r="I77" s="455"/>
      <c r="J77" s="455"/>
      <c r="K77" s="459"/>
      <c r="L77" s="531"/>
    </row>
    <row r="78" spans="5:12" s="300" customFormat="1" x14ac:dyDescent="0.25">
      <c r="E78" s="455"/>
      <c r="F78" s="456"/>
      <c r="G78" s="456"/>
      <c r="H78" s="456"/>
      <c r="I78" s="455"/>
      <c r="J78" s="455"/>
      <c r="K78" s="459"/>
      <c r="L78" s="531"/>
    </row>
  </sheetData>
  <sheetProtection algorithmName="SHA-512" hashValue="f4IWoXzrTA0OO63eCS7w0KuAjC4NABKM9q4xW0dn+8bQAnCpBZ8YAvSTaWliuce84aPmDNjbmuqAMtA2vtnHuQ==" saltValue="zb45OdQo7gJLeAf1NT9iCA==" spinCount="100000" sheet="1" formatCells="0" formatColumns="0" formatRows="0" pivotTables="0"/>
  <mergeCells count="12">
    <mergeCell ref="E6:E7"/>
    <mergeCell ref="J6:J7"/>
    <mergeCell ref="F5:H5"/>
    <mergeCell ref="E1:J1"/>
    <mergeCell ref="F23:H23"/>
    <mergeCell ref="F22:H22"/>
    <mergeCell ref="F6:H7"/>
    <mergeCell ref="F12:G12"/>
    <mergeCell ref="F13:G13"/>
    <mergeCell ref="F14:G14"/>
    <mergeCell ref="F9:H9"/>
    <mergeCell ref="F15:H15"/>
  </mergeCells>
  <pageMargins left="0.27559055118110237" right="0" top="0.19685039370078741" bottom="0" header="0" footer="0"/>
  <pageSetup paperSize="9"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6">
    <tabColor rgb="FF00B050"/>
    <pageSetUpPr fitToPage="1"/>
  </sheetPr>
  <dimension ref="A1:XEY54"/>
  <sheetViews>
    <sheetView topLeftCell="A9" zoomScale="90" zoomScaleNormal="90" workbookViewId="0">
      <selection activeCell="H36" sqref="H36"/>
    </sheetView>
  </sheetViews>
  <sheetFormatPr baseColWidth="10" defaultColWidth="0" defaultRowHeight="15" zeroHeight="1" x14ac:dyDescent="0.25"/>
  <cols>
    <col min="1" max="1" width="11.42578125" style="537" customWidth="1"/>
    <col min="2" max="2" width="4.85546875" style="387" customWidth="1"/>
    <col min="3" max="3" width="23" style="388" customWidth="1"/>
    <col min="4" max="4" width="5.85546875" style="388" customWidth="1"/>
    <col min="5" max="5" width="19.140625" style="388" customWidth="1"/>
    <col min="6" max="6" width="20.85546875" style="388" customWidth="1"/>
    <col min="7" max="7" width="4.85546875" style="387" customWidth="1"/>
    <col min="8" max="8" width="6.28515625" style="387" customWidth="1"/>
    <col min="9" max="9" width="16.140625" style="391" customWidth="1"/>
    <col min="10" max="10" width="17" style="390" customWidth="1"/>
    <col min="11" max="11" width="4.7109375" style="537" customWidth="1"/>
    <col min="12" max="13" width="14.85546875" style="537" hidden="1" customWidth="1"/>
    <col min="14" max="14" width="13.85546875" style="537" hidden="1" customWidth="1"/>
    <col min="15" max="16384" width="11.42578125" style="537" hidden="1"/>
  </cols>
  <sheetData>
    <row r="1" spans="1:11" ht="28.5" customHeight="1" x14ac:dyDescent="0.25">
      <c r="B1" s="2034" t="s">
        <v>1039</v>
      </c>
      <c r="C1" s="2035"/>
      <c r="D1" s="2035"/>
      <c r="E1" s="2035"/>
      <c r="F1" s="2035"/>
      <c r="G1" s="2035"/>
      <c r="H1" s="2035"/>
      <c r="I1" s="2035"/>
      <c r="J1" s="2036"/>
    </row>
    <row r="2" spans="1:11" ht="22.5" customHeight="1" x14ac:dyDescent="0.25"/>
    <row r="3" spans="1:11" s="538" customFormat="1" ht="32.25" customHeight="1" x14ac:dyDescent="0.25">
      <c r="B3" s="476" t="s">
        <v>42</v>
      </c>
      <c r="C3" s="477"/>
      <c r="D3" s="2042" t="str">
        <f>INFORMATIONS!B10</f>
        <v>SAM CONSEILS</v>
      </c>
      <c r="E3" s="2042"/>
      <c r="F3" s="2042"/>
      <c r="G3" s="2042"/>
      <c r="H3" s="2037" t="s">
        <v>52</v>
      </c>
      <c r="I3" s="2037"/>
      <c r="J3" s="539">
        <f>INFORMATIONS!D31</f>
        <v>43465</v>
      </c>
    </row>
    <row r="4" spans="1:11" s="538" customFormat="1" ht="19.5" customHeight="1" x14ac:dyDescent="0.25">
      <c r="B4" s="487" t="s">
        <v>43</v>
      </c>
      <c r="C4" s="488"/>
      <c r="D4" s="2041" t="str">
        <f>INFORMATIONS!B24</f>
        <v>00084404X</v>
      </c>
      <c r="E4" s="2041"/>
      <c r="F4" s="2041"/>
      <c r="G4" s="401"/>
      <c r="H4" s="1994" t="s">
        <v>44</v>
      </c>
      <c r="I4" s="1994"/>
      <c r="J4" s="540">
        <f>INFORMATIONS!F34</f>
        <v>12</v>
      </c>
    </row>
    <row r="5" spans="1:11" x14ac:dyDescent="0.25">
      <c r="C5" s="1995"/>
      <c r="D5" s="1995"/>
      <c r="E5" s="1995"/>
      <c r="F5" s="1995"/>
      <c r="G5" s="541"/>
    </row>
    <row r="6" spans="1:11" s="542" customFormat="1" ht="32.25" customHeight="1" x14ac:dyDescent="0.25">
      <c r="B6" s="543" t="s">
        <v>877</v>
      </c>
      <c r="C6" s="2038" t="s">
        <v>1</v>
      </c>
      <c r="D6" s="2039"/>
      <c r="E6" s="2039"/>
      <c r="F6" s="2039"/>
      <c r="G6" s="2040"/>
      <c r="H6" s="543" t="s">
        <v>2</v>
      </c>
      <c r="I6" s="544"/>
      <c r="J6" s="545"/>
    </row>
    <row r="7" spans="1:11" s="546" customFormat="1" ht="33" customHeight="1" x14ac:dyDescent="0.25">
      <c r="B7" s="543" t="s">
        <v>988</v>
      </c>
      <c r="C7" s="2029" t="s">
        <v>1048</v>
      </c>
      <c r="D7" s="2030"/>
      <c r="E7" s="2030"/>
      <c r="F7" s="2031"/>
      <c r="G7" s="547" t="s">
        <v>88</v>
      </c>
      <c r="H7" s="543"/>
      <c r="I7" s="548">
        <f>SUMPRODUCT(((LEFT(BalanceN!$A$4:$A$9999,2)="50")+(LEFT(BalanceN!$A$4:$A$9999,2)="51")+(LEFT(BalanceN!$A$4:$A$9999,2)="52")+(LEFT(BalanceN!$A$4:$A$9999,2)="53")+(LEFT(BalanceN!$A$4:$A$9999,2)="54")+(LEFT(BalanceN!$A$4:$A$9999,2)="55")+(LEFT(BalanceN!$A$4:$A$9999,2)="57")+(LEFT(BalanceN!$A$4:$A$9999,3)="581")+(LEFT(BalanceN!$A$4:$A$9999,3)="582")+(LEFT(BalanceN!$A$4:$A$9999,3)="472"))*BalanceN!$C$4:$C$9999)-SUMPRODUCT(((LEFT(BalanceN!$A$4:$A$9999,2)="52")+(LEFT(BalanceN!$A$4:$A$9999,2)="53")+(LEFT(BalanceN!$A$4:$A$9999,3)="561")+(LEFT(BalanceN!$A$4:$A$9999,3)="566")+(LEFT(BalanceN!$A$4:$A$9999,3)="564")+(LEFT(BalanceN!$A$4:$A$9999,3)="565")+(LEFT(BalanceN!$A$4:$A$9999,3)="472"))*BalanceN!$D$4:$D$9999)</f>
        <v>74584157</v>
      </c>
      <c r="J7" s="549">
        <f>SUMPRODUCT(((LEFT('BalanceN-1'!$A$4:$A$9999,2)="50")+(LEFT('BalanceN-1'!$A$4:$A$9999,2)="51")+(LEFT('BalanceN-1'!$A$4:$A$9999,2)="52")+(LEFT('BalanceN-1'!$A$4:$A$9999,2)="53")+(LEFT('BalanceN-1'!$A$4:$A$9999,2)="54")+(LEFT('BalanceN-1'!$A$4:$A$9999,2)="55")+(LEFT('BalanceN-1'!$A$4:$A$9999,2)="57")+(LEFT('BalanceN-1'!$A$4:$A$9999,3)="581")+(LEFT('BalanceN-1'!$A$4:$A$9999,3)="582")+(LEFT('BalanceN-1'!$A$4:$A$9999,3)="472"))*'BalanceN-1'!$C$4:$C$9999)-SUMPRODUCT(((LEFT('BalanceN-1'!$A$4:$A$9999,2)="52")+(LEFT('BalanceN-1'!$A$4:$A$9999,2)="53")+(LEFT('BalanceN-1'!$A$4:$A$9999,3)="561")+(LEFT('BalanceN-1'!$A$4:$A$9999,3)="566")+(LEFT('BalanceN-1'!$A$4:$A$9999,3)="564")+(LEFT('BalanceN-1'!$A$4:$A$9999,3)="565")+(LEFT('BalanceN-1'!$A$4:$A$9999,3)="472"))*'BalanceN-1'!$D$4:$D$9999)</f>
        <v>33595404</v>
      </c>
    </row>
    <row r="8" spans="1:11" ht="20.100000000000001" customHeight="1" x14ac:dyDescent="0.25">
      <c r="B8" s="420"/>
      <c r="C8" s="2043" t="s">
        <v>1011</v>
      </c>
      <c r="D8" s="2044"/>
      <c r="E8" s="2044"/>
      <c r="F8" s="2045"/>
      <c r="G8" s="550"/>
      <c r="H8" s="420"/>
      <c r="I8" s="551"/>
      <c r="J8" s="552"/>
    </row>
    <row r="9" spans="1:11" ht="21" customHeight="1" x14ac:dyDescent="0.25">
      <c r="B9" s="420" t="s">
        <v>989</v>
      </c>
      <c r="C9" s="423" t="s">
        <v>1012</v>
      </c>
      <c r="D9" s="424"/>
      <c r="E9" s="424"/>
      <c r="F9" s="425"/>
      <c r="G9" s="553"/>
      <c r="H9" s="420"/>
      <c r="I9" s="551">
        <f>'COMPTE DE RESULTAT'!K31+SUMPRODUCT(((LEFT(BalanceN!$A$4:$A$9999,3)="654"))*BalanceN!$G$4:$G$9999)-SUMPRODUCT(((LEFT(BalanceN!$A$4:$A$9999,3)="754"))*BalanceN!$H$4:$H$9999)+'COMPTE DE RESULTAT'!K40+'COMPTE DE RESULTAT'!K43+'COMPTE DE RESULTAT'!K45+'COMPTE DE RESULTAT'!K47+'COMPTE DE RESULTAT'!K48</f>
        <v>205216079</v>
      </c>
      <c r="J9" s="552">
        <f>'COMPTE DE RESULTAT'!L31+SUMPRODUCT(((LEFT('BalanceN-1'!$A$4:$A$9999,3)="654"))*'BalanceN-1'!$G$4:$G$9999)-SUMPRODUCT(((LEFT('BalanceN-1'!$A$4:$A$9999,3)="754"))*'BalanceN-1'!$H$4:$H$9999)+'COMPTE DE RESULTAT'!L40+'COMPTE DE RESULTAT'!L43+'COMPTE DE RESULTAT'!L45+'COMPTE DE RESULTAT'!L47+'COMPTE DE RESULTAT'!L48</f>
        <v>150177096</v>
      </c>
      <c r="K9" s="554"/>
    </row>
    <row r="10" spans="1:11" s="546" customFormat="1" ht="21" customHeight="1" x14ac:dyDescent="0.25">
      <c r="B10" s="420" t="s">
        <v>990</v>
      </c>
      <c r="C10" s="423" t="s">
        <v>1380</v>
      </c>
      <c r="D10" s="424"/>
      <c r="E10" s="424"/>
      <c r="F10" s="425"/>
      <c r="G10" s="553"/>
      <c r="H10" s="420"/>
      <c r="I10" s="551">
        <f>-(BILAN!I24-BILAN!J24-(SUMPRODUCT(((LEFT(BalanceN!$A$4:$A$9999,3)="485"))*BalanceN!$G$4:$G$9999)-SUMPRODUCT(((LEFT(BalanceN!$A$4:$A$9999,3)="485"))*BalanceN!$C$4:$C$9999)))</f>
        <v>-2000000</v>
      </c>
      <c r="J10" s="552">
        <f>-(BILAN!J24-SUMPRODUCT(((LEFT('BalanceN-1'!$A$4:$A$9999,3)="485")+(LEFT('BalanceN-1'!$A$4:$A$9999,3)="488"))*'BalanceN-1'!$C$4:$C$9999)-SUMPRODUCT(((LEFT('BalanceN-1'!$A$4:$A$9999,3)="498"))*'BalanceN-1'!$D$4:$D$9999)-(SUMPRODUCT(((LEFT('BalanceN-1'!$A$4:$A$9999,3)="485"))*'BalanceN-1'!$G$4:$G$9999)-SUMPRODUCT(((LEFT('BalanceN-1'!$A$4:$A$9999,3)="485"))*'BalanceN-1'!$C$4:$C$9999)))</f>
        <v>0</v>
      </c>
    </row>
    <row r="11" spans="1:11" ht="21" customHeight="1" x14ac:dyDescent="0.25">
      <c r="B11" s="420" t="s">
        <v>991</v>
      </c>
      <c r="C11" s="2001" t="s">
        <v>1013</v>
      </c>
      <c r="D11" s="2002"/>
      <c r="E11" s="555"/>
      <c r="F11" s="556"/>
      <c r="G11" s="550"/>
      <c r="H11" s="420"/>
      <c r="I11" s="551">
        <f>-(BILAN!I25-BILAN!J25)</f>
        <v>-2691705</v>
      </c>
      <c r="J11" s="552">
        <f>-(BILAN!J25-SUMPRODUCT(((LEFT('BalanceN-1'!$A$4:$A$9999,2)="31")+(LEFT('BalanceN-1'!$A$4:$A$9999,2)="32")+(LEFT('BalanceN-1'!$A$4:$A$9999,2)="33")+(LEFT('BalanceN-1'!$A$4:$A$9999,2)="34")+(LEFT('BalanceN-1'!$A$4:$A$9999,2)="35")+(LEFT('BalanceN-1'!$A$4:$A$9999,2)="36")+(LEFT('BalanceN-1'!$A$4:$A$9999,2)="37")+(LEFT('BalanceN-1'!$A$4:$A$9999,2)="38"))*'BalanceN-1'!$C$4:$C$9999)-SUMPRODUCT(((LEFT('BalanceN-1'!$A$4:$A$9999,2)="39"))*'BalanceN-1'!$D$4:$D$9999))</f>
        <v>945953</v>
      </c>
    </row>
    <row r="12" spans="1:11" ht="21" customHeight="1" x14ac:dyDescent="0.25">
      <c r="B12" s="420" t="s">
        <v>992</v>
      </c>
      <c r="C12" s="2032" t="s">
        <v>1014</v>
      </c>
      <c r="D12" s="2033"/>
      <c r="E12" s="557"/>
      <c r="F12" s="529"/>
      <c r="G12" s="553"/>
      <c r="H12" s="420"/>
      <c r="I12" s="551">
        <f>-(BILAN!I26-BILAN!J26+SUMPRODUCT(((LEFT(BalanceN!$A$4:$A$9999,4)="4781"))*BalanceN!$G$4:$G$9999)-SUMPRODUCT(((LEFT(BalanceN!$A$4:$A$9999,4)="4791"))*BalanceN!$H$4:$H$9999)-((SUMPRODUCT(((LEFT(BalanceN!$A$4:$A$9999,3)="414")+(LEFT(BalanceN!$A$4:$A$9999,3)="467")+(LEFT(BalanceN!$A$4:$A$9999,3)="458")+(LEFT(BalanceN!$A$4:$A$9999,4)="4494")+(LEFT(BalanceN!$A$4:$A$9999,4)="4751"))*BalanceN!$G$4:$G$9999))-(SUMPRODUCT(((LEFT(BalanceN!$A$4:$A$9999,3)="414")+(LEFT(BalanceN!$A$4:$A$9999,3)="467")+(LEFT(BalanceN!$A$4:$A$9999,3)="458")+(LEFT(BalanceN!$A$4:$A$9999,4)="4494")+(LEFT(BalanceN!$A$4:$A$9999,4)="4751"))*BalanceN!$C$4:$C$9999))))</f>
        <v>-45792222</v>
      </c>
      <c r="J12" s="552">
        <f>-(BILAN!J26-(SUMPRODUCT(((LEFT('BalanceN-1'!$A$4:$A$9999,3)="409"))*'BalanceN-1'!$C$4:$C$9999)-SUMPRODUCT(((LEFT('BalanceN-1'!$A$4:$A$9999,3)="490"))*'BalanceN-1'!$D$4:$D$9999)+SUMPRODUCT(((LEFT('BalanceN-1'!$A$4:$A$9999,2)="41"))*'BalanceN-1'!$C$4:$C$9999)-SUMPRODUCT(((LEFT('BalanceN-1'!$A$4:$A$9999,3)="491"))*'BalanceN-1'!$D$4:$D$9999)+SUMPRODUCT(((LEFT('BalanceN-1'!$A$4:$A$9999,3)="185")+(LEFT('BalanceN-1'!$A$4:$A$9999,2)="42")+(LEFT('BalanceN-1'!$A$4:$A$9999,2)="43")+(LEFT('BalanceN-1'!$A$4:$A$9999,2)="44")+(LEFT('BalanceN-1'!$A$4:$A$9999,2)="45")+(LEFT('BalanceN-1'!$A$4:$A$9999,2)="46")+(LEFT('BalanceN-1'!$A$4:$A$9999,2)="47")-(LEFT('BalanceN-1'!$A$4:$A$9999,3)="478"))*'BalanceN-1'!$C$4:$C$9999)-SUMPRODUCT(((LEFT('BalanceN-1'!$A$4:$A$9999,3)="492")+(LEFT('BalanceN-1'!$A$4:$A$9999,3)="493")+(LEFT('BalanceN-1'!$A$4:$A$9999,3)="494")+(LEFT('BalanceN-1'!$A$4:$A$9999,3)="495")+(LEFT('BalanceN-1'!$A$4:$A$9999,3)="496")+(LEFT('BalanceN-1'!$A$4:$A$9999,3)="497"))*'BalanceN-1'!$D$4:$D$9999))+SUMPRODUCT(((LEFT('BalanceN-1'!$A$4:$A$9999,4)="4781"))*'BalanceN-1'!$G$4:$G$9999)-SUMPRODUCT(((LEFT('BalanceN-1'!$A$4:$A$9999,4)="4791"))*'BalanceN-1'!$H$4:$H$9999)-((SUMPRODUCT(((LEFT('BalanceN-1'!$A$4:$A$9999,3)="414")+(LEFT('BalanceN-1'!$A$4:$A$9999,3)="467")+(LEFT('BalanceN-1'!$A$4:$A$9999,3)="458")+(LEFT('BalanceN-1'!$A$4:$A$9999,4)="4494")+(LEFT('BalanceN-1'!$A$4:$A$9999,4)="4751"))*'BalanceN-1'!$G$4:$G$9999))-(SUMPRODUCT(((LEFT('BalanceN-1'!$A$4:$A$9999,3)="414")+(LEFT('BalanceN-1'!$A$4:$A$9999,3)="467")+(LEFT('BalanceN-1'!$A$4:$A$9999,3)="458")+(LEFT('BalanceN-1'!$A$4:$A$9999,4)="4494")+(LEFT('BalanceN-1'!$A$4:$A$9999,4)="4751"))*'BalanceN-1'!$C$4:$C$9999))))</f>
        <v>-25371738</v>
      </c>
      <c r="K12" s="554"/>
    </row>
    <row r="13" spans="1:11" ht="21" customHeight="1" x14ac:dyDescent="0.25">
      <c r="B13" s="434" t="s">
        <v>993</v>
      </c>
      <c r="C13" s="558" t="s">
        <v>1016</v>
      </c>
      <c r="D13" s="559"/>
      <c r="E13" s="559"/>
      <c r="F13" s="560"/>
      <c r="G13" s="561"/>
      <c r="H13" s="420"/>
      <c r="I13" s="551">
        <f>BILAN!N30-BILAN!O30-SUMPRODUCT(((LEFT(BalanceN!$A$4:$A$9999,4)="4783"))*BalanceN!$G$4:$G$9999)+SUMPRODUCT(((LEFT(BalanceN!$A$4:$A$9999,4)="4793"))*BalanceN!$H$4:$H$9999)-((SUMPRODUCT(((LEFT(BalanceN!$A$4:$A$9999,3)="404")+(LEFT(BalanceN!$A$4:$A$9999,3)="481")+(LEFT(BalanceN!$A$4:$A$9999,3)="482")+(LEFT(BalanceN!$A$4:$A$9999,3)="467")+(LEFT(BalanceN!$A$4:$A$9999,4)="4752")+(LEFT(BalanceN!$A$4:$A$9999,3)="472"))*BalanceN!$H$4:$H$9999))-(SUMPRODUCT(((LEFT(BalanceN!$A$4:$A$9999,3)="404")+(LEFT(BalanceN!$A$4:$A$9999,3)="481")+(LEFT(BalanceN!$A$4:$A$9999,3)="482")+(LEFT(BalanceN!$A$4:$A$9999,3)="467")+(LEFT(BalanceN!$A$4:$A$9999,4)="4752")+(LEFT(BalanceN!$A$4:$A$9999,3)="472"))*BalanceN!$D$4:$D$9999)))</f>
        <v>15502831</v>
      </c>
      <c r="J13" s="552">
        <f>BILAN!O30-(SUMPRODUCT(((LEFT('BalanceN-1'!$A$4:$A$9999,3)="481")+(LEFT('BalanceN-1'!$A$4:$A$9999,3)="482")+(LEFT('BalanceN-1'!$A$4:$A$9999,3)="484")+(LEFT('BalanceN-1'!$A$4:$A$9999,4)="4998"))*'BalanceN-1'!$D$4:$D$9999)+SUMPRODUCT(((LEFT('BalanceN-1'!$A$4:$A$9999,3)="419"))*'BalanceN-1'!$D$4:$D$9999)+SUMPRODUCT(((LEFT('BalanceN-1'!$A$4:$A$9999,2)="40")-(LEFT('BalanceN-1'!$A$4:$A$9999,3)="409"))*'BalanceN-1'!$D$4:$D$9999)+SUMPRODUCT(((LEFT('BalanceN-1'!$A$4:$A$9999,2)="42")+(LEFT('BalanceN-1'!$A$4:$A$9999,2)="43")+(LEFT('BalanceN-1'!$A$4:$A$9999,2)="44"))*'BalanceN-1'!$D$4:$D$9999)+SUMPRODUCT(((LEFT('BalanceN-1'!$A$4:$A$9999,3)="185")+(LEFT('BalanceN-1'!$A$4:$A$9999,2)="45")+(LEFT('BalanceN-1'!$A$4:$A$9999,2)="46")+(LEFT('BalanceN-1'!$A$4:$A$9999,2)="47")-(LEFT('BalanceN-1'!$A$4:$A$9999,3)="479"))*'BalanceN-1'!$D$4:$D$9999)+SUMPRODUCT(((LEFT('BalanceN-1'!$A$4:$A$9999,3)="499")-(LEFT('BalanceN-1'!$A$4:$A$9999,4)="4998")+(LEFT('BalanceN-1'!$A$4:$A$9999,3)="599"))*'BalanceN-1'!$D$4:$D$9999))-SUMPRODUCT(((LEFT('BalanceN-1'!$A$4:$A$9999,4)="4783"))*'BalanceN-1'!$G$4:$G$9999)+SUMPRODUCT(((LEFT('BalanceN-1'!$A$4:$A$9999,4)="4793"))*'BalanceN-1'!$H$4:$H$9999)-((SUMPRODUCT(((LEFT('BalanceN-1'!$A$4:$A$9999,3)="404")+(LEFT('BalanceN-1'!$A$4:$A$9999,3)="481")+(LEFT('BalanceN-1'!$A$4:$A$9999,3)="482")+(LEFT('BalanceN-1'!$A$4:$A$9999,3)="467")+(LEFT('BalanceN-1'!$A$4:$A$9999,4)="4752")+(LEFT('BalanceN-1'!$A$4:$A$9999,3)="472"))*'BalanceN-1'!$H$4:$H$9999))-(SUMPRODUCT(((LEFT('BalanceN-1'!$A$4:$A$9999,3)="404")+(LEFT('BalanceN-1'!$A$4:$A$9999,3)="481")+(LEFT('BalanceN-1'!$A$4:$A$9999,3)="482")+(LEFT('BalanceN-1'!$A$4:$A$9999,3)="467")+(LEFT('BalanceN-1'!$A$4:$A$9999,4)="4752")+(LEFT('BalanceN-1'!$A$4:$A$9999,3)="472"))*'BalanceN-1'!$D$4:$D$9999)))</f>
        <v>-27602541</v>
      </c>
    </row>
    <row r="14" spans="1:11" s="546" customFormat="1" ht="20.25" customHeight="1" x14ac:dyDescent="0.25">
      <c r="B14" s="1903"/>
      <c r="C14" s="2056" t="s">
        <v>1015</v>
      </c>
      <c r="D14" s="2057"/>
      <c r="E14" s="2057"/>
      <c r="F14" s="2058"/>
      <c r="G14" s="2048"/>
      <c r="H14" s="2049"/>
      <c r="I14" s="2049"/>
      <c r="J14" s="2050"/>
    </row>
    <row r="15" spans="1:11" s="565" customFormat="1" ht="14.25" customHeight="1" x14ac:dyDescent="0.25">
      <c r="A15" s="537"/>
      <c r="B15" s="1903"/>
      <c r="C15" s="562"/>
      <c r="D15" s="563"/>
      <c r="E15" s="564">
        <f>-SUM(I10:I13)</f>
        <v>34981096</v>
      </c>
      <c r="F15" s="564">
        <f>-SUM(J10:J13)</f>
        <v>52028326</v>
      </c>
      <c r="G15" s="2051"/>
      <c r="H15" s="2052"/>
      <c r="I15" s="2052"/>
      <c r="J15" s="2053"/>
      <c r="K15" s="554"/>
    </row>
    <row r="16" spans="1:11" s="572" customFormat="1" ht="32.25" customHeight="1" x14ac:dyDescent="0.25">
      <c r="A16" s="546"/>
      <c r="B16" s="566" t="s">
        <v>994</v>
      </c>
      <c r="C16" s="2029" t="s">
        <v>1040</v>
      </c>
      <c r="D16" s="2030"/>
      <c r="E16" s="2054"/>
      <c r="F16" s="2031"/>
      <c r="G16" s="567" t="s">
        <v>109</v>
      </c>
      <c r="H16" s="568"/>
      <c r="I16" s="569">
        <f>SUM(I9:I13)</f>
        <v>170234983</v>
      </c>
      <c r="J16" s="570">
        <f>SUM(J9:J13)</f>
        <v>98148770</v>
      </c>
      <c r="K16" s="571"/>
    </row>
    <row r="17" spans="1:16379" s="565" customFormat="1" ht="21" customHeight="1" x14ac:dyDescent="0.25">
      <c r="A17" s="537"/>
      <c r="B17" s="434" t="s">
        <v>995</v>
      </c>
      <c r="C17" s="437" t="s">
        <v>1017</v>
      </c>
      <c r="D17" s="438"/>
      <c r="E17" s="438"/>
      <c r="F17" s="439"/>
      <c r="G17" s="561"/>
      <c r="H17" s="420"/>
      <c r="I17" s="427">
        <f>-(BILAN!I8-BILAN!J8+((SUMPRODUCT(((LEFT(BalanceN!$A$4:$A$9999,4)="6812")+(LEFT(BalanceN!$A$4:$A$9999,4)="6913"))*BalanceN!$G$4:$G$9999))+SUMPRODUCT(((LEFT(BalanceN!$A$4:$A$9999,3)="811")+(LEFT(BalanceN!$A$4:$A$9999,4)="6541"))*BalanceN!$G$4:$G$9999)-SUMPRODUCT(((LEFT(BalanceN!$A$4:$A$9999,4)="4811")-(LEFT(BalanceN!$A$4:$A$9999,4)="4041"))*BalanceN!$H$4:$H$9999)+(SUMPRODUCT(((LEFT(BalanceN!$A$4:$A$9999,4)="4821"))*BalanceN!$H$4:$H$9999))+SUMPRODUCT(((LEFT(BalanceN!$A$4:$A$9999,3)="251"))*BalanceN!$G$4:$G$9999)-SUMPRODUCT(((LEFT(BalanceN!$A$4:$A$9999,3)="251"))*BalanceN!$C$4:$C$9999)))</f>
        <v>-2000000</v>
      </c>
      <c r="J17" s="552">
        <f>-(BILAN!J8-(SUMPRODUCT(((LEFT('BalanceN-1'!$A$4:$A$9999,3)="211")+(LEFT('BalanceN-1'!$A$4:$A$9999,4)="2181")+(LEFT('BalanceN-1'!$A$4:$A$9999,4)="2191"))*'BalanceN-1'!$C$4:$C$9999)-SUMPRODUCT(((LEFT('BalanceN-1'!$A$4:$A$9999,4)="2811")+(LEFT('BalanceN-1'!$A$4:$A$9999,5)="28181")+(LEFT('BalanceN-1'!$A$4:$A$9999,4)="2911")+(LEFT('BalanceN-1'!$A$4:$A$9999,5)="29181")+(LEFT('BalanceN-1'!$A$4:$A$9999,5)="29191"))*'BalanceN-1'!$D$4:$D$9999)+SUMPRODUCT(((LEFT('BalanceN-1'!$A$4:$A$9999,3)="212")+(LEFT('BalanceN-1'!$A$4:$A$9999,3)="213")+(LEFT('BalanceN-1'!$A$4:$A$9999,3)="214")+(LEFT('BalanceN-1'!$A$4:$A$9999,4)="2193"))*'BalanceN-1'!$C$4:$C$9999)-SUMPRODUCT(((LEFT('BalanceN-1'!$A$4:$A$9999,4)="2812")+(LEFT('BalanceN-1'!$A$4:$A$9999,4)="2813")+(LEFT('BalanceN-1'!$A$4:$A$9999,4)="2814")+(LEFT('BalanceN-1'!$A$4:$A$9999,4)="2912")+(LEFT('BalanceN-1'!$A$4:$A$9999,4)="2913")+(LEFT('BalanceN-1'!$A$4:$A$9999,4)="2914")+(LEFT('BalanceN-1'!$A$4:$A$9999,5)="29193"))*'BalanceN-1'!$D$4:$D$9999)+SUMPRODUCT(((LEFT('BalanceN-1'!$A$4:$A$9999,3)="215")+(LEFT('BalanceN-1'!$A$4:$A$9999,3)="216"))*'BalanceN-1'!$C$4:$C$9999)-SUMPRODUCT(((LEFT('BalanceN-1'!$A$4:$A$9999,4)="2815")+(LEFT('BalanceN-1'!$A$4:$A$9999,4)="2816")+(LEFT('BalanceN-1'!$A$4:$A$9999,4)="2915")+(LEFT('BalanceN-1'!$A$4:$A$9999,4)="2916"))*'BalanceN-1'!$D$4:$D$9999)+SUMPRODUCT(((LEFT('BalanceN-1'!$A$4:$A$9999,3)="217")+(LEFT('BalanceN-1'!$A$4:$A$9999,3)="218")+(LEFT('BalanceN-1'!$A$4:$A$9999,4)="2198")-(LEFT('BalanceN-1'!$A$4:$A$9999,4)="2181"))*'BalanceN-1'!$C$4:$C$9999)-SUMPRODUCT(((LEFT('BalanceN-1'!$A$4:$A$9999,4)="2817")+(LEFT('BalanceN-1'!$A$4:$A$9999,4)="2818")+(LEFT('BalanceN-1'!$A$4:$A$9999,4)="2917")+(LEFT('BalanceN-1'!$A$4:$A$9999,4)="2918")+(LEFT('BalanceN-1'!$A$4:$A$9999,4)="2919")-(LEFT('BalanceN-1'!$A$4:$A$9999,5)="28181")-(LEFT('BalanceN-1'!$A$4:$A$9999,5)="29181")-(LEFT('BalanceN-1'!$A$4:$A$9999,5)="29191")-(LEFT('BalanceN-1'!$A$4:$A$9999,5)="29193"))*'BalanceN-1'!$D$4:$D$9999))++((SUMPRODUCT(((LEFT('BalanceN-1'!$A$4:$A$9999,4)="6812")+(LEFT('BalanceN-1'!$A$4:$A$9999,4)="6913"))*'BalanceN-1'!$G$4:$G$9999))+SUMPRODUCT(((LEFT('BalanceN-1'!$A$4:$A$9999,3)="811")+(LEFT('BalanceN-1'!$A$4:$A$9999,4)="6541"))*'BalanceN-1'!$G$4:$G$9999)-SUMPRODUCT(((LEFT('BalanceN-1'!$A$4:$A$9999,4)="4811")-(LEFT('BalanceN-1'!$A$4:$A$9999,4)="4041"))*'BalanceN-1'!$H$4:$H$9999)+(SUMPRODUCT(((LEFT('BalanceN-1'!$A$4:$A$9999,4)="4821"))*'BalanceN-1'!$H$4:$H$9999))+SUMPRODUCT(((LEFT('BalanceN-1'!$A$4:$A$9999,3)="251"))*'BalanceN-1'!$G$4:$G$9999)-SUMPRODUCT(((LEFT('BalanceN-1'!$A$4:$A$9999,3)="251"))*'BalanceN-1'!$C$4:$C$9999)))</f>
        <v>0</v>
      </c>
      <c r="K17" s="537"/>
    </row>
    <row r="18" spans="1:16379" s="565" customFormat="1" ht="21" customHeight="1" x14ac:dyDescent="0.25">
      <c r="A18" s="537"/>
      <c r="B18" s="420" t="s">
        <v>996</v>
      </c>
      <c r="C18" s="423" t="s">
        <v>1018</v>
      </c>
      <c r="D18" s="424"/>
      <c r="E18" s="424"/>
      <c r="F18" s="425"/>
      <c r="G18" s="553"/>
      <c r="H18" s="573"/>
      <c r="I18" s="427">
        <f>-(BILAN!I13-BILAN!J13+SUMPRODUCT(((LEFT(BalanceN!$A$4:$A$9999,4)="6813")+(LEFT(BalanceN!$A$4:$A$9999,4)="6914"))*BalanceN!$G$4:$G$9999)+SUMPRODUCT(((LEFT(BalanceN!$A$4:$A$9999,3)="812")+(LEFT(BalanceN!$A$4:$A$9999,4)="6542"))*BalanceN!$G$4:$G$9999)-SUMPRODUCT(((LEFT(BalanceN!$A$4:$A$9999,4)="4812")+(LEFT(BalanceN!$A$4:$A$9999,4)="4042")+(LEFT(BalanceN!$A$4:$A$9999,5)="48182"))*BalanceN!$H$4:$H$9999)+SUMPRODUCT(((LEFT(BalanceN!$A$4:$A$9999,4)="4822"))*BalanceN!$H$4:$H$9999)+SUMPRODUCT(((LEFT(BalanceN!$A$4:$A$9999,3)="252"))*BalanceN!$G$4:$G$9999)-SUMPRODUCT(((LEFT(BalanceN!$A$4:$A$9999,3)="252"))*BalanceN!$C$4:$C$9999)-SUMPRODUCT(((LEFT(BalanceN!$A$4:$A$9999,3)="154"))*BalanceN!$H$4:$H$9999)-SUMPRODUCT(((LEFT(BalanceN!$A$4:$A$9999,3)="106"))*BalanceN!$H$4:$H$9999)-SUMPRODUCT(((LEFT(BalanceN!$A$4:$A$9999,2)="17"))*BalanceN!$H$4:$H$9999)-SUMPRODUCT(((LEFT(BalanceN!$A$4:$A$9999,4)="1984"))*BalanceN!$H$4:$H$9999))</f>
        <v>-327218000</v>
      </c>
      <c r="J18" s="552">
        <f>-(BILAN!J13-(SUMPRODUCT(((LEFT('BalanceN-1'!$A$4:$A$9999,2)="22"))*'BalanceN-1'!$C$4:$C$9999)-SUMPRODUCT(((LEFT('BalanceN-1'!$A$4:$A$9999,3)="282")+(LEFT('BalanceN-1'!$A$4:$A$9999,3)="292"))*'BalanceN-1'!$D$4:$D$9999)+SUMPRODUCT(((LEFT('BalanceN-1'!$A$4:$A$9999,3)="231")+(LEFT('BalanceN-1'!$A$4:$A$9999,3)="232")+(LEFT('BalanceN-1'!$A$4:$A$9999,3)="233")+(LEFT('BalanceN-1'!$A$4:$A$9999,3)="237")+(LEFT('BalanceN-1'!$A$4:$A$9999,4)="2391"))*'BalanceN-1'!$C$4:$C$9999)-SUMPRODUCT(((LEFT('BalanceN-1'!$A$4:$A$9999,4)="2831")+(LEFT('BalanceN-1'!$A$4:$A$9999,4)="2832")+(LEFT('BalanceN-1'!$A$4:$A$9999,4)="2833")+(LEFT('BalanceN-1'!$A$4:$A$9999,4)="2837")+(LEFT('BalanceN-1'!$A$4:$A$9999,4)="2931")+(LEFT('BalanceN-1'!$A$4:$A$9999,4)="2932")+(LEFT('BalanceN-1'!$A$4:$A$9999,4)="2933")+(LEFT('BalanceN-1'!$A$4:$A$9999,4)="2937")+(LEFT('BalanceN-1'!$A$4:$A$9999,5)="29391"))*'BalanceN-1'!$D$4:$D$9999)+SUMPRODUCT(((LEFT('BalanceN-1'!$A$4:$A$9999,3)="234")+(LEFT('BalanceN-1'!$A$4:$A$9999,3)="235")+(LEFT('BalanceN-1'!$A$4:$A$9999,3)="238")+(LEFT('BalanceN-1'!$A$4:$A$9999,4)="2392")+(LEFT('BalanceN-1'!$A$4:$A$9999,4)="2393"))*'BalanceN-1'!$C$4:$C$9999)-SUMPRODUCT(((LEFT('BalanceN-1'!$A$4:$A$9999,4)="2834")+(LEFT('BalanceN-1'!$A$4:$A$9999,4)="2835")+(LEFT('BalanceN-1'!$A$4:$A$9999,4)="2838")+(LEFT('BalanceN-1'!$A$4:$A$9999,4)="2934")+(LEFT('BalanceN-1'!$A$4:$A$9999,4)="2935")+(LEFT('BalanceN-1'!$A$4:$A$9999,4)="2938")+(LEFT('BalanceN-1'!$A$4:$A$9999,5)="29392")+(LEFT('BalanceN-1'!$A$4:$A$9999,5)="29393"))*'BalanceN-1'!$D$4:$D$9999)+SUMPRODUCT(((LEFT('BalanceN-1'!$A$4:$A$9999,2)="24")-(LEFT('BalanceN-1'!$A$4:$A$9999,3)="245")-(LEFT('BalanceN-1'!$A$4:$A$9999,4)="2495"))*'BalanceN-1'!$C$4:$C$9999)-SUMPRODUCT(((LEFT('BalanceN-1'!$A$4:$A$9999,3)="284")+(LEFT('BalanceN-1'!$A$4:$A$9999,3)="294")-(LEFT('BalanceN-1'!$A$4:$A$9999,4)="2845")-(LEFT('BalanceN-1'!$A$4:$A$9999,4)="2945")-(LEFT('BalanceN-1'!$A$4:$A$9999,5)="29495"))*'BalanceN-1'!$D$4:$D$9999)+SUMPRODUCT(((LEFT('BalanceN-1'!$A$4:$A$9999,3)="245")+(LEFT('BalanceN-1'!$A$4:$A$9999,4)="2495"))*'BalanceN-1'!$C$4:$C$9999)-SUMPRODUCT(((LEFT('BalanceN-1'!$A$4:$A$9999,4)="2845")+(LEFT('BalanceN-1'!$A$4:$A$9999,4)="2945")+(LEFT('BalanceN-1'!$A$4:$A$9999,5)="29495"))*'BalanceN-1'!$D$4:$D$9999)+SUMPRODUCT(((LEFT('BalanceN-1'!$A$4:$A$9999,3)="252"))*'BalanceN-1'!$G$4:$G$9999)-SUMPRODUCT(((LEFT('BalanceN-1'!$A$4:$A$9999,3)="252"))*'BalanceN-1'!$C$4:$C$9999))+(SUMPRODUCT(((LEFT('BalanceN-1'!$A$4:$A$9999,4)="6813")+(LEFT('BalanceN-1'!$A$4:$A$9999,4)="6914"))*'BalanceN-1'!$G$4:$G$9999)+SUMPRODUCT(((LEFT('BalanceN-1'!$A$4:$A$9999,3)="812")+(LEFT('BalanceN-1'!$A$4:$A$9999,4)="6542"))*'BalanceN-1'!$G$4:$G$9999)-SUMPRODUCT(((LEFT('BalanceN-1'!$A$4:$A$9999,4)="4812")+(LEFT('BalanceN-1'!$A$4:$A$9999,5)="48182")+(LEFT('BalanceN-1'!$A$4:$A$9999,4)="4042"))*'BalanceN-1'!$H$4:$H$9999)+SUMPRODUCT(((LEFT('BalanceN-1'!$A$4:$A$9999,4)="4822"))*'BalanceN-1'!$E$4:$E$9999)+SUMPRODUCT(((LEFT('BalanceN-1'!$A$4:$A$9999,3)="252"))*'BalanceN-1'!$G$4:$G$9999)-SUMPRODUCT(((LEFT('BalanceN-1'!$A$4:$A$9999,3)="252"))*'BalanceN-1'!$C$4:$C$9999)-SUMPRODUCT(((LEFT('BalanceN-1'!$A$4:$A$9999,3)="154"))*'BalanceN-1'!$H$4:$H$9999)-SUMPRODUCT(((LEFT('BalanceN-1'!$A$4:$A$9999,3)="106"))*'BalanceN-1'!$H$4:$H$9999)-SUMPRODUCT(((LEFT('BalanceN-1'!$A$4:$A$9999,2)="17"))*'BalanceN-1'!$H$4:$H$9999)-SUMPRODUCT(((LEFT('BalanceN-1'!$A$4:$A$9999,4)="1984"))*'BalanceN-1'!$H$4:$H$9999)))</f>
        <v>-17971503</v>
      </c>
      <c r="K18" s="554"/>
      <c r="L18" s="574"/>
    </row>
    <row r="19" spans="1:16379" s="565" customFormat="1" ht="21" customHeight="1" x14ac:dyDescent="0.25">
      <c r="A19" s="537"/>
      <c r="B19" s="420" t="s">
        <v>997</v>
      </c>
      <c r="C19" s="423" t="s">
        <v>1019</v>
      </c>
      <c r="D19" s="424"/>
      <c r="E19" s="424"/>
      <c r="F19" s="425"/>
      <c r="G19" s="553"/>
      <c r="H19" s="573"/>
      <c r="I19" s="427">
        <f>-(BILAN!I20-BILAN!J20+SUMPRODUCT(((LEFT(BalanceN!$A$4:$A$9999,3)="697"))*BalanceN!$G$4:$G$9999)-SUMPRODUCT(((LEFT(BalanceN!$A$4:$A$9999,3)="697"))*BalanceN!$H$4:$H$9999)+SUMPRODUCT(((LEFT(BalanceN!$A$4:$A$9999,3)="816"))*BalanceN!$G$4:$G$9999)-SUMPRODUCT(((LEFT(BalanceN!$A$4:$A$9999,4)="4813"))*BalanceN!$H$4:$H$9999)+SUMPRODUCT(((LEFT(BalanceN!$A$4:$A$9999,2)="27"))*BalanceN!$F$4:$F$9999)-SUMPRODUCT(((LEFT(BalanceN!$A$4:$A$9999,3)="274"))*BalanceN!$F$4:$F$9999))</f>
        <v>-601175</v>
      </c>
      <c r="J19" s="552">
        <f>-(BILAN!J20-(SUMPRODUCT(((LEFT('BalanceN-1'!$A$4:$A$9999,2)="26"))*'BalanceN-1'!$C$4:$C$9999)-SUMPRODUCT(((LEFT('BalanceN-1'!$A$4:$A$9999,3)="296"))*'BalanceN-1'!$D$4:$D$9999)+SUMPRODUCT(((LEFT('BalanceN-1'!$A$4:$A$9999,2)="27"))*'BalanceN-1'!$C$4:$C$9999)-SUMPRODUCT(((LEFT('BalanceN-1'!$A$4:$A$9999,3)="297"))*'BalanceN-1'!$D$4:$D$9999))+SUMPRODUCT(((LEFT('BalanceN-1'!$A$4:$A$9999,3)="697"))*'BalanceN-1'!$G$4:$G$9999)-SUMPRODUCT(((LEFT('BalanceN-1'!$A$4:$A$9999,3)="697"))*'BalanceN-1'!$H$4:$H$9999)+SUMPRODUCT(((LEFT('BalanceN-1'!$A$4:$A$9999,3)="816"))*'BalanceN-1'!$G$4:$G$9999)-SUMPRODUCT(((LEFT('BalanceN-1'!$A$4:$A$9999,4)="4813"))*'BalanceN-1'!$H$4:$H$9999)+SUMPRODUCT(((LEFT('BalanceN-1'!$A$4:$A$9999,2)="27"))*'BalanceN-1'!$F$4:$F$9999)-SUMPRODUCT(((LEFT('BalanceN-1'!$A$4:$A$9999,3)="274"))*'BalanceN-1'!$F$4:$F$9999))</f>
        <v>-958379</v>
      </c>
      <c r="K19" s="554"/>
    </row>
    <row r="20" spans="1:16379" s="577" customFormat="1" ht="31.5" customHeight="1" x14ac:dyDescent="0.25">
      <c r="A20" s="575"/>
      <c r="B20" s="434" t="s">
        <v>998</v>
      </c>
      <c r="C20" s="1998" t="s">
        <v>1020</v>
      </c>
      <c r="D20" s="1999"/>
      <c r="E20" s="1999"/>
      <c r="F20" s="2000"/>
      <c r="G20" s="561"/>
      <c r="H20" s="434"/>
      <c r="I20" s="427">
        <f>SUMPRODUCT(((LEFT(BalanceN!$A$4:$A$9999,2)="82")-(LEFT(BalanceN!$A$4:$A$9999,3)="826")+(LEFT(BalanceN!$A$4:$A$9999,3)="754"))*BalanceN!$H$4:$H$9999)-SUMPRODUCT(((LEFT(BalanceN!$A$4:$A$9999,3)="485")+(LEFT(BalanceN!$A$4:$A$9999,4)="4856")-(LEFT(BalanceN!$A$4:$A$9999,3)="414"))*BalanceN!$E$4:$E$9999)+SUMPRODUCT(((LEFT(BalanceN!$A$4:$A$9999,3)="485")-(LEFT(BalanceN!$A$4:$A$9999,4)="4856")-(LEFT(BalanceN!$A$4:$A$9999,3)="414"))*BalanceN!$F$4:$F$9999)</f>
        <v>367119</v>
      </c>
      <c r="J20" s="507">
        <f>SUMPRODUCT(((LEFT('BalanceN-1'!$A$4:$A$9999,2)="82")-(LEFT('BalanceN-1'!$A$4:$A$9999,3)="826")+(LEFT('BalanceN-1'!$A$4:$A$9999,3)="754"))*'BalanceN-1'!$H$4:$H$9999)-SUMPRODUCT(((LEFT('BalanceN-1'!$A$4:$A$9999,3)="485")+(LEFT('BalanceN-1'!$A$4:$A$9999,4)="4856")-(LEFT('BalanceN-1'!$A$4:$A$9999,3)="414"))*'BalanceN-1'!$E$4:$E$9999)+SUMPRODUCT(((LEFT('BalanceN-1'!$A$4:$A$9999,3)="485")-(LEFT('BalanceN-1'!$A$4:$A$9999,4)="4856")-(LEFT('BalanceN-1'!$A$4:$A$9999,3)="414"))*'BalanceN-1'!$F$4:$F$9999)</f>
        <v>590000</v>
      </c>
      <c r="K20" s="576"/>
    </row>
    <row r="21" spans="1:16379" ht="21" customHeight="1" x14ac:dyDescent="0.25">
      <c r="B21" s="420" t="s">
        <v>999</v>
      </c>
      <c r="C21" s="423" t="s">
        <v>1021</v>
      </c>
      <c r="D21" s="424"/>
      <c r="E21" s="424"/>
      <c r="F21" s="425"/>
      <c r="G21" s="553"/>
      <c r="H21" s="420"/>
      <c r="I21" s="427">
        <f>SUMPRODUCT(((LEFT(BalanceN!$A$4:$A$9999,3)="826"))*BalanceN!$H$4:$H$9999)-SUMPRODUCT(((LEFT(BalanceN!$A$4:$A$9999,4)="4856"))*BalanceN!$E$4:$E$9999)+SUMPRODUCT(((LEFT(BalanceN!$A$4:$A$9999,4)="4856"))*BalanceN!$F$4:$F$9999)+SUMPRODUCT(((LEFT(BalanceN!$A$4:$A$9999,2)="27"))*BalanceN!$F$4:$F$9999)-SUMPRODUCT(((LEFT(BalanceN!$A$4:$A$9999,3)="274"))*BalanceN!$F$4:$F$9999)</f>
        <v>730043</v>
      </c>
      <c r="J21" s="552">
        <f>SUMPRODUCT(((LEFT('BalanceN-1'!$A$4:$A$9999,3)="826"))*'BalanceN-1'!$H$4:$H$9999)-SUMPRODUCT(((LEFT('BalanceN-1'!$A$4:$A$9999,4)="4856"))*'BalanceN-1'!$E$4:$E$9999)+SUMPRODUCT(((LEFT('BalanceN-1'!$A$4:$A$9999,4)="4856"))*'BalanceN-1'!$F$4:$F$9999)+SUMPRODUCT(((LEFT('BalanceN-1'!$A$4:$A$9999,2)="27"))*'BalanceN-1'!$F$4:$F$9999)-SUMPRODUCT(((LEFT('BalanceN-1'!$A$4:$A$9999,3)="274"))*'BalanceN-1'!$F$4:$F$9999)</f>
        <v>1179865</v>
      </c>
      <c r="K21" s="578"/>
      <c r="L21" s="554"/>
      <c r="N21" s="554"/>
    </row>
    <row r="22" spans="1:16379" s="579" customFormat="1" ht="32.25" customHeight="1" x14ac:dyDescent="0.25">
      <c r="B22" s="543" t="s">
        <v>1000</v>
      </c>
      <c r="C22" s="2029" t="s">
        <v>1041</v>
      </c>
      <c r="D22" s="2030"/>
      <c r="E22" s="2030"/>
      <c r="F22" s="2031"/>
      <c r="G22" s="543" t="s">
        <v>111</v>
      </c>
      <c r="H22" s="543"/>
      <c r="I22" s="548">
        <f>SUM(I17:I21)</f>
        <v>-328722013</v>
      </c>
      <c r="J22" s="549">
        <f>SUM(J17:J21)</f>
        <v>-17160017</v>
      </c>
      <c r="K22" s="576"/>
      <c r="M22" s="580"/>
      <c r="N22" s="580" t="e">
        <f>M22-#REF!</f>
        <v>#REF!</v>
      </c>
    </row>
    <row r="23" spans="1:16379" s="575" customFormat="1" ht="21" customHeight="1" x14ac:dyDescent="0.25">
      <c r="B23" s="434"/>
      <c r="C23" s="1998" t="s">
        <v>1022</v>
      </c>
      <c r="D23" s="1999"/>
      <c r="E23" s="1999"/>
      <c r="F23" s="2000"/>
      <c r="G23" s="581"/>
      <c r="H23" s="582"/>
      <c r="I23" s="583"/>
      <c r="J23" s="584"/>
      <c r="K23" s="585"/>
      <c r="L23" s="585"/>
    </row>
    <row r="24" spans="1:16379" ht="21" customHeight="1" x14ac:dyDescent="0.25">
      <c r="B24" s="420" t="s">
        <v>1001</v>
      </c>
      <c r="C24" s="423" t="s">
        <v>1023</v>
      </c>
      <c r="D24" s="424"/>
      <c r="E24" s="424"/>
      <c r="F24" s="425"/>
      <c r="G24" s="553"/>
      <c r="H24" s="420"/>
      <c r="I24" s="427">
        <f>SUMPRODUCT(((LEFT(BalanceN!$A$4:$A$9999,2)="10")-(LEFT(BalanceN!$A$4:$A$9999,3)="106"))*BalanceN!$H$4:$H$9999)-SUMPRODUCT(((LEFT(BalanceN!$A$4:$A$9999,2)="10")-(LEFT(BalanceN!$A$4:$A$9999,3)="106"))*BalanceN!$D$4:$D$9999)-SUMPRODUCT(((LEFT(BalanceN!$A$4:$A$9999,3)="109"))*BalanceN!$G$4:$G$9999)-(SUMPRODUCT(((LEFT(BalanceN!$A$4:$A$9999,3)="467")+(LEFT(BalanceN!$A$4:$A$9999,4)="4581"))*BalanceN!$C$4:$C$9999)+SUMPRODUCT(((LEFT(BalanceN!$A$4:$A$9999,3)="467")+(LEFT(BalanceN!$A$4:$A$9999,4)="4581"))*BalanceN!$G$4:$G$9999))</f>
        <v>200000000</v>
      </c>
      <c r="J24" s="552">
        <f>SUMPRODUCT(((LEFT('BalanceN-1'!$A$4:$A$9999,2)="10")-(LEFT('BalanceN-1'!$A$4:$A$9999,3)="106"))*'BalanceN-1'!$H$4:$H$9999)-SUMPRODUCT(((LEFT('BalanceN-1'!$A$4:$A$9999,2)="10")-(LEFT('BalanceN-1'!$A$4:$A$9999,3)="106"))*'BalanceN-1'!$D$4:$D$9999)-SUMPRODUCT(((LEFT('BalanceN-1'!$A$4:$A$9999,3)="109"))*'BalanceN-1'!$G$4:$G$9999)-(SUMPRODUCT(((LEFT('BalanceN-1'!$A$4:$A$9999,3)="467")+(LEFT('BalanceN-1'!$A$4:$A$9999,4)="4581"))*'BalanceN-1'!$C$4:$C$9999)+SUMPRODUCT(((LEFT('BalanceN-1'!$A$4:$A$9999,3)="467")+(LEFT('BalanceN-1'!$A$4:$A$9999,4)="4581"))*'BalanceN-1'!$G$4:$G$9999))</f>
        <v>0</v>
      </c>
      <c r="K24" s="554"/>
    </row>
    <row r="25" spans="1:16379" ht="21" customHeight="1" x14ac:dyDescent="0.25">
      <c r="B25" s="420" t="s">
        <v>1002</v>
      </c>
      <c r="C25" s="423" t="s">
        <v>1024</v>
      </c>
      <c r="D25" s="424"/>
      <c r="E25" s="424"/>
      <c r="F25" s="425"/>
      <c r="G25" s="553"/>
      <c r="H25" s="420"/>
      <c r="I25" s="427">
        <f>SUMPRODUCT(((LEFT(BalanceN!$A$4:$A$9999,2)="14")+(LEFT(BalanceN!$A$4:$A$9999,3)="799"))*BalanceN!$H$4:$H$9999)-SUMPRODUCT(((LEFT(BalanceN!$A$4:$A$9999,2)="14"))*BalanceN!$D$4:$D$9999)+SUMPRODUCT(((LEFT(BalanceN!$A$4:$A$9999,4)="4582")+(LEFT(BalanceN!$A$4:$A$9999,4)="4494"))*BalanceN!$C$4:$C$9999)-(SUMPRODUCT(((LEFT(BalanceN!$A$4:$A$9999,4)="4582")+(LEFT(BalanceN!$A$4:$A$9999,4)="4494"))*BalanceN!$G$4:$G$9999))</f>
        <v>2000000</v>
      </c>
      <c r="J25" s="552">
        <f>SUMPRODUCT(((LEFT('BalanceN-1'!$A$4:$A$9999,2)="14")+(LEFT('BalanceN-1'!$A$4:$A$9999,3)="799"))*'BalanceN-1'!$H$4:$H$9999)-SUMPRODUCT(((LEFT('BalanceN-1'!$A$4:$A$9999,2)="14"))*'BalanceN-1'!$D$4:$D$9999)+SUMPRODUCT(((LEFT('BalanceN-1'!$A$4:$A$9999,4)="4582")+(LEFT('BalanceN-1'!$A$4:$A$9999,4)="4494"))*'BalanceN-1'!$C$4:$C$9999)-(SUMPRODUCT(((LEFT('BalanceN-1'!$A$4:$A$9999,4)="4582")+(LEFT('BalanceN-1'!$A$4:$A$9999,4)="4494"))*'BalanceN-1'!$G$4:$G$9999))</f>
        <v>0</v>
      </c>
    </row>
    <row r="26" spans="1:16379" ht="21" customHeight="1" x14ac:dyDescent="0.25">
      <c r="B26" s="420" t="s">
        <v>1003</v>
      </c>
      <c r="C26" s="423" t="s">
        <v>1025</v>
      </c>
      <c r="D26" s="424"/>
      <c r="E26" s="424"/>
      <c r="F26" s="425"/>
      <c r="G26" s="553"/>
      <c r="H26" s="420"/>
      <c r="I26" s="427">
        <f>SUMPRODUCT(((LEFT(BalanceN!$A$4:$A$9999,2)="10")-(LEFT(BalanceN!$A$4:$A$9999,3)="106"))*BalanceN!$D$4:$D$9999)-SUMPRODUCT(((LEFT(BalanceN!$A$4:$A$9999,2)="10")-(LEFT(BalanceN!$A$4:$A$9999,3)="106"))*BalanceN!$H$4:$H$9999)+SUMPRODUCT(((LEFT(BalanceN!$A$4:$A$9999,3)="109"))*BalanceN!$E$4:$E$9999)</f>
        <v>0</v>
      </c>
      <c r="J26" s="552">
        <f>SUMPRODUCT(((LEFT('BalanceN-1'!$A$4:$A$9999,2)="10")-(LEFT('BalanceN-1'!$A$4:$A$9999,3)="106"))*'BalanceN-1'!$D$4:$D$9999)-SUMPRODUCT(((LEFT('BalanceN-1'!$A$4:$A$9999,2)="10")-(LEFT('BalanceN-1'!$A$4:$A$9999,3)="106"))*'BalanceN-1'!$H$4:$H$9999)+SUMPRODUCT(((LEFT('BalanceN-1'!$A$4:$A$9999,3)="109"))*'BalanceN-1'!$E$4:$E$9999)</f>
        <v>0</v>
      </c>
    </row>
    <row r="27" spans="1:16379" ht="21" customHeight="1" x14ac:dyDescent="0.25">
      <c r="B27" s="420" t="s">
        <v>1004</v>
      </c>
      <c r="C27" s="423" t="s">
        <v>1026</v>
      </c>
      <c r="D27" s="424"/>
      <c r="E27" s="424"/>
      <c r="F27" s="425"/>
      <c r="G27" s="553"/>
      <c r="H27" s="420"/>
      <c r="I27" s="427">
        <f>SUMPRODUCT(((LEFT(BalanceN!$A$4:$A$9999,2)="12")+(LEFT(BalanceN!$A$4:$A$9999,2)="13"))*BalanceN!$F$4:$F$9999)-SUMPRODUCT(((LEFT(BalanceN!$A$4:$A$9999,2)="12")+(LEFT(BalanceN!$A$4:$A$9999,2)="13"))*BalanceN!$E$4:$E$9999)</f>
        <v>-90000000</v>
      </c>
      <c r="J27" s="427">
        <f>SUMPRODUCT(((LEFT('BalanceN-1'!$A$4:$A$9999,2)="12")+(LEFT('BalanceN-1'!$A$4:$A$9999,2)="13"))*'BalanceN-1'!$F$4:$F$9999)-SUMPRODUCT(((LEFT('BalanceN-1'!$A$4:$A$9999,2)="12")+(LEFT('BalanceN-1'!$A$4:$A$9999,2)="13"))*'BalanceN-1'!$E$4:$E$9999)</f>
        <v>26631518</v>
      </c>
    </row>
    <row r="28" spans="1:16379" s="579" customFormat="1" ht="35.25" customHeight="1" x14ac:dyDescent="0.25">
      <c r="B28" s="543" t="s">
        <v>992</v>
      </c>
      <c r="C28" s="2029" t="s">
        <v>1042</v>
      </c>
      <c r="D28" s="2030"/>
      <c r="E28" s="2030"/>
      <c r="F28" s="2031"/>
      <c r="G28" s="547" t="s">
        <v>123</v>
      </c>
      <c r="H28" s="543"/>
      <c r="I28" s="548">
        <f>SUM(I24:I27)</f>
        <v>112000000</v>
      </c>
      <c r="J28" s="548">
        <f>SUM(J24:J27)</f>
        <v>26631518</v>
      </c>
    </row>
    <row r="29" spans="1:16379" s="546" customFormat="1" ht="21" customHeight="1" x14ac:dyDescent="0.25">
      <c r="B29" s="420"/>
      <c r="C29" s="423" t="s">
        <v>1027</v>
      </c>
      <c r="D29" s="424"/>
      <c r="E29" s="424"/>
      <c r="F29" s="425"/>
      <c r="G29" s="553"/>
      <c r="H29" s="420"/>
      <c r="I29" s="427"/>
      <c r="J29" s="552"/>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c r="IT29" s="537"/>
      <c r="IU29" s="537"/>
      <c r="IV29" s="537"/>
      <c r="IW29" s="537"/>
      <c r="IX29" s="537"/>
      <c r="IY29" s="537"/>
      <c r="IZ29" s="537"/>
      <c r="JA29" s="537"/>
      <c r="JB29" s="537"/>
      <c r="JC29" s="537"/>
      <c r="JD29" s="537"/>
      <c r="JE29" s="537"/>
      <c r="JF29" s="537"/>
      <c r="JG29" s="537"/>
      <c r="JH29" s="537"/>
      <c r="JI29" s="537"/>
      <c r="JJ29" s="537"/>
      <c r="JK29" s="537"/>
      <c r="JL29" s="537"/>
      <c r="JM29" s="537"/>
      <c r="JN29" s="537"/>
      <c r="JO29" s="537"/>
      <c r="JP29" s="537"/>
      <c r="JQ29" s="537"/>
      <c r="JR29" s="537"/>
      <c r="JS29" s="537"/>
      <c r="JT29" s="537"/>
      <c r="JU29" s="537"/>
      <c r="JV29" s="537"/>
      <c r="JW29" s="537"/>
      <c r="JX29" s="537"/>
      <c r="JY29" s="537"/>
      <c r="JZ29" s="537"/>
      <c r="KA29" s="537"/>
      <c r="KB29" s="537"/>
      <c r="KC29" s="537"/>
      <c r="KD29" s="537"/>
      <c r="KE29" s="537"/>
      <c r="KF29" s="537"/>
      <c r="KG29" s="537"/>
      <c r="KH29" s="537"/>
      <c r="KI29" s="537"/>
      <c r="KJ29" s="537"/>
      <c r="KK29" s="537"/>
      <c r="KL29" s="537"/>
      <c r="KM29" s="537"/>
      <c r="KN29" s="537"/>
      <c r="KO29" s="537"/>
      <c r="KP29" s="537"/>
      <c r="KQ29" s="537"/>
      <c r="KR29" s="537"/>
      <c r="KS29" s="537"/>
      <c r="KT29" s="537"/>
      <c r="KU29" s="537"/>
      <c r="KV29" s="537"/>
      <c r="KW29" s="537"/>
      <c r="KX29" s="537"/>
      <c r="KY29" s="537"/>
      <c r="KZ29" s="537"/>
      <c r="LA29" s="537"/>
      <c r="LB29" s="537"/>
      <c r="LC29" s="537"/>
      <c r="LD29" s="537"/>
      <c r="LE29" s="537"/>
      <c r="LF29" s="537"/>
      <c r="LG29" s="537"/>
      <c r="LH29" s="537"/>
      <c r="LI29" s="537"/>
      <c r="LJ29" s="537"/>
      <c r="LK29" s="537"/>
      <c r="LL29" s="537"/>
      <c r="LM29" s="537"/>
      <c r="LN29" s="537"/>
      <c r="LO29" s="537"/>
      <c r="LP29" s="537"/>
      <c r="LQ29" s="537"/>
      <c r="LR29" s="537"/>
      <c r="LS29" s="537"/>
      <c r="LT29" s="537"/>
      <c r="LU29" s="537"/>
      <c r="LV29" s="537"/>
      <c r="LW29" s="537"/>
      <c r="LX29" s="537"/>
      <c r="LY29" s="537"/>
      <c r="LZ29" s="537"/>
      <c r="MA29" s="537"/>
      <c r="MB29" s="537"/>
      <c r="MC29" s="537"/>
      <c r="MD29" s="537"/>
      <c r="ME29" s="537"/>
      <c r="MF29" s="537"/>
      <c r="MG29" s="537"/>
      <c r="MH29" s="537"/>
      <c r="MI29" s="537"/>
      <c r="MJ29" s="537"/>
      <c r="MK29" s="537"/>
      <c r="ML29" s="537"/>
      <c r="MM29" s="537"/>
      <c r="MN29" s="537"/>
      <c r="MO29" s="537"/>
      <c r="MP29" s="537"/>
      <c r="MQ29" s="537"/>
      <c r="MR29" s="537"/>
      <c r="MS29" s="537"/>
      <c r="MT29" s="537"/>
      <c r="MU29" s="537"/>
      <c r="MV29" s="537"/>
      <c r="MW29" s="537"/>
      <c r="MX29" s="537"/>
      <c r="MY29" s="537"/>
      <c r="MZ29" s="537"/>
      <c r="NA29" s="537"/>
      <c r="NB29" s="537"/>
      <c r="NC29" s="537"/>
      <c r="ND29" s="537"/>
      <c r="NE29" s="537"/>
      <c r="NF29" s="537"/>
      <c r="NG29" s="537"/>
      <c r="NH29" s="537"/>
      <c r="NI29" s="537"/>
      <c r="NJ29" s="537"/>
      <c r="NK29" s="537"/>
      <c r="NL29" s="537"/>
      <c r="NM29" s="537"/>
      <c r="NN29" s="537"/>
      <c r="NO29" s="537"/>
      <c r="NP29" s="537"/>
      <c r="NQ29" s="537"/>
      <c r="NR29" s="537"/>
      <c r="NS29" s="537"/>
      <c r="NT29" s="537"/>
      <c r="NU29" s="537"/>
      <c r="NV29" s="537"/>
      <c r="NW29" s="537"/>
      <c r="NX29" s="537"/>
      <c r="NY29" s="537"/>
      <c r="NZ29" s="537"/>
      <c r="OA29" s="537"/>
      <c r="OB29" s="537"/>
      <c r="OC29" s="537"/>
      <c r="OD29" s="537"/>
      <c r="OE29" s="537"/>
      <c r="OF29" s="537"/>
      <c r="OG29" s="537"/>
      <c r="OH29" s="537"/>
      <c r="OI29" s="537"/>
      <c r="OJ29" s="537"/>
      <c r="OK29" s="537"/>
      <c r="OL29" s="537"/>
      <c r="OM29" s="537"/>
      <c r="ON29" s="537"/>
      <c r="OO29" s="537"/>
      <c r="OP29" s="537"/>
      <c r="OQ29" s="537"/>
      <c r="OR29" s="537"/>
      <c r="OS29" s="537"/>
      <c r="OT29" s="537"/>
      <c r="OU29" s="537"/>
      <c r="OV29" s="537"/>
      <c r="OW29" s="537"/>
      <c r="OX29" s="537"/>
      <c r="OY29" s="537"/>
      <c r="OZ29" s="537"/>
      <c r="PA29" s="537"/>
      <c r="PB29" s="537"/>
      <c r="PC29" s="537"/>
      <c r="PD29" s="537"/>
      <c r="PE29" s="537"/>
      <c r="PF29" s="537"/>
      <c r="PG29" s="537"/>
      <c r="PH29" s="537"/>
      <c r="PI29" s="537"/>
      <c r="PJ29" s="537"/>
      <c r="PK29" s="537"/>
      <c r="PL29" s="537"/>
      <c r="PM29" s="537"/>
      <c r="PN29" s="537"/>
      <c r="PO29" s="537"/>
      <c r="PP29" s="537"/>
      <c r="PQ29" s="537"/>
      <c r="PR29" s="537"/>
      <c r="PS29" s="537"/>
      <c r="PT29" s="537"/>
      <c r="PU29" s="537"/>
      <c r="PV29" s="537"/>
      <c r="PW29" s="537"/>
      <c r="PX29" s="537"/>
      <c r="PY29" s="537"/>
      <c r="PZ29" s="537"/>
      <c r="QA29" s="537"/>
      <c r="QB29" s="537"/>
      <c r="QC29" s="537"/>
      <c r="QD29" s="537"/>
      <c r="QE29" s="537"/>
      <c r="QF29" s="537"/>
      <c r="QG29" s="537"/>
      <c r="QH29" s="537"/>
      <c r="QI29" s="537"/>
      <c r="QJ29" s="537"/>
      <c r="QK29" s="537"/>
      <c r="QL29" s="537"/>
      <c r="QM29" s="537"/>
      <c r="QN29" s="537"/>
      <c r="QO29" s="537"/>
      <c r="QP29" s="537"/>
      <c r="QQ29" s="537"/>
      <c r="QR29" s="537"/>
      <c r="QS29" s="537"/>
      <c r="QT29" s="537"/>
      <c r="QU29" s="537"/>
      <c r="QV29" s="537"/>
      <c r="QW29" s="537"/>
      <c r="QX29" s="537"/>
      <c r="QY29" s="537"/>
      <c r="QZ29" s="537"/>
      <c r="RA29" s="537"/>
      <c r="RB29" s="537"/>
      <c r="RC29" s="537"/>
      <c r="RD29" s="537"/>
      <c r="RE29" s="537"/>
      <c r="RF29" s="537"/>
      <c r="RG29" s="537"/>
      <c r="RH29" s="537"/>
      <c r="RI29" s="537"/>
      <c r="RJ29" s="537"/>
      <c r="RK29" s="537"/>
      <c r="RL29" s="537"/>
      <c r="RM29" s="537"/>
      <c r="RN29" s="537"/>
      <c r="RO29" s="537"/>
      <c r="RP29" s="537"/>
      <c r="RQ29" s="537"/>
      <c r="RR29" s="537"/>
      <c r="RS29" s="537"/>
      <c r="RT29" s="537"/>
      <c r="RU29" s="537"/>
      <c r="RV29" s="537"/>
      <c r="RW29" s="537"/>
      <c r="RX29" s="537"/>
      <c r="RY29" s="537"/>
      <c r="RZ29" s="537"/>
      <c r="SA29" s="537"/>
      <c r="SB29" s="537"/>
      <c r="SC29" s="537"/>
      <c r="SD29" s="537"/>
      <c r="SE29" s="537"/>
      <c r="SF29" s="537"/>
      <c r="SG29" s="537"/>
      <c r="SH29" s="537"/>
      <c r="SI29" s="537"/>
      <c r="SJ29" s="537"/>
      <c r="SK29" s="537"/>
      <c r="SL29" s="537"/>
      <c r="SM29" s="537"/>
      <c r="SN29" s="537"/>
      <c r="SO29" s="537"/>
      <c r="SP29" s="537"/>
      <c r="SQ29" s="537"/>
      <c r="SR29" s="537"/>
      <c r="SS29" s="537"/>
      <c r="ST29" s="537"/>
      <c r="SU29" s="537"/>
      <c r="SV29" s="537"/>
      <c r="SW29" s="537"/>
      <c r="SX29" s="537"/>
      <c r="SY29" s="537"/>
      <c r="SZ29" s="537"/>
      <c r="TA29" s="537"/>
      <c r="TB29" s="537"/>
      <c r="TC29" s="537"/>
      <c r="TD29" s="537"/>
      <c r="TE29" s="537"/>
      <c r="TF29" s="537"/>
      <c r="TG29" s="537"/>
      <c r="TH29" s="537"/>
      <c r="TI29" s="537"/>
      <c r="TJ29" s="537"/>
      <c r="TK29" s="537"/>
      <c r="TL29" s="537"/>
      <c r="TM29" s="537"/>
      <c r="TN29" s="537"/>
      <c r="TO29" s="537"/>
      <c r="TP29" s="537"/>
      <c r="TQ29" s="537"/>
      <c r="TR29" s="537"/>
      <c r="TS29" s="537"/>
      <c r="TT29" s="537"/>
      <c r="TU29" s="537"/>
      <c r="TV29" s="537"/>
      <c r="TW29" s="537"/>
      <c r="TX29" s="537"/>
      <c r="TY29" s="537"/>
      <c r="TZ29" s="537"/>
      <c r="UA29" s="537"/>
      <c r="UB29" s="537"/>
      <c r="UC29" s="537"/>
      <c r="UD29" s="537"/>
      <c r="UE29" s="537"/>
      <c r="UF29" s="537"/>
      <c r="UG29" s="537"/>
      <c r="UH29" s="537"/>
      <c r="UI29" s="537"/>
      <c r="UJ29" s="537"/>
      <c r="UK29" s="537"/>
      <c r="UL29" s="537"/>
      <c r="UM29" s="537"/>
      <c r="UN29" s="537"/>
      <c r="UO29" s="537"/>
      <c r="UP29" s="537"/>
      <c r="UQ29" s="537"/>
      <c r="UR29" s="537"/>
      <c r="US29" s="537"/>
      <c r="UT29" s="537"/>
      <c r="UU29" s="537"/>
      <c r="UV29" s="537"/>
      <c r="UW29" s="537"/>
      <c r="UX29" s="537"/>
      <c r="UY29" s="537"/>
      <c r="UZ29" s="537"/>
      <c r="VA29" s="537"/>
      <c r="VB29" s="537"/>
      <c r="VC29" s="537"/>
      <c r="VD29" s="537"/>
      <c r="VE29" s="537"/>
      <c r="VF29" s="537"/>
      <c r="VG29" s="537"/>
      <c r="VH29" s="537"/>
      <c r="VI29" s="537"/>
      <c r="VJ29" s="537"/>
      <c r="VK29" s="537"/>
      <c r="VL29" s="537"/>
      <c r="VM29" s="537"/>
      <c r="VN29" s="537"/>
      <c r="VO29" s="537"/>
      <c r="VP29" s="537"/>
      <c r="VQ29" s="537"/>
      <c r="VR29" s="537"/>
      <c r="VS29" s="537"/>
      <c r="VT29" s="537"/>
      <c r="VU29" s="537"/>
      <c r="VV29" s="537"/>
      <c r="VW29" s="537"/>
      <c r="VX29" s="537"/>
      <c r="VY29" s="537"/>
      <c r="VZ29" s="537"/>
      <c r="WA29" s="537"/>
      <c r="WB29" s="537"/>
      <c r="WC29" s="537"/>
      <c r="WD29" s="537"/>
      <c r="WE29" s="537"/>
      <c r="WF29" s="537"/>
      <c r="WG29" s="537"/>
      <c r="WH29" s="537"/>
      <c r="WI29" s="537"/>
      <c r="WJ29" s="537"/>
      <c r="WK29" s="537"/>
      <c r="WL29" s="537"/>
      <c r="WM29" s="537"/>
      <c r="WN29" s="537"/>
      <c r="WO29" s="537"/>
      <c r="WP29" s="537"/>
      <c r="WQ29" s="537"/>
      <c r="WR29" s="537"/>
      <c r="WS29" s="537"/>
      <c r="WT29" s="537"/>
      <c r="WU29" s="537"/>
      <c r="WV29" s="537"/>
      <c r="WW29" s="537"/>
      <c r="WX29" s="537"/>
      <c r="WY29" s="537"/>
      <c r="WZ29" s="537"/>
      <c r="XA29" s="537"/>
      <c r="XB29" s="537"/>
      <c r="XC29" s="537"/>
      <c r="XD29" s="537"/>
      <c r="XE29" s="537"/>
      <c r="XF29" s="537"/>
      <c r="XG29" s="537"/>
      <c r="XH29" s="537"/>
      <c r="XI29" s="537"/>
      <c r="XJ29" s="537"/>
      <c r="XK29" s="537"/>
      <c r="XL29" s="537"/>
      <c r="XM29" s="537"/>
      <c r="XN29" s="537"/>
      <c r="XO29" s="537"/>
      <c r="XP29" s="537"/>
      <c r="XQ29" s="537"/>
      <c r="XR29" s="537"/>
      <c r="XS29" s="537"/>
      <c r="XT29" s="537"/>
      <c r="XU29" s="537"/>
      <c r="XV29" s="537"/>
      <c r="XW29" s="537"/>
      <c r="XX29" s="537"/>
      <c r="XY29" s="537"/>
      <c r="XZ29" s="537"/>
      <c r="YA29" s="537"/>
      <c r="YB29" s="537"/>
      <c r="YC29" s="537"/>
      <c r="YD29" s="537"/>
      <c r="YE29" s="537"/>
      <c r="YF29" s="537"/>
      <c r="YG29" s="537"/>
      <c r="YH29" s="537"/>
      <c r="YI29" s="537"/>
      <c r="YJ29" s="537"/>
      <c r="YK29" s="537"/>
      <c r="YL29" s="537"/>
      <c r="YM29" s="537"/>
      <c r="YN29" s="537"/>
      <c r="YO29" s="537"/>
      <c r="YP29" s="537"/>
      <c r="YQ29" s="537"/>
      <c r="YR29" s="537"/>
      <c r="YS29" s="537"/>
      <c r="YT29" s="537"/>
      <c r="YU29" s="537"/>
      <c r="YV29" s="537"/>
      <c r="YW29" s="537"/>
      <c r="YX29" s="537"/>
      <c r="YY29" s="537"/>
      <c r="YZ29" s="537"/>
      <c r="ZA29" s="537"/>
      <c r="ZB29" s="537"/>
      <c r="ZC29" s="537"/>
      <c r="ZD29" s="537"/>
      <c r="ZE29" s="537"/>
      <c r="ZF29" s="537"/>
      <c r="ZG29" s="537"/>
      <c r="ZH29" s="537"/>
      <c r="ZI29" s="537"/>
      <c r="ZJ29" s="537"/>
      <c r="ZK29" s="537"/>
      <c r="ZL29" s="537"/>
      <c r="ZM29" s="537"/>
      <c r="ZN29" s="537"/>
      <c r="ZO29" s="537"/>
      <c r="ZP29" s="537"/>
      <c r="ZQ29" s="537"/>
      <c r="ZR29" s="537"/>
      <c r="ZS29" s="537"/>
      <c r="ZT29" s="537"/>
      <c r="ZU29" s="537"/>
      <c r="ZV29" s="537"/>
      <c r="ZW29" s="537"/>
      <c r="ZX29" s="537"/>
      <c r="ZY29" s="537"/>
      <c r="ZZ29" s="537"/>
      <c r="AAA29" s="537"/>
      <c r="AAB29" s="537"/>
      <c r="AAC29" s="537"/>
      <c r="AAD29" s="537"/>
      <c r="AAE29" s="537"/>
      <c r="AAF29" s="537"/>
      <c r="AAG29" s="537"/>
      <c r="AAH29" s="537"/>
      <c r="AAI29" s="537"/>
      <c r="AAJ29" s="537"/>
      <c r="AAK29" s="537"/>
      <c r="AAL29" s="537"/>
      <c r="AAM29" s="537"/>
      <c r="AAN29" s="537"/>
      <c r="AAO29" s="537"/>
      <c r="AAP29" s="537"/>
      <c r="AAQ29" s="537"/>
      <c r="AAR29" s="537"/>
      <c r="AAS29" s="537"/>
      <c r="AAT29" s="537"/>
      <c r="AAU29" s="537"/>
      <c r="AAV29" s="537"/>
      <c r="AAW29" s="537"/>
      <c r="AAX29" s="537"/>
      <c r="AAY29" s="537"/>
      <c r="AAZ29" s="537"/>
      <c r="ABA29" s="537"/>
      <c r="ABB29" s="537"/>
      <c r="ABC29" s="537"/>
      <c r="ABD29" s="537"/>
      <c r="ABE29" s="537"/>
      <c r="ABF29" s="537"/>
      <c r="ABG29" s="537"/>
      <c r="ABH29" s="537"/>
      <c r="ABI29" s="537"/>
      <c r="ABJ29" s="537"/>
      <c r="ABK29" s="537"/>
      <c r="ABL29" s="537"/>
      <c r="ABM29" s="537"/>
      <c r="ABN29" s="537"/>
      <c r="ABO29" s="537"/>
      <c r="ABP29" s="537"/>
      <c r="ABQ29" s="537"/>
      <c r="ABR29" s="537"/>
      <c r="ABS29" s="537"/>
      <c r="ABT29" s="537"/>
      <c r="ABU29" s="537"/>
      <c r="ABV29" s="537"/>
      <c r="ABW29" s="537"/>
      <c r="ABX29" s="537"/>
      <c r="ABY29" s="537"/>
      <c r="ABZ29" s="537"/>
      <c r="ACA29" s="537"/>
      <c r="ACB29" s="537"/>
      <c r="ACC29" s="537"/>
      <c r="ACD29" s="537"/>
      <c r="ACE29" s="537"/>
      <c r="ACF29" s="537"/>
      <c r="ACG29" s="537"/>
      <c r="ACH29" s="537"/>
      <c r="ACI29" s="537"/>
      <c r="ACJ29" s="537"/>
      <c r="ACK29" s="537"/>
      <c r="ACL29" s="537"/>
      <c r="ACM29" s="537"/>
      <c r="ACN29" s="537"/>
      <c r="ACO29" s="537"/>
      <c r="ACP29" s="537"/>
      <c r="ACQ29" s="537"/>
      <c r="ACR29" s="537"/>
      <c r="ACS29" s="537"/>
      <c r="ACT29" s="537"/>
      <c r="ACU29" s="537"/>
      <c r="ACV29" s="537"/>
      <c r="ACW29" s="537"/>
      <c r="ACX29" s="537"/>
      <c r="ACY29" s="537"/>
      <c r="ACZ29" s="537"/>
      <c r="ADA29" s="537"/>
      <c r="ADB29" s="537"/>
      <c r="ADC29" s="537"/>
      <c r="ADD29" s="537"/>
      <c r="ADE29" s="537"/>
      <c r="ADF29" s="537"/>
      <c r="ADG29" s="537"/>
      <c r="ADH29" s="537"/>
      <c r="ADI29" s="537"/>
      <c r="ADJ29" s="537"/>
      <c r="ADK29" s="537"/>
      <c r="ADL29" s="537"/>
      <c r="ADM29" s="537"/>
      <c r="ADN29" s="537"/>
      <c r="ADO29" s="537"/>
      <c r="ADP29" s="537"/>
      <c r="ADQ29" s="537"/>
      <c r="ADR29" s="537"/>
      <c r="ADS29" s="537"/>
      <c r="ADT29" s="537"/>
      <c r="ADU29" s="537"/>
      <c r="ADV29" s="537"/>
      <c r="ADW29" s="537"/>
      <c r="ADX29" s="537"/>
      <c r="ADY29" s="537"/>
      <c r="ADZ29" s="537"/>
      <c r="AEA29" s="537"/>
      <c r="AEB29" s="537"/>
      <c r="AEC29" s="537"/>
      <c r="AED29" s="537"/>
      <c r="AEE29" s="537"/>
      <c r="AEF29" s="537"/>
      <c r="AEG29" s="537"/>
      <c r="AEH29" s="537"/>
      <c r="AEI29" s="537"/>
      <c r="AEJ29" s="537"/>
      <c r="AEK29" s="537"/>
      <c r="AEL29" s="537"/>
      <c r="AEM29" s="537"/>
      <c r="AEN29" s="537"/>
      <c r="AEO29" s="537"/>
      <c r="AEP29" s="537"/>
      <c r="AEQ29" s="537"/>
      <c r="AER29" s="537"/>
      <c r="AES29" s="537"/>
      <c r="AET29" s="537"/>
      <c r="AEU29" s="537"/>
      <c r="AEV29" s="537"/>
      <c r="AEW29" s="537"/>
      <c r="AEX29" s="537"/>
      <c r="AEY29" s="537"/>
      <c r="AEZ29" s="537"/>
      <c r="AFA29" s="537"/>
      <c r="AFB29" s="537"/>
      <c r="AFC29" s="537"/>
      <c r="AFD29" s="537"/>
      <c r="AFE29" s="537"/>
      <c r="AFF29" s="537"/>
      <c r="AFG29" s="537"/>
      <c r="AFH29" s="537"/>
      <c r="AFI29" s="537"/>
      <c r="AFJ29" s="537"/>
      <c r="AFK29" s="537"/>
      <c r="AFL29" s="537"/>
      <c r="AFM29" s="537"/>
      <c r="AFN29" s="537"/>
      <c r="AFO29" s="537"/>
      <c r="AFP29" s="537"/>
      <c r="AFQ29" s="537"/>
      <c r="AFR29" s="537"/>
      <c r="AFS29" s="537"/>
      <c r="AFT29" s="537"/>
      <c r="AFU29" s="537"/>
      <c r="AFV29" s="537"/>
      <c r="AFW29" s="537"/>
      <c r="AFX29" s="537"/>
      <c r="AFY29" s="537"/>
      <c r="AFZ29" s="537"/>
      <c r="AGA29" s="537"/>
      <c r="AGB29" s="537"/>
      <c r="AGC29" s="537"/>
      <c r="AGD29" s="537"/>
      <c r="AGE29" s="537"/>
      <c r="AGF29" s="537"/>
      <c r="AGG29" s="537"/>
      <c r="AGH29" s="537"/>
      <c r="AGI29" s="537"/>
      <c r="AGJ29" s="537"/>
      <c r="AGK29" s="537"/>
      <c r="AGL29" s="537"/>
      <c r="AGM29" s="537"/>
      <c r="AGN29" s="537"/>
      <c r="AGO29" s="537"/>
      <c r="AGP29" s="537"/>
      <c r="AGQ29" s="537"/>
      <c r="AGR29" s="537"/>
      <c r="AGS29" s="537"/>
      <c r="AGT29" s="537"/>
      <c r="AGU29" s="537"/>
      <c r="AGV29" s="537"/>
      <c r="AGW29" s="537"/>
      <c r="AGX29" s="537"/>
      <c r="AGY29" s="537"/>
      <c r="AGZ29" s="537"/>
      <c r="AHA29" s="537"/>
      <c r="AHB29" s="537"/>
      <c r="AHC29" s="537"/>
      <c r="AHD29" s="537"/>
      <c r="AHE29" s="537"/>
      <c r="AHF29" s="537"/>
      <c r="AHG29" s="537"/>
      <c r="AHH29" s="537"/>
      <c r="AHI29" s="537"/>
      <c r="AHJ29" s="537"/>
      <c r="AHK29" s="537"/>
      <c r="AHL29" s="537"/>
      <c r="AHM29" s="537"/>
      <c r="AHN29" s="537"/>
      <c r="AHO29" s="537"/>
      <c r="AHP29" s="537"/>
      <c r="AHQ29" s="537"/>
      <c r="AHR29" s="537"/>
      <c r="AHS29" s="537"/>
      <c r="AHT29" s="537"/>
      <c r="AHU29" s="537"/>
      <c r="AHV29" s="537"/>
      <c r="AHW29" s="537"/>
      <c r="AHX29" s="537"/>
      <c r="AHY29" s="537"/>
      <c r="AHZ29" s="537"/>
      <c r="AIA29" s="537"/>
      <c r="AIB29" s="537"/>
      <c r="AIC29" s="537"/>
      <c r="AID29" s="537"/>
      <c r="AIE29" s="537"/>
      <c r="AIF29" s="537"/>
      <c r="AIG29" s="537"/>
      <c r="AIH29" s="537"/>
      <c r="AII29" s="537"/>
      <c r="AIJ29" s="537"/>
      <c r="AIK29" s="537"/>
      <c r="AIL29" s="537"/>
      <c r="AIM29" s="537"/>
      <c r="AIN29" s="537"/>
      <c r="AIO29" s="537"/>
      <c r="AIP29" s="537"/>
      <c r="AIQ29" s="537"/>
      <c r="AIR29" s="537"/>
      <c r="AIS29" s="537"/>
      <c r="AIT29" s="537"/>
      <c r="AIU29" s="537"/>
      <c r="AIV29" s="537"/>
      <c r="AIW29" s="537"/>
      <c r="AIX29" s="537"/>
      <c r="AIY29" s="537"/>
      <c r="AIZ29" s="537"/>
      <c r="AJA29" s="537"/>
      <c r="AJB29" s="537"/>
      <c r="AJC29" s="537"/>
      <c r="AJD29" s="537"/>
      <c r="AJE29" s="537"/>
      <c r="AJF29" s="537"/>
      <c r="AJG29" s="537"/>
      <c r="AJH29" s="537"/>
      <c r="AJI29" s="537"/>
      <c r="AJJ29" s="537"/>
      <c r="AJK29" s="537"/>
      <c r="AJL29" s="537"/>
      <c r="AJM29" s="537"/>
      <c r="AJN29" s="537"/>
      <c r="AJO29" s="537"/>
      <c r="AJP29" s="537"/>
      <c r="AJQ29" s="537"/>
      <c r="AJR29" s="537"/>
      <c r="AJS29" s="537"/>
      <c r="AJT29" s="537"/>
      <c r="AJU29" s="537"/>
      <c r="AJV29" s="537"/>
      <c r="AJW29" s="537"/>
      <c r="AJX29" s="537"/>
      <c r="AJY29" s="537"/>
      <c r="AJZ29" s="537"/>
      <c r="AKA29" s="537"/>
      <c r="AKB29" s="537"/>
      <c r="AKC29" s="537"/>
      <c r="AKD29" s="537"/>
      <c r="AKE29" s="537"/>
      <c r="AKF29" s="537"/>
      <c r="AKG29" s="537"/>
      <c r="AKH29" s="537"/>
      <c r="AKI29" s="537"/>
      <c r="AKJ29" s="537"/>
      <c r="AKK29" s="537"/>
      <c r="AKL29" s="537"/>
      <c r="AKM29" s="537"/>
      <c r="AKN29" s="537"/>
      <c r="AKO29" s="537"/>
      <c r="AKP29" s="537"/>
      <c r="AKQ29" s="537"/>
      <c r="AKR29" s="537"/>
      <c r="AKS29" s="537"/>
      <c r="AKT29" s="537"/>
      <c r="AKU29" s="537"/>
      <c r="AKV29" s="537"/>
      <c r="AKW29" s="537"/>
      <c r="AKX29" s="537"/>
      <c r="AKY29" s="537"/>
      <c r="AKZ29" s="537"/>
      <c r="ALA29" s="537"/>
      <c r="ALB29" s="537"/>
      <c r="ALC29" s="537"/>
      <c r="ALD29" s="537"/>
      <c r="ALE29" s="537"/>
      <c r="ALF29" s="537"/>
      <c r="ALG29" s="537"/>
      <c r="ALH29" s="537"/>
      <c r="ALI29" s="537"/>
      <c r="ALJ29" s="537"/>
      <c r="ALK29" s="537"/>
      <c r="ALL29" s="537"/>
      <c r="ALM29" s="537"/>
      <c r="ALN29" s="537"/>
      <c r="ALO29" s="537"/>
      <c r="ALP29" s="537"/>
      <c r="ALQ29" s="537"/>
      <c r="ALR29" s="537"/>
      <c r="ALS29" s="537"/>
      <c r="ALT29" s="537"/>
      <c r="ALU29" s="537"/>
      <c r="ALV29" s="537"/>
      <c r="ALW29" s="537"/>
      <c r="ALX29" s="537"/>
      <c r="ALY29" s="537"/>
      <c r="ALZ29" s="537"/>
      <c r="AMA29" s="537"/>
      <c r="AMB29" s="537"/>
      <c r="AMC29" s="537"/>
      <c r="AMD29" s="537"/>
      <c r="AME29" s="537"/>
      <c r="AMF29" s="537"/>
      <c r="AMG29" s="537"/>
      <c r="AMH29" s="537"/>
      <c r="AMI29" s="537"/>
      <c r="AMJ29" s="537"/>
      <c r="AMK29" s="537"/>
      <c r="AML29" s="537"/>
      <c r="AMM29" s="537"/>
      <c r="AMN29" s="537"/>
      <c r="AMO29" s="537"/>
      <c r="AMP29" s="537"/>
      <c r="AMQ29" s="537"/>
      <c r="AMR29" s="537"/>
      <c r="AMS29" s="537"/>
      <c r="AMT29" s="537"/>
      <c r="AMU29" s="537"/>
      <c r="AMV29" s="537"/>
      <c r="AMW29" s="537"/>
      <c r="AMX29" s="537"/>
      <c r="AMY29" s="537"/>
      <c r="AMZ29" s="537"/>
      <c r="ANA29" s="537"/>
      <c r="ANB29" s="537"/>
      <c r="ANC29" s="537"/>
      <c r="AND29" s="537"/>
      <c r="ANE29" s="537"/>
      <c r="ANF29" s="537"/>
      <c r="ANG29" s="537"/>
      <c r="ANH29" s="537"/>
      <c r="ANI29" s="537"/>
      <c r="ANJ29" s="537"/>
      <c r="ANK29" s="537"/>
      <c r="ANL29" s="537"/>
      <c r="ANM29" s="537"/>
      <c r="ANN29" s="537"/>
      <c r="ANO29" s="537"/>
      <c r="ANP29" s="537"/>
      <c r="ANQ29" s="537"/>
      <c r="ANR29" s="537"/>
      <c r="ANS29" s="537"/>
      <c r="ANT29" s="537"/>
      <c r="ANU29" s="537"/>
      <c r="ANV29" s="537"/>
      <c r="ANW29" s="537"/>
      <c r="ANX29" s="537"/>
      <c r="ANY29" s="537"/>
      <c r="ANZ29" s="537"/>
      <c r="AOA29" s="537"/>
      <c r="AOB29" s="537"/>
      <c r="AOC29" s="537"/>
      <c r="AOD29" s="537"/>
      <c r="AOE29" s="537"/>
      <c r="AOF29" s="537"/>
      <c r="AOG29" s="537"/>
      <c r="AOH29" s="537"/>
      <c r="AOI29" s="537"/>
      <c r="AOJ29" s="537"/>
      <c r="AOK29" s="537"/>
      <c r="AOL29" s="537"/>
      <c r="AOM29" s="537"/>
      <c r="AON29" s="537"/>
      <c r="AOO29" s="537"/>
      <c r="AOP29" s="537"/>
      <c r="AOQ29" s="537"/>
      <c r="AOR29" s="537"/>
      <c r="AOS29" s="537"/>
      <c r="AOT29" s="537"/>
      <c r="AOU29" s="537"/>
      <c r="AOV29" s="537"/>
      <c r="AOW29" s="537"/>
      <c r="AOX29" s="537"/>
      <c r="AOY29" s="537"/>
      <c r="AOZ29" s="537"/>
      <c r="APA29" s="537"/>
      <c r="APB29" s="537"/>
      <c r="APC29" s="537"/>
      <c r="APD29" s="537"/>
      <c r="APE29" s="537"/>
      <c r="APF29" s="537"/>
      <c r="APG29" s="537"/>
      <c r="APH29" s="537"/>
      <c r="API29" s="537"/>
      <c r="APJ29" s="537"/>
      <c r="APK29" s="537"/>
      <c r="APL29" s="537"/>
      <c r="APM29" s="537"/>
      <c r="APN29" s="537"/>
      <c r="APO29" s="537"/>
      <c r="APP29" s="537"/>
      <c r="APQ29" s="537"/>
      <c r="APR29" s="537"/>
      <c r="APS29" s="537"/>
      <c r="APT29" s="537"/>
      <c r="APU29" s="537"/>
      <c r="APV29" s="537"/>
      <c r="APW29" s="537"/>
      <c r="APX29" s="537"/>
      <c r="APY29" s="537"/>
      <c r="APZ29" s="537"/>
      <c r="AQA29" s="537"/>
      <c r="AQB29" s="537"/>
      <c r="AQC29" s="537"/>
      <c r="AQD29" s="537"/>
      <c r="AQE29" s="537"/>
      <c r="AQF29" s="537"/>
      <c r="AQG29" s="537"/>
      <c r="AQH29" s="537"/>
      <c r="AQI29" s="537"/>
      <c r="AQJ29" s="537"/>
      <c r="AQK29" s="537"/>
      <c r="AQL29" s="537"/>
      <c r="AQM29" s="537"/>
      <c r="AQN29" s="537"/>
      <c r="AQO29" s="537"/>
      <c r="AQP29" s="537"/>
      <c r="AQQ29" s="537"/>
      <c r="AQR29" s="537"/>
      <c r="AQS29" s="537"/>
      <c r="AQT29" s="537"/>
      <c r="AQU29" s="537"/>
      <c r="AQV29" s="537"/>
      <c r="AQW29" s="537"/>
      <c r="AQX29" s="537"/>
      <c r="AQY29" s="537"/>
      <c r="AQZ29" s="537"/>
      <c r="ARA29" s="537"/>
      <c r="ARB29" s="537"/>
      <c r="ARC29" s="537"/>
      <c r="ARD29" s="537"/>
      <c r="ARE29" s="537"/>
      <c r="ARF29" s="537"/>
      <c r="ARG29" s="537"/>
      <c r="ARH29" s="537"/>
      <c r="ARI29" s="537"/>
      <c r="ARJ29" s="537"/>
      <c r="ARK29" s="537"/>
      <c r="ARL29" s="537"/>
      <c r="ARM29" s="537"/>
      <c r="ARN29" s="537"/>
      <c r="ARO29" s="537"/>
      <c r="ARP29" s="537"/>
      <c r="ARQ29" s="537"/>
      <c r="ARR29" s="537"/>
      <c r="ARS29" s="537"/>
      <c r="ART29" s="537"/>
      <c r="ARU29" s="537"/>
      <c r="ARV29" s="537"/>
      <c r="ARW29" s="537"/>
      <c r="ARX29" s="537"/>
      <c r="ARY29" s="537"/>
      <c r="ARZ29" s="537"/>
      <c r="ASA29" s="537"/>
      <c r="ASB29" s="537"/>
      <c r="ASC29" s="537"/>
      <c r="ASD29" s="537"/>
      <c r="ASE29" s="537"/>
      <c r="ASF29" s="537"/>
      <c r="ASG29" s="537"/>
      <c r="ASH29" s="537"/>
      <c r="ASI29" s="537"/>
      <c r="ASJ29" s="537"/>
      <c r="ASK29" s="537"/>
      <c r="ASL29" s="537"/>
      <c r="ASM29" s="537"/>
      <c r="ASN29" s="537"/>
      <c r="ASO29" s="537"/>
      <c r="ASP29" s="537"/>
      <c r="ASQ29" s="537"/>
      <c r="ASR29" s="537"/>
      <c r="ASS29" s="537"/>
      <c r="AST29" s="537"/>
      <c r="ASU29" s="537"/>
      <c r="ASV29" s="537"/>
      <c r="ASW29" s="537"/>
      <c r="ASX29" s="537"/>
      <c r="ASY29" s="537"/>
      <c r="ASZ29" s="537"/>
      <c r="ATA29" s="537"/>
      <c r="ATB29" s="537"/>
      <c r="ATC29" s="537"/>
      <c r="ATD29" s="537"/>
      <c r="ATE29" s="537"/>
      <c r="ATF29" s="537"/>
      <c r="ATG29" s="537"/>
      <c r="ATH29" s="537"/>
      <c r="ATI29" s="537"/>
      <c r="ATJ29" s="537"/>
      <c r="ATK29" s="537"/>
      <c r="ATL29" s="537"/>
      <c r="ATM29" s="537"/>
      <c r="ATN29" s="537"/>
      <c r="ATO29" s="537"/>
      <c r="ATP29" s="537"/>
      <c r="ATQ29" s="537"/>
      <c r="ATR29" s="537"/>
      <c r="ATS29" s="537"/>
      <c r="ATT29" s="537"/>
      <c r="ATU29" s="537"/>
      <c r="ATV29" s="537"/>
      <c r="ATW29" s="537"/>
      <c r="ATX29" s="537"/>
      <c r="ATY29" s="537"/>
      <c r="ATZ29" s="537"/>
      <c r="AUA29" s="537"/>
      <c r="AUB29" s="537"/>
      <c r="AUC29" s="537"/>
      <c r="AUD29" s="537"/>
      <c r="AUE29" s="537"/>
      <c r="AUF29" s="537"/>
      <c r="AUG29" s="537"/>
      <c r="AUH29" s="537"/>
      <c r="AUI29" s="537"/>
      <c r="AUJ29" s="537"/>
      <c r="AUK29" s="537"/>
      <c r="AUL29" s="537"/>
      <c r="AUM29" s="537"/>
      <c r="AUN29" s="537"/>
      <c r="AUO29" s="537"/>
      <c r="AUP29" s="537"/>
      <c r="AUQ29" s="537"/>
      <c r="AUR29" s="537"/>
      <c r="AUS29" s="537"/>
      <c r="AUT29" s="537"/>
      <c r="AUU29" s="537"/>
      <c r="AUV29" s="537"/>
      <c r="AUW29" s="537"/>
      <c r="AUX29" s="537"/>
      <c r="AUY29" s="537"/>
      <c r="AUZ29" s="537"/>
      <c r="AVA29" s="537"/>
      <c r="AVB29" s="537"/>
      <c r="AVC29" s="537"/>
      <c r="AVD29" s="537"/>
      <c r="AVE29" s="537"/>
      <c r="AVF29" s="537"/>
      <c r="AVG29" s="537"/>
      <c r="AVH29" s="537"/>
      <c r="AVI29" s="537"/>
      <c r="AVJ29" s="537"/>
      <c r="AVK29" s="537"/>
      <c r="AVL29" s="537"/>
      <c r="AVM29" s="537"/>
      <c r="AVN29" s="537"/>
      <c r="AVO29" s="537"/>
      <c r="AVP29" s="537"/>
      <c r="AVQ29" s="537"/>
      <c r="AVR29" s="537"/>
      <c r="AVS29" s="537"/>
      <c r="AVT29" s="537"/>
      <c r="AVU29" s="537"/>
      <c r="AVV29" s="537"/>
      <c r="AVW29" s="537"/>
      <c r="AVX29" s="537"/>
      <c r="AVY29" s="537"/>
      <c r="AVZ29" s="537"/>
      <c r="AWA29" s="537"/>
      <c r="AWB29" s="537"/>
      <c r="AWC29" s="537"/>
      <c r="AWD29" s="537"/>
      <c r="AWE29" s="537"/>
      <c r="AWF29" s="537"/>
      <c r="AWG29" s="537"/>
      <c r="AWH29" s="537"/>
      <c r="AWI29" s="537"/>
      <c r="AWJ29" s="537"/>
      <c r="AWK29" s="537"/>
      <c r="AWL29" s="537"/>
      <c r="AWM29" s="537"/>
      <c r="AWN29" s="537"/>
      <c r="AWO29" s="537"/>
      <c r="AWP29" s="537"/>
      <c r="AWQ29" s="537"/>
      <c r="AWR29" s="537"/>
      <c r="AWS29" s="537"/>
      <c r="AWT29" s="537"/>
      <c r="AWU29" s="537"/>
      <c r="AWV29" s="537"/>
      <c r="AWW29" s="537"/>
      <c r="AWX29" s="537"/>
      <c r="AWY29" s="537"/>
      <c r="AWZ29" s="537"/>
      <c r="AXA29" s="537"/>
      <c r="AXB29" s="537"/>
      <c r="AXC29" s="537"/>
      <c r="AXD29" s="537"/>
      <c r="AXE29" s="537"/>
      <c r="AXF29" s="537"/>
      <c r="AXG29" s="537"/>
      <c r="AXH29" s="537"/>
      <c r="AXI29" s="537"/>
      <c r="AXJ29" s="537"/>
      <c r="AXK29" s="537"/>
      <c r="AXL29" s="537"/>
      <c r="AXM29" s="537"/>
      <c r="AXN29" s="537"/>
      <c r="AXO29" s="537"/>
      <c r="AXP29" s="537"/>
      <c r="AXQ29" s="537"/>
      <c r="AXR29" s="537"/>
      <c r="AXS29" s="537"/>
      <c r="AXT29" s="537"/>
      <c r="AXU29" s="537"/>
      <c r="AXV29" s="537"/>
      <c r="AXW29" s="537"/>
      <c r="AXX29" s="537"/>
      <c r="AXY29" s="537"/>
      <c r="AXZ29" s="537"/>
      <c r="AYA29" s="537"/>
      <c r="AYB29" s="537"/>
      <c r="AYC29" s="537"/>
      <c r="AYD29" s="537"/>
      <c r="AYE29" s="537"/>
      <c r="AYF29" s="537"/>
      <c r="AYG29" s="537"/>
      <c r="AYH29" s="537"/>
      <c r="AYI29" s="537"/>
      <c r="AYJ29" s="537"/>
      <c r="AYK29" s="537"/>
      <c r="AYL29" s="537"/>
      <c r="AYM29" s="537"/>
      <c r="AYN29" s="537"/>
      <c r="AYO29" s="537"/>
      <c r="AYP29" s="537"/>
      <c r="AYQ29" s="537"/>
      <c r="AYR29" s="537"/>
      <c r="AYS29" s="537"/>
      <c r="AYT29" s="537"/>
      <c r="AYU29" s="537"/>
      <c r="AYV29" s="537"/>
      <c r="AYW29" s="537"/>
      <c r="AYX29" s="537"/>
      <c r="AYY29" s="537"/>
      <c r="AYZ29" s="537"/>
      <c r="AZA29" s="537"/>
      <c r="AZB29" s="537"/>
      <c r="AZC29" s="537"/>
      <c r="AZD29" s="537"/>
      <c r="AZE29" s="537"/>
      <c r="AZF29" s="537"/>
      <c r="AZG29" s="537"/>
      <c r="AZH29" s="537"/>
      <c r="AZI29" s="537"/>
      <c r="AZJ29" s="537"/>
      <c r="AZK29" s="537"/>
      <c r="AZL29" s="537"/>
      <c r="AZM29" s="537"/>
      <c r="AZN29" s="537"/>
      <c r="AZO29" s="537"/>
      <c r="AZP29" s="537"/>
      <c r="AZQ29" s="537"/>
      <c r="AZR29" s="537"/>
      <c r="AZS29" s="537"/>
      <c r="AZT29" s="537"/>
      <c r="AZU29" s="537"/>
      <c r="AZV29" s="537"/>
      <c r="AZW29" s="537"/>
      <c r="AZX29" s="537"/>
      <c r="AZY29" s="537"/>
      <c r="AZZ29" s="537"/>
      <c r="BAA29" s="537"/>
      <c r="BAB29" s="537"/>
      <c r="BAC29" s="537"/>
      <c r="BAD29" s="537"/>
      <c r="BAE29" s="537"/>
      <c r="BAF29" s="537"/>
      <c r="BAG29" s="537"/>
      <c r="BAH29" s="537"/>
      <c r="BAI29" s="537"/>
      <c r="BAJ29" s="537"/>
      <c r="BAK29" s="537"/>
      <c r="BAL29" s="537"/>
      <c r="BAM29" s="537"/>
      <c r="BAN29" s="537"/>
      <c r="BAO29" s="537"/>
      <c r="BAP29" s="537"/>
      <c r="BAQ29" s="537"/>
      <c r="BAR29" s="537"/>
      <c r="BAS29" s="537"/>
      <c r="BAT29" s="537"/>
      <c r="BAU29" s="537"/>
      <c r="BAV29" s="537"/>
      <c r="BAW29" s="537"/>
      <c r="BAX29" s="537"/>
      <c r="BAY29" s="537"/>
      <c r="BAZ29" s="537"/>
      <c r="BBA29" s="537"/>
      <c r="BBB29" s="537"/>
      <c r="BBC29" s="537"/>
      <c r="BBD29" s="537"/>
      <c r="BBE29" s="537"/>
      <c r="BBF29" s="537"/>
      <c r="BBG29" s="537"/>
      <c r="BBH29" s="537"/>
      <c r="BBI29" s="537"/>
      <c r="BBJ29" s="537"/>
      <c r="BBK29" s="537"/>
      <c r="BBL29" s="537"/>
      <c r="BBM29" s="537"/>
      <c r="BBN29" s="537"/>
      <c r="BBO29" s="537"/>
      <c r="BBP29" s="537"/>
      <c r="BBQ29" s="537"/>
      <c r="BBR29" s="537"/>
      <c r="BBS29" s="537"/>
      <c r="BBT29" s="537"/>
      <c r="BBU29" s="537"/>
      <c r="BBV29" s="537"/>
      <c r="BBW29" s="537"/>
      <c r="BBX29" s="537"/>
      <c r="BBY29" s="537"/>
      <c r="BBZ29" s="537"/>
      <c r="BCA29" s="537"/>
      <c r="BCB29" s="537"/>
      <c r="BCC29" s="537"/>
      <c r="BCD29" s="537"/>
      <c r="BCE29" s="537"/>
      <c r="BCF29" s="537"/>
      <c r="BCG29" s="537"/>
      <c r="BCH29" s="537"/>
      <c r="BCI29" s="537"/>
      <c r="BCJ29" s="537"/>
      <c r="BCK29" s="537"/>
      <c r="BCL29" s="537"/>
      <c r="BCM29" s="537"/>
      <c r="BCN29" s="537"/>
      <c r="BCO29" s="537"/>
      <c r="BCP29" s="537"/>
      <c r="BCQ29" s="537"/>
      <c r="BCR29" s="537"/>
      <c r="BCS29" s="537"/>
      <c r="BCT29" s="537"/>
      <c r="BCU29" s="537"/>
      <c r="BCV29" s="537"/>
      <c r="BCW29" s="537"/>
      <c r="BCX29" s="537"/>
      <c r="BCY29" s="537"/>
      <c r="BCZ29" s="537"/>
      <c r="BDA29" s="537"/>
      <c r="BDB29" s="537"/>
      <c r="BDC29" s="537"/>
      <c r="BDD29" s="537"/>
      <c r="BDE29" s="537"/>
      <c r="BDF29" s="537"/>
      <c r="BDG29" s="537"/>
      <c r="BDH29" s="537"/>
      <c r="BDI29" s="537"/>
      <c r="BDJ29" s="537"/>
      <c r="BDK29" s="537"/>
      <c r="BDL29" s="537"/>
      <c r="BDM29" s="537"/>
      <c r="BDN29" s="537"/>
      <c r="BDO29" s="537"/>
      <c r="BDP29" s="537"/>
      <c r="BDQ29" s="537"/>
      <c r="BDR29" s="537"/>
      <c r="BDS29" s="537"/>
      <c r="BDT29" s="537"/>
      <c r="BDU29" s="537"/>
      <c r="BDV29" s="537"/>
      <c r="BDW29" s="537"/>
      <c r="BDX29" s="537"/>
      <c r="BDY29" s="537"/>
      <c r="BDZ29" s="537"/>
      <c r="BEA29" s="537"/>
      <c r="BEB29" s="537"/>
      <c r="BEC29" s="537"/>
      <c r="BED29" s="537"/>
      <c r="BEE29" s="537"/>
      <c r="BEF29" s="537"/>
      <c r="BEG29" s="537"/>
      <c r="BEH29" s="537"/>
      <c r="BEI29" s="537"/>
      <c r="BEJ29" s="537"/>
      <c r="BEK29" s="537"/>
      <c r="BEL29" s="537"/>
      <c r="BEM29" s="537"/>
      <c r="BEN29" s="537"/>
      <c r="BEO29" s="537"/>
      <c r="BEP29" s="537"/>
      <c r="BEQ29" s="537"/>
      <c r="BER29" s="537"/>
      <c r="BES29" s="537"/>
      <c r="BET29" s="537"/>
      <c r="BEU29" s="537"/>
      <c r="BEV29" s="537"/>
      <c r="BEW29" s="537"/>
      <c r="BEX29" s="537"/>
      <c r="BEY29" s="537"/>
      <c r="BEZ29" s="537"/>
      <c r="BFA29" s="537"/>
      <c r="BFB29" s="537"/>
      <c r="BFC29" s="537"/>
      <c r="BFD29" s="537"/>
      <c r="BFE29" s="537"/>
      <c r="BFF29" s="537"/>
      <c r="BFG29" s="537"/>
      <c r="BFH29" s="537"/>
      <c r="BFI29" s="537"/>
      <c r="BFJ29" s="537"/>
      <c r="BFK29" s="537"/>
      <c r="BFL29" s="537"/>
      <c r="BFM29" s="537"/>
      <c r="BFN29" s="537"/>
      <c r="BFO29" s="537"/>
      <c r="BFP29" s="537"/>
      <c r="BFQ29" s="537"/>
      <c r="BFR29" s="537"/>
      <c r="BFS29" s="537"/>
      <c r="BFT29" s="537"/>
      <c r="BFU29" s="537"/>
      <c r="BFV29" s="537"/>
      <c r="BFW29" s="537"/>
      <c r="BFX29" s="537"/>
      <c r="BFY29" s="537"/>
      <c r="BFZ29" s="537"/>
      <c r="BGA29" s="537"/>
      <c r="BGB29" s="537"/>
      <c r="BGC29" s="537"/>
      <c r="BGD29" s="537"/>
      <c r="BGE29" s="537"/>
      <c r="BGF29" s="537"/>
      <c r="BGG29" s="537"/>
      <c r="BGH29" s="537"/>
      <c r="BGI29" s="537"/>
      <c r="BGJ29" s="537"/>
      <c r="BGK29" s="537"/>
      <c r="BGL29" s="537"/>
      <c r="BGM29" s="537"/>
      <c r="BGN29" s="537"/>
      <c r="BGO29" s="537"/>
      <c r="BGP29" s="537"/>
      <c r="BGQ29" s="537"/>
      <c r="BGR29" s="537"/>
      <c r="BGS29" s="537"/>
      <c r="BGT29" s="537"/>
      <c r="BGU29" s="537"/>
      <c r="BGV29" s="537"/>
      <c r="BGW29" s="537"/>
      <c r="BGX29" s="537"/>
      <c r="BGY29" s="537"/>
      <c r="BGZ29" s="537"/>
      <c r="BHA29" s="537"/>
      <c r="BHB29" s="537"/>
      <c r="BHC29" s="537"/>
      <c r="BHD29" s="537"/>
      <c r="BHE29" s="537"/>
      <c r="BHF29" s="537"/>
      <c r="BHG29" s="537"/>
      <c r="BHH29" s="537"/>
      <c r="BHI29" s="537"/>
      <c r="BHJ29" s="537"/>
      <c r="BHK29" s="537"/>
      <c r="BHL29" s="537"/>
      <c r="BHM29" s="537"/>
      <c r="BHN29" s="537"/>
      <c r="BHO29" s="537"/>
      <c r="BHP29" s="537"/>
      <c r="BHQ29" s="537"/>
      <c r="BHR29" s="537"/>
      <c r="BHS29" s="537"/>
      <c r="BHT29" s="537"/>
      <c r="BHU29" s="537"/>
      <c r="BHV29" s="537"/>
      <c r="BHW29" s="537"/>
      <c r="BHX29" s="537"/>
      <c r="BHY29" s="537"/>
      <c r="BHZ29" s="537"/>
      <c r="BIA29" s="537"/>
      <c r="BIB29" s="537"/>
      <c r="BIC29" s="537"/>
      <c r="BID29" s="537"/>
      <c r="BIE29" s="537"/>
      <c r="BIF29" s="537"/>
      <c r="BIG29" s="537"/>
      <c r="BIH29" s="537"/>
      <c r="BII29" s="537"/>
      <c r="BIJ29" s="537"/>
      <c r="BIK29" s="537"/>
      <c r="BIL29" s="537"/>
      <c r="BIM29" s="537"/>
      <c r="BIN29" s="537"/>
      <c r="BIO29" s="537"/>
      <c r="BIP29" s="537"/>
      <c r="BIQ29" s="537"/>
      <c r="BIR29" s="537"/>
      <c r="BIS29" s="537"/>
      <c r="BIT29" s="537"/>
      <c r="BIU29" s="537"/>
      <c r="BIV29" s="537"/>
      <c r="BIW29" s="537"/>
      <c r="BIX29" s="537"/>
      <c r="BIY29" s="537"/>
      <c r="BIZ29" s="537"/>
      <c r="BJA29" s="537"/>
      <c r="BJB29" s="537"/>
      <c r="BJC29" s="537"/>
      <c r="BJD29" s="537"/>
      <c r="BJE29" s="537"/>
      <c r="BJF29" s="537"/>
      <c r="BJG29" s="537"/>
      <c r="BJH29" s="537"/>
      <c r="BJI29" s="537"/>
      <c r="BJJ29" s="537"/>
      <c r="BJK29" s="537"/>
      <c r="BJL29" s="537"/>
      <c r="BJM29" s="537"/>
      <c r="BJN29" s="537"/>
      <c r="BJO29" s="537"/>
      <c r="BJP29" s="537"/>
      <c r="BJQ29" s="537"/>
      <c r="BJR29" s="537"/>
      <c r="BJS29" s="537"/>
      <c r="BJT29" s="537"/>
      <c r="BJU29" s="537"/>
      <c r="BJV29" s="537"/>
      <c r="BJW29" s="537"/>
      <c r="BJX29" s="537"/>
      <c r="BJY29" s="537"/>
      <c r="BJZ29" s="537"/>
      <c r="BKA29" s="537"/>
      <c r="BKB29" s="537"/>
      <c r="BKC29" s="537"/>
      <c r="BKD29" s="537"/>
      <c r="BKE29" s="537"/>
      <c r="BKF29" s="537"/>
      <c r="BKG29" s="537"/>
      <c r="BKH29" s="537"/>
      <c r="BKI29" s="537"/>
      <c r="BKJ29" s="537"/>
      <c r="BKK29" s="537"/>
      <c r="BKL29" s="537"/>
      <c r="BKM29" s="537"/>
      <c r="BKN29" s="537"/>
      <c r="BKO29" s="537"/>
      <c r="BKP29" s="537"/>
      <c r="BKQ29" s="537"/>
      <c r="BKR29" s="537"/>
      <c r="BKS29" s="537"/>
      <c r="BKT29" s="537"/>
      <c r="BKU29" s="537"/>
      <c r="BKV29" s="537"/>
      <c r="BKW29" s="537"/>
      <c r="BKX29" s="537"/>
      <c r="BKY29" s="537"/>
      <c r="BKZ29" s="537"/>
      <c r="BLA29" s="537"/>
      <c r="BLB29" s="537"/>
      <c r="BLC29" s="537"/>
      <c r="BLD29" s="537"/>
      <c r="BLE29" s="537"/>
      <c r="BLF29" s="537"/>
      <c r="BLG29" s="537"/>
      <c r="BLH29" s="537"/>
      <c r="BLI29" s="537"/>
      <c r="BLJ29" s="537"/>
      <c r="BLK29" s="537"/>
      <c r="BLL29" s="537"/>
      <c r="BLM29" s="537"/>
      <c r="BLN29" s="537"/>
      <c r="BLO29" s="537"/>
      <c r="BLP29" s="537"/>
      <c r="BLQ29" s="537"/>
      <c r="BLR29" s="537"/>
      <c r="BLS29" s="537"/>
      <c r="BLT29" s="537"/>
      <c r="BLU29" s="537"/>
      <c r="BLV29" s="537"/>
      <c r="BLW29" s="537"/>
      <c r="BLX29" s="537"/>
      <c r="BLY29" s="537"/>
      <c r="BLZ29" s="537"/>
      <c r="BMA29" s="537"/>
      <c r="BMB29" s="537"/>
      <c r="BMC29" s="537"/>
      <c r="BMD29" s="537"/>
      <c r="BME29" s="537"/>
      <c r="BMF29" s="537"/>
      <c r="BMG29" s="537"/>
      <c r="BMH29" s="537"/>
      <c r="BMI29" s="537"/>
      <c r="BMJ29" s="537"/>
      <c r="BMK29" s="537"/>
      <c r="BML29" s="537"/>
      <c r="BMM29" s="537"/>
      <c r="BMN29" s="537"/>
      <c r="BMO29" s="537"/>
      <c r="BMP29" s="537"/>
      <c r="BMQ29" s="537"/>
      <c r="BMR29" s="537"/>
      <c r="BMS29" s="537"/>
      <c r="BMT29" s="537"/>
      <c r="BMU29" s="537"/>
      <c r="BMV29" s="537"/>
      <c r="BMW29" s="537"/>
      <c r="BMX29" s="537"/>
      <c r="BMY29" s="537"/>
      <c r="BMZ29" s="537"/>
      <c r="BNA29" s="537"/>
      <c r="BNB29" s="537"/>
      <c r="BNC29" s="537"/>
      <c r="BND29" s="537"/>
      <c r="BNE29" s="537"/>
      <c r="BNF29" s="537"/>
      <c r="BNG29" s="537"/>
      <c r="BNH29" s="537"/>
      <c r="BNI29" s="537"/>
      <c r="BNJ29" s="537"/>
      <c r="BNK29" s="537"/>
      <c r="BNL29" s="537"/>
      <c r="BNM29" s="537"/>
      <c r="BNN29" s="537"/>
      <c r="BNO29" s="537"/>
      <c r="BNP29" s="537"/>
      <c r="BNQ29" s="537"/>
      <c r="BNR29" s="537"/>
      <c r="BNS29" s="537"/>
      <c r="BNT29" s="537"/>
      <c r="BNU29" s="537"/>
      <c r="BNV29" s="537"/>
      <c r="BNW29" s="537"/>
      <c r="BNX29" s="537"/>
      <c r="BNY29" s="537"/>
      <c r="BNZ29" s="537"/>
      <c r="BOA29" s="537"/>
      <c r="BOB29" s="537"/>
      <c r="BOC29" s="537"/>
      <c r="BOD29" s="537"/>
      <c r="BOE29" s="537"/>
      <c r="BOF29" s="537"/>
      <c r="BOG29" s="537"/>
      <c r="BOH29" s="537"/>
      <c r="BOI29" s="537"/>
      <c r="BOJ29" s="537"/>
      <c r="BOK29" s="537"/>
      <c r="BOL29" s="537"/>
      <c r="BOM29" s="537"/>
      <c r="BON29" s="537"/>
      <c r="BOO29" s="537"/>
      <c r="BOP29" s="537"/>
      <c r="BOQ29" s="537"/>
      <c r="BOR29" s="537"/>
      <c r="BOS29" s="537"/>
      <c r="BOT29" s="537"/>
      <c r="BOU29" s="537"/>
      <c r="BOV29" s="537"/>
      <c r="BOW29" s="537"/>
      <c r="BOX29" s="537"/>
      <c r="BOY29" s="537"/>
      <c r="BOZ29" s="537"/>
      <c r="BPA29" s="537"/>
      <c r="BPB29" s="537"/>
      <c r="BPC29" s="537"/>
      <c r="BPD29" s="537"/>
      <c r="BPE29" s="537"/>
      <c r="BPF29" s="537"/>
      <c r="BPG29" s="537"/>
      <c r="BPH29" s="537"/>
      <c r="BPI29" s="537"/>
      <c r="BPJ29" s="537"/>
      <c r="BPK29" s="537"/>
      <c r="BPL29" s="537"/>
      <c r="BPM29" s="537"/>
      <c r="BPN29" s="537"/>
      <c r="BPO29" s="537"/>
      <c r="BPP29" s="537"/>
      <c r="BPQ29" s="537"/>
      <c r="BPR29" s="537"/>
      <c r="BPS29" s="537"/>
      <c r="BPT29" s="537"/>
      <c r="BPU29" s="537"/>
      <c r="BPV29" s="537"/>
      <c r="BPW29" s="537"/>
      <c r="BPX29" s="537"/>
      <c r="BPY29" s="537"/>
      <c r="BPZ29" s="537"/>
      <c r="BQA29" s="537"/>
      <c r="BQB29" s="537"/>
      <c r="BQC29" s="537"/>
      <c r="BQD29" s="537"/>
      <c r="BQE29" s="537"/>
      <c r="BQF29" s="537"/>
      <c r="BQG29" s="537"/>
      <c r="BQH29" s="537"/>
      <c r="BQI29" s="537"/>
      <c r="BQJ29" s="537"/>
      <c r="BQK29" s="537"/>
      <c r="BQL29" s="537"/>
      <c r="BQM29" s="537"/>
      <c r="BQN29" s="537"/>
      <c r="BQO29" s="537"/>
      <c r="BQP29" s="537"/>
      <c r="BQQ29" s="537"/>
      <c r="BQR29" s="537"/>
      <c r="BQS29" s="537"/>
      <c r="BQT29" s="537"/>
      <c r="BQU29" s="537"/>
      <c r="BQV29" s="537"/>
      <c r="BQW29" s="537"/>
      <c r="BQX29" s="537"/>
      <c r="BQY29" s="537"/>
      <c r="BQZ29" s="537"/>
      <c r="BRA29" s="537"/>
      <c r="BRB29" s="537"/>
      <c r="BRC29" s="537"/>
      <c r="BRD29" s="537"/>
      <c r="BRE29" s="537"/>
      <c r="BRF29" s="537"/>
      <c r="BRG29" s="537"/>
      <c r="BRH29" s="537"/>
      <c r="BRI29" s="537"/>
      <c r="BRJ29" s="537"/>
      <c r="BRK29" s="537"/>
      <c r="BRL29" s="537"/>
      <c r="BRM29" s="537"/>
      <c r="BRN29" s="537"/>
      <c r="BRO29" s="537"/>
      <c r="BRP29" s="537"/>
      <c r="BRQ29" s="537"/>
      <c r="BRR29" s="537"/>
      <c r="BRS29" s="537"/>
      <c r="BRT29" s="537"/>
      <c r="BRU29" s="537"/>
      <c r="BRV29" s="537"/>
      <c r="BRW29" s="537"/>
      <c r="BRX29" s="537"/>
      <c r="BRY29" s="537"/>
      <c r="BRZ29" s="537"/>
      <c r="BSA29" s="537"/>
      <c r="BSB29" s="537"/>
      <c r="BSC29" s="537"/>
      <c r="BSD29" s="537"/>
      <c r="BSE29" s="537"/>
      <c r="BSF29" s="537"/>
      <c r="BSG29" s="537"/>
      <c r="BSH29" s="537"/>
      <c r="BSI29" s="537"/>
      <c r="BSJ29" s="537"/>
      <c r="BSK29" s="537"/>
      <c r="BSL29" s="537"/>
      <c r="BSM29" s="537"/>
      <c r="BSN29" s="537"/>
      <c r="BSO29" s="537"/>
      <c r="BSP29" s="537"/>
      <c r="BSQ29" s="537"/>
      <c r="BSR29" s="537"/>
      <c r="BSS29" s="537"/>
      <c r="BST29" s="537"/>
      <c r="BSU29" s="537"/>
      <c r="BSV29" s="537"/>
      <c r="BSW29" s="537"/>
      <c r="BSX29" s="537"/>
      <c r="BSY29" s="537"/>
      <c r="BSZ29" s="537"/>
      <c r="BTA29" s="537"/>
      <c r="BTB29" s="537"/>
      <c r="BTC29" s="537"/>
      <c r="BTD29" s="537"/>
      <c r="BTE29" s="537"/>
      <c r="BTF29" s="537"/>
      <c r="BTG29" s="537"/>
      <c r="BTH29" s="537"/>
      <c r="BTI29" s="537"/>
      <c r="BTJ29" s="537"/>
      <c r="BTK29" s="537"/>
      <c r="BTL29" s="537"/>
      <c r="BTM29" s="537"/>
      <c r="BTN29" s="537"/>
      <c r="BTO29" s="537"/>
      <c r="BTP29" s="537"/>
      <c r="BTQ29" s="537"/>
      <c r="BTR29" s="537"/>
      <c r="BTS29" s="537"/>
      <c r="BTT29" s="537"/>
      <c r="BTU29" s="537"/>
      <c r="BTV29" s="537"/>
      <c r="BTW29" s="537"/>
      <c r="BTX29" s="537"/>
      <c r="BTY29" s="537"/>
      <c r="BTZ29" s="537"/>
      <c r="BUA29" s="537"/>
      <c r="BUB29" s="537"/>
      <c r="BUC29" s="537"/>
      <c r="BUD29" s="537"/>
      <c r="BUE29" s="537"/>
      <c r="BUF29" s="537"/>
      <c r="BUG29" s="537"/>
      <c r="BUH29" s="537"/>
      <c r="BUI29" s="537"/>
      <c r="BUJ29" s="537"/>
      <c r="BUK29" s="537"/>
      <c r="BUL29" s="537"/>
      <c r="BUM29" s="537"/>
      <c r="BUN29" s="537"/>
      <c r="BUO29" s="537"/>
      <c r="BUP29" s="537"/>
      <c r="BUQ29" s="537"/>
      <c r="BUR29" s="537"/>
      <c r="BUS29" s="537"/>
      <c r="BUT29" s="537"/>
      <c r="BUU29" s="537"/>
      <c r="BUV29" s="537"/>
      <c r="BUW29" s="537"/>
      <c r="BUX29" s="537"/>
      <c r="BUY29" s="537"/>
      <c r="BUZ29" s="537"/>
      <c r="BVA29" s="537"/>
      <c r="BVB29" s="537"/>
      <c r="BVC29" s="537"/>
      <c r="BVD29" s="537"/>
      <c r="BVE29" s="537"/>
      <c r="BVF29" s="537"/>
      <c r="BVG29" s="537"/>
      <c r="BVH29" s="537"/>
      <c r="BVI29" s="537"/>
      <c r="BVJ29" s="537"/>
      <c r="BVK29" s="537"/>
      <c r="BVL29" s="537"/>
      <c r="BVM29" s="537"/>
      <c r="BVN29" s="537"/>
      <c r="BVO29" s="537"/>
      <c r="BVP29" s="537"/>
      <c r="BVQ29" s="537"/>
      <c r="BVR29" s="537"/>
      <c r="BVS29" s="537"/>
      <c r="BVT29" s="537"/>
      <c r="BVU29" s="537"/>
      <c r="BVV29" s="537"/>
      <c r="BVW29" s="537"/>
      <c r="BVX29" s="537"/>
      <c r="BVY29" s="537"/>
      <c r="BVZ29" s="537"/>
      <c r="BWA29" s="537"/>
      <c r="BWB29" s="537"/>
      <c r="BWC29" s="537"/>
      <c r="BWD29" s="537"/>
      <c r="BWE29" s="537"/>
      <c r="BWF29" s="537"/>
      <c r="BWG29" s="537"/>
      <c r="BWH29" s="537"/>
      <c r="BWI29" s="537"/>
      <c r="BWJ29" s="537"/>
      <c r="BWK29" s="537"/>
      <c r="BWL29" s="537"/>
      <c r="BWM29" s="537"/>
      <c r="BWN29" s="537"/>
      <c r="BWO29" s="537"/>
      <c r="BWP29" s="537"/>
      <c r="BWQ29" s="537"/>
      <c r="BWR29" s="537"/>
      <c r="BWS29" s="537"/>
      <c r="BWT29" s="537"/>
      <c r="BWU29" s="537"/>
      <c r="BWV29" s="537"/>
      <c r="BWW29" s="537"/>
      <c r="BWX29" s="537"/>
      <c r="BWY29" s="537"/>
      <c r="BWZ29" s="537"/>
      <c r="BXA29" s="537"/>
      <c r="BXB29" s="537"/>
      <c r="BXC29" s="537"/>
      <c r="BXD29" s="537"/>
      <c r="BXE29" s="537"/>
      <c r="BXF29" s="537"/>
      <c r="BXG29" s="537"/>
      <c r="BXH29" s="537"/>
      <c r="BXI29" s="537"/>
      <c r="BXJ29" s="537"/>
      <c r="BXK29" s="537"/>
      <c r="BXL29" s="537"/>
      <c r="BXM29" s="537"/>
      <c r="BXN29" s="537"/>
      <c r="BXO29" s="537"/>
      <c r="BXP29" s="537"/>
      <c r="BXQ29" s="537"/>
      <c r="BXR29" s="537"/>
      <c r="BXS29" s="537"/>
      <c r="BXT29" s="537"/>
      <c r="BXU29" s="537"/>
      <c r="BXV29" s="537"/>
      <c r="BXW29" s="537"/>
      <c r="BXX29" s="537"/>
      <c r="BXY29" s="537"/>
      <c r="BXZ29" s="537"/>
      <c r="BYA29" s="537"/>
      <c r="BYB29" s="537"/>
      <c r="BYC29" s="537"/>
      <c r="BYD29" s="537"/>
      <c r="BYE29" s="537"/>
      <c r="BYF29" s="537"/>
      <c r="BYG29" s="537"/>
      <c r="BYH29" s="537"/>
      <c r="BYI29" s="537"/>
      <c r="BYJ29" s="537"/>
      <c r="BYK29" s="537"/>
      <c r="BYL29" s="537"/>
      <c r="BYM29" s="537"/>
      <c r="BYN29" s="537"/>
      <c r="BYO29" s="537"/>
      <c r="BYP29" s="537"/>
      <c r="BYQ29" s="537"/>
      <c r="BYR29" s="537"/>
      <c r="BYS29" s="537"/>
      <c r="BYT29" s="537"/>
      <c r="BYU29" s="537"/>
      <c r="BYV29" s="537"/>
      <c r="BYW29" s="537"/>
      <c r="BYX29" s="537"/>
      <c r="BYY29" s="537"/>
      <c r="BYZ29" s="537"/>
      <c r="BZA29" s="537"/>
      <c r="BZB29" s="537"/>
      <c r="BZC29" s="537"/>
      <c r="BZD29" s="537"/>
      <c r="BZE29" s="537"/>
      <c r="BZF29" s="537"/>
      <c r="BZG29" s="537"/>
      <c r="BZH29" s="537"/>
      <c r="BZI29" s="537"/>
      <c r="BZJ29" s="537"/>
      <c r="BZK29" s="537"/>
      <c r="BZL29" s="537"/>
      <c r="BZM29" s="537"/>
      <c r="BZN29" s="537"/>
      <c r="BZO29" s="537"/>
      <c r="BZP29" s="537"/>
      <c r="BZQ29" s="537"/>
      <c r="BZR29" s="537"/>
      <c r="BZS29" s="537"/>
      <c r="BZT29" s="537"/>
      <c r="BZU29" s="537"/>
      <c r="BZV29" s="537"/>
      <c r="BZW29" s="537"/>
      <c r="BZX29" s="537"/>
      <c r="BZY29" s="537"/>
      <c r="BZZ29" s="537"/>
      <c r="CAA29" s="537"/>
      <c r="CAB29" s="537"/>
      <c r="CAC29" s="537"/>
      <c r="CAD29" s="537"/>
      <c r="CAE29" s="537"/>
      <c r="CAF29" s="537"/>
      <c r="CAG29" s="537"/>
      <c r="CAH29" s="537"/>
      <c r="CAI29" s="537"/>
      <c r="CAJ29" s="537"/>
      <c r="CAK29" s="537"/>
      <c r="CAL29" s="537"/>
      <c r="CAM29" s="537"/>
      <c r="CAN29" s="537"/>
      <c r="CAO29" s="537"/>
      <c r="CAP29" s="537"/>
      <c r="CAQ29" s="537"/>
      <c r="CAR29" s="537"/>
      <c r="CAS29" s="537"/>
      <c r="CAT29" s="537"/>
      <c r="CAU29" s="537"/>
      <c r="CAV29" s="537"/>
      <c r="CAW29" s="537"/>
      <c r="CAX29" s="537"/>
      <c r="CAY29" s="537"/>
      <c r="CAZ29" s="537"/>
      <c r="CBA29" s="537"/>
      <c r="CBB29" s="537"/>
      <c r="CBC29" s="537"/>
      <c r="CBD29" s="537"/>
      <c r="CBE29" s="537"/>
      <c r="CBF29" s="537"/>
      <c r="CBG29" s="537"/>
      <c r="CBH29" s="537"/>
      <c r="CBI29" s="537"/>
      <c r="CBJ29" s="537"/>
      <c r="CBK29" s="537"/>
      <c r="CBL29" s="537"/>
      <c r="CBM29" s="537"/>
      <c r="CBN29" s="537"/>
      <c r="CBO29" s="537"/>
      <c r="CBP29" s="537"/>
      <c r="CBQ29" s="537"/>
      <c r="CBR29" s="537"/>
      <c r="CBS29" s="537"/>
      <c r="CBT29" s="537"/>
      <c r="CBU29" s="537"/>
      <c r="CBV29" s="537"/>
      <c r="CBW29" s="537"/>
      <c r="CBX29" s="537"/>
      <c r="CBY29" s="537"/>
      <c r="CBZ29" s="537"/>
      <c r="CCA29" s="537"/>
      <c r="CCB29" s="537"/>
      <c r="CCC29" s="537"/>
      <c r="CCD29" s="537"/>
      <c r="CCE29" s="537"/>
      <c r="CCF29" s="537"/>
      <c r="CCG29" s="537"/>
      <c r="CCH29" s="537"/>
      <c r="CCI29" s="537"/>
      <c r="CCJ29" s="537"/>
      <c r="CCK29" s="537"/>
      <c r="CCL29" s="537"/>
      <c r="CCM29" s="537"/>
      <c r="CCN29" s="537"/>
      <c r="CCO29" s="537"/>
      <c r="CCP29" s="537"/>
      <c r="CCQ29" s="537"/>
      <c r="CCR29" s="537"/>
      <c r="CCS29" s="537"/>
      <c r="CCT29" s="537"/>
      <c r="CCU29" s="537"/>
      <c r="CCV29" s="537"/>
      <c r="CCW29" s="537"/>
      <c r="CCX29" s="537"/>
      <c r="CCY29" s="537"/>
      <c r="CCZ29" s="537"/>
      <c r="CDA29" s="537"/>
      <c r="CDB29" s="537"/>
      <c r="CDC29" s="537"/>
      <c r="CDD29" s="537"/>
      <c r="CDE29" s="537"/>
      <c r="CDF29" s="537"/>
      <c r="CDG29" s="537"/>
      <c r="CDH29" s="537"/>
      <c r="CDI29" s="537"/>
      <c r="CDJ29" s="537"/>
      <c r="CDK29" s="537"/>
      <c r="CDL29" s="537"/>
      <c r="CDM29" s="537"/>
      <c r="CDN29" s="537"/>
      <c r="CDO29" s="537"/>
      <c r="CDP29" s="537"/>
      <c r="CDQ29" s="537"/>
      <c r="CDR29" s="537"/>
      <c r="CDS29" s="537"/>
      <c r="CDT29" s="537"/>
      <c r="CDU29" s="537"/>
      <c r="CDV29" s="537"/>
      <c r="CDW29" s="537"/>
      <c r="CDX29" s="537"/>
      <c r="CDY29" s="537"/>
      <c r="CDZ29" s="537"/>
      <c r="CEA29" s="537"/>
      <c r="CEB29" s="537"/>
      <c r="CEC29" s="537"/>
      <c r="CED29" s="537"/>
      <c r="CEE29" s="537"/>
      <c r="CEF29" s="537"/>
      <c r="CEG29" s="537"/>
      <c r="CEH29" s="537"/>
      <c r="CEI29" s="537"/>
      <c r="CEJ29" s="537"/>
      <c r="CEK29" s="537"/>
      <c r="CEL29" s="537"/>
      <c r="CEM29" s="537"/>
      <c r="CEN29" s="537"/>
      <c r="CEO29" s="537"/>
      <c r="CEP29" s="537"/>
      <c r="CEQ29" s="537"/>
      <c r="CER29" s="537"/>
      <c r="CES29" s="537"/>
      <c r="CET29" s="537"/>
      <c r="CEU29" s="537"/>
      <c r="CEV29" s="537"/>
      <c r="CEW29" s="537"/>
      <c r="CEX29" s="537"/>
      <c r="CEY29" s="537"/>
      <c r="CEZ29" s="537"/>
      <c r="CFA29" s="537"/>
      <c r="CFB29" s="537"/>
      <c r="CFC29" s="537"/>
      <c r="CFD29" s="537"/>
      <c r="CFE29" s="537"/>
      <c r="CFF29" s="537"/>
      <c r="CFG29" s="537"/>
      <c r="CFH29" s="537"/>
      <c r="CFI29" s="537"/>
      <c r="CFJ29" s="537"/>
      <c r="CFK29" s="537"/>
      <c r="CFL29" s="537"/>
      <c r="CFM29" s="537"/>
      <c r="CFN29" s="537"/>
      <c r="CFO29" s="537"/>
      <c r="CFP29" s="537"/>
      <c r="CFQ29" s="537"/>
      <c r="CFR29" s="537"/>
      <c r="CFS29" s="537"/>
      <c r="CFT29" s="537"/>
      <c r="CFU29" s="537"/>
      <c r="CFV29" s="537"/>
      <c r="CFW29" s="537"/>
      <c r="CFX29" s="537"/>
      <c r="CFY29" s="537"/>
      <c r="CFZ29" s="537"/>
      <c r="CGA29" s="537"/>
      <c r="CGB29" s="537"/>
      <c r="CGC29" s="537"/>
      <c r="CGD29" s="537"/>
      <c r="CGE29" s="537"/>
      <c r="CGF29" s="537"/>
      <c r="CGG29" s="537"/>
      <c r="CGH29" s="537"/>
      <c r="CGI29" s="537"/>
      <c r="CGJ29" s="537"/>
      <c r="CGK29" s="537"/>
      <c r="CGL29" s="537"/>
      <c r="CGM29" s="537"/>
      <c r="CGN29" s="537"/>
      <c r="CGO29" s="537"/>
      <c r="CGP29" s="537"/>
      <c r="CGQ29" s="537"/>
      <c r="CGR29" s="537"/>
      <c r="CGS29" s="537"/>
      <c r="CGT29" s="537"/>
      <c r="CGU29" s="537"/>
      <c r="CGV29" s="537"/>
      <c r="CGW29" s="537"/>
      <c r="CGX29" s="537"/>
      <c r="CGY29" s="537"/>
      <c r="CGZ29" s="537"/>
      <c r="CHA29" s="537"/>
      <c r="CHB29" s="537"/>
      <c r="CHC29" s="537"/>
      <c r="CHD29" s="537"/>
      <c r="CHE29" s="537"/>
      <c r="CHF29" s="537"/>
      <c r="CHG29" s="537"/>
      <c r="CHH29" s="537"/>
      <c r="CHI29" s="537"/>
      <c r="CHJ29" s="537"/>
      <c r="CHK29" s="537"/>
      <c r="CHL29" s="537"/>
      <c r="CHM29" s="537"/>
      <c r="CHN29" s="537"/>
      <c r="CHO29" s="537"/>
      <c r="CHP29" s="537"/>
      <c r="CHQ29" s="537"/>
      <c r="CHR29" s="537"/>
      <c r="CHS29" s="537"/>
      <c r="CHT29" s="537"/>
      <c r="CHU29" s="537"/>
      <c r="CHV29" s="537"/>
      <c r="CHW29" s="537"/>
      <c r="CHX29" s="537"/>
      <c r="CHY29" s="537"/>
      <c r="CHZ29" s="537"/>
      <c r="CIA29" s="537"/>
      <c r="CIB29" s="537"/>
      <c r="CIC29" s="537"/>
      <c r="CID29" s="537"/>
      <c r="CIE29" s="537"/>
      <c r="CIF29" s="537"/>
      <c r="CIG29" s="537"/>
      <c r="CIH29" s="537"/>
      <c r="CII29" s="537"/>
      <c r="CIJ29" s="537"/>
      <c r="CIK29" s="537"/>
      <c r="CIL29" s="537"/>
      <c r="CIM29" s="537"/>
      <c r="CIN29" s="537"/>
      <c r="CIO29" s="537"/>
      <c r="CIP29" s="537"/>
      <c r="CIQ29" s="537"/>
      <c r="CIR29" s="537"/>
      <c r="CIS29" s="537"/>
      <c r="CIT29" s="537"/>
      <c r="CIU29" s="537"/>
      <c r="CIV29" s="537"/>
      <c r="CIW29" s="537"/>
      <c r="CIX29" s="537"/>
      <c r="CIY29" s="537"/>
      <c r="CIZ29" s="537"/>
      <c r="CJA29" s="537"/>
      <c r="CJB29" s="537"/>
      <c r="CJC29" s="537"/>
      <c r="CJD29" s="537"/>
      <c r="CJE29" s="537"/>
      <c r="CJF29" s="537"/>
      <c r="CJG29" s="537"/>
      <c r="CJH29" s="537"/>
      <c r="CJI29" s="537"/>
      <c r="CJJ29" s="537"/>
      <c r="CJK29" s="537"/>
      <c r="CJL29" s="537"/>
      <c r="CJM29" s="537"/>
      <c r="CJN29" s="537"/>
      <c r="CJO29" s="537"/>
      <c r="CJP29" s="537"/>
      <c r="CJQ29" s="537"/>
      <c r="CJR29" s="537"/>
      <c r="CJS29" s="537"/>
      <c r="CJT29" s="537"/>
      <c r="CJU29" s="537"/>
      <c r="CJV29" s="537"/>
      <c r="CJW29" s="537"/>
      <c r="CJX29" s="537"/>
      <c r="CJY29" s="537"/>
      <c r="CJZ29" s="537"/>
      <c r="CKA29" s="537"/>
      <c r="CKB29" s="537"/>
      <c r="CKC29" s="537"/>
      <c r="CKD29" s="537"/>
      <c r="CKE29" s="537"/>
      <c r="CKF29" s="537"/>
      <c r="CKG29" s="537"/>
      <c r="CKH29" s="537"/>
      <c r="CKI29" s="537"/>
      <c r="CKJ29" s="537"/>
      <c r="CKK29" s="537"/>
      <c r="CKL29" s="537"/>
      <c r="CKM29" s="537"/>
      <c r="CKN29" s="537"/>
      <c r="CKO29" s="537"/>
      <c r="CKP29" s="537"/>
      <c r="CKQ29" s="537"/>
      <c r="CKR29" s="537"/>
      <c r="CKS29" s="537"/>
      <c r="CKT29" s="537"/>
      <c r="CKU29" s="537"/>
      <c r="CKV29" s="537"/>
      <c r="CKW29" s="537"/>
      <c r="CKX29" s="537"/>
      <c r="CKY29" s="537"/>
      <c r="CKZ29" s="537"/>
      <c r="CLA29" s="537"/>
      <c r="CLB29" s="537"/>
      <c r="CLC29" s="537"/>
      <c r="CLD29" s="537"/>
      <c r="CLE29" s="537"/>
      <c r="CLF29" s="537"/>
      <c r="CLG29" s="537"/>
      <c r="CLH29" s="537"/>
      <c r="CLI29" s="537"/>
      <c r="CLJ29" s="537"/>
      <c r="CLK29" s="537"/>
      <c r="CLL29" s="537"/>
      <c r="CLM29" s="537"/>
      <c r="CLN29" s="537"/>
      <c r="CLO29" s="537"/>
      <c r="CLP29" s="537"/>
      <c r="CLQ29" s="537"/>
      <c r="CLR29" s="537"/>
      <c r="CLS29" s="537"/>
      <c r="CLT29" s="537"/>
      <c r="CLU29" s="537"/>
      <c r="CLV29" s="537"/>
      <c r="CLW29" s="537"/>
      <c r="CLX29" s="537"/>
      <c r="CLY29" s="537"/>
      <c r="CLZ29" s="537"/>
      <c r="CMA29" s="537"/>
      <c r="CMB29" s="537"/>
      <c r="CMC29" s="537"/>
      <c r="CMD29" s="537"/>
      <c r="CME29" s="537"/>
      <c r="CMF29" s="537"/>
      <c r="CMG29" s="537"/>
      <c r="CMH29" s="537"/>
      <c r="CMI29" s="537"/>
      <c r="CMJ29" s="537"/>
      <c r="CMK29" s="537"/>
      <c r="CML29" s="537"/>
      <c r="CMM29" s="537"/>
      <c r="CMN29" s="537"/>
      <c r="CMO29" s="537"/>
      <c r="CMP29" s="537"/>
      <c r="CMQ29" s="537"/>
      <c r="CMR29" s="537"/>
      <c r="CMS29" s="537"/>
      <c r="CMT29" s="537"/>
      <c r="CMU29" s="537"/>
      <c r="CMV29" s="537"/>
      <c r="CMW29" s="537"/>
      <c r="CMX29" s="537"/>
      <c r="CMY29" s="537"/>
      <c r="CMZ29" s="537"/>
      <c r="CNA29" s="537"/>
      <c r="CNB29" s="537"/>
      <c r="CNC29" s="537"/>
      <c r="CND29" s="537"/>
      <c r="CNE29" s="537"/>
      <c r="CNF29" s="537"/>
      <c r="CNG29" s="537"/>
      <c r="CNH29" s="537"/>
      <c r="CNI29" s="537"/>
      <c r="CNJ29" s="537"/>
      <c r="CNK29" s="537"/>
      <c r="CNL29" s="537"/>
      <c r="CNM29" s="537"/>
      <c r="CNN29" s="537"/>
      <c r="CNO29" s="537"/>
      <c r="CNP29" s="537"/>
      <c r="CNQ29" s="537"/>
      <c r="CNR29" s="537"/>
      <c r="CNS29" s="537"/>
      <c r="CNT29" s="537"/>
      <c r="CNU29" s="537"/>
      <c r="CNV29" s="537"/>
      <c r="CNW29" s="537"/>
      <c r="CNX29" s="537"/>
      <c r="CNY29" s="537"/>
      <c r="CNZ29" s="537"/>
      <c r="COA29" s="537"/>
      <c r="COB29" s="537"/>
      <c r="COC29" s="537"/>
      <c r="COD29" s="537"/>
      <c r="COE29" s="537"/>
      <c r="COF29" s="537"/>
      <c r="COG29" s="537"/>
      <c r="COH29" s="537"/>
      <c r="COI29" s="537"/>
      <c r="COJ29" s="537"/>
      <c r="COK29" s="537"/>
      <c r="COL29" s="537"/>
      <c r="COM29" s="537"/>
      <c r="CON29" s="537"/>
      <c r="COO29" s="537"/>
      <c r="COP29" s="537"/>
      <c r="COQ29" s="537"/>
      <c r="COR29" s="537"/>
      <c r="COS29" s="537"/>
      <c r="COT29" s="537"/>
      <c r="COU29" s="537"/>
      <c r="COV29" s="537"/>
      <c r="COW29" s="537"/>
      <c r="COX29" s="537"/>
      <c r="COY29" s="537"/>
      <c r="COZ29" s="537"/>
      <c r="CPA29" s="537"/>
      <c r="CPB29" s="537"/>
      <c r="CPC29" s="537"/>
      <c r="CPD29" s="537"/>
      <c r="CPE29" s="537"/>
      <c r="CPF29" s="537"/>
      <c r="CPG29" s="537"/>
      <c r="CPH29" s="537"/>
      <c r="CPI29" s="537"/>
      <c r="CPJ29" s="537"/>
      <c r="CPK29" s="537"/>
      <c r="CPL29" s="537"/>
      <c r="CPM29" s="537"/>
      <c r="CPN29" s="537"/>
      <c r="CPO29" s="537"/>
      <c r="CPP29" s="537"/>
      <c r="CPQ29" s="537"/>
      <c r="CPR29" s="537"/>
      <c r="CPS29" s="537"/>
      <c r="CPT29" s="537"/>
      <c r="CPU29" s="537"/>
      <c r="CPV29" s="537"/>
      <c r="CPW29" s="537"/>
      <c r="CPX29" s="537"/>
      <c r="CPY29" s="537"/>
      <c r="CPZ29" s="537"/>
      <c r="CQA29" s="537"/>
      <c r="CQB29" s="537"/>
      <c r="CQC29" s="537"/>
      <c r="CQD29" s="537"/>
      <c r="CQE29" s="537"/>
      <c r="CQF29" s="537"/>
      <c r="CQG29" s="537"/>
      <c r="CQH29" s="537"/>
      <c r="CQI29" s="537"/>
      <c r="CQJ29" s="537"/>
      <c r="CQK29" s="537"/>
      <c r="CQL29" s="537"/>
      <c r="CQM29" s="537"/>
      <c r="CQN29" s="537"/>
      <c r="CQO29" s="537"/>
      <c r="CQP29" s="537"/>
      <c r="CQQ29" s="537"/>
      <c r="CQR29" s="537"/>
      <c r="CQS29" s="537"/>
      <c r="CQT29" s="537"/>
      <c r="CQU29" s="537"/>
      <c r="CQV29" s="537"/>
      <c r="CQW29" s="537"/>
      <c r="CQX29" s="537"/>
      <c r="CQY29" s="537"/>
      <c r="CQZ29" s="537"/>
      <c r="CRA29" s="537"/>
      <c r="CRB29" s="537"/>
      <c r="CRC29" s="537"/>
      <c r="CRD29" s="537"/>
      <c r="CRE29" s="537"/>
      <c r="CRF29" s="537"/>
      <c r="CRG29" s="537"/>
      <c r="CRH29" s="537"/>
      <c r="CRI29" s="537"/>
      <c r="CRJ29" s="537"/>
      <c r="CRK29" s="537"/>
      <c r="CRL29" s="537"/>
      <c r="CRM29" s="537"/>
      <c r="CRN29" s="537"/>
      <c r="CRO29" s="537"/>
      <c r="CRP29" s="537"/>
      <c r="CRQ29" s="537"/>
      <c r="CRR29" s="537"/>
      <c r="CRS29" s="537"/>
      <c r="CRT29" s="537"/>
      <c r="CRU29" s="537"/>
      <c r="CRV29" s="537"/>
      <c r="CRW29" s="537"/>
      <c r="CRX29" s="537"/>
      <c r="CRY29" s="537"/>
      <c r="CRZ29" s="537"/>
      <c r="CSA29" s="537"/>
      <c r="CSB29" s="537"/>
      <c r="CSC29" s="537"/>
      <c r="CSD29" s="537"/>
      <c r="CSE29" s="537"/>
      <c r="CSF29" s="537"/>
      <c r="CSG29" s="537"/>
      <c r="CSH29" s="537"/>
      <c r="CSI29" s="537"/>
      <c r="CSJ29" s="537"/>
      <c r="CSK29" s="537"/>
      <c r="CSL29" s="537"/>
      <c r="CSM29" s="537"/>
      <c r="CSN29" s="537"/>
      <c r="CSO29" s="537"/>
      <c r="CSP29" s="537"/>
      <c r="CSQ29" s="537"/>
      <c r="CSR29" s="537"/>
      <c r="CSS29" s="537"/>
      <c r="CST29" s="537"/>
      <c r="CSU29" s="537"/>
      <c r="CSV29" s="537"/>
      <c r="CSW29" s="537"/>
      <c r="CSX29" s="537"/>
      <c r="CSY29" s="537"/>
      <c r="CSZ29" s="537"/>
      <c r="CTA29" s="537"/>
      <c r="CTB29" s="537"/>
      <c r="CTC29" s="537"/>
      <c r="CTD29" s="537"/>
      <c r="CTE29" s="537"/>
      <c r="CTF29" s="537"/>
      <c r="CTG29" s="537"/>
      <c r="CTH29" s="537"/>
      <c r="CTI29" s="537"/>
      <c r="CTJ29" s="537"/>
      <c r="CTK29" s="537"/>
      <c r="CTL29" s="537"/>
      <c r="CTM29" s="537"/>
      <c r="CTN29" s="537"/>
      <c r="CTO29" s="537"/>
      <c r="CTP29" s="537"/>
      <c r="CTQ29" s="537"/>
      <c r="CTR29" s="537"/>
      <c r="CTS29" s="537"/>
      <c r="CTT29" s="537"/>
      <c r="CTU29" s="537"/>
      <c r="CTV29" s="537"/>
      <c r="CTW29" s="537"/>
      <c r="CTX29" s="537"/>
      <c r="CTY29" s="537"/>
      <c r="CTZ29" s="537"/>
      <c r="CUA29" s="537"/>
      <c r="CUB29" s="537"/>
      <c r="CUC29" s="537"/>
      <c r="CUD29" s="537"/>
      <c r="CUE29" s="537"/>
      <c r="CUF29" s="537"/>
      <c r="CUG29" s="537"/>
      <c r="CUH29" s="537"/>
      <c r="CUI29" s="537"/>
      <c r="CUJ29" s="537"/>
      <c r="CUK29" s="537"/>
      <c r="CUL29" s="537"/>
      <c r="CUM29" s="537"/>
      <c r="CUN29" s="537"/>
      <c r="CUO29" s="537"/>
      <c r="CUP29" s="537"/>
      <c r="CUQ29" s="537"/>
      <c r="CUR29" s="537"/>
      <c r="CUS29" s="537"/>
      <c r="CUT29" s="537"/>
      <c r="CUU29" s="537"/>
      <c r="CUV29" s="537"/>
      <c r="CUW29" s="537"/>
      <c r="CUX29" s="537"/>
      <c r="CUY29" s="537"/>
      <c r="CUZ29" s="537"/>
      <c r="CVA29" s="537"/>
      <c r="CVB29" s="537"/>
      <c r="CVC29" s="537"/>
      <c r="CVD29" s="537"/>
      <c r="CVE29" s="537"/>
      <c r="CVF29" s="537"/>
      <c r="CVG29" s="537"/>
      <c r="CVH29" s="537"/>
      <c r="CVI29" s="537"/>
      <c r="CVJ29" s="537"/>
      <c r="CVK29" s="537"/>
      <c r="CVL29" s="537"/>
      <c r="CVM29" s="537"/>
      <c r="CVN29" s="537"/>
      <c r="CVO29" s="537"/>
      <c r="CVP29" s="537"/>
      <c r="CVQ29" s="537"/>
      <c r="CVR29" s="537"/>
      <c r="CVS29" s="537"/>
      <c r="CVT29" s="537"/>
      <c r="CVU29" s="537"/>
      <c r="CVV29" s="537"/>
      <c r="CVW29" s="537"/>
      <c r="CVX29" s="537"/>
      <c r="CVY29" s="537"/>
      <c r="CVZ29" s="537"/>
      <c r="CWA29" s="537"/>
      <c r="CWB29" s="537"/>
      <c r="CWC29" s="537"/>
      <c r="CWD29" s="537"/>
      <c r="CWE29" s="537"/>
      <c r="CWF29" s="537"/>
      <c r="CWG29" s="537"/>
      <c r="CWH29" s="537"/>
      <c r="CWI29" s="537"/>
      <c r="CWJ29" s="537"/>
      <c r="CWK29" s="537"/>
      <c r="CWL29" s="537"/>
      <c r="CWM29" s="537"/>
      <c r="CWN29" s="537"/>
      <c r="CWO29" s="537"/>
      <c r="CWP29" s="537"/>
      <c r="CWQ29" s="537"/>
      <c r="CWR29" s="537"/>
      <c r="CWS29" s="537"/>
      <c r="CWT29" s="537"/>
      <c r="CWU29" s="537"/>
      <c r="CWV29" s="537"/>
      <c r="CWW29" s="537"/>
      <c r="CWX29" s="537"/>
      <c r="CWY29" s="537"/>
      <c r="CWZ29" s="537"/>
      <c r="CXA29" s="537"/>
      <c r="CXB29" s="537"/>
      <c r="CXC29" s="537"/>
      <c r="CXD29" s="537"/>
      <c r="CXE29" s="537"/>
      <c r="CXF29" s="537"/>
      <c r="CXG29" s="537"/>
      <c r="CXH29" s="537"/>
      <c r="CXI29" s="537"/>
      <c r="CXJ29" s="537"/>
      <c r="CXK29" s="537"/>
      <c r="CXL29" s="537"/>
      <c r="CXM29" s="537"/>
      <c r="CXN29" s="537"/>
      <c r="CXO29" s="537"/>
      <c r="CXP29" s="537"/>
      <c r="CXQ29" s="537"/>
      <c r="CXR29" s="537"/>
      <c r="CXS29" s="537"/>
      <c r="CXT29" s="537"/>
      <c r="CXU29" s="537"/>
      <c r="CXV29" s="537"/>
      <c r="CXW29" s="537"/>
      <c r="CXX29" s="537"/>
      <c r="CXY29" s="537"/>
      <c r="CXZ29" s="537"/>
      <c r="CYA29" s="537"/>
      <c r="CYB29" s="537"/>
      <c r="CYC29" s="537"/>
      <c r="CYD29" s="537"/>
      <c r="CYE29" s="537"/>
      <c r="CYF29" s="537"/>
      <c r="CYG29" s="537"/>
      <c r="CYH29" s="537"/>
      <c r="CYI29" s="537"/>
      <c r="CYJ29" s="537"/>
      <c r="CYK29" s="537"/>
      <c r="CYL29" s="537"/>
      <c r="CYM29" s="537"/>
      <c r="CYN29" s="537"/>
      <c r="CYO29" s="537"/>
      <c r="CYP29" s="537"/>
      <c r="CYQ29" s="537"/>
      <c r="CYR29" s="537"/>
      <c r="CYS29" s="537"/>
      <c r="CYT29" s="537"/>
      <c r="CYU29" s="537"/>
      <c r="CYV29" s="537"/>
      <c r="CYW29" s="537"/>
      <c r="CYX29" s="537"/>
      <c r="CYY29" s="537"/>
      <c r="CYZ29" s="537"/>
      <c r="CZA29" s="537"/>
      <c r="CZB29" s="537"/>
      <c r="CZC29" s="537"/>
      <c r="CZD29" s="537"/>
      <c r="CZE29" s="537"/>
      <c r="CZF29" s="537"/>
      <c r="CZG29" s="537"/>
      <c r="CZH29" s="537"/>
      <c r="CZI29" s="537"/>
      <c r="CZJ29" s="537"/>
      <c r="CZK29" s="537"/>
      <c r="CZL29" s="537"/>
      <c r="CZM29" s="537"/>
      <c r="CZN29" s="537"/>
      <c r="CZO29" s="537"/>
      <c r="CZP29" s="537"/>
      <c r="CZQ29" s="537"/>
      <c r="CZR29" s="537"/>
      <c r="CZS29" s="537"/>
      <c r="CZT29" s="537"/>
      <c r="CZU29" s="537"/>
      <c r="CZV29" s="537"/>
      <c r="CZW29" s="537"/>
      <c r="CZX29" s="537"/>
      <c r="CZY29" s="537"/>
      <c r="CZZ29" s="537"/>
      <c r="DAA29" s="537"/>
      <c r="DAB29" s="537"/>
      <c r="DAC29" s="537"/>
      <c r="DAD29" s="537"/>
      <c r="DAE29" s="537"/>
      <c r="DAF29" s="537"/>
      <c r="DAG29" s="537"/>
      <c r="DAH29" s="537"/>
      <c r="DAI29" s="537"/>
      <c r="DAJ29" s="537"/>
      <c r="DAK29" s="537"/>
      <c r="DAL29" s="537"/>
      <c r="DAM29" s="537"/>
      <c r="DAN29" s="537"/>
      <c r="DAO29" s="537"/>
      <c r="DAP29" s="537"/>
      <c r="DAQ29" s="537"/>
      <c r="DAR29" s="537"/>
      <c r="DAS29" s="537"/>
      <c r="DAT29" s="537"/>
      <c r="DAU29" s="537"/>
      <c r="DAV29" s="537"/>
      <c r="DAW29" s="537"/>
      <c r="DAX29" s="537"/>
      <c r="DAY29" s="537"/>
      <c r="DAZ29" s="537"/>
      <c r="DBA29" s="537"/>
      <c r="DBB29" s="537"/>
      <c r="DBC29" s="537"/>
      <c r="DBD29" s="537"/>
      <c r="DBE29" s="537"/>
      <c r="DBF29" s="537"/>
      <c r="DBG29" s="537"/>
      <c r="DBH29" s="537"/>
      <c r="DBI29" s="537"/>
      <c r="DBJ29" s="537"/>
      <c r="DBK29" s="537"/>
      <c r="DBL29" s="537"/>
      <c r="DBM29" s="537"/>
      <c r="DBN29" s="537"/>
      <c r="DBO29" s="537"/>
      <c r="DBP29" s="537"/>
      <c r="DBQ29" s="537"/>
      <c r="DBR29" s="537"/>
      <c r="DBS29" s="537"/>
      <c r="DBT29" s="537"/>
      <c r="DBU29" s="537"/>
      <c r="DBV29" s="537"/>
      <c r="DBW29" s="537"/>
      <c r="DBX29" s="537"/>
      <c r="DBY29" s="537"/>
      <c r="DBZ29" s="537"/>
      <c r="DCA29" s="537"/>
      <c r="DCB29" s="537"/>
      <c r="DCC29" s="537"/>
      <c r="DCD29" s="537"/>
      <c r="DCE29" s="537"/>
      <c r="DCF29" s="537"/>
      <c r="DCG29" s="537"/>
      <c r="DCH29" s="537"/>
      <c r="DCI29" s="537"/>
      <c r="DCJ29" s="537"/>
      <c r="DCK29" s="537"/>
      <c r="DCL29" s="537"/>
      <c r="DCM29" s="537"/>
      <c r="DCN29" s="537"/>
      <c r="DCO29" s="537"/>
      <c r="DCP29" s="537"/>
      <c r="DCQ29" s="537"/>
      <c r="DCR29" s="537"/>
      <c r="DCS29" s="537"/>
      <c r="DCT29" s="537"/>
      <c r="DCU29" s="537"/>
      <c r="DCV29" s="537"/>
      <c r="DCW29" s="537"/>
      <c r="DCX29" s="537"/>
      <c r="DCY29" s="537"/>
      <c r="DCZ29" s="537"/>
      <c r="DDA29" s="537"/>
      <c r="DDB29" s="537"/>
      <c r="DDC29" s="537"/>
      <c r="DDD29" s="537"/>
      <c r="DDE29" s="537"/>
      <c r="DDF29" s="537"/>
      <c r="DDG29" s="537"/>
      <c r="DDH29" s="537"/>
      <c r="DDI29" s="537"/>
      <c r="DDJ29" s="537"/>
      <c r="DDK29" s="537"/>
      <c r="DDL29" s="537"/>
      <c r="DDM29" s="537"/>
      <c r="DDN29" s="537"/>
      <c r="DDO29" s="537"/>
      <c r="DDP29" s="537"/>
      <c r="DDQ29" s="537"/>
      <c r="DDR29" s="537"/>
      <c r="DDS29" s="537"/>
      <c r="DDT29" s="537"/>
      <c r="DDU29" s="537"/>
      <c r="DDV29" s="537"/>
      <c r="DDW29" s="537"/>
      <c r="DDX29" s="537"/>
      <c r="DDY29" s="537"/>
      <c r="DDZ29" s="537"/>
      <c r="DEA29" s="537"/>
      <c r="DEB29" s="537"/>
      <c r="DEC29" s="537"/>
      <c r="DED29" s="537"/>
      <c r="DEE29" s="537"/>
      <c r="DEF29" s="537"/>
      <c r="DEG29" s="537"/>
      <c r="DEH29" s="537"/>
      <c r="DEI29" s="537"/>
      <c r="DEJ29" s="537"/>
      <c r="DEK29" s="537"/>
      <c r="DEL29" s="537"/>
      <c r="DEM29" s="537"/>
      <c r="DEN29" s="537"/>
      <c r="DEO29" s="537"/>
      <c r="DEP29" s="537"/>
      <c r="DEQ29" s="537"/>
      <c r="DER29" s="537"/>
      <c r="DES29" s="537"/>
      <c r="DET29" s="537"/>
      <c r="DEU29" s="537"/>
      <c r="DEV29" s="537"/>
      <c r="DEW29" s="537"/>
      <c r="DEX29" s="537"/>
      <c r="DEY29" s="537"/>
      <c r="DEZ29" s="537"/>
      <c r="DFA29" s="537"/>
      <c r="DFB29" s="537"/>
      <c r="DFC29" s="537"/>
      <c r="DFD29" s="537"/>
      <c r="DFE29" s="537"/>
      <c r="DFF29" s="537"/>
      <c r="DFG29" s="537"/>
      <c r="DFH29" s="537"/>
      <c r="DFI29" s="537"/>
      <c r="DFJ29" s="537"/>
      <c r="DFK29" s="537"/>
      <c r="DFL29" s="537"/>
      <c r="DFM29" s="537"/>
      <c r="DFN29" s="537"/>
      <c r="DFO29" s="537"/>
      <c r="DFP29" s="537"/>
      <c r="DFQ29" s="537"/>
      <c r="DFR29" s="537"/>
      <c r="DFS29" s="537"/>
      <c r="DFT29" s="537"/>
      <c r="DFU29" s="537"/>
      <c r="DFV29" s="537"/>
      <c r="DFW29" s="537"/>
      <c r="DFX29" s="537"/>
      <c r="DFY29" s="537"/>
      <c r="DFZ29" s="537"/>
      <c r="DGA29" s="537"/>
      <c r="DGB29" s="537"/>
      <c r="DGC29" s="537"/>
      <c r="DGD29" s="537"/>
      <c r="DGE29" s="537"/>
      <c r="DGF29" s="537"/>
      <c r="DGG29" s="537"/>
      <c r="DGH29" s="537"/>
      <c r="DGI29" s="537"/>
      <c r="DGJ29" s="537"/>
      <c r="DGK29" s="537"/>
      <c r="DGL29" s="537"/>
      <c r="DGM29" s="537"/>
      <c r="DGN29" s="537"/>
      <c r="DGO29" s="537"/>
      <c r="DGP29" s="537"/>
      <c r="DGQ29" s="537"/>
      <c r="DGR29" s="537"/>
      <c r="DGS29" s="537"/>
      <c r="DGT29" s="537"/>
      <c r="DGU29" s="537"/>
      <c r="DGV29" s="537"/>
      <c r="DGW29" s="537"/>
      <c r="DGX29" s="537"/>
      <c r="DGY29" s="537"/>
      <c r="DGZ29" s="537"/>
      <c r="DHA29" s="537"/>
      <c r="DHB29" s="537"/>
      <c r="DHC29" s="537"/>
      <c r="DHD29" s="537"/>
      <c r="DHE29" s="537"/>
      <c r="DHF29" s="537"/>
      <c r="DHG29" s="537"/>
      <c r="DHH29" s="537"/>
      <c r="DHI29" s="537"/>
      <c r="DHJ29" s="537"/>
      <c r="DHK29" s="537"/>
      <c r="DHL29" s="537"/>
      <c r="DHM29" s="537"/>
      <c r="DHN29" s="537"/>
      <c r="DHO29" s="537"/>
      <c r="DHP29" s="537"/>
      <c r="DHQ29" s="537"/>
      <c r="DHR29" s="537"/>
      <c r="DHS29" s="537"/>
      <c r="DHT29" s="537"/>
      <c r="DHU29" s="537"/>
      <c r="DHV29" s="537"/>
      <c r="DHW29" s="537"/>
      <c r="DHX29" s="537"/>
      <c r="DHY29" s="537"/>
      <c r="DHZ29" s="537"/>
      <c r="DIA29" s="537"/>
      <c r="DIB29" s="537"/>
      <c r="DIC29" s="537"/>
      <c r="DID29" s="537"/>
      <c r="DIE29" s="537"/>
      <c r="DIF29" s="537"/>
      <c r="DIG29" s="537"/>
      <c r="DIH29" s="537"/>
      <c r="DII29" s="537"/>
      <c r="DIJ29" s="537"/>
      <c r="DIK29" s="537"/>
      <c r="DIL29" s="537"/>
      <c r="DIM29" s="537"/>
      <c r="DIN29" s="537"/>
      <c r="DIO29" s="537"/>
      <c r="DIP29" s="537"/>
      <c r="DIQ29" s="537"/>
      <c r="DIR29" s="537"/>
      <c r="DIS29" s="537"/>
      <c r="DIT29" s="537"/>
      <c r="DIU29" s="537"/>
      <c r="DIV29" s="537"/>
      <c r="DIW29" s="537"/>
      <c r="DIX29" s="537"/>
      <c r="DIY29" s="537"/>
      <c r="DIZ29" s="537"/>
      <c r="DJA29" s="537"/>
      <c r="DJB29" s="537"/>
      <c r="DJC29" s="537"/>
      <c r="DJD29" s="537"/>
      <c r="DJE29" s="537"/>
      <c r="DJF29" s="537"/>
      <c r="DJG29" s="537"/>
      <c r="DJH29" s="537"/>
      <c r="DJI29" s="537"/>
      <c r="DJJ29" s="537"/>
      <c r="DJK29" s="537"/>
      <c r="DJL29" s="537"/>
      <c r="DJM29" s="537"/>
      <c r="DJN29" s="537"/>
      <c r="DJO29" s="537"/>
      <c r="DJP29" s="537"/>
      <c r="DJQ29" s="537"/>
      <c r="DJR29" s="537"/>
      <c r="DJS29" s="537"/>
      <c r="DJT29" s="537"/>
      <c r="DJU29" s="537"/>
      <c r="DJV29" s="537"/>
      <c r="DJW29" s="537"/>
      <c r="DJX29" s="537"/>
      <c r="DJY29" s="537"/>
      <c r="DJZ29" s="537"/>
      <c r="DKA29" s="537"/>
      <c r="DKB29" s="537"/>
      <c r="DKC29" s="537"/>
      <c r="DKD29" s="537"/>
      <c r="DKE29" s="537"/>
      <c r="DKF29" s="537"/>
      <c r="DKG29" s="537"/>
      <c r="DKH29" s="537"/>
      <c r="DKI29" s="537"/>
      <c r="DKJ29" s="537"/>
      <c r="DKK29" s="537"/>
      <c r="DKL29" s="537"/>
      <c r="DKM29" s="537"/>
      <c r="DKN29" s="537"/>
      <c r="DKO29" s="537"/>
      <c r="DKP29" s="537"/>
      <c r="DKQ29" s="537"/>
      <c r="DKR29" s="537"/>
      <c r="DKS29" s="537"/>
      <c r="DKT29" s="537"/>
      <c r="DKU29" s="537"/>
      <c r="DKV29" s="537"/>
      <c r="DKW29" s="537"/>
      <c r="DKX29" s="537"/>
      <c r="DKY29" s="537"/>
      <c r="DKZ29" s="537"/>
      <c r="DLA29" s="537"/>
      <c r="DLB29" s="537"/>
      <c r="DLC29" s="537"/>
      <c r="DLD29" s="537"/>
      <c r="DLE29" s="537"/>
      <c r="DLF29" s="537"/>
      <c r="DLG29" s="537"/>
      <c r="DLH29" s="537"/>
      <c r="DLI29" s="537"/>
      <c r="DLJ29" s="537"/>
      <c r="DLK29" s="537"/>
      <c r="DLL29" s="537"/>
      <c r="DLM29" s="537"/>
      <c r="DLN29" s="537"/>
      <c r="DLO29" s="537"/>
      <c r="DLP29" s="537"/>
      <c r="DLQ29" s="537"/>
      <c r="DLR29" s="537"/>
      <c r="DLS29" s="537"/>
      <c r="DLT29" s="537"/>
      <c r="DLU29" s="537"/>
      <c r="DLV29" s="537"/>
      <c r="DLW29" s="537"/>
      <c r="DLX29" s="537"/>
      <c r="DLY29" s="537"/>
      <c r="DLZ29" s="537"/>
      <c r="DMA29" s="537"/>
      <c r="DMB29" s="537"/>
      <c r="DMC29" s="537"/>
      <c r="DMD29" s="537"/>
      <c r="DME29" s="537"/>
      <c r="DMF29" s="537"/>
      <c r="DMG29" s="537"/>
      <c r="DMH29" s="537"/>
      <c r="DMI29" s="537"/>
      <c r="DMJ29" s="537"/>
      <c r="DMK29" s="537"/>
      <c r="DML29" s="537"/>
      <c r="DMM29" s="537"/>
      <c r="DMN29" s="537"/>
      <c r="DMO29" s="537"/>
      <c r="DMP29" s="537"/>
      <c r="DMQ29" s="537"/>
      <c r="DMR29" s="537"/>
      <c r="DMS29" s="537"/>
      <c r="DMT29" s="537"/>
      <c r="DMU29" s="537"/>
      <c r="DMV29" s="537"/>
      <c r="DMW29" s="537"/>
      <c r="DMX29" s="537"/>
      <c r="DMY29" s="537"/>
      <c r="DMZ29" s="537"/>
      <c r="DNA29" s="537"/>
      <c r="DNB29" s="537"/>
      <c r="DNC29" s="537"/>
      <c r="DND29" s="537"/>
      <c r="DNE29" s="537"/>
      <c r="DNF29" s="537"/>
      <c r="DNG29" s="537"/>
      <c r="DNH29" s="537"/>
      <c r="DNI29" s="537"/>
      <c r="DNJ29" s="537"/>
      <c r="DNK29" s="537"/>
      <c r="DNL29" s="537"/>
      <c r="DNM29" s="537"/>
      <c r="DNN29" s="537"/>
      <c r="DNO29" s="537"/>
      <c r="DNP29" s="537"/>
      <c r="DNQ29" s="537"/>
      <c r="DNR29" s="537"/>
      <c r="DNS29" s="537"/>
      <c r="DNT29" s="537"/>
      <c r="DNU29" s="537"/>
      <c r="DNV29" s="537"/>
      <c r="DNW29" s="537"/>
      <c r="DNX29" s="537"/>
      <c r="DNY29" s="537"/>
      <c r="DNZ29" s="537"/>
      <c r="DOA29" s="537"/>
      <c r="DOB29" s="537"/>
      <c r="DOC29" s="537"/>
      <c r="DOD29" s="537"/>
      <c r="DOE29" s="537"/>
      <c r="DOF29" s="537"/>
      <c r="DOG29" s="537"/>
      <c r="DOH29" s="537"/>
      <c r="DOI29" s="537"/>
      <c r="DOJ29" s="537"/>
      <c r="DOK29" s="537"/>
      <c r="DOL29" s="537"/>
      <c r="DOM29" s="537"/>
      <c r="DON29" s="537"/>
      <c r="DOO29" s="537"/>
      <c r="DOP29" s="537"/>
      <c r="DOQ29" s="537"/>
      <c r="DOR29" s="537"/>
      <c r="DOS29" s="537"/>
      <c r="DOT29" s="537"/>
      <c r="DOU29" s="537"/>
      <c r="DOV29" s="537"/>
      <c r="DOW29" s="537"/>
      <c r="DOX29" s="537"/>
      <c r="DOY29" s="537"/>
      <c r="DOZ29" s="537"/>
      <c r="DPA29" s="537"/>
      <c r="DPB29" s="537"/>
      <c r="DPC29" s="537"/>
      <c r="DPD29" s="537"/>
      <c r="DPE29" s="537"/>
      <c r="DPF29" s="537"/>
      <c r="DPG29" s="537"/>
      <c r="DPH29" s="537"/>
      <c r="DPI29" s="537"/>
      <c r="DPJ29" s="537"/>
      <c r="DPK29" s="537"/>
      <c r="DPL29" s="537"/>
      <c r="DPM29" s="537"/>
      <c r="DPN29" s="537"/>
      <c r="DPO29" s="537"/>
      <c r="DPP29" s="537"/>
      <c r="DPQ29" s="537"/>
      <c r="DPR29" s="537"/>
      <c r="DPS29" s="537"/>
      <c r="DPT29" s="537"/>
      <c r="DPU29" s="537"/>
      <c r="DPV29" s="537"/>
      <c r="DPW29" s="537"/>
      <c r="DPX29" s="537"/>
      <c r="DPY29" s="537"/>
      <c r="DPZ29" s="537"/>
      <c r="DQA29" s="537"/>
      <c r="DQB29" s="537"/>
      <c r="DQC29" s="537"/>
      <c r="DQD29" s="537"/>
      <c r="DQE29" s="537"/>
      <c r="DQF29" s="537"/>
      <c r="DQG29" s="537"/>
      <c r="DQH29" s="537"/>
      <c r="DQI29" s="537"/>
      <c r="DQJ29" s="537"/>
      <c r="DQK29" s="537"/>
      <c r="DQL29" s="537"/>
      <c r="DQM29" s="537"/>
      <c r="DQN29" s="537"/>
      <c r="DQO29" s="537"/>
      <c r="DQP29" s="537"/>
      <c r="DQQ29" s="537"/>
      <c r="DQR29" s="537"/>
      <c r="DQS29" s="537"/>
      <c r="DQT29" s="537"/>
      <c r="DQU29" s="537"/>
      <c r="DQV29" s="537"/>
      <c r="DQW29" s="537"/>
      <c r="DQX29" s="537"/>
      <c r="DQY29" s="537"/>
      <c r="DQZ29" s="537"/>
      <c r="DRA29" s="537"/>
      <c r="DRB29" s="537"/>
      <c r="DRC29" s="537"/>
      <c r="DRD29" s="537"/>
      <c r="DRE29" s="537"/>
      <c r="DRF29" s="537"/>
      <c r="DRG29" s="537"/>
      <c r="DRH29" s="537"/>
      <c r="DRI29" s="537"/>
      <c r="DRJ29" s="537"/>
      <c r="DRK29" s="537"/>
      <c r="DRL29" s="537"/>
      <c r="DRM29" s="537"/>
      <c r="DRN29" s="537"/>
      <c r="DRO29" s="537"/>
      <c r="DRP29" s="537"/>
      <c r="DRQ29" s="537"/>
      <c r="DRR29" s="537"/>
      <c r="DRS29" s="537"/>
      <c r="DRT29" s="537"/>
      <c r="DRU29" s="537"/>
      <c r="DRV29" s="537"/>
      <c r="DRW29" s="537"/>
      <c r="DRX29" s="537"/>
      <c r="DRY29" s="537"/>
      <c r="DRZ29" s="537"/>
      <c r="DSA29" s="537"/>
      <c r="DSB29" s="537"/>
      <c r="DSC29" s="537"/>
      <c r="DSD29" s="537"/>
      <c r="DSE29" s="537"/>
      <c r="DSF29" s="537"/>
      <c r="DSG29" s="537"/>
      <c r="DSH29" s="537"/>
      <c r="DSI29" s="537"/>
      <c r="DSJ29" s="537"/>
      <c r="DSK29" s="537"/>
      <c r="DSL29" s="537"/>
      <c r="DSM29" s="537"/>
      <c r="DSN29" s="537"/>
      <c r="DSO29" s="537"/>
      <c r="DSP29" s="537"/>
      <c r="DSQ29" s="537"/>
      <c r="DSR29" s="537"/>
      <c r="DSS29" s="537"/>
      <c r="DST29" s="537"/>
      <c r="DSU29" s="537"/>
      <c r="DSV29" s="537"/>
      <c r="DSW29" s="537"/>
      <c r="DSX29" s="537"/>
      <c r="DSY29" s="537"/>
      <c r="DSZ29" s="537"/>
      <c r="DTA29" s="537"/>
      <c r="DTB29" s="537"/>
      <c r="DTC29" s="537"/>
      <c r="DTD29" s="537"/>
      <c r="DTE29" s="537"/>
      <c r="DTF29" s="537"/>
      <c r="DTG29" s="537"/>
      <c r="DTH29" s="537"/>
      <c r="DTI29" s="537"/>
      <c r="DTJ29" s="537"/>
      <c r="DTK29" s="537"/>
      <c r="DTL29" s="537"/>
      <c r="DTM29" s="537"/>
      <c r="DTN29" s="537"/>
      <c r="DTO29" s="537"/>
      <c r="DTP29" s="537"/>
      <c r="DTQ29" s="537"/>
      <c r="DTR29" s="537"/>
      <c r="DTS29" s="537"/>
      <c r="DTT29" s="537"/>
      <c r="DTU29" s="537"/>
      <c r="DTV29" s="537"/>
      <c r="DTW29" s="537"/>
      <c r="DTX29" s="537"/>
      <c r="DTY29" s="537"/>
      <c r="DTZ29" s="537"/>
      <c r="DUA29" s="537"/>
      <c r="DUB29" s="537"/>
      <c r="DUC29" s="537"/>
      <c r="DUD29" s="537"/>
      <c r="DUE29" s="537"/>
      <c r="DUF29" s="537"/>
      <c r="DUG29" s="537"/>
      <c r="DUH29" s="537"/>
      <c r="DUI29" s="537"/>
      <c r="DUJ29" s="537"/>
      <c r="DUK29" s="537"/>
      <c r="DUL29" s="537"/>
      <c r="DUM29" s="537"/>
      <c r="DUN29" s="537"/>
      <c r="DUO29" s="537"/>
      <c r="DUP29" s="537"/>
      <c r="DUQ29" s="537"/>
      <c r="DUR29" s="537"/>
      <c r="DUS29" s="537"/>
      <c r="DUT29" s="537"/>
      <c r="DUU29" s="537"/>
      <c r="DUV29" s="537"/>
      <c r="DUW29" s="537"/>
      <c r="DUX29" s="537"/>
      <c r="DUY29" s="537"/>
      <c r="DUZ29" s="537"/>
      <c r="DVA29" s="537"/>
      <c r="DVB29" s="537"/>
      <c r="DVC29" s="537"/>
      <c r="DVD29" s="537"/>
      <c r="DVE29" s="537"/>
      <c r="DVF29" s="537"/>
      <c r="DVG29" s="537"/>
      <c r="DVH29" s="537"/>
      <c r="DVI29" s="537"/>
      <c r="DVJ29" s="537"/>
      <c r="DVK29" s="537"/>
      <c r="DVL29" s="537"/>
      <c r="DVM29" s="537"/>
      <c r="DVN29" s="537"/>
      <c r="DVO29" s="537"/>
      <c r="DVP29" s="537"/>
      <c r="DVQ29" s="537"/>
      <c r="DVR29" s="537"/>
      <c r="DVS29" s="537"/>
      <c r="DVT29" s="537"/>
      <c r="DVU29" s="537"/>
      <c r="DVV29" s="537"/>
      <c r="DVW29" s="537"/>
      <c r="DVX29" s="537"/>
      <c r="DVY29" s="537"/>
      <c r="DVZ29" s="537"/>
      <c r="DWA29" s="537"/>
      <c r="DWB29" s="537"/>
      <c r="DWC29" s="537"/>
      <c r="DWD29" s="537"/>
      <c r="DWE29" s="537"/>
      <c r="DWF29" s="537"/>
      <c r="DWG29" s="537"/>
      <c r="DWH29" s="537"/>
      <c r="DWI29" s="537"/>
      <c r="DWJ29" s="537"/>
      <c r="DWK29" s="537"/>
      <c r="DWL29" s="537"/>
      <c r="DWM29" s="537"/>
      <c r="DWN29" s="537"/>
      <c r="DWO29" s="537"/>
      <c r="DWP29" s="537"/>
      <c r="DWQ29" s="537"/>
      <c r="DWR29" s="537"/>
      <c r="DWS29" s="537"/>
      <c r="DWT29" s="537"/>
      <c r="DWU29" s="537"/>
      <c r="DWV29" s="537"/>
      <c r="DWW29" s="537"/>
      <c r="DWX29" s="537"/>
      <c r="DWY29" s="537"/>
      <c r="DWZ29" s="537"/>
      <c r="DXA29" s="537"/>
      <c r="DXB29" s="537"/>
      <c r="DXC29" s="537"/>
      <c r="DXD29" s="537"/>
      <c r="DXE29" s="537"/>
      <c r="DXF29" s="537"/>
      <c r="DXG29" s="537"/>
      <c r="DXH29" s="537"/>
      <c r="DXI29" s="537"/>
      <c r="DXJ29" s="537"/>
      <c r="DXK29" s="537"/>
      <c r="DXL29" s="537"/>
      <c r="DXM29" s="537"/>
      <c r="DXN29" s="537"/>
      <c r="DXO29" s="537"/>
      <c r="DXP29" s="537"/>
      <c r="DXQ29" s="537"/>
      <c r="DXR29" s="537"/>
      <c r="DXS29" s="537"/>
      <c r="DXT29" s="537"/>
      <c r="DXU29" s="537"/>
      <c r="DXV29" s="537"/>
      <c r="DXW29" s="537"/>
      <c r="DXX29" s="537"/>
      <c r="DXY29" s="537"/>
      <c r="DXZ29" s="537"/>
      <c r="DYA29" s="537"/>
      <c r="DYB29" s="537"/>
      <c r="DYC29" s="537"/>
      <c r="DYD29" s="537"/>
      <c r="DYE29" s="537"/>
      <c r="DYF29" s="537"/>
      <c r="DYG29" s="537"/>
      <c r="DYH29" s="537"/>
      <c r="DYI29" s="537"/>
      <c r="DYJ29" s="537"/>
      <c r="DYK29" s="537"/>
      <c r="DYL29" s="537"/>
      <c r="DYM29" s="537"/>
      <c r="DYN29" s="537"/>
      <c r="DYO29" s="537"/>
      <c r="DYP29" s="537"/>
      <c r="DYQ29" s="537"/>
      <c r="DYR29" s="537"/>
      <c r="DYS29" s="537"/>
      <c r="DYT29" s="537"/>
      <c r="DYU29" s="537"/>
      <c r="DYV29" s="537"/>
      <c r="DYW29" s="537"/>
      <c r="DYX29" s="537"/>
      <c r="DYY29" s="537"/>
      <c r="DYZ29" s="537"/>
      <c r="DZA29" s="537"/>
      <c r="DZB29" s="537"/>
      <c r="DZC29" s="537"/>
      <c r="DZD29" s="537"/>
      <c r="DZE29" s="537"/>
      <c r="DZF29" s="537"/>
      <c r="DZG29" s="537"/>
      <c r="DZH29" s="537"/>
      <c r="DZI29" s="537"/>
      <c r="DZJ29" s="537"/>
      <c r="DZK29" s="537"/>
      <c r="DZL29" s="537"/>
      <c r="DZM29" s="537"/>
      <c r="DZN29" s="537"/>
      <c r="DZO29" s="537"/>
      <c r="DZP29" s="537"/>
      <c r="DZQ29" s="537"/>
      <c r="DZR29" s="537"/>
      <c r="DZS29" s="537"/>
      <c r="DZT29" s="537"/>
      <c r="DZU29" s="537"/>
      <c r="DZV29" s="537"/>
      <c r="DZW29" s="537"/>
      <c r="DZX29" s="537"/>
      <c r="DZY29" s="537"/>
      <c r="DZZ29" s="537"/>
      <c r="EAA29" s="537"/>
      <c r="EAB29" s="537"/>
      <c r="EAC29" s="537"/>
      <c r="EAD29" s="537"/>
      <c r="EAE29" s="537"/>
      <c r="EAF29" s="537"/>
      <c r="EAG29" s="537"/>
      <c r="EAH29" s="537"/>
      <c r="EAI29" s="537"/>
      <c r="EAJ29" s="537"/>
      <c r="EAK29" s="537"/>
      <c r="EAL29" s="537"/>
      <c r="EAM29" s="537"/>
      <c r="EAN29" s="537"/>
      <c r="EAO29" s="537"/>
      <c r="EAP29" s="537"/>
      <c r="EAQ29" s="537"/>
      <c r="EAR29" s="537"/>
      <c r="EAS29" s="537"/>
      <c r="EAT29" s="537"/>
      <c r="EAU29" s="537"/>
      <c r="EAV29" s="537"/>
      <c r="EAW29" s="537"/>
      <c r="EAX29" s="537"/>
      <c r="EAY29" s="537"/>
      <c r="EAZ29" s="537"/>
      <c r="EBA29" s="537"/>
      <c r="EBB29" s="537"/>
      <c r="EBC29" s="537"/>
      <c r="EBD29" s="537"/>
      <c r="EBE29" s="537"/>
      <c r="EBF29" s="537"/>
      <c r="EBG29" s="537"/>
      <c r="EBH29" s="537"/>
      <c r="EBI29" s="537"/>
      <c r="EBJ29" s="537"/>
      <c r="EBK29" s="537"/>
      <c r="EBL29" s="537"/>
      <c r="EBM29" s="537"/>
      <c r="EBN29" s="537"/>
      <c r="EBO29" s="537"/>
      <c r="EBP29" s="537"/>
      <c r="EBQ29" s="537"/>
      <c r="EBR29" s="537"/>
      <c r="EBS29" s="537"/>
      <c r="EBT29" s="537"/>
      <c r="EBU29" s="537"/>
      <c r="EBV29" s="537"/>
      <c r="EBW29" s="537"/>
      <c r="EBX29" s="537"/>
      <c r="EBY29" s="537"/>
      <c r="EBZ29" s="537"/>
      <c r="ECA29" s="537"/>
      <c r="ECB29" s="537"/>
      <c r="ECC29" s="537"/>
      <c r="ECD29" s="537"/>
      <c r="ECE29" s="537"/>
      <c r="ECF29" s="537"/>
      <c r="ECG29" s="537"/>
      <c r="ECH29" s="537"/>
      <c r="ECI29" s="537"/>
      <c r="ECJ29" s="537"/>
      <c r="ECK29" s="537"/>
      <c r="ECL29" s="537"/>
      <c r="ECM29" s="537"/>
      <c r="ECN29" s="537"/>
      <c r="ECO29" s="537"/>
      <c r="ECP29" s="537"/>
      <c r="ECQ29" s="537"/>
      <c r="ECR29" s="537"/>
      <c r="ECS29" s="537"/>
      <c r="ECT29" s="537"/>
      <c r="ECU29" s="537"/>
      <c r="ECV29" s="537"/>
      <c r="ECW29" s="537"/>
      <c r="ECX29" s="537"/>
      <c r="ECY29" s="537"/>
      <c r="ECZ29" s="537"/>
      <c r="EDA29" s="537"/>
      <c r="EDB29" s="537"/>
      <c r="EDC29" s="537"/>
      <c r="EDD29" s="537"/>
      <c r="EDE29" s="537"/>
      <c r="EDF29" s="537"/>
      <c r="EDG29" s="537"/>
      <c r="EDH29" s="537"/>
      <c r="EDI29" s="537"/>
      <c r="EDJ29" s="537"/>
      <c r="EDK29" s="537"/>
      <c r="EDL29" s="537"/>
      <c r="EDM29" s="537"/>
      <c r="EDN29" s="537"/>
      <c r="EDO29" s="537"/>
      <c r="EDP29" s="537"/>
      <c r="EDQ29" s="537"/>
      <c r="EDR29" s="537"/>
      <c r="EDS29" s="537"/>
      <c r="EDT29" s="537"/>
      <c r="EDU29" s="537"/>
      <c r="EDV29" s="537"/>
      <c r="EDW29" s="537"/>
      <c r="EDX29" s="537"/>
      <c r="EDY29" s="537"/>
      <c r="EDZ29" s="537"/>
      <c r="EEA29" s="537"/>
      <c r="EEB29" s="537"/>
      <c r="EEC29" s="537"/>
      <c r="EED29" s="537"/>
      <c r="EEE29" s="537"/>
      <c r="EEF29" s="537"/>
      <c r="EEG29" s="537"/>
      <c r="EEH29" s="537"/>
      <c r="EEI29" s="537"/>
      <c r="EEJ29" s="537"/>
      <c r="EEK29" s="537"/>
      <c r="EEL29" s="537"/>
      <c r="EEM29" s="537"/>
      <c r="EEN29" s="537"/>
      <c r="EEO29" s="537"/>
      <c r="EEP29" s="537"/>
      <c r="EEQ29" s="537"/>
      <c r="EER29" s="537"/>
      <c r="EES29" s="537"/>
      <c r="EET29" s="537"/>
      <c r="EEU29" s="537"/>
      <c r="EEV29" s="537"/>
      <c r="EEW29" s="537"/>
      <c r="EEX29" s="537"/>
      <c r="EEY29" s="537"/>
      <c r="EEZ29" s="537"/>
      <c r="EFA29" s="537"/>
      <c r="EFB29" s="537"/>
      <c r="EFC29" s="537"/>
      <c r="EFD29" s="537"/>
      <c r="EFE29" s="537"/>
      <c r="EFF29" s="537"/>
      <c r="EFG29" s="537"/>
      <c r="EFH29" s="537"/>
      <c r="EFI29" s="537"/>
      <c r="EFJ29" s="537"/>
      <c r="EFK29" s="537"/>
      <c r="EFL29" s="537"/>
      <c r="EFM29" s="537"/>
      <c r="EFN29" s="537"/>
      <c r="EFO29" s="537"/>
      <c r="EFP29" s="537"/>
      <c r="EFQ29" s="537"/>
      <c r="EFR29" s="537"/>
      <c r="EFS29" s="537"/>
      <c r="EFT29" s="537"/>
      <c r="EFU29" s="537"/>
      <c r="EFV29" s="537"/>
      <c r="EFW29" s="537"/>
      <c r="EFX29" s="537"/>
      <c r="EFY29" s="537"/>
      <c r="EFZ29" s="537"/>
      <c r="EGA29" s="537"/>
      <c r="EGB29" s="537"/>
      <c r="EGC29" s="537"/>
      <c r="EGD29" s="537"/>
      <c r="EGE29" s="537"/>
      <c r="EGF29" s="537"/>
      <c r="EGG29" s="537"/>
      <c r="EGH29" s="537"/>
      <c r="EGI29" s="537"/>
      <c r="EGJ29" s="537"/>
      <c r="EGK29" s="537"/>
      <c r="EGL29" s="537"/>
      <c r="EGM29" s="537"/>
      <c r="EGN29" s="537"/>
      <c r="EGO29" s="537"/>
      <c r="EGP29" s="537"/>
      <c r="EGQ29" s="537"/>
      <c r="EGR29" s="537"/>
      <c r="EGS29" s="537"/>
      <c r="EGT29" s="537"/>
      <c r="EGU29" s="537"/>
      <c r="EGV29" s="537"/>
      <c r="EGW29" s="537"/>
      <c r="EGX29" s="537"/>
      <c r="EGY29" s="537"/>
      <c r="EGZ29" s="537"/>
      <c r="EHA29" s="537"/>
      <c r="EHB29" s="537"/>
      <c r="EHC29" s="537"/>
      <c r="EHD29" s="537"/>
      <c r="EHE29" s="537"/>
      <c r="EHF29" s="537"/>
      <c r="EHG29" s="537"/>
      <c r="EHH29" s="537"/>
      <c r="EHI29" s="537"/>
      <c r="EHJ29" s="537"/>
      <c r="EHK29" s="537"/>
      <c r="EHL29" s="537"/>
      <c r="EHM29" s="537"/>
      <c r="EHN29" s="537"/>
      <c r="EHO29" s="537"/>
      <c r="EHP29" s="537"/>
      <c r="EHQ29" s="537"/>
      <c r="EHR29" s="537"/>
      <c r="EHS29" s="537"/>
      <c r="EHT29" s="537"/>
      <c r="EHU29" s="537"/>
      <c r="EHV29" s="537"/>
      <c r="EHW29" s="537"/>
      <c r="EHX29" s="537"/>
      <c r="EHY29" s="537"/>
      <c r="EHZ29" s="537"/>
      <c r="EIA29" s="537"/>
      <c r="EIB29" s="537"/>
      <c r="EIC29" s="537"/>
      <c r="EID29" s="537"/>
      <c r="EIE29" s="537"/>
      <c r="EIF29" s="537"/>
      <c r="EIG29" s="537"/>
      <c r="EIH29" s="537"/>
      <c r="EII29" s="537"/>
      <c r="EIJ29" s="537"/>
      <c r="EIK29" s="537"/>
      <c r="EIL29" s="537"/>
      <c r="EIM29" s="537"/>
      <c r="EIN29" s="537"/>
      <c r="EIO29" s="537"/>
      <c r="EIP29" s="537"/>
      <c r="EIQ29" s="537"/>
      <c r="EIR29" s="537"/>
      <c r="EIS29" s="537"/>
      <c r="EIT29" s="537"/>
      <c r="EIU29" s="537"/>
      <c r="EIV29" s="537"/>
      <c r="EIW29" s="537"/>
      <c r="EIX29" s="537"/>
      <c r="EIY29" s="537"/>
      <c r="EIZ29" s="537"/>
      <c r="EJA29" s="537"/>
      <c r="EJB29" s="537"/>
      <c r="EJC29" s="537"/>
      <c r="EJD29" s="537"/>
      <c r="EJE29" s="537"/>
      <c r="EJF29" s="537"/>
      <c r="EJG29" s="537"/>
      <c r="EJH29" s="537"/>
      <c r="EJI29" s="537"/>
      <c r="EJJ29" s="537"/>
      <c r="EJK29" s="537"/>
      <c r="EJL29" s="537"/>
      <c r="EJM29" s="537"/>
      <c r="EJN29" s="537"/>
      <c r="EJO29" s="537"/>
      <c r="EJP29" s="537"/>
      <c r="EJQ29" s="537"/>
      <c r="EJR29" s="537"/>
      <c r="EJS29" s="537"/>
      <c r="EJT29" s="537"/>
      <c r="EJU29" s="537"/>
      <c r="EJV29" s="537"/>
      <c r="EJW29" s="537"/>
      <c r="EJX29" s="537"/>
      <c r="EJY29" s="537"/>
      <c r="EJZ29" s="537"/>
      <c r="EKA29" s="537"/>
      <c r="EKB29" s="537"/>
      <c r="EKC29" s="537"/>
      <c r="EKD29" s="537"/>
      <c r="EKE29" s="537"/>
      <c r="EKF29" s="537"/>
      <c r="EKG29" s="537"/>
      <c r="EKH29" s="537"/>
      <c r="EKI29" s="537"/>
      <c r="EKJ29" s="537"/>
      <c r="EKK29" s="537"/>
      <c r="EKL29" s="537"/>
      <c r="EKM29" s="537"/>
      <c r="EKN29" s="537"/>
      <c r="EKO29" s="537"/>
      <c r="EKP29" s="537"/>
      <c r="EKQ29" s="537"/>
      <c r="EKR29" s="537"/>
      <c r="EKS29" s="537"/>
      <c r="EKT29" s="537"/>
      <c r="EKU29" s="537"/>
      <c r="EKV29" s="537"/>
      <c r="EKW29" s="537"/>
      <c r="EKX29" s="537"/>
      <c r="EKY29" s="537"/>
      <c r="EKZ29" s="537"/>
      <c r="ELA29" s="537"/>
      <c r="ELB29" s="537"/>
      <c r="ELC29" s="537"/>
      <c r="ELD29" s="537"/>
      <c r="ELE29" s="537"/>
      <c r="ELF29" s="537"/>
      <c r="ELG29" s="537"/>
      <c r="ELH29" s="537"/>
      <c r="ELI29" s="537"/>
      <c r="ELJ29" s="537"/>
      <c r="ELK29" s="537"/>
      <c r="ELL29" s="537"/>
      <c r="ELM29" s="537"/>
      <c r="ELN29" s="537"/>
      <c r="ELO29" s="537"/>
      <c r="ELP29" s="537"/>
      <c r="ELQ29" s="537"/>
      <c r="ELR29" s="537"/>
      <c r="ELS29" s="537"/>
      <c r="ELT29" s="537"/>
      <c r="ELU29" s="537"/>
      <c r="ELV29" s="537"/>
      <c r="ELW29" s="537"/>
      <c r="ELX29" s="537"/>
      <c r="ELY29" s="537"/>
      <c r="ELZ29" s="537"/>
      <c r="EMA29" s="537"/>
      <c r="EMB29" s="537"/>
      <c r="EMC29" s="537"/>
      <c r="EMD29" s="537"/>
      <c r="EME29" s="537"/>
      <c r="EMF29" s="537"/>
      <c r="EMG29" s="537"/>
      <c r="EMH29" s="537"/>
      <c r="EMI29" s="537"/>
      <c r="EMJ29" s="537"/>
      <c r="EMK29" s="537"/>
      <c r="EML29" s="537"/>
      <c r="EMM29" s="537"/>
      <c r="EMN29" s="537"/>
      <c r="EMO29" s="537"/>
      <c r="EMP29" s="537"/>
      <c r="EMQ29" s="537"/>
      <c r="EMR29" s="537"/>
      <c r="EMS29" s="537"/>
      <c r="EMT29" s="537"/>
      <c r="EMU29" s="537"/>
      <c r="EMV29" s="537"/>
      <c r="EMW29" s="537"/>
      <c r="EMX29" s="537"/>
      <c r="EMY29" s="537"/>
      <c r="EMZ29" s="537"/>
      <c r="ENA29" s="537"/>
      <c r="ENB29" s="537"/>
      <c r="ENC29" s="537"/>
      <c r="END29" s="537"/>
      <c r="ENE29" s="537"/>
      <c r="ENF29" s="537"/>
      <c r="ENG29" s="537"/>
      <c r="ENH29" s="537"/>
      <c r="ENI29" s="537"/>
      <c r="ENJ29" s="537"/>
      <c r="ENK29" s="537"/>
      <c r="ENL29" s="537"/>
      <c r="ENM29" s="537"/>
      <c r="ENN29" s="537"/>
      <c r="ENO29" s="537"/>
      <c r="ENP29" s="537"/>
      <c r="ENQ29" s="537"/>
      <c r="ENR29" s="537"/>
      <c r="ENS29" s="537"/>
      <c r="ENT29" s="537"/>
      <c r="ENU29" s="537"/>
      <c r="ENV29" s="537"/>
      <c r="ENW29" s="537"/>
      <c r="ENX29" s="537"/>
      <c r="ENY29" s="537"/>
      <c r="ENZ29" s="537"/>
      <c r="EOA29" s="537"/>
      <c r="EOB29" s="537"/>
      <c r="EOC29" s="537"/>
      <c r="EOD29" s="537"/>
      <c r="EOE29" s="537"/>
      <c r="EOF29" s="537"/>
      <c r="EOG29" s="537"/>
      <c r="EOH29" s="537"/>
      <c r="EOI29" s="537"/>
      <c r="EOJ29" s="537"/>
      <c r="EOK29" s="537"/>
      <c r="EOL29" s="537"/>
      <c r="EOM29" s="537"/>
      <c r="EON29" s="537"/>
      <c r="EOO29" s="537"/>
      <c r="EOP29" s="537"/>
      <c r="EOQ29" s="537"/>
      <c r="EOR29" s="537"/>
      <c r="EOS29" s="537"/>
      <c r="EOT29" s="537"/>
      <c r="EOU29" s="537"/>
      <c r="EOV29" s="537"/>
      <c r="EOW29" s="537"/>
      <c r="EOX29" s="537"/>
      <c r="EOY29" s="537"/>
      <c r="EOZ29" s="537"/>
      <c r="EPA29" s="537"/>
      <c r="EPB29" s="537"/>
      <c r="EPC29" s="537"/>
      <c r="EPD29" s="537"/>
      <c r="EPE29" s="537"/>
      <c r="EPF29" s="537"/>
      <c r="EPG29" s="537"/>
      <c r="EPH29" s="537"/>
      <c r="EPI29" s="537"/>
      <c r="EPJ29" s="537"/>
      <c r="EPK29" s="537"/>
      <c r="EPL29" s="537"/>
      <c r="EPM29" s="537"/>
      <c r="EPN29" s="537"/>
      <c r="EPO29" s="537"/>
      <c r="EPP29" s="537"/>
      <c r="EPQ29" s="537"/>
      <c r="EPR29" s="537"/>
      <c r="EPS29" s="537"/>
      <c r="EPT29" s="537"/>
      <c r="EPU29" s="537"/>
      <c r="EPV29" s="537"/>
      <c r="EPW29" s="537"/>
      <c r="EPX29" s="537"/>
      <c r="EPY29" s="537"/>
      <c r="EPZ29" s="537"/>
      <c r="EQA29" s="537"/>
      <c r="EQB29" s="537"/>
      <c r="EQC29" s="537"/>
      <c r="EQD29" s="537"/>
      <c r="EQE29" s="537"/>
      <c r="EQF29" s="537"/>
      <c r="EQG29" s="537"/>
      <c r="EQH29" s="537"/>
      <c r="EQI29" s="537"/>
      <c r="EQJ29" s="537"/>
      <c r="EQK29" s="537"/>
      <c r="EQL29" s="537"/>
      <c r="EQM29" s="537"/>
      <c r="EQN29" s="537"/>
      <c r="EQO29" s="537"/>
      <c r="EQP29" s="537"/>
      <c r="EQQ29" s="537"/>
      <c r="EQR29" s="537"/>
      <c r="EQS29" s="537"/>
      <c r="EQT29" s="537"/>
      <c r="EQU29" s="537"/>
      <c r="EQV29" s="537"/>
      <c r="EQW29" s="537"/>
      <c r="EQX29" s="537"/>
      <c r="EQY29" s="537"/>
      <c r="EQZ29" s="537"/>
      <c r="ERA29" s="537"/>
      <c r="ERB29" s="537"/>
      <c r="ERC29" s="537"/>
      <c r="ERD29" s="537"/>
      <c r="ERE29" s="537"/>
      <c r="ERF29" s="537"/>
      <c r="ERG29" s="537"/>
      <c r="ERH29" s="537"/>
      <c r="ERI29" s="537"/>
      <c r="ERJ29" s="537"/>
      <c r="ERK29" s="537"/>
      <c r="ERL29" s="537"/>
      <c r="ERM29" s="537"/>
      <c r="ERN29" s="537"/>
      <c r="ERO29" s="537"/>
      <c r="ERP29" s="537"/>
      <c r="ERQ29" s="537"/>
      <c r="ERR29" s="537"/>
      <c r="ERS29" s="537"/>
      <c r="ERT29" s="537"/>
      <c r="ERU29" s="537"/>
      <c r="ERV29" s="537"/>
      <c r="ERW29" s="537"/>
      <c r="ERX29" s="537"/>
      <c r="ERY29" s="537"/>
      <c r="ERZ29" s="537"/>
      <c r="ESA29" s="537"/>
      <c r="ESB29" s="537"/>
      <c r="ESC29" s="537"/>
      <c r="ESD29" s="537"/>
      <c r="ESE29" s="537"/>
      <c r="ESF29" s="537"/>
      <c r="ESG29" s="537"/>
      <c r="ESH29" s="537"/>
      <c r="ESI29" s="537"/>
      <c r="ESJ29" s="537"/>
      <c r="ESK29" s="537"/>
      <c r="ESL29" s="537"/>
      <c r="ESM29" s="537"/>
      <c r="ESN29" s="537"/>
      <c r="ESO29" s="537"/>
      <c r="ESP29" s="537"/>
      <c r="ESQ29" s="537"/>
      <c r="ESR29" s="537"/>
      <c r="ESS29" s="537"/>
      <c r="EST29" s="537"/>
      <c r="ESU29" s="537"/>
      <c r="ESV29" s="537"/>
      <c r="ESW29" s="537"/>
      <c r="ESX29" s="537"/>
      <c r="ESY29" s="537"/>
      <c r="ESZ29" s="537"/>
      <c r="ETA29" s="537"/>
      <c r="ETB29" s="537"/>
      <c r="ETC29" s="537"/>
      <c r="ETD29" s="537"/>
      <c r="ETE29" s="537"/>
      <c r="ETF29" s="537"/>
      <c r="ETG29" s="537"/>
      <c r="ETH29" s="537"/>
      <c r="ETI29" s="537"/>
      <c r="ETJ29" s="537"/>
      <c r="ETK29" s="537"/>
      <c r="ETL29" s="537"/>
      <c r="ETM29" s="537"/>
      <c r="ETN29" s="537"/>
      <c r="ETO29" s="537"/>
      <c r="ETP29" s="537"/>
      <c r="ETQ29" s="537"/>
      <c r="ETR29" s="537"/>
      <c r="ETS29" s="537"/>
      <c r="ETT29" s="537"/>
      <c r="ETU29" s="537"/>
      <c r="ETV29" s="537"/>
      <c r="ETW29" s="537"/>
      <c r="ETX29" s="537"/>
      <c r="ETY29" s="537"/>
      <c r="ETZ29" s="537"/>
      <c r="EUA29" s="537"/>
      <c r="EUB29" s="537"/>
      <c r="EUC29" s="537"/>
      <c r="EUD29" s="537"/>
      <c r="EUE29" s="537"/>
      <c r="EUF29" s="537"/>
      <c r="EUG29" s="537"/>
      <c r="EUH29" s="537"/>
      <c r="EUI29" s="537"/>
      <c r="EUJ29" s="537"/>
      <c r="EUK29" s="537"/>
      <c r="EUL29" s="537"/>
      <c r="EUM29" s="537"/>
      <c r="EUN29" s="537"/>
      <c r="EUO29" s="537"/>
      <c r="EUP29" s="537"/>
      <c r="EUQ29" s="537"/>
      <c r="EUR29" s="537"/>
      <c r="EUS29" s="537"/>
      <c r="EUT29" s="537"/>
      <c r="EUU29" s="537"/>
      <c r="EUV29" s="537"/>
      <c r="EUW29" s="537"/>
      <c r="EUX29" s="537"/>
      <c r="EUY29" s="537"/>
      <c r="EUZ29" s="537"/>
      <c r="EVA29" s="537"/>
      <c r="EVB29" s="537"/>
      <c r="EVC29" s="537"/>
      <c r="EVD29" s="537"/>
      <c r="EVE29" s="537"/>
      <c r="EVF29" s="537"/>
      <c r="EVG29" s="537"/>
      <c r="EVH29" s="537"/>
      <c r="EVI29" s="537"/>
      <c r="EVJ29" s="537"/>
      <c r="EVK29" s="537"/>
      <c r="EVL29" s="537"/>
      <c r="EVM29" s="537"/>
      <c r="EVN29" s="537"/>
      <c r="EVO29" s="537"/>
      <c r="EVP29" s="537"/>
      <c r="EVQ29" s="537"/>
      <c r="EVR29" s="537"/>
      <c r="EVS29" s="537"/>
      <c r="EVT29" s="537"/>
      <c r="EVU29" s="537"/>
      <c r="EVV29" s="537"/>
      <c r="EVW29" s="537"/>
      <c r="EVX29" s="537"/>
      <c r="EVY29" s="537"/>
      <c r="EVZ29" s="537"/>
      <c r="EWA29" s="537"/>
      <c r="EWB29" s="537"/>
      <c r="EWC29" s="537"/>
      <c r="EWD29" s="537"/>
      <c r="EWE29" s="537"/>
      <c r="EWF29" s="537"/>
      <c r="EWG29" s="537"/>
      <c r="EWH29" s="537"/>
      <c r="EWI29" s="537"/>
      <c r="EWJ29" s="537"/>
      <c r="EWK29" s="537"/>
      <c r="EWL29" s="537"/>
      <c r="EWM29" s="537"/>
      <c r="EWN29" s="537"/>
      <c r="EWO29" s="537"/>
      <c r="EWP29" s="537"/>
      <c r="EWQ29" s="537"/>
      <c r="EWR29" s="537"/>
      <c r="EWS29" s="537"/>
      <c r="EWT29" s="537"/>
      <c r="EWU29" s="537"/>
      <c r="EWV29" s="537"/>
      <c r="EWW29" s="537"/>
      <c r="EWX29" s="537"/>
      <c r="EWY29" s="537"/>
      <c r="EWZ29" s="537"/>
      <c r="EXA29" s="537"/>
      <c r="EXB29" s="537"/>
      <c r="EXC29" s="537"/>
      <c r="EXD29" s="537"/>
      <c r="EXE29" s="537"/>
      <c r="EXF29" s="537"/>
      <c r="EXG29" s="537"/>
      <c r="EXH29" s="537"/>
      <c r="EXI29" s="537"/>
      <c r="EXJ29" s="537"/>
      <c r="EXK29" s="537"/>
      <c r="EXL29" s="537"/>
      <c r="EXM29" s="537"/>
      <c r="EXN29" s="537"/>
      <c r="EXO29" s="537"/>
      <c r="EXP29" s="537"/>
      <c r="EXQ29" s="537"/>
      <c r="EXR29" s="537"/>
      <c r="EXS29" s="537"/>
      <c r="EXT29" s="537"/>
      <c r="EXU29" s="537"/>
      <c r="EXV29" s="537"/>
      <c r="EXW29" s="537"/>
      <c r="EXX29" s="537"/>
      <c r="EXY29" s="537"/>
      <c r="EXZ29" s="537"/>
      <c r="EYA29" s="537"/>
      <c r="EYB29" s="537"/>
      <c r="EYC29" s="537"/>
      <c r="EYD29" s="537"/>
      <c r="EYE29" s="537"/>
      <c r="EYF29" s="537"/>
      <c r="EYG29" s="537"/>
      <c r="EYH29" s="537"/>
      <c r="EYI29" s="537"/>
      <c r="EYJ29" s="537"/>
      <c r="EYK29" s="537"/>
      <c r="EYL29" s="537"/>
      <c r="EYM29" s="537"/>
      <c r="EYN29" s="537"/>
      <c r="EYO29" s="537"/>
      <c r="EYP29" s="537"/>
      <c r="EYQ29" s="537"/>
      <c r="EYR29" s="537"/>
      <c r="EYS29" s="537"/>
      <c r="EYT29" s="537"/>
      <c r="EYU29" s="537"/>
      <c r="EYV29" s="537"/>
      <c r="EYW29" s="537"/>
      <c r="EYX29" s="537"/>
      <c r="EYY29" s="537"/>
      <c r="EYZ29" s="537"/>
      <c r="EZA29" s="537"/>
      <c r="EZB29" s="537"/>
      <c r="EZC29" s="537"/>
      <c r="EZD29" s="537"/>
      <c r="EZE29" s="537"/>
      <c r="EZF29" s="537"/>
      <c r="EZG29" s="537"/>
      <c r="EZH29" s="537"/>
      <c r="EZI29" s="537"/>
      <c r="EZJ29" s="537"/>
      <c r="EZK29" s="537"/>
      <c r="EZL29" s="537"/>
      <c r="EZM29" s="537"/>
      <c r="EZN29" s="537"/>
      <c r="EZO29" s="537"/>
      <c r="EZP29" s="537"/>
      <c r="EZQ29" s="537"/>
      <c r="EZR29" s="537"/>
      <c r="EZS29" s="537"/>
      <c r="EZT29" s="537"/>
      <c r="EZU29" s="537"/>
      <c r="EZV29" s="537"/>
      <c r="EZW29" s="537"/>
      <c r="EZX29" s="537"/>
      <c r="EZY29" s="537"/>
      <c r="EZZ29" s="537"/>
      <c r="FAA29" s="537"/>
      <c r="FAB29" s="537"/>
      <c r="FAC29" s="537"/>
      <c r="FAD29" s="537"/>
      <c r="FAE29" s="537"/>
      <c r="FAF29" s="537"/>
      <c r="FAG29" s="537"/>
      <c r="FAH29" s="537"/>
      <c r="FAI29" s="537"/>
      <c r="FAJ29" s="537"/>
      <c r="FAK29" s="537"/>
      <c r="FAL29" s="537"/>
      <c r="FAM29" s="537"/>
      <c r="FAN29" s="537"/>
      <c r="FAO29" s="537"/>
      <c r="FAP29" s="537"/>
      <c r="FAQ29" s="537"/>
      <c r="FAR29" s="537"/>
      <c r="FAS29" s="537"/>
      <c r="FAT29" s="537"/>
      <c r="FAU29" s="537"/>
      <c r="FAV29" s="537"/>
      <c r="FAW29" s="537"/>
      <c r="FAX29" s="537"/>
      <c r="FAY29" s="537"/>
      <c r="FAZ29" s="537"/>
      <c r="FBA29" s="537"/>
      <c r="FBB29" s="537"/>
      <c r="FBC29" s="537"/>
      <c r="FBD29" s="537"/>
      <c r="FBE29" s="537"/>
      <c r="FBF29" s="537"/>
      <c r="FBG29" s="537"/>
      <c r="FBH29" s="537"/>
      <c r="FBI29" s="537"/>
      <c r="FBJ29" s="537"/>
      <c r="FBK29" s="537"/>
      <c r="FBL29" s="537"/>
      <c r="FBM29" s="537"/>
      <c r="FBN29" s="537"/>
      <c r="FBO29" s="537"/>
      <c r="FBP29" s="537"/>
      <c r="FBQ29" s="537"/>
      <c r="FBR29" s="537"/>
      <c r="FBS29" s="537"/>
      <c r="FBT29" s="537"/>
      <c r="FBU29" s="537"/>
      <c r="FBV29" s="537"/>
      <c r="FBW29" s="537"/>
      <c r="FBX29" s="537"/>
      <c r="FBY29" s="537"/>
      <c r="FBZ29" s="537"/>
      <c r="FCA29" s="537"/>
      <c r="FCB29" s="537"/>
      <c r="FCC29" s="537"/>
      <c r="FCD29" s="537"/>
      <c r="FCE29" s="537"/>
      <c r="FCF29" s="537"/>
      <c r="FCG29" s="537"/>
      <c r="FCH29" s="537"/>
      <c r="FCI29" s="537"/>
      <c r="FCJ29" s="537"/>
      <c r="FCK29" s="537"/>
      <c r="FCL29" s="537"/>
      <c r="FCM29" s="537"/>
      <c r="FCN29" s="537"/>
      <c r="FCO29" s="537"/>
      <c r="FCP29" s="537"/>
      <c r="FCQ29" s="537"/>
      <c r="FCR29" s="537"/>
      <c r="FCS29" s="537"/>
      <c r="FCT29" s="537"/>
      <c r="FCU29" s="537"/>
      <c r="FCV29" s="537"/>
      <c r="FCW29" s="537"/>
      <c r="FCX29" s="537"/>
      <c r="FCY29" s="537"/>
      <c r="FCZ29" s="537"/>
      <c r="FDA29" s="537"/>
      <c r="FDB29" s="537"/>
      <c r="FDC29" s="537"/>
      <c r="FDD29" s="537"/>
      <c r="FDE29" s="537"/>
      <c r="FDF29" s="537"/>
      <c r="FDG29" s="537"/>
      <c r="FDH29" s="537"/>
      <c r="FDI29" s="537"/>
      <c r="FDJ29" s="537"/>
      <c r="FDK29" s="537"/>
      <c r="FDL29" s="537"/>
      <c r="FDM29" s="537"/>
      <c r="FDN29" s="537"/>
      <c r="FDO29" s="537"/>
      <c r="FDP29" s="537"/>
      <c r="FDQ29" s="537"/>
      <c r="FDR29" s="537"/>
      <c r="FDS29" s="537"/>
      <c r="FDT29" s="537"/>
      <c r="FDU29" s="537"/>
      <c r="FDV29" s="537"/>
      <c r="FDW29" s="537"/>
      <c r="FDX29" s="537"/>
      <c r="FDY29" s="537"/>
      <c r="FDZ29" s="537"/>
      <c r="FEA29" s="537"/>
      <c r="FEB29" s="537"/>
      <c r="FEC29" s="537"/>
      <c r="FED29" s="537"/>
      <c r="FEE29" s="537"/>
      <c r="FEF29" s="537"/>
      <c r="FEG29" s="537"/>
      <c r="FEH29" s="537"/>
      <c r="FEI29" s="537"/>
      <c r="FEJ29" s="537"/>
      <c r="FEK29" s="537"/>
      <c r="FEL29" s="537"/>
      <c r="FEM29" s="537"/>
      <c r="FEN29" s="537"/>
      <c r="FEO29" s="537"/>
      <c r="FEP29" s="537"/>
      <c r="FEQ29" s="537"/>
      <c r="FER29" s="537"/>
      <c r="FES29" s="537"/>
      <c r="FET29" s="537"/>
      <c r="FEU29" s="537"/>
      <c r="FEV29" s="537"/>
      <c r="FEW29" s="537"/>
      <c r="FEX29" s="537"/>
      <c r="FEY29" s="537"/>
      <c r="FEZ29" s="537"/>
      <c r="FFA29" s="537"/>
      <c r="FFB29" s="537"/>
      <c r="FFC29" s="537"/>
      <c r="FFD29" s="537"/>
      <c r="FFE29" s="537"/>
      <c r="FFF29" s="537"/>
      <c r="FFG29" s="537"/>
      <c r="FFH29" s="537"/>
      <c r="FFI29" s="537"/>
      <c r="FFJ29" s="537"/>
      <c r="FFK29" s="537"/>
      <c r="FFL29" s="537"/>
      <c r="FFM29" s="537"/>
      <c r="FFN29" s="537"/>
      <c r="FFO29" s="537"/>
      <c r="FFP29" s="537"/>
      <c r="FFQ29" s="537"/>
      <c r="FFR29" s="537"/>
      <c r="FFS29" s="537"/>
      <c r="FFT29" s="537"/>
      <c r="FFU29" s="537"/>
      <c r="FFV29" s="537"/>
      <c r="FFW29" s="537"/>
      <c r="FFX29" s="537"/>
      <c r="FFY29" s="537"/>
      <c r="FFZ29" s="537"/>
      <c r="FGA29" s="537"/>
      <c r="FGB29" s="537"/>
      <c r="FGC29" s="537"/>
      <c r="FGD29" s="537"/>
      <c r="FGE29" s="537"/>
      <c r="FGF29" s="537"/>
      <c r="FGG29" s="537"/>
      <c r="FGH29" s="537"/>
      <c r="FGI29" s="537"/>
      <c r="FGJ29" s="537"/>
      <c r="FGK29" s="537"/>
      <c r="FGL29" s="537"/>
      <c r="FGM29" s="537"/>
      <c r="FGN29" s="537"/>
      <c r="FGO29" s="537"/>
      <c r="FGP29" s="537"/>
      <c r="FGQ29" s="537"/>
      <c r="FGR29" s="537"/>
      <c r="FGS29" s="537"/>
      <c r="FGT29" s="537"/>
      <c r="FGU29" s="537"/>
      <c r="FGV29" s="537"/>
      <c r="FGW29" s="537"/>
      <c r="FGX29" s="537"/>
      <c r="FGY29" s="537"/>
      <c r="FGZ29" s="537"/>
      <c r="FHA29" s="537"/>
      <c r="FHB29" s="537"/>
      <c r="FHC29" s="537"/>
      <c r="FHD29" s="537"/>
      <c r="FHE29" s="537"/>
      <c r="FHF29" s="537"/>
      <c r="FHG29" s="537"/>
      <c r="FHH29" s="537"/>
      <c r="FHI29" s="537"/>
      <c r="FHJ29" s="537"/>
      <c r="FHK29" s="537"/>
      <c r="FHL29" s="537"/>
      <c r="FHM29" s="537"/>
      <c r="FHN29" s="537"/>
      <c r="FHO29" s="537"/>
      <c r="FHP29" s="537"/>
      <c r="FHQ29" s="537"/>
      <c r="FHR29" s="537"/>
      <c r="FHS29" s="537"/>
      <c r="FHT29" s="537"/>
      <c r="FHU29" s="537"/>
      <c r="FHV29" s="537"/>
      <c r="FHW29" s="537"/>
      <c r="FHX29" s="537"/>
      <c r="FHY29" s="537"/>
      <c r="FHZ29" s="537"/>
      <c r="FIA29" s="537"/>
      <c r="FIB29" s="537"/>
      <c r="FIC29" s="537"/>
      <c r="FID29" s="537"/>
      <c r="FIE29" s="537"/>
      <c r="FIF29" s="537"/>
      <c r="FIG29" s="537"/>
      <c r="FIH29" s="537"/>
      <c r="FII29" s="537"/>
      <c r="FIJ29" s="537"/>
      <c r="FIK29" s="537"/>
      <c r="FIL29" s="537"/>
      <c r="FIM29" s="537"/>
      <c r="FIN29" s="537"/>
      <c r="FIO29" s="537"/>
      <c r="FIP29" s="537"/>
      <c r="FIQ29" s="537"/>
      <c r="FIR29" s="537"/>
      <c r="FIS29" s="537"/>
      <c r="FIT29" s="537"/>
      <c r="FIU29" s="537"/>
      <c r="FIV29" s="537"/>
      <c r="FIW29" s="537"/>
      <c r="FIX29" s="537"/>
      <c r="FIY29" s="537"/>
      <c r="FIZ29" s="537"/>
      <c r="FJA29" s="537"/>
      <c r="FJB29" s="537"/>
      <c r="FJC29" s="537"/>
      <c r="FJD29" s="537"/>
      <c r="FJE29" s="537"/>
      <c r="FJF29" s="537"/>
      <c r="FJG29" s="537"/>
      <c r="FJH29" s="537"/>
      <c r="FJI29" s="537"/>
      <c r="FJJ29" s="537"/>
      <c r="FJK29" s="537"/>
      <c r="FJL29" s="537"/>
      <c r="FJM29" s="537"/>
      <c r="FJN29" s="537"/>
      <c r="FJO29" s="537"/>
      <c r="FJP29" s="537"/>
      <c r="FJQ29" s="537"/>
      <c r="FJR29" s="537"/>
      <c r="FJS29" s="537"/>
      <c r="FJT29" s="537"/>
      <c r="FJU29" s="537"/>
      <c r="FJV29" s="537"/>
      <c r="FJW29" s="537"/>
      <c r="FJX29" s="537"/>
      <c r="FJY29" s="537"/>
      <c r="FJZ29" s="537"/>
      <c r="FKA29" s="537"/>
      <c r="FKB29" s="537"/>
      <c r="FKC29" s="537"/>
      <c r="FKD29" s="537"/>
      <c r="FKE29" s="537"/>
      <c r="FKF29" s="537"/>
      <c r="FKG29" s="537"/>
      <c r="FKH29" s="537"/>
      <c r="FKI29" s="537"/>
      <c r="FKJ29" s="537"/>
      <c r="FKK29" s="537"/>
      <c r="FKL29" s="537"/>
      <c r="FKM29" s="537"/>
      <c r="FKN29" s="537"/>
      <c r="FKO29" s="537"/>
      <c r="FKP29" s="537"/>
      <c r="FKQ29" s="537"/>
      <c r="FKR29" s="537"/>
      <c r="FKS29" s="537"/>
      <c r="FKT29" s="537"/>
      <c r="FKU29" s="537"/>
      <c r="FKV29" s="537"/>
      <c r="FKW29" s="537"/>
      <c r="FKX29" s="537"/>
      <c r="FKY29" s="537"/>
      <c r="FKZ29" s="537"/>
      <c r="FLA29" s="537"/>
      <c r="FLB29" s="537"/>
      <c r="FLC29" s="537"/>
      <c r="FLD29" s="537"/>
      <c r="FLE29" s="537"/>
      <c r="FLF29" s="537"/>
      <c r="FLG29" s="537"/>
      <c r="FLH29" s="537"/>
      <c r="FLI29" s="537"/>
      <c r="FLJ29" s="537"/>
      <c r="FLK29" s="537"/>
      <c r="FLL29" s="537"/>
      <c r="FLM29" s="537"/>
      <c r="FLN29" s="537"/>
      <c r="FLO29" s="537"/>
      <c r="FLP29" s="537"/>
      <c r="FLQ29" s="537"/>
      <c r="FLR29" s="537"/>
      <c r="FLS29" s="537"/>
      <c r="FLT29" s="537"/>
      <c r="FLU29" s="537"/>
      <c r="FLV29" s="537"/>
      <c r="FLW29" s="537"/>
      <c r="FLX29" s="537"/>
      <c r="FLY29" s="537"/>
      <c r="FLZ29" s="537"/>
      <c r="FMA29" s="537"/>
      <c r="FMB29" s="537"/>
      <c r="FMC29" s="537"/>
      <c r="FMD29" s="537"/>
      <c r="FME29" s="537"/>
      <c r="FMF29" s="537"/>
      <c r="FMG29" s="537"/>
      <c r="FMH29" s="537"/>
      <c r="FMI29" s="537"/>
      <c r="FMJ29" s="537"/>
      <c r="FMK29" s="537"/>
      <c r="FML29" s="537"/>
      <c r="FMM29" s="537"/>
      <c r="FMN29" s="537"/>
      <c r="FMO29" s="537"/>
      <c r="FMP29" s="537"/>
      <c r="FMQ29" s="537"/>
      <c r="FMR29" s="537"/>
      <c r="FMS29" s="537"/>
      <c r="FMT29" s="537"/>
      <c r="FMU29" s="537"/>
      <c r="FMV29" s="537"/>
      <c r="FMW29" s="537"/>
      <c r="FMX29" s="537"/>
      <c r="FMY29" s="537"/>
      <c r="FMZ29" s="537"/>
      <c r="FNA29" s="537"/>
      <c r="FNB29" s="537"/>
      <c r="FNC29" s="537"/>
      <c r="FND29" s="537"/>
      <c r="FNE29" s="537"/>
      <c r="FNF29" s="537"/>
      <c r="FNG29" s="537"/>
      <c r="FNH29" s="537"/>
      <c r="FNI29" s="537"/>
      <c r="FNJ29" s="537"/>
      <c r="FNK29" s="537"/>
      <c r="FNL29" s="537"/>
      <c r="FNM29" s="537"/>
      <c r="FNN29" s="537"/>
      <c r="FNO29" s="537"/>
      <c r="FNP29" s="537"/>
      <c r="FNQ29" s="537"/>
      <c r="FNR29" s="537"/>
      <c r="FNS29" s="537"/>
      <c r="FNT29" s="537"/>
      <c r="FNU29" s="537"/>
      <c r="FNV29" s="537"/>
      <c r="FNW29" s="537"/>
      <c r="FNX29" s="537"/>
      <c r="FNY29" s="537"/>
      <c r="FNZ29" s="537"/>
      <c r="FOA29" s="537"/>
      <c r="FOB29" s="537"/>
      <c r="FOC29" s="537"/>
      <c r="FOD29" s="537"/>
      <c r="FOE29" s="537"/>
      <c r="FOF29" s="537"/>
      <c r="FOG29" s="537"/>
      <c r="FOH29" s="537"/>
      <c r="FOI29" s="537"/>
      <c r="FOJ29" s="537"/>
      <c r="FOK29" s="537"/>
      <c r="FOL29" s="537"/>
      <c r="FOM29" s="537"/>
      <c r="FON29" s="537"/>
      <c r="FOO29" s="537"/>
      <c r="FOP29" s="537"/>
      <c r="FOQ29" s="537"/>
      <c r="FOR29" s="537"/>
      <c r="FOS29" s="537"/>
      <c r="FOT29" s="537"/>
      <c r="FOU29" s="537"/>
      <c r="FOV29" s="537"/>
      <c r="FOW29" s="537"/>
      <c r="FOX29" s="537"/>
      <c r="FOY29" s="537"/>
      <c r="FOZ29" s="537"/>
      <c r="FPA29" s="537"/>
      <c r="FPB29" s="537"/>
      <c r="FPC29" s="537"/>
      <c r="FPD29" s="537"/>
      <c r="FPE29" s="537"/>
      <c r="FPF29" s="537"/>
      <c r="FPG29" s="537"/>
      <c r="FPH29" s="537"/>
      <c r="FPI29" s="537"/>
      <c r="FPJ29" s="537"/>
      <c r="FPK29" s="537"/>
      <c r="FPL29" s="537"/>
      <c r="FPM29" s="537"/>
      <c r="FPN29" s="537"/>
      <c r="FPO29" s="537"/>
      <c r="FPP29" s="537"/>
      <c r="FPQ29" s="537"/>
      <c r="FPR29" s="537"/>
      <c r="FPS29" s="537"/>
      <c r="FPT29" s="537"/>
      <c r="FPU29" s="537"/>
      <c r="FPV29" s="537"/>
      <c r="FPW29" s="537"/>
      <c r="FPX29" s="537"/>
      <c r="FPY29" s="537"/>
      <c r="FPZ29" s="537"/>
      <c r="FQA29" s="537"/>
      <c r="FQB29" s="537"/>
      <c r="FQC29" s="537"/>
      <c r="FQD29" s="537"/>
      <c r="FQE29" s="537"/>
      <c r="FQF29" s="537"/>
      <c r="FQG29" s="537"/>
      <c r="FQH29" s="537"/>
      <c r="FQI29" s="537"/>
      <c r="FQJ29" s="537"/>
      <c r="FQK29" s="537"/>
      <c r="FQL29" s="537"/>
      <c r="FQM29" s="537"/>
      <c r="FQN29" s="537"/>
      <c r="FQO29" s="537"/>
      <c r="FQP29" s="537"/>
      <c r="FQQ29" s="537"/>
      <c r="FQR29" s="537"/>
      <c r="FQS29" s="537"/>
      <c r="FQT29" s="537"/>
      <c r="FQU29" s="537"/>
      <c r="FQV29" s="537"/>
      <c r="FQW29" s="537"/>
      <c r="FQX29" s="537"/>
      <c r="FQY29" s="537"/>
      <c r="FQZ29" s="537"/>
      <c r="FRA29" s="537"/>
      <c r="FRB29" s="537"/>
      <c r="FRC29" s="537"/>
      <c r="FRD29" s="537"/>
      <c r="FRE29" s="537"/>
      <c r="FRF29" s="537"/>
      <c r="FRG29" s="537"/>
      <c r="FRH29" s="537"/>
      <c r="FRI29" s="537"/>
      <c r="FRJ29" s="537"/>
      <c r="FRK29" s="537"/>
      <c r="FRL29" s="537"/>
      <c r="FRM29" s="537"/>
      <c r="FRN29" s="537"/>
      <c r="FRO29" s="537"/>
      <c r="FRP29" s="537"/>
      <c r="FRQ29" s="537"/>
      <c r="FRR29" s="537"/>
      <c r="FRS29" s="537"/>
      <c r="FRT29" s="537"/>
      <c r="FRU29" s="537"/>
      <c r="FRV29" s="537"/>
      <c r="FRW29" s="537"/>
      <c r="FRX29" s="537"/>
      <c r="FRY29" s="537"/>
      <c r="FRZ29" s="537"/>
      <c r="FSA29" s="537"/>
      <c r="FSB29" s="537"/>
      <c r="FSC29" s="537"/>
      <c r="FSD29" s="537"/>
      <c r="FSE29" s="537"/>
      <c r="FSF29" s="537"/>
      <c r="FSG29" s="537"/>
      <c r="FSH29" s="537"/>
      <c r="FSI29" s="537"/>
      <c r="FSJ29" s="537"/>
      <c r="FSK29" s="537"/>
      <c r="FSL29" s="537"/>
      <c r="FSM29" s="537"/>
      <c r="FSN29" s="537"/>
      <c r="FSO29" s="537"/>
      <c r="FSP29" s="537"/>
      <c r="FSQ29" s="537"/>
      <c r="FSR29" s="537"/>
      <c r="FSS29" s="537"/>
      <c r="FST29" s="537"/>
      <c r="FSU29" s="537"/>
      <c r="FSV29" s="537"/>
      <c r="FSW29" s="537"/>
      <c r="FSX29" s="537"/>
      <c r="FSY29" s="537"/>
      <c r="FSZ29" s="537"/>
      <c r="FTA29" s="537"/>
      <c r="FTB29" s="537"/>
      <c r="FTC29" s="537"/>
      <c r="FTD29" s="537"/>
      <c r="FTE29" s="537"/>
      <c r="FTF29" s="537"/>
      <c r="FTG29" s="537"/>
      <c r="FTH29" s="537"/>
      <c r="FTI29" s="537"/>
      <c r="FTJ29" s="537"/>
      <c r="FTK29" s="537"/>
      <c r="FTL29" s="537"/>
      <c r="FTM29" s="537"/>
      <c r="FTN29" s="537"/>
      <c r="FTO29" s="537"/>
      <c r="FTP29" s="537"/>
      <c r="FTQ29" s="537"/>
      <c r="FTR29" s="537"/>
      <c r="FTS29" s="537"/>
      <c r="FTT29" s="537"/>
      <c r="FTU29" s="537"/>
      <c r="FTV29" s="537"/>
      <c r="FTW29" s="537"/>
      <c r="FTX29" s="537"/>
      <c r="FTY29" s="537"/>
      <c r="FTZ29" s="537"/>
      <c r="FUA29" s="537"/>
      <c r="FUB29" s="537"/>
      <c r="FUC29" s="537"/>
      <c r="FUD29" s="537"/>
      <c r="FUE29" s="537"/>
      <c r="FUF29" s="537"/>
      <c r="FUG29" s="537"/>
      <c r="FUH29" s="537"/>
      <c r="FUI29" s="537"/>
      <c r="FUJ29" s="537"/>
      <c r="FUK29" s="537"/>
      <c r="FUL29" s="537"/>
      <c r="FUM29" s="537"/>
      <c r="FUN29" s="537"/>
      <c r="FUO29" s="537"/>
      <c r="FUP29" s="537"/>
      <c r="FUQ29" s="537"/>
      <c r="FUR29" s="537"/>
      <c r="FUS29" s="537"/>
      <c r="FUT29" s="537"/>
      <c r="FUU29" s="537"/>
      <c r="FUV29" s="537"/>
      <c r="FUW29" s="537"/>
      <c r="FUX29" s="537"/>
      <c r="FUY29" s="537"/>
      <c r="FUZ29" s="537"/>
      <c r="FVA29" s="537"/>
      <c r="FVB29" s="537"/>
      <c r="FVC29" s="537"/>
      <c r="FVD29" s="537"/>
      <c r="FVE29" s="537"/>
      <c r="FVF29" s="537"/>
      <c r="FVG29" s="537"/>
      <c r="FVH29" s="537"/>
      <c r="FVI29" s="537"/>
      <c r="FVJ29" s="537"/>
      <c r="FVK29" s="537"/>
      <c r="FVL29" s="537"/>
      <c r="FVM29" s="537"/>
      <c r="FVN29" s="537"/>
      <c r="FVO29" s="537"/>
      <c r="FVP29" s="537"/>
      <c r="FVQ29" s="537"/>
      <c r="FVR29" s="537"/>
      <c r="FVS29" s="537"/>
      <c r="FVT29" s="537"/>
      <c r="FVU29" s="537"/>
      <c r="FVV29" s="537"/>
      <c r="FVW29" s="537"/>
      <c r="FVX29" s="537"/>
      <c r="FVY29" s="537"/>
      <c r="FVZ29" s="537"/>
      <c r="FWA29" s="537"/>
      <c r="FWB29" s="537"/>
      <c r="FWC29" s="537"/>
      <c r="FWD29" s="537"/>
      <c r="FWE29" s="537"/>
      <c r="FWF29" s="537"/>
      <c r="FWG29" s="537"/>
      <c r="FWH29" s="537"/>
      <c r="FWI29" s="537"/>
      <c r="FWJ29" s="537"/>
      <c r="FWK29" s="537"/>
      <c r="FWL29" s="537"/>
      <c r="FWM29" s="537"/>
      <c r="FWN29" s="537"/>
      <c r="FWO29" s="537"/>
      <c r="FWP29" s="537"/>
      <c r="FWQ29" s="537"/>
      <c r="FWR29" s="537"/>
      <c r="FWS29" s="537"/>
      <c r="FWT29" s="537"/>
      <c r="FWU29" s="537"/>
      <c r="FWV29" s="537"/>
      <c r="FWW29" s="537"/>
      <c r="FWX29" s="537"/>
      <c r="FWY29" s="537"/>
      <c r="FWZ29" s="537"/>
      <c r="FXA29" s="537"/>
      <c r="FXB29" s="537"/>
      <c r="FXC29" s="537"/>
      <c r="FXD29" s="537"/>
      <c r="FXE29" s="537"/>
      <c r="FXF29" s="537"/>
      <c r="FXG29" s="537"/>
      <c r="FXH29" s="537"/>
      <c r="FXI29" s="537"/>
      <c r="FXJ29" s="537"/>
      <c r="FXK29" s="537"/>
      <c r="FXL29" s="537"/>
      <c r="FXM29" s="537"/>
      <c r="FXN29" s="537"/>
      <c r="FXO29" s="537"/>
      <c r="FXP29" s="537"/>
      <c r="FXQ29" s="537"/>
      <c r="FXR29" s="537"/>
      <c r="FXS29" s="537"/>
      <c r="FXT29" s="537"/>
      <c r="FXU29" s="537"/>
      <c r="FXV29" s="537"/>
      <c r="FXW29" s="537"/>
      <c r="FXX29" s="537"/>
      <c r="FXY29" s="537"/>
      <c r="FXZ29" s="537"/>
      <c r="FYA29" s="537"/>
      <c r="FYB29" s="537"/>
      <c r="FYC29" s="537"/>
      <c r="FYD29" s="537"/>
      <c r="FYE29" s="537"/>
      <c r="FYF29" s="537"/>
      <c r="FYG29" s="537"/>
      <c r="FYH29" s="537"/>
      <c r="FYI29" s="537"/>
      <c r="FYJ29" s="537"/>
      <c r="FYK29" s="537"/>
      <c r="FYL29" s="537"/>
      <c r="FYM29" s="537"/>
      <c r="FYN29" s="537"/>
      <c r="FYO29" s="537"/>
      <c r="FYP29" s="537"/>
      <c r="FYQ29" s="537"/>
      <c r="FYR29" s="537"/>
      <c r="FYS29" s="537"/>
      <c r="FYT29" s="537"/>
      <c r="FYU29" s="537"/>
      <c r="FYV29" s="537"/>
      <c r="FYW29" s="537"/>
      <c r="FYX29" s="537"/>
      <c r="FYY29" s="537"/>
      <c r="FYZ29" s="537"/>
      <c r="FZA29" s="537"/>
      <c r="FZB29" s="537"/>
      <c r="FZC29" s="537"/>
      <c r="FZD29" s="537"/>
      <c r="FZE29" s="537"/>
      <c r="FZF29" s="537"/>
      <c r="FZG29" s="537"/>
      <c r="FZH29" s="537"/>
      <c r="FZI29" s="537"/>
      <c r="FZJ29" s="537"/>
      <c r="FZK29" s="537"/>
      <c r="FZL29" s="537"/>
      <c r="FZM29" s="537"/>
      <c r="FZN29" s="537"/>
      <c r="FZO29" s="537"/>
      <c r="FZP29" s="537"/>
      <c r="FZQ29" s="537"/>
      <c r="FZR29" s="537"/>
      <c r="FZS29" s="537"/>
      <c r="FZT29" s="537"/>
      <c r="FZU29" s="537"/>
      <c r="FZV29" s="537"/>
      <c r="FZW29" s="537"/>
      <c r="FZX29" s="537"/>
      <c r="FZY29" s="537"/>
      <c r="FZZ29" s="537"/>
      <c r="GAA29" s="537"/>
      <c r="GAB29" s="537"/>
      <c r="GAC29" s="537"/>
      <c r="GAD29" s="537"/>
      <c r="GAE29" s="537"/>
      <c r="GAF29" s="537"/>
      <c r="GAG29" s="537"/>
      <c r="GAH29" s="537"/>
      <c r="GAI29" s="537"/>
      <c r="GAJ29" s="537"/>
      <c r="GAK29" s="537"/>
      <c r="GAL29" s="537"/>
      <c r="GAM29" s="537"/>
      <c r="GAN29" s="537"/>
      <c r="GAO29" s="537"/>
      <c r="GAP29" s="537"/>
      <c r="GAQ29" s="537"/>
      <c r="GAR29" s="537"/>
      <c r="GAS29" s="537"/>
      <c r="GAT29" s="537"/>
      <c r="GAU29" s="537"/>
      <c r="GAV29" s="537"/>
      <c r="GAW29" s="537"/>
      <c r="GAX29" s="537"/>
      <c r="GAY29" s="537"/>
      <c r="GAZ29" s="537"/>
      <c r="GBA29" s="537"/>
      <c r="GBB29" s="537"/>
      <c r="GBC29" s="537"/>
      <c r="GBD29" s="537"/>
      <c r="GBE29" s="537"/>
      <c r="GBF29" s="537"/>
      <c r="GBG29" s="537"/>
      <c r="GBH29" s="537"/>
      <c r="GBI29" s="537"/>
      <c r="GBJ29" s="537"/>
      <c r="GBK29" s="537"/>
      <c r="GBL29" s="537"/>
      <c r="GBM29" s="537"/>
      <c r="GBN29" s="537"/>
      <c r="GBO29" s="537"/>
      <c r="GBP29" s="537"/>
      <c r="GBQ29" s="537"/>
      <c r="GBR29" s="537"/>
      <c r="GBS29" s="537"/>
      <c r="GBT29" s="537"/>
      <c r="GBU29" s="537"/>
      <c r="GBV29" s="537"/>
      <c r="GBW29" s="537"/>
      <c r="GBX29" s="537"/>
      <c r="GBY29" s="537"/>
      <c r="GBZ29" s="537"/>
      <c r="GCA29" s="537"/>
      <c r="GCB29" s="537"/>
      <c r="GCC29" s="537"/>
      <c r="GCD29" s="537"/>
      <c r="GCE29" s="537"/>
      <c r="GCF29" s="537"/>
      <c r="GCG29" s="537"/>
      <c r="GCH29" s="537"/>
      <c r="GCI29" s="537"/>
      <c r="GCJ29" s="537"/>
      <c r="GCK29" s="537"/>
      <c r="GCL29" s="537"/>
      <c r="GCM29" s="537"/>
      <c r="GCN29" s="537"/>
      <c r="GCO29" s="537"/>
      <c r="GCP29" s="537"/>
      <c r="GCQ29" s="537"/>
      <c r="GCR29" s="537"/>
      <c r="GCS29" s="537"/>
      <c r="GCT29" s="537"/>
      <c r="GCU29" s="537"/>
      <c r="GCV29" s="537"/>
      <c r="GCW29" s="537"/>
      <c r="GCX29" s="537"/>
      <c r="GCY29" s="537"/>
      <c r="GCZ29" s="537"/>
      <c r="GDA29" s="537"/>
      <c r="GDB29" s="537"/>
      <c r="GDC29" s="537"/>
      <c r="GDD29" s="537"/>
      <c r="GDE29" s="537"/>
      <c r="GDF29" s="537"/>
      <c r="GDG29" s="537"/>
      <c r="GDH29" s="537"/>
      <c r="GDI29" s="537"/>
      <c r="GDJ29" s="537"/>
      <c r="GDK29" s="537"/>
      <c r="GDL29" s="537"/>
      <c r="GDM29" s="537"/>
      <c r="GDN29" s="537"/>
      <c r="GDO29" s="537"/>
      <c r="GDP29" s="537"/>
      <c r="GDQ29" s="537"/>
      <c r="GDR29" s="537"/>
      <c r="GDS29" s="537"/>
      <c r="GDT29" s="537"/>
      <c r="GDU29" s="537"/>
      <c r="GDV29" s="537"/>
      <c r="GDW29" s="537"/>
      <c r="GDX29" s="537"/>
      <c r="GDY29" s="537"/>
      <c r="GDZ29" s="537"/>
      <c r="GEA29" s="537"/>
      <c r="GEB29" s="537"/>
      <c r="GEC29" s="537"/>
      <c r="GED29" s="537"/>
      <c r="GEE29" s="537"/>
      <c r="GEF29" s="537"/>
      <c r="GEG29" s="537"/>
      <c r="GEH29" s="537"/>
      <c r="GEI29" s="537"/>
      <c r="GEJ29" s="537"/>
      <c r="GEK29" s="537"/>
      <c r="GEL29" s="537"/>
      <c r="GEM29" s="537"/>
      <c r="GEN29" s="537"/>
      <c r="GEO29" s="537"/>
      <c r="GEP29" s="537"/>
      <c r="GEQ29" s="537"/>
      <c r="GER29" s="537"/>
      <c r="GES29" s="537"/>
      <c r="GET29" s="537"/>
      <c r="GEU29" s="537"/>
      <c r="GEV29" s="537"/>
      <c r="GEW29" s="537"/>
      <c r="GEX29" s="537"/>
      <c r="GEY29" s="537"/>
      <c r="GEZ29" s="537"/>
      <c r="GFA29" s="537"/>
      <c r="GFB29" s="537"/>
      <c r="GFC29" s="537"/>
      <c r="GFD29" s="537"/>
      <c r="GFE29" s="537"/>
      <c r="GFF29" s="537"/>
      <c r="GFG29" s="537"/>
      <c r="GFH29" s="537"/>
      <c r="GFI29" s="537"/>
      <c r="GFJ29" s="537"/>
      <c r="GFK29" s="537"/>
      <c r="GFL29" s="537"/>
      <c r="GFM29" s="537"/>
      <c r="GFN29" s="537"/>
      <c r="GFO29" s="537"/>
      <c r="GFP29" s="537"/>
      <c r="GFQ29" s="537"/>
      <c r="GFR29" s="537"/>
      <c r="GFS29" s="537"/>
      <c r="GFT29" s="537"/>
      <c r="GFU29" s="537"/>
      <c r="GFV29" s="537"/>
      <c r="GFW29" s="537"/>
      <c r="GFX29" s="537"/>
      <c r="GFY29" s="537"/>
      <c r="GFZ29" s="537"/>
      <c r="GGA29" s="537"/>
      <c r="GGB29" s="537"/>
      <c r="GGC29" s="537"/>
      <c r="GGD29" s="537"/>
      <c r="GGE29" s="537"/>
      <c r="GGF29" s="537"/>
      <c r="GGG29" s="537"/>
      <c r="GGH29" s="537"/>
      <c r="GGI29" s="537"/>
      <c r="GGJ29" s="537"/>
      <c r="GGK29" s="537"/>
      <c r="GGL29" s="537"/>
      <c r="GGM29" s="537"/>
      <c r="GGN29" s="537"/>
      <c r="GGO29" s="537"/>
      <c r="GGP29" s="537"/>
      <c r="GGQ29" s="537"/>
      <c r="GGR29" s="537"/>
      <c r="GGS29" s="537"/>
      <c r="GGT29" s="537"/>
      <c r="GGU29" s="537"/>
      <c r="GGV29" s="537"/>
      <c r="GGW29" s="537"/>
      <c r="GGX29" s="537"/>
      <c r="GGY29" s="537"/>
      <c r="GGZ29" s="537"/>
      <c r="GHA29" s="537"/>
      <c r="GHB29" s="537"/>
      <c r="GHC29" s="537"/>
      <c r="GHD29" s="537"/>
      <c r="GHE29" s="537"/>
      <c r="GHF29" s="537"/>
      <c r="GHG29" s="537"/>
      <c r="GHH29" s="537"/>
      <c r="GHI29" s="537"/>
      <c r="GHJ29" s="537"/>
      <c r="GHK29" s="537"/>
      <c r="GHL29" s="537"/>
      <c r="GHM29" s="537"/>
      <c r="GHN29" s="537"/>
      <c r="GHO29" s="537"/>
      <c r="GHP29" s="537"/>
      <c r="GHQ29" s="537"/>
      <c r="GHR29" s="537"/>
      <c r="GHS29" s="537"/>
      <c r="GHT29" s="537"/>
      <c r="GHU29" s="537"/>
      <c r="GHV29" s="537"/>
      <c r="GHW29" s="537"/>
      <c r="GHX29" s="537"/>
      <c r="GHY29" s="537"/>
      <c r="GHZ29" s="537"/>
      <c r="GIA29" s="537"/>
      <c r="GIB29" s="537"/>
      <c r="GIC29" s="537"/>
      <c r="GID29" s="537"/>
      <c r="GIE29" s="537"/>
      <c r="GIF29" s="537"/>
      <c r="GIG29" s="537"/>
      <c r="GIH29" s="537"/>
      <c r="GII29" s="537"/>
      <c r="GIJ29" s="537"/>
      <c r="GIK29" s="537"/>
      <c r="GIL29" s="537"/>
      <c r="GIM29" s="537"/>
      <c r="GIN29" s="537"/>
      <c r="GIO29" s="537"/>
      <c r="GIP29" s="537"/>
      <c r="GIQ29" s="537"/>
      <c r="GIR29" s="537"/>
      <c r="GIS29" s="537"/>
      <c r="GIT29" s="537"/>
      <c r="GIU29" s="537"/>
      <c r="GIV29" s="537"/>
      <c r="GIW29" s="537"/>
      <c r="GIX29" s="537"/>
      <c r="GIY29" s="537"/>
      <c r="GIZ29" s="537"/>
      <c r="GJA29" s="537"/>
      <c r="GJB29" s="537"/>
      <c r="GJC29" s="537"/>
      <c r="GJD29" s="537"/>
      <c r="GJE29" s="537"/>
      <c r="GJF29" s="537"/>
      <c r="GJG29" s="537"/>
      <c r="GJH29" s="537"/>
      <c r="GJI29" s="537"/>
      <c r="GJJ29" s="537"/>
      <c r="GJK29" s="537"/>
      <c r="GJL29" s="537"/>
      <c r="GJM29" s="537"/>
      <c r="GJN29" s="537"/>
      <c r="GJO29" s="537"/>
      <c r="GJP29" s="537"/>
      <c r="GJQ29" s="537"/>
      <c r="GJR29" s="537"/>
      <c r="GJS29" s="537"/>
      <c r="GJT29" s="537"/>
      <c r="GJU29" s="537"/>
      <c r="GJV29" s="537"/>
      <c r="GJW29" s="537"/>
      <c r="GJX29" s="537"/>
      <c r="GJY29" s="537"/>
      <c r="GJZ29" s="537"/>
      <c r="GKA29" s="537"/>
      <c r="GKB29" s="537"/>
      <c r="GKC29" s="537"/>
      <c r="GKD29" s="537"/>
      <c r="GKE29" s="537"/>
      <c r="GKF29" s="537"/>
      <c r="GKG29" s="537"/>
      <c r="GKH29" s="537"/>
      <c r="GKI29" s="537"/>
      <c r="GKJ29" s="537"/>
      <c r="GKK29" s="537"/>
      <c r="GKL29" s="537"/>
      <c r="GKM29" s="537"/>
      <c r="GKN29" s="537"/>
      <c r="GKO29" s="537"/>
      <c r="GKP29" s="537"/>
      <c r="GKQ29" s="537"/>
      <c r="GKR29" s="537"/>
      <c r="GKS29" s="537"/>
      <c r="GKT29" s="537"/>
      <c r="GKU29" s="537"/>
      <c r="GKV29" s="537"/>
      <c r="GKW29" s="537"/>
      <c r="GKX29" s="537"/>
      <c r="GKY29" s="537"/>
      <c r="GKZ29" s="537"/>
      <c r="GLA29" s="537"/>
      <c r="GLB29" s="537"/>
      <c r="GLC29" s="537"/>
      <c r="GLD29" s="537"/>
      <c r="GLE29" s="537"/>
      <c r="GLF29" s="537"/>
      <c r="GLG29" s="537"/>
      <c r="GLH29" s="537"/>
      <c r="GLI29" s="537"/>
      <c r="GLJ29" s="537"/>
      <c r="GLK29" s="537"/>
      <c r="GLL29" s="537"/>
      <c r="GLM29" s="537"/>
      <c r="GLN29" s="537"/>
      <c r="GLO29" s="537"/>
      <c r="GLP29" s="537"/>
      <c r="GLQ29" s="537"/>
      <c r="GLR29" s="537"/>
      <c r="GLS29" s="537"/>
      <c r="GLT29" s="537"/>
      <c r="GLU29" s="537"/>
      <c r="GLV29" s="537"/>
      <c r="GLW29" s="537"/>
      <c r="GLX29" s="537"/>
      <c r="GLY29" s="537"/>
      <c r="GLZ29" s="537"/>
      <c r="GMA29" s="537"/>
      <c r="GMB29" s="537"/>
      <c r="GMC29" s="537"/>
      <c r="GMD29" s="537"/>
      <c r="GME29" s="537"/>
      <c r="GMF29" s="537"/>
      <c r="GMG29" s="537"/>
      <c r="GMH29" s="537"/>
      <c r="GMI29" s="537"/>
      <c r="GMJ29" s="537"/>
      <c r="GMK29" s="537"/>
      <c r="GML29" s="537"/>
      <c r="GMM29" s="537"/>
      <c r="GMN29" s="537"/>
      <c r="GMO29" s="537"/>
      <c r="GMP29" s="537"/>
      <c r="GMQ29" s="537"/>
      <c r="GMR29" s="537"/>
      <c r="GMS29" s="537"/>
      <c r="GMT29" s="537"/>
      <c r="GMU29" s="537"/>
      <c r="GMV29" s="537"/>
      <c r="GMW29" s="537"/>
      <c r="GMX29" s="537"/>
      <c r="GMY29" s="537"/>
      <c r="GMZ29" s="537"/>
      <c r="GNA29" s="537"/>
      <c r="GNB29" s="537"/>
      <c r="GNC29" s="537"/>
      <c r="GND29" s="537"/>
      <c r="GNE29" s="537"/>
      <c r="GNF29" s="537"/>
      <c r="GNG29" s="537"/>
      <c r="GNH29" s="537"/>
      <c r="GNI29" s="537"/>
      <c r="GNJ29" s="537"/>
      <c r="GNK29" s="537"/>
      <c r="GNL29" s="537"/>
      <c r="GNM29" s="537"/>
      <c r="GNN29" s="537"/>
      <c r="GNO29" s="537"/>
      <c r="GNP29" s="537"/>
      <c r="GNQ29" s="537"/>
      <c r="GNR29" s="537"/>
      <c r="GNS29" s="537"/>
      <c r="GNT29" s="537"/>
      <c r="GNU29" s="537"/>
      <c r="GNV29" s="537"/>
      <c r="GNW29" s="537"/>
      <c r="GNX29" s="537"/>
      <c r="GNY29" s="537"/>
      <c r="GNZ29" s="537"/>
      <c r="GOA29" s="537"/>
      <c r="GOB29" s="537"/>
      <c r="GOC29" s="537"/>
      <c r="GOD29" s="537"/>
      <c r="GOE29" s="537"/>
      <c r="GOF29" s="537"/>
      <c r="GOG29" s="537"/>
      <c r="GOH29" s="537"/>
      <c r="GOI29" s="537"/>
      <c r="GOJ29" s="537"/>
      <c r="GOK29" s="537"/>
      <c r="GOL29" s="537"/>
      <c r="GOM29" s="537"/>
      <c r="GON29" s="537"/>
      <c r="GOO29" s="537"/>
      <c r="GOP29" s="537"/>
      <c r="GOQ29" s="537"/>
      <c r="GOR29" s="537"/>
      <c r="GOS29" s="537"/>
      <c r="GOT29" s="537"/>
      <c r="GOU29" s="537"/>
      <c r="GOV29" s="537"/>
      <c r="GOW29" s="537"/>
      <c r="GOX29" s="537"/>
      <c r="GOY29" s="537"/>
      <c r="GOZ29" s="537"/>
      <c r="GPA29" s="537"/>
      <c r="GPB29" s="537"/>
      <c r="GPC29" s="537"/>
      <c r="GPD29" s="537"/>
      <c r="GPE29" s="537"/>
      <c r="GPF29" s="537"/>
      <c r="GPG29" s="537"/>
      <c r="GPH29" s="537"/>
      <c r="GPI29" s="537"/>
      <c r="GPJ29" s="537"/>
      <c r="GPK29" s="537"/>
      <c r="GPL29" s="537"/>
      <c r="GPM29" s="537"/>
      <c r="GPN29" s="537"/>
      <c r="GPO29" s="537"/>
      <c r="GPP29" s="537"/>
      <c r="GPQ29" s="537"/>
      <c r="GPR29" s="537"/>
      <c r="GPS29" s="537"/>
      <c r="GPT29" s="537"/>
      <c r="GPU29" s="537"/>
      <c r="GPV29" s="537"/>
      <c r="GPW29" s="537"/>
      <c r="GPX29" s="537"/>
      <c r="GPY29" s="537"/>
      <c r="GPZ29" s="537"/>
      <c r="GQA29" s="537"/>
      <c r="GQB29" s="537"/>
      <c r="GQC29" s="537"/>
      <c r="GQD29" s="537"/>
      <c r="GQE29" s="537"/>
      <c r="GQF29" s="537"/>
      <c r="GQG29" s="537"/>
      <c r="GQH29" s="537"/>
      <c r="GQI29" s="537"/>
      <c r="GQJ29" s="537"/>
      <c r="GQK29" s="537"/>
      <c r="GQL29" s="537"/>
      <c r="GQM29" s="537"/>
      <c r="GQN29" s="537"/>
      <c r="GQO29" s="537"/>
      <c r="GQP29" s="537"/>
      <c r="GQQ29" s="537"/>
      <c r="GQR29" s="537"/>
      <c r="GQS29" s="537"/>
      <c r="GQT29" s="537"/>
      <c r="GQU29" s="537"/>
      <c r="GQV29" s="537"/>
      <c r="GQW29" s="537"/>
      <c r="GQX29" s="537"/>
      <c r="GQY29" s="537"/>
      <c r="GQZ29" s="537"/>
      <c r="GRA29" s="537"/>
      <c r="GRB29" s="537"/>
      <c r="GRC29" s="537"/>
      <c r="GRD29" s="537"/>
      <c r="GRE29" s="537"/>
      <c r="GRF29" s="537"/>
      <c r="GRG29" s="537"/>
      <c r="GRH29" s="537"/>
      <c r="GRI29" s="537"/>
      <c r="GRJ29" s="537"/>
      <c r="GRK29" s="537"/>
      <c r="GRL29" s="537"/>
      <c r="GRM29" s="537"/>
      <c r="GRN29" s="537"/>
      <c r="GRO29" s="537"/>
      <c r="GRP29" s="537"/>
      <c r="GRQ29" s="537"/>
      <c r="GRR29" s="537"/>
      <c r="GRS29" s="537"/>
      <c r="GRT29" s="537"/>
      <c r="GRU29" s="537"/>
      <c r="GRV29" s="537"/>
      <c r="GRW29" s="537"/>
      <c r="GRX29" s="537"/>
      <c r="GRY29" s="537"/>
      <c r="GRZ29" s="537"/>
      <c r="GSA29" s="537"/>
      <c r="GSB29" s="537"/>
      <c r="GSC29" s="537"/>
      <c r="GSD29" s="537"/>
      <c r="GSE29" s="537"/>
      <c r="GSF29" s="537"/>
      <c r="GSG29" s="537"/>
      <c r="GSH29" s="537"/>
      <c r="GSI29" s="537"/>
      <c r="GSJ29" s="537"/>
      <c r="GSK29" s="537"/>
      <c r="GSL29" s="537"/>
      <c r="GSM29" s="537"/>
      <c r="GSN29" s="537"/>
      <c r="GSO29" s="537"/>
      <c r="GSP29" s="537"/>
      <c r="GSQ29" s="537"/>
      <c r="GSR29" s="537"/>
      <c r="GSS29" s="537"/>
      <c r="GST29" s="537"/>
      <c r="GSU29" s="537"/>
      <c r="GSV29" s="537"/>
      <c r="GSW29" s="537"/>
      <c r="GSX29" s="537"/>
      <c r="GSY29" s="537"/>
      <c r="GSZ29" s="537"/>
      <c r="GTA29" s="537"/>
      <c r="GTB29" s="537"/>
      <c r="GTC29" s="537"/>
      <c r="GTD29" s="537"/>
      <c r="GTE29" s="537"/>
      <c r="GTF29" s="537"/>
      <c r="GTG29" s="537"/>
      <c r="GTH29" s="537"/>
      <c r="GTI29" s="537"/>
      <c r="GTJ29" s="537"/>
      <c r="GTK29" s="537"/>
      <c r="GTL29" s="537"/>
      <c r="GTM29" s="537"/>
      <c r="GTN29" s="537"/>
      <c r="GTO29" s="537"/>
      <c r="GTP29" s="537"/>
      <c r="GTQ29" s="537"/>
      <c r="GTR29" s="537"/>
      <c r="GTS29" s="537"/>
      <c r="GTT29" s="537"/>
      <c r="GTU29" s="537"/>
      <c r="GTV29" s="537"/>
      <c r="GTW29" s="537"/>
      <c r="GTX29" s="537"/>
      <c r="GTY29" s="537"/>
      <c r="GTZ29" s="537"/>
      <c r="GUA29" s="537"/>
      <c r="GUB29" s="537"/>
      <c r="GUC29" s="537"/>
      <c r="GUD29" s="537"/>
      <c r="GUE29" s="537"/>
      <c r="GUF29" s="537"/>
      <c r="GUG29" s="537"/>
      <c r="GUH29" s="537"/>
      <c r="GUI29" s="537"/>
      <c r="GUJ29" s="537"/>
      <c r="GUK29" s="537"/>
      <c r="GUL29" s="537"/>
      <c r="GUM29" s="537"/>
      <c r="GUN29" s="537"/>
      <c r="GUO29" s="537"/>
      <c r="GUP29" s="537"/>
      <c r="GUQ29" s="537"/>
      <c r="GUR29" s="537"/>
      <c r="GUS29" s="537"/>
      <c r="GUT29" s="537"/>
      <c r="GUU29" s="537"/>
      <c r="GUV29" s="537"/>
      <c r="GUW29" s="537"/>
      <c r="GUX29" s="537"/>
      <c r="GUY29" s="537"/>
      <c r="GUZ29" s="537"/>
      <c r="GVA29" s="537"/>
      <c r="GVB29" s="537"/>
      <c r="GVC29" s="537"/>
      <c r="GVD29" s="537"/>
      <c r="GVE29" s="537"/>
      <c r="GVF29" s="537"/>
      <c r="GVG29" s="537"/>
      <c r="GVH29" s="537"/>
      <c r="GVI29" s="537"/>
      <c r="GVJ29" s="537"/>
      <c r="GVK29" s="537"/>
      <c r="GVL29" s="537"/>
      <c r="GVM29" s="537"/>
      <c r="GVN29" s="537"/>
      <c r="GVO29" s="537"/>
      <c r="GVP29" s="537"/>
      <c r="GVQ29" s="537"/>
      <c r="GVR29" s="537"/>
      <c r="GVS29" s="537"/>
      <c r="GVT29" s="537"/>
      <c r="GVU29" s="537"/>
      <c r="GVV29" s="537"/>
      <c r="GVW29" s="537"/>
      <c r="GVX29" s="537"/>
      <c r="GVY29" s="537"/>
      <c r="GVZ29" s="537"/>
      <c r="GWA29" s="537"/>
      <c r="GWB29" s="537"/>
      <c r="GWC29" s="537"/>
      <c r="GWD29" s="537"/>
      <c r="GWE29" s="537"/>
      <c r="GWF29" s="537"/>
      <c r="GWG29" s="537"/>
      <c r="GWH29" s="537"/>
      <c r="GWI29" s="537"/>
      <c r="GWJ29" s="537"/>
      <c r="GWK29" s="537"/>
      <c r="GWL29" s="537"/>
      <c r="GWM29" s="537"/>
      <c r="GWN29" s="537"/>
      <c r="GWO29" s="537"/>
      <c r="GWP29" s="537"/>
      <c r="GWQ29" s="537"/>
      <c r="GWR29" s="537"/>
      <c r="GWS29" s="537"/>
      <c r="GWT29" s="537"/>
      <c r="GWU29" s="537"/>
      <c r="GWV29" s="537"/>
      <c r="GWW29" s="537"/>
      <c r="GWX29" s="537"/>
      <c r="GWY29" s="537"/>
      <c r="GWZ29" s="537"/>
      <c r="GXA29" s="537"/>
      <c r="GXB29" s="537"/>
      <c r="GXC29" s="537"/>
      <c r="GXD29" s="537"/>
      <c r="GXE29" s="537"/>
      <c r="GXF29" s="537"/>
      <c r="GXG29" s="537"/>
      <c r="GXH29" s="537"/>
      <c r="GXI29" s="537"/>
      <c r="GXJ29" s="537"/>
      <c r="GXK29" s="537"/>
      <c r="GXL29" s="537"/>
      <c r="GXM29" s="537"/>
      <c r="GXN29" s="537"/>
      <c r="GXO29" s="537"/>
      <c r="GXP29" s="537"/>
      <c r="GXQ29" s="537"/>
      <c r="GXR29" s="537"/>
      <c r="GXS29" s="537"/>
      <c r="GXT29" s="537"/>
      <c r="GXU29" s="537"/>
      <c r="GXV29" s="537"/>
      <c r="GXW29" s="537"/>
      <c r="GXX29" s="537"/>
      <c r="GXY29" s="537"/>
      <c r="GXZ29" s="537"/>
      <c r="GYA29" s="537"/>
      <c r="GYB29" s="537"/>
      <c r="GYC29" s="537"/>
      <c r="GYD29" s="537"/>
      <c r="GYE29" s="537"/>
      <c r="GYF29" s="537"/>
      <c r="GYG29" s="537"/>
      <c r="GYH29" s="537"/>
      <c r="GYI29" s="537"/>
      <c r="GYJ29" s="537"/>
      <c r="GYK29" s="537"/>
      <c r="GYL29" s="537"/>
      <c r="GYM29" s="537"/>
      <c r="GYN29" s="537"/>
      <c r="GYO29" s="537"/>
      <c r="GYP29" s="537"/>
      <c r="GYQ29" s="537"/>
      <c r="GYR29" s="537"/>
      <c r="GYS29" s="537"/>
      <c r="GYT29" s="537"/>
      <c r="GYU29" s="537"/>
      <c r="GYV29" s="537"/>
      <c r="GYW29" s="537"/>
      <c r="GYX29" s="537"/>
      <c r="GYY29" s="537"/>
      <c r="GYZ29" s="537"/>
      <c r="GZA29" s="537"/>
      <c r="GZB29" s="537"/>
      <c r="GZC29" s="537"/>
      <c r="GZD29" s="537"/>
      <c r="GZE29" s="537"/>
      <c r="GZF29" s="537"/>
      <c r="GZG29" s="537"/>
      <c r="GZH29" s="537"/>
      <c r="GZI29" s="537"/>
      <c r="GZJ29" s="537"/>
      <c r="GZK29" s="537"/>
      <c r="GZL29" s="537"/>
      <c r="GZM29" s="537"/>
      <c r="GZN29" s="537"/>
      <c r="GZO29" s="537"/>
      <c r="GZP29" s="537"/>
      <c r="GZQ29" s="537"/>
      <c r="GZR29" s="537"/>
      <c r="GZS29" s="537"/>
      <c r="GZT29" s="537"/>
      <c r="GZU29" s="537"/>
      <c r="GZV29" s="537"/>
      <c r="GZW29" s="537"/>
      <c r="GZX29" s="537"/>
      <c r="GZY29" s="537"/>
      <c r="GZZ29" s="537"/>
      <c r="HAA29" s="537"/>
      <c r="HAB29" s="537"/>
      <c r="HAC29" s="537"/>
      <c r="HAD29" s="537"/>
      <c r="HAE29" s="537"/>
      <c r="HAF29" s="537"/>
      <c r="HAG29" s="537"/>
      <c r="HAH29" s="537"/>
      <c r="HAI29" s="537"/>
      <c r="HAJ29" s="537"/>
      <c r="HAK29" s="537"/>
      <c r="HAL29" s="537"/>
      <c r="HAM29" s="537"/>
      <c r="HAN29" s="537"/>
      <c r="HAO29" s="537"/>
      <c r="HAP29" s="537"/>
      <c r="HAQ29" s="537"/>
      <c r="HAR29" s="537"/>
      <c r="HAS29" s="537"/>
      <c r="HAT29" s="537"/>
      <c r="HAU29" s="537"/>
      <c r="HAV29" s="537"/>
      <c r="HAW29" s="537"/>
      <c r="HAX29" s="537"/>
      <c r="HAY29" s="537"/>
      <c r="HAZ29" s="537"/>
      <c r="HBA29" s="537"/>
      <c r="HBB29" s="537"/>
      <c r="HBC29" s="537"/>
      <c r="HBD29" s="537"/>
      <c r="HBE29" s="537"/>
      <c r="HBF29" s="537"/>
      <c r="HBG29" s="537"/>
      <c r="HBH29" s="537"/>
      <c r="HBI29" s="537"/>
      <c r="HBJ29" s="537"/>
      <c r="HBK29" s="537"/>
      <c r="HBL29" s="537"/>
      <c r="HBM29" s="537"/>
      <c r="HBN29" s="537"/>
      <c r="HBO29" s="537"/>
      <c r="HBP29" s="537"/>
      <c r="HBQ29" s="537"/>
      <c r="HBR29" s="537"/>
      <c r="HBS29" s="537"/>
      <c r="HBT29" s="537"/>
      <c r="HBU29" s="537"/>
      <c r="HBV29" s="537"/>
      <c r="HBW29" s="537"/>
      <c r="HBX29" s="537"/>
      <c r="HBY29" s="537"/>
      <c r="HBZ29" s="537"/>
      <c r="HCA29" s="537"/>
      <c r="HCB29" s="537"/>
      <c r="HCC29" s="537"/>
      <c r="HCD29" s="537"/>
      <c r="HCE29" s="537"/>
      <c r="HCF29" s="537"/>
      <c r="HCG29" s="537"/>
      <c r="HCH29" s="537"/>
      <c r="HCI29" s="537"/>
      <c r="HCJ29" s="537"/>
      <c r="HCK29" s="537"/>
      <c r="HCL29" s="537"/>
      <c r="HCM29" s="537"/>
      <c r="HCN29" s="537"/>
      <c r="HCO29" s="537"/>
      <c r="HCP29" s="537"/>
      <c r="HCQ29" s="537"/>
      <c r="HCR29" s="537"/>
      <c r="HCS29" s="537"/>
      <c r="HCT29" s="537"/>
      <c r="HCU29" s="537"/>
      <c r="HCV29" s="537"/>
      <c r="HCW29" s="537"/>
      <c r="HCX29" s="537"/>
      <c r="HCY29" s="537"/>
      <c r="HCZ29" s="537"/>
      <c r="HDA29" s="537"/>
      <c r="HDB29" s="537"/>
      <c r="HDC29" s="537"/>
      <c r="HDD29" s="537"/>
      <c r="HDE29" s="537"/>
      <c r="HDF29" s="537"/>
      <c r="HDG29" s="537"/>
      <c r="HDH29" s="537"/>
      <c r="HDI29" s="537"/>
      <c r="HDJ29" s="537"/>
      <c r="HDK29" s="537"/>
      <c r="HDL29" s="537"/>
      <c r="HDM29" s="537"/>
      <c r="HDN29" s="537"/>
      <c r="HDO29" s="537"/>
      <c r="HDP29" s="537"/>
      <c r="HDQ29" s="537"/>
      <c r="HDR29" s="537"/>
      <c r="HDS29" s="537"/>
      <c r="HDT29" s="537"/>
      <c r="HDU29" s="537"/>
      <c r="HDV29" s="537"/>
      <c r="HDW29" s="537"/>
      <c r="HDX29" s="537"/>
      <c r="HDY29" s="537"/>
      <c r="HDZ29" s="537"/>
      <c r="HEA29" s="537"/>
      <c r="HEB29" s="537"/>
      <c r="HEC29" s="537"/>
      <c r="HED29" s="537"/>
      <c r="HEE29" s="537"/>
      <c r="HEF29" s="537"/>
      <c r="HEG29" s="537"/>
      <c r="HEH29" s="537"/>
      <c r="HEI29" s="537"/>
      <c r="HEJ29" s="537"/>
      <c r="HEK29" s="537"/>
      <c r="HEL29" s="537"/>
      <c r="HEM29" s="537"/>
      <c r="HEN29" s="537"/>
      <c r="HEO29" s="537"/>
      <c r="HEP29" s="537"/>
      <c r="HEQ29" s="537"/>
      <c r="HER29" s="537"/>
      <c r="HES29" s="537"/>
      <c r="HET29" s="537"/>
      <c r="HEU29" s="537"/>
      <c r="HEV29" s="537"/>
      <c r="HEW29" s="537"/>
      <c r="HEX29" s="537"/>
      <c r="HEY29" s="537"/>
      <c r="HEZ29" s="537"/>
      <c r="HFA29" s="537"/>
      <c r="HFB29" s="537"/>
      <c r="HFC29" s="537"/>
      <c r="HFD29" s="537"/>
      <c r="HFE29" s="537"/>
      <c r="HFF29" s="537"/>
      <c r="HFG29" s="537"/>
      <c r="HFH29" s="537"/>
      <c r="HFI29" s="537"/>
      <c r="HFJ29" s="537"/>
      <c r="HFK29" s="537"/>
      <c r="HFL29" s="537"/>
      <c r="HFM29" s="537"/>
      <c r="HFN29" s="537"/>
      <c r="HFO29" s="537"/>
      <c r="HFP29" s="537"/>
      <c r="HFQ29" s="537"/>
      <c r="HFR29" s="537"/>
      <c r="HFS29" s="537"/>
      <c r="HFT29" s="537"/>
      <c r="HFU29" s="537"/>
      <c r="HFV29" s="537"/>
      <c r="HFW29" s="537"/>
      <c r="HFX29" s="537"/>
      <c r="HFY29" s="537"/>
      <c r="HFZ29" s="537"/>
      <c r="HGA29" s="537"/>
      <c r="HGB29" s="537"/>
      <c r="HGC29" s="537"/>
      <c r="HGD29" s="537"/>
      <c r="HGE29" s="537"/>
      <c r="HGF29" s="537"/>
      <c r="HGG29" s="537"/>
      <c r="HGH29" s="537"/>
      <c r="HGI29" s="537"/>
      <c r="HGJ29" s="537"/>
      <c r="HGK29" s="537"/>
      <c r="HGL29" s="537"/>
      <c r="HGM29" s="537"/>
      <c r="HGN29" s="537"/>
      <c r="HGO29" s="537"/>
      <c r="HGP29" s="537"/>
      <c r="HGQ29" s="537"/>
      <c r="HGR29" s="537"/>
      <c r="HGS29" s="537"/>
      <c r="HGT29" s="537"/>
      <c r="HGU29" s="537"/>
      <c r="HGV29" s="537"/>
      <c r="HGW29" s="537"/>
      <c r="HGX29" s="537"/>
      <c r="HGY29" s="537"/>
      <c r="HGZ29" s="537"/>
      <c r="HHA29" s="537"/>
      <c r="HHB29" s="537"/>
      <c r="HHC29" s="537"/>
      <c r="HHD29" s="537"/>
      <c r="HHE29" s="537"/>
      <c r="HHF29" s="537"/>
      <c r="HHG29" s="537"/>
      <c r="HHH29" s="537"/>
      <c r="HHI29" s="537"/>
      <c r="HHJ29" s="537"/>
      <c r="HHK29" s="537"/>
      <c r="HHL29" s="537"/>
      <c r="HHM29" s="537"/>
      <c r="HHN29" s="537"/>
      <c r="HHO29" s="537"/>
      <c r="HHP29" s="537"/>
      <c r="HHQ29" s="537"/>
      <c r="HHR29" s="537"/>
      <c r="HHS29" s="537"/>
      <c r="HHT29" s="537"/>
      <c r="HHU29" s="537"/>
      <c r="HHV29" s="537"/>
      <c r="HHW29" s="537"/>
      <c r="HHX29" s="537"/>
      <c r="HHY29" s="537"/>
      <c r="HHZ29" s="537"/>
      <c r="HIA29" s="537"/>
      <c r="HIB29" s="537"/>
      <c r="HIC29" s="537"/>
      <c r="HID29" s="537"/>
      <c r="HIE29" s="537"/>
      <c r="HIF29" s="537"/>
      <c r="HIG29" s="537"/>
      <c r="HIH29" s="537"/>
      <c r="HII29" s="537"/>
      <c r="HIJ29" s="537"/>
      <c r="HIK29" s="537"/>
      <c r="HIL29" s="537"/>
      <c r="HIM29" s="537"/>
      <c r="HIN29" s="537"/>
      <c r="HIO29" s="537"/>
      <c r="HIP29" s="537"/>
      <c r="HIQ29" s="537"/>
      <c r="HIR29" s="537"/>
      <c r="HIS29" s="537"/>
      <c r="HIT29" s="537"/>
      <c r="HIU29" s="537"/>
      <c r="HIV29" s="537"/>
      <c r="HIW29" s="537"/>
      <c r="HIX29" s="537"/>
      <c r="HIY29" s="537"/>
      <c r="HIZ29" s="537"/>
      <c r="HJA29" s="537"/>
      <c r="HJB29" s="537"/>
      <c r="HJC29" s="537"/>
      <c r="HJD29" s="537"/>
      <c r="HJE29" s="537"/>
      <c r="HJF29" s="537"/>
      <c r="HJG29" s="537"/>
      <c r="HJH29" s="537"/>
      <c r="HJI29" s="537"/>
      <c r="HJJ29" s="537"/>
      <c r="HJK29" s="537"/>
      <c r="HJL29" s="537"/>
      <c r="HJM29" s="537"/>
      <c r="HJN29" s="537"/>
      <c r="HJO29" s="537"/>
      <c r="HJP29" s="537"/>
      <c r="HJQ29" s="537"/>
      <c r="HJR29" s="537"/>
      <c r="HJS29" s="537"/>
      <c r="HJT29" s="537"/>
      <c r="HJU29" s="537"/>
      <c r="HJV29" s="537"/>
      <c r="HJW29" s="537"/>
      <c r="HJX29" s="537"/>
      <c r="HJY29" s="537"/>
      <c r="HJZ29" s="537"/>
      <c r="HKA29" s="537"/>
      <c r="HKB29" s="537"/>
      <c r="HKC29" s="537"/>
      <c r="HKD29" s="537"/>
      <c r="HKE29" s="537"/>
      <c r="HKF29" s="537"/>
      <c r="HKG29" s="537"/>
      <c r="HKH29" s="537"/>
      <c r="HKI29" s="537"/>
      <c r="HKJ29" s="537"/>
      <c r="HKK29" s="537"/>
      <c r="HKL29" s="537"/>
      <c r="HKM29" s="537"/>
      <c r="HKN29" s="537"/>
      <c r="HKO29" s="537"/>
      <c r="HKP29" s="537"/>
      <c r="HKQ29" s="537"/>
      <c r="HKR29" s="537"/>
      <c r="HKS29" s="537"/>
      <c r="HKT29" s="537"/>
      <c r="HKU29" s="537"/>
      <c r="HKV29" s="537"/>
      <c r="HKW29" s="537"/>
      <c r="HKX29" s="537"/>
      <c r="HKY29" s="537"/>
      <c r="HKZ29" s="537"/>
      <c r="HLA29" s="537"/>
      <c r="HLB29" s="537"/>
      <c r="HLC29" s="537"/>
      <c r="HLD29" s="537"/>
      <c r="HLE29" s="537"/>
      <c r="HLF29" s="537"/>
      <c r="HLG29" s="537"/>
      <c r="HLH29" s="537"/>
      <c r="HLI29" s="537"/>
      <c r="HLJ29" s="537"/>
      <c r="HLK29" s="537"/>
      <c r="HLL29" s="537"/>
      <c r="HLM29" s="537"/>
      <c r="HLN29" s="537"/>
      <c r="HLO29" s="537"/>
      <c r="HLP29" s="537"/>
      <c r="HLQ29" s="537"/>
      <c r="HLR29" s="537"/>
      <c r="HLS29" s="537"/>
      <c r="HLT29" s="537"/>
      <c r="HLU29" s="537"/>
      <c r="HLV29" s="537"/>
      <c r="HLW29" s="537"/>
      <c r="HLX29" s="537"/>
      <c r="HLY29" s="537"/>
      <c r="HLZ29" s="537"/>
      <c r="HMA29" s="537"/>
      <c r="HMB29" s="537"/>
      <c r="HMC29" s="537"/>
      <c r="HMD29" s="537"/>
      <c r="HME29" s="537"/>
      <c r="HMF29" s="537"/>
      <c r="HMG29" s="537"/>
      <c r="HMH29" s="537"/>
      <c r="HMI29" s="537"/>
      <c r="HMJ29" s="537"/>
      <c r="HMK29" s="537"/>
      <c r="HML29" s="537"/>
      <c r="HMM29" s="537"/>
      <c r="HMN29" s="537"/>
      <c r="HMO29" s="537"/>
      <c r="HMP29" s="537"/>
      <c r="HMQ29" s="537"/>
      <c r="HMR29" s="537"/>
      <c r="HMS29" s="537"/>
      <c r="HMT29" s="537"/>
      <c r="HMU29" s="537"/>
      <c r="HMV29" s="537"/>
      <c r="HMW29" s="537"/>
      <c r="HMX29" s="537"/>
      <c r="HMY29" s="537"/>
      <c r="HMZ29" s="537"/>
      <c r="HNA29" s="537"/>
      <c r="HNB29" s="537"/>
      <c r="HNC29" s="537"/>
      <c r="HND29" s="537"/>
      <c r="HNE29" s="537"/>
      <c r="HNF29" s="537"/>
      <c r="HNG29" s="537"/>
      <c r="HNH29" s="537"/>
      <c r="HNI29" s="537"/>
      <c r="HNJ29" s="537"/>
      <c r="HNK29" s="537"/>
      <c r="HNL29" s="537"/>
      <c r="HNM29" s="537"/>
      <c r="HNN29" s="537"/>
      <c r="HNO29" s="537"/>
      <c r="HNP29" s="537"/>
      <c r="HNQ29" s="537"/>
      <c r="HNR29" s="537"/>
      <c r="HNS29" s="537"/>
      <c r="HNT29" s="537"/>
      <c r="HNU29" s="537"/>
      <c r="HNV29" s="537"/>
      <c r="HNW29" s="537"/>
      <c r="HNX29" s="537"/>
      <c r="HNY29" s="537"/>
      <c r="HNZ29" s="537"/>
      <c r="HOA29" s="537"/>
      <c r="HOB29" s="537"/>
      <c r="HOC29" s="537"/>
      <c r="HOD29" s="537"/>
      <c r="HOE29" s="537"/>
      <c r="HOF29" s="537"/>
      <c r="HOG29" s="537"/>
      <c r="HOH29" s="537"/>
      <c r="HOI29" s="537"/>
      <c r="HOJ29" s="537"/>
      <c r="HOK29" s="537"/>
      <c r="HOL29" s="537"/>
      <c r="HOM29" s="537"/>
      <c r="HON29" s="537"/>
      <c r="HOO29" s="537"/>
      <c r="HOP29" s="537"/>
      <c r="HOQ29" s="537"/>
      <c r="HOR29" s="537"/>
      <c r="HOS29" s="537"/>
      <c r="HOT29" s="537"/>
      <c r="HOU29" s="537"/>
      <c r="HOV29" s="537"/>
      <c r="HOW29" s="537"/>
      <c r="HOX29" s="537"/>
      <c r="HOY29" s="537"/>
      <c r="HOZ29" s="537"/>
      <c r="HPA29" s="537"/>
      <c r="HPB29" s="537"/>
      <c r="HPC29" s="537"/>
      <c r="HPD29" s="537"/>
      <c r="HPE29" s="537"/>
      <c r="HPF29" s="537"/>
      <c r="HPG29" s="537"/>
      <c r="HPH29" s="537"/>
      <c r="HPI29" s="537"/>
      <c r="HPJ29" s="537"/>
      <c r="HPK29" s="537"/>
      <c r="HPL29" s="537"/>
      <c r="HPM29" s="537"/>
      <c r="HPN29" s="537"/>
      <c r="HPO29" s="537"/>
      <c r="HPP29" s="537"/>
      <c r="HPQ29" s="537"/>
      <c r="HPR29" s="537"/>
      <c r="HPS29" s="537"/>
      <c r="HPT29" s="537"/>
      <c r="HPU29" s="537"/>
      <c r="HPV29" s="537"/>
      <c r="HPW29" s="537"/>
      <c r="HPX29" s="537"/>
      <c r="HPY29" s="537"/>
      <c r="HPZ29" s="537"/>
      <c r="HQA29" s="537"/>
      <c r="HQB29" s="537"/>
      <c r="HQC29" s="537"/>
      <c r="HQD29" s="537"/>
      <c r="HQE29" s="537"/>
      <c r="HQF29" s="537"/>
      <c r="HQG29" s="537"/>
      <c r="HQH29" s="537"/>
      <c r="HQI29" s="537"/>
      <c r="HQJ29" s="537"/>
      <c r="HQK29" s="537"/>
      <c r="HQL29" s="537"/>
      <c r="HQM29" s="537"/>
      <c r="HQN29" s="537"/>
      <c r="HQO29" s="537"/>
      <c r="HQP29" s="537"/>
      <c r="HQQ29" s="537"/>
      <c r="HQR29" s="537"/>
      <c r="HQS29" s="537"/>
      <c r="HQT29" s="537"/>
      <c r="HQU29" s="537"/>
      <c r="HQV29" s="537"/>
      <c r="HQW29" s="537"/>
      <c r="HQX29" s="537"/>
      <c r="HQY29" s="537"/>
      <c r="HQZ29" s="537"/>
      <c r="HRA29" s="537"/>
      <c r="HRB29" s="537"/>
      <c r="HRC29" s="537"/>
      <c r="HRD29" s="537"/>
      <c r="HRE29" s="537"/>
      <c r="HRF29" s="537"/>
      <c r="HRG29" s="537"/>
      <c r="HRH29" s="537"/>
      <c r="HRI29" s="537"/>
      <c r="HRJ29" s="537"/>
      <c r="HRK29" s="537"/>
      <c r="HRL29" s="537"/>
      <c r="HRM29" s="537"/>
      <c r="HRN29" s="537"/>
      <c r="HRO29" s="537"/>
      <c r="HRP29" s="537"/>
      <c r="HRQ29" s="537"/>
      <c r="HRR29" s="537"/>
      <c r="HRS29" s="537"/>
      <c r="HRT29" s="537"/>
      <c r="HRU29" s="537"/>
      <c r="HRV29" s="537"/>
      <c r="HRW29" s="537"/>
      <c r="HRX29" s="537"/>
      <c r="HRY29" s="537"/>
      <c r="HRZ29" s="537"/>
      <c r="HSA29" s="537"/>
      <c r="HSB29" s="537"/>
      <c r="HSC29" s="537"/>
      <c r="HSD29" s="537"/>
      <c r="HSE29" s="537"/>
      <c r="HSF29" s="537"/>
      <c r="HSG29" s="537"/>
      <c r="HSH29" s="537"/>
      <c r="HSI29" s="537"/>
      <c r="HSJ29" s="537"/>
      <c r="HSK29" s="537"/>
      <c r="HSL29" s="537"/>
      <c r="HSM29" s="537"/>
      <c r="HSN29" s="537"/>
      <c r="HSO29" s="537"/>
      <c r="HSP29" s="537"/>
      <c r="HSQ29" s="537"/>
      <c r="HSR29" s="537"/>
      <c r="HSS29" s="537"/>
      <c r="HST29" s="537"/>
      <c r="HSU29" s="537"/>
      <c r="HSV29" s="537"/>
      <c r="HSW29" s="537"/>
      <c r="HSX29" s="537"/>
      <c r="HSY29" s="537"/>
      <c r="HSZ29" s="537"/>
      <c r="HTA29" s="537"/>
      <c r="HTB29" s="537"/>
      <c r="HTC29" s="537"/>
      <c r="HTD29" s="537"/>
      <c r="HTE29" s="537"/>
      <c r="HTF29" s="537"/>
      <c r="HTG29" s="537"/>
      <c r="HTH29" s="537"/>
      <c r="HTI29" s="537"/>
      <c r="HTJ29" s="537"/>
      <c r="HTK29" s="537"/>
      <c r="HTL29" s="537"/>
      <c r="HTM29" s="537"/>
      <c r="HTN29" s="537"/>
      <c r="HTO29" s="537"/>
      <c r="HTP29" s="537"/>
      <c r="HTQ29" s="537"/>
      <c r="HTR29" s="537"/>
      <c r="HTS29" s="537"/>
      <c r="HTT29" s="537"/>
      <c r="HTU29" s="537"/>
      <c r="HTV29" s="537"/>
      <c r="HTW29" s="537"/>
      <c r="HTX29" s="537"/>
      <c r="HTY29" s="537"/>
      <c r="HTZ29" s="537"/>
      <c r="HUA29" s="537"/>
      <c r="HUB29" s="537"/>
      <c r="HUC29" s="537"/>
      <c r="HUD29" s="537"/>
      <c r="HUE29" s="537"/>
      <c r="HUF29" s="537"/>
      <c r="HUG29" s="537"/>
      <c r="HUH29" s="537"/>
      <c r="HUI29" s="537"/>
      <c r="HUJ29" s="537"/>
      <c r="HUK29" s="537"/>
      <c r="HUL29" s="537"/>
      <c r="HUM29" s="537"/>
      <c r="HUN29" s="537"/>
      <c r="HUO29" s="537"/>
      <c r="HUP29" s="537"/>
      <c r="HUQ29" s="537"/>
      <c r="HUR29" s="537"/>
      <c r="HUS29" s="537"/>
      <c r="HUT29" s="537"/>
      <c r="HUU29" s="537"/>
      <c r="HUV29" s="537"/>
      <c r="HUW29" s="537"/>
      <c r="HUX29" s="537"/>
      <c r="HUY29" s="537"/>
      <c r="HUZ29" s="537"/>
      <c r="HVA29" s="537"/>
      <c r="HVB29" s="537"/>
      <c r="HVC29" s="537"/>
      <c r="HVD29" s="537"/>
      <c r="HVE29" s="537"/>
      <c r="HVF29" s="537"/>
      <c r="HVG29" s="537"/>
      <c r="HVH29" s="537"/>
      <c r="HVI29" s="537"/>
      <c r="HVJ29" s="537"/>
      <c r="HVK29" s="537"/>
      <c r="HVL29" s="537"/>
      <c r="HVM29" s="537"/>
      <c r="HVN29" s="537"/>
      <c r="HVO29" s="537"/>
      <c r="HVP29" s="537"/>
      <c r="HVQ29" s="537"/>
      <c r="HVR29" s="537"/>
      <c r="HVS29" s="537"/>
      <c r="HVT29" s="537"/>
      <c r="HVU29" s="537"/>
      <c r="HVV29" s="537"/>
      <c r="HVW29" s="537"/>
      <c r="HVX29" s="537"/>
      <c r="HVY29" s="537"/>
      <c r="HVZ29" s="537"/>
      <c r="HWA29" s="537"/>
      <c r="HWB29" s="537"/>
      <c r="HWC29" s="537"/>
      <c r="HWD29" s="537"/>
      <c r="HWE29" s="537"/>
      <c r="HWF29" s="537"/>
      <c r="HWG29" s="537"/>
      <c r="HWH29" s="537"/>
      <c r="HWI29" s="537"/>
      <c r="HWJ29" s="537"/>
      <c r="HWK29" s="537"/>
      <c r="HWL29" s="537"/>
      <c r="HWM29" s="537"/>
      <c r="HWN29" s="537"/>
      <c r="HWO29" s="537"/>
      <c r="HWP29" s="537"/>
      <c r="HWQ29" s="537"/>
      <c r="HWR29" s="537"/>
      <c r="HWS29" s="537"/>
      <c r="HWT29" s="537"/>
      <c r="HWU29" s="537"/>
      <c r="HWV29" s="537"/>
      <c r="HWW29" s="537"/>
      <c r="HWX29" s="537"/>
      <c r="HWY29" s="537"/>
      <c r="HWZ29" s="537"/>
      <c r="HXA29" s="537"/>
      <c r="HXB29" s="537"/>
      <c r="HXC29" s="537"/>
      <c r="HXD29" s="537"/>
      <c r="HXE29" s="537"/>
      <c r="HXF29" s="537"/>
      <c r="HXG29" s="537"/>
      <c r="HXH29" s="537"/>
      <c r="HXI29" s="537"/>
      <c r="HXJ29" s="537"/>
      <c r="HXK29" s="537"/>
      <c r="HXL29" s="537"/>
      <c r="HXM29" s="537"/>
      <c r="HXN29" s="537"/>
      <c r="HXO29" s="537"/>
      <c r="HXP29" s="537"/>
      <c r="HXQ29" s="537"/>
      <c r="HXR29" s="537"/>
      <c r="HXS29" s="537"/>
      <c r="HXT29" s="537"/>
      <c r="HXU29" s="537"/>
      <c r="HXV29" s="537"/>
      <c r="HXW29" s="537"/>
      <c r="HXX29" s="537"/>
      <c r="HXY29" s="537"/>
      <c r="HXZ29" s="537"/>
      <c r="HYA29" s="537"/>
      <c r="HYB29" s="537"/>
      <c r="HYC29" s="537"/>
      <c r="HYD29" s="537"/>
      <c r="HYE29" s="537"/>
      <c r="HYF29" s="537"/>
      <c r="HYG29" s="537"/>
      <c r="HYH29" s="537"/>
      <c r="HYI29" s="537"/>
      <c r="HYJ29" s="537"/>
      <c r="HYK29" s="537"/>
      <c r="HYL29" s="537"/>
      <c r="HYM29" s="537"/>
      <c r="HYN29" s="537"/>
      <c r="HYO29" s="537"/>
      <c r="HYP29" s="537"/>
      <c r="HYQ29" s="537"/>
      <c r="HYR29" s="537"/>
      <c r="HYS29" s="537"/>
      <c r="HYT29" s="537"/>
      <c r="HYU29" s="537"/>
      <c r="HYV29" s="537"/>
      <c r="HYW29" s="537"/>
      <c r="HYX29" s="537"/>
      <c r="HYY29" s="537"/>
      <c r="HYZ29" s="537"/>
      <c r="HZA29" s="537"/>
      <c r="HZB29" s="537"/>
      <c r="HZC29" s="537"/>
      <c r="HZD29" s="537"/>
      <c r="HZE29" s="537"/>
      <c r="HZF29" s="537"/>
      <c r="HZG29" s="537"/>
      <c r="HZH29" s="537"/>
      <c r="HZI29" s="537"/>
      <c r="HZJ29" s="537"/>
      <c r="HZK29" s="537"/>
      <c r="HZL29" s="537"/>
      <c r="HZM29" s="537"/>
      <c r="HZN29" s="537"/>
      <c r="HZO29" s="537"/>
      <c r="HZP29" s="537"/>
      <c r="HZQ29" s="537"/>
      <c r="HZR29" s="537"/>
      <c r="HZS29" s="537"/>
      <c r="HZT29" s="537"/>
      <c r="HZU29" s="537"/>
      <c r="HZV29" s="537"/>
      <c r="HZW29" s="537"/>
      <c r="HZX29" s="537"/>
      <c r="HZY29" s="537"/>
      <c r="HZZ29" s="537"/>
      <c r="IAA29" s="537"/>
      <c r="IAB29" s="537"/>
      <c r="IAC29" s="537"/>
      <c r="IAD29" s="537"/>
      <c r="IAE29" s="537"/>
      <c r="IAF29" s="537"/>
      <c r="IAG29" s="537"/>
      <c r="IAH29" s="537"/>
      <c r="IAI29" s="537"/>
      <c r="IAJ29" s="537"/>
      <c r="IAK29" s="537"/>
      <c r="IAL29" s="537"/>
      <c r="IAM29" s="537"/>
      <c r="IAN29" s="537"/>
      <c r="IAO29" s="537"/>
      <c r="IAP29" s="537"/>
      <c r="IAQ29" s="537"/>
      <c r="IAR29" s="537"/>
      <c r="IAS29" s="537"/>
      <c r="IAT29" s="537"/>
      <c r="IAU29" s="537"/>
      <c r="IAV29" s="537"/>
      <c r="IAW29" s="537"/>
      <c r="IAX29" s="537"/>
      <c r="IAY29" s="537"/>
      <c r="IAZ29" s="537"/>
      <c r="IBA29" s="537"/>
      <c r="IBB29" s="537"/>
      <c r="IBC29" s="537"/>
      <c r="IBD29" s="537"/>
      <c r="IBE29" s="537"/>
      <c r="IBF29" s="537"/>
      <c r="IBG29" s="537"/>
      <c r="IBH29" s="537"/>
      <c r="IBI29" s="537"/>
      <c r="IBJ29" s="537"/>
      <c r="IBK29" s="537"/>
      <c r="IBL29" s="537"/>
      <c r="IBM29" s="537"/>
      <c r="IBN29" s="537"/>
      <c r="IBO29" s="537"/>
      <c r="IBP29" s="537"/>
      <c r="IBQ29" s="537"/>
      <c r="IBR29" s="537"/>
      <c r="IBS29" s="537"/>
      <c r="IBT29" s="537"/>
      <c r="IBU29" s="537"/>
      <c r="IBV29" s="537"/>
      <c r="IBW29" s="537"/>
      <c r="IBX29" s="537"/>
      <c r="IBY29" s="537"/>
      <c r="IBZ29" s="537"/>
      <c r="ICA29" s="537"/>
      <c r="ICB29" s="537"/>
      <c r="ICC29" s="537"/>
      <c r="ICD29" s="537"/>
      <c r="ICE29" s="537"/>
      <c r="ICF29" s="537"/>
      <c r="ICG29" s="537"/>
      <c r="ICH29" s="537"/>
      <c r="ICI29" s="537"/>
      <c r="ICJ29" s="537"/>
      <c r="ICK29" s="537"/>
      <c r="ICL29" s="537"/>
      <c r="ICM29" s="537"/>
      <c r="ICN29" s="537"/>
      <c r="ICO29" s="537"/>
      <c r="ICP29" s="537"/>
      <c r="ICQ29" s="537"/>
      <c r="ICR29" s="537"/>
      <c r="ICS29" s="537"/>
      <c r="ICT29" s="537"/>
      <c r="ICU29" s="537"/>
      <c r="ICV29" s="537"/>
      <c r="ICW29" s="537"/>
      <c r="ICX29" s="537"/>
      <c r="ICY29" s="537"/>
      <c r="ICZ29" s="537"/>
      <c r="IDA29" s="537"/>
      <c r="IDB29" s="537"/>
      <c r="IDC29" s="537"/>
      <c r="IDD29" s="537"/>
      <c r="IDE29" s="537"/>
      <c r="IDF29" s="537"/>
      <c r="IDG29" s="537"/>
      <c r="IDH29" s="537"/>
      <c r="IDI29" s="537"/>
      <c r="IDJ29" s="537"/>
      <c r="IDK29" s="537"/>
      <c r="IDL29" s="537"/>
      <c r="IDM29" s="537"/>
      <c r="IDN29" s="537"/>
      <c r="IDO29" s="537"/>
      <c r="IDP29" s="537"/>
      <c r="IDQ29" s="537"/>
      <c r="IDR29" s="537"/>
      <c r="IDS29" s="537"/>
      <c r="IDT29" s="537"/>
      <c r="IDU29" s="537"/>
      <c r="IDV29" s="537"/>
      <c r="IDW29" s="537"/>
      <c r="IDX29" s="537"/>
      <c r="IDY29" s="537"/>
      <c r="IDZ29" s="537"/>
      <c r="IEA29" s="537"/>
      <c r="IEB29" s="537"/>
      <c r="IEC29" s="537"/>
      <c r="IED29" s="537"/>
      <c r="IEE29" s="537"/>
      <c r="IEF29" s="537"/>
      <c r="IEG29" s="537"/>
      <c r="IEH29" s="537"/>
      <c r="IEI29" s="537"/>
      <c r="IEJ29" s="537"/>
      <c r="IEK29" s="537"/>
      <c r="IEL29" s="537"/>
      <c r="IEM29" s="537"/>
      <c r="IEN29" s="537"/>
      <c r="IEO29" s="537"/>
      <c r="IEP29" s="537"/>
      <c r="IEQ29" s="537"/>
      <c r="IER29" s="537"/>
      <c r="IES29" s="537"/>
      <c r="IET29" s="537"/>
      <c r="IEU29" s="537"/>
      <c r="IEV29" s="537"/>
      <c r="IEW29" s="537"/>
      <c r="IEX29" s="537"/>
      <c r="IEY29" s="537"/>
      <c r="IEZ29" s="537"/>
      <c r="IFA29" s="537"/>
      <c r="IFB29" s="537"/>
      <c r="IFC29" s="537"/>
      <c r="IFD29" s="537"/>
      <c r="IFE29" s="537"/>
      <c r="IFF29" s="537"/>
      <c r="IFG29" s="537"/>
      <c r="IFH29" s="537"/>
      <c r="IFI29" s="537"/>
      <c r="IFJ29" s="537"/>
      <c r="IFK29" s="537"/>
      <c r="IFL29" s="537"/>
      <c r="IFM29" s="537"/>
      <c r="IFN29" s="537"/>
      <c r="IFO29" s="537"/>
      <c r="IFP29" s="537"/>
      <c r="IFQ29" s="537"/>
      <c r="IFR29" s="537"/>
      <c r="IFS29" s="537"/>
      <c r="IFT29" s="537"/>
      <c r="IFU29" s="537"/>
      <c r="IFV29" s="537"/>
      <c r="IFW29" s="537"/>
      <c r="IFX29" s="537"/>
      <c r="IFY29" s="537"/>
      <c r="IFZ29" s="537"/>
      <c r="IGA29" s="537"/>
      <c r="IGB29" s="537"/>
      <c r="IGC29" s="537"/>
      <c r="IGD29" s="537"/>
      <c r="IGE29" s="537"/>
      <c r="IGF29" s="537"/>
      <c r="IGG29" s="537"/>
      <c r="IGH29" s="537"/>
      <c r="IGI29" s="537"/>
      <c r="IGJ29" s="537"/>
      <c r="IGK29" s="537"/>
      <c r="IGL29" s="537"/>
      <c r="IGM29" s="537"/>
      <c r="IGN29" s="537"/>
      <c r="IGO29" s="537"/>
      <c r="IGP29" s="537"/>
      <c r="IGQ29" s="537"/>
      <c r="IGR29" s="537"/>
      <c r="IGS29" s="537"/>
      <c r="IGT29" s="537"/>
      <c r="IGU29" s="537"/>
      <c r="IGV29" s="537"/>
      <c r="IGW29" s="537"/>
      <c r="IGX29" s="537"/>
      <c r="IGY29" s="537"/>
      <c r="IGZ29" s="537"/>
      <c r="IHA29" s="537"/>
      <c r="IHB29" s="537"/>
      <c r="IHC29" s="537"/>
      <c r="IHD29" s="537"/>
      <c r="IHE29" s="537"/>
      <c r="IHF29" s="537"/>
      <c r="IHG29" s="537"/>
      <c r="IHH29" s="537"/>
      <c r="IHI29" s="537"/>
      <c r="IHJ29" s="537"/>
      <c r="IHK29" s="537"/>
      <c r="IHL29" s="537"/>
      <c r="IHM29" s="537"/>
      <c r="IHN29" s="537"/>
      <c r="IHO29" s="537"/>
      <c r="IHP29" s="537"/>
      <c r="IHQ29" s="537"/>
      <c r="IHR29" s="537"/>
      <c r="IHS29" s="537"/>
      <c r="IHT29" s="537"/>
      <c r="IHU29" s="537"/>
      <c r="IHV29" s="537"/>
      <c r="IHW29" s="537"/>
      <c r="IHX29" s="537"/>
      <c r="IHY29" s="537"/>
      <c r="IHZ29" s="537"/>
      <c r="IIA29" s="537"/>
      <c r="IIB29" s="537"/>
      <c r="IIC29" s="537"/>
      <c r="IID29" s="537"/>
      <c r="IIE29" s="537"/>
      <c r="IIF29" s="537"/>
      <c r="IIG29" s="537"/>
      <c r="IIH29" s="537"/>
      <c r="III29" s="537"/>
      <c r="IIJ29" s="537"/>
      <c r="IIK29" s="537"/>
      <c r="IIL29" s="537"/>
      <c r="IIM29" s="537"/>
      <c r="IIN29" s="537"/>
      <c r="IIO29" s="537"/>
      <c r="IIP29" s="537"/>
      <c r="IIQ29" s="537"/>
      <c r="IIR29" s="537"/>
      <c r="IIS29" s="537"/>
      <c r="IIT29" s="537"/>
      <c r="IIU29" s="537"/>
      <c r="IIV29" s="537"/>
      <c r="IIW29" s="537"/>
      <c r="IIX29" s="537"/>
      <c r="IIY29" s="537"/>
      <c r="IIZ29" s="537"/>
      <c r="IJA29" s="537"/>
      <c r="IJB29" s="537"/>
      <c r="IJC29" s="537"/>
      <c r="IJD29" s="537"/>
      <c r="IJE29" s="537"/>
      <c r="IJF29" s="537"/>
      <c r="IJG29" s="537"/>
      <c r="IJH29" s="537"/>
      <c r="IJI29" s="537"/>
      <c r="IJJ29" s="537"/>
      <c r="IJK29" s="537"/>
      <c r="IJL29" s="537"/>
      <c r="IJM29" s="537"/>
      <c r="IJN29" s="537"/>
      <c r="IJO29" s="537"/>
      <c r="IJP29" s="537"/>
      <c r="IJQ29" s="537"/>
      <c r="IJR29" s="537"/>
      <c r="IJS29" s="537"/>
      <c r="IJT29" s="537"/>
      <c r="IJU29" s="537"/>
      <c r="IJV29" s="537"/>
      <c r="IJW29" s="537"/>
      <c r="IJX29" s="537"/>
      <c r="IJY29" s="537"/>
      <c r="IJZ29" s="537"/>
      <c r="IKA29" s="537"/>
      <c r="IKB29" s="537"/>
      <c r="IKC29" s="537"/>
      <c r="IKD29" s="537"/>
      <c r="IKE29" s="537"/>
      <c r="IKF29" s="537"/>
      <c r="IKG29" s="537"/>
      <c r="IKH29" s="537"/>
      <c r="IKI29" s="537"/>
      <c r="IKJ29" s="537"/>
      <c r="IKK29" s="537"/>
      <c r="IKL29" s="537"/>
      <c r="IKM29" s="537"/>
      <c r="IKN29" s="537"/>
      <c r="IKO29" s="537"/>
      <c r="IKP29" s="537"/>
      <c r="IKQ29" s="537"/>
      <c r="IKR29" s="537"/>
      <c r="IKS29" s="537"/>
      <c r="IKT29" s="537"/>
      <c r="IKU29" s="537"/>
      <c r="IKV29" s="537"/>
      <c r="IKW29" s="537"/>
      <c r="IKX29" s="537"/>
      <c r="IKY29" s="537"/>
      <c r="IKZ29" s="537"/>
      <c r="ILA29" s="537"/>
      <c r="ILB29" s="537"/>
      <c r="ILC29" s="537"/>
      <c r="ILD29" s="537"/>
      <c r="ILE29" s="537"/>
      <c r="ILF29" s="537"/>
      <c r="ILG29" s="537"/>
      <c r="ILH29" s="537"/>
      <c r="ILI29" s="537"/>
      <c r="ILJ29" s="537"/>
      <c r="ILK29" s="537"/>
      <c r="ILL29" s="537"/>
      <c r="ILM29" s="537"/>
      <c r="ILN29" s="537"/>
      <c r="ILO29" s="537"/>
      <c r="ILP29" s="537"/>
      <c r="ILQ29" s="537"/>
      <c r="ILR29" s="537"/>
      <c r="ILS29" s="537"/>
      <c r="ILT29" s="537"/>
      <c r="ILU29" s="537"/>
      <c r="ILV29" s="537"/>
      <c r="ILW29" s="537"/>
      <c r="ILX29" s="537"/>
      <c r="ILY29" s="537"/>
      <c r="ILZ29" s="537"/>
      <c r="IMA29" s="537"/>
      <c r="IMB29" s="537"/>
      <c r="IMC29" s="537"/>
      <c r="IMD29" s="537"/>
      <c r="IME29" s="537"/>
      <c r="IMF29" s="537"/>
      <c r="IMG29" s="537"/>
      <c r="IMH29" s="537"/>
      <c r="IMI29" s="537"/>
      <c r="IMJ29" s="537"/>
      <c r="IMK29" s="537"/>
      <c r="IML29" s="537"/>
      <c r="IMM29" s="537"/>
      <c r="IMN29" s="537"/>
      <c r="IMO29" s="537"/>
      <c r="IMP29" s="537"/>
      <c r="IMQ29" s="537"/>
      <c r="IMR29" s="537"/>
      <c r="IMS29" s="537"/>
      <c r="IMT29" s="537"/>
      <c r="IMU29" s="537"/>
      <c r="IMV29" s="537"/>
      <c r="IMW29" s="537"/>
      <c r="IMX29" s="537"/>
      <c r="IMY29" s="537"/>
      <c r="IMZ29" s="537"/>
      <c r="INA29" s="537"/>
      <c r="INB29" s="537"/>
      <c r="INC29" s="537"/>
      <c r="IND29" s="537"/>
      <c r="INE29" s="537"/>
      <c r="INF29" s="537"/>
      <c r="ING29" s="537"/>
      <c r="INH29" s="537"/>
      <c r="INI29" s="537"/>
      <c r="INJ29" s="537"/>
      <c r="INK29" s="537"/>
      <c r="INL29" s="537"/>
      <c r="INM29" s="537"/>
      <c r="INN29" s="537"/>
      <c r="INO29" s="537"/>
      <c r="INP29" s="537"/>
      <c r="INQ29" s="537"/>
      <c r="INR29" s="537"/>
      <c r="INS29" s="537"/>
      <c r="INT29" s="537"/>
      <c r="INU29" s="537"/>
      <c r="INV29" s="537"/>
      <c r="INW29" s="537"/>
      <c r="INX29" s="537"/>
      <c r="INY29" s="537"/>
      <c r="INZ29" s="537"/>
      <c r="IOA29" s="537"/>
      <c r="IOB29" s="537"/>
      <c r="IOC29" s="537"/>
      <c r="IOD29" s="537"/>
      <c r="IOE29" s="537"/>
      <c r="IOF29" s="537"/>
      <c r="IOG29" s="537"/>
      <c r="IOH29" s="537"/>
      <c r="IOI29" s="537"/>
      <c r="IOJ29" s="537"/>
      <c r="IOK29" s="537"/>
      <c r="IOL29" s="537"/>
      <c r="IOM29" s="537"/>
      <c r="ION29" s="537"/>
      <c r="IOO29" s="537"/>
      <c r="IOP29" s="537"/>
      <c r="IOQ29" s="537"/>
      <c r="IOR29" s="537"/>
      <c r="IOS29" s="537"/>
      <c r="IOT29" s="537"/>
      <c r="IOU29" s="537"/>
      <c r="IOV29" s="537"/>
      <c r="IOW29" s="537"/>
      <c r="IOX29" s="537"/>
      <c r="IOY29" s="537"/>
      <c r="IOZ29" s="537"/>
      <c r="IPA29" s="537"/>
      <c r="IPB29" s="537"/>
      <c r="IPC29" s="537"/>
      <c r="IPD29" s="537"/>
      <c r="IPE29" s="537"/>
      <c r="IPF29" s="537"/>
      <c r="IPG29" s="537"/>
      <c r="IPH29" s="537"/>
      <c r="IPI29" s="537"/>
      <c r="IPJ29" s="537"/>
      <c r="IPK29" s="537"/>
      <c r="IPL29" s="537"/>
      <c r="IPM29" s="537"/>
      <c r="IPN29" s="537"/>
      <c r="IPO29" s="537"/>
      <c r="IPP29" s="537"/>
      <c r="IPQ29" s="537"/>
      <c r="IPR29" s="537"/>
      <c r="IPS29" s="537"/>
      <c r="IPT29" s="537"/>
      <c r="IPU29" s="537"/>
      <c r="IPV29" s="537"/>
      <c r="IPW29" s="537"/>
      <c r="IPX29" s="537"/>
      <c r="IPY29" s="537"/>
      <c r="IPZ29" s="537"/>
      <c r="IQA29" s="537"/>
      <c r="IQB29" s="537"/>
      <c r="IQC29" s="537"/>
      <c r="IQD29" s="537"/>
      <c r="IQE29" s="537"/>
      <c r="IQF29" s="537"/>
      <c r="IQG29" s="537"/>
      <c r="IQH29" s="537"/>
      <c r="IQI29" s="537"/>
      <c r="IQJ29" s="537"/>
      <c r="IQK29" s="537"/>
      <c r="IQL29" s="537"/>
      <c r="IQM29" s="537"/>
      <c r="IQN29" s="537"/>
      <c r="IQO29" s="537"/>
      <c r="IQP29" s="537"/>
      <c r="IQQ29" s="537"/>
      <c r="IQR29" s="537"/>
      <c r="IQS29" s="537"/>
      <c r="IQT29" s="537"/>
      <c r="IQU29" s="537"/>
      <c r="IQV29" s="537"/>
      <c r="IQW29" s="537"/>
      <c r="IQX29" s="537"/>
      <c r="IQY29" s="537"/>
      <c r="IQZ29" s="537"/>
      <c r="IRA29" s="537"/>
      <c r="IRB29" s="537"/>
      <c r="IRC29" s="537"/>
      <c r="IRD29" s="537"/>
      <c r="IRE29" s="537"/>
      <c r="IRF29" s="537"/>
      <c r="IRG29" s="537"/>
      <c r="IRH29" s="537"/>
      <c r="IRI29" s="537"/>
      <c r="IRJ29" s="537"/>
      <c r="IRK29" s="537"/>
      <c r="IRL29" s="537"/>
      <c r="IRM29" s="537"/>
      <c r="IRN29" s="537"/>
      <c r="IRO29" s="537"/>
      <c r="IRP29" s="537"/>
      <c r="IRQ29" s="537"/>
      <c r="IRR29" s="537"/>
      <c r="IRS29" s="537"/>
      <c r="IRT29" s="537"/>
      <c r="IRU29" s="537"/>
      <c r="IRV29" s="537"/>
      <c r="IRW29" s="537"/>
      <c r="IRX29" s="537"/>
      <c r="IRY29" s="537"/>
      <c r="IRZ29" s="537"/>
      <c r="ISA29" s="537"/>
      <c r="ISB29" s="537"/>
      <c r="ISC29" s="537"/>
      <c r="ISD29" s="537"/>
      <c r="ISE29" s="537"/>
      <c r="ISF29" s="537"/>
      <c r="ISG29" s="537"/>
      <c r="ISH29" s="537"/>
      <c r="ISI29" s="537"/>
      <c r="ISJ29" s="537"/>
      <c r="ISK29" s="537"/>
      <c r="ISL29" s="537"/>
      <c r="ISM29" s="537"/>
      <c r="ISN29" s="537"/>
      <c r="ISO29" s="537"/>
      <c r="ISP29" s="537"/>
      <c r="ISQ29" s="537"/>
      <c r="ISR29" s="537"/>
      <c r="ISS29" s="537"/>
      <c r="IST29" s="537"/>
      <c r="ISU29" s="537"/>
      <c r="ISV29" s="537"/>
      <c r="ISW29" s="537"/>
      <c r="ISX29" s="537"/>
      <c r="ISY29" s="537"/>
      <c r="ISZ29" s="537"/>
      <c r="ITA29" s="537"/>
      <c r="ITB29" s="537"/>
      <c r="ITC29" s="537"/>
      <c r="ITD29" s="537"/>
      <c r="ITE29" s="537"/>
      <c r="ITF29" s="537"/>
      <c r="ITG29" s="537"/>
      <c r="ITH29" s="537"/>
      <c r="ITI29" s="537"/>
      <c r="ITJ29" s="537"/>
      <c r="ITK29" s="537"/>
      <c r="ITL29" s="537"/>
      <c r="ITM29" s="537"/>
      <c r="ITN29" s="537"/>
      <c r="ITO29" s="537"/>
      <c r="ITP29" s="537"/>
      <c r="ITQ29" s="537"/>
      <c r="ITR29" s="537"/>
      <c r="ITS29" s="537"/>
      <c r="ITT29" s="537"/>
      <c r="ITU29" s="537"/>
      <c r="ITV29" s="537"/>
      <c r="ITW29" s="537"/>
      <c r="ITX29" s="537"/>
      <c r="ITY29" s="537"/>
      <c r="ITZ29" s="537"/>
      <c r="IUA29" s="537"/>
      <c r="IUB29" s="537"/>
      <c r="IUC29" s="537"/>
      <c r="IUD29" s="537"/>
      <c r="IUE29" s="537"/>
      <c r="IUF29" s="537"/>
      <c r="IUG29" s="537"/>
      <c r="IUH29" s="537"/>
      <c r="IUI29" s="537"/>
      <c r="IUJ29" s="537"/>
      <c r="IUK29" s="537"/>
      <c r="IUL29" s="537"/>
      <c r="IUM29" s="537"/>
      <c r="IUN29" s="537"/>
      <c r="IUO29" s="537"/>
      <c r="IUP29" s="537"/>
      <c r="IUQ29" s="537"/>
      <c r="IUR29" s="537"/>
      <c r="IUS29" s="537"/>
      <c r="IUT29" s="537"/>
      <c r="IUU29" s="537"/>
      <c r="IUV29" s="537"/>
      <c r="IUW29" s="537"/>
      <c r="IUX29" s="537"/>
      <c r="IUY29" s="537"/>
      <c r="IUZ29" s="537"/>
      <c r="IVA29" s="537"/>
      <c r="IVB29" s="537"/>
      <c r="IVC29" s="537"/>
      <c r="IVD29" s="537"/>
      <c r="IVE29" s="537"/>
      <c r="IVF29" s="537"/>
      <c r="IVG29" s="537"/>
      <c r="IVH29" s="537"/>
      <c r="IVI29" s="537"/>
      <c r="IVJ29" s="537"/>
      <c r="IVK29" s="537"/>
      <c r="IVL29" s="537"/>
      <c r="IVM29" s="537"/>
      <c r="IVN29" s="537"/>
      <c r="IVO29" s="537"/>
      <c r="IVP29" s="537"/>
      <c r="IVQ29" s="537"/>
      <c r="IVR29" s="537"/>
      <c r="IVS29" s="537"/>
      <c r="IVT29" s="537"/>
      <c r="IVU29" s="537"/>
      <c r="IVV29" s="537"/>
      <c r="IVW29" s="537"/>
      <c r="IVX29" s="537"/>
      <c r="IVY29" s="537"/>
      <c r="IVZ29" s="537"/>
      <c r="IWA29" s="537"/>
      <c r="IWB29" s="537"/>
      <c r="IWC29" s="537"/>
      <c r="IWD29" s="537"/>
      <c r="IWE29" s="537"/>
      <c r="IWF29" s="537"/>
      <c r="IWG29" s="537"/>
      <c r="IWH29" s="537"/>
      <c r="IWI29" s="537"/>
      <c r="IWJ29" s="537"/>
      <c r="IWK29" s="537"/>
      <c r="IWL29" s="537"/>
      <c r="IWM29" s="537"/>
      <c r="IWN29" s="537"/>
      <c r="IWO29" s="537"/>
      <c r="IWP29" s="537"/>
      <c r="IWQ29" s="537"/>
      <c r="IWR29" s="537"/>
      <c r="IWS29" s="537"/>
      <c r="IWT29" s="537"/>
      <c r="IWU29" s="537"/>
      <c r="IWV29" s="537"/>
      <c r="IWW29" s="537"/>
      <c r="IWX29" s="537"/>
      <c r="IWY29" s="537"/>
      <c r="IWZ29" s="537"/>
      <c r="IXA29" s="537"/>
      <c r="IXB29" s="537"/>
      <c r="IXC29" s="537"/>
      <c r="IXD29" s="537"/>
      <c r="IXE29" s="537"/>
      <c r="IXF29" s="537"/>
      <c r="IXG29" s="537"/>
      <c r="IXH29" s="537"/>
      <c r="IXI29" s="537"/>
      <c r="IXJ29" s="537"/>
      <c r="IXK29" s="537"/>
      <c r="IXL29" s="537"/>
      <c r="IXM29" s="537"/>
      <c r="IXN29" s="537"/>
      <c r="IXO29" s="537"/>
      <c r="IXP29" s="537"/>
      <c r="IXQ29" s="537"/>
      <c r="IXR29" s="537"/>
      <c r="IXS29" s="537"/>
      <c r="IXT29" s="537"/>
      <c r="IXU29" s="537"/>
      <c r="IXV29" s="537"/>
      <c r="IXW29" s="537"/>
      <c r="IXX29" s="537"/>
      <c r="IXY29" s="537"/>
      <c r="IXZ29" s="537"/>
      <c r="IYA29" s="537"/>
      <c r="IYB29" s="537"/>
      <c r="IYC29" s="537"/>
      <c r="IYD29" s="537"/>
      <c r="IYE29" s="537"/>
      <c r="IYF29" s="537"/>
      <c r="IYG29" s="537"/>
      <c r="IYH29" s="537"/>
      <c r="IYI29" s="537"/>
      <c r="IYJ29" s="537"/>
      <c r="IYK29" s="537"/>
      <c r="IYL29" s="537"/>
      <c r="IYM29" s="537"/>
      <c r="IYN29" s="537"/>
      <c r="IYO29" s="537"/>
      <c r="IYP29" s="537"/>
      <c r="IYQ29" s="537"/>
      <c r="IYR29" s="537"/>
      <c r="IYS29" s="537"/>
      <c r="IYT29" s="537"/>
      <c r="IYU29" s="537"/>
      <c r="IYV29" s="537"/>
      <c r="IYW29" s="537"/>
      <c r="IYX29" s="537"/>
      <c r="IYY29" s="537"/>
      <c r="IYZ29" s="537"/>
      <c r="IZA29" s="537"/>
      <c r="IZB29" s="537"/>
      <c r="IZC29" s="537"/>
      <c r="IZD29" s="537"/>
      <c r="IZE29" s="537"/>
      <c r="IZF29" s="537"/>
      <c r="IZG29" s="537"/>
      <c r="IZH29" s="537"/>
      <c r="IZI29" s="537"/>
      <c r="IZJ29" s="537"/>
      <c r="IZK29" s="537"/>
      <c r="IZL29" s="537"/>
      <c r="IZM29" s="537"/>
      <c r="IZN29" s="537"/>
      <c r="IZO29" s="537"/>
      <c r="IZP29" s="537"/>
      <c r="IZQ29" s="537"/>
      <c r="IZR29" s="537"/>
      <c r="IZS29" s="537"/>
      <c r="IZT29" s="537"/>
      <c r="IZU29" s="537"/>
      <c r="IZV29" s="537"/>
      <c r="IZW29" s="537"/>
      <c r="IZX29" s="537"/>
      <c r="IZY29" s="537"/>
      <c r="IZZ29" s="537"/>
      <c r="JAA29" s="537"/>
      <c r="JAB29" s="537"/>
      <c r="JAC29" s="537"/>
      <c r="JAD29" s="537"/>
      <c r="JAE29" s="537"/>
      <c r="JAF29" s="537"/>
      <c r="JAG29" s="537"/>
      <c r="JAH29" s="537"/>
      <c r="JAI29" s="537"/>
      <c r="JAJ29" s="537"/>
      <c r="JAK29" s="537"/>
      <c r="JAL29" s="537"/>
      <c r="JAM29" s="537"/>
      <c r="JAN29" s="537"/>
      <c r="JAO29" s="537"/>
      <c r="JAP29" s="537"/>
      <c r="JAQ29" s="537"/>
      <c r="JAR29" s="537"/>
      <c r="JAS29" s="537"/>
      <c r="JAT29" s="537"/>
      <c r="JAU29" s="537"/>
      <c r="JAV29" s="537"/>
      <c r="JAW29" s="537"/>
      <c r="JAX29" s="537"/>
      <c r="JAY29" s="537"/>
      <c r="JAZ29" s="537"/>
      <c r="JBA29" s="537"/>
      <c r="JBB29" s="537"/>
      <c r="JBC29" s="537"/>
      <c r="JBD29" s="537"/>
      <c r="JBE29" s="537"/>
      <c r="JBF29" s="537"/>
      <c r="JBG29" s="537"/>
      <c r="JBH29" s="537"/>
      <c r="JBI29" s="537"/>
      <c r="JBJ29" s="537"/>
      <c r="JBK29" s="537"/>
      <c r="JBL29" s="537"/>
      <c r="JBM29" s="537"/>
      <c r="JBN29" s="537"/>
      <c r="JBO29" s="537"/>
      <c r="JBP29" s="537"/>
      <c r="JBQ29" s="537"/>
      <c r="JBR29" s="537"/>
      <c r="JBS29" s="537"/>
      <c r="JBT29" s="537"/>
      <c r="JBU29" s="537"/>
      <c r="JBV29" s="537"/>
      <c r="JBW29" s="537"/>
      <c r="JBX29" s="537"/>
      <c r="JBY29" s="537"/>
      <c r="JBZ29" s="537"/>
      <c r="JCA29" s="537"/>
      <c r="JCB29" s="537"/>
      <c r="JCC29" s="537"/>
      <c r="JCD29" s="537"/>
      <c r="JCE29" s="537"/>
      <c r="JCF29" s="537"/>
      <c r="JCG29" s="537"/>
      <c r="JCH29" s="537"/>
      <c r="JCI29" s="537"/>
      <c r="JCJ29" s="537"/>
      <c r="JCK29" s="537"/>
      <c r="JCL29" s="537"/>
      <c r="JCM29" s="537"/>
      <c r="JCN29" s="537"/>
      <c r="JCO29" s="537"/>
      <c r="JCP29" s="537"/>
      <c r="JCQ29" s="537"/>
      <c r="JCR29" s="537"/>
      <c r="JCS29" s="537"/>
      <c r="JCT29" s="537"/>
      <c r="JCU29" s="537"/>
      <c r="JCV29" s="537"/>
      <c r="JCW29" s="537"/>
      <c r="JCX29" s="537"/>
      <c r="JCY29" s="537"/>
      <c r="JCZ29" s="537"/>
      <c r="JDA29" s="537"/>
      <c r="JDB29" s="537"/>
      <c r="JDC29" s="537"/>
      <c r="JDD29" s="537"/>
      <c r="JDE29" s="537"/>
      <c r="JDF29" s="537"/>
      <c r="JDG29" s="537"/>
      <c r="JDH29" s="537"/>
      <c r="JDI29" s="537"/>
      <c r="JDJ29" s="537"/>
      <c r="JDK29" s="537"/>
      <c r="JDL29" s="537"/>
      <c r="JDM29" s="537"/>
      <c r="JDN29" s="537"/>
      <c r="JDO29" s="537"/>
      <c r="JDP29" s="537"/>
      <c r="JDQ29" s="537"/>
      <c r="JDR29" s="537"/>
      <c r="JDS29" s="537"/>
      <c r="JDT29" s="537"/>
      <c r="JDU29" s="537"/>
      <c r="JDV29" s="537"/>
      <c r="JDW29" s="537"/>
      <c r="JDX29" s="537"/>
      <c r="JDY29" s="537"/>
      <c r="JDZ29" s="537"/>
      <c r="JEA29" s="537"/>
      <c r="JEB29" s="537"/>
      <c r="JEC29" s="537"/>
      <c r="JED29" s="537"/>
      <c r="JEE29" s="537"/>
      <c r="JEF29" s="537"/>
      <c r="JEG29" s="537"/>
      <c r="JEH29" s="537"/>
      <c r="JEI29" s="537"/>
      <c r="JEJ29" s="537"/>
      <c r="JEK29" s="537"/>
      <c r="JEL29" s="537"/>
      <c r="JEM29" s="537"/>
      <c r="JEN29" s="537"/>
      <c r="JEO29" s="537"/>
      <c r="JEP29" s="537"/>
      <c r="JEQ29" s="537"/>
      <c r="JER29" s="537"/>
      <c r="JES29" s="537"/>
      <c r="JET29" s="537"/>
      <c r="JEU29" s="537"/>
      <c r="JEV29" s="537"/>
      <c r="JEW29" s="537"/>
      <c r="JEX29" s="537"/>
      <c r="JEY29" s="537"/>
      <c r="JEZ29" s="537"/>
      <c r="JFA29" s="537"/>
      <c r="JFB29" s="537"/>
      <c r="JFC29" s="537"/>
      <c r="JFD29" s="537"/>
      <c r="JFE29" s="537"/>
      <c r="JFF29" s="537"/>
      <c r="JFG29" s="537"/>
      <c r="JFH29" s="537"/>
      <c r="JFI29" s="537"/>
      <c r="JFJ29" s="537"/>
      <c r="JFK29" s="537"/>
      <c r="JFL29" s="537"/>
      <c r="JFM29" s="537"/>
      <c r="JFN29" s="537"/>
      <c r="JFO29" s="537"/>
      <c r="JFP29" s="537"/>
      <c r="JFQ29" s="537"/>
      <c r="JFR29" s="537"/>
      <c r="JFS29" s="537"/>
      <c r="JFT29" s="537"/>
      <c r="JFU29" s="537"/>
      <c r="JFV29" s="537"/>
      <c r="JFW29" s="537"/>
      <c r="JFX29" s="537"/>
      <c r="JFY29" s="537"/>
      <c r="JFZ29" s="537"/>
      <c r="JGA29" s="537"/>
      <c r="JGB29" s="537"/>
      <c r="JGC29" s="537"/>
      <c r="JGD29" s="537"/>
      <c r="JGE29" s="537"/>
      <c r="JGF29" s="537"/>
      <c r="JGG29" s="537"/>
      <c r="JGH29" s="537"/>
      <c r="JGI29" s="537"/>
      <c r="JGJ29" s="537"/>
      <c r="JGK29" s="537"/>
      <c r="JGL29" s="537"/>
      <c r="JGM29" s="537"/>
      <c r="JGN29" s="537"/>
      <c r="JGO29" s="537"/>
      <c r="JGP29" s="537"/>
      <c r="JGQ29" s="537"/>
      <c r="JGR29" s="537"/>
      <c r="JGS29" s="537"/>
      <c r="JGT29" s="537"/>
      <c r="JGU29" s="537"/>
      <c r="JGV29" s="537"/>
      <c r="JGW29" s="537"/>
      <c r="JGX29" s="537"/>
      <c r="JGY29" s="537"/>
      <c r="JGZ29" s="537"/>
      <c r="JHA29" s="537"/>
      <c r="JHB29" s="537"/>
      <c r="JHC29" s="537"/>
      <c r="JHD29" s="537"/>
      <c r="JHE29" s="537"/>
      <c r="JHF29" s="537"/>
      <c r="JHG29" s="537"/>
      <c r="JHH29" s="537"/>
      <c r="JHI29" s="537"/>
      <c r="JHJ29" s="537"/>
      <c r="JHK29" s="537"/>
      <c r="JHL29" s="537"/>
      <c r="JHM29" s="537"/>
      <c r="JHN29" s="537"/>
      <c r="JHO29" s="537"/>
      <c r="JHP29" s="537"/>
      <c r="JHQ29" s="537"/>
      <c r="JHR29" s="537"/>
      <c r="JHS29" s="537"/>
      <c r="JHT29" s="537"/>
      <c r="JHU29" s="537"/>
      <c r="JHV29" s="537"/>
      <c r="JHW29" s="537"/>
      <c r="JHX29" s="537"/>
      <c r="JHY29" s="537"/>
      <c r="JHZ29" s="537"/>
      <c r="JIA29" s="537"/>
      <c r="JIB29" s="537"/>
      <c r="JIC29" s="537"/>
      <c r="JID29" s="537"/>
      <c r="JIE29" s="537"/>
      <c r="JIF29" s="537"/>
      <c r="JIG29" s="537"/>
      <c r="JIH29" s="537"/>
      <c r="JII29" s="537"/>
      <c r="JIJ29" s="537"/>
      <c r="JIK29" s="537"/>
      <c r="JIL29" s="537"/>
      <c r="JIM29" s="537"/>
      <c r="JIN29" s="537"/>
      <c r="JIO29" s="537"/>
      <c r="JIP29" s="537"/>
      <c r="JIQ29" s="537"/>
      <c r="JIR29" s="537"/>
      <c r="JIS29" s="537"/>
      <c r="JIT29" s="537"/>
      <c r="JIU29" s="537"/>
      <c r="JIV29" s="537"/>
      <c r="JIW29" s="537"/>
      <c r="JIX29" s="537"/>
      <c r="JIY29" s="537"/>
      <c r="JIZ29" s="537"/>
      <c r="JJA29" s="537"/>
      <c r="JJB29" s="537"/>
      <c r="JJC29" s="537"/>
      <c r="JJD29" s="537"/>
      <c r="JJE29" s="537"/>
      <c r="JJF29" s="537"/>
      <c r="JJG29" s="537"/>
      <c r="JJH29" s="537"/>
      <c r="JJI29" s="537"/>
      <c r="JJJ29" s="537"/>
      <c r="JJK29" s="537"/>
      <c r="JJL29" s="537"/>
      <c r="JJM29" s="537"/>
      <c r="JJN29" s="537"/>
      <c r="JJO29" s="537"/>
      <c r="JJP29" s="537"/>
      <c r="JJQ29" s="537"/>
      <c r="JJR29" s="537"/>
      <c r="JJS29" s="537"/>
      <c r="JJT29" s="537"/>
      <c r="JJU29" s="537"/>
      <c r="JJV29" s="537"/>
      <c r="JJW29" s="537"/>
      <c r="JJX29" s="537"/>
      <c r="JJY29" s="537"/>
      <c r="JJZ29" s="537"/>
      <c r="JKA29" s="537"/>
      <c r="JKB29" s="537"/>
      <c r="JKC29" s="537"/>
      <c r="JKD29" s="537"/>
      <c r="JKE29" s="537"/>
      <c r="JKF29" s="537"/>
      <c r="JKG29" s="537"/>
      <c r="JKH29" s="537"/>
      <c r="JKI29" s="537"/>
      <c r="JKJ29" s="537"/>
      <c r="JKK29" s="537"/>
      <c r="JKL29" s="537"/>
      <c r="JKM29" s="537"/>
      <c r="JKN29" s="537"/>
      <c r="JKO29" s="537"/>
      <c r="JKP29" s="537"/>
      <c r="JKQ29" s="537"/>
      <c r="JKR29" s="537"/>
      <c r="JKS29" s="537"/>
      <c r="JKT29" s="537"/>
      <c r="JKU29" s="537"/>
      <c r="JKV29" s="537"/>
      <c r="JKW29" s="537"/>
      <c r="JKX29" s="537"/>
      <c r="JKY29" s="537"/>
      <c r="JKZ29" s="537"/>
      <c r="JLA29" s="537"/>
      <c r="JLB29" s="537"/>
      <c r="JLC29" s="537"/>
      <c r="JLD29" s="537"/>
      <c r="JLE29" s="537"/>
      <c r="JLF29" s="537"/>
      <c r="JLG29" s="537"/>
      <c r="JLH29" s="537"/>
      <c r="JLI29" s="537"/>
      <c r="JLJ29" s="537"/>
      <c r="JLK29" s="537"/>
      <c r="JLL29" s="537"/>
      <c r="JLM29" s="537"/>
      <c r="JLN29" s="537"/>
      <c r="JLO29" s="537"/>
      <c r="JLP29" s="537"/>
      <c r="JLQ29" s="537"/>
      <c r="JLR29" s="537"/>
      <c r="JLS29" s="537"/>
      <c r="JLT29" s="537"/>
      <c r="JLU29" s="537"/>
      <c r="JLV29" s="537"/>
      <c r="JLW29" s="537"/>
      <c r="JLX29" s="537"/>
      <c r="JLY29" s="537"/>
      <c r="JLZ29" s="537"/>
      <c r="JMA29" s="537"/>
      <c r="JMB29" s="537"/>
      <c r="JMC29" s="537"/>
      <c r="JMD29" s="537"/>
      <c r="JME29" s="537"/>
      <c r="JMF29" s="537"/>
      <c r="JMG29" s="537"/>
      <c r="JMH29" s="537"/>
      <c r="JMI29" s="537"/>
      <c r="JMJ29" s="537"/>
      <c r="JMK29" s="537"/>
      <c r="JML29" s="537"/>
      <c r="JMM29" s="537"/>
      <c r="JMN29" s="537"/>
      <c r="JMO29" s="537"/>
      <c r="JMP29" s="537"/>
      <c r="JMQ29" s="537"/>
      <c r="JMR29" s="537"/>
      <c r="JMS29" s="537"/>
      <c r="JMT29" s="537"/>
      <c r="JMU29" s="537"/>
      <c r="JMV29" s="537"/>
      <c r="JMW29" s="537"/>
      <c r="JMX29" s="537"/>
      <c r="JMY29" s="537"/>
      <c r="JMZ29" s="537"/>
      <c r="JNA29" s="537"/>
      <c r="JNB29" s="537"/>
      <c r="JNC29" s="537"/>
      <c r="JND29" s="537"/>
      <c r="JNE29" s="537"/>
      <c r="JNF29" s="537"/>
      <c r="JNG29" s="537"/>
      <c r="JNH29" s="537"/>
      <c r="JNI29" s="537"/>
      <c r="JNJ29" s="537"/>
      <c r="JNK29" s="537"/>
      <c r="JNL29" s="537"/>
      <c r="JNM29" s="537"/>
      <c r="JNN29" s="537"/>
      <c r="JNO29" s="537"/>
      <c r="JNP29" s="537"/>
      <c r="JNQ29" s="537"/>
      <c r="JNR29" s="537"/>
      <c r="JNS29" s="537"/>
      <c r="JNT29" s="537"/>
      <c r="JNU29" s="537"/>
      <c r="JNV29" s="537"/>
      <c r="JNW29" s="537"/>
      <c r="JNX29" s="537"/>
      <c r="JNY29" s="537"/>
      <c r="JNZ29" s="537"/>
      <c r="JOA29" s="537"/>
      <c r="JOB29" s="537"/>
      <c r="JOC29" s="537"/>
      <c r="JOD29" s="537"/>
      <c r="JOE29" s="537"/>
      <c r="JOF29" s="537"/>
      <c r="JOG29" s="537"/>
      <c r="JOH29" s="537"/>
      <c r="JOI29" s="537"/>
      <c r="JOJ29" s="537"/>
      <c r="JOK29" s="537"/>
      <c r="JOL29" s="537"/>
      <c r="JOM29" s="537"/>
      <c r="JON29" s="537"/>
      <c r="JOO29" s="537"/>
      <c r="JOP29" s="537"/>
      <c r="JOQ29" s="537"/>
      <c r="JOR29" s="537"/>
      <c r="JOS29" s="537"/>
      <c r="JOT29" s="537"/>
      <c r="JOU29" s="537"/>
      <c r="JOV29" s="537"/>
      <c r="JOW29" s="537"/>
      <c r="JOX29" s="537"/>
      <c r="JOY29" s="537"/>
      <c r="JOZ29" s="537"/>
      <c r="JPA29" s="537"/>
      <c r="JPB29" s="537"/>
      <c r="JPC29" s="537"/>
      <c r="JPD29" s="537"/>
      <c r="JPE29" s="537"/>
      <c r="JPF29" s="537"/>
      <c r="JPG29" s="537"/>
      <c r="JPH29" s="537"/>
      <c r="JPI29" s="537"/>
      <c r="JPJ29" s="537"/>
      <c r="JPK29" s="537"/>
      <c r="JPL29" s="537"/>
      <c r="JPM29" s="537"/>
      <c r="JPN29" s="537"/>
      <c r="JPO29" s="537"/>
      <c r="JPP29" s="537"/>
      <c r="JPQ29" s="537"/>
      <c r="JPR29" s="537"/>
      <c r="JPS29" s="537"/>
      <c r="JPT29" s="537"/>
      <c r="JPU29" s="537"/>
      <c r="JPV29" s="537"/>
      <c r="JPW29" s="537"/>
      <c r="JPX29" s="537"/>
      <c r="JPY29" s="537"/>
      <c r="JPZ29" s="537"/>
      <c r="JQA29" s="537"/>
      <c r="JQB29" s="537"/>
      <c r="JQC29" s="537"/>
      <c r="JQD29" s="537"/>
      <c r="JQE29" s="537"/>
      <c r="JQF29" s="537"/>
      <c r="JQG29" s="537"/>
      <c r="JQH29" s="537"/>
      <c r="JQI29" s="537"/>
      <c r="JQJ29" s="537"/>
      <c r="JQK29" s="537"/>
      <c r="JQL29" s="537"/>
      <c r="JQM29" s="537"/>
      <c r="JQN29" s="537"/>
      <c r="JQO29" s="537"/>
      <c r="JQP29" s="537"/>
      <c r="JQQ29" s="537"/>
      <c r="JQR29" s="537"/>
      <c r="JQS29" s="537"/>
      <c r="JQT29" s="537"/>
      <c r="JQU29" s="537"/>
      <c r="JQV29" s="537"/>
      <c r="JQW29" s="537"/>
      <c r="JQX29" s="537"/>
      <c r="JQY29" s="537"/>
      <c r="JQZ29" s="537"/>
      <c r="JRA29" s="537"/>
      <c r="JRB29" s="537"/>
      <c r="JRC29" s="537"/>
      <c r="JRD29" s="537"/>
      <c r="JRE29" s="537"/>
      <c r="JRF29" s="537"/>
      <c r="JRG29" s="537"/>
      <c r="JRH29" s="537"/>
      <c r="JRI29" s="537"/>
      <c r="JRJ29" s="537"/>
      <c r="JRK29" s="537"/>
      <c r="JRL29" s="537"/>
      <c r="JRM29" s="537"/>
      <c r="JRN29" s="537"/>
      <c r="JRO29" s="537"/>
      <c r="JRP29" s="537"/>
      <c r="JRQ29" s="537"/>
      <c r="JRR29" s="537"/>
      <c r="JRS29" s="537"/>
      <c r="JRT29" s="537"/>
      <c r="JRU29" s="537"/>
      <c r="JRV29" s="537"/>
      <c r="JRW29" s="537"/>
      <c r="JRX29" s="537"/>
      <c r="JRY29" s="537"/>
      <c r="JRZ29" s="537"/>
      <c r="JSA29" s="537"/>
      <c r="JSB29" s="537"/>
      <c r="JSC29" s="537"/>
      <c r="JSD29" s="537"/>
      <c r="JSE29" s="537"/>
      <c r="JSF29" s="537"/>
      <c r="JSG29" s="537"/>
      <c r="JSH29" s="537"/>
      <c r="JSI29" s="537"/>
      <c r="JSJ29" s="537"/>
      <c r="JSK29" s="537"/>
      <c r="JSL29" s="537"/>
      <c r="JSM29" s="537"/>
      <c r="JSN29" s="537"/>
      <c r="JSO29" s="537"/>
      <c r="JSP29" s="537"/>
      <c r="JSQ29" s="537"/>
      <c r="JSR29" s="537"/>
      <c r="JSS29" s="537"/>
      <c r="JST29" s="537"/>
      <c r="JSU29" s="537"/>
      <c r="JSV29" s="537"/>
      <c r="JSW29" s="537"/>
      <c r="JSX29" s="537"/>
      <c r="JSY29" s="537"/>
      <c r="JSZ29" s="537"/>
      <c r="JTA29" s="537"/>
      <c r="JTB29" s="537"/>
      <c r="JTC29" s="537"/>
      <c r="JTD29" s="537"/>
      <c r="JTE29" s="537"/>
      <c r="JTF29" s="537"/>
      <c r="JTG29" s="537"/>
      <c r="JTH29" s="537"/>
      <c r="JTI29" s="537"/>
      <c r="JTJ29" s="537"/>
      <c r="JTK29" s="537"/>
      <c r="JTL29" s="537"/>
      <c r="JTM29" s="537"/>
      <c r="JTN29" s="537"/>
      <c r="JTO29" s="537"/>
      <c r="JTP29" s="537"/>
      <c r="JTQ29" s="537"/>
      <c r="JTR29" s="537"/>
      <c r="JTS29" s="537"/>
      <c r="JTT29" s="537"/>
      <c r="JTU29" s="537"/>
      <c r="JTV29" s="537"/>
      <c r="JTW29" s="537"/>
      <c r="JTX29" s="537"/>
      <c r="JTY29" s="537"/>
      <c r="JTZ29" s="537"/>
      <c r="JUA29" s="537"/>
      <c r="JUB29" s="537"/>
      <c r="JUC29" s="537"/>
      <c r="JUD29" s="537"/>
      <c r="JUE29" s="537"/>
      <c r="JUF29" s="537"/>
      <c r="JUG29" s="537"/>
      <c r="JUH29" s="537"/>
      <c r="JUI29" s="537"/>
      <c r="JUJ29" s="537"/>
      <c r="JUK29" s="537"/>
      <c r="JUL29" s="537"/>
      <c r="JUM29" s="537"/>
      <c r="JUN29" s="537"/>
      <c r="JUO29" s="537"/>
      <c r="JUP29" s="537"/>
      <c r="JUQ29" s="537"/>
      <c r="JUR29" s="537"/>
      <c r="JUS29" s="537"/>
      <c r="JUT29" s="537"/>
      <c r="JUU29" s="537"/>
      <c r="JUV29" s="537"/>
      <c r="JUW29" s="537"/>
      <c r="JUX29" s="537"/>
      <c r="JUY29" s="537"/>
      <c r="JUZ29" s="537"/>
      <c r="JVA29" s="537"/>
      <c r="JVB29" s="537"/>
      <c r="JVC29" s="537"/>
      <c r="JVD29" s="537"/>
      <c r="JVE29" s="537"/>
      <c r="JVF29" s="537"/>
      <c r="JVG29" s="537"/>
      <c r="JVH29" s="537"/>
      <c r="JVI29" s="537"/>
      <c r="JVJ29" s="537"/>
      <c r="JVK29" s="537"/>
      <c r="JVL29" s="537"/>
      <c r="JVM29" s="537"/>
      <c r="JVN29" s="537"/>
      <c r="JVO29" s="537"/>
      <c r="JVP29" s="537"/>
      <c r="JVQ29" s="537"/>
      <c r="JVR29" s="537"/>
      <c r="JVS29" s="537"/>
      <c r="JVT29" s="537"/>
      <c r="JVU29" s="537"/>
      <c r="JVV29" s="537"/>
      <c r="JVW29" s="537"/>
      <c r="JVX29" s="537"/>
      <c r="JVY29" s="537"/>
      <c r="JVZ29" s="537"/>
      <c r="JWA29" s="537"/>
      <c r="JWB29" s="537"/>
      <c r="JWC29" s="537"/>
      <c r="JWD29" s="537"/>
      <c r="JWE29" s="537"/>
      <c r="JWF29" s="537"/>
      <c r="JWG29" s="537"/>
      <c r="JWH29" s="537"/>
      <c r="JWI29" s="537"/>
      <c r="JWJ29" s="537"/>
      <c r="JWK29" s="537"/>
      <c r="JWL29" s="537"/>
      <c r="JWM29" s="537"/>
      <c r="JWN29" s="537"/>
      <c r="JWO29" s="537"/>
      <c r="JWP29" s="537"/>
      <c r="JWQ29" s="537"/>
      <c r="JWR29" s="537"/>
      <c r="JWS29" s="537"/>
      <c r="JWT29" s="537"/>
      <c r="JWU29" s="537"/>
      <c r="JWV29" s="537"/>
      <c r="JWW29" s="537"/>
      <c r="JWX29" s="537"/>
      <c r="JWY29" s="537"/>
      <c r="JWZ29" s="537"/>
      <c r="JXA29" s="537"/>
      <c r="JXB29" s="537"/>
      <c r="JXC29" s="537"/>
      <c r="JXD29" s="537"/>
      <c r="JXE29" s="537"/>
      <c r="JXF29" s="537"/>
      <c r="JXG29" s="537"/>
      <c r="JXH29" s="537"/>
      <c r="JXI29" s="537"/>
      <c r="JXJ29" s="537"/>
      <c r="JXK29" s="537"/>
      <c r="JXL29" s="537"/>
      <c r="JXM29" s="537"/>
      <c r="JXN29" s="537"/>
      <c r="JXO29" s="537"/>
      <c r="JXP29" s="537"/>
      <c r="JXQ29" s="537"/>
      <c r="JXR29" s="537"/>
      <c r="JXS29" s="537"/>
      <c r="JXT29" s="537"/>
      <c r="JXU29" s="537"/>
      <c r="JXV29" s="537"/>
      <c r="JXW29" s="537"/>
      <c r="JXX29" s="537"/>
      <c r="JXY29" s="537"/>
      <c r="JXZ29" s="537"/>
      <c r="JYA29" s="537"/>
      <c r="JYB29" s="537"/>
      <c r="JYC29" s="537"/>
      <c r="JYD29" s="537"/>
      <c r="JYE29" s="537"/>
      <c r="JYF29" s="537"/>
      <c r="JYG29" s="537"/>
      <c r="JYH29" s="537"/>
      <c r="JYI29" s="537"/>
      <c r="JYJ29" s="537"/>
      <c r="JYK29" s="537"/>
      <c r="JYL29" s="537"/>
      <c r="JYM29" s="537"/>
      <c r="JYN29" s="537"/>
      <c r="JYO29" s="537"/>
      <c r="JYP29" s="537"/>
      <c r="JYQ29" s="537"/>
      <c r="JYR29" s="537"/>
      <c r="JYS29" s="537"/>
      <c r="JYT29" s="537"/>
      <c r="JYU29" s="537"/>
      <c r="JYV29" s="537"/>
      <c r="JYW29" s="537"/>
      <c r="JYX29" s="537"/>
      <c r="JYY29" s="537"/>
      <c r="JYZ29" s="537"/>
      <c r="JZA29" s="537"/>
      <c r="JZB29" s="537"/>
      <c r="JZC29" s="537"/>
      <c r="JZD29" s="537"/>
      <c r="JZE29" s="537"/>
      <c r="JZF29" s="537"/>
      <c r="JZG29" s="537"/>
      <c r="JZH29" s="537"/>
      <c r="JZI29" s="537"/>
      <c r="JZJ29" s="537"/>
      <c r="JZK29" s="537"/>
      <c r="JZL29" s="537"/>
      <c r="JZM29" s="537"/>
      <c r="JZN29" s="537"/>
      <c r="JZO29" s="537"/>
      <c r="JZP29" s="537"/>
      <c r="JZQ29" s="537"/>
      <c r="JZR29" s="537"/>
      <c r="JZS29" s="537"/>
      <c r="JZT29" s="537"/>
      <c r="JZU29" s="537"/>
      <c r="JZV29" s="537"/>
      <c r="JZW29" s="537"/>
      <c r="JZX29" s="537"/>
      <c r="JZY29" s="537"/>
      <c r="JZZ29" s="537"/>
      <c r="KAA29" s="537"/>
      <c r="KAB29" s="537"/>
      <c r="KAC29" s="537"/>
      <c r="KAD29" s="537"/>
      <c r="KAE29" s="537"/>
      <c r="KAF29" s="537"/>
      <c r="KAG29" s="537"/>
      <c r="KAH29" s="537"/>
      <c r="KAI29" s="537"/>
      <c r="KAJ29" s="537"/>
      <c r="KAK29" s="537"/>
      <c r="KAL29" s="537"/>
      <c r="KAM29" s="537"/>
      <c r="KAN29" s="537"/>
      <c r="KAO29" s="537"/>
      <c r="KAP29" s="537"/>
      <c r="KAQ29" s="537"/>
      <c r="KAR29" s="537"/>
      <c r="KAS29" s="537"/>
      <c r="KAT29" s="537"/>
      <c r="KAU29" s="537"/>
      <c r="KAV29" s="537"/>
      <c r="KAW29" s="537"/>
      <c r="KAX29" s="537"/>
      <c r="KAY29" s="537"/>
      <c r="KAZ29" s="537"/>
      <c r="KBA29" s="537"/>
      <c r="KBB29" s="537"/>
      <c r="KBC29" s="537"/>
      <c r="KBD29" s="537"/>
      <c r="KBE29" s="537"/>
      <c r="KBF29" s="537"/>
      <c r="KBG29" s="537"/>
      <c r="KBH29" s="537"/>
      <c r="KBI29" s="537"/>
      <c r="KBJ29" s="537"/>
      <c r="KBK29" s="537"/>
      <c r="KBL29" s="537"/>
      <c r="KBM29" s="537"/>
      <c r="KBN29" s="537"/>
      <c r="KBO29" s="537"/>
      <c r="KBP29" s="537"/>
      <c r="KBQ29" s="537"/>
      <c r="KBR29" s="537"/>
      <c r="KBS29" s="537"/>
      <c r="KBT29" s="537"/>
      <c r="KBU29" s="537"/>
      <c r="KBV29" s="537"/>
      <c r="KBW29" s="537"/>
      <c r="KBX29" s="537"/>
      <c r="KBY29" s="537"/>
      <c r="KBZ29" s="537"/>
      <c r="KCA29" s="537"/>
      <c r="KCB29" s="537"/>
      <c r="KCC29" s="537"/>
      <c r="KCD29" s="537"/>
      <c r="KCE29" s="537"/>
      <c r="KCF29" s="537"/>
      <c r="KCG29" s="537"/>
      <c r="KCH29" s="537"/>
      <c r="KCI29" s="537"/>
      <c r="KCJ29" s="537"/>
      <c r="KCK29" s="537"/>
      <c r="KCL29" s="537"/>
      <c r="KCM29" s="537"/>
      <c r="KCN29" s="537"/>
      <c r="KCO29" s="537"/>
      <c r="KCP29" s="537"/>
      <c r="KCQ29" s="537"/>
      <c r="KCR29" s="537"/>
      <c r="KCS29" s="537"/>
      <c r="KCT29" s="537"/>
      <c r="KCU29" s="537"/>
      <c r="KCV29" s="537"/>
      <c r="KCW29" s="537"/>
      <c r="KCX29" s="537"/>
      <c r="KCY29" s="537"/>
      <c r="KCZ29" s="537"/>
      <c r="KDA29" s="537"/>
      <c r="KDB29" s="537"/>
      <c r="KDC29" s="537"/>
      <c r="KDD29" s="537"/>
      <c r="KDE29" s="537"/>
      <c r="KDF29" s="537"/>
      <c r="KDG29" s="537"/>
      <c r="KDH29" s="537"/>
      <c r="KDI29" s="537"/>
      <c r="KDJ29" s="537"/>
      <c r="KDK29" s="537"/>
      <c r="KDL29" s="537"/>
      <c r="KDM29" s="537"/>
      <c r="KDN29" s="537"/>
      <c r="KDO29" s="537"/>
      <c r="KDP29" s="537"/>
      <c r="KDQ29" s="537"/>
      <c r="KDR29" s="537"/>
      <c r="KDS29" s="537"/>
      <c r="KDT29" s="537"/>
      <c r="KDU29" s="537"/>
      <c r="KDV29" s="537"/>
      <c r="KDW29" s="537"/>
      <c r="KDX29" s="537"/>
      <c r="KDY29" s="537"/>
      <c r="KDZ29" s="537"/>
      <c r="KEA29" s="537"/>
      <c r="KEB29" s="537"/>
      <c r="KEC29" s="537"/>
      <c r="KED29" s="537"/>
      <c r="KEE29" s="537"/>
      <c r="KEF29" s="537"/>
      <c r="KEG29" s="537"/>
      <c r="KEH29" s="537"/>
      <c r="KEI29" s="537"/>
      <c r="KEJ29" s="537"/>
      <c r="KEK29" s="537"/>
      <c r="KEL29" s="537"/>
      <c r="KEM29" s="537"/>
      <c r="KEN29" s="537"/>
      <c r="KEO29" s="537"/>
      <c r="KEP29" s="537"/>
      <c r="KEQ29" s="537"/>
      <c r="KER29" s="537"/>
      <c r="KES29" s="537"/>
      <c r="KET29" s="537"/>
      <c r="KEU29" s="537"/>
      <c r="KEV29" s="537"/>
      <c r="KEW29" s="537"/>
      <c r="KEX29" s="537"/>
      <c r="KEY29" s="537"/>
      <c r="KEZ29" s="537"/>
      <c r="KFA29" s="537"/>
      <c r="KFB29" s="537"/>
      <c r="KFC29" s="537"/>
      <c r="KFD29" s="537"/>
      <c r="KFE29" s="537"/>
      <c r="KFF29" s="537"/>
      <c r="KFG29" s="537"/>
      <c r="KFH29" s="537"/>
      <c r="KFI29" s="537"/>
      <c r="KFJ29" s="537"/>
      <c r="KFK29" s="537"/>
      <c r="KFL29" s="537"/>
      <c r="KFM29" s="537"/>
      <c r="KFN29" s="537"/>
      <c r="KFO29" s="537"/>
      <c r="KFP29" s="537"/>
      <c r="KFQ29" s="537"/>
      <c r="KFR29" s="537"/>
      <c r="KFS29" s="537"/>
      <c r="KFT29" s="537"/>
      <c r="KFU29" s="537"/>
      <c r="KFV29" s="537"/>
      <c r="KFW29" s="537"/>
      <c r="KFX29" s="537"/>
      <c r="KFY29" s="537"/>
      <c r="KFZ29" s="537"/>
      <c r="KGA29" s="537"/>
      <c r="KGB29" s="537"/>
      <c r="KGC29" s="537"/>
      <c r="KGD29" s="537"/>
      <c r="KGE29" s="537"/>
      <c r="KGF29" s="537"/>
      <c r="KGG29" s="537"/>
      <c r="KGH29" s="537"/>
      <c r="KGI29" s="537"/>
      <c r="KGJ29" s="537"/>
      <c r="KGK29" s="537"/>
      <c r="KGL29" s="537"/>
      <c r="KGM29" s="537"/>
      <c r="KGN29" s="537"/>
      <c r="KGO29" s="537"/>
      <c r="KGP29" s="537"/>
      <c r="KGQ29" s="537"/>
      <c r="KGR29" s="537"/>
      <c r="KGS29" s="537"/>
      <c r="KGT29" s="537"/>
      <c r="KGU29" s="537"/>
      <c r="KGV29" s="537"/>
      <c r="KGW29" s="537"/>
      <c r="KGX29" s="537"/>
      <c r="KGY29" s="537"/>
      <c r="KGZ29" s="537"/>
      <c r="KHA29" s="537"/>
      <c r="KHB29" s="537"/>
      <c r="KHC29" s="537"/>
      <c r="KHD29" s="537"/>
      <c r="KHE29" s="537"/>
      <c r="KHF29" s="537"/>
      <c r="KHG29" s="537"/>
      <c r="KHH29" s="537"/>
      <c r="KHI29" s="537"/>
      <c r="KHJ29" s="537"/>
      <c r="KHK29" s="537"/>
      <c r="KHL29" s="537"/>
      <c r="KHM29" s="537"/>
      <c r="KHN29" s="537"/>
      <c r="KHO29" s="537"/>
      <c r="KHP29" s="537"/>
      <c r="KHQ29" s="537"/>
      <c r="KHR29" s="537"/>
      <c r="KHS29" s="537"/>
      <c r="KHT29" s="537"/>
      <c r="KHU29" s="537"/>
      <c r="KHV29" s="537"/>
      <c r="KHW29" s="537"/>
      <c r="KHX29" s="537"/>
      <c r="KHY29" s="537"/>
      <c r="KHZ29" s="537"/>
      <c r="KIA29" s="537"/>
      <c r="KIB29" s="537"/>
      <c r="KIC29" s="537"/>
      <c r="KID29" s="537"/>
      <c r="KIE29" s="537"/>
      <c r="KIF29" s="537"/>
      <c r="KIG29" s="537"/>
      <c r="KIH29" s="537"/>
      <c r="KII29" s="537"/>
      <c r="KIJ29" s="537"/>
      <c r="KIK29" s="537"/>
      <c r="KIL29" s="537"/>
      <c r="KIM29" s="537"/>
      <c r="KIN29" s="537"/>
      <c r="KIO29" s="537"/>
      <c r="KIP29" s="537"/>
      <c r="KIQ29" s="537"/>
      <c r="KIR29" s="537"/>
      <c r="KIS29" s="537"/>
      <c r="KIT29" s="537"/>
      <c r="KIU29" s="537"/>
      <c r="KIV29" s="537"/>
      <c r="KIW29" s="537"/>
      <c r="KIX29" s="537"/>
      <c r="KIY29" s="537"/>
      <c r="KIZ29" s="537"/>
      <c r="KJA29" s="537"/>
      <c r="KJB29" s="537"/>
      <c r="KJC29" s="537"/>
      <c r="KJD29" s="537"/>
      <c r="KJE29" s="537"/>
      <c r="KJF29" s="537"/>
      <c r="KJG29" s="537"/>
      <c r="KJH29" s="537"/>
      <c r="KJI29" s="537"/>
      <c r="KJJ29" s="537"/>
      <c r="KJK29" s="537"/>
      <c r="KJL29" s="537"/>
      <c r="KJM29" s="537"/>
      <c r="KJN29" s="537"/>
      <c r="KJO29" s="537"/>
      <c r="KJP29" s="537"/>
      <c r="KJQ29" s="537"/>
      <c r="KJR29" s="537"/>
      <c r="KJS29" s="537"/>
      <c r="KJT29" s="537"/>
      <c r="KJU29" s="537"/>
      <c r="KJV29" s="537"/>
      <c r="KJW29" s="537"/>
      <c r="KJX29" s="537"/>
      <c r="KJY29" s="537"/>
      <c r="KJZ29" s="537"/>
      <c r="KKA29" s="537"/>
      <c r="KKB29" s="537"/>
      <c r="KKC29" s="537"/>
      <c r="KKD29" s="537"/>
      <c r="KKE29" s="537"/>
      <c r="KKF29" s="537"/>
      <c r="KKG29" s="537"/>
      <c r="KKH29" s="537"/>
      <c r="KKI29" s="537"/>
      <c r="KKJ29" s="537"/>
      <c r="KKK29" s="537"/>
      <c r="KKL29" s="537"/>
      <c r="KKM29" s="537"/>
      <c r="KKN29" s="537"/>
      <c r="KKO29" s="537"/>
      <c r="KKP29" s="537"/>
      <c r="KKQ29" s="537"/>
      <c r="KKR29" s="537"/>
      <c r="KKS29" s="537"/>
      <c r="KKT29" s="537"/>
      <c r="KKU29" s="537"/>
      <c r="KKV29" s="537"/>
      <c r="KKW29" s="537"/>
      <c r="KKX29" s="537"/>
      <c r="KKY29" s="537"/>
      <c r="KKZ29" s="537"/>
      <c r="KLA29" s="537"/>
      <c r="KLB29" s="537"/>
      <c r="KLC29" s="537"/>
      <c r="KLD29" s="537"/>
      <c r="KLE29" s="537"/>
      <c r="KLF29" s="537"/>
      <c r="KLG29" s="537"/>
      <c r="KLH29" s="537"/>
      <c r="KLI29" s="537"/>
      <c r="KLJ29" s="537"/>
      <c r="KLK29" s="537"/>
      <c r="KLL29" s="537"/>
      <c r="KLM29" s="537"/>
      <c r="KLN29" s="537"/>
      <c r="KLO29" s="537"/>
      <c r="KLP29" s="537"/>
      <c r="KLQ29" s="537"/>
      <c r="KLR29" s="537"/>
      <c r="KLS29" s="537"/>
      <c r="KLT29" s="537"/>
      <c r="KLU29" s="537"/>
      <c r="KLV29" s="537"/>
      <c r="KLW29" s="537"/>
      <c r="KLX29" s="537"/>
      <c r="KLY29" s="537"/>
      <c r="KLZ29" s="537"/>
      <c r="KMA29" s="537"/>
      <c r="KMB29" s="537"/>
      <c r="KMC29" s="537"/>
      <c r="KMD29" s="537"/>
      <c r="KME29" s="537"/>
      <c r="KMF29" s="537"/>
      <c r="KMG29" s="537"/>
      <c r="KMH29" s="537"/>
      <c r="KMI29" s="537"/>
      <c r="KMJ29" s="537"/>
      <c r="KMK29" s="537"/>
      <c r="KML29" s="537"/>
      <c r="KMM29" s="537"/>
      <c r="KMN29" s="537"/>
      <c r="KMO29" s="537"/>
      <c r="KMP29" s="537"/>
      <c r="KMQ29" s="537"/>
      <c r="KMR29" s="537"/>
      <c r="KMS29" s="537"/>
      <c r="KMT29" s="537"/>
      <c r="KMU29" s="537"/>
      <c r="KMV29" s="537"/>
      <c r="KMW29" s="537"/>
      <c r="KMX29" s="537"/>
      <c r="KMY29" s="537"/>
      <c r="KMZ29" s="537"/>
      <c r="KNA29" s="537"/>
      <c r="KNB29" s="537"/>
      <c r="KNC29" s="537"/>
      <c r="KND29" s="537"/>
      <c r="KNE29" s="537"/>
      <c r="KNF29" s="537"/>
      <c r="KNG29" s="537"/>
      <c r="KNH29" s="537"/>
      <c r="KNI29" s="537"/>
      <c r="KNJ29" s="537"/>
      <c r="KNK29" s="537"/>
      <c r="KNL29" s="537"/>
      <c r="KNM29" s="537"/>
      <c r="KNN29" s="537"/>
      <c r="KNO29" s="537"/>
      <c r="KNP29" s="537"/>
      <c r="KNQ29" s="537"/>
      <c r="KNR29" s="537"/>
      <c r="KNS29" s="537"/>
      <c r="KNT29" s="537"/>
      <c r="KNU29" s="537"/>
      <c r="KNV29" s="537"/>
      <c r="KNW29" s="537"/>
      <c r="KNX29" s="537"/>
      <c r="KNY29" s="537"/>
      <c r="KNZ29" s="537"/>
      <c r="KOA29" s="537"/>
      <c r="KOB29" s="537"/>
      <c r="KOC29" s="537"/>
      <c r="KOD29" s="537"/>
      <c r="KOE29" s="537"/>
      <c r="KOF29" s="537"/>
      <c r="KOG29" s="537"/>
      <c r="KOH29" s="537"/>
      <c r="KOI29" s="537"/>
      <c r="KOJ29" s="537"/>
      <c r="KOK29" s="537"/>
      <c r="KOL29" s="537"/>
      <c r="KOM29" s="537"/>
      <c r="KON29" s="537"/>
      <c r="KOO29" s="537"/>
      <c r="KOP29" s="537"/>
      <c r="KOQ29" s="537"/>
      <c r="KOR29" s="537"/>
      <c r="KOS29" s="537"/>
      <c r="KOT29" s="537"/>
      <c r="KOU29" s="537"/>
      <c r="KOV29" s="537"/>
      <c r="KOW29" s="537"/>
      <c r="KOX29" s="537"/>
      <c r="KOY29" s="537"/>
      <c r="KOZ29" s="537"/>
      <c r="KPA29" s="537"/>
      <c r="KPB29" s="537"/>
      <c r="KPC29" s="537"/>
      <c r="KPD29" s="537"/>
      <c r="KPE29" s="537"/>
      <c r="KPF29" s="537"/>
      <c r="KPG29" s="537"/>
      <c r="KPH29" s="537"/>
      <c r="KPI29" s="537"/>
      <c r="KPJ29" s="537"/>
      <c r="KPK29" s="537"/>
      <c r="KPL29" s="537"/>
      <c r="KPM29" s="537"/>
      <c r="KPN29" s="537"/>
      <c r="KPO29" s="537"/>
      <c r="KPP29" s="537"/>
      <c r="KPQ29" s="537"/>
      <c r="KPR29" s="537"/>
      <c r="KPS29" s="537"/>
      <c r="KPT29" s="537"/>
      <c r="KPU29" s="537"/>
      <c r="KPV29" s="537"/>
      <c r="KPW29" s="537"/>
      <c r="KPX29" s="537"/>
      <c r="KPY29" s="537"/>
      <c r="KPZ29" s="537"/>
      <c r="KQA29" s="537"/>
      <c r="KQB29" s="537"/>
      <c r="KQC29" s="537"/>
      <c r="KQD29" s="537"/>
      <c r="KQE29" s="537"/>
      <c r="KQF29" s="537"/>
      <c r="KQG29" s="537"/>
      <c r="KQH29" s="537"/>
      <c r="KQI29" s="537"/>
      <c r="KQJ29" s="537"/>
      <c r="KQK29" s="537"/>
      <c r="KQL29" s="537"/>
      <c r="KQM29" s="537"/>
      <c r="KQN29" s="537"/>
      <c r="KQO29" s="537"/>
      <c r="KQP29" s="537"/>
      <c r="KQQ29" s="537"/>
      <c r="KQR29" s="537"/>
      <c r="KQS29" s="537"/>
      <c r="KQT29" s="537"/>
      <c r="KQU29" s="537"/>
      <c r="KQV29" s="537"/>
      <c r="KQW29" s="537"/>
      <c r="KQX29" s="537"/>
      <c r="KQY29" s="537"/>
      <c r="KQZ29" s="537"/>
      <c r="KRA29" s="537"/>
      <c r="KRB29" s="537"/>
      <c r="KRC29" s="537"/>
      <c r="KRD29" s="537"/>
      <c r="KRE29" s="537"/>
      <c r="KRF29" s="537"/>
      <c r="KRG29" s="537"/>
      <c r="KRH29" s="537"/>
      <c r="KRI29" s="537"/>
      <c r="KRJ29" s="537"/>
      <c r="KRK29" s="537"/>
      <c r="KRL29" s="537"/>
      <c r="KRM29" s="537"/>
      <c r="KRN29" s="537"/>
      <c r="KRO29" s="537"/>
      <c r="KRP29" s="537"/>
      <c r="KRQ29" s="537"/>
      <c r="KRR29" s="537"/>
      <c r="KRS29" s="537"/>
      <c r="KRT29" s="537"/>
      <c r="KRU29" s="537"/>
      <c r="KRV29" s="537"/>
      <c r="KRW29" s="537"/>
      <c r="KRX29" s="537"/>
      <c r="KRY29" s="537"/>
      <c r="KRZ29" s="537"/>
      <c r="KSA29" s="537"/>
      <c r="KSB29" s="537"/>
      <c r="KSC29" s="537"/>
      <c r="KSD29" s="537"/>
      <c r="KSE29" s="537"/>
      <c r="KSF29" s="537"/>
      <c r="KSG29" s="537"/>
      <c r="KSH29" s="537"/>
      <c r="KSI29" s="537"/>
      <c r="KSJ29" s="537"/>
      <c r="KSK29" s="537"/>
      <c r="KSL29" s="537"/>
      <c r="KSM29" s="537"/>
      <c r="KSN29" s="537"/>
      <c r="KSO29" s="537"/>
      <c r="KSP29" s="537"/>
      <c r="KSQ29" s="537"/>
      <c r="KSR29" s="537"/>
      <c r="KSS29" s="537"/>
      <c r="KST29" s="537"/>
      <c r="KSU29" s="537"/>
      <c r="KSV29" s="537"/>
      <c r="KSW29" s="537"/>
      <c r="KSX29" s="537"/>
      <c r="KSY29" s="537"/>
      <c r="KSZ29" s="537"/>
      <c r="KTA29" s="537"/>
      <c r="KTB29" s="537"/>
      <c r="KTC29" s="537"/>
      <c r="KTD29" s="537"/>
      <c r="KTE29" s="537"/>
      <c r="KTF29" s="537"/>
      <c r="KTG29" s="537"/>
      <c r="KTH29" s="537"/>
      <c r="KTI29" s="537"/>
      <c r="KTJ29" s="537"/>
      <c r="KTK29" s="537"/>
      <c r="KTL29" s="537"/>
      <c r="KTM29" s="537"/>
      <c r="KTN29" s="537"/>
      <c r="KTO29" s="537"/>
      <c r="KTP29" s="537"/>
      <c r="KTQ29" s="537"/>
      <c r="KTR29" s="537"/>
      <c r="KTS29" s="537"/>
      <c r="KTT29" s="537"/>
      <c r="KTU29" s="537"/>
      <c r="KTV29" s="537"/>
      <c r="KTW29" s="537"/>
      <c r="KTX29" s="537"/>
      <c r="KTY29" s="537"/>
      <c r="KTZ29" s="537"/>
      <c r="KUA29" s="537"/>
      <c r="KUB29" s="537"/>
      <c r="KUC29" s="537"/>
      <c r="KUD29" s="537"/>
      <c r="KUE29" s="537"/>
      <c r="KUF29" s="537"/>
      <c r="KUG29" s="537"/>
      <c r="KUH29" s="537"/>
      <c r="KUI29" s="537"/>
      <c r="KUJ29" s="537"/>
      <c r="KUK29" s="537"/>
      <c r="KUL29" s="537"/>
      <c r="KUM29" s="537"/>
      <c r="KUN29" s="537"/>
      <c r="KUO29" s="537"/>
      <c r="KUP29" s="537"/>
      <c r="KUQ29" s="537"/>
      <c r="KUR29" s="537"/>
      <c r="KUS29" s="537"/>
      <c r="KUT29" s="537"/>
      <c r="KUU29" s="537"/>
      <c r="KUV29" s="537"/>
      <c r="KUW29" s="537"/>
      <c r="KUX29" s="537"/>
      <c r="KUY29" s="537"/>
      <c r="KUZ29" s="537"/>
      <c r="KVA29" s="537"/>
      <c r="KVB29" s="537"/>
      <c r="KVC29" s="537"/>
      <c r="KVD29" s="537"/>
      <c r="KVE29" s="537"/>
      <c r="KVF29" s="537"/>
      <c r="KVG29" s="537"/>
      <c r="KVH29" s="537"/>
      <c r="KVI29" s="537"/>
      <c r="KVJ29" s="537"/>
      <c r="KVK29" s="537"/>
      <c r="KVL29" s="537"/>
      <c r="KVM29" s="537"/>
      <c r="KVN29" s="537"/>
      <c r="KVO29" s="537"/>
      <c r="KVP29" s="537"/>
      <c r="KVQ29" s="537"/>
      <c r="KVR29" s="537"/>
      <c r="KVS29" s="537"/>
      <c r="KVT29" s="537"/>
      <c r="KVU29" s="537"/>
      <c r="KVV29" s="537"/>
      <c r="KVW29" s="537"/>
      <c r="KVX29" s="537"/>
      <c r="KVY29" s="537"/>
      <c r="KVZ29" s="537"/>
      <c r="KWA29" s="537"/>
      <c r="KWB29" s="537"/>
      <c r="KWC29" s="537"/>
      <c r="KWD29" s="537"/>
      <c r="KWE29" s="537"/>
      <c r="KWF29" s="537"/>
      <c r="KWG29" s="537"/>
      <c r="KWH29" s="537"/>
      <c r="KWI29" s="537"/>
      <c r="KWJ29" s="537"/>
      <c r="KWK29" s="537"/>
      <c r="KWL29" s="537"/>
      <c r="KWM29" s="537"/>
      <c r="KWN29" s="537"/>
      <c r="KWO29" s="537"/>
      <c r="KWP29" s="537"/>
      <c r="KWQ29" s="537"/>
      <c r="KWR29" s="537"/>
      <c r="KWS29" s="537"/>
      <c r="KWT29" s="537"/>
      <c r="KWU29" s="537"/>
      <c r="KWV29" s="537"/>
      <c r="KWW29" s="537"/>
      <c r="KWX29" s="537"/>
      <c r="KWY29" s="537"/>
      <c r="KWZ29" s="537"/>
      <c r="KXA29" s="537"/>
      <c r="KXB29" s="537"/>
      <c r="KXC29" s="537"/>
      <c r="KXD29" s="537"/>
      <c r="KXE29" s="537"/>
      <c r="KXF29" s="537"/>
      <c r="KXG29" s="537"/>
      <c r="KXH29" s="537"/>
      <c r="KXI29" s="537"/>
      <c r="KXJ29" s="537"/>
      <c r="KXK29" s="537"/>
      <c r="KXL29" s="537"/>
      <c r="KXM29" s="537"/>
      <c r="KXN29" s="537"/>
      <c r="KXO29" s="537"/>
      <c r="KXP29" s="537"/>
      <c r="KXQ29" s="537"/>
      <c r="KXR29" s="537"/>
      <c r="KXS29" s="537"/>
      <c r="KXT29" s="537"/>
      <c r="KXU29" s="537"/>
      <c r="KXV29" s="537"/>
      <c r="KXW29" s="537"/>
      <c r="KXX29" s="537"/>
      <c r="KXY29" s="537"/>
      <c r="KXZ29" s="537"/>
      <c r="KYA29" s="537"/>
      <c r="KYB29" s="537"/>
      <c r="KYC29" s="537"/>
      <c r="KYD29" s="537"/>
      <c r="KYE29" s="537"/>
      <c r="KYF29" s="537"/>
      <c r="KYG29" s="537"/>
      <c r="KYH29" s="537"/>
      <c r="KYI29" s="537"/>
      <c r="KYJ29" s="537"/>
      <c r="KYK29" s="537"/>
      <c r="KYL29" s="537"/>
      <c r="KYM29" s="537"/>
      <c r="KYN29" s="537"/>
      <c r="KYO29" s="537"/>
      <c r="KYP29" s="537"/>
      <c r="KYQ29" s="537"/>
      <c r="KYR29" s="537"/>
      <c r="KYS29" s="537"/>
      <c r="KYT29" s="537"/>
      <c r="KYU29" s="537"/>
      <c r="KYV29" s="537"/>
      <c r="KYW29" s="537"/>
      <c r="KYX29" s="537"/>
      <c r="KYY29" s="537"/>
      <c r="KYZ29" s="537"/>
      <c r="KZA29" s="537"/>
      <c r="KZB29" s="537"/>
      <c r="KZC29" s="537"/>
      <c r="KZD29" s="537"/>
      <c r="KZE29" s="537"/>
      <c r="KZF29" s="537"/>
      <c r="KZG29" s="537"/>
      <c r="KZH29" s="537"/>
      <c r="KZI29" s="537"/>
      <c r="KZJ29" s="537"/>
      <c r="KZK29" s="537"/>
      <c r="KZL29" s="537"/>
      <c r="KZM29" s="537"/>
      <c r="KZN29" s="537"/>
      <c r="KZO29" s="537"/>
      <c r="KZP29" s="537"/>
      <c r="KZQ29" s="537"/>
      <c r="KZR29" s="537"/>
      <c r="KZS29" s="537"/>
      <c r="KZT29" s="537"/>
      <c r="KZU29" s="537"/>
      <c r="KZV29" s="537"/>
      <c r="KZW29" s="537"/>
      <c r="KZX29" s="537"/>
      <c r="KZY29" s="537"/>
      <c r="KZZ29" s="537"/>
      <c r="LAA29" s="537"/>
      <c r="LAB29" s="537"/>
      <c r="LAC29" s="537"/>
      <c r="LAD29" s="537"/>
      <c r="LAE29" s="537"/>
      <c r="LAF29" s="537"/>
      <c r="LAG29" s="537"/>
      <c r="LAH29" s="537"/>
      <c r="LAI29" s="537"/>
      <c r="LAJ29" s="537"/>
      <c r="LAK29" s="537"/>
      <c r="LAL29" s="537"/>
      <c r="LAM29" s="537"/>
      <c r="LAN29" s="537"/>
      <c r="LAO29" s="537"/>
      <c r="LAP29" s="537"/>
      <c r="LAQ29" s="537"/>
      <c r="LAR29" s="537"/>
      <c r="LAS29" s="537"/>
      <c r="LAT29" s="537"/>
      <c r="LAU29" s="537"/>
      <c r="LAV29" s="537"/>
      <c r="LAW29" s="537"/>
      <c r="LAX29" s="537"/>
      <c r="LAY29" s="537"/>
      <c r="LAZ29" s="537"/>
      <c r="LBA29" s="537"/>
      <c r="LBB29" s="537"/>
      <c r="LBC29" s="537"/>
      <c r="LBD29" s="537"/>
      <c r="LBE29" s="537"/>
      <c r="LBF29" s="537"/>
      <c r="LBG29" s="537"/>
      <c r="LBH29" s="537"/>
      <c r="LBI29" s="537"/>
      <c r="LBJ29" s="537"/>
      <c r="LBK29" s="537"/>
      <c r="LBL29" s="537"/>
      <c r="LBM29" s="537"/>
      <c r="LBN29" s="537"/>
      <c r="LBO29" s="537"/>
      <c r="LBP29" s="537"/>
      <c r="LBQ29" s="537"/>
      <c r="LBR29" s="537"/>
      <c r="LBS29" s="537"/>
      <c r="LBT29" s="537"/>
      <c r="LBU29" s="537"/>
      <c r="LBV29" s="537"/>
      <c r="LBW29" s="537"/>
      <c r="LBX29" s="537"/>
      <c r="LBY29" s="537"/>
      <c r="LBZ29" s="537"/>
      <c r="LCA29" s="537"/>
      <c r="LCB29" s="537"/>
      <c r="LCC29" s="537"/>
      <c r="LCD29" s="537"/>
      <c r="LCE29" s="537"/>
      <c r="LCF29" s="537"/>
      <c r="LCG29" s="537"/>
      <c r="LCH29" s="537"/>
      <c r="LCI29" s="537"/>
      <c r="LCJ29" s="537"/>
      <c r="LCK29" s="537"/>
      <c r="LCL29" s="537"/>
      <c r="LCM29" s="537"/>
      <c r="LCN29" s="537"/>
      <c r="LCO29" s="537"/>
      <c r="LCP29" s="537"/>
      <c r="LCQ29" s="537"/>
      <c r="LCR29" s="537"/>
      <c r="LCS29" s="537"/>
      <c r="LCT29" s="537"/>
      <c r="LCU29" s="537"/>
      <c r="LCV29" s="537"/>
      <c r="LCW29" s="537"/>
      <c r="LCX29" s="537"/>
      <c r="LCY29" s="537"/>
      <c r="LCZ29" s="537"/>
      <c r="LDA29" s="537"/>
      <c r="LDB29" s="537"/>
      <c r="LDC29" s="537"/>
      <c r="LDD29" s="537"/>
      <c r="LDE29" s="537"/>
      <c r="LDF29" s="537"/>
      <c r="LDG29" s="537"/>
      <c r="LDH29" s="537"/>
      <c r="LDI29" s="537"/>
      <c r="LDJ29" s="537"/>
      <c r="LDK29" s="537"/>
      <c r="LDL29" s="537"/>
      <c r="LDM29" s="537"/>
      <c r="LDN29" s="537"/>
      <c r="LDO29" s="537"/>
      <c r="LDP29" s="537"/>
      <c r="LDQ29" s="537"/>
      <c r="LDR29" s="537"/>
      <c r="LDS29" s="537"/>
      <c r="LDT29" s="537"/>
      <c r="LDU29" s="537"/>
      <c r="LDV29" s="537"/>
      <c r="LDW29" s="537"/>
      <c r="LDX29" s="537"/>
      <c r="LDY29" s="537"/>
      <c r="LDZ29" s="537"/>
      <c r="LEA29" s="537"/>
      <c r="LEB29" s="537"/>
      <c r="LEC29" s="537"/>
      <c r="LED29" s="537"/>
      <c r="LEE29" s="537"/>
      <c r="LEF29" s="537"/>
      <c r="LEG29" s="537"/>
      <c r="LEH29" s="537"/>
      <c r="LEI29" s="537"/>
      <c r="LEJ29" s="537"/>
      <c r="LEK29" s="537"/>
      <c r="LEL29" s="537"/>
      <c r="LEM29" s="537"/>
      <c r="LEN29" s="537"/>
      <c r="LEO29" s="537"/>
      <c r="LEP29" s="537"/>
      <c r="LEQ29" s="537"/>
      <c r="LER29" s="537"/>
      <c r="LES29" s="537"/>
      <c r="LET29" s="537"/>
      <c r="LEU29" s="537"/>
      <c r="LEV29" s="537"/>
      <c r="LEW29" s="537"/>
      <c r="LEX29" s="537"/>
      <c r="LEY29" s="537"/>
      <c r="LEZ29" s="537"/>
      <c r="LFA29" s="537"/>
      <c r="LFB29" s="537"/>
      <c r="LFC29" s="537"/>
      <c r="LFD29" s="537"/>
      <c r="LFE29" s="537"/>
      <c r="LFF29" s="537"/>
      <c r="LFG29" s="537"/>
      <c r="LFH29" s="537"/>
      <c r="LFI29" s="537"/>
      <c r="LFJ29" s="537"/>
      <c r="LFK29" s="537"/>
      <c r="LFL29" s="537"/>
      <c r="LFM29" s="537"/>
      <c r="LFN29" s="537"/>
      <c r="LFO29" s="537"/>
      <c r="LFP29" s="537"/>
      <c r="LFQ29" s="537"/>
      <c r="LFR29" s="537"/>
      <c r="LFS29" s="537"/>
      <c r="LFT29" s="537"/>
      <c r="LFU29" s="537"/>
      <c r="LFV29" s="537"/>
      <c r="LFW29" s="537"/>
      <c r="LFX29" s="537"/>
      <c r="LFY29" s="537"/>
      <c r="LFZ29" s="537"/>
      <c r="LGA29" s="537"/>
      <c r="LGB29" s="537"/>
      <c r="LGC29" s="537"/>
      <c r="LGD29" s="537"/>
      <c r="LGE29" s="537"/>
      <c r="LGF29" s="537"/>
      <c r="LGG29" s="537"/>
      <c r="LGH29" s="537"/>
      <c r="LGI29" s="537"/>
      <c r="LGJ29" s="537"/>
      <c r="LGK29" s="537"/>
      <c r="LGL29" s="537"/>
      <c r="LGM29" s="537"/>
      <c r="LGN29" s="537"/>
      <c r="LGO29" s="537"/>
      <c r="LGP29" s="537"/>
      <c r="LGQ29" s="537"/>
      <c r="LGR29" s="537"/>
      <c r="LGS29" s="537"/>
      <c r="LGT29" s="537"/>
      <c r="LGU29" s="537"/>
      <c r="LGV29" s="537"/>
      <c r="LGW29" s="537"/>
      <c r="LGX29" s="537"/>
      <c r="LGY29" s="537"/>
      <c r="LGZ29" s="537"/>
      <c r="LHA29" s="537"/>
      <c r="LHB29" s="537"/>
      <c r="LHC29" s="537"/>
      <c r="LHD29" s="537"/>
      <c r="LHE29" s="537"/>
      <c r="LHF29" s="537"/>
      <c r="LHG29" s="537"/>
      <c r="LHH29" s="537"/>
      <c r="LHI29" s="537"/>
      <c r="LHJ29" s="537"/>
      <c r="LHK29" s="537"/>
      <c r="LHL29" s="537"/>
      <c r="LHM29" s="537"/>
      <c r="LHN29" s="537"/>
      <c r="LHO29" s="537"/>
      <c r="LHP29" s="537"/>
      <c r="LHQ29" s="537"/>
      <c r="LHR29" s="537"/>
      <c r="LHS29" s="537"/>
      <c r="LHT29" s="537"/>
      <c r="LHU29" s="537"/>
      <c r="LHV29" s="537"/>
      <c r="LHW29" s="537"/>
      <c r="LHX29" s="537"/>
      <c r="LHY29" s="537"/>
      <c r="LHZ29" s="537"/>
      <c r="LIA29" s="537"/>
      <c r="LIB29" s="537"/>
      <c r="LIC29" s="537"/>
      <c r="LID29" s="537"/>
      <c r="LIE29" s="537"/>
      <c r="LIF29" s="537"/>
      <c r="LIG29" s="537"/>
      <c r="LIH29" s="537"/>
      <c r="LII29" s="537"/>
      <c r="LIJ29" s="537"/>
      <c r="LIK29" s="537"/>
      <c r="LIL29" s="537"/>
      <c r="LIM29" s="537"/>
      <c r="LIN29" s="537"/>
      <c r="LIO29" s="537"/>
      <c r="LIP29" s="537"/>
      <c r="LIQ29" s="537"/>
      <c r="LIR29" s="537"/>
      <c r="LIS29" s="537"/>
      <c r="LIT29" s="537"/>
      <c r="LIU29" s="537"/>
      <c r="LIV29" s="537"/>
      <c r="LIW29" s="537"/>
      <c r="LIX29" s="537"/>
      <c r="LIY29" s="537"/>
      <c r="LIZ29" s="537"/>
      <c r="LJA29" s="537"/>
      <c r="LJB29" s="537"/>
      <c r="LJC29" s="537"/>
      <c r="LJD29" s="537"/>
      <c r="LJE29" s="537"/>
      <c r="LJF29" s="537"/>
      <c r="LJG29" s="537"/>
      <c r="LJH29" s="537"/>
      <c r="LJI29" s="537"/>
      <c r="LJJ29" s="537"/>
      <c r="LJK29" s="537"/>
      <c r="LJL29" s="537"/>
      <c r="LJM29" s="537"/>
      <c r="LJN29" s="537"/>
      <c r="LJO29" s="537"/>
      <c r="LJP29" s="537"/>
      <c r="LJQ29" s="537"/>
      <c r="LJR29" s="537"/>
      <c r="LJS29" s="537"/>
      <c r="LJT29" s="537"/>
      <c r="LJU29" s="537"/>
      <c r="LJV29" s="537"/>
      <c r="LJW29" s="537"/>
      <c r="LJX29" s="537"/>
      <c r="LJY29" s="537"/>
      <c r="LJZ29" s="537"/>
      <c r="LKA29" s="537"/>
      <c r="LKB29" s="537"/>
      <c r="LKC29" s="537"/>
      <c r="LKD29" s="537"/>
      <c r="LKE29" s="537"/>
      <c r="LKF29" s="537"/>
      <c r="LKG29" s="537"/>
      <c r="LKH29" s="537"/>
      <c r="LKI29" s="537"/>
      <c r="LKJ29" s="537"/>
      <c r="LKK29" s="537"/>
      <c r="LKL29" s="537"/>
      <c r="LKM29" s="537"/>
      <c r="LKN29" s="537"/>
      <c r="LKO29" s="537"/>
      <c r="LKP29" s="537"/>
      <c r="LKQ29" s="537"/>
      <c r="LKR29" s="537"/>
      <c r="LKS29" s="537"/>
      <c r="LKT29" s="537"/>
      <c r="LKU29" s="537"/>
      <c r="LKV29" s="537"/>
      <c r="LKW29" s="537"/>
      <c r="LKX29" s="537"/>
      <c r="LKY29" s="537"/>
      <c r="LKZ29" s="537"/>
      <c r="LLA29" s="537"/>
      <c r="LLB29" s="537"/>
      <c r="LLC29" s="537"/>
      <c r="LLD29" s="537"/>
      <c r="LLE29" s="537"/>
      <c r="LLF29" s="537"/>
      <c r="LLG29" s="537"/>
      <c r="LLH29" s="537"/>
      <c r="LLI29" s="537"/>
      <c r="LLJ29" s="537"/>
      <c r="LLK29" s="537"/>
      <c r="LLL29" s="537"/>
      <c r="LLM29" s="537"/>
      <c r="LLN29" s="537"/>
      <c r="LLO29" s="537"/>
      <c r="LLP29" s="537"/>
      <c r="LLQ29" s="537"/>
      <c r="LLR29" s="537"/>
      <c r="LLS29" s="537"/>
      <c r="LLT29" s="537"/>
      <c r="LLU29" s="537"/>
      <c r="LLV29" s="537"/>
      <c r="LLW29" s="537"/>
      <c r="LLX29" s="537"/>
      <c r="LLY29" s="537"/>
      <c r="LLZ29" s="537"/>
      <c r="LMA29" s="537"/>
      <c r="LMB29" s="537"/>
      <c r="LMC29" s="537"/>
      <c r="LMD29" s="537"/>
      <c r="LME29" s="537"/>
      <c r="LMF29" s="537"/>
      <c r="LMG29" s="537"/>
      <c r="LMH29" s="537"/>
      <c r="LMI29" s="537"/>
      <c r="LMJ29" s="537"/>
      <c r="LMK29" s="537"/>
      <c r="LML29" s="537"/>
      <c r="LMM29" s="537"/>
      <c r="LMN29" s="537"/>
      <c r="LMO29" s="537"/>
      <c r="LMP29" s="537"/>
      <c r="LMQ29" s="537"/>
      <c r="LMR29" s="537"/>
      <c r="LMS29" s="537"/>
      <c r="LMT29" s="537"/>
      <c r="LMU29" s="537"/>
      <c r="LMV29" s="537"/>
      <c r="LMW29" s="537"/>
      <c r="LMX29" s="537"/>
      <c r="LMY29" s="537"/>
      <c r="LMZ29" s="537"/>
      <c r="LNA29" s="537"/>
      <c r="LNB29" s="537"/>
      <c r="LNC29" s="537"/>
      <c r="LND29" s="537"/>
      <c r="LNE29" s="537"/>
      <c r="LNF29" s="537"/>
      <c r="LNG29" s="537"/>
      <c r="LNH29" s="537"/>
      <c r="LNI29" s="537"/>
      <c r="LNJ29" s="537"/>
      <c r="LNK29" s="537"/>
      <c r="LNL29" s="537"/>
      <c r="LNM29" s="537"/>
      <c r="LNN29" s="537"/>
      <c r="LNO29" s="537"/>
      <c r="LNP29" s="537"/>
      <c r="LNQ29" s="537"/>
      <c r="LNR29" s="537"/>
      <c r="LNS29" s="537"/>
      <c r="LNT29" s="537"/>
      <c r="LNU29" s="537"/>
      <c r="LNV29" s="537"/>
      <c r="LNW29" s="537"/>
      <c r="LNX29" s="537"/>
      <c r="LNY29" s="537"/>
      <c r="LNZ29" s="537"/>
      <c r="LOA29" s="537"/>
      <c r="LOB29" s="537"/>
      <c r="LOC29" s="537"/>
      <c r="LOD29" s="537"/>
      <c r="LOE29" s="537"/>
      <c r="LOF29" s="537"/>
      <c r="LOG29" s="537"/>
      <c r="LOH29" s="537"/>
      <c r="LOI29" s="537"/>
      <c r="LOJ29" s="537"/>
      <c r="LOK29" s="537"/>
      <c r="LOL29" s="537"/>
      <c r="LOM29" s="537"/>
      <c r="LON29" s="537"/>
      <c r="LOO29" s="537"/>
      <c r="LOP29" s="537"/>
      <c r="LOQ29" s="537"/>
      <c r="LOR29" s="537"/>
      <c r="LOS29" s="537"/>
      <c r="LOT29" s="537"/>
      <c r="LOU29" s="537"/>
      <c r="LOV29" s="537"/>
      <c r="LOW29" s="537"/>
      <c r="LOX29" s="537"/>
      <c r="LOY29" s="537"/>
      <c r="LOZ29" s="537"/>
      <c r="LPA29" s="537"/>
      <c r="LPB29" s="537"/>
      <c r="LPC29" s="537"/>
      <c r="LPD29" s="537"/>
      <c r="LPE29" s="537"/>
      <c r="LPF29" s="537"/>
      <c r="LPG29" s="537"/>
      <c r="LPH29" s="537"/>
      <c r="LPI29" s="537"/>
      <c r="LPJ29" s="537"/>
      <c r="LPK29" s="537"/>
      <c r="LPL29" s="537"/>
      <c r="LPM29" s="537"/>
      <c r="LPN29" s="537"/>
      <c r="LPO29" s="537"/>
      <c r="LPP29" s="537"/>
      <c r="LPQ29" s="537"/>
      <c r="LPR29" s="537"/>
      <c r="LPS29" s="537"/>
      <c r="LPT29" s="537"/>
      <c r="LPU29" s="537"/>
      <c r="LPV29" s="537"/>
      <c r="LPW29" s="537"/>
      <c r="LPX29" s="537"/>
      <c r="LPY29" s="537"/>
      <c r="LPZ29" s="537"/>
      <c r="LQA29" s="537"/>
      <c r="LQB29" s="537"/>
      <c r="LQC29" s="537"/>
      <c r="LQD29" s="537"/>
      <c r="LQE29" s="537"/>
      <c r="LQF29" s="537"/>
      <c r="LQG29" s="537"/>
      <c r="LQH29" s="537"/>
      <c r="LQI29" s="537"/>
      <c r="LQJ29" s="537"/>
      <c r="LQK29" s="537"/>
      <c r="LQL29" s="537"/>
      <c r="LQM29" s="537"/>
      <c r="LQN29" s="537"/>
      <c r="LQO29" s="537"/>
      <c r="LQP29" s="537"/>
      <c r="LQQ29" s="537"/>
      <c r="LQR29" s="537"/>
      <c r="LQS29" s="537"/>
      <c r="LQT29" s="537"/>
      <c r="LQU29" s="537"/>
      <c r="LQV29" s="537"/>
      <c r="LQW29" s="537"/>
      <c r="LQX29" s="537"/>
      <c r="LQY29" s="537"/>
      <c r="LQZ29" s="537"/>
      <c r="LRA29" s="537"/>
      <c r="LRB29" s="537"/>
      <c r="LRC29" s="537"/>
      <c r="LRD29" s="537"/>
      <c r="LRE29" s="537"/>
      <c r="LRF29" s="537"/>
      <c r="LRG29" s="537"/>
      <c r="LRH29" s="537"/>
      <c r="LRI29" s="537"/>
      <c r="LRJ29" s="537"/>
      <c r="LRK29" s="537"/>
      <c r="LRL29" s="537"/>
      <c r="LRM29" s="537"/>
      <c r="LRN29" s="537"/>
      <c r="LRO29" s="537"/>
      <c r="LRP29" s="537"/>
      <c r="LRQ29" s="537"/>
      <c r="LRR29" s="537"/>
      <c r="LRS29" s="537"/>
      <c r="LRT29" s="537"/>
      <c r="LRU29" s="537"/>
      <c r="LRV29" s="537"/>
      <c r="LRW29" s="537"/>
      <c r="LRX29" s="537"/>
      <c r="LRY29" s="537"/>
      <c r="LRZ29" s="537"/>
      <c r="LSA29" s="537"/>
      <c r="LSB29" s="537"/>
      <c r="LSC29" s="537"/>
      <c r="LSD29" s="537"/>
      <c r="LSE29" s="537"/>
      <c r="LSF29" s="537"/>
      <c r="LSG29" s="537"/>
      <c r="LSH29" s="537"/>
      <c r="LSI29" s="537"/>
      <c r="LSJ29" s="537"/>
      <c r="LSK29" s="537"/>
      <c r="LSL29" s="537"/>
      <c r="LSM29" s="537"/>
      <c r="LSN29" s="537"/>
      <c r="LSO29" s="537"/>
      <c r="LSP29" s="537"/>
      <c r="LSQ29" s="537"/>
      <c r="LSR29" s="537"/>
      <c r="LSS29" s="537"/>
      <c r="LST29" s="537"/>
      <c r="LSU29" s="537"/>
      <c r="LSV29" s="537"/>
      <c r="LSW29" s="537"/>
      <c r="LSX29" s="537"/>
      <c r="LSY29" s="537"/>
      <c r="LSZ29" s="537"/>
      <c r="LTA29" s="537"/>
      <c r="LTB29" s="537"/>
      <c r="LTC29" s="537"/>
      <c r="LTD29" s="537"/>
      <c r="LTE29" s="537"/>
      <c r="LTF29" s="537"/>
      <c r="LTG29" s="537"/>
      <c r="LTH29" s="537"/>
      <c r="LTI29" s="537"/>
      <c r="LTJ29" s="537"/>
      <c r="LTK29" s="537"/>
      <c r="LTL29" s="537"/>
      <c r="LTM29" s="537"/>
      <c r="LTN29" s="537"/>
      <c r="LTO29" s="537"/>
      <c r="LTP29" s="537"/>
      <c r="LTQ29" s="537"/>
      <c r="LTR29" s="537"/>
      <c r="LTS29" s="537"/>
      <c r="LTT29" s="537"/>
      <c r="LTU29" s="537"/>
      <c r="LTV29" s="537"/>
      <c r="LTW29" s="537"/>
      <c r="LTX29" s="537"/>
      <c r="LTY29" s="537"/>
      <c r="LTZ29" s="537"/>
      <c r="LUA29" s="537"/>
      <c r="LUB29" s="537"/>
      <c r="LUC29" s="537"/>
      <c r="LUD29" s="537"/>
      <c r="LUE29" s="537"/>
      <c r="LUF29" s="537"/>
      <c r="LUG29" s="537"/>
      <c r="LUH29" s="537"/>
      <c r="LUI29" s="537"/>
      <c r="LUJ29" s="537"/>
      <c r="LUK29" s="537"/>
      <c r="LUL29" s="537"/>
      <c r="LUM29" s="537"/>
      <c r="LUN29" s="537"/>
      <c r="LUO29" s="537"/>
      <c r="LUP29" s="537"/>
      <c r="LUQ29" s="537"/>
      <c r="LUR29" s="537"/>
      <c r="LUS29" s="537"/>
      <c r="LUT29" s="537"/>
      <c r="LUU29" s="537"/>
      <c r="LUV29" s="537"/>
      <c r="LUW29" s="537"/>
      <c r="LUX29" s="537"/>
      <c r="LUY29" s="537"/>
      <c r="LUZ29" s="537"/>
      <c r="LVA29" s="537"/>
      <c r="LVB29" s="537"/>
      <c r="LVC29" s="537"/>
      <c r="LVD29" s="537"/>
      <c r="LVE29" s="537"/>
      <c r="LVF29" s="537"/>
      <c r="LVG29" s="537"/>
      <c r="LVH29" s="537"/>
      <c r="LVI29" s="537"/>
      <c r="LVJ29" s="537"/>
      <c r="LVK29" s="537"/>
      <c r="LVL29" s="537"/>
      <c r="LVM29" s="537"/>
      <c r="LVN29" s="537"/>
      <c r="LVO29" s="537"/>
      <c r="LVP29" s="537"/>
      <c r="LVQ29" s="537"/>
      <c r="LVR29" s="537"/>
      <c r="LVS29" s="537"/>
      <c r="LVT29" s="537"/>
      <c r="LVU29" s="537"/>
      <c r="LVV29" s="537"/>
      <c r="LVW29" s="537"/>
      <c r="LVX29" s="537"/>
      <c r="LVY29" s="537"/>
      <c r="LVZ29" s="537"/>
      <c r="LWA29" s="537"/>
      <c r="LWB29" s="537"/>
      <c r="LWC29" s="537"/>
      <c r="LWD29" s="537"/>
      <c r="LWE29" s="537"/>
      <c r="LWF29" s="537"/>
      <c r="LWG29" s="537"/>
      <c r="LWH29" s="537"/>
      <c r="LWI29" s="537"/>
      <c r="LWJ29" s="537"/>
      <c r="LWK29" s="537"/>
      <c r="LWL29" s="537"/>
      <c r="LWM29" s="537"/>
      <c r="LWN29" s="537"/>
      <c r="LWO29" s="537"/>
      <c r="LWP29" s="537"/>
      <c r="LWQ29" s="537"/>
      <c r="LWR29" s="537"/>
      <c r="LWS29" s="537"/>
      <c r="LWT29" s="537"/>
      <c r="LWU29" s="537"/>
      <c r="LWV29" s="537"/>
      <c r="LWW29" s="537"/>
      <c r="LWX29" s="537"/>
      <c r="LWY29" s="537"/>
      <c r="LWZ29" s="537"/>
      <c r="LXA29" s="537"/>
      <c r="LXB29" s="537"/>
      <c r="LXC29" s="537"/>
      <c r="LXD29" s="537"/>
      <c r="LXE29" s="537"/>
      <c r="LXF29" s="537"/>
      <c r="LXG29" s="537"/>
      <c r="LXH29" s="537"/>
      <c r="LXI29" s="537"/>
      <c r="LXJ29" s="537"/>
      <c r="LXK29" s="537"/>
      <c r="LXL29" s="537"/>
      <c r="LXM29" s="537"/>
      <c r="LXN29" s="537"/>
      <c r="LXO29" s="537"/>
      <c r="LXP29" s="537"/>
      <c r="LXQ29" s="537"/>
      <c r="LXR29" s="537"/>
      <c r="LXS29" s="537"/>
      <c r="LXT29" s="537"/>
      <c r="LXU29" s="537"/>
      <c r="LXV29" s="537"/>
      <c r="LXW29" s="537"/>
      <c r="LXX29" s="537"/>
      <c r="LXY29" s="537"/>
      <c r="LXZ29" s="537"/>
      <c r="LYA29" s="537"/>
      <c r="LYB29" s="537"/>
      <c r="LYC29" s="537"/>
      <c r="LYD29" s="537"/>
      <c r="LYE29" s="537"/>
      <c r="LYF29" s="537"/>
      <c r="LYG29" s="537"/>
      <c r="LYH29" s="537"/>
      <c r="LYI29" s="537"/>
      <c r="LYJ29" s="537"/>
      <c r="LYK29" s="537"/>
      <c r="LYL29" s="537"/>
      <c r="LYM29" s="537"/>
      <c r="LYN29" s="537"/>
      <c r="LYO29" s="537"/>
      <c r="LYP29" s="537"/>
      <c r="LYQ29" s="537"/>
      <c r="LYR29" s="537"/>
      <c r="LYS29" s="537"/>
      <c r="LYT29" s="537"/>
      <c r="LYU29" s="537"/>
      <c r="LYV29" s="537"/>
      <c r="LYW29" s="537"/>
      <c r="LYX29" s="537"/>
      <c r="LYY29" s="537"/>
      <c r="LYZ29" s="537"/>
      <c r="LZA29" s="537"/>
      <c r="LZB29" s="537"/>
      <c r="LZC29" s="537"/>
      <c r="LZD29" s="537"/>
      <c r="LZE29" s="537"/>
      <c r="LZF29" s="537"/>
      <c r="LZG29" s="537"/>
      <c r="LZH29" s="537"/>
      <c r="LZI29" s="537"/>
      <c r="LZJ29" s="537"/>
      <c r="LZK29" s="537"/>
      <c r="LZL29" s="537"/>
      <c r="LZM29" s="537"/>
      <c r="LZN29" s="537"/>
      <c r="LZO29" s="537"/>
      <c r="LZP29" s="537"/>
      <c r="LZQ29" s="537"/>
      <c r="LZR29" s="537"/>
      <c r="LZS29" s="537"/>
      <c r="LZT29" s="537"/>
      <c r="LZU29" s="537"/>
      <c r="LZV29" s="537"/>
      <c r="LZW29" s="537"/>
      <c r="LZX29" s="537"/>
      <c r="LZY29" s="537"/>
      <c r="LZZ29" s="537"/>
      <c r="MAA29" s="537"/>
      <c r="MAB29" s="537"/>
      <c r="MAC29" s="537"/>
      <c r="MAD29" s="537"/>
      <c r="MAE29" s="537"/>
      <c r="MAF29" s="537"/>
      <c r="MAG29" s="537"/>
      <c r="MAH29" s="537"/>
      <c r="MAI29" s="537"/>
      <c r="MAJ29" s="537"/>
      <c r="MAK29" s="537"/>
      <c r="MAL29" s="537"/>
      <c r="MAM29" s="537"/>
      <c r="MAN29" s="537"/>
      <c r="MAO29" s="537"/>
      <c r="MAP29" s="537"/>
      <c r="MAQ29" s="537"/>
      <c r="MAR29" s="537"/>
      <c r="MAS29" s="537"/>
      <c r="MAT29" s="537"/>
      <c r="MAU29" s="537"/>
      <c r="MAV29" s="537"/>
      <c r="MAW29" s="537"/>
      <c r="MAX29" s="537"/>
      <c r="MAY29" s="537"/>
      <c r="MAZ29" s="537"/>
      <c r="MBA29" s="537"/>
      <c r="MBB29" s="537"/>
      <c r="MBC29" s="537"/>
      <c r="MBD29" s="537"/>
      <c r="MBE29" s="537"/>
      <c r="MBF29" s="537"/>
      <c r="MBG29" s="537"/>
      <c r="MBH29" s="537"/>
      <c r="MBI29" s="537"/>
      <c r="MBJ29" s="537"/>
      <c r="MBK29" s="537"/>
      <c r="MBL29" s="537"/>
      <c r="MBM29" s="537"/>
      <c r="MBN29" s="537"/>
      <c r="MBO29" s="537"/>
      <c r="MBP29" s="537"/>
      <c r="MBQ29" s="537"/>
      <c r="MBR29" s="537"/>
      <c r="MBS29" s="537"/>
      <c r="MBT29" s="537"/>
      <c r="MBU29" s="537"/>
      <c r="MBV29" s="537"/>
      <c r="MBW29" s="537"/>
      <c r="MBX29" s="537"/>
      <c r="MBY29" s="537"/>
      <c r="MBZ29" s="537"/>
      <c r="MCA29" s="537"/>
      <c r="MCB29" s="537"/>
      <c r="MCC29" s="537"/>
      <c r="MCD29" s="537"/>
      <c r="MCE29" s="537"/>
      <c r="MCF29" s="537"/>
      <c r="MCG29" s="537"/>
      <c r="MCH29" s="537"/>
      <c r="MCI29" s="537"/>
      <c r="MCJ29" s="537"/>
      <c r="MCK29" s="537"/>
      <c r="MCL29" s="537"/>
      <c r="MCM29" s="537"/>
      <c r="MCN29" s="537"/>
      <c r="MCO29" s="537"/>
      <c r="MCP29" s="537"/>
      <c r="MCQ29" s="537"/>
      <c r="MCR29" s="537"/>
      <c r="MCS29" s="537"/>
      <c r="MCT29" s="537"/>
      <c r="MCU29" s="537"/>
      <c r="MCV29" s="537"/>
      <c r="MCW29" s="537"/>
      <c r="MCX29" s="537"/>
      <c r="MCY29" s="537"/>
      <c r="MCZ29" s="537"/>
      <c r="MDA29" s="537"/>
      <c r="MDB29" s="537"/>
      <c r="MDC29" s="537"/>
      <c r="MDD29" s="537"/>
      <c r="MDE29" s="537"/>
      <c r="MDF29" s="537"/>
      <c r="MDG29" s="537"/>
      <c r="MDH29" s="537"/>
      <c r="MDI29" s="537"/>
      <c r="MDJ29" s="537"/>
      <c r="MDK29" s="537"/>
      <c r="MDL29" s="537"/>
      <c r="MDM29" s="537"/>
      <c r="MDN29" s="537"/>
      <c r="MDO29" s="537"/>
      <c r="MDP29" s="537"/>
      <c r="MDQ29" s="537"/>
      <c r="MDR29" s="537"/>
      <c r="MDS29" s="537"/>
      <c r="MDT29" s="537"/>
      <c r="MDU29" s="537"/>
      <c r="MDV29" s="537"/>
      <c r="MDW29" s="537"/>
      <c r="MDX29" s="537"/>
      <c r="MDY29" s="537"/>
      <c r="MDZ29" s="537"/>
      <c r="MEA29" s="537"/>
      <c r="MEB29" s="537"/>
      <c r="MEC29" s="537"/>
      <c r="MED29" s="537"/>
      <c r="MEE29" s="537"/>
      <c r="MEF29" s="537"/>
      <c r="MEG29" s="537"/>
      <c r="MEH29" s="537"/>
      <c r="MEI29" s="537"/>
      <c r="MEJ29" s="537"/>
      <c r="MEK29" s="537"/>
      <c r="MEL29" s="537"/>
      <c r="MEM29" s="537"/>
      <c r="MEN29" s="537"/>
      <c r="MEO29" s="537"/>
      <c r="MEP29" s="537"/>
      <c r="MEQ29" s="537"/>
      <c r="MER29" s="537"/>
      <c r="MES29" s="537"/>
      <c r="MET29" s="537"/>
      <c r="MEU29" s="537"/>
      <c r="MEV29" s="537"/>
      <c r="MEW29" s="537"/>
      <c r="MEX29" s="537"/>
      <c r="MEY29" s="537"/>
      <c r="MEZ29" s="537"/>
      <c r="MFA29" s="537"/>
      <c r="MFB29" s="537"/>
      <c r="MFC29" s="537"/>
      <c r="MFD29" s="537"/>
      <c r="MFE29" s="537"/>
      <c r="MFF29" s="537"/>
      <c r="MFG29" s="537"/>
      <c r="MFH29" s="537"/>
      <c r="MFI29" s="537"/>
      <c r="MFJ29" s="537"/>
      <c r="MFK29" s="537"/>
      <c r="MFL29" s="537"/>
      <c r="MFM29" s="537"/>
      <c r="MFN29" s="537"/>
      <c r="MFO29" s="537"/>
      <c r="MFP29" s="537"/>
      <c r="MFQ29" s="537"/>
      <c r="MFR29" s="537"/>
      <c r="MFS29" s="537"/>
      <c r="MFT29" s="537"/>
      <c r="MFU29" s="537"/>
      <c r="MFV29" s="537"/>
      <c r="MFW29" s="537"/>
      <c r="MFX29" s="537"/>
      <c r="MFY29" s="537"/>
      <c r="MFZ29" s="537"/>
      <c r="MGA29" s="537"/>
      <c r="MGB29" s="537"/>
      <c r="MGC29" s="537"/>
      <c r="MGD29" s="537"/>
      <c r="MGE29" s="537"/>
      <c r="MGF29" s="537"/>
      <c r="MGG29" s="537"/>
      <c r="MGH29" s="537"/>
      <c r="MGI29" s="537"/>
      <c r="MGJ29" s="537"/>
      <c r="MGK29" s="537"/>
      <c r="MGL29" s="537"/>
      <c r="MGM29" s="537"/>
      <c r="MGN29" s="537"/>
      <c r="MGO29" s="537"/>
      <c r="MGP29" s="537"/>
      <c r="MGQ29" s="537"/>
      <c r="MGR29" s="537"/>
      <c r="MGS29" s="537"/>
      <c r="MGT29" s="537"/>
      <c r="MGU29" s="537"/>
      <c r="MGV29" s="537"/>
      <c r="MGW29" s="537"/>
      <c r="MGX29" s="537"/>
      <c r="MGY29" s="537"/>
      <c r="MGZ29" s="537"/>
      <c r="MHA29" s="537"/>
      <c r="MHB29" s="537"/>
      <c r="MHC29" s="537"/>
      <c r="MHD29" s="537"/>
      <c r="MHE29" s="537"/>
      <c r="MHF29" s="537"/>
      <c r="MHG29" s="537"/>
      <c r="MHH29" s="537"/>
      <c r="MHI29" s="537"/>
      <c r="MHJ29" s="537"/>
      <c r="MHK29" s="537"/>
      <c r="MHL29" s="537"/>
      <c r="MHM29" s="537"/>
      <c r="MHN29" s="537"/>
      <c r="MHO29" s="537"/>
      <c r="MHP29" s="537"/>
      <c r="MHQ29" s="537"/>
      <c r="MHR29" s="537"/>
      <c r="MHS29" s="537"/>
      <c r="MHT29" s="537"/>
      <c r="MHU29" s="537"/>
      <c r="MHV29" s="537"/>
      <c r="MHW29" s="537"/>
      <c r="MHX29" s="537"/>
      <c r="MHY29" s="537"/>
      <c r="MHZ29" s="537"/>
      <c r="MIA29" s="537"/>
      <c r="MIB29" s="537"/>
      <c r="MIC29" s="537"/>
      <c r="MID29" s="537"/>
      <c r="MIE29" s="537"/>
      <c r="MIF29" s="537"/>
      <c r="MIG29" s="537"/>
      <c r="MIH29" s="537"/>
      <c r="MII29" s="537"/>
      <c r="MIJ29" s="537"/>
      <c r="MIK29" s="537"/>
      <c r="MIL29" s="537"/>
      <c r="MIM29" s="537"/>
      <c r="MIN29" s="537"/>
      <c r="MIO29" s="537"/>
      <c r="MIP29" s="537"/>
      <c r="MIQ29" s="537"/>
      <c r="MIR29" s="537"/>
      <c r="MIS29" s="537"/>
      <c r="MIT29" s="537"/>
      <c r="MIU29" s="537"/>
      <c r="MIV29" s="537"/>
      <c r="MIW29" s="537"/>
      <c r="MIX29" s="537"/>
      <c r="MIY29" s="537"/>
      <c r="MIZ29" s="537"/>
      <c r="MJA29" s="537"/>
      <c r="MJB29" s="537"/>
      <c r="MJC29" s="537"/>
      <c r="MJD29" s="537"/>
      <c r="MJE29" s="537"/>
      <c r="MJF29" s="537"/>
      <c r="MJG29" s="537"/>
      <c r="MJH29" s="537"/>
      <c r="MJI29" s="537"/>
      <c r="MJJ29" s="537"/>
      <c r="MJK29" s="537"/>
      <c r="MJL29" s="537"/>
      <c r="MJM29" s="537"/>
      <c r="MJN29" s="537"/>
      <c r="MJO29" s="537"/>
      <c r="MJP29" s="537"/>
      <c r="MJQ29" s="537"/>
      <c r="MJR29" s="537"/>
      <c r="MJS29" s="537"/>
      <c r="MJT29" s="537"/>
      <c r="MJU29" s="537"/>
      <c r="MJV29" s="537"/>
      <c r="MJW29" s="537"/>
      <c r="MJX29" s="537"/>
      <c r="MJY29" s="537"/>
      <c r="MJZ29" s="537"/>
      <c r="MKA29" s="537"/>
      <c r="MKB29" s="537"/>
      <c r="MKC29" s="537"/>
      <c r="MKD29" s="537"/>
      <c r="MKE29" s="537"/>
      <c r="MKF29" s="537"/>
      <c r="MKG29" s="537"/>
      <c r="MKH29" s="537"/>
      <c r="MKI29" s="537"/>
      <c r="MKJ29" s="537"/>
      <c r="MKK29" s="537"/>
      <c r="MKL29" s="537"/>
      <c r="MKM29" s="537"/>
      <c r="MKN29" s="537"/>
      <c r="MKO29" s="537"/>
      <c r="MKP29" s="537"/>
      <c r="MKQ29" s="537"/>
      <c r="MKR29" s="537"/>
      <c r="MKS29" s="537"/>
      <c r="MKT29" s="537"/>
      <c r="MKU29" s="537"/>
      <c r="MKV29" s="537"/>
      <c r="MKW29" s="537"/>
      <c r="MKX29" s="537"/>
      <c r="MKY29" s="537"/>
      <c r="MKZ29" s="537"/>
      <c r="MLA29" s="537"/>
      <c r="MLB29" s="537"/>
      <c r="MLC29" s="537"/>
      <c r="MLD29" s="537"/>
      <c r="MLE29" s="537"/>
      <c r="MLF29" s="537"/>
      <c r="MLG29" s="537"/>
      <c r="MLH29" s="537"/>
      <c r="MLI29" s="537"/>
      <c r="MLJ29" s="537"/>
      <c r="MLK29" s="537"/>
      <c r="MLL29" s="537"/>
      <c r="MLM29" s="537"/>
      <c r="MLN29" s="537"/>
      <c r="MLO29" s="537"/>
      <c r="MLP29" s="537"/>
      <c r="MLQ29" s="537"/>
      <c r="MLR29" s="537"/>
      <c r="MLS29" s="537"/>
      <c r="MLT29" s="537"/>
      <c r="MLU29" s="537"/>
      <c r="MLV29" s="537"/>
      <c r="MLW29" s="537"/>
      <c r="MLX29" s="537"/>
      <c r="MLY29" s="537"/>
      <c r="MLZ29" s="537"/>
      <c r="MMA29" s="537"/>
      <c r="MMB29" s="537"/>
      <c r="MMC29" s="537"/>
      <c r="MMD29" s="537"/>
      <c r="MME29" s="537"/>
      <c r="MMF29" s="537"/>
      <c r="MMG29" s="537"/>
      <c r="MMH29" s="537"/>
      <c r="MMI29" s="537"/>
      <c r="MMJ29" s="537"/>
      <c r="MMK29" s="537"/>
      <c r="MML29" s="537"/>
      <c r="MMM29" s="537"/>
      <c r="MMN29" s="537"/>
      <c r="MMO29" s="537"/>
      <c r="MMP29" s="537"/>
      <c r="MMQ29" s="537"/>
      <c r="MMR29" s="537"/>
      <c r="MMS29" s="537"/>
      <c r="MMT29" s="537"/>
      <c r="MMU29" s="537"/>
      <c r="MMV29" s="537"/>
      <c r="MMW29" s="537"/>
      <c r="MMX29" s="537"/>
      <c r="MMY29" s="537"/>
      <c r="MMZ29" s="537"/>
      <c r="MNA29" s="537"/>
      <c r="MNB29" s="537"/>
      <c r="MNC29" s="537"/>
      <c r="MND29" s="537"/>
      <c r="MNE29" s="537"/>
      <c r="MNF29" s="537"/>
      <c r="MNG29" s="537"/>
      <c r="MNH29" s="537"/>
      <c r="MNI29" s="537"/>
      <c r="MNJ29" s="537"/>
      <c r="MNK29" s="537"/>
      <c r="MNL29" s="537"/>
      <c r="MNM29" s="537"/>
      <c r="MNN29" s="537"/>
      <c r="MNO29" s="537"/>
      <c r="MNP29" s="537"/>
      <c r="MNQ29" s="537"/>
      <c r="MNR29" s="537"/>
      <c r="MNS29" s="537"/>
      <c r="MNT29" s="537"/>
      <c r="MNU29" s="537"/>
      <c r="MNV29" s="537"/>
      <c r="MNW29" s="537"/>
      <c r="MNX29" s="537"/>
      <c r="MNY29" s="537"/>
      <c r="MNZ29" s="537"/>
      <c r="MOA29" s="537"/>
      <c r="MOB29" s="537"/>
      <c r="MOC29" s="537"/>
      <c r="MOD29" s="537"/>
      <c r="MOE29" s="537"/>
      <c r="MOF29" s="537"/>
      <c r="MOG29" s="537"/>
      <c r="MOH29" s="537"/>
      <c r="MOI29" s="537"/>
      <c r="MOJ29" s="537"/>
      <c r="MOK29" s="537"/>
      <c r="MOL29" s="537"/>
      <c r="MOM29" s="537"/>
      <c r="MON29" s="537"/>
      <c r="MOO29" s="537"/>
      <c r="MOP29" s="537"/>
      <c r="MOQ29" s="537"/>
      <c r="MOR29" s="537"/>
      <c r="MOS29" s="537"/>
      <c r="MOT29" s="537"/>
      <c r="MOU29" s="537"/>
      <c r="MOV29" s="537"/>
      <c r="MOW29" s="537"/>
      <c r="MOX29" s="537"/>
      <c r="MOY29" s="537"/>
      <c r="MOZ29" s="537"/>
      <c r="MPA29" s="537"/>
      <c r="MPB29" s="537"/>
      <c r="MPC29" s="537"/>
      <c r="MPD29" s="537"/>
      <c r="MPE29" s="537"/>
      <c r="MPF29" s="537"/>
      <c r="MPG29" s="537"/>
      <c r="MPH29" s="537"/>
      <c r="MPI29" s="537"/>
      <c r="MPJ29" s="537"/>
      <c r="MPK29" s="537"/>
      <c r="MPL29" s="537"/>
      <c r="MPM29" s="537"/>
      <c r="MPN29" s="537"/>
      <c r="MPO29" s="537"/>
      <c r="MPP29" s="537"/>
      <c r="MPQ29" s="537"/>
      <c r="MPR29" s="537"/>
      <c r="MPS29" s="537"/>
      <c r="MPT29" s="537"/>
      <c r="MPU29" s="537"/>
      <c r="MPV29" s="537"/>
      <c r="MPW29" s="537"/>
      <c r="MPX29" s="537"/>
      <c r="MPY29" s="537"/>
      <c r="MPZ29" s="537"/>
      <c r="MQA29" s="537"/>
      <c r="MQB29" s="537"/>
      <c r="MQC29" s="537"/>
      <c r="MQD29" s="537"/>
      <c r="MQE29" s="537"/>
      <c r="MQF29" s="537"/>
      <c r="MQG29" s="537"/>
      <c r="MQH29" s="537"/>
      <c r="MQI29" s="537"/>
      <c r="MQJ29" s="537"/>
      <c r="MQK29" s="537"/>
      <c r="MQL29" s="537"/>
      <c r="MQM29" s="537"/>
      <c r="MQN29" s="537"/>
      <c r="MQO29" s="537"/>
      <c r="MQP29" s="537"/>
      <c r="MQQ29" s="537"/>
      <c r="MQR29" s="537"/>
      <c r="MQS29" s="537"/>
      <c r="MQT29" s="537"/>
      <c r="MQU29" s="537"/>
      <c r="MQV29" s="537"/>
      <c r="MQW29" s="537"/>
      <c r="MQX29" s="537"/>
      <c r="MQY29" s="537"/>
      <c r="MQZ29" s="537"/>
      <c r="MRA29" s="537"/>
      <c r="MRB29" s="537"/>
      <c r="MRC29" s="537"/>
      <c r="MRD29" s="537"/>
      <c r="MRE29" s="537"/>
      <c r="MRF29" s="537"/>
      <c r="MRG29" s="537"/>
      <c r="MRH29" s="537"/>
      <c r="MRI29" s="537"/>
      <c r="MRJ29" s="537"/>
      <c r="MRK29" s="537"/>
      <c r="MRL29" s="537"/>
      <c r="MRM29" s="537"/>
      <c r="MRN29" s="537"/>
      <c r="MRO29" s="537"/>
      <c r="MRP29" s="537"/>
      <c r="MRQ29" s="537"/>
      <c r="MRR29" s="537"/>
      <c r="MRS29" s="537"/>
      <c r="MRT29" s="537"/>
      <c r="MRU29" s="537"/>
      <c r="MRV29" s="537"/>
      <c r="MRW29" s="537"/>
      <c r="MRX29" s="537"/>
      <c r="MRY29" s="537"/>
      <c r="MRZ29" s="537"/>
      <c r="MSA29" s="537"/>
      <c r="MSB29" s="537"/>
      <c r="MSC29" s="537"/>
      <c r="MSD29" s="537"/>
      <c r="MSE29" s="537"/>
      <c r="MSF29" s="537"/>
      <c r="MSG29" s="537"/>
      <c r="MSH29" s="537"/>
      <c r="MSI29" s="537"/>
      <c r="MSJ29" s="537"/>
      <c r="MSK29" s="537"/>
      <c r="MSL29" s="537"/>
      <c r="MSM29" s="537"/>
      <c r="MSN29" s="537"/>
      <c r="MSO29" s="537"/>
      <c r="MSP29" s="537"/>
      <c r="MSQ29" s="537"/>
      <c r="MSR29" s="537"/>
      <c r="MSS29" s="537"/>
      <c r="MST29" s="537"/>
      <c r="MSU29" s="537"/>
      <c r="MSV29" s="537"/>
      <c r="MSW29" s="537"/>
      <c r="MSX29" s="537"/>
      <c r="MSY29" s="537"/>
      <c r="MSZ29" s="537"/>
      <c r="MTA29" s="537"/>
      <c r="MTB29" s="537"/>
      <c r="MTC29" s="537"/>
      <c r="MTD29" s="537"/>
      <c r="MTE29" s="537"/>
      <c r="MTF29" s="537"/>
      <c r="MTG29" s="537"/>
      <c r="MTH29" s="537"/>
      <c r="MTI29" s="537"/>
      <c r="MTJ29" s="537"/>
      <c r="MTK29" s="537"/>
      <c r="MTL29" s="537"/>
      <c r="MTM29" s="537"/>
      <c r="MTN29" s="537"/>
      <c r="MTO29" s="537"/>
      <c r="MTP29" s="537"/>
      <c r="MTQ29" s="537"/>
      <c r="MTR29" s="537"/>
      <c r="MTS29" s="537"/>
      <c r="MTT29" s="537"/>
      <c r="MTU29" s="537"/>
      <c r="MTV29" s="537"/>
      <c r="MTW29" s="537"/>
      <c r="MTX29" s="537"/>
      <c r="MTY29" s="537"/>
      <c r="MTZ29" s="537"/>
      <c r="MUA29" s="537"/>
      <c r="MUB29" s="537"/>
      <c r="MUC29" s="537"/>
      <c r="MUD29" s="537"/>
      <c r="MUE29" s="537"/>
      <c r="MUF29" s="537"/>
      <c r="MUG29" s="537"/>
      <c r="MUH29" s="537"/>
      <c r="MUI29" s="537"/>
      <c r="MUJ29" s="537"/>
      <c r="MUK29" s="537"/>
      <c r="MUL29" s="537"/>
      <c r="MUM29" s="537"/>
      <c r="MUN29" s="537"/>
      <c r="MUO29" s="537"/>
      <c r="MUP29" s="537"/>
      <c r="MUQ29" s="537"/>
      <c r="MUR29" s="537"/>
      <c r="MUS29" s="537"/>
      <c r="MUT29" s="537"/>
      <c r="MUU29" s="537"/>
      <c r="MUV29" s="537"/>
      <c r="MUW29" s="537"/>
      <c r="MUX29" s="537"/>
      <c r="MUY29" s="537"/>
      <c r="MUZ29" s="537"/>
      <c r="MVA29" s="537"/>
      <c r="MVB29" s="537"/>
      <c r="MVC29" s="537"/>
      <c r="MVD29" s="537"/>
      <c r="MVE29" s="537"/>
      <c r="MVF29" s="537"/>
      <c r="MVG29" s="537"/>
      <c r="MVH29" s="537"/>
      <c r="MVI29" s="537"/>
      <c r="MVJ29" s="537"/>
      <c r="MVK29" s="537"/>
      <c r="MVL29" s="537"/>
      <c r="MVM29" s="537"/>
      <c r="MVN29" s="537"/>
      <c r="MVO29" s="537"/>
      <c r="MVP29" s="537"/>
      <c r="MVQ29" s="537"/>
      <c r="MVR29" s="537"/>
      <c r="MVS29" s="537"/>
      <c r="MVT29" s="537"/>
      <c r="MVU29" s="537"/>
      <c r="MVV29" s="537"/>
      <c r="MVW29" s="537"/>
      <c r="MVX29" s="537"/>
      <c r="MVY29" s="537"/>
      <c r="MVZ29" s="537"/>
      <c r="MWA29" s="537"/>
      <c r="MWB29" s="537"/>
      <c r="MWC29" s="537"/>
      <c r="MWD29" s="537"/>
      <c r="MWE29" s="537"/>
      <c r="MWF29" s="537"/>
      <c r="MWG29" s="537"/>
      <c r="MWH29" s="537"/>
      <c r="MWI29" s="537"/>
      <c r="MWJ29" s="537"/>
      <c r="MWK29" s="537"/>
      <c r="MWL29" s="537"/>
      <c r="MWM29" s="537"/>
      <c r="MWN29" s="537"/>
      <c r="MWO29" s="537"/>
      <c r="MWP29" s="537"/>
      <c r="MWQ29" s="537"/>
      <c r="MWR29" s="537"/>
      <c r="MWS29" s="537"/>
      <c r="MWT29" s="537"/>
      <c r="MWU29" s="537"/>
      <c r="MWV29" s="537"/>
      <c r="MWW29" s="537"/>
      <c r="MWX29" s="537"/>
      <c r="MWY29" s="537"/>
      <c r="MWZ29" s="537"/>
      <c r="MXA29" s="537"/>
      <c r="MXB29" s="537"/>
      <c r="MXC29" s="537"/>
      <c r="MXD29" s="537"/>
      <c r="MXE29" s="537"/>
      <c r="MXF29" s="537"/>
      <c r="MXG29" s="537"/>
      <c r="MXH29" s="537"/>
      <c r="MXI29" s="537"/>
      <c r="MXJ29" s="537"/>
      <c r="MXK29" s="537"/>
      <c r="MXL29" s="537"/>
      <c r="MXM29" s="537"/>
      <c r="MXN29" s="537"/>
      <c r="MXO29" s="537"/>
      <c r="MXP29" s="537"/>
      <c r="MXQ29" s="537"/>
      <c r="MXR29" s="537"/>
      <c r="MXS29" s="537"/>
      <c r="MXT29" s="537"/>
      <c r="MXU29" s="537"/>
      <c r="MXV29" s="537"/>
      <c r="MXW29" s="537"/>
      <c r="MXX29" s="537"/>
      <c r="MXY29" s="537"/>
      <c r="MXZ29" s="537"/>
      <c r="MYA29" s="537"/>
      <c r="MYB29" s="537"/>
      <c r="MYC29" s="537"/>
      <c r="MYD29" s="537"/>
      <c r="MYE29" s="537"/>
      <c r="MYF29" s="537"/>
      <c r="MYG29" s="537"/>
      <c r="MYH29" s="537"/>
      <c r="MYI29" s="537"/>
      <c r="MYJ29" s="537"/>
      <c r="MYK29" s="537"/>
      <c r="MYL29" s="537"/>
      <c r="MYM29" s="537"/>
      <c r="MYN29" s="537"/>
      <c r="MYO29" s="537"/>
      <c r="MYP29" s="537"/>
      <c r="MYQ29" s="537"/>
      <c r="MYR29" s="537"/>
      <c r="MYS29" s="537"/>
      <c r="MYT29" s="537"/>
      <c r="MYU29" s="537"/>
      <c r="MYV29" s="537"/>
      <c r="MYW29" s="537"/>
      <c r="MYX29" s="537"/>
      <c r="MYY29" s="537"/>
      <c r="MYZ29" s="537"/>
      <c r="MZA29" s="537"/>
      <c r="MZB29" s="537"/>
      <c r="MZC29" s="537"/>
      <c r="MZD29" s="537"/>
      <c r="MZE29" s="537"/>
      <c r="MZF29" s="537"/>
      <c r="MZG29" s="537"/>
      <c r="MZH29" s="537"/>
      <c r="MZI29" s="537"/>
      <c r="MZJ29" s="537"/>
      <c r="MZK29" s="537"/>
      <c r="MZL29" s="537"/>
      <c r="MZM29" s="537"/>
      <c r="MZN29" s="537"/>
      <c r="MZO29" s="537"/>
      <c r="MZP29" s="537"/>
      <c r="MZQ29" s="537"/>
      <c r="MZR29" s="537"/>
      <c r="MZS29" s="537"/>
      <c r="MZT29" s="537"/>
      <c r="MZU29" s="537"/>
      <c r="MZV29" s="537"/>
      <c r="MZW29" s="537"/>
      <c r="MZX29" s="537"/>
      <c r="MZY29" s="537"/>
      <c r="MZZ29" s="537"/>
      <c r="NAA29" s="537"/>
      <c r="NAB29" s="537"/>
      <c r="NAC29" s="537"/>
      <c r="NAD29" s="537"/>
      <c r="NAE29" s="537"/>
      <c r="NAF29" s="537"/>
      <c r="NAG29" s="537"/>
      <c r="NAH29" s="537"/>
      <c r="NAI29" s="537"/>
      <c r="NAJ29" s="537"/>
      <c r="NAK29" s="537"/>
      <c r="NAL29" s="537"/>
      <c r="NAM29" s="537"/>
      <c r="NAN29" s="537"/>
      <c r="NAO29" s="537"/>
      <c r="NAP29" s="537"/>
      <c r="NAQ29" s="537"/>
      <c r="NAR29" s="537"/>
      <c r="NAS29" s="537"/>
      <c r="NAT29" s="537"/>
      <c r="NAU29" s="537"/>
      <c r="NAV29" s="537"/>
      <c r="NAW29" s="537"/>
      <c r="NAX29" s="537"/>
      <c r="NAY29" s="537"/>
      <c r="NAZ29" s="537"/>
      <c r="NBA29" s="537"/>
      <c r="NBB29" s="537"/>
      <c r="NBC29" s="537"/>
      <c r="NBD29" s="537"/>
      <c r="NBE29" s="537"/>
      <c r="NBF29" s="537"/>
      <c r="NBG29" s="537"/>
      <c r="NBH29" s="537"/>
      <c r="NBI29" s="537"/>
      <c r="NBJ29" s="537"/>
      <c r="NBK29" s="537"/>
      <c r="NBL29" s="537"/>
      <c r="NBM29" s="537"/>
      <c r="NBN29" s="537"/>
      <c r="NBO29" s="537"/>
      <c r="NBP29" s="537"/>
      <c r="NBQ29" s="537"/>
      <c r="NBR29" s="537"/>
      <c r="NBS29" s="537"/>
      <c r="NBT29" s="537"/>
      <c r="NBU29" s="537"/>
      <c r="NBV29" s="537"/>
      <c r="NBW29" s="537"/>
      <c r="NBX29" s="537"/>
      <c r="NBY29" s="537"/>
      <c r="NBZ29" s="537"/>
      <c r="NCA29" s="537"/>
      <c r="NCB29" s="537"/>
      <c r="NCC29" s="537"/>
      <c r="NCD29" s="537"/>
      <c r="NCE29" s="537"/>
      <c r="NCF29" s="537"/>
      <c r="NCG29" s="537"/>
      <c r="NCH29" s="537"/>
      <c r="NCI29" s="537"/>
      <c r="NCJ29" s="537"/>
      <c r="NCK29" s="537"/>
      <c r="NCL29" s="537"/>
      <c r="NCM29" s="537"/>
      <c r="NCN29" s="537"/>
      <c r="NCO29" s="537"/>
      <c r="NCP29" s="537"/>
      <c r="NCQ29" s="537"/>
      <c r="NCR29" s="537"/>
      <c r="NCS29" s="537"/>
      <c r="NCT29" s="537"/>
      <c r="NCU29" s="537"/>
      <c r="NCV29" s="537"/>
      <c r="NCW29" s="537"/>
      <c r="NCX29" s="537"/>
      <c r="NCY29" s="537"/>
      <c r="NCZ29" s="537"/>
      <c r="NDA29" s="537"/>
      <c r="NDB29" s="537"/>
      <c r="NDC29" s="537"/>
      <c r="NDD29" s="537"/>
      <c r="NDE29" s="537"/>
      <c r="NDF29" s="537"/>
      <c r="NDG29" s="537"/>
      <c r="NDH29" s="537"/>
      <c r="NDI29" s="537"/>
      <c r="NDJ29" s="537"/>
      <c r="NDK29" s="537"/>
      <c r="NDL29" s="537"/>
      <c r="NDM29" s="537"/>
      <c r="NDN29" s="537"/>
      <c r="NDO29" s="537"/>
      <c r="NDP29" s="537"/>
      <c r="NDQ29" s="537"/>
      <c r="NDR29" s="537"/>
      <c r="NDS29" s="537"/>
      <c r="NDT29" s="537"/>
      <c r="NDU29" s="537"/>
      <c r="NDV29" s="537"/>
      <c r="NDW29" s="537"/>
      <c r="NDX29" s="537"/>
      <c r="NDY29" s="537"/>
      <c r="NDZ29" s="537"/>
      <c r="NEA29" s="537"/>
      <c r="NEB29" s="537"/>
      <c r="NEC29" s="537"/>
      <c r="NED29" s="537"/>
      <c r="NEE29" s="537"/>
      <c r="NEF29" s="537"/>
      <c r="NEG29" s="537"/>
      <c r="NEH29" s="537"/>
      <c r="NEI29" s="537"/>
      <c r="NEJ29" s="537"/>
      <c r="NEK29" s="537"/>
      <c r="NEL29" s="537"/>
      <c r="NEM29" s="537"/>
      <c r="NEN29" s="537"/>
      <c r="NEO29" s="537"/>
      <c r="NEP29" s="537"/>
      <c r="NEQ29" s="537"/>
      <c r="NER29" s="537"/>
      <c r="NES29" s="537"/>
      <c r="NET29" s="537"/>
      <c r="NEU29" s="537"/>
      <c r="NEV29" s="537"/>
      <c r="NEW29" s="537"/>
      <c r="NEX29" s="537"/>
      <c r="NEY29" s="537"/>
      <c r="NEZ29" s="537"/>
      <c r="NFA29" s="537"/>
      <c r="NFB29" s="537"/>
      <c r="NFC29" s="537"/>
      <c r="NFD29" s="537"/>
      <c r="NFE29" s="537"/>
      <c r="NFF29" s="537"/>
      <c r="NFG29" s="537"/>
      <c r="NFH29" s="537"/>
      <c r="NFI29" s="537"/>
      <c r="NFJ29" s="537"/>
      <c r="NFK29" s="537"/>
      <c r="NFL29" s="537"/>
      <c r="NFM29" s="537"/>
      <c r="NFN29" s="537"/>
      <c r="NFO29" s="537"/>
      <c r="NFP29" s="537"/>
      <c r="NFQ29" s="537"/>
      <c r="NFR29" s="537"/>
      <c r="NFS29" s="537"/>
      <c r="NFT29" s="537"/>
      <c r="NFU29" s="537"/>
      <c r="NFV29" s="537"/>
      <c r="NFW29" s="537"/>
      <c r="NFX29" s="537"/>
      <c r="NFY29" s="537"/>
      <c r="NFZ29" s="537"/>
      <c r="NGA29" s="537"/>
      <c r="NGB29" s="537"/>
      <c r="NGC29" s="537"/>
      <c r="NGD29" s="537"/>
      <c r="NGE29" s="537"/>
      <c r="NGF29" s="537"/>
      <c r="NGG29" s="537"/>
      <c r="NGH29" s="537"/>
      <c r="NGI29" s="537"/>
      <c r="NGJ29" s="537"/>
      <c r="NGK29" s="537"/>
      <c r="NGL29" s="537"/>
      <c r="NGM29" s="537"/>
      <c r="NGN29" s="537"/>
      <c r="NGO29" s="537"/>
      <c r="NGP29" s="537"/>
      <c r="NGQ29" s="537"/>
      <c r="NGR29" s="537"/>
      <c r="NGS29" s="537"/>
      <c r="NGT29" s="537"/>
      <c r="NGU29" s="537"/>
      <c r="NGV29" s="537"/>
      <c r="NGW29" s="537"/>
      <c r="NGX29" s="537"/>
      <c r="NGY29" s="537"/>
      <c r="NGZ29" s="537"/>
      <c r="NHA29" s="537"/>
      <c r="NHB29" s="537"/>
      <c r="NHC29" s="537"/>
      <c r="NHD29" s="537"/>
      <c r="NHE29" s="537"/>
      <c r="NHF29" s="537"/>
      <c r="NHG29" s="537"/>
      <c r="NHH29" s="537"/>
      <c r="NHI29" s="537"/>
      <c r="NHJ29" s="537"/>
      <c r="NHK29" s="537"/>
      <c r="NHL29" s="537"/>
      <c r="NHM29" s="537"/>
      <c r="NHN29" s="537"/>
      <c r="NHO29" s="537"/>
      <c r="NHP29" s="537"/>
      <c r="NHQ29" s="537"/>
      <c r="NHR29" s="537"/>
      <c r="NHS29" s="537"/>
      <c r="NHT29" s="537"/>
      <c r="NHU29" s="537"/>
      <c r="NHV29" s="537"/>
      <c r="NHW29" s="537"/>
      <c r="NHX29" s="537"/>
      <c r="NHY29" s="537"/>
      <c r="NHZ29" s="537"/>
      <c r="NIA29" s="537"/>
      <c r="NIB29" s="537"/>
      <c r="NIC29" s="537"/>
      <c r="NID29" s="537"/>
      <c r="NIE29" s="537"/>
      <c r="NIF29" s="537"/>
      <c r="NIG29" s="537"/>
      <c r="NIH29" s="537"/>
      <c r="NII29" s="537"/>
      <c r="NIJ29" s="537"/>
      <c r="NIK29" s="537"/>
      <c r="NIL29" s="537"/>
      <c r="NIM29" s="537"/>
      <c r="NIN29" s="537"/>
      <c r="NIO29" s="537"/>
      <c r="NIP29" s="537"/>
      <c r="NIQ29" s="537"/>
      <c r="NIR29" s="537"/>
      <c r="NIS29" s="537"/>
      <c r="NIT29" s="537"/>
      <c r="NIU29" s="537"/>
      <c r="NIV29" s="537"/>
      <c r="NIW29" s="537"/>
      <c r="NIX29" s="537"/>
      <c r="NIY29" s="537"/>
      <c r="NIZ29" s="537"/>
      <c r="NJA29" s="537"/>
      <c r="NJB29" s="537"/>
      <c r="NJC29" s="537"/>
      <c r="NJD29" s="537"/>
      <c r="NJE29" s="537"/>
      <c r="NJF29" s="537"/>
      <c r="NJG29" s="537"/>
      <c r="NJH29" s="537"/>
      <c r="NJI29" s="537"/>
      <c r="NJJ29" s="537"/>
      <c r="NJK29" s="537"/>
      <c r="NJL29" s="537"/>
      <c r="NJM29" s="537"/>
      <c r="NJN29" s="537"/>
      <c r="NJO29" s="537"/>
      <c r="NJP29" s="537"/>
      <c r="NJQ29" s="537"/>
      <c r="NJR29" s="537"/>
      <c r="NJS29" s="537"/>
      <c r="NJT29" s="537"/>
      <c r="NJU29" s="537"/>
      <c r="NJV29" s="537"/>
      <c r="NJW29" s="537"/>
      <c r="NJX29" s="537"/>
      <c r="NJY29" s="537"/>
      <c r="NJZ29" s="537"/>
      <c r="NKA29" s="537"/>
      <c r="NKB29" s="537"/>
      <c r="NKC29" s="537"/>
      <c r="NKD29" s="537"/>
      <c r="NKE29" s="537"/>
      <c r="NKF29" s="537"/>
      <c r="NKG29" s="537"/>
      <c r="NKH29" s="537"/>
      <c r="NKI29" s="537"/>
      <c r="NKJ29" s="537"/>
      <c r="NKK29" s="537"/>
      <c r="NKL29" s="537"/>
      <c r="NKM29" s="537"/>
      <c r="NKN29" s="537"/>
      <c r="NKO29" s="537"/>
      <c r="NKP29" s="537"/>
      <c r="NKQ29" s="537"/>
      <c r="NKR29" s="537"/>
      <c r="NKS29" s="537"/>
      <c r="NKT29" s="537"/>
      <c r="NKU29" s="537"/>
      <c r="NKV29" s="537"/>
      <c r="NKW29" s="537"/>
      <c r="NKX29" s="537"/>
      <c r="NKY29" s="537"/>
      <c r="NKZ29" s="537"/>
      <c r="NLA29" s="537"/>
      <c r="NLB29" s="537"/>
      <c r="NLC29" s="537"/>
      <c r="NLD29" s="537"/>
      <c r="NLE29" s="537"/>
      <c r="NLF29" s="537"/>
      <c r="NLG29" s="537"/>
      <c r="NLH29" s="537"/>
      <c r="NLI29" s="537"/>
      <c r="NLJ29" s="537"/>
      <c r="NLK29" s="537"/>
      <c r="NLL29" s="537"/>
      <c r="NLM29" s="537"/>
      <c r="NLN29" s="537"/>
      <c r="NLO29" s="537"/>
      <c r="NLP29" s="537"/>
      <c r="NLQ29" s="537"/>
      <c r="NLR29" s="537"/>
      <c r="NLS29" s="537"/>
      <c r="NLT29" s="537"/>
      <c r="NLU29" s="537"/>
      <c r="NLV29" s="537"/>
      <c r="NLW29" s="537"/>
      <c r="NLX29" s="537"/>
      <c r="NLY29" s="537"/>
      <c r="NLZ29" s="537"/>
      <c r="NMA29" s="537"/>
      <c r="NMB29" s="537"/>
      <c r="NMC29" s="537"/>
      <c r="NMD29" s="537"/>
      <c r="NME29" s="537"/>
      <c r="NMF29" s="537"/>
      <c r="NMG29" s="537"/>
      <c r="NMH29" s="537"/>
      <c r="NMI29" s="537"/>
      <c r="NMJ29" s="537"/>
      <c r="NMK29" s="537"/>
      <c r="NML29" s="537"/>
      <c r="NMM29" s="537"/>
      <c r="NMN29" s="537"/>
      <c r="NMO29" s="537"/>
      <c r="NMP29" s="537"/>
      <c r="NMQ29" s="537"/>
      <c r="NMR29" s="537"/>
      <c r="NMS29" s="537"/>
      <c r="NMT29" s="537"/>
      <c r="NMU29" s="537"/>
      <c r="NMV29" s="537"/>
      <c r="NMW29" s="537"/>
      <c r="NMX29" s="537"/>
      <c r="NMY29" s="537"/>
      <c r="NMZ29" s="537"/>
      <c r="NNA29" s="537"/>
      <c r="NNB29" s="537"/>
      <c r="NNC29" s="537"/>
      <c r="NND29" s="537"/>
      <c r="NNE29" s="537"/>
      <c r="NNF29" s="537"/>
      <c r="NNG29" s="537"/>
      <c r="NNH29" s="537"/>
      <c r="NNI29" s="537"/>
      <c r="NNJ29" s="537"/>
      <c r="NNK29" s="537"/>
      <c r="NNL29" s="537"/>
      <c r="NNM29" s="537"/>
      <c r="NNN29" s="537"/>
      <c r="NNO29" s="537"/>
      <c r="NNP29" s="537"/>
      <c r="NNQ29" s="537"/>
      <c r="NNR29" s="537"/>
      <c r="NNS29" s="537"/>
      <c r="NNT29" s="537"/>
      <c r="NNU29" s="537"/>
      <c r="NNV29" s="537"/>
      <c r="NNW29" s="537"/>
      <c r="NNX29" s="537"/>
      <c r="NNY29" s="537"/>
      <c r="NNZ29" s="537"/>
      <c r="NOA29" s="537"/>
      <c r="NOB29" s="537"/>
      <c r="NOC29" s="537"/>
      <c r="NOD29" s="537"/>
      <c r="NOE29" s="537"/>
      <c r="NOF29" s="537"/>
      <c r="NOG29" s="537"/>
      <c r="NOH29" s="537"/>
      <c r="NOI29" s="537"/>
      <c r="NOJ29" s="537"/>
      <c r="NOK29" s="537"/>
      <c r="NOL29" s="537"/>
      <c r="NOM29" s="537"/>
      <c r="NON29" s="537"/>
      <c r="NOO29" s="537"/>
      <c r="NOP29" s="537"/>
      <c r="NOQ29" s="537"/>
      <c r="NOR29" s="537"/>
      <c r="NOS29" s="537"/>
      <c r="NOT29" s="537"/>
      <c r="NOU29" s="537"/>
      <c r="NOV29" s="537"/>
      <c r="NOW29" s="537"/>
      <c r="NOX29" s="537"/>
      <c r="NOY29" s="537"/>
      <c r="NOZ29" s="537"/>
      <c r="NPA29" s="537"/>
      <c r="NPB29" s="537"/>
      <c r="NPC29" s="537"/>
      <c r="NPD29" s="537"/>
      <c r="NPE29" s="537"/>
      <c r="NPF29" s="537"/>
      <c r="NPG29" s="537"/>
      <c r="NPH29" s="537"/>
      <c r="NPI29" s="537"/>
      <c r="NPJ29" s="537"/>
      <c r="NPK29" s="537"/>
      <c r="NPL29" s="537"/>
      <c r="NPM29" s="537"/>
      <c r="NPN29" s="537"/>
      <c r="NPO29" s="537"/>
      <c r="NPP29" s="537"/>
      <c r="NPQ29" s="537"/>
      <c r="NPR29" s="537"/>
      <c r="NPS29" s="537"/>
      <c r="NPT29" s="537"/>
      <c r="NPU29" s="537"/>
      <c r="NPV29" s="537"/>
      <c r="NPW29" s="537"/>
      <c r="NPX29" s="537"/>
      <c r="NPY29" s="537"/>
      <c r="NPZ29" s="537"/>
      <c r="NQA29" s="537"/>
      <c r="NQB29" s="537"/>
      <c r="NQC29" s="537"/>
      <c r="NQD29" s="537"/>
      <c r="NQE29" s="537"/>
      <c r="NQF29" s="537"/>
      <c r="NQG29" s="537"/>
      <c r="NQH29" s="537"/>
      <c r="NQI29" s="537"/>
      <c r="NQJ29" s="537"/>
      <c r="NQK29" s="537"/>
      <c r="NQL29" s="537"/>
      <c r="NQM29" s="537"/>
      <c r="NQN29" s="537"/>
      <c r="NQO29" s="537"/>
      <c r="NQP29" s="537"/>
      <c r="NQQ29" s="537"/>
      <c r="NQR29" s="537"/>
      <c r="NQS29" s="537"/>
      <c r="NQT29" s="537"/>
      <c r="NQU29" s="537"/>
      <c r="NQV29" s="537"/>
      <c r="NQW29" s="537"/>
      <c r="NQX29" s="537"/>
      <c r="NQY29" s="537"/>
      <c r="NQZ29" s="537"/>
      <c r="NRA29" s="537"/>
      <c r="NRB29" s="537"/>
      <c r="NRC29" s="537"/>
      <c r="NRD29" s="537"/>
      <c r="NRE29" s="537"/>
      <c r="NRF29" s="537"/>
      <c r="NRG29" s="537"/>
      <c r="NRH29" s="537"/>
      <c r="NRI29" s="537"/>
      <c r="NRJ29" s="537"/>
      <c r="NRK29" s="537"/>
      <c r="NRL29" s="537"/>
      <c r="NRM29" s="537"/>
      <c r="NRN29" s="537"/>
      <c r="NRO29" s="537"/>
      <c r="NRP29" s="537"/>
      <c r="NRQ29" s="537"/>
      <c r="NRR29" s="537"/>
      <c r="NRS29" s="537"/>
      <c r="NRT29" s="537"/>
      <c r="NRU29" s="537"/>
      <c r="NRV29" s="537"/>
      <c r="NRW29" s="537"/>
      <c r="NRX29" s="537"/>
      <c r="NRY29" s="537"/>
      <c r="NRZ29" s="537"/>
      <c r="NSA29" s="537"/>
      <c r="NSB29" s="537"/>
      <c r="NSC29" s="537"/>
      <c r="NSD29" s="537"/>
      <c r="NSE29" s="537"/>
      <c r="NSF29" s="537"/>
      <c r="NSG29" s="537"/>
      <c r="NSH29" s="537"/>
      <c r="NSI29" s="537"/>
      <c r="NSJ29" s="537"/>
      <c r="NSK29" s="537"/>
      <c r="NSL29" s="537"/>
      <c r="NSM29" s="537"/>
      <c r="NSN29" s="537"/>
      <c r="NSO29" s="537"/>
      <c r="NSP29" s="537"/>
      <c r="NSQ29" s="537"/>
      <c r="NSR29" s="537"/>
      <c r="NSS29" s="537"/>
      <c r="NST29" s="537"/>
      <c r="NSU29" s="537"/>
      <c r="NSV29" s="537"/>
      <c r="NSW29" s="537"/>
      <c r="NSX29" s="537"/>
      <c r="NSY29" s="537"/>
      <c r="NSZ29" s="537"/>
      <c r="NTA29" s="537"/>
      <c r="NTB29" s="537"/>
      <c r="NTC29" s="537"/>
      <c r="NTD29" s="537"/>
      <c r="NTE29" s="537"/>
      <c r="NTF29" s="537"/>
      <c r="NTG29" s="537"/>
      <c r="NTH29" s="537"/>
      <c r="NTI29" s="537"/>
      <c r="NTJ29" s="537"/>
      <c r="NTK29" s="537"/>
      <c r="NTL29" s="537"/>
      <c r="NTM29" s="537"/>
      <c r="NTN29" s="537"/>
      <c r="NTO29" s="537"/>
      <c r="NTP29" s="537"/>
      <c r="NTQ29" s="537"/>
      <c r="NTR29" s="537"/>
      <c r="NTS29" s="537"/>
      <c r="NTT29" s="537"/>
      <c r="NTU29" s="537"/>
      <c r="NTV29" s="537"/>
      <c r="NTW29" s="537"/>
      <c r="NTX29" s="537"/>
      <c r="NTY29" s="537"/>
      <c r="NTZ29" s="537"/>
      <c r="NUA29" s="537"/>
      <c r="NUB29" s="537"/>
      <c r="NUC29" s="537"/>
      <c r="NUD29" s="537"/>
      <c r="NUE29" s="537"/>
      <c r="NUF29" s="537"/>
      <c r="NUG29" s="537"/>
      <c r="NUH29" s="537"/>
      <c r="NUI29" s="537"/>
      <c r="NUJ29" s="537"/>
      <c r="NUK29" s="537"/>
      <c r="NUL29" s="537"/>
      <c r="NUM29" s="537"/>
      <c r="NUN29" s="537"/>
      <c r="NUO29" s="537"/>
      <c r="NUP29" s="537"/>
      <c r="NUQ29" s="537"/>
      <c r="NUR29" s="537"/>
      <c r="NUS29" s="537"/>
      <c r="NUT29" s="537"/>
      <c r="NUU29" s="537"/>
      <c r="NUV29" s="537"/>
      <c r="NUW29" s="537"/>
      <c r="NUX29" s="537"/>
      <c r="NUY29" s="537"/>
      <c r="NUZ29" s="537"/>
      <c r="NVA29" s="537"/>
      <c r="NVB29" s="537"/>
      <c r="NVC29" s="537"/>
      <c r="NVD29" s="537"/>
      <c r="NVE29" s="537"/>
      <c r="NVF29" s="537"/>
      <c r="NVG29" s="537"/>
      <c r="NVH29" s="537"/>
      <c r="NVI29" s="537"/>
      <c r="NVJ29" s="537"/>
      <c r="NVK29" s="537"/>
      <c r="NVL29" s="537"/>
      <c r="NVM29" s="537"/>
      <c r="NVN29" s="537"/>
      <c r="NVO29" s="537"/>
      <c r="NVP29" s="537"/>
      <c r="NVQ29" s="537"/>
      <c r="NVR29" s="537"/>
      <c r="NVS29" s="537"/>
      <c r="NVT29" s="537"/>
      <c r="NVU29" s="537"/>
      <c r="NVV29" s="537"/>
      <c r="NVW29" s="537"/>
      <c r="NVX29" s="537"/>
      <c r="NVY29" s="537"/>
      <c r="NVZ29" s="537"/>
      <c r="NWA29" s="537"/>
      <c r="NWB29" s="537"/>
      <c r="NWC29" s="537"/>
      <c r="NWD29" s="537"/>
      <c r="NWE29" s="537"/>
      <c r="NWF29" s="537"/>
      <c r="NWG29" s="537"/>
      <c r="NWH29" s="537"/>
      <c r="NWI29" s="537"/>
      <c r="NWJ29" s="537"/>
      <c r="NWK29" s="537"/>
      <c r="NWL29" s="537"/>
      <c r="NWM29" s="537"/>
      <c r="NWN29" s="537"/>
      <c r="NWO29" s="537"/>
      <c r="NWP29" s="537"/>
      <c r="NWQ29" s="537"/>
      <c r="NWR29" s="537"/>
      <c r="NWS29" s="537"/>
      <c r="NWT29" s="537"/>
      <c r="NWU29" s="537"/>
      <c r="NWV29" s="537"/>
      <c r="NWW29" s="537"/>
      <c r="NWX29" s="537"/>
      <c r="NWY29" s="537"/>
      <c r="NWZ29" s="537"/>
      <c r="NXA29" s="537"/>
      <c r="NXB29" s="537"/>
      <c r="NXC29" s="537"/>
      <c r="NXD29" s="537"/>
      <c r="NXE29" s="537"/>
      <c r="NXF29" s="537"/>
      <c r="NXG29" s="537"/>
      <c r="NXH29" s="537"/>
      <c r="NXI29" s="537"/>
      <c r="NXJ29" s="537"/>
      <c r="NXK29" s="537"/>
      <c r="NXL29" s="537"/>
      <c r="NXM29" s="537"/>
      <c r="NXN29" s="537"/>
      <c r="NXO29" s="537"/>
      <c r="NXP29" s="537"/>
      <c r="NXQ29" s="537"/>
      <c r="NXR29" s="537"/>
      <c r="NXS29" s="537"/>
      <c r="NXT29" s="537"/>
      <c r="NXU29" s="537"/>
      <c r="NXV29" s="537"/>
      <c r="NXW29" s="537"/>
      <c r="NXX29" s="537"/>
      <c r="NXY29" s="537"/>
      <c r="NXZ29" s="537"/>
      <c r="NYA29" s="537"/>
      <c r="NYB29" s="537"/>
      <c r="NYC29" s="537"/>
      <c r="NYD29" s="537"/>
      <c r="NYE29" s="537"/>
      <c r="NYF29" s="537"/>
      <c r="NYG29" s="537"/>
      <c r="NYH29" s="537"/>
      <c r="NYI29" s="537"/>
      <c r="NYJ29" s="537"/>
      <c r="NYK29" s="537"/>
      <c r="NYL29" s="537"/>
      <c r="NYM29" s="537"/>
      <c r="NYN29" s="537"/>
      <c r="NYO29" s="537"/>
      <c r="NYP29" s="537"/>
      <c r="NYQ29" s="537"/>
      <c r="NYR29" s="537"/>
      <c r="NYS29" s="537"/>
      <c r="NYT29" s="537"/>
      <c r="NYU29" s="537"/>
      <c r="NYV29" s="537"/>
      <c r="NYW29" s="537"/>
      <c r="NYX29" s="537"/>
      <c r="NYY29" s="537"/>
      <c r="NYZ29" s="537"/>
      <c r="NZA29" s="537"/>
      <c r="NZB29" s="537"/>
      <c r="NZC29" s="537"/>
      <c r="NZD29" s="537"/>
      <c r="NZE29" s="537"/>
      <c r="NZF29" s="537"/>
      <c r="NZG29" s="537"/>
      <c r="NZH29" s="537"/>
      <c r="NZI29" s="537"/>
      <c r="NZJ29" s="537"/>
      <c r="NZK29" s="537"/>
      <c r="NZL29" s="537"/>
      <c r="NZM29" s="537"/>
      <c r="NZN29" s="537"/>
      <c r="NZO29" s="537"/>
      <c r="NZP29" s="537"/>
      <c r="NZQ29" s="537"/>
      <c r="NZR29" s="537"/>
      <c r="NZS29" s="537"/>
      <c r="NZT29" s="537"/>
      <c r="NZU29" s="537"/>
      <c r="NZV29" s="537"/>
      <c r="NZW29" s="537"/>
      <c r="NZX29" s="537"/>
      <c r="NZY29" s="537"/>
      <c r="NZZ29" s="537"/>
      <c r="OAA29" s="537"/>
      <c r="OAB29" s="537"/>
      <c r="OAC29" s="537"/>
      <c r="OAD29" s="537"/>
      <c r="OAE29" s="537"/>
      <c r="OAF29" s="537"/>
      <c r="OAG29" s="537"/>
      <c r="OAH29" s="537"/>
      <c r="OAI29" s="537"/>
      <c r="OAJ29" s="537"/>
      <c r="OAK29" s="537"/>
      <c r="OAL29" s="537"/>
      <c r="OAM29" s="537"/>
      <c r="OAN29" s="537"/>
      <c r="OAO29" s="537"/>
      <c r="OAP29" s="537"/>
      <c r="OAQ29" s="537"/>
      <c r="OAR29" s="537"/>
      <c r="OAS29" s="537"/>
      <c r="OAT29" s="537"/>
      <c r="OAU29" s="537"/>
      <c r="OAV29" s="537"/>
      <c r="OAW29" s="537"/>
      <c r="OAX29" s="537"/>
      <c r="OAY29" s="537"/>
      <c r="OAZ29" s="537"/>
      <c r="OBA29" s="537"/>
      <c r="OBB29" s="537"/>
      <c r="OBC29" s="537"/>
      <c r="OBD29" s="537"/>
      <c r="OBE29" s="537"/>
      <c r="OBF29" s="537"/>
      <c r="OBG29" s="537"/>
      <c r="OBH29" s="537"/>
      <c r="OBI29" s="537"/>
      <c r="OBJ29" s="537"/>
      <c r="OBK29" s="537"/>
      <c r="OBL29" s="537"/>
      <c r="OBM29" s="537"/>
      <c r="OBN29" s="537"/>
      <c r="OBO29" s="537"/>
      <c r="OBP29" s="537"/>
      <c r="OBQ29" s="537"/>
      <c r="OBR29" s="537"/>
      <c r="OBS29" s="537"/>
      <c r="OBT29" s="537"/>
      <c r="OBU29" s="537"/>
      <c r="OBV29" s="537"/>
      <c r="OBW29" s="537"/>
      <c r="OBX29" s="537"/>
      <c r="OBY29" s="537"/>
      <c r="OBZ29" s="537"/>
      <c r="OCA29" s="537"/>
      <c r="OCB29" s="537"/>
      <c r="OCC29" s="537"/>
      <c r="OCD29" s="537"/>
      <c r="OCE29" s="537"/>
      <c r="OCF29" s="537"/>
      <c r="OCG29" s="537"/>
      <c r="OCH29" s="537"/>
      <c r="OCI29" s="537"/>
      <c r="OCJ29" s="537"/>
      <c r="OCK29" s="537"/>
      <c r="OCL29" s="537"/>
      <c r="OCM29" s="537"/>
      <c r="OCN29" s="537"/>
      <c r="OCO29" s="537"/>
      <c r="OCP29" s="537"/>
      <c r="OCQ29" s="537"/>
      <c r="OCR29" s="537"/>
      <c r="OCS29" s="537"/>
      <c r="OCT29" s="537"/>
      <c r="OCU29" s="537"/>
      <c r="OCV29" s="537"/>
      <c r="OCW29" s="537"/>
      <c r="OCX29" s="537"/>
      <c r="OCY29" s="537"/>
      <c r="OCZ29" s="537"/>
      <c r="ODA29" s="537"/>
      <c r="ODB29" s="537"/>
      <c r="ODC29" s="537"/>
      <c r="ODD29" s="537"/>
      <c r="ODE29" s="537"/>
      <c r="ODF29" s="537"/>
      <c r="ODG29" s="537"/>
      <c r="ODH29" s="537"/>
      <c r="ODI29" s="537"/>
      <c r="ODJ29" s="537"/>
      <c r="ODK29" s="537"/>
      <c r="ODL29" s="537"/>
      <c r="ODM29" s="537"/>
      <c r="ODN29" s="537"/>
      <c r="ODO29" s="537"/>
      <c r="ODP29" s="537"/>
      <c r="ODQ29" s="537"/>
      <c r="ODR29" s="537"/>
      <c r="ODS29" s="537"/>
      <c r="ODT29" s="537"/>
      <c r="ODU29" s="537"/>
      <c r="ODV29" s="537"/>
      <c r="ODW29" s="537"/>
      <c r="ODX29" s="537"/>
      <c r="ODY29" s="537"/>
      <c r="ODZ29" s="537"/>
      <c r="OEA29" s="537"/>
      <c r="OEB29" s="537"/>
      <c r="OEC29" s="537"/>
      <c r="OED29" s="537"/>
      <c r="OEE29" s="537"/>
      <c r="OEF29" s="537"/>
      <c r="OEG29" s="537"/>
      <c r="OEH29" s="537"/>
      <c r="OEI29" s="537"/>
      <c r="OEJ29" s="537"/>
      <c r="OEK29" s="537"/>
      <c r="OEL29" s="537"/>
      <c r="OEM29" s="537"/>
      <c r="OEN29" s="537"/>
      <c r="OEO29" s="537"/>
      <c r="OEP29" s="537"/>
      <c r="OEQ29" s="537"/>
      <c r="OER29" s="537"/>
      <c r="OES29" s="537"/>
      <c r="OET29" s="537"/>
      <c r="OEU29" s="537"/>
      <c r="OEV29" s="537"/>
      <c r="OEW29" s="537"/>
      <c r="OEX29" s="537"/>
      <c r="OEY29" s="537"/>
      <c r="OEZ29" s="537"/>
      <c r="OFA29" s="537"/>
      <c r="OFB29" s="537"/>
      <c r="OFC29" s="537"/>
      <c r="OFD29" s="537"/>
      <c r="OFE29" s="537"/>
      <c r="OFF29" s="537"/>
      <c r="OFG29" s="537"/>
      <c r="OFH29" s="537"/>
      <c r="OFI29" s="537"/>
      <c r="OFJ29" s="537"/>
      <c r="OFK29" s="537"/>
      <c r="OFL29" s="537"/>
      <c r="OFM29" s="537"/>
      <c r="OFN29" s="537"/>
      <c r="OFO29" s="537"/>
      <c r="OFP29" s="537"/>
      <c r="OFQ29" s="537"/>
      <c r="OFR29" s="537"/>
      <c r="OFS29" s="537"/>
      <c r="OFT29" s="537"/>
      <c r="OFU29" s="537"/>
      <c r="OFV29" s="537"/>
      <c r="OFW29" s="537"/>
      <c r="OFX29" s="537"/>
      <c r="OFY29" s="537"/>
      <c r="OFZ29" s="537"/>
      <c r="OGA29" s="537"/>
      <c r="OGB29" s="537"/>
      <c r="OGC29" s="537"/>
      <c r="OGD29" s="537"/>
      <c r="OGE29" s="537"/>
      <c r="OGF29" s="537"/>
      <c r="OGG29" s="537"/>
      <c r="OGH29" s="537"/>
      <c r="OGI29" s="537"/>
      <c r="OGJ29" s="537"/>
      <c r="OGK29" s="537"/>
      <c r="OGL29" s="537"/>
      <c r="OGM29" s="537"/>
      <c r="OGN29" s="537"/>
      <c r="OGO29" s="537"/>
      <c r="OGP29" s="537"/>
      <c r="OGQ29" s="537"/>
      <c r="OGR29" s="537"/>
      <c r="OGS29" s="537"/>
      <c r="OGT29" s="537"/>
      <c r="OGU29" s="537"/>
      <c r="OGV29" s="537"/>
      <c r="OGW29" s="537"/>
      <c r="OGX29" s="537"/>
      <c r="OGY29" s="537"/>
      <c r="OGZ29" s="537"/>
      <c r="OHA29" s="537"/>
      <c r="OHB29" s="537"/>
      <c r="OHC29" s="537"/>
      <c r="OHD29" s="537"/>
      <c r="OHE29" s="537"/>
      <c r="OHF29" s="537"/>
      <c r="OHG29" s="537"/>
      <c r="OHH29" s="537"/>
      <c r="OHI29" s="537"/>
      <c r="OHJ29" s="537"/>
      <c r="OHK29" s="537"/>
      <c r="OHL29" s="537"/>
      <c r="OHM29" s="537"/>
      <c r="OHN29" s="537"/>
      <c r="OHO29" s="537"/>
      <c r="OHP29" s="537"/>
      <c r="OHQ29" s="537"/>
      <c r="OHR29" s="537"/>
      <c r="OHS29" s="537"/>
      <c r="OHT29" s="537"/>
      <c r="OHU29" s="537"/>
      <c r="OHV29" s="537"/>
      <c r="OHW29" s="537"/>
      <c r="OHX29" s="537"/>
      <c r="OHY29" s="537"/>
      <c r="OHZ29" s="537"/>
      <c r="OIA29" s="537"/>
      <c r="OIB29" s="537"/>
      <c r="OIC29" s="537"/>
      <c r="OID29" s="537"/>
      <c r="OIE29" s="537"/>
      <c r="OIF29" s="537"/>
      <c r="OIG29" s="537"/>
      <c r="OIH29" s="537"/>
      <c r="OII29" s="537"/>
      <c r="OIJ29" s="537"/>
      <c r="OIK29" s="537"/>
      <c r="OIL29" s="537"/>
      <c r="OIM29" s="537"/>
      <c r="OIN29" s="537"/>
      <c r="OIO29" s="537"/>
      <c r="OIP29" s="537"/>
      <c r="OIQ29" s="537"/>
      <c r="OIR29" s="537"/>
      <c r="OIS29" s="537"/>
      <c r="OIT29" s="537"/>
      <c r="OIU29" s="537"/>
      <c r="OIV29" s="537"/>
      <c r="OIW29" s="537"/>
      <c r="OIX29" s="537"/>
      <c r="OIY29" s="537"/>
      <c r="OIZ29" s="537"/>
      <c r="OJA29" s="537"/>
      <c r="OJB29" s="537"/>
      <c r="OJC29" s="537"/>
      <c r="OJD29" s="537"/>
      <c r="OJE29" s="537"/>
      <c r="OJF29" s="537"/>
      <c r="OJG29" s="537"/>
      <c r="OJH29" s="537"/>
      <c r="OJI29" s="537"/>
      <c r="OJJ29" s="537"/>
      <c r="OJK29" s="537"/>
      <c r="OJL29" s="537"/>
      <c r="OJM29" s="537"/>
      <c r="OJN29" s="537"/>
      <c r="OJO29" s="537"/>
      <c r="OJP29" s="537"/>
      <c r="OJQ29" s="537"/>
      <c r="OJR29" s="537"/>
      <c r="OJS29" s="537"/>
      <c r="OJT29" s="537"/>
      <c r="OJU29" s="537"/>
      <c r="OJV29" s="537"/>
      <c r="OJW29" s="537"/>
      <c r="OJX29" s="537"/>
      <c r="OJY29" s="537"/>
      <c r="OJZ29" s="537"/>
      <c r="OKA29" s="537"/>
      <c r="OKB29" s="537"/>
      <c r="OKC29" s="537"/>
      <c r="OKD29" s="537"/>
      <c r="OKE29" s="537"/>
      <c r="OKF29" s="537"/>
      <c r="OKG29" s="537"/>
      <c r="OKH29" s="537"/>
      <c r="OKI29" s="537"/>
      <c r="OKJ29" s="537"/>
      <c r="OKK29" s="537"/>
      <c r="OKL29" s="537"/>
      <c r="OKM29" s="537"/>
      <c r="OKN29" s="537"/>
      <c r="OKO29" s="537"/>
      <c r="OKP29" s="537"/>
      <c r="OKQ29" s="537"/>
      <c r="OKR29" s="537"/>
      <c r="OKS29" s="537"/>
      <c r="OKT29" s="537"/>
      <c r="OKU29" s="537"/>
      <c r="OKV29" s="537"/>
      <c r="OKW29" s="537"/>
      <c r="OKX29" s="537"/>
      <c r="OKY29" s="537"/>
      <c r="OKZ29" s="537"/>
      <c r="OLA29" s="537"/>
      <c r="OLB29" s="537"/>
      <c r="OLC29" s="537"/>
      <c r="OLD29" s="537"/>
      <c r="OLE29" s="537"/>
      <c r="OLF29" s="537"/>
      <c r="OLG29" s="537"/>
      <c r="OLH29" s="537"/>
      <c r="OLI29" s="537"/>
      <c r="OLJ29" s="537"/>
      <c r="OLK29" s="537"/>
      <c r="OLL29" s="537"/>
      <c r="OLM29" s="537"/>
      <c r="OLN29" s="537"/>
      <c r="OLO29" s="537"/>
      <c r="OLP29" s="537"/>
      <c r="OLQ29" s="537"/>
      <c r="OLR29" s="537"/>
      <c r="OLS29" s="537"/>
      <c r="OLT29" s="537"/>
      <c r="OLU29" s="537"/>
      <c r="OLV29" s="537"/>
      <c r="OLW29" s="537"/>
      <c r="OLX29" s="537"/>
      <c r="OLY29" s="537"/>
      <c r="OLZ29" s="537"/>
      <c r="OMA29" s="537"/>
      <c r="OMB29" s="537"/>
      <c r="OMC29" s="537"/>
      <c r="OMD29" s="537"/>
      <c r="OME29" s="537"/>
      <c r="OMF29" s="537"/>
      <c r="OMG29" s="537"/>
      <c r="OMH29" s="537"/>
      <c r="OMI29" s="537"/>
      <c r="OMJ29" s="537"/>
      <c r="OMK29" s="537"/>
      <c r="OML29" s="537"/>
      <c r="OMM29" s="537"/>
      <c r="OMN29" s="537"/>
      <c r="OMO29" s="537"/>
      <c r="OMP29" s="537"/>
      <c r="OMQ29" s="537"/>
      <c r="OMR29" s="537"/>
      <c r="OMS29" s="537"/>
      <c r="OMT29" s="537"/>
      <c r="OMU29" s="537"/>
      <c r="OMV29" s="537"/>
      <c r="OMW29" s="537"/>
      <c r="OMX29" s="537"/>
      <c r="OMY29" s="537"/>
      <c r="OMZ29" s="537"/>
      <c r="ONA29" s="537"/>
      <c r="ONB29" s="537"/>
      <c r="ONC29" s="537"/>
      <c r="OND29" s="537"/>
      <c r="ONE29" s="537"/>
      <c r="ONF29" s="537"/>
      <c r="ONG29" s="537"/>
      <c r="ONH29" s="537"/>
      <c r="ONI29" s="537"/>
      <c r="ONJ29" s="537"/>
      <c r="ONK29" s="537"/>
      <c r="ONL29" s="537"/>
      <c r="ONM29" s="537"/>
      <c r="ONN29" s="537"/>
      <c r="ONO29" s="537"/>
      <c r="ONP29" s="537"/>
      <c r="ONQ29" s="537"/>
      <c r="ONR29" s="537"/>
      <c r="ONS29" s="537"/>
      <c r="ONT29" s="537"/>
      <c r="ONU29" s="537"/>
      <c r="ONV29" s="537"/>
      <c r="ONW29" s="537"/>
      <c r="ONX29" s="537"/>
      <c r="ONY29" s="537"/>
      <c r="ONZ29" s="537"/>
      <c r="OOA29" s="537"/>
      <c r="OOB29" s="537"/>
      <c r="OOC29" s="537"/>
      <c r="OOD29" s="537"/>
      <c r="OOE29" s="537"/>
      <c r="OOF29" s="537"/>
      <c r="OOG29" s="537"/>
      <c r="OOH29" s="537"/>
      <c r="OOI29" s="537"/>
      <c r="OOJ29" s="537"/>
      <c r="OOK29" s="537"/>
      <c r="OOL29" s="537"/>
      <c r="OOM29" s="537"/>
      <c r="OON29" s="537"/>
      <c r="OOO29" s="537"/>
      <c r="OOP29" s="537"/>
      <c r="OOQ29" s="537"/>
      <c r="OOR29" s="537"/>
      <c r="OOS29" s="537"/>
      <c r="OOT29" s="537"/>
      <c r="OOU29" s="537"/>
      <c r="OOV29" s="537"/>
      <c r="OOW29" s="537"/>
      <c r="OOX29" s="537"/>
      <c r="OOY29" s="537"/>
      <c r="OOZ29" s="537"/>
      <c r="OPA29" s="537"/>
      <c r="OPB29" s="537"/>
      <c r="OPC29" s="537"/>
      <c r="OPD29" s="537"/>
      <c r="OPE29" s="537"/>
      <c r="OPF29" s="537"/>
      <c r="OPG29" s="537"/>
      <c r="OPH29" s="537"/>
      <c r="OPI29" s="537"/>
      <c r="OPJ29" s="537"/>
      <c r="OPK29" s="537"/>
      <c r="OPL29" s="537"/>
      <c r="OPM29" s="537"/>
      <c r="OPN29" s="537"/>
      <c r="OPO29" s="537"/>
      <c r="OPP29" s="537"/>
      <c r="OPQ29" s="537"/>
      <c r="OPR29" s="537"/>
      <c r="OPS29" s="537"/>
      <c r="OPT29" s="537"/>
      <c r="OPU29" s="537"/>
      <c r="OPV29" s="537"/>
      <c r="OPW29" s="537"/>
      <c r="OPX29" s="537"/>
      <c r="OPY29" s="537"/>
      <c r="OPZ29" s="537"/>
      <c r="OQA29" s="537"/>
      <c r="OQB29" s="537"/>
      <c r="OQC29" s="537"/>
      <c r="OQD29" s="537"/>
      <c r="OQE29" s="537"/>
      <c r="OQF29" s="537"/>
      <c r="OQG29" s="537"/>
      <c r="OQH29" s="537"/>
      <c r="OQI29" s="537"/>
      <c r="OQJ29" s="537"/>
      <c r="OQK29" s="537"/>
      <c r="OQL29" s="537"/>
      <c r="OQM29" s="537"/>
      <c r="OQN29" s="537"/>
      <c r="OQO29" s="537"/>
      <c r="OQP29" s="537"/>
      <c r="OQQ29" s="537"/>
      <c r="OQR29" s="537"/>
      <c r="OQS29" s="537"/>
      <c r="OQT29" s="537"/>
      <c r="OQU29" s="537"/>
      <c r="OQV29" s="537"/>
      <c r="OQW29" s="537"/>
      <c r="OQX29" s="537"/>
      <c r="OQY29" s="537"/>
      <c r="OQZ29" s="537"/>
      <c r="ORA29" s="537"/>
      <c r="ORB29" s="537"/>
      <c r="ORC29" s="537"/>
      <c r="ORD29" s="537"/>
      <c r="ORE29" s="537"/>
      <c r="ORF29" s="537"/>
      <c r="ORG29" s="537"/>
      <c r="ORH29" s="537"/>
      <c r="ORI29" s="537"/>
      <c r="ORJ29" s="537"/>
      <c r="ORK29" s="537"/>
      <c r="ORL29" s="537"/>
      <c r="ORM29" s="537"/>
      <c r="ORN29" s="537"/>
      <c r="ORO29" s="537"/>
      <c r="ORP29" s="537"/>
      <c r="ORQ29" s="537"/>
      <c r="ORR29" s="537"/>
      <c r="ORS29" s="537"/>
      <c r="ORT29" s="537"/>
      <c r="ORU29" s="537"/>
      <c r="ORV29" s="537"/>
      <c r="ORW29" s="537"/>
      <c r="ORX29" s="537"/>
      <c r="ORY29" s="537"/>
      <c r="ORZ29" s="537"/>
      <c r="OSA29" s="537"/>
      <c r="OSB29" s="537"/>
      <c r="OSC29" s="537"/>
      <c r="OSD29" s="537"/>
      <c r="OSE29" s="537"/>
      <c r="OSF29" s="537"/>
      <c r="OSG29" s="537"/>
      <c r="OSH29" s="537"/>
      <c r="OSI29" s="537"/>
      <c r="OSJ29" s="537"/>
      <c r="OSK29" s="537"/>
      <c r="OSL29" s="537"/>
      <c r="OSM29" s="537"/>
      <c r="OSN29" s="537"/>
      <c r="OSO29" s="537"/>
      <c r="OSP29" s="537"/>
      <c r="OSQ29" s="537"/>
      <c r="OSR29" s="537"/>
      <c r="OSS29" s="537"/>
      <c r="OST29" s="537"/>
      <c r="OSU29" s="537"/>
      <c r="OSV29" s="537"/>
      <c r="OSW29" s="537"/>
      <c r="OSX29" s="537"/>
      <c r="OSY29" s="537"/>
      <c r="OSZ29" s="537"/>
      <c r="OTA29" s="537"/>
      <c r="OTB29" s="537"/>
      <c r="OTC29" s="537"/>
      <c r="OTD29" s="537"/>
      <c r="OTE29" s="537"/>
      <c r="OTF29" s="537"/>
      <c r="OTG29" s="537"/>
      <c r="OTH29" s="537"/>
      <c r="OTI29" s="537"/>
      <c r="OTJ29" s="537"/>
      <c r="OTK29" s="537"/>
      <c r="OTL29" s="537"/>
      <c r="OTM29" s="537"/>
      <c r="OTN29" s="537"/>
      <c r="OTO29" s="537"/>
      <c r="OTP29" s="537"/>
      <c r="OTQ29" s="537"/>
      <c r="OTR29" s="537"/>
      <c r="OTS29" s="537"/>
      <c r="OTT29" s="537"/>
      <c r="OTU29" s="537"/>
      <c r="OTV29" s="537"/>
      <c r="OTW29" s="537"/>
      <c r="OTX29" s="537"/>
      <c r="OTY29" s="537"/>
      <c r="OTZ29" s="537"/>
      <c r="OUA29" s="537"/>
      <c r="OUB29" s="537"/>
      <c r="OUC29" s="537"/>
      <c r="OUD29" s="537"/>
      <c r="OUE29" s="537"/>
      <c r="OUF29" s="537"/>
      <c r="OUG29" s="537"/>
      <c r="OUH29" s="537"/>
      <c r="OUI29" s="537"/>
      <c r="OUJ29" s="537"/>
      <c r="OUK29" s="537"/>
      <c r="OUL29" s="537"/>
      <c r="OUM29" s="537"/>
      <c r="OUN29" s="537"/>
      <c r="OUO29" s="537"/>
      <c r="OUP29" s="537"/>
      <c r="OUQ29" s="537"/>
      <c r="OUR29" s="537"/>
      <c r="OUS29" s="537"/>
      <c r="OUT29" s="537"/>
      <c r="OUU29" s="537"/>
      <c r="OUV29" s="537"/>
      <c r="OUW29" s="537"/>
      <c r="OUX29" s="537"/>
      <c r="OUY29" s="537"/>
      <c r="OUZ29" s="537"/>
      <c r="OVA29" s="537"/>
      <c r="OVB29" s="537"/>
      <c r="OVC29" s="537"/>
      <c r="OVD29" s="537"/>
      <c r="OVE29" s="537"/>
      <c r="OVF29" s="537"/>
      <c r="OVG29" s="537"/>
      <c r="OVH29" s="537"/>
      <c r="OVI29" s="537"/>
      <c r="OVJ29" s="537"/>
      <c r="OVK29" s="537"/>
      <c r="OVL29" s="537"/>
      <c r="OVM29" s="537"/>
      <c r="OVN29" s="537"/>
      <c r="OVO29" s="537"/>
      <c r="OVP29" s="537"/>
      <c r="OVQ29" s="537"/>
      <c r="OVR29" s="537"/>
      <c r="OVS29" s="537"/>
      <c r="OVT29" s="537"/>
      <c r="OVU29" s="537"/>
      <c r="OVV29" s="537"/>
      <c r="OVW29" s="537"/>
      <c r="OVX29" s="537"/>
      <c r="OVY29" s="537"/>
      <c r="OVZ29" s="537"/>
      <c r="OWA29" s="537"/>
      <c r="OWB29" s="537"/>
      <c r="OWC29" s="537"/>
      <c r="OWD29" s="537"/>
      <c r="OWE29" s="537"/>
      <c r="OWF29" s="537"/>
      <c r="OWG29" s="537"/>
      <c r="OWH29" s="537"/>
      <c r="OWI29" s="537"/>
      <c r="OWJ29" s="537"/>
      <c r="OWK29" s="537"/>
      <c r="OWL29" s="537"/>
      <c r="OWM29" s="537"/>
      <c r="OWN29" s="537"/>
      <c r="OWO29" s="537"/>
      <c r="OWP29" s="537"/>
      <c r="OWQ29" s="537"/>
      <c r="OWR29" s="537"/>
      <c r="OWS29" s="537"/>
      <c r="OWT29" s="537"/>
      <c r="OWU29" s="537"/>
      <c r="OWV29" s="537"/>
      <c r="OWW29" s="537"/>
      <c r="OWX29" s="537"/>
      <c r="OWY29" s="537"/>
      <c r="OWZ29" s="537"/>
      <c r="OXA29" s="537"/>
      <c r="OXB29" s="537"/>
      <c r="OXC29" s="537"/>
      <c r="OXD29" s="537"/>
      <c r="OXE29" s="537"/>
      <c r="OXF29" s="537"/>
      <c r="OXG29" s="537"/>
      <c r="OXH29" s="537"/>
      <c r="OXI29" s="537"/>
      <c r="OXJ29" s="537"/>
      <c r="OXK29" s="537"/>
      <c r="OXL29" s="537"/>
      <c r="OXM29" s="537"/>
      <c r="OXN29" s="537"/>
      <c r="OXO29" s="537"/>
      <c r="OXP29" s="537"/>
      <c r="OXQ29" s="537"/>
      <c r="OXR29" s="537"/>
      <c r="OXS29" s="537"/>
      <c r="OXT29" s="537"/>
      <c r="OXU29" s="537"/>
      <c r="OXV29" s="537"/>
      <c r="OXW29" s="537"/>
      <c r="OXX29" s="537"/>
      <c r="OXY29" s="537"/>
      <c r="OXZ29" s="537"/>
      <c r="OYA29" s="537"/>
      <c r="OYB29" s="537"/>
      <c r="OYC29" s="537"/>
      <c r="OYD29" s="537"/>
      <c r="OYE29" s="537"/>
      <c r="OYF29" s="537"/>
      <c r="OYG29" s="537"/>
      <c r="OYH29" s="537"/>
      <c r="OYI29" s="537"/>
      <c r="OYJ29" s="537"/>
      <c r="OYK29" s="537"/>
      <c r="OYL29" s="537"/>
      <c r="OYM29" s="537"/>
      <c r="OYN29" s="537"/>
      <c r="OYO29" s="537"/>
      <c r="OYP29" s="537"/>
      <c r="OYQ29" s="537"/>
      <c r="OYR29" s="537"/>
      <c r="OYS29" s="537"/>
      <c r="OYT29" s="537"/>
      <c r="OYU29" s="537"/>
      <c r="OYV29" s="537"/>
      <c r="OYW29" s="537"/>
      <c r="OYX29" s="537"/>
      <c r="OYY29" s="537"/>
      <c r="OYZ29" s="537"/>
      <c r="OZA29" s="537"/>
      <c r="OZB29" s="537"/>
      <c r="OZC29" s="537"/>
      <c r="OZD29" s="537"/>
      <c r="OZE29" s="537"/>
      <c r="OZF29" s="537"/>
      <c r="OZG29" s="537"/>
      <c r="OZH29" s="537"/>
      <c r="OZI29" s="537"/>
      <c r="OZJ29" s="537"/>
      <c r="OZK29" s="537"/>
      <c r="OZL29" s="537"/>
      <c r="OZM29" s="537"/>
      <c r="OZN29" s="537"/>
      <c r="OZO29" s="537"/>
      <c r="OZP29" s="537"/>
      <c r="OZQ29" s="537"/>
      <c r="OZR29" s="537"/>
      <c r="OZS29" s="537"/>
      <c r="OZT29" s="537"/>
      <c r="OZU29" s="537"/>
      <c r="OZV29" s="537"/>
      <c r="OZW29" s="537"/>
      <c r="OZX29" s="537"/>
      <c r="OZY29" s="537"/>
      <c r="OZZ29" s="537"/>
      <c r="PAA29" s="537"/>
      <c r="PAB29" s="537"/>
      <c r="PAC29" s="537"/>
      <c r="PAD29" s="537"/>
      <c r="PAE29" s="537"/>
      <c r="PAF29" s="537"/>
      <c r="PAG29" s="537"/>
      <c r="PAH29" s="537"/>
      <c r="PAI29" s="537"/>
      <c r="PAJ29" s="537"/>
      <c r="PAK29" s="537"/>
      <c r="PAL29" s="537"/>
      <c r="PAM29" s="537"/>
      <c r="PAN29" s="537"/>
      <c r="PAO29" s="537"/>
      <c r="PAP29" s="537"/>
      <c r="PAQ29" s="537"/>
      <c r="PAR29" s="537"/>
      <c r="PAS29" s="537"/>
      <c r="PAT29" s="537"/>
      <c r="PAU29" s="537"/>
      <c r="PAV29" s="537"/>
      <c r="PAW29" s="537"/>
      <c r="PAX29" s="537"/>
      <c r="PAY29" s="537"/>
      <c r="PAZ29" s="537"/>
      <c r="PBA29" s="537"/>
      <c r="PBB29" s="537"/>
      <c r="PBC29" s="537"/>
      <c r="PBD29" s="537"/>
      <c r="PBE29" s="537"/>
      <c r="PBF29" s="537"/>
      <c r="PBG29" s="537"/>
      <c r="PBH29" s="537"/>
      <c r="PBI29" s="537"/>
      <c r="PBJ29" s="537"/>
      <c r="PBK29" s="537"/>
      <c r="PBL29" s="537"/>
      <c r="PBM29" s="537"/>
      <c r="PBN29" s="537"/>
      <c r="PBO29" s="537"/>
      <c r="PBP29" s="537"/>
      <c r="PBQ29" s="537"/>
      <c r="PBR29" s="537"/>
      <c r="PBS29" s="537"/>
      <c r="PBT29" s="537"/>
      <c r="PBU29" s="537"/>
      <c r="PBV29" s="537"/>
      <c r="PBW29" s="537"/>
      <c r="PBX29" s="537"/>
      <c r="PBY29" s="537"/>
      <c r="PBZ29" s="537"/>
      <c r="PCA29" s="537"/>
      <c r="PCB29" s="537"/>
      <c r="PCC29" s="537"/>
      <c r="PCD29" s="537"/>
      <c r="PCE29" s="537"/>
      <c r="PCF29" s="537"/>
      <c r="PCG29" s="537"/>
      <c r="PCH29" s="537"/>
      <c r="PCI29" s="537"/>
      <c r="PCJ29" s="537"/>
      <c r="PCK29" s="537"/>
      <c r="PCL29" s="537"/>
      <c r="PCM29" s="537"/>
      <c r="PCN29" s="537"/>
      <c r="PCO29" s="537"/>
      <c r="PCP29" s="537"/>
      <c r="PCQ29" s="537"/>
      <c r="PCR29" s="537"/>
      <c r="PCS29" s="537"/>
      <c r="PCT29" s="537"/>
      <c r="PCU29" s="537"/>
      <c r="PCV29" s="537"/>
      <c r="PCW29" s="537"/>
      <c r="PCX29" s="537"/>
      <c r="PCY29" s="537"/>
      <c r="PCZ29" s="537"/>
      <c r="PDA29" s="537"/>
      <c r="PDB29" s="537"/>
      <c r="PDC29" s="537"/>
      <c r="PDD29" s="537"/>
      <c r="PDE29" s="537"/>
      <c r="PDF29" s="537"/>
      <c r="PDG29" s="537"/>
      <c r="PDH29" s="537"/>
      <c r="PDI29" s="537"/>
      <c r="PDJ29" s="537"/>
      <c r="PDK29" s="537"/>
      <c r="PDL29" s="537"/>
      <c r="PDM29" s="537"/>
      <c r="PDN29" s="537"/>
      <c r="PDO29" s="537"/>
      <c r="PDP29" s="537"/>
      <c r="PDQ29" s="537"/>
      <c r="PDR29" s="537"/>
      <c r="PDS29" s="537"/>
      <c r="PDT29" s="537"/>
      <c r="PDU29" s="537"/>
      <c r="PDV29" s="537"/>
      <c r="PDW29" s="537"/>
      <c r="PDX29" s="537"/>
      <c r="PDY29" s="537"/>
      <c r="PDZ29" s="537"/>
      <c r="PEA29" s="537"/>
      <c r="PEB29" s="537"/>
      <c r="PEC29" s="537"/>
      <c r="PED29" s="537"/>
      <c r="PEE29" s="537"/>
      <c r="PEF29" s="537"/>
      <c r="PEG29" s="537"/>
      <c r="PEH29" s="537"/>
      <c r="PEI29" s="537"/>
      <c r="PEJ29" s="537"/>
      <c r="PEK29" s="537"/>
      <c r="PEL29" s="537"/>
      <c r="PEM29" s="537"/>
      <c r="PEN29" s="537"/>
      <c r="PEO29" s="537"/>
      <c r="PEP29" s="537"/>
      <c r="PEQ29" s="537"/>
      <c r="PER29" s="537"/>
      <c r="PES29" s="537"/>
      <c r="PET29" s="537"/>
      <c r="PEU29" s="537"/>
      <c r="PEV29" s="537"/>
      <c r="PEW29" s="537"/>
      <c r="PEX29" s="537"/>
      <c r="PEY29" s="537"/>
      <c r="PEZ29" s="537"/>
      <c r="PFA29" s="537"/>
      <c r="PFB29" s="537"/>
      <c r="PFC29" s="537"/>
      <c r="PFD29" s="537"/>
      <c r="PFE29" s="537"/>
      <c r="PFF29" s="537"/>
      <c r="PFG29" s="537"/>
      <c r="PFH29" s="537"/>
      <c r="PFI29" s="537"/>
      <c r="PFJ29" s="537"/>
      <c r="PFK29" s="537"/>
      <c r="PFL29" s="537"/>
      <c r="PFM29" s="537"/>
      <c r="PFN29" s="537"/>
      <c r="PFO29" s="537"/>
      <c r="PFP29" s="537"/>
      <c r="PFQ29" s="537"/>
      <c r="PFR29" s="537"/>
      <c r="PFS29" s="537"/>
      <c r="PFT29" s="537"/>
      <c r="PFU29" s="537"/>
      <c r="PFV29" s="537"/>
      <c r="PFW29" s="537"/>
      <c r="PFX29" s="537"/>
      <c r="PFY29" s="537"/>
      <c r="PFZ29" s="537"/>
      <c r="PGA29" s="537"/>
      <c r="PGB29" s="537"/>
      <c r="PGC29" s="537"/>
      <c r="PGD29" s="537"/>
      <c r="PGE29" s="537"/>
      <c r="PGF29" s="537"/>
      <c r="PGG29" s="537"/>
      <c r="PGH29" s="537"/>
      <c r="PGI29" s="537"/>
      <c r="PGJ29" s="537"/>
      <c r="PGK29" s="537"/>
      <c r="PGL29" s="537"/>
      <c r="PGM29" s="537"/>
      <c r="PGN29" s="537"/>
      <c r="PGO29" s="537"/>
      <c r="PGP29" s="537"/>
      <c r="PGQ29" s="537"/>
      <c r="PGR29" s="537"/>
      <c r="PGS29" s="537"/>
      <c r="PGT29" s="537"/>
      <c r="PGU29" s="537"/>
      <c r="PGV29" s="537"/>
      <c r="PGW29" s="537"/>
      <c r="PGX29" s="537"/>
      <c r="PGY29" s="537"/>
      <c r="PGZ29" s="537"/>
      <c r="PHA29" s="537"/>
      <c r="PHB29" s="537"/>
      <c r="PHC29" s="537"/>
      <c r="PHD29" s="537"/>
      <c r="PHE29" s="537"/>
      <c r="PHF29" s="537"/>
      <c r="PHG29" s="537"/>
      <c r="PHH29" s="537"/>
      <c r="PHI29" s="537"/>
      <c r="PHJ29" s="537"/>
      <c r="PHK29" s="537"/>
      <c r="PHL29" s="537"/>
      <c r="PHM29" s="537"/>
      <c r="PHN29" s="537"/>
      <c r="PHO29" s="537"/>
      <c r="PHP29" s="537"/>
      <c r="PHQ29" s="537"/>
      <c r="PHR29" s="537"/>
      <c r="PHS29" s="537"/>
      <c r="PHT29" s="537"/>
      <c r="PHU29" s="537"/>
      <c r="PHV29" s="537"/>
      <c r="PHW29" s="537"/>
      <c r="PHX29" s="537"/>
      <c r="PHY29" s="537"/>
      <c r="PHZ29" s="537"/>
      <c r="PIA29" s="537"/>
      <c r="PIB29" s="537"/>
      <c r="PIC29" s="537"/>
      <c r="PID29" s="537"/>
      <c r="PIE29" s="537"/>
      <c r="PIF29" s="537"/>
      <c r="PIG29" s="537"/>
      <c r="PIH29" s="537"/>
      <c r="PII29" s="537"/>
      <c r="PIJ29" s="537"/>
      <c r="PIK29" s="537"/>
      <c r="PIL29" s="537"/>
      <c r="PIM29" s="537"/>
      <c r="PIN29" s="537"/>
      <c r="PIO29" s="537"/>
      <c r="PIP29" s="537"/>
      <c r="PIQ29" s="537"/>
      <c r="PIR29" s="537"/>
      <c r="PIS29" s="537"/>
      <c r="PIT29" s="537"/>
      <c r="PIU29" s="537"/>
      <c r="PIV29" s="537"/>
      <c r="PIW29" s="537"/>
      <c r="PIX29" s="537"/>
      <c r="PIY29" s="537"/>
      <c r="PIZ29" s="537"/>
      <c r="PJA29" s="537"/>
      <c r="PJB29" s="537"/>
      <c r="PJC29" s="537"/>
      <c r="PJD29" s="537"/>
      <c r="PJE29" s="537"/>
      <c r="PJF29" s="537"/>
      <c r="PJG29" s="537"/>
      <c r="PJH29" s="537"/>
      <c r="PJI29" s="537"/>
      <c r="PJJ29" s="537"/>
      <c r="PJK29" s="537"/>
      <c r="PJL29" s="537"/>
      <c r="PJM29" s="537"/>
      <c r="PJN29" s="537"/>
      <c r="PJO29" s="537"/>
      <c r="PJP29" s="537"/>
      <c r="PJQ29" s="537"/>
      <c r="PJR29" s="537"/>
      <c r="PJS29" s="537"/>
      <c r="PJT29" s="537"/>
      <c r="PJU29" s="537"/>
      <c r="PJV29" s="537"/>
      <c r="PJW29" s="537"/>
      <c r="PJX29" s="537"/>
      <c r="PJY29" s="537"/>
      <c r="PJZ29" s="537"/>
      <c r="PKA29" s="537"/>
      <c r="PKB29" s="537"/>
      <c r="PKC29" s="537"/>
      <c r="PKD29" s="537"/>
      <c r="PKE29" s="537"/>
      <c r="PKF29" s="537"/>
      <c r="PKG29" s="537"/>
      <c r="PKH29" s="537"/>
      <c r="PKI29" s="537"/>
      <c r="PKJ29" s="537"/>
      <c r="PKK29" s="537"/>
      <c r="PKL29" s="537"/>
      <c r="PKM29" s="537"/>
      <c r="PKN29" s="537"/>
      <c r="PKO29" s="537"/>
      <c r="PKP29" s="537"/>
      <c r="PKQ29" s="537"/>
      <c r="PKR29" s="537"/>
      <c r="PKS29" s="537"/>
      <c r="PKT29" s="537"/>
      <c r="PKU29" s="537"/>
      <c r="PKV29" s="537"/>
      <c r="PKW29" s="537"/>
      <c r="PKX29" s="537"/>
      <c r="PKY29" s="537"/>
      <c r="PKZ29" s="537"/>
      <c r="PLA29" s="537"/>
      <c r="PLB29" s="537"/>
      <c r="PLC29" s="537"/>
      <c r="PLD29" s="537"/>
      <c r="PLE29" s="537"/>
      <c r="PLF29" s="537"/>
      <c r="PLG29" s="537"/>
      <c r="PLH29" s="537"/>
      <c r="PLI29" s="537"/>
      <c r="PLJ29" s="537"/>
      <c r="PLK29" s="537"/>
      <c r="PLL29" s="537"/>
      <c r="PLM29" s="537"/>
      <c r="PLN29" s="537"/>
      <c r="PLO29" s="537"/>
      <c r="PLP29" s="537"/>
      <c r="PLQ29" s="537"/>
      <c r="PLR29" s="537"/>
      <c r="PLS29" s="537"/>
      <c r="PLT29" s="537"/>
      <c r="PLU29" s="537"/>
      <c r="PLV29" s="537"/>
      <c r="PLW29" s="537"/>
      <c r="PLX29" s="537"/>
      <c r="PLY29" s="537"/>
      <c r="PLZ29" s="537"/>
      <c r="PMA29" s="537"/>
      <c r="PMB29" s="537"/>
      <c r="PMC29" s="537"/>
      <c r="PMD29" s="537"/>
      <c r="PME29" s="537"/>
      <c r="PMF29" s="537"/>
      <c r="PMG29" s="537"/>
      <c r="PMH29" s="537"/>
      <c r="PMI29" s="537"/>
      <c r="PMJ29" s="537"/>
      <c r="PMK29" s="537"/>
      <c r="PML29" s="537"/>
      <c r="PMM29" s="537"/>
      <c r="PMN29" s="537"/>
      <c r="PMO29" s="537"/>
      <c r="PMP29" s="537"/>
      <c r="PMQ29" s="537"/>
      <c r="PMR29" s="537"/>
      <c r="PMS29" s="537"/>
      <c r="PMT29" s="537"/>
      <c r="PMU29" s="537"/>
      <c r="PMV29" s="537"/>
      <c r="PMW29" s="537"/>
      <c r="PMX29" s="537"/>
      <c r="PMY29" s="537"/>
      <c r="PMZ29" s="537"/>
      <c r="PNA29" s="537"/>
      <c r="PNB29" s="537"/>
      <c r="PNC29" s="537"/>
      <c r="PND29" s="537"/>
      <c r="PNE29" s="537"/>
      <c r="PNF29" s="537"/>
      <c r="PNG29" s="537"/>
      <c r="PNH29" s="537"/>
      <c r="PNI29" s="537"/>
      <c r="PNJ29" s="537"/>
      <c r="PNK29" s="537"/>
      <c r="PNL29" s="537"/>
      <c r="PNM29" s="537"/>
      <c r="PNN29" s="537"/>
      <c r="PNO29" s="537"/>
      <c r="PNP29" s="537"/>
      <c r="PNQ29" s="537"/>
      <c r="PNR29" s="537"/>
      <c r="PNS29" s="537"/>
      <c r="PNT29" s="537"/>
      <c r="PNU29" s="537"/>
      <c r="PNV29" s="537"/>
      <c r="PNW29" s="537"/>
      <c r="PNX29" s="537"/>
      <c r="PNY29" s="537"/>
      <c r="PNZ29" s="537"/>
      <c r="POA29" s="537"/>
      <c r="POB29" s="537"/>
      <c r="POC29" s="537"/>
      <c r="POD29" s="537"/>
      <c r="POE29" s="537"/>
      <c r="POF29" s="537"/>
      <c r="POG29" s="537"/>
      <c r="POH29" s="537"/>
      <c r="POI29" s="537"/>
      <c r="POJ29" s="537"/>
      <c r="POK29" s="537"/>
      <c r="POL29" s="537"/>
      <c r="POM29" s="537"/>
      <c r="PON29" s="537"/>
      <c r="POO29" s="537"/>
      <c r="POP29" s="537"/>
      <c r="POQ29" s="537"/>
      <c r="POR29" s="537"/>
      <c r="POS29" s="537"/>
      <c r="POT29" s="537"/>
      <c r="POU29" s="537"/>
      <c r="POV29" s="537"/>
      <c r="POW29" s="537"/>
      <c r="POX29" s="537"/>
      <c r="POY29" s="537"/>
      <c r="POZ29" s="537"/>
      <c r="PPA29" s="537"/>
      <c r="PPB29" s="537"/>
      <c r="PPC29" s="537"/>
      <c r="PPD29" s="537"/>
      <c r="PPE29" s="537"/>
      <c r="PPF29" s="537"/>
      <c r="PPG29" s="537"/>
      <c r="PPH29" s="537"/>
      <c r="PPI29" s="537"/>
      <c r="PPJ29" s="537"/>
      <c r="PPK29" s="537"/>
      <c r="PPL29" s="537"/>
      <c r="PPM29" s="537"/>
      <c r="PPN29" s="537"/>
      <c r="PPO29" s="537"/>
      <c r="PPP29" s="537"/>
      <c r="PPQ29" s="537"/>
      <c r="PPR29" s="537"/>
      <c r="PPS29" s="537"/>
      <c r="PPT29" s="537"/>
      <c r="PPU29" s="537"/>
      <c r="PPV29" s="537"/>
      <c r="PPW29" s="537"/>
      <c r="PPX29" s="537"/>
      <c r="PPY29" s="537"/>
      <c r="PPZ29" s="537"/>
      <c r="PQA29" s="537"/>
      <c r="PQB29" s="537"/>
      <c r="PQC29" s="537"/>
      <c r="PQD29" s="537"/>
      <c r="PQE29" s="537"/>
      <c r="PQF29" s="537"/>
      <c r="PQG29" s="537"/>
      <c r="PQH29" s="537"/>
      <c r="PQI29" s="537"/>
      <c r="PQJ29" s="537"/>
      <c r="PQK29" s="537"/>
      <c r="PQL29" s="537"/>
      <c r="PQM29" s="537"/>
      <c r="PQN29" s="537"/>
      <c r="PQO29" s="537"/>
      <c r="PQP29" s="537"/>
      <c r="PQQ29" s="537"/>
      <c r="PQR29" s="537"/>
      <c r="PQS29" s="537"/>
      <c r="PQT29" s="537"/>
      <c r="PQU29" s="537"/>
      <c r="PQV29" s="537"/>
      <c r="PQW29" s="537"/>
      <c r="PQX29" s="537"/>
      <c r="PQY29" s="537"/>
      <c r="PQZ29" s="537"/>
      <c r="PRA29" s="537"/>
      <c r="PRB29" s="537"/>
      <c r="PRC29" s="537"/>
      <c r="PRD29" s="537"/>
      <c r="PRE29" s="537"/>
      <c r="PRF29" s="537"/>
      <c r="PRG29" s="537"/>
      <c r="PRH29" s="537"/>
      <c r="PRI29" s="537"/>
      <c r="PRJ29" s="537"/>
      <c r="PRK29" s="537"/>
      <c r="PRL29" s="537"/>
      <c r="PRM29" s="537"/>
      <c r="PRN29" s="537"/>
      <c r="PRO29" s="537"/>
      <c r="PRP29" s="537"/>
      <c r="PRQ29" s="537"/>
      <c r="PRR29" s="537"/>
      <c r="PRS29" s="537"/>
      <c r="PRT29" s="537"/>
      <c r="PRU29" s="537"/>
      <c r="PRV29" s="537"/>
      <c r="PRW29" s="537"/>
      <c r="PRX29" s="537"/>
      <c r="PRY29" s="537"/>
      <c r="PRZ29" s="537"/>
      <c r="PSA29" s="537"/>
      <c r="PSB29" s="537"/>
      <c r="PSC29" s="537"/>
      <c r="PSD29" s="537"/>
      <c r="PSE29" s="537"/>
      <c r="PSF29" s="537"/>
      <c r="PSG29" s="537"/>
      <c r="PSH29" s="537"/>
      <c r="PSI29" s="537"/>
      <c r="PSJ29" s="537"/>
      <c r="PSK29" s="537"/>
      <c r="PSL29" s="537"/>
      <c r="PSM29" s="537"/>
      <c r="PSN29" s="537"/>
      <c r="PSO29" s="537"/>
      <c r="PSP29" s="537"/>
      <c r="PSQ29" s="537"/>
      <c r="PSR29" s="537"/>
      <c r="PSS29" s="537"/>
      <c r="PST29" s="537"/>
      <c r="PSU29" s="537"/>
      <c r="PSV29" s="537"/>
      <c r="PSW29" s="537"/>
      <c r="PSX29" s="537"/>
      <c r="PSY29" s="537"/>
      <c r="PSZ29" s="537"/>
      <c r="PTA29" s="537"/>
      <c r="PTB29" s="537"/>
      <c r="PTC29" s="537"/>
      <c r="PTD29" s="537"/>
      <c r="PTE29" s="537"/>
      <c r="PTF29" s="537"/>
      <c r="PTG29" s="537"/>
      <c r="PTH29" s="537"/>
      <c r="PTI29" s="537"/>
      <c r="PTJ29" s="537"/>
      <c r="PTK29" s="537"/>
      <c r="PTL29" s="537"/>
      <c r="PTM29" s="537"/>
      <c r="PTN29" s="537"/>
      <c r="PTO29" s="537"/>
      <c r="PTP29" s="537"/>
      <c r="PTQ29" s="537"/>
      <c r="PTR29" s="537"/>
      <c r="PTS29" s="537"/>
      <c r="PTT29" s="537"/>
      <c r="PTU29" s="537"/>
      <c r="PTV29" s="537"/>
      <c r="PTW29" s="537"/>
      <c r="PTX29" s="537"/>
      <c r="PTY29" s="537"/>
      <c r="PTZ29" s="537"/>
      <c r="PUA29" s="537"/>
      <c r="PUB29" s="537"/>
      <c r="PUC29" s="537"/>
      <c r="PUD29" s="537"/>
      <c r="PUE29" s="537"/>
      <c r="PUF29" s="537"/>
      <c r="PUG29" s="537"/>
      <c r="PUH29" s="537"/>
      <c r="PUI29" s="537"/>
      <c r="PUJ29" s="537"/>
      <c r="PUK29" s="537"/>
      <c r="PUL29" s="537"/>
      <c r="PUM29" s="537"/>
      <c r="PUN29" s="537"/>
      <c r="PUO29" s="537"/>
      <c r="PUP29" s="537"/>
      <c r="PUQ29" s="537"/>
      <c r="PUR29" s="537"/>
      <c r="PUS29" s="537"/>
      <c r="PUT29" s="537"/>
      <c r="PUU29" s="537"/>
      <c r="PUV29" s="537"/>
      <c r="PUW29" s="537"/>
      <c r="PUX29" s="537"/>
      <c r="PUY29" s="537"/>
      <c r="PUZ29" s="537"/>
      <c r="PVA29" s="537"/>
      <c r="PVB29" s="537"/>
      <c r="PVC29" s="537"/>
      <c r="PVD29" s="537"/>
      <c r="PVE29" s="537"/>
      <c r="PVF29" s="537"/>
      <c r="PVG29" s="537"/>
      <c r="PVH29" s="537"/>
      <c r="PVI29" s="537"/>
      <c r="PVJ29" s="537"/>
      <c r="PVK29" s="537"/>
      <c r="PVL29" s="537"/>
      <c r="PVM29" s="537"/>
      <c r="PVN29" s="537"/>
      <c r="PVO29" s="537"/>
      <c r="PVP29" s="537"/>
      <c r="PVQ29" s="537"/>
      <c r="PVR29" s="537"/>
      <c r="PVS29" s="537"/>
      <c r="PVT29" s="537"/>
      <c r="PVU29" s="537"/>
      <c r="PVV29" s="537"/>
      <c r="PVW29" s="537"/>
      <c r="PVX29" s="537"/>
      <c r="PVY29" s="537"/>
      <c r="PVZ29" s="537"/>
      <c r="PWA29" s="537"/>
      <c r="PWB29" s="537"/>
      <c r="PWC29" s="537"/>
      <c r="PWD29" s="537"/>
      <c r="PWE29" s="537"/>
      <c r="PWF29" s="537"/>
      <c r="PWG29" s="537"/>
      <c r="PWH29" s="537"/>
      <c r="PWI29" s="537"/>
      <c r="PWJ29" s="537"/>
      <c r="PWK29" s="537"/>
      <c r="PWL29" s="537"/>
      <c r="PWM29" s="537"/>
      <c r="PWN29" s="537"/>
      <c r="PWO29" s="537"/>
      <c r="PWP29" s="537"/>
      <c r="PWQ29" s="537"/>
      <c r="PWR29" s="537"/>
      <c r="PWS29" s="537"/>
      <c r="PWT29" s="537"/>
      <c r="PWU29" s="537"/>
      <c r="PWV29" s="537"/>
      <c r="PWW29" s="537"/>
      <c r="PWX29" s="537"/>
      <c r="PWY29" s="537"/>
      <c r="PWZ29" s="537"/>
      <c r="PXA29" s="537"/>
      <c r="PXB29" s="537"/>
      <c r="PXC29" s="537"/>
      <c r="PXD29" s="537"/>
      <c r="PXE29" s="537"/>
      <c r="PXF29" s="537"/>
      <c r="PXG29" s="537"/>
      <c r="PXH29" s="537"/>
      <c r="PXI29" s="537"/>
      <c r="PXJ29" s="537"/>
      <c r="PXK29" s="537"/>
      <c r="PXL29" s="537"/>
      <c r="PXM29" s="537"/>
      <c r="PXN29" s="537"/>
      <c r="PXO29" s="537"/>
      <c r="PXP29" s="537"/>
      <c r="PXQ29" s="537"/>
      <c r="PXR29" s="537"/>
      <c r="PXS29" s="537"/>
      <c r="PXT29" s="537"/>
      <c r="PXU29" s="537"/>
      <c r="PXV29" s="537"/>
      <c r="PXW29" s="537"/>
      <c r="PXX29" s="537"/>
      <c r="PXY29" s="537"/>
      <c r="PXZ29" s="537"/>
      <c r="PYA29" s="537"/>
      <c r="PYB29" s="537"/>
      <c r="PYC29" s="537"/>
      <c r="PYD29" s="537"/>
      <c r="PYE29" s="537"/>
      <c r="PYF29" s="537"/>
      <c r="PYG29" s="537"/>
      <c r="PYH29" s="537"/>
      <c r="PYI29" s="537"/>
      <c r="PYJ29" s="537"/>
      <c r="PYK29" s="537"/>
      <c r="PYL29" s="537"/>
      <c r="PYM29" s="537"/>
      <c r="PYN29" s="537"/>
      <c r="PYO29" s="537"/>
      <c r="PYP29" s="537"/>
      <c r="PYQ29" s="537"/>
      <c r="PYR29" s="537"/>
      <c r="PYS29" s="537"/>
      <c r="PYT29" s="537"/>
      <c r="PYU29" s="537"/>
      <c r="PYV29" s="537"/>
      <c r="PYW29" s="537"/>
      <c r="PYX29" s="537"/>
      <c r="PYY29" s="537"/>
      <c r="PYZ29" s="537"/>
      <c r="PZA29" s="537"/>
      <c r="PZB29" s="537"/>
      <c r="PZC29" s="537"/>
      <c r="PZD29" s="537"/>
      <c r="PZE29" s="537"/>
      <c r="PZF29" s="537"/>
      <c r="PZG29" s="537"/>
      <c r="PZH29" s="537"/>
      <c r="PZI29" s="537"/>
      <c r="PZJ29" s="537"/>
      <c r="PZK29" s="537"/>
      <c r="PZL29" s="537"/>
      <c r="PZM29" s="537"/>
      <c r="PZN29" s="537"/>
      <c r="PZO29" s="537"/>
      <c r="PZP29" s="537"/>
      <c r="PZQ29" s="537"/>
      <c r="PZR29" s="537"/>
      <c r="PZS29" s="537"/>
      <c r="PZT29" s="537"/>
      <c r="PZU29" s="537"/>
      <c r="PZV29" s="537"/>
      <c r="PZW29" s="537"/>
      <c r="PZX29" s="537"/>
      <c r="PZY29" s="537"/>
      <c r="PZZ29" s="537"/>
      <c r="QAA29" s="537"/>
      <c r="QAB29" s="537"/>
      <c r="QAC29" s="537"/>
      <c r="QAD29" s="537"/>
      <c r="QAE29" s="537"/>
      <c r="QAF29" s="537"/>
      <c r="QAG29" s="537"/>
      <c r="QAH29" s="537"/>
      <c r="QAI29" s="537"/>
      <c r="QAJ29" s="537"/>
      <c r="QAK29" s="537"/>
      <c r="QAL29" s="537"/>
      <c r="QAM29" s="537"/>
      <c r="QAN29" s="537"/>
      <c r="QAO29" s="537"/>
      <c r="QAP29" s="537"/>
      <c r="QAQ29" s="537"/>
      <c r="QAR29" s="537"/>
      <c r="QAS29" s="537"/>
      <c r="QAT29" s="537"/>
      <c r="QAU29" s="537"/>
      <c r="QAV29" s="537"/>
      <c r="QAW29" s="537"/>
      <c r="QAX29" s="537"/>
      <c r="QAY29" s="537"/>
      <c r="QAZ29" s="537"/>
      <c r="QBA29" s="537"/>
      <c r="QBB29" s="537"/>
      <c r="QBC29" s="537"/>
      <c r="QBD29" s="537"/>
      <c r="QBE29" s="537"/>
      <c r="QBF29" s="537"/>
      <c r="QBG29" s="537"/>
      <c r="QBH29" s="537"/>
      <c r="QBI29" s="537"/>
      <c r="QBJ29" s="537"/>
      <c r="QBK29" s="537"/>
      <c r="QBL29" s="537"/>
      <c r="QBM29" s="537"/>
      <c r="QBN29" s="537"/>
      <c r="QBO29" s="537"/>
      <c r="QBP29" s="537"/>
      <c r="QBQ29" s="537"/>
      <c r="QBR29" s="537"/>
      <c r="QBS29" s="537"/>
      <c r="QBT29" s="537"/>
      <c r="QBU29" s="537"/>
      <c r="QBV29" s="537"/>
      <c r="QBW29" s="537"/>
      <c r="QBX29" s="537"/>
      <c r="QBY29" s="537"/>
      <c r="QBZ29" s="537"/>
      <c r="QCA29" s="537"/>
      <c r="QCB29" s="537"/>
      <c r="QCC29" s="537"/>
      <c r="QCD29" s="537"/>
      <c r="QCE29" s="537"/>
      <c r="QCF29" s="537"/>
      <c r="QCG29" s="537"/>
      <c r="QCH29" s="537"/>
      <c r="QCI29" s="537"/>
      <c r="QCJ29" s="537"/>
      <c r="QCK29" s="537"/>
      <c r="QCL29" s="537"/>
      <c r="QCM29" s="537"/>
      <c r="QCN29" s="537"/>
      <c r="QCO29" s="537"/>
      <c r="QCP29" s="537"/>
      <c r="QCQ29" s="537"/>
      <c r="QCR29" s="537"/>
      <c r="QCS29" s="537"/>
      <c r="QCT29" s="537"/>
      <c r="QCU29" s="537"/>
      <c r="QCV29" s="537"/>
      <c r="QCW29" s="537"/>
      <c r="QCX29" s="537"/>
      <c r="QCY29" s="537"/>
      <c r="QCZ29" s="537"/>
      <c r="QDA29" s="537"/>
      <c r="QDB29" s="537"/>
      <c r="QDC29" s="537"/>
      <c r="QDD29" s="537"/>
      <c r="QDE29" s="537"/>
      <c r="QDF29" s="537"/>
      <c r="QDG29" s="537"/>
      <c r="QDH29" s="537"/>
      <c r="QDI29" s="537"/>
      <c r="QDJ29" s="537"/>
      <c r="QDK29" s="537"/>
      <c r="QDL29" s="537"/>
      <c r="QDM29" s="537"/>
      <c r="QDN29" s="537"/>
      <c r="QDO29" s="537"/>
      <c r="QDP29" s="537"/>
      <c r="QDQ29" s="537"/>
      <c r="QDR29" s="537"/>
      <c r="QDS29" s="537"/>
      <c r="QDT29" s="537"/>
      <c r="QDU29" s="537"/>
      <c r="QDV29" s="537"/>
      <c r="QDW29" s="537"/>
      <c r="QDX29" s="537"/>
      <c r="QDY29" s="537"/>
      <c r="QDZ29" s="537"/>
      <c r="QEA29" s="537"/>
      <c r="QEB29" s="537"/>
      <c r="QEC29" s="537"/>
      <c r="QED29" s="537"/>
      <c r="QEE29" s="537"/>
      <c r="QEF29" s="537"/>
      <c r="QEG29" s="537"/>
      <c r="QEH29" s="537"/>
      <c r="QEI29" s="537"/>
      <c r="QEJ29" s="537"/>
      <c r="QEK29" s="537"/>
      <c r="QEL29" s="537"/>
      <c r="QEM29" s="537"/>
      <c r="QEN29" s="537"/>
      <c r="QEO29" s="537"/>
      <c r="QEP29" s="537"/>
      <c r="QEQ29" s="537"/>
      <c r="QER29" s="537"/>
      <c r="QES29" s="537"/>
      <c r="QET29" s="537"/>
      <c r="QEU29" s="537"/>
      <c r="QEV29" s="537"/>
      <c r="QEW29" s="537"/>
      <c r="QEX29" s="537"/>
      <c r="QEY29" s="537"/>
      <c r="QEZ29" s="537"/>
      <c r="QFA29" s="537"/>
      <c r="QFB29" s="537"/>
      <c r="QFC29" s="537"/>
      <c r="QFD29" s="537"/>
      <c r="QFE29" s="537"/>
      <c r="QFF29" s="537"/>
      <c r="QFG29" s="537"/>
      <c r="QFH29" s="537"/>
      <c r="QFI29" s="537"/>
      <c r="QFJ29" s="537"/>
      <c r="QFK29" s="537"/>
      <c r="QFL29" s="537"/>
      <c r="QFM29" s="537"/>
      <c r="QFN29" s="537"/>
      <c r="QFO29" s="537"/>
      <c r="QFP29" s="537"/>
      <c r="QFQ29" s="537"/>
      <c r="QFR29" s="537"/>
      <c r="QFS29" s="537"/>
      <c r="QFT29" s="537"/>
      <c r="QFU29" s="537"/>
      <c r="QFV29" s="537"/>
      <c r="QFW29" s="537"/>
      <c r="QFX29" s="537"/>
      <c r="QFY29" s="537"/>
      <c r="QFZ29" s="537"/>
      <c r="QGA29" s="537"/>
      <c r="QGB29" s="537"/>
      <c r="QGC29" s="537"/>
      <c r="QGD29" s="537"/>
      <c r="QGE29" s="537"/>
      <c r="QGF29" s="537"/>
      <c r="QGG29" s="537"/>
      <c r="QGH29" s="537"/>
      <c r="QGI29" s="537"/>
      <c r="QGJ29" s="537"/>
      <c r="QGK29" s="537"/>
      <c r="QGL29" s="537"/>
      <c r="QGM29" s="537"/>
      <c r="QGN29" s="537"/>
      <c r="QGO29" s="537"/>
      <c r="QGP29" s="537"/>
      <c r="QGQ29" s="537"/>
      <c r="QGR29" s="537"/>
      <c r="QGS29" s="537"/>
      <c r="QGT29" s="537"/>
      <c r="QGU29" s="537"/>
      <c r="QGV29" s="537"/>
      <c r="QGW29" s="537"/>
      <c r="QGX29" s="537"/>
      <c r="QGY29" s="537"/>
      <c r="QGZ29" s="537"/>
      <c r="QHA29" s="537"/>
      <c r="QHB29" s="537"/>
      <c r="QHC29" s="537"/>
      <c r="QHD29" s="537"/>
      <c r="QHE29" s="537"/>
      <c r="QHF29" s="537"/>
      <c r="QHG29" s="537"/>
      <c r="QHH29" s="537"/>
      <c r="QHI29" s="537"/>
      <c r="QHJ29" s="537"/>
      <c r="QHK29" s="537"/>
      <c r="QHL29" s="537"/>
      <c r="QHM29" s="537"/>
      <c r="QHN29" s="537"/>
      <c r="QHO29" s="537"/>
      <c r="QHP29" s="537"/>
      <c r="QHQ29" s="537"/>
      <c r="QHR29" s="537"/>
      <c r="QHS29" s="537"/>
      <c r="QHT29" s="537"/>
      <c r="QHU29" s="537"/>
      <c r="QHV29" s="537"/>
      <c r="QHW29" s="537"/>
      <c r="QHX29" s="537"/>
      <c r="QHY29" s="537"/>
      <c r="QHZ29" s="537"/>
      <c r="QIA29" s="537"/>
      <c r="QIB29" s="537"/>
      <c r="QIC29" s="537"/>
      <c r="QID29" s="537"/>
      <c r="QIE29" s="537"/>
      <c r="QIF29" s="537"/>
      <c r="QIG29" s="537"/>
      <c r="QIH29" s="537"/>
      <c r="QII29" s="537"/>
      <c r="QIJ29" s="537"/>
      <c r="QIK29" s="537"/>
      <c r="QIL29" s="537"/>
      <c r="QIM29" s="537"/>
      <c r="QIN29" s="537"/>
      <c r="QIO29" s="537"/>
      <c r="QIP29" s="537"/>
      <c r="QIQ29" s="537"/>
      <c r="QIR29" s="537"/>
      <c r="QIS29" s="537"/>
      <c r="QIT29" s="537"/>
      <c r="QIU29" s="537"/>
      <c r="QIV29" s="537"/>
      <c r="QIW29" s="537"/>
      <c r="QIX29" s="537"/>
      <c r="QIY29" s="537"/>
      <c r="QIZ29" s="537"/>
      <c r="QJA29" s="537"/>
      <c r="QJB29" s="537"/>
      <c r="QJC29" s="537"/>
      <c r="QJD29" s="537"/>
      <c r="QJE29" s="537"/>
      <c r="QJF29" s="537"/>
      <c r="QJG29" s="537"/>
      <c r="QJH29" s="537"/>
      <c r="QJI29" s="537"/>
      <c r="QJJ29" s="537"/>
      <c r="QJK29" s="537"/>
      <c r="QJL29" s="537"/>
      <c r="QJM29" s="537"/>
      <c r="QJN29" s="537"/>
      <c r="QJO29" s="537"/>
      <c r="QJP29" s="537"/>
      <c r="QJQ29" s="537"/>
      <c r="QJR29" s="537"/>
      <c r="QJS29" s="537"/>
      <c r="QJT29" s="537"/>
      <c r="QJU29" s="537"/>
      <c r="QJV29" s="537"/>
      <c r="QJW29" s="537"/>
      <c r="QJX29" s="537"/>
      <c r="QJY29" s="537"/>
      <c r="QJZ29" s="537"/>
      <c r="QKA29" s="537"/>
      <c r="QKB29" s="537"/>
      <c r="QKC29" s="537"/>
      <c r="QKD29" s="537"/>
      <c r="QKE29" s="537"/>
      <c r="QKF29" s="537"/>
      <c r="QKG29" s="537"/>
      <c r="QKH29" s="537"/>
      <c r="QKI29" s="537"/>
      <c r="QKJ29" s="537"/>
      <c r="QKK29" s="537"/>
      <c r="QKL29" s="537"/>
      <c r="QKM29" s="537"/>
      <c r="QKN29" s="537"/>
      <c r="QKO29" s="537"/>
      <c r="QKP29" s="537"/>
      <c r="QKQ29" s="537"/>
      <c r="QKR29" s="537"/>
      <c r="QKS29" s="537"/>
      <c r="QKT29" s="537"/>
      <c r="QKU29" s="537"/>
      <c r="QKV29" s="537"/>
      <c r="QKW29" s="537"/>
      <c r="QKX29" s="537"/>
      <c r="QKY29" s="537"/>
      <c r="QKZ29" s="537"/>
      <c r="QLA29" s="537"/>
      <c r="QLB29" s="537"/>
      <c r="QLC29" s="537"/>
      <c r="QLD29" s="537"/>
      <c r="QLE29" s="537"/>
      <c r="QLF29" s="537"/>
      <c r="QLG29" s="537"/>
      <c r="QLH29" s="537"/>
      <c r="QLI29" s="537"/>
      <c r="QLJ29" s="537"/>
      <c r="QLK29" s="537"/>
      <c r="QLL29" s="537"/>
      <c r="QLM29" s="537"/>
      <c r="QLN29" s="537"/>
      <c r="QLO29" s="537"/>
      <c r="QLP29" s="537"/>
      <c r="QLQ29" s="537"/>
      <c r="QLR29" s="537"/>
      <c r="QLS29" s="537"/>
      <c r="QLT29" s="537"/>
      <c r="QLU29" s="537"/>
      <c r="QLV29" s="537"/>
      <c r="QLW29" s="537"/>
      <c r="QLX29" s="537"/>
      <c r="QLY29" s="537"/>
      <c r="QLZ29" s="537"/>
      <c r="QMA29" s="537"/>
      <c r="QMB29" s="537"/>
      <c r="QMC29" s="537"/>
      <c r="QMD29" s="537"/>
      <c r="QME29" s="537"/>
      <c r="QMF29" s="537"/>
      <c r="QMG29" s="537"/>
      <c r="QMH29" s="537"/>
      <c r="QMI29" s="537"/>
      <c r="QMJ29" s="537"/>
      <c r="QMK29" s="537"/>
      <c r="QML29" s="537"/>
      <c r="QMM29" s="537"/>
      <c r="QMN29" s="537"/>
      <c r="QMO29" s="537"/>
      <c r="QMP29" s="537"/>
      <c r="QMQ29" s="537"/>
      <c r="QMR29" s="537"/>
      <c r="QMS29" s="537"/>
      <c r="QMT29" s="537"/>
      <c r="QMU29" s="537"/>
      <c r="QMV29" s="537"/>
      <c r="QMW29" s="537"/>
      <c r="QMX29" s="537"/>
      <c r="QMY29" s="537"/>
      <c r="QMZ29" s="537"/>
      <c r="QNA29" s="537"/>
      <c r="QNB29" s="537"/>
      <c r="QNC29" s="537"/>
      <c r="QND29" s="537"/>
      <c r="QNE29" s="537"/>
      <c r="QNF29" s="537"/>
      <c r="QNG29" s="537"/>
      <c r="QNH29" s="537"/>
      <c r="QNI29" s="537"/>
      <c r="QNJ29" s="537"/>
      <c r="QNK29" s="537"/>
      <c r="QNL29" s="537"/>
      <c r="QNM29" s="537"/>
      <c r="QNN29" s="537"/>
      <c r="QNO29" s="537"/>
      <c r="QNP29" s="537"/>
      <c r="QNQ29" s="537"/>
      <c r="QNR29" s="537"/>
      <c r="QNS29" s="537"/>
      <c r="QNT29" s="537"/>
      <c r="QNU29" s="537"/>
      <c r="QNV29" s="537"/>
      <c r="QNW29" s="537"/>
      <c r="QNX29" s="537"/>
      <c r="QNY29" s="537"/>
      <c r="QNZ29" s="537"/>
      <c r="QOA29" s="537"/>
      <c r="QOB29" s="537"/>
      <c r="QOC29" s="537"/>
      <c r="QOD29" s="537"/>
      <c r="QOE29" s="537"/>
      <c r="QOF29" s="537"/>
      <c r="QOG29" s="537"/>
      <c r="QOH29" s="537"/>
      <c r="QOI29" s="537"/>
      <c r="QOJ29" s="537"/>
      <c r="QOK29" s="537"/>
      <c r="QOL29" s="537"/>
      <c r="QOM29" s="537"/>
      <c r="QON29" s="537"/>
      <c r="QOO29" s="537"/>
      <c r="QOP29" s="537"/>
      <c r="QOQ29" s="537"/>
      <c r="QOR29" s="537"/>
      <c r="QOS29" s="537"/>
      <c r="QOT29" s="537"/>
      <c r="QOU29" s="537"/>
      <c r="QOV29" s="537"/>
      <c r="QOW29" s="537"/>
      <c r="QOX29" s="537"/>
      <c r="QOY29" s="537"/>
      <c r="QOZ29" s="537"/>
      <c r="QPA29" s="537"/>
      <c r="QPB29" s="537"/>
      <c r="QPC29" s="537"/>
      <c r="QPD29" s="537"/>
      <c r="QPE29" s="537"/>
      <c r="QPF29" s="537"/>
      <c r="QPG29" s="537"/>
      <c r="QPH29" s="537"/>
      <c r="QPI29" s="537"/>
      <c r="QPJ29" s="537"/>
      <c r="QPK29" s="537"/>
      <c r="QPL29" s="537"/>
      <c r="QPM29" s="537"/>
      <c r="QPN29" s="537"/>
      <c r="QPO29" s="537"/>
      <c r="QPP29" s="537"/>
      <c r="QPQ29" s="537"/>
      <c r="QPR29" s="537"/>
      <c r="QPS29" s="537"/>
      <c r="QPT29" s="537"/>
      <c r="QPU29" s="537"/>
      <c r="QPV29" s="537"/>
      <c r="QPW29" s="537"/>
      <c r="QPX29" s="537"/>
      <c r="QPY29" s="537"/>
      <c r="QPZ29" s="537"/>
      <c r="QQA29" s="537"/>
      <c r="QQB29" s="537"/>
      <c r="QQC29" s="537"/>
      <c r="QQD29" s="537"/>
      <c r="QQE29" s="537"/>
      <c r="QQF29" s="537"/>
      <c r="QQG29" s="537"/>
      <c r="QQH29" s="537"/>
      <c r="QQI29" s="537"/>
      <c r="QQJ29" s="537"/>
      <c r="QQK29" s="537"/>
      <c r="QQL29" s="537"/>
      <c r="QQM29" s="537"/>
      <c r="QQN29" s="537"/>
      <c r="QQO29" s="537"/>
      <c r="QQP29" s="537"/>
      <c r="QQQ29" s="537"/>
      <c r="QQR29" s="537"/>
      <c r="QQS29" s="537"/>
      <c r="QQT29" s="537"/>
      <c r="QQU29" s="537"/>
      <c r="QQV29" s="537"/>
      <c r="QQW29" s="537"/>
      <c r="QQX29" s="537"/>
      <c r="QQY29" s="537"/>
      <c r="QQZ29" s="537"/>
      <c r="QRA29" s="537"/>
      <c r="QRB29" s="537"/>
      <c r="QRC29" s="537"/>
      <c r="QRD29" s="537"/>
      <c r="QRE29" s="537"/>
      <c r="QRF29" s="537"/>
      <c r="QRG29" s="537"/>
      <c r="QRH29" s="537"/>
      <c r="QRI29" s="537"/>
      <c r="QRJ29" s="537"/>
      <c r="QRK29" s="537"/>
      <c r="QRL29" s="537"/>
      <c r="QRM29" s="537"/>
      <c r="QRN29" s="537"/>
      <c r="QRO29" s="537"/>
      <c r="QRP29" s="537"/>
      <c r="QRQ29" s="537"/>
      <c r="QRR29" s="537"/>
      <c r="QRS29" s="537"/>
      <c r="QRT29" s="537"/>
      <c r="QRU29" s="537"/>
      <c r="QRV29" s="537"/>
      <c r="QRW29" s="537"/>
      <c r="QRX29" s="537"/>
      <c r="QRY29" s="537"/>
      <c r="QRZ29" s="537"/>
      <c r="QSA29" s="537"/>
      <c r="QSB29" s="537"/>
      <c r="QSC29" s="537"/>
      <c r="QSD29" s="537"/>
      <c r="QSE29" s="537"/>
      <c r="QSF29" s="537"/>
      <c r="QSG29" s="537"/>
      <c r="QSH29" s="537"/>
      <c r="QSI29" s="537"/>
      <c r="QSJ29" s="537"/>
      <c r="QSK29" s="537"/>
      <c r="QSL29" s="537"/>
      <c r="QSM29" s="537"/>
      <c r="QSN29" s="537"/>
      <c r="QSO29" s="537"/>
      <c r="QSP29" s="537"/>
      <c r="QSQ29" s="537"/>
      <c r="QSR29" s="537"/>
      <c r="QSS29" s="537"/>
      <c r="QST29" s="537"/>
      <c r="QSU29" s="537"/>
      <c r="QSV29" s="537"/>
      <c r="QSW29" s="537"/>
      <c r="QSX29" s="537"/>
      <c r="QSY29" s="537"/>
      <c r="QSZ29" s="537"/>
      <c r="QTA29" s="537"/>
      <c r="QTB29" s="537"/>
      <c r="QTC29" s="537"/>
      <c r="QTD29" s="537"/>
      <c r="QTE29" s="537"/>
      <c r="QTF29" s="537"/>
      <c r="QTG29" s="537"/>
      <c r="QTH29" s="537"/>
      <c r="QTI29" s="537"/>
      <c r="QTJ29" s="537"/>
      <c r="QTK29" s="537"/>
      <c r="QTL29" s="537"/>
      <c r="QTM29" s="537"/>
      <c r="QTN29" s="537"/>
      <c r="QTO29" s="537"/>
      <c r="QTP29" s="537"/>
      <c r="QTQ29" s="537"/>
      <c r="QTR29" s="537"/>
      <c r="QTS29" s="537"/>
      <c r="QTT29" s="537"/>
      <c r="QTU29" s="537"/>
      <c r="QTV29" s="537"/>
      <c r="QTW29" s="537"/>
      <c r="QTX29" s="537"/>
      <c r="QTY29" s="537"/>
      <c r="QTZ29" s="537"/>
      <c r="QUA29" s="537"/>
      <c r="QUB29" s="537"/>
      <c r="QUC29" s="537"/>
      <c r="QUD29" s="537"/>
      <c r="QUE29" s="537"/>
      <c r="QUF29" s="537"/>
      <c r="QUG29" s="537"/>
      <c r="QUH29" s="537"/>
      <c r="QUI29" s="537"/>
      <c r="QUJ29" s="537"/>
      <c r="QUK29" s="537"/>
      <c r="QUL29" s="537"/>
      <c r="QUM29" s="537"/>
      <c r="QUN29" s="537"/>
      <c r="QUO29" s="537"/>
      <c r="QUP29" s="537"/>
      <c r="QUQ29" s="537"/>
      <c r="QUR29" s="537"/>
      <c r="QUS29" s="537"/>
      <c r="QUT29" s="537"/>
      <c r="QUU29" s="537"/>
      <c r="QUV29" s="537"/>
      <c r="QUW29" s="537"/>
      <c r="QUX29" s="537"/>
      <c r="QUY29" s="537"/>
      <c r="QUZ29" s="537"/>
      <c r="QVA29" s="537"/>
      <c r="QVB29" s="537"/>
      <c r="QVC29" s="537"/>
      <c r="QVD29" s="537"/>
      <c r="QVE29" s="537"/>
      <c r="QVF29" s="537"/>
      <c r="QVG29" s="537"/>
      <c r="QVH29" s="537"/>
      <c r="QVI29" s="537"/>
      <c r="QVJ29" s="537"/>
      <c r="QVK29" s="537"/>
      <c r="QVL29" s="537"/>
      <c r="QVM29" s="537"/>
      <c r="QVN29" s="537"/>
      <c r="QVO29" s="537"/>
      <c r="QVP29" s="537"/>
      <c r="QVQ29" s="537"/>
      <c r="QVR29" s="537"/>
      <c r="QVS29" s="537"/>
      <c r="QVT29" s="537"/>
      <c r="QVU29" s="537"/>
      <c r="QVV29" s="537"/>
      <c r="QVW29" s="537"/>
      <c r="QVX29" s="537"/>
      <c r="QVY29" s="537"/>
      <c r="QVZ29" s="537"/>
      <c r="QWA29" s="537"/>
      <c r="QWB29" s="537"/>
      <c r="QWC29" s="537"/>
      <c r="QWD29" s="537"/>
      <c r="QWE29" s="537"/>
      <c r="QWF29" s="537"/>
      <c r="QWG29" s="537"/>
      <c r="QWH29" s="537"/>
      <c r="QWI29" s="537"/>
      <c r="QWJ29" s="537"/>
      <c r="QWK29" s="537"/>
      <c r="QWL29" s="537"/>
      <c r="QWM29" s="537"/>
      <c r="QWN29" s="537"/>
      <c r="QWO29" s="537"/>
      <c r="QWP29" s="537"/>
      <c r="QWQ29" s="537"/>
      <c r="QWR29" s="537"/>
      <c r="QWS29" s="537"/>
      <c r="QWT29" s="537"/>
      <c r="QWU29" s="537"/>
      <c r="QWV29" s="537"/>
      <c r="QWW29" s="537"/>
      <c r="QWX29" s="537"/>
      <c r="QWY29" s="537"/>
      <c r="QWZ29" s="537"/>
      <c r="QXA29" s="537"/>
      <c r="QXB29" s="537"/>
      <c r="QXC29" s="537"/>
      <c r="QXD29" s="537"/>
      <c r="QXE29" s="537"/>
      <c r="QXF29" s="537"/>
      <c r="QXG29" s="537"/>
      <c r="QXH29" s="537"/>
      <c r="QXI29" s="537"/>
      <c r="QXJ29" s="537"/>
      <c r="QXK29" s="537"/>
      <c r="QXL29" s="537"/>
      <c r="QXM29" s="537"/>
      <c r="QXN29" s="537"/>
      <c r="QXO29" s="537"/>
      <c r="QXP29" s="537"/>
      <c r="QXQ29" s="537"/>
      <c r="QXR29" s="537"/>
      <c r="QXS29" s="537"/>
      <c r="QXT29" s="537"/>
      <c r="QXU29" s="537"/>
      <c r="QXV29" s="537"/>
      <c r="QXW29" s="537"/>
      <c r="QXX29" s="537"/>
      <c r="QXY29" s="537"/>
      <c r="QXZ29" s="537"/>
      <c r="QYA29" s="537"/>
      <c r="QYB29" s="537"/>
      <c r="QYC29" s="537"/>
      <c r="QYD29" s="537"/>
      <c r="QYE29" s="537"/>
      <c r="QYF29" s="537"/>
      <c r="QYG29" s="537"/>
      <c r="QYH29" s="537"/>
      <c r="QYI29" s="537"/>
      <c r="QYJ29" s="537"/>
      <c r="QYK29" s="537"/>
      <c r="QYL29" s="537"/>
      <c r="QYM29" s="537"/>
      <c r="QYN29" s="537"/>
      <c r="QYO29" s="537"/>
      <c r="QYP29" s="537"/>
      <c r="QYQ29" s="537"/>
      <c r="QYR29" s="537"/>
      <c r="QYS29" s="537"/>
      <c r="QYT29" s="537"/>
      <c r="QYU29" s="537"/>
      <c r="QYV29" s="537"/>
      <c r="QYW29" s="537"/>
      <c r="QYX29" s="537"/>
      <c r="QYY29" s="537"/>
      <c r="QYZ29" s="537"/>
      <c r="QZA29" s="537"/>
      <c r="QZB29" s="537"/>
      <c r="QZC29" s="537"/>
      <c r="QZD29" s="537"/>
      <c r="QZE29" s="537"/>
      <c r="QZF29" s="537"/>
      <c r="QZG29" s="537"/>
      <c r="QZH29" s="537"/>
      <c r="QZI29" s="537"/>
      <c r="QZJ29" s="537"/>
      <c r="QZK29" s="537"/>
      <c r="QZL29" s="537"/>
      <c r="QZM29" s="537"/>
      <c r="QZN29" s="537"/>
      <c r="QZO29" s="537"/>
      <c r="QZP29" s="537"/>
      <c r="QZQ29" s="537"/>
      <c r="QZR29" s="537"/>
      <c r="QZS29" s="537"/>
      <c r="QZT29" s="537"/>
      <c r="QZU29" s="537"/>
      <c r="QZV29" s="537"/>
      <c r="QZW29" s="537"/>
      <c r="QZX29" s="537"/>
      <c r="QZY29" s="537"/>
      <c r="QZZ29" s="537"/>
      <c r="RAA29" s="537"/>
      <c r="RAB29" s="537"/>
      <c r="RAC29" s="537"/>
      <c r="RAD29" s="537"/>
      <c r="RAE29" s="537"/>
      <c r="RAF29" s="537"/>
      <c r="RAG29" s="537"/>
      <c r="RAH29" s="537"/>
      <c r="RAI29" s="537"/>
      <c r="RAJ29" s="537"/>
      <c r="RAK29" s="537"/>
      <c r="RAL29" s="537"/>
      <c r="RAM29" s="537"/>
      <c r="RAN29" s="537"/>
      <c r="RAO29" s="537"/>
      <c r="RAP29" s="537"/>
      <c r="RAQ29" s="537"/>
      <c r="RAR29" s="537"/>
      <c r="RAS29" s="537"/>
      <c r="RAT29" s="537"/>
      <c r="RAU29" s="537"/>
      <c r="RAV29" s="537"/>
      <c r="RAW29" s="537"/>
      <c r="RAX29" s="537"/>
      <c r="RAY29" s="537"/>
      <c r="RAZ29" s="537"/>
      <c r="RBA29" s="537"/>
      <c r="RBB29" s="537"/>
      <c r="RBC29" s="537"/>
      <c r="RBD29" s="537"/>
      <c r="RBE29" s="537"/>
      <c r="RBF29" s="537"/>
      <c r="RBG29" s="537"/>
      <c r="RBH29" s="537"/>
      <c r="RBI29" s="537"/>
      <c r="RBJ29" s="537"/>
      <c r="RBK29" s="537"/>
      <c r="RBL29" s="537"/>
      <c r="RBM29" s="537"/>
      <c r="RBN29" s="537"/>
      <c r="RBO29" s="537"/>
      <c r="RBP29" s="537"/>
      <c r="RBQ29" s="537"/>
      <c r="RBR29" s="537"/>
      <c r="RBS29" s="537"/>
      <c r="RBT29" s="537"/>
      <c r="RBU29" s="537"/>
      <c r="RBV29" s="537"/>
      <c r="RBW29" s="537"/>
      <c r="RBX29" s="537"/>
      <c r="RBY29" s="537"/>
      <c r="RBZ29" s="537"/>
      <c r="RCA29" s="537"/>
      <c r="RCB29" s="537"/>
      <c r="RCC29" s="537"/>
      <c r="RCD29" s="537"/>
      <c r="RCE29" s="537"/>
      <c r="RCF29" s="537"/>
      <c r="RCG29" s="537"/>
      <c r="RCH29" s="537"/>
      <c r="RCI29" s="537"/>
      <c r="RCJ29" s="537"/>
      <c r="RCK29" s="537"/>
      <c r="RCL29" s="537"/>
      <c r="RCM29" s="537"/>
      <c r="RCN29" s="537"/>
      <c r="RCO29" s="537"/>
      <c r="RCP29" s="537"/>
      <c r="RCQ29" s="537"/>
      <c r="RCR29" s="537"/>
      <c r="RCS29" s="537"/>
      <c r="RCT29" s="537"/>
      <c r="RCU29" s="537"/>
      <c r="RCV29" s="537"/>
      <c r="RCW29" s="537"/>
      <c r="RCX29" s="537"/>
      <c r="RCY29" s="537"/>
      <c r="RCZ29" s="537"/>
      <c r="RDA29" s="537"/>
      <c r="RDB29" s="537"/>
      <c r="RDC29" s="537"/>
      <c r="RDD29" s="537"/>
      <c r="RDE29" s="537"/>
      <c r="RDF29" s="537"/>
      <c r="RDG29" s="537"/>
      <c r="RDH29" s="537"/>
      <c r="RDI29" s="537"/>
      <c r="RDJ29" s="537"/>
      <c r="RDK29" s="537"/>
      <c r="RDL29" s="537"/>
      <c r="RDM29" s="537"/>
      <c r="RDN29" s="537"/>
      <c r="RDO29" s="537"/>
      <c r="RDP29" s="537"/>
      <c r="RDQ29" s="537"/>
      <c r="RDR29" s="537"/>
      <c r="RDS29" s="537"/>
      <c r="RDT29" s="537"/>
      <c r="RDU29" s="537"/>
      <c r="RDV29" s="537"/>
      <c r="RDW29" s="537"/>
      <c r="RDX29" s="537"/>
      <c r="RDY29" s="537"/>
      <c r="RDZ29" s="537"/>
      <c r="REA29" s="537"/>
      <c r="REB29" s="537"/>
      <c r="REC29" s="537"/>
      <c r="RED29" s="537"/>
      <c r="REE29" s="537"/>
      <c r="REF29" s="537"/>
      <c r="REG29" s="537"/>
      <c r="REH29" s="537"/>
      <c r="REI29" s="537"/>
      <c r="REJ29" s="537"/>
      <c r="REK29" s="537"/>
      <c r="REL29" s="537"/>
      <c r="REM29" s="537"/>
      <c r="REN29" s="537"/>
      <c r="REO29" s="537"/>
      <c r="REP29" s="537"/>
      <c r="REQ29" s="537"/>
      <c r="RER29" s="537"/>
      <c r="RES29" s="537"/>
      <c r="RET29" s="537"/>
      <c r="REU29" s="537"/>
      <c r="REV29" s="537"/>
      <c r="REW29" s="537"/>
      <c r="REX29" s="537"/>
      <c r="REY29" s="537"/>
      <c r="REZ29" s="537"/>
      <c r="RFA29" s="537"/>
      <c r="RFB29" s="537"/>
      <c r="RFC29" s="537"/>
      <c r="RFD29" s="537"/>
      <c r="RFE29" s="537"/>
      <c r="RFF29" s="537"/>
      <c r="RFG29" s="537"/>
      <c r="RFH29" s="537"/>
      <c r="RFI29" s="537"/>
      <c r="RFJ29" s="537"/>
      <c r="RFK29" s="537"/>
      <c r="RFL29" s="537"/>
      <c r="RFM29" s="537"/>
      <c r="RFN29" s="537"/>
      <c r="RFO29" s="537"/>
      <c r="RFP29" s="537"/>
      <c r="RFQ29" s="537"/>
      <c r="RFR29" s="537"/>
      <c r="RFS29" s="537"/>
      <c r="RFT29" s="537"/>
      <c r="RFU29" s="537"/>
      <c r="RFV29" s="537"/>
      <c r="RFW29" s="537"/>
      <c r="RFX29" s="537"/>
      <c r="RFY29" s="537"/>
      <c r="RFZ29" s="537"/>
      <c r="RGA29" s="537"/>
      <c r="RGB29" s="537"/>
      <c r="RGC29" s="537"/>
      <c r="RGD29" s="537"/>
      <c r="RGE29" s="537"/>
      <c r="RGF29" s="537"/>
      <c r="RGG29" s="537"/>
      <c r="RGH29" s="537"/>
      <c r="RGI29" s="537"/>
      <c r="RGJ29" s="537"/>
      <c r="RGK29" s="537"/>
      <c r="RGL29" s="537"/>
      <c r="RGM29" s="537"/>
      <c r="RGN29" s="537"/>
      <c r="RGO29" s="537"/>
      <c r="RGP29" s="537"/>
      <c r="RGQ29" s="537"/>
      <c r="RGR29" s="537"/>
      <c r="RGS29" s="537"/>
      <c r="RGT29" s="537"/>
      <c r="RGU29" s="537"/>
      <c r="RGV29" s="537"/>
      <c r="RGW29" s="537"/>
      <c r="RGX29" s="537"/>
      <c r="RGY29" s="537"/>
      <c r="RGZ29" s="537"/>
      <c r="RHA29" s="537"/>
      <c r="RHB29" s="537"/>
      <c r="RHC29" s="537"/>
      <c r="RHD29" s="537"/>
      <c r="RHE29" s="537"/>
      <c r="RHF29" s="537"/>
      <c r="RHG29" s="537"/>
      <c r="RHH29" s="537"/>
      <c r="RHI29" s="537"/>
      <c r="RHJ29" s="537"/>
      <c r="RHK29" s="537"/>
      <c r="RHL29" s="537"/>
      <c r="RHM29" s="537"/>
      <c r="RHN29" s="537"/>
      <c r="RHO29" s="537"/>
      <c r="RHP29" s="537"/>
      <c r="RHQ29" s="537"/>
      <c r="RHR29" s="537"/>
      <c r="RHS29" s="537"/>
      <c r="RHT29" s="537"/>
      <c r="RHU29" s="537"/>
      <c r="RHV29" s="537"/>
      <c r="RHW29" s="537"/>
      <c r="RHX29" s="537"/>
      <c r="RHY29" s="537"/>
      <c r="RHZ29" s="537"/>
      <c r="RIA29" s="537"/>
      <c r="RIB29" s="537"/>
      <c r="RIC29" s="537"/>
      <c r="RID29" s="537"/>
      <c r="RIE29" s="537"/>
      <c r="RIF29" s="537"/>
      <c r="RIG29" s="537"/>
      <c r="RIH29" s="537"/>
      <c r="RII29" s="537"/>
      <c r="RIJ29" s="537"/>
      <c r="RIK29" s="537"/>
      <c r="RIL29" s="537"/>
      <c r="RIM29" s="537"/>
      <c r="RIN29" s="537"/>
      <c r="RIO29" s="537"/>
      <c r="RIP29" s="537"/>
      <c r="RIQ29" s="537"/>
      <c r="RIR29" s="537"/>
      <c r="RIS29" s="537"/>
      <c r="RIT29" s="537"/>
      <c r="RIU29" s="537"/>
      <c r="RIV29" s="537"/>
      <c r="RIW29" s="537"/>
      <c r="RIX29" s="537"/>
      <c r="RIY29" s="537"/>
      <c r="RIZ29" s="537"/>
      <c r="RJA29" s="537"/>
      <c r="RJB29" s="537"/>
      <c r="RJC29" s="537"/>
      <c r="RJD29" s="537"/>
      <c r="RJE29" s="537"/>
      <c r="RJF29" s="537"/>
      <c r="RJG29" s="537"/>
      <c r="RJH29" s="537"/>
      <c r="RJI29" s="537"/>
      <c r="RJJ29" s="537"/>
      <c r="RJK29" s="537"/>
      <c r="RJL29" s="537"/>
      <c r="RJM29" s="537"/>
      <c r="RJN29" s="537"/>
      <c r="RJO29" s="537"/>
      <c r="RJP29" s="537"/>
      <c r="RJQ29" s="537"/>
      <c r="RJR29" s="537"/>
      <c r="RJS29" s="537"/>
      <c r="RJT29" s="537"/>
      <c r="RJU29" s="537"/>
      <c r="RJV29" s="537"/>
      <c r="RJW29" s="537"/>
      <c r="RJX29" s="537"/>
      <c r="RJY29" s="537"/>
      <c r="RJZ29" s="537"/>
      <c r="RKA29" s="537"/>
      <c r="RKB29" s="537"/>
      <c r="RKC29" s="537"/>
      <c r="RKD29" s="537"/>
      <c r="RKE29" s="537"/>
      <c r="RKF29" s="537"/>
      <c r="RKG29" s="537"/>
      <c r="RKH29" s="537"/>
      <c r="RKI29" s="537"/>
      <c r="RKJ29" s="537"/>
      <c r="RKK29" s="537"/>
      <c r="RKL29" s="537"/>
      <c r="RKM29" s="537"/>
      <c r="RKN29" s="537"/>
      <c r="RKO29" s="537"/>
      <c r="RKP29" s="537"/>
      <c r="RKQ29" s="537"/>
      <c r="RKR29" s="537"/>
      <c r="RKS29" s="537"/>
      <c r="RKT29" s="537"/>
      <c r="RKU29" s="537"/>
      <c r="RKV29" s="537"/>
      <c r="RKW29" s="537"/>
      <c r="RKX29" s="537"/>
      <c r="RKY29" s="537"/>
      <c r="RKZ29" s="537"/>
      <c r="RLA29" s="537"/>
      <c r="RLB29" s="537"/>
      <c r="RLC29" s="537"/>
      <c r="RLD29" s="537"/>
      <c r="RLE29" s="537"/>
      <c r="RLF29" s="537"/>
      <c r="RLG29" s="537"/>
      <c r="RLH29" s="537"/>
      <c r="RLI29" s="537"/>
      <c r="RLJ29" s="537"/>
      <c r="RLK29" s="537"/>
      <c r="RLL29" s="537"/>
      <c r="RLM29" s="537"/>
      <c r="RLN29" s="537"/>
      <c r="RLO29" s="537"/>
      <c r="RLP29" s="537"/>
      <c r="RLQ29" s="537"/>
      <c r="RLR29" s="537"/>
      <c r="RLS29" s="537"/>
      <c r="RLT29" s="537"/>
      <c r="RLU29" s="537"/>
      <c r="RLV29" s="537"/>
      <c r="RLW29" s="537"/>
      <c r="RLX29" s="537"/>
      <c r="RLY29" s="537"/>
      <c r="RLZ29" s="537"/>
      <c r="RMA29" s="537"/>
      <c r="RMB29" s="537"/>
      <c r="RMC29" s="537"/>
      <c r="RMD29" s="537"/>
      <c r="RME29" s="537"/>
      <c r="RMF29" s="537"/>
      <c r="RMG29" s="537"/>
      <c r="RMH29" s="537"/>
      <c r="RMI29" s="537"/>
      <c r="RMJ29" s="537"/>
      <c r="RMK29" s="537"/>
      <c r="RML29" s="537"/>
      <c r="RMM29" s="537"/>
      <c r="RMN29" s="537"/>
      <c r="RMO29" s="537"/>
      <c r="RMP29" s="537"/>
      <c r="RMQ29" s="537"/>
      <c r="RMR29" s="537"/>
      <c r="RMS29" s="537"/>
      <c r="RMT29" s="537"/>
      <c r="RMU29" s="537"/>
      <c r="RMV29" s="537"/>
      <c r="RMW29" s="537"/>
      <c r="RMX29" s="537"/>
      <c r="RMY29" s="537"/>
      <c r="RMZ29" s="537"/>
      <c r="RNA29" s="537"/>
      <c r="RNB29" s="537"/>
      <c r="RNC29" s="537"/>
      <c r="RND29" s="537"/>
      <c r="RNE29" s="537"/>
      <c r="RNF29" s="537"/>
      <c r="RNG29" s="537"/>
      <c r="RNH29" s="537"/>
      <c r="RNI29" s="537"/>
      <c r="RNJ29" s="537"/>
      <c r="RNK29" s="537"/>
      <c r="RNL29" s="537"/>
      <c r="RNM29" s="537"/>
      <c r="RNN29" s="537"/>
      <c r="RNO29" s="537"/>
      <c r="RNP29" s="537"/>
      <c r="RNQ29" s="537"/>
      <c r="RNR29" s="537"/>
      <c r="RNS29" s="537"/>
      <c r="RNT29" s="537"/>
      <c r="RNU29" s="537"/>
      <c r="RNV29" s="537"/>
      <c r="RNW29" s="537"/>
      <c r="RNX29" s="537"/>
      <c r="RNY29" s="537"/>
      <c r="RNZ29" s="537"/>
      <c r="ROA29" s="537"/>
      <c r="ROB29" s="537"/>
      <c r="ROC29" s="537"/>
      <c r="ROD29" s="537"/>
      <c r="ROE29" s="537"/>
      <c r="ROF29" s="537"/>
      <c r="ROG29" s="537"/>
      <c r="ROH29" s="537"/>
      <c r="ROI29" s="537"/>
      <c r="ROJ29" s="537"/>
      <c r="ROK29" s="537"/>
      <c r="ROL29" s="537"/>
      <c r="ROM29" s="537"/>
      <c r="RON29" s="537"/>
      <c r="ROO29" s="537"/>
      <c r="ROP29" s="537"/>
      <c r="ROQ29" s="537"/>
      <c r="ROR29" s="537"/>
      <c r="ROS29" s="537"/>
      <c r="ROT29" s="537"/>
      <c r="ROU29" s="537"/>
      <c r="ROV29" s="537"/>
      <c r="ROW29" s="537"/>
      <c r="ROX29" s="537"/>
      <c r="ROY29" s="537"/>
      <c r="ROZ29" s="537"/>
      <c r="RPA29" s="537"/>
      <c r="RPB29" s="537"/>
      <c r="RPC29" s="537"/>
      <c r="RPD29" s="537"/>
      <c r="RPE29" s="537"/>
      <c r="RPF29" s="537"/>
      <c r="RPG29" s="537"/>
      <c r="RPH29" s="537"/>
      <c r="RPI29" s="537"/>
      <c r="RPJ29" s="537"/>
      <c r="RPK29" s="537"/>
      <c r="RPL29" s="537"/>
      <c r="RPM29" s="537"/>
      <c r="RPN29" s="537"/>
      <c r="RPO29" s="537"/>
      <c r="RPP29" s="537"/>
      <c r="RPQ29" s="537"/>
      <c r="RPR29" s="537"/>
      <c r="RPS29" s="537"/>
      <c r="RPT29" s="537"/>
      <c r="RPU29" s="537"/>
      <c r="RPV29" s="537"/>
      <c r="RPW29" s="537"/>
      <c r="RPX29" s="537"/>
      <c r="RPY29" s="537"/>
      <c r="RPZ29" s="537"/>
      <c r="RQA29" s="537"/>
      <c r="RQB29" s="537"/>
      <c r="RQC29" s="537"/>
      <c r="RQD29" s="537"/>
      <c r="RQE29" s="537"/>
      <c r="RQF29" s="537"/>
      <c r="RQG29" s="537"/>
      <c r="RQH29" s="537"/>
      <c r="RQI29" s="537"/>
      <c r="RQJ29" s="537"/>
      <c r="RQK29" s="537"/>
      <c r="RQL29" s="537"/>
      <c r="RQM29" s="537"/>
      <c r="RQN29" s="537"/>
      <c r="RQO29" s="537"/>
      <c r="RQP29" s="537"/>
      <c r="RQQ29" s="537"/>
      <c r="RQR29" s="537"/>
      <c r="RQS29" s="537"/>
      <c r="RQT29" s="537"/>
      <c r="RQU29" s="537"/>
      <c r="RQV29" s="537"/>
      <c r="RQW29" s="537"/>
      <c r="RQX29" s="537"/>
      <c r="RQY29" s="537"/>
      <c r="RQZ29" s="537"/>
      <c r="RRA29" s="537"/>
      <c r="RRB29" s="537"/>
      <c r="RRC29" s="537"/>
      <c r="RRD29" s="537"/>
      <c r="RRE29" s="537"/>
      <c r="RRF29" s="537"/>
      <c r="RRG29" s="537"/>
      <c r="RRH29" s="537"/>
      <c r="RRI29" s="537"/>
      <c r="RRJ29" s="537"/>
      <c r="RRK29" s="537"/>
      <c r="RRL29" s="537"/>
      <c r="RRM29" s="537"/>
      <c r="RRN29" s="537"/>
      <c r="RRO29" s="537"/>
      <c r="RRP29" s="537"/>
      <c r="RRQ29" s="537"/>
      <c r="RRR29" s="537"/>
      <c r="RRS29" s="537"/>
      <c r="RRT29" s="537"/>
      <c r="RRU29" s="537"/>
      <c r="RRV29" s="537"/>
      <c r="RRW29" s="537"/>
      <c r="RRX29" s="537"/>
      <c r="RRY29" s="537"/>
      <c r="RRZ29" s="537"/>
      <c r="RSA29" s="537"/>
      <c r="RSB29" s="537"/>
      <c r="RSC29" s="537"/>
      <c r="RSD29" s="537"/>
      <c r="RSE29" s="537"/>
      <c r="RSF29" s="537"/>
      <c r="RSG29" s="537"/>
      <c r="RSH29" s="537"/>
      <c r="RSI29" s="537"/>
      <c r="RSJ29" s="537"/>
      <c r="RSK29" s="537"/>
      <c r="RSL29" s="537"/>
      <c r="RSM29" s="537"/>
      <c r="RSN29" s="537"/>
      <c r="RSO29" s="537"/>
      <c r="RSP29" s="537"/>
      <c r="RSQ29" s="537"/>
      <c r="RSR29" s="537"/>
      <c r="RSS29" s="537"/>
      <c r="RST29" s="537"/>
      <c r="RSU29" s="537"/>
      <c r="RSV29" s="537"/>
      <c r="RSW29" s="537"/>
      <c r="RSX29" s="537"/>
      <c r="RSY29" s="537"/>
      <c r="RSZ29" s="537"/>
      <c r="RTA29" s="537"/>
      <c r="RTB29" s="537"/>
      <c r="RTC29" s="537"/>
      <c r="RTD29" s="537"/>
      <c r="RTE29" s="537"/>
      <c r="RTF29" s="537"/>
      <c r="RTG29" s="537"/>
      <c r="RTH29" s="537"/>
      <c r="RTI29" s="537"/>
      <c r="RTJ29" s="537"/>
      <c r="RTK29" s="537"/>
      <c r="RTL29" s="537"/>
      <c r="RTM29" s="537"/>
      <c r="RTN29" s="537"/>
      <c r="RTO29" s="537"/>
      <c r="RTP29" s="537"/>
      <c r="RTQ29" s="537"/>
      <c r="RTR29" s="537"/>
      <c r="RTS29" s="537"/>
      <c r="RTT29" s="537"/>
      <c r="RTU29" s="537"/>
      <c r="RTV29" s="537"/>
      <c r="RTW29" s="537"/>
      <c r="RTX29" s="537"/>
      <c r="RTY29" s="537"/>
      <c r="RTZ29" s="537"/>
      <c r="RUA29" s="537"/>
      <c r="RUB29" s="537"/>
      <c r="RUC29" s="537"/>
      <c r="RUD29" s="537"/>
      <c r="RUE29" s="537"/>
      <c r="RUF29" s="537"/>
      <c r="RUG29" s="537"/>
      <c r="RUH29" s="537"/>
      <c r="RUI29" s="537"/>
      <c r="RUJ29" s="537"/>
      <c r="RUK29" s="537"/>
      <c r="RUL29" s="537"/>
      <c r="RUM29" s="537"/>
      <c r="RUN29" s="537"/>
      <c r="RUO29" s="537"/>
      <c r="RUP29" s="537"/>
      <c r="RUQ29" s="537"/>
      <c r="RUR29" s="537"/>
      <c r="RUS29" s="537"/>
      <c r="RUT29" s="537"/>
      <c r="RUU29" s="537"/>
      <c r="RUV29" s="537"/>
      <c r="RUW29" s="537"/>
      <c r="RUX29" s="537"/>
      <c r="RUY29" s="537"/>
      <c r="RUZ29" s="537"/>
      <c r="RVA29" s="537"/>
      <c r="RVB29" s="537"/>
      <c r="RVC29" s="537"/>
      <c r="RVD29" s="537"/>
      <c r="RVE29" s="537"/>
      <c r="RVF29" s="537"/>
      <c r="RVG29" s="537"/>
      <c r="RVH29" s="537"/>
      <c r="RVI29" s="537"/>
      <c r="RVJ29" s="537"/>
      <c r="RVK29" s="537"/>
      <c r="RVL29" s="537"/>
      <c r="RVM29" s="537"/>
      <c r="RVN29" s="537"/>
      <c r="RVO29" s="537"/>
      <c r="RVP29" s="537"/>
      <c r="RVQ29" s="537"/>
      <c r="RVR29" s="537"/>
      <c r="RVS29" s="537"/>
      <c r="RVT29" s="537"/>
      <c r="RVU29" s="537"/>
      <c r="RVV29" s="537"/>
      <c r="RVW29" s="537"/>
      <c r="RVX29" s="537"/>
      <c r="RVY29" s="537"/>
      <c r="RVZ29" s="537"/>
      <c r="RWA29" s="537"/>
      <c r="RWB29" s="537"/>
      <c r="RWC29" s="537"/>
      <c r="RWD29" s="537"/>
      <c r="RWE29" s="537"/>
      <c r="RWF29" s="537"/>
      <c r="RWG29" s="537"/>
      <c r="RWH29" s="537"/>
      <c r="RWI29" s="537"/>
      <c r="RWJ29" s="537"/>
      <c r="RWK29" s="537"/>
      <c r="RWL29" s="537"/>
      <c r="RWM29" s="537"/>
      <c r="RWN29" s="537"/>
      <c r="RWO29" s="537"/>
      <c r="RWP29" s="537"/>
      <c r="RWQ29" s="537"/>
      <c r="RWR29" s="537"/>
      <c r="RWS29" s="537"/>
      <c r="RWT29" s="537"/>
      <c r="RWU29" s="537"/>
      <c r="RWV29" s="537"/>
      <c r="RWW29" s="537"/>
      <c r="RWX29" s="537"/>
      <c r="RWY29" s="537"/>
      <c r="RWZ29" s="537"/>
      <c r="RXA29" s="537"/>
      <c r="RXB29" s="537"/>
      <c r="RXC29" s="537"/>
      <c r="RXD29" s="537"/>
      <c r="RXE29" s="537"/>
      <c r="RXF29" s="537"/>
      <c r="RXG29" s="537"/>
      <c r="RXH29" s="537"/>
      <c r="RXI29" s="537"/>
      <c r="RXJ29" s="537"/>
      <c r="RXK29" s="537"/>
      <c r="RXL29" s="537"/>
      <c r="RXM29" s="537"/>
      <c r="RXN29" s="537"/>
      <c r="RXO29" s="537"/>
      <c r="RXP29" s="537"/>
      <c r="RXQ29" s="537"/>
      <c r="RXR29" s="537"/>
      <c r="RXS29" s="537"/>
      <c r="RXT29" s="537"/>
      <c r="RXU29" s="537"/>
      <c r="RXV29" s="537"/>
      <c r="RXW29" s="537"/>
      <c r="RXX29" s="537"/>
      <c r="RXY29" s="537"/>
      <c r="RXZ29" s="537"/>
      <c r="RYA29" s="537"/>
      <c r="RYB29" s="537"/>
      <c r="RYC29" s="537"/>
      <c r="RYD29" s="537"/>
      <c r="RYE29" s="537"/>
      <c r="RYF29" s="537"/>
      <c r="RYG29" s="537"/>
      <c r="RYH29" s="537"/>
      <c r="RYI29" s="537"/>
      <c r="RYJ29" s="537"/>
      <c r="RYK29" s="537"/>
      <c r="RYL29" s="537"/>
      <c r="RYM29" s="537"/>
      <c r="RYN29" s="537"/>
      <c r="RYO29" s="537"/>
      <c r="RYP29" s="537"/>
      <c r="RYQ29" s="537"/>
      <c r="RYR29" s="537"/>
      <c r="RYS29" s="537"/>
      <c r="RYT29" s="537"/>
      <c r="RYU29" s="537"/>
      <c r="RYV29" s="537"/>
      <c r="RYW29" s="537"/>
      <c r="RYX29" s="537"/>
      <c r="RYY29" s="537"/>
      <c r="RYZ29" s="537"/>
      <c r="RZA29" s="537"/>
      <c r="RZB29" s="537"/>
      <c r="RZC29" s="537"/>
      <c r="RZD29" s="537"/>
      <c r="RZE29" s="537"/>
      <c r="RZF29" s="537"/>
      <c r="RZG29" s="537"/>
      <c r="RZH29" s="537"/>
      <c r="RZI29" s="537"/>
      <c r="RZJ29" s="537"/>
      <c r="RZK29" s="537"/>
      <c r="RZL29" s="537"/>
      <c r="RZM29" s="537"/>
      <c r="RZN29" s="537"/>
      <c r="RZO29" s="537"/>
      <c r="RZP29" s="537"/>
      <c r="RZQ29" s="537"/>
      <c r="RZR29" s="537"/>
      <c r="RZS29" s="537"/>
      <c r="RZT29" s="537"/>
      <c r="RZU29" s="537"/>
      <c r="RZV29" s="537"/>
      <c r="RZW29" s="537"/>
      <c r="RZX29" s="537"/>
      <c r="RZY29" s="537"/>
      <c r="RZZ29" s="537"/>
      <c r="SAA29" s="537"/>
      <c r="SAB29" s="537"/>
      <c r="SAC29" s="537"/>
      <c r="SAD29" s="537"/>
      <c r="SAE29" s="537"/>
      <c r="SAF29" s="537"/>
      <c r="SAG29" s="537"/>
      <c r="SAH29" s="537"/>
      <c r="SAI29" s="537"/>
      <c r="SAJ29" s="537"/>
      <c r="SAK29" s="537"/>
      <c r="SAL29" s="537"/>
      <c r="SAM29" s="537"/>
      <c r="SAN29" s="537"/>
      <c r="SAO29" s="537"/>
      <c r="SAP29" s="537"/>
      <c r="SAQ29" s="537"/>
      <c r="SAR29" s="537"/>
      <c r="SAS29" s="537"/>
      <c r="SAT29" s="537"/>
      <c r="SAU29" s="537"/>
      <c r="SAV29" s="537"/>
      <c r="SAW29" s="537"/>
      <c r="SAX29" s="537"/>
      <c r="SAY29" s="537"/>
      <c r="SAZ29" s="537"/>
      <c r="SBA29" s="537"/>
      <c r="SBB29" s="537"/>
      <c r="SBC29" s="537"/>
      <c r="SBD29" s="537"/>
      <c r="SBE29" s="537"/>
      <c r="SBF29" s="537"/>
      <c r="SBG29" s="537"/>
      <c r="SBH29" s="537"/>
      <c r="SBI29" s="537"/>
      <c r="SBJ29" s="537"/>
      <c r="SBK29" s="537"/>
      <c r="SBL29" s="537"/>
      <c r="SBM29" s="537"/>
      <c r="SBN29" s="537"/>
      <c r="SBO29" s="537"/>
      <c r="SBP29" s="537"/>
      <c r="SBQ29" s="537"/>
      <c r="SBR29" s="537"/>
      <c r="SBS29" s="537"/>
      <c r="SBT29" s="537"/>
      <c r="SBU29" s="537"/>
      <c r="SBV29" s="537"/>
      <c r="SBW29" s="537"/>
      <c r="SBX29" s="537"/>
      <c r="SBY29" s="537"/>
      <c r="SBZ29" s="537"/>
      <c r="SCA29" s="537"/>
      <c r="SCB29" s="537"/>
      <c r="SCC29" s="537"/>
      <c r="SCD29" s="537"/>
      <c r="SCE29" s="537"/>
      <c r="SCF29" s="537"/>
      <c r="SCG29" s="537"/>
      <c r="SCH29" s="537"/>
      <c r="SCI29" s="537"/>
      <c r="SCJ29" s="537"/>
      <c r="SCK29" s="537"/>
      <c r="SCL29" s="537"/>
      <c r="SCM29" s="537"/>
      <c r="SCN29" s="537"/>
      <c r="SCO29" s="537"/>
      <c r="SCP29" s="537"/>
      <c r="SCQ29" s="537"/>
      <c r="SCR29" s="537"/>
      <c r="SCS29" s="537"/>
      <c r="SCT29" s="537"/>
      <c r="SCU29" s="537"/>
      <c r="SCV29" s="537"/>
      <c r="SCW29" s="537"/>
      <c r="SCX29" s="537"/>
      <c r="SCY29" s="537"/>
      <c r="SCZ29" s="537"/>
      <c r="SDA29" s="537"/>
      <c r="SDB29" s="537"/>
      <c r="SDC29" s="537"/>
      <c r="SDD29" s="537"/>
      <c r="SDE29" s="537"/>
      <c r="SDF29" s="537"/>
      <c r="SDG29" s="537"/>
      <c r="SDH29" s="537"/>
      <c r="SDI29" s="537"/>
      <c r="SDJ29" s="537"/>
      <c r="SDK29" s="537"/>
      <c r="SDL29" s="537"/>
      <c r="SDM29" s="537"/>
      <c r="SDN29" s="537"/>
      <c r="SDO29" s="537"/>
      <c r="SDP29" s="537"/>
      <c r="SDQ29" s="537"/>
      <c r="SDR29" s="537"/>
      <c r="SDS29" s="537"/>
      <c r="SDT29" s="537"/>
      <c r="SDU29" s="537"/>
      <c r="SDV29" s="537"/>
      <c r="SDW29" s="537"/>
      <c r="SDX29" s="537"/>
      <c r="SDY29" s="537"/>
      <c r="SDZ29" s="537"/>
      <c r="SEA29" s="537"/>
      <c r="SEB29" s="537"/>
      <c r="SEC29" s="537"/>
      <c r="SED29" s="537"/>
      <c r="SEE29" s="537"/>
      <c r="SEF29" s="537"/>
      <c r="SEG29" s="537"/>
      <c r="SEH29" s="537"/>
      <c r="SEI29" s="537"/>
      <c r="SEJ29" s="537"/>
      <c r="SEK29" s="537"/>
      <c r="SEL29" s="537"/>
      <c r="SEM29" s="537"/>
      <c r="SEN29" s="537"/>
      <c r="SEO29" s="537"/>
      <c r="SEP29" s="537"/>
      <c r="SEQ29" s="537"/>
      <c r="SER29" s="537"/>
      <c r="SES29" s="537"/>
      <c r="SET29" s="537"/>
      <c r="SEU29" s="537"/>
      <c r="SEV29" s="537"/>
      <c r="SEW29" s="537"/>
      <c r="SEX29" s="537"/>
      <c r="SEY29" s="537"/>
      <c r="SEZ29" s="537"/>
      <c r="SFA29" s="537"/>
      <c r="SFB29" s="537"/>
      <c r="SFC29" s="537"/>
      <c r="SFD29" s="537"/>
      <c r="SFE29" s="537"/>
      <c r="SFF29" s="537"/>
      <c r="SFG29" s="537"/>
      <c r="SFH29" s="537"/>
      <c r="SFI29" s="537"/>
      <c r="SFJ29" s="537"/>
      <c r="SFK29" s="537"/>
      <c r="SFL29" s="537"/>
      <c r="SFM29" s="537"/>
      <c r="SFN29" s="537"/>
      <c r="SFO29" s="537"/>
      <c r="SFP29" s="537"/>
      <c r="SFQ29" s="537"/>
      <c r="SFR29" s="537"/>
      <c r="SFS29" s="537"/>
      <c r="SFT29" s="537"/>
      <c r="SFU29" s="537"/>
      <c r="SFV29" s="537"/>
      <c r="SFW29" s="537"/>
      <c r="SFX29" s="537"/>
      <c r="SFY29" s="537"/>
      <c r="SFZ29" s="537"/>
      <c r="SGA29" s="537"/>
      <c r="SGB29" s="537"/>
      <c r="SGC29" s="537"/>
      <c r="SGD29" s="537"/>
      <c r="SGE29" s="537"/>
      <c r="SGF29" s="537"/>
      <c r="SGG29" s="537"/>
      <c r="SGH29" s="537"/>
      <c r="SGI29" s="537"/>
      <c r="SGJ29" s="537"/>
      <c r="SGK29" s="537"/>
      <c r="SGL29" s="537"/>
      <c r="SGM29" s="537"/>
      <c r="SGN29" s="537"/>
      <c r="SGO29" s="537"/>
      <c r="SGP29" s="537"/>
      <c r="SGQ29" s="537"/>
      <c r="SGR29" s="537"/>
      <c r="SGS29" s="537"/>
      <c r="SGT29" s="537"/>
      <c r="SGU29" s="537"/>
      <c r="SGV29" s="537"/>
      <c r="SGW29" s="537"/>
      <c r="SGX29" s="537"/>
      <c r="SGY29" s="537"/>
      <c r="SGZ29" s="537"/>
      <c r="SHA29" s="537"/>
      <c r="SHB29" s="537"/>
      <c r="SHC29" s="537"/>
      <c r="SHD29" s="537"/>
      <c r="SHE29" s="537"/>
      <c r="SHF29" s="537"/>
      <c r="SHG29" s="537"/>
      <c r="SHH29" s="537"/>
      <c r="SHI29" s="537"/>
      <c r="SHJ29" s="537"/>
      <c r="SHK29" s="537"/>
      <c r="SHL29" s="537"/>
      <c r="SHM29" s="537"/>
      <c r="SHN29" s="537"/>
      <c r="SHO29" s="537"/>
      <c r="SHP29" s="537"/>
      <c r="SHQ29" s="537"/>
      <c r="SHR29" s="537"/>
      <c r="SHS29" s="537"/>
      <c r="SHT29" s="537"/>
      <c r="SHU29" s="537"/>
      <c r="SHV29" s="537"/>
      <c r="SHW29" s="537"/>
      <c r="SHX29" s="537"/>
      <c r="SHY29" s="537"/>
      <c r="SHZ29" s="537"/>
      <c r="SIA29" s="537"/>
      <c r="SIB29" s="537"/>
      <c r="SIC29" s="537"/>
      <c r="SID29" s="537"/>
      <c r="SIE29" s="537"/>
      <c r="SIF29" s="537"/>
      <c r="SIG29" s="537"/>
      <c r="SIH29" s="537"/>
      <c r="SII29" s="537"/>
      <c r="SIJ29" s="537"/>
      <c r="SIK29" s="537"/>
      <c r="SIL29" s="537"/>
      <c r="SIM29" s="537"/>
      <c r="SIN29" s="537"/>
      <c r="SIO29" s="537"/>
      <c r="SIP29" s="537"/>
      <c r="SIQ29" s="537"/>
      <c r="SIR29" s="537"/>
      <c r="SIS29" s="537"/>
      <c r="SIT29" s="537"/>
      <c r="SIU29" s="537"/>
      <c r="SIV29" s="537"/>
      <c r="SIW29" s="537"/>
      <c r="SIX29" s="537"/>
      <c r="SIY29" s="537"/>
      <c r="SIZ29" s="537"/>
      <c r="SJA29" s="537"/>
      <c r="SJB29" s="537"/>
      <c r="SJC29" s="537"/>
      <c r="SJD29" s="537"/>
      <c r="SJE29" s="537"/>
      <c r="SJF29" s="537"/>
      <c r="SJG29" s="537"/>
      <c r="SJH29" s="537"/>
      <c r="SJI29" s="537"/>
      <c r="SJJ29" s="537"/>
      <c r="SJK29" s="537"/>
      <c r="SJL29" s="537"/>
      <c r="SJM29" s="537"/>
      <c r="SJN29" s="537"/>
      <c r="SJO29" s="537"/>
      <c r="SJP29" s="537"/>
      <c r="SJQ29" s="537"/>
      <c r="SJR29" s="537"/>
      <c r="SJS29" s="537"/>
      <c r="SJT29" s="537"/>
      <c r="SJU29" s="537"/>
      <c r="SJV29" s="537"/>
      <c r="SJW29" s="537"/>
      <c r="SJX29" s="537"/>
      <c r="SJY29" s="537"/>
      <c r="SJZ29" s="537"/>
      <c r="SKA29" s="537"/>
      <c r="SKB29" s="537"/>
      <c r="SKC29" s="537"/>
      <c r="SKD29" s="537"/>
      <c r="SKE29" s="537"/>
      <c r="SKF29" s="537"/>
      <c r="SKG29" s="537"/>
      <c r="SKH29" s="537"/>
      <c r="SKI29" s="537"/>
      <c r="SKJ29" s="537"/>
      <c r="SKK29" s="537"/>
      <c r="SKL29" s="537"/>
      <c r="SKM29" s="537"/>
      <c r="SKN29" s="537"/>
      <c r="SKO29" s="537"/>
      <c r="SKP29" s="537"/>
      <c r="SKQ29" s="537"/>
      <c r="SKR29" s="537"/>
      <c r="SKS29" s="537"/>
      <c r="SKT29" s="537"/>
      <c r="SKU29" s="537"/>
      <c r="SKV29" s="537"/>
      <c r="SKW29" s="537"/>
      <c r="SKX29" s="537"/>
      <c r="SKY29" s="537"/>
      <c r="SKZ29" s="537"/>
      <c r="SLA29" s="537"/>
      <c r="SLB29" s="537"/>
      <c r="SLC29" s="537"/>
      <c r="SLD29" s="537"/>
      <c r="SLE29" s="537"/>
      <c r="SLF29" s="537"/>
      <c r="SLG29" s="537"/>
      <c r="SLH29" s="537"/>
      <c r="SLI29" s="537"/>
      <c r="SLJ29" s="537"/>
      <c r="SLK29" s="537"/>
      <c r="SLL29" s="537"/>
      <c r="SLM29" s="537"/>
      <c r="SLN29" s="537"/>
      <c r="SLO29" s="537"/>
      <c r="SLP29" s="537"/>
      <c r="SLQ29" s="537"/>
      <c r="SLR29" s="537"/>
      <c r="SLS29" s="537"/>
      <c r="SLT29" s="537"/>
      <c r="SLU29" s="537"/>
      <c r="SLV29" s="537"/>
      <c r="SLW29" s="537"/>
      <c r="SLX29" s="537"/>
      <c r="SLY29" s="537"/>
      <c r="SLZ29" s="537"/>
      <c r="SMA29" s="537"/>
      <c r="SMB29" s="537"/>
      <c r="SMC29" s="537"/>
      <c r="SMD29" s="537"/>
      <c r="SME29" s="537"/>
      <c r="SMF29" s="537"/>
      <c r="SMG29" s="537"/>
      <c r="SMH29" s="537"/>
      <c r="SMI29" s="537"/>
      <c r="SMJ29" s="537"/>
      <c r="SMK29" s="537"/>
      <c r="SML29" s="537"/>
      <c r="SMM29" s="537"/>
      <c r="SMN29" s="537"/>
      <c r="SMO29" s="537"/>
      <c r="SMP29" s="537"/>
      <c r="SMQ29" s="537"/>
      <c r="SMR29" s="537"/>
      <c r="SMS29" s="537"/>
      <c r="SMT29" s="537"/>
      <c r="SMU29" s="537"/>
      <c r="SMV29" s="537"/>
      <c r="SMW29" s="537"/>
      <c r="SMX29" s="537"/>
      <c r="SMY29" s="537"/>
      <c r="SMZ29" s="537"/>
      <c r="SNA29" s="537"/>
      <c r="SNB29" s="537"/>
      <c r="SNC29" s="537"/>
      <c r="SND29" s="537"/>
      <c r="SNE29" s="537"/>
      <c r="SNF29" s="537"/>
      <c r="SNG29" s="537"/>
      <c r="SNH29" s="537"/>
      <c r="SNI29" s="537"/>
      <c r="SNJ29" s="537"/>
      <c r="SNK29" s="537"/>
      <c r="SNL29" s="537"/>
      <c r="SNM29" s="537"/>
      <c r="SNN29" s="537"/>
      <c r="SNO29" s="537"/>
      <c r="SNP29" s="537"/>
      <c r="SNQ29" s="537"/>
      <c r="SNR29" s="537"/>
      <c r="SNS29" s="537"/>
      <c r="SNT29" s="537"/>
      <c r="SNU29" s="537"/>
      <c r="SNV29" s="537"/>
      <c r="SNW29" s="537"/>
      <c r="SNX29" s="537"/>
      <c r="SNY29" s="537"/>
      <c r="SNZ29" s="537"/>
      <c r="SOA29" s="537"/>
      <c r="SOB29" s="537"/>
      <c r="SOC29" s="537"/>
      <c r="SOD29" s="537"/>
      <c r="SOE29" s="537"/>
      <c r="SOF29" s="537"/>
      <c r="SOG29" s="537"/>
      <c r="SOH29" s="537"/>
      <c r="SOI29" s="537"/>
      <c r="SOJ29" s="537"/>
      <c r="SOK29" s="537"/>
      <c r="SOL29" s="537"/>
      <c r="SOM29" s="537"/>
      <c r="SON29" s="537"/>
      <c r="SOO29" s="537"/>
      <c r="SOP29" s="537"/>
      <c r="SOQ29" s="537"/>
      <c r="SOR29" s="537"/>
      <c r="SOS29" s="537"/>
      <c r="SOT29" s="537"/>
      <c r="SOU29" s="537"/>
      <c r="SOV29" s="537"/>
      <c r="SOW29" s="537"/>
      <c r="SOX29" s="537"/>
      <c r="SOY29" s="537"/>
      <c r="SOZ29" s="537"/>
      <c r="SPA29" s="537"/>
      <c r="SPB29" s="537"/>
      <c r="SPC29" s="537"/>
      <c r="SPD29" s="537"/>
      <c r="SPE29" s="537"/>
      <c r="SPF29" s="537"/>
      <c r="SPG29" s="537"/>
      <c r="SPH29" s="537"/>
      <c r="SPI29" s="537"/>
      <c r="SPJ29" s="537"/>
      <c r="SPK29" s="537"/>
      <c r="SPL29" s="537"/>
      <c r="SPM29" s="537"/>
      <c r="SPN29" s="537"/>
      <c r="SPO29" s="537"/>
      <c r="SPP29" s="537"/>
      <c r="SPQ29" s="537"/>
      <c r="SPR29" s="537"/>
      <c r="SPS29" s="537"/>
      <c r="SPT29" s="537"/>
      <c r="SPU29" s="537"/>
      <c r="SPV29" s="537"/>
      <c r="SPW29" s="537"/>
      <c r="SPX29" s="537"/>
      <c r="SPY29" s="537"/>
      <c r="SPZ29" s="537"/>
      <c r="SQA29" s="537"/>
      <c r="SQB29" s="537"/>
      <c r="SQC29" s="537"/>
      <c r="SQD29" s="537"/>
      <c r="SQE29" s="537"/>
      <c r="SQF29" s="537"/>
      <c r="SQG29" s="537"/>
      <c r="SQH29" s="537"/>
      <c r="SQI29" s="537"/>
      <c r="SQJ29" s="537"/>
      <c r="SQK29" s="537"/>
      <c r="SQL29" s="537"/>
      <c r="SQM29" s="537"/>
      <c r="SQN29" s="537"/>
      <c r="SQO29" s="537"/>
      <c r="SQP29" s="537"/>
      <c r="SQQ29" s="537"/>
      <c r="SQR29" s="537"/>
      <c r="SQS29" s="537"/>
      <c r="SQT29" s="537"/>
      <c r="SQU29" s="537"/>
      <c r="SQV29" s="537"/>
      <c r="SQW29" s="537"/>
      <c r="SQX29" s="537"/>
      <c r="SQY29" s="537"/>
      <c r="SQZ29" s="537"/>
      <c r="SRA29" s="537"/>
      <c r="SRB29" s="537"/>
      <c r="SRC29" s="537"/>
      <c r="SRD29" s="537"/>
      <c r="SRE29" s="537"/>
      <c r="SRF29" s="537"/>
      <c r="SRG29" s="537"/>
      <c r="SRH29" s="537"/>
      <c r="SRI29" s="537"/>
      <c r="SRJ29" s="537"/>
      <c r="SRK29" s="537"/>
      <c r="SRL29" s="537"/>
      <c r="SRM29" s="537"/>
      <c r="SRN29" s="537"/>
      <c r="SRO29" s="537"/>
      <c r="SRP29" s="537"/>
      <c r="SRQ29" s="537"/>
      <c r="SRR29" s="537"/>
      <c r="SRS29" s="537"/>
      <c r="SRT29" s="537"/>
      <c r="SRU29" s="537"/>
      <c r="SRV29" s="537"/>
      <c r="SRW29" s="537"/>
      <c r="SRX29" s="537"/>
      <c r="SRY29" s="537"/>
      <c r="SRZ29" s="537"/>
      <c r="SSA29" s="537"/>
      <c r="SSB29" s="537"/>
      <c r="SSC29" s="537"/>
      <c r="SSD29" s="537"/>
      <c r="SSE29" s="537"/>
      <c r="SSF29" s="537"/>
      <c r="SSG29" s="537"/>
      <c r="SSH29" s="537"/>
      <c r="SSI29" s="537"/>
      <c r="SSJ29" s="537"/>
      <c r="SSK29" s="537"/>
      <c r="SSL29" s="537"/>
      <c r="SSM29" s="537"/>
      <c r="SSN29" s="537"/>
      <c r="SSO29" s="537"/>
      <c r="SSP29" s="537"/>
      <c r="SSQ29" s="537"/>
      <c r="SSR29" s="537"/>
      <c r="SSS29" s="537"/>
      <c r="SST29" s="537"/>
      <c r="SSU29" s="537"/>
      <c r="SSV29" s="537"/>
      <c r="SSW29" s="537"/>
      <c r="SSX29" s="537"/>
      <c r="SSY29" s="537"/>
      <c r="SSZ29" s="537"/>
      <c r="STA29" s="537"/>
      <c r="STB29" s="537"/>
      <c r="STC29" s="537"/>
      <c r="STD29" s="537"/>
      <c r="STE29" s="537"/>
      <c r="STF29" s="537"/>
      <c r="STG29" s="537"/>
      <c r="STH29" s="537"/>
      <c r="STI29" s="537"/>
      <c r="STJ29" s="537"/>
      <c r="STK29" s="537"/>
      <c r="STL29" s="537"/>
      <c r="STM29" s="537"/>
      <c r="STN29" s="537"/>
      <c r="STO29" s="537"/>
      <c r="STP29" s="537"/>
      <c r="STQ29" s="537"/>
      <c r="STR29" s="537"/>
      <c r="STS29" s="537"/>
      <c r="STT29" s="537"/>
      <c r="STU29" s="537"/>
      <c r="STV29" s="537"/>
      <c r="STW29" s="537"/>
      <c r="STX29" s="537"/>
      <c r="STY29" s="537"/>
      <c r="STZ29" s="537"/>
      <c r="SUA29" s="537"/>
      <c r="SUB29" s="537"/>
      <c r="SUC29" s="537"/>
      <c r="SUD29" s="537"/>
      <c r="SUE29" s="537"/>
      <c r="SUF29" s="537"/>
      <c r="SUG29" s="537"/>
      <c r="SUH29" s="537"/>
      <c r="SUI29" s="537"/>
      <c r="SUJ29" s="537"/>
      <c r="SUK29" s="537"/>
      <c r="SUL29" s="537"/>
      <c r="SUM29" s="537"/>
      <c r="SUN29" s="537"/>
      <c r="SUO29" s="537"/>
      <c r="SUP29" s="537"/>
      <c r="SUQ29" s="537"/>
      <c r="SUR29" s="537"/>
      <c r="SUS29" s="537"/>
      <c r="SUT29" s="537"/>
      <c r="SUU29" s="537"/>
      <c r="SUV29" s="537"/>
      <c r="SUW29" s="537"/>
      <c r="SUX29" s="537"/>
      <c r="SUY29" s="537"/>
      <c r="SUZ29" s="537"/>
      <c r="SVA29" s="537"/>
      <c r="SVB29" s="537"/>
      <c r="SVC29" s="537"/>
      <c r="SVD29" s="537"/>
      <c r="SVE29" s="537"/>
      <c r="SVF29" s="537"/>
      <c r="SVG29" s="537"/>
      <c r="SVH29" s="537"/>
      <c r="SVI29" s="537"/>
      <c r="SVJ29" s="537"/>
      <c r="SVK29" s="537"/>
      <c r="SVL29" s="537"/>
      <c r="SVM29" s="537"/>
      <c r="SVN29" s="537"/>
      <c r="SVO29" s="537"/>
      <c r="SVP29" s="537"/>
      <c r="SVQ29" s="537"/>
      <c r="SVR29" s="537"/>
      <c r="SVS29" s="537"/>
      <c r="SVT29" s="537"/>
      <c r="SVU29" s="537"/>
      <c r="SVV29" s="537"/>
      <c r="SVW29" s="537"/>
      <c r="SVX29" s="537"/>
      <c r="SVY29" s="537"/>
      <c r="SVZ29" s="537"/>
      <c r="SWA29" s="537"/>
      <c r="SWB29" s="537"/>
      <c r="SWC29" s="537"/>
      <c r="SWD29" s="537"/>
      <c r="SWE29" s="537"/>
      <c r="SWF29" s="537"/>
      <c r="SWG29" s="537"/>
      <c r="SWH29" s="537"/>
      <c r="SWI29" s="537"/>
      <c r="SWJ29" s="537"/>
      <c r="SWK29" s="537"/>
      <c r="SWL29" s="537"/>
      <c r="SWM29" s="537"/>
      <c r="SWN29" s="537"/>
      <c r="SWO29" s="537"/>
      <c r="SWP29" s="537"/>
      <c r="SWQ29" s="537"/>
      <c r="SWR29" s="537"/>
      <c r="SWS29" s="537"/>
      <c r="SWT29" s="537"/>
      <c r="SWU29" s="537"/>
      <c r="SWV29" s="537"/>
      <c r="SWW29" s="537"/>
      <c r="SWX29" s="537"/>
      <c r="SWY29" s="537"/>
      <c r="SWZ29" s="537"/>
      <c r="SXA29" s="537"/>
      <c r="SXB29" s="537"/>
      <c r="SXC29" s="537"/>
      <c r="SXD29" s="537"/>
      <c r="SXE29" s="537"/>
      <c r="SXF29" s="537"/>
      <c r="SXG29" s="537"/>
      <c r="SXH29" s="537"/>
      <c r="SXI29" s="537"/>
      <c r="SXJ29" s="537"/>
      <c r="SXK29" s="537"/>
      <c r="SXL29" s="537"/>
      <c r="SXM29" s="537"/>
      <c r="SXN29" s="537"/>
      <c r="SXO29" s="537"/>
      <c r="SXP29" s="537"/>
      <c r="SXQ29" s="537"/>
      <c r="SXR29" s="537"/>
      <c r="SXS29" s="537"/>
      <c r="SXT29" s="537"/>
      <c r="SXU29" s="537"/>
      <c r="SXV29" s="537"/>
      <c r="SXW29" s="537"/>
      <c r="SXX29" s="537"/>
      <c r="SXY29" s="537"/>
      <c r="SXZ29" s="537"/>
      <c r="SYA29" s="537"/>
      <c r="SYB29" s="537"/>
      <c r="SYC29" s="537"/>
      <c r="SYD29" s="537"/>
      <c r="SYE29" s="537"/>
      <c r="SYF29" s="537"/>
      <c r="SYG29" s="537"/>
      <c r="SYH29" s="537"/>
      <c r="SYI29" s="537"/>
      <c r="SYJ29" s="537"/>
      <c r="SYK29" s="537"/>
      <c r="SYL29" s="537"/>
      <c r="SYM29" s="537"/>
      <c r="SYN29" s="537"/>
      <c r="SYO29" s="537"/>
      <c r="SYP29" s="537"/>
      <c r="SYQ29" s="537"/>
      <c r="SYR29" s="537"/>
      <c r="SYS29" s="537"/>
      <c r="SYT29" s="537"/>
      <c r="SYU29" s="537"/>
      <c r="SYV29" s="537"/>
      <c r="SYW29" s="537"/>
      <c r="SYX29" s="537"/>
      <c r="SYY29" s="537"/>
      <c r="SYZ29" s="537"/>
      <c r="SZA29" s="537"/>
      <c r="SZB29" s="537"/>
      <c r="SZC29" s="537"/>
      <c r="SZD29" s="537"/>
      <c r="SZE29" s="537"/>
      <c r="SZF29" s="537"/>
      <c r="SZG29" s="537"/>
      <c r="SZH29" s="537"/>
      <c r="SZI29" s="537"/>
      <c r="SZJ29" s="537"/>
      <c r="SZK29" s="537"/>
      <c r="SZL29" s="537"/>
      <c r="SZM29" s="537"/>
      <c r="SZN29" s="537"/>
      <c r="SZO29" s="537"/>
      <c r="SZP29" s="537"/>
      <c r="SZQ29" s="537"/>
      <c r="SZR29" s="537"/>
      <c r="SZS29" s="537"/>
      <c r="SZT29" s="537"/>
      <c r="SZU29" s="537"/>
      <c r="SZV29" s="537"/>
      <c r="SZW29" s="537"/>
      <c r="SZX29" s="537"/>
      <c r="SZY29" s="537"/>
      <c r="SZZ29" s="537"/>
      <c r="TAA29" s="537"/>
      <c r="TAB29" s="537"/>
      <c r="TAC29" s="537"/>
      <c r="TAD29" s="537"/>
      <c r="TAE29" s="537"/>
      <c r="TAF29" s="537"/>
      <c r="TAG29" s="537"/>
      <c r="TAH29" s="537"/>
      <c r="TAI29" s="537"/>
      <c r="TAJ29" s="537"/>
      <c r="TAK29" s="537"/>
      <c r="TAL29" s="537"/>
      <c r="TAM29" s="537"/>
      <c r="TAN29" s="537"/>
      <c r="TAO29" s="537"/>
      <c r="TAP29" s="537"/>
      <c r="TAQ29" s="537"/>
      <c r="TAR29" s="537"/>
      <c r="TAS29" s="537"/>
      <c r="TAT29" s="537"/>
      <c r="TAU29" s="537"/>
      <c r="TAV29" s="537"/>
      <c r="TAW29" s="537"/>
      <c r="TAX29" s="537"/>
      <c r="TAY29" s="537"/>
      <c r="TAZ29" s="537"/>
      <c r="TBA29" s="537"/>
      <c r="TBB29" s="537"/>
      <c r="TBC29" s="537"/>
      <c r="TBD29" s="537"/>
      <c r="TBE29" s="537"/>
      <c r="TBF29" s="537"/>
      <c r="TBG29" s="537"/>
      <c r="TBH29" s="537"/>
      <c r="TBI29" s="537"/>
      <c r="TBJ29" s="537"/>
      <c r="TBK29" s="537"/>
      <c r="TBL29" s="537"/>
      <c r="TBM29" s="537"/>
      <c r="TBN29" s="537"/>
      <c r="TBO29" s="537"/>
      <c r="TBP29" s="537"/>
      <c r="TBQ29" s="537"/>
      <c r="TBR29" s="537"/>
      <c r="TBS29" s="537"/>
      <c r="TBT29" s="537"/>
      <c r="TBU29" s="537"/>
      <c r="TBV29" s="537"/>
      <c r="TBW29" s="537"/>
      <c r="TBX29" s="537"/>
      <c r="TBY29" s="537"/>
      <c r="TBZ29" s="537"/>
      <c r="TCA29" s="537"/>
      <c r="TCB29" s="537"/>
      <c r="TCC29" s="537"/>
      <c r="TCD29" s="537"/>
      <c r="TCE29" s="537"/>
      <c r="TCF29" s="537"/>
      <c r="TCG29" s="537"/>
      <c r="TCH29" s="537"/>
      <c r="TCI29" s="537"/>
      <c r="TCJ29" s="537"/>
      <c r="TCK29" s="537"/>
      <c r="TCL29" s="537"/>
      <c r="TCM29" s="537"/>
      <c r="TCN29" s="537"/>
      <c r="TCO29" s="537"/>
      <c r="TCP29" s="537"/>
      <c r="TCQ29" s="537"/>
      <c r="TCR29" s="537"/>
      <c r="TCS29" s="537"/>
      <c r="TCT29" s="537"/>
      <c r="TCU29" s="537"/>
      <c r="TCV29" s="537"/>
      <c r="TCW29" s="537"/>
      <c r="TCX29" s="537"/>
      <c r="TCY29" s="537"/>
      <c r="TCZ29" s="537"/>
      <c r="TDA29" s="537"/>
      <c r="TDB29" s="537"/>
      <c r="TDC29" s="537"/>
      <c r="TDD29" s="537"/>
      <c r="TDE29" s="537"/>
      <c r="TDF29" s="537"/>
      <c r="TDG29" s="537"/>
      <c r="TDH29" s="537"/>
      <c r="TDI29" s="537"/>
      <c r="TDJ29" s="537"/>
      <c r="TDK29" s="537"/>
      <c r="TDL29" s="537"/>
      <c r="TDM29" s="537"/>
      <c r="TDN29" s="537"/>
      <c r="TDO29" s="537"/>
      <c r="TDP29" s="537"/>
      <c r="TDQ29" s="537"/>
      <c r="TDR29" s="537"/>
      <c r="TDS29" s="537"/>
      <c r="TDT29" s="537"/>
      <c r="TDU29" s="537"/>
      <c r="TDV29" s="537"/>
      <c r="TDW29" s="537"/>
      <c r="TDX29" s="537"/>
      <c r="TDY29" s="537"/>
      <c r="TDZ29" s="537"/>
      <c r="TEA29" s="537"/>
      <c r="TEB29" s="537"/>
      <c r="TEC29" s="537"/>
      <c r="TED29" s="537"/>
      <c r="TEE29" s="537"/>
      <c r="TEF29" s="537"/>
      <c r="TEG29" s="537"/>
      <c r="TEH29" s="537"/>
      <c r="TEI29" s="537"/>
      <c r="TEJ29" s="537"/>
      <c r="TEK29" s="537"/>
      <c r="TEL29" s="537"/>
      <c r="TEM29" s="537"/>
      <c r="TEN29" s="537"/>
      <c r="TEO29" s="537"/>
      <c r="TEP29" s="537"/>
      <c r="TEQ29" s="537"/>
      <c r="TER29" s="537"/>
      <c r="TES29" s="537"/>
      <c r="TET29" s="537"/>
      <c r="TEU29" s="537"/>
      <c r="TEV29" s="537"/>
      <c r="TEW29" s="537"/>
      <c r="TEX29" s="537"/>
      <c r="TEY29" s="537"/>
      <c r="TEZ29" s="537"/>
      <c r="TFA29" s="537"/>
      <c r="TFB29" s="537"/>
      <c r="TFC29" s="537"/>
      <c r="TFD29" s="537"/>
      <c r="TFE29" s="537"/>
      <c r="TFF29" s="537"/>
      <c r="TFG29" s="537"/>
      <c r="TFH29" s="537"/>
      <c r="TFI29" s="537"/>
      <c r="TFJ29" s="537"/>
      <c r="TFK29" s="537"/>
      <c r="TFL29" s="537"/>
      <c r="TFM29" s="537"/>
      <c r="TFN29" s="537"/>
      <c r="TFO29" s="537"/>
      <c r="TFP29" s="537"/>
      <c r="TFQ29" s="537"/>
      <c r="TFR29" s="537"/>
      <c r="TFS29" s="537"/>
      <c r="TFT29" s="537"/>
      <c r="TFU29" s="537"/>
      <c r="TFV29" s="537"/>
      <c r="TFW29" s="537"/>
      <c r="TFX29" s="537"/>
      <c r="TFY29" s="537"/>
      <c r="TFZ29" s="537"/>
      <c r="TGA29" s="537"/>
      <c r="TGB29" s="537"/>
      <c r="TGC29" s="537"/>
      <c r="TGD29" s="537"/>
      <c r="TGE29" s="537"/>
      <c r="TGF29" s="537"/>
      <c r="TGG29" s="537"/>
      <c r="TGH29" s="537"/>
      <c r="TGI29" s="537"/>
      <c r="TGJ29" s="537"/>
      <c r="TGK29" s="537"/>
      <c r="TGL29" s="537"/>
      <c r="TGM29" s="537"/>
      <c r="TGN29" s="537"/>
      <c r="TGO29" s="537"/>
      <c r="TGP29" s="537"/>
      <c r="TGQ29" s="537"/>
      <c r="TGR29" s="537"/>
      <c r="TGS29" s="537"/>
      <c r="TGT29" s="537"/>
      <c r="TGU29" s="537"/>
      <c r="TGV29" s="537"/>
      <c r="TGW29" s="537"/>
      <c r="TGX29" s="537"/>
      <c r="TGY29" s="537"/>
      <c r="TGZ29" s="537"/>
      <c r="THA29" s="537"/>
      <c r="THB29" s="537"/>
      <c r="THC29" s="537"/>
      <c r="THD29" s="537"/>
      <c r="THE29" s="537"/>
      <c r="THF29" s="537"/>
      <c r="THG29" s="537"/>
      <c r="THH29" s="537"/>
      <c r="THI29" s="537"/>
      <c r="THJ29" s="537"/>
      <c r="THK29" s="537"/>
      <c r="THL29" s="537"/>
      <c r="THM29" s="537"/>
      <c r="THN29" s="537"/>
      <c r="THO29" s="537"/>
      <c r="THP29" s="537"/>
      <c r="THQ29" s="537"/>
      <c r="THR29" s="537"/>
      <c r="THS29" s="537"/>
      <c r="THT29" s="537"/>
      <c r="THU29" s="537"/>
      <c r="THV29" s="537"/>
      <c r="THW29" s="537"/>
      <c r="THX29" s="537"/>
      <c r="THY29" s="537"/>
      <c r="THZ29" s="537"/>
      <c r="TIA29" s="537"/>
      <c r="TIB29" s="537"/>
      <c r="TIC29" s="537"/>
      <c r="TID29" s="537"/>
      <c r="TIE29" s="537"/>
      <c r="TIF29" s="537"/>
      <c r="TIG29" s="537"/>
      <c r="TIH29" s="537"/>
      <c r="TII29" s="537"/>
      <c r="TIJ29" s="537"/>
      <c r="TIK29" s="537"/>
      <c r="TIL29" s="537"/>
      <c r="TIM29" s="537"/>
      <c r="TIN29" s="537"/>
      <c r="TIO29" s="537"/>
      <c r="TIP29" s="537"/>
      <c r="TIQ29" s="537"/>
      <c r="TIR29" s="537"/>
      <c r="TIS29" s="537"/>
      <c r="TIT29" s="537"/>
      <c r="TIU29" s="537"/>
      <c r="TIV29" s="537"/>
      <c r="TIW29" s="537"/>
      <c r="TIX29" s="537"/>
      <c r="TIY29" s="537"/>
      <c r="TIZ29" s="537"/>
      <c r="TJA29" s="537"/>
      <c r="TJB29" s="537"/>
      <c r="TJC29" s="537"/>
      <c r="TJD29" s="537"/>
      <c r="TJE29" s="537"/>
      <c r="TJF29" s="537"/>
      <c r="TJG29" s="537"/>
      <c r="TJH29" s="537"/>
      <c r="TJI29" s="537"/>
      <c r="TJJ29" s="537"/>
      <c r="TJK29" s="537"/>
      <c r="TJL29" s="537"/>
      <c r="TJM29" s="537"/>
      <c r="TJN29" s="537"/>
      <c r="TJO29" s="537"/>
      <c r="TJP29" s="537"/>
      <c r="TJQ29" s="537"/>
      <c r="TJR29" s="537"/>
      <c r="TJS29" s="537"/>
      <c r="TJT29" s="537"/>
      <c r="TJU29" s="537"/>
      <c r="TJV29" s="537"/>
      <c r="TJW29" s="537"/>
      <c r="TJX29" s="537"/>
      <c r="TJY29" s="537"/>
      <c r="TJZ29" s="537"/>
      <c r="TKA29" s="537"/>
      <c r="TKB29" s="537"/>
      <c r="TKC29" s="537"/>
      <c r="TKD29" s="537"/>
      <c r="TKE29" s="537"/>
      <c r="TKF29" s="537"/>
      <c r="TKG29" s="537"/>
      <c r="TKH29" s="537"/>
      <c r="TKI29" s="537"/>
      <c r="TKJ29" s="537"/>
      <c r="TKK29" s="537"/>
      <c r="TKL29" s="537"/>
      <c r="TKM29" s="537"/>
      <c r="TKN29" s="537"/>
      <c r="TKO29" s="537"/>
      <c r="TKP29" s="537"/>
      <c r="TKQ29" s="537"/>
      <c r="TKR29" s="537"/>
      <c r="TKS29" s="537"/>
      <c r="TKT29" s="537"/>
      <c r="TKU29" s="537"/>
      <c r="TKV29" s="537"/>
      <c r="TKW29" s="537"/>
      <c r="TKX29" s="537"/>
      <c r="TKY29" s="537"/>
      <c r="TKZ29" s="537"/>
      <c r="TLA29" s="537"/>
      <c r="TLB29" s="537"/>
      <c r="TLC29" s="537"/>
      <c r="TLD29" s="537"/>
      <c r="TLE29" s="537"/>
      <c r="TLF29" s="537"/>
      <c r="TLG29" s="537"/>
      <c r="TLH29" s="537"/>
      <c r="TLI29" s="537"/>
      <c r="TLJ29" s="537"/>
      <c r="TLK29" s="537"/>
      <c r="TLL29" s="537"/>
      <c r="TLM29" s="537"/>
      <c r="TLN29" s="537"/>
      <c r="TLO29" s="537"/>
      <c r="TLP29" s="537"/>
      <c r="TLQ29" s="537"/>
      <c r="TLR29" s="537"/>
      <c r="TLS29" s="537"/>
      <c r="TLT29" s="537"/>
      <c r="TLU29" s="537"/>
      <c r="TLV29" s="537"/>
      <c r="TLW29" s="537"/>
      <c r="TLX29" s="537"/>
      <c r="TLY29" s="537"/>
      <c r="TLZ29" s="537"/>
      <c r="TMA29" s="537"/>
      <c r="TMB29" s="537"/>
      <c r="TMC29" s="537"/>
      <c r="TMD29" s="537"/>
      <c r="TME29" s="537"/>
      <c r="TMF29" s="537"/>
      <c r="TMG29" s="537"/>
      <c r="TMH29" s="537"/>
      <c r="TMI29" s="537"/>
      <c r="TMJ29" s="537"/>
      <c r="TMK29" s="537"/>
      <c r="TML29" s="537"/>
      <c r="TMM29" s="537"/>
      <c r="TMN29" s="537"/>
      <c r="TMO29" s="537"/>
      <c r="TMP29" s="537"/>
      <c r="TMQ29" s="537"/>
      <c r="TMR29" s="537"/>
      <c r="TMS29" s="537"/>
      <c r="TMT29" s="537"/>
      <c r="TMU29" s="537"/>
      <c r="TMV29" s="537"/>
      <c r="TMW29" s="537"/>
      <c r="TMX29" s="537"/>
      <c r="TMY29" s="537"/>
      <c r="TMZ29" s="537"/>
      <c r="TNA29" s="537"/>
      <c r="TNB29" s="537"/>
      <c r="TNC29" s="537"/>
      <c r="TND29" s="537"/>
      <c r="TNE29" s="537"/>
      <c r="TNF29" s="537"/>
      <c r="TNG29" s="537"/>
      <c r="TNH29" s="537"/>
      <c r="TNI29" s="537"/>
      <c r="TNJ29" s="537"/>
      <c r="TNK29" s="537"/>
      <c r="TNL29" s="537"/>
      <c r="TNM29" s="537"/>
      <c r="TNN29" s="537"/>
      <c r="TNO29" s="537"/>
      <c r="TNP29" s="537"/>
      <c r="TNQ29" s="537"/>
      <c r="TNR29" s="537"/>
      <c r="TNS29" s="537"/>
      <c r="TNT29" s="537"/>
      <c r="TNU29" s="537"/>
      <c r="TNV29" s="537"/>
      <c r="TNW29" s="537"/>
      <c r="TNX29" s="537"/>
      <c r="TNY29" s="537"/>
      <c r="TNZ29" s="537"/>
      <c r="TOA29" s="537"/>
      <c r="TOB29" s="537"/>
      <c r="TOC29" s="537"/>
      <c r="TOD29" s="537"/>
      <c r="TOE29" s="537"/>
      <c r="TOF29" s="537"/>
      <c r="TOG29" s="537"/>
      <c r="TOH29" s="537"/>
      <c r="TOI29" s="537"/>
      <c r="TOJ29" s="537"/>
      <c r="TOK29" s="537"/>
      <c r="TOL29" s="537"/>
      <c r="TOM29" s="537"/>
      <c r="TON29" s="537"/>
      <c r="TOO29" s="537"/>
      <c r="TOP29" s="537"/>
      <c r="TOQ29" s="537"/>
      <c r="TOR29" s="537"/>
      <c r="TOS29" s="537"/>
      <c r="TOT29" s="537"/>
      <c r="TOU29" s="537"/>
      <c r="TOV29" s="537"/>
      <c r="TOW29" s="537"/>
      <c r="TOX29" s="537"/>
      <c r="TOY29" s="537"/>
      <c r="TOZ29" s="537"/>
      <c r="TPA29" s="537"/>
      <c r="TPB29" s="537"/>
      <c r="TPC29" s="537"/>
      <c r="TPD29" s="537"/>
      <c r="TPE29" s="537"/>
      <c r="TPF29" s="537"/>
      <c r="TPG29" s="537"/>
      <c r="TPH29" s="537"/>
      <c r="TPI29" s="537"/>
      <c r="TPJ29" s="537"/>
      <c r="TPK29" s="537"/>
      <c r="TPL29" s="537"/>
      <c r="TPM29" s="537"/>
      <c r="TPN29" s="537"/>
      <c r="TPO29" s="537"/>
      <c r="TPP29" s="537"/>
      <c r="TPQ29" s="537"/>
      <c r="TPR29" s="537"/>
      <c r="TPS29" s="537"/>
      <c r="TPT29" s="537"/>
      <c r="TPU29" s="537"/>
      <c r="TPV29" s="537"/>
      <c r="TPW29" s="537"/>
      <c r="TPX29" s="537"/>
      <c r="TPY29" s="537"/>
      <c r="TPZ29" s="537"/>
      <c r="TQA29" s="537"/>
      <c r="TQB29" s="537"/>
      <c r="TQC29" s="537"/>
      <c r="TQD29" s="537"/>
      <c r="TQE29" s="537"/>
      <c r="TQF29" s="537"/>
      <c r="TQG29" s="537"/>
      <c r="TQH29" s="537"/>
      <c r="TQI29" s="537"/>
      <c r="TQJ29" s="537"/>
      <c r="TQK29" s="537"/>
      <c r="TQL29" s="537"/>
      <c r="TQM29" s="537"/>
      <c r="TQN29" s="537"/>
      <c r="TQO29" s="537"/>
      <c r="TQP29" s="537"/>
      <c r="TQQ29" s="537"/>
      <c r="TQR29" s="537"/>
      <c r="TQS29" s="537"/>
      <c r="TQT29" s="537"/>
      <c r="TQU29" s="537"/>
      <c r="TQV29" s="537"/>
      <c r="TQW29" s="537"/>
      <c r="TQX29" s="537"/>
      <c r="TQY29" s="537"/>
      <c r="TQZ29" s="537"/>
      <c r="TRA29" s="537"/>
      <c r="TRB29" s="537"/>
      <c r="TRC29" s="537"/>
      <c r="TRD29" s="537"/>
      <c r="TRE29" s="537"/>
      <c r="TRF29" s="537"/>
      <c r="TRG29" s="537"/>
      <c r="TRH29" s="537"/>
      <c r="TRI29" s="537"/>
      <c r="TRJ29" s="537"/>
      <c r="TRK29" s="537"/>
      <c r="TRL29" s="537"/>
      <c r="TRM29" s="537"/>
      <c r="TRN29" s="537"/>
      <c r="TRO29" s="537"/>
      <c r="TRP29" s="537"/>
      <c r="TRQ29" s="537"/>
      <c r="TRR29" s="537"/>
      <c r="TRS29" s="537"/>
      <c r="TRT29" s="537"/>
      <c r="TRU29" s="537"/>
      <c r="TRV29" s="537"/>
      <c r="TRW29" s="537"/>
      <c r="TRX29" s="537"/>
      <c r="TRY29" s="537"/>
      <c r="TRZ29" s="537"/>
      <c r="TSA29" s="537"/>
      <c r="TSB29" s="537"/>
      <c r="TSC29" s="537"/>
      <c r="TSD29" s="537"/>
      <c r="TSE29" s="537"/>
      <c r="TSF29" s="537"/>
      <c r="TSG29" s="537"/>
      <c r="TSH29" s="537"/>
      <c r="TSI29" s="537"/>
      <c r="TSJ29" s="537"/>
      <c r="TSK29" s="537"/>
      <c r="TSL29" s="537"/>
      <c r="TSM29" s="537"/>
      <c r="TSN29" s="537"/>
      <c r="TSO29" s="537"/>
      <c r="TSP29" s="537"/>
      <c r="TSQ29" s="537"/>
      <c r="TSR29" s="537"/>
      <c r="TSS29" s="537"/>
      <c r="TST29" s="537"/>
      <c r="TSU29" s="537"/>
      <c r="TSV29" s="537"/>
      <c r="TSW29" s="537"/>
      <c r="TSX29" s="537"/>
      <c r="TSY29" s="537"/>
      <c r="TSZ29" s="537"/>
      <c r="TTA29" s="537"/>
      <c r="TTB29" s="537"/>
      <c r="TTC29" s="537"/>
      <c r="TTD29" s="537"/>
      <c r="TTE29" s="537"/>
      <c r="TTF29" s="537"/>
      <c r="TTG29" s="537"/>
      <c r="TTH29" s="537"/>
      <c r="TTI29" s="537"/>
      <c r="TTJ29" s="537"/>
      <c r="TTK29" s="537"/>
      <c r="TTL29" s="537"/>
      <c r="TTM29" s="537"/>
      <c r="TTN29" s="537"/>
      <c r="TTO29" s="537"/>
      <c r="TTP29" s="537"/>
      <c r="TTQ29" s="537"/>
      <c r="TTR29" s="537"/>
      <c r="TTS29" s="537"/>
      <c r="TTT29" s="537"/>
      <c r="TTU29" s="537"/>
      <c r="TTV29" s="537"/>
      <c r="TTW29" s="537"/>
      <c r="TTX29" s="537"/>
      <c r="TTY29" s="537"/>
      <c r="TTZ29" s="537"/>
      <c r="TUA29" s="537"/>
      <c r="TUB29" s="537"/>
      <c r="TUC29" s="537"/>
      <c r="TUD29" s="537"/>
      <c r="TUE29" s="537"/>
      <c r="TUF29" s="537"/>
      <c r="TUG29" s="537"/>
      <c r="TUH29" s="537"/>
      <c r="TUI29" s="537"/>
      <c r="TUJ29" s="537"/>
      <c r="TUK29" s="537"/>
      <c r="TUL29" s="537"/>
      <c r="TUM29" s="537"/>
      <c r="TUN29" s="537"/>
      <c r="TUO29" s="537"/>
      <c r="TUP29" s="537"/>
      <c r="TUQ29" s="537"/>
      <c r="TUR29" s="537"/>
      <c r="TUS29" s="537"/>
      <c r="TUT29" s="537"/>
      <c r="TUU29" s="537"/>
      <c r="TUV29" s="537"/>
      <c r="TUW29" s="537"/>
      <c r="TUX29" s="537"/>
      <c r="TUY29" s="537"/>
      <c r="TUZ29" s="537"/>
      <c r="TVA29" s="537"/>
      <c r="TVB29" s="537"/>
      <c r="TVC29" s="537"/>
      <c r="TVD29" s="537"/>
      <c r="TVE29" s="537"/>
      <c r="TVF29" s="537"/>
      <c r="TVG29" s="537"/>
      <c r="TVH29" s="537"/>
      <c r="TVI29" s="537"/>
      <c r="TVJ29" s="537"/>
      <c r="TVK29" s="537"/>
      <c r="TVL29" s="537"/>
      <c r="TVM29" s="537"/>
      <c r="TVN29" s="537"/>
      <c r="TVO29" s="537"/>
      <c r="TVP29" s="537"/>
      <c r="TVQ29" s="537"/>
      <c r="TVR29" s="537"/>
      <c r="TVS29" s="537"/>
      <c r="TVT29" s="537"/>
      <c r="TVU29" s="537"/>
      <c r="TVV29" s="537"/>
      <c r="TVW29" s="537"/>
      <c r="TVX29" s="537"/>
      <c r="TVY29" s="537"/>
      <c r="TVZ29" s="537"/>
      <c r="TWA29" s="537"/>
      <c r="TWB29" s="537"/>
      <c r="TWC29" s="537"/>
      <c r="TWD29" s="537"/>
      <c r="TWE29" s="537"/>
      <c r="TWF29" s="537"/>
      <c r="TWG29" s="537"/>
      <c r="TWH29" s="537"/>
      <c r="TWI29" s="537"/>
      <c r="TWJ29" s="537"/>
      <c r="TWK29" s="537"/>
      <c r="TWL29" s="537"/>
      <c r="TWM29" s="537"/>
      <c r="TWN29" s="537"/>
      <c r="TWO29" s="537"/>
      <c r="TWP29" s="537"/>
      <c r="TWQ29" s="537"/>
      <c r="TWR29" s="537"/>
      <c r="TWS29" s="537"/>
      <c r="TWT29" s="537"/>
      <c r="TWU29" s="537"/>
      <c r="TWV29" s="537"/>
      <c r="TWW29" s="537"/>
      <c r="TWX29" s="537"/>
      <c r="TWY29" s="537"/>
      <c r="TWZ29" s="537"/>
      <c r="TXA29" s="537"/>
      <c r="TXB29" s="537"/>
      <c r="TXC29" s="537"/>
      <c r="TXD29" s="537"/>
      <c r="TXE29" s="537"/>
      <c r="TXF29" s="537"/>
      <c r="TXG29" s="537"/>
      <c r="TXH29" s="537"/>
      <c r="TXI29" s="537"/>
      <c r="TXJ29" s="537"/>
      <c r="TXK29" s="537"/>
      <c r="TXL29" s="537"/>
      <c r="TXM29" s="537"/>
      <c r="TXN29" s="537"/>
      <c r="TXO29" s="537"/>
      <c r="TXP29" s="537"/>
      <c r="TXQ29" s="537"/>
      <c r="TXR29" s="537"/>
      <c r="TXS29" s="537"/>
      <c r="TXT29" s="537"/>
      <c r="TXU29" s="537"/>
      <c r="TXV29" s="537"/>
      <c r="TXW29" s="537"/>
      <c r="TXX29" s="537"/>
      <c r="TXY29" s="537"/>
      <c r="TXZ29" s="537"/>
      <c r="TYA29" s="537"/>
      <c r="TYB29" s="537"/>
      <c r="TYC29" s="537"/>
      <c r="TYD29" s="537"/>
      <c r="TYE29" s="537"/>
      <c r="TYF29" s="537"/>
      <c r="TYG29" s="537"/>
      <c r="TYH29" s="537"/>
      <c r="TYI29" s="537"/>
      <c r="TYJ29" s="537"/>
      <c r="TYK29" s="537"/>
      <c r="TYL29" s="537"/>
      <c r="TYM29" s="537"/>
      <c r="TYN29" s="537"/>
      <c r="TYO29" s="537"/>
      <c r="TYP29" s="537"/>
      <c r="TYQ29" s="537"/>
      <c r="TYR29" s="537"/>
      <c r="TYS29" s="537"/>
      <c r="TYT29" s="537"/>
      <c r="TYU29" s="537"/>
      <c r="TYV29" s="537"/>
      <c r="TYW29" s="537"/>
      <c r="TYX29" s="537"/>
      <c r="TYY29" s="537"/>
      <c r="TYZ29" s="537"/>
      <c r="TZA29" s="537"/>
      <c r="TZB29" s="537"/>
      <c r="TZC29" s="537"/>
      <c r="TZD29" s="537"/>
      <c r="TZE29" s="537"/>
      <c r="TZF29" s="537"/>
      <c r="TZG29" s="537"/>
      <c r="TZH29" s="537"/>
      <c r="TZI29" s="537"/>
      <c r="TZJ29" s="537"/>
      <c r="TZK29" s="537"/>
      <c r="TZL29" s="537"/>
      <c r="TZM29" s="537"/>
      <c r="TZN29" s="537"/>
      <c r="TZO29" s="537"/>
      <c r="TZP29" s="537"/>
      <c r="TZQ29" s="537"/>
      <c r="TZR29" s="537"/>
      <c r="TZS29" s="537"/>
      <c r="TZT29" s="537"/>
      <c r="TZU29" s="537"/>
      <c r="TZV29" s="537"/>
      <c r="TZW29" s="537"/>
      <c r="TZX29" s="537"/>
      <c r="TZY29" s="537"/>
      <c r="TZZ29" s="537"/>
      <c r="UAA29" s="537"/>
      <c r="UAB29" s="537"/>
      <c r="UAC29" s="537"/>
      <c r="UAD29" s="537"/>
      <c r="UAE29" s="537"/>
      <c r="UAF29" s="537"/>
      <c r="UAG29" s="537"/>
      <c r="UAH29" s="537"/>
      <c r="UAI29" s="537"/>
      <c r="UAJ29" s="537"/>
      <c r="UAK29" s="537"/>
      <c r="UAL29" s="537"/>
      <c r="UAM29" s="537"/>
      <c r="UAN29" s="537"/>
      <c r="UAO29" s="537"/>
      <c r="UAP29" s="537"/>
      <c r="UAQ29" s="537"/>
      <c r="UAR29" s="537"/>
      <c r="UAS29" s="537"/>
      <c r="UAT29" s="537"/>
      <c r="UAU29" s="537"/>
      <c r="UAV29" s="537"/>
      <c r="UAW29" s="537"/>
      <c r="UAX29" s="537"/>
      <c r="UAY29" s="537"/>
      <c r="UAZ29" s="537"/>
      <c r="UBA29" s="537"/>
      <c r="UBB29" s="537"/>
      <c r="UBC29" s="537"/>
      <c r="UBD29" s="537"/>
      <c r="UBE29" s="537"/>
      <c r="UBF29" s="537"/>
      <c r="UBG29" s="537"/>
      <c r="UBH29" s="537"/>
      <c r="UBI29" s="537"/>
      <c r="UBJ29" s="537"/>
      <c r="UBK29" s="537"/>
      <c r="UBL29" s="537"/>
      <c r="UBM29" s="537"/>
      <c r="UBN29" s="537"/>
      <c r="UBO29" s="537"/>
      <c r="UBP29" s="537"/>
      <c r="UBQ29" s="537"/>
      <c r="UBR29" s="537"/>
      <c r="UBS29" s="537"/>
      <c r="UBT29" s="537"/>
      <c r="UBU29" s="537"/>
      <c r="UBV29" s="537"/>
      <c r="UBW29" s="537"/>
      <c r="UBX29" s="537"/>
      <c r="UBY29" s="537"/>
      <c r="UBZ29" s="537"/>
      <c r="UCA29" s="537"/>
      <c r="UCB29" s="537"/>
      <c r="UCC29" s="537"/>
      <c r="UCD29" s="537"/>
      <c r="UCE29" s="537"/>
      <c r="UCF29" s="537"/>
      <c r="UCG29" s="537"/>
      <c r="UCH29" s="537"/>
      <c r="UCI29" s="537"/>
      <c r="UCJ29" s="537"/>
      <c r="UCK29" s="537"/>
      <c r="UCL29" s="537"/>
      <c r="UCM29" s="537"/>
      <c r="UCN29" s="537"/>
      <c r="UCO29" s="537"/>
      <c r="UCP29" s="537"/>
      <c r="UCQ29" s="537"/>
      <c r="UCR29" s="537"/>
      <c r="UCS29" s="537"/>
      <c r="UCT29" s="537"/>
      <c r="UCU29" s="537"/>
      <c r="UCV29" s="537"/>
      <c r="UCW29" s="537"/>
      <c r="UCX29" s="537"/>
      <c r="UCY29" s="537"/>
      <c r="UCZ29" s="537"/>
      <c r="UDA29" s="537"/>
      <c r="UDB29" s="537"/>
      <c r="UDC29" s="537"/>
      <c r="UDD29" s="537"/>
      <c r="UDE29" s="537"/>
      <c r="UDF29" s="537"/>
      <c r="UDG29" s="537"/>
      <c r="UDH29" s="537"/>
      <c r="UDI29" s="537"/>
      <c r="UDJ29" s="537"/>
      <c r="UDK29" s="537"/>
      <c r="UDL29" s="537"/>
      <c r="UDM29" s="537"/>
      <c r="UDN29" s="537"/>
      <c r="UDO29" s="537"/>
      <c r="UDP29" s="537"/>
      <c r="UDQ29" s="537"/>
      <c r="UDR29" s="537"/>
      <c r="UDS29" s="537"/>
      <c r="UDT29" s="537"/>
      <c r="UDU29" s="537"/>
      <c r="UDV29" s="537"/>
      <c r="UDW29" s="537"/>
      <c r="UDX29" s="537"/>
      <c r="UDY29" s="537"/>
      <c r="UDZ29" s="537"/>
      <c r="UEA29" s="537"/>
      <c r="UEB29" s="537"/>
      <c r="UEC29" s="537"/>
      <c r="UED29" s="537"/>
      <c r="UEE29" s="537"/>
      <c r="UEF29" s="537"/>
      <c r="UEG29" s="537"/>
      <c r="UEH29" s="537"/>
      <c r="UEI29" s="537"/>
      <c r="UEJ29" s="537"/>
      <c r="UEK29" s="537"/>
      <c r="UEL29" s="537"/>
      <c r="UEM29" s="537"/>
      <c r="UEN29" s="537"/>
      <c r="UEO29" s="537"/>
      <c r="UEP29" s="537"/>
      <c r="UEQ29" s="537"/>
      <c r="UER29" s="537"/>
      <c r="UES29" s="537"/>
      <c r="UET29" s="537"/>
      <c r="UEU29" s="537"/>
      <c r="UEV29" s="537"/>
      <c r="UEW29" s="537"/>
      <c r="UEX29" s="537"/>
      <c r="UEY29" s="537"/>
      <c r="UEZ29" s="537"/>
      <c r="UFA29" s="537"/>
      <c r="UFB29" s="537"/>
      <c r="UFC29" s="537"/>
      <c r="UFD29" s="537"/>
      <c r="UFE29" s="537"/>
      <c r="UFF29" s="537"/>
      <c r="UFG29" s="537"/>
      <c r="UFH29" s="537"/>
      <c r="UFI29" s="537"/>
      <c r="UFJ29" s="537"/>
      <c r="UFK29" s="537"/>
      <c r="UFL29" s="537"/>
      <c r="UFM29" s="537"/>
      <c r="UFN29" s="537"/>
      <c r="UFO29" s="537"/>
      <c r="UFP29" s="537"/>
      <c r="UFQ29" s="537"/>
      <c r="UFR29" s="537"/>
      <c r="UFS29" s="537"/>
      <c r="UFT29" s="537"/>
      <c r="UFU29" s="537"/>
      <c r="UFV29" s="537"/>
      <c r="UFW29" s="537"/>
      <c r="UFX29" s="537"/>
      <c r="UFY29" s="537"/>
      <c r="UFZ29" s="537"/>
      <c r="UGA29" s="537"/>
      <c r="UGB29" s="537"/>
      <c r="UGC29" s="537"/>
      <c r="UGD29" s="537"/>
      <c r="UGE29" s="537"/>
      <c r="UGF29" s="537"/>
      <c r="UGG29" s="537"/>
      <c r="UGH29" s="537"/>
      <c r="UGI29" s="537"/>
      <c r="UGJ29" s="537"/>
      <c r="UGK29" s="537"/>
      <c r="UGL29" s="537"/>
      <c r="UGM29" s="537"/>
      <c r="UGN29" s="537"/>
      <c r="UGO29" s="537"/>
      <c r="UGP29" s="537"/>
      <c r="UGQ29" s="537"/>
      <c r="UGR29" s="537"/>
      <c r="UGS29" s="537"/>
      <c r="UGT29" s="537"/>
      <c r="UGU29" s="537"/>
      <c r="UGV29" s="537"/>
      <c r="UGW29" s="537"/>
      <c r="UGX29" s="537"/>
      <c r="UGY29" s="537"/>
      <c r="UGZ29" s="537"/>
      <c r="UHA29" s="537"/>
      <c r="UHB29" s="537"/>
      <c r="UHC29" s="537"/>
      <c r="UHD29" s="537"/>
      <c r="UHE29" s="537"/>
      <c r="UHF29" s="537"/>
      <c r="UHG29" s="537"/>
      <c r="UHH29" s="537"/>
      <c r="UHI29" s="537"/>
      <c r="UHJ29" s="537"/>
      <c r="UHK29" s="537"/>
      <c r="UHL29" s="537"/>
      <c r="UHM29" s="537"/>
      <c r="UHN29" s="537"/>
      <c r="UHO29" s="537"/>
      <c r="UHP29" s="537"/>
      <c r="UHQ29" s="537"/>
      <c r="UHR29" s="537"/>
      <c r="UHS29" s="537"/>
      <c r="UHT29" s="537"/>
      <c r="UHU29" s="537"/>
      <c r="UHV29" s="537"/>
      <c r="UHW29" s="537"/>
      <c r="UHX29" s="537"/>
      <c r="UHY29" s="537"/>
      <c r="UHZ29" s="537"/>
      <c r="UIA29" s="537"/>
      <c r="UIB29" s="537"/>
      <c r="UIC29" s="537"/>
      <c r="UID29" s="537"/>
      <c r="UIE29" s="537"/>
      <c r="UIF29" s="537"/>
      <c r="UIG29" s="537"/>
      <c r="UIH29" s="537"/>
      <c r="UII29" s="537"/>
      <c r="UIJ29" s="537"/>
      <c r="UIK29" s="537"/>
      <c r="UIL29" s="537"/>
      <c r="UIM29" s="537"/>
      <c r="UIN29" s="537"/>
      <c r="UIO29" s="537"/>
      <c r="UIP29" s="537"/>
      <c r="UIQ29" s="537"/>
      <c r="UIR29" s="537"/>
      <c r="UIS29" s="537"/>
      <c r="UIT29" s="537"/>
      <c r="UIU29" s="537"/>
      <c r="UIV29" s="537"/>
      <c r="UIW29" s="537"/>
      <c r="UIX29" s="537"/>
      <c r="UIY29" s="537"/>
      <c r="UIZ29" s="537"/>
      <c r="UJA29" s="537"/>
      <c r="UJB29" s="537"/>
      <c r="UJC29" s="537"/>
      <c r="UJD29" s="537"/>
      <c r="UJE29" s="537"/>
      <c r="UJF29" s="537"/>
      <c r="UJG29" s="537"/>
      <c r="UJH29" s="537"/>
      <c r="UJI29" s="537"/>
      <c r="UJJ29" s="537"/>
      <c r="UJK29" s="537"/>
      <c r="UJL29" s="537"/>
      <c r="UJM29" s="537"/>
      <c r="UJN29" s="537"/>
      <c r="UJO29" s="537"/>
      <c r="UJP29" s="537"/>
      <c r="UJQ29" s="537"/>
      <c r="UJR29" s="537"/>
      <c r="UJS29" s="537"/>
      <c r="UJT29" s="537"/>
      <c r="UJU29" s="537"/>
      <c r="UJV29" s="537"/>
      <c r="UJW29" s="537"/>
      <c r="UJX29" s="537"/>
      <c r="UJY29" s="537"/>
      <c r="UJZ29" s="537"/>
      <c r="UKA29" s="537"/>
      <c r="UKB29" s="537"/>
      <c r="UKC29" s="537"/>
      <c r="UKD29" s="537"/>
      <c r="UKE29" s="537"/>
      <c r="UKF29" s="537"/>
      <c r="UKG29" s="537"/>
      <c r="UKH29" s="537"/>
      <c r="UKI29" s="537"/>
      <c r="UKJ29" s="537"/>
      <c r="UKK29" s="537"/>
      <c r="UKL29" s="537"/>
      <c r="UKM29" s="537"/>
      <c r="UKN29" s="537"/>
      <c r="UKO29" s="537"/>
      <c r="UKP29" s="537"/>
      <c r="UKQ29" s="537"/>
      <c r="UKR29" s="537"/>
      <c r="UKS29" s="537"/>
      <c r="UKT29" s="537"/>
      <c r="UKU29" s="537"/>
      <c r="UKV29" s="537"/>
      <c r="UKW29" s="537"/>
      <c r="UKX29" s="537"/>
      <c r="UKY29" s="537"/>
      <c r="UKZ29" s="537"/>
      <c r="ULA29" s="537"/>
      <c r="ULB29" s="537"/>
      <c r="ULC29" s="537"/>
      <c r="ULD29" s="537"/>
      <c r="ULE29" s="537"/>
      <c r="ULF29" s="537"/>
      <c r="ULG29" s="537"/>
      <c r="ULH29" s="537"/>
      <c r="ULI29" s="537"/>
      <c r="ULJ29" s="537"/>
      <c r="ULK29" s="537"/>
      <c r="ULL29" s="537"/>
      <c r="ULM29" s="537"/>
      <c r="ULN29" s="537"/>
      <c r="ULO29" s="537"/>
      <c r="ULP29" s="537"/>
      <c r="ULQ29" s="537"/>
      <c r="ULR29" s="537"/>
      <c r="ULS29" s="537"/>
      <c r="ULT29" s="537"/>
      <c r="ULU29" s="537"/>
      <c r="ULV29" s="537"/>
      <c r="ULW29" s="537"/>
      <c r="ULX29" s="537"/>
      <c r="ULY29" s="537"/>
      <c r="ULZ29" s="537"/>
      <c r="UMA29" s="537"/>
      <c r="UMB29" s="537"/>
      <c r="UMC29" s="537"/>
      <c r="UMD29" s="537"/>
      <c r="UME29" s="537"/>
      <c r="UMF29" s="537"/>
      <c r="UMG29" s="537"/>
      <c r="UMH29" s="537"/>
      <c r="UMI29" s="537"/>
      <c r="UMJ29" s="537"/>
      <c r="UMK29" s="537"/>
      <c r="UML29" s="537"/>
      <c r="UMM29" s="537"/>
      <c r="UMN29" s="537"/>
      <c r="UMO29" s="537"/>
      <c r="UMP29" s="537"/>
      <c r="UMQ29" s="537"/>
      <c r="UMR29" s="537"/>
      <c r="UMS29" s="537"/>
      <c r="UMT29" s="537"/>
      <c r="UMU29" s="537"/>
      <c r="UMV29" s="537"/>
      <c r="UMW29" s="537"/>
      <c r="UMX29" s="537"/>
      <c r="UMY29" s="537"/>
      <c r="UMZ29" s="537"/>
      <c r="UNA29" s="537"/>
      <c r="UNB29" s="537"/>
      <c r="UNC29" s="537"/>
      <c r="UND29" s="537"/>
      <c r="UNE29" s="537"/>
      <c r="UNF29" s="537"/>
      <c r="UNG29" s="537"/>
      <c r="UNH29" s="537"/>
      <c r="UNI29" s="537"/>
      <c r="UNJ29" s="537"/>
      <c r="UNK29" s="537"/>
      <c r="UNL29" s="537"/>
      <c r="UNM29" s="537"/>
      <c r="UNN29" s="537"/>
      <c r="UNO29" s="537"/>
      <c r="UNP29" s="537"/>
      <c r="UNQ29" s="537"/>
      <c r="UNR29" s="537"/>
      <c r="UNS29" s="537"/>
      <c r="UNT29" s="537"/>
      <c r="UNU29" s="537"/>
      <c r="UNV29" s="537"/>
      <c r="UNW29" s="537"/>
      <c r="UNX29" s="537"/>
      <c r="UNY29" s="537"/>
      <c r="UNZ29" s="537"/>
      <c r="UOA29" s="537"/>
      <c r="UOB29" s="537"/>
      <c r="UOC29" s="537"/>
      <c r="UOD29" s="537"/>
      <c r="UOE29" s="537"/>
      <c r="UOF29" s="537"/>
      <c r="UOG29" s="537"/>
      <c r="UOH29" s="537"/>
      <c r="UOI29" s="537"/>
      <c r="UOJ29" s="537"/>
      <c r="UOK29" s="537"/>
      <c r="UOL29" s="537"/>
      <c r="UOM29" s="537"/>
      <c r="UON29" s="537"/>
      <c r="UOO29" s="537"/>
      <c r="UOP29" s="537"/>
      <c r="UOQ29" s="537"/>
      <c r="UOR29" s="537"/>
      <c r="UOS29" s="537"/>
      <c r="UOT29" s="537"/>
      <c r="UOU29" s="537"/>
      <c r="UOV29" s="537"/>
      <c r="UOW29" s="537"/>
      <c r="UOX29" s="537"/>
      <c r="UOY29" s="537"/>
      <c r="UOZ29" s="537"/>
      <c r="UPA29" s="537"/>
      <c r="UPB29" s="537"/>
      <c r="UPC29" s="537"/>
      <c r="UPD29" s="537"/>
      <c r="UPE29" s="537"/>
      <c r="UPF29" s="537"/>
      <c r="UPG29" s="537"/>
      <c r="UPH29" s="537"/>
      <c r="UPI29" s="537"/>
      <c r="UPJ29" s="537"/>
      <c r="UPK29" s="537"/>
      <c r="UPL29" s="537"/>
      <c r="UPM29" s="537"/>
      <c r="UPN29" s="537"/>
      <c r="UPO29" s="537"/>
      <c r="UPP29" s="537"/>
      <c r="UPQ29" s="537"/>
      <c r="UPR29" s="537"/>
      <c r="UPS29" s="537"/>
      <c r="UPT29" s="537"/>
      <c r="UPU29" s="537"/>
      <c r="UPV29" s="537"/>
      <c r="UPW29" s="537"/>
      <c r="UPX29" s="537"/>
      <c r="UPY29" s="537"/>
      <c r="UPZ29" s="537"/>
      <c r="UQA29" s="537"/>
      <c r="UQB29" s="537"/>
      <c r="UQC29" s="537"/>
      <c r="UQD29" s="537"/>
      <c r="UQE29" s="537"/>
      <c r="UQF29" s="537"/>
      <c r="UQG29" s="537"/>
      <c r="UQH29" s="537"/>
      <c r="UQI29" s="537"/>
      <c r="UQJ29" s="537"/>
      <c r="UQK29" s="537"/>
      <c r="UQL29" s="537"/>
      <c r="UQM29" s="537"/>
      <c r="UQN29" s="537"/>
      <c r="UQO29" s="537"/>
      <c r="UQP29" s="537"/>
      <c r="UQQ29" s="537"/>
      <c r="UQR29" s="537"/>
      <c r="UQS29" s="537"/>
      <c r="UQT29" s="537"/>
      <c r="UQU29" s="537"/>
      <c r="UQV29" s="537"/>
      <c r="UQW29" s="537"/>
      <c r="UQX29" s="537"/>
      <c r="UQY29" s="537"/>
      <c r="UQZ29" s="537"/>
      <c r="URA29" s="537"/>
      <c r="URB29" s="537"/>
      <c r="URC29" s="537"/>
      <c r="URD29" s="537"/>
      <c r="URE29" s="537"/>
      <c r="URF29" s="537"/>
      <c r="URG29" s="537"/>
      <c r="URH29" s="537"/>
      <c r="URI29" s="537"/>
      <c r="URJ29" s="537"/>
      <c r="URK29" s="537"/>
      <c r="URL29" s="537"/>
      <c r="URM29" s="537"/>
      <c r="URN29" s="537"/>
      <c r="URO29" s="537"/>
      <c r="URP29" s="537"/>
      <c r="URQ29" s="537"/>
      <c r="URR29" s="537"/>
      <c r="URS29" s="537"/>
      <c r="URT29" s="537"/>
      <c r="URU29" s="537"/>
      <c r="URV29" s="537"/>
      <c r="URW29" s="537"/>
      <c r="URX29" s="537"/>
      <c r="URY29" s="537"/>
      <c r="URZ29" s="537"/>
      <c r="USA29" s="537"/>
      <c r="USB29" s="537"/>
      <c r="USC29" s="537"/>
      <c r="USD29" s="537"/>
      <c r="USE29" s="537"/>
      <c r="USF29" s="537"/>
      <c r="USG29" s="537"/>
      <c r="USH29" s="537"/>
      <c r="USI29" s="537"/>
      <c r="USJ29" s="537"/>
      <c r="USK29" s="537"/>
      <c r="USL29" s="537"/>
      <c r="USM29" s="537"/>
      <c r="USN29" s="537"/>
      <c r="USO29" s="537"/>
      <c r="USP29" s="537"/>
      <c r="USQ29" s="537"/>
      <c r="USR29" s="537"/>
      <c r="USS29" s="537"/>
      <c r="UST29" s="537"/>
      <c r="USU29" s="537"/>
      <c r="USV29" s="537"/>
      <c r="USW29" s="537"/>
      <c r="USX29" s="537"/>
      <c r="USY29" s="537"/>
      <c r="USZ29" s="537"/>
      <c r="UTA29" s="537"/>
      <c r="UTB29" s="537"/>
      <c r="UTC29" s="537"/>
      <c r="UTD29" s="537"/>
      <c r="UTE29" s="537"/>
      <c r="UTF29" s="537"/>
      <c r="UTG29" s="537"/>
      <c r="UTH29" s="537"/>
      <c r="UTI29" s="537"/>
      <c r="UTJ29" s="537"/>
      <c r="UTK29" s="537"/>
      <c r="UTL29" s="537"/>
      <c r="UTM29" s="537"/>
      <c r="UTN29" s="537"/>
      <c r="UTO29" s="537"/>
      <c r="UTP29" s="537"/>
      <c r="UTQ29" s="537"/>
      <c r="UTR29" s="537"/>
      <c r="UTS29" s="537"/>
      <c r="UTT29" s="537"/>
      <c r="UTU29" s="537"/>
      <c r="UTV29" s="537"/>
      <c r="UTW29" s="537"/>
      <c r="UTX29" s="537"/>
      <c r="UTY29" s="537"/>
      <c r="UTZ29" s="537"/>
      <c r="UUA29" s="537"/>
      <c r="UUB29" s="537"/>
      <c r="UUC29" s="537"/>
      <c r="UUD29" s="537"/>
      <c r="UUE29" s="537"/>
      <c r="UUF29" s="537"/>
      <c r="UUG29" s="537"/>
      <c r="UUH29" s="537"/>
      <c r="UUI29" s="537"/>
      <c r="UUJ29" s="537"/>
      <c r="UUK29" s="537"/>
      <c r="UUL29" s="537"/>
      <c r="UUM29" s="537"/>
      <c r="UUN29" s="537"/>
      <c r="UUO29" s="537"/>
      <c r="UUP29" s="537"/>
      <c r="UUQ29" s="537"/>
      <c r="UUR29" s="537"/>
      <c r="UUS29" s="537"/>
      <c r="UUT29" s="537"/>
      <c r="UUU29" s="537"/>
      <c r="UUV29" s="537"/>
      <c r="UUW29" s="537"/>
      <c r="UUX29" s="537"/>
      <c r="UUY29" s="537"/>
      <c r="UUZ29" s="537"/>
      <c r="UVA29" s="537"/>
      <c r="UVB29" s="537"/>
      <c r="UVC29" s="537"/>
      <c r="UVD29" s="537"/>
      <c r="UVE29" s="537"/>
      <c r="UVF29" s="537"/>
      <c r="UVG29" s="537"/>
      <c r="UVH29" s="537"/>
      <c r="UVI29" s="537"/>
      <c r="UVJ29" s="537"/>
      <c r="UVK29" s="537"/>
      <c r="UVL29" s="537"/>
      <c r="UVM29" s="537"/>
      <c r="UVN29" s="537"/>
      <c r="UVO29" s="537"/>
      <c r="UVP29" s="537"/>
      <c r="UVQ29" s="537"/>
      <c r="UVR29" s="537"/>
      <c r="UVS29" s="537"/>
      <c r="UVT29" s="537"/>
      <c r="UVU29" s="537"/>
      <c r="UVV29" s="537"/>
      <c r="UVW29" s="537"/>
      <c r="UVX29" s="537"/>
      <c r="UVY29" s="537"/>
      <c r="UVZ29" s="537"/>
      <c r="UWA29" s="537"/>
      <c r="UWB29" s="537"/>
      <c r="UWC29" s="537"/>
      <c r="UWD29" s="537"/>
      <c r="UWE29" s="537"/>
      <c r="UWF29" s="537"/>
      <c r="UWG29" s="537"/>
      <c r="UWH29" s="537"/>
      <c r="UWI29" s="537"/>
      <c r="UWJ29" s="537"/>
      <c r="UWK29" s="537"/>
      <c r="UWL29" s="537"/>
      <c r="UWM29" s="537"/>
      <c r="UWN29" s="537"/>
      <c r="UWO29" s="537"/>
      <c r="UWP29" s="537"/>
      <c r="UWQ29" s="537"/>
      <c r="UWR29" s="537"/>
      <c r="UWS29" s="537"/>
      <c r="UWT29" s="537"/>
      <c r="UWU29" s="537"/>
      <c r="UWV29" s="537"/>
      <c r="UWW29" s="537"/>
      <c r="UWX29" s="537"/>
      <c r="UWY29" s="537"/>
      <c r="UWZ29" s="537"/>
      <c r="UXA29" s="537"/>
      <c r="UXB29" s="537"/>
      <c r="UXC29" s="537"/>
      <c r="UXD29" s="537"/>
      <c r="UXE29" s="537"/>
      <c r="UXF29" s="537"/>
      <c r="UXG29" s="537"/>
      <c r="UXH29" s="537"/>
      <c r="UXI29" s="537"/>
      <c r="UXJ29" s="537"/>
      <c r="UXK29" s="537"/>
      <c r="UXL29" s="537"/>
      <c r="UXM29" s="537"/>
      <c r="UXN29" s="537"/>
      <c r="UXO29" s="537"/>
      <c r="UXP29" s="537"/>
      <c r="UXQ29" s="537"/>
      <c r="UXR29" s="537"/>
      <c r="UXS29" s="537"/>
      <c r="UXT29" s="537"/>
      <c r="UXU29" s="537"/>
      <c r="UXV29" s="537"/>
      <c r="UXW29" s="537"/>
      <c r="UXX29" s="537"/>
      <c r="UXY29" s="537"/>
      <c r="UXZ29" s="537"/>
      <c r="UYA29" s="537"/>
      <c r="UYB29" s="537"/>
      <c r="UYC29" s="537"/>
      <c r="UYD29" s="537"/>
      <c r="UYE29" s="537"/>
      <c r="UYF29" s="537"/>
      <c r="UYG29" s="537"/>
      <c r="UYH29" s="537"/>
      <c r="UYI29" s="537"/>
      <c r="UYJ29" s="537"/>
      <c r="UYK29" s="537"/>
      <c r="UYL29" s="537"/>
      <c r="UYM29" s="537"/>
      <c r="UYN29" s="537"/>
      <c r="UYO29" s="537"/>
      <c r="UYP29" s="537"/>
      <c r="UYQ29" s="537"/>
      <c r="UYR29" s="537"/>
      <c r="UYS29" s="537"/>
      <c r="UYT29" s="537"/>
      <c r="UYU29" s="537"/>
      <c r="UYV29" s="537"/>
      <c r="UYW29" s="537"/>
      <c r="UYX29" s="537"/>
      <c r="UYY29" s="537"/>
      <c r="UYZ29" s="537"/>
      <c r="UZA29" s="537"/>
      <c r="UZB29" s="537"/>
      <c r="UZC29" s="537"/>
      <c r="UZD29" s="537"/>
      <c r="UZE29" s="537"/>
      <c r="UZF29" s="537"/>
      <c r="UZG29" s="537"/>
      <c r="UZH29" s="537"/>
      <c r="UZI29" s="537"/>
      <c r="UZJ29" s="537"/>
      <c r="UZK29" s="537"/>
      <c r="UZL29" s="537"/>
      <c r="UZM29" s="537"/>
      <c r="UZN29" s="537"/>
      <c r="UZO29" s="537"/>
      <c r="UZP29" s="537"/>
      <c r="UZQ29" s="537"/>
      <c r="UZR29" s="537"/>
      <c r="UZS29" s="537"/>
      <c r="UZT29" s="537"/>
      <c r="UZU29" s="537"/>
      <c r="UZV29" s="537"/>
      <c r="UZW29" s="537"/>
      <c r="UZX29" s="537"/>
      <c r="UZY29" s="537"/>
      <c r="UZZ29" s="537"/>
      <c r="VAA29" s="537"/>
      <c r="VAB29" s="537"/>
      <c r="VAC29" s="537"/>
      <c r="VAD29" s="537"/>
      <c r="VAE29" s="537"/>
      <c r="VAF29" s="537"/>
      <c r="VAG29" s="537"/>
      <c r="VAH29" s="537"/>
      <c r="VAI29" s="537"/>
      <c r="VAJ29" s="537"/>
      <c r="VAK29" s="537"/>
      <c r="VAL29" s="537"/>
      <c r="VAM29" s="537"/>
      <c r="VAN29" s="537"/>
      <c r="VAO29" s="537"/>
      <c r="VAP29" s="537"/>
      <c r="VAQ29" s="537"/>
      <c r="VAR29" s="537"/>
      <c r="VAS29" s="537"/>
      <c r="VAT29" s="537"/>
      <c r="VAU29" s="537"/>
      <c r="VAV29" s="537"/>
      <c r="VAW29" s="537"/>
      <c r="VAX29" s="537"/>
      <c r="VAY29" s="537"/>
      <c r="VAZ29" s="537"/>
      <c r="VBA29" s="537"/>
      <c r="VBB29" s="537"/>
      <c r="VBC29" s="537"/>
      <c r="VBD29" s="537"/>
      <c r="VBE29" s="537"/>
      <c r="VBF29" s="537"/>
      <c r="VBG29" s="537"/>
      <c r="VBH29" s="537"/>
      <c r="VBI29" s="537"/>
      <c r="VBJ29" s="537"/>
      <c r="VBK29" s="537"/>
      <c r="VBL29" s="537"/>
      <c r="VBM29" s="537"/>
      <c r="VBN29" s="537"/>
      <c r="VBO29" s="537"/>
      <c r="VBP29" s="537"/>
      <c r="VBQ29" s="537"/>
      <c r="VBR29" s="537"/>
      <c r="VBS29" s="537"/>
      <c r="VBT29" s="537"/>
      <c r="VBU29" s="537"/>
      <c r="VBV29" s="537"/>
      <c r="VBW29" s="537"/>
      <c r="VBX29" s="537"/>
      <c r="VBY29" s="537"/>
      <c r="VBZ29" s="537"/>
      <c r="VCA29" s="537"/>
      <c r="VCB29" s="537"/>
      <c r="VCC29" s="537"/>
      <c r="VCD29" s="537"/>
      <c r="VCE29" s="537"/>
      <c r="VCF29" s="537"/>
      <c r="VCG29" s="537"/>
      <c r="VCH29" s="537"/>
      <c r="VCI29" s="537"/>
      <c r="VCJ29" s="537"/>
      <c r="VCK29" s="537"/>
      <c r="VCL29" s="537"/>
      <c r="VCM29" s="537"/>
      <c r="VCN29" s="537"/>
      <c r="VCO29" s="537"/>
      <c r="VCP29" s="537"/>
      <c r="VCQ29" s="537"/>
      <c r="VCR29" s="537"/>
      <c r="VCS29" s="537"/>
      <c r="VCT29" s="537"/>
      <c r="VCU29" s="537"/>
      <c r="VCV29" s="537"/>
      <c r="VCW29" s="537"/>
      <c r="VCX29" s="537"/>
      <c r="VCY29" s="537"/>
      <c r="VCZ29" s="537"/>
      <c r="VDA29" s="537"/>
      <c r="VDB29" s="537"/>
      <c r="VDC29" s="537"/>
      <c r="VDD29" s="537"/>
      <c r="VDE29" s="537"/>
      <c r="VDF29" s="537"/>
      <c r="VDG29" s="537"/>
      <c r="VDH29" s="537"/>
      <c r="VDI29" s="537"/>
      <c r="VDJ29" s="537"/>
      <c r="VDK29" s="537"/>
      <c r="VDL29" s="537"/>
      <c r="VDM29" s="537"/>
      <c r="VDN29" s="537"/>
      <c r="VDO29" s="537"/>
      <c r="VDP29" s="537"/>
      <c r="VDQ29" s="537"/>
      <c r="VDR29" s="537"/>
      <c r="VDS29" s="537"/>
      <c r="VDT29" s="537"/>
      <c r="VDU29" s="537"/>
      <c r="VDV29" s="537"/>
      <c r="VDW29" s="537"/>
      <c r="VDX29" s="537"/>
      <c r="VDY29" s="537"/>
      <c r="VDZ29" s="537"/>
      <c r="VEA29" s="537"/>
      <c r="VEB29" s="537"/>
      <c r="VEC29" s="537"/>
      <c r="VED29" s="537"/>
      <c r="VEE29" s="537"/>
      <c r="VEF29" s="537"/>
      <c r="VEG29" s="537"/>
      <c r="VEH29" s="537"/>
      <c r="VEI29" s="537"/>
      <c r="VEJ29" s="537"/>
      <c r="VEK29" s="537"/>
      <c r="VEL29" s="537"/>
      <c r="VEM29" s="537"/>
      <c r="VEN29" s="537"/>
      <c r="VEO29" s="537"/>
      <c r="VEP29" s="537"/>
      <c r="VEQ29" s="537"/>
      <c r="VER29" s="537"/>
      <c r="VES29" s="537"/>
      <c r="VET29" s="537"/>
      <c r="VEU29" s="537"/>
      <c r="VEV29" s="537"/>
      <c r="VEW29" s="537"/>
      <c r="VEX29" s="537"/>
      <c r="VEY29" s="537"/>
      <c r="VEZ29" s="537"/>
      <c r="VFA29" s="537"/>
      <c r="VFB29" s="537"/>
      <c r="VFC29" s="537"/>
      <c r="VFD29" s="537"/>
      <c r="VFE29" s="537"/>
      <c r="VFF29" s="537"/>
      <c r="VFG29" s="537"/>
      <c r="VFH29" s="537"/>
      <c r="VFI29" s="537"/>
      <c r="VFJ29" s="537"/>
      <c r="VFK29" s="537"/>
      <c r="VFL29" s="537"/>
      <c r="VFM29" s="537"/>
      <c r="VFN29" s="537"/>
      <c r="VFO29" s="537"/>
      <c r="VFP29" s="537"/>
      <c r="VFQ29" s="537"/>
      <c r="VFR29" s="537"/>
      <c r="VFS29" s="537"/>
      <c r="VFT29" s="537"/>
      <c r="VFU29" s="537"/>
      <c r="VFV29" s="537"/>
      <c r="VFW29" s="537"/>
      <c r="VFX29" s="537"/>
      <c r="VFY29" s="537"/>
      <c r="VFZ29" s="537"/>
      <c r="VGA29" s="537"/>
      <c r="VGB29" s="537"/>
      <c r="VGC29" s="537"/>
      <c r="VGD29" s="537"/>
      <c r="VGE29" s="537"/>
      <c r="VGF29" s="537"/>
      <c r="VGG29" s="537"/>
      <c r="VGH29" s="537"/>
      <c r="VGI29" s="537"/>
      <c r="VGJ29" s="537"/>
      <c r="VGK29" s="537"/>
      <c r="VGL29" s="537"/>
      <c r="VGM29" s="537"/>
      <c r="VGN29" s="537"/>
      <c r="VGO29" s="537"/>
      <c r="VGP29" s="537"/>
      <c r="VGQ29" s="537"/>
      <c r="VGR29" s="537"/>
      <c r="VGS29" s="537"/>
      <c r="VGT29" s="537"/>
      <c r="VGU29" s="537"/>
      <c r="VGV29" s="537"/>
      <c r="VGW29" s="537"/>
      <c r="VGX29" s="537"/>
      <c r="VGY29" s="537"/>
      <c r="VGZ29" s="537"/>
      <c r="VHA29" s="537"/>
      <c r="VHB29" s="537"/>
      <c r="VHC29" s="537"/>
      <c r="VHD29" s="537"/>
      <c r="VHE29" s="537"/>
      <c r="VHF29" s="537"/>
      <c r="VHG29" s="537"/>
      <c r="VHH29" s="537"/>
      <c r="VHI29" s="537"/>
      <c r="VHJ29" s="537"/>
      <c r="VHK29" s="537"/>
      <c r="VHL29" s="537"/>
      <c r="VHM29" s="537"/>
      <c r="VHN29" s="537"/>
      <c r="VHO29" s="537"/>
      <c r="VHP29" s="537"/>
      <c r="VHQ29" s="537"/>
      <c r="VHR29" s="537"/>
      <c r="VHS29" s="537"/>
      <c r="VHT29" s="537"/>
      <c r="VHU29" s="537"/>
      <c r="VHV29" s="537"/>
      <c r="VHW29" s="537"/>
      <c r="VHX29" s="537"/>
      <c r="VHY29" s="537"/>
      <c r="VHZ29" s="537"/>
      <c r="VIA29" s="537"/>
      <c r="VIB29" s="537"/>
      <c r="VIC29" s="537"/>
      <c r="VID29" s="537"/>
      <c r="VIE29" s="537"/>
      <c r="VIF29" s="537"/>
      <c r="VIG29" s="537"/>
      <c r="VIH29" s="537"/>
      <c r="VII29" s="537"/>
      <c r="VIJ29" s="537"/>
      <c r="VIK29" s="537"/>
      <c r="VIL29" s="537"/>
      <c r="VIM29" s="537"/>
      <c r="VIN29" s="537"/>
      <c r="VIO29" s="537"/>
      <c r="VIP29" s="537"/>
      <c r="VIQ29" s="537"/>
      <c r="VIR29" s="537"/>
      <c r="VIS29" s="537"/>
      <c r="VIT29" s="537"/>
      <c r="VIU29" s="537"/>
      <c r="VIV29" s="537"/>
      <c r="VIW29" s="537"/>
      <c r="VIX29" s="537"/>
      <c r="VIY29" s="537"/>
      <c r="VIZ29" s="537"/>
      <c r="VJA29" s="537"/>
      <c r="VJB29" s="537"/>
      <c r="VJC29" s="537"/>
      <c r="VJD29" s="537"/>
      <c r="VJE29" s="537"/>
      <c r="VJF29" s="537"/>
      <c r="VJG29" s="537"/>
      <c r="VJH29" s="537"/>
      <c r="VJI29" s="537"/>
      <c r="VJJ29" s="537"/>
      <c r="VJK29" s="537"/>
      <c r="VJL29" s="537"/>
      <c r="VJM29" s="537"/>
      <c r="VJN29" s="537"/>
      <c r="VJO29" s="537"/>
      <c r="VJP29" s="537"/>
      <c r="VJQ29" s="537"/>
      <c r="VJR29" s="537"/>
      <c r="VJS29" s="537"/>
      <c r="VJT29" s="537"/>
      <c r="VJU29" s="537"/>
      <c r="VJV29" s="537"/>
      <c r="VJW29" s="537"/>
      <c r="VJX29" s="537"/>
      <c r="VJY29" s="537"/>
      <c r="VJZ29" s="537"/>
      <c r="VKA29" s="537"/>
      <c r="VKB29" s="537"/>
      <c r="VKC29" s="537"/>
      <c r="VKD29" s="537"/>
      <c r="VKE29" s="537"/>
      <c r="VKF29" s="537"/>
      <c r="VKG29" s="537"/>
      <c r="VKH29" s="537"/>
      <c r="VKI29" s="537"/>
      <c r="VKJ29" s="537"/>
      <c r="VKK29" s="537"/>
      <c r="VKL29" s="537"/>
      <c r="VKM29" s="537"/>
      <c r="VKN29" s="537"/>
      <c r="VKO29" s="537"/>
      <c r="VKP29" s="537"/>
      <c r="VKQ29" s="537"/>
      <c r="VKR29" s="537"/>
      <c r="VKS29" s="537"/>
      <c r="VKT29" s="537"/>
      <c r="VKU29" s="537"/>
      <c r="VKV29" s="537"/>
      <c r="VKW29" s="537"/>
      <c r="VKX29" s="537"/>
      <c r="VKY29" s="537"/>
      <c r="VKZ29" s="537"/>
      <c r="VLA29" s="537"/>
      <c r="VLB29" s="537"/>
      <c r="VLC29" s="537"/>
      <c r="VLD29" s="537"/>
      <c r="VLE29" s="537"/>
      <c r="VLF29" s="537"/>
      <c r="VLG29" s="537"/>
      <c r="VLH29" s="537"/>
      <c r="VLI29" s="537"/>
      <c r="VLJ29" s="537"/>
      <c r="VLK29" s="537"/>
      <c r="VLL29" s="537"/>
      <c r="VLM29" s="537"/>
      <c r="VLN29" s="537"/>
      <c r="VLO29" s="537"/>
      <c r="VLP29" s="537"/>
      <c r="VLQ29" s="537"/>
      <c r="VLR29" s="537"/>
      <c r="VLS29" s="537"/>
      <c r="VLT29" s="537"/>
      <c r="VLU29" s="537"/>
      <c r="VLV29" s="537"/>
      <c r="VLW29" s="537"/>
      <c r="VLX29" s="537"/>
      <c r="VLY29" s="537"/>
      <c r="VLZ29" s="537"/>
      <c r="VMA29" s="537"/>
      <c r="VMB29" s="537"/>
      <c r="VMC29" s="537"/>
      <c r="VMD29" s="537"/>
      <c r="VME29" s="537"/>
      <c r="VMF29" s="537"/>
      <c r="VMG29" s="537"/>
      <c r="VMH29" s="537"/>
      <c r="VMI29" s="537"/>
      <c r="VMJ29" s="537"/>
      <c r="VMK29" s="537"/>
      <c r="VML29" s="537"/>
      <c r="VMM29" s="537"/>
      <c r="VMN29" s="537"/>
      <c r="VMO29" s="537"/>
      <c r="VMP29" s="537"/>
      <c r="VMQ29" s="537"/>
      <c r="VMR29" s="537"/>
      <c r="VMS29" s="537"/>
      <c r="VMT29" s="537"/>
      <c r="VMU29" s="537"/>
      <c r="VMV29" s="537"/>
      <c r="VMW29" s="537"/>
      <c r="VMX29" s="537"/>
      <c r="VMY29" s="537"/>
      <c r="VMZ29" s="537"/>
      <c r="VNA29" s="537"/>
      <c r="VNB29" s="537"/>
      <c r="VNC29" s="537"/>
      <c r="VND29" s="537"/>
      <c r="VNE29" s="537"/>
      <c r="VNF29" s="537"/>
      <c r="VNG29" s="537"/>
      <c r="VNH29" s="537"/>
      <c r="VNI29" s="537"/>
      <c r="VNJ29" s="537"/>
      <c r="VNK29" s="537"/>
      <c r="VNL29" s="537"/>
      <c r="VNM29" s="537"/>
      <c r="VNN29" s="537"/>
      <c r="VNO29" s="537"/>
      <c r="VNP29" s="537"/>
      <c r="VNQ29" s="537"/>
      <c r="VNR29" s="537"/>
      <c r="VNS29" s="537"/>
      <c r="VNT29" s="537"/>
      <c r="VNU29" s="537"/>
      <c r="VNV29" s="537"/>
      <c r="VNW29" s="537"/>
      <c r="VNX29" s="537"/>
      <c r="VNY29" s="537"/>
      <c r="VNZ29" s="537"/>
      <c r="VOA29" s="537"/>
      <c r="VOB29" s="537"/>
      <c r="VOC29" s="537"/>
      <c r="VOD29" s="537"/>
      <c r="VOE29" s="537"/>
      <c r="VOF29" s="537"/>
      <c r="VOG29" s="537"/>
      <c r="VOH29" s="537"/>
      <c r="VOI29" s="537"/>
      <c r="VOJ29" s="537"/>
      <c r="VOK29" s="537"/>
      <c r="VOL29" s="537"/>
      <c r="VOM29" s="537"/>
      <c r="VON29" s="537"/>
      <c r="VOO29" s="537"/>
      <c r="VOP29" s="537"/>
      <c r="VOQ29" s="537"/>
      <c r="VOR29" s="537"/>
      <c r="VOS29" s="537"/>
      <c r="VOT29" s="537"/>
      <c r="VOU29" s="537"/>
      <c r="VOV29" s="537"/>
      <c r="VOW29" s="537"/>
      <c r="VOX29" s="537"/>
      <c r="VOY29" s="537"/>
      <c r="VOZ29" s="537"/>
      <c r="VPA29" s="537"/>
      <c r="VPB29" s="537"/>
      <c r="VPC29" s="537"/>
      <c r="VPD29" s="537"/>
      <c r="VPE29" s="537"/>
      <c r="VPF29" s="537"/>
      <c r="VPG29" s="537"/>
      <c r="VPH29" s="537"/>
      <c r="VPI29" s="537"/>
      <c r="VPJ29" s="537"/>
      <c r="VPK29" s="537"/>
      <c r="VPL29" s="537"/>
      <c r="VPM29" s="537"/>
      <c r="VPN29" s="537"/>
      <c r="VPO29" s="537"/>
      <c r="VPP29" s="537"/>
      <c r="VPQ29" s="537"/>
      <c r="VPR29" s="537"/>
      <c r="VPS29" s="537"/>
      <c r="VPT29" s="537"/>
      <c r="VPU29" s="537"/>
      <c r="VPV29" s="537"/>
      <c r="VPW29" s="537"/>
      <c r="VPX29" s="537"/>
      <c r="VPY29" s="537"/>
      <c r="VPZ29" s="537"/>
      <c r="VQA29" s="537"/>
      <c r="VQB29" s="537"/>
      <c r="VQC29" s="537"/>
      <c r="VQD29" s="537"/>
      <c r="VQE29" s="537"/>
      <c r="VQF29" s="537"/>
      <c r="VQG29" s="537"/>
      <c r="VQH29" s="537"/>
      <c r="VQI29" s="537"/>
      <c r="VQJ29" s="537"/>
      <c r="VQK29" s="537"/>
      <c r="VQL29" s="537"/>
      <c r="VQM29" s="537"/>
      <c r="VQN29" s="537"/>
      <c r="VQO29" s="537"/>
      <c r="VQP29" s="537"/>
      <c r="VQQ29" s="537"/>
      <c r="VQR29" s="537"/>
      <c r="VQS29" s="537"/>
      <c r="VQT29" s="537"/>
      <c r="VQU29" s="537"/>
      <c r="VQV29" s="537"/>
      <c r="VQW29" s="537"/>
      <c r="VQX29" s="537"/>
      <c r="VQY29" s="537"/>
      <c r="VQZ29" s="537"/>
      <c r="VRA29" s="537"/>
      <c r="VRB29" s="537"/>
      <c r="VRC29" s="537"/>
      <c r="VRD29" s="537"/>
      <c r="VRE29" s="537"/>
      <c r="VRF29" s="537"/>
      <c r="VRG29" s="537"/>
      <c r="VRH29" s="537"/>
      <c r="VRI29" s="537"/>
      <c r="VRJ29" s="537"/>
      <c r="VRK29" s="537"/>
      <c r="VRL29" s="537"/>
      <c r="VRM29" s="537"/>
      <c r="VRN29" s="537"/>
      <c r="VRO29" s="537"/>
      <c r="VRP29" s="537"/>
      <c r="VRQ29" s="537"/>
      <c r="VRR29" s="537"/>
      <c r="VRS29" s="537"/>
      <c r="VRT29" s="537"/>
      <c r="VRU29" s="537"/>
      <c r="VRV29" s="537"/>
      <c r="VRW29" s="537"/>
      <c r="VRX29" s="537"/>
      <c r="VRY29" s="537"/>
      <c r="VRZ29" s="537"/>
      <c r="VSA29" s="537"/>
      <c r="VSB29" s="537"/>
      <c r="VSC29" s="537"/>
      <c r="VSD29" s="537"/>
      <c r="VSE29" s="537"/>
      <c r="VSF29" s="537"/>
      <c r="VSG29" s="537"/>
      <c r="VSH29" s="537"/>
      <c r="VSI29" s="537"/>
      <c r="VSJ29" s="537"/>
      <c r="VSK29" s="537"/>
      <c r="VSL29" s="537"/>
      <c r="VSM29" s="537"/>
      <c r="VSN29" s="537"/>
      <c r="VSO29" s="537"/>
      <c r="VSP29" s="537"/>
      <c r="VSQ29" s="537"/>
      <c r="VSR29" s="537"/>
      <c r="VSS29" s="537"/>
      <c r="VST29" s="537"/>
      <c r="VSU29" s="537"/>
      <c r="VSV29" s="537"/>
      <c r="VSW29" s="537"/>
      <c r="VSX29" s="537"/>
      <c r="VSY29" s="537"/>
      <c r="VSZ29" s="537"/>
      <c r="VTA29" s="537"/>
      <c r="VTB29" s="537"/>
      <c r="VTC29" s="537"/>
      <c r="VTD29" s="537"/>
      <c r="VTE29" s="537"/>
      <c r="VTF29" s="537"/>
      <c r="VTG29" s="537"/>
      <c r="VTH29" s="537"/>
      <c r="VTI29" s="537"/>
      <c r="VTJ29" s="537"/>
      <c r="VTK29" s="537"/>
      <c r="VTL29" s="537"/>
      <c r="VTM29" s="537"/>
      <c r="VTN29" s="537"/>
      <c r="VTO29" s="537"/>
      <c r="VTP29" s="537"/>
      <c r="VTQ29" s="537"/>
      <c r="VTR29" s="537"/>
      <c r="VTS29" s="537"/>
      <c r="VTT29" s="537"/>
      <c r="VTU29" s="537"/>
      <c r="VTV29" s="537"/>
      <c r="VTW29" s="537"/>
      <c r="VTX29" s="537"/>
      <c r="VTY29" s="537"/>
      <c r="VTZ29" s="537"/>
      <c r="VUA29" s="537"/>
      <c r="VUB29" s="537"/>
      <c r="VUC29" s="537"/>
      <c r="VUD29" s="537"/>
      <c r="VUE29" s="537"/>
      <c r="VUF29" s="537"/>
      <c r="VUG29" s="537"/>
      <c r="VUH29" s="537"/>
      <c r="VUI29" s="537"/>
      <c r="VUJ29" s="537"/>
      <c r="VUK29" s="537"/>
      <c r="VUL29" s="537"/>
      <c r="VUM29" s="537"/>
      <c r="VUN29" s="537"/>
      <c r="VUO29" s="537"/>
      <c r="VUP29" s="537"/>
      <c r="VUQ29" s="537"/>
      <c r="VUR29" s="537"/>
      <c r="VUS29" s="537"/>
      <c r="VUT29" s="537"/>
      <c r="VUU29" s="537"/>
      <c r="VUV29" s="537"/>
      <c r="VUW29" s="537"/>
      <c r="VUX29" s="537"/>
      <c r="VUY29" s="537"/>
      <c r="VUZ29" s="537"/>
      <c r="VVA29" s="537"/>
      <c r="VVB29" s="537"/>
      <c r="VVC29" s="537"/>
      <c r="VVD29" s="537"/>
      <c r="VVE29" s="537"/>
      <c r="VVF29" s="537"/>
      <c r="VVG29" s="537"/>
      <c r="VVH29" s="537"/>
      <c r="VVI29" s="537"/>
      <c r="VVJ29" s="537"/>
      <c r="VVK29" s="537"/>
      <c r="VVL29" s="537"/>
      <c r="VVM29" s="537"/>
      <c r="VVN29" s="537"/>
      <c r="VVO29" s="537"/>
      <c r="VVP29" s="537"/>
      <c r="VVQ29" s="537"/>
      <c r="VVR29" s="537"/>
      <c r="VVS29" s="537"/>
      <c r="VVT29" s="537"/>
      <c r="VVU29" s="537"/>
      <c r="VVV29" s="537"/>
      <c r="VVW29" s="537"/>
      <c r="VVX29" s="537"/>
      <c r="VVY29" s="537"/>
      <c r="VVZ29" s="537"/>
      <c r="VWA29" s="537"/>
      <c r="VWB29" s="537"/>
      <c r="VWC29" s="537"/>
      <c r="VWD29" s="537"/>
      <c r="VWE29" s="537"/>
      <c r="VWF29" s="537"/>
      <c r="VWG29" s="537"/>
      <c r="VWH29" s="537"/>
      <c r="VWI29" s="537"/>
      <c r="VWJ29" s="537"/>
      <c r="VWK29" s="537"/>
      <c r="VWL29" s="537"/>
      <c r="VWM29" s="537"/>
      <c r="VWN29" s="537"/>
      <c r="VWO29" s="537"/>
      <c r="VWP29" s="537"/>
      <c r="VWQ29" s="537"/>
      <c r="VWR29" s="537"/>
      <c r="VWS29" s="537"/>
      <c r="VWT29" s="537"/>
      <c r="VWU29" s="537"/>
      <c r="VWV29" s="537"/>
      <c r="VWW29" s="537"/>
      <c r="VWX29" s="537"/>
      <c r="VWY29" s="537"/>
      <c r="VWZ29" s="537"/>
      <c r="VXA29" s="537"/>
      <c r="VXB29" s="537"/>
      <c r="VXC29" s="537"/>
      <c r="VXD29" s="537"/>
      <c r="VXE29" s="537"/>
      <c r="VXF29" s="537"/>
      <c r="VXG29" s="537"/>
      <c r="VXH29" s="537"/>
      <c r="VXI29" s="537"/>
      <c r="VXJ29" s="537"/>
      <c r="VXK29" s="537"/>
      <c r="VXL29" s="537"/>
      <c r="VXM29" s="537"/>
      <c r="VXN29" s="537"/>
      <c r="VXO29" s="537"/>
      <c r="VXP29" s="537"/>
      <c r="VXQ29" s="537"/>
      <c r="VXR29" s="537"/>
      <c r="VXS29" s="537"/>
      <c r="VXT29" s="537"/>
      <c r="VXU29" s="537"/>
      <c r="VXV29" s="537"/>
      <c r="VXW29" s="537"/>
      <c r="VXX29" s="537"/>
      <c r="VXY29" s="537"/>
      <c r="VXZ29" s="537"/>
      <c r="VYA29" s="537"/>
      <c r="VYB29" s="537"/>
      <c r="VYC29" s="537"/>
      <c r="VYD29" s="537"/>
      <c r="VYE29" s="537"/>
      <c r="VYF29" s="537"/>
      <c r="VYG29" s="537"/>
      <c r="VYH29" s="537"/>
      <c r="VYI29" s="537"/>
      <c r="VYJ29" s="537"/>
      <c r="VYK29" s="537"/>
      <c r="VYL29" s="537"/>
      <c r="VYM29" s="537"/>
      <c r="VYN29" s="537"/>
      <c r="VYO29" s="537"/>
      <c r="VYP29" s="537"/>
      <c r="VYQ29" s="537"/>
      <c r="VYR29" s="537"/>
      <c r="VYS29" s="537"/>
      <c r="VYT29" s="537"/>
      <c r="VYU29" s="537"/>
      <c r="VYV29" s="537"/>
      <c r="VYW29" s="537"/>
      <c r="VYX29" s="537"/>
      <c r="VYY29" s="537"/>
      <c r="VYZ29" s="537"/>
      <c r="VZA29" s="537"/>
      <c r="VZB29" s="537"/>
      <c r="VZC29" s="537"/>
      <c r="VZD29" s="537"/>
      <c r="VZE29" s="537"/>
      <c r="VZF29" s="537"/>
      <c r="VZG29" s="537"/>
      <c r="VZH29" s="537"/>
      <c r="VZI29" s="537"/>
      <c r="VZJ29" s="537"/>
      <c r="VZK29" s="537"/>
      <c r="VZL29" s="537"/>
      <c r="VZM29" s="537"/>
      <c r="VZN29" s="537"/>
      <c r="VZO29" s="537"/>
      <c r="VZP29" s="537"/>
      <c r="VZQ29" s="537"/>
      <c r="VZR29" s="537"/>
      <c r="VZS29" s="537"/>
      <c r="VZT29" s="537"/>
      <c r="VZU29" s="537"/>
      <c r="VZV29" s="537"/>
      <c r="VZW29" s="537"/>
      <c r="VZX29" s="537"/>
      <c r="VZY29" s="537"/>
      <c r="VZZ29" s="537"/>
      <c r="WAA29" s="537"/>
      <c r="WAB29" s="537"/>
      <c r="WAC29" s="537"/>
      <c r="WAD29" s="537"/>
      <c r="WAE29" s="537"/>
      <c r="WAF29" s="537"/>
      <c r="WAG29" s="537"/>
      <c r="WAH29" s="537"/>
      <c r="WAI29" s="537"/>
      <c r="WAJ29" s="537"/>
      <c r="WAK29" s="537"/>
      <c r="WAL29" s="537"/>
      <c r="WAM29" s="537"/>
      <c r="WAN29" s="537"/>
      <c r="WAO29" s="537"/>
      <c r="WAP29" s="537"/>
      <c r="WAQ29" s="537"/>
      <c r="WAR29" s="537"/>
      <c r="WAS29" s="537"/>
      <c r="WAT29" s="537"/>
      <c r="WAU29" s="537"/>
      <c r="WAV29" s="537"/>
      <c r="WAW29" s="537"/>
      <c r="WAX29" s="537"/>
      <c r="WAY29" s="537"/>
      <c r="WAZ29" s="537"/>
      <c r="WBA29" s="537"/>
      <c r="WBB29" s="537"/>
      <c r="WBC29" s="537"/>
      <c r="WBD29" s="537"/>
      <c r="WBE29" s="537"/>
      <c r="WBF29" s="537"/>
      <c r="WBG29" s="537"/>
      <c r="WBH29" s="537"/>
      <c r="WBI29" s="537"/>
      <c r="WBJ29" s="537"/>
      <c r="WBK29" s="537"/>
      <c r="WBL29" s="537"/>
      <c r="WBM29" s="537"/>
      <c r="WBN29" s="537"/>
      <c r="WBO29" s="537"/>
      <c r="WBP29" s="537"/>
      <c r="WBQ29" s="537"/>
      <c r="WBR29" s="537"/>
      <c r="WBS29" s="537"/>
      <c r="WBT29" s="537"/>
      <c r="WBU29" s="537"/>
      <c r="WBV29" s="537"/>
      <c r="WBW29" s="537"/>
      <c r="WBX29" s="537"/>
      <c r="WBY29" s="537"/>
      <c r="WBZ29" s="537"/>
      <c r="WCA29" s="537"/>
      <c r="WCB29" s="537"/>
      <c r="WCC29" s="537"/>
      <c r="WCD29" s="537"/>
      <c r="WCE29" s="537"/>
      <c r="WCF29" s="537"/>
      <c r="WCG29" s="537"/>
      <c r="WCH29" s="537"/>
      <c r="WCI29" s="537"/>
      <c r="WCJ29" s="537"/>
      <c r="WCK29" s="537"/>
      <c r="WCL29" s="537"/>
      <c r="WCM29" s="537"/>
      <c r="WCN29" s="537"/>
      <c r="WCO29" s="537"/>
      <c r="WCP29" s="537"/>
      <c r="WCQ29" s="537"/>
      <c r="WCR29" s="537"/>
      <c r="WCS29" s="537"/>
      <c r="WCT29" s="537"/>
      <c r="WCU29" s="537"/>
      <c r="WCV29" s="537"/>
      <c r="WCW29" s="537"/>
      <c r="WCX29" s="537"/>
      <c r="WCY29" s="537"/>
      <c r="WCZ29" s="537"/>
      <c r="WDA29" s="537"/>
      <c r="WDB29" s="537"/>
      <c r="WDC29" s="537"/>
      <c r="WDD29" s="537"/>
      <c r="WDE29" s="537"/>
      <c r="WDF29" s="537"/>
      <c r="WDG29" s="537"/>
      <c r="WDH29" s="537"/>
      <c r="WDI29" s="537"/>
      <c r="WDJ29" s="537"/>
      <c r="WDK29" s="537"/>
      <c r="WDL29" s="537"/>
      <c r="WDM29" s="537"/>
      <c r="WDN29" s="537"/>
      <c r="WDO29" s="537"/>
      <c r="WDP29" s="537"/>
      <c r="WDQ29" s="537"/>
      <c r="WDR29" s="537"/>
      <c r="WDS29" s="537"/>
      <c r="WDT29" s="537"/>
      <c r="WDU29" s="537"/>
      <c r="WDV29" s="537"/>
      <c r="WDW29" s="537"/>
      <c r="WDX29" s="537"/>
      <c r="WDY29" s="537"/>
      <c r="WDZ29" s="537"/>
      <c r="WEA29" s="537"/>
      <c r="WEB29" s="537"/>
      <c r="WEC29" s="537"/>
      <c r="WED29" s="537"/>
      <c r="WEE29" s="537"/>
      <c r="WEF29" s="537"/>
      <c r="WEG29" s="537"/>
      <c r="WEH29" s="537"/>
      <c r="WEI29" s="537"/>
      <c r="WEJ29" s="537"/>
      <c r="WEK29" s="537"/>
      <c r="WEL29" s="537"/>
      <c r="WEM29" s="537"/>
      <c r="WEN29" s="537"/>
      <c r="WEO29" s="537"/>
      <c r="WEP29" s="537"/>
      <c r="WEQ29" s="537"/>
      <c r="WER29" s="537"/>
      <c r="WES29" s="537"/>
      <c r="WET29" s="537"/>
      <c r="WEU29" s="537"/>
      <c r="WEV29" s="537"/>
      <c r="WEW29" s="537"/>
      <c r="WEX29" s="537"/>
      <c r="WEY29" s="537"/>
      <c r="WEZ29" s="537"/>
      <c r="WFA29" s="537"/>
      <c r="WFB29" s="537"/>
      <c r="WFC29" s="537"/>
      <c r="WFD29" s="537"/>
      <c r="WFE29" s="537"/>
      <c r="WFF29" s="537"/>
      <c r="WFG29" s="537"/>
      <c r="WFH29" s="537"/>
      <c r="WFI29" s="537"/>
      <c r="WFJ29" s="537"/>
      <c r="WFK29" s="537"/>
      <c r="WFL29" s="537"/>
      <c r="WFM29" s="537"/>
      <c r="WFN29" s="537"/>
      <c r="WFO29" s="537"/>
      <c r="WFP29" s="537"/>
      <c r="WFQ29" s="537"/>
      <c r="WFR29" s="537"/>
      <c r="WFS29" s="537"/>
      <c r="WFT29" s="537"/>
      <c r="WFU29" s="537"/>
      <c r="WFV29" s="537"/>
      <c r="WFW29" s="537"/>
      <c r="WFX29" s="537"/>
      <c r="WFY29" s="537"/>
      <c r="WFZ29" s="537"/>
      <c r="WGA29" s="537"/>
      <c r="WGB29" s="537"/>
      <c r="WGC29" s="537"/>
      <c r="WGD29" s="537"/>
      <c r="WGE29" s="537"/>
      <c r="WGF29" s="537"/>
      <c r="WGG29" s="537"/>
      <c r="WGH29" s="537"/>
      <c r="WGI29" s="537"/>
      <c r="WGJ29" s="537"/>
      <c r="WGK29" s="537"/>
      <c r="WGL29" s="537"/>
      <c r="WGM29" s="537"/>
      <c r="WGN29" s="537"/>
      <c r="WGO29" s="537"/>
      <c r="WGP29" s="537"/>
      <c r="WGQ29" s="537"/>
      <c r="WGR29" s="537"/>
      <c r="WGS29" s="537"/>
      <c r="WGT29" s="537"/>
      <c r="WGU29" s="537"/>
      <c r="WGV29" s="537"/>
      <c r="WGW29" s="537"/>
      <c r="WGX29" s="537"/>
      <c r="WGY29" s="537"/>
      <c r="WGZ29" s="537"/>
      <c r="WHA29" s="537"/>
      <c r="WHB29" s="537"/>
      <c r="WHC29" s="537"/>
      <c r="WHD29" s="537"/>
      <c r="WHE29" s="537"/>
      <c r="WHF29" s="537"/>
      <c r="WHG29" s="537"/>
      <c r="WHH29" s="537"/>
      <c r="WHI29" s="537"/>
      <c r="WHJ29" s="537"/>
      <c r="WHK29" s="537"/>
      <c r="WHL29" s="537"/>
      <c r="WHM29" s="537"/>
      <c r="WHN29" s="537"/>
      <c r="WHO29" s="537"/>
      <c r="WHP29" s="537"/>
      <c r="WHQ29" s="537"/>
      <c r="WHR29" s="537"/>
      <c r="WHS29" s="537"/>
      <c r="WHT29" s="537"/>
      <c r="WHU29" s="537"/>
      <c r="WHV29" s="537"/>
      <c r="WHW29" s="537"/>
      <c r="WHX29" s="537"/>
      <c r="WHY29" s="537"/>
      <c r="WHZ29" s="537"/>
      <c r="WIA29" s="537"/>
      <c r="WIB29" s="537"/>
      <c r="WIC29" s="537"/>
      <c r="WID29" s="537"/>
      <c r="WIE29" s="537"/>
      <c r="WIF29" s="537"/>
      <c r="WIG29" s="537"/>
      <c r="WIH29" s="537"/>
      <c r="WII29" s="537"/>
      <c r="WIJ29" s="537"/>
      <c r="WIK29" s="537"/>
      <c r="WIL29" s="537"/>
      <c r="WIM29" s="537"/>
      <c r="WIN29" s="537"/>
      <c r="WIO29" s="537"/>
      <c r="WIP29" s="537"/>
      <c r="WIQ29" s="537"/>
      <c r="WIR29" s="537"/>
      <c r="WIS29" s="537"/>
      <c r="WIT29" s="537"/>
      <c r="WIU29" s="537"/>
      <c r="WIV29" s="537"/>
      <c r="WIW29" s="537"/>
      <c r="WIX29" s="537"/>
      <c r="WIY29" s="537"/>
      <c r="WIZ29" s="537"/>
      <c r="WJA29" s="537"/>
      <c r="WJB29" s="537"/>
      <c r="WJC29" s="537"/>
      <c r="WJD29" s="537"/>
      <c r="WJE29" s="537"/>
      <c r="WJF29" s="537"/>
      <c r="WJG29" s="537"/>
      <c r="WJH29" s="537"/>
      <c r="WJI29" s="537"/>
      <c r="WJJ29" s="537"/>
      <c r="WJK29" s="537"/>
      <c r="WJL29" s="537"/>
      <c r="WJM29" s="537"/>
      <c r="WJN29" s="537"/>
      <c r="WJO29" s="537"/>
      <c r="WJP29" s="537"/>
      <c r="WJQ29" s="537"/>
      <c r="WJR29" s="537"/>
      <c r="WJS29" s="537"/>
      <c r="WJT29" s="537"/>
      <c r="WJU29" s="537"/>
      <c r="WJV29" s="537"/>
      <c r="WJW29" s="537"/>
      <c r="WJX29" s="537"/>
      <c r="WJY29" s="537"/>
      <c r="WJZ29" s="537"/>
      <c r="WKA29" s="537"/>
      <c r="WKB29" s="537"/>
      <c r="WKC29" s="537"/>
      <c r="WKD29" s="537"/>
      <c r="WKE29" s="537"/>
      <c r="WKF29" s="537"/>
      <c r="WKG29" s="537"/>
      <c r="WKH29" s="537"/>
      <c r="WKI29" s="537"/>
      <c r="WKJ29" s="537"/>
      <c r="WKK29" s="537"/>
      <c r="WKL29" s="537"/>
      <c r="WKM29" s="537"/>
      <c r="WKN29" s="537"/>
      <c r="WKO29" s="537"/>
      <c r="WKP29" s="537"/>
      <c r="WKQ29" s="537"/>
      <c r="WKR29" s="537"/>
      <c r="WKS29" s="537"/>
      <c r="WKT29" s="537"/>
      <c r="WKU29" s="537"/>
      <c r="WKV29" s="537"/>
      <c r="WKW29" s="537"/>
      <c r="WKX29" s="537"/>
      <c r="WKY29" s="537"/>
      <c r="WKZ29" s="537"/>
      <c r="WLA29" s="537"/>
      <c r="WLB29" s="537"/>
      <c r="WLC29" s="537"/>
      <c r="WLD29" s="537"/>
      <c r="WLE29" s="537"/>
      <c r="WLF29" s="537"/>
      <c r="WLG29" s="537"/>
      <c r="WLH29" s="537"/>
      <c r="WLI29" s="537"/>
      <c r="WLJ29" s="537"/>
      <c r="WLK29" s="537"/>
      <c r="WLL29" s="537"/>
      <c r="WLM29" s="537"/>
      <c r="WLN29" s="537"/>
      <c r="WLO29" s="537"/>
      <c r="WLP29" s="537"/>
      <c r="WLQ29" s="537"/>
      <c r="WLR29" s="537"/>
      <c r="WLS29" s="537"/>
      <c r="WLT29" s="537"/>
      <c r="WLU29" s="537"/>
      <c r="WLV29" s="537"/>
      <c r="WLW29" s="537"/>
      <c r="WLX29" s="537"/>
      <c r="WLY29" s="537"/>
      <c r="WLZ29" s="537"/>
      <c r="WMA29" s="537"/>
      <c r="WMB29" s="537"/>
      <c r="WMC29" s="537"/>
      <c r="WMD29" s="537"/>
      <c r="WME29" s="537"/>
      <c r="WMF29" s="537"/>
      <c r="WMG29" s="537"/>
      <c r="WMH29" s="537"/>
      <c r="WMI29" s="537"/>
      <c r="WMJ29" s="537"/>
      <c r="WMK29" s="537"/>
      <c r="WML29" s="537"/>
      <c r="WMM29" s="537"/>
      <c r="WMN29" s="537"/>
      <c r="WMO29" s="537"/>
      <c r="WMP29" s="537"/>
      <c r="WMQ29" s="537"/>
      <c r="WMR29" s="537"/>
      <c r="WMS29" s="537"/>
      <c r="WMT29" s="537"/>
      <c r="WMU29" s="537"/>
      <c r="WMV29" s="537"/>
      <c r="WMW29" s="537"/>
      <c r="WMX29" s="537"/>
      <c r="WMY29" s="537"/>
      <c r="WMZ29" s="537"/>
      <c r="WNA29" s="537"/>
      <c r="WNB29" s="537"/>
      <c r="WNC29" s="537"/>
      <c r="WND29" s="537"/>
      <c r="WNE29" s="537"/>
      <c r="WNF29" s="537"/>
      <c r="WNG29" s="537"/>
      <c r="WNH29" s="537"/>
      <c r="WNI29" s="537"/>
      <c r="WNJ29" s="537"/>
      <c r="WNK29" s="537"/>
      <c r="WNL29" s="537"/>
      <c r="WNM29" s="537"/>
      <c r="WNN29" s="537"/>
      <c r="WNO29" s="537"/>
      <c r="WNP29" s="537"/>
      <c r="WNQ29" s="537"/>
      <c r="WNR29" s="537"/>
      <c r="WNS29" s="537"/>
      <c r="WNT29" s="537"/>
      <c r="WNU29" s="537"/>
      <c r="WNV29" s="537"/>
      <c r="WNW29" s="537"/>
      <c r="WNX29" s="537"/>
      <c r="WNY29" s="537"/>
      <c r="WNZ29" s="537"/>
      <c r="WOA29" s="537"/>
      <c r="WOB29" s="537"/>
      <c r="WOC29" s="537"/>
      <c r="WOD29" s="537"/>
      <c r="WOE29" s="537"/>
      <c r="WOF29" s="537"/>
      <c r="WOG29" s="537"/>
      <c r="WOH29" s="537"/>
      <c r="WOI29" s="537"/>
      <c r="WOJ29" s="537"/>
      <c r="WOK29" s="537"/>
      <c r="WOL29" s="537"/>
      <c r="WOM29" s="537"/>
      <c r="WON29" s="537"/>
      <c r="WOO29" s="537"/>
      <c r="WOP29" s="537"/>
      <c r="WOQ29" s="537"/>
      <c r="WOR29" s="537"/>
      <c r="WOS29" s="537"/>
      <c r="WOT29" s="537"/>
      <c r="WOU29" s="537"/>
      <c r="WOV29" s="537"/>
      <c r="WOW29" s="537"/>
      <c r="WOX29" s="537"/>
      <c r="WOY29" s="537"/>
      <c r="WOZ29" s="537"/>
      <c r="WPA29" s="537"/>
      <c r="WPB29" s="537"/>
      <c r="WPC29" s="537"/>
      <c r="WPD29" s="537"/>
      <c r="WPE29" s="537"/>
      <c r="WPF29" s="537"/>
      <c r="WPG29" s="537"/>
      <c r="WPH29" s="537"/>
      <c r="WPI29" s="537"/>
      <c r="WPJ29" s="537"/>
      <c r="WPK29" s="537"/>
      <c r="WPL29" s="537"/>
      <c r="WPM29" s="537"/>
      <c r="WPN29" s="537"/>
      <c r="WPO29" s="537"/>
      <c r="WPP29" s="537"/>
      <c r="WPQ29" s="537"/>
      <c r="WPR29" s="537"/>
      <c r="WPS29" s="537"/>
      <c r="WPT29" s="537"/>
      <c r="WPU29" s="537"/>
      <c r="WPV29" s="537"/>
      <c r="WPW29" s="537"/>
      <c r="WPX29" s="537"/>
      <c r="WPY29" s="537"/>
      <c r="WPZ29" s="537"/>
      <c r="WQA29" s="537"/>
      <c r="WQB29" s="537"/>
      <c r="WQC29" s="537"/>
      <c r="WQD29" s="537"/>
      <c r="WQE29" s="537"/>
      <c r="WQF29" s="537"/>
      <c r="WQG29" s="537"/>
      <c r="WQH29" s="537"/>
      <c r="WQI29" s="537"/>
      <c r="WQJ29" s="537"/>
      <c r="WQK29" s="537"/>
      <c r="WQL29" s="537"/>
      <c r="WQM29" s="537"/>
      <c r="WQN29" s="537"/>
      <c r="WQO29" s="537"/>
      <c r="WQP29" s="537"/>
      <c r="WQQ29" s="537"/>
      <c r="WQR29" s="537"/>
      <c r="WQS29" s="537"/>
      <c r="WQT29" s="537"/>
      <c r="WQU29" s="537"/>
      <c r="WQV29" s="537"/>
      <c r="WQW29" s="537"/>
      <c r="WQX29" s="537"/>
      <c r="WQY29" s="537"/>
      <c r="WQZ29" s="537"/>
      <c r="WRA29" s="537"/>
      <c r="WRB29" s="537"/>
      <c r="WRC29" s="537"/>
      <c r="WRD29" s="537"/>
      <c r="WRE29" s="537"/>
      <c r="WRF29" s="537"/>
      <c r="WRG29" s="537"/>
      <c r="WRH29" s="537"/>
      <c r="WRI29" s="537"/>
      <c r="WRJ29" s="537"/>
      <c r="WRK29" s="537"/>
      <c r="WRL29" s="537"/>
      <c r="WRM29" s="537"/>
      <c r="WRN29" s="537"/>
      <c r="WRO29" s="537"/>
      <c r="WRP29" s="537"/>
      <c r="WRQ29" s="537"/>
      <c r="WRR29" s="537"/>
      <c r="WRS29" s="537"/>
      <c r="WRT29" s="537"/>
      <c r="WRU29" s="537"/>
      <c r="WRV29" s="537"/>
      <c r="WRW29" s="537"/>
      <c r="WRX29" s="537"/>
      <c r="WRY29" s="537"/>
      <c r="WRZ29" s="537"/>
      <c r="WSA29" s="537"/>
      <c r="WSB29" s="537"/>
      <c r="WSC29" s="537"/>
      <c r="WSD29" s="537"/>
      <c r="WSE29" s="537"/>
      <c r="WSF29" s="537"/>
      <c r="WSG29" s="537"/>
      <c r="WSH29" s="537"/>
      <c r="WSI29" s="537"/>
      <c r="WSJ29" s="537"/>
      <c r="WSK29" s="537"/>
      <c r="WSL29" s="537"/>
      <c r="WSM29" s="537"/>
      <c r="WSN29" s="537"/>
      <c r="WSO29" s="537"/>
      <c r="WSP29" s="537"/>
      <c r="WSQ29" s="537"/>
      <c r="WSR29" s="537"/>
      <c r="WSS29" s="537"/>
      <c r="WST29" s="537"/>
      <c r="WSU29" s="537"/>
      <c r="WSV29" s="537"/>
      <c r="WSW29" s="537"/>
      <c r="WSX29" s="537"/>
      <c r="WSY29" s="537"/>
      <c r="WSZ29" s="537"/>
      <c r="WTA29" s="537"/>
      <c r="WTB29" s="537"/>
      <c r="WTC29" s="537"/>
      <c r="WTD29" s="537"/>
      <c r="WTE29" s="537"/>
      <c r="WTF29" s="537"/>
      <c r="WTG29" s="537"/>
      <c r="WTH29" s="537"/>
      <c r="WTI29" s="537"/>
      <c r="WTJ29" s="537"/>
      <c r="WTK29" s="537"/>
      <c r="WTL29" s="537"/>
      <c r="WTM29" s="537"/>
      <c r="WTN29" s="537"/>
      <c r="WTO29" s="537"/>
      <c r="WTP29" s="537"/>
      <c r="WTQ29" s="537"/>
      <c r="WTR29" s="537"/>
      <c r="WTS29" s="537"/>
      <c r="WTT29" s="537"/>
      <c r="WTU29" s="537"/>
      <c r="WTV29" s="537"/>
      <c r="WTW29" s="537"/>
      <c r="WTX29" s="537"/>
      <c r="WTY29" s="537"/>
      <c r="WTZ29" s="537"/>
      <c r="WUA29" s="537"/>
      <c r="WUB29" s="537"/>
      <c r="WUC29" s="537"/>
      <c r="WUD29" s="537"/>
      <c r="WUE29" s="537"/>
      <c r="WUF29" s="537"/>
      <c r="WUG29" s="537"/>
      <c r="WUH29" s="537"/>
      <c r="WUI29" s="537"/>
      <c r="WUJ29" s="537"/>
      <c r="WUK29" s="537"/>
      <c r="WUL29" s="537"/>
      <c r="WUM29" s="537"/>
      <c r="WUN29" s="537"/>
      <c r="WUO29" s="537"/>
      <c r="WUP29" s="537"/>
      <c r="WUQ29" s="537"/>
      <c r="WUR29" s="537"/>
      <c r="WUS29" s="537"/>
      <c r="WUT29" s="537"/>
      <c r="WUU29" s="537"/>
      <c r="WUV29" s="537"/>
      <c r="WUW29" s="537"/>
      <c r="WUX29" s="537"/>
      <c r="WUY29" s="537"/>
      <c r="WUZ29" s="537"/>
      <c r="WVA29" s="537"/>
      <c r="WVB29" s="537"/>
      <c r="WVC29" s="537"/>
      <c r="WVD29" s="537"/>
      <c r="WVE29" s="537"/>
      <c r="WVF29" s="537"/>
      <c r="WVG29" s="537"/>
      <c r="WVH29" s="537"/>
      <c r="WVI29" s="537"/>
      <c r="WVJ29" s="537"/>
      <c r="WVK29" s="537"/>
      <c r="WVL29" s="537"/>
      <c r="WVM29" s="537"/>
      <c r="WVN29" s="537"/>
      <c r="WVO29" s="537"/>
      <c r="WVP29" s="537"/>
      <c r="WVQ29" s="537"/>
      <c r="WVR29" s="537"/>
      <c r="WVS29" s="537"/>
      <c r="WVT29" s="537"/>
      <c r="WVU29" s="537"/>
      <c r="WVV29" s="537"/>
      <c r="WVW29" s="537"/>
      <c r="WVX29" s="537"/>
      <c r="WVY29" s="537"/>
      <c r="WVZ29" s="537"/>
      <c r="WWA29" s="537"/>
      <c r="WWB29" s="537"/>
      <c r="WWC29" s="537"/>
      <c r="WWD29" s="537"/>
      <c r="WWE29" s="537"/>
      <c r="WWF29" s="537"/>
      <c r="WWG29" s="537"/>
      <c r="WWH29" s="537"/>
      <c r="WWI29" s="537"/>
      <c r="WWJ29" s="537"/>
      <c r="WWK29" s="537"/>
      <c r="WWL29" s="537"/>
      <c r="WWM29" s="537"/>
      <c r="WWN29" s="537"/>
      <c r="WWO29" s="537"/>
      <c r="WWP29" s="537"/>
      <c r="WWQ29" s="537"/>
      <c r="WWR29" s="537"/>
      <c r="WWS29" s="537"/>
      <c r="WWT29" s="537"/>
      <c r="WWU29" s="537"/>
      <c r="WWV29" s="537"/>
      <c r="WWW29" s="537"/>
      <c r="WWX29" s="537"/>
      <c r="WWY29" s="537"/>
      <c r="WWZ29" s="537"/>
      <c r="WXA29" s="537"/>
      <c r="WXB29" s="537"/>
      <c r="WXC29" s="537"/>
      <c r="WXD29" s="537"/>
      <c r="WXE29" s="537"/>
      <c r="WXF29" s="537"/>
      <c r="WXG29" s="537"/>
      <c r="WXH29" s="537"/>
      <c r="WXI29" s="537"/>
      <c r="WXJ29" s="537"/>
      <c r="WXK29" s="537"/>
      <c r="WXL29" s="537"/>
      <c r="WXM29" s="537"/>
      <c r="WXN29" s="537"/>
      <c r="WXO29" s="537"/>
      <c r="WXP29" s="537"/>
      <c r="WXQ29" s="537"/>
      <c r="WXR29" s="537"/>
      <c r="WXS29" s="537"/>
      <c r="WXT29" s="537"/>
      <c r="WXU29" s="537"/>
      <c r="WXV29" s="537"/>
      <c r="WXW29" s="537"/>
      <c r="WXX29" s="537"/>
      <c r="WXY29" s="537"/>
      <c r="WXZ29" s="537"/>
      <c r="WYA29" s="537"/>
      <c r="WYB29" s="537"/>
      <c r="WYC29" s="537"/>
      <c r="WYD29" s="537"/>
      <c r="WYE29" s="537"/>
      <c r="WYF29" s="537"/>
      <c r="WYG29" s="537"/>
      <c r="WYH29" s="537"/>
      <c r="WYI29" s="537"/>
      <c r="WYJ29" s="537"/>
      <c r="WYK29" s="537"/>
      <c r="WYL29" s="537"/>
      <c r="WYM29" s="537"/>
      <c r="WYN29" s="537"/>
      <c r="WYO29" s="537"/>
      <c r="WYP29" s="537"/>
      <c r="WYQ29" s="537"/>
      <c r="WYR29" s="537"/>
      <c r="WYS29" s="537"/>
      <c r="WYT29" s="537"/>
      <c r="WYU29" s="537"/>
      <c r="WYV29" s="537"/>
      <c r="WYW29" s="537"/>
      <c r="WYX29" s="537"/>
      <c r="WYY29" s="537"/>
      <c r="WYZ29" s="537"/>
      <c r="WZA29" s="537"/>
      <c r="WZB29" s="537"/>
      <c r="WZC29" s="537"/>
      <c r="WZD29" s="537"/>
      <c r="WZE29" s="537"/>
      <c r="WZF29" s="537"/>
      <c r="WZG29" s="537"/>
      <c r="WZH29" s="537"/>
      <c r="WZI29" s="537"/>
      <c r="WZJ29" s="537"/>
      <c r="WZK29" s="537"/>
      <c r="WZL29" s="537"/>
      <c r="WZM29" s="537"/>
      <c r="WZN29" s="537"/>
      <c r="WZO29" s="537"/>
      <c r="WZP29" s="537"/>
      <c r="WZQ29" s="537"/>
      <c r="WZR29" s="537"/>
      <c r="WZS29" s="537"/>
      <c r="WZT29" s="537"/>
      <c r="WZU29" s="537"/>
      <c r="WZV29" s="537"/>
      <c r="WZW29" s="537"/>
      <c r="WZX29" s="537"/>
      <c r="WZY29" s="537"/>
      <c r="WZZ29" s="537"/>
      <c r="XAA29" s="537"/>
      <c r="XAB29" s="537"/>
      <c r="XAC29" s="537"/>
      <c r="XAD29" s="537"/>
      <c r="XAE29" s="537"/>
      <c r="XAF29" s="537"/>
      <c r="XAG29" s="537"/>
      <c r="XAH29" s="537"/>
      <c r="XAI29" s="537"/>
      <c r="XAJ29" s="537"/>
      <c r="XAK29" s="537"/>
      <c r="XAL29" s="537"/>
      <c r="XAM29" s="537"/>
      <c r="XAN29" s="537"/>
      <c r="XAO29" s="537"/>
      <c r="XAP29" s="537"/>
      <c r="XAQ29" s="537"/>
      <c r="XAR29" s="537"/>
      <c r="XAS29" s="537"/>
      <c r="XAT29" s="537"/>
      <c r="XAU29" s="537"/>
      <c r="XAV29" s="537"/>
      <c r="XAW29" s="537"/>
      <c r="XAX29" s="537"/>
      <c r="XAY29" s="537"/>
      <c r="XAZ29" s="537"/>
      <c r="XBA29" s="537"/>
      <c r="XBB29" s="537"/>
      <c r="XBC29" s="537"/>
      <c r="XBD29" s="537"/>
      <c r="XBE29" s="537"/>
      <c r="XBF29" s="537"/>
      <c r="XBG29" s="537"/>
      <c r="XBH29" s="537"/>
      <c r="XBI29" s="537"/>
      <c r="XBJ29" s="537"/>
      <c r="XBK29" s="537"/>
      <c r="XBL29" s="537"/>
      <c r="XBM29" s="537"/>
      <c r="XBN29" s="537"/>
      <c r="XBO29" s="537"/>
      <c r="XBP29" s="537"/>
      <c r="XBQ29" s="537"/>
      <c r="XBR29" s="537"/>
      <c r="XBS29" s="537"/>
      <c r="XBT29" s="537"/>
      <c r="XBU29" s="537"/>
      <c r="XBV29" s="537"/>
      <c r="XBW29" s="537"/>
      <c r="XBX29" s="537"/>
      <c r="XBY29" s="537"/>
      <c r="XBZ29" s="537"/>
      <c r="XCA29" s="537"/>
      <c r="XCB29" s="537"/>
      <c r="XCC29" s="537"/>
      <c r="XCD29" s="537"/>
      <c r="XCE29" s="537"/>
      <c r="XCF29" s="537"/>
      <c r="XCG29" s="537"/>
      <c r="XCH29" s="537"/>
      <c r="XCI29" s="537"/>
      <c r="XCJ29" s="537"/>
      <c r="XCK29" s="537"/>
      <c r="XCL29" s="537"/>
      <c r="XCM29" s="537"/>
      <c r="XCN29" s="537"/>
      <c r="XCO29" s="537"/>
      <c r="XCP29" s="537"/>
      <c r="XCQ29" s="537"/>
      <c r="XCR29" s="537"/>
      <c r="XCS29" s="537"/>
      <c r="XCT29" s="537"/>
      <c r="XCU29" s="537"/>
      <c r="XCV29" s="537"/>
      <c r="XCW29" s="537"/>
      <c r="XCX29" s="537"/>
      <c r="XCY29" s="537"/>
      <c r="XCZ29" s="537"/>
      <c r="XDA29" s="537"/>
      <c r="XDB29" s="537"/>
      <c r="XDC29" s="537"/>
      <c r="XDD29" s="537"/>
      <c r="XDE29" s="537"/>
      <c r="XDF29" s="537"/>
      <c r="XDG29" s="537"/>
      <c r="XDH29" s="537"/>
      <c r="XDI29" s="537"/>
      <c r="XDJ29" s="537"/>
      <c r="XDK29" s="537"/>
      <c r="XDL29" s="537"/>
      <c r="XDM29" s="537"/>
      <c r="XDN29" s="537"/>
      <c r="XDO29" s="537"/>
      <c r="XDP29" s="537"/>
      <c r="XDQ29" s="537"/>
      <c r="XDR29" s="537"/>
      <c r="XDS29" s="537"/>
      <c r="XDT29" s="537"/>
      <c r="XDU29" s="537"/>
      <c r="XDV29" s="537"/>
      <c r="XDW29" s="537"/>
      <c r="XDX29" s="537"/>
      <c r="XDY29" s="537"/>
      <c r="XDZ29" s="537"/>
      <c r="XEA29" s="537"/>
      <c r="XEB29" s="537"/>
      <c r="XEC29" s="537"/>
      <c r="XED29" s="537"/>
      <c r="XEE29" s="537"/>
      <c r="XEF29" s="537"/>
      <c r="XEG29" s="537"/>
      <c r="XEH29" s="537"/>
      <c r="XEI29" s="537"/>
      <c r="XEJ29" s="537"/>
      <c r="XEK29" s="537"/>
      <c r="XEL29" s="537"/>
      <c r="XEM29" s="537"/>
      <c r="XEN29" s="537"/>
      <c r="XEO29" s="537"/>
      <c r="XEP29" s="537"/>
      <c r="XEQ29" s="537"/>
      <c r="XER29" s="537"/>
      <c r="XES29" s="537"/>
      <c r="XET29" s="537"/>
      <c r="XEU29" s="537"/>
      <c r="XEV29" s="537"/>
      <c r="XEW29" s="537"/>
      <c r="XEX29" s="537"/>
      <c r="XEY29" s="537"/>
    </row>
    <row r="30" spans="1:16379" ht="21" customHeight="1" x14ac:dyDescent="0.25">
      <c r="B30" s="420" t="s">
        <v>1005</v>
      </c>
      <c r="C30" s="423" t="s">
        <v>1028</v>
      </c>
      <c r="D30" s="424"/>
      <c r="E30" s="424"/>
      <c r="F30" s="425"/>
      <c r="G30" s="553"/>
      <c r="H30" s="420"/>
      <c r="I30" s="427">
        <f>SUMPRODUCT(((LEFT(BalanceN!$A$4:$A$9999,2)="16")-(LEFT(BalanceN!$A$4:$A$9999,3)="166"))*BalanceN!$F$4:$F$9999)</f>
        <v>100000000</v>
      </c>
      <c r="J30" s="552">
        <f>SUMPRODUCT(((LEFT('BalanceN-1'!$A$4:$A$9999,2)="16")-(LEFT('BalanceN-1'!$A$4:$A$9999,3)="166"))*'BalanceN-1'!$F$4:$F$9999)</f>
        <v>0</v>
      </c>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c r="IT30" s="546"/>
      <c r="IU30" s="546"/>
      <c r="IV30" s="546"/>
      <c r="IW30" s="546"/>
      <c r="IX30" s="546"/>
      <c r="IY30" s="546"/>
      <c r="IZ30" s="546"/>
      <c r="JA30" s="546"/>
      <c r="JB30" s="546"/>
      <c r="JC30" s="546"/>
      <c r="JD30" s="546"/>
      <c r="JE30" s="546"/>
      <c r="JF30" s="546"/>
      <c r="JG30" s="546"/>
      <c r="JH30" s="546"/>
      <c r="JI30" s="546"/>
      <c r="JJ30" s="546"/>
      <c r="JK30" s="546"/>
      <c r="JL30" s="546"/>
      <c r="JM30" s="546"/>
      <c r="JN30" s="546"/>
      <c r="JO30" s="546"/>
      <c r="JP30" s="546"/>
      <c r="JQ30" s="546"/>
      <c r="JR30" s="546"/>
      <c r="JS30" s="546"/>
      <c r="JT30" s="546"/>
      <c r="JU30" s="546"/>
      <c r="JV30" s="546"/>
      <c r="JW30" s="546"/>
      <c r="JX30" s="546"/>
      <c r="JY30" s="546"/>
      <c r="JZ30" s="546"/>
      <c r="KA30" s="546"/>
      <c r="KB30" s="546"/>
      <c r="KC30" s="546"/>
      <c r="KD30" s="546"/>
      <c r="KE30" s="546"/>
      <c r="KF30" s="546"/>
      <c r="KG30" s="546"/>
      <c r="KH30" s="546"/>
      <c r="KI30" s="546"/>
      <c r="KJ30" s="546"/>
      <c r="KK30" s="546"/>
      <c r="KL30" s="546"/>
      <c r="KM30" s="546"/>
      <c r="KN30" s="546"/>
      <c r="KO30" s="546"/>
      <c r="KP30" s="546"/>
      <c r="KQ30" s="546"/>
      <c r="KR30" s="546"/>
      <c r="KS30" s="546"/>
      <c r="KT30" s="546"/>
      <c r="KU30" s="546"/>
      <c r="KV30" s="546"/>
      <c r="KW30" s="546"/>
      <c r="KX30" s="546"/>
      <c r="KY30" s="546"/>
      <c r="KZ30" s="546"/>
      <c r="LA30" s="546"/>
      <c r="LB30" s="546"/>
      <c r="LC30" s="546"/>
      <c r="LD30" s="546"/>
      <c r="LE30" s="546"/>
      <c r="LF30" s="546"/>
      <c r="LG30" s="546"/>
      <c r="LH30" s="546"/>
      <c r="LI30" s="546"/>
      <c r="LJ30" s="546"/>
      <c r="LK30" s="546"/>
      <c r="LL30" s="546"/>
      <c r="LM30" s="546"/>
      <c r="LN30" s="546"/>
      <c r="LO30" s="546"/>
      <c r="LP30" s="546"/>
      <c r="LQ30" s="546"/>
      <c r="LR30" s="546"/>
      <c r="LS30" s="546"/>
      <c r="LT30" s="546"/>
      <c r="LU30" s="546"/>
      <c r="LV30" s="546"/>
      <c r="LW30" s="546"/>
      <c r="LX30" s="546"/>
      <c r="LY30" s="546"/>
      <c r="LZ30" s="546"/>
      <c r="MA30" s="546"/>
      <c r="MB30" s="546"/>
      <c r="MC30" s="546"/>
      <c r="MD30" s="546"/>
      <c r="ME30" s="546"/>
      <c r="MF30" s="546"/>
      <c r="MG30" s="546"/>
      <c r="MH30" s="546"/>
      <c r="MI30" s="546"/>
      <c r="MJ30" s="546"/>
      <c r="MK30" s="546"/>
      <c r="ML30" s="546"/>
      <c r="MM30" s="546"/>
      <c r="MN30" s="546"/>
      <c r="MO30" s="546"/>
      <c r="MP30" s="546"/>
      <c r="MQ30" s="546"/>
      <c r="MR30" s="546"/>
      <c r="MS30" s="546"/>
      <c r="MT30" s="546"/>
      <c r="MU30" s="546"/>
      <c r="MV30" s="546"/>
      <c r="MW30" s="546"/>
      <c r="MX30" s="546"/>
      <c r="MY30" s="546"/>
      <c r="MZ30" s="546"/>
      <c r="NA30" s="546"/>
      <c r="NB30" s="546"/>
      <c r="NC30" s="546"/>
      <c r="ND30" s="546"/>
      <c r="NE30" s="546"/>
      <c r="NF30" s="546"/>
      <c r="NG30" s="546"/>
      <c r="NH30" s="546"/>
      <c r="NI30" s="546"/>
      <c r="NJ30" s="546"/>
      <c r="NK30" s="546"/>
      <c r="NL30" s="546"/>
      <c r="NM30" s="546"/>
      <c r="NN30" s="546"/>
      <c r="NO30" s="546"/>
      <c r="NP30" s="546"/>
      <c r="NQ30" s="546"/>
      <c r="NR30" s="546"/>
      <c r="NS30" s="546"/>
      <c r="NT30" s="546"/>
      <c r="NU30" s="546"/>
      <c r="NV30" s="546"/>
      <c r="NW30" s="546"/>
      <c r="NX30" s="546"/>
      <c r="NY30" s="546"/>
      <c r="NZ30" s="546"/>
      <c r="OA30" s="546"/>
      <c r="OB30" s="546"/>
      <c r="OC30" s="546"/>
      <c r="OD30" s="546"/>
      <c r="OE30" s="546"/>
      <c r="OF30" s="546"/>
      <c r="OG30" s="546"/>
      <c r="OH30" s="546"/>
      <c r="OI30" s="546"/>
      <c r="OJ30" s="546"/>
      <c r="OK30" s="546"/>
      <c r="OL30" s="546"/>
      <c r="OM30" s="546"/>
      <c r="ON30" s="546"/>
      <c r="OO30" s="546"/>
      <c r="OP30" s="546"/>
      <c r="OQ30" s="546"/>
      <c r="OR30" s="546"/>
      <c r="OS30" s="546"/>
      <c r="OT30" s="546"/>
      <c r="OU30" s="546"/>
      <c r="OV30" s="546"/>
      <c r="OW30" s="546"/>
      <c r="OX30" s="546"/>
      <c r="OY30" s="546"/>
      <c r="OZ30" s="546"/>
      <c r="PA30" s="546"/>
      <c r="PB30" s="546"/>
      <c r="PC30" s="546"/>
      <c r="PD30" s="546"/>
      <c r="PE30" s="546"/>
      <c r="PF30" s="546"/>
      <c r="PG30" s="546"/>
      <c r="PH30" s="546"/>
      <c r="PI30" s="546"/>
      <c r="PJ30" s="546"/>
      <c r="PK30" s="546"/>
      <c r="PL30" s="546"/>
      <c r="PM30" s="546"/>
      <c r="PN30" s="546"/>
      <c r="PO30" s="546"/>
      <c r="PP30" s="546"/>
      <c r="PQ30" s="546"/>
      <c r="PR30" s="546"/>
      <c r="PS30" s="546"/>
      <c r="PT30" s="546"/>
      <c r="PU30" s="546"/>
      <c r="PV30" s="546"/>
      <c r="PW30" s="546"/>
      <c r="PX30" s="546"/>
      <c r="PY30" s="546"/>
      <c r="PZ30" s="546"/>
      <c r="QA30" s="546"/>
      <c r="QB30" s="546"/>
      <c r="QC30" s="546"/>
      <c r="QD30" s="546"/>
      <c r="QE30" s="546"/>
      <c r="QF30" s="546"/>
      <c r="QG30" s="546"/>
      <c r="QH30" s="546"/>
      <c r="QI30" s="546"/>
      <c r="QJ30" s="546"/>
      <c r="QK30" s="546"/>
      <c r="QL30" s="546"/>
      <c r="QM30" s="546"/>
      <c r="QN30" s="546"/>
      <c r="QO30" s="546"/>
      <c r="QP30" s="546"/>
      <c r="QQ30" s="546"/>
      <c r="QR30" s="546"/>
      <c r="QS30" s="546"/>
      <c r="QT30" s="546"/>
      <c r="QU30" s="546"/>
      <c r="QV30" s="546"/>
      <c r="QW30" s="546"/>
      <c r="QX30" s="546"/>
      <c r="QY30" s="546"/>
      <c r="QZ30" s="546"/>
      <c r="RA30" s="546"/>
      <c r="RB30" s="546"/>
      <c r="RC30" s="546"/>
      <c r="RD30" s="546"/>
      <c r="RE30" s="546"/>
      <c r="RF30" s="546"/>
      <c r="RG30" s="546"/>
      <c r="RH30" s="546"/>
      <c r="RI30" s="546"/>
      <c r="RJ30" s="546"/>
      <c r="RK30" s="546"/>
      <c r="RL30" s="546"/>
      <c r="RM30" s="546"/>
      <c r="RN30" s="546"/>
      <c r="RO30" s="546"/>
      <c r="RP30" s="546"/>
      <c r="RQ30" s="546"/>
      <c r="RR30" s="546"/>
      <c r="RS30" s="546"/>
      <c r="RT30" s="546"/>
      <c r="RU30" s="546"/>
      <c r="RV30" s="546"/>
      <c r="RW30" s="546"/>
      <c r="RX30" s="546"/>
      <c r="RY30" s="546"/>
      <c r="RZ30" s="546"/>
      <c r="SA30" s="546"/>
      <c r="SB30" s="546"/>
      <c r="SC30" s="546"/>
      <c r="SD30" s="546"/>
      <c r="SE30" s="546"/>
      <c r="SF30" s="546"/>
      <c r="SG30" s="546"/>
      <c r="SH30" s="546"/>
      <c r="SI30" s="546"/>
      <c r="SJ30" s="546"/>
      <c r="SK30" s="546"/>
      <c r="SL30" s="546"/>
      <c r="SM30" s="546"/>
      <c r="SN30" s="546"/>
      <c r="SO30" s="546"/>
      <c r="SP30" s="546"/>
      <c r="SQ30" s="546"/>
      <c r="SR30" s="546"/>
      <c r="SS30" s="546"/>
      <c r="ST30" s="546"/>
      <c r="SU30" s="546"/>
      <c r="SV30" s="546"/>
      <c r="SW30" s="546"/>
      <c r="SX30" s="546"/>
      <c r="SY30" s="546"/>
      <c r="SZ30" s="546"/>
      <c r="TA30" s="546"/>
      <c r="TB30" s="546"/>
      <c r="TC30" s="546"/>
      <c r="TD30" s="546"/>
      <c r="TE30" s="546"/>
      <c r="TF30" s="546"/>
      <c r="TG30" s="546"/>
      <c r="TH30" s="546"/>
      <c r="TI30" s="546"/>
      <c r="TJ30" s="546"/>
      <c r="TK30" s="546"/>
      <c r="TL30" s="546"/>
      <c r="TM30" s="546"/>
      <c r="TN30" s="546"/>
      <c r="TO30" s="546"/>
      <c r="TP30" s="546"/>
      <c r="TQ30" s="546"/>
      <c r="TR30" s="546"/>
      <c r="TS30" s="546"/>
      <c r="TT30" s="546"/>
      <c r="TU30" s="546"/>
      <c r="TV30" s="546"/>
      <c r="TW30" s="546"/>
      <c r="TX30" s="546"/>
      <c r="TY30" s="546"/>
      <c r="TZ30" s="546"/>
      <c r="UA30" s="546"/>
      <c r="UB30" s="546"/>
      <c r="UC30" s="546"/>
      <c r="UD30" s="546"/>
      <c r="UE30" s="546"/>
      <c r="UF30" s="546"/>
      <c r="UG30" s="546"/>
      <c r="UH30" s="546"/>
      <c r="UI30" s="546"/>
      <c r="UJ30" s="546"/>
      <c r="UK30" s="546"/>
      <c r="UL30" s="546"/>
      <c r="UM30" s="546"/>
      <c r="UN30" s="546"/>
      <c r="UO30" s="546"/>
      <c r="UP30" s="546"/>
      <c r="UQ30" s="546"/>
      <c r="UR30" s="546"/>
      <c r="US30" s="546"/>
      <c r="UT30" s="546"/>
      <c r="UU30" s="546"/>
      <c r="UV30" s="546"/>
      <c r="UW30" s="546"/>
      <c r="UX30" s="546"/>
      <c r="UY30" s="546"/>
      <c r="UZ30" s="546"/>
      <c r="VA30" s="546"/>
      <c r="VB30" s="546"/>
      <c r="VC30" s="546"/>
      <c r="VD30" s="546"/>
      <c r="VE30" s="546"/>
      <c r="VF30" s="546"/>
      <c r="VG30" s="546"/>
      <c r="VH30" s="546"/>
      <c r="VI30" s="546"/>
      <c r="VJ30" s="546"/>
      <c r="VK30" s="546"/>
      <c r="VL30" s="546"/>
      <c r="VM30" s="546"/>
      <c r="VN30" s="546"/>
      <c r="VO30" s="546"/>
      <c r="VP30" s="546"/>
      <c r="VQ30" s="546"/>
      <c r="VR30" s="546"/>
      <c r="VS30" s="546"/>
      <c r="VT30" s="546"/>
      <c r="VU30" s="546"/>
      <c r="VV30" s="546"/>
      <c r="VW30" s="546"/>
      <c r="VX30" s="546"/>
      <c r="VY30" s="546"/>
      <c r="VZ30" s="546"/>
      <c r="WA30" s="546"/>
      <c r="WB30" s="546"/>
      <c r="WC30" s="546"/>
      <c r="WD30" s="546"/>
      <c r="WE30" s="546"/>
      <c r="WF30" s="546"/>
      <c r="WG30" s="546"/>
      <c r="WH30" s="546"/>
      <c r="WI30" s="546"/>
      <c r="WJ30" s="546"/>
      <c r="WK30" s="546"/>
      <c r="WL30" s="546"/>
      <c r="WM30" s="546"/>
      <c r="WN30" s="546"/>
      <c r="WO30" s="546"/>
      <c r="WP30" s="546"/>
      <c r="WQ30" s="546"/>
      <c r="WR30" s="546"/>
      <c r="WS30" s="546"/>
      <c r="WT30" s="546"/>
      <c r="WU30" s="546"/>
      <c r="WV30" s="546"/>
      <c r="WW30" s="546"/>
      <c r="WX30" s="546"/>
      <c r="WY30" s="546"/>
      <c r="WZ30" s="546"/>
      <c r="XA30" s="546"/>
      <c r="XB30" s="546"/>
      <c r="XC30" s="546"/>
      <c r="XD30" s="546"/>
      <c r="XE30" s="546"/>
      <c r="XF30" s="546"/>
      <c r="XG30" s="546"/>
      <c r="XH30" s="546"/>
      <c r="XI30" s="546"/>
      <c r="XJ30" s="546"/>
      <c r="XK30" s="546"/>
      <c r="XL30" s="546"/>
      <c r="XM30" s="546"/>
      <c r="XN30" s="546"/>
      <c r="XO30" s="546"/>
      <c r="XP30" s="546"/>
      <c r="XQ30" s="546"/>
      <c r="XR30" s="546"/>
      <c r="XS30" s="546"/>
      <c r="XT30" s="546"/>
      <c r="XU30" s="546"/>
      <c r="XV30" s="546"/>
      <c r="XW30" s="546"/>
      <c r="XX30" s="546"/>
      <c r="XY30" s="546"/>
      <c r="XZ30" s="546"/>
      <c r="YA30" s="546"/>
      <c r="YB30" s="546"/>
      <c r="YC30" s="546"/>
      <c r="YD30" s="546"/>
      <c r="YE30" s="546"/>
      <c r="YF30" s="546"/>
      <c r="YG30" s="546"/>
      <c r="YH30" s="546"/>
      <c r="YI30" s="546"/>
      <c r="YJ30" s="546"/>
      <c r="YK30" s="546"/>
      <c r="YL30" s="546"/>
      <c r="YM30" s="546"/>
      <c r="YN30" s="546"/>
      <c r="YO30" s="546"/>
      <c r="YP30" s="546"/>
      <c r="YQ30" s="546"/>
      <c r="YR30" s="546"/>
      <c r="YS30" s="546"/>
      <c r="YT30" s="546"/>
      <c r="YU30" s="546"/>
      <c r="YV30" s="546"/>
      <c r="YW30" s="546"/>
      <c r="YX30" s="546"/>
      <c r="YY30" s="546"/>
      <c r="YZ30" s="546"/>
      <c r="ZA30" s="546"/>
      <c r="ZB30" s="546"/>
      <c r="ZC30" s="546"/>
      <c r="ZD30" s="546"/>
      <c r="ZE30" s="546"/>
      <c r="ZF30" s="546"/>
      <c r="ZG30" s="546"/>
      <c r="ZH30" s="546"/>
      <c r="ZI30" s="546"/>
      <c r="ZJ30" s="546"/>
      <c r="ZK30" s="546"/>
      <c r="ZL30" s="546"/>
      <c r="ZM30" s="546"/>
      <c r="ZN30" s="546"/>
      <c r="ZO30" s="546"/>
      <c r="ZP30" s="546"/>
      <c r="ZQ30" s="546"/>
      <c r="ZR30" s="546"/>
      <c r="ZS30" s="546"/>
      <c r="ZT30" s="546"/>
      <c r="ZU30" s="546"/>
      <c r="ZV30" s="546"/>
      <c r="ZW30" s="546"/>
      <c r="ZX30" s="546"/>
      <c r="ZY30" s="546"/>
      <c r="ZZ30" s="546"/>
      <c r="AAA30" s="546"/>
      <c r="AAB30" s="546"/>
      <c r="AAC30" s="546"/>
      <c r="AAD30" s="546"/>
      <c r="AAE30" s="546"/>
      <c r="AAF30" s="546"/>
      <c r="AAG30" s="546"/>
      <c r="AAH30" s="546"/>
      <c r="AAI30" s="546"/>
      <c r="AAJ30" s="546"/>
      <c r="AAK30" s="546"/>
      <c r="AAL30" s="546"/>
      <c r="AAM30" s="546"/>
      <c r="AAN30" s="546"/>
      <c r="AAO30" s="546"/>
      <c r="AAP30" s="546"/>
      <c r="AAQ30" s="546"/>
      <c r="AAR30" s="546"/>
      <c r="AAS30" s="546"/>
      <c r="AAT30" s="546"/>
      <c r="AAU30" s="546"/>
      <c r="AAV30" s="546"/>
      <c r="AAW30" s="546"/>
      <c r="AAX30" s="546"/>
      <c r="AAY30" s="546"/>
      <c r="AAZ30" s="546"/>
      <c r="ABA30" s="546"/>
      <c r="ABB30" s="546"/>
      <c r="ABC30" s="546"/>
      <c r="ABD30" s="546"/>
      <c r="ABE30" s="546"/>
      <c r="ABF30" s="546"/>
      <c r="ABG30" s="546"/>
      <c r="ABH30" s="546"/>
      <c r="ABI30" s="546"/>
      <c r="ABJ30" s="546"/>
      <c r="ABK30" s="546"/>
      <c r="ABL30" s="546"/>
      <c r="ABM30" s="546"/>
      <c r="ABN30" s="546"/>
      <c r="ABO30" s="546"/>
      <c r="ABP30" s="546"/>
      <c r="ABQ30" s="546"/>
      <c r="ABR30" s="546"/>
      <c r="ABS30" s="546"/>
      <c r="ABT30" s="546"/>
      <c r="ABU30" s="546"/>
      <c r="ABV30" s="546"/>
      <c r="ABW30" s="546"/>
      <c r="ABX30" s="546"/>
      <c r="ABY30" s="546"/>
      <c r="ABZ30" s="546"/>
      <c r="ACA30" s="546"/>
      <c r="ACB30" s="546"/>
      <c r="ACC30" s="546"/>
      <c r="ACD30" s="546"/>
      <c r="ACE30" s="546"/>
      <c r="ACF30" s="546"/>
      <c r="ACG30" s="546"/>
      <c r="ACH30" s="546"/>
      <c r="ACI30" s="546"/>
      <c r="ACJ30" s="546"/>
      <c r="ACK30" s="546"/>
      <c r="ACL30" s="546"/>
      <c r="ACM30" s="546"/>
      <c r="ACN30" s="546"/>
      <c r="ACO30" s="546"/>
      <c r="ACP30" s="546"/>
      <c r="ACQ30" s="546"/>
      <c r="ACR30" s="546"/>
      <c r="ACS30" s="546"/>
      <c r="ACT30" s="546"/>
      <c r="ACU30" s="546"/>
      <c r="ACV30" s="546"/>
      <c r="ACW30" s="546"/>
      <c r="ACX30" s="546"/>
      <c r="ACY30" s="546"/>
      <c r="ACZ30" s="546"/>
      <c r="ADA30" s="546"/>
      <c r="ADB30" s="546"/>
      <c r="ADC30" s="546"/>
      <c r="ADD30" s="546"/>
      <c r="ADE30" s="546"/>
      <c r="ADF30" s="546"/>
      <c r="ADG30" s="546"/>
      <c r="ADH30" s="546"/>
      <c r="ADI30" s="546"/>
      <c r="ADJ30" s="546"/>
      <c r="ADK30" s="546"/>
      <c r="ADL30" s="546"/>
      <c r="ADM30" s="546"/>
      <c r="ADN30" s="546"/>
      <c r="ADO30" s="546"/>
      <c r="ADP30" s="546"/>
      <c r="ADQ30" s="546"/>
      <c r="ADR30" s="546"/>
      <c r="ADS30" s="546"/>
      <c r="ADT30" s="546"/>
      <c r="ADU30" s="546"/>
      <c r="ADV30" s="546"/>
      <c r="ADW30" s="546"/>
      <c r="ADX30" s="546"/>
      <c r="ADY30" s="546"/>
      <c r="ADZ30" s="546"/>
      <c r="AEA30" s="546"/>
      <c r="AEB30" s="546"/>
      <c r="AEC30" s="546"/>
      <c r="AED30" s="546"/>
      <c r="AEE30" s="546"/>
      <c r="AEF30" s="546"/>
      <c r="AEG30" s="546"/>
      <c r="AEH30" s="546"/>
      <c r="AEI30" s="546"/>
      <c r="AEJ30" s="546"/>
      <c r="AEK30" s="546"/>
      <c r="AEL30" s="546"/>
      <c r="AEM30" s="546"/>
      <c r="AEN30" s="546"/>
      <c r="AEO30" s="546"/>
      <c r="AEP30" s="546"/>
      <c r="AEQ30" s="546"/>
      <c r="AER30" s="546"/>
      <c r="AES30" s="546"/>
      <c r="AET30" s="546"/>
      <c r="AEU30" s="546"/>
      <c r="AEV30" s="546"/>
      <c r="AEW30" s="546"/>
      <c r="AEX30" s="546"/>
      <c r="AEY30" s="546"/>
      <c r="AEZ30" s="546"/>
      <c r="AFA30" s="546"/>
      <c r="AFB30" s="546"/>
      <c r="AFC30" s="546"/>
      <c r="AFD30" s="546"/>
      <c r="AFE30" s="546"/>
      <c r="AFF30" s="546"/>
      <c r="AFG30" s="546"/>
      <c r="AFH30" s="546"/>
      <c r="AFI30" s="546"/>
      <c r="AFJ30" s="546"/>
      <c r="AFK30" s="546"/>
      <c r="AFL30" s="546"/>
      <c r="AFM30" s="546"/>
      <c r="AFN30" s="546"/>
      <c r="AFO30" s="546"/>
      <c r="AFP30" s="546"/>
      <c r="AFQ30" s="546"/>
      <c r="AFR30" s="546"/>
      <c r="AFS30" s="546"/>
      <c r="AFT30" s="546"/>
      <c r="AFU30" s="546"/>
      <c r="AFV30" s="546"/>
      <c r="AFW30" s="546"/>
      <c r="AFX30" s="546"/>
      <c r="AFY30" s="546"/>
      <c r="AFZ30" s="546"/>
      <c r="AGA30" s="546"/>
      <c r="AGB30" s="546"/>
      <c r="AGC30" s="546"/>
      <c r="AGD30" s="546"/>
      <c r="AGE30" s="546"/>
      <c r="AGF30" s="546"/>
      <c r="AGG30" s="546"/>
      <c r="AGH30" s="546"/>
      <c r="AGI30" s="546"/>
      <c r="AGJ30" s="546"/>
      <c r="AGK30" s="546"/>
      <c r="AGL30" s="546"/>
      <c r="AGM30" s="546"/>
      <c r="AGN30" s="546"/>
      <c r="AGO30" s="546"/>
      <c r="AGP30" s="546"/>
      <c r="AGQ30" s="546"/>
      <c r="AGR30" s="546"/>
      <c r="AGS30" s="546"/>
      <c r="AGT30" s="546"/>
      <c r="AGU30" s="546"/>
      <c r="AGV30" s="546"/>
      <c r="AGW30" s="546"/>
      <c r="AGX30" s="546"/>
      <c r="AGY30" s="546"/>
      <c r="AGZ30" s="546"/>
      <c r="AHA30" s="546"/>
      <c r="AHB30" s="546"/>
      <c r="AHC30" s="546"/>
      <c r="AHD30" s="546"/>
      <c r="AHE30" s="546"/>
      <c r="AHF30" s="546"/>
      <c r="AHG30" s="546"/>
      <c r="AHH30" s="546"/>
      <c r="AHI30" s="546"/>
      <c r="AHJ30" s="546"/>
      <c r="AHK30" s="546"/>
      <c r="AHL30" s="546"/>
      <c r="AHM30" s="546"/>
      <c r="AHN30" s="546"/>
      <c r="AHO30" s="546"/>
      <c r="AHP30" s="546"/>
      <c r="AHQ30" s="546"/>
      <c r="AHR30" s="546"/>
      <c r="AHS30" s="546"/>
      <c r="AHT30" s="546"/>
      <c r="AHU30" s="546"/>
      <c r="AHV30" s="546"/>
      <c r="AHW30" s="546"/>
      <c r="AHX30" s="546"/>
      <c r="AHY30" s="546"/>
      <c r="AHZ30" s="546"/>
      <c r="AIA30" s="546"/>
      <c r="AIB30" s="546"/>
      <c r="AIC30" s="546"/>
      <c r="AID30" s="546"/>
      <c r="AIE30" s="546"/>
      <c r="AIF30" s="546"/>
      <c r="AIG30" s="546"/>
      <c r="AIH30" s="546"/>
      <c r="AII30" s="546"/>
      <c r="AIJ30" s="546"/>
      <c r="AIK30" s="546"/>
      <c r="AIL30" s="546"/>
      <c r="AIM30" s="546"/>
      <c r="AIN30" s="546"/>
      <c r="AIO30" s="546"/>
      <c r="AIP30" s="546"/>
      <c r="AIQ30" s="546"/>
      <c r="AIR30" s="546"/>
      <c r="AIS30" s="546"/>
      <c r="AIT30" s="546"/>
      <c r="AIU30" s="546"/>
      <c r="AIV30" s="546"/>
      <c r="AIW30" s="546"/>
      <c r="AIX30" s="546"/>
      <c r="AIY30" s="546"/>
      <c r="AIZ30" s="546"/>
      <c r="AJA30" s="546"/>
      <c r="AJB30" s="546"/>
      <c r="AJC30" s="546"/>
      <c r="AJD30" s="546"/>
      <c r="AJE30" s="546"/>
      <c r="AJF30" s="546"/>
      <c r="AJG30" s="546"/>
      <c r="AJH30" s="546"/>
      <c r="AJI30" s="546"/>
      <c r="AJJ30" s="546"/>
      <c r="AJK30" s="546"/>
      <c r="AJL30" s="546"/>
      <c r="AJM30" s="546"/>
      <c r="AJN30" s="546"/>
      <c r="AJO30" s="546"/>
      <c r="AJP30" s="546"/>
      <c r="AJQ30" s="546"/>
      <c r="AJR30" s="546"/>
      <c r="AJS30" s="546"/>
      <c r="AJT30" s="546"/>
      <c r="AJU30" s="546"/>
      <c r="AJV30" s="546"/>
      <c r="AJW30" s="546"/>
      <c r="AJX30" s="546"/>
      <c r="AJY30" s="546"/>
      <c r="AJZ30" s="546"/>
      <c r="AKA30" s="546"/>
      <c r="AKB30" s="546"/>
      <c r="AKC30" s="546"/>
      <c r="AKD30" s="546"/>
      <c r="AKE30" s="546"/>
      <c r="AKF30" s="546"/>
      <c r="AKG30" s="546"/>
      <c r="AKH30" s="546"/>
      <c r="AKI30" s="546"/>
      <c r="AKJ30" s="546"/>
      <c r="AKK30" s="546"/>
      <c r="AKL30" s="546"/>
      <c r="AKM30" s="546"/>
      <c r="AKN30" s="546"/>
      <c r="AKO30" s="546"/>
      <c r="AKP30" s="546"/>
      <c r="AKQ30" s="546"/>
      <c r="AKR30" s="546"/>
      <c r="AKS30" s="546"/>
      <c r="AKT30" s="546"/>
      <c r="AKU30" s="546"/>
      <c r="AKV30" s="546"/>
      <c r="AKW30" s="546"/>
      <c r="AKX30" s="546"/>
      <c r="AKY30" s="546"/>
      <c r="AKZ30" s="546"/>
      <c r="ALA30" s="546"/>
      <c r="ALB30" s="546"/>
      <c r="ALC30" s="546"/>
      <c r="ALD30" s="546"/>
      <c r="ALE30" s="546"/>
      <c r="ALF30" s="546"/>
      <c r="ALG30" s="546"/>
      <c r="ALH30" s="546"/>
      <c r="ALI30" s="546"/>
      <c r="ALJ30" s="546"/>
      <c r="ALK30" s="546"/>
      <c r="ALL30" s="546"/>
      <c r="ALM30" s="546"/>
      <c r="ALN30" s="546"/>
      <c r="ALO30" s="546"/>
      <c r="ALP30" s="546"/>
      <c r="ALQ30" s="546"/>
      <c r="ALR30" s="546"/>
      <c r="ALS30" s="546"/>
      <c r="ALT30" s="546"/>
      <c r="ALU30" s="546"/>
      <c r="ALV30" s="546"/>
      <c r="ALW30" s="546"/>
      <c r="ALX30" s="546"/>
      <c r="ALY30" s="546"/>
      <c r="ALZ30" s="546"/>
      <c r="AMA30" s="546"/>
      <c r="AMB30" s="546"/>
      <c r="AMC30" s="546"/>
      <c r="AMD30" s="546"/>
      <c r="AME30" s="546"/>
      <c r="AMF30" s="546"/>
      <c r="AMG30" s="546"/>
      <c r="AMH30" s="546"/>
      <c r="AMI30" s="546"/>
      <c r="AMJ30" s="546"/>
      <c r="AMK30" s="546"/>
      <c r="AML30" s="546"/>
      <c r="AMM30" s="546"/>
      <c r="AMN30" s="546"/>
      <c r="AMO30" s="546"/>
      <c r="AMP30" s="546"/>
      <c r="AMQ30" s="546"/>
      <c r="AMR30" s="546"/>
      <c r="AMS30" s="546"/>
      <c r="AMT30" s="546"/>
      <c r="AMU30" s="546"/>
      <c r="AMV30" s="546"/>
      <c r="AMW30" s="546"/>
      <c r="AMX30" s="546"/>
      <c r="AMY30" s="546"/>
      <c r="AMZ30" s="546"/>
      <c r="ANA30" s="546"/>
      <c r="ANB30" s="546"/>
      <c r="ANC30" s="546"/>
      <c r="AND30" s="546"/>
      <c r="ANE30" s="546"/>
      <c r="ANF30" s="546"/>
      <c r="ANG30" s="546"/>
      <c r="ANH30" s="546"/>
      <c r="ANI30" s="546"/>
      <c r="ANJ30" s="546"/>
      <c r="ANK30" s="546"/>
      <c r="ANL30" s="546"/>
      <c r="ANM30" s="546"/>
      <c r="ANN30" s="546"/>
      <c r="ANO30" s="546"/>
      <c r="ANP30" s="546"/>
      <c r="ANQ30" s="546"/>
      <c r="ANR30" s="546"/>
      <c r="ANS30" s="546"/>
      <c r="ANT30" s="546"/>
      <c r="ANU30" s="546"/>
      <c r="ANV30" s="546"/>
      <c r="ANW30" s="546"/>
      <c r="ANX30" s="546"/>
      <c r="ANY30" s="546"/>
      <c r="ANZ30" s="546"/>
      <c r="AOA30" s="546"/>
      <c r="AOB30" s="546"/>
      <c r="AOC30" s="546"/>
      <c r="AOD30" s="546"/>
      <c r="AOE30" s="546"/>
      <c r="AOF30" s="546"/>
      <c r="AOG30" s="546"/>
      <c r="AOH30" s="546"/>
      <c r="AOI30" s="546"/>
      <c r="AOJ30" s="546"/>
      <c r="AOK30" s="546"/>
      <c r="AOL30" s="546"/>
      <c r="AOM30" s="546"/>
      <c r="AON30" s="546"/>
      <c r="AOO30" s="546"/>
      <c r="AOP30" s="546"/>
      <c r="AOQ30" s="546"/>
      <c r="AOR30" s="546"/>
      <c r="AOS30" s="546"/>
      <c r="AOT30" s="546"/>
      <c r="AOU30" s="546"/>
      <c r="AOV30" s="546"/>
      <c r="AOW30" s="546"/>
      <c r="AOX30" s="546"/>
      <c r="AOY30" s="546"/>
      <c r="AOZ30" s="546"/>
      <c r="APA30" s="546"/>
      <c r="APB30" s="546"/>
      <c r="APC30" s="546"/>
      <c r="APD30" s="546"/>
      <c r="APE30" s="546"/>
      <c r="APF30" s="546"/>
      <c r="APG30" s="546"/>
      <c r="APH30" s="546"/>
      <c r="API30" s="546"/>
      <c r="APJ30" s="546"/>
      <c r="APK30" s="546"/>
      <c r="APL30" s="546"/>
      <c r="APM30" s="546"/>
      <c r="APN30" s="546"/>
      <c r="APO30" s="546"/>
      <c r="APP30" s="546"/>
      <c r="APQ30" s="546"/>
      <c r="APR30" s="546"/>
      <c r="APS30" s="546"/>
      <c r="APT30" s="546"/>
      <c r="APU30" s="546"/>
      <c r="APV30" s="546"/>
      <c r="APW30" s="546"/>
      <c r="APX30" s="546"/>
      <c r="APY30" s="546"/>
      <c r="APZ30" s="546"/>
      <c r="AQA30" s="546"/>
      <c r="AQB30" s="546"/>
      <c r="AQC30" s="546"/>
      <c r="AQD30" s="546"/>
      <c r="AQE30" s="546"/>
      <c r="AQF30" s="546"/>
      <c r="AQG30" s="546"/>
      <c r="AQH30" s="546"/>
      <c r="AQI30" s="546"/>
      <c r="AQJ30" s="546"/>
      <c r="AQK30" s="546"/>
      <c r="AQL30" s="546"/>
      <c r="AQM30" s="546"/>
      <c r="AQN30" s="546"/>
      <c r="AQO30" s="546"/>
      <c r="AQP30" s="546"/>
      <c r="AQQ30" s="546"/>
      <c r="AQR30" s="546"/>
      <c r="AQS30" s="546"/>
      <c r="AQT30" s="546"/>
      <c r="AQU30" s="546"/>
      <c r="AQV30" s="546"/>
      <c r="AQW30" s="546"/>
      <c r="AQX30" s="546"/>
      <c r="AQY30" s="546"/>
      <c r="AQZ30" s="546"/>
      <c r="ARA30" s="546"/>
      <c r="ARB30" s="546"/>
      <c r="ARC30" s="546"/>
      <c r="ARD30" s="546"/>
      <c r="ARE30" s="546"/>
      <c r="ARF30" s="546"/>
      <c r="ARG30" s="546"/>
      <c r="ARH30" s="546"/>
      <c r="ARI30" s="546"/>
      <c r="ARJ30" s="546"/>
      <c r="ARK30" s="546"/>
      <c r="ARL30" s="546"/>
      <c r="ARM30" s="546"/>
      <c r="ARN30" s="546"/>
      <c r="ARO30" s="546"/>
      <c r="ARP30" s="546"/>
      <c r="ARQ30" s="546"/>
      <c r="ARR30" s="546"/>
      <c r="ARS30" s="546"/>
      <c r="ART30" s="546"/>
      <c r="ARU30" s="546"/>
      <c r="ARV30" s="546"/>
      <c r="ARW30" s="546"/>
      <c r="ARX30" s="546"/>
      <c r="ARY30" s="546"/>
      <c r="ARZ30" s="546"/>
      <c r="ASA30" s="546"/>
      <c r="ASB30" s="546"/>
      <c r="ASC30" s="546"/>
      <c r="ASD30" s="546"/>
      <c r="ASE30" s="546"/>
      <c r="ASF30" s="546"/>
      <c r="ASG30" s="546"/>
      <c r="ASH30" s="546"/>
      <c r="ASI30" s="546"/>
      <c r="ASJ30" s="546"/>
      <c r="ASK30" s="546"/>
      <c r="ASL30" s="546"/>
      <c r="ASM30" s="546"/>
      <c r="ASN30" s="546"/>
      <c r="ASO30" s="546"/>
      <c r="ASP30" s="546"/>
      <c r="ASQ30" s="546"/>
      <c r="ASR30" s="546"/>
      <c r="ASS30" s="546"/>
      <c r="AST30" s="546"/>
      <c r="ASU30" s="546"/>
      <c r="ASV30" s="546"/>
      <c r="ASW30" s="546"/>
      <c r="ASX30" s="546"/>
      <c r="ASY30" s="546"/>
      <c r="ASZ30" s="546"/>
      <c r="ATA30" s="546"/>
      <c r="ATB30" s="546"/>
      <c r="ATC30" s="546"/>
      <c r="ATD30" s="546"/>
      <c r="ATE30" s="546"/>
      <c r="ATF30" s="546"/>
      <c r="ATG30" s="546"/>
      <c r="ATH30" s="546"/>
      <c r="ATI30" s="546"/>
      <c r="ATJ30" s="546"/>
      <c r="ATK30" s="546"/>
      <c r="ATL30" s="546"/>
      <c r="ATM30" s="546"/>
      <c r="ATN30" s="546"/>
      <c r="ATO30" s="546"/>
      <c r="ATP30" s="546"/>
      <c r="ATQ30" s="546"/>
      <c r="ATR30" s="546"/>
      <c r="ATS30" s="546"/>
      <c r="ATT30" s="546"/>
      <c r="ATU30" s="546"/>
      <c r="ATV30" s="546"/>
      <c r="ATW30" s="546"/>
      <c r="ATX30" s="546"/>
      <c r="ATY30" s="546"/>
      <c r="ATZ30" s="546"/>
      <c r="AUA30" s="546"/>
      <c r="AUB30" s="546"/>
      <c r="AUC30" s="546"/>
      <c r="AUD30" s="546"/>
      <c r="AUE30" s="546"/>
      <c r="AUF30" s="546"/>
      <c r="AUG30" s="546"/>
      <c r="AUH30" s="546"/>
      <c r="AUI30" s="546"/>
      <c r="AUJ30" s="546"/>
      <c r="AUK30" s="546"/>
      <c r="AUL30" s="546"/>
      <c r="AUM30" s="546"/>
      <c r="AUN30" s="546"/>
      <c r="AUO30" s="546"/>
      <c r="AUP30" s="546"/>
      <c r="AUQ30" s="546"/>
      <c r="AUR30" s="546"/>
      <c r="AUS30" s="546"/>
      <c r="AUT30" s="546"/>
      <c r="AUU30" s="546"/>
      <c r="AUV30" s="546"/>
      <c r="AUW30" s="546"/>
      <c r="AUX30" s="546"/>
      <c r="AUY30" s="546"/>
      <c r="AUZ30" s="546"/>
      <c r="AVA30" s="546"/>
      <c r="AVB30" s="546"/>
      <c r="AVC30" s="546"/>
      <c r="AVD30" s="546"/>
      <c r="AVE30" s="546"/>
      <c r="AVF30" s="546"/>
      <c r="AVG30" s="546"/>
      <c r="AVH30" s="546"/>
      <c r="AVI30" s="546"/>
      <c r="AVJ30" s="546"/>
      <c r="AVK30" s="546"/>
      <c r="AVL30" s="546"/>
      <c r="AVM30" s="546"/>
      <c r="AVN30" s="546"/>
      <c r="AVO30" s="546"/>
      <c r="AVP30" s="546"/>
      <c r="AVQ30" s="546"/>
      <c r="AVR30" s="546"/>
      <c r="AVS30" s="546"/>
      <c r="AVT30" s="546"/>
      <c r="AVU30" s="546"/>
      <c r="AVV30" s="546"/>
      <c r="AVW30" s="546"/>
      <c r="AVX30" s="546"/>
      <c r="AVY30" s="546"/>
      <c r="AVZ30" s="546"/>
      <c r="AWA30" s="546"/>
      <c r="AWB30" s="546"/>
      <c r="AWC30" s="546"/>
      <c r="AWD30" s="546"/>
      <c r="AWE30" s="546"/>
      <c r="AWF30" s="546"/>
      <c r="AWG30" s="546"/>
      <c r="AWH30" s="546"/>
      <c r="AWI30" s="546"/>
      <c r="AWJ30" s="546"/>
      <c r="AWK30" s="546"/>
      <c r="AWL30" s="546"/>
      <c r="AWM30" s="546"/>
      <c r="AWN30" s="546"/>
      <c r="AWO30" s="546"/>
      <c r="AWP30" s="546"/>
      <c r="AWQ30" s="546"/>
      <c r="AWR30" s="546"/>
      <c r="AWS30" s="546"/>
      <c r="AWT30" s="546"/>
      <c r="AWU30" s="546"/>
      <c r="AWV30" s="546"/>
      <c r="AWW30" s="546"/>
      <c r="AWX30" s="546"/>
      <c r="AWY30" s="546"/>
      <c r="AWZ30" s="546"/>
      <c r="AXA30" s="546"/>
      <c r="AXB30" s="546"/>
      <c r="AXC30" s="546"/>
      <c r="AXD30" s="546"/>
      <c r="AXE30" s="546"/>
      <c r="AXF30" s="546"/>
      <c r="AXG30" s="546"/>
      <c r="AXH30" s="546"/>
      <c r="AXI30" s="546"/>
      <c r="AXJ30" s="546"/>
      <c r="AXK30" s="546"/>
      <c r="AXL30" s="546"/>
      <c r="AXM30" s="546"/>
      <c r="AXN30" s="546"/>
      <c r="AXO30" s="546"/>
      <c r="AXP30" s="546"/>
      <c r="AXQ30" s="546"/>
      <c r="AXR30" s="546"/>
      <c r="AXS30" s="546"/>
      <c r="AXT30" s="546"/>
      <c r="AXU30" s="546"/>
      <c r="AXV30" s="546"/>
      <c r="AXW30" s="546"/>
      <c r="AXX30" s="546"/>
      <c r="AXY30" s="546"/>
      <c r="AXZ30" s="546"/>
      <c r="AYA30" s="546"/>
      <c r="AYB30" s="546"/>
      <c r="AYC30" s="546"/>
      <c r="AYD30" s="546"/>
      <c r="AYE30" s="546"/>
      <c r="AYF30" s="546"/>
      <c r="AYG30" s="546"/>
      <c r="AYH30" s="546"/>
      <c r="AYI30" s="546"/>
      <c r="AYJ30" s="546"/>
      <c r="AYK30" s="546"/>
      <c r="AYL30" s="546"/>
      <c r="AYM30" s="546"/>
      <c r="AYN30" s="546"/>
      <c r="AYO30" s="546"/>
      <c r="AYP30" s="546"/>
      <c r="AYQ30" s="546"/>
      <c r="AYR30" s="546"/>
      <c r="AYS30" s="546"/>
      <c r="AYT30" s="546"/>
      <c r="AYU30" s="546"/>
      <c r="AYV30" s="546"/>
      <c r="AYW30" s="546"/>
      <c r="AYX30" s="546"/>
      <c r="AYY30" s="546"/>
      <c r="AYZ30" s="546"/>
      <c r="AZA30" s="546"/>
      <c r="AZB30" s="546"/>
      <c r="AZC30" s="546"/>
      <c r="AZD30" s="546"/>
      <c r="AZE30" s="546"/>
      <c r="AZF30" s="546"/>
      <c r="AZG30" s="546"/>
      <c r="AZH30" s="546"/>
      <c r="AZI30" s="546"/>
      <c r="AZJ30" s="546"/>
      <c r="AZK30" s="546"/>
      <c r="AZL30" s="546"/>
      <c r="AZM30" s="546"/>
      <c r="AZN30" s="546"/>
      <c r="AZO30" s="546"/>
      <c r="AZP30" s="546"/>
      <c r="AZQ30" s="546"/>
      <c r="AZR30" s="546"/>
      <c r="AZS30" s="546"/>
      <c r="AZT30" s="546"/>
      <c r="AZU30" s="546"/>
      <c r="AZV30" s="546"/>
      <c r="AZW30" s="546"/>
      <c r="AZX30" s="546"/>
      <c r="AZY30" s="546"/>
      <c r="AZZ30" s="546"/>
      <c r="BAA30" s="546"/>
      <c r="BAB30" s="546"/>
      <c r="BAC30" s="546"/>
      <c r="BAD30" s="546"/>
      <c r="BAE30" s="546"/>
      <c r="BAF30" s="546"/>
      <c r="BAG30" s="546"/>
      <c r="BAH30" s="546"/>
      <c r="BAI30" s="546"/>
      <c r="BAJ30" s="546"/>
      <c r="BAK30" s="546"/>
      <c r="BAL30" s="546"/>
      <c r="BAM30" s="546"/>
      <c r="BAN30" s="546"/>
      <c r="BAO30" s="546"/>
      <c r="BAP30" s="546"/>
      <c r="BAQ30" s="546"/>
      <c r="BAR30" s="546"/>
      <c r="BAS30" s="546"/>
      <c r="BAT30" s="546"/>
      <c r="BAU30" s="546"/>
      <c r="BAV30" s="546"/>
      <c r="BAW30" s="546"/>
      <c r="BAX30" s="546"/>
      <c r="BAY30" s="546"/>
      <c r="BAZ30" s="546"/>
      <c r="BBA30" s="546"/>
      <c r="BBB30" s="546"/>
      <c r="BBC30" s="546"/>
      <c r="BBD30" s="546"/>
      <c r="BBE30" s="546"/>
      <c r="BBF30" s="546"/>
      <c r="BBG30" s="546"/>
      <c r="BBH30" s="546"/>
      <c r="BBI30" s="546"/>
      <c r="BBJ30" s="546"/>
      <c r="BBK30" s="546"/>
      <c r="BBL30" s="546"/>
      <c r="BBM30" s="546"/>
      <c r="BBN30" s="546"/>
      <c r="BBO30" s="546"/>
      <c r="BBP30" s="546"/>
      <c r="BBQ30" s="546"/>
      <c r="BBR30" s="546"/>
      <c r="BBS30" s="546"/>
      <c r="BBT30" s="546"/>
      <c r="BBU30" s="546"/>
      <c r="BBV30" s="546"/>
      <c r="BBW30" s="546"/>
      <c r="BBX30" s="546"/>
      <c r="BBY30" s="546"/>
      <c r="BBZ30" s="546"/>
      <c r="BCA30" s="546"/>
      <c r="BCB30" s="546"/>
      <c r="BCC30" s="546"/>
      <c r="BCD30" s="546"/>
      <c r="BCE30" s="546"/>
      <c r="BCF30" s="546"/>
      <c r="BCG30" s="546"/>
      <c r="BCH30" s="546"/>
      <c r="BCI30" s="546"/>
      <c r="BCJ30" s="546"/>
      <c r="BCK30" s="546"/>
      <c r="BCL30" s="546"/>
      <c r="BCM30" s="546"/>
      <c r="BCN30" s="546"/>
      <c r="BCO30" s="546"/>
      <c r="BCP30" s="546"/>
      <c r="BCQ30" s="546"/>
      <c r="BCR30" s="546"/>
      <c r="BCS30" s="546"/>
      <c r="BCT30" s="546"/>
      <c r="BCU30" s="546"/>
      <c r="BCV30" s="546"/>
      <c r="BCW30" s="546"/>
      <c r="BCX30" s="546"/>
      <c r="BCY30" s="546"/>
      <c r="BCZ30" s="546"/>
      <c r="BDA30" s="546"/>
      <c r="BDB30" s="546"/>
      <c r="BDC30" s="546"/>
      <c r="BDD30" s="546"/>
      <c r="BDE30" s="546"/>
      <c r="BDF30" s="546"/>
      <c r="BDG30" s="546"/>
      <c r="BDH30" s="546"/>
      <c r="BDI30" s="546"/>
      <c r="BDJ30" s="546"/>
      <c r="BDK30" s="546"/>
      <c r="BDL30" s="546"/>
      <c r="BDM30" s="546"/>
      <c r="BDN30" s="546"/>
      <c r="BDO30" s="546"/>
      <c r="BDP30" s="546"/>
      <c r="BDQ30" s="546"/>
      <c r="BDR30" s="546"/>
      <c r="BDS30" s="546"/>
      <c r="BDT30" s="546"/>
      <c r="BDU30" s="546"/>
      <c r="BDV30" s="546"/>
      <c r="BDW30" s="546"/>
      <c r="BDX30" s="546"/>
      <c r="BDY30" s="546"/>
      <c r="BDZ30" s="546"/>
      <c r="BEA30" s="546"/>
      <c r="BEB30" s="546"/>
      <c r="BEC30" s="546"/>
      <c r="BED30" s="546"/>
      <c r="BEE30" s="546"/>
      <c r="BEF30" s="546"/>
      <c r="BEG30" s="546"/>
      <c r="BEH30" s="546"/>
      <c r="BEI30" s="546"/>
      <c r="BEJ30" s="546"/>
      <c r="BEK30" s="546"/>
      <c r="BEL30" s="546"/>
      <c r="BEM30" s="546"/>
      <c r="BEN30" s="546"/>
      <c r="BEO30" s="546"/>
      <c r="BEP30" s="546"/>
      <c r="BEQ30" s="546"/>
      <c r="BER30" s="546"/>
      <c r="BES30" s="546"/>
      <c r="BET30" s="546"/>
      <c r="BEU30" s="546"/>
      <c r="BEV30" s="546"/>
      <c r="BEW30" s="546"/>
      <c r="BEX30" s="546"/>
      <c r="BEY30" s="546"/>
      <c r="BEZ30" s="546"/>
      <c r="BFA30" s="546"/>
      <c r="BFB30" s="546"/>
      <c r="BFC30" s="546"/>
      <c r="BFD30" s="546"/>
      <c r="BFE30" s="546"/>
      <c r="BFF30" s="546"/>
      <c r="BFG30" s="546"/>
      <c r="BFH30" s="546"/>
      <c r="BFI30" s="546"/>
      <c r="BFJ30" s="546"/>
      <c r="BFK30" s="546"/>
      <c r="BFL30" s="546"/>
      <c r="BFM30" s="546"/>
      <c r="BFN30" s="546"/>
      <c r="BFO30" s="546"/>
      <c r="BFP30" s="546"/>
      <c r="BFQ30" s="546"/>
      <c r="BFR30" s="546"/>
      <c r="BFS30" s="546"/>
      <c r="BFT30" s="546"/>
      <c r="BFU30" s="546"/>
      <c r="BFV30" s="546"/>
      <c r="BFW30" s="546"/>
      <c r="BFX30" s="546"/>
      <c r="BFY30" s="546"/>
      <c r="BFZ30" s="546"/>
      <c r="BGA30" s="546"/>
      <c r="BGB30" s="546"/>
      <c r="BGC30" s="546"/>
      <c r="BGD30" s="546"/>
      <c r="BGE30" s="546"/>
      <c r="BGF30" s="546"/>
      <c r="BGG30" s="546"/>
      <c r="BGH30" s="546"/>
      <c r="BGI30" s="546"/>
      <c r="BGJ30" s="546"/>
      <c r="BGK30" s="546"/>
      <c r="BGL30" s="546"/>
      <c r="BGM30" s="546"/>
      <c r="BGN30" s="546"/>
      <c r="BGO30" s="546"/>
      <c r="BGP30" s="546"/>
      <c r="BGQ30" s="546"/>
      <c r="BGR30" s="546"/>
      <c r="BGS30" s="546"/>
      <c r="BGT30" s="546"/>
      <c r="BGU30" s="546"/>
      <c r="BGV30" s="546"/>
      <c r="BGW30" s="546"/>
      <c r="BGX30" s="546"/>
      <c r="BGY30" s="546"/>
      <c r="BGZ30" s="546"/>
      <c r="BHA30" s="546"/>
      <c r="BHB30" s="546"/>
      <c r="BHC30" s="546"/>
      <c r="BHD30" s="546"/>
      <c r="BHE30" s="546"/>
      <c r="BHF30" s="546"/>
      <c r="BHG30" s="546"/>
      <c r="BHH30" s="546"/>
      <c r="BHI30" s="546"/>
      <c r="BHJ30" s="546"/>
      <c r="BHK30" s="546"/>
      <c r="BHL30" s="546"/>
      <c r="BHM30" s="546"/>
      <c r="BHN30" s="546"/>
      <c r="BHO30" s="546"/>
      <c r="BHP30" s="546"/>
      <c r="BHQ30" s="546"/>
      <c r="BHR30" s="546"/>
      <c r="BHS30" s="546"/>
      <c r="BHT30" s="546"/>
      <c r="BHU30" s="546"/>
      <c r="BHV30" s="546"/>
      <c r="BHW30" s="546"/>
      <c r="BHX30" s="546"/>
      <c r="BHY30" s="546"/>
      <c r="BHZ30" s="546"/>
      <c r="BIA30" s="546"/>
      <c r="BIB30" s="546"/>
      <c r="BIC30" s="546"/>
      <c r="BID30" s="546"/>
      <c r="BIE30" s="546"/>
      <c r="BIF30" s="546"/>
      <c r="BIG30" s="546"/>
      <c r="BIH30" s="546"/>
      <c r="BII30" s="546"/>
      <c r="BIJ30" s="546"/>
      <c r="BIK30" s="546"/>
      <c r="BIL30" s="546"/>
      <c r="BIM30" s="546"/>
      <c r="BIN30" s="546"/>
      <c r="BIO30" s="546"/>
      <c r="BIP30" s="546"/>
      <c r="BIQ30" s="546"/>
      <c r="BIR30" s="546"/>
      <c r="BIS30" s="546"/>
      <c r="BIT30" s="546"/>
      <c r="BIU30" s="546"/>
      <c r="BIV30" s="546"/>
      <c r="BIW30" s="546"/>
      <c r="BIX30" s="546"/>
      <c r="BIY30" s="546"/>
      <c r="BIZ30" s="546"/>
      <c r="BJA30" s="546"/>
      <c r="BJB30" s="546"/>
      <c r="BJC30" s="546"/>
      <c r="BJD30" s="546"/>
      <c r="BJE30" s="546"/>
      <c r="BJF30" s="546"/>
      <c r="BJG30" s="546"/>
      <c r="BJH30" s="546"/>
      <c r="BJI30" s="546"/>
      <c r="BJJ30" s="546"/>
      <c r="BJK30" s="546"/>
      <c r="BJL30" s="546"/>
      <c r="BJM30" s="546"/>
      <c r="BJN30" s="546"/>
      <c r="BJO30" s="546"/>
      <c r="BJP30" s="546"/>
      <c r="BJQ30" s="546"/>
      <c r="BJR30" s="546"/>
      <c r="BJS30" s="546"/>
      <c r="BJT30" s="546"/>
      <c r="BJU30" s="546"/>
      <c r="BJV30" s="546"/>
      <c r="BJW30" s="546"/>
      <c r="BJX30" s="546"/>
      <c r="BJY30" s="546"/>
      <c r="BJZ30" s="546"/>
      <c r="BKA30" s="546"/>
      <c r="BKB30" s="546"/>
      <c r="BKC30" s="546"/>
      <c r="BKD30" s="546"/>
      <c r="BKE30" s="546"/>
      <c r="BKF30" s="546"/>
      <c r="BKG30" s="546"/>
      <c r="BKH30" s="546"/>
      <c r="BKI30" s="546"/>
      <c r="BKJ30" s="546"/>
      <c r="BKK30" s="546"/>
      <c r="BKL30" s="546"/>
      <c r="BKM30" s="546"/>
      <c r="BKN30" s="546"/>
      <c r="BKO30" s="546"/>
      <c r="BKP30" s="546"/>
      <c r="BKQ30" s="546"/>
      <c r="BKR30" s="546"/>
      <c r="BKS30" s="546"/>
      <c r="BKT30" s="546"/>
      <c r="BKU30" s="546"/>
      <c r="BKV30" s="546"/>
      <c r="BKW30" s="546"/>
      <c r="BKX30" s="546"/>
      <c r="BKY30" s="546"/>
      <c r="BKZ30" s="546"/>
      <c r="BLA30" s="546"/>
      <c r="BLB30" s="546"/>
      <c r="BLC30" s="546"/>
      <c r="BLD30" s="546"/>
      <c r="BLE30" s="546"/>
      <c r="BLF30" s="546"/>
      <c r="BLG30" s="546"/>
      <c r="BLH30" s="546"/>
      <c r="BLI30" s="546"/>
      <c r="BLJ30" s="546"/>
      <c r="BLK30" s="546"/>
      <c r="BLL30" s="546"/>
      <c r="BLM30" s="546"/>
      <c r="BLN30" s="546"/>
      <c r="BLO30" s="546"/>
      <c r="BLP30" s="546"/>
      <c r="BLQ30" s="546"/>
      <c r="BLR30" s="546"/>
      <c r="BLS30" s="546"/>
      <c r="BLT30" s="546"/>
      <c r="BLU30" s="546"/>
      <c r="BLV30" s="546"/>
      <c r="BLW30" s="546"/>
      <c r="BLX30" s="546"/>
      <c r="BLY30" s="546"/>
      <c r="BLZ30" s="546"/>
      <c r="BMA30" s="546"/>
      <c r="BMB30" s="546"/>
      <c r="BMC30" s="546"/>
      <c r="BMD30" s="546"/>
      <c r="BME30" s="546"/>
      <c r="BMF30" s="546"/>
      <c r="BMG30" s="546"/>
      <c r="BMH30" s="546"/>
      <c r="BMI30" s="546"/>
      <c r="BMJ30" s="546"/>
      <c r="BMK30" s="546"/>
      <c r="BML30" s="546"/>
      <c r="BMM30" s="546"/>
      <c r="BMN30" s="546"/>
      <c r="BMO30" s="546"/>
      <c r="BMP30" s="546"/>
      <c r="BMQ30" s="546"/>
      <c r="BMR30" s="546"/>
      <c r="BMS30" s="546"/>
      <c r="BMT30" s="546"/>
      <c r="BMU30" s="546"/>
      <c r="BMV30" s="546"/>
      <c r="BMW30" s="546"/>
      <c r="BMX30" s="546"/>
      <c r="BMY30" s="546"/>
      <c r="BMZ30" s="546"/>
      <c r="BNA30" s="546"/>
      <c r="BNB30" s="546"/>
      <c r="BNC30" s="546"/>
      <c r="BND30" s="546"/>
      <c r="BNE30" s="546"/>
      <c r="BNF30" s="546"/>
      <c r="BNG30" s="546"/>
      <c r="BNH30" s="546"/>
      <c r="BNI30" s="546"/>
      <c r="BNJ30" s="546"/>
      <c r="BNK30" s="546"/>
      <c r="BNL30" s="546"/>
      <c r="BNM30" s="546"/>
      <c r="BNN30" s="546"/>
      <c r="BNO30" s="546"/>
      <c r="BNP30" s="546"/>
      <c r="BNQ30" s="546"/>
      <c r="BNR30" s="546"/>
      <c r="BNS30" s="546"/>
      <c r="BNT30" s="546"/>
      <c r="BNU30" s="546"/>
      <c r="BNV30" s="546"/>
      <c r="BNW30" s="546"/>
      <c r="BNX30" s="546"/>
      <c r="BNY30" s="546"/>
      <c r="BNZ30" s="546"/>
      <c r="BOA30" s="546"/>
      <c r="BOB30" s="546"/>
      <c r="BOC30" s="546"/>
      <c r="BOD30" s="546"/>
      <c r="BOE30" s="546"/>
      <c r="BOF30" s="546"/>
      <c r="BOG30" s="546"/>
      <c r="BOH30" s="546"/>
      <c r="BOI30" s="546"/>
      <c r="BOJ30" s="546"/>
      <c r="BOK30" s="546"/>
      <c r="BOL30" s="546"/>
      <c r="BOM30" s="546"/>
      <c r="BON30" s="546"/>
      <c r="BOO30" s="546"/>
      <c r="BOP30" s="546"/>
      <c r="BOQ30" s="546"/>
      <c r="BOR30" s="546"/>
      <c r="BOS30" s="546"/>
      <c r="BOT30" s="546"/>
      <c r="BOU30" s="546"/>
      <c r="BOV30" s="546"/>
      <c r="BOW30" s="546"/>
      <c r="BOX30" s="546"/>
      <c r="BOY30" s="546"/>
      <c r="BOZ30" s="546"/>
      <c r="BPA30" s="546"/>
      <c r="BPB30" s="546"/>
      <c r="BPC30" s="546"/>
      <c r="BPD30" s="546"/>
      <c r="BPE30" s="546"/>
      <c r="BPF30" s="546"/>
      <c r="BPG30" s="546"/>
      <c r="BPH30" s="546"/>
      <c r="BPI30" s="546"/>
      <c r="BPJ30" s="546"/>
      <c r="BPK30" s="546"/>
      <c r="BPL30" s="546"/>
      <c r="BPM30" s="546"/>
      <c r="BPN30" s="546"/>
      <c r="BPO30" s="546"/>
      <c r="BPP30" s="546"/>
      <c r="BPQ30" s="546"/>
      <c r="BPR30" s="546"/>
      <c r="BPS30" s="546"/>
      <c r="BPT30" s="546"/>
      <c r="BPU30" s="546"/>
      <c r="BPV30" s="546"/>
      <c r="BPW30" s="546"/>
      <c r="BPX30" s="546"/>
      <c r="BPY30" s="546"/>
      <c r="BPZ30" s="546"/>
      <c r="BQA30" s="546"/>
      <c r="BQB30" s="546"/>
      <c r="BQC30" s="546"/>
      <c r="BQD30" s="546"/>
      <c r="BQE30" s="546"/>
      <c r="BQF30" s="546"/>
      <c r="BQG30" s="546"/>
      <c r="BQH30" s="546"/>
      <c r="BQI30" s="546"/>
      <c r="BQJ30" s="546"/>
      <c r="BQK30" s="546"/>
      <c r="BQL30" s="546"/>
      <c r="BQM30" s="546"/>
      <c r="BQN30" s="546"/>
      <c r="BQO30" s="546"/>
      <c r="BQP30" s="546"/>
      <c r="BQQ30" s="546"/>
      <c r="BQR30" s="546"/>
      <c r="BQS30" s="546"/>
      <c r="BQT30" s="546"/>
      <c r="BQU30" s="546"/>
      <c r="BQV30" s="546"/>
      <c r="BQW30" s="546"/>
      <c r="BQX30" s="546"/>
      <c r="BQY30" s="546"/>
      <c r="BQZ30" s="546"/>
      <c r="BRA30" s="546"/>
      <c r="BRB30" s="546"/>
      <c r="BRC30" s="546"/>
      <c r="BRD30" s="546"/>
      <c r="BRE30" s="546"/>
      <c r="BRF30" s="546"/>
      <c r="BRG30" s="546"/>
      <c r="BRH30" s="546"/>
      <c r="BRI30" s="546"/>
      <c r="BRJ30" s="546"/>
      <c r="BRK30" s="546"/>
      <c r="BRL30" s="546"/>
      <c r="BRM30" s="546"/>
      <c r="BRN30" s="546"/>
      <c r="BRO30" s="546"/>
      <c r="BRP30" s="546"/>
      <c r="BRQ30" s="546"/>
      <c r="BRR30" s="546"/>
      <c r="BRS30" s="546"/>
      <c r="BRT30" s="546"/>
      <c r="BRU30" s="546"/>
      <c r="BRV30" s="546"/>
      <c r="BRW30" s="546"/>
      <c r="BRX30" s="546"/>
      <c r="BRY30" s="546"/>
      <c r="BRZ30" s="546"/>
      <c r="BSA30" s="546"/>
      <c r="BSB30" s="546"/>
      <c r="BSC30" s="546"/>
      <c r="BSD30" s="546"/>
      <c r="BSE30" s="546"/>
      <c r="BSF30" s="546"/>
      <c r="BSG30" s="546"/>
      <c r="BSH30" s="546"/>
      <c r="BSI30" s="546"/>
      <c r="BSJ30" s="546"/>
      <c r="BSK30" s="546"/>
      <c r="BSL30" s="546"/>
      <c r="BSM30" s="546"/>
      <c r="BSN30" s="546"/>
      <c r="BSO30" s="546"/>
      <c r="BSP30" s="546"/>
      <c r="BSQ30" s="546"/>
      <c r="BSR30" s="546"/>
      <c r="BSS30" s="546"/>
      <c r="BST30" s="546"/>
      <c r="BSU30" s="546"/>
      <c r="BSV30" s="546"/>
      <c r="BSW30" s="546"/>
      <c r="BSX30" s="546"/>
      <c r="BSY30" s="546"/>
      <c r="BSZ30" s="546"/>
      <c r="BTA30" s="546"/>
      <c r="BTB30" s="546"/>
      <c r="BTC30" s="546"/>
      <c r="BTD30" s="546"/>
      <c r="BTE30" s="546"/>
      <c r="BTF30" s="546"/>
      <c r="BTG30" s="546"/>
      <c r="BTH30" s="546"/>
      <c r="BTI30" s="546"/>
      <c r="BTJ30" s="546"/>
      <c r="BTK30" s="546"/>
      <c r="BTL30" s="546"/>
      <c r="BTM30" s="546"/>
      <c r="BTN30" s="546"/>
      <c r="BTO30" s="546"/>
      <c r="BTP30" s="546"/>
      <c r="BTQ30" s="546"/>
      <c r="BTR30" s="546"/>
      <c r="BTS30" s="546"/>
      <c r="BTT30" s="546"/>
      <c r="BTU30" s="546"/>
      <c r="BTV30" s="546"/>
      <c r="BTW30" s="546"/>
      <c r="BTX30" s="546"/>
      <c r="BTY30" s="546"/>
      <c r="BTZ30" s="546"/>
      <c r="BUA30" s="546"/>
      <c r="BUB30" s="546"/>
      <c r="BUC30" s="546"/>
      <c r="BUD30" s="546"/>
      <c r="BUE30" s="546"/>
      <c r="BUF30" s="546"/>
      <c r="BUG30" s="546"/>
      <c r="BUH30" s="546"/>
      <c r="BUI30" s="546"/>
      <c r="BUJ30" s="546"/>
      <c r="BUK30" s="546"/>
      <c r="BUL30" s="546"/>
      <c r="BUM30" s="546"/>
      <c r="BUN30" s="546"/>
      <c r="BUO30" s="546"/>
      <c r="BUP30" s="546"/>
      <c r="BUQ30" s="546"/>
      <c r="BUR30" s="546"/>
      <c r="BUS30" s="546"/>
      <c r="BUT30" s="546"/>
      <c r="BUU30" s="546"/>
      <c r="BUV30" s="546"/>
      <c r="BUW30" s="546"/>
      <c r="BUX30" s="546"/>
      <c r="BUY30" s="546"/>
      <c r="BUZ30" s="546"/>
      <c r="BVA30" s="546"/>
      <c r="BVB30" s="546"/>
      <c r="BVC30" s="546"/>
      <c r="BVD30" s="546"/>
      <c r="BVE30" s="546"/>
      <c r="BVF30" s="546"/>
      <c r="BVG30" s="546"/>
      <c r="BVH30" s="546"/>
      <c r="BVI30" s="546"/>
      <c r="BVJ30" s="546"/>
      <c r="BVK30" s="546"/>
      <c r="BVL30" s="546"/>
      <c r="BVM30" s="546"/>
      <c r="BVN30" s="546"/>
      <c r="BVO30" s="546"/>
      <c r="BVP30" s="546"/>
      <c r="BVQ30" s="546"/>
      <c r="BVR30" s="546"/>
      <c r="BVS30" s="546"/>
      <c r="BVT30" s="546"/>
      <c r="BVU30" s="546"/>
      <c r="BVV30" s="546"/>
      <c r="BVW30" s="546"/>
      <c r="BVX30" s="546"/>
      <c r="BVY30" s="546"/>
      <c r="BVZ30" s="546"/>
      <c r="BWA30" s="546"/>
      <c r="BWB30" s="546"/>
      <c r="BWC30" s="546"/>
      <c r="BWD30" s="546"/>
      <c r="BWE30" s="546"/>
      <c r="BWF30" s="546"/>
      <c r="BWG30" s="546"/>
      <c r="BWH30" s="546"/>
      <c r="BWI30" s="546"/>
      <c r="BWJ30" s="546"/>
      <c r="BWK30" s="546"/>
      <c r="BWL30" s="546"/>
      <c r="BWM30" s="546"/>
      <c r="BWN30" s="546"/>
      <c r="BWO30" s="546"/>
      <c r="BWP30" s="546"/>
      <c r="BWQ30" s="546"/>
      <c r="BWR30" s="546"/>
      <c r="BWS30" s="546"/>
      <c r="BWT30" s="546"/>
      <c r="BWU30" s="546"/>
      <c r="BWV30" s="546"/>
      <c r="BWW30" s="546"/>
      <c r="BWX30" s="546"/>
      <c r="BWY30" s="546"/>
      <c r="BWZ30" s="546"/>
      <c r="BXA30" s="546"/>
      <c r="BXB30" s="546"/>
      <c r="BXC30" s="546"/>
      <c r="BXD30" s="546"/>
      <c r="BXE30" s="546"/>
      <c r="BXF30" s="546"/>
      <c r="BXG30" s="546"/>
      <c r="BXH30" s="546"/>
      <c r="BXI30" s="546"/>
      <c r="BXJ30" s="546"/>
      <c r="BXK30" s="546"/>
      <c r="BXL30" s="546"/>
      <c r="BXM30" s="546"/>
      <c r="BXN30" s="546"/>
      <c r="BXO30" s="546"/>
      <c r="BXP30" s="546"/>
      <c r="BXQ30" s="546"/>
      <c r="BXR30" s="546"/>
      <c r="BXS30" s="546"/>
      <c r="BXT30" s="546"/>
      <c r="BXU30" s="546"/>
      <c r="BXV30" s="546"/>
      <c r="BXW30" s="546"/>
      <c r="BXX30" s="546"/>
      <c r="BXY30" s="546"/>
      <c r="BXZ30" s="546"/>
      <c r="BYA30" s="546"/>
      <c r="BYB30" s="546"/>
      <c r="BYC30" s="546"/>
      <c r="BYD30" s="546"/>
      <c r="BYE30" s="546"/>
      <c r="BYF30" s="546"/>
      <c r="BYG30" s="546"/>
      <c r="BYH30" s="546"/>
      <c r="BYI30" s="546"/>
      <c r="BYJ30" s="546"/>
      <c r="BYK30" s="546"/>
      <c r="BYL30" s="546"/>
      <c r="BYM30" s="546"/>
      <c r="BYN30" s="546"/>
      <c r="BYO30" s="546"/>
      <c r="BYP30" s="546"/>
      <c r="BYQ30" s="546"/>
      <c r="BYR30" s="546"/>
      <c r="BYS30" s="546"/>
      <c r="BYT30" s="546"/>
      <c r="BYU30" s="546"/>
      <c r="BYV30" s="546"/>
      <c r="BYW30" s="546"/>
      <c r="BYX30" s="546"/>
      <c r="BYY30" s="546"/>
      <c r="BYZ30" s="546"/>
      <c r="BZA30" s="546"/>
      <c r="BZB30" s="546"/>
      <c r="BZC30" s="546"/>
      <c r="BZD30" s="546"/>
      <c r="BZE30" s="546"/>
      <c r="BZF30" s="546"/>
      <c r="BZG30" s="546"/>
      <c r="BZH30" s="546"/>
      <c r="BZI30" s="546"/>
      <c r="BZJ30" s="546"/>
      <c r="BZK30" s="546"/>
      <c r="BZL30" s="546"/>
      <c r="BZM30" s="546"/>
      <c r="BZN30" s="546"/>
      <c r="BZO30" s="546"/>
      <c r="BZP30" s="546"/>
      <c r="BZQ30" s="546"/>
      <c r="BZR30" s="546"/>
      <c r="BZS30" s="546"/>
      <c r="BZT30" s="546"/>
      <c r="BZU30" s="546"/>
      <c r="BZV30" s="546"/>
      <c r="BZW30" s="546"/>
      <c r="BZX30" s="546"/>
      <c r="BZY30" s="546"/>
      <c r="BZZ30" s="546"/>
      <c r="CAA30" s="546"/>
      <c r="CAB30" s="546"/>
      <c r="CAC30" s="546"/>
      <c r="CAD30" s="546"/>
      <c r="CAE30" s="546"/>
      <c r="CAF30" s="546"/>
      <c r="CAG30" s="546"/>
      <c r="CAH30" s="546"/>
      <c r="CAI30" s="546"/>
      <c r="CAJ30" s="546"/>
      <c r="CAK30" s="546"/>
      <c r="CAL30" s="546"/>
      <c r="CAM30" s="546"/>
      <c r="CAN30" s="546"/>
      <c r="CAO30" s="546"/>
      <c r="CAP30" s="546"/>
      <c r="CAQ30" s="546"/>
      <c r="CAR30" s="546"/>
      <c r="CAS30" s="546"/>
      <c r="CAT30" s="546"/>
      <c r="CAU30" s="546"/>
      <c r="CAV30" s="546"/>
      <c r="CAW30" s="546"/>
      <c r="CAX30" s="546"/>
      <c r="CAY30" s="546"/>
      <c r="CAZ30" s="546"/>
      <c r="CBA30" s="546"/>
      <c r="CBB30" s="546"/>
      <c r="CBC30" s="546"/>
      <c r="CBD30" s="546"/>
      <c r="CBE30" s="546"/>
      <c r="CBF30" s="546"/>
      <c r="CBG30" s="546"/>
      <c r="CBH30" s="546"/>
      <c r="CBI30" s="546"/>
      <c r="CBJ30" s="546"/>
      <c r="CBK30" s="546"/>
      <c r="CBL30" s="546"/>
      <c r="CBM30" s="546"/>
      <c r="CBN30" s="546"/>
      <c r="CBO30" s="546"/>
      <c r="CBP30" s="546"/>
      <c r="CBQ30" s="546"/>
      <c r="CBR30" s="546"/>
      <c r="CBS30" s="546"/>
      <c r="CBT30" s="546"/>
      <c r="CBU30" s="546"/>
      <c r="CBV30" s="546"/>
      <c r="CBW30" s="546"/>
      <c r="CBX30" s="546"/>
      <c r="CBY30" s="546"/>
      <c r="CBZ30" s="546"/>
      <c r="CCA30" s="546"/>
      <c r="CCB30" s="546"/>
      <c r="CCC30" s="546"/>
      <c r="CCD30" s="546"/>
      <c r="CCE30" s="546"/>
      <c r="CCF30" s="546"/>
      <c r="CCG30" s="546"/>
      <c r="CCH30" s="546"/>
      <c r="CCI30" s="546"/>
      <c r="CCJ30" s="546"/>
      <c r="CCK30" s="546"/>
      <c r="CCL30" s="546"/>
      <c r="CCM30" s="546"/>
      <c r="CCN30" s="546"/>
      <c r="CCO30" s="546"/>
      <c r="CCP30" s="546"/>
      <c r="CCQ30" s="546"/>
      <c r="CCR30" s="546"/>
      <c r="CCS30" s="546"/>
      <c r="CCT30" s="546"/>
      <c r="CCU30" s="546"/>
      <c r="CCV30" s="546"/>
      <c r="CCW30" s="546"/>
      <c r="CCX30" s="546"/>
      <c r="CCY30" s="546"/>
      <c r="CCZ30" s="546"/>
      <c r="CDA30" s="546"/>
      <c r="CDB30" s="546"/>
      <c r="CDC30" s="546"/>
      <c r="CDD30" s="546"/>
      <c r="CDE30" s="546"/>
      <c r="CDF30" s="546"/>
      <c r="CDG30" s="546"/>
      <c r="CDH30" s="546"/>
      <c r="CDI30" s="546"/>
      <c r="CDJ30" s="546"/>
      <c r="CDK30" s="546"/>
      <c r="CDL30" s="546"/>
      <c r="CDM30" s="546"/>
      <c r="CDN30" s="546"/>
      <c r="CDO30" s="546"/>
      <c r="CDP30" s="546"/>
      <c r="CDQ30" s="546"/>
      <c r="CDR30" s="546"/>
      <c r="CDS30" s="546"/>
      <c r="CDT30" s="546"/>
      <c r="CDU30" s="546"/>
      <c r="CDV30" s="546"/>
      <c r="CDW30" s="546"/>
      <c r="CDX30" s="546"/>
      <c r="CDY30" s="546"/>
      <c r="CDZ30" s="546"/>
      <c r="CEA30" s="546"/>
      <c r="CEB30" s="546"/>
      <c r="CEC30" s="546"/>
      <c r="CED30" s="546"/>
      <c r="CEE30" s="546"/>
      <c r="CEF30" s="546"/>
      <c r="CEG30" s="546"/>
      <c r="CEH30" s="546"/>
      <c r="CEI30" s="546"/>
      <c r="CEJ30" s="546"/>
      <c r="CEK30" s="546"/>
      <c r="CEL30" s="546"/>
      <c r="CEM30" s="546"/>
      <c r="CEN30" s="546"/>
      <c r="CEO30" s="546"/>
      <c r="CEP30" s="546"/>
      <c r="CEQ30" s="546"/>
      <c r="CER30" s="546"/>
      <c r="CES30" s="546"/>
      <c r="CET30" s="546"/>
      <c r="CEU30" s="546"/>
      <c r="CEV30" s="546"/>
      <c r="CEW30" s="546"/>
      <c r="CEX30" s="546"/>
      <c r="CEY30" s="546"/>
      <c r="CEZ30" s="546"/>
      <c r="CFA30" s="546"/>
      <c r="CFB30" s="546"/>
      <c r="CFC30" s="546"/>
      <c r="CFD30" s="546"/>
      <c r="CFE30" s="546"/>
      <c r="CFF30" s="546"/>
      <c r="CFG30" s="546"/>
      <c r="CFH30" s="546"/>
      <c r="CFI30" s="546"/>
      <c r="CFJ30" s="546"/>
      <c r="CFK30" s="546"/>
      <c r="CFL30" s="546"/>
      <c r="CFM30" s="546"/>
      <c r="CFN30" s="546"/>
      <c r="CFO30" s="546"/>
      <c r="CFP30" s="546"/>
      <c r="CFQ30" s="546"/>
      <c r="CFR30" s="546"/>
      <c r="CFS30" s="546"/>
      <c r="CFT30" s="546"/>
      <c r="CFU30" s="546"/>
      <c r="CFV30" s="546"/>
      <c r="CFW30" s="546"/>
      <c r="CFX30" s="546"/>
      <c r="CFY30" s="546"/>
      <c r="CFZ30" s="546"/>
      <c r="CGA30" s="546"/>
      <c r="CGB30" s="546"/>
      <c r="CGC30" s="546"/>
      <c r="CGD30" s="546"/>
      <c r="CGE30" s="546"/>
      <c r="CGF30" s="546"/>
      <c r="CGG30" s="546"/>
      <c r="CGH30" s="546"/>
      <c r="CGI30" s="546"/>
      <c r="CGJ30" s="546"/>
      <c r="CGK30" s="546"/>
      <c r="CGL30" s="546"/>
      <c r="CGM30" s="546"/>
      <c r="CGN30" s="546"/>
      <c r="CGO30" s="546"/>
      <c r="CGP30" s="546"/>
      <c r="CGQ30" s="546"/>
      <c r="CGR30" s="546"/>
      <c r="CGS30" s="546"/>
      <c r="CGT30" s="546"/>
      <c r="CGU30" s="546"/>
      <c r="CGV30" s="546"/>
      <c r="CGW30" s="546"/>
      <c r="CGX30" s="546"/>
      <c r="CGY30" s="546"/>
      <c r="CGZ30" s="546"/>
      <c r="CHA30" s="546"/>
      <c r="CHB30" s="546"/>
      <c r="CHC30" s="546"/>
      <c r="CHD30" s="546"/>
      <c r="CHE30" s="546"/>
      <c r="CHF30" s="546"/>
      <c r="CHG30" s="546"/>
      <c r="CHH30" s="546"/>
      <c r="CHI30" s="546"/>
      <c r="CHJ30" s="546"/>
      <c r="CHK30" s="546"/>
      <c r="CHL30" s="546"/>
      <c r="CHM30" s="546"/>
      <c r="CHN30" s="546"/>
      <c r="CHO30" s="546"/>
      <c r="CHP30" s="546"/>
      <c r="CHQ30" s="546"/>
      <c r="CHR30" s="546"/>
      <c r="CHS30" s="546"/>
      <c r="CHT30" s="546"/>
      <c r="CHU30" s="546"/>
      <c r="CHV30" s="546"/>
      <c r="CHW30" s="546"/>
      <c r="CHX30" s="546"/>
      <c r="CHY30" s="546"/>
      <c r="CHZ30" s="546"/>
      <c r="CIA30" s="546"/>
      <c r="CIB30" s="546"/>
      <c r="CIC30" s="546"/>
      <c r="CID30" s="546"/>
      <c r="CIE30" s="546"/>
      <c r="CIF30" s="546"/>
      <c r="CIG30" s="546"/>
      <c r="CIH30" s="546"/>
      <c r="CII30" s="546"/>
      <c r="CIJ30" s="546"/>
      <c r="CIK30" s="546"/>
      <c r="CIL30" s="546"/>
      <c r="CIM30" s="546"/>
      <c r="CIN30" s="546"/>
      <c r="CIO30" s="546"/>
      <c r="CIP30" s="546"/>
      <c r="CIQ30" s="546"/>
      <c r="CIR30" s="546"/>
      <c r="CIS30" s="546"/>
      <c r="CIT30" s="546"/>
      <c r="CIU30" s="546"/>
      <c r="CIV30" s="546"/>
      <c r="CIW30" s="546"/>
      <c r="CIX30" s="546"/>
      <c r="CIY30" s="546"/>
      <c r="CIZ30" s="546"/>
      <c r="CJA30" s="546"/>
      <c r="CJB30" s="546"/>
      <c r="CJC30" s="546"/>
      <c r="CJD30" s="546"/>
      <c r="CJE30" s="546"/>
      <c r="CJF30" s="546"/>
      <c r="CJG30" s="546"/>
      <c r="CJH30" s="546"/>
      <c r="CJI30" s="546"/>
      <c r="CJJ30" s="546"/>
      <c r="CJK30" s="546"/>
      <c r="CJL30" s="546"/>
      <c r="CJM30" s="546"/>
      <c r="CJN30" s="546"/>
      <c r="CJO30" s="546"/>
      <c r="CJP30" s="546"/>
      <c r="CJQ30" s="546"/>
      <c r="CJR30" s="546"/>
      <c r="CJS30" s="546"/>
      <c r="CJT30" s="546"/>
      <c r="CJU30" s="546"/>
      <c r="CJV30" s="546"/>
      <c r="CJW30" s="546"/>
      <c r="CJX30" s="546"/>
      <c r="CJY30" s="546"/>
      <c r="CJZ30" s="546"/>
      <c r="CKA30" s="546"/>
      <c r="CKB30" s="546"/>
      <c r="CKC30" s="546"/>
      <c r="CKD30" s="546"/>
      <c r="CKE30" s="546"/>
      <c r="CKF30" s="546"/>
      <c r="CKG30" s="546"/>
      <c r="CKH30" s="546"/>
      <c r="CKI30" s="546"/>
      <c r="CKJ30" s="546"/>
      <c r="CKK30" s="546"/>
      <c r="CKL30" s="546"/>
      <c r="CKM30" s="546"/>
      <c r="CKN30" s="546"/>
      <c r="CKO30" s="546"/>
      <c r="CKP30" s="546"/>
      <c r="CKQ30" s="546"/>
      <c r="CKR30" s="546"/>
      <c r="CKS30" s="546"/>
      <c r="CKT30" s="546"/>
      <c r="CKU30" s="546"/>
      <c r="CKV30" s="546"/>
      <c r="CKW30" s="546"/>
      <c r="CKX30" s="546"/>
      <c r="CKY30" s="546"/>
      <c r="CKZ30" s="546"/>
      <c r="CLA30" s="546"/>
      <c r="CLB30" s="546"/>
      <c r="CLC30" s="546"/>
      <c r="CLD30" s="546"/>
      <c r="CLE30" s="546"/>
      <c r="CLF30" s="546"/>
      <c r="CLG30" s="546"/>
      <c r="CLH30" s="546"/>
      <c r="CLI30" s="546"/>
      <c r="CLJ30" s="546"/>
      <c r="CLK30" s="546"/>
      <c r="CLL30" s="546"/>
      <c r="CLM30" s="546"/>
      <c r="CLN30" s="546"/>
      <c r="CLO30" s="546"/>
      <c r="CLP30" s="546"/>
      <c r="CLQ30" s="546"/>
      <c r="CLR30" s="546"/>
      <c r="CLS30" s="546"/>
      <c r="CLT30" s="546"/>
      <c r="CLU30" s="546"/>
      <c r="CLV30" s="546"/>
      <c r="CLW30" s="546"/>
      <c r="CLX30" s="546"/>
      <c r="CLY30" s="546"/>
      <c r="CLZ30" s="546"/>
      <c r="CMA30" s="546"/>
      <c r="CMB30" s="546"/>
      <c r="CMC30" s="546"/>
      <c r="CMD30" s="546"/>
      <c r="CME30" s="546"/>
      <c r="CMF30" s="546"/>
      <c r="CMG30" s="546"/>
      <c r="CMH30" s="546"/>
      <c r="CMI30" s="546"/>
      <c r="CMJ30" s="546"/>
      <c r="CMK30" s="546"/>
      <c r="CML30" s="546"/>
      <c r="CMM30" s="546"/>
      <c r="CMN30" s="546"/>
      <c r="CMO30" s="546"/>
      <c r="CMP30" s="546"/>
      <c r="CMQ30" s="546"/>
      <c r="CMR30" s="546"/>
      <c r="CMS30" s="546"/>
      <c r="CMT30" s="546"/>
      <c r="CMU30" s="546"/>
      <c r="CMV30" s="546"/>
      <c r="CMW30" s="546"/>
      <c r="CMX30" s="546"/>
      <c r="CMY30" s="546"/>
      <c r="CMZ30" s="546"/>
      <c r="CNA30" s="546"/>
      <c r="CNB30" s="546"/>
      <c r="CNC30" s="546"/>
      <c r="CND30" s="546"/>
      <c r="CNE30" s="546"/>
      <c r="CNF30" s="546"/>
      <c r="CNG30" s="546"/>
      <c r="CNH30" s="546"/>
      <c r="CNI30" s="546"/>
      <c r="CNJ30" s="546"/>
      <c r="CNK30" s="546"/>
      <c r="CNL30" s="546"/>
      <c r="CNM30" s="546"/>
      <c r="CNN30" s="546"/>
      <c r="CNO30" s="546"/>
      <c r="CNP30" s="546"/>
      <c r="CNQ30" s="546"/>
      <c r="CNR30" s="546"/>
      <c r="CNS30" s="546"/>
      <c r="CNT30" s="546"/>
      <c r="CNU30" s="546"/>
      <c r="CNV30" s="546"/>
      <c r="CNW30" s="546"/>
      <c r="CNX30" s="546"/>
      <c r="CNY30" s="546"/>
      <c r="CNZ30" s="546"/>
      <c r="COA30" s="546"/>
      <c r="COB30" s="546"/>
      <c r="COC30" s="546"/>
      <c r="COD30" s="546"/>
      <c r="COE30" s="546"/>
      <c r="COF30" s="546"/>
      <c r="COG30" s="546"/>
      <c r="COH30" s="546"/>
      <c r="COI30" s="546"/>
      <c r="COJ30" s="546"/>
      <c r="COK30" s="546"/>
      <c r="COL30" s="546"/>
      <c r="COM30" s="546"/>
      <c r="CON30" s="546"/>
      <c r="COO30" s="546"/>
      <c r="COP30" s="546"/>
      <c r="COQ30" s="546"/>
      <c r="COR30" s="546"/>
      <c r="COS30" s="546"/>
      <c r="COT30" s="546"/>
      <c r="COU30" s="546"/>
      <c r="COV30" s="546"/>
      <c r="COW30" s="546"/>
      <c r="COX30" s="546"/>
      <c r="COY30" s="546"/>
      <c r="COZ30" s="546"/>
      <c r="CPA30" s="546"/>
      <c r="CPB30" s="546"/>
      <c r="CPC30" s="546"/>
      <c r="CPD30" s="546"/>
      <c r="CPE30" s="546"/>
      <c r="CPF30" s="546"/>
      <c r="CPG30" s="546"/>
      <c r="CPH30" s="546"/>
      <c r="CPI30" s="546"/>
      <c r="CPJ30" s="546"/>
      <c r="CPK30" s="546"/>
      <c r="CPL30" s="546"/>
      <c r="CPM30" s="546"/>
      <c r="CPN30" s="546"/>
      <c r="CPO30" s="546"/>
      <c r="CPP30" s="546"/>
      <c r="CPQ30" s="546"/>
      <c r="CPR30" s="546"/>
      <c r="CPS30" s="546"/>
      <c r="CPT30" s="546"/>
      <c r="CPU30" s="546"/>
      <c r="CPV30" s="546"/>
      <c r="CPW30" s="546"/>
      <c r="CPX30" s="546"/>
      <c r="CPY30" s="546"/>
      <c r="CPZ30" s="546"/>
      <c r="CQA30" s="546"/>
      <c r="CQB30" s="546"/>
      <c r="CQC30" s="546"/>
      <c r="CQD30" s="546"/>
      <c r="CQE30" s="546"/>
      <c r="CQF30" s="546"/>
      <c r="CQG30" s="546"/>
      <c r="CQH30" s="546"/>
      <c r="CQI30" s="546"/>
      <c r="CQJ30" s="546"/>
      <c r="CQK30" s="546"/>
      <c r="CQL30" s="546"/>
      <c r="CQM30" s="546"/>
      <c r="CQN30" s="546"/>
      <c r="CQO30" s="546"/>
      <c r="CQP30" s="546"/>
      <c r="CQQ30" s="546"/>
      <c r="CQR30" s="546"/>
      <c r="CQS30" s="546"/>
      <c r="CQT30" s="546"/>
      <c r="CQU30" s="546"/>
      <c r="CQV30" s="546"/>
      <c r="CQW30" s="546"/>
      <c r="CQX30" s="546"/>
      <c r="CQY30" s="546"/>
      <c r="CQZ30" s="546"/>
      <c r="CRA30" s="546"/>
      <c r="CRB30" s="546"/>
      <c r="CRC30" s="546"/>
      <c r="CRD30" s="546"/>
      <c r="CRE30" s="546"/>
      <c r="CRF30" s="546"/>
      <c r="CRG30" s="546"/>
      <c r="CRH30" s="546"/>
      <c r="CRI30" s="546"/>
      <c r="CRJ30" s="546"/>
      <c r="CRK30" s="546"/>
      <c r="CRL30" s="546"/>
      <c r="CRM30" s="546"/>
      <c r="CRN30" s="546"/>
      <c r="CRO30" s="546"/>
      <c r="CRP30" s="546"/>
      <c r="CRQ30" s="546"/>
      <c r="CRR30" s="546"/>
      <c r="CRS30" s="546"/>
      <c r="CRT30" s="546"/>
      <c r="CRU30" s="546"/>
      <c r="CRV30" s="546"/>
      <c r="CRW30" s="546"/>
      <c r="CRX30" s="546"/>
      <c r="CRY30" s="546"/>
      <c r="CRZ30" s="546"/>
      <c r="CSA30" s="546"/>
      <c r="CSB30" s="546"/>
      <c r="CSC30" s="546"/>
      <c r="CSD30" s="546"/>
      <c r="CSE30" s="546"/>
      <c r="CSF30" s="546"/>
      <c r="CSG30" s="546"/>
      <c r="CSH30" s="546"/>
      <c r="CSI30" s="546"/>
      <c r="CSJ30" s="546"/>
      <c r="CSK30" s="546"/>
      <c r="CSL30" s="546"/>
      <c r="CSM30" s="546"/>
      <c r="CSN30" s="546"/>
      <c r="CSO30" s="546"/>
      <c r="CSP30" s="546"/>
      <c r="CSQ30" s="546"/>
      <c r="CSR30" s="546"/>
      <c r="CSS30" s="546"/>
      <c r="CST30" s="546"/>
      <c r="CSU30" s="546"/>
      <c r="CSV30" s="546"/>
      <c r="CSW30" s="546"/>
      <c r="CSX30" s="546"/>
      <c r="CSY30" s="546"/>
      <c r="CSZ30" s="546"/>
      <c r="CTA30" s="546"/>
      <c r="CTB30" s="546"/>
      <c r="CTC30" s="546"/>
      <c r="CTD30" s="546"/>
      <c r="CTE30" s="546"/>
      <c r="CTF30" s="546"/>
      <c r="CTG30" s="546"/>
      <c r="CTH30" s="546"/>
      <c r="CTI30" s="546"/>
      <c r="CTJ30" s="546"/>
      <c r="CTK30" s="546"/>
      <c r="CTL30" s="546"/>
      <c r="CTM30" s="546"/>
      <c r="CTN30" s="546"/>
      <c r="CTO30" s="546"/>
      <c r="CTP30" s="546"/>
      <c r="CTQ30" s="546"/>
      <c r="CTR30" s="546"/>
      <c r="CTS30" s="546"/>
      <c r="CTT30" s="546"/>
      <c r="CTU30" s="546"/>
      <c r="CTV30" s="546"/>
      <c r="CTW30" s="546"/>
      <c r="CTX30" s="546"/>
      <c r="CTY30" s="546"/>
      <c r="CTZ30" s="546"/>
      <c r="CUA30" s="546"/>
      <c r="CUB30" s="546"/>
      <c r="CUC30" s="546"/>
      <c r="CUD30" s="546"/>
      <c r="CUE30" s="546"/>
      <c r="CUF30" s="546"/>
      <c r="CUG30" s="546"/>
      <c r="CUH30" s="546"/>
      <c r="CUI30" s="546"/>
      <c r="CUJ30" s="546"/>
      <c r="CUK30" s="546"/>
      <c r="CUL30" s="546"/>
      <c r="CUM30" s="546"/>
      <c r="CUN30" s="546"/>
      <c r="CUO30" s="546"/>
      <c r="CUP30" s="546"/>
      <c r="CUQ30" s="546"/>
      <c r="CUR30" s="546"/>
      <c r="CUS30" s="546"/>
      <c r="CUT30" s="546"/>
      <c r="CUU30" s="546"/>
      <c r="CUV30" s="546"/>
      <c r="CUW30" s="546"/>
      <c r="CUX30" s="546"/>
      <c r="CUY30" s="546"/>
      <c r="CUZ30" s="546"/>
      <c r="CVA30" s="546"/>
      <c r="CVB30" s="546"/>
      <c r="CVC30" s="546"/>
      <c r="CVD30" s="546"/>
      <c r="CVE30" s="546"/>
      <c r="CVF30" s="546"/>
      <c r="CVG30" s="546"/>
      <c r="CVH30" s="546"/>
      <c r="CVI30" s="546"/>
      <c r="CVJ30" s="546"/>
      <c r="CVK30" s="546"/>
      <c r="CVL30" s="546"/>
      <c r="CVM30" s="546"/>
      <c r="CVN30" s="546"/>
      <c r="CVO30" s="546"/>
      <c r="CVP30" s="546"/>
      <c r="CVQ30" s="546"/>
      <c r="CVR30" s="546"/>
      <c r="CVS30" s="546"/>
      <c r="CVT30" s="546"/>
      <c r="CVU30" s="546"/>
      <c r="CVV30" s="546"/>
      <c r="CVW30" s="546"/>
      <c r="CVX30" s="546"/>
      <c r="CVY30" s="546"/>
      <c r="CVZ30" s="546"/>
      <c r="CWA30" s="546"/>
      <c r="CWB30" s="546"/>
      <c r="CWC30" s="546"/>
      <c r="CWD30" s="546"/>
      <c r="CWE30" s="546"/>
      <c r="CWF30" s="546"/>
      <c r="CWG30" s="546"/>
      <c r="CWH30" s="546"/>
      <c r="CWI30" s="546"/>
      <c r="CWJ30" s="546"/>
      <c r="CWK30" s="546"/>
      <c r="CWL30" s="546"/>
      <c r="CWM30" s="546"/>
      <c r="CWN30" s="546"/>
      <c r="CWO30" s="546"/>
      <c r="CWP30" s="546"/>
      <c r="CWQ30" s="546"/>
      <c r="CWR30" s="546"/>
      <c r="CWS30" s="546"/>
      <c r="CWT30" s="546"/>
      <c r="CWU30" s="546"/>
      <c r="CWV30" s="546"/>
      <c r="CWW30" s="546"/>
      <c r="CWX30" s="546"/>
      <c r="CWY30" s="546"/>
      <c r="CWZ30" s="546"/>
      <c r="CXA30" s="546"/>
      <c r="CXB30" s="546"/>
      <c r="CXC30" s="546"/>
      <c r="CXD30" s="546"/>
      <c r="CXE30" s="546"/>
      <c r="CXF30" s="546"/>
      <c r="CXG30" s="546"/>
      <c r="CXH30" s="546"/>
      <c r="CXI30" s="546"/>
      <c r="CXJ30" s="546"/>
      <c r="CXK30" s="546"/>
      <c r="CXL30" s="546"/>
      <c r="CXM30" s="546"/>
      <c r="CXN30" s="546"/>
      <c r="CXO30" s="546"/>
      <c r="CXP30" s="546"/>
      <c r="CXQ30" s="546"/>
      <c r="CXR30" s="546"/>
      <c r="CXS30" s="546"/>
      <c r="CXT30" s="546"/>
      <c r="CXU30" s="546"/>
      <c r="CXV30" s="546"/>
      <c r="CXW30" s="546"/>
      <c r="CXX30" s="546"/>
      <c r="CXY30" s="546"/>
      <c r="CXZ30" s="546"/>
      <c r="CYA30" s="546"/>
      <c r="CYB30" s="546"/>
      <c r="CYC30" s="546"/>
      <c r="CYD30" s="546"/>
      <c r="CYE30" s="546"/>
      <c r="CYF30" s="546"/>
      <c r="CYG30" s="546"/>
      <c r="CYH30" s="546"/>
      <c r="CYI30" s="546"/>
      <c r="CYJ30" s="546"/>
      <c r="CYK30" s="546"/>
      <c r="CYL30" s="546"/>
      <c r="CYM30" s="546"/>
      <c r="CYN30" s="546"/>
      <c r="CYO30" s="546"/>
      <c r="CYP30" s="546"/>
      <c r="CYQ30" s="546"/>
      <c r="CYR30" s="546"/>
      <c r="CYS30" s="546"/>
      <c r="CYT30" s="546"/>
      <c r="CYU30" s="546"/>
      <c r="CYV30" s="546"/>
      <c r="CYW30" s="546"/>
      <c r="CYX30" s="546"/>
      <c r="CYY30" s="546"/>
      <c r="CYZ30" s="546"/>
      <c r="CZA30" s="546"/>
      <c r="CZB30" s="546"/>
      <c r="CZC30" s="546"/>
      <c r="CZD30" s="546"/>
      <c r="CZE30" s="546"/>
      <c r="CZF30" s="546"/>
      <c r="CZG30" s="546"/>
      <c r="CZH30" s="546"/>
      <c r="CZI30" s="546"/>
      <c r="CZJ30" s="546"/>
      <c r="CZK30" s="546"/>
      <c r="CZL30" s="546"/>
      <c r="CZM30" s="546"/>
      <c r="CZN30" s="546"/>
      <c r="CZO30" s="546"/>
      <c r="CZP30" s="546"/>
      <c r="CZQ30" s="546"/>
      <c r="CZR30" s="546"/>
      <c r="CZS30" s="546"/>
      <c r="CZT30" s="546"/>
      <c r="CZU30" s="546"/>
      <c r="CZV30" s="546"/>
      <c r="CZW30" s="546"/>
      <c r="CZX30" s="546"/>
      <c r="CZY30" s="546"/>
      <c r="CZZ30" s="546"/>
      <c r="DAA30" s="546"/>
      <c r="DAB30" s="546"/>
      <c r="DAC30" s="546"/>
      <c r="DAD30" s="546"/>
      <c r="DAE30" s="546"/>
      <c r="DAF30" s="546"/>
      <c r="DAG30" s="546"/>
      <c r="DAH30" s="546"/>
      <c r="DAI30" s="546"/>
      <c r="DAJ30" s="546"/>
      <c r="DAK30" s="546"/>
      <c r="DAL30" s="546"/>
      <c r="DAM30" s="546"/>
      <c r="DAN30" s="546"/>
      <c r="DAO30" s="546"/>
      <c r="DAP30" s="546"/>
      <c r="DAQ30" s="546"/>
      <c r="DAR30" s="546"/>
      <c r="DAS30" s="546"/>
      <c r="DAT30" s="546"/>
      <c r="DAU30" s="546"/>
      <c r="DAV30" s="546"/>
      <c r="DAW30" s="546"/>
      <c r="DAX30" s="546"/>
      <c r="DAY30" s="546"/>
      <c r="DAZ30" s="546"/>
      <c r="DBA30" s="546"/>
      <c r="DBB30" s="546"/>
      <c r="DBC30" s="546"/>
      <c r="DBD30" s="546"/>
      <c r="DBE30" s="546"/>
      <c r="DBF30" s="546"/>
      <c r="DBG30" s="546"/>
      <c r="DBH30" s="546"/>
      <c r="DBI30" s="546"/>
      <c r="DBJ30" s="546"/>
      <c r="DBK30" s="546"/>
      <c r="DBL30" s="546"/>
      <c r="DBM30" s="546"/>
      <c r="DBN30" s="546"/>
      <c r="DBO30" s="546"/>
      <c r="DBP30" s="546"/>
      <c r="DBQ30" s="546"/>
      <c r="DBR30" s="546"/>
      <c r="DBS30" s="546"/>
      <c r="DBT30" s="546"/>
      <c r="DBU30" s="546"/>
      <c r="DBV30" s="546"/>
      <c r="DBW30" s="546"/>
      <c r="DBX30" s="546"/>
      <c r="DBY30" s="546"/>
      <c r="DBZ30" s="546"/>
      <c r="DCA30" s="546"/>
      <c r="DCB30" s="546"/>
      <c r="DCC30" s="546"/>
      <c r="DCD30" s="546"/>
      <c r="DCE30" s="546"/>
      <c r="DCF30" s="546"/>
      <c r="DCG30" s="546"/>
      <c r="DCH30" s="546"/>
      <c r="DCI30" s="546"/>
      <c r="DCJ30" s="546"/>
      <c r="DCK30" s="546"/>
      <c r="DCL30" s="546"/>
      <c r="DCM30" s="546"/>
      <c r="DCN30" s="546"/>
      <c r="DCO30" s="546"/>
      <c r="DCP30" s="546"/>
      <c r="DCQ30" s="546"/>
      <c r="DCR30" s="546"/>
      <c r="DCS30" s="546"/>
      <c r="DCT30" s="546"/>
      <c r="DCU30" s="546"/>
      <c r="DCV30" s="546"/>
      <c r="DCW30" s="546"/>
      <c r="DCX30" s="546"/>
      <c r="DCY30" s="546"/>
      <c r="DCZ30" s="546"/>
      <c r="DDA30" s="546"/>
      <c r="DDB30" s="546"/>
      <c r="DDC30" s="546"/>
      <c r="DDD30" s="546"/>
      <c r="DDE30" s="546"/>
      <c r="DDF30" s="546"/>
      <c r="DDG30" s="546"/>
      <c r="DDH30" s="546"/>
      <c r="DDI30" s="546"/>
      <c r="DDJ30" s="546"/>
      <c r="DDK30" s="546"/>
      <c r="DDL30" s="546"/>
      <c r="DDM30" s="546"/>
      <c r="DDN30" s="546"/>
      <c r="DDO30" s="546"/>
      <c r="DDP30" s="546"/>
      <c r="DDQ30" s="546"/>
      <c r="DDR30" s="546"/>
      <c r="DDS30" s="546"/>
      <c r="DDT30" s="546"/>
      <c r="DDU30" s="546"/>
      <c r="DDV30" s="546"/>
      <c r="DDW30" s="546"/>
      <c r="DDX30" s="546"/>
      <c r="DDY30" s="546"/>
      <c r="DDZ30" s="546"/>
      <c r="DEA30" s="546"/>
      <c r="DEB30" s="546"/>
      <c r="DEC30" s="546"/>
      <c r="DED30" s="546"/>
      <c r="DEE30" s="546"/>
      <c r="DEF30" s="546"/>
      <c r="DEG30" s="546"/>
      <c r="DEH30" s="546"/>
      <c r="DEI30" s="546"/>
      <c r="DEJ30" s="546"/>
      <c r="DEK30" s="546"/>
      <c r="DEL30" s="546"/>
      <c r="DEM30" s="546"/>
      <c r="DEN30" s="546"/>
      <c r="DEO30" s="546"/>
      <c r="DEP30" s="546"/>
      <c r="DEQ30" s="546"/>
      <c r="DER30" s="546"/>
      <c r="DES30" s="546"/>
      <c r="DET30" s="546"/>
      <c r="DEU30" s="546"/>
      <c r="DEV30" s="546"/>
      <c r="DEW30" s="546"/>
      <c r="DEX30" s="546"/>
      <c r="DEY30" s="546"/>
      <c r="DEZ30" s="546"/>
      <c r="DFA30" s="546"/>
      <c r="DFB30" s="546"/>
      <c r="DFC30" s="546"/>
      <c r="DFD30" s="546"/>
      <c r="DFE30" s="546"/>
      <c r="DFF30" s="546"/>
      <c r="DFG30" s="546"/>
      <c r="DFH30" s="546"/>
      <c r="DFI30" s="546"/>
      <c r="DFJ30" s="546"/>
      <c r="DFK30" s="546"/>
      <c r="DFL30" s="546"/>
      <c r="DFM30" s="546"/>
      <c r="DFN30" s="546"/>
      <c r="DFO30" s="546"/>
      <c r="DFP30" s="546"/>
      <c r="DFQ30" s="546"/>
      <c r="DFR30" s="546"/>
      <c r="DFS30" s="546"/>
      <c r="DFT30" s="546"/>
      <c r="DFU30" s="546"/>
      <c r="DFV30" s="546"/>
      <c r="DFW30" s="546"/>
      <c r="DFX30" s="546"/>
      <c r="DFY30" s="546"/>
      <c r="DFZ30" s="546"/>
      <c r="DGA30" s="546"/>
      <c r="DGB30" s="546"/>
      <c r="DGC30" s="546"/>
      <c r="DGD30" s="546"/>
      <c r="DGE30" s="546"/>
      <c r="DGF30" s="546"/>
      <c r="DGG30" s="546"/>
      <c r="DGH30" s="546"/>
      <c r="DGI30" s="546"/>
      <c r="DGJ30" s="546"/>
      <c r="DGK30" s="546"/>
      <c r="DGL30" s="546"/>
      <c r="DGM30" s="546"/>
      <c r="DGN30" s="546"/>
      <c r="DGO30" s="546"/>
      <c r="DGP30" s="546"/>
      <c r="DGQ30" s="546"/>
      <c r="DGR30" s="546"/>
      <c r="DGS30" s="546"/>
      <c r="DGT30" s="546"/>
      <c r="DGU30" s="546"/>
      <c r="DGV30" s="546"/>
      <c r="DGW30" s="546"/>
      <c r="DGX30" s="546"/>
      <c r="DGY30" s="546"/>
      <c r="DGZ30" s="546"/>
      <c r="DHA30" s="546"/>
      <c r="DHB30" s="546"/>
      <c r="DHC30" s="546"/>
      <c r="DHD30" s="546"/>
      <c r="DHE30" s="546"/>
      <c r="DHF30" s="546"/>
      <c r="DHG30" s="546"/>
      <c r="DHH30" s="546"/>
      <c r="DHI30" s="546"/>
      <c r="DHJ30" s="546"/>
      <c r="DHK30" s="546"/>
      <c r="DHL30" s="546"/>
      <c r="DHM30" s="546"/>
      <c r="DHN30" s="546"/>
      <c r="DHO30" s="546"/>
      <c r="DHP30" s="546"/>
      <c r="DHQ30" s="546"/>
      <c r="DHR30" s="546"/>
      <c r="DHS30" s="546"/>
      <c r="DHT30" s="546"/>
      <c r="DHU30" s="546"/>
      <c r="DHV30" s="546"/>
      <c r="DHW30" s="546"/>
      <c r="DHX30" s="546"/>
      <c r="DHY30" s="546"/>
      <c r="DHZ30" s="546"/>
      <c r="DIA30" s="546"/>
      <c r="DIB30" s="546"/>
      <c r="DIC30" s="546"/>
      <c r="DID30" s="546"/>
      <c r="DIE30" s="546"/>
      <c r="DIF30" s="546"/>
      <c r="DIG30" s="546"/>
      <c r="DIH30" s="546"/>
      <c r="DII30" s="546"/>
      <c r="DIJ30" s="546"/>
      <c r="DIK30" s="546"/>
      <c r="DIL30" s="546"/>
      <c r="DIM30" s="546"/>
      <c r="DIN30" s="546"/>
      <c r="DIO30" s="546"/>
      <c r="DIP30" s="546"/>
      <c r="DIQ30" s="546"/>
      <c r="DIR30" s="546"/>
      <c r="DIS30" s="546"/>
      <c r="DIT30" s="546"/>
      <c r="DIU30" s="546"/>
      <c r="DIV30" s="546"/>
      <c r="DIW30" s="546"/>
      <c r="DIX30" s="546"/>
      <c r="DIY30" s="546"/>
      <c r="DIZ30" s="546"/>
      <c r="DJA30" s="546"/>
      <c r="DJB30" s="546"/>
      <c r="DJC30" s="546"/>
      <c r="DJD30" s="546"/>
      <c r="DJE30" s="546"/>
      <c r="DJF30" s="546"/>
      <c r="DJG30" s="546"/>
      <c r="DJH30" s="546"/>
      <c r="DJI30" s="546"/>
      <c r="DJJ30" s="546"/>
      <c r="DJK30" s="546"/>
      <c r="DJL30" s="546"/>
      <c r="DJM30" s="546"/>
      <c r="DJN30" s="546"/>
      <c r="DJO30" s="546"/>
      <c r="DJP30" s="546"/>
      <c r="DJQ30" s="546"/>
      <c r="DJR30" s="546"/>
      <c r="DJS30" s="546"/>
      <c r="DJT30" s="546"/>
      <c r="DJU30" s="546"/>
      <c r="DJV30" s="546"/>
      <c r="DJW30" s="546"/>
      <c r="DJX30" s="546"/>
      <c r="DJY30" s="546"/>
      <c r="DJZ30" s="546"/>
      <c r="DKA30" s="546"/>
      <c r="DKB30" s="546"/>
      <c r="DKC30" s="546"/>
      <c r="DKD30" s="546"/>
      <c r="DKE30" s="546"/>
      <c r="DKF30" s="546"/>
      <c r="DKG30" s="546"/>
      <c r="DKH30" s="546"/>
      <c r="DKI30" s="546"/>
      <c r="DKJ30" s="546"/>
      <c r="DKK30" s="546"/>
      <c r="DKL30" s="546"/>
      <c r="DKM30" s="546"/>
      <c r="DKN30" s="546"/>
      <c r="DKO30" s="546"/>
      <c r="DKP30" s="546"/>
      <c r="DKQ30" s="546"/>
      <c r="DKR30" s="546"/>
      <c r="DKS30" s="546"/>
      <c r="DKT30" s="546"/>
      <c r="DKU30" s="546"/>
      <c r="DKV30" s="546"/>
      <c r="DKW30" s="546"/>
      <c r="DKX30" s="546"/>
      <c r="DKY30" s="546"/>
      <c r="DKZ30" s="546"/>
      <c r="DLA30" s="546"/>
      <c r="DLB30" s="546"/>
      <c r="DLC30" s="546"/>
      <c r="DLD30" s="546"/>
      <c r="DLE30" s="546"/>
      <c r="DLF30" s="546"/>
      <c r="DLG30" s="546"/>
      <c r="DLH30" s="546"/>
      <c r="DLI30" s="546"/>
      <c r="DLJ30" s="546"/>
      <c r="DLK30" s="546"/>
      <c r="DLL30" s="546"/>
      <c r="DLM30" s="546"/>
      <c r="DLN30" s="546"/>
      <c r="DLO30" s="546"/>
      <c r="DLP30" s="546"/>
      <c r="DLQ30" s="546"/>
      <c r="DLR30" s="546"/>
      <c r="DLS30" s="546"/>
      <c r="DLT30" s="546"/>
      <c r="DLU30" s="546"/>
      <c r="DLV30" s="546"/>
      <c r="DLW30" s="546"/>
      <c r="DLX30" s="546"/>
      <c r="DLY30" s="546"/>
      <c r="DLZ30" s="546"/>
      <c r="DMA30" s="546"/>
      <c r="DMB30" s="546"/>
      <c r="DMC30" s="546"/>
      <c r="DMD30" s="546"/>
      <c r="DME30" s="546"/>
      <c r="DMF30" s="546"/>
      <c r="DMG30" s="546"/>
      <c r="DMH30" s="546"/>
      <c r="DMI30" s="546"/>
      <c r="DMJ30" s="546"/>
      <c r="DMK30" s="546"/>
      <c r="DML30" s="546"/>
      <c r="DMM30" s="546"/>
      <c r="DMN30" s="546"/>
      <c r="DMO30" s="546"/>
      <c r="DMP30" s="546"/>
      <c r="DMQ30" s="546"/>
      <c r="DMR30" s="546"/>
      <c r="DMS30" s="546"/>
      <c r="DMT30" s="546"/>
      <c r="DMU30" s="546"/>
      <c r="DMV30" s="546"/>
      <c r="DMW30" s="546"/>
      <c r="DMX30" s="546"/>
      <c r="DMY30" s="546"/>
      <c r="DMZ30" s="546"/>
      <c r="DNA30" s="546"/>
      <c r="DNB30" s="546"/>
      <c r="DNC30" s="546"/>
      <c r="DND30" s="546"/>
      <c r="DNE30" s="546"/>
      <c r="DNF30" s="546"/>
      <c r="DNG30" s="546"/>
      <c r="DNH30" s="546"/>
      <c r="DNI30" s="546"/>
      <c r="DNJ30" s="546"/>
      <c r="DNK30" s="546"/>
      <c r="DNL30" s="546"/>
      <c r="DNM30" s="546"/>
      <c r="DNN30" s="546"/>
      <c r="DNO30" s="546"/>
      <c r="DNP30" s="546"/>
      <c r="DNQ30" s="546"/>
      <c r="DNR30" s="546"/>
      <c r="DNS30" s="546"/>
      <c r="DNT30" s="546"/>
      <c r="DNU30" s="546"/>
      <c r="DNV30" s="546"/>
      <c r="DNW30" s="546"/>
      <c r="DNX30" s="546"/>
      <c r="DNY30" s="546"/>
      <c r="DNZ30" s="546"/>
      <c r="DOA30" s="546"/>
      <c r="DOB30" s="546"/>
      <c r="DOC30" s="546"/>
      <c r="DOD30" s="546"/>
      <c r="DOE30" s="546"/>
      <c r="DOF30" s="546"/>
      <c r="DOG30" s="546"/>
      <c r="DOH30" s="546"/>
      <c r="DOI30" s="546"/>
      <c r="DOJ30" s="546"/>
      <c r="DOK30" s="546"/>
      <c r="DOL30" s="546"/>
      <c r="DOM30" s="546"/>
      <c r="DON30" s="546"/>
      <c r="DOO30" s="546"/>
      <c r="DOP30" s="546"/>
      <c r="DOQ30" s="546"/>
      <c r="DOR30" s="546"/>
      <c r="DOS30" s="546"/>
      <c r="DOT30" s="546"/>
      <c r="DOU30" s="546"/>
      <c r="DOV30" s="546"/>
      <c r="DOW30" s="546"/>
      <c r="DOX30" s="546"/>
      <c r="DOY30" s="546"/>
      <c r="DOZ30" s="546"/>
      <c r="DPA30" s="546"/>
      <c r="DPB30" s="546"/>
      <c r="DPC30" s="546"/>
      <c r="DPD30" s="546"/>
      <c r="DPE30" s="546"/>
      <c r="DPF30" s="546"/>
      <c r="DPG30" s="546"/>
      <c r="DPH30" s="546"/>
      <c r="DPI30" s="546"/>
      <c r="DPJ30" s="546"/>
      <c r="DPK30" s="546"/>
      <c r="DPL30" s="546"/>
      <c r="DPM30" s="546"/>
      <c r="DPN30" s="546"/>
      <c r="DPO30" s="546"/>
      <c r="DPP30" s="546"/>
      <c r="DPQ30" s="546"/>
      <c r="DPR30" s="546"/>
      <c r="DPS30" s="546"/>
      <c r="DPT30" s="546"/>
      <c r="DPU30" s="546"/>
      <c r="DPV30" s="546"/>
      <c r="DPW30" s="546"/>
      <c r="DPX30" s="546"/>
      <c r="DPY30" s="546"/>
      <c r="DPZ30" s="546"/>
      <c r="DQA30" s="546"/>
      <c r="DQB30" s="546"/>
      <c r="DQC30" s="546"/>
      <c r="DQD30" s="546"/>
      <c r="DQE30" s="546"/>
      <c r="DQF30" s="546"/>
      <c r="DQG30" s="546"/>
      <c r="DQH30" s="546"/>
      <c r="DQI30" s="546"/>
      <c r="DQJ30" s="546"/>
      <c r="DQK30" s="546"/>
      <c r="DQL30" s="546"/>
      <c r="DQM30" s="546"/>
      <c r="DQN30" s="546"/>
      <c r="DQO30" s="546"/>
      <c r="DQP30" s="546"/>
      <c r="DQQ30" s="546"/>
      <c r="DQR30" s="546"/>
      <c r="DQS30" s="546"/>
      <c r="DQT30" s="546"/>
      <c r="DQU30" s="546"/>
      <c r="DQV30" s="546"/>
      <c r="DQW30" s="546"/>
      <c r="DQX30" s="546"/>
      <c r="DQY30" s="546"/>
      <c r="DQZ30" s="546"/>
      <c r="DRA30" s="546"/>
      <c r="DRB30" s="546"/>
      <c r="DRC30" s="546"/>
      <c r="DRD30" s="546"/>
      <c r="DRE30" s="546"/>
      <c r="DRF30" s="546"/>
      <c r="DRG30" s="546"/>
      <c r="DRH30" s="546"/>
      <c r="DRI30" s="546"/>
      <c r="DRJ30" s="546"/>
      <c r="DRK30" s="546"/>
      <c r="DRL30" s="546"/>
      <c r="DRM30" s="546"/>
      <c r="DRN30" s="546"/>
      <c r="DRO30" s="546"/>
      <c r="DRP30" s="546"/>
      <c r="DRQ30" s="546"/>
      <c r="DRR30" s="546"/>
      <c r="DRS30" s="546"/>
      <c r="DRT30" s="546"/>
      <c r="DRU30" s="546"/>
      <c r="DRV30" s="546"/>
      <c r="DRW30" s="546"/>
      <c r="DRX30" s="546"/>
      <c r="DRY30" s="546"/>
      <c r="DRZ30" s="546"/>
      <c r="DSA30" s="546"/>
      <c r="DSB30" s="546"/>
      <c r="DSC30" s="546"/>
      <c r="DSD30" s="546"/>
      <c r="DSE30" s="546"/>
      <c r="DSF30" s="546"/>
      <c r="DSG30" s="546"/>
      <c r="DSH30" s="546"/>
      <c r="DSI30" s="546"/>
      <c r="DSJ30" s="546"/>
      <c r="DSK30" s="546"/>
      <c r="DSL30" s="546"/>
      <c r="DSM30" s="546"/>
      <c r="DSN30" s="546"/>
      <c r="DSO30" s="546"/>
      <c r="DSP30" s="546"/>
      <c r="DSQ30" s="546"/>
      <c r="DSR30" s="546"/>
      <c r="DSS30" s="546"/>
      <c r="DST30" s="546"/>
      <c r="DSU30" s="546"/>
      <c r="DSV30" s="546"/>
      <c r="DSW30" s="546"/>
      <c r="DSX30" s="546"/>
      <c r="DSY30" s="546"/>
      <c r="DSZ30" s="546"/>
      <c r="DTA30" s="546"/>
      <c r="DTB30" s="546"/>
      <c r="DTC30" s="546"/>
      <c r="DTD30" s="546"/>
      <c r="DTE30" s="546"/>
      <c r="DTF30" s="546"/>
      <c r="DTG30" s="546"/>
      <c r="DTH30" s="546"/>
      <c r="DTI30" s="546"/>
      <c r="DTJ30" s="546"/>
      <c r="DTK30" s="546"/>
      <c r="DTL30" s="546"/>
      <c r="DTM30" s="546"/>
      <c r="DTN30" s="546"/>
      <c r="DTO30" s="546"/>
      <c r="DTP30" s="546"/>
      <c r="DTQ30" s="546"/>
      <c r="DTR30" s="546"/>
      <c r="DTS30" s="546"/>
      <c r="DTT30" s="546"/>
      <c r="DTU30" s="546"/>
      <c r="DTV30" s="546"/>
      <c r="DTW30" s="546"/>
      <c r="DTX30" s="546"/>
      <c r="DTY30" s="546"/>
      <c r="DTZ30" s="546"/>
      <c r="DUA30" s="546"/>
      <c r="DUB30" s="546"/>
      <c r="DUC30" s="546"/>
      <c r="DUD30" s="546"/>
      <c r="DUE30" s="546"/>
      <c r="DUF30" s="546"/>
      <c r="DUG30" s="546"/>
      <c r="DUH30" s="546"/>
      <c r="DUI30" s="546"/>
      <c r="DUJ30" s="546"/>
      <c r="DUK30" s="546"/>
      <c r="DUL30" s="546"/>
      <c r="DUM30" s="546"/>
      <c r="DUN30" s="546"/>
      <c r="DUO30" s="546"/>
      <c r="DUP30" s="546"/>
      <c r="DUQ30" s="546"/>
      <c r="DUR30" s="546"/>
      <c r="DUS30" s="546"/>
      <c r="DUT30" s="546"/>
      <c r="DUU30" s="546"/>
      <c r="DUV30" s="546"/>
      <c r="DUW30" s="546"/>
      <c r="DUX30" s="546"/>
      <c r="DUY30" s="546"/>
      <c r="DUZ30" s="546"/>
      <c r="DVA30" s="546"/>
      <c r="DVB30" s="546"/>
      <c r="DVC30" s="546"/>
      <c r="DVD30" s="546"/>
      <c r="DVE30" s="546"/>
      <c r="DVF30" s="546"/>
      <c r="DVG30" s="546"/>
      <c r="DVH30" s="546"/>
      <c r="DVI30" s="546"/>
      <c r="DVJ30" s="546"/>
      <c r="DVK30" s="546"/>
      <c r="DVL30" s="546"/>
      <c r="DVM30" s="546"/>
      <c r="DVN30" s="546"/>
      <c r="DVO30" s="546"/>
      <c r="DVP30" s="546"/>
      <c r="DVQ30" s="546"/>
      <c r="DVR30" s="546"/>
      <c r="DVS30" s="546"/>
      <c r="DVT30" s="546"/>
      <c r="DVU30" s="546"/>
      <c r="DVV30" s="546"/>
      <c r="DVW30" s="546"/>
      <c r="DVX30" s="546"/>
      <c r="DVY30" s="546"/>
      <c r="DVZ30" s="546"/>
      <c r="DWA30" s="546"/>
      <c r="DWB30" s="546"/>
      <c r="DWC30" s="546"/>
      <c r="DWD30" s="546"/>
      <c r="DWE30" s="546"/>
      <c r="DWF30" s="546"/>
      <c r="DWG30" s="546"/>
      <c r="DWH30" s="546"/>
      <c r="DWI30" s="546"/>
      <c r="DWJ30" s="546"/>
      <c r="DWK30" s="546"/>
      <c r="DWL30" s="546"/>
      <c r="DWM30" s="546"/>
      <c r="DWN30" s="546"/>
      <c r="DWO30" s="546"/>
      <c r="DWP30" s="546"/>
      <c r="DWQ30" s="546"/>
      <c r="DWR30" s="546"/>
      <c r="DWS30" s="546"/>
      <c r="DWT30" s="546"/>
      <c r="DWU30" s="546"/>
      <c r="DWV30" s="546"/>
      <c r="DWW30" s="546"/>
      <c r="DWX30" s="546"/>
      <c r="DWY30" s="546"/>
      <c r="DWZ30" s="546"/>
      <c r="DXA30" s="546"/>
      <c r="DXB30" s="546"/>
      <c r="DXC30" s="546"/>
      <c r="DXD30" s="546"/>
      <c r="DXE30" s="546"/>
      <c r="DXF30" s="546"/>
      <c r="DXG30" s="546"/>
      <c r="DXH30" s="546"/>
      <c r="DXI30" s="546"/>
      <c r="DXJ30" s="546"/>
      <c r="DXK30" s="546"/>
      <c r="DXL30" s="546"/>
      <c r="DXM30" s="546"/>
      <c r="DXN30" s="546"/>
      <c r="DXO30" s="546"/>
      <c r="DXP30" s="546"/>
      <c r="DXQ30" s="546"/>
      <c r="DXR30" s="546"/>
      <c r="DXS30" s="546"/>
      <c r="DXT30" s="546"/>
      <c r="DXU30" s="546"/>
      <c r="DXV30" s="546"/>
      <c r="DXW30" s="546"/>
      <c r="DXX30" s="546"/>
      <c r="DXY30" s="546"/>
      <c r="DXZ30" s="546"/>
      <c r="DYA30" s="546"/>
      <c r="DYB30" s="546"/>
      <c r="DYC30" s="546"/>
      <c r="DYD30" s="546"/>
      <c r="DYE30" s="546"/>
      <c r="DYF30" s="546"/>
      <c r="DYG30" s="546"/>
      <c r="DYH30" s="546"/>
      <c r="DYI30" s="546"/>
      <c r="DYJ30" s="546"/>
      <c r="DYK30" s="546"/>
      <c r="DYL30" s="546"/>
      <c r="DYM30" s="546"/>
      <c r="DYN30" s="546"/>
      <c r="DYO30" s="546"/>
      <c r="DYP30" s="546"/>
      <c r="DYQ30" s="546"/>
      <c r="DYR30" s="546"/>
      <c r="DYS30" s="546"/>
      <c r="DYT30" s="546"/>
      <c r="DYU30" s="546"/>
      <c r="DYV30" s="546"/>
      <c r="DYW30" s="546"/>
      <c r="DYX30" s="546"/>
      <c r="DYY30" s="546"/>
      <c r="DYZ30" s="546"/>
      <c r="DZA30" s="546"/>
      <c r="DZB30" s="546"/>
      <c r="DZC30" s="546"/>
      <c r="DZD30" s="546"/>
      <c r="DZE30" s="546"/>
      <c r="DZF30" s="546"/>
      <c r="DZG30" s="546"/>
      <c r="DZH30" s="546"/>
      <c r="DZI30" s="546"/>
      <c r="DZJ30" s="546"/>
      <c r="DZK30" s="546"/>
      <c r="DZL30" s="546"/>
      <c r="DZM30" s="546"/>
      <c r="DZN30" s="546"/>
      <c r="DZO30" s="546"/>
      <c r="DZP30" s="546"/>
      <c r="DZQ30" s="546"/>
      <c r="DZR30" s="546"/>
      <c r="DZS30" s="546"/>
      <c r="DZT30" s="546"/>
      <c r="DZU30" s="546"/>
      <c r="DZV30" s="546"/>
      <c r="DZW30" s="546"/>
      <c r="DZX30" s="546"/>
      <c r="DZY30" s="546"/>
      <c r="DZZ30" s="546"/>
      <c r="EAA30" s="546"/>
      <c r="EAB30" s="546"/>
      <c r="EAC30" s="546"/>
      <c r="EAD30" s="546"/>
      <c r="EAE30" s="546"/>
      <c r="EAF30" s="546"/>
      <c r="EAG30" s="546"/>
      <c r="EAH30" s="546"/>
      <c r="EAI30" s="546"/>
      <c r="EAJ30" s="546"/>
      <c r="EAK30" s="546"/>
      <c r="EAL30" s="546"/>
      <c r="EAM30" s="546"/>
      <c r="EAN30" s="546"/>
      <c r="EAO30" s="546"/>
      <c r="EAP30" s="546"/>
      <c r="EAQ30" s="546"/>
      <c r="EAR30" s="546"/>
      <c r="EAS30" s="546"/>
      <c r="EAT30" s="546"/>
      <c r="EAU30" s="546"/>
      <c r="EAV30" s="546"/>
      <c r="EAW30" s="546"/>
      <c r="EAX30" s="546"/>
      <c r="EAY30" s="546"/>
      <c r="EAZ30" s="546"/>
      <c r="EBA30" s="546"/>
      <c r="EBB30" s="546"/>
      <c r="EBC30" s="546"/>
      <c r="EBD30" s="546"/>
      <c r="EBE30" s="546"/>
      <c r="EBF30" s="546"/>
      <c r="EBG30" s="546"/>
      <c r="EBH30" s="546"/>
      <c r="EBI30" s="546"/>
      <c r="EBJ30" s="546"/>
      <c r="EBK30" s="546"/>
      <c r="EBL30" s="546"/>
      <c r="EBM30" s="546"/>
      <c r="EBN30" s="546"/>
      <c r="EBO30" s="546"/>
      <c r="EBP30" s="546"/>
      <c r="EBQ30" s="546"/>
      <c r="EBR30" s="546"/>
      <c r="EBS30" s="546"/>
      <c r="EBT30" s="546"/>
      <c r="EBU30" s="546"/>
      <c r="EBV30" s="546"/>
      <c r="EBW30" s="546"/>
      <c r="EBX30" s="546"/>
      <c r="EBY30" s="546"/>
      <c r="EBZ30" s="546"/>
      <c r="ECA30" s="546"/>
      <c r="ECB30" s="546"/>
      <c r="ECC30" s="546"/>
      <c r="ECD30" s="546"/>
      <c r="ECE30" s="546"/>
      <c r="ECF30" s="546"/>
      <c r="ECG30" s="546"/>
      <c r="ECH30" s="546"/>
      <c r="ECI30" s="546"/>
      <c r="ECJ30" s="546"/>
      <c r="ECK30" s="546"/>
      <c r="ECL30" s="546"/>
      <c r="ECM30" s="546"/>
      <c r="ECN30" s="546"/>
      <c r="ECO30" s="546"/>
      <c r="ECP30" s="546"/>
      <c r="ECQ30" s="546"/>
      <c r="ECR30" s="546"/>
      <c r="ECS30" s="546"/>
      <c r="ECT30" s="546"/>
      <c r="ECU30" s="546"/>
      <c r="ECV30" s="546"/>
      <c r="ECW30" s="546"/>
      <c r="ECX30" s="546"/>
      <c r="ECY30" s="546"/>
      <c r="ECZ30" s="546"/>
      <c r="EDA30" s="546"/>
      <c r="EDB30" s="546"/>
      <c r="EDC30" s="546"/>
      <c r="EDD30" s="546"/>
      <c r="EDE30" s="546"/>
      <c r="EDF30" s="546"/>
      <c r="EDG30" s="546"/>
      <c r="EDH30" s="546"/>
      <c r="EDI30" s="546"/>
      <c r="EDJ30" s="546"/>
      <c r="EDK30" s="546"/>
      <c r="EDL30" s="546"/>
      <c r="EDM30" s="546"/>
      <c r="EDN30" s="546"/>
      <c r="EDO30" s="546"/>
      <c r="EDP30" s="546"/>
      <c r="EDQ30" s="546"/>
      <c r="EDR30" s="546"/>
      <c r="EDS30" s="546"/>
      <c r="EDT30" s="546"/>
      <c r="EDU30" s="546"/>
      <c r="EDV30" s="546"/>
      <c r="EDW30" s="546"/>
      <c r="EDX30" s="546"/>
      <c r="EDY30" s="546"/>
      <c r="EDZ30" s="546"/>
      <c r="EEA30" s="546"/>
      <c r="EEB30" s="546"/>
      <c r="EEC30" s="546"/>
      <c r="EED30" s="546"/>
      <c r="EEE30" s="546"/>
      <c r="EEF30" s="546"/>
      <c r="EEG30" s="546"/>
      <c r="EEH30" s="546"/>
      <c r="EEI30" s="546"/>
      <c r="EEJ30" s="546"/>
      <c r="EEK30" s="546"/>
      <c r="EEL30" s="546"/>
      <c r="EEM30" s="546"/>
      <c r="EEN30" s="546"/>
      <c r="EEO30" s="546"/>
      <c r="EEP30" s="546"/>
      <c r="EEQ30" s="546"/>
      <c r="EER30" s="546"/>
      <c r="EES30" s="546"/>
      <c r="EET30" s="546"/>
      <c r="EEU30" s="546"/>
      <c r="EEV30" s="546"/>
      <c r="EEW30" s="546"/>
      <c r="EEX30" s="546"/>
      <c r="EEY30" s="546"/>
      <c r="EEZ30" s="546"/>
      <c r="EFA30" s="546"/>
      <c r="EFB30" s="546"/>
      <c r="EFC30" s="546"/>
      <c r="EFD30" s="546"/>
      <c r="EFE30" s="546"/>
      <c r="EFF30" s="546"/>
      <c r="EFG30" s="546"/>
      <c r="EFH30" s="546"/>
      <c r="EFI30" s="546"/>
      <c r="EFJ30" s="546"/>
      <c r="EFK30" s="546"/>
      <c r="EFL30" s="546"/>
      <c r="EFM30" s="546"/>
      <c r="EFN30" s="546"/>
      <c r="EFO30" s="546"/>
      <c r="EFP30" s="546"/>
      <c r="EFQ30" s="546"/>
      <c r="EFR30" s="546"/>
      <c r="EFS30" s="546"/>
      <c r="EFT30" s="546"/>
      <c r="EFU30" s="546"/>
      <c r="EFV30" s="546"/>
      <c r="EFW30" s="546"/>
      <c r="EFX30" s="546"/>
      <c r="EFY30" s="546"/>
      <c r="EFZ30" s="546"/>
      <c r="EGA30" s="546"/>
      <c r="EGB30" s="546"/>
      <c r="EGC30" s="546"/>
      <c r="EGD30" s="546"/>
      <c r="EGE30" s="546"/>
      <c r="EGF30" s="546"/>
      <c r="EGG30" s="546"/>
      <c r="EGH30" s="546"/>
      <c r="EGI30" s="546"/>
      <c r="EGJ30" s="546"/>
      <c r="EGK30" s="546"/>
      <c r="EGL30" s="546"/>
      <c r="EGM30" s="546"/>
      <c r="EGN30" s="546"/>
      <c r="EGO30" s="546"/>
      <c r="EGP30" s="546"/>
      <c r="EGQ30" s="546"/>
      <c r="EGR30" s="546"/>
      <c r="EGS30" s="546"/>
      <c r="EGT30" s="546"/>
      <c r="EGU30" s="546"/>
      <c r="EGV30" s="546"/>
      <c r="EGW30" s="546"/>
      <c r="EGX30" s="546"/>
      <c r="EGY30" s="546"/>
      <c r="EGZ30" s="546"/>
      <c r="EHA30" s="546"/>
      <c r="EHB30" s="546"/>
      <c r="EHC30" s="546"/>
      <c r="EHD30" s="546"/>
      <c r="EHE30" s="546"/>
      <c r="EHF30" s="546"/>
      <c r="EHG30" s="546"/>
      <c r="EHH30" s="546"/>
      <c r="EHI30" s="546"/>
      <c r="EHJ30" s="546"/>
      <c r="EHK30" s="546"/>
      <c r="EHL30" s="546"/>
      <c r="EHM30" s="546"/>
      <c r="EHN30" s="546"/>
      <c r="EHO30" s="546"/>
      <c r="EHP30" s="546"/>
      <c r="EHQ30" s="546"/>
      <c r="EHR30" s="546"/>
      <c r="EHS30" s="546"/>
      <c r="EHT30" s="546"/>
      <c r="EHU30" s="546"/>
      <c r="EHV30" s="546"/>
      <c r="EHW30" s="546"/>
      <c r="EHX30" s="546"/>
      <c r="EHY30" s="546"/>
      <c r="EHZ30" s="546"/>
      <c r="EIA30" s="546"/>
      <c r="EIB30" s="546"/>
      <c r="EIC30" s="546"/>
      <c r="EID30" s="546"/>
      <c r="EIE30" s="546"/>
      <c r="EIF30" s="546"/>
      <c r="EIG30" s="546"/>
      <c r="EIH30" s="546"/>
      <c r="EII30" s="546"/>
      <c r="EIJ30" s="546"/>
      <c r="EIK30" s="546"/>
      <c r="EIL30" s="546"/>
      <c r="EIM30" s="546"/>
      <c r="EIN30" s="546"/>
      <c r="EIO30" s="546"/>
      <c r="EIP30" s="546"/>
      <c r="EIQ30" s="546"/>
      <c r="EIR30" s="546"/>
      <c r="EIS30" s="546"/>
      <c r="EIT30" s="546"/>
      <c r="EIU30" s="546"/>
      <c r="EIV30" s="546"/>
      <c r="EIW30" s="546"/>
      <c r="EIX30" s="546"/>
      <c r="EIY30" s="546"/>
      <c r="EIZ30" s="546"/>
      <c r="EJA30" s="546"/>
      <c r="EJB30" s="546"/>
      <c r="EJC30" s="546"/>
      <c r="EJD30" s="546"/>
      <c r="EJE30" s="546"/>
      <c r="EJF30" s="546"/>
      <c r="EJG30" s="546"/>
      <c r="EJH30" s="546"/>
      <c r="EJI30" s="546"/>
      <c r="EJJ30" s="546"/>
      <c r="EJK30" s="546"/>
      <c r="EJL30" s="546"/>
      <c r="EJM30" s="546"/>
      <c r="EJN30" s="546"/>
      <c r="EJO30" s="546"/>
      <c r="EJP30" s="546"/>
      <c r="EJQ30" s="546"/>
      <c r="EJR30" s="546"/>
      <c r="EJS30" s="546"/>
      <c r="EJT30" s="546"/>
      <c r="EJU30" s="546"/>
      <c r="EJV30" s="546"/>
      <c r="EJW30" s="546"/>
      <c r="EJX30" s="546"/>
      <c r="EJY30" s="546"/>
      <c r="EJZ30" s="546"/>
      <c r="EKA30" s="546"/>
      <c r="EKB30" s="546"/>
      <c r="EKC30" s="546"/>
      <c r="EKD30" s="546"/>
      <c r="EKE30" s="546"/>
      <c r="EKF30" s="546"/>
      <c r="EKG30" s="546"/>
      <c r="EKH30" s="546"/>
      <c r="EKI30" s="546"/>
      <c r="EKJ30" s="546"/>
      <c r="EKK30" s="546"/>
      <c r="EKL30" s="546"/>
      <c r="EKM30" s="546"/>
      <c r="EKN30" s="546"/>
      <c r="EKO30" s="546"/>
      <c r="EKP30" s="546"/>
      <c r="EKQ30" s="546"/>
      <c r="EKR30" s="546"/>
      <c r="EKS30" s="546"/>
      <c r="EKT30" s="546"/>
      <c r="EKU30" s="546"/>
      <c r="EKV30" s="546"/>
      <c r="EKW30" s="546"/>
      <c r="EKX30" s="546"/>
      <c r="EKY30" s="546"/>
      <c r="EKZ30" s="546"/>
      <c r="ELA30" s="546"/>
      <c r="ELB30" s="546"/>
      <c r="ELC30" s="546"/>
      <c r="ELD30" s="546"/>
      <c r="ELE30" s="546"/>
      <c r="ELF30" s="546"/>
      <c r="ELG30" s="546"/>
      <c r="ELH30" s="546"/>
      <c r="ELI30" s="546"/>
      <c r="ELJ30" s="546"/>
      <c r="ELK30" s="546"/>
      <c r="ELL30" s="546"/>
      <c r="ELM30" s="546"/>
      <c r="ELN30" s="546"/>
      <c r="ELO30" s="546"/>
      <c r="ELP30" s="546"/>
      <c r="ELQ30" s="546"/>
      <c r="ELR30" s="546"/>
      <c r="ELS30" s="546"/>
      <c r="ELT30" s="546"/>
      <c r="ELU30" s="546"/>
      <c r="ELV30" s="546"/>
      <c r="ELW30" s="546"/>
      <c r="ELX30" s="546"/>
      <c r="ELY30" s="546"/>
      <c r="ELZ30" s="546"/>
      <c r="EMA30" s="546"/>
      <c r="EMB30" s="546"/>
      <c r="EMC30" s="546"/>
      <c r="EMD30" s="546"/>
      <c r="EME30" s="546"/>
      <c r="EMF30" s="546"/>
      <c r="EMG30" s="546"/>
      <c r="EMH30" s="546"/>
      <c r="EMI30" s="546"/>
      <c r="EMJ30" s="546"/>
      <c r="EMK30" s="546"/>
      <c r="EML30" s="546"/>
      <c r="EMM30" s="546"/>
      <c r="EMN30" s="546"/>
      <c r="EMO30" s="546"/>
      <c r="EMP30" s="546"/>
      <c r="EMQ30" s="546"/>
      <c r="EMR30" s="546"/>
      <c r="EMS30" s="546"/>
      <c r="EMT30" s="546"/>
      <c r="EMU30" s="546"/>
      <c r="EMV30" s="546"/>
      <c r="EMW30" s="546"/>
      <c r="EMX30" s="546"/>
      <c r="EMY30" s="546"/>
      <c r="EMZ30" s="546"/>
      <c r="ENA30" s="546"/>
      <c r="ENB30" s="546"/>
      <c r="ENC30" s="546"/>
      <c r="END30" s="546"/>
      <c r="ENE30" s="546"/>
      <c r="ENF30" s="546"/>
      <c r="ENG30" s="546"/>
      <c r="ENH30" s="546"/>
      <c r="ENI30" s="546"/>
      <c r="ENJ30" s="546"/>
      <c r="ENK30" s="546"/>
      <c r="ENL30" s="546"/>
      <c r="ENM30" s="546"/>
      <c r="ENN30" s="546"/>
      <c r="ENO30" s="546"/>
      <c r="ENP30" s="546"/>
      <c r="ENQ30" s="546"/>
      <c r="ENR30" s="546"/>
      <c r="ENS30" s="546"/>
      <c r="ENT30" s="546"/>
      <c r="ENU30" s="546"/>
      <c r="ENV30" s="546"/>
      <c r="ENW30" s="546"/>
      <c r="ENX30" s="546"/>
      <c r="ENY30" s="546"/>
      <c r="ENZ30" s="546"/>
      <c r="EOA30" s="546"/>
      <c r="EOB30" s="546"/>
      <c r="EOC30" s="546"/>
      <c r="EOD30" s="546"/>
      <c r="EOE30" s="546"/>
      <c r="EOF30" s="546"/>
      <c r="EOG30" s="546"/>
      <c r="EOH30" s="546"/>
      <c r="EOI30" s="546"/>
      <c r="EOJ30" s="546"/>
      <c r="EOK30" s="546"/>
      <c r="EOL30" s="546"/>
      <c r="EOM30" s="546"/>
      <c r="EON30" s="546"/>
      <c r="EOO30" s="546"/>
      <c r="EOP30" s="546"/>
      <c r="EOQ30" s="546"/>
      <c r="EOR30" s="546"/>
      <c r="EOS30" s="546"/>
      <c r="EOT30" s="546"/>
      <c r="EOU30" s="546"/>
      <c r="EOV30" s="546"/>
      <c r="EOW30" s="546"/>
      <c r="EOX30" s="546"/>
      <c r="EOY30" s="546"/>
      <c r="EOZ30" s="546"/>
      <c r="EPA30" s="546"/>
      <c r="EPB30" s="546"/>
      <c r="EPC30" s="546"/>
      <c r="EPD30" s="546"/>
      <c r="EPE30" s="546"/>
      <c r="EPF30" s="546"/>
      <c r="EPG30" s="546"/>
      <c r="EPH30" s="546"/>
      <c r="EPI30" s="546"/>
      <c r="EPJ30" s="546"/>
      <c r="EPK30" s="546"/>
      <c r="EPL30" s="546"/>
      <c r="EPM30" s="546"/>
      <c r="EPN30" s="546"/>
      <c r="EPO30" s="546"/>
      <c r="EPP30" s="546"/>
      <c r="EPQ30" s="546"/>
      <c r="EPR30" s="546"/>
      <c r="EPS30" s="546"/>
      <c r="EPT30" s="546"/>
      <c r="EPU30" s="546"/>
      <c r="EPV30" s="546"/>
      <c r="EPW30" s="546"/>
      <c r="EPX30" s="546"/>
      <c r="EPY30" s="546"/>
      <c r="EPZ30" s="546"/>
      <c r="EQA30" s="546"/>
      <c r="EQB30" s="546"/>
      <c r="EQC30" s="546"/>
      <c r="EQD30" s="546"/>
      <c r="EQE30" s="546"/>
      <c r="EQF30" s="546"/>
      <c r="EQG30" s="546"/>
      <c r="EQH30" s="546"/>
      <c r="EQI30" s="546"/>
      <c r="EQJ30" s="546"/>
      <c r="EQK30" s="546"/>
      <c r="EQL30" s="546"/>
      <c r="EQM30" s="546"/>
      <c r="EQN30" s="546"/>
      <c r="EQO30" s="546"/>
      <c r="EQP30" s="546"/>
      <c r="EQQ30" s="546"/>
      <c r="EQR30" s="546"/>
      <c r="EQS30" s="546"/>
      <c r="EQT30" s="546"/>
      <c r="EQU30" s="546"/>
      <c r="EQV30" s="546"/>
      <c r="EQW30" s="546"/>
      <c r="EQX30" s="546"/>
      <c r="EQY30" s="546"/>
      <c r="EQZ30" s="546"/>
      <c r="ERA30" s="546"/>
      <c r="ERB30" s="546"/>
      <c r="ERC30" s="546"/>
      <c r="ERD30" s="546"/>
      <c r="ERE30" s="546"/>
      <c r="ERF30" s="546"/>
      <c r="ERG30" s="546"/>
      <c r="ERH30" s="546"/>
      <c r="ERI30" s="546"/>
      <c r="ERJ30" s="546"/>
      <c r="ERK30" s="546"/>
      <c r="ERL30" s="546"/>
      <c r="ERM30" s="546"/>
      <c r="ERN30" s="546"/>
      <c r="ERO30" s="546"/>
      <c r="ERP30" s="546"/>
      <c r="ERQ30" s="546"/>
      <c r="ERR30" s="546"/>
      <c r="ERS30" s="546"/>
      <c r="ERT30" s="546"/>
      <c r="ERU30" s="546"/>
      <c r="ERV30" s="546"/>
      <c r="ERW30" s="546"/>
      <c r="ERX30" s="546"/>
      <c r="ERY30" s="546"/>
      <c r="ERZ30" s="546"/>
      <c r="ESA30" s="546"/>
      <c r="ESB30" s="546"/>
      <c r="ESC30" s="546"/>
      <c r="ESD30" s="546"/>
      <c r="ESE30" s="546"/>
      <c r="ESF30" s="546"/>
      <c r="ESG30" s="546"/>
      <c r="ESH30" s="546"/>
      <c r="ESI30" s="546"/>
      <c r="ESJ30" s="546"/>
      <c r="ESK30" s="546"/>
      <c r="ESL30" s="546"/>
      <c r="ESM30" s="546"/>
      <c r="ESN30" s="546"/>
      <c r="ESO30" s="546"/>
      <c r="ESP30" s="546"/>
      <c r="ESQ30" s="546"/>
      <c r="ESR30" s="546"/>
      <c r="ESS30" s="546"/>
      <c r="EST30" s="546"/>
      <c r="ESU30" s="546"/>
      <c r="ESV30" s="546"/>
      <c r="ESW30" s="546"/>
      <c r="ESX30" s="546"/>
      <c r="ESY30" s="546"/>
      <c r="ESZ30" s="546"/>
      <c r="ETA30" s="546"/>
      <c r="ETB30" s="546"/>
      <c r="ETC30" s="546"/>
      <c r="ETD30" s="546"/>
      <c r="ETE30" s="546"/>
      <c r="ETF30" s="546"/>
      <c r="ETG30" s="546"/>
      <c r="ETH30" s="546"/>
      <c r="ETI30" s="546"/>
      <c r="ETJ30" s="546"/>
      <c r="ETK30" s="546"/>
      <c r="ETL30" s="546"/>
      <c r="ETM30" s="546"/>
      <c r="ETN30" s="546"/>
      <c r="ETO30" s="546"/>
      <c r="ETP30" s="546"/>
      <c r="ETQ30" s="546"/>
      <c r="ETR30" s="546"/>
      <c r="ETS30" s="546"/>
      <c r="ETT30" s="546"/>
      <c r="ETU30" s="546"/>
      <c r="ETV30" s="546"/>
      <c r="ETW30" s="546"/>
      <c r="ETX30" s="546"/>
      <c r="ETY30" s="546"/>
      <c r="ETZ30" s="546"/>
      <c r="EUA30" s="546"/>
      <c r="EUB30" s="546"/>
      <c r="EUC30" s="546"/>
      <c r="EUD30" s="546"/>
      <c r="EUE30" s="546"/>
      <c r="EUF30" s="546"/>
      <c r="EUG30" s="546"/>
      <c r="EUH30" s="546"/>
      <c r="EUI30" s="546"/>
      <c r="EUJ30" s="546"/>
      <c r="EUK30" s="546"/>
      <c r="EUL30" s="546"/>
      <c r="EUM30" s="546"/>
      <c r="EUN30" s="546"/>
      <c r="EUO30" s="546"/>
      <c r="EUP30" s="546"/>
      <c r="EUQ30" s="546"/>
      <c r="EUR30" s="546"/>
      <c r="EUS30" s="546"/>
      <c r="EUT30" s="546"/>
      <c r="EUU30" s="546"/>
      <c r="EUV30" s="546"/>
      <c r="EUW30" s="546"/>
      <c r="EUX30" s="546"/>
      <c r="EUY30" s="546"/>
      <c r="EUZ30" s="546"/>
      <c r="EVA30" s="546"/>
      <c r="EVB30" s="546"/>
      <c r="EVC30" s="546"/>
      <c r="EVD30" s="546"/>
      <c r="EVE30" s="546"/>
      <c r="EVF30" s="546"/>
      <c r="EVG30" s="546"/>
      <c r="EVH30" s="546"/>
      <c r="EVI30" s="546"/>
      <c r="EVJ30" s="546"/>
      <c r="EVK30" s="546"/>
      <c r="EVL30" s="546"/>
      <c r="EVM30" s="546"/>
      <c r="EVN30" s="546"/>
      <c r="EVO30" s="546"/>
      <c r="EVP30" s="546"/>
      <c r="EVQ30" s="546"/>
      <c r="EVR30" s="546"/>
      <c r="EVS30" s="546"/>
      <c r="EVT30" s="546"/>
      <c r="EVU30" s="546"/>
      <c r="EVV30" s="546"/>
      <c r="EVW30" s="546"/>
      <c r="EVX30" s="546"/>
      <c r="EVY30" s="546"/>
      <c r="EVZ30" s="546"/>
      <c r="EWA30" s="546"/>
      <c r="EWB30" s="546"/>
      <c r="EWC30" s="546"/>
      <c r="EWD30" s="546"/>
      <c r="EWE30" s="546"/>
      <c r="EWF30" s="546"/>
      <c r="EWG30" s="546"/>
      <c r="EWH30" s="546"/>
      <c r="EWI30" s="546"/>
      <c r="EWJ30" s="546"/>
      <c r="EWK30" s="546"/>
      <c r="EWL30" s="546"/>
      <c r="EWM30" s="546"/>
      <c r="EWN30" s="546"/>
      <c r="EWO30" s="546"/>
      <c r="EWP30" s="546"/>
      <c r="EWQ30" s="546"/>
      <c r="EWR30" s="546"/>
      <c r="EWS30" s="546"/>
      <c r="EWT30" s="546"/>
      <c r="EWU30" s="546"/>
      <c r="EWV30" s="546"/>
      <c r="EWW30" s="546"/>
      <c r="EWX30" s="546"/>
      <c r="EWY30" s="546"/>
      <c r="EWZ30" s="546"/>
      <c r="EXA30" s="546"/>
      <c r="EXB30" s="546"/>
      <c r="EXC30" s="546"/>
      <c r="EXD30" s="546"/>
      <c r="EXE30" s="546"/>
      <c r="EXF30" s="546"/>
      <c r="EXG30" s="546"/>
      <c r="EXH30" s="546"/>
      <c r="EXI30" s="546"/>
      <c r="EXJ30" s="546"/>
      <c r="EXK30" s="546"/>
      <c r="EXL30" s="546"/>
      <c r="EXM30" s="546"/>
      <c r="EXN30" s="546"/>
      <c r="EXO30" s="546"/>
      <c r="EXP30" s="546"/>
      <c r="EXQ30" s="546"/>
      <c r="EXR30" s="546"/>
      <c r="EXS30" s="546"/>
      <c r="EXT30" s="546"/>
      <c r="EXU30" s="546"/>
      <c r="EXV30" s="546"/>
      <c r="EXW30" s="546"/>
      <c r="EXX30" s="546"/>
      <c r="EXY30" s="546"/>
      <c r="EXZ30" s="546"/>
      <c r="EYA30" s="546"/>
      <c r="EYB30" s="546"/>
      <c r="EYC30" s="546"/>
      <c r="EYD30" s="546"/>
      <c r="EYE30" s="546"/>
      <c r="EYF30" s="546"/>
      <c r="EYG30" s="546"/>
      <c r="EYH30" s="546"/>
      <c r="EYI30" s="546"/>
      <c r="EYJ30" s="546"/>
      <c r="EYK30" s="546"/>
      <c r="EYL30" s="546"/>
      <c r="EYM30" s="546"/>
      <c r="EYN30" s="546"/>
      <c r="EYO30" s="546"/>
      <c r="EYP30" s="546"/>
      <c r="EYQ30" s="546"/>
      <c r="EYR30" s="546"/>
      <c r="EYS30" s="546"/>
      <c r="EYT30" s="546"/>
      <c r="EYU30" s="546"/>
      <c r="EYV30" s="546"/>
      <c r="EYW30" s="546"/>
      <c r="EYX30" s="546"/>
      <c r="EYY30" s="546"/>
      <c r="EYZ30" s="546"/>
      <c r="EZA30" s="546"/>
      <c r="EZB30" s="546"/>
      <c r="EZC30" s="546"/>
      <c r="EZD30" s="546"/>
      <c r="EZE30" s="546"/>
      <c r="EZF30" s="546"/>
      <c r="EZG30" s="546"/>
      <c r="EZH30" s="546"/>
      <c r="EZI30" s="546"/>
      <c r="EZJ30" s="546"/>
      <c r="EZK30" s="546"/>
      <c r="EZL30" s="546"/>
      <c r="EZM30" s="546"/>
      <c r="EZN30" s="546"/>
      <c r="EZO30" s="546"/>
      <c r="EZP30" s="546"/>
      <c r="EZQ30" s="546"/>
      <c r="EZR30" s="546"/>
      <c r="EZS30" s="546"/>
      <c r="EZT30" s="546"/>
      <c r="EZU30" s="546"/>
      <c r="EZV30" s="546"/>
      <c r="EZW30" s="546"/>
      <c r="EZX30" s="546"/>
      <c r="EZY30" s="546"/>
      <c r="EZZ30" s="546"/>
      <c r="FAA30" s="546"/>
      <c r="FAB30" s="546"/>
      <c r="FAC30" s="546"/>
      <c r="FAD30" s="546"/>
      <c r="FAE30" s="546"/>
      <c r="FAF30" s="546"/>
      <c r="FAG30" s="546"/>
      <c r="FAH30" s="546"/>
      <c r="FAI30" s="546"/>
      <c r="FAJ30" s="546"/>
      <c r="FAK30" s="546"/>
      <c r="FAL30" s="546"/>
      <c r="FAM30" s="546"/>
      <c r="FAN30" s="546"/>
      <c r="FAO30" s="546"/>
      <c r="FAP30" s="546"/>
      <c r="FAQ30" s="546"/>
      <c r="FAR30" s="546"/>
      <c r="FAS30" s="546"/>
      <c r="FAT30" s="546"/>
      <c r="FAU30" s="546"/>
      <c r="FAV30" s="546"/>
      <c r="FAW30" s="546"/>
      <c r="FAX30" s="546"/>
      <c r="FAY30" s="546"/>
      <c r="FAZ30" s="546"/>
      <c r="FBA30" s="546"/>
      <c r="FBB30" s="546"/>
      <c r="FBC30" s="546"/>
      <c r="FBD30" s="546"/>
      <c r="FBE30" s="546"/>
      <c r="FBF30" s="546"/>
      <c r="FBG30" s="546"/>
      <c r="FBH30" s="546"/>
      <c r="FBI30" s="546"/>
      <c r="FBJ30" s="546"/>
      <c r="FBK30" s="546"/>
      <c r="FBL30" s="546"/>
      <c r="FBM30" s="546"/>
      <c r="FBN30" s="546"/>
      <c r="FBO30" s="546"/>
      <c r="FBP30" s="546"/>
      <c r="FBQ30" s="546"/>
      <c r="FBR30" s="546"/>
      <c r="FBS30" s="546"/>
      <c r="FBT30" s="546"/>
      <c r="FBU30" s="546"/>
      <c r="FBV30" s="546"/>
      <c r="FBW30" s="546"/>
      <c r="FBX30" s="546"/>
      <c r="FBY30" s="546"/>
      <c r="FBZ30" s="546"/>
      <c r="FCA30" s="546"/>
      <c r="FCB30" s="546"/>
      <c r="FCC30" s="546"/>
      <c r="FCD30" s="546"/>
      <c r="FCE30" s="546"/>
      <c r="FCF30" s="546"/>
      <c r="FCG30" s="546"/>
      <c r="FCH30" s="546"/>
      <c r="FCI30" s="546"/>
      <c r="FCJ30" s="546"/>
      <c r="FCK30" s="546"/>
      <c r="FCL30" s="546"/>
      <c r="FCM30" s="546"/>
      <c r="FCN30" s="546"/>
      <c r="FCO30" s="546"/>
      <c r="FCP30" s="546"/>
      <c r="FCQ30" s="546"/>
      <c r="FCR30" s="546"/>
      <c r="FCS30" s="546"/>
      <c r="FCT30" s="546"/>
      <c r="FCU30" s="546"/>
      <c r="FCV30" s="546"/>
      <c r="FCW30" s="546"/>
      <c r="FCX30" s="546"/>
      <c r="FCY30" s="546"/>
      <c r="FCZ30" s="546"/>
      <c r="FDA30" s="546"/>
      <c r="FDB30" s="546"/>
      <c r="FDC30" s="546"/>
      <c r="FDD30" s="546"/>
      <c r="FDE30" s="546"/>
      <c r="FDF30" s="546"/>
      <c r="FDG30" s="546"/>
      <c r="FDH30" s="546"/>
      <c r="FDI30" s="546"/>
      <c r="FDJ30" s="546"/>
      <c r="FDK30" s="546"/>
      <c r="FDL30" s="546"/>
      <c r="FDM30" s="546"/>
      <c r="FDN30" s="546"/>
      <c r="FDO30" s="546"/>
      <c r="FDP30" s="546"/>
      <c r="FDQ30" s="546"/>
      <c r="FDR30" s="546"/>
      <c r="FDS30" s="546"/>
      <c r="FDT30" s="546"/>
      <c r="FDU30" s="546"/>
      <c r="FDV30" s="546"/>
      <c r="FDW30" s="546"/>
      <c r="FDX30" s="546"/>
      <c r="FDY30" s="546"/>
      <c r="FDZ30" s="546"/>
      <c r="FEA30" s="546"/>
      <c r="FEB30" s="546"/>
      <c r="FEC30" s="546"/>
      <c r="FED30" s="546"/>
      <c r="FEE30" s="546"/>
      <c r="FEF30" s="546"/>
      <c r="FEG30" s="546"/>
      <c r="FEH30" s="546"/>
      <c r="FEI30" s="546"/>
      <c r="FEJ30" s="546"/>
      <c r="FEK30" s="546"/>
      <c r="FEL30" s="546"/>
      <c r="FEM30" s="546"/>
      <c r="FEN30" s="546"/>
      <c r="FEO30" s="546"/>
      <c r="FEP30" s="546"/>
      <c r="FEQ30" s="546"/>
      <c r="FER30" s="546"/>
      <c r="FES30" s="546"/>
      <c r="FET30" s="546"/>
      <c r="FEU30" s="546"/>
      <c r="FEV30" s="546"/>
      <c r="FEW30" s="546"/>
      <c r="FEX30" s="546"/>
      <c r="FEY30" s="546"/>
      <c r="FEZ30" s="546"/>
      <c r="FFA30" s="546"/>
      <c r="FFB30" s="546"/>
      <c r="FFC30" s="546"/>
      <c r="FFD30" s="546"/>
      <c r="FFE30" s="546"/>
      <c r="FFF30" s="546"/>
      <c r="FFG30" s="546"/>
      <c r="FFH30" s="546"/>
      <c r="FFI30" s="546"/>
      <c r="FFJ30" s="546"/>
      <c r="FFK30" s="546"/>
      <c r="FFL30" s="546"/>
      <c r="FFM30" s="546"/>
      <c r="FFN30" s="546"/>
      <c r="FFO30" s="546"/>
      <c r="FFP30" s="546"/>
      <c r="FFQ30" s="546"/>
      <c r="FFR30" s="546"/>
      <c r="FFS30" s="546"/>
      <c r="FFT30" s="546"/>
      <c r="FFU30" s="546"/>
      <c r="FFV30" s="546"/>
      <c r="FFW30" s="546"/>
      <c r="FFX30" s="546"/>
      <c r="FFY30" s="546"/>
      <c r="FFZ30" s="546"/>
      <c r="FGA30" s="546"/>
      <c r="FGB30" s="546"/>
      <c r="FGC30" s="546"/>
      <c r="FGD30" s="546"/>
      <c r="FGE30" s="546"/>
      <c r="FGF30" s="546"/>
      <c r="FGG30" s="546"/>
      <c r="FGH30" s="546"/>
      <c r="FGI30" s="546"/>
      <c r="FGJ30" s="546"/>
      <c r="FGK30" s="546"/>
      <c r="FGL30" s="546"/>
      <c r="FGM30" s="546"/>
      <c r="FGN30" s="546"/>
      <c r="FGO30" s="546"/>
      <c r="FGP30" s="546"/>
      <c r="FGQ30" s="546"/>
      <c r="FGR30" s="546"/>
      <c r="FGS30" s="546"/>
      <c r="FGT30" s="546"/>
      <c r="FGU30" s="546"/>
      <c r="FGV30" s="546"/>
      <c r="FGW30" s="546"/>
      <c r="FGX30" s="546"/>
      <c r="FGY30" s="546"/>
      <c r="FGZ30" s="546"/>
      <c r="FHA30" s="546"/>
      <c r="FHB30" s="546"/>
      <c r="FHC30" s="546"/>
      <c r="FHD30" s="546"/>
      <c r="FHE30" s="546"/>
      <c r="FHF30" s="546"/>
      <c r="FHG30" s="546"/>
      <c r="FHH30" s="546"/>
      <c r="FHI30" s="546"/>
      <c r="FHJ30" s="546"/>
      <c r="FHK30" s="546"/>
      <c r="FHL30" s="546"/>
      <c r="FHM30" s="546"/>
      <c r="FHN30" s="546"/>
      <c r="FHO30" s="546"/>
      <c r="FHP30" s="546"/>
      <c r="FHQ30" s="546"/>
      <c r="FHR30" s="546"/>
      <c r="FHS30" s="546"/>
      <c r="FHT30" s="546"/>
      <c r="FHU30" s="546"/>
      <c r="FHV30" s="546"/>
      <c r="FHW30" s="546"/>
      <c r="FHX30" s="546"/>
      <c r="FHY30" s="546"/>
      <c r="FHZ30" s="546"/>
      <c r="FIA30" s="546"/>
      <c r="FIB30" s="546"/>
      <c r="FIC30" s="546"/>
      <c r="FID30" s="546"/>
      <c r="FIE30" s="546"/>
      <c r="FIF30" s="546"/>
      <c r="FIG30" s="546"/>
      <c r="FIH30" s="546"/>
      <c r="FII30" s="546"/>
      <c r="FIJ30" s="546"/>
      <c r="FIK30" s="546"/>
      <c r="FIL30" s="546"/>
      <c r="FIM30" s="546"/>
      <c r="FIN30" s="546"/>
      <c r="FIO30" s="546"/>
      <c r="FIP30" s="546"/>
      <c r="FIQ30" s="546"/>
      <c r="FIR30" s="546"/>
      <c r="FIS30" s="546"/>
      <c r="FIT30" s="546"/>
      <c r="FIU30" s="546"/>
      <c r="FIV30" s="546"/>
      <c r="FIW30" s="546"/>
      <c r="FIX30" s="546"/>
      <c r="FIY30" s="546"/>
      <c r="FIZ30" s="546"/>
      <c r="FJA30" s="546"/>
      <c r="FJB30" s="546"/>
      <c r="FJC30" s="546"/>
      <c r="FJD30" s="546"/>
      <c r="FJE30" s="546"/>
      <c r="FJF30" s="546"/>
      <c r="FJG30" s="546"/>
      <c r="FJH30" s="546"/>
      <c r="FJI30" s="546"/>
      <c r="FJJ30" s="546"/>
      <c r="FJK30" s="546"/>
      <c r="FJL30" s="546"/>
      <c r="FJM30" s="546"/>
      <c r="FJN30" s="546"/>
      <c r="FJO30" s="546"/>
      <c r="FJP30" s="546"/>
      <c r="FJQ30" s="546"/>
      <c r="FJR30" s="546"/>
      <c r="FJS30" s="546"/>
      <c r="FJT30" s="546"/>
      <c r="FJU30" s="546"/>
      <c r="FJV30" s="546"/>
      <c r="FJW30" s="546"/>
      <c r="FJX30" s="546"/>
      <c r="FJY30" s="546"/>
      <c r="FJZ30" s="546"/>
      <c r="FKA30" s="546"/>
      <c r="FKB30" s="546"/>
      <c r="FKC30" s="546"/>
      <c r="FKD30" s="546"/>
      <c r="FKE30" s="546"/>
      <c r="FKF30" s="546"/>
      <c r="FKG30" s="546"/>
      <c r="FKH30" s="546"/>
      <c r="FKI30" s="546"/>
      <c r="FKJ30" s="546"/>
      <c r="FKK30" s="546"/>
      <c r="FKL30" s="546"/>
      <c r="FKM30" s="546"/>
      <c r="FKN30" s="546"/>
      <c r="FKO30" s="546"/>
      <c r="FKP30" s="546"/>
      <c r="FKQ30" s="546"/>
      <c r="FKR30" s="546"/>
      <c r="FKS30" s="546"/>
      <c r="FKT30" s="546"/>
      <c r="FKU30" s="546"/>
      <c r="FKV30" s="546"/>
      <c r="FKW30" s="546"/>
      <c r="FKX30" s="546"/>
      <c r="FKY30" s="546"/>
      <c r="FKZ30" s="546"/>
      <c r="FLA30" s="546"/>
      <c r="FLB30" s="546"/>
      <c r="FLC30" s="546"/>
      <c r="FLD30" s="546"/>
      <c r="FLE30" s="546"/>
      <c r="FLF30" s="546"/>
      <c r="FLG30" s="546"/>
      <c r="FLH30" s="546"/>
      <c r="FLI30" s="546"/>
      <c r="FLJ30" s="546"/>
      <c r="FLK30" s="546"/>
      <c r="FLL30" s="546"/>
      <c r="FLM30" s="546"/>
      <c r="FLN30" s="546"/>
      <c r="FLO30" s="546"/>
      <c r="FLP30" s="546"/>
      <c r="FLQ30" s="546"/>
      <c r="FLR30" s="546"/>
      <c r="FLS30" s="546"/>
      <c r="FLT30" s="546"/>
      <c r="FLU30" s="546"/>
      <c r="FLV30" s="546"/>
      <c r="FLW30" s="546"/>
      <c r="FLX30" s="546"/>
      <c r="FLY30" s="546"/>
      <c r="FLZ30" s="546"/>
      <c r="FMA30" s="546"/>
      <c r="FMB30" s="546"/>
      <c r="FMC30" s="546"/>
      <c r="FMD30" s="546"/>
      <c r="FME30" s="546"/>
      <c r="FMF30" s="546"/>
      <c r="FMG30" s="546"/>
      <c r="FMH30" s="546"/>
      <c r="FMI30" s="546"/>
      <c r="FMJ30" s="546"/>
      <c r="FMK30" s="546"/>
      <c r="FML30" s="546"/>
      <c r="FMM30" s="546"/>
      <c r="FMN30" s="546"/>
      <c r="FMO30" s="546"/>
      <c r="FMP30" s="546"/>
      <c r="FMQ30" s="546"/>
      <c r="FMR30" s="546"/>
      <c r="FMS30" s="546"/>
      <c r="FMT30" s="546"/>
      <c r="FMU30" s="546"/>
      <c r="FMV30" s="546"/>
      <c r="FMW30" s="546"/>
      <c r="FMX30" s="546"/>
      <c r="FMY30" s="546"/>
      <c r="FMZ30" s="546"/>
      <c r="FNA30" s="546"/>
      <c r="FNB30" s="546"/>
      <c r="FNC30" s="546"/>
      <c r="FND30" s="546"/>
      <c r="FNE30" s="546"/>
      <c r="FNF30" s="546"/>
      <c r="FNG30" s="546"/>
      <c r="FNH30" s="546"/>
      <c r="FNI30" s="546"/>
      <c r="FNJ30" s="546"/>
      <c r="FNK30" s="546"/>
      <c r="FNL30" s="546"/>
      <c r="FNM30" s="546"/>
      <c r="FNN30" s="546"/>
      <c r="FNO30" s="546"/>
      <c r="FNP30" s="546"/>
      <c r="FNQ30" s="546"/>
      <c r="FNR30" s="546"/>
      <c r="FNS30" s="546"/>
      <c r="FNT30" s="546"/>
      <c r="FNU30" s="546"/>
      <c r="FNV30" s="546"/>
      <c r="FNW30" s="546"/>
      <c r="FNX30" s="546"/>
      <c r="FNY30" s="546"/>
      <c r="FNZ30" s="546"/>
      <c r="FOA30" s="546"/>
      <c r="FOB30" s="546"/>
      <c r="FOC30" s="546"/>
      <c r="FOD30" s="546"/>
      <c r="FOE30" s="546"/>
      <c r="FOF30" s="546"/>
      <c r="FOG30" s="546"/>
      <c r="FOH30" s="546"/>
      <c r="FOI30" s="546"/>
      <c r="FOJ30" s="546"/>
      <c r="FOK30" s="546"/>
      <c r="FOL30" s="546"/>
      <c r="FOM30" s="546"/>
      <c r="FON30" s="546"/>
      <c r="FOO30" s="546"/>
      <c r="FOP30" s="546"/>
      <c r="FOQ30" s="546"/>
      <c r="FOR30" s="546"/>
      <c r="FOS30" s="546"/>
      <c r="FOT30" s="546"/>
      <c r="FOU30" s="546"/>
      <c r="FOV30" s="546"/>
      <c r="FOW30" s="546"/>
      <c r="FOX30" s="546"/>
      <c r="FOY30" s="546"/>
      <c r="FOZ30" s="546"/>
      <c r="FPA30" s="546"/>
      <c r="FPB30" s="546"/>
      <c r="FPC30" s="546"/>
      <c r="FPD30" s="546"/>
      <c r="FPE30" s="546"/>
      <c r="FPF30" s="546"/>
      <c r="FPG30" s="546"/>
      <c r="FPH30" s="546"/>
      <c r="FPI30" s="546"/>
      <c r="FPJ30" s="546"/>
      <c r="FPK30" s="546"/>
      <c r="FPL30" s="546"/>
      <c r="FPM30" s="546"/>
      <c r="FPN30" s="546"/>
      <c r="FPO30" s="546"/>
      <c r="FPP30" s="546"/>
      <c r="FPQ30" s="546"/>
      <c r="FPR30" s="546"/>
      <c r="FPS30" s="546"/>
      <c r="FPT30" s="546"/>
      <c r="FPU30" s="546"/>
      <c r="FPV30" s="546"/>
      <c r="FPW30" s="546"/>
      <c r="FPX30" s="546"/>
      <c r="FPY30" s="546"/>
      <c r="FPZ30" s="546"/>
      <c r="FQA30" s="546"/>
      <c r="FQB30" s="546"/>
      <c r="FQC30" s="546"/>
      <c r="FQD30" s="546"/>
      <c r="FQE30" s="546"/>
      <c r="FQF30" s="546"/>
      <c r="FQG30" s="546"/>
      <c r="FQH30" s="546"/>
      <c r="FQI30" s="546"/>
      <c r="FQJ30" s="546"/>
      <c r="FQK30" s="546"/>
      <c r="FQL30" s="546"/>
      <c r="FQM30" s="546"/>
      <c r="FQN30" s="546"/>
      <c r="FQO30" s="546"/>
      <c r="FQP30" s="546"/>
      <c r="FQQ30" s="546"/>
      <c r="FQR30" s="546"/>
      <c r="FQS30" s="546"/>
      <c r="FQT30" s="546"/>
      <c r="FQU30" s="546"/>
      <c r="FQV30" s="546"/>
      <c r="FQW30" s="546"/>
      <c r="FQX30" s="546"/>
      <c r="FQY30" s="546"/>
      <c r="FQZ30" s="546"/>
      <c r="FRA30" s="546"/>
      <c r="FRB30" s="546"/>
      <c r="FRC30" s="546"/>
      <c r="FRD30" s="546"/>
      <c r="FRE30" s="546"/>
      <c r="FRF30" s="546"/>
      <c r="FRG30" s="546"/>
      <c r="FRH30" s="546"/>
      <c r="FRI30" s="546"/>
      <c r="FRJ30" s="546"/>
      <c r="FRK30" s="546"/>
      <c r="FRL30" s="546"/>
      <c r="FRM30" s="546"/>
      <c r="FRN30" s="546"/>
      <c r="FRO30" s="546"/>
      <c r="FRP30" s="546"/>
      <c r="FRQ30" s="546"/>
      <c r="FRR30" s="546"/>
      <c r="FRS30" s="546"/>
      <c r="FRT30" s="546"/>
      <c r="FRU30" s="546"/>
      <c r="FRV30" s="546"/>
      <c r="FRW30" s="546"/>
      <c r="FRX30" s="546"/>
      <c r="FRY30" s="546"/>
      <c r="FRZ30" s="546"/>
      <c r="FSA30" s="546"/>
      <c r="FSB30" s="546"/>
      <c r="FSC30" s="546"/>
      <c r="FSD30" s="546"/>
      <c r="FSE30" s="546"/>
      <c r="FSF30" s="546"/>
      <c r="FSG30" s="546"/>
      <c r="FSH30" s="546"/>
      <c r="FSI30" s="546"/>
      <c r="FSJ30" s="546"/>
      <c r="FSK30" s="546"/>
      <c r="FSL30" s="546"/>
      <c r="FSM30" s="546"/>
      <c r="FSN30" s="546"/>
      <c r="FSO30" s="546"/>
      <c r="FSP30" s="546"/>
      <c r="FSQ30" s="546"/>
      <c r="FSR30" s="546"/>
      <c r="FSS30" s="546"/>
      <c r="FST30" s="546"/>
      <c r="FSU30" s="546"/>
      <c r="FSV30" s="546"/>
      <c r="FSW30" s="546"/>
      <c r="FSX30" s="546"/>
      <c r="FSY30" s="546"/>
      <c r="FSZ30" s="546"/>
      <c r="FTA30" s="546"/>
      <c r="FTB30" s="546"/>
      <c r="FTC30" s="546"/>
      <c r="FTD30" s="546"/>
      <c r="FTE30" s="546"/>
      <c r="FTF30" s="546"/>
      <c r="FTG30" s="546"/>
      <c r="FTH30" s="546"/>
      <c r="FTI30" s="546"/>
      <c r="FTJ30" s="546"/>
      <c r="FTK30" s="546"/>
      <c r="FTL30" s="546"/>
      <c r="FTM30" s="546"/>
      <c r="FTN30" s="546"/>
      <c r="FTO30" s="546"/>
      <c r="FTP30" s="546"/>
      <c r="FTQ30" s="546"/>
      <c r="FTR30" s="546"/>
      <c r="FTS30" s="546"/>
      <c r="FTT30" s="546"/>
      <c r="FTU30" s="546"/>
      <c r="FTV30" s="546"/>
      <c r="FTW30" s="546"/>
      <c r="FTX30" s="546"/>
      <c r="FTY30" s="546"/>
      <c r="FTZ30" s="546"/>
      <c r="FUA30" s="546"/>
      <c r="FUB30" s="546"/>
      <c r="FUC30" s="546"/>
      <c r="FUD30" s="546"/>
      <c r="FUE30" s="546"/>
      <c r="FUF30" s="546"/>
      <c r="FUG30" s="546"/>
      <c r="FUH30" s="546"/>
      <c r="FUI30" s="546"/>
      <c r="FUJ30" s="546"/>
      <c r="FUK30" s="546"/>
      <c r="FUL30" s="546"/>
      <c r="FUM30" s="546"/>
      <c r="FUN30" s="546"/>
      <c r="FUO30" s="546"/>
      <c r="FUP30" s="546"/>
      <c r="FUQ30" s="546"/>
      <c r="FUR30" s="546"/>
      <c r="FUS30" s="546"/>
      <c r="FUT30" s="546"/>
      <c r="FUU30" s="546"/>
      <c r="FUV30" s="546"/>
      <c r="FUW30" s="546"/>
      <c r="FUX30" s="546"/>
      <c r="FUY30" s="546"/>
      <c r="FUZ30" s="546"/>
      <c r="FVA30" s="546"/>
      <c r="FVB30" s="546"/>
      <c r="FVC30" s="546"/>
      <c r="FVD30" s="546"/>
      <c r="FVE30" s="546"/>
      <c r="FVF30" s="546"/>
      <c r="FVG30" s="546"/>
      <c r="FVH30" s="546"/>
      <c r="FVI30" s="546"/>
      <c r="FVJ30" s="546"/>
      <c r="FVK30" s="546"/>
      <c r="FVL30" s="546"/>
      <c r="FVM30" s="546"/>
      <c r="FVN30" s="546"/>
      <c r="FVO30" s="546"/>
      <c r="FVP30" s="546"/>
      <c r="FVQ30" s="546"/>
      <c r="FVR30" s="546"/>
      <c r="FVS30" s="546"/>
      <c r="FVT30" s="546"/>
      <c r="FVU30" s="546"/>
      <c r="FVV30" s="546"/>
      <c r="FVW30" s="546"/>
      <c r="FVX30" s="546"/>
      <c r="FVY30" s="546"/>
      <c r="FVZ30" s="546"/>
      <c r="FWA30" s="546"/>
      <c r="FWB30" s="546"/>
      <c r="FWC30" s="546"/>
      <c r="FWD30" s="546"/>
      <c r="FWE30" s="546"/>
      <c r="FWF30" s="546"/>
      <c r="FWG30" s="546"/>
      <c r="FWH30" s="546"/>
      <c r="FWI30" s="546"/>
      <c r="FWJ30" s="546"/>
      <c r="FWK30" s="546"/>
      <c r="FWL30" s="546"/>
      <c r="FWM30" s="546"/>
      <c r="FWN30" s="546"/>
      <c r="FWO30" s="546"/>
      <c r="FWP30" s="546"/>
      <c r="FWQ30" s="546"/>
      <c r="FWR30" s="546"/>
      <c r="FWS30" s="546"/>
      <c r="FWT30" s="546"/>
      <c r="FWU30" s="546"/>
      <c r="FWV30" s="546"/>
      <c r="FWW30" s="546"/>
      <c r="FWX30" s="546"/>
      <c r="FWY30" s="546"/>
      <c r="FWZ30" s="546"/>
      <c r="FXA30" s="546"/>
      <c r="FXB30" s="546"/>
      <c r="FXC30" s="546"/>
      <c r="FXD30" s="546"/>
      <c r="FXE30" s="546"/>
      <c r="FXF30" s="546"/>
      <c r="FXG30" s="546"/>
      <c r="FXH30" s="546"/>
      <c r="FXI30" s="546"/>
      <c r="FXJ30" s="546"/>
      <c r="FXK30" s="546"/>
      <c r="FXL30" s="546"/>
      <c r="FXM30" s="546"/>
      <c r="FXN30" s="546"/>
      <c r="FXO30" s="546"/>
      <c r="FXP30" s="546"/>
      <c r="FXQ30" s="546"/>
      <c r="FXR30" s="546"/>
      <c r="FXS30" s="546"/>
      <c r="FXT30" s="546"/>
      <c r="FXU30" s="546"/>
      <c r="FXV30" s="546"/>
      <c r="FXW30" s="546"/>
      <c r="FXX30" s="546"/>
      <c r="FXY30" s="546"/>
      <c r="FXZ30" s="546"/>
      <c r="FYA30" s="546"/>
      <c r="FYB30" s="546"/>
      <c r="FYC30" s="546"/>
      <c r="FYD30" s="546"/>
      <c r="FYE30" s="546"/>
      <c r="FYF30" s="546"/>
      <c r="FYG30" s="546"/>
      <c r="FYH30" s="546"/>
      <c r="FYI30" s="546"/>
      <c r="FYJ30" s="546"/>
      <c r="FYK30" s="546"/>
      <c r="FYL30" s="546"/>
      <c r="FYM30" s="546"/>
      <c r="FYN30" s="546"/>
      <c r="FYO30" s="546"/>
      <c r="FYP30" s="546"/>
      <c r="FYQ30" s="546"/>
      <c r="FYR30" s="546"/>
      <c r="FYS30" s="546"/>
      <c r="FYT30" s="546"/>
      <c r="FYU30" s="546"/>
      <c r="FYV30" s="546"/>
      <c r="FYW30" s="546"/>
      <c r="FYX30" s="546"/>
      <c r="FYY30" s="546"/>
      <c r="FYZ30" s="546"/>
      <c r="FZA30" s="546"/>
      <c r="FZB30" s="546"/>
      <c r="FZC30" s="546"/>
      <c r="FZD30" s="546"/>
      <c r="FZE30" s="546"/>
      <c r="FZF30" s="546"/>
      <c r="FZG30" s="546"/>
      <c r="FZH30" s="546"/>
      <c r="FZI30" s="546"/>
      <c r="FZJ30" s="546"/>
      <c r="FZK30" s="546"/>
      <c r="FZL30" s="546"/>
      <c r="FZM30" s="546"/>
      <c r="FZN30" s="546"/>
      <c r="FZO30" s="546"/>
      <c r="FZP30" s="546"/>
      <c r="FZQ30" s="546"/>
      <c r="FZR30" s="546"/>
      <c r="FZS30" s="546"/>
      <c r="FZT30" s="546"/>
      <c r="FZU30" s="546"/>
      <c r="FZV30" s="546"/>
      <c r="FZW30" s="546"/>
      <c r="FZX30" s="546"/>
      <c r="FZY30" s="546"/>
      <c r="FZZ30" s="546"/>
      <c r="GAA30" s="546"/>
      <c r="GAB30" s="546"/>
      <c r="GAC30" s="546"/>
      <c r="GAD30" s="546"/>
      <c r="GAE30" s="546"/>
      <c r="GAF30" s="546"/>
      <c r="GAG30" s="546"/>
      <c r="GAH30" s="546"/>
      <c r="GAI30" s="546"/>
      <c r="GAJ30" s="546"/>
      <c r="GAK30" s="546"/>
      <c r="GAL30" s="546"/>
      <c r="GAM30" s="546"/>
      <c r="GAN30" s="546"/>
      <c r="GAO30" s="546"/>
      <c r="GAP30" s="546"/>
      <c r="GAQ30" s="546"/>
      <c r="GAR30" s="546"/>
      <c r="GAS30" s="546"/>
      <c r="GAT30" s="546"/>
      <c r="GAU30" s="546"/>
      <c r="GAV30" s="546"/>
      <c r="GAW30" s="546"/>
      <c r="GAX30" s="546"/>
      <c r="GAY30" s="546"/>
      <c r="GAZ30" s="546"/>
      <c r="GBA30" s="546"/>
      <c r="GBB30" s="546"/>
      <c r="GBC30" s="546"/>
      <c r="GBD30" s="546"/>
      <c r="GBE30" s="546"/>
      <c r="GBF30" s="546"/>
      <c r="GBG30" s="546"/>
      <c r="GBH30" s="546"/>
      <c r="GBI30" s="546"/>
      <c r="GBJ30" s="546"/>
      <c r="GBK30" s="546"/>
      <c r="GBL30" s="546"/>
      <c r="GBM30" s="546"/>
      <c r="GBN30" s="546"/>
      <c r="GBO30" s="546"/>
      <c r="GBP30" s="546"/>
      <c r="GBQ30" s="546"/>
      <c r="GBR30" s="546"/>
      <c r="GBS30" s="546"/>
      <c r="GBT30" s="546"/>
      <c r="GBU30" s="546"/>
      <c r="GBV30" s="546"/>
      <c r="GBW30" s="546"/>
      <c r="GBX30" s="546"/>
      <c r="GBY30" s="546"/>
      <c r="GBZ30" s="546"/>
      <c r="GCA30" s="546"/>
      <c r="GCB30" s="546"/>
      <c r="GCC30" s="546"/>
      <c r="GCD30" s="546"/>
      <c r="GCE30" s="546"/>
      <c r="GCF30" s="546"/>
      <c r="GCG30" s="546"/>
      <c r="GCH30" s="546"/>
      <c r="GCI30" s="546"/>
      <c r="GCJ30" s="546"/>
      <c r="GCK30" s="546"/>
      <c r="GCL30" s="546"/>
      <c r="GCM30" s="546"/>
      <c r="GCN30" s="546"/>
      <c r="GCO30" s="546"/>
      <c r="GCP30" s="546"/>
      <c r="GCQ30" s="546"/>
      <c r="GCR30" s="546"/>
      <c r="GCS30" s="546"/>
      <c r="GCT30" s="546"/>
      <c r="GCU30" s="546"/>
      <c r="GCV30" s="546"/>
      <c r="GCW30" s="546"/>
      <c r="GCX30" s="546"/>
      <c r="GCY30" s="546"/>
      <c r="GCZ30" s="546"/>
      <c r="GDA30" s="546"/>
      <c r="GDB30" s="546"/>
      <c r="GDC30" s="546"/>
      <c r="GDD30" s="546"/>
      <c r="GDE30" s="546"/>
      <c r="GDF30" s="546"/>
      <c r="GDG30" s="546"/>
      <c r="GDH30" s="546"/>
      <c r="GDI30" s="546"/>
      <c r="GDJ30" s="546"/>
      <c r="GDK30" s="546"/>
      <c r="GDL30" s="546"/>
      <c r="GDM30" s="546"/>
      <c r="GDN30" s="546"/>
      <c r="GDO30" s="546"/>
      <c r="GDP30" s="546"/>
      <c r="GDQ30" s="546"/>
      <c r="GDR30" s="546"/>
      <c r="GDS30" s="546"/>
      <c r="GDT30" s="546"/>
      <c r="GDU30" s="546"/>
      <c r="GDV30" s="546"/>
      <c r="GDW30" s="546"/>
      <c r="GDX30" s="546"/>
      <c r="GDY30" s="546"/>
      <c r="GDZ30" s="546"/>
      <c r="GEA30" s="546"/>
      <c r="GEB30" s="546"/>
      <c r="GEC30" s="546"/>
      <c r="GED30" s="546"/>
      <c r="GEE30" s="546"/>
      <c r="GEF30" s="546"/>
      <c r="GEG30" s="546"/>
      <c r="GEH30" s="546"/>
      <c r="GEI30" s="546"/>
      <c r="GEJ30" s="546"/>
      <c r="GEK30" s="546"/>
      <c r="GEL30" s="546"/>
      <c r="GEM30" s="546"/>
      <c r="GEN30" s="546"/>
      <c r="GEO30" s="546"/>
      <c r="GEP30" s="546"/>
      <c r="GEQ30" s="546"/>
      <c r="GER30" s="546"/>
      <c r="GES30" s="546"/>
      <c r="GET30" s="546"/>
      <c r="GEU30" s="546"/>
      <c r="GEV30" s="546"/>
      <c r="GEW30" s="546"/>
      <c r="GEX30" s="546"/>
      <c r="GEY30" s="546"/>
      <c r="GEZ30" s="546"/>
      <c r="GFA30" s="546"/>
      <c r="GFB30" s="546"/>
      <c r="GFC30" s="546"/>
      <c r="GFD30" s="546"/>
      <c r="GFE30" s="546"/>
      <c r="GFF30" s="546"/>
      <c r="GFG30" s="546"/>
      <c r="GFH30" s="546"/>
      <c r="GFI30" s="546"/>
      <c r="GFJ30" s="546"/>
      <c r="GFK30" s="546"/>
      <c r="GFL30" s="546"/>
      <c r="GFM30" s="546"/>
      <c r="GFN30" s="546"/>
      <c r="GFO30" s="546"/>
      <c r="GFP30" s="546"/>
      <c r="GFQ30" s="546"/>
      <c r="GFR30" s="546"/>
      <c r="GFS30" s="546"/>
      <c r="GFT30" s="546"/>
      <c r="GFU30" s="546"/>
      <c r="GFV30" s="546"/>
      <c r="GFW30" s="546"/>
      <c r="GFX30" s="546"/>
      <c r="GFY30" s="546"/>
      <c r="GFZ30" s="546"/>
      <c r="GGA30" s="546"/>
      <c r="GGB30" s="546"/>
      <c r="GGC30" s="546"/>
      <c r="GGD30" s="546"/>
      <c r="GGE30" s="546"/>
      <c r="GGF30" s="546"/>
      <c r="GGG30" s="546"/>
      <c r="GGH30" s="546"/>
      <c r="GGI30" s="546"/>
      <c r="GGJ30" s="546"/>
      <c r="GGK30" s="546"/>
      <c r="GGL30" s="546"/>
      <c r="GGM30" s="546"/>
      <c r="GGN30" s="546"/>
      <c r="GGO30" s="546"/>
      <c r="GGP30" s="546"/>
      <c r="GGQ30" s="546"/>
      <c r="GGR30" s="546"/>
      <c r="GGS30" s="546"/>
      <c r="GGT30" s="546"/>
      <c r="GGU30" s="546"/>
      <c r="GGV30" s="546"/>
      <c r="GGW30" s="546"/>
      <c r="GGX30" s="546"/>
      <c r="GGY30" s="546"/>
      <c r="GGZ30" s="546"/>
      <c r="GHA30" s="546"/>
      <c r="GHB30" s="546"/>
      <c r="GHC30" s="546"/>
      <c r="GHD30" s="546"/>
      <c r="GHE30" s="546"/>
      <c r="GHF30" s="546"/>
      <c r="GHG30" s="546"/>
      <c r="GHH30" s="546"/>
      <c r="GHI30" s="546"/>
      <c r="GHJ30" s="546"/>
      <c r="GHK30" s="546"/>
      <c r="GHL30" s="546"/>
      <c r="GHM30" s="546"/>
      <c r="GHN30" s="546"/>
      <c r="GHO30" s="546"/>
      <c r="GHP30" s="546"/>
      <c r="GHQ30" s="546"/>
      <c r="GHR30" s="546"/>
      <c r="GHS30" s="546"/>
      <c r="GHT30" s="546"/>
      <c r="GHU30" s="546"/>
      <c r="GHV30" s="546"/>
      <c r="GHW30" s="546"/>
      <c r="GHX30" s="546"/>
      <c r="GHY30" s="546"/>
      <c r="GHZ30" s="546"/>
      <c r="GIA30" s="546"/>
      <c r="GIB30" s="546"/>
      <c r="GIC30" s="546"/>
      <c r="GID30" s="546"/>
      <c r="GIE30" s="546"/>
      <c r="GIF30" s="546"/>
      <c r="GIG30" s="546"/>
      <c r="GIH30" s="546"/>
      <c r="GII30" s="546"/>
      <c r="GIJ30" s="546"/>
      <c r="GIK30" s="546"/>
      <c r="GIL30" s="546"/>
      <c r="GIM30" s="546"/>
      <c r="GIN30" s="546"/>
      <c r="GIO30" s="546"/>
      <c r="GIP30" s="546"/>
      <c r="GIQ30" s="546"/>
      <c r="GIR30" s="546"/>
      <c r="GIS30" s="546"/>
      <c r="GIT30" s="546"/>
      <c r="GIU30" s="546"/>
      <c r="GIV30" s="546"/>
      <c r="GIW30" s="546"/>
      <c r="GIX30" s="546"/>
      <c r="GIY30" s="546"/>
      <c r="GIZ30" s="546"/>
      <c r="GJA30" s="546"/>
      <c r="GJB30" s="546"/>
      <c r="GJC30" s="546"/>
      <c r="GJD30" s="546"/>
      <c r="GJE30" s="546"/>
      <c r="GJF30" s="546"/>
      <c r="GJG30" s="546"/>
      <c r="GJH30" s="546"/>
      <c r="GJI30" s="546"/>
      <c r="GJJ30" s="546"/>
      <c r="GJK30" s="546"/>
      <c r="GJL30" s="546"/>
      <c r="GJM30" s="546"/>
      <c r="GJN30" s="546"/>
      <c r="GJO30" s="546"/>
      <c r="GJP30" s="546"/>
      <c r="GJQ30" s="546"/>
      <c r="GJR30" s="546"/>
      <c r="GJS30" s="546"/>
      <c r="GJT30" s="546"/>
      <c r="GJU30" s="546"/>
      <c r="GJV30" s="546"/>
      <c r="GJW30" s="546"/>
      <c r="GJX30" s="546"/>
      <c r="GJY30" s="546"/>
      <c r="GJZ30" s="546"/>
      <c r="GKA30" s="546"/>
      <c r="GKB30" s="546"/>
      <c r="GKC30" s="546"/>
      <c r="GKD30" s="546"/>
      <c r="GKE30" s="546"/>
      <c r="GKF30" s="546"/>
      <c r="GKG30" s="546"/>
      <c r="GKH30" s="546"/>
      <c r="GKI30" s="546"/>
      <c r="GKJ30" s="546"/>
      <c r="GKK30" s="546"/>
      <c r="GKL30" s="546"/>
      <c r="GKM30" s="546"/>
      <c r="GKN30" s="546"/>
      <c r="GKO30" s="546"/>
      <c r="GKP30" s="546"/>
      <c r="GKQ30" s="546"/>
      <c r="GKR30" s="546"/>
      <c r="GKS30" s="546"/>
      <c r="GKT30" s="546"/>
      <c r="GKU30" s="546"/>
      <c r="GKV30" s="546"/>
      <c r="GKW30" s="546"/>
      <c r="GKX30" s="546"/>
      <c r="GKY30" s="546"/>
      <c r="GKZ30" s="546"/>
      <c r="GLA30" s="546"/>
      <c r="GLB30" s="546"/>
      <c r="GLC30" s="546"/>
      <c r="GLD30" s="546"/>
      <c r="GLE30" s="546"/>
      <c r="GLF30" s="546"/>
      <c r="GLG30" s="546"/>
      <c r="GLH30" s="546"/>
      <c r="GLI30" s="546"/>
      <c r="GLJ30" s="546"/>
      <c r="GLK30" s="546"/>
      <c r="GLL30" s="546"/>
      <c r="GLM30" s="546"/>
      <c r="GLN30" s="546"/>
      <c r="GLO30" s="546"/>
      <c r="GLP30" s="546"/>
      <c r="GLQ30" s="546"/>
      <c r="GLR30" s="546"/>
      <c r="GLS30" s="546"/>
      <c r="GLT30" s="546"/>
      <c r="GLU30" s="546"/>
      <c r="GLV30" s="546"/>
      <c r="GLW30" s="546"/>
      <c r="GLX30" s="546"/>
      <c r="GLY30" s="546"/>
      <c r="GLZ30" s="546"/>
      <c r="GMA30" s="546"/>
      <c r="GMB30" s="546"/>
      <c r="GMC30" s="546"/>
      <c r="GMD30" s="546"/>
      <c r="GME30" s="546"/>
      <c r="GMF30" s="546"/>
      <c r="GMG30" s="546"/>
      <c r="GMH30" s="546"/>
      <c r="GMI30" s="546"/>
      <c r="GMJ30" s="546"/>
      <c r="GMK30" s="546"/>
      <c r="GML30" s="546"/>
      <c r="GMM30" s="546"/>
      <c r="GMN30" s="546"/>
      <c r="GMO30" s="546"/>
      <c r="GMP30" s="546"/>
      <c r="GMQ30" s="546"/>
      <c r="GMR30" s="546"/>
      <c r="GMS30" s="546"/>
      <c r="GMT30" s="546"/>
      <c r="GMU30" s="546"/>
      <c r="GMV30" s="546"/>
      <c r="GMW30" s="546"/>
      <c r="GMX30" s="546"/>
      <c r="GMY30" s="546"/>
      <c r="GMZ30" s="546"/>
      <c r="GNA30" s="546"/>
      <c r="GNB30" s="546"/>
      <c r="GNC30" s="546"/>
      <c r="GND30" s="546"/>
      <c r="GNE30" s="546"/>
      <c r="GNF30" s="546"/>
      <c r="GNG30" s="546"/>
      <c r="GNH30" s="546"/>
      <c r="GNI30" s="546"/>
      <c r="GNJ30" s="546"/>
      <c r="GNK30" s="546"/>
      <c r="GNL30" s="546"/>
      <c r="GNM30" s="546"/>
      <c r="GNN30" s="546"/>
      <c r="GNO30" s="546"/>
      <c r="GNP30" s="546"/>
      <c r="GNQ30" s="546"/>
      <c r="GNR30" s="546"/>
      <c r="GNS30" s="546"/>
      <c r="GNT30" s="546"/>
      <c r="GNU30" s="546"/>
      <c r="GNV30" s="546"/>
      <c r="GNW30" s="546"/>
      <c r="GNX30" s="546"/>
      <c r="GNY30" s="546"/>
      <c r="GNZ30" s="546"/>
      <c r="GOA30" s="546"/>
      <c r="GOB30" s="546"/>
      <c r="GOC30" s="546"/>
      <c r="GOD30" s="546"/>
      <c r="GOE30" s="546"/>
      <c r="GOF30" s="546"/>
      <c r="GOG30" s="546"/>
      <c r="GOH30" s="546"/>
      <c r="GOI30" s="546"/>
      <c r="GOJ30" s="546"/>
      <c r="GOK30" s="546"/>
      <c r="GOL30" s="546"/>
      <c r="GOM30" s="546"/>
      <c r="GON30" s="546"/>
      <c r="GOO30" s="546"/>
      <c r="GOP30" s="546"/>
      <c r="GOQ30" s="546"/>
      <c r="GOR30" s="546"/>
      <c r="GOS30" s="546"/>
      <c r="GOT30" s="546"/>
      <c r="GOU30" s="546"/>
      <c r="GOV30" s="546"/>
      <c r="GOW30" s="546"/>
      <c r="GOX30" s="546"/>
      <c r="GOY30" s="546"/>
      <c r="GOZ30" s="546"/>
      <c r="GPA30" s="546"/>
      <c r="GPB30" s="546"/>
      <c r="GPC30" s="546"/>
      <c r="GPD30" s="546"/>
      <c r="GPE30" s="546"/>
      <c r="GPF30" s="546"/>
      <c r="GPG30" s="546"/>
      <c r="GPH30" s="546"/>
      <c r="GPI30" s="546"/>
      <c r="GPJ30" s="546"/>
      <c r="GPK30" s="546"/>
      <c r="GPL30" s="546"/>
      <c r="GPM30" s="546"/>
      <c r="GPN30" s="546"/>
      <c r="GPO30" s="546"/>
      <c r="GPP30" s="546"/>
      <c r="GPQ30" s="546"/>
      <c r="GPR30" s="546"/>
      <c r="GPS30" s="546"/>
      <c r="GPT30" s="546"/>
      <c r="GPU30" s="546"/>
      <c r="GPV30" s="546"/>
      <c r="GPW30" s="546"/>
      <c r="GPX30" s="546"/>
      <c r="GPY30" s="546"/>
      <c r="GPZ30" s="546"/>
      <c r="GQA30" s="546"/>
      <c r="GQB30" s="546"/>
      <c r="GQC30" s="546"/>
      <c r="GQD30" s="546"/>
      <c r="GQE30" s="546"/>
      <c r="GQF30" s="546"/>
      <c r="GQG30" s="546"/>
      <c r="GQH30" s="546"/>
      <c r="GQI30" s="546"/>
      <c r="GQJ30" s="546"/>
      <c r="GQK30" s="546"/>
      <c r="GQL30" s="546"/>
      <c r="GQM30" s="546"/>
      <c r="GQN30" s="546"/>
      <c r="GQO30" s="546"/>
      <c r="GQP30" s="546"/>
      <c r="GQQ30" s="546"/>
      <c r="GQR30" s="546"/>
      <c r="GQS30" s="546"/>
      <c r="GQT30" s="546"/>
      <c r="GQU30" s="546"/>
      <c r="GQV30" s="546"/>
      <c r="GQW30" s="546"/>
      <c r="GQX30" s="546"/>
      <c r="GQY30" s="546"/>
      <c r="GQZ30" s="546"/>
      <c r="GRA30" s="546"/>
      <c r="GRB30" s="546"/>
      <c r="GRC30" s="546"/>
      <c r="GRD30" s="546"/>
      <c r="GRE30" s="546"/>
      <c r="GRF30" s="546"/>
      <c r="GRG30" s="546"/>
      <c r="GRH30" s="546"/>
      <c r="GRI30" s="546"/>
      <c r="GRJ30" s="546"/>
      <c r="GRK30" s="546"/>
      <c r="GRL30" s="546"/>
      <c r="GRM30" s="546"/>
      <c r="GRN30" s="546"/>
      <c r="GRO30" s="546"/>
      <c r="GRP30" s="546"/>
      <c r="GRQ30" s="546"/>
      <c r="GRR30" s="546"/>
      <c r="GRS30" s="546"/>
      <c r="GRT30" s="546"/>
      <c r="GRU30" s="546"/>
      <c r="GRV30" s="546"/>
      <c r="GRW30" s="546"/>
      <c r="GRX30" s="546"/>
      <c r="GRY30" s="546"/>
      <c r="GRZ30" s="546"/>
      <c r="GSA30" s="546"/>
      <c r="GSB30" s="546"/>
      <c r="GSC30" s="546"/>
      <c r="GSD30" s="546"/>
      <c r="GSE30" s="546"/>
      <c r="GSF30" s="546"/>
      <c r="GSG30" s="546"/>
      <c r="GSH30" s="546"/>
      <c r="GSI30" s="546"/>
      <c r="GSJ30" s="546"/>
      <c r="GSK30" s="546"/>
      <c r="GSL30" s="546"/>
      <c r="GSM30" s="546"/>
      <c r="GSN30" s="546"/>
      <c r="GSO30" s="546"/>
      <c r="GSP30" s="546"/>
      <c r="GSQ30" s="546"/>
      <c r="GSR30" s="546"/>
      <c r="GSS30" s="546"/>
      <c r="GST30" s="546"/>
      <c r="GSU30" s="546"/>
      <c r="GSV30" s="546"/>
      <c r="GSW30" s="546"/>
      <c r="GSX30" s="546"/>
      <c r="GSY30" s="546"/>
      <c r="GSZ30" s="546"/>
      <c r="GTA30" s="546"/>
      <c r="GTB30" s="546"/>
      <c r="GTC30" s="546"/>
      <c r="GTD30" s="546"/>
      <c r="GTE30" s="546"/>
      <c r="GTF30" s="546"/>
      <c r="GTG30" s="546"/>
      <c r="GTH30" s="546"/>
      <c r="GTI30" s="546"/>
      <c r="GTJ30" s="546"/>
      <c r="GTK30" s="546"/>
      <c r="GTL30" s="546"/>
      <c r="GTM30" s="546"/>
      <c r="GTN30" s="546"/>
      <c r="GTO30" s="546"/>
      <c r="GTP30" s="546"/>
      <c r="GTQ30" s="546"/>
      <c r="GTR30" s="546"/>
      <c r="GTS30" s="546"/>
      <c r="GTT30" s="546"/>
      <c r="GTU30" s="546"/>
      <c r="GTV30" s="546"/>
      <c r="GTW30" s="546"/>
      <c r="GTX30" s="546"/>
      <c r="GTY30" s="546"/>
      <c r="GTZ30" s="546"/>
      <c r="GUA30" s="546"/>
      <c r="GUB30" s="546"/>
      <c r="GUC30" s="546"/>
      <c r="GUD30" s="546"/>
      <c r="GUE30" s="546"/>
      <c r="GUF30" s="546"/>
      <c r="GUG30" s="546"/>
      <c r="GUH30" s="546"/>
      <c r="GUI30" s="546"/>
      <c r="GUJ30" s="546"/>
      <c r="GUK30" s="546"/>
      <c r="GUL30" s="546"/>
      <c r="GUM30" s="546"/>
      <c r="GUN30" s="546"/>
      <c r="GUO30" s="546"/>
      <c r="GUP30" s="546"/>
      <c r="GUQ30" s="546"/>
      <c r="GUR30" s="546"/>
      <c r="GUS30" s="546"/>
      <c r="GUT30" s="546"/>
      <c r="GUU30" s="546"/>
      <c r="GUV30" s="546"/>
      <c r="GUW30" s="546"/>
      <c r="GUX30" s="546"/>
      <c r="GUY30" s="546"/>
      <c r="GUZ30" s="546"/>
      <c r="GVA30" s="546"/>
      <c r="GVB30" s="546"/>
      <c r="GVC30" s="546"/>
      <c r="GVD30" s="546"/>
      <c r="GVE30" s="546"/>
      <c r="GVF30" s="546"/>
      <c r="GVG30" s="546"/>
      <c r="GVH30" s="546"/>
      <c r="GVI30" s="546"/>
      <c r="GVJ30" s="546"/>
      <c r="GVK30" s="546"/>
      <c r="GVL30" s="546"/>
      <c r="GVM30" s="546"/>
      <c r="GVN30" s="546"/>
      <c r="GVO30" s="546"/>
      <c r="GVP30" s="546"/>
      <c r="GVQ30" s="546"/>
      <c r="GVR30" s="546"/>
      <c r="GVS30" s="546"/>
      <c r="GVT30" s="546"/>
      <c r="GVU30" s="546"/>
      <c r="GVV30" s="546"/>
      <c r="GVW30" s="546"/>
      <c r="GVX30" s="546"/>
      <c r="GVY30" s="546"/>
      <c r="GVZ30" s="546"/>
      <c r="GWA30" s="546"/>
      <c r="GWB30" s="546"/>
      <c r="GWC30" s="546"/>
      <c r="GWD30" s="546"/>
      <c r="GWE30" s="546"/>
      <c r="GWF30" s="546"/>
      <c r="GWG30" s="546"/>
      <c r="GWH30" s="546"/>
      <c r="GWI30" s="546"/>
      <c r="GWJ30" s="546"/>
      <c r="GWK30" s="546"/>
      <c r="GWL30" s="546"/>
      <c r="GWM30" s="546"/>
      <c r="GWN30" s="546"/>
      <c r="GWO30" s="546"/>
      <c r="GWP30" s="546"/>
      <c r="GWQ30" s="546"/>
      <c r="GWR30" s="546"/>
      <c r="GWS30" s="546"/>
      <c r="GWT30" s="546"/>
      <c r="GWU30" s="546"/>
      <c r="GWV30" s="546"/>
      <c r="GWW30" s="546"/>
      <c r="GWX30" s="546"/>
      <c r="GWY30" s="546"/>
      <c r="GWZ30" s="546"/>
      <c r="GXA30" s="546"/>
      <c r="GXB30" s="546"/>
      <c r="GXC30" s="546"/>
      <c r="GXD30" s="546"/>
      <c r="GXE30" s="546"/>
      <c r="GXF30" s="546"/>
      <c r="GXG30" s="546"/>
      <c r="GXH30" s="546"/>
      <c r="GXI30" s="546"/>
      <c r="GXJ30" s="546"/>
      <c r="GXK30" s="546"/>
      <c r="GXL30" s="546"/>
      <c r="GXM30" s="546"/>
      <c r="GXN30" s="546"/>
      <c r="GXO30" s="546"/>
      <c r="GXP30" s="546"/>
      <c r="GXQ30" s="546"/>
      <c r="GXR30" s="546"/>
      <c r="GXS30" s="546"/>
      <c r="GXT30" s="546"/>
      <c r="GXU30" s="546"/>
      <c r="GXV30" s="546"/>
      <c r="GXW30" s="546"/>
      <c r="GXX30" s="546"/>
      <c r="GXY30" s="546"/>
      <c r="GXZ30" s="546"/>
      <c r="GYA30" s="546"/>
      <c r="GYB30" s="546"/>
      <c r="GYC30" s="546"/>
      <c r="GYD30" s="546"/>
      <c r="GYE30" s="546"/>
      <c r="GYF30" s="546"/>
      <c r="GYG30" s="546"/>
      <c r="GYH30" s="546"/>
      <c r="GYI30" s="546"/>
      <c r="GYJ30" s="546"/>
      <c r="GYK30" s="546"/>
      <c r="GYL30" s="546"/>
      <c r="GYM30" s="546"/>
      <c r="GYN30" s="546"/>
      <c r="GYO30" s="546"/>
      <c r="GYP30" s="546"/>
      <c r="GYQ30" s="546"/>
      <c r="GYR30" s="546"/>
      <c r="GYS30" s="546"/>
      <c r="GYT30" s="546"/>
      <c r="GYU30" s="546"/>
      <c r="GYV30" s="546"/>
      <c r="GYW30" s="546"/>
      <c r="GYX30" s="546"/>
      <c r="GYY30" s="546"/>
      <c r="GYZ30" s="546"/>
      <c r="GZA30" s="546"/>
      <c r="GZB30" s="546"/>
      <c r="GZC30" s="546"/>
      <c r="GZD30" s="546"/>
      <c r="GZE30" s="546"/>
      <c r="GZF30" s="546"/>
      <c r="GZG30" s="546"/>
      <c r="GZH30" s="546"/>
      <c r="GZI30" s="546"/>
      <c r="GZJ30" s="546"/>
      <c r="GZK30" s="546"/>
      <c r="GZL30" s="546"/>
      <c r="GZM30" s="546"/>
      <c r="GZN30" s="546"/>
      <c r="GZO30" s="546"/>
      <c r="GZP30" s="546"/>
      <c r="GZQ30" s="546"/>
      <c r="GZR30" s="546"/>
      <c r="GZS30" s="546"/>
      <c r="GZT30" s="546"/>
      <c r="GZU30" s="546"/>
      <c r="GZV30" s="546"/>
      <c r="GZW30" s="546"/>
      <c r="GZX30" s="546"/>
      <c r="GZY30" s="546"/>
      <c r="GZZ30" s="546"/>
      <c r="HAA30" s="546"/>
      <c r="HAB30" s="546"/>
      <c r="HAC30" s="546"/>
      <c r="HAD30" s="546"/>
      <c r="HAE30" s="546"/>
      <c r="HAF30" s="546"/>
      <c r="HAG30" s="546"/>
      <c r="HAH30" s="546"/>
      <c r="HAI30" s="546"/>
      <c r="HAJ30" s="546"/>
      <c r="HAK30" s="546"/>
      <c r="HAL30" s="546"/>
      <c r="HAM30" s="546"/>
      <c r="HAN30" s="546"/>
      <c r="HAO30" s="546"/>
      <c r="HAP30" s="546"/>
      <c r="HAQ30" s="546"/>
      <c r="HAR30" s="546"/>
      <c r="HAS30" s="546"/>
      <c r="HAT30" s="546"/>
      <c r="HAU30" s="546"/>
      <c r="HAV30" s="546"/>
      <c r="HAW30" s="546"/>
      <c r="HAX30" s="546"/>
      <c r="HAY30" s="546"/>
      <c r="HAZ30" s="546"/>
      <c r="HBA30" s="546"/>
      <c r="HBB30" s="546"/>
      <c r="HBC30" s="546"/>
      <c r="HBD30" s="546"/>
      <c r="HBE30" s="546"/>
      <c r="HBF30" s="546"/>
      <c r="HBG30" s="546"/>
      <c r="HBH30" s="546"/>
      <c r="HBI30" s="546"/>
      <c r="HBJ30" s="546"/>
      <c r="HBK30" s="546"/>
      <c r="HBL30" s="546"/>
      <c r="HBM30" s="546"/>
      <c r="HBN30" s="546"/>
      <c r="HBO30" s="546"/>
      <c r="HBP30" s="546"/>
      <c r="HBQ30" s="546"/>
      <c r="HBR30" s="546"/>
      <c r="HBS30" s="546"/>
      <c r="HBT30" s="546"/>
      <c r="HBU30" s="546"/>
      <c r="HBV30" s="546"/>
      <c r="HBW30" s="546"/>
      <c r="HBX30" s="546"/>
      <c r="HBY30" s="546"/>
      <c r="HBZ30" s="546"/>
      <c r="HCA30" s="546"/>
      <c r="HCB30" s="546"/>
      <c r="HCC30" s="546"/>
      <c r="HCD30" s="546"/>
      <c r="HCE30" s="546"/>
      <c r="HCF30" s="546"/>
      <c r="HCG30" s="546"/>
      <c r="HCH30" s="546"/>
      <c r="HCI30" s="546"/>
      <c r="HCJ30" s="546"/>
      <c r="HCK30" s="546"/>
      <c r="HCL30" s="546"/>
      <c r="HCM30" s="546"/>
      <c r="HCN30" s="546"/>
      <c r="HCO30" s="546"/>
      <c r="HCP30" s="546"/>
      <c r="HCQ30" s="546"/>
      <c r="HCR30" s="546"/>
      <c r="HCS30" s="546"/>
      <c r="HCT30" s="546"/>
      <c r="HCU30" s="546"/>
      <c r="HCV30" s="546"/>
      <c r="HCW30" s="546"/>
      <c r="HCX30" s="546"/>
      <c r="HCY30" s="546"/>
      <c r="HCZ30" s="546"/>
      <c r="HDA30" s="546"/>
      <c r="HDB30" s="546"/>
      <c r="HDC30" s="546"/>
      <c r="HDD30" s="546"/>
      <c r="HDE30" s="546"/>
      <c r="HDF30" s="546"/>
      <c r="HDG30" s="546"/>
      <c r="HDH30" s="546"/>
      <c r="HDI30" s="546"/>
      <c r="HDJ30" s="546"/>
      <c r="HDK30" s="546"/>
      <c r="HDL30" s="546"/>
      <c r="HDM30" s="546"/>
      <c r="HDN30" s="546"/>
      <c r="HDO30" s="546"/>
      <c r="HDP30" s="546"/>
      <c r="HDQ30" s="546"/>
      <c r="HDR30" s="546"/>
      <c r="HDS30" s="546"/>
      <c r="HDT30" s="546"/>
      <c r="HDU30" s="546"/>
      <c r="HDV30" s="546"/>
      <c r="HDW30" s="546"/>
      <c r="HDX30" s="546"/>
      <c r="HDY30" s="546"/>
      <c r="HDZ30" s="546"/>
      <c r="HEA30" s="546"/>
      <c r="HEB30" s="546"/>
      <c r="HEC30" s="546"/>
      <c r="HED30" s="546"/>
      <c r="HEE30" s="546"/>
      <c r="HEF30" s="546"/>
      <c r="HEG30" s="546"/>
      <c r="HEH30" s="546"/>
      <c r="HEI30" s="546"/>
      <c r="HEJ30" s="546"/>
      <c r="HEK30" s="546"/>
      <c r="HEL30" s="546"/>
      <c r="HEM30" s="546"/>
      <c r="HEN30" s="546"/>
      <c r="HEO30" s="546"/>
      <c r="HEP30" s="546"/>
      <c r="HEQ30" s="546"/>
      <c r="HER30" s="546"/>
      <c r="HES30" s="546"/>
      <c r="HET30" s="546"/>
      <c r="HEU30" s="546"/>
      <c r="HEV30" s="546"/>
      <c r="HEW30" s="546"/>
      <c r="HEX30" s="546"/>
      <c r="HEY30" s="546"/>
      <c r="HEZ30" s="546"/>
      <c r="HFA30" s="546"/>
      <c r="HFB30" s="546"/>
      <c r="HFC30" s="546"/>
      <c r="HFD30" s="546"/>
      <c r="HFE30" s="546"/>
      <c r="HFF30" s="546"/>
      <c r="HFG30" s="546"/>
      <c r="HFH30" s="546"/>
      <c r="HFI30" s="546"/>
      <c r="HFJ30" s="546"/>
      <c r="HFK30" s="546"/>
      <c r="HFL30" s="546"/>
      <c r="HFM30" s="546"/>
      <c r="HFN30" s="546"/>
      <c r="HFO30" s="546"/>
      <c r="HFP30" s="546"/>
      <c r="HFQ30" s="546"/>
      <c r="HFR30" s="546"/>
      <c r="HFS30" s="546"/>
      <c r="HFT30" s="546"/>
      <c r="HFU30" s="546"/>
      <c r="HFV30" s="546"/>
      <c r="HFW30" s="546"/>
      <c r="HFX30" s="546"/>
      <c r="HFY30" s="546"/>
      <c r="HFZ30" s="546"/>
      <c r="HGA30" s="546"/>
      <c r="HGB30" s="546"/>
      <c r="HGC30" s="546"/>
      <c r="HGD30" s="546"/>
      <c r="HGE30" s="546"/>
      <c r="HGF30" s="546"/>
      <c r="HGG30" s="546"/>
      <c r="HGH30" s="546"/>
      <c r="HGI30" s="546"/>
      <c r="HGJ30" s="546"/>
      <c r="HGK30" s="546"/>
      <c r="HGL30" s="546"/>
      <c r="HGM30" s="546"/>
      <c r="HGN30" s="546"/>
      <c r="HGO30" s="546"/>
      <c r="HGP30" s="546"/>
      <c r="HGQ30" s="546"/>
      <c r="HGR30" s="546"/>
      <c r="HGS30" s="546"/>
      <c r="HGT30" s="546"/>
      <c r="HGU30" s="546"/>
      <c r="HGV30" s="546"/>
      <c r="HGW30" s="546"/>
      <c r="HGX30" s="546"/>
      <c r="HGY30" s="546"/>
      <c r="HGZ30" s="546"/>
      <c r="HHA30" s="546"/>
      <c r="HHB30" s="546"/>
      <c r="HHC30" s="546"/>
      <c r="HHD30" s="546"/>
      <c r="HHE30" s="546"/>
      <c r="HHF30" s="546"/>
      <c r="HHG30" s="546"/>
      <c r="HHH30" s="546"/>
      <c r="HHI30" s="546"/>
      <c r="HHJ30" s="546"/>
      <c r="HHK30" s="546"/>
      <c r="HHL30" s="546"/>
      <c r="HHM30" s="546"/>
      <c r="HHN30" s="546"/>
      <c r="HHO30" s="546"/>
      <c r="HHP30" s="546"/>
      <c r="HHQ30" s="546"/>
      <c r="HHR30" s="546"/>
      <c r="HHS30" s="546"/>
      <c r="HHT30" s="546"/>
      <c r="HHU30" s="546"/>
      <c r="HHV30" s="546"/>
      <c r="HHW30" s="546"/>
      <c r="HHX30" s="546"/>
      <c r="HHY30" s="546"/>
      <c r="HHZ30" s="546"/>
      <c r="HIA30" s="546"/>
      <c r="HIB30" s="546"/>
      <c r="HIC30" s="546"/>
      <c r="HID30" s="546"/>
      <c r="HIE30" s="546"/>
      <c r="HIF30" s="546"/>
      <c r="HIG30" s="546"/>
      <c r="HIH30" s="546"/>
      <c r="HII30" s="546"/>
      <c r="HIJ30" s="546"/>
      <c r="HIK30" s="546"/>
      <c r="HIL30" s="546"/>
      <c r="HIM30" s="546"/>
      <c r="HIN30" s="546"/>
      <c r="HIO30" s="546"/>
      <c r="HIP30" s="546"/>
      <c r="HIQ30" s="546"/>
      <c r="HIR30" s="546"/>
      <c r="HIS30" s="546"/>
      <c r="HIT30" s="546"/>
      <c r="HIU30" s="546"/>
      <c r="HIV30" s="546"/>
      <c r="HIW30" s="546"/>
      <c r="HIX30" s="546"/>
      <c r="HIY30" s="546"/>
      <c r="HIZ30" s="546"/>
      <c r="HJA30" s="546"/>
      <c r="HJB30" s="546"/>
      <c r="HJC30" s="546"/>
      <c r="HJD30" s="546"/>
      <c r="HJE30" s="546"/>
      <c r="HJF30" s="546"/>
      <c r="HJG30" s="546"/>
      <c r="HJH30" s="546"/>
      <c r="HJI30" s="546"/>
      <c r="HJJ30" s="546"/>
      <c r="HJK30" s="546"/>
      <c r="HJL30" s="546"/>
      <c r="HJM30" s="546"/>
      <c r="HJN30" s="546"/>
      <c r="HJO30" s="546"/>
      <c r="HJP30" s="546"/>
      <c r="HJQ30" s="546"/>
      <c r="HJR30" s="546"/>
      <c r="HJS30" s="546"/>
      <c r="HJT30" s="546"/>
      <c r="HJU30" s="546"/>
      <c r="HJV30" s="546"/>
      <c r="HJW30" s="546"/>
      <c r="HJX30" s="546"/>
      <c r="HJY30" s="546"/>
      <c r="HJZ30" s="546"/>
      <c r="HKA30" s="546"/>
      <c r="HKB30" s="546"/>
      <c r="HKC30" s="546"/>
      <c r="HKD30" s="546"/>
      <c r="HKE30" s="546"/>
      <c r="HKF30" s="546"/>
      <c r="HKG30" s="546"/>
      <c r="HKH30" s="546"/>
      <c r="HKI30" s="546"/>
      <c r="HKJ30" s="546"/>
      <c r="HKK30" s="546"/>
      <c r="HKL30" s="546"/>
      <c r="HKM30" s="546"/>
      <c r="HKN30" s="546"/>
      <c r="HKO30" s="546"/>
      <c r="HKP30" s="546"/>
      <c r="HKQ30" s="546"/>
      <c r="HKR30" s="546"/>
      <c r="HKS30" s="546"/>
      <c r="HKT30" s="546"/>
      <c r="HKU30" s="546"/>
      <c r="HKV30" s="546"/>
      <c r="HKW30" s="546"/>
      <c r="HKX30" s="546"/>
      <c r="HKY30" s="546"/>
      <c r="HKZ30" s="546"/>
      <c r="HLA30" s="546"/>
      <c r="HLB30" s="546"/>
      <c r="HLC30" s="546"/>
      <c r="HLD30" s="546"/>
      <c r="HLE30" s="546"/>
      <c r="HLF30" s="546"/>
      <c r="HLG30" s="546"/>
      <c r="HLH30" s="546"/>
      <c r="HLI30" s="546"/>
      <c r="HLJ30" s="546"/>
      <c r="HLK30" s="546"/>
      <c r="HLL30" s="546"/>
      <c r="HLM30" s="546"/>
      <c r="HLN30" s="546"/>
      <c r="HLO30" s="546"/>
      <c r="HLP30" s="546"/>
      <c r="HLQ30" s="546"/>
      <c r="HLR30" s="546"/>
      <c r="HLS30" s="546"/>
      <c r="HLT30" s="546"/>
      <c r="HLU30" s="546"/>
      <c r="HLV30" s="546"/>
      <c r="HLW30" s="546"/>
      <c r="HLX30" s="546"/>
      <c r="HLY30" s="546"/>
      <c r="HLZ30" s="546"/>
      <c r="HMA30" s="546"/>
      <c r="HMB30" s="546"/>
      <c r="HMC30" s="546"/>
      <c r="HMD30" s="546"/>
      <c r="HME30" s="546"/>
      <c r="HMF30" s="546"/>
      <c r="HMG30" s="546"/>
      <c r="HMH30" s="546"/>
      <c r="HMI30" s="546"/>
      <c r="HMJ30" s="546"/>
      <c r="HMK30" s="546"/>
      <c r="HML30" s="546"/>
      <c r="HMM30" s="546"/>
      <c r="HMN30" s="546"/>
      <c r="HMO30" s="546"/>
      <c r="HMP30" s="546"/>
      <c r="HMQ30" s="546"/>
      <c r="HMR30" s="546"/>
      <c r="HMS30" s="546"/>
      <c r="HMT30" s="546"/>
      <c r="HMU30" s="546"/>
      <c r="HMV30" s="546"/>
      <c r="HMW30" s="546"/>
      <c r="HMX30" s="546"/>
      <c r="HMY30" s="546"/>
      <c r="HMZ30" s="546"/>
      <c r="HNA30" s="546"/>
      <c r="HNB30" s="546"/>
      <c r="HNC30" s="546"/>
      <c r="HND30" s="546"/>
      <c r="HNE30" s="546"/>
      <c r="HNF30" s="546"/>
      <c r="HNG30" s="546"/>
      <c r="HNH30" s="546"/>
      <c r="HNI30" s="546"/>
      <c r="HNJ30" s="546"/>
      <c r="HNK30" s="546"/>
      <c r="HNL30" s="546"/>
      <c r="HNM30" s="546"/>
      <c r="HNN30" s="546"/>
      <c r="HNO30" s="546"/>
      <c r="HNP30" s="546"/>
      <c r="HNQ30" s="546"/>
      <c r="HNR30" s="546"/>
      <c r="HNS30" s="546"/>
      <c r="HNT30" s="546"/>
      <c r="HNU30" s="546"/>
      <c r="HNV30" s="546"/>
      <c r="HNW30" s="546"/>
      <c r="HNX30" s="546"/>
      <c r="HNY30" s="546"/>
      <c r="HNZ30" s="546"/>
      <c r="HOA30" s="546"/>
      <c r="HOB30" s="546"/>
      <c r="HOC30" s="546"/>
      <c r="HOD30" s="546"/>
      <c r="HOE30" s="546"/>
      <c r="HOF30" s="546"/>
      <c r="HOG30" s="546"/>
      <c r="HOH30" s="546"/>
      <c r="HOI30" s="546"/>
      <c r="HOJ30" s="546"/>
      <c r="HOK30" s="546"/>
      <c r="HOL30" s="546"/>
      <c r="HOM30" s="546"/>
      <c r="HON30" s="546"/>
      <c r="HOO30" s="546"/>
      <c r="HOP30" s="546"/>
      <c r="HOQ30" s="546"/>
      <c r="HOR30" s="546"/>
      <c r="HOS30" s="546"/>
      <c r="HOT30" s="546"/>
      <c r="HOU30" s="546"/>
      <c r="HOV30" s="546"/>
      <c r="HOW30" s="546"/>
      <c r="HOX30" s="546"/>
      <c r="HOY30" s="546"/>
      <c r="HOZ30" s="546"/>
      <c r="HPA30" s="546"/>
      <c r="HPB30" s="546"/>
      <c r="HPC30" s="546"/>
      <c r="HPD30" s="546"/>
      <c r="HPE30" s="546"/>
      <c r="HPF30" s="546"/>
      <c r="HPG30" s="546"/>
      <c r="HPH30" s="546"/>
      <c r="HPI30" s="546"/>
      <c r="HPJ30" s="546"/>
      <c r="HPK30" s="546"/>
      <c r="HPL30" s="546"/>
      <c r="HPM30" s="546"/>
      <c r="HPN30" s="546"/>
      <c r="HPO30" s="546"/>
      <c r="HPP30" s="546"/>
      <c r="HPQ30" s="546"/>
      <c r="HPR30" s="546"/>
      <c r="HPS30" s="546"/>
      <c r="HPT30" s="546"/>
      <c r="HPU30" s="546"/>
      <c r="HPV30" s="546"/>
      <c r="HPW30" s="546"/>
      <c r="HPX30" s="546"/>
      <c r="HPY30" s="546"/>
      <c r="HPZ30" s="546"/>
      <c r="HQA30" s="546"/>
      <c r="HQB30" s="546"/>
      <c r="HQC30" s="546"/>
      <c r="HQD30" s="546"/>
      <c r="HQE30" s="546"/>
      <c r="HQF30" s="546"/>
      <c r="HQG30" s="546"/>
      <c r="HQH30" s="546"/>
      <c r="HQI30" s="546"/>
      <c r="HQJ30" s="546"/>
      <c r="HQK30" s="546"/>
      <c r="HQL30" s="546"/>
      <c r="HQM30" s="546"/>
      <c r="HQN30" s="546"/>
      <c r="HQO30" s="546"/>
      <c r="HQP30" s="546"/>
      <c r="HQQ30" s="546"/>
      <c r="HQR30" s="546"/>
      <c r="HQS30" s="546"/>
      <c r="HQT30" s="546"/>
      <c r="HQU30" s="546"/>
      <c r="HQV30" s="546"/>
      <c r="HQW30" s="546"/>
      <c r="HQX30" s="546"/>
      <c r="HQY30" s="546"/>
      <c r="HQZ30" s="546"/>
      <c r="HRA30" s="546"/>
      <c r="HRB30" s="546"/>
      <c r="HRC30" s="546"/>
      <c r="HRD30" s="546"/>
      <c r="HRE30" s="546"/>
      <c r="HRF30" s="546"/>
      <c r="HRG30" s="546"/>
      <c r="HRH30" s="546"/>
      <c r="HRI30" s="546"/>
      <c r="HRJ30" s="546"/>
      <c r="HRK30" s="546"/>
      <c r="HRL30" s="546"/>
      <c r="HRM30" s="546"/>
      <c r="HRN30" s="546"/>
      <c r="HRO30" s="546"/>
      <c r="HRP30" s="546"/>
      <c r="HRQ30" s="546"/>
      <c r="HRR30" s="546"/>
      <c r="HRS30" s="546"/>
      <c r="HRT30" s="546"/>
      <c r="HRU30" s="546"/>
      <c r="HRV30" s="546"/>
      <c r="HRW30" s="546"/>
      <c r="HRX30" s="546"/>
      <c r="HRY30" s="546"/>
      <c r="HRZ30" s="546"/>
      <c r="HSA30" s="546"/>
      <c r="HSB30" s="546"/>
      <c r="HSC30" s="546"/>
      <c r="HSD30" s="546"/>
      <c r="HSE30" s="546"/>
      <c r="HSF30" s="546"/>
      <c r="HSG30" s="546"/>
      <c r="HSH30" s="546"/>
      <c r="HSI30" s="546"/>
      <c r="HSJ30" s="546"/>
      <c r="HSK30" s="546"/>
      <c r="HSL30" s="546"/>
      <c r="HSM30" s="546"/>
      <c r="HSN30" s="546"/>
      <c r="HSO30" s="546"/>
      <c r="HSP30" s="546"/>
      <c r="HSQ30" s="546"/>
      <c r="HSR30" s="546"/>
      <c r="HSS30" s="546"/>
      <c r="HST30" s="546"/>
      <c r="HSU30" s="546"/>
      <c r="HSV30" s="546"/>
      <c r="HSW30" s="546"/>
      <c r="HSX30" s="546"/>
      <c r="HSY30" s="546"/>
      <c r="HSZ30" s="546"/>
      <c r="HTA30" s="546"/>
      <c r="HTB30" s="546"/>
      <c r="HTC30" s="546"/>
      <c r="HTD30" s="546"/>
      <c r="HTE30" s="546"/>
      <c r="HTF30" s="546"/>
      <c r="HTG30" s="546"/>
      <c r="HTH30" s="546"/>
      <c r="HTI30" s="546"/>
      <c r="HTJ30" s="546"/>
      <c r="HTK30" s="546"/>
      <c r="HTL30" s="546"/>
      <c r="HTM30" s="546"/>
      <c r="HTN30" s="546"/>
      <c r="HTO30" s="546"/>
      <c r="HTP30" s="546"/>
      <c r="HTQ30" s="546"/>
      <c r="HTR30" s="546"/>
      <c r="HTS30" s="546"/>
      <c r="HTT30" s="546"/>
      <c r="HTU30" s="546"/>
      <c r="HTV30" s="546"/>
      <c r="HTW30" s="546"/>
      <c r="HTX30" s="546"/>
      <c r="HTY30" s="546"/>
      <c r="HTZ30" s="546"/>
      <c r="HUA30" s="546"/>
      <c r="HUB30" s="546"/>
      <c r="HUC30" s="546"/>
      <c r="HUD30" s="546"/>
      <c r="HUE30" s="546"/>
      <c r="HUF30" s="546"/>
      <c r="HUG30" s="546"/>
      <c r="HUH30" s="546"/>
      <c r="HUI30" s="546"/>
      <c r="HUJ30" s="546"/>
      <c r="HUK30" s="546"/>
      <c r="HUL30" s="546"/>
      <c r="HUM30" s="546"/>
      <c r="HUN30" s="546"/>
      <c r="HUO30" s="546"/>
      <c r="HUP30" s="546"/>
      <c r="HUQ30" s="546"/>
      <c r="HUR30" s="546"/>
      <c r="HUS30" s="546"/>
      <c r="HUT30" s="546"/>
      <c r="HUU30" s="546"/>
      <c r="HUV30" s="546"/>
      <c r="HUW30" s="546"/>
      <c r="HUX30" s="546"/>
      <c r="HUY30" s="546"/>
      <c r="HUZ30" s="546"/>
      <c r="HVA30" s="546"/>
      <c r="HVB30" s="546"/>
      <c r="HVC30" s="546"/>
      <c r="HVD30" s="546"/>
      <c r="HVE30" s="546"/>
      <c r="HVF30" s="546"/>
      <c r="HVG30" s="546"/>
      <c r="HVH30" s="546"/>
      <c r="HVI30" s="546"/>
      <c r="HVJ30" s="546"/>
      <c r="HVK30" s="546"/>
      <c r="HVL30" s="546"/>
      <c r="HVM30" s="546"/>
      <c r="HVN30" s="546"/>
      <c r="HVO30" s="546"/>
      <c r="HVP30" s="546"/>
      <c r="HVQ30" s="546"/>
      <c r="HVR30" s="546"/>
      <c r="HVS30" s="546"/>
      <c r="HVT30" s="546"/>
      <c r="HVU30" s="546"/>
      <c r="HVV30" s="546"/>
      <c r="HVW30" s="546"/>
      <c r="HVX30" s="546"/>
      <c r="HVY30" s="546"/>
      <c r="HVZ30" s="546"/>
      <c r="HWA30" s="546"/>
      <c r="HWB30" s="546"/>
      <c r="HWC30" s="546"/>
      <c r="HWD30" s="546"/>
      <c r="HWE30" s="546"/>
      <c r="HWF30" s="546"/>
      <c r="HWG30" s="546"/>
      <c r="HWH30" s="546"/>
      <c r="HWI30" s="546"/>
      <c r="HWJ30" s="546"/>
      <c r="HWK30" s="546"/>
      <c r="HWL30" s="546"/>
      <c r="HWM30" s="546"/>
      <c r="HWN30" s="546"/>
      <c r="HWO30" s="546"/>
      <c r="HWP30" s="546"/>
      <c r="HWQ30" s="546"/>
      <c r="HWR30" s="546"/>
      <c r="HWS30" s="546"/>
      <c r="HWT30" s="546"/>
      <c r="HWU30" s="546"/>
      <c r="HWV30" s="546"/>
      <c r="HWW30" s="546"/>
      <c r="HWX30" s="546"/>
      <c r="HWY30" s="546"/>
      <c r="HWZ30" s="546"/>
      <c r="HXA30" s="546"/>
      <c r="HXB30" s="546"/>
      <c r="HXC30" s="546"/>
      <c r="HXD30" s="546"/>
      <c r="HXE30" s="546"/>
      <c r="HXF30" s="546"/>
      <c r="HXG30" s="546"/>
      <c r="HXH30" s="546"/>
      <c r="HXI30" s="546"/>
      <c r="HXJ30" s="546"/>
      <c r="HXK30" s="546"/>
      <c r="HXL30" s="546"/>
      <c r="HXM30" s="546"/>
      <c r="HXN30" s="546"/>
      <c r="HXO30" s="546"/>
      <c r="HXP30" s="546"/>
      <c r="HXQ30" s="546"/>
      <c r="HXR30" s="546"/>
      <c r="HXS30" s="546"/>
      <c r="HXT30" s="546"/>
      <c r="HXU30" s="546"/>
      <c r="HXV30" s="546"/>
      <c r="HXW30" s="546"/>
      <c r="HXX30" s="546"/>
      <c r="HXY30" s="546"/>
      <c r="HXZ30" s="546"/>
      <c r="HYA30" s="546"/>
      <c r="HYB30" s="546"/>
      <c r="HYC30" s="546"/>
      <c r="HYD30" s="546"/>
      <c r="HYE30" s="546"/>
      <c r="HYF30" s="546"/>
      <c r="HYG30" s="546"/>
      <c r="HYH30" s="546"/>
      <c r="HYI30" s="546"/>
      <c r="HYJ30" s="546"/>
      <c r="HYK30" s="546"/>
      <c r="HYL30" s="546"/>
      <c r="HYM30" s="546"/>
      <c r="HYN30" s="546"/>
      <c r="HYO30" s="546"/>
      <c r="HYP30" s="546"/>
      <c r="HYQ30" s="546"/>
      <c r="HYR30" s="546"/>
      <c r="HYS30" s="546"/>
      <c r="HYT30" s="546"/>
      <c r="HYU30" s="546"/>
      <c r="HYV30" s="546"/>
      <c r="HYW30" s="546"/>
      <c r="HYX30" s="546"/>
      <c r="HYY30" s="546"/>
      <c r="HYZ30" s="546"/>
      <c r="HZA30" s="546"/>
      <c r="HZB30" s="546"/>
      <c r="HZC30" s="546"/>
      <c r="HZD30" s="546"/>
      <c r="HZE30" s="546"/>
      <c r="HZF30" s="546"/>
      <c r="HZG30" s="546"/>
      <c r="HZH30" s="546"/>
      <c r="HZI30" s="546"/>
      <c r="HZJ30" s="546"/>
      <c r="HZK30" s="546"/>
      <c r="HZL30" s="546"/>
      <c r="HZM30" s="546"/>
      <c r="HZN30" s="546"/>
      <c r="HZO30" s="546"/>
      <c r="HZP30" s="546"/>
      <c r="HZQ30" s="546"/>
      <c r="HZR30" s="546"/>
      <c r="HZS30" s="546"/>
      <c r="HZT30" s="546"/>
      <c r="HZU30" s="546"/>
      <c r="HZV30" s="546"/>
      <c r="HZW30" s="546"/>
      <c r="HZX30" s="546"/>
      <c r="HZY30" s="546"/>
      <c r="HZZ30" s="546"/>
      <c r="IAA30" s="546"/>
      <c r="IAB30" s="546"/>
      <c r="IAC30" s="546"/>
      <c r="IAD30" s="546"/>
      <c r="IAE30" s="546"/>
      <c r="IAF30" s="546"/>
      <c r="IAG30" s="546"/>
      <c r="IAH30" s="546"/>
      <c r="IAI30" s="546"/>
      <c r="IAJ30" s="546"/>
      <c r="IAK30" s="546"/>
      <c r="IAL30" s="546"/>
      <c r="IAM30" s="546"/>
      <c r="IAN30" s="546"/>
      <c r="IAO30" s="546"/>
      <c r="IAP30" s="546"/>
      <c r="IAQ30" s="546"/>
      <c r="IAR30" s="546"/>
      <c r="IAS30" s="546"/>
      <c r="IAT30" s="546"/>
      <c r="IAU30" s="546"/>
      <c r="IAV30" s="546"/>
      <c r="IAW30" s="546"/>
      <c r="IAX30" s="546"/>
      <c r="IAY30" s="546"/>
      <c r="IAZ30" s="546"/>
      <c r="IBA30" s="546"/>
      <c r="IBB30" s="546"/>
      <c r="IBC30" s="546"/>
      <c r="IBD30" s="546"/>
      <c r="IBE30" s="546"/>
      <c r="IBF30" s="546"/>
      <c r="IBG30" s="546"/>
      <c r="IBH30" s="546"/>
      <c r="IBI30" s="546"/>
      <c r="IBJ30" s="546"/>
      <c r="IBK30" s="546"/>
      <c r="IBL30" s="546"/>
      <c r="IBM30" s="546"/>
      <c r="IBN30" s="546"/>
      <c r="IBO30" s="546"/>
      <c r="IBP30" s="546"/>
      <c r="IBQ30" s="546"/>
      <c r="IBR30" s="546"/>
      <c r="IBS30" s="546"/>
      <c r="IBT30" s="546"/>
      <c r="IBU30" s="546"/>
      <c r="IBV30" s="546"/>
      <c r="IBW30" s="546"/>
      <c r="IBX30" s="546"/>
      <c r="IBY30" s="546"/>
      <c r="IBZ30" s="546"/>
      <c r="ICA30" s="546"/>
      <c r="ICB30" s="546"/>
      <c r="ICC30" s="546"/>
      <c r="ICD30" s="546"/>
      <c r="ICE30" s="546"/>
      <c r="ICF30" s="546"/>
      <c r="ICG30" s="546"/>
      <c r="ICH30" s="546"/>
      <c r="ICI30" s="546"/>
      <c r="ICJ30" s="546"/>
      <c r="ICK30" s="546"/>
      <c r="ICL30" s="546"/>
      <c r="ICM30" s="546"/>
      <c r="ICN30" s="546"/>
      <c r="ICO30" s="546"/>
      <c r="ICP30" s="546"/>
      <c r="ICQ30" s="546"/>
      <c r="ICR30" s="546"/>
      <c r="ICS30" s="546"/>
      <c r="ICT30" s="546"/>
      <c r="ICU30" s="546"/>
      <c r="ICV30" s="546"/>
      <c r="ICW30" s="546"/>
      <c r="ICX30" s="546"/>
      <c r="ICY30" s="546"/>
      <c r="ICZ30" s="546"/>
      <c r="IDA30" s="546"/>
      <c r="IDB30" s="546"/>
      <c r="IDC30" s="546"/>
      <c r="IDD30" s="546"/>
      <c r="IDE30" s="546"/>
      <c r="IDF30" s="546"/>
      <c r="IDG30" s="546"/>
      <c r="IDH30" s="546"/>
      <c r="IDI30" s="546"/>
      <c r="IDJ30" s="546"/>
      <c r="IDK30" s="546"/>
      <c r="IDL30" s="546"/>
      <c r="IDM30" s="546"/>
      <c r="IDN30" s="546"/>
      <c r="IDO30" s="546"/>
      <c r="IDP30" s="546"/>
      <c r="IDQ30" s="546"/>
      <c r="IDR30" s="546"/>
      <c r="IDS30" s="546"/>
      <c r="IDT30" s="546"/>
      <c r="IDU30" s="546"/>
      <c r="IDV30" s="546"/>
      <c r="IDW30" s="546"/>
      <c r="IDX30" s="546"/>
      <c r="IDY30" s="546"/>
      <c r="IDZ30" s="546"/>
      <c r="IEA30" s="546"/>
      <c r="IEB30" s="546"/>
      <c r="IEC30" s="546"/>
      <c r="IED30" s="546"/>
      <c r="IEE30" s="546"/>
      <c r="IEF30" s="546"/>
      <c r="IEG30" s="546"/>
      <c r="IEH30" s="546"/>
      <c r="IEI30" s="546"/>
      <c r="IEJ30" s="546"/>
      <c r="IEK30" s="546"/>
      <c r="IEL30" s="546"/>
      <c r="IEM30" s="546"/>
      <c r="IEN30" s="546"/>
      <c r="IEO30" s="546"/>
      <c r="IEP30" s="546"/>
      <c r="IEQ30" s="546"/>
      <c r="IER30" s="546"/>
      <c r="IES30" s="546"/>
      <c r="IET30" s="546"/>
      <c r="IEU30" s="546"/>
      <c r="IEV30" s="546"/>
      <c r="IEW30" s="546"/>
      <c r="IEX30" s="546"/>
      <c r="IEY30" s="546"/>
      <c r="IEZ30" s="546"/>
      <c r="IFA30" s="546"/>
      <c r="IFB30" s="546"/>
      <c r="IFC30" s="546"/>
      <c r="IFD30" s="546"/>
      <c r="IFE30" s="546"/>
      <c r="IFF30" s="546"/>
      <c r="IFG30" s="546"/>
      <c r="IFH30" s="546"/>
      <c r="IFI30" s="546"/>
      <c r="IFJ30" s="546"/>
      <c r="IFK30" s="546"/>
      <c r="IFL30" s="546"/>
      <c r="IFM30" s="546"/>
      <c r="IFN30" s="546"/>
      <c r="IFO30" s="546"/>
      <c r="IFP30" s="546"/>
      <c r="IFQ30" s="546"/>
      <c r="IFR30" s="546"/>
      <c r="IFS30" s="546"/>
      <c r="IFT30" s="546"/>
      <c r="IFU30" s="546"/>
      <c r="IFV30" s="546"/>
      <c r="IFW30" s="546"/>
      <c r="IFX30" s="546"/>
      <c r="IFY30" s="546"/>
      <c r="IFZ30" s="546"/>
      <c r="IGA30" s="546"/>
      <c r="IGB30" s="546"/>
      <c r="IGC30" s="546"/>
      <c r="IGD30" s="546"/>
      <c r="IGE30" s="546"/>
      <c r="IGF30" s="546"/>
      <c r="IGG30" s="546"/>
      <c r="IGH30" s="546"/>
      <c r="IGI30" s="546"/>
      <c r="IGJ30" s="546"/>
      <c r="IGK30" s="546"/>
      <c r="IGL30" s="546"/>
      <c r="IGM30" s="546"/>
      <c r="IGN30" s="546"/>
      <c r="IGO30" s="546"/>
      <c r="IGP30" s="546"/>
      <c r="IGQ30" s="546"/>
      <c r="IGR30" s="546"/>
      <c r="IGS30" s="546"/>
      <c r="IGT30" s="546"/>
      <c r="IGU30" s="546"/>
      <c r="IGV30" s="546"/>
      <c r="IGW30" s="546"/>
      <c r="IGX30" s="546"/>
      <c r="IGY30" s="546"/>
      <c r="IGZ30" s="546"/>
      <c r="IHA30" s="546"/>
      <c r="IHB30" s="546"/>
      <c r="IHC30" s="546"/>
      <c r="IHD30" s="546"/>
      <c r="IHE30" s="546"/>
      <c r="IHF30" s="546"/>
      <c r="IHG30" s="546"/>
      <c r="IHH30" s="546"/>
      <c r="IHI30" s="546"/>
      <c r="IHJ30" s="546"/>
      <c r="IHK30" s="546"/>
      <c r="IHL30" s="546"/>
      <c r="IHM30" s="546"/>
      <c r="IHN30" s="546"/>
      <c r="IHO30" s="546"/>
      <c r="IHP30" s="546"/>
      <c r="IHQ30" s="546"/>
      <c r="IHR30" s="546"/>
      <c r="IHS30" s="546"/>
      <c r="IHT30" s="546"/>
      <c r="IHU30" s="546"/>
      <c r="IHV30" s="546"/>
      <c r="IHW30" s="546"/>
      <c r="IHX30" s="546"/>
      <c r="IHY30" s="546"/>
      <c r="IHZ30" s="546"/>
      <c r="IIA30" s="546"/>
      <c r="IIB30" s="546"/>
      <c r="IIC30" s="546"/>
      <c r="IID30" s="546"/>
      <c r="IIE30" s="546"/>
      <c r="IIF30" s="546"/>
      <c r="IIG30" s="546"/>
      <c r="IIH30" s="546"/>
      <c r="III30" s="546"/>
      <c r="IIJ30" s="546"/>
      <c r="IIK30" s="546"/>
      <c r="IIL30" s="546"/>
      <c r="IIM30" s="546"/>
      <c r="IIN30" s="546"/>
      <c r="IIO30" s="546"/>
      <c r="IIP30" s="546"/>
      <c r="IIQ30" s="546"/>
      <c r="IIR30" s="546"/>
      <c r="IIS30" s="546"/>
      <c r="IIT30" s="546"/>
      <c r="IIU30" s="546"/>
      <c r="IIV30" s="546"/>
      <c r="IIW30" s="546"/>
      <c r="IIX30" s="546"/>
      <c r="IIY30" s="546"/>
      <c r="IIZ30" s="546"/>
      <c r="IJA30" s="546"/>
      <c r="IJB30" s="546"/>
      <c r="IJC30" s="546"/>
      <c r="IJD30" s="546"/>
      <c r="IJE30" s="546"/>
      <c r="IJF30" s="546"/>
      <c r="IJG30" s="546"/>
      <c r="IJH30" s="546"/>
      <c r="IJI30" s="546"/>
      <c r="IJJ30" s="546"/>
      <c r="IJK30" s="546"/>
      <c r="IJL30" s="546"/>
      <c r="IJM30" s="546"/>
      <c r="IJN30" s="546"/>
      <c r="IJO30" s="546"/>
      <c r="IJP30" s="546"/>
      <c r="IJQ30" s="546"/>
      <c r="IJR30" s="546"/>
      <c r="IJS30" s="546"/>
      <c r="IJT30" s="546"/>
      <c r="IJU30" s="546"/>
      <c r="IJV30" s="546"/>
      <c r="IJW30" s="546"/>
      <c r="IJX30" s="546"/>
      <c r="IJY30" s="546"/>
      <c r="IJZ30" s="546"/>
      <c r="IKA30" s="546"/>
      <c r="IKB30" s="546"/>
      <c r="IKC30" s="546"/>
      <c r="IKD30" s="546"/>
      <c r="IKE30" s="546"/>
      <c r="IKF30" s="546"/>
      <c r="IKG30" s="546"/>
      <c r="IKH30" s="546"/>
      <c r="IKI30" s="546"/>
      <c r="IKJ30" s="546"/>
      <c r="IKK30" s="546"/>
      <c r="IKL30" s="546"/>
      <c r="IKM30" s="546"/>
      <c r="IKN30" s="546"/>
      <c r="IKO30" s="546"/>
      <c r="IKP30" s="546"/>
      <c r="IKQ30" s="546"/>
      <c r="IKR30" s="546"/>
      <c r="IKS30" s="546"/>
      <c r="IKT30" s="546"/>
      <c r="IKU30" s="546"/>
      <c r="IKV30" s="546"/>
      <c r="IKW30" s="546"/>
      <c r="IKX30" s="546"/>
      <c r="IKY30" s="546"/>
      <c r="IKZ30" s="546"/>
      <c r="ILA30" s="546"/>
      <c r="ILB30" s="546"/>
      <c r="ILC30" s="546"/>
      <c r="ILD30" s="546"/>
      <c r="ILE30" s="546"/>
      <c r="ILF30" s="546"/>
      <c r="ILG30" s="546"/>
      <c r="ILH30" s="546"/>
      <c r="ILI30" s="546"/>
      <c r="ILJ30" s="546"/>
      <c r="ILK30" s="546"/>
      <c r="ILL30" s="546"/>
      <c r="ILM30" s="546"/>
      <c r="ILN30" s="546"/>
      <c r="ILO30" s="546"/>
      <c r="ILP30" s="546"/>
      <c r="ILQ30" s="546"/>
      <c r="ILR30" s="546"/>
      <c r="ILS30" s="546"/>
      <c r="ILT30" s="546"/>
      <c r="ILU30" s="546"/>
      <c r="ILV30" s="546"/>
      <c r="ILW30" s="546"/>
      <c r="ILX30" s="546"/>
      <c r="ILY30" s="546"/>
      <c r="ILZ30" s="546"/>
      <c r="IMA30" s="546"/>
      <c r="IMB30" s="546"/>
      <c r="IMC30" s="546"/>
      <c r="IMD30" s="546"/>
      <c r="IME30" s="546"/>
      <c r="IMF30" s="546"/>
      <c r="IMG30" s="546"/>
      <c r="IMH30" s="546"/>
      <c r="IMI30" s="546"/>
      <c r="IMJ30" s="546"/>
      <c r="IMK30" s="546"/>
      <c r="IML30" s="546"/>
      <c r="IMM30" s="546"/>
      <c r="IMN30" s="546"/>
      <c r="IMO30" s="546"/>
      <c r="IMP30" s="546"/>
      <c r="IMQ30" s="546"/>
      <c r="IMR30" s="546"/>
      <c r="IMS30" s="546"/>
      <c r="IMT30" s="546"/>
      <c r="IMU30" s="546"/>
      <c r="IMV30" s="546"/>
      <c r="IMW30" s="546"/>
      <c r="IMX30" s="546"/>
      <c r="IMY30" s="546"/>
      <c r="IMZ30" s="546"/>
      <c r="INA30" s="546"/>
      <c r="INB30" s="546"/>
      <c r="INC30" s="546"/>
      <c r="IND30" s="546"/>
      <c r="INE30" s="546"/>
      <c r="INF30" s="546"/>
      <c r="ING30" s="546"/>
      <c r="INH30" s="546"/>
      <c r="INI30" s="546"/>
      <c r="INJ30" s="546"/>
      <c r="INK30" s="546"/>
      <c r="INL30" s="546"/>
      <c r="INM30" s="546"/>
      <c r="INN30" s="546"/>
      <c r="INO30" s="546"/>
      <c r="INP30" s="546"/>
      <c r="INQ30" s="546"/>
      <c r="INR30" s="546"/>
      <c r="INS30" s="546"/>
      <c r="INT30" s="546"/>
      <c r="INU30" s="546"/>
      <c r="INV30" s="546"/>
      <c r="INW30" s="546"/>
      <c r="INX30" s="546"/>
      <c r="INY30" s="546"/>
      <c r="INZ30" s="546"/>
      <c r="IOA30" s="546"/>
      <c r="IOB30" s="546"/>
      <c r="IOC30" s="546"/>
      <c r="IOD30" s="546"/>
      <c r="IOE30" s="546"/>
      <c r="IOF30" s="546"/>
      <c r="IOG30" s="546"/>
      <c r="IOH30" s="546"/>
      <c r="IOI30" s="546"/>
      <c r="IOJ30" s="546"/>
      <c r="IOK30" s="546"/>
      <c r="IOL30" s="546"/>
      <c r="IOM30" s="546"/>
      <c r="ION30" s="546"/>
      <c r="IOO30" s="546"/>
      <c r="IOP30" s="546"/>
      <c r="IOQ30" s="546"/>
      <c r="IOR30" s="546"/>
      <c r="IOS30" s="546"/>
      <c r="IOT30" s="546"/>
      <c r="IOU30" s="546"/>
      <c r="IOV30" s="546"/>
      <c r="IOW30" s="546"/>
      <c r="IOX30" s="546"/>
      <c r="IOY30" s="546"/>
      <c r="IOZ30" s="546"/>
      <c r="IPA30" s="546"/>
      <c r="IPB30" s="546"/>
      <c r="IPC30" s="546"/>
      <c r="IPD30" s="546"/>
      <c r="IPE30" s="546"/>
      <c r="IPF30" s="546"/>
      <c r="IPG30" s="546"/>
      <c r="IPH30" s="546"/>
      <c r="IPI30" s="546"/>
      <c r="IPJ30" s="546"/>
      <c r="IPK30" s="546"/>
      <c r="IPL30" s="546"/>
      <c r="IPM30" s="546"/>
      <c r="IPN30" s="546"/>
      <c r="IPO30" s="546"/>
      <c r="IPP30" s="546"/>
      <c r="IPQ30" s="546"/>
      <c r="IPR30" s="546"/>
      <c r="IPS30" s="546"/>
      <c r="IPT30" s="546"/>
      <c r="IPU30" s="546"/>
      <c r="IPV30" s="546"/>
      <c r="IPW30" s="546"/>
      <c r="IPX30" s="546"/>
      <c r="IPY30" s="546"/>
      <c r="IPZ30" s="546"/>
      <c r="IQA30" s="546"/>
      <c r="IQB30" s="546"/>
      <c r="IQC30" s="546"/>
      <c r="IQD30" s="546"/>
      <c r="IQE30" s="546"/>
      <c r="IQF30" s="546"/>
      <c r="IQG30" s="546"/>
      <c r="IQH30" s="546"/>
      <c r="IQI30" s="546"/>
      <c r="IQJ30" s="546"/>
      <c r="IQK30" s="546"/>
      <c r="IQL30" s="546"/>
      <c r="IQM30" s="546"/>
      <c r="IQN30" s="546"/>
      <c r="IQO30" s="546"/>
      <c r="IQP30" s="546"/>
      <c r="IQQ30" s="546"/>
      <c r="IQR30" s="546"/>
      <c r="IQS30" s="546"/>
      <c r="IQT30" s="546"/>
      <c r="IQU30" s="546"/>
      <c r="IQV30" s="546"/>
      <c r="IQW30" s="546"/>
      <c r="IQX30" s="546"/>
      <c r="IQY30" s="546"/>
      <c r="IQZ30" s="546"/>
      <c r="IRA30" s="546"/>
      <c r="IRB30" s="546"/>
      <c r="IRC30" s="546"/>
      <c r="IRD30" s="546"/>
      <c r="IRE30" s="546"/>
      <c r="IRF30" s="546"/>
      <c r="IRG30" s="546"/>
      <c r="IRH30" s="546"/>
      <c r="IRI30" s="546"/>
      <c r="IRJ30" s="546"/>
      <c r="IRK30" s="546"/>
      <c r="IRL30" s="546"/>
      <c r="IRM30" s="546"/>
      <c r="IRN30" s="546"/>
      <c r="IRO30" s="546"/>
      <c r="IRP30" s="546"/>
      <c r="IRQ30" s="546"/>
      <c r="IRR30" s="546"/>
      <c r="IRS30" s="546"/>
      <c r="IRT30" s="546"/>
      <c r="IRU30" s="546"/>
      <c r="IRV30" s="546"/>
      <c r="IRW30" s="546"/>
      <c r="IRX30" s="546"/>
      <c r="IRY30" s="546"/>
      <c r="IRZ30" s="546"/>
      <c r="ISA30" s="546"/>
      <c r="ISB30" s="546"/>
      <c r="ISC30" s="546"/>
      <c r="ISD30" s="546"/>
      <c r="ISE30" s="546"/>
      <c r="ISF30" s="546"/>
      <c r="ISG30" s="546"/>
      <c r="ISH30" s="546"/>
      <c r="ISI30" s="546"/>
      <c r="ISJ30" s="546"/>
      <c r="ISK30" s="546"/>
      <c r="ISL30" s="546"/>
      <c r="ISM30" s="546"/>
      <c r="ISN30" s="546"/>
      <c r="ISO30" s="546"/>
      <c r="ISP30" s="546"/>
      <c r="ISQ30" s="546"/>
      <c r="ISR30" s="546"/>
      <c r="ISS30" s="546"/>
      <c r="IST30" s="546"/>
      <c r="ISU30" s="546"/>
      <c r="ISV30" s="546"/>
      <c r="ISW30" s="546"/>
      <c r="ISX30" s="546"/>
      <c r="ISY30" s="546"/>
      <c r="ISZ30" s="546"/>
      <c r="ITA30" s="546"/>
      <c r="ITB30" s="546"/>
      <c r="ITC30" s="546"/>
      <c r="ITD30" s="546"/>
      <c r="ITE30" s="546"/>
      <c r="ITF30" s="546"/>
      <c r="ITG30" s="546"/>
      <c r="ITH30" s="546"/>
      <c r="ITI30" s="546"/>
      <c r="ITJ30" s="546"/>
      <c r="ITK30" s="546"/>
      <c r="ITL30" s="546"/>
      <c r="ITM30" s="546"/>
      <c r="ITN30" s="546"/>
      <c r="ITO30" s="546"/>
      <c r="ITP30" s="546"/>
      <c r="ITQ30" s="546"/>
      <c r="ITR30" s="546"/>
      <c r="ITS30" s="546"/>
      <c r="ITT30" s="546"/>
      <c r="ITU30" s="546"/>
      <c r="ITV30" s="546"/>
      <c r="ITW30" s="546"/>
      <c r="ITX30" s="546"/>
      <c r="ITY30" s="546"/>
      <c r="ITZ30" s="546"/>
      <c r="IUA30" s="546"/>
      <c r="IUB30" s="546"/>
      <c r="IUC30" s="546"/>
      <c r="IUD30" s="546"/>
      <c r="IUE30" s="546"/>
      <c r="IUF30" s="546"/>
      <c r="IUG30" s="546"/>
      <c r="IUH30" s="546"/>
      <c r="IUI30" s="546"/>
      <c r="IUJ30" s="546"/>
      <c r="IUK30" s="546"/>
      <c r="IUL30" s="546"/>
      <c r="IUM30" s="546"/>
      <c r="IUN30" s="546"/>
      <c r="IUO30" s="546"/>
      <c r="IUP30" s="546"/>
      <c r="IUQ30" s="546"/>
      <c r="IUR30" s="546"/>
      <c r="IUS30" s="546"/>
      <c r="IUT30" s="546"/>
      <c r="IUU30" s="546"/>
      <c r="IUV30" s="546"/>
      <c r="IUW30" s="546"/>
      <c r="IUX30" s="546"/>
      <c r="IUY30" s="546"/>
      <c r="IUZ30" s="546"/>
      <c r="IVA30" s="546"/>
      <c r="IVB30" s="546"/>
      <c r="IVC30" s="546"/>
      <c r="IVD30" s="546"/>
      <c r="IVE30" s="546"/>
      <c r="IVF30" s="546"/>
      <c r="IVG30" s="546"/>
      <c r="IVH30" s="546"/>
      <c r="IVI30" s="546"/>
      <c r="IVJ30" s="546"/>
      <c r="IVK30" s="546"/>
      <c r="IVL30" s="546"/>
      <c r="IVM30" s="546"/>
      <c r="IVN30" s="546"/>
      <c r="IVO30" s="546"/>
      <c r="IVP30" s="546"/>
      <c r="IVQ30" s="546"/>
      <c r="IVR30" s="546"/>
      <c r="IVS30" s="546"/>
      <c r="IVT30" s="546"/>
      <c r="IVU30" s="546"/>
      <c r="IVV30" s="546"/>
      <c r="IVW30" s="546"/>
      <c r="IVX30" s="546"/>
      <c r="IVY30" s="546"/>
      <c r="IVZ30" s="546"/>
      <c r="IWA30" s="546"/>
      <c r="IWB30" s="546"/>
      <c r="IWC30" s="546"/>
      <c r="IWD30" s="546"/>
      <c r="IWE30" s="546"/>
      <c r="IWF30" s="546"/>
      <c r="IWG30" s="546"/>
      <c r="IWH30" s="546"/>
      <c r="IWI30" s="546"/>
      <c r="IWJ30" s="546"/>
      <c r="IWK30" s="546"/>
      <c r="IWL30" s="546"/>
      <c r="IWM30" s="546"/>
      <c r="IWN30" s="546"/>
      <c r="IWO30" s="546"/>
      <c r="IWP30" s="546"/>
      <c r="IWQ30" s="546"/>
      <c r="IWR30" s="546"/>
      <c r="IWS30" s="546"/>
      <c r="IWT30" s="546"/>
      <c r="IWU30" s="546"/>
      <c r="IWV30" s="546"/>
      <c r="IWW30" s="546"/>
      <c r="IWX30" s="546"/>
      <c r="IWY30" s="546"/>
      <c r="IWZ30" s="546"/>
      <c r="IXA30" s="546"/>
      <c r="IXB30" s="546"/>
      <c r="IXC30" s="546"/>
      <c r="IXD30" s="546"/>
      <c r="IXE30" s="546"/>
      <c r="IXF30" s="546"/>
      <c r="IXG30" s="546"/>
      <c r="IXH30" s="546"/>
      <c r="IXI30" s="546"/>
      <c r="IXJ30" s="546"/>
      <c r="IXK30" s="546"/>
      <c r="IXL30" s="546"/>
      <c r="IXM30" s="546"/>
      <c r="IXN30" s="546"/>
      <c r="IXO30" s="546"/>
      <c r="IXP30" s="546"/>
      <c r="IXQ30" s="546"/>
      <c r="IXR30" s="546"/>
      <c r="IXS30" s="546"/>
      <c r="IXT30" s="546"/>
      <c r="IXU30" s="546"/>
      <c r="IXV30" s="546"/>
      <c r="IXW30" s="546"/>
      <c r="IXX30" s="546"/>
      <c r="IXY30" s="546"/>
      <c r="IXZ30" s="546"/>
      <c r="IYA30" s="546"/>
      <c r="IYB30" s="546"/>
      <c r="IYC30" s="546"/>
      <c r="IYD30" s="546"/>
      <c r="IYE30" s="546"/>
      <c r="IYF30" s="546"/>
      <c r="IYG30" s="546"/>
      <c r="IYH30" s="546"/>
      <c r="IYI30" s="546"/>
      <c r="IYJ30" s="546"/>
      <c r="IYK30" s="546"/>
      <c r="IYL30" s="546"/>
      <c r="IYM30" s="546"/>
      <c r="IYN30" s="546"/>
      <c r="IYO30" s="546"/>
      <c r="IYP30" s="546"/>
      <c r="IYQ30" s="546"/>
      <c r="IYR30" s="546"/>
      <c r="IYS30" s="546"/>
      <c r="IYT30" s="546"/>
      <c r="IYU30" s="546"/>
      <c r="IYV30" s="546"/>
      <c r="IYW30" s="546"/>
      <c r="IYX30" s="546"/>
      <c r="IYY30" s="546"/>
      <c r="IYZ30" s="546"/>
      <c r="IZA30" s="546"/>
      <c r="IZB30" s="546"/>
      <c r="IZC30" s="546"/>
      <c r="IZD30" s="546"/>
      <c r="IZE30" s="546"/>
      <c r="IZF30" s="546"/>
      <c r="IZG30" s="546"/>
      <c r="IZH30" s="546"/>
      <c r="IZI30" s="546"/>
      <c r="IZJ30" s="546"/>
      <c r="IZK30" s="546"/>
      <c r="IZL30" s="546"/>
      <c r="IZM30" s="546"/>
      <c r="IZN30" s="546"/>
      <c r="IZO30" s="546"/>
      <c r="IZP30" s="546"/>
      <c r="IZQ30" s="546"/>
      <c r="IZR30" s="546"/>
      <c r="IZS30" s="546"/>
      <c r="IZT30" s="546"/>
      <c r="IZU30" s="546"/>
      <c r="IZV30" s="546"/>
      <c r="IZW30" s="546"/>
      <c r="IZX30" s="546"/>
      <c r="IZY30" s="546"/>
      <c r="IZZ30" s="546"/>
      <c r="JAA30" s="546"/>
      <c r="JAB30" s="546"/>
      <c r="JAC30" s="546"/>
      <c r="JAD30" s="546"/>
      <c r="JAE30" s="546"/>
      <c r="JAF30" s="546"/>
      <c r="JAG30" s="546"/>
      <c r="JAH30" s="546"/>
      <c r="JAI30" s="546"/>
      <c r="JAJ30" s="546"/>
      <c r="JAK30" s="546"/>
      <c r="JAL30" s="546"/>
      <c r="JAM30" s="546"/>
      <c r="JAN30" s="546"/>
      <c r="JAO30" s="546"/>
      <c r="JAP30" s="546"/>
      <c r="JAQ30" s="546"/>
      <c r="JAR30" s="546"/>
      <c r="JAS30" s="546"/>
      <c r="JAT30" s="546"/>
      <c r="JAU30" s="546"/>
      <c r="JAV30" s="546"/>
      <c r="JAW30" s="546"/>
      <c r="JAX30" s="546"/>
      <c r="JAY30" s="546"/>
      <c r="JAZ30" s="546"/>
      <c r="JBA30" s="546"/>
      <c r="JBB30" s="546"/>
      <c r="JBC30" s="546"/>
      <c r="JBD30" s="546"/>
      <c r="JBE30" s="546"/>
      <c r="JBF30" s="546"/>
      <c r="JBG30" s="546"/>
      <c r="JBH30" s="546"/>
      <c r="JBI30" s="546"/>
      <c r="JBJ30" s="546"/>
      <c r="JBK30" s="546"/>
      <c r="JBL30" s="546"/>
      <c r="JBM30" s="546"/>
      <c r="JBN30" s="546"/>
      <c r="JBO30" s="546"/>
      <c r="JBP30" s="546"/>
      <c r="JBQ30" s="546"/>
      <c r="JBR30" s="546"/>
      <c r="JBS30" s="546"/>
      <c r="JBT30" s="546"/>
      <c r="JBU30" s="546"/>
      <c r="JBV30" s="546"/>
      <c r="JBW30" s="546"/>
      <c r="JBX30" s="546"/>
      <c r="JBY30" s="546"/>
      <c r="JBZ30" s="546"/>
      <c r="JCA30" s="546"/>
      <c r="JCB30" s="546"/>
      <c r="JCC30" s="546"/>
      <c r="JCD30" s="546"/>
      <c r="JCE30" s="546"/>
      <c r="JCF30" s="546"/>
      <c r="JCG30" s="546"/>
      <c r="JCH30" s="546"/>
      <c r="JCI30" s="546"/>
      <c r="JCJ30" s="546"/>
      <c r="JCK30" s="546"/>
      <c r="JCL30" s="546"/>
      <c r="JCM30" s="546"/>
      <c r="JCN30" s="546"/>
      <c r="JCO30" s="546"/>
      <c r="JCP30" s="546"/>
      <c r="JCQ30" s="546"/>
      <c r="JCR30" s="546"/>
      <c r="JCS30" s="546"/>
      <c r="JCT30" s="546"/>
      <c r="JCU30" s="546"/>
      <c r="JCV30" s="546"/>
      <c r="JCW30" s="546"/>
      <c r="JCX30" s="546"/>
      <c r="JCY30" s="546"/>
      <c r="JCZ30" s="546"/>
      <c r="JDA30" s="546"/>
      <c r="JDB30" s="546"/>
      <c r="JDC30" s="546"/>
      <c r="JDD30" s="546"/>
      <c r="JDE30" s="546"/>
      <c r="JDF30" s="546"/>
      <c r="JDG30" s="546"/>
      <c r="JDH30" s="546"/>
      <c r="JDI30" s="546"/>
      <c r="JDJ30" s="546"/>
      <c r="JDK30" s="546"/>
      <c r="JDL30" s="546"/>
      <c r="JDM30" s="546"/>
      <c r="JDN30" s="546"/>
      <c r="JDO30" s="546"/>
      <c r="JDP30" s="546"/>
      <c r="JDQ30" s="546"/>
      <c r="JDR30" s="546"/>
      <c r="JDS30" s="546"/>
      <c r="JDT30" s="546"/>
      <c r="JDU30" s="546"/>
      <c r="JDV30" s="546"/>
      <c r="JDW30" s="546"/>
      <c r="JDX30" s="546"/>
      <c r="JDY30" s="546"/>
      <c r="JDZ30" s="546"/>
      <c r="JEA30" s="546"/>
      <c r="JEB30" s="546"/>
      <c r="JEC30" s="546"/>
      <c r="JED30" s="546"/>
      <c r="JEE30" s="546"/>
      <c r="JEF30" s="546"/>
      <c r="JEG30" s="546"/>
      <c r="JEH30" s="546"/>
      <c r="JEI30" s="546"/>
      <c r="JEJ30" s="546"/>
      <c r="JEK30" s="546"/>
      <c r="JEL30" s="546"/>
      <c r="JEM30" s="546"/>
      <c r="JEN30" s="546"/>
      <c r="JEO30" s="546"/>
      <c r="JEP30" s="546"/>
      <c r="JEQ30" s="546"/>
      <c r="JER30" s="546"/>
      <c r="JES30" s="546"/>
      <c r="JET30" s="546"/>
      <c r="JEU30" s="546"/>
      <c r="JEV30" s="546"/>
      <c r="JEW30" s="546"/>
      <c r="JEX30" s="546"/>
      <c r="JEY30" s="546"/>
      <c r="JEZ30" s="546"/>
      <c r="JFA30" s="546"/>
      <c r="JFB30" s="546"/>
      <c r="JFC30" s="546"/>
      <c r="JFD30" s="546"/>
      <c r="JFE30" s="546"/>
      <c r="JFF30" s="546"/>
      <c r="JFG30" s="546"/>
      <c r="JFH30" s="546"/>
      <c r="JFI30" s="546"/>
      <c r="JFJ30" s="546"/>
      <c r="JFK30" s="546"/>
      <c r="JFL30" s="546"/>
      <c r="JFM30" s="546"/>
      <c r="JFN30" s="546"/>
      <c r="JFO30" s="546"/>
      <c r="JFP30" s="546"/>
      <c r="JFQ30" s="546"/>
      <c r="JFR30" s="546"/>
      <c r="JFS30" s="546"/>
      <c r="JFT30" s="546"/>
      <c r="JFU30" s="546"/>
      <c r="JFV30" s="546"/>
      <c r="JFW30" s="546"/>
      <c r="JFX30" s="546"/>
      <c r="JFY30" s="546"/>
      <c r="JFZ30" s="546"/>
      <c r="JGA30" s="546"/>
      <c r="JGB30" s="546"/>
      <c r="JGC30" s="546"/>
      <c r="JGD30" s="546"/>
      <c r="JGE30" s="546"/>
      <c r="JGF30" s="546"/>
      <c r="JGG30" s="546"/>
      <c r="JGH30" s="546"/>
      <c r="JGI30" s="546"/>
      <c r="JGJ30" s="546"/>
      <c r="JGK30" s="546"/>
      <c r="JGL30" s="546"/>
      <c r="JGM30" s="546"/>
      <c r="JGN30" s="546"/>
      <c r="JGO30" s="546"/>
      <c r="JGP30" s="546"/>
      <c r="JGQ30" s="546"/>
      <c r="JGR30" s="546"/>
      <c r="JGS30" s="546"/>
      <c r="JGT30" s="546"/>
      <c r="JGU30" s="546"/>
      <c r="JGV30" s="546"/>
      <c r="JGW30" s="546"/>
      <c r="JGX30" s="546"/>
      <c r="JGY30" s="546"/>
      <c r="JGZ30" s="546"/>
      <c r="JHA30" s="546"/>
      <c r="JHB30" s="546"/>
      <c r="JHC30" s="546"/>
      <c r="JHD30" s="546"/>
      <c r="JHE30" s="546"/>
      <c r="JHF30" s="546"/>
      <c r="JHG30" s="546"/>
      <c r="JHH30" s="546"/>
      <c r="JHI30" s="546"/>
      <c r="JHJ30" s="546"/>
      <c r="JHK30" s="546"/>
      <c r="JHL30" s="546"/>
      <c r="JHM30" s="546"/>
      <c r="JHN30" s="546"/>
      <c r="JHO30" s="546"/>
      <c r="JHP30" s="546"/>
      <c r="JHQ30" s="546"/>
      <c r="JHR30" s="546"/>
      <c r="JHS30" s="546"/>
      <c r="JHT30" s="546"/>
      <c r="JHU30" s="546"/>
      <c r="JHV30" s="546"/>
      <c r="JHW30" s="546"/>
      <c r="JHX30" s="546"/>
      <c r="JHY30" s="546"/>
      <c r="JHZ30" s="546"/>
      <c r="JIA30" s="546"/>
      <c r="JIB30" s="546"/>
      <c r="JIC30" s="546"/>
      <c r="JID30" s="546"/>
      <c r="JIE30" s="546"/>
      <c r="JIF30" s="546"/>
      <c r="JIG30" s="546"/>
      <c r="JIH30" s="546"/>
      <c r="JII30" s="546"/>
      <c r="JIJ30" s="546"/>
      <c r="JIK30" s="546"/>
      <c r="JIL30" s="546"/>
      <c r="JIM30" s="546"/>
      <c r="JIN30" s="546"/>
      <c r="JIO30" s="546"/>
      <c r="JIP30" s="546"/>
      <c r="JIQ30" s="546"/>
      <c r="JIR30" s="546"/>
      <c r="JIS30" s="546"/>
      <c r="JIT30" s="546"/>
      <c r="JIU30" s="546"/>
      <c r="JIV30" s="546"/>
      <c r="JIW30" s="546"/>
      <c r="JIX30" s="546"/>
      <c r="JIY30" s="546"/>
      <c r="JIZ30" s="546"/>
      <c r="JJA30" s="546"/>
      <c r="JJB30" s="546"/>
      <c r="JJC30" s="546"/>
      <c r="JJD30" s="546"/>
      <c r="JJE30" s="546"/>
      <c r="JJF30" s="546"/>
      <c r="JJG30" s="546"/>
      <c r="JJH30" s="546"/>
      <c r="JJI30" s="546"/>
      <c r="JJJ30" s="546"/>
      <c r="JJK30" s="546"/>
      <c r="JJL30" s="546"/>
      <c r="JJM30" s="546"/>
      <c r="JJN30" s="546"/>
      <c r="JJO30" s="546"/>
      <c r="JJP30" s="546"/>
      <c r="JJQ30" s="546"/>
      <c r="JJR30" s="546"/>
      <c r="JJS30" s="546"/>
      <c r="JJT30" s="546"/>
      <c r="JJU30" s="546"/>
      <c r="JJV30" s="546"/>
      <c r="JJW30" s="546"/>
      <c r="JJX30" s="546"/>
      <c r="JJY30" s="546"/>
      <c r="JJZ30" s="546"/>
      <c r="JKA30" s="546"/>
      <c r="JKB30" s="546"/>
      <c r="JKC30" s="546"/>
      <c r="JKD30" s="546"/>
      <c r="JKE30" s="546"/>
      <c r="JKF30" s="546"/>
      <c r="JKG30" s="546"/>
      <c r="JKH30" s="546"/>
      <c r="JKI30" s="546"/>
      <c r="JKJ30" s="546"/>
      <c r="JKK30" s="546"/>
      <c r="JKL30" s="546"/>
      <c r="JKM30" s="546"/>
      <c r="JKN30" s="546"/>
      <c r="JKO30" s="546"/>
      <c r="JKP30" s="546"/>
      <c r="JKQ30" s="546"/>
      <c r="JKR30" s="546"/>
      <c r="JKS30" s="546"/>
      <c r="JKT30" s="546"/>
      <c r="JKU30" s="546"/>
      <c r="JKV30" s="546"/>
      <c r="JKW30" s="546"/>
      <c r="JKX30" s="546"/>
      <c r="JKY30" s="546"/>
      <c r="JKZ30" s="546"/>
      <c r="JLA30" s="546"/>
      <c r="JLB30" s="546"/>
      <c r="JLC30" s="546"/>
      <c r="JLD30" s="546"/>
      <c r="JLE30" s="546"/>
      <c r="JLF30" s="546"/>
      <c r="JLG30" s="546"/>
      <c r="JLH30" s="546"/>
      <c r="JLI30" s="546"/>
      <c r="JLJ30" s="546"/>
      <c r="JLK30" s="546"/>
      <c r="JLL30" s="546"/>
      <c r="JLM30" s="546"/>
      <c r="JLN30" s="546"/>
      <c r="JLO30" s="546"/>
      <c r="JLP30" s="546"/>
      <c r="JLQ30" s="546"/>
      <c r="JLR30" s="546"/>
      <c r="JLS30" s="546"/>
      <c r="JLT30" s="546"/>
      <c r="JLU30" s="546"/>
      <c r="JLV30" s="546"/>
      <c r="JLW30" s="546"/>
      <c r="JLX30" s="546"/>
      <c r="JLY30" s="546"/>
      <c r="JLZ30" s="546"/>
      <c r="JMA30" s="546"/>
      <c r="JMB30" s="546"/>
      <c r="JMC30" s="546"/>
      <c r="JMD30" s="546"/>
      <c r="JME30" s="546"/>
      <c r="JMF30" s="546"/>
      <c r="JMG30" s="546"/>
      <c r="JMH30" s="546"/>
      <c r="JMI30" s="546"/>
      <c r="JMJ30" s="546"/>
      <c r="JMK30" s="546"/>
      <c r="JML30" s="546"/>
      <c r="JMM30" s="546"/>
      <c r="JMN30" s="546"/>
      <c r="JMO30" s="546"/>
      <c r="JMP30" s="546"/>
      <c r="JMQ30" s="546"/>
      <c r="JMR30" s="546"/>
      <c r="JMS30" s="546"/>
      <c r="JMT30" s="546"/>
      <c r="JMU30" s="546"/>
      <c r="JMV30" s="546"/>
      <c r="JMW30" s="546"/>
      <c r="JMX30" s="546"/>
      <c r="JMY30" s="546"/>
      <c r="JMZ30" s="546"/>
      <c r="JNA30" s="546"/>
      <c r="JNB30" s="546"/>
      <c r="JNC30" s="546"/>
      <c r="JND30" s="546"/>
      <c r="JNE30" s="546"/>
      <c r="JNF30" s="546"/>
      <c r="JNG30" s="546"/>
      <c r="JNH30" s="546"/>
      <c r="JNI30" s="546"/>
      <c r="JNJ30" s="546"/>
      <c r="JNK30" s="546"/>
      <c r="JNL30" s="546"/>
      <c r="JNM30" s="546"/>
      <c r="JNN30" s="546"/>
      <c r="JNO30" s="546"/>
      <c r="JNP30" s="546"/>
      <c r="JNQ30" s="546"/>
      <c r="JNR30" s="546"/>
      <c r="JNS30" s="546"/>
      <c r="JNT30" s="546"/>
      <c r="JNU30" s="546"/>
      <c r="JNV30" s="546"/>
      <c r="JNW30" s="546"/>
      <c r="JNX30" s="546"/>
      <c r="JNY30" s="546"/>
      <c r="JNZ30" s="546"/>
      <c r="JOA30" s="546"/>
      <c r="JOB30" s="546"/>
      <c r="JOC30" s="546"/>
      <c r="JOD30" s="546"/>
      <c r="JOE30" s="546"/>
      <c r="JOF30" s="546"/>
      <c r="JOG30" s="546"/>
      <c r="JOH30" s="546"/>
      <c r="JOI30" s="546"/>
      <c r="JOJ30" s="546"/>
      <c r="JOK30" s="546"/>
      <c r="JOL30" s="546"/>
      <c r="JOM30" s="546"/>
      <c r="JON30" s="546"/>
      <c r="JOO30" s="546"/>
      <c r="JOP30" s="546"/>
      <c r="JOQ30" s="546"/>
      <c r="JOR30" s="546"/>
      <c r="JOS30" s="546"/>
      <c r="JOT30" s="546"/>
      <c r="JOU30" s="546"/>
      <c r="JOV30" s="546"/>
      <c r="JOW30" s="546"/>
      <c r="JOX30" s="546"/>
      <c r="JOY30" s="546"/>
      <c r="JOZ30" s="546"/>
      <c r="JPA30" s="546"/>
      <c r="JPB30" s="546"/>
      <c r="JPC30" s="546"/>
      <c r="JPD30" s="546"/>
      <c r="JPE30" s="546"/>
      <c r="JPF30" s="546"/>
      <c r="JPG30" s="546"/>
      <c r="JPH30" s="546"/>
      <c r="JPI30" s="546"/>
      <c r="JPJ30" s="546"/>
      <c r="JPK30" s="546"/>
      <c r="JPL30" s="546"/>
      <c r="JPM30" s="546"/>
      <c r="JPN30" s="546"/>
      <c r="JPO30" s="546"/>
      <c r="JPP30" s="546"/>
      <c r="JPQ30" s="546"/>
      <c r="JPR30" s="546"/>
      <c r="JPS30" s="546"/>
      <c r="JPT30" s="546"/>
      <c r="JPU30" s="546"/>
      <c r="JPV30" s="546"/>
      <c r="JPW30" s="546"/>
      <c r="JPX30" s="546"/>
      <c r="JPY30" s="546"/>
      <c r="JPZ30" s="546"/>
      <c r="JQA30" s="546"/>
      <c r="JQB30" s="546"/>
      <c r="JQC30" s="546"/>
      <c r="JQD30" s="546"/>
      <c r="JQE30" s="546"/>
      <c r="JQF30" s="546"/>
      <c r="JQG30" s="546"/>
      <c r="JQH30" s="546"/>
      <c r="JQI30" s="546"/>
      <c r="JQJ30" s="546"/>
      <c r="JQK30" s="546"/>
      <c r="JQL30" s="546"/>
      <c r="JQM30" s="546"/>
      <c r="JQN30" s="546"/>
      <c r="JQO30" s="546"/>
      <c r="JQP30" s="546"/>
      <c r="JQQ30" s="546"/>
      <c r="JQR30" s="546"/>
      <c r="JQS30" s="546"/>
      <c r="JQT30" s="546"/>
      <c r="JQU30" s="546"/>
      <c r="JQV30" s="546"/>
      <c r="JQW30" s="546"/>
      <c r="JQX30" s="546"/>
      <c r="JQY30" s="546"/>
      <c r="JQZ30" s="546"/>
      <c r="JRA30" s="546"/>
      <c r="JRB30" s="546"/>
      <c r="JRC30" s="546"/>
      <c r="JRD30" s="546"/>
      <c r="JRE30" s="546"/>
      <c r="JRF30" s="546"/>
      <c r="JRG30" s="546"/>
      <c r="JRH30" s="546"/>
      <c r="JRI30" s="546"/>
      <c r="JRJ30" s="546"/>
      <c r="JRK30" s="546"/>
      <c r="JRL30" s="546"/>
      <c r="JRM30" s="546"/>
      <c r="JRN30" s="546"/>
      <c r="JRO30" s="546"/>
      <c r="JRP30" s="546"/>
      <c r="JRQ30" s="546"/>
      <c r="JRR30" s="546"/>
      <c r="JRS30" s="546"/>
      <c r="JRT30" s="546"/>
      <c r="JRU30" s="546"/>
      <c r="JRV30" s="546"/>
      <c r="JRW30" s="546"/>
      <c r="JRX30" s="546"/>
      <c r="JRY30" s="546"/>
      <c r="JRZ30" s="546"/>
      <c r="JSA30" s="546"/>
      <c r="JSB30" s="546"/>
      <c r="JSC30" s="546"/>
      <c r="JSD30" s="546"/>
      <c r="JSE30" s="546"/>
      <c r="JSF30" s="546"/>
      <c r="JSG30" s="546"/>
      <c r="JSH30" s="546"/>
      <c r="JSI30" s="546"/>
      <c r="JSJ30" s="546"/>
      <c r="JSK30" s="546"/>
      <c r="JSL30" s="546"/>
      <c r="JSM30" s="546"/>
      <c r="JSN30" s="546"/>
      <c r="JSO30" s="546"/>
      <c r="JSP30" s="546"/>
      <c r="JSQ30" s="546"/>
      <c r="JSR30" s="546"/>
      <c r="JSS30" s="546"/>
      <c r="JST30" s="546"/>
      <c r="JSU30" s="546"/>
      <c r="JSV30" s="546"/>
      <c r="JSW30" s="546"/>
      <c r="JSX30" s="546"/>
      <c r="JSY30" s="546"/>
      <c r="JSZ30" s="546"/>
      <c r="JTA30" s="546"/>
      <c r="JTB30" s="546"/>
      <c r="JTC30" s="546"/>
      <c r="JTD30" s="546"/>
      <c r="JTE30" s="546"/>
      <c r="JTF30" s="546"/>
      <c r="JTG30" s="546"/>
      <c r="JTH30" s="546"/>
      <c r="JTI30" s="546"/>
      <c r="JTJ30" s="546"/>
      <c r="JTK30" s="546"/>
      <c r="JTL30" s="546"/>
      <c r="JTM30" s="546"/>
      <c r="JTN30" s="546"/>
      <c r="JTO30" s="546"/>
      <c r="JTP30" s="546"/>
      <c r="JTQ30" s="546"/>
      <c r="JTR30" s="546"/>
      <c r="JTS30" s="546"/>
      <c r="JTT30" s="546"/>
      <c r="JTU30" s="546"/>
      <c r="JTV30" s="546"/>
      <c r="JTW30" s="546"/>
      <c r="JTX30" s="546"/>
      <c r="JTY30" s="546"/>
      <c r="JTZ30" s="546"/>
      <c r="JUA30" s="546"/>
      <c r="JUB30" s="546"/>
      <c r="JUC30" s="546"/>
      <c r="JUD30" s="546"/>
      <c r="JUE30" s="546"/>
      <c r="JUF30" s="546"/>
      <c r="JUG30" s="546"/>
      <c r="JUH30" s="546"/>
      <c r="JUI30" s="546"/>
      <c r="JUJ30" s="546"/>
      <c r="JUK30" s="546"/>
      <c r="JUL30" s="546"/>
      <c r="JUM30" s="546"/>
      <c r="JUN30" s="546"/>
      <c r="JUO30" s="546"/>
      <c r="JUP30" s="546"/>
      <c r="JUQ30" s="546"/>
      <c r="JUR30" s="546"/>
      <c r="JUS30" s="546"/>
      <c r="JUT30" s="546"/>
      <c r="JUU30" s="546"/>
      <c r="JUV30" s="546"/>
      <c r="JUW30" s="546"/>
      <c r="JUX30" s="546"/>
      <c r="JUY30" s="546"/>
      <c r="JUZ30" s="546"/>
      <c r="JVA30" s="546"/>
      <c r="JVB30" s="546"/>
      <c r="JVC30" s="546"/>
      <c r="JVD30" s="546"/>
      <c r="JVE30" s="546"/>
      <c r="JVF30" s="546"/>
      <c r="JVG30" s="546"/>
      <c r="JVH30" s="546"/>
      <c r="JVI30" s="546"/>
      <c r="JVJ30" s="546"/>
      <c r="JVK30" s="546"/>
      <c r="JVL30" s="546"/>
      <c r="JVM30" s="546"/>
      <c r="JVN30" s="546"/>
      <c r="JVO30" s="546"/>
      <c r="JVP30" s="546"/>
      <c r="JVQ30" s="546"/>
      <c r="JVR30" s="546"/>
      <c r="JVS30" s="546"/>
      <c r="JVT30" s="546"/>
      <c r="JVU30" s="546"/>
      <c r="JVV30" s="546"/>
      <c r="JVW30" s="546"/>
      <c r="JVX30" s="546"/>
      <c r="JVY30" s="546"/>
      <c r="JVZ30" s="546"/>
      <c r="JWA30" s="546"/>
      <c r="JWB30" s="546"/>
      <c r="JWC30" s="546"/>
      <c r="JWD30" s="546"/>
      <c r="JWE30" s="546"/>
      <c r="JWF30" s="546"/>
      <c r="JWG30" s="546"/>
      <c r="JWH30" s="546"/>
      <c r="JWI30" s="546"/>
      <c r="JWJ30" s="546"/>
      <c r="JWK30" s="546"/>
      <c r="JWL30" s="546"/>
      <c r="JWM30" s="546"/>
      <c r="JWN30" s="546"/>
      <c r="JWO30" s="546"/>
      <c r="JWP30" s="546"/>
      <c r="JWQ30" s="546"/>
      <c r="JWR30" s="546"/>
      <c r="JWS30" s="546"/>
      <c r="JWT30" s="546"/>
      <c r="JWU30" s="546"/>
      <c r="JWV30" s="546"/>
      <c r="JWW30" s="546"/>
      <c r="JWX30" s="546"/>
      <c r="JWY30" s="546"/>
      <c r="JWZ30" s="546"/>
      <c r="JXA30" s="546"/>
      <c r="JXB30" s="546"/>
      <c r="JXC30" s="546"/>
      <c r="JXD30" s="546"/>
      <c r="JXE30" s="546"/>
      <c r="JXF30" s="546"/>
      <c r="JXG30" s="546"/>
      <c r="JXH30" s="546"/>
      <c r="JXI30" s="546"/>
      <c r="JXJ30" s="546"/>
      <c r="JXK30" s="546"/>
      <c r="JXL30" s="546"/>
      <c r="JXM30" s="546"/>
      <c r="JXN30" s="546"/>
      <c r="JXO30" s="546"/>
      <c r="JXP30" s="546"/>
      <c r="JXQ30" s="546"/>
      <c r="JXR30" s="546"/>
      <c r="JXS30" s="546"/>
      <c r="JXT30" s="546"/>
      <c r="JXU30" s="546"/>
      <c r="JXV30" s="546"/>
      <c r="JXW30" s="546"/>
      <c r="JXX30" s="546"/>
      <c r="JXY30" s="546"/>
      <c r="JXZ30" s="546"/>
      <c r="JYA30" s="546"/>
      <c r="JYB30" s="546"/>
      <c r="JYC30" s="546"/>
      <c r="JYD30" s="546"/>
      <c r="JYE30" s="546"/>
      <c r="JYF30" s="546"/>
      <c r="JYG30" s="546"/>
      <c r="JYH30" s="546"/>
      <c r="JYI30" s="546"/>
      <c r="JYJ30" s="546"/>
      <c r="JYK30" s="546"/>
      <c r="JYL30" s="546"/>
      <c r="JYM30" s="546"/>
      <c r="JYN30" s="546"/>
      <c r="JYO30" s="546"/>
      <c r="JYP30" s="546"/>
      <c r="JYQ30" s="546"/>
      <c r="JYR30" s="546"/>
      <c r="JYS30" s="546"/>
      <c r="JYT30" s="546"/>
      <c r="JYU30" s="546"/>
      <c r="JYV30" s="546"/>
      <c r="JYW30" s="546"/>
      <c r="JYX30" s="546"/>
      <c r="JYY30" s="546"/>
      <c r="JYZ30" s="546"/>
      <c r="JZA30" s="546"/>
      <c r="JZB30" s="546"/>
      <c r="JZC30" s="546"/>
      <c r="JZD30" s="546"/>
      <c r="JZE30" s="546"/>
      <c r="JZF30" s="546"/>
      <c r="JZG30" s="546"/>
      <c r="JZH30" s="546"/>
      <c r="JZI30" s="546"/>
      <c r="JZJ30" s="546"/>
      <c r="JZK30" s="546"/>
      <c r="JZL30" s="546"/>
      <c r="JZM30" s="546"/>
      <c r="JZN30" s="546"/>
      <c r="JZO30" s="546"/>
      <c r="JZP30" s="546"/>
      <c r="JZQ30" s="546"/>
      <c r="JZR30" s="546"/>
      <c r="JZS30" s="546"/>
      <c r="JZT30" s="546"/>
      <c r="JZU30" s="546"/>
      <c r="JZV30" s="546"/>
      <c r="JZW30" s="546"/>
      <c r="JZX30" s="546"/>
      <c r="JZY30" s="546"/>
      <c r="JZZ30" s="546"/>
      <c r="KAA30" s="546"/>
      <c r="KAB30" s="546"/>
      <c r="KAC30" s="546"/>
      <c r="KAD30" s="546"/>
      <c r="KAE30" s="546"/>
      <c r="KAF30" s="546"/>
      <c r="KAG30" s="546"/>
      <c r="KAH30" s="546"/>
      <c r="KAI30" s="546"/>
      <c r="KAJ30" s="546"/>
      <c r="KAK30" s="546"/>
      <c r="KAL30" s="546"/>
      <c r="KAM30" s="546"/>
      <c r="KAN30" s="546"/>
      <c r="KAO30" s="546"/>
      <c r="KAP30" s="546"/>
      <c r="KAQ30" s="546"/>
      <c r="KAR30" s="546"/>
      <c r="KAS30" s="546"/>
      <c r="KAT30" s="546"/>
      <c r="KAU30" s="546"/>
      <c r="KAV30" s="546"/>
      <c r="KAW30" s="546"/>
      <c r="KAX30" s="546"/>
      <c r="KAY30" s="546"/>
      <c r="KAZ30" s="546"/>
      <c r="KBA30" s="546"/>
      <c r="KBB30" s="546"/>
      <c r="KBC30" s="546"/>
      <c r="KBD30" s="546"/>
      <c r="KBE30" s="546"/>
      <c r="KBF30" s="546"/>
      <c r="KBG30" s="546"/>
      <c r="KBH30" s="546"/>
      <c r="KBI30" s="546"/>
      <c r="KBJ30" s="546"/>
      <c r="KBK30" s="546"/>
      <c r="KBL30" s="546"/>
      <c r="KBM30" s="546"/>
      <c r="KBN30" s="546"/>
      <c r="KBO30" s="546"/>
      <c r="KBP30" s="546"/>
      <c r="KBQ30" s="546"/>
      <c r="KBR30" s="546"/>
      <c r="KBS30" s="546"/>
      <c r="KBT30" s="546"/>
      <c r="KBU30" s="546"/>
      <c r="KBV30" s="546"/>
      <c r="KBW30" s="546"/>
      <c r="KBX30" s="546"/>
      <c r="KBY30" s="546"/>
      <c r="KBZ30" s="546"/>
      <c r="KCA30" s="546"/>
      <c r="KCB30" s="546"/>
      <c r="KCC30" s="546"/>
      <c r="KCD30" s="546"/>
      <c r="KCE30" s="546"/>
      <c r="KCF30" s="546"/>
      <c r="KCG30" s="546"/>
      <c r="KCH30" s="546"/>
      <c r="KCI30" s="546"/>
      <c r="KCJ30" s="546"/>
      <c r="KCK30" s="546"/>
      <c r="KCL30" s="546"/>
      <c r="KCM30" s="546"/>
      <c r="KCN30" s="546"/>
      <c r="KCO30" s="546"/>
      <c r="KCP30" s="546"/>
      <c r="KCQ30" s="546"/>
      <c r="KCR30" s="546"/>
      <c r="KCS30" s="546"/>
      <c r="KCT30" s="546"/>
      <c r="KCU30" s="546"/>
      <c r="KCV30" s="546"/>
      <c r="KCW30" s="546"/>
      <c r="KCX30" s="546"/>
      <c r="KCY30" s="546"/>
      <c r="KCZ30" s="546"/>
      <c r="KDA30" s="546"/>
      <c r="KDB30" s="546"/>
      <c r="KDC30" s="546"/>
      <c r="KDD30" s="546"/>
      <c r="KDE30" s="546"/>
      <c r="KDF30" s="546"/>
      <c r="KDG30" s="546"/>
      <c r="KDH30" s="546"/>
      <c r="KDI30" s="546"/>
      <c r="KDJ30" s="546"/>
      <c r="KDK30" s="546"/>
      <c r="KDL30" s="546"/>
      <c r="KDM30" s="546"/>
      <c r="KDN30" s="546"/>
      <c r="KDO30" s="546"/>
      <c r="KDP30" s="546"/>
      <c r="KDQ30" s="546"/>
      <c r="KDR30" s="546"/>
      <c r="KDS30" s="546"/>
      <c r="KDT30" s="546"/>
      <c r="KDU30" s="546"/>
      <c r="KDV30" s="546"/>
      <c r="KDW30" s="546"/>
      <c r="KDX30" s="546"/>
      <c r="KDY30" s="546"/>
      <c r="KDZ30" s="546"/>
      <c r="KEA30" s="546"/>
      <c r="KEB30" s="546"/>
      <c r="KEC30" s="546"/>
      <c r="KED30" s="546"/>
      <c r="KEE30" s="546"/>
      <c r="KEF30" s="546"/>
      <c r="KEG30" s="546"/>
      <c r="KEH30" s="546"/>
      <c r="KEI30" s="546"/>
      <c r="KEJ30" s="546"/>
      <c r="KEK30" s="546"/>
      <c r="KEL30" s="546"/>
      <c r="KEM30" s="546"/>
      <c r="KEN30" s="546"/>
      <c r="KEO30" s="546"/>
      <c r="KEP30" s="546"/>
      <c r="KEQ30" s="546"/>
      <c r="KER30" s="546"/>
      <c r="KES30" s="546"/>
      <c r="KET30" s="546"/>
      <c r="KEU30" s="546"/>
      <c r="KEV30" s="546"/>
      <c r="KEW30" s="546"/>
      <c r="KEX30" s="546"/>
      <c r="KEY30" s="546"/>
      <c r="KEZ30" s="546"/>
      <c r="KFA30" s="546"/>
      <c r="KFB30" s="546"/>
      <c r="KFC30" s="546"/>
      <c r="KFD30" s="546"/>
      <c r="KFE30" s="546"/>
      <c r="KFF30" s="546"/>
      <c r="KFG30" s="546"/>
      <c r="KFH30" s="546"/>
      <c r="KFI30" s="546"/>
      <c r="KFJ30" s="546"/>
      <c r="KFK30" s="546"/>
      <c r="KFL30" s="546"/>
      <c r="KFM30" s="546"/>
      <c r="KFN30" s="546"/>
      <c r="KFO30" s="546"/>
      <c r="KFP30" s="546"/>
      <c r="KFQ30" s="546"/>
      <c r="KFR30" s="546"/>
      <c r="KFS30" s="546"/>
      <c r="KFT30" s="546"/>
      <c r="KFU30" s="546"/>
      <c r="KFV30" s="546"/>
      <c r="KFW30" s="546"/>
      <c r="KFX30" s="546"/>
      <c r="KFY30" s="546"/>
      <c r="KFZ30" s="546"/>
      <c r="KGA30" s="546"/>
      <c r="KGB30" s="546"/>
      <c r="KGC30" s="546"/>
      <c r="KGD30" s="546"/>
      <c r="KGE30" s="546"/>
      <c r="KGF30" s="546"/>
      <c r="KGG30" s="546"/>
      <c r="KGH30" s="546"/>
      <c r="KGI30" s="546"/>
      <c r="KGJ30" s="546"/>
      <c r="KGK30" s="546"/>
      <c r="KGL30" s="546"/>
      <c r="KGM30" s="546"/>
      <c r="KGN30" s="546"/>
      <c r="KGO30" s="546"/>
      <c r="KGP30" s="546"/>
      <c r="KGQ30" s="546"/>
      <c r="KGR30" s="546"/>
      <c r="KGS30" s="546"/>
      <c r="KGT30" s="546"/>
      <c r="KGU30" s="546"/>
      <c r="KGV30" s="546"/>
      <c r="KGW30" s="546"/>
      <c r="KGX30" s="546"/>
      <c r="KGY30" s="546"/>
      <c r="KGZ30" s="546"/>
      <c r="KHA30" s="546"/>
      <c r="KHB30" s="546"/>
      <c r="KHC30" s="546"/>
      <c r="KHD30" s="546"/>
      <c r="KHE30" s="546"/>
      <c r="KHF30" s="546"/>
      <c r="KHG30" s="546"/>
      <c r="KHH30" s="546"/>
      <c r="KHI30" s="546"/>
      <c r="KHJ30" s="546"/>
      <c r="KHK30" s="546"/>
      <c r="KHL30" s="546"/>
      <c r="KHM30" s="546"/>
      <c r="KHN30" s="546"/>
      <c r="KHO30" s="546"/>
      <c r="KHP30" s="546"/>
      <c r="KHQ30" s="546"/>
      <c r="KHR30" s="546"/>
      <c r="KHS30" s="546"/>
      <c r="KHT30" s="546"/>
      <c r="KHU30" s="546"/>
      <c r="KHV30" s="546"/>
      <c r="KHW30" s="546"/>
      <c r="KHX30" s="546"/>
      <c r="KHY30" s="546"/>
      <c r="KHZ30" s="546"/>
      <c r="KIA30" s="546"/>
      <c r="KIB30" s="546"/>
      <c r="KIC30" s="546"/>
      <c r="KID30" s="546"/>
      <c r="KIE30" s="546"/>
      <c r="KIF30" s="546"/>
      <c r="KIG30" s="546"/>
      <c r="KIH30" s="546"/>
      <c r="KII30" s="546"/>
      <c r="KIJ30" s="546"/>
      <c r="KIK30" s="546"/>
      <c r="KIL30" s="546"/>
      <c r="KIM30" s="546"/>
      <c r="KIN30" s="546"/>
      <c r="KIO30" s="546"/>
      <c r="KIP30" s="546"/>
      <c r="KIQ30" s="546"/>
      <c r="KIR30" s="546"/>
      <c r="KIS30" s="546"/>
      <c r="KIT30" s="546"/>
      <c r="KIU30" s="546"/>
      <c r="KIV30" s="546"/>
      <c r="KIW30" s="546"/>
      <c r="KIX30" s="546"/>
      <c r="KIY30" s="546"/>
      <c r="KIZ30" s="546"/>
      <c r="KJA30" s="546"/>
      <c r="KJB30" s="546"/>
      <c r="KJC30" s="546"/>
      <c r="KJD30" s="546"/>
      <c r="KJE30" s="546"/>
      <c r="KJF30" s="546"/>
      <c r="KJG30" s="546"/>
      <c r="KJH30" s="546"/>
      <c r="KJI30" s="546"/>
      <c r="KJJ30" s="546"/>
      <c r="KJK30" s="546"/>
      <c r="KJL30" s="546"/>
      <c r="KJM30" s="546"/>
      <c r="KJN30" s="546"/>
      <c r="KJO30" s="546"/>
      <c r="KJP30" s="546"/>
      <c r="KJQ30" s="546"/>
      <c r="KJR30" s="546"/>
      <c r="KJS30" s="546"/>
      <c r="KJT30" s="546"/>
      <c r="KJU30" s="546"/>
      <c r="KJV30" s="546"/>
      <c r="KJW30" s="546"/>
      <c r="KJX30" s="546"/>
      <c r="KJY30" s="546"/>
      <c r="KJZ30" s="546"/>
      <c r="KKA30" s="546"/>
      <c r="KKB30" s="546"/>
      <c r="KKC30" s="546"/>
      <c r="KKD30" s="546"/>
      <c r="KKE30" s="546"/>
      <c r="KKF30" s="546"/>
      <c r="KKG30" s="546"/>
      <c r="KKH30" s="546"/>
      <c r="KKI30" s="546"/>
      <c r="KKJ30" s="546"/>
      <c r="KKK30" s="546"/>
      <c r="KKL30" s="546"/>
      <c r="KKM30" s="546"/>
      <c r="KKN30" s="546"/>
      <c r="KKO30" s="546"/>
      <c r="KKP30" s="546"/>
      <c r="KKQ30" s="546"/>
      <c r="KKR30" s="546"/>
      <c r="KKS30" s="546"/>
      <c r="KKT30" s="546"/>
      <c r="KKU30" s="546"/>
      <c r="KKV30" s="546"/>
      <c r="KKW30" s="546"/>
      <c r="KKX30" s="546"/>
      <c r="KKY30" s="546"/>
      <c r="KKZ30" s="546"/>
      <c r="KLA30" s="546"/>
      <c r="KLB30" s="546"/>
      <c r="KLC30" s="546"/>
      <c r="KLD30" s="546"/>
      <c r="KLE30" s="546"/>
      <c r="KLF30" s="546"/>
      <c r="KLG30" s="546"/>
      <c r="KLH30" s="546"/>
      <c r="KLI30" s="546"/>
      <c r="KLJ30" s="546"/>
      <c r="KLK30" s="546"/>
      <c r="KLL30" s="546"/>
      <c r="KLM30" s="546"/>
      <c r="KLN30" s="546"/>
      <c r="KLO30" s="546"/>
      <c r="KLP30" s="546"/>
      <c r="KLQ30" s="546"/>
      <c r="KLR30" s="546"/>
      <c r="KLS30" s="546"/>
      <c r="KLT30" s="546"/>
      <c r="KLU30" s="546"/>
      <c r="KLV30" s="546"/>
      <c r="KLW30" s="546"/>
      <c r="KLX30" s="546"/>
      <c r="KLY30" s="546"/>
      <c r="KLZ30" s="546"/>
      <c r="KMA30" s="546"/>
      <c r="KMB30" s="546"/>
      <c r="KMC30" s="546"/>
      <c r="KMD30" s="546"/>
      <c r="KME30" s="546"/>
      <c r="KMF30" s="546"/>
      <c r="KMG30" s="546"/>
      <c r="KMH30" s="546"/>
      <c r="KMI30" s="546"/>
      <c r="KMJ30" s="546"/>
      <c r="KMK30" s="546"/>
      <c r="KML30" s="546"/>
      <c r="KMM30" s="546"/>
      <c r="KMN30" s="546"/>
      <c r="KMO30" s="546"/>
      <c r="KMP30" s="546"/>
      <c r="KMQ30" s="546"/>
      <c r="KMR30" s="546"/>
      <c r="KMS30" s="546"/>
      <c r="KMT30" s="546"/>
      <c r="KMU30" s="546"/>
      <c r="KMV30" s="546"/>
      <c r="KMW30" s="546"/>
      <c r="KMX30" s="546"/>
      <c r="KMY30" s="546"/>
      <c r="KMZ30" s="546"/>
      <c r="KNA30" s="546"/>
      <c r="KNB30" s="546"/>
      <c r="KNC30" s="546"/>
      <c r="KND30" s="546"/>
      <c r="KNE30" s="546"/>
      <c r="KNF30" s="546"/>
      <c r="KNG30" s="546"/>
      <c r="KNH30" s="546"/>
      <c r="KNI30" s="546"/>
      <c r="KNJ30" s="546"/>
      <c r="KNK30" s="546"/>
      <c r="KNL30" s="546"/>
      <c r="KNM30" s="546"/>
      <c r="KNN30" s="546"/>
      <c r="KNO30" s="546"/>
      <c r="KNP30" s="546"/>
      <c r="KNQ30" s="546"/>
      <c r="KNR30" s="546"/>
      <c r="KNS30" s="546"/>
      <c r="KNT30" s="546"/>
      <c r="KNU30" s="546"/>
      <c r="KNV30" s="546"/>
      <c r="KNW30" s="546"/>
      <c r="KNX30" s="546"/>
      <c r="KNY30" s="546"/>
      <c r="KNZ30" s="546"/>
      <c r="KOA30" s="546"/>
      <c r="KOB30" s="546"/>
      <c r="KOC30" s="546"/>
      <c r="KOD30" s="546"/>
      <c r="KOE30" s="546"/>
      <c r="KOF30" s="546"/>
      <c r="KOG30" s="546"/>
      <c r="KOH30" s="546"/>
      <c r="KOI30" s="546"/>
      <c r="KOJ30" s="546"/>
      <c r="KOK30" s="546"/>
      <c r="KOL30" s="546"/>
      <c r="KOM30" s="546"/>
      <c r="KON30" s="546"/>
      <c r="KOO30" s="546"/>
      <c r="KOP30" s="546"/>
      <c r="KOQ30" s="546"/>
      <c r="KOR30" s="546"/>
      <c r="KOS30" s="546"/>
      <c r="KOT30" s="546"/>
      <c r="KOU30" s="546"/>
      <c r="KOV30" s="546"/>
      <c r="KOW30" s="546"/>
      <c r="KOX30" s="546"/>
      <c r="KOY30" s="546"/>
      <c r="KOZ30" s="546"/>
      <c r="KPA30" s="546"/>
      <c r="KPB30" s="546"/>
      <c r="KPC30" s="546"/>
      <c r="KPD30" s="546"/>
      <c r="KPE30" s="546"/>
      <c r="KPF30" s="546"/>
      <c r="KPG30" s="546"/>
      <c r="KPH30" s="546"/>
      <c r="KPI30" s="546"/>
      <c r="KPJ30" s="546"/>
      <c r="KPK30" s="546"/>
      <c r="KPL30" s="546"/>
      <c r="KPM30" s="546"/>
      <c r="KPN30" s="546"/>
      <c r="KPO30" s="546"/>
      <c r="KPP30" s="546"/>
      <c r="KPQ30" s="546"/>
      <c r="KPR30" s="546"/>
      <c r="KPS30" s="546"/>
      <c r="KPT30" s="546"/>
      <c r="KPU30" s="546"/>
      <c r="KPV30" s="546"/>
      <c r="KPW30" s="546"/>
      <c r="KPX30" s="546"/>
      <c r="KPY30" s="546"/>
      <c r="KPZ30" s="546"/>
      <c r="KQA30" s="546"/>
      <c r="KQB30" s="546"/>
      <c r="KQC30" s="546"/>
      <c r="KQD30" s="546"/>
      <c r="KQE30" s="546"/>
      <c r="KQF30" s="546"/>
      <c r="KQG30" s="546"/>
      <c r="KQH30" s="546"/>
      <c r="KQI30" s="546"/>
      <c r="KQJ30" s="546"/>
      <c r="KQK30" s="546"/>
      <c r="KQL30" s="546"/>
      <c r="KQM30" s="546"/>
      <c r="KQN30" s="546"/>
      <c r="KQO30" s="546"/>
      <c r="KQP30" s="546"/>
      <c r="KQQ30" s="546"/>
      <c r="KQR30" s="546"/>
      <c r="KQS30" s="546"/>
      <c r="KQT30" s="546"/>
      <c r="KQU30" s="546"/>
      <c r="KQV30" s="546"/>
      <c r="KQW30" s="546"/>
      <c r="KQX30" s="546"/>
      <c r="KQY30" s="546"/>
      <c r="KQZ30" s="546"/>
      <c r="KRA30" s="546"/>
      <c r="KRB30" s="546"/>
      <c r="KRC30" s="546"/>
      <c r="KRD30" s="546"/>
      <c r="KRE30" s="546"/>
      <c r="KRF30" s="546"/>
      <c r="KRG30" s="546"/>
      <c r="KRH30" s="546"/>
      <c r="KRI30" s="546"/>
      <c r="KRJ30" s="546"/>
      <c r="KRK30" s="546"/>
      <c r="KRL30" s="546"/>
      <c r="KRM30" s="546"/>
      <c r="KRN30" s="546"/>
      <c r="KRO30" s="546"/>
      <c r="KRP30" s="546"/>
      <c r="KRQ30" s="546"/>
      <c r="KRR30" s="546"/>
      <c r="KRS30" s="546"/>
      <c r="KRT30" s="546"/>
      <c r="KRU30" s="546"/>
      <c r="KRV30" s="546"/>
      <c r="KRW30" s="546"/>
      <c r="KRX30" s="546"/>
      <c r="KRY30" s="546"/>
      <c r="KRZ30" s="546"/>
      <c r="KSA30" s="546"/>
      <c r="KSB30" s="546"/>
      <c r="KSC30" s="546"/>
      <c r="KSD30" s="546"/>
      <c r="KSE30" s="546"/>
      <c r="KSF30" s="546"/>
      <c r="KSG30" s="546"/>
      <c r="KSH30" s="546"/>
      <c r="KSI30" s="546"/>
      <c r="KSJ30" s="546"/>
      <c r="KSK30" s="546"/>
      <c r="KSL30" s="546"/>
      <c r="KSM30" s="546"/>
      <c r="KSN30" s="546"/>
      <c r="KSO30" s="546"/>
      <c r="KSP30" s="546"/>
      <c r="KSQ30" s="546"/>
      <c r="KSR30" s="546"/>
      <c r="KSS30" s="546"/>
      <c r="KST30" s="546"/>
      <c r="KSU30" s="546"/>
      <c r="KSV30" s="546"/>
      <c r="KSW30" s="546"/>
      <c r="KSX30" s="546"/>
      <c r="KSY30" s="546"/>
      <c r="KSZ30" s="546"/>
      <c r="KTA30" s="546"/>
      <c r="KTB30" s="546"/>
      <c r="KTC30" s="546"/>
      <c r="KTD30" s="546"/>
      <c r="KTE30" s="546"/>
      <c r="KTF30" s="546"/>
      <c r="KTG30" s="546"/>
      <c r="KTH30" s="546"/>
      <c r="KTI30" s="546"/>
      <c r="KTJ30" s="546"/>
      <c r="KTK30" s="546"/>
      <c r="KTL30" s="546"/>
      <c r="KTM30" s="546"/>
      <c r="KTN30" s="546"/>
      <c r="KTO30" s="546"/>
      <c r="KTP30" s="546"/>
      <c r="KTQ30" s="546"/>
      <c r="KTR30" s="546"/>
      <c r="KTS30" s="546"/>
      <c r="KTT30" s="546"/>
      <c r="KTU30" s="546"/>
      <c r="KTV30" s="546"/>
      <c r="KTW30" s="546"/>
      <c r="KTX30" s="546"/>
      <c r="KTY30" s="546"/>
      <c r="KTZ30" s="546"/>
      <c r="KUA30" s="546"/>
      <c r="KUB30" s="546"/>
      <c r="KUC30" s="546"/>
      <c r="KUD30" s="546"/>
      <c r="KUE30" s="546"/>
      <c r="KUF30" s="546"/>
      <c r="KUG30" s="546"/>
      <c r="KUH30" s="546"/>
      <c r="KUI30" s="546"/>
      <c r="KUJ30" s="546"/>
      <c r="KUK30" s="546"/>
      <c r="KUL30" s="546"/>
      <c r="KUM30" s="546"/>
      <c r="KUN30" s="546"/>
      <c r="KUO30" s="546"/>
      <c r="KUP30" s="546"/>
      <c r="KUQ30" s="546"/>
      <c r="KUR30" s="546"/>
      <c r="KUS30" s="546"/>
      <c r="KUT30" s="546"/>
      <c r="KUU30" s="546"/>
      <c r="KUV30" s="546"/>
      <c r="KUW30" s="546"/>
      <c r="KUX30" s="546"/>
      <c r="KUY30" s="546"/>
      <c r="KUZ30" s="546"/>
      <c r="KVA30" s="546"/>
      <c r="KVB30" s="546"/>
      <c r="KVC30" s="546"/>
      <c r="KVD30" s="546"/>
      <c r="KVE30" s="546"/>
      <c r="KVF30" s="546"/>
      <c r="KVG30" s="546"/>
      <c r="KVH30" s="546"/>
      <c r="KVI30" s="546"/>
      <c r="KVJ30" s="546"/>
      <c r="KVK30" s="546"/>
      <c r="KVL30" s="546"/>
      <c r="KVM30" s="546"/>
      <c r="KVN30" s="546"/>
      <c r="KVO30" s="546"/>
      <c r="KVP30" s="546"/>
      <c r="KVQ30" s="546"/>
      <c r="KVR30" s="546"/>
      <c r="KVS30" s="546"/>
      <c r="KVT30" s="546"/>
      <c r="KVU30" s="546"/>
      <c r="KVV30" s="546"/>
      <c r="KVW30" s="546"/>
      <c r="KVX30" s="546"/>
      <c r="KVY30" s="546"/>
      <c r="KVZ30" s="546"/>
      <c r="KWA30" s="546"/>
      <c r="KWB30" s="546"/>
      <c r="KWC30" s="546"/>
      <c r="KWD30" s="546"/>
      <c r="KWE30" s="546"/>
      <c r="KWF30" s="546"/>
      <c r="KWG30" s="546"/>
      <c r="KWH30" s="546"/>
      <c r="KWI30" s="546"/>
      <c r="KWJ30" s="546"/>
      <c r="KWK30" s="546"/>
      <c r="KWL30" s="546"/>
      <c r="KWM30" s="546"/>
      <c r="KWN30" s="546"/>
      <c r="KWO30" s="546"/>
      <c r="KWP30" s="546"/>
      <c r="KWQ30" s="546"/>
      <c r="KWR30" s="546"/>
      <c r="KWS30" s="546"/>
      <c r="KWT30" s="546"/>
      <c r="KWU30" s="546"/>
      <c r="KWV30" s="546"/>
      <c r="KWW30" s="546"/>
      <c r="KWX30" s="546"/>
      <c r="KWY30" s="546"/>
      <c r="KWZ30" s="546"/>
      <c r="KXA30" s="546"/>
      <c r="KXB30" s="546"/>
      <c r="KXC30" s="546"/>
      <c r="KXD30" s="546"/>
      <c r="KXE30" s="546"/>
      <c r="KXF30" s="546"/>
      <c r="KXG30" s="546"/>
      <c r="KXH30" s="546"/>
      <c r="KXI30" s="546"/>
      <c r="KXJ30" s="546"/>
      <c r="KXK30" s="546"/>
      <c r="KXL30" s="546"/>
      <c r="KXM30" s="546"/>
      <c r="KXN30" s="546"/>
      <c r="KXO30" s="546"/>
      <c r="KXP30" s="546"/>
      <c r="KXQ30" s="546"/>
      <c r="KXR30" s="546"/>
      <c r="KXS30" s="546"/>
      <c r="KXT30" s="546"/>
      <c r="KXU30" s="546"/>
      <c r="KXV30" s="546"/>
      <c r="KXW30" s="546"/>
      <c r="KXX30" s="546"/>
      <c r="KXY30" s="546"/>
      <c r="KXZ30" s="546"/>
      <c r="KYA30" s="546"/>
      <c r="KYB30" s="546"/>
      <c r="KYC30" s="546"/>
      <c r="KYD30" s="546"/>
      <c r="KYE30" s="546"/>
      <c r="KYF30" s="546"/>
      <c r="KYG30" s="546"/>
      <c r="KYH30" s="546"/>
      <c r="KYI30" s="546"/>
      <c r="KYJ30" s="546"/>
      <c r="KYK30" s="546"/>
      <c r="KYL30" s="546"/>
      <c r="KYM30" s="546"/>
      <c r="KYN30" s="546"/>
      <c r="KYO30" s="546"/>
      <c r="KYP30" s="546"/>
      <c r="KYQ30" s="546"/>
      <c r="KYR30" s="546"/>
      <c r="KYS30" s="546"/>
      <c r="KYT30" s="546"/>
      <c r="KYU30" s="546"/>
      <c r="KYV30" s="546"/>
      <c r="KYW30" s="546"/>
      <c r="KYX30" s="546"/>
      <c r="KYY30" s="546"/>
      <c r="KYZ30" s="546"/>
      <c r="KZA30" s="546"/>
      <c r="KZB30" s="546"/>
      <c r="KZC30" s="546"/>
      <c r="KZD30" s="546"/>
      <c r="KZE30" s="546"/>
      <c r="KZF30" s="546"/>
      <c r="KZG30" s="546"/>
      <c r="KZH30" s="546"/>
      <c r="KZI30" s="546"/>
      <c r="KZJ30" s="546"/>
      <c r="KZK30" s="546"/>
      <c r="KZL30" s="546"/>
      <c r="KZM30" s="546"/>
      <c r="KZN30" s="546"/>
      <c r="KZO30" s="546"/>
      <c r="KZP30" s="546"/>
      <c r="KZQ30" s="546"/>
      <c r="KZR30" s="546"/>
      <c r="KZS30" s="546"/>
      <c r="KZT30" s="546"/>
      <c r="KZU30" s="546"/>
      <c r="KZV30" s="546"/>
      <c r="KZW30" s="546"/>
      <c r="KZX30" s="546"/>
      <c r="KZY30" s="546"/>
      <c r="KZZ30" s="546"/>
      <c r="LAA30" s="546"/>
      <c r="LAB30" s="546"/>
      <c r="LAC30" s="546"/>
      <c r="LAD30" s="546"/>
      <c r="LAE30" s="546"/>
      <c r="LAF30" s="546"/>
      <c r="LAG30" s="546"/>
      <c r="LAH30" s="546"/>
      <c r="LAI30" s="546"/>
      <c r="LAJ30" s="546"/>
      <c r="LAK30" s="546"/>
      <c r="LAL30" s="546"/>
      <c r="LAM30" s="546"/>
      <c r="LAN30" s="546"/>
      <c r="LAO30" s="546"/>
      <c r="LAP30" s="546"/>
      <c r="LAQ30" s="546"/>
      <c r="LAR30" s="546"/>
      <c r="LAS30" s="546"/>
      <c r="LAT30" s="546"/>
      <c r="LAU30" s="546"/>
      <c r="LAV30" s="546"/>
      <c r="LAW30" s="546"/>
      <c r="LAX30" s="546"/>
      <c r="LAY30" s="546"/>
      <c r="LAZ30" s="546"/>
      <c r="LBA30" s="546"/>
      <c r="LBB30" s="546"/>
      <c r="LBC30" s="546"/>
      <c r="LBD30" s="546"/>
      <c r="LBE30" s="546"/>
      <c r="LBF30" s="546"/>
      <c r="LBG30" s="546"/>
      <c r="LBH30" s="546"/>
      <c r="LBI30" s="546"/>
      <c r="LBJ30" s="546"/>
      <c r="LBK30" s="546"/>
      <c r="LBL30" s="546"/>
      <c r="LBM30" s="546"/>
      <c r="LBN30" s="546"/>
      <c r="LBO30" s="546"/>
      <c r="LBP30" s="546"/>
      <c r="LBQ30" s="546"/>
      <c r="LBR30" s="546"/>
      <c r="LBS30" s="546"/>
      <c r="LBT30" s="546"/>
      <c r="LBU30" s="546"/>
      <c r="LBV30" s="546"/>
      <c r="LBW30" s="546"/>
      <c r="LBX30" s="546"/>
      <c r="LBY30" s="546"/>
      <c r="LBZ30" s="546"/>
      <c r="LCA30" s="546"/>
      <c r="LCB30" s="546"/>
      <c r="LCC30" s="546"/>
      <c r="LCD30" s="546"/>
      <c r="LCE30" s="546"/>
      <c r="LCF30" s="546"/>
      <c r="LCG30" s="546"/>
      <c r="LCH30" s="546"/>
      <c r="LCI30" s="546"/>
      <c r="LCJ30" s="546"/>
      <c r="LCK30" s="546"/>
      <c r="LCL30" s="546"/>
      <c r="LCM30" s="546"/>
      <c r="LCN30" s="546"/>
      <c r="LCO30" s="546"/>
      <c r="LCP30" s="546"/>
      <c r="LCQ30" s="546"/>
      <c r="LCR30" s="546"/>
      <c r="LCS30" s="546"/>
      <c r="LCT30" s="546"/>
      <c r="LCU30" s="546"/>
      <c r="LCV30" s="546"/>
      <c r="LCW30" s="546"/>
      <c r="LCX30" s="546"/>
      <c r="LCY30" s="546"/>
      <c r="LCZ30" s="546"/>
      <c r="LDA30" s="546"/>
      <c r="LDB30" s="546"/>
      <c r="LDC30" s="546"/>
      <c r="LDD30" s="546"/>
      <c r="LDE30" s="546"/>
      <c r="LDF30" s="546"/>
      <c r="LDG30" s="546"/>
      <c r="LDH30" s="546"/>
      <c r="LDI30" s="546"/>
      <c r="LDJ30" s="546"/>
      <c r="LDK30" s="546"/>
      <c r="LDL30" s="546"/>
      <c r="LDM30" s="546"/>
      <c r="LDN30" s="546"/>
      <c r="LDO30" s="546"/>
      <c r="LDP30" s="546"/>
      <c r="LDQ30" s="546"/>
      <c r="LDR30" s="546"/>
      <c r="LDS30" s="546"/>
      <c r="LDT30" s="546"/>
      <c r="LDU30" s="546"/>
      <c r="LDV30" s="546"/>
      <c r="LDW30" s="546"/>
      <c r="LDX30" s="546"/>
      <c r="LDY30" s="546"/>
      <c r="LDZ30" s="546"/>
      <c r="LEA30" s="546"/>
      <c r="LEB30" s="546"/>
      <c r="LEC30" s="546"/>
      <c r="LED30" s="546"/>
      <c r="LEE30" s="546"/>
      <c r="LEF30" s="546"/>
      <c r="LEG30" s="546"/>
      <c r="LEH30" s="546"/>
      <c r="LEI30" s="546"/>
      <c r="LEJ30" s="546"/>
      <c r="LEK30" s="546"/>
      <c r="LEL30" s="546"/>
      <c r="LEM30" s="546"/>
      <c r="LEN30" s="546"/>
      <c r="LEO30" s="546"/>
      <c r="LEP30" s="546"/>
      <c r="LEQ30" s="546"/>
      <c r="LER30" s="546"/>
      <c r="LES30" s="546"/>
      <c r="LET30" s="546"/>
      <c r="LEU30" s="546"/>
      <c r="LEV30" s="546"/>
      <c r="LEW30" s="546"/>
      <c r="LEX30" s="546"/>
      <c r="LEY30" s="546"/>
      <c r="LEZ30" s="546"/>
      <c r="LFA30" s="546"/>
      <c r="LFB30" s="546"/>
      <c r="LFC30" s="546"/>
      <c r="LFD30" s="546"/>
      <c r="LFE30" s="546"/>
      <c r="LFF30" s="546"/>
      <c r="LFG30" s="546"/>
      <c r="LFH30" s="546"/>
      <c r="LFI30" s="546"/>
      <c r="LFJ30" s="546"/>
      <c r="LFK30" s="546"/>
      <c r="LFL30" s="546"/>
      <c r="LFM30" s="546"/>
      <c r="LFN30" s="546"/>
      <c r="LFO30" s="546"/>
      <c r="LFP30" s="546"/>
      <c r="LFQ30" s="546"/>
      <c r="LFR30" s="546"/>
      <c r="LFS30" s="546"/>
      <c r="LFT30" s="546"/>
      <c r="LFU30" s="546"/>
      <c r="LFV30" s="546"/>
      <c r="LFW30" s="546"/>
      <c r="LFX30" s="546"/>
      <c r="LFY30" s="546"/>
      <c r="LFZ30" s="546"/>
      <c r="LGA30" s="546"/>
      <c r="LGB30" s="546"/>
      <c r="LGC30" s="546"/>
      <c r="LGD30" s="546"/>
      <c r="LGE30" s="546"/>
      <c r="LGF30" s="546"/>
      <c r="LGG30" s="546"/>
      <c r="LGH30" s="546"/>
      <c r="LGI30" s="546"/>
      <c r="LGJ30" s="546"/>
      <c r="LGK30" s="546"/>
      <c r="LGL30" s="546"/>
      <c r="LGM30" s="546"/>
      <c r="LGN30" s="546"/>
      <c r="LGO30" s="546"/>
      <c r="LGP30" s="546"/>
      <c r="LGQ30" s="546"/>
      <c r="LGR30" s="546"/>
      <c r="LGS30" s="546"/>
      <c r="LGT30" s="546"/>
      <c r="LGU30" s="546"/>
      <c r="LGV30" s="546"/>
      <c r="LGW30" s="546"/>
      <c r="LGX30" s="546"/>
      <c r="LGY30" s="546"/>
      <c r="LGZ30" s="546"/>
      <c r="LHA30" s="546"/>
      <c r="LHB30" s="546"/>
      <c r="LHC30" s="546"/>
      <c r="LHD30" s="546"/>
      <c r="LHE30" s="546"/>
      <c r="LHF30" s="546"/>
      <c r="LHG30" s="546"/>
      <c r="LHH30" s="546"/>
      <c r="LHI30" s="546"/>
      <c r="LHJ30" s="546"/>
      <c r="LHK30" s="546"/>
      <c r="LHL30" s="546"/>
      <c r="LHM30" s="546"/>
      <c r="LHN30" s="546"/>
      <c r="LHO30" s="546"/>
      <c r="LHP30" s="546"/>
      <c r="LHQ30" s="546"/>
      <c r="LHR30" s="546"/>
      <c r="LHS30" s="546"/>
      <c r="LHT30" s="546"/>
      <c r="LHU30" s="546"/>
      <c r="LHV30" s="546"/>
      <c r="LHW30" s="546"/>
      <c r="LHX30" s="546"/>
      <c r="LHY30" s="546"/>
      <c r="LHZ30" s="546"/>
      <c r="LIA30" s="546"/>
      <c r="LIB30" s="546"/>
      <c r="LIC30" s="546"/>
      <c r="LID30" s="546"/>
      <c r="LIE30" s="546"/>
      <c r="LIF30" s="546"/>
      <c r="LIG30" s="546"/>
      <c r="LIH30" s="546"/>
      <c r="LII30" s="546"/>
      <c r="LIJ30" s="546"/>
      <c r="LIK30" s="546"/>
      <c r="LIL30" s="546"/>
      <c r="LIM30" s="546"/>
      <c r="LIN30" s="546"/>
      <c r="LIO30" s="546"/>
      <c r="LIP30" s="546"/>
      <c r="LIQ30" s="546"/>
      <c r="LIR30" s="546"/>
      <c r="LIS30" s="546"/>
      <c r="LIT30" s="546"/>
      <c r="LIU30" s="546"/>
      <c r="LIV30" s="546"/>
      <c r="LIW30" s="546"/>
      <c r="LIX30" s="546"/>
      <c r="LIY30" s="546"/>
      <c r="LIZ30" s="546"/>
      <c r="LJA30" s="546"/>
      <c r="LJB30" s="546"/>
      <c r="LJC30" s="546"/>
      <c r="LJD30" s="546"/>
      <c r="LJE30" s="546"/>
      <c r="LJF30" s="546"/>
      <c r="LJG30" s="546"/>
      <c r="LJH30" s="546"/>
      <c r="LJI30" s="546"/>
      <c r="LJJ30" s="546"/>
      <c r="LJK30" s="546"/>
      <c r="LJL30" s="546"/>
      <c r="LJM30" s="546"/>
      <c r="LJN30" s="546"/>
      <c r="LJO30" s="546"/>
      <c r="LJP30" s="546"/>
      <c r="LJQ30" s="546"/>
      <c r="LJR30" s="546"/>
      <c r="LJS30" s="546"/>
      <c r="LJT30" s="546"/>
      <c r="LJU30" s="546"/>
      <c r="LJV30" s="546"/>
      <c r="LJW30" s="546"/>
      <c r="LJX30" s="546"/>
      <c r="LJY30" s="546"/>
      <c r="LJZ30" s="546"/>
      <c r="LKA30" s="546"/>
      <c r="LKB30" s="546"/>
      <c r="LKC30" s="546"/>
      <c r="LKD30" s="546"/>
      <c r="LKE30" s="546"/>
      <c r="LKF30" s="546"/>
      <c r="LKG30" s="546"/>
      <c r="LKH30" s="546"/>
      <c r="LKI30" s="546"/>
      <c r="LKJ30" s="546"/>
      <c r="LKK30" s="546"/>
      <c r="LKL30" s="546"/>
      <c r="LKM30" s="546"/>
      <c r="LKN30" s="546"/>
      <c r="LKO30" s="546"/>
      <c r="LKP30" s="546"/>
      <c r="LKQ30" s="546"/>
      <c r="LKR30" s="546"/>
      <c r="LKS30" s="546"/>
      <c r="LKT30" s="546"/>
      <c r="LKU30" s="546"/>
      <c r="LKV30" s="546"/>
      <c r="LKW30" s="546"/>
      <c r="LKX30" s="546"/>
      <c r="LKY30" s="546"/>
      <c r="LKZ30" s="546"/>
      <c r="LLA30" s="546"/>
      <c r="LLB30" s="546"/>
      <c r="LLC30" s="546"/>
      <c r="LLD30" s="546"/>
      <c r="LLE30" s="546"/>
      <c r="LLF30" s="546"/>
      <c r="LLG30" s="546"/>
      <c r="LLH30" s="546"/>
      <c r="LLI30" s="546"/>
      <c r="LLJ30" s="546"/>
      <c r="LLK30" s="546"/>
      <c r="LLL30" s="546"/>
      <c r="LLM30" s="546"/>
      <c r="LLN30" s="546"/>
      <c r="LLO30" s="546"/>
      <c r="LLP30" s="546"/>
      <c r="LLQ30" s="546"/>
      <c r="LLR30" s="546"/>
      <c r="LLS30" s="546"/>
      <c r="LLT30" s="546"/>
      <c r="LLU30" s="546"/>
      <c r="LLV30" s="546"/>
      <c r="LLW30" s="546"/>
      <c r="LLX30" s="546"/>
      <c r="LLY30" s="546"/>
      <c r="LLZ30" s="546"/>
      <c r="LMA30" s="546"/>
      <c r="LMB30" s="546"/>
      <c r="LMC30" s="546"/>
      <c r="LMD30" s="546"/>
      <c r="LME30" s="546"/>
      <c r="LMF30" s="546"/>
      <c r="LMG30" s="546"/>
      <c r="LMH30" s="546"/>
      <c r="LMI30" s="546"/>
      <c r="LMJ30" s="546"/>
      <c r="LMK30" s="546"/>
      <c r="LML30" s="546"/>
      <c r="LMM30" s="546"/>
      <c r="LMN30" s="546"/>
      <c r="LMO30" s="546"/>
      <c r="LMP30" s="546"/>
      <c r="LMQ30" s="546"/>
      <c r="LMR30" s="546"/>
      <c r="LMS30" s="546"/>
      <c r="LMT30" s="546"/>
      <c r="LMU30" s="546"/>
      <c r="LMV30" s="546"/>
      <c r="LMW30" s="546"/>
      <c r="LMX30" s="546"/>
      <c r="LMY30" s="546"/>
      <c r="LMZ30" s="546"/>
      <c r="LNA30" s="546"/>
      <c r="LNB30" s="546"/>
      <c r="LNC30" s="546"/>
      <c r="LND30" s="546"/>
      <c r="LNE30" s="546"/>
      <c r="LNF30" s="546"/>
      <c r="LNG30" s="546"/>
      <c r="LNH30" s="546"/>
      <c r="LNI30" s="546"/>
      <c r="LNJ30" s="546"/>
      <c r="LNK30" s="546"/>
      <c r="LNL30" s="546"/>
      <c r="LNM30" s="546"/>
      <c r="LNN30" s="546"/>
      <c r="LNO30" s="546"/>
      <c r="LNP30" s="546"/>
      <c r="LNQ30" s="546"/>
      <c r="LNR30" s="546"/>
      <c r="LNS30" s="546"/>
      <c r="LNT30" s="546"/>
      <c r="LNU30" s="546"/>
      <c r="LNV30" s="546"/>
      <c r="LNW30" s="546"/>
      <c r="LNX30" s="546"/>
      <c r="LNY30" s="546"/>
      <c r="LNZ30" s="546"/>
      <c r="LOA30" s="546"/>
      <c r="LOB30" s="546"/>
      <c r="LOC30" s="546"/>
      <c r="LOD30" s="546"/>
      <c r="LOE30" s="546"/>
      <c r="LOF30" s="546"/>
      <c r="LOG30" s="546"/>
      <c r="LOH30" s="546"/>
      <c r="LOI30" s="546"/>
      <c r="LOJ30" s="546"/>
      <c r="LOK30" s="546"/>
      <c r="LOL30" s="546"/>
      <c r="LOM30" s="546"/>
      <c r="LON30" s="546"/>
      <c r="LOO30" s="546"/>
      <c r="LOP30" s="546"/>
      <c r="LOQ30" s="546"/>
      <c r="LOR30" s="546"/>
      <c r="LOS30" s="546"/>
      <c r="LOT30" s="546"/>
      <c r="LOU30" s="546"/>
      <c r="LOV30" s="546"/>
      <c r="LOW30" s="546"/>
      <c r="LOX30" s="546"/>
      <c r="LOY30" s="546"/>
      <c r="LOZ30" s="546"/>
      <c r="LPA30" s="546"/>
      <c r="LPB30" s="546"/>
      <c r="LPC30" s="546"/>
      <c r="LPD30" s="546"/>
      <c r="LPE30" s="546"/>
      <c r="LPF30" s="546"/>
      <c r="LPG30" s="546"/>
      <c r="LPH30" s="546"/>
      <c r="LPI30" s="546"/>
      <c r="LPJ30" s="546"/>
      <c r="LPK30" s="546"/>
      <c r="LPL30" s="546"/>
      <c r="LPM30" s="546"/>
      <c r="LPN30" s="546"/>
      <c r="LPO30" s="546"/>
      <c r="LPP30" s="546"/>
      <c r="LPQ30" s="546"/>
      <c r="LPR30" s="546"/>
      <c r="LPS30" s="546"/>
      <c r="LPT30" s="546"/>
      <c r="LPU30" s="546"/>
      <c r="LPV30" s="546"/>
      <c r="LPW30" s="546"/>
      <c r="LPX30" s="546"/>
      <c r="LPY30" s="546"/>
      <c r="LPZ30" s="546"/>
      <c r="LQA30" s="546"/>
      <c r="LQB30" s="546"/>
      <c r="LQC30" s="546"/>
      <c r="LQD30" s="546"/>
      <c r="LQE30" s="546"/>
      <c r="LQF30" s="546"/>
      <c r="LQG30" s="546"/>
      <c r="LQH30" s="546"/>
      <c r="LQI30" s="546"/>
      <c r="LQJ30" s="546"/>
      <c r="LQK30" s="546"/>
      <c r="LQL30" s="546"/>
      <c r="LQM30" s="546"/>
      <c r="LQN30" s="546"/>
      <c r="LQO30" s="546"/>
      <c r="LQP30" s="546"/>
      <c r="LQQ30" s="546"/>
      <c r="LQR30" s="546"/>
      <c r="LQS30" s="546"/>
      <c r="LQT30" s="546"/>
      <c r="LQU30" s="546"/>
      <c r="LQV30" s="546"/>
      <c r="LQW30" s="546"/>
      <c r="LQX30" s="546"/>
      <c r="LQY30" s="546"/>
      <c r="LQZ30" s="546"/>
      <c r="LRA30" s="546"/>
      <c r="LRB30" s="546"/>
      <c r="LRC30" s="546"/>
      <c r="LRD30" s="546"/>
      <c r="LRE30" s="546"/>
      <c r="LRF30" s="546"/>
      <c r="LRG30" s="546"/>
      <c r="LRH30" s="546"/>
      <c r="LRI30" s="546"/>
      <c r="LRJ30" s="546"/>
      <c r="LRK30" s="546"/>
      <c r="LRL30" s="546"/>
      <c r="LRM30" s="546"/>
      <c r="LRN30" s="546"/>
      <c r="LRO30" s="546"/>
      <c r="LRP30" s="546"/>
      <c r="LRQ30" s="546"/>
      <c r="LRR30" s="546"/>
      <c r="LRS30" s="546"/>
      <c r="LRT30" s="546"/>
      <c r="LRU30" s="546"/>
      <c r="LRV30" s="546"/>
      <c r="LRW30" s="546"/>
      <c r="LRX30" s="546"/>
      <c r="LRY30" s="546"/>
      <c r="LRZ30" s="546"/>
      <c r="LSA30" s="546"/>
      <c r="LSB30" s="546"/>
      <c r="LSC30" s="546"/>
      <c r="LSD30" s="546"/>
      <c r="LSE30" s="546"/>
      <c r="LSF30" s="546"/>
      <c r="LSG30" s="546"/>
      <c r="LSH30" s="546"/>
      <c r="LSI30" s="546"/>
      <c r="LSJ30" s="546"/>
      <c r="LSK30" s="546"/>
      <c r="LSL30" s="546"/>
      <c r="LSM30" s="546"/>
      <c r="LSN30" s="546"/>
      <c r="LSO30" s="546"/>
      <c r="LSP30" s="546"/>
      <c r="LSQ30" s="546"/>
      <c r="LSR30" s="546"/>
      <c r="LSS30" s="546"/>
      <c r="LST30" s="546"/>
      <c r="LSU30" s="546"/>
      <c r="LSV30" s="546"/>
      <c r="LSW30" s="546"/>
      <c r="LSX30" s="546"/>
      <c r="LSY30" s="546"/>
      <c r="LSZ30" s="546"/>
      <c r="LTA30" s="546"/>
      <c r="LTB30" s="546"/>
      <c r="LTC30" s="546"/>
      <c r="LTD30" s="546"/>
      <c r="LTE30" s="546"/>
      <c r="LTF30" s="546"/>
      <c r="LTG30" s="546"/>
      <c r="LTH30" s="546"/>
      <c r="LTI30" s="546"/>
      <c r="LTJ30" s="546"/>
      <c r="LTK30" s="546"/>
      <c r="LTL30" s="546"/>
      <c r="LTM30" s="546"/>
      <c r="LTN30" s="546"/>
      <c r="LTO30" s="546"/>
      <c r="LTP30" s="546"/>
      <c r="LTQ30" s="546"/>
      <c r="LTR30" s="546"/>
      <c r="LTS30" s="546"/>
      <c r="LTT30" s="546"/>
      <c r="LTU30" s="546"/>
      <c r="LTV30" s="546"/>
      <c r="LTW30" s="546"/>
      <c r="LTX30" s="546"/>
      <c r="LTY30" s="546"/>
      <c r="LTZ30" s="546"/>
      <c r="LUA30" s="546"/>
      <c r="LUB30" s="546"/>
      <c r="LUC30" s="546"/>
      <c r="LUD30" s="546"/>
      <c r="LUE30" s="546"/>
      <c r="LUF30" s="546"/>
      <c r="LUG30" s="546"/>
      <c r="LUH30" s="546"/>
      <c r="LUI30" s="546"/>
      <c r="LUJ30" s="546"/>
      <c r="LUK30" s="546"/>
      <c r="LUL30" s="546"/>
      <c r="LUM30" s="546"/>
      <c r="LUN30" s="546"/>
      <c r="LUO30" s="546"/>
      <c r="LUP30" s="546"/>
      <c r="LUQ30" s="546"/>
      <c r="LUR30" s="546"/>
      <c r="LUS30" s="546"/>
      <c r="LUT30" s="546"/>
      <c r="LUU30" s="546"/>
      <c r="LUV30" s="546"/>
      <c r="LUW30" s="546"/>
      <c r="LUX30" s="546"/>
      <c r="LUY30" s="546"/>
      <c r="LUZ30" s="546"/>
      <c r="LVA30" s="546"/>
      <c r="LVB30" s="546"/>
      <c r="LVC30" s="546"/>
      <c r="LVD30" s="546"/>
      <c r="LVE30" s="546"/>
      <c r="LVF30" s="546"/>
      <c r="LVG30" s="546"/>
      <c r="LVH30" s="546"/>
      <c r="LVI30" s="546"/>
      <c r="LVJ30" s="546"/>
      <c r="LVK30" s="546"/>
      <c r="LVL30" s="546"/>
      <c r="LVM30" s="546"/>
      <c r="LVN30" s="546"/>
      <c r="LVO30" s="546"/>
      <c r="LVP30" s="546"/>
      <c r="LVQ30" s="546"/>
      <c r="LVR30" s="546"/>
      <c r="LVS30" s="546"/>
      <c r="LVT30" s="546"/>
      <c r="LVU30" s="546"/>
      <c r="LVV30" s="546"/>
      <c r="LVW30" s="546"/>
      <c r="LVX30" s="546"/>
      <c r="LVY30" s="546"/>
      <c r="LVZ30" s="546"/>
      <c r="LWA30" s="546"/>
      <c r="LWB30" s="546"/>
      <c r="LWC30" s="546"/>
      <c r="LWD30" s="546"/>
      <c r="LWE30" s="546"/>
      <c r="LWF30" s="546"/>
      <c r="LWG30" s="546"/>
      <c r="LWH30" s="546"/>
      <c r="LWI30" s="546"/>
      <c r="LWJ30" s="546"/>
      <c r="LWK30" s="546"/>
      <c r="LWL30" s="546"/>
      <c r="LWM30" s="546"/>
      <c r="LWN30" s="546"/>
      <c r="LWO30" s="546"/>
      <c r="LWP30" s="546"/>
      <c r="LWQ30" s="546"/>
      <c r="LWR30" s="546"/>
      <c r="LWS30" s="546"/>
      <c r="LWT30" s="546"/>
      <c r="LWU30" s="546"/>
      <c r="LWV30" s="546"/>
      <c r="LWW30" s="546"/>
      <c r="LWX30" s="546"/>
      <c r="LWY30" s="546"/>
      <c r="LWZ30" s="546"/>
      <c r="LXA30" s="546"/>
      <c r="LXB30" s="546"/>
      <c r="LXC30" s="546"/>
      <c r="LXD30" s="546"/>
      <c r="LXE30" s="546"/>
      <c r="LXF30" s="546"/>
      <c r="LXG30" s="546"/>
      <c r="LXH30" s="546"/>
      <c r="LXI30" s="546"/>
      <c r="LXJ30" s="546"/>
      <c r="LXK30" s="546"/>
      <c r="LXL30" s="546"/>
      <c r="LXM30" s="546"/>
      <c r="LXN30" s="546"/>
      <c r="LXO30" s="546"/>
      <c r="LXP30" s="546"/>
      <c r="LXQ30" s="546"/>
      <c r="LXR30" s="546"/>
      <c r="LXS30" s="546"/>
      <c r="LXT30" s="546"/>
      <c r="LXU30" s="546"/>
      <c r="LXV30" s="546"/>
      <c r="LXW30" s="546"/>
      <c r="LXX30" s="546"/>
      <c r="LXY30" s="546"/>
      <c r="LXZ30" s="546"/>
      <c r="LYA30" s="546"/>
      <c r="LYB30" s="546"/>
      <c r="LYC30" s="546"/>
      <c r="LYD30" s="546"/>
      <c r="LYE30" s="546"/>
      <c r="LYF30" s="546"/>
      <c r="LYG30" s="546"/>
      <c r="LYH30" s="546"/>
      <c r="LYI30" s="546"/>
      <c r="LYJ30" s="546"/>
      <c r="LYK30" s="546"/>
      <c r="LYL30" s="546"/>
      <c r="LYM30" s="546"/>
      <c r="LYN30" s="546"/>
      <c r="LYO30" s="546"/>
      <c r="LYP30" s="546"/>
      <c r="LYQ30" s="546"/>
      <c r="LYR30" s="546"/>
      <c r="LYS30" s="546"/>
      <c r="LYT30" s="546"/>
      <c r="LYU30" s="546"/>
      <c r="LYV30" s="546"/>
      <c r="LYW30" s="546"/>
      <c r="LYX30" s="546"/>
      <c r="LYY30" s="546"/>
      <c r="LYZ30" s="546"/>
      <c r="LZA30" s="546"/>
      <c r="LZB30" s="546"/>
      <c r="LZC30" s="546"/>
      <c r="LZD30" s="546"/>
      <c r="LZE30" s="546"/>
      <c r="LZF30" s="546"/>
      <c r="LZG30" s="546"/>
      <c r="LZH30" s="546"/>
      <c r="LZI30" s="546"/>
      <c r="LZJ30" s="546"/>
      <c r="LZK30" s="546"/>
      <c r="LZL30" s="546"/>
      <c r="LZM30" s="546"/>
      <c r="LZN30" s="546"/>
      <c r="LZO30" s="546"/>
      <c r="LZP30" s="546"/>
      <c r="LZQ30" s="546"/>
      <c r="LZR30" s="546"/>
      <c r="LZS30" s="546"/>
      <c r="LZT30" s="546"/>
      <c r="LZU30" s="546"/>
      <c r="LZV30" s="546"/>
      <c r="LZW30" s="546"/>
      <c r="LZX30" s="546"/>
      <c r="LZY30" s="546"/>
      <c r="LZZ30" s="546"/>
      <c r="MAA30" s="546"/>
      <c r="MAB30" s="546"/>
      <c r="MAC30" s="546"/>
      <c r="MAD30" s="546"/>
      <c r="MAE30" s="546"/>
      <c r="MAF30" s="546"/>
      <c r="MAG30" s="546"/>
      <c r="MAH30" s="546"/>
      <c r="MAI30" s="546"/>
      <c r="MAJ30" s="546"/>
      <c r="MAK30" s="546"/>
      <c r="MAL30" s="546"/>
      <c r="MAM30" s="546"/>
      <c r="MAN30" s="546"/>
      <c r="MAO30" s="546"/>
      <c r="MAP30" s="546"/>
      <c r="MAQ30" s="546"/>
      <c r="MAR30" s="546"/>
      <c r="MAS30" s="546"/>
      <c r="MAT30" s="546"/>
      <c r="MAU30" s="546"/>
      <c r="MAV30" s="546"/>
      <c r="MAW30" s="546"/>
      <c r="MAX30" s="546"/>
      <c r="MAY30" s="546"/>
      <c r="MAZ30" s="546"/>
      <c r="MBA30" s="546"/>
      <c r="MBB30" s="546"/>
      <c r="MBC30" s="546"/>
      <c r="MBD30" s="546"/>
      <c r="MBE30" s="546"/>
      <c r="MBF30" s="546"/>
      <c r="MBG30" s="546"/>
      <c r="MBH30" s="546"/>
      <c r="MBI30" s="546"/>
      <c r="MBJ30" s="546"/>
      <c r="MBK30" s="546"/>
      <c r="MBL30" s="546"/>
      <c r="MBM30" s="546"/>
      <c r="MBN30" s="546"/>
      <c r="MBO30" s="546"/>
      <c r="MBP30" s="546"/>
      <c r="MBQ30" s="546"/>
      <c r="MBR30" s="546"/>
      <c r="MBS30" s="546"/>
      <c r="MBT30" s="546"/>
      <c r="MBU30" s="546"/>
      <c r="MBV30" s="546"/>
      <c r="MBW30" s="546"/>
      <c r="MBX30" s="546"/>
      <c r="MBY30" s="546"/>
      <c r="MBZ30" s="546"/>
      <c r="MCA30" s="546"/>
      <c r="MCB30" s="546"/>
      <c r="MCC30" s="546"/>
      <c r="MCD30" s="546"/>
      <c r="MCE30" s="546"/>
      <c r="MCF30" s="546"/>
      <c r="MCG30" s="546"/>
      <c r="MCH30" s="546"/>
      <c r="MCI30" s="546"/>
      <c r="MCJ30" s="546"/>
      <c r="MCK30" s="546"/>
      <c r="MCL30" s="546"/>
      <c r="MCM30" s="546"/>
      <c r="MCN30" s="546"/>
      <c r="MCO30" s="546"/>
      <c r="MCP30" s="546"/>
      <c r="MCQ30" s="546"/>
      <c r="MCR30" s="546"/>
      <c r="MCS30" s="546"/>
      <c r="MCT30" s="546"/>
      <c r="MCU30" s="546"/>
      <c r="MCV30" s="546"/>
      <c r="MCW30" s="546"/>
      <c r="MCX30" s="546"/>
      <c r="MCY30" s="546"/>
      <c r="MCZ30" s="546"/>
      <c r="MDA30" s="546"/>
      <c r="MDB30" s="546"/>
      <c r="MDC30" s="546"/>
      <c r="MDD30" s="546"/>
      <c r="MDE30" s="546"/>
      <c r="MDF30" s="546"/>
      <c r="MDG30" s="546"/>
      <c r="MDH30" s="546"/>
      <c r="MDI30" s="546"/>
      <c r="MDJ30" s="546"/>
      <c r="MDK30" s="546"/>
      <c r="MDL30" s="546"/>
      <c r="MDM30" s="546"/>
      <c r="MDN30" s="546"/>
      <c r="MDO30" s="546"/>
      <c r="MDP30" s="546"/>
      <c r="MDQ30" s="546"/>
      <c r="MDR30" s="546"/>
      <c r="MDS30" s="546"/>
      <c r="MDT30" s="546"/>
      <c r="MDU30" s="546"/>
      <c r="MDV30" s="546"/>
      <c r="MDW30" s="546"/>
      <c r="MDX30" s="546"/>
      <c r="MDY30" s="546"/>
      <c r="MDZ30" s="546"/>
      <c r="MEA30" s="546"/>
      <c r="MEB30" s="546"/>
      <c r="MEC30" s="546"/>
      <c r="MED30" s="546"/>
      <c r="MEE30" s="546"/>
      <c r="MEF30" s="546"/>
      <c r="MEG30" s="546"/>
      <c r="MEH30" s="546"/>
      <c r="MEI30" s="546"/>
      <c r="MEJ30" s="546"/>
      <c r="MEK30" s="546"/>
      <c r="MEL30" s="546"/>
      <c r="MEM30" s="546"/>
      <c r="MEN30" s="546"/>
      <c r="MEO30" s="546"/>
      <c r="MEP30" s="546"/>
      <c r="MEQ30" s="546"/>
      <c r="MER30" s="546"/>
      <c r="MES30" s="546"/>
      <c r="MET30" s="546"/>
      <c r="MEU30" s="546"/>
      <c r="MEV30" s="546"/>
      <c r="MEW30" s="546"/>
      <c r="MEX30" s="546"/>
      <c r="MEY30" s="546"/>
      <c r="MEZ30" s="546"/>
      <c r="MFA30" s="546"/>
      <c r="MFB30" s="546"/>
      <c r="MFC30" s="546"/>
      <c r="MFD30" s="546"/>
      <c r="MFE30" s="546"/>
      <c r="MFF30" s="546"/>
      <c r="MFG30" s="546"/>
      <c r="MFH30" s="546"/>
      <c r="MFI30" s="546"/>
      <c r="MFJ30" s="546"/>
      <c r="MFK30" s="546"/>
      <c r="MFL30" s="546"/>
      <c r="MFM30" s="546"/>
      <c r="MFN30" s="546"/>
      <c r="MFO30" s="546"/>
      <c r="MFP30" s="546"/>
      <c r="MFQ30" s="546"/>
      <c r="MFR30" s="546"/>
      <c r="MFS30" s="546"/>
      <c r="MFT30" s="546"/>
      <c r="MFU30" s="546"/>
      <c r="MFV30" s="546"/>
      <c r="MFW30" s="546"/>
      <c r="MFX30" s="546"/>
      <c r="MFY30" s="546"/>
      <c r="MFZ30" s="546"/>
      <c r="MGA30" s="546"/>
      <c r="MGB30" s="546"/>
      <c r="MGC30" s="546"/>
      <c r="MGD30" s="546"/>
      <c r="MGE30" s="546"/>
      <c r="MGF30" s="546"/>
      <c r="MGG30" s="546"/>
      <c r="MGH30" s="546"/>
      <c r="MGI30" s="546"/>
      <c r="MGJ30" s="546"/>
      <c r="MGK30" s="546"/>
      <c r="MGL30" s="546"/>
      <c r="MGM30" s="546"/>
      <c r="MGN30" s="546"/>
      <c r="MGO30" s="546"/>
      <c r="MGP30" s="546"/>
      <c r="MGQ30" s="546"/>
      <c r="MGR30" s="546"/>
      <c r="MGS30" s="546"/>
      <c r="MGT30" s="546"/>
      <c r="MGU30" s="546"/>
      <c r="MGV30" s="546"/>
      <c r="MGW30" s="546"/>
      <c r="MGX30" s="546"/>
      <c r="MGY30" s="546"/>
      <c r="MGZ30" s="546"/>
      <c r="MHA30" s="546"/>
      <c r="MHB30" s="546"/>
      <c r="MHC30" s="546"/>
      <c r="MHD30" s="546"/>
      <c r="MHE30" s="546"/>
      <c r="MHF30" s="546"/>
      <c r="MHG30" s="546"/>
      <c r="MHH30" s="546"/>
      <c r="MHI30" s="546"/>
      <c r="MHJ30" s="546"/>
      <c r="MHK30" s="546"/>
      <c r="MHL30" s="546"/>
      <c r="MHM30" s="546"/>
      <c r="MHN30" s="546"/>
      <c r="MHO30" s="546"/>
      <c r="MHP30" s="546"/>
      <c r="MHQ30" s="546"/>
      <c r="MHR30" s="546"/>
      <c r="MHS30" s="546"/>
      <c r="MHT30" s="546"/>
      <c r="MHU30" s="546"/>
      <c r="MHV30" s="546"/>
      <c r="MHW30" s="546"/>
      <c r="MHX30" s="546"/>
      <c r="MHY30" s="546"/>
      <c r="MHZ30" s="546"/>
      <c r="MIA30" s="546"/>
      <c r="MIB30" s="546"/>
      <c r="MIC30" s="546"/>
      <c r="MID30" s="546"/>
      <c r="MIE30" s="546"/>
      <c r="MIF30" s="546"/>
      <c r="MIG30" s="546"/>
      <c r="MIH30" s="546"/>
      <c r="MII30" s="546"/>
      <c r="MIJ30" s="546"/>
      <c r="MIK30" s="546"/>
      <c r="MIL30" s="546"/>
      <c r="MIM30" s="546"/>
      <c r="MIN30" s="546"/>
      <c r="MIO30" s="546"/>
      <c r="MIP30" s="546"/>
      <c r="MIQ30" s="546"/>
      <c r="MIR30" s="546"/>
      <c r="MIS30" s="546"/>
      <c r="MIT30" s="546"/>
      <c r="MIU30" s="546"/>
      <c r="MIV30" s="546"/>
      <c r="MIW30" s="546"/>
      <c r="MIX30" s="546"/>
      <c r="MIY30" s="546"/>
      <c r="MIZ30" s="546"/>
      <c r="MJA30" s="546"/>
      <c r="MJB30" s="546"/>
      <c r="MJC30" s="546"/>
      <c r="MJD30" s="546"/>
      <c r="MJE30" s="546"/>
      <c r="MJF30" s="546"/>
      <c r="MJG30" s="546"/>
      <c r="MJH30" s="546"/>
      <c r="MJI30" s="546"/>
      <c r="MJJ30" s="546"/>
      <c r="MJK30" s="546"/>
      <c r="MJL30" s="546"/>
      <c r="MJM30" s="546"/>
      <c r="MJN30" s="546"/>
      <c r="MJO30" s="546"/>
      <c r="MJP30" s="546"/>
      <c r="MJQ30" s="546"/>
      <c r="MJR30" s="546"/>
      <c r="MJS30" s="546"/>
      <c r="MJT30" s="546"/>
      <c r="MJU30" s="546"/>
      <c r="MJV30" s="546"/>
      <c r="MJW30" s="546"/>
      <c r="MJX30" s="546"/>
      <c r="MJY30" s="546"/>
      <c r="MJZ30" s="546"/>
      <c r="MKA30" s="546"/>
      <c r="MKB30" s="546"/>
      <c r="MKC30" s="546"/>
      <c r="MKD30" s="546"/>
      <c r="MKE30" s="546"/>
      <c r="MKF30" s="546"/>
      <c r="MKG30" s="546"/>
      <c r="MKH30" s="546"/>
      <c r="MKI30" s="546"/>
      <c r="MKJ30" s="546"/>
      <c r="MKK30" s="546"/>
      <c r="MKL30" s="546"/>
      <c r="MKM30" s="546"/>
      <c r="MKN30" s="546"/>
      <c r="MKO30" s="546"/>
      <c r="MKP30" s="546"/>
      <c r="MKQ30" s="546"/>
      <c r="MKR30" s="546"/>
      <c r="MKS30" s="546"/>
      <c r="MKT30" s="546"/>
      <c r="MKU30" s="546"/>
      <c r="MKV30" s="546"/>
      <c r="MKW30" s="546"/>
      <c r="MKX30" s="546"/>
      <c r="MKY30" s="546"/>
      <c r="MKZ30" s="546"/>
      <c r="MLA30" s="546"/>
      <c r="MLB30" s="546"/>
      <c r="MLC30" s="546"/>
      <c r="MLD30" s="546"/>
      <c r="MLE30" s="546"/>
      <c r="MLF30" s="546"/>
      <c r="MLG30" s="546"/>
      <c r="MLH30" s="546"/>
      <c r="MLI30" s="546"/>
      <c r="MLJ30" s="546"/>
      <c r="MLK30" s="546"/>
      <c r="MLL30" s="546"/>
      <c r="MLM30" s="546"/>
      <c r="MLN30" s="546"/>
      <c r="MLO30" s="546"/>
      <c r="MLP30" s="546"/>
      <c r="MLQ30" s="546"/>
      <c r="MLR30" s="546"/>
      <c r="MLS30" s="546"/>
      <c r="MLT30" s="546"/>
      <c r="MLU30" s="546"/>
      <c r="MLV30" s="546"/>
      <c r="MLW30" s="546"/>
      <c r="MLX30" s="546"/>
      <c r="MLY30" s="546"/>
      <c r="MLZ30" s="546"/>
      <c r="MMA30" s="546"/>
      <c r="MMB30" s="546"/>
      <c r="MMC30" s="546"/>
      <c r="MMD30" s="546"/>
      <c r="MME30" s="546"/>
      <c r="MMF30" s="546"/>
      <c r="MMG30" s="546"/>
      <c r="MMH30" s="546"/>
      <c r="MMI30" s="546"/>
      <c r="MMJ30" s="546"/>
      <c r="MMK30" s="546"/>
      <c r="MML30" s="546"/>
      <c r="MMM30" s="546"/>
      <c r="MMN30" s="546"/>
      <c r="MMO30" s="546"/>
      <c r="MMP30" s="546"/>
      <c r="MMQ30" s="546"/>
      <c r="MMR30" s="546"/>
      <c r="MMS30" s="546"/>
      <c r="MMT30" s="546"/>
      <c r="MMU30" s="546"/>
      <c r="MMV30" s="546"/>
      <c r="MMW30" s="546"/>
      <c r="MMX30" s="546"/>
      <c r="MMY30" s="546"/>
      <c r="MMZ30" s="546"/>
      <c r="MNA30" s="546"/>
      <c r="MNB30" s="546"/>
      <c r="MNC30" s="546"/>
      <c r="MND30" s="546"/>
      <c r="MNE30" s="546"/>
      <c r="MNF30" s="546"/>
      <c r="MNG30" s="546"/>
      <c r="MNH30" s="546"/>
      <c r="MNI30" s="546"/>
      <c r="MNJ30" s="546"/>
      <c r="MNK30" s="546"/>
      <c r="MNL30" s="546"/>
      <c r="MNM30" s="546"/>
      <c r="MNN30" s="546"/>
      <c r="MNO30" s="546"/>
      <c r="MNP30" s="546"/>
      <c r="MNQ30" s="546"/>
      <c r="MNR30" s="546"/>
      <c r="MNS30" s="546"/>
      <c r="MNT30" s="546"/>
      <c r="MNU30" s="546"/>
      <c r="MNV30" s="546"/>
      <c r="MNW30" s="546"/>
      <c r="MNX30" s="546"/>
      <c r="MNY30" s="546"/>
      <c r="MNZ30" s="546"/>
      <c r="MOA30" s="546"/>
      <c r="MOB30" s="546"/>
      <c r="MOC30" s="546"/>
      <c r="MOD30" s="546"/>
      <c r="MOE30" s="546"/>
      <c r="MOF30" s="546"/>
      <c r="MOG30" s="546"/>
      <c r="MOH30" s="546"/>
      <c r="MOI30" s="546"/>
      <c r="MOJ30" s="546"/>
      <c r="MOK30" s="546"/>
      <c r="MOL30" s="546"/>
      <c r="MOM30" s="546"/>
      <c r="MON30" s="546"/>
      <c r="MOO30" s="546"/>
      <c r="MOP30" s="546"/>
      <c r="MOQ30" s="546"/>
      <c r="MOR30" s="546"/>
      <c r="MOS30" s="546"/>
      <c r="MOT30" s="546"/>
      <c r="MOU30" s="546"/>
      <c r="MOV30" s="546"/>
      <c r="MOW30" s="546"/>
      <c r="MOX30" s="546"/>
      <c r="MOY30" s="546"/>
      <c r="MOZ30" s="546"/>
      <c r="MPA30" s="546"/>
      <c r="MPB30" s="546"/>
      <c r="MPC30" s="546"/>
      <c r="MPD30" s="546"/>
      <c r="MPE30" s="546"/>
      <c r="MPF30" s="546"/>
      <c r="MPG30" s="546"/>
      <c r="MPH30" s="546"/>
      <c r="MPI30" s="546"/>
      <c r="MPJ30" s="546"/>
      <c r="MPK30" s="546"/>
      <c r="MPL30" s="546"/>
      <c r="MPM30" s="546"/>
      <c r="MPN30" s="546"/>
      <c r="MPO30" s="546"/>
      <c r="MPP30" s="546"/>
      <c r="MPQ30" s="546"/>
      <c r="MPR30" s="546"/>
      <c r="MPS30" s="546"/>
      <c r="MPT30" s="546"/>
      <c r="MPU30" s="546"/>
      <c r="MPV30" s="546"/>
      <c r="MPW30" s="546"/>
      <c r="MPX30" s="546"/>
      <c r="MPY30" s="546"/>
      <c r="MPZ30" s="546"/>
      <c r="MQA30" s="546"/>
      <c r="MQB30" s="546"/>
      <c r="MQC30" s="546"/>
      <c r="MQD30" s="546"/>
      <c r="MQE30" s="546"/>
      <c r="MQF30" s="546"/>
      <c r="MQG30" s="546"/>
      <c r="MQH30" s="546"/>
      <c r="MQI30" s="546"/>
      <c r="MQJ30" s="546"/>
      <c r="MQK30" s="546"/>
      <c r="MQL30" s="546"/>
      <c r="MQM30" s="546"/>
      <c r="MQN30" s="546"/>
      <c r="MQO30" s="546"/>
      <c r="MQP30" s="546"/>
      <c r="MQQ30" s="546"/>
      <c r="MQR30" s="546"/>
      <c r="MQS30" s="546"/>
      <c r="MQT30" s="546"/>
      <c r="MQU30" s="546"/>
      <c r="MQV30" s="546"/>
      <c r="MQW30" s="546"/>
      <c r="MQX30" s="546"/>
      <c r="MQY30" s="546"/>
      <c r="MQZ30" s="546"/>
      <c r="MRA30" s="546"/>
      <c r="MRB30" s="546"/>
      <c r="MRC30" s="546"/>
      <c r="MRD30" s="546"/>
      <c r="MRE30" s="546"/>
      <c r="MRF30" s="546"/>
      <c r="MRG30" s="546"/>
      <c r="MRH30" s="546"/>
      <c r="MRI30" s="546"/>
      <c r="MRJ30" s="546"/>
      <c r="MRK30" s="546"/>
      <c r="MRL30" s="546"/>
      <c r="MRM30" s="546"/>
      <c r="MRN30" s="546"/>
      <c r="MRO30" s="546"/>
      <c r="MRP30" s="546"/>
      <c r="MRQ30" s="546"/>
      <c r="MRR30" s="546"/>
      <c r="MRS30" s="546"/>
      <c r="MRT30" s="546"/>
      <c r="MRU30" s="546"/>
      <c r="MRV30" s="546"/>
      <c r="MRW30" s="546"/>
      <c r="MRX30" s="546"/>
      <c r="MRY30" s="546"/>
      <c r="MRZ30" s="546"/>
      <c r="MSA30" s="546"/>
      <c r="MSB30" s="546"/>
      <c r="MSC30" s="546"/>
      <c r="MSD30" s="546"/>
      <c r="MSE30" s="546"/>
      <c r="MSF30" s="546"/>
      <c r="MSG30" s="546"/>
      <c r="MSH30" s="546"/>
      <c r="MSI30" s="546"/>
      <c r="MSJ30" s="546"/>
      <c r="MSK30" s="546"/>
      <c r="MSL30" s="546"/>
      <c r="MSM30" s="546"/>
      <c r="MSN30" s="546"/>
      <c r="MSO30" s="546"/>
      <c r="MSP30" s="546"/>
      <c r="MSQ30" s="546"/>
      <c r="MSR30" s="546"/>
      <c r="MSS30" s="546"/>
      <c r="MST30" s="546"/>
      <c r="MSU30" s="546"/>
      <c r="MSV30" s="546"/>
      <c r="MSW30" s="546"/>
      <c r="MSX30" s="546"/>
      <c r="MSY30" s="546"/>
      <c r="MSZ30" s="546"/>
      <c r="MTA30" s="546"/>
      <c r="MTB30" s="546"/>
      <c r="MTC30" s="546"/>
      <c r="MTD30" s="546"/>
      <c r="MTE30" s="546"/>
      <c r="MTF30" s="546"/>
      <c r="MTG30" s="546"/>
      <c r="MTH30" s="546"/>
      <c r="MTI30" s="546"/>
      <c r="MTJ30" s="546"/>
      <c r="MTK30" s="546"/>
      <c r="MTL30" s="546"/>
      <c r="MTM30" s="546"/>
      <c r="MTN30" s="546"/>
      <c r="MTO30" s="546"/>
      <c r="MTP30" s="546"/>
      <c r="MTQ30" s="546"/>
      <c r="MTR30" s="546"/>
      <c r="MTS30" s="546"/>
      <c r="MTT30" s="546"/>
      <c r="MTU30" s="546"/>
      <c r="MTV30" s="546"/>
      <c r="MTW30" s="546"/>
      <c r="MTX30" s="546"/>
      <c r="MTY30" s="546"/>
      <c r="MTZ30" s="546"/>
      <c r="MUA30" s="546"/>
      <c r="MUB30" s="546"/>
      <c r="MUC30" s="546"/>
      <c r="MUD30" s="546"/>
      <c r="MUE30" s="546"/>
      <c r="MUF30" s="546"/>
      <c r="MUG30" s="546"/>
      <c r="MUH30" s="546"/>
      <c r="MUI30" s="546"/>
      <c r="MUJ30" s="546"/>
      <c r="MUK30" s="546"/>
      <c r="MUL30" s="546"/>
      <c r="MUM30" s="546"/>
      <c r="MUN30" s="546"/>
      <c r="MUO30" s="546"/>
      <c r="MUP30" s="546"/>
      <c r="MUQ30" s="546"/>
      <c r="MUR30" s="546"/>
      <c r="MUS30" s="546"/>
      <c r="MUT30" s="546"/>
      <c r="MUU30" s="546"/>
      <c r="MUV30" s="546"/>
      <c r="MUW30" s="546"/>
      <c r="MUX30" s="546"/>
      <c r="MUY30" s="546"/>
      <c r="MUZ30" s="546"/>
      <c r="MVA30" s="546"/>
      <c r="MVB30" s="546"/>
      <c r="MVC30" s="546"/>
      <c r="MVD30" s="546"/>
      <c r="MVE30" s="546"/>
      <c r="MVF30" s="546"/>
      <c r="MVG30" s="546"/>
      <c r="MVH30" s="546"/>
      <c r="MVI30" s="546"/>
      <c r="MVJ30" s="546"/>
      <c r="MVK30" s="546"/>
      <c r="MVL30" s="546"/>
      <c r="MVM30" s="546"/>
      <c r="MVN30" s="546"/>
      <c r="MVO30" s="546"/>
      <c r="MVP30" s="546"/>
      <c r="MVQ30" s="546"/>
      <c r="MVR30" s="546"/>
      <c r="MVS30" s="546"/>
      <c r="MVT30" s="546"/>
      <c r="MVU30" s="546"/>
      <c r="MVV30" s="546"/>
      <c r="MVW30" s="546"/>
      <c r="MVX30" s="546"/>
      <c r="MVY30" s="546"/>
      <c r="MVZ30" s="546"/>
      <c r="MWA30" s="546"/>
      <c r="MWB30" s="546"/>
      <c r="MWC30" s="546"/>
      <c r="MWD30" s="546"/>
      <c r="MWE30" s="546"/>
      <c r="MWF30" s="546"/>
      <c r="MWG30" s="546"/>
      <c r="MWH30" s="546"/>
      <c r="MWI30" s="546"/>
      <c r="MWJ30" s="546"/>
      <c r="MWK30" s="546"/>
      <c r="MWL30" s="546"/>
      <c r="MWM30" s="546"/>
      <c r="MWN30" s="546"/>
      <c r="MWO30" s="546"/>
      <c r="MWP30" s="546"/>
      <c r="MWQ30" s="546"/>
      <c r="MWR30" s="546"/>
      <c r="MWS30" s="546"/>
      <c r="MWT30" s="546"/>
      <c r="MWU30" s="546"/>
      <c r="MWV30" s="546"/>
      <c r="MWW30" s="546"/>
      <c r="MWX30" s="546"/>
      <c r="MWY30" s="546"/>
      <c r="MWZ30" s="546"/>
      <c r="MXA30" s="546"/>
      <c r="MXB30" s="546"/>
      <c r="MXC30" s="546"/>
      <c r="MXD30" s="546"/>
      <c r="MXE30" s="546"/>
      <c r="MXF30" s="546"/>
      <c r="MXG30" s="546"/>
      <c r="MXH30" s="546"/>
      <c r="MXI30" s="546"/>
      <c r="MXJ30" s="546"/>
      <c r="MXK30" s="546"/>
      <c r="MXL30" s="546"/>
      <c r="MXM30" s="546"/>
      <c r="MXN30" s="546"/>
      <c r="MXO30" s="546"/>
      <c r="MXP30" s="546"/>
      <c r="MXQ30" s="546"/>
      <c r="MXR30" s="546"/>
      <c r="MXS30" s="546"/>
      <c r="MXT30" s="546"/>
      <c r="MXU30" s="546"/>
      <c r="MXV30" s="546"/>
      <c r="MXW30" s="546"/>
      <c r="MXX30" s="546"/>
      <c r="MXY30" s="546"/>
      <c r="MXZ30" s="546"/>
      <c r="MYA30" s="546"/>
      <c r="MYB30" s="546"/>
      <c r="MYC30" s="546"/>
      <c r="MYD30" s="546"/>
      <c r="MYE30" s="546"/>
      <c r="MYF30" s="546"/>
      <c r="MYG30" s="546"/>
      <c r="MYH30" s="546"/>
      <c r="MYI30" s="546"/>
      <c r="MYJ30" s="546"/>
      <c r="MYK30" s="546"/>
      <c r="MYL30" s="546"/>
      <c r="MYM30" s="546"/>
      <c r="MYN30" s="546"/>
      <c r="MYO30" s="546"/>
      <c r="MYP30" s="546"/>
      <c r="MYQ30" s="546"/>
      <c r="MYR30" s="546"/>
      <c r="MYS30" s="546"/>
      <c r="MYT30" s="546"/>
      <c r="MYU30" s="546"/>
      <c r="MYV30" s="546"/>
      <c r="MYW30" s="546"/>
      <c r="MYX30" s="546"/>
      <c r="MYY30" s="546"/>
      <c r="MYZ30" s="546"/>
      <c r="MZA30" s="546"/>
      <c r="MZB30" s="546"/>
      <c r="MZC30" s="546"/>
      <c r="MZD30" s="546"/>
      <c r="MZE30" s="546"/>
      <c r="MZF30" s="546"/>
      <c r="MZG30" s="546"/>
      <c r="MZH30" s="546"/>
      <c r="MZI30" s="546"/>
      <c r="MZJ30" s="546"/>
      <c r="MZK30" s="546"/>
      <c r="MZL30" s="546"/>
      <c r="MZM30" s="546"/>
      <c r="MZN30" s="546"/>
      <c r="MZO30" s="546"/>
      <c r="MZP30" s="546"/>
      <c r="MZQ30" s="546"/>
      <c r="MZR30" s="546"/>
      <c r="MZS30" s="546"/>
      <c r="MZT30" s="546"/>
      <c r="MZU30" s="546"/>
      <c r="MZV30" s="546"/>
      <c r="MZW30" s="546"/>
      <c r="MZX30" s="546"/>
      <c r="MZY30" s="546"/>
      <c r="MZZ30" s="546"/>
      <c r="NAA30" s="546"/>
      <c r="NAB30" s="546"/>
      <c r="NAC30" s="546"/>
      <c r="NAD30" s="546"/>
      <c r="NAE30" s="546"/>
      <c r="NAF30" s="546"/>
      <c r="NAG30" s="546"/>
      <c r="NAH30" s="546"/>
      <c r="NAI30" s="546"/>
      <c r="NAJ30" s="546"/>
      <c r="NAK30" s="546"/>
      <c r="NAL30" s="546"/>
      <c r="NAM30" s="546"/>
      <c r="NAN30" s="546"/>
      <c r="NAO30" s="546"/>
      <c r="NAP30" s="546"/>
      <c r="NAQ30" s="546"/>
      <c r="NAR30" s="546"/>
      <c r="NAS30" s="546"/>
      <c r="NAT30" s="546"/>
      <c r="NAU30" s="546"/>
      <c r="NAV30" s="546"/>
      <c r="NAW30" s="546"/>
      <c r="NAX30" s="546"/>
      <c r="NAY30" s="546"/>
      <c r="NAZ30" s="546"/>
      <c r="NBA30" s="546"/>
      <c r="NBB30" s="546"/>
      <c r="NBC30" s="546"/>
      <c r="NBD30" s="546"/>
      <c r="NBE30" s="546"/>
      <c r="NBF30" s="546"/>
      <c r="NBG30" s="546"/>
      <c r="NBH30" s="546"/>
      <c r="NBI30" s="546"/>
      <c r="NBJ30" s="546"/>
      <c r="NBK30" s="546"/>
      <c r="NBL30" s="546"/>
      <c r="NBM30" s="546"/>
      <c r="NBN30" s="546"/>
      <c r="NBO30" s="546"/>
      <c r="NBP30" s="546"/>
      <c r="NBQ30" s="546"/>
      <c r="NBR30" s="546"/>
      <c r="NBS30" s="546"/>
      <c r="NBT30" s="546"/>
      <c r="NBU30" s="546"/>
      <c r="NBV30" s="546"/>
      <c r="NBW30" s="546"/>
      <c r="NBX30" s="546"/>
      <c r="NBY30" s="546"/>
      <c r="NBZ30" s="546"/>
      <c r="NCA30" s="546"/>
      <c r="NCB30" s="546"/>
      <c r="NCC30" s="546"/>
      <c r="NCD30" s="546"/>
      <c r="NCE30" s="546"/>
      <c r="NCF30" s="546"/>
      <c r="NCG30" s="546"/>
      <c r="NCH30" s="546"/>
      <c r="NCI30" s="546"/>
      <c r="NCJ30" s="546"/>
      <c r="NCK30" s="546"/>
      <c r="NCL30" s="546"/>
      <c r="NCM30" s="546"/>
      <c r="NCN30" s="546"/>
      <c r="NCO30" s="546"/>
      <c r="NCP30" s="546"/>
      <c r="NCQ30" s="546"/>
      <c r="NCR30" s="546"/>
      <c r="NCS30" s="546"/>
      <c r="NCT30" s="546"/>
      <c r="NCU30" s="546"/>
      <c r="NCV30" s="546"/>
      <c r="NCW30" s="546"/>
      <c r="NCX30" s="546"/>
      <c r="NCY30" s="546"/>
      <c r="NCZ30" s="546"/>
      <c r="NDA30" s="546"/>
      <c r="NDB30" s="546"/>
      <c r="NDC30" s="546"/>
      <c r="NDD30" s="546"/>
      <c r="NDE30" s="546"/>
      <c r="NDF30" s="546"/>
      <c r="NDG30" s="546"/>
      <c r="NDH30" s="546"/>
      <c r="NDI30" s="546"/>
      <c r="NDJ30" s="546"/>
      <c r="NDK30" s="546"/>
      <c r="NDL30" s="546"/>
      <c r="NDM30" s="546"/>
      <c r="NDN30" s="546"/>
      <c r="NDO30" s="546"/>
      <c r="NDP30" s="546"/>
      <c r="NDQ30" s="546"/>
      <c r="NDR30" s="546"/>
      <c r="NDS30" s="546"/>
      <c r="NDT30" s="546"/>
      <c r="NDU30" s="546"/>
      <c r="NDV30" s="546"/>
      <c r="NDW30" s="546"/>
      <c r="NDX30" s="546"/>
      <c r="NDY30" s="546"/>
      <c r="NDZ30" s="546"/>
      <c r="NEA30" s="546"/>
      <c r="NEB30" s="546"/>
      <c r="NEC30" s="546"/>
      <c r="NED30" s="546"/>
      <c r="NEE30" s="546"/>
      <c r="NEF30" s="546"/>
      <c r="NEG30" s="546"/>
      <c r="NEH30" s="546"/>
      <c r="NEI30" s="546"/>
      <c r="NEJ30" s="546"/>
      <c r="NEK30" s="546"/>
      <c r="NEL30" s="546"/>
      <c r="NEM30" s="546"/>
      <c r="NEN30" s="546"/>
      <c r="NEO30" s="546"/>
      <c r="NEP30" s="546"/>
      <c r="NEQ30" s="546"/>
      <c r="NER30" s="546"/>
      <c r="NES30" s="546"/>
      <c r="NET30" s="546"/>
      <c r="NEU30" s="546"/>
      <c r="NEV30" s="546"/>
      <c r="NEW30" s="546"/>
      <c r="NEX30" s="546"/>
      <c r="NEY30" s="546"/>
      <c r="NEZ30" s="546"/>
      <c r="NFA30" s="546"/>
      <c r="NFB30" s="546"/>
      <c r="NFC30" s="546"/>
      <c r="NFD30" s="546"/>
      <c r="NFE30" s="546"/>
      <c r="NFF30" s="546"/>
      <c r="NFG30" s="546"/>
      <c r="NFH30" s="546"/>
      <c r="NFI30" s="546"/>
      <c r="NFJ30" s="546"/>
      <c r="NFK30" s="546"/>
      <c r="NFL30" s="546"/>
      <c r="NFM30" s="546"/>
      <c r="NFN30" s="546"/>
      <c r="NFO30" s="546"/>
      <c r="NFP30" s="546"/>
      <c r="NFQ30" s="546"/>
      <c r="NFR30" s="546"/>
      <c r="NFS30" s="546"/>
      <c r="NFT30" s="546"/>
      <c r="NFU30" s="546"/>
      <c r="NFV30" s="546"/>
      <c r="NFW30" s="546"/>
      <c r="NFX30" s="546"/>
      <c r="NFY30" s="546"/>
      <c r="NFZ30" s="546"/>
      <c r="NGA30" s="546"/>
      <c r="NGB30" s="546"/>
      <c r="NGC30" s="546"/>
      <c r="NGD30" s="546"/>
      <c r="NGE30" s="546"/>
      <c r="NGF30" s="546"/>
      <c r="NGG30" s="546"/>
      <c r="NGH30" s="546"/>
      <c r="NGI30" s="546"/>
      <c r="NGJ30" s="546"/>
      <c r="NGK30" s="546"/>
      <c r="NGL30" s="546"/>
      <c r="NGM30" s="546"/>
      <c r="NGN30" s="546"/>
      <c r="NGO30" s="546"/>
      <c r="NGP30" s="546"/>
      <c r="NGQ30" s="546"/>
      <c r="NGR30" s="546"/>
      <c r="NGS30" s="546"/>
      <c r="NGT30" s="546"/>
      <c r="NGU30" s="546"/>
      <c r="NGV30" s="546"/>
      <c r="NGW30" s="546"/>
      <c r="NGX30" s="546"/>
      <c r="NGY30" s="546"/>
      <c r="NGZ30" s="546"/>
      <c r="NHA30" s="546"/>
      <c r="NHB30" s="546"/>
      <c r="NHC30" s="546"/>
      <c r="NHD30" s="546"/>
      <c r="NHE30" s="546"/>
      <c r="NHF30" s="546"/>
      <c r="NHG30" s="546"/>
      <c r="NHH30" s="546"/>
      <c r="NHI30" s="546"/>
      <c r="NHJ30" s="546"/>
      <c r="NHK30" s="546"/>
      <c r="NHL30" s="546"/>
      <c r="NHM30" s="546"/>
      <c r="NHN30" s="546"/>
      <c r="NHO30" s="546"/>
      <c r="NHP30" s="546"/>
      <c r="NHQ30" s="546"/>
      <c r="NHR30" s="546"/>
      <c r="NHS30" s="546"/>
      <c r="NHT30" s="546"/>
      <c r="NHU30" s="546"/>
      <c r="NHV30" s="546"/>
      <c r="NHW30" s="546"/>
      <c r="NHX30" s="546"/>
      <c r="NHY30" s="546"/>
      <c r="NHZ30" s="546"/>
      <c r="NIA30" s="546"/>
      <c r="NIB30" s="546"/>
      <c r="NIC30" s="546"/>
      <c r="NID30" s="546"/>
      <c r="NIE30" s="546"/>
      <c r="NIF30" s="546"/>
      <c r="NIG30" s="546"/>
      <c r="NIH30" s="546"/>
      <c r="NII30" s="546"/>
      <c r="NIJ30" s="546"/>
      <c r="NIK30" s="546"/>
      <c r="NIL30" s="546"/>
      <c r="NIM30" s="546"/>
      <c r="NIN30" s="546"/>
      <c r="NIO30" s="546"/>
      <c r="NIP30" s="546"/>
      <c r="NIQ30" s="546"/>
      <c r="NIR30" s="546"/>
      <c r="NIS30" s="546"/>
      <c r="NIT30" s="546"/>
      <c r="NIU30" s="546"/>
      <c r="NIV30" s="546"/>
      <c r="NIW30" s="546"/>
      <c r="NIX30" s="546"/>
      <c r="NIY30" s="546"/>
      <c r="NIZ30" s="546"/>
      <c r="NJA30" s="546"/>
      <c r="NJB30" s="546"/>
      <c r="NJC30" s="546"/>
      <c r="NJD30" s="546"/>
      <c r="NJE30" s="546"/>
      <c r="NJF30" s="546"/>
      <c r="NJG30" s="546"/>
      <c r="NJH30" s="546"/>
      <c r="NJI30" s="546"/>
      <c r="NJJ30" s="546"/>
      <c r="NJK30" s="546"/>
      <c r="NJL30" s="546"/>
      <c r="NJM30" s="546"/>
      <c r="NJN30" s="546"/>
      <c r="NJO30" s="546"/>
      <c r="NJP30" s="546"/>
      <c r="NJQ30" s="546"/>
      <c r="NJR30" s="546"/>
      <c r="NJS30" s="546"/>
      <c r="NJT30" s="546"/>
      <c r="NJU30" s="546"/>
      <c r="NJV30" s="546"/>
      <c r="NJW30" s="546"/>
      <c r="NJX30" s="546"/>
      <c r="NJY30" s="546"/>
      <c r="NJZ30" s="546"/>
      <c r="NKA30" s="546"/>
      <c r="NKB30" s="546"/>
      <c r="NKC30" s="546"/>
      <c r="NKD30" s="546"/>
      <c r="NKE30" s="546"/>
      <c r="NKF30" s="546"/>
      <c r="NKG30" s="546"/>
      <c r="NKH30" s="546"/>
      <c r="NKI30" s="546"/>
      <c r="NKJ30" s="546"/>
      <c r="NKK30" s="546"/>
      <c r="NKL30" s="546"/>
      <c r="NKM30" s="546"/>
      <c r="NKN30" s="546"/>
      <c r="NKO30" s="546"/>
      <c r="NKP30" s="546"/>
      <c r="NKQ30" s="546"/>
      <c r="NKR30" s="546"/>
      <c r="NKS30" s="546"/>
      <c r="NKT30" s="546"/>
      <c r="NKU30" s="546"/>
      <c r="NKV30" s="546"/>
      <c r="NKW30" s="546"/>
      <c r="NKX30" s="546"/>
      <c r="NKY30" s="546"/>
      <c r="NKZ30" s="546"/>
      <c r="NLA30" s="546"/>
      <c r="NLB30" s="546"/>
      <c r="NLC30" s="546"/>
      <c r="NLD30" s="546"/>
      <c r="NLE30" s="546"/>
      <c r="NLF30" s="546"/>
      <c r="NLG30" s="546"/>
      <c r="NLH30" s="546"/>
      <c r="NLI30" s="546"/>
      <c r="NLJ30" s="546"/>
      <c r="NLK30" s="546"/>
      <c r="NLL30" s="546"/>
      <c r="NLM30" s="546"/>
      <c r="NLN30" s="546"/>
      <c r="NLO30" s="546"/>
      <c r="NLP30" s="546"/>
      <c r="NLQ30" s="546"/>
      <c r="NLR30" s="546"/>
      <c r="NLS30" s="546"/>
      <c r="NLT30" s="546"/>
      <c r="NLU30" s="546"/>
      <c r="NLV30" s="546"/>
      <c r="NLW30" s="546"/>
      <c r="NLX30" s="546"/>
      <c r="NLY30" s="546"/>
      <c r="NLZ30" s="546"/>
      <c r="NMA30" s="546"/>
      <c r="NMB30" s="546"/>
      <c r="NMC30" s="546"/>
      <c r="NMD30" s="546"/>
      <c r="NME30" s="546"/>
      <c r="NMF30" s="546"/>
      <c r="NMG30" s="546"/>
      <c r="NMH30" s="546"/>
      <c r="NMI30" s="546"/>
      <c r="NMJ30" s="546"/>
      <c r="NMK30" s="546"/>
      <c r="NML30" s="546"/>
      <c r="NMM30" s="546"/>
      <c r="NMN30" s="546"/>
      <c r="NMO30" s="546"/>
      <c r="NMP30" s="546"/>
      <c r="NMQ30" s="546"/>
      <c r="NMR30" s="546"/>
      <c r="NMS30" s="546"/>
      <c r="NMT30" s="546"/>
      <c r="NMU30" s="546"/>
      <c r="NMV30" s="546"/>
      <c r="NMW30" s="546"/>
      <c r="NMX30" s="546"/>
      <c r="NMY30" s="546"/>
      <c r="NMZ30" s="546"/>
      <c r="NNA30" s="546"/>
      <c r="NNB30" s="546"/>
      <c r="NNC30" s="546"/>
      <c r="NND30" s="546"/>
      <c r="NNE30" s="546"/>
      <c r="NNF30" s="546"/>
      <c r="NNG30" s="546"/>
      <c r="NNH30" s="546"/>
      <c r="NNI30" s="546"/>
      <c r="NNJ30" s="546"/>
      <c r="NNK30" s="546"/>
      <c r="NNL30" s="546"/>
      <c r="NNM30" s="546"/>
      <c r="NNN30" s="546"/>
      <c r="NNO30" s="546"/>
      <c r="NNP30" s="546"/>
      <c r="NNQ30" s="546"/>
      <c r="NNR30" s="546"/>
      <c r="NNS30" s="546"/>
      <c r="NNT30" s="546"/>
      <c r="NNU30" s="546"/>
      <c r="NNV30" s="546"/>
      <c r="NNW30" s="546"/>
      <c r="NNX30" s="546"/>
      <c r="NNY30" s="546"/>
      <c r="NNZ30" s="546"/>
      <c r="NOA30" s="546"/>
      <c r="NOB30" s="546"/>
      <c r="NOC30" s="546"/>
      <c r="NOD30" s="546"/>
      <c r="NOE30" s="546"/>
      <c r="NOF30" s="546"/>
      <c r="NOG30" s="546"/>
      <c r="NOH30" s="546"/>
      <c r="NOI30" s="546"/>
      <c r="NOJ30" s="546"/>
      <c r="NOK30" s="546"/>
      <c r="NOL30" s="546"/>
      <c r="NOM30" s="546"/>
      <c r="NON30" s="546"/>
      <c r="NOO30" s="546"/>
      <c r="NOP30" s="546"/>
      <c r="NOQ30" s="546"/>
      <c r="NOR30" s="546"/>
      <c r="NOS30" s="546"/>
      <c r="NOT30" s="546"/>
      <c r="NOU30" s="546"/>
      <c r="NOV30" s="546"/>
      <c r="NOW30" s="546"/>
      <c r="NOX30" s="546"/>
      <c r="NOY30" s="546"/>
      <c r="NOZ30" s="546"/>
      <c r="NPA30" s="546"/>
      <c r="NPB30" s="546"/>
      <c r="NPC30" s="546"/>
      <c r="NPD30" s="546"/>
      <c r="NPE30" s="546"/>
      <c r="NPF30" s="546"/>
      <c r="NPG30" s="546"/>
      <c r="NPH30" s="546"/>
      <c r="NPI30" s="546"/>
      <c r="NPJ30" s="546"/>
      <c r="NPK30" s="546"/>
      <c r="NPL30" s="546"/>
      <c r="NPM30" s="546"/>
      <c r="NPN30" s="546"/>
      <c r="NPO30" s="546"/>
      <c r="NPP30" s="546"/>
      <c r="NPQ30" s="546"/>
      <c r="NPR30" s="546"/>
      <c r="NPS30" s="546"/>
      <c r="NPT30" s="546"/>
      <c r="NPU30" s="546"/>
      <c r="NPV30" s="546"/>
      <c r="NPW30" s="546"/>
      <c r="NPX30" s="546"/>
      <c r="NPY30" s="546"/>
      <c r="NPZ30" s="546"/>
      <c r="NQA30" s="546"/>
      <c r="NQB30" s="546"/>
      <c r="NQC30" s="546"/>
      <c r="NQD30" s="546"/>
      <c r="NQE30" s="546"/>
      <c r="NQF30" s="546"/>
      <c r="NQG30" s="546"/>
      <c r="NQH30" s="546"/>
      <c r="NQI30" s="546"/>
      <c r="NQJ30" s="546"/>
      <c r="NQK30" s="546"/>
      <c r="NQL30" s="546"/>
      <c r="NQM30" s="546"/>
      <c r="NQN30" s="546"/>
      <c r="NQO30" s="546"/>
      <c r="NQP30" s="546"/>
      <c r="NQQ30" s="546"/>
      <c r="NQR30" s="546"/>
      <c r="NQS30" s="546"/>
      <c r="NQT30" s="546"/>
      <c r="NQU30" s="546"/>
      <c r="NQV30" s="546"/>
      <c r="NQW30" s="546"/>
      <c r="NQX30" s="546"/>
      <c r="NQY30" s="546"/>
      <c r="NQZ30" s="546"/>
      <c r="NRA30" s="546"/>
      <c r="NRB30" s="546"/>
      <c r="NRC30" s="546"/>
      <c r="NRD30" s="546"/>
      <c r="NRE30" s="546"/>
      <c r="NRF30" s="546"/>
      <c r="NRG30" s="546"/>
      <c r="NRH30" s="546"/>
      <c r="NRI30" s="546"/>
      <c r="NRJ30" s="546"/>
      <c r="NRK30" s="546"/>
      <c r="NRL30" s="546"/>
      <c r="NRM30" s="546"/>
      <c r="NRN30" s="546"/>
      <c r="NRO30" s="546"/>
      <c r="NRP30" s="546"/>
      <c r="NRQ30" s="546"/>
      <c r="NRR30" s="546"/>
      <c r="NRS30" s="546"/>
      <c r="NRT30" s="546"/>
      <c r="NRU30" s="546"/>
      <c r="NRV30" s="546"/>
      <c r="NRW30" s="546"/>
      <c r="NRX30" s="546"/>
      <c r="NRY30" s="546"/>
      <c r="NRZ30" s="546"/>
      <c r="NSA30" s="546"/>
      <c r="NSB30" s="546"/>
      <c r="NSC30" s="546"/>
      <c r="NSD30" s="546"/>
      <c r="NSE30" s="546"/>
      <c r="NSF30" s="546"/>
      <c r="NSG30" s="546"/>
      <c r="NSH30" s="546"/>
      <c r="NSI30" s="546"/>
      <c r="NSJ30" s="546"/>
      <c r="NSK30" s="546"/>
      <c r="NSL30" s="546"/>
      <c r="NSM30" s="546"/>
      <c r="NSN30" s="546"/>
      <c r="NSO30" s="546"/>
      <c r="NSP30" s="546"/>
      <c r="NSQ30" s="546"/>
      <c r="NSR30" s="546"/>
      <c r="NSS30" s="546"/>
      <c r="NST30" s="546"/>
      <c r="NSU30" s="546"/>
      <c r="NSV30" s="546"/>
      <c r="NSW30" s="546"/>
      <c r="NSX30" s="546"/>
      <c r="NSY30" s="546"/>
      <c r="NSZ30" s="546"/>
      <c r="NTA30" s="546"/>
      <c r="NTB30" s="546"/>
      <c r="NTC30" s="546"/>
      <c r="NTD30" s="546"/>
      <c r="NTE30" s="546"/>
      <c r="NTF30" s="546"/>
      <c r="NTG30" s="546"/>
      <c r="NTH30" s="546"/>
      <c r="NTI30" s="546"/>
      <c r="NTJ30" s="546"/>
      <c r="NTK30" s="546"/>
      <c r="NTL30" s="546"/>
      <c r="NTM30" s="546"/>
      <c r="NTN30" s="546"/>
      <c r="NTO30" s="546"/>
      <c r="NTP30" s="546"/>
      <c r="NTQ30" s="546"/>
      <c r="NTR30" s="546"/>
      <c r="NTS30" s="546"/>
      <c r="NTT30" s="546"/>
      <c r="NTU30" s="546"/>
      <c r="NTV30" s="546"/>
      <c r="NTW30" s="546"/>
      <c r="NTX30" s="546"/>
      <c r="NTY30" s="546"/>
      <c r="NTZ30" s="546"/>
      <c r="NUA30" s="546"/>
      <c r="NUB30" s="546"/>
      <c r="NUC30" s="546"/>
      <c r="NUD30" s="546"/>
      <c r="NUE30" s="546"/>
      <c r="NUF30" s="546"/>
      <c r="NUG30" s="546"/>
      <c r="NUH30" s="546"/>
      <c r="NUI30" s="546"/>
      <c r="NUJ30" s="546"/>
      <c r="NUK30" s="546"/>
      <c r="NUL30" s="546"/>
      <c r="NUM30" s="546"/>
      <c r="NUN30" s="546"/>
      <c r="NUO30" s="546"/>
      <c r="NUP30" s="546"/>
      <c r="NUQ30" s="546"/>
      <c r="NUR30" s="546"/>
      <c r="NUS30" s="546"/>
      <c r="NUT30" s="546"/>
      <c r="NUU30" s="546"/>
      <c r="NUV30" s="546"/>
      <c r="NUW30" s="546"/>
      <c r="NUX30" s="546"/>
      <c r="NUY30" s="546"/>
      <c r="NUZ30" s="546"/>
      <c r="NVA30" s="546"/>
      <c r="NVB30" s="546"/>
      <c r="NVC30" s="546"/>
      <c r="NVD30" s="546"/>
      <c r="NVE30" s="546"/>
      <c r="NVF30" s="546"/>
      <c r="NVG30" s="546"/>
      <c r="NVH30" s="546"/>
      <c r="NVI30" s="546"/>
      <c r="NVJ30" s="546"/>
      <c r="NVK30" s="546"/>
      <c r="NVL30" s="546"/>
      <c r="NVM30" s="546"/>
      <c r="NVN30" s="546"/>
      <c r="NVO30" s="546"/>
      <c r="NVP30" s="546"/>
      <c r="NVQ30" s="546"/>
      <c r="NVR30" s="546"/>
      <c r="NVS30" s="546"/>
      <c r="NVT30" s="546"/>
      <c r="NVU30" s="546"/>
      <c r="NVV30" s="546"/>
      <c r="NVW30" s="546"/>
      <c r="NVX30" s="546"/>
      <c r="NVY30" s="546"/>
      <c r="NVZ30" s="546"/>
      <c r="NWA30" s="546"/>
      <c r="NWB30" s="546"/>
      <c r="NWC30" s="546"/>
      <c r="NWD30" s="546"/>
      <c r="NWE30" s="546"/>
      <c r="NWF30" s="546"/>
      <c r="NWG30" s="546"/>
      <c r="NWH30" s="546"/>
      <c r="NWI30" s="546"/>
      <c r="NWJ30" s="546"/>
      <c r="NWK30" s="546"/>
      <c r="NWL30" s="546"/>
      <c r="NWM30" s="546"/>
      <c r="NWN30" s="546"/>
      <c r="NWO30" s="546"/>
      <c r="NWP30" s="546"/>
      <c r="NWQ30" s="546"/>
      <c r="NWR30" s="546"/>
      <c r="NWS30" s="546"/>
      <c r="NWT30" s="546"/>
      <c r="NWU30" s="546"/>
      <c r="NWV30" s="546"/>
      <c r="NWW30" s="546"/>
      <c r="NWX30" s="546"/>
      <c r="NWY30" s="546"/>
      <c r="NWZ30" s="546"/>
      <c r="NXA30" s="546"/>
      <c r="NXB30" s="546"/>
      <c r="NXC30" s="546"/>
      <c r="NXD30" s="546"/>
      <c r="NXE30" s="546"/>
      <c r="NXF30" s="546"/>
      <c r="NXG30" s="546"/>
      <c r="NXH30" s="546"/>
      <c r="NXI30" s="546"/>
      <c r="NXJ30" s="546"/>
      <c r="NXK30" s="546"/>
      <c r="NXL30" s="546"/>
      <c r="NXM30" s="546"/>
      <c r="NXN30" s="546"/>
      <c r="NXO30" s="546"/>
      <c r="NXP30" s="546"/>
      <c r="NXQ30" s="546"/>
      <c r="NXR30" s="546"/>
      <c r="NXS30" s="546"/>
      <c r="NXT30" s="546"/>
      <c r="NXU30" s="546"/>
      <c r="NXV30" s="546"/>
      <c r="NXW30" s="546"/>
      <c r="NXX30" s="546"/>
      <c r="NXY30" s="546"/>
      <c r="NXZ30" s="546"/>
      <c r="NYA30" s="546"/>
      <c r="NYB30" s="546"/>
      <c r="NYC30" s="546"/>
      <c r="NYD30" s="546"/>
      <c r="NYE30" s="546"/>
      <c r="NYF30" s="546"/>
      <c r="NYG30" s="546"/>
      <c r="NYH30" s="546"/>
      <c r="NYI30" s="546"/>
      <c r="NYJ30" s="546"/>
      <c r="NYK30" s="546"/>
      <c r="NYL30" s="546"/>
      <c r="NYM30" s="546"/>
      <c r="NYN30" s="546"/>
      <c r="NYO30" s="546"/>
      <c r="NYP30" s="546"/>
      <c r="NYQ30" s="546"/>
      <c r="NYR30" s="546"/>
      <c r="NYS30" s="546"/>
      <c r="NYT30" s="546"/>
      <c r="NYU30" s="546"/>
      <c r="NYV30" s="546"/>
      <c r="NYW30" s="546"/>
      <c r="NYX30" s="546"/>
      <c r="NYY30" s="546"/>
      <c r="NYZ30" s="546"/>
      <c r="NZA30" s="546"/>
      <c r="NZB30" s="546"/>
      <c r="NZC30" s="546"/>
      <c r="NZD30" s="546"/>
      <c r="NZE30" s="546"/>
      <c r="NZF30" s="546"/>
      <c r="NZG30" s="546"/>
      <c r="NZH30" s="546"/>
      <c r="NZI30" s="546"/>
      <c r="NZJ30" s="546"/>
      <c r="NZK30" s="546"/>
      <c r="NZL30" s="546"/>
      <c r="NZM30" s="546"/>
      <c r="NZN30" s="546"/>
      <c r="NZO30" s="546"/>
      <c r="NZP30" s="546"/>
      <c r="NZQ30" s="546"/>
      <c r="NZR30" s="546"/>
      <c r="NZS30" s="546"/>
      <c r="NZT30" s="546"/>
      <c r="NZU30" s="546"/>
      <c r="NZV30" s="546"/>
      <c r="NZW30" s="546"/>
      <c r="NZX30" s="546"/>
      <c r="NZY30" s="546"/>
      <c r="NZZ30" s="546"/>
      <c r="OAA30" s="546"/>
      <c r="OAB30" s="546"/>
      <c r="OAC30" s="546"/>
      <c r="OAD30" s="546"/>
      <c r="OAE30" s="546"/>
      <c r="OAF30" s="546"/>
      <c r="OAG30" s="546"/>
      <c r="OAH30" s="546"/>
      <c r="OAI30" s="546"/>
      <c r="OAJ30" s="546"/>
      <c r="OAK30" s="546"/>
      <c r="OAL30" s="546"/>
      <c r="OAM30" s="546"/>
      <c r="OAN30" s="546"/>
      <c r="OAO30" s="546"/>
      <c r="OAP30" s="546"/>
      <c r="OAQ30" s="546"/>
      <c r="OAR30" s="546"/>
      <c r="OAS30" s="546"/>
      <c r="OAT30" s="546"/>
      <c r="OAU30" s="546"/>
      <c r="OAV30" s="546"/>
      <c r="OAW30" s="546"/>
      <c r="OAX30" s="546"/>
      <c r="OAY30" s="546"/>
      <c r="OAZ30" s="546"/>
      <c r="OBA30" s="546"/>
      <c r="OBB30" s="546"/>
      <c r="OBC30" s="546"/>
      <c r="OBD30" s="546"/>
      <c r="OBE30" s="546"/>
      <c r="OBF30" s="546"/>
      <c r="OBG30" s="546"/>
      <c r="OBH30" s="546"/>
      <c r="OBI30" s="546"/>
      <c r="OBJ30" s="546"/>
      <c r="OBK30" s="546"/>
      <c r="OBL30" s="546"/>
      <c r="OBM30" s="546"/>
      <c r="OBN30" s="546"/>
      <c r="OBO30" s="546"/>
      <c r="OBP30" s="546"/>
      <c r="OBQ30" s="546"/>
      <c r="OBR30" s="546"/>
      <c r="OBS30" s="546"/>
      <c r="OBT30" s="546"/>
      <c r="OBU30" s="546"/>
      <c r="OBV30" s="546"/>
      <c r="OBW30" s="546"/>
      <c r="OBX30" s="546"/>
      <c r="OBY30" s="546"/>
      <c r="OBZ30" s="546"/>
      <c r="OCA30" s="546"/>
      <c r="OCB30" s="546"/>
      <c r="OCC30" s="546"/>
      <c r="OCD30" s="546"/>
      <c r="OCE30" s="546"/>
      <c r="OCF30" s="546"/>
      <c r="OCG30" s="546"/>
      <c r="OCH30" s="546"/>
      <c r="OCI30" s="546"/>
      <c r="OCJ30" s="546"/>
      <c r="OCK30" s="546"/>
      <c r="OCL30" s="546"/>
      <c r="OCM30" s="546"/>
      <c r="OCN30" s="546"/>
      <c r="OCO30" s="546"/>
      <c r="OCP30" s="546"/>
      <c r="OCQ30" s="546"/>
      <c r="OCR30" s="546"/>
      <c r="OCS30" s="546"/>
      <c r="OCT30" s="546"/>
      <c r="OCU30" s="546"/>
      <c r="OCV30" s="546"/>
      <c r="OCW30" s="546"/>
      <c r="OCX30" s="546"/>
      <c r="OCY30" s="546"/>
      <c r="OCZ30" s="546"/>
      <c r="ODA30" s="546"/>
      <c r="ODB30" s="546"/>
      <c r="ODC30" s="546"/>
      <c r="ODD30" s="546"/>
      <c r="ODE30" s="546"/>
      <c r="ODF30" s="546"/>
      <c r="ODG30" s="546"/>
      <c r="ODH30" s="546"/>
      <c r="ODI30" s="546"/>
      <c r="ODJ30" s="546"/>
      <c r="ODK30" s="546"/>
      <c r="ODL30" s="546"/>
      <c r="ODM30" s="546"/>
      <c r="ODN30" s="546"/>
      <c r="ODO30" s="546"/>
      <c r="ODP30" s="546"/>
      <c r="ODQ30" s="546"/>
      <c r="ODR30" s="546"/>
      <c r="ODS30" s="546"/>
      <c r="ODT30" s="546"/>
      <c r="ODU30" s="546"/>
      <c r="ODV30" s="546"/>
      <c r="ODW30" s="546"/>
      <c r="ODX30" s="546"/>
      <c r="ODY30" s="546"/>
      <c r="ODZ30" s="546"/>
      <c r="OEA30" s="546"/>
      <c r="OEB30" s="546"/>
      <c r="OEC30" s="546"/>
      <c r="OED30" s="546"/>
      <c r="OEE30" s="546"/>
      <c r="OEF30" s="546"/>
      <c r="OEG30" s="546"/>
      <c r="OEH30" s="546"/>
      <c r="OEI30" s="546"/>
      <c r="OEJ30" s="546"/>
      <c r="OEK30" s="546"/>
      <c r="OEL30" s="546"/>
      <c r="OEM30" s="546"/>
      <c r="OEN30" s="546"/>
      <c r="OEO30" s="546"/>
      <c r="OEP30" s="546"/>
      <c r="OEQ30" s="546"/>
      <c r="OER30" s="546"/>
      <c r="OES30" s="546"/>
      <c r="OET30" s="546"/>
      <c r="OEU30" s="546"/>
      <c r="OEV30" s="546"/>
      <c r="OEW30" s="546"/>
      <c r="OEX30" s="546"/>
      <c r="OEY30" s="546"/>
      <c r="OEZ30" s="546"/>
      <c r="OFA30" s="546"/>
      <c r="OFB30" s="546"/>
      <c r="OFC30" s="546"/>
      <c r="OFD30" s="546"/>
      <c r="OFE30" s="546"/>
      <c r="OFF30" s="546"/>
      <c r="OFG30" s="546"/>
      <c r="OFH30" s="546"/>
      <c r="OFI30" s="546"/>
      <c r="OFJ30" s="546"/>
      <c r="OFK30" s="546"/>
      <c r="OFL30" s="546"/>
      <c r="OFM30" s="546"/>
      <c r="OFN30" s="546"/>
      <c r="OFO30" s="546"/>
      <c r="OFP30" s="546"/>
      <c r="OFQ30" s="546"/>
      <c r="OFR30" s="546"/>
      <c r="OFS30" s="546"/>
      <c r="OFT30" s="546"/>
      <c r="OFU30" s="546"/>
      <c r="OFV30" s="546"/>
      <c r="OFW30" s="546"/>
      <c r="OFX30" s="546"/>
      <c r="OFY30" s="546"/>
      <c r="OFZ30" s="546"/>
      <c r="OGA30" s="546"/>
      <c r="OGB30" s="546"/>
      <c r="OGC30" s="546"/>
      <c r="OGD30" s="546"/>
      <c r="OGE30" s="546"/>
      <c r="OGF30" s="546"/>
      <c r="OGG30" s="546"/>
      <c r="OGH30" s="546"/>
      <c r="OGI30" s="546"/>
      <c r="OGJ30" s="546"/>
      <c r="OGK30" s="546"/>
      <c r="OGL30" s="546"/>
      <c r="OGM30" s="546"/>
      <c r="OGN30" s="546"/>
      <c r="OGO30" s="546"/>
      <c r="OGP30" s="546"/>
      <c r="OGQ30" s="546"/>
      <c r="OGR30" s="546"/>
      <c r="OGS30" s="546"/>
      <c r="OGT30" s="546"/>
      <c r="OGU30" s="546"/>
      <c r="OGV30" s="546"/>
      <c r="OGW30" s="546"/>
      <c r="OGX30" s="546"/>
      <c r="OGY30" s="546"/>
      <c r="OGZ30" s="546"/>
      <c r="OHA30" s="546"/>
      <c r="OHB30" s="546"/>
      <c r="OHC30" s="546"/>
      <c r="OHD30" s="546"/>
      <c r="OHE30" s="546"/>
      <c r="OHF30" s="546"/>
      <c r="OHG30" s="546"/>
      <c r="OHH30" s="546"/>
      <c r="OHI30" s="546"/>
      <c r="OHJ30" s="546"/>
      <c r="OHK30" s="546"/>
      <c r="OHL30" s="546"/>
      <c r="OHM30" s="546"/>
      <c r="OHN30" s="546"/>
      <c r="OHO30" s="546"/>
      <c r="OHP30" s="546"/>
      <c r="OHQ30" s="546"/>
      <c r="OHR30" s="546"/>
      <c r="OHS30" s="546"/>
      <c r="OHT30" s="546"/>
      <c r="OHU30" s="546"/>
      <c r="OHV30" s="546"/>
      <c r="OHW30" s="546"/>
      <c r="OHX30" s="546"/>
      <c r="OHY30" s="546"/>
      <c r="OHZ30" s="546"/>
      <c r="OIA30" s="546"/>
      <c r="OIB30" s="546"/>
      <c r="OIC30" s="546"/>
      <c r="OID30" s="546"/>
      <c r="OIE30" s="546"/>
      <c r="OIF30" s="546"/>
      <c r="OIG30" s="546"/>
      <c r="OIH30" s="546"/>
      <c r="OII30" s="546"/>
      <c r="OIJ30" s="546"/>
      <c r="OIK30" s="546"/>
      <c r="OIL30" s="546"/>
      <c r="OIM30" s="546"/>
      <c r="OIN30" s="546"/>
      <c r="OIO30" s="546"/>
      <c r="OIP30" s="546"/>
      <c r="OIQ30" s="546"/>
      <c r="OIR30" s="546"/>
      <c r="OIS30" s="546"/>
      <c r="OIT30" s="546"/>
      <c r="OIU30" s="546"/>
      <c r="OIV30" s="546"/>
      <c r="OIW30" s="546"/>
      <c r="OIX30" s="546"/>
      <c r="OIY30" s="546"/>
      <c r="OIZ30" s="546"/>
      <c r="OJA30" s="546"/>
      <c r="OJB30" s="546"/>
      <c r="OJC30" s="546"/>
      <c r="OJD30" s="546"/>
      <c r="OJE30" s="546"/>
      <c r="OJF30" s="546"/>
      <c r="OJG30" s="546"/>
      <c r="OJH30" s="546"/>
      <c r="OJI30" s="546"/>
      <c r="OJJ30" s="546"/>
      <c r="OJK30" s="546"/>
      <c r="OJL30" s="546"/>
      <c r="OJM30" s="546"/>
      <c r="OJN30" s="546"/>
      <c r="OJO30" s="546"/>
      <c r="OJP30" s="546"/>
      <c r="OJQ30" s="546"/>
      <c r="OJR30" s="546"/>
      <c r="OJS30" s="546"/>
      <c r="OJT30" s="546"/>
      <c r="OJU30" s="546"/>
      <c r="OJV30" s="546"/>
      <c r="OJW30" s="546"/>
      <c r="OJX30" s="546"/>
      <c r="OJY30" s="546"/>
      <c r="OJZ30" s="546"/>
      <c r="OKA30" s="546"/>
      <c r="OKB30" s="546"/>
      <c r="OKC30" s="546"/>
      <c r="OKD30" s="546"/>
      <c r="OKE30" s="546"/>
      <c r="OKF30" s="546"/>
      <c r="OKG30" s="546"/>
      <c r="OKH30" s="546"/>
      <c r="OKI30" s="546"/>
      <c r="OKJ30" s="546"/>
      <c r="OKK30" s="546"/>
      <c r="OKL30" s="546"/>
      <c r="OKM30" s="546"/>
      <c r="OKN30" s="546"/>
      <c r="OKO30" s="546"/>
      <c r="OKP30" s="546"/>
      <c r="OKQ30" s="546"/>
      <c r="OKR30" s="546"/>
      <c r="OKS30" s="546"/>
      <c r="OKT30" s="546"/>
      <c r="OKU30" s="546"/>
      <c r="OKV30" s="546"/>
      <c r="OKW30" s="546"/>
      <c r="OKX30" s="546"/>
      <c r="OKY30" s="546"/>
      <c r="OKZ30" s="546"/>
      <c r="OLA30" s="546"/>
      <c r="OLB30" s="546"/>
      <c r="OLC30" s="546"/>
      <c r="OLD30" s="546"/>
      <c r="OLE30" s="546"/>
      <c r="OLF30" s="546"/>
      <c r="OLG30" s="546"/>
      <c r="OLH30" s="546"/>
      <c r="OLI30" s="546"/>
      <c r="OLJ30" s="546"/>
      <c r="OLK30" s="546"/>
      <c r="OLL30" s="546"/>
      <c r="OLM30" s="546"/>
      <c r="OLN30" s="546"/>
      <c r="OLO30" s="546"/>
      <c r="OLP30" s="546"/>
      <c r="OLQ30" s="546"/>
      <c r="OLR30" s="546"/>
      <c r="OLS30" s="546"/>
      <c r="OLT30" s="546"/>
      <c r="OLU30" s="546"/>
      <c r="OLV30" s="546"/>
      <c r="OLW30" s="546"/>
      <c r="OLX30" s="546"/>
      <c r="OLY30" s="546"/>
      <c r="OLZ30" s="546"/>
      <c r="OMA30" s="546"/>
      <c r="OMB30" s="546"/>
      <c r="OMC30" s="546"/>
      <c r="OMD30" s="546"/>
      <c r="OME30" s="546"/>
      <c r="OMF30" s="546"/>
      <c r="OMG30" s="546"/>
      <c r="OMH30" s="546"/>
      <c r="OMI30" s="546"/>
      <c r="OMJ30" s="546"/>
      <c r="OMK30" s="546"/>
      <c r="OML30" s="546"/>
      <c r="OMM30" s="546"/>
      <c r="OMN30" s="546"/>
      <c r="OMO30" s="546"/>
      <c r="OMP30" s="546"/>
      <c r="OMQ30" s="546"/>
      <c r="OMR30" s="546"/>
      <c r="OMS30" s="546"/>
      <c r="OMT30" s="546"/>
      <c r="OMU30" s="546"/>
      <c r="OMV30" s="546"/>
      <c r="OMW30" s="546"/>
      <c r="OMX30" s="546"/>
      <c r="OMY30" s="546"/>
      <c r="OMZ30" s="546"/>
      <c r="ONA30" s="546"/>
      <c r="ONB30" s="546"/>
      <c r="ONC30" s="546"/>
      <c r="OND30" s="546"/>
      <c r="ONE30" s="546"/>
      <c r="ONF30" s="546"/>
      <c r="ONG30" s="546"/>
      <c r="ONH30" s="546"/>
      <c r="ONI30" s="546"/>
      <c r="ONJ30" s="546"/>
      <c r="ONK30" s="546"/>
      <c r="ONL30" s="546"/>
      <c r="ONM30" s="546"/>
      <c r="ONN30" s="546"/>
      <c r="ONO30" s="546"/>
      <c r="ONP30" s="546"/>
      <c r="ONQ30" s="546"/>
      <c r="ONR30" s="546"/>
      <c r="ONS30" s="546"/>
      <c r="ONT30" s="546"/>
      <c r="ONU30" s="546"/>
      <c r="ONV30" s="546"/>
      <c r="ONW30" s="546"/>
      <c r="ONX30" s="546"/>
      <c r="ONY30" s="546"/>
      <c r="ONZ30" s="546"/>
      <c r="OOA30" s="546"/>
      <c r="OOB30" s="546"/>
      <c r="OOC30" s="546"/>
      <c r="OOD30" s="546"/>
      <c r="OOE30" s="546"/>
      <c r="OOF30" s="546"/>
      <c r="OOG30" s="546"/>
      <c r="OOH30" s="546"/>
      <c r="OOI30" s="546"/>
      <c r="OOJ30" s="546"/>
      <c r="OOK30" s="546"/>
      <c r="OOL30" s="546"/>
      <c r="OOM30" s="546"/>
      <c r="OON30" s="546"/>
      <c r="OOO30" s="546"/>
      <c r="OOP30" s="546"/>
      <c r="OOQ30" s="546"/>
      <c r="OOR30" s="546"/>
      <c r="OOS30" s="546"/>
      <c r="OOT30" s="546"/>
      <c r="OOU30" s="546"/>
      <c r="OOV30" s="546"/>
      <c r="OOW30" s="546"/>
      <c r="OOX30" s="546"/>
      <c r="OOY30" s="546"/>
      <c r="OOZ30" s="546"/>
      <c r="OPA30" s="546"/>
      <c r="OPB30" s="546"/>
      <c r="OPC30" s="546"/>
      <c r="OPD30" s="546"/>
      <c r="OPE30" s="546"/>
      <c r="OPF30" s="546"/>
      <c r="OPG30" s="546"/>
      <c r="OPH30" s="546"/>
      <c r="OPI30" s="546"/>
      <c r="OPJ30" s="546"/>
      <c r="OPK30" s="546"/>
      <c r="OPL30" s="546"/>
      <c r="OPM30" s="546"/>
      <c r="OPN30" s="546"/>
      <c r="OPO30" s="546"/>
      <c r="OPP30" s="546"/>
      <c r="OPQ30" s="546"/>
      <c r="OPR30" s="546"/>
      <c r="OPS30" s="546"/>
      <c r="OPT30" s="546"/>
      <c r="OPU30" s="546"/>
      <c r="OPV30" s="546"/>
      <c r="OPW30" s="546"/>
      <c r="OPX30" s="546"/>
      <c r="OPY30" s="546"/>
      <c r="OPZ30" s="546"/>
      <c r="OQA30" s="546"/>
      <c r="OQB30" s="546"/>
      <c r="OQC30" s="546"/>
      <c r="OQD30" s="546"/>
      <c r="OQE30" s="546"/>
      <c r="OQF30" s="546"/>
      <c r="OQG30" s="546"/>
      <c r="OQH30" s="546"/>
      <c r="OQI30" s="546"/>
      <c r="OQJ30" s="546"/>
      <c r="OQK30" s="546"/>
      <c r="OQL30" s="546"/>
      <c r="OQM30" s="546"/>
      <c r="OQN30" s="546"/>
      <c r="OQO30" s="546"/>
      <c r="OQP30" s="546"/>
      <c r="OQQ30" s="546"/>
      <c r="OQR30" s="546"/>
      <c r="OQS30" s="546"/>
      <c r="OQT30" s="546"/>
      <c r="OQU30" s="546"/>
      <c r="OQV30" s="546"/>
      <c r="OQW30" s="546"/>
      <c r="OQX30" s="546"/>
      <c r="OQY30" s="546"/>
      <c r="OQZ30" s="546"/>
      <c r="ORA30" s="546"/>
      <c r="ORB30" s="546"/>
      <c r="ORC30" s="546"/>
      <c r="ORD30" s="546"/>
      <c r="ORE30" s="546"/>
      <c r="ORF30" s="546"/>
      <c r="ORG30" s="546"/>
      <c r="ORH30" s="546"/>
      <c r="ORI30" s="546"/>
      <c r="ORJ30" s="546"/>
      <c r="ORK30" s="546"/>
      <c r="ORL30" s="546"/>
      <c r="ORM30" s="546"/>
      <c r="ORN30" s="546"/>
      <c r="ORO30" s="546"/>
      <c r="ORP30" s="546"/>
      <c r="ORQ30" s="546"/>
      <c r="ORR30" s="546"/>
      <c r="ORS30" s="546"/>
      <c r="ORT30" s="546"/>
      <c r="ORU30" s="546"/>
      <c r="ORV30" s="546"/>
      <c r="ORW30" s="546"/>
      <c r="ORX30" s="546"/>
      <c r="ORY30" s="546"/>
      <c r="ORZ30" s="546"/>
      <c r="OSA30" s="546"/>
      <c r="OSB30" s="546"/>
      <c r="OSC30" s="546"/>
      <c r="OSD30" s="546"/>
      <c r="OSE30" s="546"/>
      <c r="OSF30" s="546"/>
      <c r="OSG30" s="546"/>
      <c r="OSH30" s="546"/>
      <c r="OSI30" s="546"/>
      <c r="OSJ30" s="546"/>
      <c r="OSK30" s="546"/>
      <c r="OSL30" s="546"/>
      <c r="OSM30" s="546"/>
      <c r="OSN30" s="546"/>
      <c r="OSO30" s="546"/>
      <c r="OSP30" s="546"/>
      <c r="OSQ30" s="546"/>
      <c r="OSR30" s="546"/>
      <c r="OSS30" s="546"/>
      <c r="OST30" s="546"/>
      <c r="OSU30" s="546"/>
      <c r="OSV30" s="546"/>
      <c r="OSW30" s="546"/>
      <c r="OSX30" s="546"/>
      <c r="OSY30" s="546"/>
      <c r="OSZ30" s="546"/>
      <c r="OTA30" s="546"/>
      <c r="OTB30" s="546"/>
      <c r="OTC30" s="546"/>
      <c r="OTD30" s="546"/>
      <c r="OTE30" s="546"/>
      <c r="OTF30" s="546"/>
      <c r="OTG30" s="546"/>
      <c r="OTH30" s="546"/>
      <c r="OTI30" s="546"/>
      <c r="OTJ30" s="546"/>
      <c r="OTK30" s="546"/>
      <c r="OTL30" s="546"/>
      <c r="OTM30" s="546"/>
      <c r="OTN30" s="546"/>
      <c r="OTO30" s="546"/>
      <c r="OTP30" s="546"/>
      <c r="OTQ30" s="546"/>
      <c r="OTR30" s="546"/>
      <c r="OTS30" s="546"/>
      <c r="OTT30" s="546"/>
      <c r="OTU30" s="546"/>
      <c r="OTV30" s="546"/>
      <c r="OTW30" s="546"/>
      <c r="OTX30" s="546"/>
      <c r="OTY30" s="546"/>
      <c r="OTZ30" s="546"/>
      <c r="OUA30" s="546"/>
      <c r="OUB30" s="546"/>
      <c r="OUC30" s="546"/>
      <c r="OUD30" s="546"/>
      <c r="OUE30" s="546"/>
      <c r="OUF30" s="546"/>
      <c r="OUG30" s="546"/>
      <c r="OUH30" s="546"/>
      <c r="OUI30" s="546"/>
      <c r="OUJ30" s="546"/>
      <c r="OUK30" s="546"/>
      <c r="OUL30" s="546"/>
      <c r="OUM30" s="546"/>
      <c r="OUN30" s="546"/>
      <c r="OUO30" s="546"/>
      <c r="OUP30" s="546"/>
      <c r="OUQ30" s="546"/>
      <c r="OUR30" s="546"/>
      <c r="OUS30" s="546"/>
      <c r="OUT30" s="546"/>
      <c r="OUU30" s="546"/>
      <c r="OUV30" s="546"/>
      <c r="OUW30" s="546"/>
      <c r="OUX30" s="546"/>
      <c r="OUY30" s="546"/>
      <c r="OUZ30" s="546"/>
      <c r="OVA30" s="546"/>
      <c r="OVB30" s="546"/>
      <c r="OVC30" s="546"/>
      <c r="OVD30" s="546"/>
      <c r="OVE30" s="546"/>
      <c r="OVF30" s="546"/>
      <c r="OVG30" s="546"/>
      <c r="OVH30" s="546"/>
      <c r="OVI30" s="546"/>
      <c r="OVJ30" s="546"/>
      <c r="OVK30" s="546"/>
      <c r="OVL30" s="546"/>
      <c r="OVM30" s="546"/>
      <c r="OVN30" s="546"/>
      <c r="OVO30" s="546"/>
      <c r="OVP30" s="546"/>
      <c r="OVQ30" s="546"/>
      <c r="OVR30" s="546"/>
      <c r="OVS30" s="546"/>
      <c r="OVT30" s="546"/>
      <c r="OVU30" s="546"/>
      <c r="OVV30" s="546"/>
      <c r="OVW30" s="546"/>
      <c r="OVX30" s="546"/>
      <c r="OVY30" s="546"/>
      <c r="OVZ30" s="546"/>
      <c r="OWA30" s="546"/>
      <c r="OWB30" s="546"/>
      <c r="OWC30" s="546"/>
      <c r="OWD30" s="546"/>
      <c r="OWE30" s="546"/>
      <c r="OWF30" s="546"/>
      <c r="OWG30" s="546"/>
      <c r="OWH30" s="546"/>
      <c r="OWI30" s="546"/>
      <c r="OWJ30" s="546"/>
      <c r="OWK30" s="546"/>
      <c r="OWL30" s="546"/>
      <c r="OWM30" s="546"/>
      <c r="OWN30" s="546"/>
      <c r="OWO30" s="546"/>
      <c r="OWP30" s="546"/>
      <c r="OWQ30" s="546"/>
      <c r="OWR30" s="546"/>
      <c r="OWS30" s="546"/>
      <c r="OWT30" s="546"/>
      <c r="OWU30" s="546"/>
      <c r="OWV30" s="546"/>
      <c r="OWW30" s="546"/>
      <c r="OWX30" s="546"/>
      <c r="OWY30" s="546"/>
      <c r="OWZ30" s="546"/>
      <c r="OXA30" s="546"/>
      <c r="OXB30" s="546"/>
      <c r="OXC30" s="546"/>
      <c r="OXD30" s="546"/>
      <c r="OXE30" s="546"/>
      <c r="OXF30" s="546"/>
      <c r="OXG30" s="546"/>
      <c r="OXH30" s="546"/>
      <c r="OXI30" s="546"/>
      <c r="OXJ30" s="546"/>
      <c r="OXK30" s="546"/>
      <c r="OXL30" s="546"/>
      <c r="OXM30" s="546"/>
      <c r="OXN30" s="546"/>
      <c r="OXO30" s="546"/>
      <c r="OXP30" s="546"/>
      <c r="OXQ30" s="546"/>
      <c r="OXR30" s="546"/>
      <c r="OXS30" s="546"/>
      <c r="OXT30" s="546"/>
      <c r="OXU30" s="546"/>
      <c r="OXV30" s="546"/>
      <c r="OXW30" s="546"/>
      <c r="OXX30" s="546"/>
      <c r="OXY30" s="546"/>
      <c r="OXZ30" s="546"/>
      <c r="OYA30" s="546"/>
      <c r="OYB30" s="546"/>
      <c r="OYC30" s="546"/>
      <c r="OYD30" s="546"/>
      <c r="OYE30" s="546"/>
      <c r="OYF30" s="546"/>
      <c r="OYG30" s="546"/>
      <c r="OYH30" s="546"/>
      <c r="OYI30" s="546"/>
      <c r="OYJ30" s="546"/>
      <c r="OYK30" s="546"/>
      <c r="OYL30" s="546"/>
      <c r="OYM30" s="546"/>
      <c r="OYN30" s="546"/>
      <c r="OYO30" s="546"/>
      <c r="OYP30" s="546"/>
      <c r="OYQ30" s="546"/>
      <c r="OYR30" s="546"/>
      <c r="OYS30" s="546"/>
      <c r="OYT30" s="546"/>
      <c r="OYU30" s="546"/>
      <c r="OYV30" s="546"/>
      <c r="OYW30" s="546"/>
      <c r="OYX30" s="546"/>
      <c r="OYY30" s="546"/>
      <c r="OYZ30" s="546"/>
      <c r="OZA30" s="546"/>
      <c r="OZB30" s="546"/>
      <c r="OZC30" s="546"/>
      <c r="OZD30" s="546"/>
      <c r="OZE30" s="546"/>
      <c r="OZF30" s="546"/>
      <c r="OZG30" s="546"/>
      <c r="OZH30" s="546"/>
      <c r="OZI30" s="546"/>
      <c r="OZJ30" s="546"/>
      <c r="OZK30" s="546"/>
      <c r="OZL30" s="546"/>
      <c r="OZM30" s="546"/>
      <c r="OZN30" s="546"/>
      <c r="OZO30" s="546"/>
      <c r="OZP30" s="546"/>
      <c r="OZQ30" s="546"/>
      <c r="OZR30" s="546"/>
      <c r="OZS30" s="546"/>
      <c r="OZT30" s="546"/>
      <c r="OZU30" s="546"/>
      <c r="OZV30" s="546"/>
      <c r="OZW30" s="546"/>
      <c r="OZX30" s="546"/>
      <c r="OZY30" s="546"/>
      <c r="OZZ30" s="546"/>
      <c r="PAA30" s="546"/>
      <c r="PAB30" s="546"/>
      <c r="PAC30" s="546"/>
      <c r="PAD30" s="546"/>
      <c r="PAE30" s="546"/>
      <c r="PAF30" s="546"/>
      <c r="PAG30" s="546"/>
      <c r="PAH30" s="546"/>
      <c r="PAI30" s="546"/>
      <c r="PAJ30" s="546"/>
      <c r="PAK30" s="546"/>
      <c r="PAL30" s="546"/>
      <c r="PAM30" s="546"/>
      <c r="PAN30" s="546"/>
      <c r="PAO30" s="546"/>
      <c r="PAP30" s="546"/>
      <c r="PAQ30" s="546"/>
      <c r="PAR30" s="546"/>
      <c r="PAS30" s="546"/>
      <c r="PAT30" s="546"/>
      <c r="PAU30" s="546"/>
      <c r="PAV30" s="546"/>
      <c r="PAW30" s="546"/>
      <c r="PAX30" s="546"/>
      <c r="PAY30" s="546"/>
      <c r="PAZ30" s="546"/>
      <c r="PBA30" s="546"/>
      <c r="PBB30" s="546"/>
      <c r="PBC30" s="546"/>
      <c r="PBD30" s="546"/>
      <c r="PBE30" s="546"/>
      <c r="PBF30" s="546"/>
      <c r="PBG30" s="546"/>
      <c r="PBH30" s="546"/>
      <c r="PBI30" s="546"/>
      <c r="PBJ30" s="546"/>
      <c r="PBK30" s="546"/>
      <c r="PBL30" s="546"/>
      <c r="PBM30" s="546"/>
      <c r="PBN30" s="546"/>
      <c r="PBO30" s="546"/>
      <c r="PBP30" s="546"/>
      <c r="PBQ30" s="546"/>
      <c r="PBR30" s="546"/>
      <c r="PBS30" s="546"/>
      <c r="PBT30" s="546"/>
      <c r="PBU30" s="546"/>
      <c r="PBV30" s="546"/>
      <c r="PBW30" s="546"/>
      <c r="PBX30" s="546"/>
      <c r="PBY30" s="546"/>
      <c r="PBZ30" s="546"/>
      <c r="PCA30" s="546"/>
      <c r="PCB30" s="546"/>
      <c r="PCC30" s="546"/>
      <c r="PCD30" s="546"/>
      <c r="PCE30" s="546"/>
      <c r="PCF30" s="546"/>
      <c r="PCG30" s="546"/>
      <c r="PCH30" s="546"/>
      <c r="PCI30" s="546"/>
      <c r="PCJ30" s="546"/>
      <c r="PCK30" s="546"/>
      <c r="PCL30" s="546"/>
      <c r="PCM30" s="546"/>
      <c r="PCN30" s="546"/>
      <c r="PCO30" s="546"/>
      <c r="PCP30" s="546"/>
      <c r="PCQ30" s="546"/>
      <c r="PCR30" s="546"/>
      <c r="PCS30" s="546"/>
      <c r="PCT30" s="546"/>
      <c r="PCU30" s="546"/>
      <c r="PCV30" s="546"/>
      <c r="PCW30" s="546"/>
      <c r="PCX30" s="546"/>
      <c r="PCY30" s="546"/>
      <c r="PCZ30" s="546"/>
      <c r="PDA30" s="546"/>
      <c r="PDB30" s="546"/>
      <c r="PDC30" s="546"/>
      <c r="PDD30" s="546"/>
      <c r="PDE30" s="546"/>
      <c r="PDF30" s="546"/>
      <c r="PDG30" s="546"/>
      <c r="PDH30" s="546"/>
      <c r="PDI30" s="546"/>
      <c r="PDJ30" s="546"/>
      <c r="PDK30" s="546"/>
      <c r="PDL30" s="546"/>
      <c r="PDM30" s="546"/>
      <c r="PDN30" s="546"/>
      <c r="PDO30" s="546"/>
      <c r="PDP30" s="546"/>
      <c r="PDQ30" s="546"/>
      <c r="PDR30" s="546"/>
      <c r="PDS30" s="546"/>
      <c r="PDT30" s="546"/>
      <c r="PDU30" s="546"/>
      <c r="PDV30" s="546"/>
      <c r="PDW30" s="546"/>
      <c r="PDX30" s="546"/>
      <c r="PDY30" s="546"/>
      <c r="PDZ30" s="546"/>
      <c r="PEA30" s="546"/>
      <c r="PEB30" s="546"/>
      <c r="PEC30" s="546"/>
      <c r="PED30" s="546"/>
      <c r="PEE30" s="546"/>
      <c r="PEF30" s="546"/>
      <c r="PEG30" s="546"/>
      <c r="PEH30" s="546"/>
      <c r="PEI30" s="546"/>
      <c r="PEJ30" s="546"/>
      <c r="PEK30" s="546"/>
      <c r="PEL30" s="546"/>
      <c r="PEM30" s="546"/>
      <c r="PEN30" s="546"/>
      <c r="PEO30" s="546"/>
      <c r="PEP30" s="546"/>
      <c r="PEQ30" s="546"/>
      <c r="PER30" s="546"/>
      <c r="PES30" s="546"/>
      <c r="PET30" s="546"/>
      <c r="PEU30" s="546"/>
      <c r="PEV30" s="546"/>
      <c r="PEW30" s="546"/>
      <c r="PEX30" s="546"/>
      <c r="PEY30" s="546"/>
      <c r="PEZ30" s="546"/>
      <c r="PFA30" s="546"/>
      <c r="PFB30" s="546"/>
      <c r="PFC30" s="546"/>
      <c r="PFD30" s="546"/>
      <c r="PFE30" s="546"/>
      <c r="PFF30" s="546"/>
      <c r="PFG30" s="546"/>
      <c r="PFH30" s="546"/>
      <c r="PFI30" s="546"/>
      <c r="PFJ30" s="546"/>
      <c r="PFK30" s="546"/>
      <c r="PFL30" s="546"/>
      <c r="PFM30" s="546"/>
      <c r="PFN30" s="546"/>
      <c r="PFO30" s="546"/>
      <c r="PFP30" s="546"/>
      <c r="PFQ30" s="546"/>
      <c r="PFR30" s="546"/>
      <c r="PFS30" s="546"/>
      <c r="PFT30" s="546"/>
      <c r="PFU30" s="546"/>
      <c r="PFV30" s="546"/>
      <c r="PFW30" s="546"/>
      <c r="PFX30" s="546"/>
      <c r="PFY30" s="546"/>
      <c r="PFZ30" s="546"/>
      <c r="PGA30" s="546"/>
      <c r="PGB30" s="546"/>
      <c r="PGC30" s="546"/>
      <c r="PGD30" s="546"/>
      <c r="PGE30" s="546"/>
      <c r="PGF30" s="546"/>
      <c r="PGG30" s="546"/>
      <c r="PGH30" s="546"/>
      <c r="PGI30" s="546"/>
      <c r="PGJ30" s="546"/>
      <c r="PGK30" s="546"/>
      <c r="PGL30" s="546"/>
      <c r="PGM30" s="546"/>
      <c r="PGN30" s="546"/>
      <c r="PGO30" s="546"/>
      <c r="PGP30" s="546"/>
      <c r="PGQ30" s="546"/>
      <c r="PGR30" s="546"/>
      <c r="PGS30" s="546"/>
      <c r="PGT30" s="546"/>
      <c r="PGU30" s="546"/>
      <c r="PGV30" s="546"/>
      <c r="PGW30" s="546"/>
      <c r="PGX30" s="546"/>
      <c r="PGY30" s="546"/>
      <c r="PGZ30" s="546"/>
      <c r="PHA30" s="546"/>
      <c r="PHB30" s="546"/>
      <c r="PHC30" s="546"/>
      <c r="PHD30" s="546"/>
      <c r="PHE30" s="546"/>
      <c r="PHF30" s="546"/>
      <c r="PHG30" s="546"/>
      <c r="PHH30" s="546"/>
      <c r="PHI30" s="546"/>
      <c r="PHJ30" s="546"/>
      <c r="PHK30" s="546"/>
      <c r="PHL30" s="546"/>
      <c r="PHM30" s="546"/>
      <c r="PHN30" s="546"/>
      <c r="PHO30" s="546"/>
      <c r="PHP30" s="546"/>
      <c r="PHQ30" s="546"/>
      <c r="PHR30" s="546"/>
      <c r="PHS30" s="546"/>
      <c r="PHT30" s="546"/>
      <c r="PHU30" s="546"/>
      <c r="PHV30" s="546"/>
      <c r="PHW30" s="546"/>
      <c r="PHX30" s="546"/>
      <c r="PHY30" s="546"/>
      <c r="PHZ30" s="546"/>
      <c r="PIA30" s="546"/>
      <c r="PIB30" s="546"/>
      <c r="PIC30" s="546"/>
      <c r="PID30" s="546"/>
      <c r="PIE30" s="546"/>
      <c r="PIF30" s="546"/>
      <c r="PIG30" s="546"/>
      <c r="PIH30" s="546"/>
      <c r="PII30" s="546"/>
      <c r="PIJ30" s="546"/>
      <c r="PIK30" s="546"/>
      <c r="PIL30" s="546"/>
      <c r="PIM30" s="546"/>
      <c r="PIN30" s="546"/>
      <c r="PIO30" s="546"/>
      <c r="PIP30" s="546"/>
      <c r="PIQ30" s="546"/>
      <c r="PIR30" s="546"/>
      <c r="PIS30" s="546"/>
      <c r="PIT30" s="546"/>
      <c r="PIU30" s="546"/>
      <c r="PIV30" s="546"/>
      <c r="PIW30" s="546"/>
      <c r="PIX30" s="546"/>
      <c r="PIY30" s="546"/>
      <c r="PIZ30" s="546"/>
      <c r="PJA30" s="546"/>
      <c r="PJB30" s="546"/>
      <c r="PJC30" s="546"/>
      <c r="PJD30" s="546"/>
      <c r="PJE30" s="546"/>
      <c r="PJF30" s="546"/>
      <c r="PJG30" s="546"/>
      <c r="PJH30" s="546"/>
      <c r="PJI30" s="546"/>
      <c r="PJJ30" s="546"/>
      <c r="PJK30" s="546"/>
      <c r="PJL30" s="546"/>
      <c r="PJM30" s="546"/>
      <c r="PJN30" s="546"/>
      <c r="PJO30" s="546"/>
      <c r="PJP30" s="546"/>
      <c r="PJQ30" s="546"/>
      <c r="PJR30" s="546"/>
      <c r="PJS30" s="546"/>
      <c r="PJT30" s="546"/>
      <c r="PJU30" s="546"/>
      <c r="PJV30" s="546"/>
      <c r="PJW30" s="546"/>
      <c r="PJX30" s="546"/>
      <c r="PJY30" s="546"/>
      <c r="PJZ30" s="546"/>
      <c r="PKA30" s="546"/>
      <c r="PKB30" s="546"/>
      <c r="PKC30" s="546"/>
      <c r="PKD30" s="546"/>
      <c r="PKE30" s="546"/>
      <c r="PKF30" s="546"/>
      <c r="PKG30" s="546"/>
      <c r="PKH30" s="546"/>
      <c r="PKI30" s="546"/>
      <c r="PKJ30" s="546"/>
      <c r="PKK30" s="546"/>
      <c r="PKL30" s="546"/>
      <c r="PKM30" s="546"/>
      <c r="PKN30" s="546"/>
      <c r="PKO30" s="546"/>
      <c r="PKP30" s="546"/>
      <c r="PKQ30" s="546"/>
      <c r="PKR30" s="546"/>
      <c r="PKS30" s="546"/>
      <c r="PKT30" s="546"/>
      <c r="PKU30" s="546"/>
      <c r="PKV30" s="546"/>
      <c r="PKW30" s="546"/>
      <c r="PKX30" s="546"/>
      <c r="PKY30" s="546"/>
      <c r="PKZ30" s="546"/>
      <c r="PLA30" s="546"/>
      <c r="PLB30" s="546"/>
      <c r="PLC30" s="546"/>
      <c r="PLD30" s="546"/>
      <c r="PLE30" s="546"/>
      <c r="PLF30" s="546"/>
      <c r="PLG30" s="546"/>
      <c r="PLH30" s="546"/>
      <c r="PLI30" s="546"/>
      <c r="PLJ30" s="546"/>
      <c r="PLK30" s="546"/>
      <c r="PLL30" s="546"/>
      <c r="PLM30" s="546"/>
      <c r="PLN30" s="546"/>
      <c r="PLO30" s="546"/>
      <c r="PLP30" s="546"/>
      <c r="PLQ30" s="546"/>
      <c r="PLR30" s="546"/>
      <c r="PLS30" s="546"/>
      <c r="PLT30" s="546"/>
      <c r="PLU30" s="546"/>
      <c r="PLV30" s="546"/>
      <c r="PLW30" s="546"/>
      <c r="PLX30" s="546"/>
      <c r="PLY30" s="546"/>
      <c r="PLZ30" s="546"/>
      <c r="PMA30" s="546"/>
      <c r="PMB30" s="546"/>
      <c r="PMC30" s="546"/>
      <c r="PMD30" s="546"/>
      <c r="PME30" s="546"/>
      <c r="PMF30" s="546"/>
      <c r="PMG30" s="546"/>
      <c r="PMH30" s="546"/>
      <c r="PMI30" s="546"/>
      <c r="PMJ30" s="546"/>
      <c r="PMK30" s="546"/>
      <c r="PML30" s="546"/>
      <c r="PMM30" s="546"/>
      <c r="PMN30" s="546"/>
      <c r="PMO30" s="546"/>
      <c r="PMP30" s="546"/>
      <c r="PMQ30" s="546"/>
      <c r="PMR30" s="546"/>
      <c r="PMS30" s="546"/>
      <c r="PMT30" s="546"/>
      <c r="PMU30" s="546"/>
      <c r="PMV30" s="546"/>
      <c r="PMW30" s="546"/>
      <c r="PMX30" s="546"/>
      <c r="PMY30" s="546"/>
      <c r="PMZ30" s="546"/>
      <c r="PNA30" s="546"/>
      <c r="PNB30" s="546"/>
      <c r="PNC30" s="546"/>
      <c r="PND30" s="546"/>
      <c r="PNE30" s="546"/>
      <c r="PNF30" s="546"/>
      <c r="PNG30" s="546"/>
      <c r="PNH30" s="546"/>
      <c r="PNI30" s="546"/>
      <c r="PNJ30" s="546"/>
      <c r="PNK30" s="546"/>
      <c r="PNL30" s="546"/>
      <c r="PNM30" s="546"/>
      <c r="PNN30" s="546"/>
      <c r="PNO30" s="546"/>
      <c r="PNP30" s="546"/>
      <c r="PNQ30" s="546"/>
      <c r="PNR30" s="546"/>
      <c r="PNS30" s="546"/>
      <c r="PNT30" s="546"/>
      <c r="PNU30" s="546"/>
      <c r="PNV30" s="546"/>
      <c r="PNW30" s="546"/>
      <c r="PNX30" s="546"/>
      <c r="PNY30" s="546"/>
      <c r="PNZ30" s="546"/>
      <c r="POA30" s="546"/>
      <c r="POB30" s="546"/>
      <c r="POC30" s="546"/>
      <c r="POD30" s="546"/>
      <c r="POE30" s="546"/>
      <c r="POF30" s="546"/>
      <c r="POG30" s="546"/>
      <c r="POH30" s="546"/>
      <c r="POI30" s="546"/>
      <c r="POJ30" s="546"/>
      <c r="POK30" s="546"/>
      <c r="POL30" s="546"/>
      <c r="POM30" s="546"/>
      <c r="PON30" s="546"/>
      <c r="POO30" s="546"/>
      <c r="POP30" s="546"/>
      <c r="POQ30" s="546"/>
      <c r="POR30" s="546"/>
      <c r="POS30" s="546"/>
      <c r="POT30" s="546"/>
      <c r="POU30" s="546"/>
      <c r="POV30" s="546"/>
      <c r="POW30" s="546"/>
      <c r="POX30" s="546"/>
      <c r="POY30" s="546"/>
      <c r="POZ30" s="546"/>
      <c r="PPA30" s="546"/>
      <c r="PPB30" s="546"/>
      <c r="PPC30" s="546"/>
      <c r="PPD30" s="546"/>
      <c r="PPE30" s="546"/>
      <c r="PPF30" s="546"/>
      <c r="PPG30" s="546"/>
      <c r="PPH30" s="546"/>
      <c r="PPI30" s="546"/>
      <c r="PPJ30" s="546"/>
      <c r="PPK30" s="546"/>
      <c r="PPL30" s="546"/>
      <c r="PPM30" s="546"/>
      <c r="PPN30" s="546"/>
      <c r="PPO30" s="546"/>
      <c r="PPP30" s="546"/>
      <c r="PPQ30" s="546"/>
      <c r="PPR30" s="546"/>
      <c r="PPS30" s="546"/>
      <c r="PPT30" s="546"/>
      <c r="PPU30" s="546"/>
      <c r="PPV30" s="546"/>
      <c r="PPW30" s="546"/>
      <c r="PPX30" s="546"/>
      <c r="PPY30" s="546"/>
      <c r="PPZ30" s="546"/>
      <c r="PQA30" s="546"/>
      <c r="PQB30" s="546"/>
      <c r="PQC30" s="546"/>
      <c r="PQD30" s="546"/>
      <c r="PQE30" s="546"/>
      <c r="PQF30" s="546"/>
      <c r="PQG30" s="546"/>
      <c r="PQH30" s="546"/>
      <c r="PQI30" s="546"/>
      <c r="PQJ30" s="546"/>
      <c r="PQK30" s="546"/>
      <c r="PQL30" s="546"/>
      <c r="PQM30" s="546"/>
      <c r="PQN30" s="546"/>
      <c r="PQO30" s="546"/>
      <c r="PQP30" s="546"/>
      <c r="PQQ30" s="546"/>
      <c r="PQR30" s="546"/>
      <c r="PQS30" s="546"/>
      <c r="PQT30" s="546"/>
      <c r="PQU30" s="546"/>
      <c r="PQV30" s="546"/>
      <c r="PQW30" s="546"/>
      <c r="PQX30" s="546"/>
      <c r="PQY30" s="546"/>
      <c r="PQZ30" s="546"/>
      <c r="PRA30" s="546"/>
      <c r="PRB30" s="546"/>
      <c r="PRC30" s="546"/>
      <c r="PRD30" s="546"/>
      <c r="PRE30" s="546"/>
      <c r="PRF30" s="546"/>
      <c r="PRG30" s="546"/>
      <c r="PRH30" s="546"/>
      <c r="PRI30" s="546"/>
      <c r="PRJ30" s="546"/>
      <c r="PRK30" s="546"/>
      <c r="PRL30" s="546"/>
      <c r="PRM30" s="546"/>
      <c r="PRN30" s="546"/>
      <c r="PRO30" s="546"/>
      <c r="PRP30" s="546"/>
      <c r="PRQ30" s="546"/>
      <c r="PRR30" s="546"/>
      <c r="PRS30" s="546"/>
      <c r="PRT30" s="546"/>
      <c r="PRU30" s="546"/>
      <c r="PRV30" s="546"/>
      <c r="PRW30" s="546"/>
      <c r="PRX30" s="546"/>
      <c r="PRY30" s="546"/>
      <c r="PRZ30" s="546"/>
      <c r="PSA30" s="546"/>
      <c r="PSB30" s="546"/>
      <c r="PSC30" s="546"/>
      <c r="PSD30" s="546"/>
      <c r="PSE30" s="546"/>
      <c r="PSF30" s="546"/>
      <c r="PSG30" s="546"/>
      <c r="PSH30" s="546"/>
      <c r="PSI30" s="546"/>
      <c r="PSJ30" s="546"/>
      <c r="PSK30" s="546"/>
      <c r="PSL30" s="546"/>
      <c r="PSM30" s="546"/>
      <c r="PSN30" s="546"/>
      <c r="PSO30" s="546"/>
      <c r="PSP30" s="546"/>
      <c r="PSQ30" s="546"/>
      <c r="PSR30" s="546"/>
      <c r="PSS30" s="546"/>
      <c r="PST30" s="546"/>
      <c r="PSU30" s="546"/>
      <c r="PSV30" s="546"/>
      <c r="PSW30" s="546"/>
      <c r="PSX30" s="546"/>
      <c r="PSY30" s="546"/>
      <c r="PSZ30" s="546"/>
      <c r="PTA30" s="546"/>
      <c r="PTB30" s="546"/>
      <c r="PTC30" s="546"/>
      <c r="PTD30" s="546"/>
      <c r="PTE30" s="546"/>
      <c r="PTF30" s="546"/>
      <c r="PTG30" s="546"/>
      <c r="PTH30" s="546"/>
      <c r="PTI30" s="546"/>
      <c r="PTJ30" s="546"/>
      <c r="PTK30" s="546"/>
      <c r="PTL30" s="546"/>
      <c r="PTM30" s="546"/>
      <c r="PTN30" s="546"/>
      <c r="PTO30" s="546"/>
      <c r="PTP30" s="546"/>
      <c r="PTQ30" s="546"/>
      <c r="PTR30" s="546"/>
      <c r="PTS30" s="546"/>
      <c r="PTT30" s="546"/>
      <c r="PTU30" s="546"/>
      <c r="PTV30" s="546"/>
      <c r="PTW30" s="546"/>
      <c r="PTX30" s="546"/>
      <c r="PTY30" s="546"/>
      <c r="PTZ30" s="546"/>
      <c r="PUA30" s="546"/>
      <c r="PUB30" s="546"/>
      <c r="PUC30" s="546"/>
      <c r="PUD30" s="546"/>
      <c r="PUE30" s="546"/>
      <c r="PUF30" s="546"/>
      <c r="PUG30" s="546"/>
      <c r="PUH30" s="546"/>
      <c r="PUI30" s="546"/>
      <c r="PUJ30" s="546"/>
      <c r="PUK30" s="546"/>
      <c r="PUL30" s="546"/>
      <c r="PUM30" s="546"/>
      <c r="PUN30" s="546"/>
      <c r="PUO30" s="546"/>
      <c r="PUP30" s="546"/>
      <c r="PUQ30" s="546"/>
      <c r="PUR30" s="546"/>
      <c r="PUS30" s="546"/>
      <c r="PUT30" s="546"/>
      <c r="PUU30" s="546"/>
      <c r="PUV30" s="546"/>
      <c r="PUW30" s="546"/>
      <c r="PUX30" s="546"/>
      <c r="PUY30" s="546"/>
      <c r="PUZ30" s="546"/>
      <c r="PVA30" s="546"/>
      <c r="PVB30" s="546"/>
      <c r="PVC30" s="546"/>
      <c r="PVD30" s="546"/>
      <c r="PVE30" s="546"/>
      <c r="PVF30" s="546"/>
      <c r="PVG30" s="546"/>
      <c r="PVH30" s="546"/>
      <c r="PVI30" s="546"/>
      <c r="PVJ30" s="546"/>
      <c r="PVK30" s="546"/>
      <c r="PVL30" s="546"/>
      <c r="PVM30" s="546"/>
      <c r="PVN30" s="546"/>
      <c r="PVO30" s="546"/>
      <c r="PVP30" s="546"/>
      <c r="PVQ30" s="546"/>
      <c r="PVR30" s="546"/>
      <c r="PVS30" s="546"/>
      <c r="PVT30" s="546"/>
      <c r="PVU30" s="546"/>
      <c r="PVV30" s="546"/>
      <c r="PVW30" s="546"/>
      <c r="PVX30" s="546"/>
      <c r="PVY30" s="546"/>
      <c r="PVZ30" s="546"/>
      <c r="PWA30" s="546"/>
      <c r="PWB30" s="546"/>
      <c r="PWC30" s="546"/>
      <c r="PWD30" s="546"/>
      <c r="PWE30" s="546"/>
      <c r="PWF30" s="546"/>
      <c r="PWG30" s="546"/>
      <c r="PWH30" s="546"/>
      <c r="PWI30" s="546"/>
      <c r="PWJ30" s="546"/>
      <c r="PWK30" s="546"/>
      <c r="PWL30" s="546"/>
      <c r="PWM30" s="546"/>
      <c r="PWN30" s="546"/>
      <c r="PWO30" s="546"/>
      <c r="PWP30" s="546"/>
      <c r="PWQ30" s="546"/>
      <c r="PWR30" s="546"/>
      <c r="PWS30" s="546"/>
      <c r="PWT30" s="546"/>
      <c r="PWU30" s="546"/>
      <c r="PWV30" s="546"/>
      <c r="PWW30" s="546"/>
      <c r="PWX30" s="546"/>
      <c r="PWY30" s="546"/>
      <c r="PWZ30" s="546"/>
      <c r="PXA30" s="546"/>
      <c r="PXB30" s="546"/>
      <c r="PXC30" s="546"/>
      <c r="PXD30" s="546"/>
      <c r="PXE30" s="546"/>
      <c r="PXF30" s="546"/>
      <c r="PXG30" s="546"/>
      <c r="PXH30" s="546"/>
      <c r="PXI30" s="546"/>
      <c r="PXJ30" s="546"/>
      <c r="PXK30" s="546"/>
      <c r="PXL30" s="546"/>
      <c r="PXM30" s="546"/>
      <c r="PXN30" s="546"/>
      <c r="PXO30" s="546"/>
      <c r="PXP30" s="546"/>
      <c r="PXQ30" s="546"/>
      <c r="PXR30" s="546"/>
      <c r="PXS30" s="546"/>
      <c r="PXT30" s="546"/>
      <c r="PXU30" s="546"/>
      <c r="PXV30" s="546"/>
      <c r="PXW30" s="546"/>
      <c r="PXX30" s="546"/>
      <c r="PXY30" s="546"/>
      <c r="PXZ30" s="546"/>
      <c r="PYA30" s="546"/>
      <c r="PYB30" s="546"/>
      <c r="PYC30" s="546"/>
      <c r="PYD30" s="546"/>
      <c r="PYE30" s="546"/>
      <c r="PYF30" s="546"/>
      <c r="PYG30" s="546"/>
      <c r="PYH30" s="546"/>
      <c r="PYI30" s="546"/>
      <c r="PYJ30" s="546"/>
      <c r="PYK30" s="546"/>
      <c r="PYL30" s="546"/>
      <c r="PYM30" s="546"/>
      <c r="PYN30" s="546"/>
      <c r="PYO30" s="546"/>
      <c r="PYP30" s="546"/>
      <c r="PYQ30" s="546"/>
      <c r="PYR30" s="546"/>
      <c r="PYS30" s="546"/>
      <c r="PYT30" s="546"/>
      <c r="PYU30" s="546"/>
      <c r="PYV30" s="546"/>
      <c r="PYW30" s="546"/>
      <c r="PYX30" s="546"/>
      <c r="PYY30" s="546"/>
      <c r="PYZ30" s="546"/>
      <c r="PZA30" s="546"/>
      <c r="PZB30" s="546"/>
      <c r="PZC30" s="546"/>
      <c r="PZD30" s="546"/>
      <c r="PZE30" s="546"/>
      <c r="PZF30" s="546"/>
      <c r="PZG30" s="546"/>
      <c r="PZH30" s="546"/>
      <c r="PZI30" s="546"/>
      <c r="PZJ30" s="546"/>
      <c r="PZK30" s="546"/>
      <c r="PZL30" s="546"/>
      <c r="PZM30" s="546"/>
      <c r="PZN30" s="546"/>
      <c r="PZO30" s="546"/>
      <c r="PZP30" s="546"/>
      <c r="PZQ30" s="546"/>
      <c r="PZR30" s="546"/>
      <c r="PZS30" s="546"/>
      <c r="PZT30" s="546"/>
      <c r="PZU30" s="546"/>
      <c r="PZV30" s="546"/>
      <c r="PZW30" s="546"/>
      <c r="PZX30" s="546"/>
      <c r="PZY30" s="546"/>
      <c r="PZZ30" s="546"/>
      <c r="QAA30" s="546"/>
      <c r="QAB30" s="546"/>
      <c r="QAC30" s="546"/>
      <c r="QAD30" s="546"/>
      <c r="QAE30" s="546"/>
      <c r="QAF30" s="546"/>
      <c r="QAG30" s="546"/>
      <c r="QAH30" s="546"/>
      <c r="QAI30" s="546"/>
      <c r="QAJ30" s="546"/>
      <c r="QAK30" s="546"/>
      <c r="QAL30" s="546"/>
      <c r="QAM30" s="546"/>
      <c r="QAN30" s="546"/>
      <c r="QAO30" s="546"/>
      <c r="QAP30" s="546"/>
      <c r="QAQ30" s="546"/>
      <c r="QAR30" s="546"/>
      <c r="QAS30" s="546"/>
      <c r="QAT30" s="546"/>
      <c r="QAU30" s="546"/>
      <c r="QAV30" s="546"/>
      <c r="QAW30" s="546"/>
      <c r="QAX30" s="546"/>
      <c r="QAY30" s="546"/>
      <c r="QAZ30" s="546"/>
      <c r="QBA30" s="546"/>
      <c r="QBB30" s="546"/>
      <c r="QBC30" s="546"/>
      <c r="QBD30" s="546"/>
      <c r="QBE30" s="546"/>
      <c r="QBF30" s="546"/>
      <c r="QBG30" s="546"/>
      <c r="QBH30" s="546"/>
      <c r="QBI30" s="546"/>
      <c r="QBJ30" s="546"/>
      <c r="QBK30" s="546"/>
      <c r="QBL30" s="546"/>
      <c r="QBM30" s="546"/>
      <c r="QBN30" s="546"/>
      <c r="QBO30" s="546"/>
      <c r="QBP30" s="546"/>
      <c r="QBQ30" s="546"/>
      <c r="QBR30" s="546"/>
      <c r="QBS30" s="546"/>
      <c r="QBT30" s="546"/>
      <c r="QBU30" s="546"/>
      <c r="QBV30" s="546"/>
      <c r="QBW30" s="546"/>
      <c r="QBX30" s="546"/>
      <c r="QBY30" s="546"/>
      <c r="QBZ30" s="546"/>
      <c r="QCA30" s="546"/>
      <c r="QCB30" s="546"/>
      <c r="QCC30" s="546"/>
      <c r="QCD30" s="546"/>
      <c r="QCE30" s="546"/>
      <c r="QCF30" s="546"/>
      <c r="QCG30" s="546"/>
      <c r="QCH30" s="546"/>
      <c r="QCI30" s="546"/>
      <c r="QCJ30" s="546"/>
      <c r="QCK30" s="546"/>
      <c r="QCL30" s="546"/>
      <c r="QCM30" s="546"/>
      <c r="QCN30" s="546"/>
      <c r="QCO30" s="546"/>
      <c r="QCP30" s="546"/>
      <c r="QCQ30" s="546"/>
      <c r="QCR30" s="546"/>
      <c r="QCS30" s="546"/>
      <c r="QCT30" s="546"/>
      <c r="QCU30" s="546"/>
      <c r="QCV30" s="546"/>
      <c r="QCW30" s="546"/>
      <c r="QCX30" s="546"/>
      <c r="QCY30" s="546"/>
      <c r="QCZ30" s="546"/>
      <c r="QDA30" s="546"/>
      <c r="QDB30" s="546"/>
      <c r="QDC30" s="546"/>
      <c r="QDD30" s="546"/>
      <c r="QDE30" s="546"/>
      <c r="QDF30" s="546"/>
      <c r="QDG30" s="546"/>
      <c r="QDH30" s="546"/>
      <c r="QDI30" s="546"/>
      <c r="QDJ30" s="546"/>
      <c r="QDK30" s="546"/>
      <c r="QDL30" s="546"/>
      <c r="QDM30" s="546"/>
      <c r="QDN30" s="546"/>
      <c r="QDO30" s="546"/>
      <c r="QDP30" s="546"/>
      <c r="QDQ30" s="546"/>
      <c r="QDR30" s="546"/>
      <c r="QDS30" s="546"/>
      <c r="QDT30" s="546"/>
      <c r="QDU30" s="546"/>
      <c r="QDV30" s="546"/>
      <c r="QDW30" s="546"/>
      <c r="QDX30" s="546"/>
      <c r="QDY30" s="546"/>
      <c r="QDZ30" s="546"/>
      <c r="QEA30" s="546"/>
      <c r="QEB30" s="546"/>
      <c r="QEC30" s="546"/>
      <c r="QED30" s="546"/>
      <c r="QEE30" s="546"/>
      <c r="QEF30" s="546"/>
      <c r="QEG30" s="546"/>
      <c r="QEH30" s="546"/>
      <c r="QEI30" s="546"/>
      <c r="QEJ30" s="546"/>
      <c r="QEK30" s="546"/>
      <c r="QEL30" s="546"/>
      <c r="QEM30" s="546"/>
      <c r="QEN30" s="546"/>
      <c r="QEO30" s="546"/>
      <c r="QEP30" s="546"/>
      <c r="QEQ30" s="546"/>
      <c r="QER30" s="546"/>
      <c r="QES30" s="546"/>
      <c r="QET30" s="546"/>
      <c r="QEU30" s="546"/>
      <c r="QEV30" s="546"/>
      <c r="QEW30" s="546"/>
      <c r="QEX30" s="546"/>
      <c r="QEY30" s="546"/>
      <c r="QEZ30" s="546"/>
      <c r="QFA30" s="546"/>
      <c r="QFB30" s="546"/>
      <c r="QFC30" s="546"/>
      <c r="QFD30" s="546"/>
      <c r="QFE30" s="546"/>
      <c r="QFF30" s="546"/>
      <c r="QFG30" s="546"/>
      <c r="QFH30" s="546"/>
      <c r="QFI30" s="546"/>
      <c r="QFJ30" s="546"/>
      <c r="QFK30" s="546"/>
      <c r="QFL30" s="546"/>
      <c r="QFM30" s="546"/>
      <c r="QFN30" s="546"/>
      <c r="QFO30" s="546"/>
      <c r="QFP30" s="546"/>
      <c r="QFQ30" s="546"/>
      <c r="QFR30" s="546"/>
      <c r="QFS30" s="546"/>
      <c r="QFT30" s="546"/>
      <c r="QFU30" s="546"/>
      <c r="QFV30" s="546"/>
      <c r="QFW30" s="546"/>
      <c r="QFX30" s="546"/>
      <c r="QFY30" s="546"/>
      <c r="QFZ30" s="546"/>
      <c r="QGA30" s="546"/>
      <c r="QGB30" s="546"/>
      <c r="QGC30" s="546"/>
      <c r="QGD30" s="546"/>
      <c r="QGE30" s="546"/>
      <c r="QGF30" s="546"/>
      <c r="QGG30" s="546"/>
      <c r="QGH30" s="546"/>
      <c r="QGI30" s="546"/>
      <c r="QGJ30" s="546"/>
      <c r="QGK30" s="546"/>
      <c r="QGL30" s="546"/>
      <c r="QGM30" s="546"/>
      <c r="QGN30" s="546"/>
      <c r="QGO30" s="546"/>
      <c r="QGP30" s="546"/>
      <c r="QGQ30" s="546"/>
      <c r="QGR30" s="546"/>
      <c r="QGS30" s="546"/>
      <c r="QGT30" s="546"/>
      <c r="QGU30" s="546"/>
      <c r="QGV30" s="546"/>
      <c r="QGW30" s="546"/>
      <c r="QGX30" s="546"/>
      <c r="QGY30" s="546"/>
      <c r="QGZ30" s="546"/>
      <c r="QHA30" s="546"/>
      <c r="QHB30" s="546"/>
      <c r="QHC30" s="546"/>
      <c r="QHD30" s="546"/>
      <c r="QHE30" s="546"/>
      <c r="QHF30" s="546"/>
      <c r="QHG30" s="546"/>
      <c r="QHH30" s="546"/>
      <c r="QHI30" s="546"/>
      <c r="QHJ30" s="546"/>
      <c r="QHK30" s="546"/>
      <c r="QHL30" s="546"/>
      <c r="QHM30" s="546"/>
      <c r="QHN30" s="546"/>
      <c r="QHO30" s="546"/>
      <c r="QHP30" s="546"/>
      <c r="QHQ30" s="546"/>
      <c r="QHR30" s="546"/>
      <c r="QHS30" s="546"/>
      <c r="QHT30" s="546"/>
      <c r="QHU30" s="546"/>
      <c r="QHV30" s="546"/>
      <c r="QHW30" s="546"/>
      <c r="QHX30" s="546"/>
      <c r="QHY30" s="546"/>
      <c r="QHZ30" s="546"/>
      <c r="QIA30" s="546"/>
      <c r="QIB30" s="546"/>
      <c r="QIC30" s="546"/>
      <c r="QID30" s="546"/>
      <c r="QIE30" s="546"/>
      <c r="QIF30" s="546"/>
      <c r="QIG30" s="546"/>
      <c r="QIH30" s="546"/>
      <c r="QII30" s="546"/>
      <c r="QIJ30" s="546"/>
      <c r="QIK30" s="546"/>
      <c r="QIL30" s="546"/>
      <c r="QIM30" s="546"/>
      <c r="QIN30" s="546"/>
      <c r="QIO30" s="546"/>
      <c r="QIP30" s="546"/>
      <c r="QIQ30" s="546"/>
      <c r="QIR30" s="546"/>
      <c r="QIS30" s="546"/>
      <c r="QIT30" s="546"/>
      <c r="QIU30" s="546"/>
      <c r="QIV30" s="546"/>
      <c r="QIW30" s="546"/>
      <c r="QIX30" s="546"/>
      <c r="QIY30" s="546"/>
      <c r="QIZ30" s="546"/>
      <c r="QJA30" s="546"/>
      <c r="QJB30" s="546"/>
      <c r="QJC30" s="546"/>
      <c r="QJD30" s="546"/>
      <c r="QJE30" s="546"/>
      <c r="QJF30" s="546"/>
      <c r="QJG30" s="546"/>
      <c r="QJH30" s="546"/>
      <c r="QJI30" s="546"/>
      <c r="QJJ30" s="546"/>
      <c r="QJK30" s="546"/>
      <c r="QJL30" s="546"/>
      <c r="QJM30" s="546"/>
      <c r="QJN30" s="546"/>
      <c r="QJO30" s="546"/>
      <c r="QJP30" s="546"/>
      <c r="QJQ30" s="546"/>
      <c r="QJR30" s="546"/>
      <c r="QJS30" s="546"/>
      <c r="QJT30" s="546"/>
      <c r="QJU30" s="546"/>
      <c r="QJV30" s="546"/>
      <c r="QJW30" s="546"/>
      <c r="QJX30" s="546"/>
      <c r="QJY30" s="546"/>
      <c r="QJZ30" s="546"/>
      <c r="QKA30" s="546"/>
      <c r="QKB30" s="546"/>
      <c r="QKC30" s="546"/>
      <c r="QKD30" s="546"/>
      <c r="QKE30" s="546"/>
      <c r="QKF30" s="546"/>
      <c r="QKG30" s="546"/>
      <c r="QKH30" s="546"/>
      <c r="QKI30" s="546"/>
      <c r="QKJ30" s="546"/>
      <c r="QKK30" s="546"/>
      <c r="QKL30" s="546"/>
      <c r="QKM30" s="546"/>
      <c r="QKN30" s="546"/>
      <c r="QKO30" s="546"/>
      <c r="QKP30" s="546"/>
      <c r="QKQ30" s="546"/>
      <c r="QKR30" s="546"/>
      <c r="QKS30" s="546"/>
      <c r="QKT30" s="546"/>
      <c r="QKU30" s="546"/>
      <c r="QKV30" s="546"/>
      <c r="QKW30" s="546"/>
      <c r="QKX30" s="546"/>
      <c r="QKY30" s="546"/>
      <c r="QKZ30" s="546"/>
      <c r="QLA30" s="546"/>
      <c r="QLB30" s="546"/>
      <c r="QLC30" s="546"/>
      <c r="QLD30" s="546"/>
      <c r="QLE30" s="546"/>
      <c r="QLF30" s="546"/>
      <c r="QLG30" s="546"/>
      <c r="QLH30" s="546"/>
      <c r="QLI30" s="546"/>
      <c r="QLJ30" s="546"/>
      <c r="QLK30" s="546"/>
      <c r="QLL30" s="546"/>
      <c r="QLM30" s="546"/>
      <c r="QLN30" s="546"/>
      <c r="QLO30" s="546"/>
      <c r="QLP30" s="546"/>
      <c r="QLQ30" s="546"/>
      <c r="QLR30" s="546"/>
      <c r="QLS30" s="546"/>
      <c r="QLT30" s="546"/>
      <c r="QLU30" s="546"/>
      <c r="QLV30" s="546"/>
      <c r="QLW30" s="546"/>
      <c r="QLX30" s="546"/>
      <c r="QLY30" s="546"/>
      <c r="QLZ30" s="546"/>
      <c r="QMA30" s="546"/>
      <c r="QMB30" s="546"/>
      <c r="QMC30" s="546"/>
      <c r="QMD30" s="546"/>
      <c r="QME30" s="546"/>
      <c r="QMF30" s="546"/>
      <c r="QMG30" s="546"/>
      <c r="QMH30" s="546"/>
      <c r="QMI30" s="546"/>
      <c r="QMJ30" s="546"/>
      <c r="QMK30" s="546"/>
      <c r="QML30" s="546"/>
      <c r="QMM30" s="546"/>
      <c r="QMN30" s="546"/>
      <c r="QMO30" s="546"/>
      <c r="QMP30" s="546"/>
      <c r="QMQ30" s="546"/>
      <c r="QMR30" s="546"/>
      <c r="QMS30" s="546"/>
      <c r="QMT30" s="546"/>
      <c r="QMU30" s="546"/>
      <c r="QMV30" s="546"/>
      <c r="QMW30" s="546"/>
      <c r="QMX30" s="546"/>
      <c r="QMY30" s="546"/>
      <c r="QMZ30" s="546"/>
      <c r="QNA30" s="546"/>
      <c r="QNB30" s="546"/>
      <c r="QNC30" s="546"/>
      <c r="QND30" s="546"/>
      <c r="QNE30" s="546"/>
      <c r="QNF30" s="546"/>
      <c r="QNG30" s="546"/>
      <c r="QNH30" s="546"/>
      <c r="QNI30" s="546"/>
      <c r="QNJ30" s="546"/>
      <c r="QNK30" s="546"/>
      <c r="QNL30" s="546"/>
      <c r="QNM30" s="546"/>
      <c r="QNN30" s="546"/>
      <c r="QNO30" s="546"/>
      <c r="QNP30" s="546"/>
      <c r="QNQ30" s="546"/>
      <c r="QNR30" s="546"/>
      <c r="QNS30" s="546"/>
      <c r="QNT30" s="546"/>
      <c r="QNU30" s="546"/>
      <c r="QNV30" s="546"/>
      <c r="QNW30" s="546"/>
      <c r="QNX30" s="546"/>
      <c r="QNY30" s="546"/>
      <c r="QNZ30" s="546"/>
      <c r="QOA30" s="546"/>
      <c r="QOB30" s="546"/>
      <c r="QOC30" s="546"/>
      <c r="QOD30" s="546"/>
      <c r="QOE30" s="546"/>
      <c r="QOF30" s="546"/>
      <c r="QOG30" s="546"/>
      <c r="QOH30" s="546"/>
      <c r="QOI30" s="546"/>
      <c r="QOJ30" s="546"/>
      <c r="QOK30" s="546"/>
      <c r="QOL30" s="546"/>
      <c r="QOM30" s="546"/>
      <c r="QON30" s="546"/>
      <c r="QOO30" s="546"/>
      <c r="QOP30" s="546"/>
      <c r="QOQ30" s="546"/>
      <c r="QOR30" s="546"/>
      <c r="QOS30" s="546"/>
      <c r="QOT30" s="546"/>
      <c r="QOU30" s="546"/>
      <c r="QOV30" s="546"/>
      <c r="QOW30" s="546"/>
      <c r="QOX30" s="546"/>
      <c r="QOY30" s="546"/>
      <c r="QOZ30" s="546"/>
      <c r="QPA30" s="546"/>
      <c r="QPB30" s="546"/>
      <c r="QPC30" s="546"/>
      <c r="QPD30" s="546"/>
      <c r="QPE30" s="546"/>
      <c r="QPF30" s="546"/>
      <c r="QPG30" s="546"/>
      <c r="QPH30" s="546"/>
      <c r="QPI30" s="546"/>
      <c r="QPJ30" s="546"/>
      <c r="QPK30" s="546"/>
      <c r="QPL30" s="546"/>
      <c r="QPM30" s="546"/>
      <c r="QPN30" s="546"/>
      <c r="QPO30" s="546"/>
      <c r="QPP30" s="546"/>
      <c r="QPQ30" s="546"/>
      <c r="QPR30" s="546"/>
      <c r="QPS30" s="546"/>
      <c r="QPT30" s="546"/>
      <c r="QPU30" s="546"/>
      <c r="QPV30" s="546"/>
      <c r="QPW30" s="546"/>
      <c r="QPX30" s="546"/>
      <c r="QPY30" s="546"/>
      <c r="QPZ30" s="546"/>
      <c r="QQA30" s="546"/>
      <c r="QQB30" s="546"/>
      <c r="QQC30" s="546"/>
      <c r="QQD30" s="546"/>
      <c r="QQE30" s="546"/>
      <c r="QQF30" s="546"/>
      <c r="QQG30" s="546"/>
      <c r="QQH30" s="546"/>
      <c r="QQI30" s="546"/>
      <c r="QQJ30" s="546"/>
      <c r="QQK30" s="546"/>
      <c r="QQL30" s="546"/>
      <c r="QQM30" s="546"/>
      <c r="QQN30" s="546"/>
      <c r="QQO30" s="546"/>
      <c r="QQP30" s="546"/>
      <c r="QQQ30" s="546"/>
      <c r="QQR30" s="546"/>
      <c r="QQS30" s="546"/>
      <c r="QQT30" s="546"/>
      <c r="QQU30" s="546"/>
      <c r="QQV30" s="546"/>
      <c r="QQW30" s="546"/>
      <c r="QQX30" s="546"/>
      <c r="QQY30" s="546"/>
      <c r="QQZ30" s="546"/>
      <c r="QRA30" s="546"/>
      <c r="QRB30" s="546"/>
      <c r="QRC30" s="546"/>
      <c r="QRD30" s="546"/>
      <c r="QRE30" s="546"/>
      <c r="QRF30" s="546"/>
      <c r="QRG30" s="546"/>
      <c r="QRH30" s="546"/>
      <c r="QRI30" s="546"/>
      <c r="QRJ30" s="546"/>
      <c r="QRK30" s="546"/>
      <c r="QRL30" s="546"/>
      <c r="QRM30" s="546"/>
      <c r="QRN30" s="546"/>
      <c r="QRO30" s="546"/>
      <c r="QRP30" s="546"/>
      <c r="QRQ30" s="546"/>
      <c r="QRR30" s="546"/>
      <c r="QRS30" s="546"/>
      <c r="QRT30" s="546"/>
      <c r="QRU30" s="546"/>
      <c r="QRV30" s="546"/>
      <c r="QRW30" s="546"/>
      <c r="QRX30" s="546"/>
      <c r="QRY30" s="546"/>
      <c r="QRZ30" s="546"/>
      <c r="QSA30" s="546"/>
      <c r="QSB30" s="546"/>
      <c r="QSC30" s="546"/>
      <c r="QSD30" s="546"/>
      <c r="QSE30" s="546"/>
      <c r="QSF30" s="546"/>
      <c r="QSG30" s="546"/>
      <c r="QSH30" s="546"/>
      <c r="QSI30" s="546"/>
      <c r="QSJ30" s="546"/>
      <c r="QSK30" s="546"/>
      <c r="QSL30" s="546"/>
      <c r="QSM30" s="546"/>
      <c r="QSN30" s="546"/>
      <c r="QSO30" s="546"/>
      <c r="QSP30" s="546"/>
      <c r="QSQ30" s="546"/>
      <c r="QSR30" s="546"/>
      <c r="QSS30" s="546"/>
      <c r="QST30" s="546"/>
      <c r="QSU30" s="546"/>
      <c r="QSV30" s="546"/>
      <c r="QSW30" s="546"/>
      <c r="QSX30" s="546"/>
      <c r="QSY30" s="546"/>
      <c r="QSZ30" s="546"/>
      <c r="QTA30" s="546"/>
      <c r="QTB30" s="546"/>
      <c r="QTC30" s="546"/>
      <c r="QTD30" s="546"/>
      <c r="QTE30" s="546"/>
      <c r="QTF30" s="546"/>
      <c r="QTG30" s="546"/>
      <c r="QTH30" s="546"/>
      <c r="QTI30" s="546"/>
      <c r="QTJ30" s="546"/>
      <c r="QTK30" s="546"/>
      <c r="QTL30" s="546"/>
      <c r="QTM30" s="546"/>
      <c r="QTN30" s="546"/>
      <c r="QTO30" s="546"/>
      <c r="QTP30" s="546"/>
      <c r="QTQ30" s="546"/>
      <c r="QTR30" s="546"/>
      <c r="QTS30" s="546"/>
      <c r="QTT30" s="546"/>
      <c r="QTU30" s="546"/>
      <c r="QTV30" s="546"/>
      <c r="QTW30" s="546"/>
      <c r="QTX30" s="546"/>
      <c r="QTY30" s="546"/>
      <c r="QTZ30" s="546"/>
      <c r="QUA30" s="546"/>
      <c r="QUB30" s="546"/>
      <c r="QUC30" s="546"/>
      <c r="QUD30" s="546"/>
      <c r="QUE30" s="546"/>
      <c r="QUF30" s="546"/>
      <c r="QUG30" s="546"/>
      <c r="QUH30" s="546"/>
      <c r="QUI30" s="546"/>
      <c r="QUJ30" s="546"/>
      <c r="QUK30" s="546"/>
      <c r="QUL30" s="546"/>
      <c r="QUM30" s="546"/>
      <c r="QUN30" s="546"/>
      <c r="QUO30" s="546"/>
      <c r="QUP30" s="546"/>
      <c r="QUQ30" s="546"/>
      <c r="QUR30" s="546"/>
      <c r="QUS30" s="546"/>
      <c r="QUT30" s="546"/>
      <c r="QUU30" s="546"/>
      <c r="QUV30" s="546"/>
      <c r="QUW30" s="546"/>
      <c r="QUX30" s="546"/>
      <c r="QUY30" s="546"/>
      <c r="QUZ30" s="546"/>
      <c r="QVA30" s="546"/>
      <c r="QVB30" s="546"/>
      <c r="QVC30" s="546"/>
      <c r="QVD30" s="546"/>
      <c r="QVE30" s="546"/>
      <c r="QVF30" s="546"/>
      <c r="QVG30" s="546"/>
      <c r="QVH30" s="546"/>
      <c r="QVI30" s="546"/>
      <c r="QVJ30" s="546"/>
      <c r="QVK30" s="546"/>
      <c r="QVL30" s="546"/>
      <c r="QVM30" s="546"/>
      <c r="QVN30" s="546"/>
      <c r="QVO30" s="546"/>
      <c r="QVP30" s="546"/>
      <c r="QVQ30" s="546"/>
      <c r="QVR30" s="546"/>
      <c r="QVS30" s="546"/>
      <c r="QVT30" s="546"/>
      <c r="QVU30" s="546"/>
      <c r="QVV30" s="546"/>
      <c r="QVW30" s="546"/>
      <c r="QVX30" s="546"/>
      <c r="QVY30" s="546"/>
      <c r="QVZ30" s="546"/>
      <c r="QWA30" s="546"/>
      <c r="QWB30" s="546"/>
      <c r="QWC30" s="546"/>
      <c r="QWD30" s="546"/>
      <c r="QWE30" s="546"/>
      <c r="QWF30" s="546"/>
      <c r="QWG30" s="546"/>
      <c r="QWH30" s="546"/>
      <c r="QWI30" s="546"/>
      <c r="QWJ30" s="546"/>
      <c r="QWK30" s="546"/>
      <c r="QWL30" s="546"/>
      <c r="QWM30" s="546"/>
      <c r="QWN30" s="546"/>
      <c r="QWO30" s="546"/>
      <c r="QWP30" s="546"/>
      <c r="QWQ30" s="546"/>
      <c r="QWR30" s="546"/>
      <c r="QWS30" s="546"/>
      <c r="QWT30" s="546"/>
      <c r="QWU30" s="546"/>
      <c r="QWV30" s="546"/>
      <c r="QWW30" s="546"/>
      <c r="QWX30" s="546"/>
      <c r="QWY30" s="546"/>
      <c r="QWZ30" s="546"/>
      <c r="QXA30" s="546"/>
      <c r="QXB30" s="546"/>
      <c r="QXC30" s="546"/>
      <c r="QXD30" s="546"/>
      <c r="QXE30" s="546"/>
      <c r="QXF30" s="546"/>
      <c r="QXG30" s="546"/>
      <c r="QXH30" s="546"/>
      <c r="QXI30" s="546"/>
      <c r="QXJ30" s="546"/>
      <c r="QXK30" s="546"/>
      <c r="QXL30" s="546"/>
      <c r="QXM30" s="546"/>
      <c r="QXN30" s="546"/>
      <c r="QXO30" s="546"/>
      <c r="QXP30" s="546"/>
      <c r="QXQ30" s="546"/>
      <c r="QXR30" s="546"/>
      <c r="QXS30" s="546"/>
      <c r="QXT30" s="546"/>
      <c r="QXU30" s="546"/>
      <c r="QXV30" s="546"/>
      <c r="QXW30" s="546"/>
      <c r="QXX30" s="546"/>
      <c r="QXY30" s="546"/>
      <c r="QXZ30" s="546"/>
      <c r="QYA30" s="546"/>
      <c r="QYB30" s="546"/>
      <c r="QYC30" s="546"/>
      <c r="QYD30" s="546"/>
      <c r="QYE30" s="546"/>
      <c r="QYF30" s="546"/>
      <c r="QYG30" s="546"/>
      <c r="QYH30" s="546"/>
      <c r="QYI30" s="546"/>
      <c r="QYJ30" s="546"/>
      <c r="QYK30" s="546"/>
      <c r="QYL30" s="546"/>
      <c r="QYM30" s="546"/>
      <c r="QYN30" s="546"/>
      <c r="QYO30" s="546"/>
      <c r="QYP30" s="546"/>
      <c r="QYQ30" s="546"/>
      <c r="QYR30" s="546"/>
      <c r="QYS30" s="546"/>
      <c r="QYT30" s="546"/>
      <c r="QYU30" s="546"/>
      <c r="QYV30" s="546"/>
      <c r="QYW30" s="546"/>
      <c r="QYX30" s="546"/>
      <c r="QYY30" s="546"/>
      <c r="QYZ30" s="546"/>
      <c r="QZA30" s="546"/>
      <c r="QZB30" s="546"/>
      <c r="QZC30" s="546"/>
      <c r="QZD30" s="546"/>
      <c r="QZE30" s="546"/>
      <c r="QZF30" s="546"/>
      <c r="QZG30" s="546"/>
      <c r="QZH30" s="546"/>
      <c r="QZI30" s="546"/>
      <c r="QZJ30" s="546"/>
      <c r="QZK30" s="546"/>
      <c r="QZL30" s="546"/>
      <c r="QZM30" s="546"/>
      <c r="QZN30" s="546"/>
      <c r="QZO30" s="546"/>
      <c r="QZP30" s="546"/>
      <c r="QZQ30" s="546"/>
      <c r="QZR30" s="546"/>
      <c r="QZS30" s="546"/>
      <c r="QZT30" s="546"/>
      <c r="QZU30" s="546"/>
      <c r="QZV30" s="546"/>
      <c r="QZW30" s="546"/>
      <c r="QZX30" s="546"/>
      <c r="QZY30" s="546"/>
      <c r="QZZ30" s="546"/>
      <c r="RAA30" s="546"/>
      <c r="RAB30" s="546"/>
      <c r="RAC30" s="546"/>
      <c r="RAD30" s="546"/>
      <c r="RAE30" s="546"/>
      <c r="RAF30" s="546"/>
      <c r="RAG30" s="546"/>
      <c r="RAH30" s="546"/>
      <c r="RAI30" s="546"/>
      <c r="RAJ30" s="546"/>
      <c r="RAK30" s="546"/>
      <c r="RAL30" s="546"/>
      <c r="RAM30" s="546"/>
      <c r="RAN30" s="546"/>
      <c r="RAO30" s="546"/>
      <c r="RAP30" s="546"/>
      <c r="RAQ30" s="546"/>
      <c r="RAR30" s="546"/>
      <c r="RAS30" s="546"/>
      <c r="RAT30" s="546"/>
      <c r="RAU30" s="546"/>
      <c r="RAV30" s="546"/>
      <c r="RAW30" s="546"/>
      <c r="RAX30" s="546"/>
      <c r="RAY30" s="546"/>
      <c r="RAZ30" s="546"/>
      <c r="RBA30" s="546"/>
      <c r="RBB30" s="546"/>
      <c r="RBC30" s="546"/>
      <c r="RBD30" s="546"/>
      <c r="RBE30" s="546"/>
      <c r="RBF30" s="546"/>
      <c r="RBG30" s="546"/>
      <c r="RBH30" s="546"/>
      <c r="RBI30" s="546"/>
      <c r="RBJ30" s="546"/>
      <c r="RBK30" s="546"/>
      <c r="RBL30" s="546"/>
      <c r="RBM30" s="546"/>
      <c r="RBN30" s="546"/>
      <c r="RBO30" s="546"/>
      <c r="RBP30" s="546"/>
      <c r="RBQ30" s="546"/>
      <c r="RBR30" s="546"/>
      <c r="RBS30" s="546"/>
      <c r="RBT30" s="546"/>
      <c r="RBU30" s="546"/>
      <c r="RBV30" s="546"/>
      <c r="RBW30" s="546"/>
      <c r="RBX30" s="546"/>
      <c r="RBY30" s="546"/>
      <c r="RBZ30" s="546"/>
      <c r="RCA30" s="546"/>
      <c r="RCB30" s="546"/>
      <c r="RCC30" s="546"/>
      <c r="RCD30" s="546"/>
      <c r="RCE30" s="546"/>
      <c r="RCF30" s="546"/>
      <c r="RCG30" s="546"/>
      <c r="RCH30" s="546"/>
      <c r="RCI30" s="546"/>
      <c r="RCJ30" s="546"/>
      <c r="RCK30" s="546"/>
      <c r="RCL30" s="546"/>
      <c r="RCM30" s="546"/>
      <c r="RCN30" s="546"/>
      <c r="RCO30" s="546"/>
      <c r="RCP30" s="546"/>
      <c r="RCQ30" s="546"/>
      <c r="RCR30" s="546"/>
      <c r="RCS30" s="546"/>
      <c r="RCT30" s="546"/>
      <c r="RCU30" s="546"/>
      <c r="RCV30" s="546"/>
      <c r="RCW30" s="546"/>
      <c r="RCX30" s="546"/>
      <c r="RCY30" s="546"/>
      <c r="RCZ30" s="546"/>
      <c r="RDA30" s="546"/>
      <c r="RDB30" s="546"/>
      <c r="RDC30" s="546"/>
      <c r="RDD30" s="546"/>
      <c r="RDE30" s="546"/>
      <c r="RDF30" s="546"/>
      <c r="RDG30" s="546"/>
      <c r="RDH30" s="546"/>
      <c r="RDI30" s="546"/>
      <c r="RDJ30" s="546"/>
      <c r="RDK30" s="546"/>
      <c r="RDL30" s="546"/>
      <c r="RDM30" s="546"/>
      <c r="RDN30" s="546"/>
      <c r="RDO30" s="546"/>
      <c r="RDP30" s="546"/>
      <c r="RDQ30" s="546"/>
      <c r="RDR30" s="546"/>
      <c r="RDS30" s="546"/>
      <c r="RDT30" s="546"/>
      <c r="RDU30" s="546"/>
      <c r="RDV30" s="546"/>
      <c r="RDW30" s="546"/>
      <c r="RDX30" s="546"/>
      <c r="RDY30" s="546"/>
      <c r="RDZ30" s="546"/>
      <c r="REA30" s="546"/>
      <c r="REB30" s="546"/>
      <c r="REC30" s="546"/>
      <c r="RED30" s="546"/>
      <c r="REE30" s="546"/>
      <c r="REF30" s="546"/>
      <c r="REG30" s="546"/>
      <c r="REH30" s="546"/>
      <c r="REI30" s="546"/>
      <c r="REJ30" s="546"/>
      <c r="REK30" s="546"/>
      <c r="REL30" s="546"/>
      <c r="REM30" s="546"/>
      <c r="REN30" s="546"/>
      <c r="REO30" s="546"/>
      <c r="REP30" s="546"/>
      <c r="REQ30" s="546"/>
      <c r="RER30" s="546"/>
      <c r="RES30" s="546"/>
      <c r="RET30" s="546"/>
      <c r="REU30" s="546"/>
      <c r="REV30" s="546"/>
      <c r="REW30" s="546"/>
      <c r="REX30" s="546"/>
      <c r="REY30" s="546"/>
      <c r="REZ30" s="546"/>
      <c r="RFA30" s="546"/>
      <c r="RFB30" s="546"/>
      <c r="RFC30" s="546"/>
      <c r="RFD30" s="546"/>
      <c r="RFE30" s="546"/>
      <c r="RFF30" s="546"/>
      <c r="RFG30" s="546"/>
      <c r="RFH30" s="546"/>
      <c r="RFI30" s="546"/>
      <c r="RFJ30" s="546"/>
      <c r="RFK30" s="546"/>
      <c r="RFL30" s="546"/>
      <c r="RFM30" s="546"/>
      <c r="RFN30" s="546"/>
      <c r="RFO30" s="546"/>
      <c r="RFP30" s="546"/>
      <c r="RFQ30" s="546"/>
      <c r="RFR30" s="546"/>
      <c r="RFS30" s="546"/>
      <c r="RFT30" s="546"/>
      <c r="RFU30" s="546"/>
      <c r="RFV30" s="546"/>
      <c r="RFW30" s="546"/>
      <c r="RFX30" s="546"/>
      <c r="RFY30" s="546"/>
      <c r="RFZ30" s="546"/>
      <c r="RGA30" s="546"/>
      <c r="RGB30" s="546"/>
      <c r="RGC30" s="546"/>
      <c r="RGD30" s="546"/>
      <c r="RGE30" s="546"/>
      <c r="RGF30" s="546"/>
      <c r="RGG30" s="546"/>
      <c r="RGH30" s="546"/>
      <c r="RGI30" s="546"/>
      <c r="RGJ30" s="546"/>
      <c r="RGK30" s="546"/>
      <c r="RGL30" s="546"/>
      <c r="RGM30" s="546"/>
      <c r="RGN30" s="546"/>
      <c r="RGO30" s="546"/>
      <c r="RGP30" s="546"/>
      <c r="RGQ30" s="546"/>
      <c r="RGR30" s="546"/>
      <c r="RGS30" s="546"/>
      <c r="RGT30" s="546"/>
      <c r="RGU30" s="546"/>
      <c r="RGV30" s="546"/>
      <c r="RGW30" s="546"/>
      <c r="RGX30" s="546"/>
      <c r="RGY30" s="546"/>
      <c r="RGZ30" s="546"/>
      <c r="RHA30" s="546"/>
      <c r="RHB30" s="546"/>
      <c r="RHC30" s="546"/>
      <c r="RHD30" s="546"/>
      <c r="RHE30" s="546"/>
      <c r="RHF30" s="546"/>
      <c r="RHG30" s="546"/>
      <c r="RHH30" s="546"/>
      <c r="RHI30" s="546"/>
      <c r="RHJ30" s="546"/>
      <c r="RHK30" s="546"/>
      <c r="RHL30" s="546"/>
      <c r="RHM30" s="546"/>
      <c r="RHN30" s="546"/>
      <c r="RHO30" s="546"/>
      <c r="RHP30" s="546"/>
      <c r="RHQ30" s="546"/>
      <c r="RHR30" s="546"/>
      <c r="RHS30" s="546"/>
      <c r="RHT30" s="546"/>
      <c r="RHU30" s="546"/>
      <c r="RHV30" s="546"/>
      <c r="RHW30" s="546"/>
      <c r="RHX30" s="546"/>
      <c r="RHY30" s="546"/>
      <c r="RHZ30" s="546"/>
      <c r="RIA30" s="546"/>
      <c r="RIB30" s="546"/>
      <c r="RIC30" s="546"/>
      <c r="RID30" s="546"/>
      <c r="RIE30" s="546"/>
      <c r="RIF30" s="546"/>
      <c r="RIG30" s="546"/>
      <c r="RIH30" s="546"/>
      <c r="RII30" s="546"/>
      <c r="RIJ30" s="546"/>
      <c r="RIK30" s="546"/>
      <c r="RIL30" s="546"/>
      <c r="RIM30" s="546"/>
      <c r="RIN30" s="546"/>
      <c r="RIO30" s="546"/>
      <c r="RIP30" s="546"/>
      <c r="RIQ30" s="546"/>
      <c r="RIR30" s="546"/>
      <c r="RIS30" s="546"/>
      <c r="RIT30" s="546"/>
      <c r="RIU30" s="546"/>
      <c r="RIV30" s="546"/>
      <c r="RIW30" s="546"/>
      <c r="RIX30" s="546"/>
      <c r="RIY30" s="546"/>
      <c r="RIZ30" s="546"/>
      <c r="RJA30" s="546"/>
      <c r="RJB30" s="546"/>
      <c r="RJC30" s="546"/>
      <c r="RJD30" s="546"/>
      <c r="RJE30" s="546"/>
      <c r="RJF30" s="546"/>
      <c r="RJG30" s="546"/>
      <c r="RJH30" s="546"/>
      <c r="RJI30" s="546"/>
      <c r="RJJ30" s="546"/>
      <c r="RJK30" s="546"/>
      <c r="RJL30" s="546"/>
      <c r="RJM30" s="546"/>
      <c r="RJN30" s="546"/>
      <c r="RJO30" s="546"/>
      <c r="RJP30" s="546"/>
      <c r="RJQ30" s="546"/>
      <c r="RJR30" s="546"/>
      <c r="RJS30" s="546"/>
      <c r="RJT30" s="546"/>
      <c r="RJU30" s="546"/>
      <c r="RJV30" s="546"/>
      <c r="RJW30" s="546"/>
      <c r="RJX30" s="546"/>
      <c r="RJY30" s="546"/>
      <c r="RJZ30" s="546"/>
      <c r="RKA30" s="546"/>
      <c r="RKB30" s="546"/>
      <c r="RKC30" s="546"/>
      <c r="RKD30" s="546"/>
      <c r="RKE30" s="546"/>
      <c r="RKF30" s="546"/>
      <c r="RKG30" s="546"/>
      <c r="RKH30" s="546"/>
      <c r="RKI30" s="546"/>
      <c r="RKJ30" s="546"/>
      <c r="RKK30" s="546"/>
      <c r="RKL30" s="546"/>
      <c r="RKM30" s="546"/>
      <c r="RKN30" s="546"/>
      <c r="RKO30" s="546"/>
      <c r="RKP30" s="546"/>
      <c r="RKQ30" s="546"/>
      <c r="RKR30" s="546"/>
      <c r="RKS30" s="546"/>
      <c r="RKT30" s="546"/>
      <c r="RKU30" s="546"/>
      <c r="RKV30" s="546"/>
      <c r="RKW30" s="546"/>
      <c r="RKX30" s="546"/>
      <c r="RKY30" s="546"/>
      <c r="RKZ30" s="546"/>
      <c r="RLA30" s="546"/>
      <c r="RLB30" s="546"/>
      <c r="RLC30" s="546"/>
      <c r="RLD30" s="546"/>
      <c r="RLE30" s="546"/>
      <c r="RLF30" s="546"/>
      <c r="RLG30" s="546"/>
      <c r="RLH30" s="546"/>
      <c r="RLI30" s="546"/>
      <c r="RLJ30" s="546"/>
      <c r="RLK30" s="546"/>
      <c r="RLL30" s="546"/>
      <c r="RLM30" s="546"/>
      <c r="RLN30" s="546"/>
      <c r="RLO30" s="546"/>
      <c r="RLP30" s="546"/>
      <c r="RLQ30" s="546"/>
      <c r="RLR30" s="546"/>
      <c r="RLS30" s="546"/>
      <c r="RLT30" s="546"/>
      <c r="RLU30" s="546"/>
      <c r="RLV30" s="546"/>
      <c r="RLW30" s="546"/>
      <c r="RLX30" s="546"/>
      <c r="RLY30" s="546"/>
      <c r="RLZ30" s="546"/>
      <c r="RMA30" s="546"/>
      <c r="RMB30" s="546"/>
      <c r="RMC30" s="546"/>
      <c r="RMD30" s="546"/>
      <c r="RME30" s="546"/>
      <c r="RMF30" s="546"/>
      <c r="RMG30" s="546"/>
      <c r="RMH30" s="546"/>
      <c r="RMI30" s="546"/>
      <c r="RMJ30" s="546"/>
      <c r="RMK30" s="546"/>
      <c r="RML30" s="546"/>
      <c r="RMM30" s="546"/>
      <c r="RMN30" s="546"/>
      <c r="RMO30" s="546"/>
      <c r="RMP30" s="546"/>
      <c r="RMQ30" s="546"/>
      <c r="RMR30" s="546"/>
      <c r="RMS30" s="546"/>
      <c r="RMT30" s="546"/>
      <c r="RMU30" s="546"/>
      <c r="RMV30" s="546"/>
      <c r="RMW30" s="546"/>
      <c r="RMX30" s="546"/>
      <c r="RMY30" s="546"/>
      <c r="RMZ30" s="546"/>
      <c r="RNA30" s="546"/>
      <c r="RNB30" s="546"/>
      <c r="RNC30" s="546"/>
      <c r="RND30" s="546"/>
      <c r="RNE30" s="546"/>
      <c r="RNF30" s="546"/>
      <c r="RNG30" s="546"/>
      <c r="RNH30" s="546"/>
      <c r="RNI30" s="546"/>
      <c r="RNJ30" s="546"/>
      <c r="RNK30" s="546"/>
      <c r="RNL30" s="546"/>
      <c r="RNM30" s="546"/>
      <c r="RNN30" s="546"/>
      <c r="RNO30" s="546"/>
      <c r="RNP30" s="546"/>
      <c r="RNQ30" s="546"/>
      <c r="RNR30" s="546"/>
      <c r="RNS30" s="546"/>
      <c r="RNT30" s="546"/>
      <c r="RNU30" s="546"/>
      <c r="RNV30" s="546"/>
      <c r="RNW30" s="546"/>
      <c r="RNX30" s="546"/>
      <c r="RNY30" s="546"/>
      <c r="RNZ30" s="546"/>
      <c r="ROA30" s="546"/>
      <c r="ROB30" s="546"/>
      <c r="ROC30" s="546"/>
      <c r="ROD30" s="546"/>
      <c r="ROE30" s="546"/>
      <c r="ROF30" s="546"/>
      <c r="ROG30" s="546"/>
      <c r="ROH30" s="546"/>
      <c r="ROI30" s="546"/>
      <c r="ROJ30" s="546"/>
      <c r="ROK30" s="546"/>
      <c r="ROL30" s="546"/>
      <c r="ROM30" s="546"/>
      <c r="RON30" s="546"/>
      <c r="ROO30" s="546"/>
      <c r="ROP30" s="546"/>
      <c r="ROQ30" s="546"/>
      <c r="ROR30" s="546"/>
      <c r="ROS30" s="546"/>
      <c r="ROT30" s="546"/>
      <c r="ROU30" s="546"/>
      <c r="ROV30" s="546"/>
      <c r="ROW30" s="546"/>
      <c r="ROX30" s="546"/>
      <c r="ROY30" s="546"/>
      <c r="ROZ30" s="546"/>
      <c r="RPA30" s="546"/>
      <c r="RPB30" s="546"/>
      <c r="RPC30" s="546"/>
      <c r="RPD30" s="546"/>
      <c r="RPE30" s="546"/>
      <c r="RPF30" s="546"/>
      <c r="RPG30" s="546"/>
      <c r="RPH30" s="546"/>
      <c r="RPI30" s="546"/>
      <c r="RPJ30" s="546"/>
      <c r="RPK30" s="546"/>
      <c r="RPL30" s="546"/>
      <c r="RPM30" s="546"/>
      <c r="RPN30" s="546"/>
      <c r="RPO30" s="546"/>
      <c r="RPP30" s="546"/>
      <c r="RPQ30" s="546"/>
      <c r="RPR30" s="546"/>
      <c r="RPS30" s="546"/>
      <c r="RPT30" s="546"/>
      <c r="RPU30" s="546"/>
      <c r="RPV30" s="546"/>
      <c r="RPW30" s="546"/>
      <c r="RPX30" s="546"/>
      <c r="RPY30" s="546"/>
      <c r="RPZ30" s="546"/>
      <c r="RQA30" s="546"/>
      <c r="RQB30" s="546"/>
      <c r="RQC30" s="546"/>
      <c r="RQD30" s="546"/>
      <c r="RQE30" s="546"/>
      <c r="RQF30" s="546"/>
      <c r="RQG30" s="546"/>
      <c r="RQH30" s="546"/>
      <c r="RQI30" s="546"/>
      <c r="RQJ30" s="546"/>
      <c r="RQK30" s="546"/>
      <c r="RQL30" s="546"/>
      <c r="RQM30" s="546"/>
      <c r="RQN30" s="546"/>
      <c r="RQO30" s="546"/>
      <c r="RQP30" s="546"/>
      <c r="RQQ30" s="546"/>
      <c r="RQR30" s="546"/>
      <c r="RQS30" s="546"/>
      <c r="RQT30" s="546"/>
      <c r="RQU30" s="546"/>
      <c r="RQV30" s="546"/>
      <c r="RQW30" s="546"/>
      <c r="RQX30" s="546"/>
      <c r="RQY30" s="546"/>
      <c r="RQZ30" s="546"/>
      <c r="RRA30" s="546"/>
      <c r="RRB30" s="546"/>
      <c r="RRC30" s="546"/>
      <c r="RRD30" s="546"/>
      <c r="RRE30" s="546"/>
      <c r="RRF30" s="546"/>
      <c r="RRG30" s="546"/>
      <c r="RRH30" s="546"/>
      <c r="RRI30" s="546"/>
      <c r="RRJ30" s="546"/>
      <c r="RRK30" s="546"/>
      <c r="RRL30" s="546"/>
      <c r="RRM30" s="546"/>
      <c r="RRN30" s="546"/>
      <c r="RRO30" s="546"/>
      <c r="RRP30" s="546"/>
      <c r="RRQ30" s="546"/>
      <c r="RRR30" s="546"/>
      <c r="RRS30" s="546"/>
      <c r="RRT30" s="546"/>
      <c r="RRU30" s="546"/>
      <c r="RRV30" s="546"/>
      <c r="RRW30" s="546"/>
      <c r="RRX30" s="546"/>
      <c r="RRY30" s="546"/>
      <c r="RRZ30" s="546"/>
      <c r="RSA30" s="546"/>
      <c r="RSB30" s="546"/>
      <c r="RSC30" s="546"/>
      <c r="RSD30" s="546"/>
      <c r="RSE30" s="546"/>
      <c r="RSF30" s="546"/>
      <c r="RSG30" s="546"/>
      <c r="RSH30" s="546"/>
      <c r="RSI30" s="546"/>
      <c r="RSJ30" s="546"/>
      <c r="RSK30" s="546"/>
      <c r="RSL30" s="546"/>
      <c r="RSM30" s="546"/>
      <c r="RSN30" s="546"/>
      <c r="RSO30" s="546"/>
      <c r="RSP30" s="546"/>
      <c r="RSQ30" s="546"/>
      <c r="RSR30" s="546"/>
      <c r="RSS30" s="546"/>
      <c r="RST30" s="546"/>
      <c r="RSU30" s="546"/>
      <c r="RSV30" s="546"/>
      <c r="RSW30" s="546"/>
      <c r="RSX30" s="546"/>
      <c r="RSY30" s="546"/>
      <c r="RSZ30" s="546"/>
      <c r="RTA30" s="546"/>
      <c r="RTB30" s="546"/>
      <c r="RTC30" s="546"/>
      <c r="RTD30" s="546"/>
      <c r="RTE30" s="546"/>
      <c r="RTF30" s="546"/>
      <c r="RTG30" s="546"/>
      <c r="RTH30" s="546"/>
      <c r="RTI30" s="546"/>
      <c r="RTJ30" s="546"/>
      <c r="RTK30" s="546"/>
      <c r="RTL30" s="546"/>
      <c r="RTM30" s="546"/>
      <c r="RTN30" s="546"/>
      <c r="RTO30" s="546"/>
      <c r="RTP30" s="546"/>
      <c r="RTQ30" s="546"/>
      <c r="RTR30" s="546"/>
      <c r="RTS30" s="546"/>
      <c r="RTT30" s="546"/>
      <c r="RTU30" s="546"/>
      <c r="RTV30" s="546"/>
      <c r="RTW30" s="546"/>
      <c r="RTX30" s="546"/>
      <c r="RTY30" s="546"/>
      <c r="RTZ30" s="546"/>
      <c r="RUA30" s="546"/>
      <c r="RUB30" s="546"/>
      <c r="RUC30" s="546"/>
      <c r="RUD30" s="546"/>
      <c r="RUE30" s="546"/>
      <c r="RUF30" s="546"/>
      <c r="RUG30" s="546"/>
      <c r="RUH30" s="546"/>
      <c r="RUI30" s="546"/>
      <c r="RUJ30" s="546"/>
      <c r="RUK30" s="546"/>
      <c r="RUL30" s="546"/>
      <c r="RUM30" s="546"/>
      <c r="RUN30" s="546"/>
      <c r="RUO30" s="546"/>
      <c r="RUP30" s="546"/>
      <c r="RUQ30" s="546"/>
      <c r="RUR30" s="546"/>
      <c r="RUS30" s="546"/>
      <c r="RUT30" s="546"/>
      <c r="RUU30" s="546"/>
      <c r="RUV30" s="546"/>
      <c r="RUW30" s="546"/>
      <c r="RUX30" s="546"/>
      <c r="RUY30" s="546"/>
      <c r="RUZ30" s="546"/>
      <c r="RVA30" s="546"/>
      <c r="RVB30" s="546"/>
      <c r="RVC30" s="546"/>
      <c r="RVD30" s="546"/>
      <c r="RVE30" s="546"/>
      <c r="RVF30" s="546"/>
      <c r="RVG30" s="546"/>
      <c r="RVH30" s="546"/>
      <c r="RVI30" s="546"/>
      <c r="RVJ30" s="546"/>
      <c r="RVK30" s="546"/>
      <c r="RVL30" s="546"/>
      <c r="RVM30" s="546"/>
      <c r="RVN30" s="546"/>
      <c r="RVO30" s="546"/>
      <c r="RVP30" s="546"/>
      <c r="RVQ30" s="546"/>
      <c r="RVR30" s="546"/>
      <c r="RVS30" s="546"/>
      <c r="RVT30" s="546"/>
      <c r="RVU30" s="546"/>
      <c r="RVV30" s="546"/>
      <c r="RVW30" s="546"/>
      <c r="RVX30" s="546"/>
      <c r="RVY30" s="546"/>
      <c r="RVZ30" s="546"/>
      <c r="RWA30" s="546"/>
      <c r="RWB30" s="546"/>
      <c r="RWC30" s="546"/>
      <c r="RWD30" s="546"/>
      <c r="RWE30" s="546"/>
      <c r="RWF30" s="546"/>
      <c r="RWG30" s="546"/>
      <c r="RWH30" s="546"/>
      <c r="RWI30" s="546"/>
      <c r="RWJ30" s="546"/>
      <c r="RWK30" s="546"/>
      <c r="RWL30" s="546"/>
      <c r="RWM30" s="546"/>
      <c r="RWN30" s="546"/>
      <c r="RWO30" s="546"/>
      <c r="RWP30" s="546"/>
      <c r="RWQ30" s="546"/>
      <c r="RWR30" s="546"/>
      <c r="RWS30" s="546"/>
      <c r="RWT30" s="546"/>
      <c r="RWU30" s="546"/>
      <c r="RWV30" s="546"/>
      <c r="RWW30" s="546"/>
      <c r="RWX30" s="546"/>
      <c r="RWY30" s="546"/>
      <c r="RWZ30" s="546"/>
      <c r="RXA30" s="546"/>
      <c r="RXB30" s="546"/>
      <c r="RXC30" s="546"/>
      <c r="RXD30" s="546"/>
      <c r="RXE30" s="546"/>
      <c r="RXF30" s="546"/>
      <c r="RXG30" s="546"/>
      <c r="RXH30" s="546"/>
      <c r="RXI30" s="546"/>
      <c r="RXJ30" s="546"/>
      <c r="RXK30" s="546"/>
      <c r="RXL30" s="546"/>
      <c r="RXM30" s="546"/>
      <c r="RXN30" s="546"/>
      <c r="RXO30" s="546"/>
      <c r="RXP30" s="546"/>
      <c r="RXQ30" s="546"/>
      <c r="RXR30" s="546"/>
      <c r="RXS30" s="546"/>
      <c r="RXT30" s="546"/>
      <c r="RXU30" s="546"/>
      <c r="RXV30" s="546"/>
      <c r="RXW30" s="546"/>
      <c r="RXX30" s="546"/>
      <c r="RXY30" s="546"/>
      <c r="RXZ30" s="546"/>
      <c r="RYA30" s="546"/>
      <c r="RYB30" s="546"/>
      <c r="RYC30" s="546"/>
      <c r="RYD30" s="546"/>
      <c r="RYE30" s="546"/>
      <c r="RYF30" s="546"/>
      <c r="RYG30" s="546"/>
      <c r="RYH30" s="546"/>
      <c r="RYI30" s="546"/>
      <c r="RYJ30" s="546"/>
      <c r="RYK30" s="546"/>
      <c r="RYL30" s="546"/>
      <c r="RYM30" s="546"/>
      <c r="RYN30" s="546"/>
      <c r="RYO30" s="546"/>
      <c r="RYP30" s="546"/>
      <c r="RYQ30" s="546"/>
      <c r="RYR30" s="546"/>
      <c r="RYS30" s="546"/>
      <c r="RYT30" s="546"/>
      <c r="RYU30" s="546"/>
      <c r="RYV30" s="546"/>
      <c r="RYW30" s="546"/>
      <c r="RYX30" s="546"/>
      <c r="RYY30" s="546"/>
      <c r="RYZ30" s="546"/>
      <c r="RZA30" s="546"/>
      <c r="RZB30" s="546"/>
      <c r="RZC30" s="546"/>
      <c r="RZD30" s="546"/>
      <c r="RZE30" s="546"/>
      <c r="RZF30" s="546"/>
      <c r="RZG30" s="546"/>
      <c r="RZH30" s="546"/>
      <c r="RZI30" s="546"/>
      <c r="RZJ30" s="546"/>
      <c r="RZK30" s="546"/>
      <c r="RZL30" s="546"/>
      <c r="RZM30" s="546"/>
      <c r="RZN30" s="546"/>
      <c r="RZO30" s="546"/>
      <c r="RZP30" s="546"/>
      <c r="RZQ30" s="546"/>
      <c r="RZR30" s="546"/>
      <c r="RZS30" s="546"/>
      <c r="RZT30" s="546"/>
      <c r="RZU30" s="546"/>
      <c r="RZV30" s="546"/>
      <c r="RZW30" s="546"/>
      <c r="RZX30" s="546"/>
      <c r="RZY30" s="546"/>
      <c r="RZZ30" s="546"/>
      <c r="SAA30" s="546"/>
      <c r="SAB30" s="546"/>
      <c r="SAC30" s="546"/>
      <c r="SAD30" s="546"/>
      <c r="SAE30" s="546"/>
      <c r="SAF30" s="546"/>
      <c r="SAG30" s="546"/>
      <c r="SAH30" s="546"/>
      <c r="SAI30" s="546"/>
      <c r="SAJ30" s="546"/>
      <c r="SAK30" s="546"/>
      <c r="SAL30" s="546"/>
      <c r="SAM30" s="546"/>
      <c r="SAN30" s="546"/>
      <c r="SAO30" s="546"/>
      <c r="SAP30" s="546"/>
      <c r="SAQ30" s="546"/>
      <c r="SAR30" s="546"/>
      <c r="SAS30" s="546"/>
      <c r="SAT30" s="546"/>
      <c r="SAU30" s="546"/>
      <c r="SAV30" s="546"/>
      <c r="SAW30" s="546"/>
      <c r="SAX30" s="546"/>
      <c r="SAY30" s="546"/>
      <c r="SAZ30" s="546"/>
      <c r="SBA30" s="546"/>
      <c r="SBB30" s="546"/>
      <c r="SBC30" s="546"/>
      <c r="SBD30" s="546"/>
      <c r="SBE30" s="546"/>
      <c r="SBF30" s="546"/>
      <c r="SBG30" s="546"/>
      <c r="SBH30" s="546"/>
      <c r="SBI30" s="546"/>
      <c r="SBJ30" s="546"/>
      <c r="SBK30" s="546"/>
      <c r="SBL30" s="546"/>
      <c r="SBM30" s="546"/>
      <c r="SBN30" s="546"/>
      <c r="SBO30" s="546"/>
      <c r="SBP30" s="546"/>
      <c r="SBQ30" s="546"/>
      <c r="SBR30" s="546"/>
      <c r="SBS30" s="546"/>
      <c r="SBT30" s="546"/>
      <c r="SBU30" s="546"/>
      <c r="SBV30" s="546"/>
      <c r="SBW30" s="546"/>
      <c r="SBX30" s="546"/>
      <c r="SBY30" s="546"/>
      <c r="SBZ30" s="546"/>
      <c r="SCA30" s="546"/>
      <c r="SCB30" s="546"/>
      <c r="SCC30" s="546"/>
      <c r="SCD30" s="546"/>
      <c r="SCE30" s="546"/>
      <c r="SCF30" s="546"/>
      <c r="SCG30" s="546"/>
      <c r="SCH30" s="546"/>
      <c r="SCI30" s="546"/>
      <c r="SCJ30" s="546"/>
      <c r="SCK30" s="546"/>
      <c r="SCL30" s="546"/>
      <c r="SCM30" s="546"/>
      <c r="SCN30" s="546"/>
      <c r="SCO30" s="546"/>
      <c r="SCP30" s="546"/>
      <c r="SCQ30" s="546"/>
      <c r="SCR30" s="546"/>
      <c r="SCS30" s="546"/>
      <c r="SCT30" s="546"/>
      <c r="SCU30" s="546"/>
      <c r="SCV30" s="546"/>
      <c r="SCW30" s="546"/>
      <c r="SCX30" s="546"/>
      <c r="SCY30" s="546"/>
      <c r="SCZ30" s="546"/>
      <c r="SDA30" s="546"/>
      <c r="SDB30" s="546"/>
      <c r="SDC30" s="546"/>
      <c r="SDD30" s="546"/>
      <c r="SDE30" s="546"/>
      <c r="SDF30" s="546"/>
      <c r="SDG30" s="546"/>
      <c r="SDH30" s="546"/>
      <c r="SDI30" s="546"/>
      <c r="SDJ30" s="546"/>
      <c r="SDK30" s="546"/>
      <c r="SDL30" s="546"/>
      <c r="SDM30" s="546"/>
      <c r="SDN30" s="546"/>
      <c r="SDO30" s="546"/>
      <c r="SDP30" s="546"/>
      <c r="SDQ30" s="546"/>
      <c r="SDR30" s="546"/>
      <c r="SDS30" s="546"/>
      <c r="SDT30" s="546"/>
      <c r="SDU30" s="546"/>
      <c r="SDV30" s="546"/>
      <c r="SDW30" s="546"/>
      <c r="SDX30" s="546"/>
      <c r="SDY30" s="546"/>
      <c r="SDZ30" s="546"/>
      <c r="SEA30" s="546"/>
      <c r="SEB30" s="546"/>
      <c r="SEC30" s="546"/>
      <c r="SED30" s="546"/>
      <c r="SEE30" s="546"/>
      <c r="SEF30" s="546"/>
      <c r="SEG30" s="546"/>
      <c r="SEH30" s="546"/>
      <c r="SEI30" s="546"/>
      <c r="SEJ30" s="546"/>
      <c r="SEK30" s="546"/>
      <c r="SEL30" s="546"/>
      <c r="SEM30" s="546"/>
      <c r="SEN30" s="546"/>
      <c r="SEO30" s="546"/>
      <c r="SEP30" s="546"/>
      <c r="SEQ30" s="546"/>
      <c r="SER30" s="546"/>
      <c r="SES30" s="546"/>
      <c r="SET30" s="546"/>
      <c r="SEU30" s="546"/>
      <c r="SEV30" s="546"/>
      <c r="SEW30" s="546"/>
      <c r="SEX30" s="546"/>
      <c r="SEY30" s="546"/>
      <c r="SEZ30" s="546"/>
      <c r="SFA30" s="546"/>
      <c r="SFB30" s="546"/>
      <c r="SFC30" s="546"/>
      <c r="SFD30" s="546"/>
      <c r="SFE30" s="546"/>
      <c r="SFF30" s="546"/>
      <c r="SFG30" s="546"/>
      <c r="SFH30" s="546"/>
      <c r="SFI30" s="546"/>
      <c r="SFJ30" s="546"/>
      <c r="SFK30" s="546"/>
      <c r="SFL30" s="546"/>
      <c r="SFM30" s="546"/>
      <c r="SFN30" s="546"/>
      <c r="SFO30" s="546"/>
      <c r="SFP30" s="546"/>
      <c r="SFQ30" s="546"/>
      <c r="SFR30" s="546"/>
      <c r="SFS30" s="546"/>
      <c r="SFT30" s="546"/>
      <c r="SFU30" s="546"/>
      <c r="SFV30" s="546"/>
      <c r="SFW30" s="546"/>
      <c r="SFX30" s="546"/>
      <c r="SFY30" s="546"/>
      <c r="SFZ30" s="546"/>
      <c r="SGA30" s="546"/>
      <c r="SGB30" s="546"/>
      <c r="SGC30" s="546"/>
      <c r="SGD30" s="546"/>
      <c r="SGE30" s="546"/>
      <c r="SGF30" s="546"/>
      <c r="SGG30" s="546"/>
      <c r="SGH30" s="546"/>
      <c r="SGI30" s="546"/>
      <c r="SGJ30" s="546"/>
      <c r="SGK30" s="546"/>
      <c r="SGL30" s="546"/>
      <c r="SGM30" s="546"/>
      <c r="SGN30" s="546"/>
      <c r="SGO30" s="546"/>
      <c r="SGP30" s="546"/>
      <c r="SGQ30" s="546"/>
      <c r="SGR30" s="546"/>
      <c r="SGS30" s="546"/>
      <c r="SGT30" s="546"/>
      <c r="SGU30" s="546"/>
      <c r="SGV30" s="546"/>
      <c r="SGW30" s="546"/>
      <c r="SGX30" s="546"/>
      <c r="SGY30" s="546"/>
      <c r="SGZ30" s="546"/>
      <c r="SHA30" s="546"/>
      <c r="SHB30" s="546"/>
      <c r="SHC30" s="546"/>
      <c r="SHD30" s="546"/>
      <c r="SHE30" s="546"/>
      <c r="SHF30" s="546"/>
      <c r="SHG30" s="546"/>
      <c r="SHH30" s="546"/>
      <c r="SHI30" s="546"/>
      <c r="SHJ30" s="546"/>
      <c r="SHK30" s="546"/>
      <c r="SHL30" s="546"/>
      <c r="SHM30" s="546"/>
      <c r="SHN30" s="546"/>
      <c r="SHO30" s="546"/>
      <c r="SHP30" s="546"/>
      <c r="SHQ30" s="546"/>
      <c r="SHR30" s="546"/>
      <c r="SHS30" s="546"/>
      <c r="SHT30" s="546"/>
      <c r="SHU30" s="546"/>
      <c r="SHV30" s="546"/>
      <c r="SHW30" s="546"/>
      <c r="SHX30" s="546"/>
      <c r="SHY30" s="546"/>
      <c r="SHZ30" s="546"/>
      <c r="SIA30" s="546"/>
      <c r="SIB30" s="546"/>
      <c r="SIC30" s="546"/>
      <c r="SID30" s="546"/>
      <c r="SIE30" s="546"/>
      <c r="SIF30" s="546"/>
      <c r="SIG30" s="546"/>
      <c r="SIH30" s="546"/>
      <c r="SII30" s="546"/>
      <c r="SIJ30" s="546"/>
      <c r="SIK30" s="546"/>
      <c r="SIL30" s="546"/>
      <c r="SIM30" s="546"/>
      <c r="SIN30" s="546"/>
      <c r="SIO30" s="546"/>
      <c r="SIP30" s="546"/>
      <c r="SIQ30" s="546"/>
      <c r="SIR30" s="546"/>
      <c r="SIS30" s="546"/>
      <c r="SIT30" s="546"/>
      <c r="SIU30" s="546"/>
      <c r="SIV30" s="546"/>
      <c r="SIW30" s="546"/>
      <c r="SIX30" s="546"/>
      <c r="SIY30" s="546"/>
      <c r="SIZ30" s="546"/>
      <c r="SJA30" s="546"/>
      <c r="SJB30" s="546"/>
      <c r="SJC30" s="546"/>
      <c r="SJD30" s="546"/>
      <c r="SJE30" s="546"/>
      <c r="SJF30" s="546"/>
      <c r="SJG30" s="546"/>
      <c r="SJH30" s="546"/>
      <c r="SJI30" s="546"/>
      <c r="SJJ30" s="546"/>
      <c r="SJK30" s="546"/>
      <c r="SJL30" s="546"/>
      <c r="SJM30" s="546"/>
      <c r="SJN30" s="546"/>
      <c r="SJO30" s="546"/>
      <c r="SJP30" s="546"/>
      <c r="SJQ30" s="546"/>
      <c r="SJR30" s="546"/>
      <c r="SJS30" s="546"/>
      <c r="SJT30" s="546"/>
      <c r="SJU30" s="546"/>
      <c r="SJV30" s="546"/>
      <c r="SJW30" s="546"/>
      <c r="SJX30" s="546"/>
      <c r="SJY30" s="546"/>
      <c r="SJZ30" s="546"/>
      <c r="SKA30" s="546"/>
      <c r="SKB30" s="546"/>
      <c r="SKC30" s="546"/>
      <c r="SKD30" s="546"/>
      <c r="SKE30" s="546"/>
      <c r="SKF30" s="546"/>
      <c r="SKG30" s="546"/>
      <c r="SKH30" s="546"/>
      <c r="SKI30" s="546"/>
      <c r="SKJ30" s="546"/>
      <c r="SKK30" s="546"/>
      <c r="SKL30" s="546"/>
      <c r="SKM30" s="546"/>
      <c r="SKN30" s="546"/>
      <c r="SKO30" s="546"/>
      <c r="SKP30" s="546"/>
      <c r="SKQ30" s="546"/>
      <c r="SKR30" s="546"/>
      <c r="SKS30" s="546"/>
      <c r="SKT30" s="546"/>
      <c r="SKU30" s="546"/>
      <c r="SKV30" s="546"/>
      <c r="SKW30" s="546"/>
      <c r="SKX30" s="546"/>
      <c r="SKY30" s="546"/>
      <c r="SKZ30" s="546"/>
      <c r="SLA30" s="546"/>
      <c r="SLB30" s="546"/>
      <c r="SLC30" s="546"/>
      <c r="SLD30" s="546"/>
      <c r="SLE30" s="546"/>
      <c r="SLF30" s="546"/>
      <c r="SLG30" s="546"/>
      <c r="SLH30" s="546"/>
      <c r="SLI30" s="546"/>
      <c r="SLJ30" s="546"/>
      <c r="SLK30" s="546"/>
      <c r="SLL30" s="546"/>
      <c r="SLM30" s="546"/>
      <c r="SLN30" s="546"/>
      <c r="SLO30" s="546"/>
      <c r="SLP30" s="546"/>
      <c r="SLQ30" s="546"/>
      <c r="SLR30" s="546"/>
      <c r="SLS30" s="546"/>
      <c r="SLT30" s="546"/>
      <c r="SLU30" s="546"/>
      <c r="SLV30" s="546"/>
      <c r="SLW30" s="546"/>
      <c r="SLX30" s="546"/>
      <c r="SLY30" s="546"/>
      <c r="SLZ30" s="546"/>
      <c r="SMA30" s="546"/>
      <c r="SMB30" s="546"/>
      <c r="SMC30" s="546"/>
      <c r="SMD30" s="546"/>
      <c r="SME30" s="546"/>
      <c r="SMF30" s="546"/>
      <c r="SMG30" s="546"/>
      <c r="SMH30" s="546"/>
      <c r="SMI30" s="546"/>
      <c r="SMJ30" s="546"/>
      <c r="SMK30" s="546"/>
      <c r="SML30" s="546"/>
      <c r="SMM30" s="546"/>
      <c r="SMN30" s="546"/>
      <c r="SMO30" s="546"/>
      <c r="SMP30" s="546"/>
      <c r="SMQ30" s="546"/>
      <c r="SMR30" s="546"/>
      <c r="SMS30" s="546"/>
      <c r="SMT30" s="546"/>
      <c r="SMU30" s="546"/>
      <c r="SMV30" s="546"/>
      <c r="SMW30" s="546"/>
      <c r="SMX30" s="546"/>
      <c r="SMY30" s="546"/>
      <c r="SMZ30" s="546"/>
      <c r="SNA30" s="546"/>
      <c r="SNB30" s="546"/>
      <c r="SNC30" s="546"/>
      <c r="SND30" s="546"/>
      <c r="SNE30" s="546"/>
      <c r="SNF30" s="546"/>
      <c r="SNG30" s="546"/>
      <c r="SNH30" s="546"/>
      <c r="SNI30" s="546"/>
      <c r="SNJ30" s="546"/>
      <c r="SNK30" s="546"/>
      <c r="SNL30" s="546"/>
      <c r="SNM30" s="546"/>
      <c r="SNN30" s="546"/>
      <c r="SNO30" s="546"/>
      <c r="SNP30" s="546"/>
      <c r="SNQ30" s="546"/>
      <c r="SNR30" s="546"/>
      <c r="SNS30" s="546"/>
      <c r="SNT30" s="546"/>
      <c r="SNU30" s="546"/>
      <c r="SNV30" s="546"/>
      <c r="SNW30" s="546"/>
      <c r="SNX30" s="546"/>
      <c r="SNY30" s="546"/>
      <c r="SNZ30" s="546"/>
      <c r="SOA30" s="546"/>
      <c r="SOB30" s="546"/>
      <c r="SOC30" s="546"/>
      <c r="SOD30" s="546"/>
      <c r="SOE30" s="546"/>
      <c r="SOF30" s="546"/>
      <c r="SOG30" s="546"/>
      <c r="SOH30" s="546"/>
      <c r="SOI30" s="546"/>
      <c r="SOJ30" s="546"/>
      <c r="SOK30" s="546"/>
      <c r="SOL30" s="546"/>
      <c r="SOM30" s="546"/>
      <c r="SON30" s="546"/>
      <c r="SOO30" s="546"/>
      <c r="SOP30" s="546"/>
      <c r="SOQ30" s="546"/>
      <c r="SOR30" s="546"/>
      <c r="SOS30" s="546"/>
      <c r="SOT30" s="546"/>
      <c r="SOU30" s="546"/>
      <c r="SOV30" s="546"/>
      <c r="SOW30" s="546"/>
      <c r="SOX30" s="546"/>
      <c r="SOY30" s="546"/>
      <c r="SOZ30" s="546"/>
      <c r="SPA30" s="546"/>
      <c r="SPB30" s="546"/>
      <c r="SPC30" s="546"/>
      <c r="SPD30" s="546"/>
      <c r="SPE30" s="546"/>
      <c r="SPF30" s="546"/>
      <c r="SPG30" s="546"/>
      <c r="SPH30" s="546"/>
      <c r="SPI30" s="546"/>
      <c r="SPJ30" s="546"/>
      <c r="SPK30" s="546"/>
      <c r="SPL30" s="546"/>
      <c r="SPM30" s="546"/>
      <c r="SPN30" s="546"/>
      <c r="SPO30" s="546"/>
      <c r="SPP30" s="546"/>
      <c r="SPQ30" s="546"/>
      <c r="SPR30" s="546"/>
      <c r="SPS30" s="546"/>
      <c r="SPT30" s="546"/>
      <c r="SPU30" s="546"/>
      <c r="SPV30" s="546"/>
      <c r="SPW30" s="546"/>
      <c r="SPX30" s="546"/>
      <c r="SPY30" s="546"/>
      <c r="SPZ30" s="546"/>
      <c r="SQA30" s="546"/>
      <c r="SQB30" s="546"/>
      <c r="SQC30" s="546"/>
      <c r="SQD30" s="546"/>
      <c r="SQE30" s="546"/>
      <c r="SQF30" s="546"/>
      <c r="SQG30" s="546"/>
      <c r="SQH30" s="546"/>
      <c r="SQI30" s="546"/>
      <c r="SQJ30" s="546"/>
      <c r="SQK30" s="546"/>
      <c r="SQL30" s="546"/>
      <c r="SQM30" s="546"/>
      <c r="SQN30" s="546"/>
      <c r="SQO30" s="546"/>
      <c r="SQP30" s="546"/>
      <c r="SQQ30" s="546"/>
      <c r="SQR30" s="546"/>
      <c r="SQS30" s="546"/>
      <c r="SQT30" s="546"/>
      <c r="SQU30" s="546"/>
      <c r="SQV30" s="546"/>
      <c r="SQW30" s="546"/>
      <c r="SQX30" s="546"/>
      <c r="SQY30" s="546"/>
      <c r="SQZ30" s="546"/>
      <c r="SRA30" s="546"/>
      <c r="SRB30" s="546"/>
      <c r="SRC30" s="546"/>
      <c r="SRD30" s="546"/>
      <c r="SRE30" s="546"/>
      <c r="SRF30" s="546"/>
      <c r="SRG30" s="546"/>
      <c r="SRH30" s="546"/>
      <c r="SRI30" s="546"/>
      <c r="SRJ30" s="546"/>
      <c r="SRK30" s="546"/>
      <c r="SRL30" s="546"/>
      <c r="SRM30" s="546"/>
      <c r="SRN30" s="546"/>
      <c r="SRO30" s="546"/>
      <c r="SRP30" s="546"/>
      <c r="SRQ30" s="546"/>
      <c r="SRR30" s="546"/>
      <c r="SRS30" s="546"/>
      <c r="SRT30" s="546"/>
      <c r="SRU30" s="546"/>
      <c r="SRV30" s="546"/>
      <c r="SRW30" s="546"/>
      <c r="SRX30" s="546"/>
      <c r="SRY30" s="546"/>
      <c r="SRZ30" s="546"/>
      <c r="SSA30" s="546"/>
      <c r="SSB30" s="546"/>
      <c r="SSC30" s="546"/>
      <c r="SSD30" s="546"/>
      <c r="SSE30" s="546"/>
      <c r="SSF30" s="546"/>
      <c r="SSG30" s="546"/>
      <c r="SSH30" s="546"/>
      <c r="SSI30" s="546"/>
      <c r="SSJ30" s="546"/>
      <c r="SSK30" s="546"/>
      <c r="SSL30" s="546"/>
      <c r="SSM30" s="546"/>
      <c r="SSN30" s="546"/>
      <c r="SSO30" s="546"/>
      <c r="SSP30" s="546"/>
      <c r="SSQ30" s="546"/>
      <c r="SSR30" s="546"/>
      <c r="SSS30" s="546"/>
      <c r="SST30" s="546"/>
      <c r="SSU30" s="546"/>
      <c r="SSV30" s="546"/>
      <c r="SSW30" s="546"/>
      <c r="SSX30" s="546"/>
      <c r="SSY30" s="546"/>
      <c r="SSZ30" s="546"/>
      <c r="STA30" s="546"/>
      <c r="STB30" s="546"/>
      <c r="STC30" s="546"/>
      <c r="STD30" s="546"/>
      <c r="STE30" s="546"/>
      <c r="STF30" s="546"/>
      <c r="STG30" s="546"/>
      <c r="STH30" s="546"/>
      <c r="STI30" s="546"/>
      <c r="STJ30" s="546"/>
      <c r="STK30" s="546"/>
      <c r="STL30" s="546"/>
      <c r="STM30" s="546"/>
      <c r="STN30" s="546"/>
      <c r="STO30" s="546"/>
      <c r="STP30" s="546"/>
      <c r="STQ30" s="546"/>
      <c r="STR30" s="546"/>
      <c r="STS30" s="546"/>
      <c r="STT30" s="546"/>
      <c r="STU30" s="546"/>
      <c r="STV30" s="546"/>
      <c r="STW30" s="546"/>
      <c r="STX30" s="546"/>
      <c r="STY30" s="546"/>
      <c r="STZ30" s="546"/>
      <c r="SUA30" s="546"/>
      <c r="SUB30" s="546"/>
      <c r="SUC30" s="546"/>
      <c r="SUD30" s="546"/>
      <c r="SUE30" s="546"/>
      <c r="SUF30" s="546"/>
      <c r="SUG30" s="546"/>
      <c r="SUH30" s="546"/>
      <c r="SUI30" s="546"/>
      <c r="SUJ30" s="546"/>
      <c r="SUK30" s="546"/>
      <c r="SUL30" s="546"/>
      <c r="SUM30" s="546"/>
      <c r="SUN30" s="546"/>
      <c r="SUO30" s="546"/>
      <c r="SUP30" s="546"/>
      <c r="SUQ30" s="546"/>
      <c r="SUR30" s="546"/>
      <c r="SUS30" s="546"/>
      <c r="SUT30" s="546"/>
      <c r="SUU30" s="546"/>
      <c r="SUV30" s="546"/>
      <c r="SUW30" s="546"/>
      <c r="SUX30" s="546"/>
      <c r="SUY30" s="546"/>
      <c r="SUZ30" s="546"/>
      <c r="SVA30" s="546"/>
      <c r="SVB30" s="546"/>
      <c r="SVC30" s="546"/>
      <c r="SVD30" s="546"/>
      <c r="SVE30" s="546"/>
      <c r="SVF30" s="546"/>
      <c r="SVG30" s="546"/>
      <c r="SVH30" s="546"/>
      <c r="SVI30" s="546"/>
      <c r="SVJ30" s="546"/>
      <c r="SVK30" s="546"/>
      <c r="SVL30" s="546"/>
      <c r="SVM30" s="546"/>
      <c r="SVN30" s="546"/>
      <c r="SVO30" s="546"/>
      <c r="SVP30" s="546"/>
      <c r="SVQ30" s="546"/>
      <c r="SVR30" s="546"/>
      <c r="SVS30" s="546"/>
      <c r="SVT30" s="546"/>
      <c r="SVU30" s="546"/>
      <c r="SVV30" s="546"/>
      <c r="SVW30" s="546"/>
      <c r="SVX30" s="546"/>
      <c r="SVY30" s="546"/>
      <c r="SVZ30" s="546"/>
      <c r="SWA30" s="546"/>
      <c r="SWB30" s="546"/>
      <c r="SWC30" s="546"/>
      <c r="SWD30" s="546"/>
      <c r="SWE30" s="546"/>
      <c r="SWF30" s="546"/>
      <c r="SWG30" s="546"/>
      <c r="SWH30" s="546"/>
      <c r="SWI30" s="546"/>
      <c r="SWJ30" s="546"/>
      <c r="SWK30" s="546"/>
      <c r="SWL30" s="546"/>
      <c r="SWM30" s="546"/>
      <c r="SWN30" s="546"/>
      <c r="SWO30" s="546"/>
      <c r="SWP30" s="546"/>
      <c r="SWQ30" s="546"/>
      <c r="SWR30" s="546"/>
      <c r="SWS30" s="546"/>
      <c r="SWT30" s="546"/>
      <c r="SWU30" s="546"/>
      <c r="SWV30" s="546"/>
      <c r="SWW30" s="546"/>
      <c r="SWX30" s="546"/>
      <c r="SWY30" s="546"/>
      <c r="SWZ30" s="546"/>
      <c r="SXA30" s="546"/>
      <c r="SXB30" s="546"/>
      <c r="SXC30" s="546"/>
      <c r="SXD30" s="546"/>
      <c r="SXE30" s="546"/>
      <c r="SXF30" s="546"/>
      <c r="SXG30" s="546"/>
      <c r="SXH30" s="546"/>
      <c r="SXI30" s="546"/>
      <c r="SXJ30" s="546"/>
      <c r="SXK30" s="546"/>
      <c r="SXL30" s="546"/>
      <c r="SXM30" s="546"/>
      <c r="SXN30" s="546"/>
      <c r="SXO30" s="546"/>
      <c r="SXP30" s="546"/>
      <c r="SXQ30" s="546"/>
      <c r="SXR30" s="546"/>
      <c r="SXS30" s="546"/>
      <c r="SXT30" s="546"/>
      <c r="SXU30" s="546"/>
      <c r="SXV30" s="546"/>
      <c r="SXW30" s="546"/>
      <c r="SXX30" s="546"/>
      <c r="SXY30" s="546"/>
      <c r="SXZ30" s="546"/>
      <c r="SYA30" s="546"/>
      <c r="SYB30" s="546"/>
      <c r="SYC30" s="546"/>
      <c r="SYD30" s="546"/>
      <c r="SYE30" s="546"/>
      <c r="SYF30" s="546"/>
      <c r="SYG30" s="546"/>
      <c r="SYH30" s="546"/>
      <c r="SYI30" s="546"/>
      <c r="SYJ30" s="546"/>
      <c r="SYK30" s="546"/>
      <c r="SYL30" s="546"/>
      <c r="SYM30" s="546"/>
      <c r="SYN30" s="546"/>
      <c r="SYO30" s="546"/>
      <c r="SYP30" s="546"/>
      <c r="SYQ30" s="546"/>
      <c r="SYR30" s="546"/>
      <c r="SYS30" s="546"/>
      <c r="SYT30" s="546"/>
      <c r="SYU30" s="546"/>
      <c r="SYV30" s="546"/>
      <c r="SYW30" s="546"/>
      <c r="SYX30" s="546"/>
      <c r="SYY30" s="546"/>
      <c r="SYZ30" s="546"/>
      <c r="SZA30" s="546"/>
      <c r="SZB30" s="546"/>
      <c r="SZC30" s="546"/>
      <c r="SZD30" s="546"/>
      <c r="SZE30" s="546"/>
      <c r="SZF30" s="546"/>
      <c r="SZG30" s="546"/>
      <c r="SZH30" s="546"/>
      <c r="SZI30" s="546"/>
      <c r="SZJ30" s="546"/>
      <c r="SZK30" s="546"/>
      <c r="SZL30" s="546"/>
      <c r="SZM30" s="546"/>
      <c r="SZN30" s="546"/>
      <c r="SZO30" s="546"/>
      <c r="SZP30" s="546"/>
      <c r="SZQ30" s="546"/>
      <c r="SZR30" s="546"/>
      <c r="SZS30" s="546"/>
      <c r="SZT30" s="546"/>
      <c r="SZU30" s="546"/>
      <c r="SZV30" s="546"/>
      <c r="SZW30" s="546"/>
      <c r="SZX30" s="546"/>
      <c r="SZY30" s="546"/>
      <c r="SZZ30" s="546"/>
      <c r="TAA30" s="546"/>
      <c r="TAB30" s="546"/>
      <c r="TAC30" s="546"/>
      <c r="TAD30" s="546"/>
      <c r="TAE30" s="546"/>
      <c r="TAF30" s="546"/>
      <c r="TAG30" s="546"/>
      <c r="TAH30" s="546"/>
      <c r="TAI30" s="546"/>
      <c r="TAJ30" s="546"/>
      <c r="TAK30" s="546"/>
      <c r="TAL30" s="546"/>
      <c r="TAM30" s="546"/>
      <c r="TAN30" s="546"/>
      <c r="TAO30" s="546"/>
      <c r="TAP30" s="546"/>
      <c r="TAQ30" s="546"/>
      <c r="TAR30" s="546"/>
      <c r="TAS30" s="546"/>
      <c r="TAT30" s="546"/>
      <c r="TAU30" s="546"/>
      <c r="TAV30" s="546"/>
      <c r="TAW30" s="546"/>
      <c r="TAX30" s="546"/>
      <c r="TAY30" s="546"/>
      <c r="TAZ30" s="546"/>
      <c r="TBA30" s="546"/>
      <c r="TBB30" s="546"/>
      <c r="TBC30" s="546"/>
      <c r="TBD30" s="546"/>
      <c r="TBE30" s="546"/>
      <c r="TBF30" s="546"/>
      <c r="TBG30" s="546"/>
      <c r="TBH30" s="546"/>
      <c r="TBI30" s="546"/>
      <c r="TBJ30" s="546"/>
      <c r="TBK30" s="546"/>
      <c r="TBL30" s="546"/>
      <c r="TBM30" s="546"/>
      <c r="TBN30" s="546"/>
      <c r="TBO30" s="546"/>
      <c r="TBP30" s="546"/>
      <c r="TBQ30" s="546"/>
      <c r="TBR30" s="546"/>
      <c r="TBS30" s="546"/>
      <c r="TBT30" s="546"/>
      <c r="TBU30" s="546"/>
      <c r="TBV30" s="546"/>
      <c r="TBW30" s="546"/>
      <c r="TBX30" s="546"/>
      <c r="TBY30" s="546"/>
      <c r="TBZ30" s="546"/>
      <c r="TCA30" s="546"/>
      <c r="TCB30" s="546"/>
      <c r="TCC30" s="546"/>
      <c r="TCD30" s="546"/>
      <c r="TCE30" s="546"/>
      <c r="TCF30" s="546"/>
      <c r="TCG30" s="546"/>
      <c r="TCH30" s="546"/>
      <c r="TCI30" s="546"/>
      <c r="TCJ30" s="546"/>
      <c r="TCK30" s="546"/>
      <c r="TCL30" s="546"/>
      <c r="TCM30" s="546"/>
      <c r="TCN30" s="546"/>
      <c r="TCO30" s="546"/>
      <c r="TCP30" s="546"/>
      <c r="TCQ30" s="546"/>
      <c r="TCR30" s="546"/>
      <c r="TCS30" s="546"/>
      <c r="TCT30" s="546"/>
      <c r="TCU30" s="546"/>
      <c r="TCV30" s="546"/>
      <c r="TCW30" s="546"/>
      <c r="TCX30" s="546"/>
      <c r="TCY30" s="546"/>
      <c r="TCZ30" s="546"/>
      <c r="TDA30" s="546"/>
      <c r="TDB30" s="546"/>
      <c r="TDC30" s="546"/>
      <c r="TDD30" s="546"/>
      <c r="TDE30" s="546"/>
      <c r="TDF30" s="546"/>
      <c r="TDG30" s="546"/>
      <c r="TDH30" s="546"/>
      <c r="TDI30" s="546"/>
      <c r="TDJ30" s="546"/>
      <c r="TDK30" s="546"/>
      <c r="TDL30" s="546"/>
      <c r="TDM30" s="546"/>
      <c r="TDN30" s="546"/>
      <c r="TDO30" s="546"/>
      <c r="TDP30" s="546"/>
      <c r="TDQ30" s="546"/>
      <c r="TDR30" s="546"/>
      <c r="TDS30" s="546"/>
      <c r="TDT30" s="546"/>
      <c r="TDU30" s="546"/>
      <c r="TDV30" s="546"/>
      <c r="TDW30" s="546"/>
      <c r="TDX30" s="546"/>
      <c r="TDY30" s="546"/>
      <c r="TDZ30" s="546"/>
      <c r="TEA30" s="546"/>
      <c r="TEB30" s="546"/>
      <c r="TEC30" s="546"/>
      <c r="TED30" s="546"/>
      <c r="TEE30" s="546"/>
      <c r="TEF30" s="546"/>
      <c r="TEG30" s="546"/>
      <c r="TEH30" s="546"/>
      <c r="TEI30" s="546"/>
      <c r="TEJ30" s="546"/>
      <c r="TEK30" s="546"/>
      <c r="TEL30" s="546"/>
      <c r="TEM30" s="546"/>
      <c r="TEN30" s="546"/>
      <c r="TEO30" s="546"/>
      <c r="TEP30" s="546"/>
      <c r="TEQ30" s="546"/>
      <c r="TER30" s="546"/>
      <c r="TES30" s="546"/>
      <c r="TET30" s="546"/>
      <c r="TEU30" s="546"/>
      <c r="TEV30" s="546"/>
      <c r="TEW30" s="546"/>
      <c r="TEX30" s="546"/>
      <c r="TEY30" s="546"/>
      <c r="TEZ30" s="546"/>
      <c r="TFA30" s="546"/>
      <c r="TFB30" s="546"/>
      <c r="TFC30" s="546"/>
      <c r="TFD30" s="546"/>
      <c r="TFE30" s="546"/>
      <c r="TFF30" s="546"/>
      <c r="TFG30" s="546"/>
      <c r="TFH30" s="546"/>
      <c r="TFI30" s="546"/>
      <c r="TFJ30" s="546"/>
      <c r="TFK30" s="546"/>
      <c r="TFL30" s="546"/>
      <c r="TFM30" s="546"/>
      <c r="TFN30" s="546"/>
      <c r="TFO30" s="546"/>
      <c r="TFP30" s="546"/>
      <c r="TFQ30" s="546"/>
      <c r="TFR30" s="546"/>
      <c r="TFS30" s="546"/>
      <c r="TFT30" s="546"/>
      <c r="TFU30" s="546"/>
      <c r="TFV30" s="546"/>
      <c r="TFW30" s="546"/>
      <c r="TFX30" s="546"/>
      <c r="TFY30" s="546"/>
      <c r="TFZ30" s="546"/>
      <c r="TGA30" s="546"/>
      <c r="TGB30" s="546"/>
      <c r="TGC30" s="546"/>
      <c r="TGD30" s="546"/>
      <c r="TGE30" s="546"/>
      <c r="TGF30" s="546"/>
      <c r="TGG30" s="546"/>
      <c r="TGH30" s="546"/>
      <c r="TGI30" s="546"/>
      <c r="TGJ30" s="546"/>
      <c r="TGK30" s="546"/>
      <c r="TGL30" s="546"/>
      <c r="TGM30" s="546"/>
      <c r="TGN30" s="546"/>
      <c r="TGO30" s="546"/>
      <c r="TGP30" s="546"/>
      <c r="TGQ30" s="546"/>
      <c r="TGR30" s="546"/>
      <c r="TGS30" s="546"/>
      <c r="TGT30" s="546"/>
      <c r="TGU30" s="546"/>
      <c r="TGV30" s="546"/>
      <c r="TGW30" s="546"/>
      <c r="TGX30" s="546"/>
      <c r="TGY30" s="546"/>
      <c r="TGZ30" s="546"/>
      <c r="THA30" s="546"/>
      <c r="THB30" s="546"/>
      <c r="THC30" s="546"/>
      <c r="THD30" s="546"/>
      <c r="THE30" s="546"/>
      <c r="THF30" s="546"/>
      <c r="THG30" s="546"/>
      <c r="THH30" s="546"/>
      <c r="THI30" s="546"/>
      <c r="THJ30" s="546"/>
      <c r="THK30" s="546"/>
      <c r="THL30" s="546"/>
      <c r="THM30" s="546"/>
      <c r="THN30" s="546"/>
      <c r="THO30" s="546"/>
      <c r="THP30" s="546"/>
      <c r="THQ30" s="546"/>
      <c r="THR30" s="546"/>
      <c r="THS30" s="546"/>
      <c r="THT30" s="546"/>
      <c r="THU30" s="546"/>
      <c r="THV30" s="546"/>
      <c r="THW30" s="546"/>
      <c r="THX30" s="546"/>
      <c r="THY30" s="546"/>
      <c r="THZ30" s="546"/>
      <c r="TIA30" s="546"/>
      <c r="TIB30" s="546"/>
      <c r="TIC30" s="546"/>
      <c r="TID30" s="546"/>
      <c r="TIE30" s="546"/>
      <c r="TIF30" s="546"/>
      <c r="TIG30" s="546"/>
      <c r="TIH30" s="546"/>
      <c r="TII30" s="546"/>
      <c r="TIJ30" s="546"/>
      <c r="TIK30" s="546"/>
      <c r="TIL30" s="546"/>
      <c r="TIM30" s="546"/>
      <c r="TIN30" s="546"/>
      <c r="TIO30" s="546"/>
      <c r="TIP30" s="546"/>
      <c r="TIQ30" s="546"/>
      <c r="TIR30" s="546"/>
      <c r="TIS30" s="546"/>
      <c r="TIT30" s="546"/>
      <c r="TIU30" s="546"/>
      <c r="TIV30" s="546"/>
      <c r="TIW30" s="546"/>
      <c r="TIX30" s="546"/>
      <c r="TIY30" s="546"/>
      <c r="TIZ30" s="546"/>
      <c r="TJA30" s="546"/>
      <c r="TJB30" s="546"/>
      <c r="TJC30" s="546"/>
      <c r="TJD30" s="546"/>
      <c r="TJE30" s="546"/>
      <c r="TJF30" s="546"/>
      <c r="TJG30" s="546"/>
      <c r="TJH30" s="546"/>
      <c r="TJI30" s="546"/>
      <c r="TJJ30" s="546"/>
      <c r="TJK30" s="546"/>
      <c r="TJL30" s="546"/>
      <c r="TJM30" s="546"/>
      <c r="TJN30" s="546"/>
      <c r="TJO30" s="546"/>
      <c r="TJP30" s="546"/>
      <c r="TJQ30" s="546"/>
      <c r="TJR30" s="546"/>
      <c r="TJS30" s="546"/>
      <c r="TJT30" s="546"/>
      <c r="TJU30" s="546"/>
      <c r="TJV30" s="546"/>
      <c r="TJW30" s="546"/>
      <c r="TJX30" s="546"/>
      <c r="TJY30" s="546"/>
      <c r="TJZ30" s="546"/>
      <c r="TKA30" s="546"/>
      <c r="TKB30" s="546"/>
      <c r="TKC30" s="546"/>
      <c r="TKD30" s="546"/>
      <c r="TKE30" s="546"/>
      <c r="TKF30" s="546"/>
      <c r="TKG30" s="546"/>
      <c r="TKH30" s="546"/>
      <c r="TKI30" s="546"/>
      <c r="TKJ30" s="546"/>
      <c r="TKK30" s="546"/>
      <c r="TKL30" s="546"/>
      <c r="TKM30" s="546"/>
      <c r="TKN30" s="546"/>
      <c r="TKO30" s="546"/>
      <c r="TKP30" s="546"/>
      <c r="TKQ30" s="546"/>
      <c r="TKR30" s="546"/>
      <c r="TKS30" s="546"/>
      <c r="TKT30" s="546"/>
      <c r="TKU30" s="546"/>
      <c r="TKV30" s="546"/>
      <c r="TKW30" s="546"/>
      <c r="TKX30" s="546"/>
      <c r="TKY30" s="546"/>
      <c r="TKZ30" s="546"/>
      <c r="TLA30" s="546"/>
      <c r="TLB30" s="546"/>
      <c r="TLC30" s="546"/>
      <c r="TLD30" s="546"/>
      <c r="TLE30" s="546"/>
      <c r="TLF30" s="546"/>
      <c r="TLG30" s="546"/>
      <c r="TLH30" s="546"/>
      <c r="TLI30" s="546"/>
      <c r="TLJ30" s="546"/>
      <c r="TLK30" s="546"/>
      <c r="TLL30" s="546"/>
      <c r="TLM30" s="546"/>
      <c r="TLN30" s="546"/>
      <c r="TLO30" s="546"/>
      <c r="TLP30" s="546"/>
      <c r="TLQ30" s="546"/>
      <c r="TLR30" s="546"/>
      <c r="TLS30" s="546"/>
      <c r="TLT30" s="546"/>
      <c r="TLU30" s="546"/>
      <c r="TLV30" s="546"/>
      <c r="TLW30" s="546"/>
      <c r="TLX30" s="546"/>
      <c r="TLY30" s="546"/>
      <c r="TLZ30" s="546"/>
      <c r="TMA30" s="546"/>
      <c r="TMB30" s="546"/>
      <c r="TMC30" s="546"/>
      <c r="TMD30" s="546"/>
      <c r="TME30" s="546"/>
      <c r="TMF30" s="546"/>
      <c r="TMG30" s="546"/>
      <c r="TMH30" s="546"/>
      <c r="TMI30" s="546"/>
      <c r="TMJ30" s="546"/>
      <c r="TMK30" s="546"/>
      <c r="TML30" s="546"/>
      <c r="TMM30" s="546"/>
      <c r="TMN30" s="546"/>
      <c r="TMO30" s="546"/>
      <c r="TMP30" s="546"/>
      <c r="TMQ30" s="546"/>
      <c r="TMR30" s="546"/>
      <c r="TMS30" s="546"/>
      <c r="TMT30" s="546"/>
      <c r="TMU30" s="546"/>
      <c r="TMV30" s="546"/>
      <c r="TMW30" s="546"/>
      <c r="TMX30" s="546"/>
      <c r="TMY30" s="546"/>
      <c r="TMZ30" s="546"/>
      <c r="TNA30" s="546"/>
      <c r="TNB30" s="546"/>
      <c r="TNC30" s="546"/>
      <c r="TND30" s="546"/>
      <c r="TNE30" s="546"/>
      <c r="TNF30" s="546"/>
      <c r="TNG30" s="546"/>
      <c r="TNH30" s="546"/>
      <c r="TNI30" s="546"/>
      <c r="TNJ30" s="546"/>
      <c r="TNK30" s="546"/>
      <c r="TNL30" s="546"/>
      <c r="TNM30" s="546"/>
      <c r="TNN30" s="546"/>
      <c r="TNO30" s="546"/>
      <c r="TNP30" s="546"/>
      <c r="TNQ30" s="546"/>
      <c r="TNR30" s="546"/>
      <c r="TNS30" s="546"/>
      <c r="TNT30" s="546"/>
      <c r="TNU30" s="546"/>
      <c r="TNV30" s="546"/>
      <c r="TNW30" s="546"/>
      <c r="TNX30" s="546"/>
      <c r="TNY30" s="546"/>
      <c r="TNZ30" s="546"/>
      <c r="TOA30" s="546"/>
      <c r="TOB30" s="546"/>
      <c r="TOC30" s="546"/>
      <c r="TOD30" s="546"/>
      <c r="TOE30" s="546"/>
      <c r="TOF30" s="546"/>
      <c r="TOG30" s="546"/>
      <c r="TOH30" s="546"/>
      <c r="TOI30" s="546"/>
      <c r="TOJ30" s="546"/>
      <c r="TOK30" s="546"/>
      <c r="TOL30" s="546"/>
      <c r="TOM30" s="546"/>
      <c r="TON30" s="546"/>
      <c r="TOO30" s="546"/>
      <c r="TOP30" s="546"/>
      <c r="TOQ30" s="546"/>
      <c r="TOR30" s="546"/>
      <c r="TOS30" s="546"/>
      <c r="TOT30" s="546"/>
      <c r="TOU30" s="546"/>
      <c r="TOV30" s="546"/>
      <c r="TOW30" s="546"/>
      <c r="TOX30" s="546"/>
      <c r="TOY30" s="546"/>
      <c r="TOZ30" s="546"/>
      <c r="TPA30" s="546"/>
      <c r="TPB30" s="546"/>
      <c r="TPC30" s="546"/>
      <c r="TPD30" s="546"/>
      <c r="TPE30" s="546"/>
      <c r="TPF30" s="546"/>
      <c r="TPG30" s="546"/>
      <c r="TPH30" s="546"/>
      <c r="TPI30" s="546"/>
      <c r="TPJ30" s="546"/>
      <c r="TPK30" s="546"/>
      <c r="TPL30" s="546"/>
      <c r="TPM30" s="546"/>
      <c r="TPN30" s="546"/>
      <c r="TPO30" s="546"/>
      <c r="TPP30" s="546"/>
      <c r="TPQ30" s="546"/>
      <c r="TPR30" s="546"/>
      <c r="TPS30" s="546"/>
      <c r="TPT30" s="546"/>
      <c r="TPU30" s="546"/>
      <c r="TPV30" s="546"/>
      <c r="TPW30" s="546"/>
      <c r="TPX30" s="546"/>
      <c r="TPY30" s="546"/>
      <c r="TPZ30" s="546"/>
      <c r="TQA30" s="546"/>
      <c r="TQB30" s="546"/>
      <c r="TQC30" s="546"/>
      <c r="TQD30" s="546"/>
      <c r="TQE30" s="546"/>
      <c r="TQF30" s="546"/>
      <c r="TQG30" s="546"/>
      <c r="TQH30" s="546"/>
      <c r="TQI30" s="546"/>
      <c r="TQJ30" s="546"/>
      <c r="TQK30" s="546"/>
      <c r="TQL30" s="546"/>
      <c r="TQM30" s="546"/>
      <c r="TQN30" s="546"/>
      <c r="TQO30" s="546"/>
      <c r="TQP30" s="546"/>
      <c r="TQQ30" s="546"/>
      <c r="TQR30" s="546"/>
      <c r="TQS30" s="546"/>
      <c r="TQT30" s="546"/>
      <c r="TQU30" s="546"/>
      <c r="TQV30" s="546"/>
      <c r="TQW30" s="546"/>
      <c r="TQX30" s="546"/>
      <c r="TQY30" s="546"/>
      <c r="TQZ30" s="546"/>
      <c r="TRA30" s="546"/>
      <c r="TRB30" s="546"/>
      <c r="TRC30" s="546"/>
      <c r="TRD30" s="546"/>
      <c r="TRE30" s="546"/>
      <c r="TRF30" s="546"/>
      <c r="TRG30" s="546"/>
      <c r="TRH30" s="546"/>
      <c r="TRI30" s="546"/>
      <c r="TRJ30" s="546"/>
      <c r="TRK30" s="546"/>
      <c r="TRL30" s="546"/>
      <c r="TRM30" s="546"/>
      <c r="TRN30" s="546"/>
      <c r="TRO30" s="546"/>
      <c r="TRP30" s="546"/>
      <c r="TRQ30" s="546"/>
      <c r="TRR30" s="546"/>
      <c r="TRS30" s="546"/>
      <c r="TRT30" s="546"/>
      <c r="TRU30" s="546"/>
      <c r="TRV30" s="546"/>
      <c r="TRW30" s="546"/>
      <c r="TRX30" s="546"/>
      <c r="TRY30" s="546"/>
      <c r="TRZ30" s="546"/>
      <c r="TSA30" s="546"/>
      <c r="TSB30" s="546"/>
      <c r="TSC30" s="546"/>
      <c r="TSD30" s="546"/>
      <c r="TSE30" s="546"/>
      <c r="TSF30" s="546"/>
      <c r="TSG30" s="546"/>
      <c r="TSH30" s="546"/>
      <c r="TSI30" s="546"/>
      <c r="TSJ30" s="546"/>
      <c r="TSK30" s="546"/>
      <c r="TSL30" s="546"/>
      <c r="TSM30" s="546"/>
      <c r="TSN30" s="546"/>
      <c r="TSO30" s="546"/>
      <c r="TSP30" s="546"/>
      <c r="TSQ30" s="546"/>
      <c r="TSR30" s="546"/>
      <c r="TSS30" s="546"/>
      <c r="TST30" s="546"/>
      <c r="TSU30" s="546"/>
      <c r="TSV30" s="546"/>
      <c r="TSW30" s="546"/>
      <c r="TSX30" s="546"/>
      <c r="TSY30" s="546"/>
      <c r="TSZ30" s="546"/>
      <c r="TTA30" s="546"/>
      <c r="TTB30" s="546"/>
      <c r="TTC30" s="546"/>
      <c r="TTD30" s="546"/>
      <c r="TTE30" s="546"/>
      <c r="TTF30" s="546"/>
      <c r="TTG30" s="546"/>
      <c r="TTH30" s="546"/>
      <c r="TTI30" s="546"/>
      <c r="TTJ30" s="546"/>
      <c r="TTK30" s="546"/>
      <c r="TTL30" s="546"/>
      <c r="TTM30" s="546"/>
      <c r="TTN30" s="546"/>
      <c r="TTO30" s="546"/>
      <c r="TTP30" s="546"/>
      <c r="TTQ30" s="546"/>
      <c r="TTR30" s="546"/>
      <c r="TTS30" s="546"/>
      <c r="TTT30" s="546"/>
      <c r="TTU30" s="546"/>
      <c r="TTV30" s="546"/>
      <c r="TTW30" s="546"/>
      <c r="TTX30" s="546"/>
      <c r="TTY30" s="546"/>
      <c r="TTZ30" s="546"/>
      <c r="TUA30" s="546"/>
      <c r="TUB30" s="546"/>
      <c r="TUC30" s="546"/>
      <c r="TUD30" s="546"/>
      <c r="TUE30" s="546"/>
      <c r="TUF30" s="546"/>
      <c r="TUG30" s="546"/>
      <c r="TUH30" s="546"/>
      <c r="TUI30" s="546"/>
      <c r="TUJ30" s="546"/>
      <c r="TUK30" s="546"/>
      <c r="TUL30" s="546"/>
      <c r="TUM30" s="546"/>
      <c r="TUN30" s="546"/>
      <c r="TUO30" s="546"/>
      <c r="TUP30" s="546"/>
      <c r="TUQ30" s="546"/>
      <c r="TUR30" s="546"/>
      <c r="TUS30" s="546"/>
      <c r="TUT30" s="546"/>
      <c r="TUU30" s="546"/>
      <c r="TUV30" s="546"/>
      <c r="TUW30" s="546"/>
      <c r="TUX30" s="546"/>
      <c r="TUY30" s="546"/>
      <c r="TUZ30" s="546"/>
      <c r="TVA30" s="546"/>
      <c r="TVB30" s="546"/>
      <c r="TVC30" s="546"/>
      <c r="TVD30" s="546"/>
      <c r="TVE30" s="546"/>
      <c r="TVF30" s="546"/>
      <c r="TVG30" s="546"/>
      <c r="TVH30" s="546"/>
      <c r="TVI30" s="546"/>
      <c r="TVJ30" s="546"/>
      <c r="TVK30" s="546"/>
      <c r="TVL30" s="546"/>
      <c r="TVM30" s="546"/>
      <c r="TVN30" s="546"/>
      <c r="TVO30" s="546"/>
      <c r="TVP30" s="546"/>
      <c r="TVQ30" s="546"/>
      <c r="TVR30" s="546"/>
      <c r="TVS30" s="546"/>
      <c r="TVT30" s="546"/>
      <c r="TVU30" s="546"/>
      <c r="TVV30" s="546"/>
      <c r="TVW30" s="546"/>
      <c r="TVX30" s="546"/>
      <c r="TVY30" s="546"/>
      <c r="TVZ30" s="546"/>
      <c r="TWA30" s="546"/>
      <c r="TWB30" s="546"/>
      <c r="TWC30" s="546"/>
      <c r="TWD30" s="546"/>
      <c r="TWE30" s="546"/>
      <c r="TWF30" s="546"/>
      <c r="TWG30" s="546"/>
      <c r="TWH30" s="546"/>
      <c r="TWI30" s="546"/>
      <c r="TWJ30" s="546"/>
      <c r="TWK30" s="546"/>
      <c r="TWL30" s="546"/>
      <c r="TWM30" s="546"/>
      <c r="TWN30" s="546"/>
      <c r="TWO30" s="546"/>
      <c r="TWP30" s="546"/>
      <c r="TWQ30" s="546"/>
      <c r="TWR30" s="546"/>
      <c r="TWS30" s="546"/>
      <c r="TWT30" s="546"/>
      <c r="TWU30" s="546"/>
      <c r="TWV30" s="546"/>
      <c r="TWW30" s="546"/>
      <c r="TWX30" s="546"/>
      <c r="TWY30" s="546"/>
      <c r="TWZ30" s="546"/>
      <c r="TXA30" s="546"/>
      <c r="TXB30" s="546"/>
      <c r="TXC30" s="546"/>
      <c r="TXD30" s="546"/>
      <c r="TXE30" s="546"/>
      <c r="TXF30" s="546"/>
      <c r="TXG30" s="546"/>
      <c r="TXH30" s="546"/>
      <c r="TXI30" s="546"/>
      <c r="TXJ30" s="546"/>
      <c r="TXK30" s="546"/>
      <c r="TXL30" s="546"/>
      <c r="TXM30" s="546"/>
      <c r="TXN30" s="546"/>
      <c r="TXO30" s="546"/>
      <c r="TXP30" s="546"/>
      <c r="TXQ30" s="546"/>
      <c r="TXR30" s="546"/>
      <c r="TXS30" s="546"/>
      <c r="TXT30" s="546"/>
      <c r="TXU30" s="546"/>
      <c r="TXV30" s="546"/>
      <c r="TXW30" s="546"/>
      <c r="TXX30" s="546"/>
      <c r="TXY30" s="546"/>
      <c r="TXZ30" s="546"/>
      <c r="TYA30" s="546"/>
      <c r="TYB30" s="546"/>
      <c r="TYC30" s="546"/>
      <c r="TYD30" s="546"/>
      <c r="TYE30" s="546"/>
      <c r="TYF30" s="546"/>
      <c r="TYG30" s="546"/>
      <c r="TYH30" s="546"/>
      <c r="TYI30" s="546"/>
      <c r="TYJ30" s="546"/>
      <c r="TYK30" s="546"/>
      <c r="TYL30" s="546"/>
      <c r="TYM30" s="546"/>
      <c r="TYN30" s="546"/>
      <c r="TYO30" s="546"/>
      <c r="TYP30" s="546"/>
      <c r="TYQ30" s="546"/>
      <c r="TYR30" s="546"/>
      <c r="TYS30" s="546"/>
      <c r="TYT30" s="546"/>
      <c r="TYU30" s="546"/>
      <c r="TYV30" s="546"/>
      <c r="TYW30" s="546"/>
      <c r="TYX30" s="546"/>
      <c r="TYY30" s="546"/>
      <c r="TYZ30" s="546"/>
      <c r="TZA30" s="546"/>
      <c r="TZB30" s="546"/>
      <c r="TZC30" s="546"/>
      <c r="TZD30" s="546"/>
      <c r="TZE30" s="546"/>
      <c r="TZF30" s="546"/>
      <c r="TZG30" s="546"/>
      <c r="TZH30" s="546"/>
      <c r="TZI30" s="546"/>
      <c r="TZJ30" s="546"/>
      <c r="TZK30" s="546"/>
      <c r="TZL30" s="546"/>
      <c r="TZM30" s="546"/>
      <c r="TZN30" s="546"/>
      <c r="TZO30" s="546"/>
      <c r="TZP30" s="546"/>
      <c r="TZQ30" s="546"/>
      <c r="TZR30" s="546"/>
      <c r="TZS30" s="546"/>
      <c r="TZT30" s="546"/>
      <c r="TZU30" s="546"/>
      <c r="TZV30" s="546"/>
      <c r="TZW30" s="546"/>
      <c r="TZX30" s="546"/>
      <c r="TZY30" s="546"/>
      <c r="TZZ30" s="546"/>
      <c r="UAA30" s="546"/>
      <c r="UAB30" s="546"/>
      <c r="UAC30" s="546"/>
      <c r="UAD30" s="546"/>
      <c r="UAE30" s="546"/>
      <c r="UAF30" s="546"/>
      <c r="UAG30" s="546"/>
      <c r="UAH30" s="546"/>
      <c r="UAI30" s="546"/>
      <c r="UAJ30" s="546"/>
      <c r="UAK30" s="546"/>
      <c r="UAL30" s="546"/>
      <c r="UAM30" s="546"/>
      <c r="UAN30" s="546"/>
      <c r="UAO30" s="546"/>
      <c r="UAP30" s="546"/>
      <c r="UAQ30" s="546"/>
      <c r="UAR30" s="546"/>
      <c r="UAS30" s="546"/>
      <c r="UAT30" s="546"/>
      <c r="UAU30" s="546"/>
      <c r="UAV30" s="546"/>
      <c r="UAW30" s="546"/>
      <c r="UAX30" s="546"/>
      <c r="UAY30" s="546"/>
      <c r="UAZ30" s="546"/>
      <c r="UBA30" s="546"/>
      <c r="UBB30" s="546"/>
      <c r="UBC30" s="546"/>
      <c r="UBD30" s="546"/>
      <c r="UBE30" s="546"/>
      <c r="UBF30" s="546"/>
      <c r="UBG30" s="546"/>
      <c r="UBH30" s="546"/>
      <c r="UBI30" s="546"/>
      <c r="UBJ30" s="546"/>
      <c r="UBK30" s="546"/>
      <c r="UBL30" s="546"/>
      <c r="UBM30" s="546"/>
      <c r="UBN30" s="546"/>
      <c r="UBO30" s="546"/>
      <c r="UBP30" s="546"/>
      <c r="UBQ30" s="546"/>
      <c r="UBR30" s="546"/>
      <c r="UBS30" s="546"/>
      <c r="UBT30" s="546"/>
      <c r="UBU30" s="546"/>
      <c r="UBV30" s="546"/>
      <c r="UBW30" s="546"/>
      <c r="UBX30" s="546"/>
      <c r="UBY30" s="546"/>
      <c r="UBZ30" s="546"/>
      <c r="UCA30" s="546"/>
      <c r="UCB30" s="546"/>
      <c r="UCC30" s="546"/>
      <c r="UCD30" s="546"/>
      <c r="UCE30" s="546"/>
      <c r="UCF30" s="546"/>
      <c r="UCG30" s="546"/>
      <c r="UCH30" s="546"/>
      <c r="UCI30" s="546"/>
      <c r="UCJ30" s="546"/>
      <c r="UCK30" s="546"/>
      <c r="UCL30" s="546"/>
      <c r="UCM30" s="546"/>
      <c r="UCN30" s="546"/>
      <c r="UCO30" s="546"/>
      <c r="UCP30" s="546"/>
      <c r="UCQ30" s="546"/>
      <c r="UCR30" s="546"/>
      <c r="UCS30" s="546"/>
      <c r="UCT30" s="546"/>
      <c r="UCU30" s="546"/>
      <c r="UCV30" s="546"/>
      <c r="UCW30" s="546"/>
      <c r="UCX30" s="546"/>
      <c r="UCY30" s="546"/>
      <c r="UCZ30" s="546"/>
      <c r="UDA30" s="546"/>
      <c r="UDB30" s="546"/>
      <c r="UDC30" s="546"/>
      <c r="UDD30" s="546"/>
      <c r="UDE30" s="546"/>
      <c r="UDF30" s="546"/>
      <c r="UDG30" s="546"/>
      <c r="UDH30" s="546"/>
      <c r="UDI30" s="546"/>
      <c r="UDJ30" s="546"/>
      <c r="UDK30" s="546"/>
      <c r="UDL30" s="546"/>
      <c r="UDM30" s="546"/>
      <c r="UDN30" s="546"/>
      <c r="UDO30" s="546"/>
      <c r="UDP30" s="546"/>
      <c r="UDQ30" s="546"/>
      <c r="UDR30" s="546"/>
      <c r="UDS30" s="546"/>
      <c r="UDT30" s="546"/>
      <c r="UDU30" s="546"/>
      <c r="UDV30" s="546"/>
      <c r="UDW30" s="546"/>
      <c r="UDX30" s="546"/>
      <c r="UDY30" s="546"/>
      <c r="UDZ30" s="546"/>
      <c r="UEA30" s="546"/>
      <c r="UEB30" s="546"/>
      <c r="UEC30" s="546"/>
      <c r="UED30" s="546"/>
      <c r="UEE30" s="546"/>
      <c r="UEF30" s="546"/>
      <c r="UEG30" s="546"/>
      <c r="UEH30" s="546"/>
      <c r="UEI30" s="546"/>
      <c r="UEJ30" s="546"/>
      <c r="UEK30" s="546"/>
      <c r="UEL30" s="546"/>
      <c r="UEM30" s="546"/>
      <c r="UEN30" s="546"/>
      <c r="UEO30" s="546"/>
      <c r="UEP30" s="546"/>
      <c r="UEQ30" s="546"/>
      <c r="UER30" s="546"/>
      <c r="UES30" s="546"/>
      <c r="UET30" s="546"/>
      <c r="UEU30" s="546"/>
      <c r="UEV30" s="546"/>
      <c r="UEW30" s="546"/>
      <c r="UEX30" s="546"/>
      <c r="UEY30" s="546"/>
      <c r="UEZ30" s="546"/>
      <c r="UFA30" s="546"/>
      <c r="UFB30" s="546"/>
      <c r="UFC30" s="546"/>
      <c r="UFD30" s="546"/>
      <c r="UFE30" s="546"/>
      <c r="UFF30" s="546"/>
      <c r="UFG30" s="546"/>
      <c r="UFH30" s="546"/>
      <c r="UFI30" s="546"/>
      <c r="UFJ30" s="546"/>
      <c r="UFK30" s="546"/>
      <c r="UFL30" s="546"/>
      <c r="UFM30" s="546"/>
      <c r="UFN30" s="546"/>
      <c r="UFO30" s="546"/>
      <c r="UFP30" s="546"/>
      <c r="UFQ30" s="546"/>
      <c r="UFR30" s="546"/>
      <c r="UFS30" s="546"/>
      <c r="UFT30" s="546"/>
      <c r="UFU30" s="546"/>
      <c r="UFV30" s="546"/>
      <c r="UFW30" s="546"/>
      <c r="UFX30" s="546"/>
      <c r="UFY30" s="546"/>
      <c r="UFZ30" s="546"/>
      <c r="UGA30" s="546"/>
      <c r="UGB30" s="546"/>
      <c r="UGC30" s="546"/>
      <c r="UGD30" s="546"/>
      <c r="UGE30" s="546"/>
      <c r="UGF30" s="546"/>
      <c r="UGG30" s="546"/>
      <c r="UGH30" s="546"/>
      <c r="UGI30" s="546"/>
      <c r="UGJ30" s="546"/>
      <c r="UGK30" s="546"/>
      <c r="UGL30" s="546"/>
      <c r="UGM30" s="546"/>
      <c r="UGN30" s="546"/>
      <c r="UGO30" s="546"/>
      <c r="UGP30" s="546"/>
      <c r="UGQ30" s="546"/>
      <c r="UGR30" s="546"/>
      <c r="UGS30" s="546"/>
      <c r="UGT30" s="546"/>
      <c r="UGU30" s="546"/>
      <c r="UGV30" s="546"/>
      <c r="UGW30" s="546"/>
      <c r="UGX30" s="546"/>
      <c r="UGY30" s="546"/>
      <c r="UGZ30" s="546"/>
      <c r="UHA30" s="546"/>
      <c r="UHB30" s="546"/>
      <c r="UHC30" s="546"/>
      <c r="UHD30" s="546"/>
      <c r="UHE30" s="546"/>
      <c r="UHF30" s="546"/>
      <c r="UHG30" s="546"/>
      <c r="UHH30" s="546"/>
      <c r="UHI30" s="546"/>
      <c r="UHJ30" s="546"/>
      <c r="UHK30" s="546"/>
      <c r="UHL30" s="546"/>
      <c r="UHM30" s="546"/>
      <c r="UHN30" s="546"/>
      <c r="UHO30" s="546"/>
      <c r="UHP30" s="546"/>
      <c r="UHQ30" s="546"/>
      <c r="UHR30" s="546"/>
      <c r="UHS30" s="546"/>
      <c r="UHT30" s="546"/>
      <c r="UHU30" s="546"/>
      <c r="UHV30" s="546"/>
      <c r="UHW30" s="546"/>
      <c r="UHX30" s="546"/>
      <c r="UHY30" s="546"/>
      <c r="UHZ30" s="546"/>
      <c r="UIA30" s="546"/>
      <c r="UIB30" s="546"/>
      <c r="UIC30" s="546"/>
      <c r="UID30" s="546"/>
      <c r="UIE30" s="546"/>
      <c r="UIF30" s="546"/>
      <c r="UIG30" s="546"/>
      <c r="UIH30" s="546"/>
      <c r="UII30" s="546"/>
      <c r="UIJ30" s="546"/>
      <c r="UIK30" s="546"/>
      <c r="UIL30" s="546"/>
      <c r="UIM30" s="546"/>
      <c r="UIN30" s="546"/>
      <c r="UIO30" s="546"/>
      <c r="UIP30" s="546"/>
      <c r="UIQ30" s="546"/>
      <c r="UIR30" s="546"/>
      <c r="UIS30" s="546"/>
      <c r="UIT30" s="546"/>
      <c r="UIU30" s="546"/>
      <c r="UIV30" s="546"/>
      <c r="UIW30" s="546"/>
      <c r="UIX30" s="546"/>
      <c r="UIY30" s="546"/>
      <c r="UIZ30" s="546"/>
      <c r="UJA30" s="546"/>
      <c r="UJB30" s="546"/>
      <c r="UJC30" s="546"/>
      <c r="UJD30" s="546"/>
      <c r="UJE30" s="546"/>
      <c r="UJF30" s="546"/>
      <c r="UJG30" s="546"/>
      <c r="UJH30" s="546"/>
      <c r="UJI30" s="546"/>
      <c r="UJJ30" s="546"/>
      <c r="UJK30" s="546"/>
      <c r="UJL30" s="546"/>
      <c r="UJM30" s="546"/>
      <c r="UJN30" s="546"/>
      <c r="UJO30" s="546"/>
      <c r="UJP30" s="546"/>
      <c r="UJQ30" s="546"/>
      <c r="UJR30" s="546"/>
      <c r="UJS30" s="546"/>
      <c r="UJT30" s="546"/>
      <c r="UJU30" s="546"/>
      <c r="UJV30" s="546"/>
      <c r="UJW30" s="546"/>
      <c r="UJX30" s="546"/>
      <c r="UJY30" s="546"/>
      <c r="UJZ30" s="546"/>
      <c r="UKA30" s="546"/>
      <c r="UKB30" s="546"/>
      <c r="UKC30" s="546"/>
      <c r="UKD30" s="546"/>
      <c r="UKE30" s="546"/>
      <c r="UKF30" s="546"/>
      <c r="UKG30" s="546"/>
      <c r="UKH30" s="546"/>
      <c r="UKI30" s="546"/>
      <c r="UKJ30" s="546"/>
      <c r="UKK30" s="546"/>
      <c r="UKL30" s="546"/>
      <c r="UKM30" s="546"/>
      <c r="UKN30" s="546"/>
      <c r="UKO30" s="546"/>
      <c r="UKP30" s="546"/>
      <c r="UKQ30" s="546"/>
      <c r="UKR30" s="546"/>
      <c r="UKS30" s="546"/>
      <c r="UKT30" s="546"/>
      <c r="UKU30" s="546"/>
      <c r="UKV30" s="546"/>
      <c r="UKW30" s="546"/>
      <c r="UKX30" s="546"/>
      <c r="UKY30" s="546"/>
      <c r="UKZ30" s="546"/>
      <c r="ULA30" s="546"/>
      <c r="ULB30" s="546"/>
      <c r="ULC30" s="546"/>
      <c r="ULD30" s="546"/>
      <c r="ULE30" s="546"/>
      <c r="ULF30" s="546"/>
      <c r="ULG30" s="546"/>
      <c r="ULH30" s="546"/>
      <c r="ULI30" s="546"/>
      <c r="ULJ30" s="546"/>
      <c r="ULK30" s="546"/>
      <c r="ULL30" s="546"/>
      <c r="ULM30" s="546"/>
      <c r="ULN30" s="546"/>
      <c r="ULO30" s="546"/>
      <c r="ULP30" s="546"/>
      <c r="ULQ30" s="546"/>
      <c r="ULR30" s="546"/>
      <c r="ULS30" s="546"/>
      <c r="ULT30" s="546"/>
      <c r="ULU30" s="546"/>
      <c r="ULV30" s="546"/>
      <c r="ULW30" s="546"/>
      <c r="ULX30" s="546"/>
      <c r="ULY30" s="546"/>
      <c r="ULZ30" s="546"/>
      <c r="UMA30" s="546"/>
      <c r="UMB30" s="546"/>
      <c r="UMC30" s="546"/>
      <c r="UMD30" s="546"/>
      <c r="UME30" s="546"/>
      <c r="UMF30" s="546"/>
      <c r="UMG30" s="546"/>
      <c r="UMH30" s="546"/>
      <c r="UMI30" s="546"/>
      <c r="UMJ30" s="546"/>
      <c r="UMK30" s="546"/>
      <c r="UML30" s="546"/>
      <c r="UMM30" s="546"/>
      <c r="UMN30" s="546"/>
      <c r="UMO30" s="546"/>
      <c r="UMP30" s="546"/>
      <c r="UMQ30" s="546"/>
      <c r="UMR30" s="546"/>
      <c r="UMS30" s="546"/>
      <c r="UMT30" s="546"/>
      <c r="UMU30" s="546"/>
      <c r="UMV30" s="546"/>
      <c r="UMW30" s="546"/>
      <c r="UMX30" s="546"/>
      <c r="UMY30" s="546"/>
      <c r="UMZ30" s="546"/>
      <c r="UNA30" s="546"/>
      <c r="UNB30" s="546"/>
      <c r="UNC30" s="546"/>
      <c r="UND30" s="546"/>
      <c r="UNE30" s="546"/>
      <c r="UNF30" s="546"/>
      <c r="UNG30" s="546"/>
      <c r="UNH30" s="546"/>
      <c r="UNI30" s="546"/>
      <c r="UNJ30" s="546"/>
      <c r="UNK30" s="546"/>
      <c r="UNL30" s="546"/>
      <c r="UNM30" s="546"/>
      <c r="UNN30" s="546"/>
      <c r="UNO30" s="546"/>
      <c r="UNP30" s="546"/>
      <c r="UNQ30" s="546"/>
      <c r="UNR30" s="546"/>
      <c r="UNS30" s="546"/>
      <c r="UNT30" s="546"/>
      <c r="UNU30" s="546"/>
      <c r="UNV30" s="546"/>
      <c r="UNW30" s="546"/>
      <c r="UNX30" s="546"/>
      <c r="UNY30" s="546"/>
      <c r="UNZ30" s="546"/>
      <c r="UOA30" s="546"/>
      <c r="UOB30" s="546"/>
      <c r="UOC30" s="546"/>
      <c r="UOD30" s="546"/>
      <c r="UOE30" s="546"/>
      <c r="UOF30" s="546"/>
      <c r="UOG30" s="546"/>
      <c r="UOH30" s="546"/>
      <c r="UOI30" s="546"/>
      <c r="UOJ30" s="546"/>
      <c r="UOK30" s="546"/>
      <c r="UOL30" s="546"/>
      <c r="UOM30" s="546"/>
      <c r="UON30" s="546"/>
      <c r="UOO30" s="546"/>
      <c r="UOP30" s="546"/>
      <c r="UOQ30" s="546"/>
      <c r="UOR30" s="546"/>
      <c r="UOS30" s="546"/>
      <c r="UOT30" s="546"/>
      <c r="UOU30" s="546"/>
      <c r="UOV30" s="546"/>
      <c r="UOW30" s="546"/>
      <c r="UOX30" s="546"/>
      <c r="UOY30" s="546"/>
      <c r="UOZ30" s="546"/>
      <c r="UPA30" s="546"/>
      <c r="UPB30" s="546"/>
      <c r="UPC30" s="546"/>
      <c r="UPD30" s="546"/>
      <c r="UPE30" s="546"/>
      <c r="UPF30" s="546"/>
      <c r="UPG30" s="546"/>
      <c r="UPH30" s="546"/>
      <c r="UPI30" s="546"/>
      <c r="UPJ30" s="546"/>
      <c r="UPK30" s="546"/>
      <c r="UPL30" s="546"/>
      <c r="UPM30" s="546"/>
      <c r="UPN30" s="546"/>
      <c r="UPO30" s="546"/>
      <c r="UPP30" s="546"/>
      <c r="UPQ30" s="546"/>
      <c r="UPR30" s="546"/>
      <c r="UPS30" s="546"/>
      <c r="UPT30" s="546"/>
      <c r="UPU30" s="546"/>
      <c r="UPV30" s="546"/>
      <c r="UPW30" s="546"/>
      <c r="UPX30" s="546"/>
      <c r="UPY30" s="546"/>
      <c r="UPZ30" s="546"/>
      <c r="UQA30" s="546"/>
      <c r="UQB30" s="546"/>
      <c r="UQC30" s="546"/>
      <c r="UQD30" s="546"/>
      <c r="UQE30" s="546"/>
      <c r="UQF30" s="546"/>
      <c r="UQG30" s="546"/>
      <c r="UQH30" s="546"/>
      <c r="UQI30" s="546"/>
      <c r="UQJ30" s="546"/>
      <c r="UQK30" s="546"/>
      <c r="UQL30" s="546"/>
      <c r="UQM30" s="546"/>
      <c r="UQN30" s="546"/>
      <c r="UQO30" s="546"/>
      <c r="UQP30" s="546"/>
      <c r="UQQ30" s="546"/>
      <c r="UQR30" s="546"/>
      <c r="UQS30" s="546"/>
      <c r="UQT30" s="546"/>
      <c r="UQU30" s="546"/>
      <c r="UQV30" s="546"/>
      <c r="UQW30" s="546"/>
      <c r="UQX30" s="546"/>
      <c r="UQY30" s="546"/>
      <c r="UQZ30" s="546"/>
      <c r="URA30" s="546"/>
      <c r="URB30" s="546"/>
      <c r="URC30" s="546"/>
      <c r="URD30" s="546"/>
      <c r="URE30" s="546"/>
      <c r="URF30" s="546"/>
      <c r="URG30" s="546"/>
      <c r="URH30" s="546"/>
      <c r="URI30" s="546"/>
      <c r="URJ30" s="546"/>
      <c r="URK30" s="546"/>
      <c r="URL30" s="546"/>
      <c r="URM30" s="546"/>
      <c r="URN30" s="546"/>
      <c r="URO30" s="546"/>
      <c r="URP30" s="546"/>
      <c r="URQ30" s="546"/>
      <c r="URR30" s="546"/>
      <c r="URS30" s="546"/>
      <c r="URT30" s="546"/>
      <c r="URU30" s="546"/>
      <c r="URV30" s="546"/>
      <c r="URW30" s="546"/>
      <c r="URX30" s="546"/>
      <c r="URY30" s="546"/>
      <c r="URZ30" s="546"/>
      <c r="USA30" s="546"/>
      <c r="USB30" s="546"/>
      <c r="USC30" s="546"/>
      <c r="USD30" s="546"/>
      <c r="USE30" s="546"/>
      <c r="USF30" s="546"/>
      <c r="USG30" s="546"/>
      <c r="USH30" s="546"/>
      <c r="USI30" s="546"/>
      <c r="USJ30" s="546"/>
      <c r="USK30" s="546"/>
      <c r="USL30" s="546"/>
      <c r="USM30" s="546"/>
      <c r="USN30" s="546"/>
      <c r="USO30" s="546"/>
      <c r="USP30" s="546"/>
      <c r="USQ30" s="546"/>
      <c r="USR30" s="546"/>
      <c r="USS30" s="546"/>
      <c r="UST30" s="546"/>
      <c r="USU30" s="546"/>
      <c r="USV30" s="546"/>
      <c r="USW30" s="546"/>
      <c r="USX30" s="546"/>
      <c r="USY30" s="546"/>
      <c r="USZ30" s="546"/>
      <c r="UTA30" s="546"/>
      <c r="UTB30" s="546"/>
      <c r="UTC30" s="546"/>
      <c r="UTD30" s="546"/>
      <c r="UTE30" s="546"/>
      <c r="UTF30" s="546"/>
      <c r="UTG30" s="546"/>
      <c r="UTH30" s="546"/>
      <c r="UTI30" s="546"/>
      <c r="UTJ30" s="546"/>
      <c r="UTK30" s="546"/>
      <c r="UTL30" s="546"/>
      <c r="UTM30" s="546"/>
      <c r="UTN30" s="546"/>
      <c r="UTO30" s="546"/>
      <c r="UTP30" s="546"/>
      <c r="UTQ30" s="546"/>
      <c r="UTR30" s="546"/>
      <c r="UTS30" s="546"/>
      <c r="UTT30" s="546"/>
      <c r="UTU30" s="546"/>
      <c r="UTV30" s="546"/>
      <c r="UTW30" s="546"/>
      <c r="UTX30" s="546"/>
      <c r="UTY30" s="546"/>
      <c r="UTZ30" s="546"/>
      <c r="UUA30" s="546"/>
      <c r="UUB30" s="546"/>
      <c r="UUC30" s="546"/>
      <c r="UUD30" s="546"/>
      <c r="UUE30" s="546"/>
      <c r="UUF30" s="546"/>
      <c r="UUG30" s="546"/>
      <c r="UUH30" s="546"/>
      <c r="UUI30" s="546"/>
      <c r="UUJ30" s="546"/>
      <c r="UUK30" s="546"/>
      <c r="UUL30" s="546"/>
      <c r="UUM30" s="546"/>
      <c r="UUN30" s="546"/>
      <c r="UUO30" s="546"/>
      <c r="UUP30" s="546"/>
      <c r="UUQ30" s="546"/>
      <c r="UUR30" s="546"/>
      <c r="UUS30" s="546"/>
      <c r="UUT30" s="546"/>
      <c r="UUU30" s="546"/>
      <c r="UUV30" s="546"/>
      <c r="UUW30" s="546"/>
      <c r="UUX30" s="546"/>
      <c r="UUY30" s="546"/>
      <c r="UUZ30" s="546"/>
      <c r="UVA30" s="546"/>
      <c r="UVB30" s="546"/>
      <c r="UVC30" s="546"/>
      <c r="UVD30" s="546"/>
      <c r="UVE30" s="546"/>
      <c r="UVF30" s="546"/>
      <c r="UVG30" s="546"/>
      <c r="UVH30" s="546"/>
      <c r="UVI30" s="546"/>
      <c r="UVJ30" s="546"/>
      <c r="UVK30" s="546"/>
      <c r="UVL30" s="546"/>
      <c r="UVM30" s="546"/>
      <c r="UVN30" s="546"/>
      <c r="UVO30" s="546"/>
      <c r="UVP30" s="546"/>
      <c r="UVQ30" s="546"/>
      <c r="UVR30" s="546"/>
      <c r="UVS30" s="546"/>
      <c r="UVT30" s="546"/>
      <c r="UVU30" s="546"/>
      <c r="UVV30" s="546"/>
      <c r="UVW30" s="546"/>
      <c r="UVX30" s="546"/>
      <c r="UVY30" s="546"/>
      <c r="UVZ30" s="546"/>
      <c r="UWA30" s="546"/>
      <c r="UWB30" s="546"/>
      <c r="UWC30" s="546"/>
      <c r="UWD30" s="546"/>
      <c r="UWE30" s="546"/>
      <c r="UWF30" s="546"/>
      <c r="UWG30" s="546"/>
      <c r="UWH30" s="546"/>
      <c r="UWI30" s="546"/>
      <c r="UWJ30" s="546"/>
      <c r="UWK30" s="546"/>
      <c r="UWL30" s="546"/>
      <c r="UWM30" s="546"/>
      <c r="UWN30" s="546"/>
      <c r="UWO30" s="546"/>
      <c r="UWP30" s="546"/>
      <c r="UWQ30" s="546"/>
      <c r="UWR30" s="546"/>
      <c r="UWS30" s="546"/>
      <c r="UWT30" s="546"/>
      <c r="UWU30" s="546"/>
      <c r="UWV30" s="546"/>
      <c r="UWW30" s="546"/>
      <c r="UWX30" s="546"/>
      <c r="UWY30" s="546"/>
      <c r="UWZ30" s="546"/>
      <c r="UXA30" s="546"/>
      <c r="UXB30" s="546"/>
      <c r="UXC30" s="546"/>
      <c r="UXD30" s="546"/>
      <c r="UXE30" s="546"/>
      <c r="UXF30" s="546"/>
      <c r="UXG30" s="546"/>
      <c r="UXH30" s="546"/>
      <c r="UXI30" s="546"/>
      <c r="UXJ30" s="546"/>
      <c r="UXK30" s="546"/>
      <c r="UXL30" s="546"/>
      <c r="UXM30" s="546"/>
      <c r="UXN30" s="546"/>
      <c r="UXO30" s="546"/>
      <c r="UXP30" s="546"/>
      <c r="UXQ30" s="546"/>
      <c r="UXR30" s="546"/>
      <c r="UXS30" s="546"/>
      <c r="UXT30" s="546"/>
      <c r="UXU30" s="546"/>
      <c r="UXV30" s="546"/>
      <c r="UXW30" s="546"/>
      <c r="UXX30" s="546"/>
      <c r="UXY30" s="546"/>
      <c r="UXZ30" s="546"/>
      <c r="UYA30" s="546"/>
      <c r="UYB30" s="546"/>
      <c r="UYC30" s="546"/>
      <c r="UYD30" s="546"/>
      <c r="UYE30" s="546"/>
      <c r="UYF30" s="546"/>
      <c r="UYG30" s="546"/>
      <c r="UYH30" s="546"/>
      <c r="UYI30" s="546"/>
      <c r="UYJ30" s="546"/>
      <c r="UYK30" s="546"/>
      <c r="UYL30" s="546"/>
      <c r="UYM30" s="546"/>
      <c r="UYN30" s="546"/>
      <c r="UYO30" s="546"/>
      <c r="UYP30" s="546"/>
      <c r="UYQ30" s="546"/>
      <c r="UYR30" s="546"/>
      <c r="UYS30" s="546"/>
      <c r="UYT30" s="546"/>
      <c r="UYU30" s="546"/>
      <c r="UYV30" s="546"/>
      <c r="UYW30" s="546"/>
      <c r="UYX30" s="546"/>
      <c r="UYY30" s="546"/>
      <c r="UYZ30" s="546"/>
      <c r="UZA30" s="546"/>
      <c r="UZB30" s="546"/>
      <c r="UZC30" s="546"/>
      <c r="UZD30" s="546"/>
      <c r="UZE30" s="546"/>
      <c r="UZF30" s="546"/>
      <c r="UZG30" s="546"/>
      <c r="UZH30" s="546"/>
      <c r="UZI30" s="546"/>
      <c r="UZJ30" s="546"/>
      <c r="UZK30" s="546"/>
      <c r="UZL30" s="546"/>
      <c r="UZM30" s="546"/>
      <c r="UZN30" s="546"/>
      <c r="UZO30" s="546"/>
      <c r="UZP30" s="546"/>
      <c r="UZQ30" s="546"/>
      <c r="UZR30" s="546"/>
      <c r="UZS30" s="546"/>
      <c r="UZT30" s="546"/>
      <c r="UZU30" s="546"/>
      <c r="UZV30" s="546"/>
      <c r="UZW30" s="546"/>
      <c r="UZX30" s="546"/>
      <c r="UZY30" s="546"/>
      <c r="UZZ30" s="546"/>
      <c r="VAA30" s="546"/>
      <c r="VAB30" s="546"/>
      <c r="VAC30" s="546"/>
      <c r="VAD30" s="546"/>
      <c r="VAE30" s="546"/>
      <c r="VAF30" s="546"/>
      <c r="VAG30" s="546"/>
      <c r="VAH30" s="546"/>
      <c r="VAI30" s="546"/>
      <c r="VAJ30" s="546"/>
      <c r="VAK30" s="546"/>
      <c r="VAL30" s="546"/>
      <c r="VAM30" s="546"/>
      <c r="VAN30" s="546"/>
      <c r="VAO30" s="546"/>
      <c r="VAP30" s="546"/>
      <c r="VAQ30" s="546"/>
      <c r="VAR30" s="546"/>
      <c r="VAS30" s="546"/>
      <c r="VAT30" s="546"/>
      <c r="VAU30" s="546"/>
      <c r="VAV30" s="546"/>
      <c r="VAW30" s="546"/>
      <c r="VAX30" s="546"/>
      <c r="VAY30" s="546"/>
      <c r="VAZ30" s="546"/>
      <c r="VBA30" s="546"/>
      <c r="VBB30" s="546"/>
      <c r="VBC30" s="546"/>
      <c r="VBD30" s="546"/>
      <c r="VBE30" s="546"/>
      <c r="VBF30" s="546"/>
      <c r="VBG30" s="546"/>
      <c r="VBH30" s="546"/>
      <c r="VBI30" s="546"/>
      <c r="VBJ30" s="546"/>
      <c r="VBK30" s="546"/>
      <c r="VBL30" s="546"/>
      <c r="VBM30" s="546"/>
      <c r="VBN30" s="546"/>
      <c r="VBO30" s="546"/>
      <c r="VBP30" s="546"/>
      <c r="VBQ30" s="546"/>
      <c r="VBR30" s="546"/>
      <c r="VBS30" s="546"/>
      <c r="VBT30" s="546"/>
      <c r="VBU30" s="546"/>
      <c r="VBV30" s="546"/>
      <c r="VBW30" s="546"/>
      <c r="VBX30" s="546"/>
      <c r="VBY30" s="546"/>
      <c r="VBZ30" s="546"/>
      <c r="VCA30" s="546"/>
      <c r="VCB30" s="546"/>
      <c r="VCC30" s="546"/>
      <c r="VCD30" s="546"/>
      <c r="VCE30" s="546"/>
      <c r="VCF30" s="546"/>
      <c r="VCG30" s="546"/>
      <c r="VCH30" s="546"/>
      <c r="VCI30" s="546"/>
      <c r="VCJ30" s="546"/>
      <c r="VCK30" s="546"/>
      <c r="VCL30" s="546"/>
      <c r="VCM30" s="546"/>
      <c r="VCN30" s="546"/>
      <c r="VCO30" s="546"/>
      <c r="VCP30" s="546"/>
      <c r="VCQ30" s="546"/>
      <c r="VCR30" s="546"/>
      <c r="VCS30" s="546"/>
      <c r="VCT30" s="546"/>
      <c r="VCU30" s="546"/>
      <c r="VCV30" s="546"/>
      <c r="VCW30" s="546"/>
      <c r="VCX30" s="546"/>
      <c r="VCY30" s="546"/>
      <c r="VCZ30" s="546"/>
      <c r="VDA30" s="546"/>
      <c r="VDB30" s="546"/>
      <c r="VDC30" s="546"/>
      <c r="VDD30" s="546"/>
      <c r="VDE30" s="546"/>
      <c r="VDF30" s="546"/>
      <c r="VDG30" s="546"/>
      <c r="VDH30" s="546"/>
      <c r="VDI30" s="546"/>
      <c r="VDJ30" s="546"/>
      <c r="VDK30" s="546"/>
      <c r="VDL30" s="546"/>
      <c r="VDM30" s="546"/>
      <c r="VDN30" s="546"/>
      <c r="VDO30" s="546"/>
      <c r="VDP30" s="546"/>
      <c r="VDQ30" s="546"/>
      <c r="VDR30" s="546"/>
      <c r="VDS30" s="546"/>
      <c r="VDT30" s="546"/>
      <c r="VDU30" s="546"/>
      <c r="VDV30" s="546"/>
      <c r="VDW30" s="546"/>
      <c r="VDX30" s="546"/>
      <c r="VDY30" s="546"/>
      <c r="VDZ30" s="546"/>
      <c r="VEA30" s="546"/>
      <c r="VEB30" s="546"/>
      <c r="VEC30" s="546"/>
      <c r="VED30" s="546"/>
      <c r="VEE30" s="546"/>
      <c r="VEF30" s="546"/>
      <c r="VEG30" s="546"/>
      <c r="VEH30" s="546"/>
      <c r="VEI30" s="546"/>
      <c r="VEJ30" s="546"/>
      <c r="VEK30" s="546"/>
      <c r="VEL30" s="546"/>
      <c r="VEM30" s="546"/>
      <c r="VEN30" s="546"/>
      <c r="VEO30" s="546"/>
      <c r="VEP30" s="546"/>
      <c r="VEQ30" s="546"/>
      <c r="VER30" s="546"/>
      <c r="VES30" s="546"/>
      <c r="VET30" s="546"/>
      <c r="VEU30" s="546"/>
      <c r="VEV30" s="546"/>
      <c r="VEW30" s="546"/>
      <c r="VEX30" s="546"/>
      <c r="VEY30" s="546"/>
      <c r="VEZ30" s="546"/>
      <c r="VFA30" s="546"/>
      <c r="VFB30" s="546"/>
      <c r="VFC30" s="546"/>
      <c r="VFD30" s="546"/>
      <c r="VFE30" s="546"/>
      <c r="VFF30" s="546"/>
      <c r="VFG30" s="546"/>
      <c r="VFH30" s="546"/>
      <c r="VFI30" s="546"/>
      <c r="VFJ30" s="546"/>
      <c r="VFK30" s="546"/>
      <c r="VFL30" s="546"/>
      <c r="VFM30" s="546"/>
      <c r="VFN30" s="546"/>
      <c r="VFO30" s="546"/>
      <c r="VFP30" s="546"/>
      <c r="VFQ30" s="546"/>
      <c r="VFR30" s="546"/>
      <c r="VFS30" s="546"/>
      <c r="VFT30" s="546"/>
      <c r="VFU30" s="546"/>
      <c r="VFV30" s="546"/>
      <c r="VFW30" s="546"/>
      <c r="VFX30" s="546"/>
      <c r="VFY30" s="546"/>
      <c r="VFZ30" s="546"/>
      <c r="VGA30" s="546"/>
      <c r="VGB30" s="546"/>
      <c r="VGC30" s="546"/>
      <c r="VGD30" s="546"/>
      <c r="VGE30" s="546"/>
      <c r="VGF30" s="546"/>
      <c r="VGG30" s="546"/>
      <c r="VGH30" s="546"/>
      <c r="VGI30" s="546"/>
      <c r="VGJ30" s="546"/>
      <c r="VGK30" s="546"/>
      <c r="VGL30" s="546"/>
      <c r="VGM30" s="546"/>
      <c r="VGN30" s="546"/>
      <c r="VGO30" s="546"/>
      <c r="VGP30" s="546"/>
      <c r="VGQ30" s="546"/>
      <c r="VGR30" s="546"/>
      <c r="VGS30" s="546"/>
      <c r="VGT30" s="546"/>
      <c r="VGU30" s="546"/>
      <c r="VGV30" s="546"/>
      <c r="VGW30" s="546"/>
      <c r="VGX30" s="546"/>
      <c r="VGY30" s="546"/>
      <c r="VGZ30" s="546"/>
      <c r="VHA30" s="546"/>
      <c r="VHB30" s="546"/>
      <c r="VHC30" s="546"/>
      <c r="VHD30" s="546"/>
      <c r="VHE30" s="546"/>
      <c r="VHF30" s="546"/>
      <c r="VHG30" s="546"/>
      <c r="VHH30" s="546"/>
      <c r="VHI30" s="546"/>
      <c r="VHJ30" s="546"/>
      <c r="VHK30" s="546"/>
      <c r="VHL30" s="546"/>
      <c r="VHM30" s="546"/>
      <c r="VHN30" s="546"/>
      <c r="VHO30" s="546"/>
      <c r="VHP30" s="546"/>
      <c r="VHQ30" s="546"/>
      <c r="VHR30" s="546"/>
      <c r="VHS30" s="546"/>
      <c r="VHT30" s="546"/>
      <c r="VHU30" s="546"/>
      <c r="VHV30" s="546"/>
      <c r="VHW30" s="546"/>
      <c r="VHX30" s="546"/>
      <c r="VHY30" s="546"/>
      <c r="VHZ30" s="546"/>
      <c r="VIA30" s="546"/>
      <c r="VIB30" s="546"/>
      <c r="VIC30" s="546"/>
      <c r="VID30" s="546"/>
      <c r="VIE30" s="546"/>
      <c r="VIF30" s="546"/>
      <c r="VIG30" s="546"/>
      <c r="VIH30" s="546"/>
      <c r="VII30" s="546"/>
      <c r="VIJ30" s="546"/>
      <c r="VIK30" s="546"/>
      <c r="VIL30" s="546"/>
      <c r="VIM30" s="546"/>
      <c r="VIN30" s="546"/>
      <c r="VIO30" s="546"/>
      <c r="VIP30" s="546"/>
      <c r="VIQ30" s="546"/>
      <c r="VIR30" s="546"/>
      <c r="VIS30" s="546"/>
      <c r="VIT30" s="546"/>
      <c r="VIU30" s="546"/>
      <c r="VIV30" s="546"/>
      <c r="VIW30" s="546"/>
      <c r="VIX30" s="546"/>
      <c r="VIY30" s="546"/>
      <c r="VIZ30" s="546"/>
      <c r="VJA30" s="546"/>
      <c r="VJB30" s="546"/>
      <c r="VJC30" s="546"/>
      <c r="VJD30" s="546"/>
      <c r="VJE30" s="546"/>
      <c r="VJF30" s="546"/>
      <c r="VJG30" s="546"/>
      <c r="VJH30" s="546"/>
      <c r="VJI30" s="546"/>
      <c r="VJJ30" s="546"/>
      <c r="VJK30" s="546"/>
      <c r="VJL30" s="546"/>
      <c r="VJM30" s="546"/>
      <c r="VJN30" s="546"/>
      <c r="VJO30" s="546"/>
      <c r="VJP30" s="546"/>
      <c r="VJQ30" s="546"/>
      <c r="VJR30" s="546"/>
      <c r="VJS30" s="546"/>
      <c r="VJT30" s="546"/>
      <c r="VJU30" s="546"/>
      <c r="VJV30" s="546"/>
      <c r="VJW30" s="546"/>
      <c r="VJX30" s="546"/>
      <c r="VJY30" s="546"/>
      <c r="VJZ30" s="546"/>
      <c r="VKA30" s="546"/>
      <c r="VKB30" s="546"/>
      <c r="VKC30" s="546"/>
      <c r="VKD30" s="546"/>
      <c r="VKE30" s="546"/>
      <c r="VKF30" s="546"/>
      <c r="VKG30" s="546"/>
      <c r="VKH30" s="546"/>
      <c r="VKI30" s="546"/>
      <c r="VKJ30" s="546"/>
      <c r="VKK30" s="546"/>
      <c r="VKL30" s="546"/>
      <c r="VKM30" s="546"/>
      <c r="VKN30" s="546"/>
      <c r="VKO30" s="546"/>
      <c r="VKP30" s="546"/>
      <c r="VKQ30" s="546"/>
      <c r="VKR30" s="546"/>
      <c r="VKS30" s="546"/>
      <c r="VKT30" s="546"/>
      <c r="VKU30" s="546"/>
      <c r="VKV30" s="546"/>
      <c r="VKW30" s="546"/>
      <c r="VKX30" s="546"/>
      <c r="VKY30" s="546"/>
      <c r="VKZ30" s="546"/>
      <c r="VLA30" s="546"/>
      <c r="VLB30" s="546"/>
      <c r="VLC30" s="546"/>
      <c r="VLD30" s="546"/>
      <c r="VLE30" s="546"/>
      <c r="VLF30" s="546"/>
      <c r="VLG30" s="546"/>
      <c r="VLH30" s="546"/>
      <c r="VLI30" s="546"/>
      <c r="VLJ30" s="546"/>
      <c r="VLK30" s="546"/>
      <c r="VLL30" s="546"/>
      <c r="VLM30" s="546"/>
      <c r="VLN30" s="546"/>
      <c r="VLO30" s="546"/>
      <c r="VLP30" s="546"/>
      <c r="VLQ30" s="546"/>
      <c r="VLR30" s="546"/>
      <c r="VLS30" s="546"/>
      <c r="VLT30" s="546"/>
      <c r="VLU30" s="546"/>
      <c r="VLV30" s="546"/>
      <c r="VLW30" s="546"/>
      <c r="VLX30" s="546"/>
      <c r="VLY30" s="546"/>
      <c r="VLZ30" s="546"/>
      <c r="VMA30" s="546"/>
      <c r="VMB30" s="546"/>
      <c r="VMC30" s="546"/>
      <c r="VMD30" s="546"/>
      <c r="VME30" s="546"/>
      <c r="VMF30" s="546"/>
      <c r="VMG30" s="546"/>
      <c r="VMH30" s="546"/>
      <c r="VMI30" s="546"/>
      <c r="VMJ30" s="546"/>
      <c r="VMK30" s="546"/>
      <c r="VML30" s="546"/>
      <c r="VMM30" s="546"/>
      <c r="VMN30" s="546"/>
      <c r="VMO30" s="546"/>
      <c r="VMP30" s="546"/>
      <c r="VMQ30" s="546"/>
      <c r="VMR30" s="546"/>
      <c r="VMS30" s="546"/>
      <c r="VMT30" s="546"/>
      <c r="VMU30" s="546"/>
      <c r="VMV30" s="546"/>
      <c r="VMW30" s="546"/>
      <c r="VMX30" s="546"/>
      <c r="VMY30" s="546"/>
      <c r="VMZ30" s="546"/>
      <c r="VNA30" s="546"/>
      <c r="VNB30" s="546"/>
      <c r="VNC30" s="546"/>
      <c r="VND30" s="546"/>
      <c r="VNE30" s="546"/>
      <c r="VNF30" s="546"/>
      <c r="VNG30" s="546"/>
      <c r="VNH30" s="546"/>
      <c r="VNI30" s="546"/>
      <c r="VNJ30" s="546"/>
      <c r="VNK30" s="546"/>
      <c r="VNL30" s="546"/>
      <c r="VNM30" s="546"/>
      <c r="VNN30" s="546"/>
      <c r="VNO30" s="546"/>
      <c r="VNP30" s="546"/>
      <c r="VNQ30" s="546"/>
      <c r="VNR30" s="546"/>
      <c r="VNS30" s="546"/>
      <c r="VNT30" s="546"/>
      <c r="VNU30" s="546"/>
      <c r="VNV30" s="546"/>
      <c r="VNW30" s="546"/>
      <c r="VNX30" s="546"/>
      <c r="VNY30" s="546"/>
      <c r="VNZ30" s="546"/>
      <c r="VOA30" s="546"/>
      <c r="VOB30" s="546"/>
      <c r="VOC30" s="546"/>
      <c r="VOD30" s="546"/>
      <c r="VOE30" s="546"/>
      <c r="VOF30" s="546"/>
      <c r="VOG30" s="546"/>
      <c r="VOH30" s="546"/>
      <c r="VOI30" s="546"/>
      <c r="VOJ30" s="546"/>
      <c r="VOK30" s="546"/>
      <c r="VOL30" s="546"/>
      <c r="VOM30" s="546"/>
      <c r="VON30" s="546"/>
      <c r="VOO30" s="546"/>
      <c r="VOP30" s="546"/>
      <c r="VOQ30" s="546"/>
      <c r="VOR30" s="546"/>
      <c r="VOS30" s="546"/>
      <c r="VOT30" s="546"/>
      <c r="VOU30" s="546"/>
      <c r="VOV30" s="546"/>
      <c r="VOW30" s="546"/>
      <c r="VOX30" s="546"/>
      <c r="VOY30" s="546"/>
      <c r="VOZ30" s="546"/>
      <c r="VPA30" s="546"/>
      <c r="VPB30" s="546"/>
      <c r="VPC30" s="546"/>
      <c r="VPD30" s="546"/>
      <c r="VPE30" s="546"/>
      <c r="VPF30" s="546"/>
      <c r="VPG30" s="546"/>
      <c r="VPH30" s="546"/>
      <c r="VPI30" s="546"/>
      <c r="VPJ30" s="546"/>
      <c r="VPK30" s="546"/>
      <c r="VPL30" s="546"/>
      <c r="VPM30" s="546"/>
      <c r="VPN30" s="546"/>
      <c r="VPO30" s="546"/>
      <c r="VPP30" s="546"/>
      <c r="VPQ30" s="546"/>
      <c r="VPR30" s="546"/>
      <c r="VPS30" s="546"/>
      <c r="VPT30" s="546"/>
      <c r="VPU30" s="546"/>
      <c r="VPV30" s="546"/>
      <c r="VPW30" s="546"/>
      <c r="VPX30" s="546"/>
      <c r="VPY30" s="546"/>
      <c r="VPZ30" s="546"/>
      <c r="VQA30" s="546"/>
      <c r="VQB30" s="546"/>
      <c r="VQC30" s="546"/>
      <c r="VQD30" s="546"/>
      <c r="VQE30" s="546"/>
      <c r="VQF30" s="546"/>
      <c r="VQG30" s="546"/>
      <c r="VQH30" s="546"/>
      <c r="VQI30" s="546"/>
      <c r="VQJ30" s="546"/>
      <c r="VQK30" s="546"/>
      <c r="VQL30" s="546"/>
      <c r="VQM30" s="546"/>
      <c r="VQN30" s="546"/>
      <c r="VQO30" s="546"/>
      <c r="VQP30" s="546"/>
      <c r="VQQ30" s="546"/>
      <c r="VQR30" s="546"/>
      <c r="VQS30" s="546"/>
      <c r="VQT30" s="546"/>
      <c r="VQU30" s="546"/>
      <c r="VQV30" s="546"/>
      <c r="VQW30" s="546"/>
      <c r="VQX30" s="546"/>
      <c r="VQY30" s="546"/>
      <c r="VQZ30" s="546"/>
      <c r="VRA30" s="546"/>
      <c r="VRB30" s="546"/>
      <c r="VRC30" s="546"/>
      <c r="VRD30" s="546"/>
      <c r="VRE30" s="546"/>
      <c r="VRF30" s="546"/>
      <c r="VRG30" s="546"/>
      <c r="VRH30" s="546"/>
      <c r="VRI30" s="546"/>
      <c r="VRJ30" s="546"/>
      <c r="VRK30" s="546"/>
      <c r="VRL30" s="546"/>
      <c r="VRM30" s="546"/>
      <c r="VRN30" s="546"/>
      <c r="VRO30" s="546"/>
      <c r="VRP30" s="546"/>
      <c r="VRQ30" s="546"/>
      <c r="VRR30" s="546"/>
      <c r="VRS30" s="546"/>
      <c r="VRT30" s="546"/>
      <c r="VRU30" s="546"/>
      <c r="VRV30" s="546"/>
      <c r="VRW30" s="546"/>
      <c r="VRX30" s="546"/>
      <c r="VRY30" s="546"/>
      <c r="VRZ30" s="546"/>
      <c r="VSA30" s="546"/>
      <c r="VSB30" s="546"/>
      <c r="VSC30" s="546"/>
      <c r="VSD30" s="546"/>
      <c r="VSE30" s="546"/>
      <c r="VSF30" s="546"/>
      <c r="VSG30" s="546"/>
      <c r="VSH30" s="546"/>
      <c r="VSI30" s="546"/>
      <c r="VSJ30" s="546"/>
      <c r="VSK30" s="546"/>
      <c r="VSL30" s="546"/>
      <c r="VSM30" s="546"/>
      <c r="VSN30" s="546"/>
      <c r="VSO30" s="546"/>
      <c r="VSP30" s="546"/>
      <c r="VSQ30" s="546"/>
      <c r="VSR30" s="546"/>
      <c r="VSS30" s="546"/>
      <c r="VST30" s="546"/>
      <c r="VSU30" s="546"/>
      <c r="VSV30" s="546"/>
      <c r="VSW30" s="546"/>
      <c r="VSX30" s="546"/>
      <c r="VSY30" s="546"/>
      <c r="VSZ30" s="546"/>
      <c r="VTA30" s="546"/>
      <c r="VTB30" s="546"/>
      <c r="VTC30" s="546"/>
      <c r="VTD30" s="546"/>
      <c r="VTE30" s="546"/>
      <c r="VTF30" s="546"/>
      <c r="VTG30" s="546"/>
      <c r="VTH30" s="546"/>
      <c r="VTI30" s="546"/>
      <c r="VTJ30" s="546"/>
      <c r="VTK30" s="546"/>
      <c r="VTL30" s="546"/>
      <c r="VTM30" s="546"/>
      <c r="VTN30" s="546"/>
      <c r="VTO30" s="546"/>
      <c r="VTP30" s="546"/>
      <c r="VTQ30" s="546"/>
      <c r="VTR30" s="546"/>
      <c r="VTS30" s="546"/>
      <c r="VTT30" s="546"/>
      <c r="VTU30" s="546"/>
      <c r="VTV30" s="546"/>
      <c r="VTW30" s="546"/>
      <c r="VTX30" s="546"/>
      <c r="VTY30" s="546"/>
      <c r="VTZ30" s="546"/>
      <c r="VUA30" s="546"/>
      <c r="VUB30" s="546"/>
      <c r="VUC30" s="546"/>
      <c r="VUD30" s="546"/>
      <c r="VUE30" s="546"/>
      <c r="VUF30" s="546"/>
      <c r="VUG30" s="546"/>
      <c r="VUH30" s="546"/>
      <c r="VUI30" s="546"/>
      <c r="VUJ30" s="546"/>
      <c r="VUK30" s="546"/>
      <c r="VUL30" s="546"/>
      <c r="VUM30" s="546"/>
      <c r="VUN30" s="546"/>
      <c r="VUO30" s="546"/>
      <c r="VUP30" s="546"/>
      <c r="VUQ30" s="546"/>
      <c r="VUR30" s="546"/>
      <c r="VUS30" s="546"/>
      <c r="VUT30" s="546"/>
      <c r="VUU30" s="546"/>
      <c r="VUV30" s="546"/>
      <c r="VUW30" s="546"/>
      <c r="VUX30" s="546"/>
      <c r="VUY30" s="546"/>
      <c r="VUZ30" s="546"/>
      <c r="VVA30" s="546"/>
      <c r="VVB30" s="546"/>
      <c r="VVC30" s="546"/>
      <c r="VVD30" s="546"/>
      <c r="VVE30" s="546"/>
      <c r="VVF30" s="546"/>
      <c r="VVG30" s="546"/>
      <c r="VVH30" s="546"/>
      <c r="VVI30" s="546"/>
      <c r="VVJ30" s="546"/>
      <c r="VVK30" s="546"/>
      <c r="VVL30" s="546"/>
      <c r="VVM30" s="546"/>
      <c r="VVN30" s="546"/>
      <c r="VVO30" s="546"/>
      <c r="VVP30" s="546"/>
      <c r="VVQ30" s="546"/>
      <c r="VVR30" s="546"/>
      <c r="VVS30" s="546"/>
      <c r="VVT30" s="546"/>
      <c r="VVU30" s="546"/>
      <c r="VVV30" s="546"/>
      <c r="VVW30" s="546"/>
      <c r="VVX30" s="546"/>
      <c r="VVY30" s="546"/>
      <c r="VVZ30" s="546"/>
      <c r="VWA30" s="546"/>
      <c r="VWB30" s="546"/>
      <c r="VWC30" s="546"/>
      <c r="VWD30" s="546"/>
      <c r="VWE30" s="546"/>
      <c r="VWF30" s="546"/>
      <c r="VWG30" s="546"/>
      <c r="VWH30" s="546"/>
      <c r="VWI30" s="546"/>
      <c r="VWJ30" s="546"/>
      <c r="VWK30" s="546"/>
      <c r="VWL30" s="546"/>
      <c r="VWM30" s="546"/>
      <c r="VWN30" s="546"/>
      <c r="VWO30" s="546"/>
      <c r="VWP30" s="546"/>
      <c r="VWQ30" s="546"/>
      <c r="VWR30" s="546"/>
      <c r="VWS30" s="546"/>
      <c r="VWT30" s="546"/>
      <c r="VWU30" s="546"/>
      <c r="VWV30" s="546"/>
      <c r="VWW30" s="546"/>
      <c r="VWX30" s="546"/>
      <c r="VWY30" s="546"/>
      <c r="VWZ30" s="546"/>
      <c r="VXA30" s="546"/>
      <c r="VXB30" s="546"/>
      <c r="VXC30" s="546"/>
      <c r="VXD30" s="546"/>
      <c r="VXE30" s="546"/>
      <c r="VXF30" s="546"/>
      <c r="VXG30" s="546"/>
      <c r="VXH30" s="546"/>
      <c r="VXI30" s="546"/>
      <c r="VXJ30" s="546"/>
      <c r="VXK30" s="546"/>
      <c r="VXL30" s="546"/>
      <c r="VXM30" s="546"/>
      <c r="VXN30" s="546"/>
      <c r="VXO30" s="546"/>
      <c r="VXP30" s="546"/>
      <c r="VXQ30" s="546"/>
      <c r="VXR30" s="546"/>
      <c r="VXS30" s="546"/>
      <c r="VXT30" s="546"/>
      <c r="VXU30" s="546"/>
      <c r="VXV30" s="546"/>
      <c r="VXW30" s="546"/>
      <c r="VXX30" s="546"/>
      <c r="VXY30" s="546"/>
      <c r="VXZ30" s="546"/>
      <c r="VYA30" s="546"/>
      <c r="VYB30" s="546"/>
      <c r="VYC30" s="546"/>
      <c r="VYD30" s="546"/>
      <c r="VYE30" s="546"/>
      <c r="VYF30" s="546"/>
      <c r="VYG30" s="546"/>
      <c r="VYH30" s="546"/>
      <c r="VYI30" s="546"/>
      <c r="VYJ30" s="546"/>
      <c r="VYK30" s="546"/>
      <c r="VYL30" s="546"/>
      <c r="VYM30" s="546"/>
      <c r="VYN30" s="546"/>
      <c r="VYO30" s="546"/>
      <c r="VYP30" s="546"/>
      <c r="VYQ30" s="546"/>
      <c r="VYR30" s="546"/>
      <c r="VYS30" s="546"/>
      <c r="VYT30" s="546"/>
      <c r="VYU30" s="546"/>
      <c r="VYV30" s="546"/>
      <c r="VYW30" s="546"/>
      <c r="VYX30" s="546"/>
      <c r="VYY30" s="546"/>
      <c r="VYZ30" s="546"/>
      <c r="VZA30" s="546"/>
      <c r="VZB30" s="546"/>
      <c r="VZC30" s="546"/>
      <c r="VZD30" s="546"/>
      <c r="VZE30" s="546"/>
      <c r="VZF30" s="546"/>
      <c r="VZG30" s="546"/>
      <c r="VZH30" s="546"/>
      <c r="VZI30" s="546"/>
      <c r="VZJ30" s="546"/>
      <c r="VZK30" s="546"/>
      <c r="VZL30" s="546"/>
      <c r="VZM30" s="546"/>
      <c r="VZN30" s="546"/>
      <c r="VZO30" s="546"/>
      <c r="VZP30" s="546"/>
      <c r="VZQ30" s="546"/>
      <c r="VZR30" s="546"/>
      <c r="VZS30" s="546"/>
      <c r="VZT30" s="546"/>
      <c r="VZU30" s="546"/>
      <c r="VZV30" s="546"/>
      <c r="VZW30" s="546"/>
      <c r="VZX30" s="546"/>
      <c r="VZY30" s="546"/>
      <c r="VZZ30" s="546"/>
      <c r="WAA30" s="546"/>
      <c r="WAB30" s="546"/>
      <c r="WAC30" s="546"/>
      <c r="WAD30" s="546"/>
      <c r="WAE30" s="546"/>
      <c r="WAF30" s="546"/>
      <c r="WAG30" s="546"/>
      <c r="WAH30" s="546"/>
      <c r="WAI30" s="546"/>
      <c r="WAJ30" s="546"/>
      <c r="WAK30" s="546"/>
      <c r="WAL30" s="546"/>
      <c r="WAM30" s="546"/>
      <c r="WAN30" s="546"/>
      <c r="WAO30" s="546"/>
      <c r="WAP30" s="546"/>
      <c r="WAQ30" s="546"/>
      <c r="WAR30" s="546"/>
      <c r="WAS30" s="546"/>
      <c r="WAT30" s="546"/>
      <c r="WAU30" s="546"/>
      <c r="WAV30" s="546"/>
      <c r="WAW30" s="546"/>
      <c r="WAX30" s="546"/>
      <c r="WAY30" s="546"/>
      <c r="WAZ30" s="546"/>
      <c r="WBA30" s="546"/>
      <c r="WBB30" s="546"/>
      <c r="WBC30" s="546"/>
      <c r="WBD30" s="546"/>
      <c r="WBE30" s="546"/>
      <c r="WBF30" s="546"/>
      <c r="WBG30" s="546"/>
      <c r="WBH30" s="546"/>
      <c r="WBI30" s="546"/>
      <c r="WBJ30" s="546"/>
      <c r="WBK30" s="546"/>
      <c r="WBL30" s="546"/>
      <c r="WBM30" s="546"/>
      <c r="WBN30" s="546"/>
      <c r="WBO30" s="546"/>
      <c r="WBP30" s="546"/>
      <c r="WBQ30" s="546"/>
      <c r="WBR30" s="546"/>
      <c r="WBS30" s="546"/>
      <c r="WBT30" s="546"/>
      <c r="WBU30" s="546"/>
      <c r="WBV30" s="546"/>
      <c r="WBW30" s="546"/>
      <c r="WBX30" s="546"/>
      <c r="WBY30" s="546"/>
      <c r="WBZ30" s="546"/>
      <c r="WCA30" s="546"/>
      <c r="WCB30" s="546"/>
      <c r="WCC30" s="546"/>
      <c r="WCD30" s="546"/>
      <c r="WCE30" s="546"/>
      <c r="WCF30" s="546"/>
      <c r="WCG30" s="546"/>
      <c r="WCH30" s="546"/>
      <c r="WCI30" s="546"/>
      <c r="WCJ30" s="546"/>
      <c r="WCK30" s="546"/>
      <c r="WCL30" s="546"/>
      <c r="WCM30" s="546"/>
      <c r="WCN30" s="546"/>
      <c r="WCO30" s="546"/>
      <c r="WCP30" s="546"/>
      <c r="WCQ30" s="546"/>
      <c r="WCR30" s="546"/>
      <c r="WCS30" s="546"/>
      <c r="WCT30" s="546"/>
      <c r="WCU30" s="546"/>
      <c r="WCV30" s="546"/>
      <c r="WCW30" s="546"/>
      <c r="WCX30" s="546"/>
      <c r="WCY30" s="546"/>
      <c r="WCZ30" s="546"/>
      <c r="WDA30" s="546"/>
      <c r="WDB30" s="546"/>
      <c r="WDC30" s="546"/>
      <c r="WDD30" s="546"/>
      <c r="WDE30" s="546"/>
      <c r="WDF30" s="546"/>
      <c r="WDG30" s="546"/>
      <c r="WDH30" s="546"/>
      <c r="WDI30" s="546"/>
      <c r="WDJ30" s="546"/>
      <c r="WDK30" s="546"/>
      <c r="WDL30" s="546"/>
      <c r="WDM30" s="546"/>
      <c r="WDN30" s="546"/>
      <c r="WDO30" s="546"/>
      <c r="WDP30" s="546"/>
      <c r="WDQ30" s="546"/>
      <c r="WDR30" s="546"/>
      <c r="WDS30" s="546"/>
      <c r="WDT30" s="546"/>
      <c r="WDU30" s="546"/>
      <c r="WDV30" s="546"/>
      <c r="WDW30" s="546"/>
      <c r="WDX30" s="546"/>
      <c r="WDY30" s="546"/>
      <c r="WDZ30" s="546"/>
      <c r="WEA30" s="546"/>
      <c r="WEB30" s="546"/>
      <c r="WEC30" s="546"/>
      <c r="WED30" s="546"/>
      <c r="WEE30" s="546"/>
      <c r="WEF30" s="546"/>
      <c r="WEG30" s="546"/>
      <c r="WEH30" s="546"/>
      <c r="WEI30" s="546"/>
      <c r="WEJ30" s="546"/>
      <c r="WEK30" s="546"/>
      <c r="WEL30" s="546"/>
      <c r="WEM30" s="546"/>
      <c r="WEN30" s="546"/>
      <c r="WEO30" s="546"/>
      <c r="WEP30" s="546"/>
      <c r="WEQ30" s="546"/>
      <c r="WER30" s="546"/>
      <c r="WES30" s="546"/>
      <c r="WET30" s="546"/>
      <c r="WEU30" s="546"/>
      <c r="WEV30" s="546"/>
      <c r="WEW30" s="546"/>
      <c r="WEX30" s="546"/>
      <c r="WEY30" s="546"/>
      <c r="WEZ30" s="546"/>
      <c r="WFA30" s="546"/>
      <c r="WFB30" s="546"/>
      <c r="WFC30" s="546"/>
      <c r="WFD30" s="546"/>
      <c r="WFE30" s="546"/>
      <c r="WFF30" s="546"/>
      <c r="WFG30" s="546"/>
      <c r="WFH30" s="546"/>
      <c r="WFI30" s="546"/>
      <c r="WFJ30" s="546"/>
      <c r="WFK30" s="546"/>
      <c r="WFL30" s="546"/>
      <c r="WFM30" s="546"/>
      <c r="WFN30" s="546"/>
      <c r="WFO30" s="546"/>
      <c r="WFP30" s="546"/>
      <c r="WFQ30" s="546"/>
      <c r="WFR30" s="546"/>
      <c r="WFS30" s="546"/>
      <c r="WFT30" s="546"/>
      <c r="WFU30" s="546"/>
      <c r="WFV30" s="546"/>
      <c r="WFW30" s="546"/>
      <c r="WFX30" s="546"/>
      <c r="WFY30" s="546"/>
      <c r="WFZ30" s="546"/>
      <c r="WGA30" s="546"/>
      <c r="WGB30" s="546"/>
      <c r="WGC30" s="546"/>
      <c r="WGD30" s="546"/>
      <c r="WGE30" s="546"/>
      <c r="WGF30" s="546"/>
      <c r="WGG30" s="546"/>
      <c r="WGH30" s="546"/>
      <c r="WGI30" s="546"/>
      <c r="WGJ30" s="546"/>
      <c r="WGK30" s="546"/>
      <c r="WGL30" s="546"/>
      <c r="WGM30" s="546"/>
      <c r="WGN30" s="546"/>
      <c r="WGO30" s="546"/>
      <c r="WGP30" s="546"/>
      <c r="WGQ30" s="546"/>
      <c r="WGR30" s="546"/>
      <c r="WGS30" s="546"/>
      <c r="WGT30" s="546"/>
      <c r="WGU30" s="546"/>
      <c r="WGV30" s="546"/>
      <c r="WGW30" s="546"/>
      <c r="WGX30" s="546"/>
      <c r="WGY30" s="546"/>
      <c r="WGZ30" s="546"/>
      <c r="WHA30" s="546"/>
      <c r="WHB30" s="546"/>
      <c r="WHC30" s="546"/>
      <c r="WHD30" s="546"/>
      <c r="WHE30" s="546"/>
      <c r="WHF30" s="546"/>
      <c r="WHG30" s="546"/>
      <c r="WHH30" s="546"/>
      <c r="WHI30" s="546"/>
      <c r="WHJ30" s="546"/>
      <c r="WHK30" s="546"/>
      <c r="WHL30" s="546"/>
      <c r="WHM30" s="546"/>
      <c r="WHN30" s="546"/>
      <c r="WHO30" s="546"/>
      <c r="WHP30" s="546"/>
      <c r="WHQ30" s="546"/>
      <c r="WHR30" s="546"/>
      <c r="WHS30" s="546"/>
      <c r="WHT30" s="546"/>
      <c r="WHU30" s="546"/>
      <c r="WHV30" s="546"/>
      <c r="WHW30" s="546"/>
      <c r="WHX30" s="546"/>
      <c r="WHY30" s="546"/>
      <c r="WHZ30" s="546"/>
      <c r="WIA30" s="546"/>
      <c r="WIB30" s="546"/>
      <c r="WIC30" s="546"/>
      <c r="WID30" s="546"/>
      <c r="WIE30" s="546"/>
      <c r="WIF30" s="546"/>
      <c r="WIG30" s="546"/>
      <c r="WIH30" s="546"/>
      <c r="WII30" s="546"/>
      <c r="WIJ30" s="546"/>
      <c r="WIK30" s="546"/>
      <c r="WIL30" s="546"/>
      <c r="WIM30" s="546"/>
      <c r="WIN30" s="546"/>
      <c r="WIO30" s="546"/>
      <c r="WIP30" s="546"/>
      <c r="WIQ30" s="546"/>
      <c r="WIR30" s="546"/>
      <c r="WIS30" s="546"/>
      <c r="WIT30" s="546"/>
      <c r="WIU30" s="546"/>
      <c r="WIV30" s="546"/>
      <c r="WIW30" s="546"/>
      <c r="WIX30" s="546"/>
      <c r="WIY30" s="546"/>
      <c r="WIZ30" s="546"/>
      <c r="WJA30" s="546"/>
      <c r="WJB30" s="546"/>
      <c r="WJC30" s="546"/>
      <c r="WJD30" s="546"/>
      <c r="WJE30" s="546"/>
      <c r="WJF30" s="546"/>
      <c r="WJG30" s="546"/>
      <c r="WJH30" s="546"/>
      <c r="WJI30" s="546"/>
      <c r="WJJ30" s="546"/>
      <c r="WJK30" s="546"/>
      <c r="WJL30" s="546"/>
      <c r="WJM30" s="546"/>
      <c r="WJN30" s="546"/>
      <c r="WJO30" s="546"/>
      <c r="WJP30" s="546"/>
      <c r="WJQ30" s="546"/>
      <c r="WJR30" s="546"/>
      <c r="WJS30" s="546"/>
      <c r="WJT30" s="546"/>
      <c r="WJU30" s="546"/>
      <c r="WJV30" s="546"/>
      <c r="WJW30" s="546"/>
      <c r="WJX30" s="546"/>
      <c r="WJY30" s="546"/>
      <c r="WJZ30" s="546"/>
      <c r="WKA30" s="546"/>
      <c r="WKB30" s="546"/>
      <c r="WKC30" s="546"/>
      <c r="WKD30" s="546"/>
      <c r="WKE30" s="546"/>
      <c r="WKF30" s="546"/>
      <c r="WKG30" s="546"/>
      <c r="WKH30" s="546"/>
      <c r="WKI30" s="546"/>
      <c r="WKJ30" s="546"/>
      <c r="WKK30" s="546"/>
      <c r="WKL30" s="546"/>
      <c r="WKM30" s="546"/>
      <c r="WKN30" s="546"/>
      <c r="WKO30" s="546"/>
      <c r="WKP30" s="546"/>
      <c r="WKQ30" s="546"/>
      <c r="WKR30" s="546"/>
      <c r="WKS30" s="546"/>
      <c r="WKT30" s="546"/>
      <c r="WKU30" s="546"/>
      <c r="WKV30" s="546"/>
      <c r="WKW30" s="546"/>
      <c r="WKX30" s="546"/>
      <c r="WKY30" s="546"/>
      <c r="WKZ30" s="546"/>
      <c r="WLA30" s="546"/>
      <c r="WLB30" s="546"/>
      <c r="WLC30" s="546"/>
      <c r="WLD30" s="546"/>
      <c r="WLE30" s="546"/>
      <c r="WLF30" s="546"/>
      <c r="WLG30" s="546"/>
      <c r="WLH30" s="546"/>
      <c r="WLI30" s="546"/>
      <c r="WLJ30" s="546"/>
      <c r="WLK30" s="546"/>
      <c r="WLL30" s="546"/>
      <c r="WLM30" s="546"/>
      <c r="WLN30" s="546"/>
      <c r="WLO30" s="546"/>
      <c r="WLP30" s="546"/>
      <c r="WLQ30" s="546"/>
      <c r="WLR30" s="546"/>
      <c r="WLS30" s="546"/>
      <c r="WLT30" s="546"/>
      <c r="WLU30" s="546"/>
      <c r="WLV30" s="546"/>
      <c r="WLW30" s="546"/>
      <c r="WLX30" s="546"/>
      <c r="WLY30" s="546"/>
      <c r="WLZ30" s="546"/>
      <c r="WMA30" s="546"/>
      <c r="WMB30" s="546"/>
      <c r="WMC30" s="546"/>
      <c r="WMD30" s="546"/>
      <c r="WME30" s="546"/>
      <c r="WMF30" s="546"/>
      <c r="WMG30" s="546"/>
      <c r="WMH30" s="546"/>
      <c r="WMI30" s="546"/>
      <c r="WMJ30" s="546"/>
      <c r="WMK30" s="546"/>
      <c r="WML30" s="546"/>
      <c r="WMM30" s="546"/>
      <c r="WMN30" s="546"/>
      <c r="WMO30" s="546"/>
      <c r="WMP30" s="546"/>
      <c r="WMQ30" s="546"/>
      <c r="WMR30" s="546"/>
      <c r="WMS30" s="546"/>
      <c r="WMT30" s="546"/>
      <c r="WMU30" s="546"/>
      <c r="WMV30" s="546"/>
      <c r="WMW30" s="546"/>
      <c r="WMX30" s="546"/>
      <c r="WMY30" s="546"/>
      <c r="WMZ30" s="546"/>
      <c r="WNA30" s="546"/>
      <c r="WNB30" s="546"/>
      <c r="WNC30" s="546"/>
      <c r="WND30" s="546"/>
      <c r="WNE30" s="546"/>
      <c r="WNF30" s="546"/>
      <c r="WNG30" s="546"/>
      <c r="WNH30" s="546"/>
      <c r="WNI30" s="546"/>
      <c r="WNJ30" s="546"/>
      <c r="WNK30" s="546"/>
      <c r="WNL30" s="546"/>
      <c r="WNM30" s="546"/>
      <c r="WNN30" s="546"/>
      <c r="WNO30" s="546"/>
      <c r="WNP30" s="546"/>
      <c r="WNQ30" s="546"/>
      <c r="WNR30" s="546"/>
      <c r="WNS30" s="546"/>
      <c r="WNT30" s="546"/>
      <c r="WNU30" s="546"/>
      <c r="WNV30" s="546"/>
      <c r="WNW30" s="546"/>
      <c r="WNX30" s="546"/>
      <c r="WNY30" s="546"/>
      <c r="WNZ30" s="546"/>
      <c r="WOA30" s="546"/>
      <c r="WOB30" s="546"/>
      <c r="WOC30" s="546"/>
      <c r="WOD30" s="546"/>
      <c r="WOE30" s="546"/>
      <c r="WOF30" s="546"/>
      <c r="WOG30" s="546"/>
      <c r="WOH30" s="546"/>
      <c r="WOI30" s="546"/>
      <c r="WOJ30" s="546"/>
      <c r="WOK30" s="546"/>
      <c r="WOL30" s="546"/>
      <c r="WOM30" s="546"/>
      <c r="WON30" s="546"/>
      <c r="WOO30" s="546"/>
      <c r="WOP30" s="546"/>
      <c r="WOQ30" s="546"/>
      <c r="WOR30" s="546"/>
      <c r="WOS30" s="546"/>
      <c r="WOT30" s="546"/>
      <c r="WOU30" s="546"/>
      <c r="WOV30" s="546"/>
      <c r="WOW30" s="546"/>
      <c r="WOX30" s="546"/>
      <c r="WOY30" s="546"/>
      <c r="WOZ30" s="546"/>
      <c r="WPA30" s="546"/>
      <c r="WPB30" s="546"/>
      <c r="WPC30" s="546"/>
      <c r="WPD30" s="546"/>
      <c r="WPE30" s="546"/>
      <c r="WPF30" s="546"/>
      <c r="WPG30" s="546"/>
      <c r="WPH30" s="546"/>
      <c r="WPI30" s="546"/>
      <c r="WPJ30" s="546"/>
      <c r="WPK30" s="546"/>
      <c r="WPL30" s="546"/>
      <c r="WPM30" s="546"/>
      <c r="WPN30" s="546"/>
      <c r="WPO30" s="546"/>
      <c r="WPP30" s="546"/>
      <c r="WPQ30" s="546"/>
      <c r="WPR30" s="546"/>
      <c r="WPS30" s="546"/>
      <c r="WPT30" s="546"/>
      <c r="WPU30" s="546"/>
      <c r="WPV30" s="546"/>
      <c r="WPW30" s="546"/>
      <c r="WPX30" s="546"/>
      <c r="WPY30" s="546"/>
      <c r="WPZ30" s="546"/>
      <c r="WQA30" s="546"/>
      <c r="WQB30" s="546"/>
      <c r="WQC30" s="546"/>
      <c r="WQD30" s="546"/>
      <c r="WQE30" s="546"/>
      <c r="WQF30" s="546"/>
      <c r="WQG30" s="546"/>
      <c r="WQH30" s="546"/>
      <c r="WQI30" s="546"/>
      <c r="WQJ30" s="546"/>
      <c r="WQK30" s="546"/>
      <c r="WQL30" s="546"/>
      <c r="WQM30" s="546"/>
      <c r="WQN30" s="546"/>
      <c r="WQO30" s="546"/>
      <c r="WQP30" s="546"/>
      <c r="WQQ30" s="546"/>
      <c r="WQR30" s="546"/>
      <c r="WQS30" s="546"/>
      <c r="WQT30" s="546"/>
      <c r="WQU30" s="546"/>
      <c r="WQV30" s="546"/>
      <c r="WQW30" s="546"/>
      <c r="WQX30" s="546"/>
      <c r="WQY30" s="546"/>
      <c r="WQZ30" s="546"/>
      <c r="WRA30" s="546"/>
      <c r="WRB30" s="546"/>
      <c r="WRC30" s="546"/>
      <c r="WRD30" s="546"/>
      <c r="WRE30" s="546"/>
      <c r="WRF30" s="546"/>
      <c r="WRG30" s="546"/>
      <c r="WRH30" s="546"/>
      <c r="WRI30" s="546"/>
      <c r="WRJ30" s="546"/>
      <c r="WRK30" s="546"/>
      <c r="WRL30" s="546"/>
      <c r="WRM30" s="546"/>
      <c r="WRN30" s="546"/>
      <c r="WRO30" s="546"/>
      <c r="WRP30" s="546"/>
      <c r="WRQ30" s="546"/>
      <c r="WRR30" s="546"/>
      <c r="WRS30" s="546"/>
      <c r="WRT30" s="546"/>
      <c r="WRU30" s="546"/>
      <c r="WRV30" s="546"/>
      <c r="WRW30" s="546"/>
      <c r="WRX30" s="546"/>
      <c r="WRY30" s="546"/>
      <c r="WRZ30" s="546"/>
      <c r="WSA30" s="546"/>
      <c r="WSB30" s="546"/>
      <c r="WSC30" s="546"/>
      <c r="WSD30" s="546"/>
      <c r="WSE30" s="546"/>
      <c r="WSF30" s="546"/>
      <c r="WSG30" s="546"/>
      <c r="WSH30" s="546"/>
      <c r="WSI30" s="546"/>
      <c r="WSJ30" s="546"/>
      <c r="WSK30" s="546"/>
      <c r="WSL30" s="546"/>
      <c r="WSM30" s="546"/>
      <c r="WSN30" s="546"/>
      <c r="WSO30" s="546"/>
      <c r="WSP30" s="546"/>
      <c r="WSQ30" s="546"/>
      <c r="WSR30" s="546"/>
      <c r="WSS30" s="546"/>
      <c r="WST30" s="546"/>
      <c r="WSU30" s="546"/>
      <c r="WSV30" s="546"/>
      <c r="WSW30" s="546"/>
      <c r="WSX30" s="546"/>
      <c r="WSY30" s="546"/>
      <c r="WSZ30" s="546"/>
      <c r="WTA30" s="546"/>
      <c r="WTB30" s="546"/>
      <c r="WTC30" s="546"/>
      <c r="WTD30" s="546"/>
      <c r="WTE30" s="546"/>
      <c r="WTF30" s="546"/>
      <c r="WTG30" s="546"/>
      <c r="WTH30" s="546"/>
      <c r="WTI30" s="546"/>
      <c r="WTJ30" s="546"/>
      <c r="WTK30" s="546"/>
      <c r="WTL30" s="546"/>
      <c r="WTM30" s="546"/>
      <c r="WTN30" s="546"/>
      <c r="WTO30" s="546"/>
      <c r="WTP30" s="546"/>
      <c r="WTQ30" s="546"/>
      <c r="WTR30" s="546"/>
      <c r="WTS30" s="546"/>
      <c r="WTT30" s="546"/>
      <c r="WTU30" s="546"/>
      <c r="WTV30" s="546"/>
      <c r="WTW30" s="546"/>
      <c r="WTX30" s="546"/>
      <c r="WTY30" s="546"/>
      <c r="WTZ30" s="546"/>
      <c r="WUA30" s="546"/>
      <c r="WUB30" s="546"/>
      <c r="WUC30" s="546"/>
      <c r="WUD30" s="546"/>
      <c r="WUE30" s="546"/>
      <c r="WUF30" s="546"/>
      <c r="WUG30" s="546"/>
      <c r="WUH30" s="546"/>
      <c r="WUI30" s="546"/>
      <c r="WUJ30" s="546"/>
      <c r="WUK30" s="546"/>
      <c r="WUL30" s="546"/>
      <c r="WUM30" s="546"/>
      <c r="WUN30" s="546"/>
      <c r="WUO30" s="546"/>
      <c r="WUP30" s="546"/>
      <c r="WUQ30" s="546"/>
      <c r="WUR30" s="546"/>
      <c r="WUS30" s="546"/>
      <c r="WUT30" s="546"/>
      <c r="WUU30" s="546"/>
      <c r="WUV30" s="546"/>
      <c r="WUW30" s="546"/>
      <c r="WUX30" s="546"/>
      <c r="WUY30" s="546"/>
      <c r="WUZ30" s="546"/>
      <c r="WVA30" s="546"/>
      <c r="WVB30" s="546"/>
      <c r="WVC30" s="546"/>
      <c r="WVD30" s="546"/>
      <c r="WVE30" s="546"/>
      <c r="WVF30" s="546"/>
      <c r="WVG30" s="546"/>
      <c r="WVH30" s="546"/>
      <c r="WVI30" s="546"/>
      <c r="WVJ30" s="546"/>
      <c r="WVK30" s="546"/>
      <c r="WVL30" s="546"/>
      <c r="WVM30" s="546"/>
      <c r="WVN30" s="546"/>
      <c r="WVO30" s="546"/>
      <c r="WVP30" s="546"/>
      <c r="WVQ30" s="546"/>
      <c r="WVR30" s="546"/>
      <c r="WVS30" s="546"/>
      <c r="WVT30" s="546"/>
      <c r="WVU30" s="546"/>
      <c r="WVV30" s="546"/>
      <c r="WVW30" s="546"/>
      <c r="WVX30" s="546"/>
      <c r="WVY30" s="546"/>
      <c r="WVZ30" s="546"/>
      <c r="WWA30" s="546"/>
      <c r="WWB30" s="546"/>
      <c r="WWC30" s="546"/>
      <c r="WWD30" s="546"/>
      <c r="WWE30" s="546"/>
      <c r="WWF30" s="546"/>
      <c r="WWG30" s="546"/>
      <c r="WWH30" s="546"/>
      <c r="WWI30" s="546"/>
      <c r="WWJ30" s="546"/>
      <c r="WWK30" s="546"/>
      <c r="WWL30" s="546"/>
      <c r="WWM30" s="546"/>
      <c r="WWN30" s="546"/>
      <c r="WWO30" s="546"/>
      <c r="WWP30" s="546"/>
      <c r="WWQ30" s="546"/>
      <c r="WWR30" s="546"/>
      <c r="WWS30" s="546"/>
      <c r="WWT30" s="546"/>
      <c r="WWU30" s="546"/>
      <c r="WWV30" s="546"/>
      <c r="WWW30" s="546"/>
      <c r="WWX30" s="546"/>
      <c r="WWY30" s="546"/>
      <c r="WWZ30" s="546"/>
      <c r="WXA30" s="546"/>
      <c r="WXB30" s="546"/>
      <c r="WXC30" s="546"/>
      <c r="WXD30" s="546"/>
      <c r="WXE30" s="546"/>
      <c r="WXF30" s="546"/>
      <c r="WXG30" s="546"/>
      <c r="WXH30" s="546"/>
      <c r="WXI30" s="546"/>
      <c r="WXJ30" s="546"/>
      <c r="WXK30" s="546"/>
      <c r="WXL30" s="546"/>
      <c r="WXM30" s="546"/>
      <c r="WXN30" s="546"/>
      <c r="WXO30" s="546"/>
      <c r="WXP30" s="546"/>
      <c r="WXQ30" s="546"/>
      <c r="WXR30" s="546"/>
      <c r="WXS30" s="546"/>
      <c r="WXT30" s="546"/>
      <c r="WXU30" s="546"/>
      <c r="WXV30" s="546"/>
      <c r="WXW30" s="546"/>
      <c r="WXX30" s="546"/>
      <c r="WXY30" s="546"/>
      <c r="WXZ30" s="546"/>
      <c r="WYA30" s="546"/>
      <c r="WYB30" s="546"/>
      <c r="WYC30" s="546"/>
      <c r="WYD30" s="546"/>
      <c r="WYE30" s="546"/>
      <c r="WYF30" s="546"/>
      <c r="WYG30" s="546"/>
      <c r="WYH30" s="546"/>
      <c r="WYI30" s="546"/>
      <c r="WYJ30" s="546"/>
      <c r="WYK30" s="546"/>
      <c r="WYL30" s="546"/>
      <c r="WYM30" s="546"/>
      <c r="WYN30" s="546"/>
      <c r="WYO30" s="546"/>
      <c r="WYP30" s="546"/>
      <c r="WYQ30" s="546"/>
      <c r="WYR30" s="546"/>
      <c r="WYS30" s="546"/>
      <c r="WYT30" s="546"/>
      <c r="WYU30" s="546"/>
      <c r="WYV30" s="546"/>
      <c r="WYW30" s="546"/>
      <c r="WYX30" s="546"/>
      <c r="WYY30" s="546"/>
      <c r="WYZ30" s="546"/>
      <c r="WZA30" s="546"/>
      <c r="WZB30" s="546"/>
      <c r="WZC30" s="546"/>
      <c r="WZD30" s="546"/>
      <c r="WZE30" s="546"/>
      <c r="WZF30" s="546"/>
      <c r="WZG30" s="546"/>
      <c r="WZH30" s="546"/>
      <c r="WZI30" s="546"/>
      <c r="WZJ30" s="546"/>
      <c r="WZK30" s="546"/>
      <c r="WZL30" s="546"/>
      <c r="WZM30" s="546"/>
      <c r="WZN30" s="546"/>
      <c r="WZO30" s="546"/>
      <c r="WZP30" s="546"/>
      <c r="WZQ30" s="546"/>
      <c r="WZR30" s="546"/>
      <c r="WZS30" s="546"/>
      <c r="WZT30" s="546"/>
      <c r="WZU30" s="546"/>
      <c r="WZV30" s="546"/>
      <c r="WZW30" s="546"/>
      <c r="WZX30" s="546"/>
      <c r="WZY30" s="546"/>
      <c r="WZZ30" s="546"/>
      <c r="XAA30" s="546"/>
      <c r="XAB30" s="546"/>
      <c r="XAC30" s="546"/>
      <c r="XAD30" s="546"/>
      <c r="XAE30" s="546"/>
      <c r="XAF30" s="546"/>
      <c r="XAG30" s="546"/>
      <c r="XAH30" s="546"/>
      <c r="XAI30" s="546"/>
      <c r="XAJ30" s="546"/>
      <c r="XAK30" s="546"/>
      <c r="XAL30" s="546"/>
      <c r="XAM30" s="546"/>
      <c r="XAN30" s="546"/>
      <c r="XAO30" s="546"/>
      <c r="XAP30" s="546"/>
      <c r="XAQ30" s="546"/>
      <c r="XAR30" s="546"/>
      <c r="XAS30" s="546"/>
      <c r="XAT30" s="546"/>
      <c r="XAU30" s="546"/>
      <c r="XAV30" s="546"/>
      <c r="XAW30" s="546"/>
      <c r="XAX30" s="546"/>
      <c r="XAY30" s="546"/>
      <c r="XAZ30" s="546"/>
      <c r="XBA30" s="546"/>
      <c r="XBB30" s="546"/>
      <c r="XBC30" s="546"/>
      <c r="XBD30" s="546"/>
      <c r="XBE30" s="546"/>
      <c r="XBF30" s="546"/>
      <c r="XBG30" s="546"/>
      <c r="XBH30" s="546"/>
      <c r="XBI30" s="546"/>
      <c r="XBJ30" s="546"/>
      <c r="XBK30" s="546"/>
      <c r="XBL30" s="546"/>
      <c r="XBM30" s="546"/>
      <c r="XBN30" s="546"/>
      <c r="XBO30" s="546"/>
      <c r="XBP30" s="546"/>
      <c r="XBQ30" s="546"/>
      <c r="XBR30" s="546"/>
      <c r="XBS30" s="546"/>
      <c r="XBT30" s="546"/>
      <c r="XBU30" s="546"/>
      <c r="XBV30" s="546"/>
      <c r="XBW30" s="546"/>
      <c r="XBX30" s="546"/>
      <c r="XBY30" s="546"/>
      <c r="XBZ30" s="546"/>
      <c r="XCA30" s="546"/>
      <c r="XCB30" s="546"/>
      <c r="XCC30" s="546"/>
      <c r="XCD30" s="546"/>
      <c r="XCE30" s="546"/>
      <c r="XCF30" s="546"/>
      <c r="XCG30" s="546"/>
      <c r="XCH30" s="546"/>
      <c r="XCI30" s="546"/>
      <c r="XCJ30" s="546"/>
      <c r="XCK30" s="546"/>
      <c r="XCL30" s="546"/>
      <c r="XCM30" s="546"/>
      <c r="XCN30" s="546"/>
      <c r="XCO30" s="546"/>
      <c r="XCP30" s="546"/>
      <c r="XCQ30" s="546"/>
      <c r="XCR30" s="546"/>
      <c r="XCS30" s="546"/>
      <c r="XCT30" s="546"/>
      <c r="XCU30" s="546"/>
      <c r="XCV30" s="546"/>
      <c r="XCW30" s="546"/>
      <c r="XCX30" s="546"/>
      <c r="XCY30" s="546"/>
      <c r="XCZ30" s="546"/>
      <c r="XDA30" s="546"/>
      <c r="XDB30" s="546"/>
      <c r="XDC30" s="546"/>
      <c r="XDD30" s="546"/>
      <c r="XDE30" s="546"/>
      <c r="XDF30" s="546"/>
      <c r="XDG30" s="546"/>
      <c r="XDH30" s="546"/>
      <c r="XDI30" s="546"/>
      <c r="XDJ30" s="546"/>
      <c r="XDK30" s="546"/>
      <c r="XDL30" s="546"/>
      <c r="XDM30" s="546"/>
      <c r="XDN30" s="546"/>
      <c r="XDO30" s="546"/>
      <c r="XDP30" s="546"/>
      <c r="XDQ30" s="546"/>
      <c r="XDR30" s="546"/>
      <c r="XDS30" s="546"/>
      <c r="XDT30" s="546"/>
      <c r="XDU30" s="546"/>
      <c r="XDV30" s="546"/>
      <c r="XDW30" s="546"/>
      <c r="XDX30" s="546"/>
      <c r="XDY30" s="546"/>
      <c r="XDZ30" s="546"/>
      <c r="XEA30" s="546"/>
      <c r="XEB30" s="546"/>
      <c r="XEC30" s="546"/>
      <c r="XED30" s="546"/>
      <c r="XEE30" s="546"/>
      <c r="XEF30" s="546"/>
      <c r="XEG30" s="546"/>
      <c r="XEH30" s="546"/>
      <c r="XEI30" s="546"/>
      <c r="XEJ30" s="546"/>
      <c r="XEK30" s="546"/>
      <c r="XEL30" s="546"/>
      <c r="XEM30" s="546"/>
      <c r="XEN30" s="546"/>
      <c r="XEO30" s="546"/>
      <c r="XEP30" s="546"/>
      <c r="XEQ30" s="546"/>
      <c r="XER30" s="546"/>
      <c r="XES30" s="546"/>
      <c r="XET30" s="546"/>
      <c r="XEU30" s="546"/>
      <c r="XEV30" s="546"/>
      <c r="XEW30" s="546"/>
      <c r="XEX30" s="546"/>
      <c r="XEY30" s="546"/>
    </row>
    <row r="31" spans="1:16379" s="546" customFormat="1" ht="21" customHeight="1" x14ac:dyDescent="0.25">
      <c r="B31" s="420" t="s">
        <v>1006</v>
      </c>
      <c r="C31" s="423" t="s">
        <v>1029</v>
      </c>
      <c r="D31" s="424"/>
      <c r="E31" s="424"/>
      <c r="F31" s="425"/>
      <c r="G31" s="553"/>
      <c r="H31" s="420"/>
      <c r="I31" s="427">
        <f>SUMPRODUCT(((LEFT(BalanceN!$A$4:$A$9999,2)="18")-(LEFT(BalanceN!$A$4:$A$9999,3)="183"))*BalanceN!$F$4:$F$9999)</f>
        <v>0</v>
      </c>
      <c r="J31" s="552">
        <f>SUMPRODUCT(((LEFT('BalanceN-1'!$A$4:$A$9999,2)="18")-(LEFT('BalanceN-1'!$A$4:$A$9999,3)="183"))*'BalanceN-1'!$F$4:$F$9999)</f>
        <v>0</v>
      </c>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c r="IT31" s="537"/>
      <c r="IU31" s="537"/>
      <c r="IV31" s="537"/>
      <c r="IW31" s="537"/>
      <c r="IX31" s="537"/>
      <c r="IY31" s="537"/>
      <c r="IZ31" s="537"/>
      <c r="JA31" s="537"/>
      <c r="JB31" s="537"/>
      <c r="JC31" s="537"/>
      <c r="JD31" s="537"/>
      <c r="JE31" s="537"/>
      <c r="JF31" s="537"/>
      <c r="JG31" s="537"/>
      <c r="JH31" s="537"/>
      <c r="JI31" s="537"/>
      <c r="JJ31" s="537"/>
      <c r="JK31" s="537"/>
      <c r="JL31" s="537"/>
      <c r="JM31" s="537"/>
      <c r="JN31" s="537"/>
      <c r="JO31" s="537"/>
      <c r="JP31" s="537"/>
      <c r="JQ31" s="537"/>
      <c r="JR31" s="537"/>
      <c r="JS31" s="537"/>
      <c r="JT31" s="537"/>
      <c r="JU31" s="537"/>
      <c r="JV31" s="537"/>
      <c r="JW31" s="537"/>
      <c r="JX31" s="537"/>
      <c r="JY31" s="537"/>
      <c r="JZ31" s="537"/>
      <c r="KA31" s="537"/>
      <c r="KB31" s="537"/>
      <c r="KC31" s="537"/>
      <c r="KD31" s="537"/>
      <c r="KE31" s="537"/>
      <c r="KF31" s="537"/>
      <c r="KG31" s="537"/>
      <c r="KH31" s="537"/>
      <c r="KI31" s="537"/>
      <c r="KJ31" s="537"/>
      <c r="KK31" s="537"/>
      <c r="KL31" s="537"/>
      <c r="KM31" s="537"/>
      <c r="KN31" s="537"/>
      <c r="KO31" s="537"/>
      <c r="KP31" s="537"/>
      <c r="KQ31" s="537"/>
      <c r="KR31" s="537"/>
      <c r="KS31" s="537"/>
      <c r="KT31" s="537"/>
      <c r="KU31" s="537"/>
      <c r="KV31" s="537"/>
      <c r="KW31" s="537"/>
      <c r="KX31" s="537"/>
      <c r="KY31" s="537"/>
      <c r="KZ31" s="537"/>
      <c r="LA31" s="537"/>
      <c r="LB31" s="537"/>
      <c r="LC31" s="537"/>
      <c r="LD31" s="537"/>
      <c r="LE31" s="537"/>
      <c r="LF31" s="537"/>
      <c r="LG31" s="537"/>
      <c r="LH31" s="537"/>
      <c r="LI31" s="537"/>
      <c r="LJ31" s="537"/>
      <c r="LK31" s="537"/>
      <c r="LL31" s="537"/>
      <c r="LM31" s="537"/>
      <c r="LN31" s="537"/>
      <c r="LO31" s="537"/>
      <c r="LP31" s="537"/>
      <c r="LQ31" s="537"/>
      <c r="LR31" s="537"/>
      <c r="LS31" s="537"/>
      <c r="LT31" s="537"/>
      <c r="LU31" s="537"/>
      <c r="LV31" s="537"/>
      <c r="LW31" s="537"/>
      <c r="LX31" s="537"/>
      <c r="LY31" s="537"/>
      <c r="LZ31" s="537"/>
      <c r="MA31" s="537"/>
      <c r="MB31" s="537"/>
      <c r="MC31" s="537"/>
      <c r="MD31" s="537"/>
      <c r="ME31" s="537"/>
      <c r="MF31" s="537"/>
      <c r="MG31" s="537"/>
      <c r="MH31" s="537"/>
      <c r="MI31" s="537"/>
      <c r="MJ31" s="537"/>
      <c r="MK31" s="537"/>
      <c r="ML31" s="537"/>
      <c r="MM31" s="537"/>
      <c r="MN31" s="537"/>
      <c r="MO31" s="537"/>
      <c r="MP31" s="537"/>
      <c r="MQ31" s="537"/>
      <c r="MR31" s="537"/>
      <c r="MS31" s="537"/>
      <c r="MT31" s="537"/>
      <c r="MU31" s="537"/>
      <c r="MV31" s="537"/>
      <c r="MW31" s="537"/>
      <c r="MX31" s="537"/>
      <c r="MY31" s="537"/>
      <c r="MZ31" s="537"/>
      <c r="NA31" s="537"/>
      <c r="NB31" s="537"/>
      <c r="NC31" s="537"/>
      <c r="ND31" s="537"/>
      <c r="NE31" s="537"/>
      <c r="NF31" s="537"/>
      <c r="NG31" s="537"/>
      <c r="NH31" s="537"/>
      <c r="NI31" s="537"/>
      <c r="NJ31" s="537"/>
      <c r="NK31" s="537"/>
      <c r="NL31" s="537"/>
      <c r="NM31" s="537"/>
      <c r="NN31" s="537"/>
      <c r="NO31" s="537"/>
      <c r="NP31" s="537"/>
      <c r="NQ31" s="537"/>
      <c r="NR31" s="537"/>
      <c r="NS31" s="537"/>
      <c r="NT31" s="537"/>
      <c r="NU31" s="537"/>
      <c r="NV31" s="537"/>
      <c r="NW31" s="537"/>
      <c r="NX31" s="537"/>
      <c r="NY31" s="537"/>
      <c r="NZ31" s="537"/>
      <c r="OA31" s="537"/>
      <c r="OB31" s="537"/>
      <c r="OC31" s="537"/>
      <c r="OD31" s="537"/>
      <c r="OE31" s="537"/>
      <c r="OF31" s="537"/>
      <c r="OG31" s="537"/>
      <c r="OH31" s="537"/>
      <c r="OI31" s="537"/>
      <c r="OJ31" s="537"/>
      <c r="OK31" s="537"/>
      <c r="OL31" s="537"/>
      <c r="OM31" s="537"/>
      <c r="ON31" s="537"/>
      <c r="OO31" s="537"/>
      <c r="OP31" s="537"/>
      <c r="OQ31" s="537"/>
      <c r="OR31" s="537"/>
      <c r="OS31" s="537"/>
      <c r="OT31" s="537"/>
      <c r="OU31" s="537"/>
      <c r="OV31" s="537"/>
      <c r="OW31" s="537"/>
      <c r="OX31" s="537"/>
      <c r="OY31" s="537"/>
      <c r="OZ31" s="537"/>
      <c r="PA31" s="537"/>
      <c r="PB31" s="537"/>
      <c r="PC31" s="537"/>
      <c r="PD31" s="537"/>
      <c r="PE31" s="537"/>
      <c r="PF31" s="537"/>
      <c r="PG31" s="537"/>
      <c r="PH31" s="537"/>
      <c r="PI31" s="537"/>
      <c r="PJ31" s="537"/>
      <c r="PK31" s="537"/>
      <c r="PL31" s="537"/>
      <c r="PM31" s="537"/>
      <c r="PN31" s="537"/>
      <c r="PO31" s="537"/>
      <c r="PP31" s="537"/>
      <c r="PQ31" s="537"/>
      <c r="PR31" s="537"/>
      <c r="PS31" s="537"/>
      <c r="PT31" s="537"/>
      <c r="PU31" s="537"/>
      <c r="PV31" s="537"/>
      <c r="PW31" s="537"/>
      <c r="PX31" s="537"/>
      <c r="PY31" s="537"/>
      <c r="PZ31" s="537"/>
      <c r="QA31" s="537"/>
      <c r="QB31" s="537"/>
      <c r="QC31" s="537"/>
      <c r="QD31" s="537"/>
      <c r="QE31" s="537"/>
      <c r="QF31" s="537"/>
      <c r="QG31" s="537"/>
      <c r="QH31" s="537"/>
      <c r="QI31" s="537"/>
      <c r="QJ31" s="537"/>
      <c r="QK31" s="537"/>
      <c r="QL31" s="537"/>
      <c r="QM31" s="537"/>
      <c r="QN31" s="537"/>
      <c r="QO31" s="537"/>
      <c r="QP31" s="537"/>
      <c r="QQ31" s="537"/>
      <c r="QR31" s="537"/>
      <c r="QS31" s="537"/>
      <c r="QT31" s="537"/>
      <c r="QU31" s="537"/>
      <c r="QV31" s="537"/>
      <c r="QW31" s="537"/>
      <c r="QX31" s="537"/>
      <c r="QY31" s="537"/>
      <c r="QZ31" s="537"/>
      <c r="RA31" s="537"/>
      <c r="RB31" s="537"/>
      <c r="RC31" s="537"/>
      <c r="RD31" s="537"/>
      <c r="RE31" s="537"/>
      <c r="RF31" s="537"/>
      <c r="RG31" s="537"/>
      <c r="RH31" s="537"/>
      <c r="RI31" s="537"/>
      <c r="RJ31" s="537"/>
      <c r="RK31" s="537"/>
      <c r="RL31" s="537"/>
      <c r="RM31" s="537"/>
      <c r="RN31" s="537"/>
      <c r="RO31" s="537"/>
      <c r="RP31" s="537"/>
      <c r="RQ31" s="537"/>
      <c r="RR31" s="537"/>
      <c r="RS31" s="537"/>
      <c r="RT31" s="537"/>
      <c r="RU31" s="537"/>
      <c r="RV31" s="537"/>
      <c r="RW31" s="537"/>
      <c r="RX31" s="537"/>
      <c r="RY31" s="537"/>
      <c r="RZ31" s="537"/>
      <c r="SA31" s="537"/>
      <c r="SB31" s="537"/>
      <c r="SC31" s="537"/>
      <c r="SD31" s="537"/>
      <c r="SE31" s="537"/>
      <c r="SF31" s="537"/>
      <c r="SG31" s="537"/>
      <c r="SH31" s="537"/>
      <c r="SI31" s="537"/>
      <c r="SJ31" s="537"/>
      <c r="SK31" s="537"/>
      <c r="SL31" s="537"/>
      <c r="SM31" s="537"/>
      <c r="SN31" s="537"/>
      <c r="SO31" s="537"/>
      <c r="SP31" s="537"/>
      <c r="SQ31" s="537"/>
      <c r="SR31" s="537"/>
      <c r="SS31" s="537"/>
      <c r="ST31" s="537"/>
      <c r="SU31" s="537"/>
      <c r="SV31" s="537"/>
      <c r="SW31" s="537"/>
      <c r="SX31" s="537"/>
      <c r="SY31" s="537"/>
      <c r="SZ31" s="537"/>
      <c r="TA31" s="537"/>
      <c r="TB31" s="537"/>
      <c r="TC31" s="537"/>
      <c r="TD31" s="537"/>
      <c r="TE31" s="537"/>
      <c r="TF31" s="537"/>
      <c r="TG31" s="537"/>
      <c r="TH31" s="537"/>
      <c r="TI31" s="537"/>
      <c r="TJ31" s="537"/>
      <c r="TK31" s="537"/>
      <c r="TL31" s="537"/>
      <c r="TM31" s="537"/>
      <c r="TN31" s="537"/>
      <c r="TO31" s="537"/>
      <c r="TP31" s="537"/>
      <c r="TQ31" s="537"/>
      <c r="TR31" s="537"/>
      <c r="TS31" s="537"/>
      <c r="TT31" s="537"/>
      <c r="TU31" s="537"/>
      <c r="TV31" s="537"/>
      <c r="TW31" s="537"/>
      <c r="TX31" s="537"/>
      <c r="TY31" s="537"/>
      <c r="TZ31" s="537"/>
      <c r="UA31" s="537"/>
      <c r="UB31" s="537"/>
      <c r="UC31" s="537"/>
      <c r="UD31" s="537"/>
      <c r="UE31" s="537"/>
      <c r="UF31" s="537"/>
      <c r="UG31" s="537"/>
      <c r="UH31" s="537"/>
      <c r="UI31" s="537"/>
      <c r="UJ31" s="537"/>
      <c r="UK31" s="537"/>
      <c r="UL31" s="537"/>
      <c r="UM31" s="537"/>
      <c r="UN31" s="537"/>
      <c r="UO31" s="537"/>
      <c r="UP31" s="537"/>
      <c r="UQ31" s="537"/>
      <c r="UR31" s="537"/>
      <c r="US31" s="537"/>
      <c r="UT31" s="537"/>
      <c r="UU31" s="537"/>
      <c r="UV31" s="537"/>
      <c r="UW31" s="537"/>
      <c r="UX31" s="537"/>
      <c r="UY31" s="537"/>
      <c r="UZ31" s="537"/>
      <c r="VA31" s="537"/>
      <c r="VB31" s="537"/>
      <c r="VC31" s="537"/>
      <c r="VD31" s="537"/>
      <c r="VE31" s="537"/>
      <c r="VF31" s="537"/>
      <c r="VG31" s="537"/>
      <c r="VH31" s="537"/>
      <c r="VI31" s="537"/>
      <c r="VJ31" s="537"/>
      <c r="VK31" s="537"/>
      <c r="VL31" s="537"/>
      <c r="VM31" s="537"/>
      <c r="VN31" s="537"/>
      <c r="VO31" s="537"/>
      <c r="VP31" s="537"/>
      <c r="VQ31" s="537"/>
      <c r="VR31" s="537"/>
      <c r="VS31" s="537"/>
      <c r="VT31" s="537"/>
      <c r="VU31" s="537"/>
      <c r="VV31" s="537"/>
      <c r="VW31" s="537"/>
      <c r="VX31" s="537"/>
      <c r="VY31" s="537"/>
      <c r="VZ31" s="537"/>
      <c r="WA31" s="537"/>
      <c r="WB31" s="537"/>
      <c r="WC31" s="537"/>
      <c r="WD31" s="537"/>
      <c r="WE31" s="537"/>
      <c r="WF31" s="537"/>
      <c r="WG31" s="537"/>
      <c r="WH31" s="537"/>
      <c r="WI31" s="537"/>
      <c r="WJ31" s="537"/>
      <c r="WK31" s="537"/>
      <c r="WL31" s="537"/>
      <c r="WM31" s="537"/>
      <c r="WN31" s="537"/>
      <c r="WO31" s="537"/>
      <c r="WP31" s="537"/>
      <c r="WQ31" s="537"/>
      <c r="WR31" s="537"/>
      <c r="WS31" s="537"/>
      <c r="WT31" s="537"/>
      <c r="WU31" s="537"/>
      <c r="WV31" s="537"/>
      <c r="WW31" s="537"/>
      <c r="WX31" s="537"/>
      <c r="WY31" s="537"/>
      <c r="WZ31" s="537"/>
      <c r="XA31" s="537"/>
      <c r="XB31" s="537"/>
      <c r="XC31" s="537"/>
      <c r="XD31" s="537"/>
      <c r="XE31" s="537"/>
      <c r="XF31" s="537"/>
      <c r="XG31" s="537"/>
      <c r="XH31" s="537"/>
      <c r="XI31" s="537"/>
      <c r="XJ31" s="537"/>
      <c r="XK31" s="537"/>
      <c r="XL31" s="537"/>
      <c r="XM31" s="537"/>
      <c r="XN31" s="537"/>
      <c r="XO31" s="537"/>
      <c r="XP31" s="537"/>
      <c r="XQ31" s="537"/>
      <c r="XR31" s="537"/>
      <c r="XS31" s="537"/>
      <c r="XT31" s="537"/>
      <c r="XU31" s="537"/>
      <c r="XV31" s="537"/>
      <c r="XW31" s="537"/>
      <c r="XX31" s="537"/>
      <c r="XY31" s="537"/>
      <c r="XZ31" s="537"/>
      <c r="YA31" s="537"/>
      <c r="YB31" s="537"/>
      <c r="YC31" s="537"/>
      <c r="YD31" s="537"/>
      <c r="YE31" s="537"/>
      <c r="YF31" s="537"/>
      <c r="YG31" s="537"/>
      <c r="YH31" s="537"/>
      <c r="YI31" s="537"/>
      <c r="YJ31" s="537"/>
      <c r="YK31" s="537"/>
      <c r="YL31" s="537"/>
      <c r="YM31" s="537"/>
      <c r="YN31" s="537"/>
      <c r="YO31" s="537"/>
      <c r="YP31" s="537"/>
      <c r="YQ31" s="537"/>
      <c r="YR31" s="537"/>
      <c r="YS31" s="537"/>
      <c r="YT31" s="537"/>
      <c r="YU31" s="537"/>
      <c r="YV31" s="537"/>
      <c r="YW31" s="537"/>
      <c r="YX31" s="537"/>
      <c r="YY31" s="537"/>
      <c r="YZ31" s="537"/>
      <c r="ZA31" s="537"/>
      <c r="ZB31" s="537"/>
      <c r="ZC31" s="537"/>
      <c r="ZD31" s="537"/>
      <c r="ZE31" s="537"/>
      <c r="ZF31" s="537"/>
      <c r="ZG31" s="537"/>
      <c r="ZH31" s="537"/>
      <c r="ZI31" s="537"/>
      <c r="ZJ31" s="537"/>
      <c r="ZK31" s="537"/>
      <c r="ZL31" s="537"/>
      <c r="ZM31" s="537"/>
      <c r="ZN31" s="537"/>
      <c r="ZO31" s="537"/>
      <c r="ZP31" s="537"/>
      <c r="ZQ31" s="537"/>
      <c r="ZR31" s="537"/>
      <c r="ZS31" s="537"/>
      <c r="ZT31" s="537"/>
      <c r="ZU31" s="537"/>
      <c r="ZV31" s="537"/>
      <c r="ZW31" s="537"/>
      <c r="ZX31" s="537"/>
      <c r="ZY31" s="537"/>
      <c r="ZZ31" s="537"/>
      <c r="AAA31" s="537"/>
      <c r="AAB31" s="537"/>
      <c r="AAC31" s="537"/>
      <c r="AAD31" s="537"/>
      <c r="AAE31" s="537"/>
      <c r="AAF31" s="537"/>
      <c r="AAG31" s="537"/>
      <c r="AAH31" s="537"/>
      <c r="AAI31" s="537"/>
      <c r="AAJ31" s="537"/>
      <c r="AAK31" s="537"/>
      <c r="AAL31" s="537"/>
      <c r="AAM31" s="537"/>
      <c r="AAN31" s="537"/>
      <c r="AAO31" s="537"/>
      <c r="AAP31" s="537"/>
      <c r="AAQ31" s="537"/>
      <c r="AAR31" s="537"/>
      <c r="AAS31" s="537"/>
      <c r="AAT31" s="537"/>
      <c r="AAU31" s="537"/>
      <c r="AAV31" s="537"/>
      <c r="AAW31" s="537"/>
      <c r="AAX31" s="537"/>
      <c r="AAY31" s="537"/>
      <c r="AAZ31" s="537"/>
      <c r="ABA31" s="537"/>
      <c r="ABB31" s="537"/>
      <c r="ABC31" s="537"/>
      <c r="ABD31" s="537"/>
      <c r="ABE31" s="537"/>
      <c r="ABF31" s="537"/>
      <c r="ABG31" s="537"/>
      <c r="ABH31" s="537"/>
      <c r="ABI31" s="537"/>
      <c r="ABJ31" s="537"/>
      <c r="ABK31" s="537"/>
      <c r="ABL31" s="537"/>
      <c r="ABM31" s="537"/>
      <c r="ABN31" s="537"/>
      <c r="ABO31" s="537"/>
      <c r="ABP31" s="537"/>
      <c r="ABQ31" s="537"/>
      <c r="ABR31" s="537"/>
      <c r="ABS31" s="537"/>
      <c r="ABT31" s="537"/>
      <c r="ABU31" s="537"/>
      <c r="ABV31" s="537"/>
      <c r="ABW31" s="537"/>
      <c r="ABX31" s="537"/>
      <c r="ABY31" s="537"/>
      <c r="ABZ31" s="537"/>
      <c r="ACA31" s="537"/>
      <c r="ACB31" s="537"/>
      <c r="ACC31" s="537"/>
      <c r="ACD31" s="537"/>
      <c r="ACE31" s="537"/>
      <c r="ACF31" s="537"/>
      <c r="ACG31" s="537"/>
      <c r="ACH31" s="537"/>
      <c r="ACI31" s="537"/>
      <c r="ACJ31" s="537"/>
      <c r="ACK31" s="537"/>
      <c r="ACL31" s="537"/>
      <c r="ACM31" s="537"/>
      <c r="ACN31" s="537"/>
      <c r="ACO31" s="537"/>
      <c r="ACP31" s="537"/>
      <c r="ACQ31" s="537"/>
      <c r="ACR31" s="537"/>
      <c r="ACS31" s="537"/>
      <c r="ACT31" s="537"/>
      <c r="ACU31" s="537"/>
      <c r="ACV31" s="537"/>
      <c r="ACW31" s="537"/>
      <c r="ACX31" s="537"/>
      <c r="ACY31" s="537"/>
      <c r="ACZ31" s="537"/>
      <c r="ADA31" s="537"/>
      <c r="ADB31" s="537"/>
      <c r="ADC31" s="537"/>
      <c r="ADD31" s="537"/>
      <c r="ADE31" s="537"/>
      <c r="ADF31" s="537"/>
      <c r="ADG31" s="537"/>
      <c r="ADH31" s="537"/>
      <c r="ADI31" s="537"/>
      <c r="ADJ31" s="537"/>
      <c r="ADK31" s="537"/>
      <c r="ADL31" s="537"/>
      <c r="ADM31" s="537"/>
      <c r="ADN31" s="537"/>
      <c r="ADO31" s="537"/>
      <c r="ADP31" s="537"/>
      <c r="ADQ31" s="537"/>
      <c r="ADR31" s="537"/>
      <c r="ADS31" s="537"/>
      <c r="ADT31" s="537"/>
      <c r="ADU31" s="537"/>
      <c r="ADV31" s="537"/>
      <c r="ADW31" s="537"/>
      <c r="ADX31" s="537"/>
      <c r="ADY31" s="537"/>
      <c r="ADZ31" s="537"/>
      <c r="AEA31" s="537"/>
      <c r="AEB31" s="537"/>
      <c r="AEC31" s="537"/>
      <c r="AED31" s="537"/>
      <c r="AEE31" s="537"/>
      <c r="AEF31" s="537"/>
      <c r="AEG31" s="537"/>
      <c r="AEH31" s="537"/>
      <c r="AEI31" s="537"/>
      <c r="AEJ31" s="537"/>
      <c r="AEK31" s="537"/>
      <c r="AEL31" s="537"/>
      <c r="AEM31" s="537"/>
      <c r="AEN31" s="537"/>
      <c r="AEO31" s="537"/>
      <c r="AEP31" s="537"/>
      <c r="AEQ31" s="537"/>
      <c r="AER31" s="537"/>
      <c r="AES31" s="537"/>
      <c r="AET31" s="537"/>
      <c r="AEU31" s="537"/>
      <c r="AEV31" s="537"/>
      <c r="AEW31" s="537"/>
      <c r="AEX31" s="537"/>
      <c r="AEY31" s="537"/>
      <c r="AEZ31" s="537"/>
      <c r="AFA31" s="537"/>
      <c r="AFB31" s="537"/>
      <c r="AFC31" s="537"/>
      <c r="AFD31" s="537"/>
      <c r="AFE31" s="537"/>
      <c r="AFF31" s="537"/>
      <c r="AFG31" s="537"/>
      <c r="AFH31" s="537"/>
      <c r="AFI31" s="537"/>
      <c r="AFJ31" s="537"/>
      <c r="AFK31" s="537"/>
      <c r="AFL31" s="537"/>
      <c r="AFM31" s="537"/>
      <c r="AFN31" s="537"/>
      <c r="AFO31" s="537"/>
      <c r="AFP31" s="537"/>
      <c r="AFQ31" s="537"/>
      <c r="AFR31" s="537"/>
      <c r="AFS31" s="537"/>
      <c r="AFT31" s="537"/>
      <c r="AFU31" s="537"/>
      <c r="AFV31" s="537"/>
      <c r="AFW31" s="537"/>
      <c r="AFX31" s="537"/>
      <c r="AFY31" s="537"/>
      <c r="AFZ31" s="537"/>
      <c r="AGA31" s="537"/>
      <c r="AGB31" s="537"/>
      <c r="AGC31" s="537"/>
      <c r="AGD31" s="537"/>
      <c r="AGE31" s="537"/>
      <c r="AGF31" s="537"/>
      <c r="AGG31" s="537"/>
      <c r="AGH31" s="537"/>
      <c r="AGI31" s="537"/>
      <c r="AGJ31" s="537"/>
      <c r="AGK31" s="537"/>
      <c r="AGL31" s="537"/>
      <c r="AGM31" s="537"/>
      <c r="AGN31" s="537"/>
      <c r="AGO31" s="537"/>
      <c r="AGP31" s="537"/>
      <c r="AGQ31" s="537"/>
      <c r="AGR31" s="537"/>
      <c r="AGS31" s="537"/>
      <c r="AGT31" s="537"/>
      <c r="AGU31" s="537"/>
      <c r="AGV31" s="537"/>
      <c r="AGW31" s="537"/>
      <c r="AGX31" s="537"/>
      <c r="AGY31" s="537"/>
      <c r="AGZ31" s="537"/>
      <c r="AHA31" s="537"/>
      <c r="AHB31" s="537"/>
      <c r="AHC31" s="537"/>
      <c r="AHD31" s="537"/>
      <c r="AHE31" s="537"/>
      <c r="AHF31" s="537"/>
      <c r="AHG31" s="537"/>
      <c r="AHH31" s="537"/>
      <c r="AHI31" s="537"/>
      <c r="AHJ31" s="537"/>
      <c r="AHK31" s="537"/>
      <c r="AHL31" s="537"/>
      <c r="AHM31" s="537"/>
      <c r="AHN31" s="537"/>
      <c r="AHO31" s="537"/>
      <c r="AHP31" s="537"/>
      <c r="AHQ31" s="537"/>
      <c r="AHR31" s="537"/>
      <c r="AHS31" s="537"/>
      <c r="AHT31" s="537"/>
      <c r="AHU31" s="537"/>
      <c r="AHV31" s="537"/>
      <c r="AHW31" s="537"/>
      <c r="AHX31" s="537"/>
      <c r="AHY31" s="537"/>
      <c r="AHZ31" s="537"/>
      <c r="AIA31" s="537"/>
      <c r="AIB31" s="537"/>
      <c r="AIC31" s="537"/>
      <c r="AID31" s="537"/>
      <c r="AIE31" s="537"/>
      <c r="AIF31" s="537"/>
      <c r="AIG31" s="537"/>
      <c r="AIH31" s="537"/>
      <c r="AII31" s="537"/>
      <c r="AIJ31" s="537"/>
      <c r="AIK31" s="537"/>
      <c r="AIL31" s="537"/>
      <c r="AIM31" s="537"/>
      <c r="AIN31" s="537"/>
      <c r="AIO31" s="537"/>
      <c r="AIP31" s="537"/>
      <c r="AIQ31" s="537"/>
      <c r="AIR31" s="537"/>
      <c r="AIS31" s="537"/>
      <c r="AIT31" s="537"/>
      <c r="AIU31" s="537"/>
      <c r="AIV31" s="537"/>
      <c r="AIW31" s="537"/>
      <c r="AIX31" s="537"/>
      <c r="AIY31" s="537"/>
      <c r="AIZ31" s="537"/>
      <c r="AJA31" s="537"/>
      <c r="AJB31" s="537"/>
      <c r="AJC31" s="537"/>
      <c r="AJD31" s="537"/>
      <c r="AJE31" s="537"/>
      <c r="AJF31" s="537"/>
      <c r="AJG31" s="537"/>
      <c r="AJH31" s="537"/>
      <c r="AJI31" s="537"/>
      <c r="AJJ31" s="537"/>
      <c r="AJK31" s="537"/>
      <c r="AJL31" s="537"/>
      <c r="AJM31" s="537"/>
      <c r="AJN31" s="537"/>
      <c r="AJO31" s="537"/>
      <c r="AJP31" s="537"/>
      <c r="AJQ31" s="537"/>
      <c r="AJR31" s="537"/>
      <c r="AJS31" s="537"/>
      <c r="AJT31" s="537"/>
      <c r="AJU31" s="537"/>
      <c r="AJV31" s="537"/>
      <c r="AJW31" s="537"/>
      <c r="AJX31" s="537"/>
      <c r="AJY31" s="537"/>
      <c r="AJZ31" s="537"/>
      <c r="AKA31" s="537"/>
      <c r="AKB31" s="537"/>
      <c r="AKC31" s="537"/>
      <c r="AKD31" s="537"/>
      <c r="AKE31" s="537"/>
      <c r="AKF31" s="537"/>
      <c r="AKG31" s="537"/>
      <c r="AKH31" s="537"/>
      <c r="AKI31" s="537"/>
      <c r="AKJ31" s="537"/>
      <c r="AKK31" s="537"/>
      <c r="AKL31" s="537"/>
      <c r="AKM31" s="537"/>
      <c r="AKN31" s="537"/>
      <c r="AKO31" s="537"/>
      <c r="AKP31" s="537"/>
      <c r="AKQ31" s="537"/>
      <c r="AKR31" s="537"/>
      <c r="AKS31" s="537"/>
      <c r="AKT31" s="537"/>
      <c r="AKU31" s="537"/>
      <c r="AKV31" s="537"/>
      <c r="AKW31" s="537"/>
      <c r="AKX31" s="537"/>
      <c r="AKY31" s="537"/>
      <c r="AKZ31" s="537"/>
      <c r="ALA31" s="537"/>
      <c r="ALB31" s="537"/>
      <c r="ALC31" s="537"/>
      <c r="ALD31" s="537"/>
      <c r="ALE31" s="537"/>
      <c r="ALF31" s="537"/>
      <c r="ALG31" s="537"/>
      <c r="ALH31" s="537"/>
      <c r="ALI31" s="537"/>
      <c r="ALJ31" s="537"/>
      <c r="ALK31" s="537"/>
      <c r="ALL31" s="537"/>
      <c r="ALM31" s="537"/>
      <c r="ALN31" s="537"/>
      <c r="ALO31" s="537"/>
      <c r="ALP31" s="537"/>
      <c r="ALQ31" s="537"/>
      <c r="ALR31" s="537"/>
      <c r="ALS31" s="537"/>
      <c r="ALT31" s="537"/>
      <c r="ALU31" s="537"/>
      <c r="ALV31" s="537"/>
      <c r="ALW31" s="537"/>
      <c r="ALX31" s="537"/>
      <c r="ALY31" s="537"/>
      <c r="ALZ31" s="537"/>
      <c r="AMA31" s="537"/>
      <c r="AMB31" s="537"/>
      <c r="AMC31" s="537"/>
      <c r="AMD31" s="537"/>
      <c r="AME31" s="537"/>
      <c r="AMF31" s="537"/>
      <c r="AMG31" s="537"/>
      <c r="AMH31" s="537"/>
      <c r="AMI31" s="537"/>
      <c r="AMJ31" s="537"/>
      <c r="AMK31" s="537"/>
      <c r="AML31" s="537"/>
      <c r="AMM31" s="537"/>
      <c r="AMN31" s="537"/>
      <c r="AMO31" s="537"/>
      <c r="AMP31" s="537"/>
      <c r="AMQ31" s="537"/>
      <c r="AMR31" s="537"/>
      <c r="AMS31" s="537"/>
      <c r="AMT31" s="537"/>
      <c r="AMU31" s="537"/>
      <c r="AMV31" s="537"/>
      <c r="AMW31" s="537"/>
      <c r="AMX31" s="537"/>
      <c r="AMY31" s="537"/>
      <c r="AMZ31" s="537"/>
      <c r="ANA31" s="537"/>
      <c r="ANB31" s="537"/>
      <c r="ANC31" s="537"/>
      <c r="AND31" s="537"/>
      <c r="ANE31" s="537"/>
      <c r="ANF31" s="537"/>
      <c r="ANG31" s="537"/>
      <c r="ANH31" s="537"/>
      <c r="ANI31" s="537"/>
      <c r="ANJ31" s="537"/>
      <c r="ANK31" s="537"/>
      <c r="ANL31" s="537"/>
      <c r="ANM31" s="537"/>
      <c r="ANN31" s="537"/>
      <c r="ANO31" s="537"/>
      <c r="ANP31" s="537"/>
      <c r="ANQ31" s="537"/>
      <c r="ANR31" s="537"/>
      <c r="ANS31" s="537"/>
      <c r="ANT31" s="537"/>
      <c r="ANU31" s="537"/>
      <c r="ANV31" s="537"/>
      <c r="ANW31" s="537"/>
      <c r="ANX31" s="537"/>
      <c r="ANY31" s="537"/>
      <c r="ANZ31" s="537"/>
      <c r="AOA31" s="537"/>
      <c r="AOB31" s="537"/>
      <c r="AOC31" s="537"/>
      <c r="AOD31" s="537"/>
      <c r="AOE31" s="537"/>
      <c r="AOF31" s="537"/>
      <c r="AOG31" s="537"/>
      <c r="AOH31" s="537"/>
      <c r="AOI31" s="537"/>
      <c r="AOJ31" s="537"/>
      <c r="AOK31" s="537"/>
      <c r="AOL31" s="537"/>
      <c r="AOM31" s="537"/>
      <c r="AON31" s="537"/>
      <c r="AOO31" s="537"/>
      <c r="AOP31" s="537"/>
      <c r="AOQ31" s="537"/>
      <c r="AOR31" s="537"/>
      <c r="AOS31" s="537"/>
      <c r="AOT31" s="537"/>
      <c r="AOU31" s="537"/>
      <c r="AOV31" s="537"/>
      <c r="AOW31" s="537"/>
      <c r="AOX31" s="537"/>
      <c r="AOY31" s="537"/>
      <c r="AOZ31" s="537"/>
      <c r="APA31" s="537"/>
      <c r="APB31" s="537"/>
      <c r="APC31" s="537"/>
      <c r="APD31" s="537"/>
      <c r="APE31" s="537"/>
      <c r="APF31" s="537"/>
      <c r="APG31" s="537"/>
      <c r="APH31" s="537"/>
      <c r="API31" s="537"/>
      <c r="APJ31" s="537"/>
      <c r="APK31" s="537"/>
      <c r="APL31" s="537"/>
      <c r="APM31" s="537"/>
      <c r="APN31" s="537"/>
      <c r="APO31" s="537"/>
      <c r="APP31" s="537"/>
      <c r="APQ31" s="537"/>
      <c r="APR31" s="537"/>
      <c r="APS31" s="537"/>
      <c r="APT31" s="537"/>
      <c r="APU31" s="537"/>
      <c r="APV31" s="537"/>
      <c r="APW31" s="537"/>
      <c r="APX31" s="537"/>
      <c r="APY31" s="537"/>
      <c r="APZ31" s="537"/>
      <c r="AQA31" s="537"/>
      <c r="AQB31" s="537"/>
      <c r="AQC31" s="537"/>
      <c r="AQD31" s="537"/>
      <c r="AQE31" s="537"/>
      <c r="AQF31" s="537"/>
      <c r="AQG31" s="537"/>
      <c r="AQH31" s="537"/>
      <c r="AQI31" s="537"/>
      <c r="AQJ31" s="537"/>
      <c r="AQK31" s="537"/>
      <c r="AQL31" s="537"/>
      <c r="AQM31" s="537"/>
      <c r="AQN31" s="537"/>
      <c r="AQO31" s="537"/>
      <c r="AQP31" s="537"/>
      <c r="AQQ31" s="537"/>
      <c r="AQR31" s="537"/>
      <c r="AQS31" s="537"/>
      <c r="AQT31" s="537"/>
      <c r="AQU31" s="537"/>
      <c r="AQV31" s="537"/>
      <c r="AQW31" s="537"/>
      <c r="AQX31" s="537"/>
      <c r="AQY31" s="537"/>
      <c r="AQZ31" s="537"/>
      <c r="ARA31" s="537"/>
      <c r="ARB31" s="537"/>
      <c r="ARC31" s="537"/>
      <c r="ARD31" s="537"/>
      <c r="ARE31" s="537"/>
      <c r="ARF31" s="537"/>
      <c r="ARG31" s="537"/>
      <c r="ARH31" s="537"/>
      <c r="ARI31" s="537"/>
      <c r="ARJ31" s="537"/>
      <c r="ARK31" s="537"/>
      <c r="ARL31" s="537"/>
      <c r="ARM31" s="537"/>
      <c r="ARN31" s="537"/>
      <c r="ARO31" s="537"/>
      <c r="ARP31" s="537"/>
      <c r="ARQ31" s="537"/>
      <c r="ARR31" s="537"/>
      <c r="ARS31" s="537"/>
      <c r="ART31" s="537"/>
      <c r="ARU31" s="537"/>
      <c r="ARV31" s="537"/>
      <c r="ARW31" s="537"/>
      <c r="ARX31" s="537"/>
      <c r="ARY31" s="537"/>
      <c r="ARZ31" s="537"/>
      <c r="ASA31" s="537"/>
      <c r="ASB31" s="537"/>
      <c r="ASC31" s="537"/>
      <c r="ASD31" s="537"/>
      <c r="ASE31" s="537"/>
      <c r="ASF31" s="537"/>
      <c r="ASG31" s="537"/>
      <c r="ASH31" s="537"/>
      <c r="ASI31" s="537"/>
      <c r="ASJ31" s="537"/>
      <c r="ASK31" s="537"/>
      <c r="ASL31" s="537"/>
      <c r="ASM31" s="537"/>
      <c r="ASN31" s="537"/>
      <c r="ASO31" s="537"/>
      <c r="ASP31" s="537"/>
      <c r="ASQ31" s="537"/>
      <c r="ASR31" s="537"/>
      <c r="ASS31" s="537"/>
      <c r="AST31" s="537"/>
      <c r="ASU31" s="537"/>
      <c r="ASV31" s="537"/>
      <c r="ASW31" s="537"/>
      <c r="ASX31" s="537"/>
      <c r="ASY31" s="537"/>
      <c r="ASZ31" s="537"/>
      <c r="ATA31" s="537"/>
      <c r="ATB31" s="537"/>
      <c r="ATC31" s="537"/>
      <c r="ATD31" s="537"/>
      <c r="ATE31" s="537"/>
      <c r="ATF31" s="537"/>
      <c r="ATG31" s="537"/>
      <c r="ATH31" s="537"/>
      <c r="ATI31" s="537"/>
      <c r="ATJ31" s="537"/>
      <c r="ATK31" s="537"/>
      <c r="ATL31" s="537"/>
      <c r="ATM31" s="537"/>
      <c r="ATN31" s="537"/>
      <c r="ATO31" s="537"/>
      <c r="ATP31" s="537"/>
      <c r="ATQ31" s="537"/>
      <c r="ATR31" s="537"/>
      <c r="ATS31" s="537"/>
      <c r="ATT31" s="537"/>
      <c r="ATU31" s="537"/>
      <c r="ATV31" s="537"/>
      <c r="ATW31" s="537"/>
      <c r="ATX31" s="537"/>
      <c r="ATY31" s="537"/>
      <c r="ATZ31" s="537"/>
      <c r="AUA31" s="537"/>
      <c r="AUB31" s="537"/>
      <c r="AUC31" s="537"/>
      <c r="AUD31" s="537"/>
      <c r="AUE31" s="537"/>
      <c r="AUF31" s="537"/>
      <c r="AUG31" s="537"/>
      <c r="AUH31" s="537"/>
      <c r="AUI31" s="537"/>
      <c r="AUJ31" s="537"/>
      <c r="AUK31" s="537"/>
      <c r="AUL31" s="537"/>
      <c r="AUM31" s="537"/>
      <c r="AUN31" s="537"/>
      <c r="AUO31" s="537"/>
      <c r="AUP31" s="537"/>
      <c r="AUQ31" s="537"/>
      <c r="AUR31" s="537"/>
      <c r="AUS31" s="537"/>
      <c r="AUT31" s="537"/>
      <c r="AUU31" s="537"/>
      <c r="AUV31" s="537"/>
      <c r="AUW31" s="537"/>
      <c r="AUX31" s="537"/>
      <c r="AUY31" s="537"/>
      <c r="AUZ31" s="537"/>
      <c r="AVA31" s="537"/>
      <c r="AVB31" s="537"/>
      <c r="AVC31" s="537"/>
      <c r="AVD31" s="537"/>
      <c r="AVE31" s="537"/>
      <c r="AVF31" s="537"/>
      <c r="AVG31" s="537"/>
      <c r="AVH31" s="537"/>
      <c r="AVI31" s="537"/>
      <c r="AVJ31" s="537"/>
      <c r="AVK31" s="537"/>
      <c r="AVL31" s="537"/>
      <c r="AVM31" s="537"/>
      <c r="AVN31" s="537"/>
      <c r="AVO31" s="537"/>
      <c r="AVP31" s="537"/>
      <c r="AVQ31" s="537"/>
      <c r="AVR31" s="537"/>
      <c r="AVS31" s="537"/>
      <c r="AVT31" s="537"/>
      <c r="AVU31" s="537"/>
      <c r="AVV31" s="537"/>
      <c r="AVW31" s="537"/>
      <c r="AVX31" s="537"/>
      <c r="AVY31" s="537"/>
      <c r="AVZ31" s="537"/>
      <c r="AWA31" s="537"/>
      <c r="AWB31" s="537"/>
      <c r="AWC31" s="537"/>
      <c r="AWD31" s="537"/>
      <c r="AWE31" s="537"/>
      <c r="AWF31" s="537"/>
      <c r="AWG31" s="537"/>
      <c r="AWH31" s="537"/>
      <c r="AWI31" s="537"/>
      <c r="AWJ31" s="537"/>
      <c r="AWK31" s="537"/>
      <c r="AWL31" s="537"/>
      <c r="AWM31" s="537"/>
      <c r="AWN31" s="537"/>
      <c r="AWO31" s="537"/>
      <c r="AWP31" s="537"/>
      <c r="AWQ31" s="537"/>
      <c r="AWR31" s="537"/>
      <c r="AWS31" s="537"/>
      <c r="AWT31" s="537"/>
      <c r="AWU31" s="537"/>
      <c r="AWV31" s="537"/>
      <c r="AWW31" s="537"/>
      <c r="AWX31" s="537"/>
      <c r="AWY31" s="537"/>
      <c r="AWZ31" s="537"/>
      <c r="AXA31" s="537"/>
      <c r="AXB31" s="537"/>
      <c r="AXC31" s="537"/>
      <c r="AXD31" s="537"/>
      <c r="AXE31" s="537"/>
      <c r="AXF31" s="537"/>
      <c r="AXG31" s="537"/>
      <c r="AXH31" s="537"/>
      <c r="AXI31" s="537"/>
      <c r="AXJ31" s="537"/>
      <c r="AXK31" s="537"/>
      <c r="AXL31" s="537"/>
      <c r="AXM31" s="537"/>
      <c r="AXN31" s="537"/>
      <c r="AXO31" s="537"/>
      <c r="AXP31" s="537"/>
      <c r="AXQ31" s="537"/>
      <c r="AXR31" s="537"/>
      <c r="AXS31" s="537"/>
      <c r="AXT31" s="537"/>
      <c r="AXU31" s="537"/>
      <c r="AXV31" s="537"/>
      <c r="AXW31" s="537"/>
      <c r="AXX31" s="537"/>
      <c r="AXY31" s="537"/>
      <c r="AXZ31" s="537"/>
      <c r="AYA31" s="537"/>
      <c r="AYB31" s="537"/>
      <c r="AYC31" s="537"/>
      <c r="AYD31" s="537"/>
      <c r="AYE31" s="537"/>
      <c r="AYF31" s="537"/>
      <c r="AYG31" s="537"/>
      <c r="AYH31" s="537"/>
      <c r="AYI31" s="537"/>
      <c r="AYJ31" s="537"/>
      <c r="AYK31" s="537"/>
      <c r="AYL31" s="537"/>
      <c r="AYM31" s="537"/>
      <c r="AYN31" s="537"/>
      <c r="AYO31" s="537"/>
      <c r="AYP31" s="537"/>
      <c r="AYQ31" s="537"/>
      <c r="AYR31" s="537"/>
      <c r="AYS31" s="537"/>
      <c r="AYT31" s="537"/>
      <c r="AYU31" s="537"/>
      <c r="AYV31" s="537"/>
      <c r="AYW31" s="537"/>
      <c r="AYX31" s="537"/>
      <c r="AYY31" s="537"/>
      <c r="AYZ31" s="537"/>
      <c r="AZA31" s="537"/>
      <c r="AZB31" s="537"/>
      <c r="AZC31" s="537"/>
      <c r="AZD31" s="537"/>
      <c r="AZE31" s="537"/>
      <c r="AZF31" s="537"/>
      <c r="AZG31" s="537"/>
      <c r="AZH31" s="537"/>
      <c r="AZI31" s="537"/>
      <c r="AZJ31" s="537"/>
      <c r="AZK31" s="537"/>
      <c r="AZL31" s="537"/>
      <c r="AZM31" s="537"/>
      <c r="AZN31" s="537"/>
      <c r="AZO31" s="537"/>
      <c r="AZP31" s="537"/>
      <c r="AZQ31" s="537"/>
      <c r="AZR31" s="537"/>
      <c r="AZS31" s="537"/>
      <c r="AZT31" s="537"/>
      <c r="AZU31" s="537"/>
      <c r="AZV31" s="537"/>
      <c r="AZW31" s="537"/>
      <c r="AZX31" s="537"/>
      <c r="AZY31" s="537"/>
      <c r="AZZ31" s="537"/>
      <c r="BAA31" s="537"/>
      <c r="BAB31" s="537"/>
      <c r="BAC31" s="537"/>
      <c r="BAD31" s="537"/>
      <c r="BAE31" s="537"/>
      <c r="BAF31" s="537"/>
      <c r="BAG31" s="537"/>
      <c r="BAH31" s="537"/>
      <c r="BAI31" s="537"/>
      <c r="BAJ31" s="537"/>
      <c r="BAK31" s="537"/>
      <c r="BAL31" s="537"/>
      <c r="BAM31" s="537"/>
      <c r="BAN31" s="537"/>
      <c r="BAO31" s="537"/>
      <c r="BAP31" s="537"/>
      <c r="BAQ31" s="537"/>
      <c r="BAR31" s="537"/>
      <c r="BAS31" s="537"/>
      <c r="BAT31" s="537"/>
      <c r="BAU31" s="537"/>
      <c r="BAV31" s="537"/>
      <c r="BAW31" s="537"/>
      <c r="BAX31" s="537"/>
      <c r="BAY31" s="537"/>
      <c r="BAZ31" s="537"/>
      <c r="BBA31" s="537"/>
      <c r="BBB31" s="537"/>
      <c r="BBC31" s="537"/>
      <c r="BBD31" s="537"/>
      <c r="BBE31" s="537"/>
      <c r="BBF31" s="537"/>
      <c r="BBG31" s="537"/>
      <c r="BBH31" s="537"/>
      <c r="BBI31" s="537"/>
      <c r="BBJ31" s="537"/>
      <c r="BBK31" s="537"/>
      <c r="BBL31" s="537"/>
      <c r="BBM31" s="537"/>
      <c r="BBN31" s="537"/>
      <c r="BBO31" s="537"/>
      <c r="BBP31" s="537"/>
      <c r="BBQ31" s="537"/>
      <c r="BBR31" s="537"/>
      <c r="BBS31" s="537"/>
      <c r="BBT31" s="537"/>
      <c r="BBU31" s="537"/>
      <c r="BBV31" s="537"/>
      <c r="BBW31" s="537"/>
      <c r="BBX31" s="537"/>
      <c r="BBY31" s="537"/>
      <c r="BBZ31" s="537"/>
      <c r="BCA31" s="537"/>
      <c r="BCB31" s="537"/>
      <c r="BCC31" s="537"/>
      <c r="BCD31" s="537"/>
      <c r="BCE31" s="537"/>
      <c r="BCF31" s="537"/>
      <c r="BCG31" s="537"/>
      <c r="BCH31" s="537"/>
      <c r="BCI31" s="537"/>
      <c r="BCJ31" s="537"/>
      <c r="BCK31" s="537"/>
      <c r="BCL31" s="537"/>
      <c r="BCM31" s="537"/>
      <c r="BCN31" s="537"/>
      <c r="BCO31" s="537"/>
      <c r="BCP31" s="537"/>
      <c r="BCQ31" s="537"/>
      <c r="BCR31" s="537"/>
      <c r="BCS31" s="537"/>
      <c r="BCT31" s="537"/>
      <c r="BCU31" s="537"/>
      <c r="BCV31" s="537"/>
      <c r="BCW31" s="537"/>
      <c r="BCX31" s="537"/>
      <c r="BCY31" s="537"/>
      <c r="BCZ31" s="537"/>
      <c r="BDA31" s="537"/>
      <c r="BDB31" s="537"/>
      <c r="BDC31" s="537"/>
      <c r="BDD31" s="537"/>
      <c r="BDE31" s="537"/>
      <c r="BDF31" s="537"/>
      <c r="BDG31" s="537"/>
      <c r="BDH31" s="537"/>
      <c r="BDI31" s="537"/>
      <c r="BDJ31" s="537"/>
      <c r="BDK31" s="537"/>
      <c r="BDL31" s="537"/>
      <c r="BDM31" s="537"/>
      <c r="BDN31" s="537"/>
      <c r="BDO31" s="537"/>
      <c r="BDP31" s="537"/>
      <c r="BDQ31" s="537"/>
      <c r="BDR31" s="537"/>
      <c r="BDS31" s="537"/>
      <c r="BDT31" s="537"/>
      <c r="BDU31" s="537"/>
      <c r="BDV31" s="537"/>
      <c r="BDW31" s="537"/>
      <c r="BDX31" s="537"/>
      <c r="BDY31" s="537"/>
      <c r="BDZ31" s="537"/>
      <c r="BEA31" s="537"/>
      <c r="BEB31" s="537"/>
      <c r="BEC31" s="537"/>
      <c r="BED31" s="537"/>
      <c r="BEE31" s="537"/>
      <c r="BEF31" s="537"/>
      <c r="BEG31" s="537"/>
      <c r="BEH31" s="537"/>
      <c r="BEI31" s="537"/>
      <c r="BEJ31" s="537"/>
      <c r="BEK31" s="537"/>
      <c r="BEL31" s="537"/>
      <c r="BEM31" s="537"/>
      <c r="BEN31" s="537"/>
      <c r="BEO31" s="537"/>
      <c r="BEP31" s="537"/>
      <c r="BEQ31" s="537"/>
      <c r="BER31" s="537"/>
      <c r="BES31" s="537"/>
      <c r="BET31" s="537"/>
      <c r="BEU31" s="537"/>
      <c r="BEV31" s="537"/>
      <c r="BEW31" s="537"/>
      <c r="BEX31" s="537"/>
      <c r="BEY31" s="537"/>
      <c r="BEZ31" s="537"/>
      <c r="BFA31" s="537"/>
      <c r="BFB31" s="537"/>
      <c r="BFC31" s="537"/>
      <c r="BFD31" s="537"/>
      <c r="BFE31" s="537"/>
      <c r="BFF31" s="537"/>
      <c r="BFG31" s="537"/>
      <c r="BFH31" s="537"/>
      <c r="BFI31" s="537"/>
      <c r="BFJ31" s="537"/>
      <c r="BFK31" s="537"/>
      <c r="BFL31" s="537"/>
      <c r="BFM31" s="537"/>
      <c r="BFN31" s="537"/>
      <c r="BFO31" s="537"/>
      <c r="BFP31" s="537"/>
      <c r="BFQ31" s="537"/>
      <c r="BFR31" s="537"/>
      <c r="BFS31" s="537"/>
      <c r="BFT31" s="537"/>
      <c r="BFU31" s="537"/>
      <c r="BFV31" s="537"/>
      <c r="BFW31" s="537"/>
      <c r="BFX31" s="537"/>
      <c r="BFY31" s="537"/>
      <c r="BFZ31" s="537"/>
      <c r="BGA31" s="537"/>
      <c r="BGB31" s="537"/>
      <c r="BGC31" s="537"/>
      <c r="BGD31" s="537"/>
      <c r="BGE31" s="537"/>
      <c r="BGF31" s="537"/>
      <c r="BGG31" s="537"/>
      <c r="BGH31" s="537"/>
      <c r="BGI31" s="537"/>
      <c r="BGJ31" s="537"/>
      <c r="BGK31" s="537"/>
      <c r="BGL31" s="537"/>
      <c r="BGM31" s="537"/>
      <c r="BGN31" s="537"/>
      <c r="BGO31" s="537"/>
      <c r="BGP31" s="537"/>
      <c r="BGQ31" s="537"/>
      <c r="BGR31" s="537"/>
      <c r="BGS31" s="537"/>
      <c r="BGT31" s="537"/>
      <c r="BGU31" s="537"/>
      <c r="BGV31" s="537"/>
      <c r="BGW31" s="537"/>
      <c r="BGX31" s="537"/>
      <c r="BGY31" s="537"/>
      <c r="BGZ31" s="537"/>
      <c r="BHA31" s="537"/>
      <c r="BHB31" s="537"/>
      <c r="BHC31" s="537"/>
      <c r="BHD31" s="537"/>
      <c r="BHE31" s="537"/>
      <c r="BHF31" s="537"/>
      <c r="BHG31" s="537"/>
      <c r="BHH31" s="537"/>
      <c r="BHI31" s="537"/>
      <c r="BHJ31" s="537"/>
      <c r="BHK31" s="537"/>
      <c r="BHL31" s="537"/>
      <c r="BHM31" s="537"/>
      <c r="BHN31" s="537"/>
      <c r="BHO31" s="537"/>
      <c r="BHP31" s="537"/>
      <c r="BHQ31" s="537"/>
      <c r="BHR31" s="537"/>
      <c r="BHS31" s="537"/>
      <c r="BHT31" s="537"/>
      <c r="BHU31" s="537"/>
      <c r="BHV31" s="537"/>
      <c r="BHW31" s="537"/>
      <c r="BHX31" s="537"/>
      <c r="BHY31" s="537"/>
      <c r="BHZ31" s="537"/>
      <c r="BIA31" s="537"/>
      <c r="BIB31" s="537"/>
      <c r="BIC31" s="537"/>
      <c r="BID31" s="537"/>
      <c r="BIE31" s="537"/>
      <c r="BIF31" s="537"/>
      <c r="BIG31" s="537"/>
      <c r="BIH31" s="537"/>
      <c r="BII31" s="537"/>
      <c r="BIJ31" s="537"/>
      <c r="BIK31" s="537"/>
      <c r="BIL31" s="537"/>
      <c r="BIM31" s="537"/>
      <c r="BIN31" s="537"/>
      <c r="BIO31" s="537"/>
      <c r="BIP31" s="537"/>
      <c r="BIQ31" s="537"/>
      <c r="BIR31" s="537"/>
      <c r="BIS31" s="537"/>
      <c r="BIT31" s="537"/>
      <c r="BIU31" s="537"/>
      <c r="BIV31" s="537"/>
      <c r="BIW31" s="537"/>
      <c r="BIX31" s="537"/>
      <c r="BIY31" s="537"/>
      <c r="BIZ31" s="537"/>
      <c r="BJA31" s="537"/>
      <c r="BJB31" s="537"/>
      <c r="BJC31" s="537"/>
      <c r="BJD31" s="537"/>
      <c r="BJE31" s="537"/>
      <c r="BJF31" s="537"/>
      <c r="BJG31" s="537"/>
      <c r="BJH31" s="537"/>
      <c r="BJI31" s="537"/>
      <c r="BJJ31" s="537"/>
      <c r="BJK31" s="537"/>
      <c r="BJL31" s="537"/>
      <c r="BJM31" s="537"/>
      <c r="BJN31" s="537"/>
      <c r="BJO31" s="537"/>
      <c r="BJP31" s="537"/>
      <c r="BJQ31" s="537"/>
      <c r="BJR31" s="537"/>
      <c r="BJS31" s="537"/>
      <c r="BJT31" s="537"/>
      <c r="BJU31" s="537"/>
      <c r="BJV31" s="537"/>
      <c r="BJW31" s="537"/>
      <c r="BJX31" s="537"/>
      <c r="BJY31" s="537"/>
      <c r="BJZ31" s="537"/>
      <c r="BKA31" s="537"/>
      <c r="BKB31" s="537"/>
      <c r="BKC31" s="537"/>
      <c r="BKD31" s="537"/>
      <c r="BKE31" s="537"/>
      <c r="BKF31" s="537"/>
      <c r="BKG31" s="537"/>
      <c r="BKH31" s="537"/>
      <c r="BKI31" s="537"/>
      <c r="BKJ31" s="537"/>
      <c r="BKK31" s="537"/>
      <c r="BKL31" s="537"/>
      <c r="BKM31" s="537"/>
      <c r="BKN31" s="537"/>
      <c r="BKO31" s="537"/>
      <c r="BKP31" s="537"/>
      <c r="BKQ31" s="537"/>
      <c r="BKR31" s="537"/>
      <c r="BKS31" s="537"/>
      <c r="BKT31" s="537"/>
      <c r="BKU31" s="537"/>
      <c r="BKV31" s="537"/>
      <c r="BKW31" s="537"/>
      <c r="BKX31" s="537"/>
      <c r="BKY31" s="537"/>
      <c r="BKZ31" s="537"/>
      <c r="BLA31" s="537"/>
      <c r="BLB31" s="537"/>
      <c r="BLC31" s="537"/>
      <c r="BLD31" s="537"/>
      <c r="BLE31" s="537"/>
      <c r="BLF31" s="537"/>
      <c r="BLG31" s="537"/>
      <c r="BLH31" s="537"/>
      <c r="BLI31" s="537"/>
      <c r="BLJ31" s="537"/>
      <c r="BLK31" s="537"/>
      <c r="BLL31" s="537"/>
      <c r="BLM31" s="537"/>
      <c r="BLN31" s="537"/>
      <c r="BLO31" s="537"/>
      <c r="BLP31" s="537"/>
      <c r="BLQ31" s="537"/>
      <c r="BLR31" s="537"/>
      <c r="BLS31" s="537"/>
      <c r="BLT31" s="537"/>
      <c r="BLU31" s="537"/>
      <c r="BLV31" s="537"/>
      <c r="BLW31" s="537"/>
      <c r="BLX31" s="537"/>
      <c r="BLY31" s="537"/>
      <c r="BLZ31" s="537"/>
      <c r="BMA31" s="537"/>
      <c r="BMB31" s="537"/>
      <c r="BMC31" s="537"/>
      <c r="BMD31" s="537"/>
      <c r="BME31" s="537"/>
      <c r="BMF31" s="537"/>
      <c r="BMG31" s="537"/>
      <c r="BMH31" s="537"/>
      <c r="BMI31" s="537"/>
      <c r="BMJ31" s="537"/>
      <c r="BMK31" s="537"/>
      <c r="BML31" s="537"/>
      <c r="BMM31" s="537"/>
      <c r="BMN31" s="537"/>
      <c r="BMO31" s="537"/>
      <c r="BMP31" s="537"/>
      <c r="BMQ31" s="537"/>
      <c r="BMR31" s="537"/>
      <c r="BMS31" s="537"/>
      <c r="BMT31" s="537"/>
      <c r="BMU31" s="537"/>
      <c r="BMV31" s="537"/>
      <c r="BMW31" s="537"/>
      <c r="BMX31" s="537"/>
      <c r="BMY31" s="537"/>
      <c r="BMZ31" s="537"/>
      <c r="BNA31" s="537"/>
      <c r="BNB31" s="537"/>
      <c r="BNC31" s="537"/>
      <c r="BND31" s="537"/>
      <c r="BNE31" s="537"/>
      <c r="BNF31" s="537"/>
      <c r="BNG31" s="537"/>
      <c r="BNH31" s="537"/>
      <c r="BNI31" s="537"/>
      <c r="BNJ31" s="537"/>
      <c r="BNK31" s="537"/>
      <c r="BNL31" s="537"/>
      <c r="BNM31" s="537"/>
      <c r="BNN31" s="537"/>
      <c r="BNO31" s="537"/>
      <c r="BNP31" s="537"/>
      <c r="BNQ31" s="537"/>
      <c r="BNR31" s="537"/>
      <c r="BNS31" s="537"/>
      <c r="BNT31" s="537"/>
      <c r="BNU31" s="537"/>
      <c r="BNV31" s="537"/>
      <c r="BNW31" s="537"/>
      <c r="BNX31" s="537"/>
      <c r="BNY31" s="537"/>
      <c r="BNZ31" s="537"/>
      <c r="BOA31" s="537"/>
      <c r="BOB31" s="537"/>
      <c r="BOC31" s="537"/>
      <c r="BOD31" s="537"/>
      <c r="BOE31" s="537"/>
      <c r="BOF31" s="537"/>
      <c r="BOG31" s="537"/>
      <c r="BOH31" s="537"/>
      <c r="BOI31" s="537"/>
      <c r="BOJ31" s="537"/>
      <c r="BOK31" s="537"/>
      <c r="BOL31" s="537"/>
      <c r="BOM31" s="537"/>
      <c r="BON31" s="537"/>
      <c r="BOO31" s="537"/>
      <c r="BOP31" s="537"/>
      <c r="BOQ31" s="537"/>
      <c r="BOR31" s="537"/>
      <c r="BOS31" s="537"/>
      <c r="BOT31" s="537"/>
      <c r="BOU31" s="537"/>
      <c r="BOV31" s="537"/>
      <c r="BOW31" s="537"/>
      <c r="BOX31" s="537"/>
      <c r="BOY31" s="537"/>
      <c r="BOZ31" s="537"/>
      <c r="BPA31" s="537"/>
      <c r="BPB31" s="537"/>
      <c r="BPC31" s="537"/>
      <c r="BPD31" s="537"/>
      <c r="BPE31" s="537"/>
      <c r="BPF31" s="537"/>
      <c r="BPG31" s="537"/>
      <c r="BPH31" s="537"/>
      <c r="BPI31" s="537"/>
      <c r="BPJ31" s="537"/>
      <c r="BPK31" s="537"/>
      <c r="BPL31" s="537"/>
      <c r="BPM31" s="537"/>
      <c r="BPN31" s="537"/>
      <c r="BPO31" s="537"/>
      <c r="BPP31" s="537"/>
      <c r="BPQ31" s="537"/>
      <c r="BPR31" s="537"/>
      <c r="BPS31" s="537"/>
      <c r="BPT31" s="537"/>
      <c r="BPU31" s="537"/>
      <c r="BPV31" s="537"/>
      <c r="BPW31" s="537"/>
      <c r="BPX31" s="537"/>
      <c r="BPY31" s="537"/>
      <c r="BPZ31" s="537"/>
      <c r="BQA31" s="537"/>
      <c r="BQB31" s="537"/>
      <c r="BQC31" s="537"/>
      <c r="BQD31" s="537"/>
      <c r="BQE31" s="537"/>
      <c r="BQF31" s="537"/>
      <c r="BQG31" s="537"/>
      <c r="BQH31" s="537"/>
      <c r="BQI31" s="537"/>
      <c r="BQJ31" s="537"/>
      <c r="BQK31" s="537"/>
      <c r="BQL31" s="537"/>
      <c r="BQM31" s="537"/>
      <c r="BQN31" s="537"/>
      <c r="BQO31" s="537"/>
      <c r="BQP31" s="537"/>
      <c r="BQQ31" s="537"/>
      <c r="BQR31" s="537"/>
      <c r="BQS31" s="537"/>
      <c r="BQT31" s="537"/>
      <c r="BQU31" s="537"/>
      <c r="BQV31" s="537"/>
      <c r="BQW31" s="537"/>
      <c r="BQX31" s="537"/>
      <c r="BQY31" s="537"/>
      <c r="BQZ31" s="537"/>
      <c r="BRA31" s="537"/>
      <c r="BRB31" s="537"/>
      <c r="BRC31" s="537"/>
      <c r="BRD31" s="537"/>
      <c r="BRE31" s="537"/>
      <c r="BRF31" s="537"/>
      <c r="BRG31" s="537"/>
      <c r="BRH31" s="537"/>
      <c r="BRI31" s="537"/>
      <c r="BRJ31" s="537"/>
      <c r="BRK31" s="537"/>
      <c r="BRL31" s="537"/>
      <c r="BRM31" s="537"/>
      <c r="BRN31" s="537"/>
      <c r="BRO31" s="537"/>
      <c r="BRP31" s="537"/>
      <c r="BRQ31" s="537"/>
      <c r="BRR31" s="537"/>
      <c r="BRS31" s="537"/>
      <c r="BRT31" s="537"/>
      <c r="BRU31" s="537"/>
      <c r="BRV31" s="537"/>
      <c r="BRW31" s="537"/>
      <c r="BRX31" s="537"/>
      <c r="BRY31" s="537"/>
      <c r="BRZ31" s="537"/>
      <c r="BSA31" s="537"/>
      <c r="BSB31" s="537"/>
      <c r="BSC31" s="537"/>
      <c r="BSD31" s="537"/>
      <c r="BSE31" s="537"/>
      <c r="BSF31" s="537"/>
      <c r="BSG31" s="537"/>
      <c r="BSH31" s="537"/>
      <c r="BSI31" s="537"/>
      <c r="BSJ31" s="537"/>
      <c r="BSK31" s="537"/>
      <c r="BSL31" s="537"/>
      <c r="BSM31" s="537"/>
      <c r="BSN31" s="537"/>
      <c r="BSO31" s="537"/>
      <c r="BSP31" s="537"/>
      <c r="BSQ31" s="537"/>
      <c r="BSR31" s="537"/>
      <c r="BSS31" s="537"/>
      <c r="BST31" s="537"/>
      <c r="BSU31" s="537"/>
      <c r="BSV31" s="537"/>
      <c r="BSW31" s="537"/>
      <c r="BSX31" s="537"/>
      <c r="BSY31" s="537"/>
      <c r="BSZ31" s="537"/>
      <c r="BTA31" s="537"/>
      <c r="BTB31" s="537"/>
      <c r="BTC31" s="537"/>
      <c r="BTD31" s="537"/>
      <c r="BTE31" s="537"/>
      <c r="BTF31" s="537"/>
      <c r="BTG31" s="537"/>
      <c r="BTH31" s="537"/>
      <c r="BTI31" s="537"/>
      <c r="BTJ31" s="537"/>
      <c r="BTK31" s="537"/>
      <c r="BTL31" s="537"/>
      <c r="BTM31" s="537"/>
      <c r="BTN31" s="537"/>
      <c r="BTO31" s="537"/>
      <c r="BTP31" s="537"/>
      <c r="BTQ31" s="537"/>
      <c r="BTR31" s="537"/>
      <c r="BTS31" s="537"/>
      <c r="BTT31" s="537"/>
      <c r="BTU31" s="537"/>
      <c r="BTV31" s="537"/>
      <c r="BTW31" s="537"/>
      <c r="BTX31" s="537"/>
      <c r="BTY31" s="537"/>
      <c r="BTZ31" s="537"/>
      <c r="BUA31" s="537"/>
      <c r="BUB31" s="537"/>
      <c r="BUC31" s="537"/>
      <c r="BUD31" s="537"/>
      <c r="BUE31" s="537"/>
      <c r="BUF31" s="537"/>
      <c r="BUG31" s="537"/>
      <c r="BUH31" s="537"/>
      <c r="BUI31" s="537"/>
      <c r="BUJ31" s="537"/>
      <c r="BUK31" s="537"/>
      <c r="BUL31" s="537"/>
      <c r="BUM31" s="537"/>
      <c r="BUN31" s="537"/>
      <c r="BUO31" s="537"/>
      <c r="BUP31" s="537"/>
      <c r="BUQ31" s="537"/>
      <c r="BUR31" s="537"/>
      <c r="BUS31" s="537"/>
      <c r="BUT31" s="537"/>
      <c r="BUU31" s="537"/>
      <c r="BUV31" s="537"/>
      <c r="BUW31" s="537"/>
      <c r="BUX31" s="537"/>
      <c r="BUY31" s="537"/>
      <c r="BUZ31" s="537"/>
      <c r="BVA31" s="537"/>
      <c r="BVB31" s="537"/>
      <c r="BVC31" s="537"/>
      <c r="BVD31" s="537"/>
      <c r="BVE31" s="537"/>
      <c r="BVF31" s="537"/>
      <c r="BVG31" s="537"/>
      <c r="BVH31" s="537"/>
      <c r="BVI31" s="537"/>
      <c r="BVJ31" s="537"/>
      <c r="BVK31" s="537"/>
      <c r="BVL31" s="537"/>
      <c r="BVM31" s="537"/>
      <c r="BVN31" s="537"/>
      <c r="BVO31" s="537"/>
      <c r="BVP31" s="537"/>
      <c r="BVQ31" s="537"/>
      <c r="BVR31" s="537"/>
      <c r="BVS31" s="537"/>
      <c r="BVT31" s="537"/>
      <c r="BVU31" s="537"/>
      <c r="BVV31" s="537"/>
      <c r="BVW31" s="537"/>
      <c r="BVX31" s="537"/>
      <c r="BVY31" s="537"/>
      <c r="BVZ31" s="537"/>
      <c r="BWA31" s="537"/>
      <c r="BWB31" s="537"/>
      <c r="BWC31" s="537"/>
      <c r="BWD31" s="537"/>
      <c r="BWE31" s="537"/>
      <c r="BWF31" s="537"/>
      <c r="BWG31" s="537"/>
      <c r="BWH31" s="537"/>
      <c r="BWI31" s="537"/>
      <c r="BWJ31" s="537"/>
      <c r="BWK31" s="537"/>
      <c r="BWL31" s="537"/>
      <c r="BWM31" s="537"/>
      <c r="BWN31" s="537"/>
      <c r="BWO31" s="537"/>
      <c r="BWP31" s="537"/>
      <c r="BWQ31" s="537"/>
      <c r="BWR31" s="537"/>
      <c r="BWS31" s="537"/>
      <c r="BWT31" s="537"/>
      <c r="BWU31" s="537"/>
      <c r="BWV31" s="537"/>
      <c r="BWW31" s="537"/>
      <c r="BWX31" s="537"/>
      <c r="BWY31" s="537"/>
      <c r="BWZ31" s="537"/>
      <c r="BXA31" s="537"/>
      <c r="BXB31" s="537"/>
      <c r="BXC31" s="537"/>
      <c r="BXD31" s="537"/>
      <c r="BXE31" s="537"/>
      <c r="BXF31" s="537"/>
      <c r="BXG31" s="537"/>
      <c r="BXH31" s="537"/>
      <c r="BXI31" s="537"/>
      <c r="BXJ31" s="537"/>
      <c r="BXK31" s="537"/>
      <c r="BXL31" s="537"/>
      <c r="BXM31" s="537"/>
      <c r="BXN31" s="537"/>
      <c r="BXO31" s="537"/>
      <c r="BXP31" s="537"/>
      <c r="BXQ31" s="537"/>
      <c r="BXR31" s="537"/>
      <c r="BXS31" s="537"/>
      <c r="BXT31" s="537"/>
      <c r="BXU31" s="537"/>
      <c r="BXV31" s="537"/>
      <c r="BXW31" s="537"/>
      <c r="BXX31" s="537"/>
      <c r="BXY31" s="537"/>
      <c r="BXZ31" s="537"/>
      <c r="BYA31" s="537"/>
      <c r="BYB31" s="537"/>
      <c r="BYC31" s="537"/>
      <c r="BYD31" s="537"/>
      <c r="BYE31" s="537"/>
      <c r="BYF31" s="537"/>
      <c r="BYG31" s="537"/>
      <c r="BYH31" s="537"/>
      <c r="BYI31" s="537"/>
      <c r="BYJ31" s="537"/>
      <c r="BYK31" s="537"/>
      <c r="BYL31" s="537"/>
      <c r="BYM31" s="537"/>
      <c r="BYN31" s="537"/>
      <c r="BYO31" s="537"/>
      <c r="BYP31" s="537"/>
      <c r="BYQ31" s="537"/>
      <c r="BYR31" s="537"/>
      <c r="BYS31" s="537"/>
      <c r="BYT31" s="537"/>
      <c r="BYU31" s="537"/>
      <c r="BYV31" s="537"/>
      <c r="BYW31" s="537"/>
      <c r="BYX31" s="537"/>
      <c r="BYY31" s="537"/>
      <c r="BYZ31" s="537"/>
      <c r="BZA31" s="537"/>
      <c r="BZB31" s="537"/>
      <c r="BZC31" s="537"/>
      <c r="BZD31" s="537"/>
      <c r="BZE31" s="537"/>
      <c r="BZF31" s="537"/>
      <c r="BZG31" s="537"/>
      <c r="BZH31" s="537"/>
      <c r="BZI31" s="537"/>
      <c r="BZJ31" s="537"/>
      <c r="BZK31" s="537"/>
      <c r="BZL31" s="537"/>
      <c r="BZM31" s="537"/>
      <c r="BZN31" s="537"/>
      <c r="BZO31" s="537"/>
      <c r="BZP31" s="537"/>
      <c r="BZQ31" s="537"/>
      <c r="BZR31" s="537"/>
      <c r="BZS31" s="537"/>
      <c r="BZT31" s="537"/>
      <c r="BZU31" s="537"/>
      <c r="BZV31" s="537"/>
      <c r="BZW31" s="537"/>
      <c r="BZX31" s="537"/>
      <c r="BZY31" s="537"/>
      <c r="BZZ31" s="537"/>
      <c r="CAA31" s="537"/>
      <c r="CAB31" s="537"/>
      <c r="CAC31" s="537"/>
      <c r="CAD31" s="537"/>
      <c r="CAE31" s="537"/>
      <c r="CAF31" s="537"/>
      <c r="CAG31" s="537"/>
      <c r="CAH31" s="537"/>
      <c r="CAI31" s="537"/>
      <c r="CAJ31" s="537"/>
      <c r="CAK31" s="537"/>
      <c r="CAL31" s="537"/>
      <c r="CAM31" s="537"/>
      <c r="CAN31" s="537"/>
      <c r="CAO31" s="537"/>
      <c r="CAP31" s="537"/>
      <c r="CAQ31" s="537"/>
      <c r="CAR31" s="537"/>
      <c r="CAS31" s="537"/>
      <c r="CAT31" s="537"/>
      <c r="CAU31" s="537"/>
      <c r="CAV31" s="537"/>
      <c r="CAW31" s="537"/>
      <c r="CAX31" s="537"/>
      <c r="CAY31" s="537"/>
      <c r="CAZ31" s="537"/>
      <c r="CBA31" s="537"/>
      <c r="CBB31" s="537"/>
      <c r="CBC31" s="537"/>
      <c r="CBD31" s="537"/>
      <c r="CBE31" s="537"/>
      <c r="CBF31" s="537"/>
      <c r="CBG31" s="537"/>
      <c r="CBH31" s="537"/>
      <c r="CBI31" s="537"/>
      <c r="CBJ31" s="537"/>
      <c r="CBK31" s="537"/>
      <c r="CBL31" s="537"/>
      <c r="CBM31" s="537"/>
      <c r="CBN31" s="537"/>
      <c r="CBO31" s="537"/>
      <c r="CBP31" s="537"/>
      <c r="CBQ31" s="537"/>
      <c r="CBR31" s="537"/>
      <c r="CBS31" s="537"/>
      <c r="CBT31" s="537"/>
      <c r="CBU31" s="537"/>
      <c r="CBV31" s="537"/>
      <c r="CBW31" s="537"/>
      <c r="CBX31" s="537"/>
      <c r="CBY31" s="537"/>
      <c r="CBZ31" s="537"/>
      <c r="CCA31" s="537"/>
      <c r="CCB31" s="537"/>
      <c r="CCC31" s="537"/>
      <c r="CCD31" s="537"/>
      <c r="CCE31" s="537"/>
      <c r="CCF31" s="537"/>
      <c r="CCG31" s="537"/>
      <c r="CCH31" s="537"/>
      <c r="CCI31" s="537"/>
      <c r="CCJ31" s="537"/>
      <c r="CCK31" s="537"/>
      <c r="CCL31" s="537"/>
      <c r="CCM31" s="537"/>
      <c r="CCN31" s="537"/>
      <c r="CCO31" s="537"/>
      <c r="CCP31" s="537"/>
      <c r="CCQ31" s="537"/>
      <c r="CCR31" s="537"/>
      <c r="CCS31" s="537"/>
      <c r="CCT31" s="537"/>
      <c r="CCU31" s="537"/>
      <c r="CCV31" s="537"/>
      <c r="CCW31" s="537"/>
      <c r="CCX31" s="537"/>
      <c r="CCY31" s="537"/>
      <c r="CCZ31" s="537"/>
      <c r="CDA31" s="537"/>
      <c r="CDB31" s="537"/>
      <c r="CDC31" s="537"/>
      <c r="CDD31" s="537"/>
      <c r="CDE31" s="537"/>
      <c r="CDF31" s="537"/>
      <c r="CDG31" s="537"/>
      <c r="CDH31" s="537"/>
      <c r="CDI31" s="537"/>
      <c r="CDJ31" s="537"/>
      <c r="CDK31" s="537"/>
      <c r="CDL31" s="537"/>
      <c r="CDM31" s="537"/>
      <c r="CDN31" s="537"/>
      <c r="CDO31" s="537"/>
      <c r="CDP31" s="537"/>
      <c r="CDQ31" s="537"/>
      <c r="CDR31" s="537"/>
      <c r="CDS31" s="537"/>
      <c r="CDT31" s="537"/>
      <c r="CDU31" s="537"/>
      <c r="CDV31" s="537"/>
      <c r="CDW31" s="537"/>
      <c r="CDX31" s="537"/>
      <c r="CDY31" s="537"/>
      <c r="CDZ31" s="537"/>
      <c r="CEA31" s="537"/>
      <c r="CEB31" s="537"/>
      <c r="CEC31" s="537"/>
      <c r="CED31" s="537"/>
      <c r="CEE31" s="537"/>
      <c r="CEF31" s="537"/>
      <c r="CEG31" s="537"/>
      <c r="CEH31" s="537"/>
      <c r="CEI31" s="537"/>
      <c r="CEJ31" s="537"/>
      <c r="CEK31" s="537"/>
      <c r="CEL31" s="537"/>
      <c r="CEM31" s="537"/>
      <c r="CEN31" s="537"/>
      <c r="CEO31" s="537"/>
      <c r="CEP31" s="537"/>
      <c r="CEQ31" s="537"/>
      <c r="CER31" s="537"/>
      <c r="CES31" s="537"/>
      <c r="CET31" s="537"/>
      <c r="CEU31" s="537"/>
      <c r="CEV31" s="537"/>
      <c r="CEW31" s="537"/>
      <c r="CEX31" s="537"/>
      <c r="CEY31" s="537"/>
      <c r="CEZ31" s="537"/>
      <c r="CFA31" s="537"/>
      <c r="CFB31" s="537"/>
      <c r="CFC31" s="537"/>
      <c r="CFD31" s="537"/>
      <c r="CFE31" s="537"/>
      <c r="CFF31" s="537"/>
      <c r="CFG31" s="537"/>
      <c r="CFH31" s="537"/>
      <c r="CFI31" s="537"/>
      <c r="CFJ31" s="537"/>
      <c r="CFK31" s="537"/>
      <c r="CFL31" s="537"/>
      <c r="CFM31" s="537"/>
      <c r="CFN31" s="537"/>
      <c r="CFO31" s="537"/>
      <c r="CFP31" s="537"/>
      <c r="CFQ31" s="537"/>
      <c r="CFR31" s="537"/>
      <c r="CFS31" s="537"/>
      <c r="CFT31" s="537"/>
      <c r="CFU31" s="537"/>
      <c r="CFV31" s="537"/>
      <c r="CFW31" s="537"/>
      <c r="CFX31" s="537"/>
      <c r="CFY31" s="537"/>
      <c r="CFZ31" s="537"/>
      <c r="CGA31" s="537"/>
      <c r="CGB31" s="537"/>
      <c r="CGC31" s="537"/>
      <c r="CGD31" s="537"/>
      <c r="CGE31" s="537"/>
      <c r="CGF31" s="537"/>
      <c r="CGG31" s="537"/>
      <c r="CGH31" s="537"/>
      <c r="CGI31" s="537"/>
      <c r="CGJ31" s="537"/>
      <c r="CGK31" s="537"/>
      <c r="CGL31" s="537"/>
      <c r="CGM31" s="537"/>
      <c r="CGN31" s="537"/>
      <c r="CGO31" s="537"/>
      <c r="CGP31" s="537"/>
      <c r="CGQ31" s="537"/>
      <c r="CGR31" s="537"/>
      <c r="CGS31" s="537"/>
      <c r="CGT31" s="537"/>
      <c r="CGU31" s="537"/>
      <c r="CGV31" s="537"/>
      <c r="CGW31" s="537"/>
      <c r="CGX31" s="537"/>
      <c r="CGY31" s="537"/>
      <c r="CGZ31" s="537"/>
      <c r="CHA31" s="537"/>
      <c r="CHB31" s="537"/>
      <c r="CHC31" s="537"/>
      <c r="CHD31" s="537"/>
      <c r="CHE31" s="537"/>
      <c r="CHF31" s="537"/>
      <c r="CHG31" s="537"/>
      <c r="CHH31" s="537"/>
      <c r="CHI31" s="537"/>
      <c r="CHJ31" s="537"/>
      <c r="CHK31" s="537"/>
      <c r="CHL31" s="537"/>
      <c r="CHM31" s="537"/>
      <c r="CHN31" s="537"/>
      <c r="CHO31" s="537"/>
      <c r="CHP31" s="537"/>
      <c r="CHQ31" s="537"/>
      <c r="CHR31" s="537"/>
      <c r="CHS31" s="537"/>
      <c r="CHT31" s="537"/>
      <c r="CHU31" s="537"/>
      <c r="CHV31" s="537"/>
      <c r="CHW31" s="537"/>
      <c r="CHX31" s="537"/>
      <c r="CHY31" s="537"/>
      <c r="CHZ31" s="537"/>
      <c r="CIA31" s="537"/>
      <c r="CIB31" s="537"/>
      <c r="CIC31" s="537"/>
      <c r="CID31" s="537"/>
      <c r="CIE31" s="537"/>
      <c r="CIF31" s="537"/>
      <c r="CIG31" s="537"/>
      <c r="CIH31" s="537"/>
      <c r="CII31" s="537"/>
      <c r="CIJ31" s="537"/>
      <c r="CIK31" s="537"/>
      <c r="CIL31" s="537"/>
      <c r="CIM31" s="537"/>
      <c r="CIN31" s="537"/>
      <c r="CIO31" s="537"/>
      <c r="CIP31" s="537"/>
      <c r="CIQ31" s="537"/>
      <c r="CIR31" s="537"/>
      <c r="CIS31" s="537"/>
      <c r="CIT31" s="537"/>
      <c r="CIU31" s="537"/>
      <c r="CIV31" s="537"/>
      <c r="CIW31" s="537"/>
      <c r="CIX31" s="537"/>
      <c r="CIY31" s="537"/>
      <c r="CIZ31" s="537"/>
      <c r="CJA31" s="537"/>
      <c r="CJB31" s="537"/>
      <c r="CJC31" s="537"/>
      <c r="CJD31" s="537"/>
      <c r="CJE31" s="537"/>
      <c r="CJF31" s="537"/>
      <c r="CJG31" s="537"/>
      <c r="CJH31" s="537"/>
      <c r="CJI31" s="537"/>
      <c r="CJJ31" s="537"/>
      <c r="CJK31" s="537"/>
      <c r="CJL31" s="537"/>
      <c r="CJM31" s="537"/>
      <c r="CJN31" s="537"/>
      <c r="CJO31" s="537"/>
      <c r="CJP31" s="537"/>
      <c r="CJQ31" s="537"/>
      <c r="CJR31" s="537"/>
      <c r="CJS31" s="537"/>
      <c r="CJT31" s="537"/>
      <c r="CJU31" s="537"/>
      <c r="CJV31" s="537"/>
      <c r="CJW31" s="537"/>
      <c r="CJX31" s="537"/>
      <c r="CJY31" s="537"/>
      <c r="CJZ31" s="537"/>
      <c r="CKA31" s="537"/>
      <c r="CKB31" s="537"/>
      <c r="CKC31" s="537"/>
      <c r="CKD31" s="537"/>
      <c r="CKE31" s="537"/>
      <c r="CKF31" s="537"/>
      <c r="CKG31" s="537"/>
      <c r="CKH31" s="537"/>
      <c r="CKI31" s="537"/>
      <c r="CKJ31" s="537"/>
      <c r="CKK31" s="537"/>
      <c r="CKL31" s="537"/>
      <c r="CKM31" s="537"/>
      <c r="CKN31" s="537"/>
      <c r="CKO31" s="537"/>
      <c r="CKP31" s="537"/>
      <c r="CKQ31" s="537"/>
      <c r="CKR31" s="537"/>
      <c r="CKS31" s="537"/>
      <c r="CKT31" s="537"/>
      <c r="CKU31" s="537"/>
      <c r="CKV31" s="537"/>
      <c r="CKW31" s="537"/>
      <c r="CKX31" s="537"/>
      <c r="CKY31" s="537"/>
      <c r="CKZ31" s="537"/>
      <c r="CLA31" s="537"/>
      <c r="CLB31" s="537"/>
      <c r="CLC31" s="537"/>
      <c r="CLD31" s="537"/>
      <c r="CLE31" s="537"/>
      <c r="CLF31" s="537"/>
      <c r="CLG31" s="537"/>
      <c r="CLH31" s="537"/>
      <c r="CLI31" s="537"/>
      <c r="CLJ31" s="537"/>
      <c r="CLK31" s="537"/>
      <c r="CLL31" s="537"/>
      <c r="CLM31" s="537"/>
      <c r="CLN31" s="537"/>
      <c r="CLO31" s="537"/>
      <c r="CLP31" s="537"/>
      <c r="CLQ31" s="537"/>
      <c r="CLR31" s="537"/>
      <c r="CLS31" s="537"/>
      <c r="CLT31" s="537"/>
      <c r="CLU31" s="537"/>
      <c r="CLV31" s="537"/>
      <c r="CLW31" s="537"/>
      <c r="CLX31" s="537"/>
      <c r="CLY31" s="537"/>
      <c r="CLZ31" s="537"/>
      <c r="CMA31" s="537"/>
      <c r="CMB31" s="537"/>
      <c r="CMC31" s="537"/>
      <c r="CMD31" s="537"/>
      <c r="CME31" s="537"/>
      <c r="CMF31" s="537"/>
      <c r="CMG31" s="537"/>
      <c r="CMH31" s="537"/>
      <c r="CMI31" s="537"/>
      <c r="CMJ31" s="537"/>
      <c r="CMK31" s="537"/>
      <c r="CML31" s="537"/>
      <c r="CMM31" s="537"/>
      <c r="CMN31" s="537"/>
      <c r="CMO31" s="537"/>
      <c r="CMP31" s="537"/>
      <c r="CMQ31" s="537"/>
      <c r="CMR31" s="537"/>
      <c r="CMS31" s="537"/>
      <c r="CMT31" s="537"/>
      <c r="CMU31" s="537"/>
      <c r="CMV31" s="537"/>
      <c r="CMW31" s="537"/>
      <c r="CMX31" s="537"/>
      <c r="CMY31" s="537"/>
      <c r="CMZ31" s="537"/>
      <c r="CNA31" s="537"/>
      <c r="CNB31" s="537"/>
      <c r="CNC31" s="537"/>
      <c r="CND31" s="537"/>
      <c r="CNE31" s="537"/>
      <c r="CNF31" s="537"/>
      <c r="CNG31" s="537"/>
      <c r="CNH31" s="537"/>
      <c r="CNI31" s="537"/>
      <c r="CNJ31" s="537"/>
      <c r="CNK31" s="537"/>
      <c r="CNL31" s="537"/>
      <c r="CNM31" s="537"/>
      <c r="CNN31" s="537"/>
      <c r="CNO31" s="537"/>
      <c r="CNP31" s="537"/>
      <c r="CNQ31" s="537"/>
      <c r="CNR31" s="537"/>
      <c r="CNS31" s="537"/>
      <c r="CNT31" s="537"/>
      <c r="CNU31" s="537"/>
      <c r="CNV31" s="537"/>
      <c r="CNW31" s="537"/>
      <c r="CNX31" s="537"/>
      <c r="CNY31" s="537"/>
      <c r="CNZ31" s="537"/>
      <c r="COA31" s="537"/>
      <c r="COB31" s="537"/>
      <c r="COC31" s="537"/>
      <c r="COD31" s="537"/>
      <c r="COE31" s="537"/>
      <c r="COF31" s="537"/>
      <c r="COG31" s="537"/>
      <c r="COH31" s="537"/>
      <c r="COI31" s="537"/>
      <c r="COJ31" s="537"/>
      <c r="COK31" s="537"/>
      <c r="COL31" s="537"/>
      <c r="COM31" s="537"/>
      <c r="CON31" s="537"/>
      <c r="COO31" s="537"/>
      <c r="COP31" s="537"/>
      <c r="COQ31" s="537"/>
      <c r="COR31" s="537"/>
      <c r="COS31" s="537"/>
      <c r="COT31" s="537"/>
      <c r="COU31" s="537"/>
      <c r="COV31" s="537"/>
      <c r="COW31" s="537"/>
      <c r="COX31" s="537"/>
      <c r="COY31" s="537"/>
      <c r="COZ31" s="537"/>
      <c r="CPA31" s="537"/>
      <c r="CPB31" s="537"/>
      <c r="CPC31" s="537"/>
      <c r="CPD31" s="537"/>
      <c r="CPE31" s="537"/>
      <c r="CPF31" s="537"/>
      <c r="CPG31" s="537"/>
      <c r="CPH31" s="537"/>
      <c r="CPI31" s="537"/>
      <c r="CPJ31" s="537"/>
      <c r="CPK31" s="537"/>
      <c r="CPL31" s="537"/>
      <c r="CPM31" s="537"/>
      <c r="CPN31" s="537"/>
      <c r="CPO31" s="537"/>
      <c r="CPP31" s="537"/>
      <c r="CPQ31" s="537"/>
      <c r="CPR31" s="537"/>
      <c r="CPS31" s="537"/>
      <c r="CPT31" s="537"/>
      <c r="CPU31" s="537"/>
      <c r="CPV31" s="537"/>
      <c r="CPW31" s="537"/>
      <c r="CPX31" s="537"/>
      <c r="CPY31" s="537"/>
      <c r="CPZ31" s="537"/>
      <c r="CQA31" s="537"/>
      <c r="CQB31" s="537"/>
      <c r="CQC31" s="537"/>
      <c r="CQD31" s="537"/>
      <c r="CQE31" s="537"/>
      <c r="CQF31" s="537"/>
      <c r="CQG31" s="537"/>
      <c r="CQH31" s="537"/>
      <c r="CQI31" s="537"/>
      <c r="CQJ31" s="537"/>
      <c r="CQK31" s="537"/>
      <c r="CQL31" s="537"/>
      <c r="CQM31" s="537"/>
      <c r="CQN31" s="537"/>
      <c r="CQO31" s="537"/>
      <c r="CQP31" s="537"/>
      <c r="CQQ31" s="537"/>
      <c r="CQR31" s="537"/>
      <c r="CQS31" s="537"/>
      <c r="CQT31" s="537"/>
      <c r="CQU31" s="537"/>
      <c r="CQV31" s="537"/>
      <c r="CQW31" s="537"/>
      <c r="CQX31" s="537"/>
      <c r="CQY31" s="537"/>
      <c r="CQZ31" s="537"/>
      <c r="CRA31" s="537"/>
      <c r="CRB31" s="537"/>
      <c r="CRC31" s="537"/>
      <c r="CRD31" s="537"/>
      <c r="CRE31" s="537"/>
      <c r="CRF31" s="537"/>
      <c r="CRG31" s="537"/>
      <c r="CRH31" s="537"/>
      <c r="CRI31" s="537"/>
      <c r="CRJ31" s="537"/>
      <c r="CRK31" s="537"/>
      <c r="CRL31" s="537"/>
      <c r="CRM31" s="537"/>
      <c r="CRN31" s="537"/>
      <c r="CRO31" s="537"/>
      <c r="CRP31" s="537"/>
      <c r="CRQ31" s="537"/>
      <c r="CRR31" s="537"/>
      <c r="CRS31" s="537"/>
      <c r="CRT31" s="537"/>
      <c r="CRU31" s="537"/>
      <c r="CRV31" s="537"/>
      <c r="CRW31" s="537"/>
      <c r="CRX31" s="537"/>
      <c r="CRY31" s="537"/>
      <c r="CRZ31" s="537"/>
      <c r="CSA31" s="537"/>
      <c r="CSB31" s="537"/>
      <c r="CSC31" s="537"/>
      <c r="CSD31" s="537"/>
      <c r="CSE31" s="537"/>
      <c r="CSF31" s="537"/>
      <c r="CSG31" s="537"/>
      <c r="CSH31" s="537"/>
      <c r="CSI31" s="537"/>
      <c r="CSJ31" s="537"/>
      <c r="CSK31" s="537"/>
      <c r="CSL31" s="537"/>
      <c r="CSM31" s="537"/>
      <c r="CSN31" s="537"/>
      <c r="CSO31" s="537"/>
      <c r="CSP31" s="537"/>
      <c r="CSQ31" s="537"/>
      <c r="CSR31" s="537"/>
      <c r="CSS31" s="537"/>
      <c r="CST31" s="537"/>
      <c r="CSU31" s="537"/>
      <c r="CSV31" s="537"/>
      <c r="CSW31" s="537"/>
      <c r="CSX31" s="537"/>
      <c r="CSY31" s="537"/>
      <c r="CSZ31" s="537"/>
      <c r="CTA31" s="537"/>
      <c r="CTB31" s="537"/>
      <c r="CTC31" s="537"/>
      <c r="CTD31" s="537"/>
      <c r="CTE31" s="537"/>
      <c r="CTF31" s="537"/>
      <c r="CTG31" s="537"/>
      <c r="CTH31" s="537"/>
      <c r="CTI31" s="537"/>
      <c r="CTJ31" s="537"/>
      <c r="CTK31" s="537"/>
      <c r="CTL31" s="537"/>
      <c r="CTM31" s="537"/>
      <c r="CTN31" s="537"/>
      <c r="CTO31" s="537"/>
      <c r="CTP31" s="537"/>
      <c r="CTQ31" s="537"/>
      <c r="CTR31" s="537"/>
      <c r="CTS31" s="537"/>
      <c r="CTT31" s="537"/>
      <c r="CTU31" s="537"/>
      <c r="CTV31" s="537"/>
      <c r="CTW31" s="537"/>
      <c r="CTX31" s="537"/>
      <c r="CTY31" s="537"/>
      <c r="CTZ31" s="537"/>
      <c r="CUA31" s="537"/>
      <c r="CUB31" s="537"/>
      <c r="CUC31" s="537"/>
      <c r="CUD31" s="537"/>
      <c r="CUE31" s="537"/>
      <c r="CUF31" s="537"/>
      <c r="CUG31" s="537"/>
      <c r="CUH31" s="537"/>
      <c r="CUI31" s="537"/>
      <c r="CUJ31" s="537"/>
      <c r="CUK31" s="537"/>
      <c r="CUL31" s="537"/>
      <c r="CUM31" s="537"/>
      <c r="CUN31" s="537"/>
      <c r="CUO31" s="537"/>
      <c r="CUP31" s="537"/>
      <c r="CUQ31" s="537"/>
      <c r="CUR31" s="537"/>
      <c r="CUS31" s="537"/>
      <c r="CUT31" s="537"/>
      <c r="CUU31" s="537"/>
      <c r="CUV31" s="537"/>
      <c r="CUW31" s="537"/>
      <c r="CUX31" s="537"/>
      <c r="CUY31" s="537"/>
      <c r="CUZ31" s="537"/>
      <c r="CVA31" s="537"/>
      <c r="CVB31" s="537"/>
      <c r="CVC31" s="537"/>
      <c r="CVD31" s="537"/>
      <c r="CVE31" s="537"/>
      <c r="CVF31" s="537"/>
      <c r="CVG31" s="537"/>
      <c r="CVH31" s="537"/>
      <c r="CVI31" s="537"/>
      <c r="CVJ31" s="537"/>
      <c r="CVK31" s="537"/>
      <c r="CVL31" s="537"/>
      <c r="CVM31" s="537"/>
      <c r="CVN31" s="537"/>
      <c r="CVO31" s="537"/>
      <c r="CVP31" s="537"/>
      <c r="CVQ31" s="537"/>
      <c r="CVR31" s="537"/>
      <c r="CVS31" s="537"/>
      <c r="CVT31" s="537"/>
      <c r="CVU31" s="537"/>
      <c r="CVV31" s="537"/>
      <c r="CVW31" s="537"/>
      <c r="CVX31" s="537"/>
      <c r="CVY31" s="537"/>
      <c r="CVZ31" s="537"/>
      <c r="CWA31" s="537"/>
      <c r="CWB31" s="537"/>
      <c r="CWC31" s="537"/>
      <c r="CWD31" s="537"/>
      <c r="CWE31" s="537"/>
      <c r="CWF31" s="537"/>
      <c r="CWG31" s="537"/>
      <c r="CWH31" s="537"/>
      <c r="CWI31" s="537"/>
      <c r="CWJ31" s="537"/>
      <c r="CWK31" s="537"/>
      <c r="CWL31" s="537"/>
      <c r="CWM31" s="537"/>
      <c r="CWN31" s="537"/>
      <c r="CWO31" s="537"/>
      <c r="CWP31" s="537"/>
      <c r="CWQ31" s="537"/>
      <c r="CWR31" s="537"/>
      <c r="CWS31" s="537"/>
      <c r="CWT31" s="537"/>
      <c r="CWU31" s="537"/>
      <c r="CWV31" s="537"/>
      <c r="CWW31" s="537"/>
      <c r="CWX31" s="537"/>
      <c r="CWY31" s="537"/>
      <c r="CWZ31" s="537"/>
      <c r="CXA31" s="537"/>
      <c r="CXB31" s="537"/>
      <c r="CXC31" s="537"/>
      <c r="CXD31" s="537"/>
      <c r="CXE31" s="537"/>
      <c r="CXF31" s="537"/>
      <c r="CXG31" s="537"/>
      <c r="CXH31" s="537"/>
      <c r="CXI31" s="537"/>
      <c r="CXJ31" s="537"/>
      <c r="CXK31" s="537"/>
      <c r="CXL31" s="537"/>
      <c r="CXM31" s="537"/>
      <c r="CXN31" s="537"/>
      <c r="CXO31" s="537"/>
      <c r="CXP31" s="537"/>
      <c r="CXQ31" s="537"/>
      <c r="CXR31" s="537"/>
      <c r="CXS31" s="537"/>
      <c r="CXT31" s="537"/>
      <c r="CXU31" s="537"/>
      <c r="CXV31" s="537"/>
      <c r="CXW31" s="537"/>
      <c r="CXX31" s="537"/>
      <c r="CXY31" s="537"/>
      <c r="CXZ31" s="537"/>
      <c r="CYA31" s="537"/>
      <c r="CYB31" s="537"/>
      <c r="CYC31" s="537"/>
      <c r="CYD31" s="537"/>
      <c r="CYE31" s="537"/>
      <c r="CYF31" s="537"/>
      <c r="CYG31" s="537"/>
      <c r="CYH31" s="537"/>
      <c r="CYI31" s="537"/>
      <c r="CYJ31" s="537"/>
      <c r="CYK31" s="537"/>
      <c r="CYL31" s="537"/>
      <c r="CYM31" s="537"/>
      <c r="CYN31" s="537"/>
      <c r="CYO31" s="537"/>
      <c r="CYP31" s="537"/>
      <c r="CYQ31" s="537"/>
      <c r="CYR31" s="537"/>
      <c r="CYS31" s="537"/>
      <c r="CYT31" s="537"/>
      <c r="CYU31" s="537"/>
      <c r="CYV31" s="537"/>
      <c r="CYW31" s="537"/>
      <c r="CYX31" s="537"/>
      <c r="CYY31" s="537"/>
      <c r="CYZ31" s="537"/>
      <c r="CZA31" s="537"/>
      <c r="CZB31" s="537"/>
      <c r="CZC31" s="537"/>
      <c r="CZD31" s="537"/>
      <c r="CZE31" s="537"/>
      <c r="CZF31" s="537"/>
      <c r="CZG31" s="537"/>
      <c r="CZH31" s="537"/>
      <c r="CZI31" s="537"/>
      <c r="CZJ31" s="537"/>
      <c r="CZK31" s="537"/>
      <c r="CZL31" s="537"/>
      <c r="CZM31" s="537"/>
      <c r="CZN31" s="537"/>
      <c r="CZO31" s="537"/>
      <c r="CZP31" s="537"/>
      <c r="CZQ31" s="537"/>
      <c r="CZR31" s="537"/>
      <c r="CZS31" s="537"/>
      <c r="CZT31" s="537"/>
      <c r="CZU31" s="537"/>
      <c r="CZV31" s="537"/>
      <c r="CZW31" s="537"/>
      <c r="CZX31" s="537"/>
      <c r="CZY31" s="537"/>
      <c r="CZZ31" s="537"/>
      <c r="DAA31" s="537"/>
      <c r="DAB31" s="537"/>
      <c r="DAC31" s="537"/>
      <c r="DAD31" s="537"/>
      <c r="DAE31" s="537"/>
      <c r="DAF31" s="537"/>
      <c r="DAG31" s="537"/>
      <c r="DAH31" s="537"/>
      <c r="DAI31" s="537"/>
      <c r="DAJ31" s="537"/>
      <c r="DAK31" s="537"/>
      <c r="DAL31" s="537"/>
      <c r="DAM31" s="537"/>
      <c r="DAN31" s="537"/>
      <c r="DAO31" s="537"/>
      <c r="DAP31" s="537"/>
      <c r="DAQ31" s="537"/>
      <c r="DAR31" s="537"/>
      <c r="DAS31" s="537"/>
      <c r="DAT31" s="537"/>
      <c r="DAU31" s="537"/>
      <c r="DAV31" s="537"/>
      <c r="DAW31" s="537"/>
      <c r="DAX31" s="537"/>
      <c r="DAY31" s="537"/>
      <c r="DAZ31" s="537"/>
      <c r="DBA31" s="537"/>
      <c r="DBB31" s="537"/>
      <c r="DBC31" s="537"/>
      <c r="DBD31" s="537"/>
      <c r="DBE31" s="537"/>
      <c r="DBF31" s="537"/>
      <c r="DBG31" s="537"/>
      <c r="DBH31" s="537"/>
      <c r="DBI31" s="537"/>
      <c r="DBJ31" s="537"/>
      <c r="DBK31" s="537"/>
      <c r="DBL31" s="537"/>
      <c r="DBM31" s="537"/>
      <c r="DBN31" s="537"/>
      <c r="DBO31" s="537"/>
      <c r="DBP31" s="537"/>
      <c r="DBQ31" s="537"/>
      <c r="DBR31" s="537"/>
      <c r="DBS31" s="537"/>
      <c r="DBT31" s="537"/>
      <c r="DBU31" s="537"/>
      <c r="DBV31" s="537"/>
      <c r="DBW31" s="537"/>
      <c r="DBX31" s="537"/>
      <c r="DBY31" s="537"/>
      <c r="DBZ31" s="537"/>
      <c r="DCA31" s="537"/>
      <c r="DCB31" s="537"/>
      <c r="DCC31" s="537"/>
      <c r="DCD31" s="537"/>
      <c r="DCE31" s="537"/>
      <c r="DCF31" s="537"/>
      <c r="DCG31" s="537"/>
      <c r="DCH31" s="537"/>
      <c r="DCI31" s="537"/>
      <c r="DCJ31" s="537"/>
      <c r="DCK31" s="537"/>
      <c r="DCL31" s="537"/>
      <c r="DCM31" s="537"/>
      <c r="DCN31" s="537"/>
      <c r="DCO31" s="537"/>
      <c r="DCP31" s="537"/>
      <c r="DCQ31" s="537"/>
      <c r="DCR31" s="537"/>
      <c r="DCS31" s="537"/>
      <c r="DCT31" s="537"/>
      <c r="DCU31" s="537"/>
      <c r="DCV31" s="537"/>
      <c r="DCW31" s="537"/>
      <c r="DCX31" s="537"/>
      <c r="DCY31" s="537"/>
      <c r="DCZ31" s="537"/>
      <c r="DDA31" s="537"/>
      <c r="DDB31" s="537"/>
      <c r="DDC31" s="537"/>
      <c r="DDD31" s="537"/>
      <c r="DDE31" s="537"/>
      <c r="DDF31" s="537"/>
      <c r="DDG31" s="537"/>
      <c r="DDH31" s="537"/>
      <c r="DDI31" s="537"/>
      <c r="DDJ31" s="537"/>
      <c r="DDK31" s="537"/>
      <c r="DDL31" s="537"/>
      <c r="DDM31" s="537"/>
      <c r="DDN31" s="537"/>
      <c r="DDO31" s="537"/>
      <c r="DDP31" s="537"/>
      <c r="DDQ31" s="537"/>
      <c r="DDR31" s="537"/>
      <c r="DDS31" s="537"/>
      <c r="DDT31" s="537"/>
      <c r="DDU31" s="537"/>
      <c r="DDV31" s="537"/>
      <c r="DDW31" s="537"/>
      <c r="DDX31" s="537"/>
      <c r="DDY31" s="537"/>
      <c r="DDZ31" s="537"/>
      <c r="DEA31" s="537"/>
      <c r="DEB31" s="537"/>
      <c r="DEC31" s="537"/>
      <c r="DED31" s="537"/>
      <c r="DEE31" s="537"/>
      <c r="DEF31" s="537"/>
      <c r="DEG31" s="537"/>
      <c r="DEH31" s="537"/>
      <c r="DEI31" s="537"/>
      <c r="DEJ31" s="537"/>
      <c r="DEK31" s="537"/>
      <c r="DEL31" s="537"/>
      <c r="DEM31" s="537"/>
      <c r="DEN31" s="537"/>
      <c r="DEO31" s="537"/>
      <c r="DEP31" s="537"/>
      <c r="DEQ31" s="537"/>
      <c r="DER31" s="537"/>
      <c r="DES31" s="537"/>
      <c r="DET31" s="537"/>
      <c r="DEU31" s="537"/>
      <c r="DEV31" s="537"/>
      <c r="DEW31" s="537"/>
      <c r="DEX31" s="537"/>
      <c r="DEY31" s="537"/>
      <c r="DEZ31" s="537"/>
      <c r="DFA31" s="537"/>
      <c r="DFB31" s="537"/>
      <c r="DFC31" s="537"/>
      <c r="DFD31" s="537"/>
      <c r="DFE31" s="537"/>
      <c r="DFF31" s="537"/>
      <c r="DFG31" s="537"/>
      <c r="DFH31" s="537"/>
      <c r="DFI31" s="537"/>
      <c r="DFJ31" s="537"/>
      <c r="DFK31" s="537"/>
      <c r="DFL31" s="537"/>
      <c r="DFM31" s="537"/>
      <c r="DFN31" s="537"/>
      <c r="DFO31" s="537"/>
      <c r="DFP31" s="537"/>
      <c r="DFQ31" s="537"/>
      <c r="DFR31" s="537"/>
      <c r="DFS31" s="537"/>
      <c r="DFT31" s="537"/>
      <c r="DFU31" s="537"/>
      <c r="DFV31" s="537"/>
      <c r="DFW31" s="537"/>
      <c r="DFX31" s="537"/>
      <c r="DFY31" s="537"/>
      <c r="DFZ31" s="537"/>
      <c r="DGA31" s="537"/>
      <c r="DGB31" s="537"/>
      <c r="DGC31" s="537"/>
      <c r="DGD31" s="537"/>
      <c r="DGE31" s="537"/>
      <c r="DGF31" s="537"/>
      <c r="DGG31" s="537"/>
      <c r="DGH31" s="537"/>
      <c r="DGI31" s="537"/>
      <c r="DGJ31" s="537"/>
      <c r="DGK31" s="537"/>
      <c r="DGL31" s="537"/>
      <c r="DGM31" s="537"/>
      <c r="DGN31" s="537"/>
      <c r="DGO31" s="537"/>
      <c r="DGP31" s="537"/>
      <c r="DGQ31" s="537"/>
      <c r="DGR31" s="537"/>
      <c r="DGS31" s="537"/>
      <c r="DGT31" s="537"/>
      <c r="DGU31" s="537"/>
      <c r="DGV31" s="537"/>
      <c r="DGW31" s="537"/>
      <c r="DGX31" s="537"/>
      <c r="DGY31" s="537"/>
      <c r="DGZ31" s="537"/>
      <c r="DHA31" s="537"/>
      <c r="DHB31" s="537"/>
      <c r="DHC31" s="537"/>
      <c r="DHD31" s="537"/>
      <c r="DHE31" s="537"/>
      <c r="DHF31" s="537"/>
      <c r="DHG31" s="537"/>
      <c r="DHH31" s="537"/>
      <c r="DHI31" s="537"/>
      <c r="DHJ31" s="537"/>
      <c r="DHK31" s="537"/>
      <c r="DHL31" s="537"/>
      <c r="DHM31" s="537"/>
      <c r="DHN31" s="537"/>
      <c r="DHO31" s="537"/>
      <c r="DHP31" s="537"/>
      <c r="DHQ31" s="537"/>
      <c r="DHR31" s="537"/>
      <c r="DHS31" s="537"/>
      <c r="DHT31" s="537"/>
      <c r="DHU31" s="537"/>
      <c r="DHV31" s="537"/>
      <c r="DHW31" s="537"/>
      <c r="DHX31" s="537"/>
      <c r="DHY31" s="537"/>
      <c r="DHZ31" s="537"/>
      <c r="DIA31" s="537"/>
      <c r="DIB31" s="537"/>
      <c r="DIC31" s="537"/>
      <c r="DID31" s="537"/>
      <c r="DIE31" s="537"/>
      <c r="DIF31" s="537"/>
      <c r="DIG31" s="537"/>
      <c r="DIH31" s="537"/>
      <c r="DII31" s="537"/>
      <c r="DIJ31" s="537"/>
      <c r="DIK31" s="537"/>
      <c r="DIL31" s="537"/>
      <c r="DIM31" s="537"/>
      <c r="DIN31" s="537"/>
      <c r="DIO31" s="537"/>
      <c r="DIP31" s="537"/>
      <c r="DIQ31" s="537"/>
      <c r="DIR31" s="537"/>
      <c r="DIS31" s="537"/>
      <c r="DIT31" s="537"/>
      <c r="DIU31" s="537"/>
      <c r="DIV31" s="537"/>
      <c r="DIW31" s="537"/>
      <c r="DIX31" s="537"/>
      <c r="DIY31" s="537"/>
      <c r="DIZ31" s="537"/>
      <c r="DJA31" s="537"/>
      <c r="DJB31" s="537"/>
      <c r="DJC31" s="537"/>
      <c r="DJD31" s="537"/>
      <c r="DJE31" s="537"/>
      <c r="DJF31" s="537"/>
      <c r="DJG31" s="537"/>
      <c r="DJH31" s="537"/>
      <c r="DJI31" s="537"/>
      <c r="DJJ31" s="537"/>
      <c r="DJK31" s="537"/>
      <c r="DJL31" s="537"/>
      <c r="DJM31" s="537"/>
      <c r="DJN31" s="537"/>
      <c r="DJO31" s="537"/>
      <c r="DJP31" s="537"/>
      <c r="DJQ31" s="537"/>
      <c r="DJR31" s="537"/>
      <c r="DJS31" s="537"/>
      <c r="DJT31" s="537"/>
      <c r="DJU31" s="537"/>
      <c r="DJV31" s="537"/>
      <c r="DJW31" s="537"/>
      <c r="DJX31" s="537"/>
      <c r="DJY31" s="537"/>
      <c r="DJZ31" s="537"/>
      <c r="DKA31" s="537"/>
      <c r="DKB31" s="537"/>
      <c r="DKC31" s="537"/>
      <c r="DKD31" s="537"/>
      <c r="DKE31" s="537"/>
      <c r="DKF31" s="537"/>
      <c r="DKG31" s="537"/>
      <c r="DKH31" s="537"/>
      <c r="DKI31" s="537"/>
      <c r="DKJ31" s="537"/>
      <c r="DKK31" s="537"/>
      <c r="DKL31" s="537"/>
      <c r="DKM31" s="537"/>
      <c r="DKN31" s="537"/>
      <c r="DKO31" s="537"/>
      <c r="DKP31" s="537"/>
      <c r="DKQ31" s="537"/>
      <c r="DKR31" s="537"/>
      <c r="DKS31" s="537"/>
      <c r="DKT31" s="537"/>
      <c r="DKU31" s="537"/>
      <c r="DKV31" s="537"/>
      <c r="DKW31" s="537"/>
      <c r="DKX31" s="537"/>
      <c r="DKY31" s="537"/>
      <c r="DKZ31" s="537"/>
      <c r="DLA31" s="537"/>
      <c r="DLB31" s="537"/>
      <c r="DLC31" s="537"/>
      <c r="DLD31" s="537"/>
      <c r="DLE31" s="537"/>
      <c r="DLF31" s="537"/>
      <c r="DLG31" s="537"/>
      <c r="DLH31" s="537"/>
      <c r="DLI31" s="537"/>
      <c r="DLJ31" s="537"/>
      <c r="DLK31" s="537"/>
      <c r="DLL31" s="537"/>
      <c r="DLM31" s="537"/>
      <c r="DLN31" s="537"/>
      <c r="DLO31" s="537"/>
      <c r="DLP31" s="537"/>
      <c r="DLQ31" s="537"/>
      <c r="DLR31" s="537"/>
      <c r="DLS31" s="537"/>
      <c r="DLT31" s="537"/>
      <c r="DLU31" s="537"/>
      <c r="DLV31" s="537"/>
      <c r="DLW31" s="537"/>
      <c r="DLX31" s="537"/>
      <c r="DLY31" s="537"/>
      <c r="DLZ31" s="537"/>
      <c r="DMA31" s="537"/>
      <c r="DMB31" s="537"/>
      <c r="DMC31" s="537"/>
      <c r="DMD31" s="537"/>
      <c r="DME31" s="537"/>
      <c r="DMF31" s="537"/>
      <c r="DMG31" s="537"/>
      <c r="DMH31" s="537"/>
      <c r="DMI31" s="537"/>
      <c r="DMJ31" s="537"/>
      <c r="DMK31" s="537"/>
      <c r="DML31" s="537"/>
      <c r="DMM31" s="537"/>
      <c r="DMN31" s="537"/>
      <c r="DMO31" s="537"/>
      <c r="DMP31" s="537"/>
      <c r="DMQ31" s="537"/>
      <c r="DMR31" s="537"/>
      <c r="DMS31" s="537"/>
      <c r="DMT31" s="537"/>
      <c r="DMU31" s="537"/>
      <c r="DMV31" s="537"/>
      <c r="DMW31" s="537"/>
      <c r="DMX31" s="537"/>
      <c r="DMY31" s="537"/>
      <c r="DMZ31" s="537"/>
      <c r="DNA31" s="537"/>
      <c r="DNB31" s="537"/>
      <c r="DNC31" s="537"/>
      <c r="DND31" s="537"/>
      <c r="DNE31" s="537"/>
      <c r="DNF31" s="537"/>
      <c r="DNG31" s="537"/>
      <c r="DNH31" s="537"/>
      <c r="DNI31" s="537"/>
      <c r="DNJ31" s="537"/>
      <c r="DNK31" s="537"/>
      <c r="DNL31" s="537"/>
      <c r="DNM31" s="537"/>
      <c r="DNN31" s="537"/>
      <c r="DNO31" s="537"/>
      <c r="DNP31" s="537"/>
      <c r="DNQ31" s="537"/>
      <c r="DNR31" s="537"/>
      <c r="DNS31" s="537"/>
      <c r="DNT31" s="537"/>
      <c r="DNU31" s="537"/>
      <c r="DNV31" s="537"/>
      <c r="DNW31" s="537"/>
      <c r="DNX31" s="537"/>
      <c r="DNY31" s="537"/>
      <c r="DNZ31" s="537"/>
      <c r="DOA31" s="537"/>
      <c r="DOB31" s="537"/>
      <c r="DOC31" s="537"/>
      <c r="DOD31" s="537"/>
      <c r="DOE31" s="537"/>
      <c r="DOF31" s="537"/>
      <c r="DOG31" s="537"/>
      <c r="DOH31" s="537"/>
      <c r="DOI31" s="537"/>
      <c r="DOJ31" s="537"/>
      <c r="DOK31" s="537"/>
      <c r="DOL31" s="537"/>
      <c r="DOM31" s="537"/>
      <c r="DON31" s="537"/>
      <c r="DOO31" s="537"/>
      <c r="DOP31" s="537"/>
      <c r="DOQ31" s="537"/>
      <c r="DOR31" s="537"/>
      <c r="DOS31" s="537"/>
      <c r="DOT31" s="537"/>
      <c r="DOU31" s="537"/>
      <c r="DOV31" s="537"/>
      <c r="DOW31" s="537"/>
      <c r="DOX31" s="537"/>
      <c r="DOY31" s="537"/>
      <c r="DOZ31" s="537"/>
      <c r="DPA31" s="537"/>
      <c r="DPB31" s="537"/>
      <c r="DPC31" s="537"/>
      <c r="DPD31" s="537"/>
      <c r="DPE31" s="537"/>
      <c r="DPF31" s="537"/>
      <c r="DPG31" s="537"/>
      <c r="DPH31" s="537"/>
      <c r="DPI31" s="537"/>
      <c r="DPJ31" s="537"/>
      <c r="DPK31" s="537"/>
      <c r="DPL31" s="537"/>
      <c r="DPM31" s="537"/>
      <c r="DPN31" s="537"/>
      <c r="DPO31" s="537"/>
      <c r="DPP31" s="537"/>
      <c r="DPQ31" s="537"/>
      <c r="DPR31" s="537"/>
      <c r="DPS31" s="537"/>
      <c r="DPT31" s="537"/>
      <c r="DPU31" s="537"/>
      <c r="DPV31" s="537"/>
      <c r="DPW31" s="537"/>
      <c r="DPX31" s="537"/>
      <c r="DPY31" s="537"/>
      <c r="DPZ31" s="537"/>
      <c r="DQA31" s="537"/>
      <c r="DQB31" s="537"/>
      <c r="DQC31" s="537"/>
      <c r="DQD31" s="537"/>
      <c r="DQE31" s="537"/>
      <c r="DQF31" s="537"/>
      <c r="DQG31" s="537"/>
      <c r="DQH31" s="537"/>
      <c r="DQI31" s="537"/>
      <c r="DQJ31" s="537"/>
      <c r="DQK31" s="537"/>
      <c r="DQL31" s="537"/>
      <c r="DQM31" s="537"/>
      <c r="DQN31" s="537"/>
      <c r="DQO31" s="537"/>
      <c r="DQP31" s="537"/>
      <c r="DQQ31" s="537"/>
      <c r="DQR31" s="537"/>
      <c r="DQS31" s="537"/>
      <c r="DQT31" s="537"/>
      <c r="DQU31" s="537"/>
      <c r="DQV31" s="537"/>
      <c r="DQW31" s="537"/>
      <c r="DQX31" s="537"/>
      <c r="DQY31" s="537"/>
      <c r="DQZ31" s="537"/>
      <c r="DRA31" s="537"/>
      <c r="DRB31" s="537"/>
      <c r="DRC31" s="537"/>
      <c r="DRD31" s="537"/>
      <c r="DRE31" s="537"/>
      <c r="DRF31" s="537"/>
      <c r="DRG31" s="537"/>
      <c r="DRH31" s="537"/>
      <c r="DRI31" s="537"/>
      <c r="DRJ31" s="537"/>
      <c r="DRK31" s="537"/>
      <c r="DRL31" s="537"/>
      <c r="DRM31" s="537"/>
      <c r="DRN31" s="537"/>
      <c r="DRO31" s="537"/>
      <c r="DRP31" s="537"/>
      <c r="DRQ31" s="537"/>
      <c r="DRR31" s="537"/>
      <c r="DRS31" s="537"/>
      <c r="DRT31" s="537"/>
      <c r="DRU31" s="537"/>
      <c r="DRV31" s="537"/>
      <c r="DRW31" s="537"/>
      <c r="DRX31" s="537"/>
      <c r="DRY31" s="537"/>
      <c r="DRZ31" s="537"/>
      <c r="DSA31" s="537"/>
      <c r="DSB31" s="537"/>
      <c r="DSC31" s="537"/>
      <c r="DSD31" s="537"/>
      <c r="DSE31" s="537"/>
      <c r="DSF31" s="537"/>
      <c r="DSG31" s="537"/>
      <c r="DSH31" s="537"/>
      <c r="DSI31" s="537"/>
      <c r="DSJ31" s="537"/>
      <c r="DSK31" s="537"/>
      <c r="DSL31" s="537"/>
      <c r="DSM31" s="537"/>
      <c r="DSN31" s="537"/>
      <c r="DSO31" s="537"/>
      <c r="DSP31" s="537"/>
      <c r="DSQ31" s="537"/>
      <c r="DSR31" s="537"/>
      <c r="DSS31" s="537"/>
      <c r="DST31" s="537"/>
      <c r="DSU31" s="537"/>
      <c r="DSV31" s="537"/>
      <c r="DSW31" s="537"/>
      <c r="DSX31" s="537"/>
      <c r="DSY31" s="537"/>
      <c r="DSZ31" s="537"/>
      <c r="DTA31" s="537"/>
      <c r="DTB31" s="537"/>
      <c r="DTC31" s="537"/>
      <c r="DTD31" s="537"/>
      <c r="DTE31" s="537"/>
      <c r="DTF31" s="537"/>
      <c r="DTG31" s="537"/>
      <c r="DTH31" s="537"/>
      <c r="DTI31" s="537"/>
      <c r="DTJ31" s="537"/>
      <c r="DTK31" s="537"/>
      <c r="DTL31" s="537"/>
      <c r="DTM31" s="537"/>
      <c r="DTN31" s="537"/>
      <c r="DTO31" s="537"/>
      <c r="DTP31" s="537"/>
      <c r="DTQ31" s="537"/>
      <c r="DTR31" s="537"/>
      <c r="DTS31" s="537"/>
      <c r="DTT31" s="537"/>
      <c r="DTU31" s="537"/>
      <c r="DTV31" s="537"/>
      <c r="DTW31" s="537"/>
      <c r="DTX31" s="537"/>
      <c r="DTY31" s="537"/>
      <c r="DTZ31" s="537"/>
      <c r="DUA31" s="537"/>
      <c r="DUB31" s="537"/>
      <c r="DUC31" s="537"/>
      <c r="DUD31" s="537"/>
      <c r="DUE31" s="537"/>
      <c r="DUF31" s="537"/>
      <c r="DUG31" s="537"/>
      <c r="DUH31" s="537"/>
      <c r="DUI31" s="537"/>
      <c r="DUJ31" s="537"/>
      <c r="DUK31" s="537"/>
      <c r="DUL31" s="537"/>
      <c r="DUM31" s="537"/>
      <c r="DUN31" s="537"/>
      <c r="DUO31" s="537"/>
      <c r="DUP31" s="537"/>
      <c r="DUQ31" s="537"/>
      <c r="DUR31" s="537"/>
      <c r="DUS31" s="537"/>
      <c r="DUT31" s="537"/>
      <c r="DUU31" s="537"/>
      <c r="DUV31" s="537"/>
      <c r="DUW31" s="537"/>
      <c r="DUX31" s="537"/>
      <c r="DUY31" s="537"/>
      <c r="DUZ31" s="537"/>
      <c r="DVA31" s="537"/>
      <c r="DVB31" s="537"/>
      <c r="DVC31" s="537"/>
      <c r="DVD31" s="537"/>
      <c r="DVE31" s="537"/>
      <c r="DVF31" s="537"/>
      <c r="DVG31" s="537"/>
      <c r="DVH31" s="537"/>
      <c r="DVI31" s="537"/>
      <c r="DVJ31" s="537"/>
      <c r="DVK31" s="537"/>
      <c r="DVL31" s="537"/>
      <c r="DVM31" s="537"/>
      <c r="DVN31" s="537"/>
      <c r="DVO31" s="537"/>
      <c r="DVP31" s="537"/>
      <c r="DVQ31" s="537"/>
      <c r="DVR31" s="537"/>
      <c r="DVS31" s="537"/>
      <c r="DVT31" s="537"/>
      <c r="DVU31" s="537"/>
      <c r="DVV31" s="537"/>
      <c r="DVW31" s="537"/>
      <c r="DVX31" s="537"/>
      <c r="DVY31" s="537"/>
      <c r="DVZ31" s="537"/>
      <c r="DWA31" s="537"/>
      <c r="DWB31" s="537"/>
      <c r="DWC31" s="537"/>
      <c r="DWD31" s="537"/>
      <c r="DWE31" s="537"/>
      <c r="DWF31" s="537"/>
      <c r="DWG31" s="537"/>
      <c r="DWH31" s="537"/>
      <c r="DWI31" s="537"/>
      <c r="DWJ31" s="537"/>
      <c r="DWK31" s="537"/>
      <c r="DWL31" s="537"/>
      <c r="DWM31" s="537"/>
      <c r="DWN31" s="537"/>
      <c r="DWO31" s="537"/>
      <c r="DWP31" s="537"/>
      <c r="DWQ31" s="537"/>
      <c r="DWR31" s="537"/>
      <c r="DWS31" s="537"/>
      <c r="DWT31" s="537"/>
      <c r="DWU31" s="537"/>
      <c r="DWV31" s="537"/>
      <c r="DWW31" s="537"/>
      <c r="DWX31" s="537"/>
      <c r="DWY31" s="537"/>
      <c r="DWZ31" s="537"/>
      <c r="DXA31" s="537"/>
      <c r="DXB31" s="537"/>
      <c r="DXC31" s="537"/>
      <c r="DXD31" s="537"/>
      <c r="DXE31" s="537"/>
      <c r="DXF31" s="537"/>
      <c r="DXG31" s="537"/>
      <c r="DXH31" s="537"/>
      <c r="DXI31" s="537"/>
      <c r="DXJ31" s="537"/>
      <c r="DXK31" s="537"/>
      <c r="DXL31" s="537"/>
      <c r="DXM31" s="537"/>
      <c r="DXN31" s="537"/>
      <c r="DXO31" s="537"/>
      <c r="DXP31" s="537"/>
      <c r="DXQ31" s="537"/>
      <c r="DXR31" s="537"/>
      <c r="DXS31" s="537"/>
      <c r="DXT31" s="537"/>
      <c r="DXU31" s="537"/>
      <c r="DXV31" s="537"/>
      <c r="DXW31" s="537"/>
      <c r="DXX31" s="537"/>
      <c r="DXY31" s="537"/>
      <c r="DXZ31" s="537"/>
      <c r="DYA31" s="537"/>
      <c r="DYB31" s="537"/>
      <c r="DYC31" s="537"/>
      <c r="DYD31" s="537"/>
      <c r="DYE31" s="537"/>
      <c r="DYF31" s="537"/>
      <c r="DYG31" s="537"/>
      <c r="DYH31" s="537"/>
      <c r="DYI31" s="537"/>
      <c r="DYJ31" s="537"/>
      <c r="DYK31" s="537"/>
      <c r="DYL31" s="537"/>
      <c r="DYM31" s="537"/>
      <c r="DYN31" s="537"/>
      <c r="DYO31" s="537"/>
      <c r="DYP31" s="537"/>
      <c r="DYQ31" s="537"/>
      <c r="DYR31" s="537"/>
      <c r="DYS31" s="537"/>
      <c r="DYT31" s="537"/>
      <c r="DYU31" s="537"/>
      <c r="DYV31" s="537"/>
      <c r="DYW31" s="537"/>
      <c r="DYX31" s="537"/>
      <c r="DYY31" s="537"/>
      <c r="DYZ31" s="537"/>
      <c r="DZA31" s="537"/>
      <c r="DZB31" s="537"/>
      <c r="DZC31" s="537"/>
      <c r="DZD31" s="537"/>
      <c r="DZE31" s="537"/>
      <c r="DZF31" s="537"/>
      <c r="DZG31" s="537"/>
      <c r="DZH31" s="537"/>
      <c r="DZI31" s="537"/>
      <c r="DZJ31" s="537"/>
      <c r="DZK31" s="537"/>
      <c r="DZL31" s="537"/>
      <c r="DZM31" s="537"/>
      <c r="DZN31" s="537"/>
      <c r="DZO31" s="537"/>
      <c r="DZP31" s="537"/>
      <c r="DZQ31" s="537"/>
      <c r="DZR31" s="537"/>
      <c r="DZS31" s="537"/>
      <c r="DZT31" s="537"/>
      <c r="DZU31" s="537"/>
      <c r="DZV31" s="537"/>
      <c r="DZW31" s="537"/>
      <c r="DZX31" s="537"/>
      <c r="DZY31" s="537"/>
      <c r="DZZ31" s="537"/>
      <c r="EAA31" s="537"/>
      <c r="EAB31" s="537"/>
      <c r="EAC31" s="537"/>
      <c r="EAD31" s="537"/>
      <c r="EAE31" s="537"/>
      <c r="EAF31" s="537"/>
      <c r="EAG31" s="537"/>
      <c r="EAH31" s="537"/>
      <c r="EAI31" s="537"/>
      <c r="EAJ31" s="537"/>
      <c r="EAK31" s="537"/>
      <c r="EAL31" s="537"/>
      <c r="EAM31" s="537"/>
      <c r="EAN31" s="537"/>
      <c r="EAO31" s="537"/>
      <c r="EAP31" s="537"/>
      <c r="EAQ31" s="537"/>
      <c r="EAR31" s="537"/>
      <c r="EAS31" s="537"/>
      <c r="EAT31" s="537"/>
      <c r="EAU31" s="537"/>
      <c r="EAV31" s="537"/>
      <c r="EAW31" s="537"/>
      <c r="EAX31" s="537"/>
      <c r="EAY31" s="537"/>
      <c r="EAZ31" s="537"/>
      <c r="EBA31" s="537"/>
      <c r="EBB31" s="537"/>
      <c r="EBC31" s="537"/>
      <c r="EBD31" s="537"/>
      <c r="EBE31" s="537"/>
      <c r="EBF31" s="537"/>
      <c r="EBG31" s="537"/>
      <c r="EBH31" s="537"/>
      <c r="EBI31" s="537"/>
      <c r="EBJ31" s="537"/>
      <c r="EBK31" s="537"/>
      <c r="EBL31" s="537"/>
      <c r="EBM31" s="537"/>
      <c r="EBN31" s="537"/>
      <c r="EBO31" s="537"/>
      <c r="EBP31" s="537"/>
      <c r="EBQ31" s="537"/>
      <c r="EBR31" s="537"/>
      <c r="EBS31" s="537"/>
      <c r="EBT31" s="537"/>
      <c r="EBU31" s="537"/>
      <c r="EBV31" s="537"/>
      <c r="EBW31" s="537"/>
      <c r="EBX31" s="537"/>
      <c r="EBY31" s="537"/>
      <c r="EBZ31" s="537"/>
      <c r="ECA31" s="537"/>
      <c r="ECB31" s="537"/>
      <c r="ECC31" s="537"/>
      <c r="ECD31" s="537"/>
      <c r="ECE31" s="537"/>
      <c r="ECF31" s="537"/>
      <c r="ECG31" s="537"/>
      <c r="ECH31" s="537"/>
      <c r="ECI31" s="537"/>
      <c r="ECJ31" s="537"/>
      <c r="ECK31" s="537"/>
      <c r="ECL31" s="537"/>
      <c r="ECM31" s="537"/>
      <c r="ECN31" s="537"/>
      <c r="ECO31" s="537"/>
      <c r="ECP31" s="537"/>
      <c r="ECQ31" s="537"/>
      <c r="ECR31" s="537"/>
      <c r="ECS31" s="537"/>
      <c r="ECT31" s="537"/>
      <c r="ECU31" s="537"/>
      <c r="ECV31" s="537"/>
      <c r="ECW31" s="537"/>
      <c r="ECX31" s="537"/>
      <c r="ECY31" s="537"/>
      <c r="ECZ31" s="537"/>
      <c r="EDA31" s="537"/>
      <c r="EDB31" s="537"/>
      <c r="EDC31" s="537"/>
      <c r="EDD31" s="537"/>
      <c r="EDE31" s="537"/>
      <c r="EDF31" s="537"/>
      <c r="EDG31" s="537"/>
      <c r="EDH31" s="537"/>
      <c r="EDI31" s="537"/>
      <c r="EDJ31" s="537"/>
      <c r="EDK31" s="537"/>
      <c r="EDL31" s="537"/>
      <c r="EDM31" s="537"/>
      <c r="EDN31" s="537"/>
      <c r="EDO31" s="537"/>
      <c r="EDP31" s="537"/>
      <c r="EDQ31" s="537"/>
      <c r="EDR31" s="537"/>
      <c r="EDS31" s="537"/>
      <c r="EDT31" s="537"/>
      <c r="EDU31" s="537"/>
      <c r="EDV31" s="537"/>
      <c r="EDW31" s="537"/>
      <c r="EDX31" s="537"/>
      <c r="EDY31" s="537"/>
      <c r="EDZ31" s="537"/>
      <c r="EEA31" s="537"/>
      <c r="EEB31" s="537"/>
      <c r="EEC31" s="537"/>
      <c r="EED31" s="537"/>
      <c r="EEE31" s="537"/>
      <c r="EEF31" s="537"/>
      <c r="EEG31" s="537"/>
      <c r="EEH31" s="537"/>
      <c r="EEI31" s="537"/>
      <c r="EEJ31" s="537"/>
      <c r="EEK31" s="537"/>
      <c r="EEL31" s="537"/>
      <c r="EEM31" s="537"/>
      <c r="EEN31" s="537"/>
      <c r="EEO31" s="537"/>
      <c r="EEP31" s="537"/>
      <c r="EEQ31" s="537"/>
      <c r="EER31" s="537"/>
      <c r="EES31" s="537"/>
      <c r="EET31" s="537"/>
      <c r="EEU31" s="537"/>
      <c r="EEV31" s="537"/>
      <c r="EEW31" s="537"/>
      <c r="EEX31" s="537"/>
      <c r="EEY31" s="537"/>
      <c r="EEZ31" s="537"/>
      <c r="EFA31" s="537"/>
      <c r="EFB31" s="537"/>
      <c r="EFC31" s="537"/>
      <c r="EFD31" s="537"/>
      <c r="EFE31" s="537"/>
      <c r="EFF31" s="537"/>
      <c r="EFG31" s="537"/>
      <c r="EFH31" s="537"/>
      <c r="EFI31" s="537"/>
      <c r="EFJ31" s="537"/>
      <c r="EFK31" s="537"/>
      <c r="EFL31" s="537"/>
      <c r="EFM31" s="537"/>
      <c r="EFN31" s="537"/>
      <c r="EFO31" s="537"/>
      <c r="EFP31" s="537"/>
      <c r="EFQ31" s="537"/>
      <c r="EFR31" s="537"/>
      <c r="EFS31" s="537"/>
      <c r="EFT31" s="537"/>
      <c r="EFU31" s="537"/>
      <c r="EFV31" s="537"/>
      <c r="EFW31" s="537"/>
      <c r="EFX31" s="537"/>
      <c r="EFY31" s="537"/>
      <c r="EFZ31" s="537"/>
      <c r="EGA31" s="537"/>
      <c r="EGB31" s="537"/>
      <c r="EGC31" s="537"/>
      <c r="EGD31" s="537"/>
      <c r="EGE31" s="537"/>
      <c r="EGF31" s="537"/>
      <c r="EGG31" s="537"/>
      <c r="EGH31" s="537"/>
      <c r="EGI31" s="537"/>
      <c r="EGJ31" s="537"/>
      <c r="EGK31" s="537"/>
      <c r="EGL31" s="537"/>
      <c r="EGM31" s="537"/>
      <c r="EGN31" s="537"/>
      <c r="EGO31" s="537"/>
      <c r="EGP31" s="537"/>
      <c r="EGQ31" s="537"/>
      <c r="EGR31" s="537"/>
      <c r="EGS31" s="537"/>
      <c r="EGT31" s="537"/>
      <c r="EGU31" s="537"/>
      <c r="EGV31" s="537"/>
      <c r="EGW31" s="537"/>
      <c r="EGX31" s="537"/>
      <c r="EGY31" s="537"/>
      <c r="EGZ31" s="537"/>
      <c r="EHA31" s="537"/>
      <c r="EHB31" s="537"/>
      <c r="EHC31" s="537"/>
      <c r="EHD31" s="537"/>
      <c r="EHE31" s="537"/>
      <c r="EHF31" s="537"/>
      <c r="EHG31" s="537"/>
      <c r="EHH31" s="537"/>
      <c r="EHI31" s="537"/>
      <c r="EHJ31" s="537"/>
      <c r="EHK31" s="537"/>
      <c r="EHL31" s="537"/>
      <c r="EHM31" s="537"/>
      <c r="EHN31" s="537"/>
      <c r="EHO31" s="537"/>
      <c r="EHP31" s="537"/>
      <c r="EHQ31" s="537"/>
      <c r="EHR31" s="537"/>
      <c r="EHS31" s="537"/>
      <c r="EHT31" s="537"/>
      <c r="EHU31" s="537"/>
      <c r="EHV31" s="537"/>
      <c r="EHW31" s="537"/>
      <c r="EHX31" s="537"/>
      <c r="EHY31" s="537"/>
      <c r="EHZ31" s="537"/>
      <c r="EIA31" s="537"/>
      <c r="EIB31" s="537"/>
      <c r="EIC31" s="537"/>
      <c r="EID31" s="537"/>
      <c r="EIE31" s="537"/>
      <c r="EIF31" s="537"/>
      <c r="EIG31" s="537"/>
      <c r="EIH31" s="537"/>
      <c r="EII31" s="537"/>
      <c r="EIJ31" s="537"/>
      <c r="EIK31" s="537"/>
      <c r="EIL31" s="537"/>
      <c r="EIM31" s="537"/>
      <c r="EIN31" s="537"/>
      <c r="EIO31" s="537"/>
      <c r="EIP31" s="537"/>
      <c r="EIQ31" s="537"/>
      <c r="EIR31" s="537"/>
      <c r="EIS31" s="537"/>
      <c r="EIT31" s="537"/>
      <c r="EIU31" s="537"/>
      <c r="EIV31" s="537"/>
      <c r="EIW31" s="537"/>
      <c r="EIX31" s="537"/>
      <c r="EIY31" s="537"/>
      <c r="EIZ31" s="537"/>
      <c r="EJA31" s="537"/>
      <c r="EJB31" s="537"/>
      <c r="EJC31" s="537"/>
      <c r="EJD31" s="537"/>
      <c r="EJE31" s="537"/>
      <c r="EJF31" s="537"/>
      <c r="EJG31" s="537"/>
      <c r="EJH31" s="537"/>
      <c r="EJI31" s="537"/>
      <c r="EJJ31" s="537"/>
      <c r="EJK31" s="537"/>
      <c r="EJL31" s="537"/>
      <c r="EJM31" s="537"/>
      <c r="EJN31" s="537"/>
      <c r="EJO31" s="537"/>
      <c r="EJP31" s="537"/>
      <c r="EJQ31" s="537"/>
      <c r="EJR31" s="537"/>
      <c r="EJS31" s="537"/>
      <c r="EJT31" s="537"/>
      <c r="EJU31" s="537"/>
      <c r="EJV31" s="537"/>
      <c r="EJW31" s="537"/>
      <c r="EJX31" s="537"/>
      <c r="EJY31" s="537"/>
      <c r="EJZ31" s="537"/>
      <c r="EKA31" s="537"/>
      <c r="EKB31" s="537"/>
      <c r="EKC31" s="537"/>
      <c r="EKD31" s="537"/>
      <c r="EKE31" s="537"/>
      <c r="EKF31" s="537"/>
      <c r="EKG31" s="537"/>
      <c r="EKH31" s="537"/>
      <c r="EKI31" s="537"/>
      <c r="EKJ31" s="537"/>
      <c r="EKK31" s="537"/>
      <c r="EKL31" s="537"/>
      <c r="EKM31" s="537"/>
      <c r="EKN31" s="537"/>
      <c r="EKO31" s="537"/>
      <c r="EKP31" s="537"/>
      <c r="EKQ31" s="537"/>
      <c r="EKR31" s="537"/>
      <c r="EKS31" s="537"/>
      <c r="EKT31" s="537"/>
      <c r="EKU31" s="537"/>
      <c r="EKV31" s="537"/>
      <c r="EKW31" s="537"/>
      <c r="EKX31" s="537"/>
      <c r="EKY31" s="537"/>
      <c r="EKZ31" s="537"/>
      <c r="ELA31" s="537"/>
      <c r="ELB31" s="537"/>
      <c r="ELC31" s="537"/>
      <c r="ELD31" s="537"/>
      <c r="ELE31" s="537"/>
      <c r="ELF31" s="537"/>
      <c r="ELG31" s="537"/>
      <c r="ELH31" s="537"/>
      <c r="ELI31" s="537"/>
      <c r="ELJ31" s="537"/>
      <c r="ELK31" s="537"/>
      <c r="ELL31" s="537"/>
      <c r="ELM31" s="537"/>
      <c r="ELN31" s="537"/>
      <c r="ELO31" s="537"/>
      <c r="ELP31" s="537"/>
      <c r="ELQ31" s="537"/>
      <c r="ELR31" s="537"/>
      <c r="ELS31" s="537"/>
      <c r="ELT31" s="537"/>
      <c r="ELU31" s="537"/>
      <c r="ELV31" s="537"/>
      <c r="ELW31" s="537"/>
      <c r="ELX31" s="537"/>
      <c r="ELY31" s="537"/>
      <c r="ELZ31" s="537"/>
      <c r="EMA31" s="537"/>
      <c r="EMB31" s="537"/>
      <c r="EMC31" s="537"/>
      <c r="EMD31" s="537"/>
      <c r="EME31" s="537"/>
      <c r="EMF31" s="537"/>
      <c r="EMG31" s="537"/>
      <c r="EMH31" s="537"/>
      <c r="EMI31" s="537"/>
      <c r="EMJ31" s="537"/>
      <c r="EMK31" s="537"/>
      <c r="EML31" s="537"/>
      <c r="EMM31" s="537"/>
      <c r="EMN31" s="537"/>
      <c r="EMO31" s="537"/>
      <c r="EMP31" s="537"/>
      <c r="EMQ31" s="537"/>
      <c r="EMR31" s="537"/>
      <c r="EMS31" s="537"/>
      <c r="EMT31" s="537"/>
      <c r="EMU31" s="537"/>
      <c r="EMV31" s="537"/>
      <c r="EMW31" s="537"/>
      <c r="EMX31" s="537"/>
      <c r="EMY31" s="537"/>
      <c r="EMZ31" s="537"/>
      <c r="ENA31" s="537"/>
      <c r="ENB31" s="537"/>
      <c r="ENC31" s="537"/>
      <c r="END31" s="537"/>
      <c r="ENE31" s="537"/>
      <c r="ENF31" s="537"/>
      <c r="ENG31" s="537"/>
      <c r="ENH31" s="537"/>
      <c r="ENI31" s="537"/>
      <c r="ENJ31" s="537"/>
      <c r="ENK31" s="537"/>
      <c r="ENL31" s="537"/>
      <c r="ENM31" s="537"/>
      <c r="ENN31" s="537"/>
      <c r="ENO31" s="537"/>
      <c r="ENP31" s="537"/>
      <c r="ENQ31" s="537"/>
      <c r="ENR31" s="537"/>
      <c r="ENS31" s="537"/>
      <c r="ENT31" s="537"/>
      <c r="ENU31" s="537"/>
      <c r="ENV31" s="537"/>
      <c r="ENW31" s="537"/>
      <c r="ENX31" s="537"/>
      <c r="ENY31" s="537"/>
      <c r="ENZ31" s="537"/>
      <c r="EOA31" s="537"/>
      <c r="EOB31" s="537"/>
      <c r="EOC31" s="537"/>
      <c r="EOD31" s="537"/>
      <c r="EOE31" s="537"/>
      <c r="EOF31" s="537"/>
      <c r="EOG31" s="537"/>
      <c r="EOH31" s="537"/>
      <c r="EOI31" s="537"/>
      <c r="EOJ31" s="537"/>
      <c r="EOK31" s="537"/>
      <c r="EOL31" s="537"/>
      <c r="EOM31" s="537"/>
      <c r="EON31" s="537"/>
      <c r="EOO31" s="537"/>
      <c r="EOP31" s="537"/>
      <c r="EOQ31" s="537"/>
      <c r="EOR31" s="537"/>
      <c r="EOS31" s="537"/>
      <c r="EOT31" s="537"/>
      <c r="EOU31" s="537"/>
      <c r="EOV31" s="537"/>
      <c r="EOW31" s="537"/>
      <c r="EOX31" s="537"/>
      <c r="EOY31" s="537"/>
      <c r="EOZ31" s="537"/>
      <c r="EPA31" s="537"/>
      <c r="EPB31" s="537"/>
      <c r="EPC31" s="537"/>
      <c r="EPD31" s="537"/>
      <c r="EPE31" s="537"/>
      <c r="EPF31" s="537"/>
      <c r="EPG31" s="537"/>
      <c r="EPH31" s="537"/>
      <c r="EPI31" s="537"/>
      <c r="EPJ31" s="537"/>
      <c r="EPK31" s="537"/>
      <c r="EPL31" s="537"/>
      <c r="EPM31" s="537"/>
      <c r="EPN31" s="537"/>
      <c r="EPO31" s="537"/>
      <c r="EPP31" s="537"/>
      <c r="EPQ31" s="537"/>
      <c r="EPR31" s="537"/>
      <c r="EPS31" s="537"/>
      <c r="EPT31" s="537"/>
      <c r="EPU31" s="537"/>
      <c r="EPV31" s="537"/>
      <c r="EPW31" s="537"/>
      <c r="EPX31" s="537"/>
      <c r="EPY31" s="537"/>
      <c r="EPZ31" s="537"/>
      <c r="EQA31" s="537"/>
      <c r="EQB31" s="537"/>
      <c r="EQC31" s="537"/>
      <c r="EQD31" s="537"/>
      <c r="EQE31" s="537"/>
      <c r="EQF31" s="537"/>
      <c r="EQG31" s="537"/>
      <c r="EQH31" s="537"/>
      <c r="EQI31" s="537"/>
      <c r="EQJ31" s="537"/>
      <c r="EQK31" s="537"/>
      <c r="EQL31" s="537"/>
      <c r="EQM31" s="537"/>
      <c r="EQN31" s="537"/>
      <c r="EQO31" s="537"/>
      <c r="EQP31" s="537"/>
      <c r="EQQ31" s="537"/>
      <c r="EQR31" s="537"/>
      <c r="EQS31" s="537"/>
      <c r="EQT31" s="537"/>
      <c r="EQU31" s="537"/>
      <c r="EQV31" s="537"/>
      <c r="EQW31" s="537"/>
      <c r="EQX31" s="537"/>
      <c r="EQY31" s="537"/>
      <c r="EQZ31" s="537"/>
      <c r="ERA31" s="537"/>
      <c r="ERB31" s="537"/>
      <c r="ERC31" s="537"/>
      <c r="ERD31" s="537"/>
      <c r="ERE31" s="537"/>
      <c r="ERF31" s="537"/>
      <c r="ERG31" s="537"/>
      <c r="ERH31" s="537"/>
      <c r="ERI31" s="537"/>
      <c r="ERJ31" s="537"/>
      <c r="ERK31" s="537"/>
      <c r="ERL31" s="537"/>
      <c r="ERM31" s="537"/>
      <c r="ERN31" s="537"/>
      <c r="ERO31" s="537"/>
      <c r="ERP31" s="537"/>
      <c r="ERQ31" s="537"/>
      <c r="ERR31" s="537"/>
      <c r="ERS31" s="537"/>
      <c r="ERT31" s="537"/>
      <c r="ERU31" s="537"/>
      <c r="ERV31" s="537"/>
      <c r="ERW31" s="537"/>
      <c r="ERX31" s="537"/>
      <c r="ERY31" s="537"/>
      <c r="ERZ31" s="537"/>
      <c r="ESA31" s="537"/>
      <c r="ESB31" s="537"/>
      <c r="ESC31" s="537"/>
      <c r="ESD31" s="537"/>
      <c r="ESE31" s="537"/>
      <c r="ESF31" s="537"/>
      <c r="ESG31" s="537"/>
      <c r="ESH31" s="537"/>
      <c r="ESI31" s="537"/>
      <c r="ESJ31" s="537"/>
      <c r="ESK31" s="537"/>
      <c r="ESL31" s="537"/>
      <c r="ESM31" s="537"/>
      <c r="ESN31" s="537"/>
      <c r="ESO31" s="537"/>
      <c r="ESP31" s="537"/>
      <c r="ESQ31" s="537"/>
      <c r="ESR31" s="537"/>
      <c r="ESS31" s="537"/>
      <c r="EST31" s="537"/>
      <c r="ESU31" s="537"/>
      <c r="ESV31" s="537"/>
      <c r="ESW31" s="537"/>
      <c r="ESX31" s="537"/>
      <c r="ESY31" s="537"/>
      <c r="ESZ31" s="537"/>
      <c r="ETA31" s="537"/>
      <c r="ETB31" s="537"/>
      <c r="ETC31" s="537"/>
      <c r="ETD31" s="537"/>
      <c r="ETE31" s="537"/>
      <c r="ETF31" s="537"/>
      <c r="ETG31" s="537"/>
      <c r="ETH31" s="537"/>
      <c r="ETI31" s="537"/>
      <c r="ETJ31" s="537"/>
      <c r="ETK31" s="537"/>
      <c r="ETL31" s="537"/>
      <c r="ETM31" s="537"/>
      <c r="ETN31" s="537"/>
      <c r="ETO31" s="537"/>
      <c r="ETP31" s="537"/>
      <c r="ETQ31" s="537"/>
      <c r="ETR31" s="537"/>
      <c r="ETS31" s="537"/>
      <c r="ETT31" s="537"/>
      <c r="ETU31" s="537"/>
      <c r="ETV31" s="537"/>
      <c r="ETW31" s="537"/>
      <c r="ETX31" s="537"/>
      <c r="ETY31" s="537"/>
      <c r="ETZ31" s="537"/>
      <c r="EUA31" s="537"/>
      <c r="EUB31" s="537"/>
      <c r="EUC31" s="537"/>
      <c r="EUD31" s="537"/>
      <c r="EUE31" s="537"/>
      <c r="EUF31" s="537"/>
      <c r="EUG31" s="537"/>
      <c r="EUH31" s="537"/>
      <c r="EUI31" s="537"/>
      <c r="EUJ31" s="537"/>
      <c r="EUK31" s="537"/>
      <c r="EUL31" s="537"/>
      <c r="EUM31" s="537"/>
      <c r="EUN31" s="537"/>
      <c r="EUO31" s="537"/>
      <c r="EUP31" s="537"/>
      <c r="EUQ31" s="537"/>
      <c r="EUR31" s="537"/>
      <c r="EUS31" s="537"/>
      <c r="EUT31" s="537"/>
      <c r="EUU31" s="537"/>
      <c r="EUV31" s="537"/>
      <c r="EUW31" s="537"/>
      <c r="EUX31" s="537"/>
      <c r="EUY31" s="537"/>
      <c r="EUZ31" s="537"/>
      <c r="EVA31" s="537"/>
      <c r="EVB31" s="537"/>
      <c r="EVC31" s="537"/>
      <c r="EVD31" s="537"/>
      <c r="EVE31" s="537"/>
      <c r="EVF31" s="537"/>
      <c r="EVG31" s="537"/>
      <c r="EVH31" s="537"/>
      <c r="EVI31" s="537"/>
      <c r="EVJ31" s="537"/>
      <c r="EVK31" s="537"/>
      <c r="EVL31" s="537"/>
      <c r="EVM31" s="537"/>
      <c r="EVN31" s="537"/>
      <c r="EVO31" s="537"/>
      <c r="EVP31" s="537"/>
      <c r="EVQ31" s="537"/>
      <c r="EVR31" s="537"/>
      <c r="EVS31" s="537"/>
      <c r="EVT31" s="537"/>
      <c r="EVU31" s="537"/>
      <c r="EVV31" s="537"/>
      <c r="EVW31" s="537"/>
      <c r="EVX31" s="537"/>
      <c r="EVY31" s="537"/>
      <c r="EVZ31" s="537"/>
      <c r="EWA31" s="537"/>
      <c r="EWB31" s="537"/>
      <c r="EWC31" s="537"/>
      <c r="EWD31" s="537"/>
      <c r="EWE31" s="537"/>
      <c r="EWF31" s="537"/>
      <c r="EWG31" s="537"/>
      <c r="EWH31" s="537"/>
      <c r="EWI31" s="537"/>
      <c r="EWJ31" s="537"/>
      <c r="EWK31" s="537"/>
      <c r="EWL31" s="537"/>
      <c r="EWM31" s="537"/>
      <c r="EWN31" s="537"/>
      <c r="EWO31" s="537"/>
      <c r="EWP31" s="537"/>
      <c r="EWQ31" s="537"/>
      <c r="EWR31" s="537"/>
      <c r="EWS31" s="537"/>
      <c r="EWT31" s="537"/>
      <c r="EWU31" s="537"/>
      <c r="EWV31" s="537"/>
      <c r="EWW31" s="537"/>
      <c r="EWX31" s="537"/>
      <c r="EWY31" s="537"/>
      <c r="EWZ31" s="537"/>
      <c r="EXA31" s="537"/>
      <c r="EXB31" s="537"/>
      <c r="EXC31" s="537"/>
      <c r="EXD31" s="537"/>
      <c r="EXE31" s="537"/>
      <c r="EXF31" s="537"/>
      <c r="EXG31" s="537"/>
      <c r="EXH31" s="537"/>
      <c r="EXI31" s="537"/>
      <c r="EXJ31" s="537"/>
      <c r="EXK31" s="537"/>
      <c r="EXL31" s="537"/>
      <c r="EXM31" s="537"/>
      <c r="EXN31" s="537"/>
      <c r="EXO31" s="537"/>
      <c r="EXP31" s="537"/>
      <c r="EXQ31" s="537"/>
      <c r="EXR31" s="537"/>
      <c r="EXS31" s="537"/>
      <c r="EXT31" s="537"/>
      <c r="EXU31" s="537"/>
      <c r="EXV31" s="537"/>
      <c r="EXW31" s="537"/>
      <c r="EXX31" s="537"/>
      <c r="EXY31" s="537"/>
      <c r="EXZ31" s="537"/>
      <c r="EYA31" s="537"/>
      <c r="EYB31" s="537"/>
      <c r="EYC31" s="537"/>
      <c r="EYD31" s="537"/>
      <c r="EYE31" s="537"/>
      <c r="EYF31" s="537"/>
      <c r="EYG31" s="537"/>
      <c r="EYH31" s="537"/>
      <c r="EYI31" s="537"/>
      <c r="EYJ31" s="537"/>
      <c r="EYK31" s="537"/>
      <c r="EYL31" s="537"/>
      <c r="EYM31" s="537"/>
      <c r="EYN31" s="537"/>
      <c r="EYO31" s="537"/>
      <c r="EYP31" s="537"/>
      <c r="EYQ31" s="537"/>
      <c r="EYR31" s="537"/>
      <c r="EYS31" s="537"/>
      <c r="EYT31" s="537"/>
      <c r="EYU31" s="537"/>
      <c r="EYV31" s="537"/>
      <c r="EYW31" s="537"/>
      <c r="EYX31" s="537"/>
      <c r="EYY31" s="537"/>
      <c r="EYZ31" s="537"/>
      <c r="EZA31" s="537"/>
      <c r="EZB31" s="537"/>
      <c r="EZC31" s="537"/>
      <c r="EZD31" s="537"/>
      <c r="EZE31" s="537"/>
      <c r="EZF31" s="537"/>
      <c r="EZG31" s="537"/>
      <c r="EZH31" s="537"/>
      <c r="EZI31" s="537"/>
      <c r="EZJ31" s="537"/>
      <c r="EZK31" s="537"/>
      <c r="EZL31" s="537"/>
      <c r="EZM31" s="537"/>
      <c r="EZN31" s="537"/>
      <c r="EZO31" s="537"/>
      <c r="EZP31" s="537"/>
      <c r="EZQ31" s="537"/>
      <c r="EZR31" s="537"/>
      <c r="EZS31" s="537"/>
      <c r="EZT31" s="537"/>
      <c r="EZU31" s="537"/>
      <c r="EZV31" s="537"/>
      <c r="EZW31" s="537"/>
      <c r="EZX31" s="537"/>
      <c r="EZY31" s="537"/>
      <c r="EZZ31" s="537"/>
      <c r="FAA31" s="537"/>
      <c r="FAB31" s="537"/>
      <c r="FAC31" s="537"/>
      <c r="FAD31" s="537"/>
      <c r="FAE31" s="537"/>
      <c r="FAF31" s="537"/>
      <c r="FAG31" s="537"/>
      <c r="FAH31" s="537"/>
      <c r="FAI31" s="537"/>
      <c r="FAJ31" s="537"/>
      <c r="FAK31" s="537"/>
      <c r="FAL31" s="537"/>
      <c r="FAM31" s="537"/>
      <c r="FAN31" s="537"/>
      <c r="FAO31" s="537"/>
      <c r="FAP31" s="537"/>
      <c r="FAQ31" s="537"/>
      <c r="FAR31" s="537"/>
      <c r="FAS31" s="537"/>
      <c r="FAT31" s="537"/>
      <c r="FAU31" s="537"/>
      <c r="FAV31" s="537"/>
      <c r="FAW31" s="537"/>
      <c r="FAX31" s="537"/>
      <c r="FAY31" s="537"/>
      <c r="FAZ31" s="537"/>
      <c r="FBA31" s="537"/>
      <c r="FBB31" s="537"/>
      <c r="FBC31" s="537"/>
      <c r="FBD31" s="537"/>
      <c r="FBE31" s="537"/>
      <c r="FBF31" s="537"/>
      <c r="FBG31" s="537"/>
      <c r="FBH31" s="537"/>
      <c r="FBI31" s="537"/>
      <c r="FBJ31" s="537"/>
      <c r="FBK31" s="537"/>
      <c r="FBL31" s="537"/>
      <c r="FBM31" s="537"/>
      <c r="FBN31" s="537"/>
      <c r="FBO31" s="537"/>
      <c r="FBP31" s="537"/>
      <c r="FBQ31" s="537"/>
      <c r="FBR31" s="537"/>
      <c r="FBS31" s="537"/>
      <c r="FBT31" s="537"/>
      <c r="FBU31" s="537"/>
      <c r="FBV31" s="537"/>
      <c r="FBW31" s="537"/>
      <c r="FBX31" s="537"/>
      <c r="FBY31" s="537"/>
      <c r="FBZ31" s="537"/>
      <c r="FCA31" s="537"/>
      <c r="FCB31" s="537"/>
      <c r="FCC31" s="537"/>
      <c r="FCD31" s="537"/>
      <c r="FCE31" s="537"/>
      <c r="FCF31" s="537"/>
      <c r="FCG31" s="537"/>
      <c r="FCH31" s="537"/>
      <c r="FCI31" s="537"/>
      <c r="FCJ31" s="537"/>
      <c r="FCK31" s="537"/>
      <c r="FCL31" s="537"/>
      <c r="FCM31" s="537"/>
      <c r="FCN31" s="537"/>
      <c r="FCO31" s="537"/>
      <c r="FCP31" s="537"/>
      <c r="FCQ31" s="537"/>
      <c r="FCR31" s="537"/>
      <c r="FCS31" s="537"/>
      <c r="FCT31" s="537"/>
      <c r="FCU31" s="537"/>
      <c r="FCV31" s="537"/>
      <c r="FCW31" s="537"/>
      <c r="FCX31" s="537"/>
      <c r="FCY31" s="537"/>
      <c r="FCZ31" s="537"/>
      <c r="FDA31" s="537"/>
      <c r="FDB31" s="537"/>
      <c r="FDC31" s="537"/>
      <c r="FDD31" s="537"/>
      <c r="FDE31" s="537"/>
      <c r="FDF31" s="537"/>
      <c r="FDG31" s="537"/>
      <c r="FDH31" s="537"/>
      <c r="FDI31" s="537"/>
      <c r="FDJ31" s="537"/>
      <c r="FDK31" s="537"/>
      <c r="FDL31" s="537"/>
      <c r="FDM31" s="537"/>
      <c r="FDN31" s="537"/>
      <c r="FDO31" s="537"/>
      <c r="FDP31" s="537"/>
      <c r="FDQ31" s="537"/>
      <c r="FDR31" s="537"/>
      <c r="FDS31" s="537"/>
      <c r="FDT31" s="537"/>
      <c r="FDU31" s="537"/>
      <c r="FDV31" s="537"/>
      <c r="FDW31" s="537"/>
      <c r="FDX31" s="537"/>
      <c r="FDY31" s="537"/>
      <c r="FDZ31" s="537"/>
      <c r="FEA31" s="537"/>
      <c r="FEB31" s="537"/>
      <c r="FEC31" s="537"/>
      <c r="FED31" s="537"/>
      <c r="FEE31" s="537"/>
      <c r="FEF31" s="537"/>
      <c r="FEG31" s="537"/>
      <c r="FEH31" s="537"/>
      <c r="FEI31" s="537"/>
      <c r="FEJ31" s="537"/>
      <c r="FEK31" s="537"/>
      <c r="FEL31" s="537"/>
      <c r="FEM31" s="537"/>
      <c r="FEN31" s="537"/>
      <c r="FEO31" s="537"/>
      <c r="FEP31" s="537"/>
      <c r="FEQ31" s="537"/>
      <c r="FER31" s="537"/>
      <c r="FES31" s="537"/>
      <c r="FET31" s="537"/>
      <c r="FEU31" s="537"/>
      <c r="FEV31" s="537"/>
      <c r="FEW31" s="537"/>
      <c r="FEX31" s="537"/>
      <c r="FEY31" s="537"/>
      <c r="FEZ31" s="537"/>
      <c r="FFA31" s="537"/>
      <c r="FFB31" s="537"/>
      <c r="FFC31" s="537"/>
      <c r="FFD31" s="537"/>
      <c r="FFE31" s="537"/>
      <c r="FFF31" s="537"/>
      <c r="FFG31" s="537"/>
      <c r="FFH31" s="537"/>
      <c r="FFI31" s="537"/>
      <c r="FFJ31" s="537"/>
      <c r="FFK31" s="537"/>
      <c r="FFL31" s="537"/>
      <c r="FFM31" s="537"/>
      <c r="FFN31" s="537"/>
      <c r="FFO31" s="537"/>
      <c r="FFP31" s="537"/>
      <c r="FFQ31" s="537"/>
      <c r="FFR31" s="537"/>
      <c r="FFS31" s="537"/>
      <c r="FFT31" s="537"/>
      <c r="FFU31" s="537"/>
      <c r="FFV31" s="537"/>
      <c r="FFW31" s="537"/>
      <c r="FFX31" s="537"/>
      <c r="FFY31" s="537"/>
      <c r="FFZ31" s="537"/>
      <c r="FGA31" s="537"/>
      <c r="FGB31" s="537"/>
      <c r="FGC31" s="537"/>
      <c r="FGD31" s="537"/>
      <c r="FGE31" s="537"/>
      <c r="FGF31" s="537"/>
      <c r="FGG31" s="537"/>
      <c r="FGH31" s="537"/>
      <c r="FGI31" s="537"/>
      <c r="FGJ31" s="537"/>
      <c r="FGK31" s="537"/>
      <c r="FGL31" s="537"/>
      <c r="FGM31" s="537"/>
      <c r="FGN31" s="537"/>
      <c r="FGO31" s="537"/>
      <c r="FGP31" s="537"/>
      <c r="FGQ31" s="537"/>
      <c r="FGR31" s="537"/>
      <c r="FGS31" s="537"/>
      <c r="FGT31" s="537"/>
      <c r="FGU31" s="537"/>
      <c r="FGV31" s="537"/>
      <c r="FGW31" s="537"/>
      <c r="FGX31" s="537"/>
      <c r="FGY31" s="537"/>
      <c r="FGZ31" s="537"/>
      <c r="FHA31" s="537"/>
      <c r="FHB31" s="537"/>
      <c r="FHC31" s="537"/>
      <c r="FHD31" s="537"/>
      <c r="FHE31" s="537"/>
      <c r="FHF31" s="537"/>
      <c r="FHG31" s="537"/>
      <c r="FHH31" s="537"/>
      <c r="FHI31" s="537"/>
      <c r="FHJ31" s="537"/>
      <c r="FHK31" s="537"/>
      <c r="FHL31" s="537"/>
      <c r="FHM31" s="537"/>
      <c r="FHN31" s="537"/>
      <c r="FHO31" s="537"/>
      <c r="FHP31" s="537"/>
      <c r="FHQ31" s="537"/>
      <c r="FHR31" s="537"/>
      <c r="FHS31" s="537"/>
      <c r="FHT31" s="537"/>
      <c r="FHU31" s="537"/>
      <c r="FHV31" s="537"/>
      <c r="FHW31" s="537"/>
      <c r="FHX31" s="537"/>
      <c r="FHY31" s="537"/>
      <c r="FHZ31" s="537"/>
      <c r="FIA31" s="537"/>
      <c r="FIB31" s="537"/>
      <c r="FIC31" s="537"/>
      <c r="FID31" s="537"/>
      <c r="FIE31" s="537"/>
      <c r="FIF31" s="537"/>
      <c r="FIG31" s="537"/>
      <c r="FIH31" s="537"/>
      <c r="FII31" s="537"/>
      <c r="FIJ31" s="537"/>
      <c r="FIK31" s="537"/>
      <c r="FIL31" s="537"/>
      <c r="FIM31" s="537"/>
      <c r="FIN31" s="537"/>
      <c r="FIO31" s="537"/>
      <c r="FIP31" s="537"/>
      <c r="FIQ31" s="537"/>
      <c r="FIR31" s="537"/>
      <c r="FIS31" s="537"/>
      <c r="FIT31" s="537"/>
      <c r="FIU31" s="537"/>
      <c r="FIV31" s="537"/>
      <c r="FIW31" s="537"/>
      <c r="FIX31" s="537"/>
      <c r="FIY31" s="537"/>
      <c r="FIZ31" s="537"/>
      <c r="FJA31" s="537"/>
      <c r="FJB31" s="537"/>
      <c r="FJC31" s="537"/>
      <c r="FJD31" s="537"/>
      <c r="FJE31" s="537"/>
      <c r="FJF31" s="537"/>
      <c r="FJG31" s="537"/>
      <c r="FJH31" s="537"/>
      <c r="FJI31" s="537"/>
      <c r="FJJ31" s="537"/>
      <c r="FJK31" s="537"/>
      <c r="FJL31" s="537"/>
      <c r="FJM31" s="537"/>
      <c r="FJN31" s="537"/>
      <c r="FJO31" s="537"/>
      <c r="FJP31" s="537"/>
      <c r="FJQ31" s="537"/>
      <c r="FJR31" s="537"/>
      <c r="FJS31" s="537"/>
      <c r="FJT31" s="537"/>
      <c r="FJU31" s="537"/>
      <c r="FJV31" s="537"/>
      <c r="FJW31" s="537"/>
      <c r="FJX31" s="537"/>
      <c r="FJY31" s="537"/>
      <c r="FJZ31" s="537"/>
      <c r="FKA31" s="537"/>
      <c r="FKB31" s="537"/>
      <c r="FKC31" s="537"/>
      <c r="FKD31" s="537"/>
      <c r="FKE31" s="537"/>
      <c r="FKF31" s="537"/>
      <c r="FKG31" s="537"/>
      <c r="FKH31" s="537"/>
      <c r="FKI31" s="537"/>
      <c r="FKJ31" s="537"/>
      <c r="FKK31" s="537"/>
      <c r="FKL31" s="537"/>
      <c r="FKM31" s="537"/>
      <c r="FKN31" s="537"/>
      <c r="FKO31" s="537"/>
      <c r="FKP31" s="537"/>
      <c r="FKQ31" s="537"/>
      <c r="FKR31" s="537"/>
      <c r="FKS31" s="537"/>
      <c r="FKT31" s="537"/>
      <c r="FKU31" s="537"/>
      <c r="FKV31" s="537"/>
      <c r="FKW31" s="537"/>
      <c r="FKX31" s="537"/>
      <c r="FKY31" s="537"/>
      <c r="FKZ31" s="537"/>
      <c r="FLA31" s="537"/>
      <c r="FLB31" s="537"/>
      <c r="FLC31" s="537"/>
      <c r="FLD31" s="537"/>
      <c r="FLE31" s="537"/>
      <c r="FLF31" s="537"/>
      <c r="FLG31" s="537"/>
      <c r="FLH31" s="537"/>
      <c r="FLI31" s="537"/>
      <c r="FLJ31" s="537"/>
      <c r="FLK31" s="537"/>
      <c r="FLL31" s="537"/>
      <c r="FLM31" s="537"/>
      <c r="FLN31" s="537"/>
      <c r="FLO31" s="537"/>
      <c r="FLP31" s="537"/>
      <c r="FLQ31" s="537"/>
      <c r="FLR31" s="537"/>
      <c r="FLS31" s="537"/>
      <c r="FLT31" s="537"/>
      <c r="FLU31" s="537"/>
      <c r="FLV31" s="537"/>
      <c r="FLW31" s="537"/>
      <c r="FLX31" s="537"/>
      <c r="FLY31" s="537"/>
      <c r="FLZ31" s="537"/>
      <c r="FMA31" s="537"/>
      <c r="FMB31" s="537"/>
      <c r="FMC31" s="537"/>
      <c r="FMD31" s="537"/>
      <c r="FME31" s="537"/>
      <c r="FMF31" s="537"/>
      <c r="FMG31" s="537"/>
      <c r="FMH31" s="537"/>
      <c r="FMI31" s="537"/>
      <c r="FMJ31" s="537"/>
      <c r="FMK31" s="537"/>
      <c r="FML31" s="537"/>
      <c r="FMM31" s="537"/>
      <c r="FMN31" s="537"/>
      <c r="FMO31" s="537"/>
      <c r="FMP31" s="537"/>
      <c r="FMQ31" s="537"/>
      <c r="FMR31" s="537"/>
      <c r="FMS31" s="537"/>
      <c r="FMT31" s="537"/>
      <c r="FMU31" s="537"/>
      <c r="FMV31" s="537"/>
      <c r="FMW31" s="537"/>
      <c r="FMX31" s="537"/>
      <c r="FMY31" s="537"/>
      <c r="FMZ31" s="537"/>
      <c r="FNA31" s="537"/>
      <c r="FNB31" s="537"/>
      <c r="FNC31" s="537"/>
      <c r="FND31" s="537"/>
      <c r="FNE31" s="537"/>
      <c r="FNF31" s="537"/>
      <c r="FNG31" s="537"/>
      <c r="FNH31" s="537"/>
      <c r="FNI31" s="537"/>
      <c r="FNJ31" s="537"/>
      <c r="FNK31" s="537"/>
      <c r="FNL31" s="537"/>
      <c r="FNM31" s="537"/>
      <c r="FNN31" s="537"/>
      <c r="FNO31" s="537"/>
      <c r="FNP31" s="537"/>
      <c r="FNQ31" s="537"/>
      <c r="FNR31" s="537"/>
      <c r="FNS31" s="537"/>
      <c r="FNT31" s="537"/>
      <c r="FNU31" s="537"/>
      <c r="FNV31" s="537"/>
      <c r="FNW31" s="537"/>
      <c r="FNX31" s="537"/>
      <c r="FNY31" s="537"/>
      <c r="FNZ31" s="537"/>
      <c r="FOA31" s="537"/>
      <c r="FOB31" s="537"/>
      <c r="FOC31" s="537"/>
      <c r="FOD31" s="537"/>
      <c r="FOE31" s="537"/>
      <c r="FOF31" s="537"/>
      <c r="FOG31" s="537"/>
      <c r="FOH31" s="537"/>
      <c r="FOI31" s="537"/>
      <c r="FOJ31" s="537"/>
      <c r="FOK31" s="537"/>
      <c r="FOL31" s="537"/>
      <c r="FOM31" s="537"/>
      <c r="FON31" s="537"/>
      <c r="FOO31" s="537"/>
      <c r="FOP31" s="537"/>
      <c r="FOQ31" s="537"/>
      <c r="FOR31" s="537"/>
      <c r="FOS31" s="537"/>
      <c r="FOT31" s="537"/>
      <c r="FOU31" s="537"/>
      <c r="FOV31" s="537"/>
      <c r="FOW31" s="537"/>
      <c r="FOX31" s="537"/>
      <c r="FOY31" s="537"/>
      <c r="FOZ31" s="537"/>
      <c r="FPA31" s="537"/>
      <c r="FPB31" s="537"/>
      <c r="FPC31" s="537"/>
      <c r="FPD31" s="537"/>
      <c r="FPE31" s="537"/>
      <c r="FPF31" s="537"/>
      <c r="FPG31" s="537"/>
      <c r="FPH31" s="537"/>
      <c r="FPI31" s="537"/>
      <c r="FPJ31" s="537"/>
      <c r="FPK31" s="537"/>
      <c r="FPL31" s="537"/>
      <c r="FPM31" s="537"/>
      <c r="FPN31" s="537"/>
      <c r="FPO31" s="537"/>
      <c r="FPP31" s="537"/>
      <c r="FPQ31" s="537"/>
      <c r="FPR31" s="537"/>
      <c r="FPS31" s="537"/>
      <c r="FPT31" s="537"/>
      <c r="FPU31" s="537"/>
      <c r="FPV31" s="537"/>
      <c r="FPW31" s="537"/>
      <c r="FPX31" s="537"/>
      <c r="FPY31" s="537"/>
      <c r="FPZ31" s="537"/>
      <c r="FQA31" s="537"/>
      <c r="FQB31" s="537"/>
      <c r="FQC31" s="537"/>
      <c r="FQD31" s="537"/>
      <c r="FQE31" s="537"/>
      <c r="FQF31" s="537"/>
      <c r="FQG31" s="537"/>
      <c r="FQH31" s="537"/>
      <c r="FQI31" s="537"/>
      <c r="FQJ31" s="537"/>
      <c r="FQK31" s="537"/>
      <c r="FQL31" s="537"/>
      <c r="FQM31" s="537"/>
      <c r="FQN31" s="537"/>
      <c r="FQO31" s="537"/>
      <c r="FQP31" s="537"/>
      <c r="FQQ31" s="537"/>
      <c r="FQR31" s="537"/>
      <c r="FQS31" s="537"/>
      <c r="FQT31" s="537"/>
      <c r="FQU31" s="537"/>
      <c r="FQV31" s="537"/>
      <c r="FQW31" s="537"/>
      <c r="FQX31" s="537"/>
      <c r="FQY31" s="537"/>
      <c r="FQZ31" s="537"/>
      <c r="FRA31" s="537"/>
      <c r="FRB31" s="537"/>
      <c r="FRC31" s="537"/>
      <c r="FRD31" s="537"/>
      <c r="FRE31" s="537"/>
      <c r="FRF31" s="537"/>
      <c r="FRG31" s="537"/>
      <c r="FRH31" s="537"/>
      <c r="FRI31" s="537"/>
      <c r="FRJ31" s="537"/>
      <c r="FRK31" s="537"/>
      <c r="FRL31" s="537"/>
      <c r="FRM31" s="537"/>
      <c r="FRN31" s="537"/>
      <c r="FRO31" s="537"/>
      <c r="FRP31" s="537"/>
      <c r="FRQ31" s="537"/>
      <c r="FRR31" s="537"/>
      <c r="FRS31" s="537"/>
      <c r="FRT31" s="537"/>
      <c r="FRU31" s="537"/>
      <c r="FRV31" s="537"/>
      <c r="FRW31" s="537"/>
      <c r="FRX31" s="537"/>
      <c r="FRY31" s="537"/>
      <c r="FRZ31" s="537"/>
      <c r="FSA31" s="537"/>
      <c r="FSB31" s="537"/>
      <c r="FSC31" s="537"/>
      <c r="FSD31" s="537"/>
      <c r="FSE31" s="537"/>
      <c r="FSF31" s="537"/>
      <c r="FSG31" s="537"/>
      <c r="FSH31" s="537"/>
      <c r="FSI31" s="537"/>
      <c r="FSJ31" s="537"/>
      <c r="FSK31" s="537"/>
      <c r="FSL31" s="537"/>
      <c r="FSM31" s="537"/>
      <c r="FSN31" s="537"/>
      <c r="FSO31" s="537"/>
      <c r="FSP31" s="537"/>
      <c r="FSQ31" s="537"/>
      <c r="FSR31" s="537"/>
      <c r="FSS31" s="537"/>
      <c r="FST31" s="537"/>
      <c r="FSU31" s="537"/>
      <c r="FSV31" s="537"/>
      <c r="FSW31" s="537"/>
      <c r="FSX31" s="537"/>
      <c r="FSY31" s="537"/>
      <c r="FSZ31" s="537"/>
      <c r="FTA31" s="537"/>
      <c r="FTB31" s="537"/>
      <c r="FTC31" s="537"/>
      <c r="FTD31" s="537"/>
      <c r="FTE31" s="537"/>
      <c r="FTF31" s="537"/>
      <c r="FTG31" s="537"/>
      <c r="FTH31" s="537"/>
      <c r="FTI31" s="537"/>
      <c r="FTJ31" s="537"/>
      <c r="FTK31" s="537"/>
      <c r="FTL31" s="537"/>
      <c r="FTM31" s="537"/>
      <c r="FTN31" s="537"/>
      <c r="FTO31" s="537"/>
      <c r="FTP31" s="537"/>
      <c r="FTQ31" s="537"/>
      <c r="FTR31" s="537"/>
      <c r="FTS31" s="537"/>
      <c r="FTT31" s="537"/>
      <c r="FTU31" s="537"/>
      <c r="FTV31" s="537"/>
      <c r="FTW31" s="537"/>
      <c r="FTX31" s="537"/>
      <c r="FTY31" s="537"/>
      <c r="FTZ31" s="537"/>
      <c r="FUA31" s="537"/>
      <c r="FUB31" s="537"/>
      <c r="FUC31" s="537"/>
      <c r="FUD31" s="537"/>
      <c r="FUE31" s="537"/>
      <c r="FUF31" s="537"/>
      <c r="FUG31" s="537"/>
      <c r="FUH31" s="537"/>
      <c r="FUI31" s="537"/>
      <c r="FUJ31" s="537"/>
      <c r="FUK31" s="537"/>
      <c r="FUL31" s="537"/>
      <c r="FUM31" s="537"/>
      <c r="FUN31" s="537"/>
      <c r="FUO31" s="537"/>
      <c r="FUP31" s="537"/>
      <c r="FUQ31" s="537"/>
      <c r="FUR31" s="537"/>
      <c r="FUS31" s="537"/>
      <c r="FUT31" s="537"/>
      <c r="FUU31" s="537"/>
      <c r="FUV31" s="537"/>
      <c r="FUW31" s="537"/>
      <c r="FUX31" s="537"/>
      <c r="FUY31" s="537"/>
      <c r="FUZ31" s="537"/>
      <c r="FVA31" s="537"/>
      <c r="FVB31" s="537"/>
      <c r="FVC31" s="537"/>
      <c r="FVD31" s="537"/>
      <c r="FVE31" s="537"/>
      <c r="FVF31" s="537"/>
      <c r="FVG31" s="537"/>
      <c r="FVH31" s="537"/>
      <c r="FVI31" s="537"/>
      <c r="FVJ31" s="537"/>
      <c r="FVK31" s="537"/>
      <c r="FVL31" s="537"/>
      <c r="FVM31" s="537"/>
      <c r="FVN31" s="537"/>
      <c r="FVO31" s="537"/>
      <c r="FVP31" s="537"/>
      <c r="FVQ31" s="537"/>
      <c r="FVR31" s="537"/>
      <c r="FVS31" s="537"/>
      <c r="FVT31" s="537"/>
      <c r="FVU31" s="537"/>
      <c r="FVV31" s="537"/>
      <c r="FVW31" s="537"/>
      <c r="FVX31" s="537"/>
      <c r="FVY31" s="537"/>
      <c r="FVZ31" s="537"/>
      <c r="FWA31" s="537"/>
      <c r="FWB31" s="537"/>
      <c r="FWC31" s="537"/>
      <c r="FWD31" s="537"/>
      <c r="FWE31" s="537"/>
      <c r="FWF31" s="537"/>
      <c r="FWG31" s="537"/>
      <c r="FWH31" s="537"/>
      <c r="FWI31" s="537"/>
      <c r="FWJ31" s="537"/>
      <c r="FWK31" s="537"/>
      <c r="FWL31" s="537"/>
      <c r="FWM31" s="537"/>
      <c r="FWN31" s="537"/>
      <c r="FWO31" s="537"/>
      <c r="FWP31" s="537"/>
      <c r="FWQ31" s="537"/>
      <c r="FWR31" s="537"/>
      <c r="FWS31" s="537"/>
      <c r="FWT31" s="537"/>
      <c r="FWU31" s="537"/>
      <c r="FWV31" s="537"/>
      <c r="FWW31" s="537"/>
      <c r="FWX31" s="537"/>
      <c r="FWY31" s="537"/>
      <c r="FWZ31" s="537"/>
      <c r="FXA31" s="537"/>
      <c r="FXB31" s="537"/>
      <c r="FXC31" s="537"/>
      <c r="FXD31" s="537"/>
      <c r="FXE31" s="537"/>
      <c r="FXF31" s="537"/>
      <c r="FXG31" s="537"/>
      <c r="FXH31" s="537"/>
      <c r="FXI31" s="537"/>
      <c r="FXJ31" s="537"/>
      <c r="FXK31" s="537"/>
      <c r="FXL31" s="537"/>
      <c r="FXM31" s="537"/>
      <c r="FXN31" s="537"/>
      <c r="FXO31" s="537"/>
      <c r="FXP31" s="537"/>
      <c r="FXQ31" s="537"/>
      <c r="FXR31" s="537"/>
      <c r="FXS31" s="537"/>
      <c r="FXT31" s="537"/>
      <c r="FXU31" s="537"/>
      <c r="FXV31" s="537"/>
      <c r="FXW31" s="537"/>
      <c r="FXX31" s="537"/>
      <c r="FXY31" s="537"/>
      <c r="FXZ31" s="537"/>
      <c r="FYA31" s="537"/>
      <c r="FYB31" s="537"/>
      <c r="FYC31" s="537"/>
      <c r="FYD31" s="537"/>
      <c r="FYE31" s="537"/>
      <c r="FYF31" s="537"/>
      <c r="FYG31" s="537"/>
      <c r="FYH31" s="537"/>
      <c r="FYI31" s="537"/>
      <c r="FYJ31" s="537"/>
      <c r="FYK31" s="537"/>
      <c r="FYL31" s="537"/>
      <c r="FYM31" s="537"/>
      <c r="FYN31" s="537"/>
      <c r="FYO31" s="537"/>
      <c r="FYP31" s="537"/>
      <c r="FYQ31" s="537"/>
      <c r="FYR31" s="537"/>
      <c r="FYS31" s="537"/>
      <c r="FYT31" s="537"/>
      <c r="FYU31" s="537"/>
      <c r="FYV31" s="537"/>
      <c r="FYW31" s="537"/>
      <c r="FYX31" s="537"/>
      <c r="FYY31" s="537"/>
      <c r="FYZ31" s="537"/>
      <c r="FZA31" s="537"/>
      <c r="FZB31" s="537"/>
      <c r="FZC31" s="537"/>
      <c r="FZD31" s="537"/>
      <c r="FZE31" s="537"/>
      <c r="FZF31" s="537"/>
      <c r="FZG31" s="537"/>
      <c r="FZH31" s="537"/>
      <c r="FZI31" s="537"/>
      <c r="FZJ31" s="537"/>
      <c r="FZK31" s="537"/>
      <c r="FZL31" s="537"/>
      <c r="FZM31" s="537"/>
      <c r="FZN31" s="537"/>
      <c r="FZO31" s="537"/>
      <c r="FZP31" s="537"/>
      <c r="FZQ31" s="537"/>
      <c r="FZR31" s="537"/>
      <c r="FZS31" s="537"/>
      <c r="FZT31" s="537"/>
      <c r="FZU31" s="537"/>
      <c r="FZV31" s="537"/>
      <c r="FZW31" s="537"/>
      <c r="FZX31" s="537"/>
      <c r="FZY31" s="537"/>
      <c r="FZZ31" s="537"/>
      <c r="GAA31" s="537"/>
      <c r="GAB31" s="537"/>
      <c r="GAC31" s="537"/>
      <c r="GAD31" s="537"/>
      <c r="GAE31" s="537"/>
      <c r="GAF31" s="537"/>
      <c r="GAG31" s="537"/>
      <c r="GAH31" s="537"/>
      <c r="GAI31" s="537"/>
      <c r="GAJ31" s="537"/>
      <c r="GAK31" s="537"/>
      <c r="GAL31" s="537"/>
      <c r="GAM31" s="537"/>
      <c r="GAN31" s="537"/>
      <c r="GAO31" s="537"/>
      <c r="GAP31" s="537"/>
      <c r="GAQ31" s="537"/>
      <c r="GAR31" s="537"/>
      <c r="GAS31" s="537"/>
      <c r="GAT31" s="537"/>
      <c r="GAU31" s="537"/>
      <c r="GAV31" s="537"/>
      <c r="GAW31" s="537"/>
      <c r="GAX31" s="537"/>
      <c r="GAY31" s="537"/>
      <c r="GAZ31" s="537"/>
      <c r="GBA31" s="537"/>
      <c r="GBB31" s="537"/>
      <c r="GBC31" s="537"/>
      <c r="GBD31" s="537"/>
      <c r="GBE31" s="537"/>
      <c r="GBF31" s="537"/>
      <c r="GBG31" s="537"/>
      <c r="GBH31" s="537"/>
      <c r="GBI31" s="537"/>
      <c r="GBJ31" s="537"/>
      <c r="GBK31" s="537"/>
      <c r="GBL31" s="537"/>
      <c r="GBM31" s="537"/>
      <c r="GBN31" s="537"/>
      <c r="GBO31" s="537"/>
      <c r="GBP31" s="537"/>
      <c r="GBQ31" s="537"/>
      <c r="GBR31" s="537"/>
      <c r="GBS31" s="537"/>
      <c r="GBT31" s="537"/>
      <c r="GBU31" s="537"/>
      <c r="GBV31" s="537"/>
      <c r="GBW31" s="537"/>
      <c r="GBX31" s="537"/>
      <c r="GBY31" s="537"/>
      <c r="GBZ31" s="537"/>
      <c r="GCA31" s="537"/>
      <c r="GCB31" s="537"/>
      <c r="GCC31" s="537"/>
      <c r="GCD31" s="537"/>
      <c r="GCE31" s="537"/>
      <c r="GCF31" s="537"/>
      <c r="GCG31" s="537"/>
      <c r="GCH31" s="537"/>
      <c r="GCI31" s="537"/>
      <c r="GCJ31" s="537"/>
      <c r="GCK31" s="537"/>
      <c r="GCL31" s="537"/>
      <c r="GCM31" s="537"/>
      <c r="GCN31" s="537"/>
      <c r="GCO31" s="537"/>
      <c r="GCP31" s="537"/>
      <c r="GCQ31" s="537"/>
      <c r="GCR31" s="537"/>
      <c r="GCS31" s="537"/>
      <c r="GCT31" s="537"/>
      <c r="GCU31" s="537"/>
      <c r="GCV31" s="537"/>
      <c r="GCW31" s="537"/>
      <c r="GCX31" s="537"/>
      <c r="GCY31" s="537"/>
      <c r="GCZ31" s="537"/>
      <c r="GDA31" s="537"/>
      <c r="GDB31" s="537"/>
      <c r="GDC31" s="537"/>
      <c r="GDD31" s="537"/>
      <c r="GDE31" s="537"/>
      <c r="GDF31" s="537"/>
      <c r="GDG31" s="537"/>
      <c r="GDH31" s="537"/>
      <c r="GDI31" s="537"/>
      <c r="GDJ31" s="537"/>
      <c r="GDK31" s="537"/>
      <c r="GDL31" s="537"/>
      <c r="GDM31" s="537"/>
      <c r="GDN31" s="537"/>
      <c r="GDO31" s="537"/>
      <c r="GDP31" s="537"/>
      <c r="GDQ31" s="537"/>
      <c r="GDR31" s="537"/>
      <c r="GDS31" s="537"/>
      <c r="GDT31" s="537"/>
      <c r="GDU31" s="537"/>
      <c r="GDV31" s="537"/>
      <c r="GDW31" s="537"/>
      <c r="GDX31" s="537"/>
      <c r="GDY31" s="537"/>
      <c r="GDZ31" s="537"/>
      <c r="GEA31" s="537"/>
      <c r="GEB31" s="537"/>
      <c r="GEC31" s="537"/>
      <c r="GED31" s="537"/>
      <c r="GEE31" s="537"/>
      <c r="GEF31" s="537"/>
      <c r="GEG31" s="537"/>
      <c r="GEH31" s="537"/>
      <c r="GEI31" s="537"/>
      <c r="GEJ31" s="537"/>
      <c r="GEK31" s="537"/>
      <c r="GEL31" s="537"/>
      <c r="GEM31" s="537"/>
      <c r="GEN31" s="537"/>
      <c r="GEO31" s="537"/>
      <c r="GEP31" s="537"/>
      <c r="GEQ31" s="537"/>
      <c r="GER31" s="537"/>
      <c r="GES31" s="537"/>
      <c r="GET31" s="537"/>
      <c r="GEU31" s="537"/>
      <c r="GEV31" s="537"/>
      <c r="GEW31" s="537"/>
      <c r="GEX31" s="537"/>
      <c r="GEY31" s="537"/>
      <c r="GEZ31" s="537"/>
      <c r="GFA31" s="537"/>
      <c r="GFB31" s="537"/>
      <c r="GFC31" s="537"/>
      <c r="GFD31" s="537"/>
      <c r="GFE31" s="537"/>
      <c r="GFF31" s="537"/>
      <c r="GFG31" s="537"/>
      <c r="GFH31" s="537"/>
      <c r="GFI31" s="537"/>
      <c r="GFJ31" s="537"/>
      <c r="GFK31" s="537"/>
      <c r="GFL31" s="537"/>
      <c r="GFM31" s="537"/>
      <c r="GFN31" s="537"/>
      <c r="GFO31" s="537"/>
      <c r="GFP31" s="537"/>
      <c r="GFQ31" s="537"/>
      <c r="GFR31" s="537"/>
      <c r="GFS31" s="537"/>
      <c r="GFT31" s="537"/>
      <c r="GFU31" s="537"/>
      <c r="GFV31" s="537"/>
      <c r="GFW31" s="537"/>
      <c r="GFX31" s="537"/>
      <c r="GFY31" s="537"/>
      <c r="GFZ31" s="537"/>
      <c r="GGA31" s="537"/>
      <c r="GGB31" s="537"/>
      <c r="GGC31" s="537"/>
      <c r="GGD31" s="537"/>
      <c r="GGE31" s="537"/>
      <c r="GGF31" s="537"/>
      <c r="GGG31" s="537"/>
      <c r="GGH31" s="537"/>
      <c r="GGI31" s="537"/>
      <c r="GGJ31" s="537"/>
      <c r="GGK31" s="537"/>
      <c r="GGL31" s="537"/>
      <c r="GGM31" s="537"/>
      <c r="GGN31" s="537"/>
      <c r="GGO31" s="537"/>
      <c r="GGP31" s="537"/>
      <c r="GGQ31" s="537"/>
      <c r="GGR31" s="537"/>
      <c r="GGS31" s="537"/>
      <c r="GGT31" s="537"/>
      <c r="GGU31" s="537"/>
      <c r="GGV31" s="537"/>
      <c r="GGW31" s="537"/>
      <c r="GGX31" s="537"/>
      <c r="GGY31" s="537"/>
      <c r="GGZ31" s="537"/>
      <c r="GHA31" s="537"/>
      <c r="GHB31" s="537"/>
      <c r="GHC31" s="537"/>
      <c r="GHD31" s="537"/>
      <c r="GHE31" s="537"/>
      <c r="GHF31" s="537"/>
      <c r="GHG31" s="537"/>
      <c r="GHH31" s="537"/>
      <c r="GHI31" s="537"/>
      <c r="GHJ31" s="537"/>
      <c r="GHK31" s="537"/>
      <c r="GHL31" s="537"/>
      <c r="GHM31" s="537"/>
      <c r="GHN31" s="537"/>
      <c r="GHO31" s="537"/>
      <c r="GHP31" s="537"/>
      <c r="GHQ31" s="537"/>
      <c r="GHR31" s="537"/>
      <c r="GHS31" s="537"/>
      <c r="GHT31" s="537"/>
      <c r="GHU31" s="537"/>
      <c r="GHV31" s="537"/>
      <c r="GHW31" s="537"/>
      <c r="GHX31" s="537"/>
      <c r="GHY31" s="537"/>
      <c r="GHZ31" s="537"/>
      <c r="GIA31" s="537"/>
      <c r="GIB31" s="537"/>
      <c r="GIC31" s="537"/>
      <c r="GID31" s="537"/>
      <c r="GIE31" s="537"/>
      <c r="GIF31" s="537"/>
      <c r="GIG31" s="537"/>
      <c r="GIH31" s="537"/>
      <c r="GII31" s="537"/>
      <c r="GIJ31" s="537"/>
      <c r="GIK31" s="537"/>
      <c r="GIL31" s="537"/>
      <c r="GIM31" s="537"/>
      <c r="GIN31" s="537"/>
      <c r="GIO31" s="537"/>
      <c r="GIP31" s="537"/>
      <c r="GIQ31" s="537"/>
      <c r="GIR31" s="537"/>
      <c r="GIS31" s="537"/>
      <c r="GIT31" s="537"/>
      <c r="GIU31" s="537"/>
      <c r="GIV31" s="537"/>
      <c r="GIW31" s="537"/>
      <c r="GIX31" s="537"/>
      <c r="GIY31" s="537"/>
      <c r="GIZ31" s="537"/>
      <c r="GJA31" s="537"/>
      <c r="GJB31" s="537"/>
      <c r="GJC31" s="537"/>
      <c r="GJD31" s="537"/>
      <c r="GJE31" s="537"/>
      <c r="GJF31" s="537"/>
      <c r="GJG31" s="537"/>
      <c r="GJH31" s="537"/>
      <c r="GJI31" s="537"/>
      <c r="GJJ31" s="537"/>
      <c r="GJK31" s="537"/>
      <c r="GJL31" s="537"/>
      <c r="GJM31" s="537"/>
      <c r="GJN31" s="537"/>
      <c r="GJO31" s="537"/>
      <c r="GJP31" s="537"/>
      <c r="GJQ31" s="537"/>
      <c r="GJR31" s="537"/>
      <c r="GJS31" s="537"/>
      <c r="GJT31" s="537"/>
      <c r="GJU31" s="537"/>
      <c r="GJV31" s="537"/>
      <c r="GJW31" s="537"/>
      <c r="GJX31" s="537"/>
      <c r="GJY31" s="537"/>
      <c r="GJZ31" s="537"/>
      <c r="GKA31" s="537"/>
      <c r="GKB31" s="537"/>
      <c r="GKC31" s="537"/>
      <c r="GKD31" s="537"/>
      <c r="GKE31" s="537"/>
      <c r="GKF31" s="537"/>
      <c r="GKG31" s="537"/>
      <c r="GKH31" s="537"/>
      <c r="GKI31" s="537"/>
      <c r="GKJ31" s="537"/>
      <c r="GKK31" s="537"/>
      <c r="GKL31" s="537"/>
      <c r="GKM31" s="537"/>
      <c r="GKN31" s="537"/>
      <c r="GKO31" s="537"/>
      <c r="GKP31" s="537"/>
      <c r="GKQ31" s="537"/>
      <c r="GKR31" s="537"/>
      <c r="GKS31" s="537"/>
      <c r="GKT31" s="537"/>
      <c r="GKU31" s="537"/>
      <c r="GKV31" s="537"/>
      <c r="GKW31" s="537"/>
      <c r="GKX31" s="537"/>
      <c r="GKY31" s="537"/>
      <c r="GKZ31" s="537"/>
      <c r="GLA31" s="537"/>
      <c r="GLB31" s="537"/>
      <c r="GLC31" s="537"/>
      <c r="GLD31" s="537"/>
      <c r="GLE31" s="537"/>
      <c r="GLF31" s="537"/>
      <c r="GLG31" s="537"/>
      <c r="GLH31" s="537"/>
      <c r="GLI31" s="537"/>
      <c r="GLJ31" s="537"/>
      <c r="GLK31" s="537"/>
      <c r="GLL31" s="537"/>
      <c r="GLM31" s="537"/>
      <c r="GLN31" s="537"/>
      <c r="GLO31" s="537"/>
      <c r="GLP31" s="537"/>
      <c r="GLQ31" s="537"/>
      <c r="GLR31" s="537"/>
      <c r="GLS31" s="537"/>
      <c r="GLT31" s="537"/>
      <c r="GLU31" s="537"/>
      <c r="GLV31" s="537"/>
      <c r="GLW31" s="537"/>
      <c r="GLX31" s="537"/>
      <c r="GLY31" s="537"/>
      <c r="GLZ31" s="537"/>
      <c r="GMA31" s="537"/>
      <c r="GMB31" s="537"/>
      <c r="GMC31" s="537"/>
      <c r="GMD31" s="537"/>
      <c r="GME31" s="537"/>
      <c r="GMF31" s="537"/>
      <c r="GMG31" s="537"/>
      <c r="GMH31" s="537"/>
      <c r="GMI31" s="537"/>
      <c r="GMJ31" s="537"/>
      <c r="GMK31" s="537"/>
      <c r="GML31" s="537"/>
      <c r="GMM31" s="537"/>
      <c r="GMN31" s="537"/>
      <c r="GMO31" s="537"/>
      <c r="GMP31" s="537"/>
      <c r="GMQ31" s="537"/>
      <c r="GMR31" s="537"/>
      <c r="GMS31" s="537"/>
      <c r="GMT31" s="537"/>
      <c r="GMU31" s="537"/>
      <c r="GMV31" s="537"/>
      <c r="GMW31" s="537"/>
      <c r="GMX31" s="537"/>
      <c r="GMY31" s="537"/>
      <c r="GMZ31" s="537"/>
      <c r="GNA31" s="537"/>
      <c r="GNB31" s="537"/>
      <c r="GNC31" s="537"/>
      <c r="GND31" s="537"/>
      <c r="GNE31" s="537"/>
      <c r="GNF31" s="537"/>
      <c r="GNG31" s="537"/>
      <c r="GNH31" s="537"/>
      <c r="GNI31" s="537"/>
      <c r="GNJ31" s="537"/>
      <c r="GNK31" s="537"/>
      <c r="GNL31" s="537"/>
      <c r="GNM31" s="537"/>
      <c r="GNN31" s="537"/>
      <c r="GNO31" s="537"/>
      <c r="GNP31" s="537"/>
      <c r="GNQ31" s="537"/>
      <c r="GNR31" s="537"/>
      <c r="GNS31" s="537"/>
      <c r="GNT31" s="537"/>
      <c r="GNU31" s="537"/>
      <c r="GNV31" s="537"/>
      <c r="GNW31" s="537"/>
      <c r="GNX31" s="537"/>
      <c r="GNY31" s="537"/>
      <c r="GNZ31" s="537"/>
      <c r="GOA31" s="537"/>
      <c r="GOB31" s="537"/>
      <c r="GOC31" s="537"/>
      <c r="GOD31" s="537"/>
      <c r="GOE31" s="537"/>
      <c r="GOF31" s="537"/>
      <c r="GOG31" s="537"/>
      <c r="GOH31" s="537"/>
      <c r="GOI31" s="537"/>
      <c r="GOJ31" s="537"/>
      <c r="GOK31" s="537"/>
      <c r="GOL31" s="537"/>
      <c r="GOM31" s="537"/>
      <c r="GON31" s="537"/>
      <c r="GOO31" s="537"/>
      <c r="GOP31" s="537"/>
      <c r="GOQ31" s="537"/>
      <c r="GOR31" s="537"/>
      <c r="GOS31" s="537"/>
      <c r="GOT31" s="537"/>
      <c r="GOU31" s="537"/>
      <c r="GOV31" s="537"/>
      <c r="GOW31" s="537"/>
      <c r="GOX31" s="537"/>
      <c r="GOY31" s="537"/>
      <c r="GOZ31" s="537"/>
      <c r="GPA31" s="537"/>
      <c r="GPB31" s="537"/>
      <c r="GPC31" s="537"/>
      <c r="GPD31" s="537"/>
      <c r="GPE31" s="537"/>
      <c r="GPF31" s="537"/>
      <c r="GPG31" s="537"/>
      <c r="GPH31" s="537"/>
      <c r="GPI31" s="537"/>
      <c r="GPJ31" s="537"/>
      <c r="GPK31" s="537"/>
      <c r="GPL31" s="537"/>
      <c r="GPM31" s="537"/>
      <c r="GPN31" s="537"/>
      <c r="GPO31" s="537"/>
      <c r="GPP31" s="537"/>
      <c r="GPQ31" s="537"/>
      <c r="GPR31" s="537"/>
      <c r="GPS31" s="537"/>
      <c r="GPT31" s="537"/>
      <c r="GPU31" s="537"/>
      <c r="GPV31" s="537"/>
      <c r="GPW31" s="537"/>
      <c r="GPX31" s="537"/>
      <c r="GPY31" s="537"/>
      <c r="GPZ31" s="537"/>
      <c r="GQA31" s="537"/>
      <c r="GQB31" s="537"/>
      <c r="GQC31" s="537"/>
      <c r="GQD31" s="537"/>
      <c r="GQE31" s="537"/>
      <c r="GQF31" s="537"/>
      <c r="GQG31" s="537"/>
      <c r="GQH31" s="537"/>
      <c r="GQI31" s="537"/>
      <c r="GQJ31" s="537"/>
      <c r="GQK31" s="537"/>
      <c r="GQL31" s="537"/>
      <c r="GQM31" s="537"/>
      <c r="GQN31" s="537"/>
      <c r="GQO31" s="537"/>
      <c r="GQP31" s="537"/>
      <c r="GQQ31" s="537"/>
      <c r="GQR31" s="537"/>
      <c r="GQS31" s="537"/>
      <c r="GQT31" s="537"/>
      <c r="GQU31" s="537"/>
      <c r="GQV31" s="537"/>
      <c r="GQW31" s="537"/>
      <c r="GQX31" s="537"/>
      <c r="GQY31" s="537"/>
      <c r="GQZ31" s="537"/>
      <c r="GRA31" s="537"/>
      <c r="GRB31" s="537"/>
      <c r="GRC31" s="537"/>
      <c r="GRD31" s="537"/>
      <c r="GRE31" s="537"/>
      <c r="GRF31" s="537"/>
      <c r="GRG31" s="537"/>
      <c r="GRH31" s="537"/>
      <c r="GRI31" s="537"/>
      <c r="GRJ31" s="537"/>
      <c r="GRK31" s="537"/>
      <c r="GRL31" s="537"/>
      <c r="GRM31" s="537"/>
      <c r="GRN31" s="537"/>
      <c r="GRO31" s="537"/>
      <c r="GRP31" s="537"/>
      <c r="GRQ31" s="537"/>
      <c r="GRR31" s="537"/>
      <c r="GRS31" s="537"/>
      <c r="GRT31" s="537"/>
      <c r="GRU31" s="537"/>
      <c r="GRV31" s="537"/>
      <c r="GRW31" s="537"/>
      <c r="GRX31" s="537"/>
      <c r="GRY31" s="537"/>
      <c r="GRZ31" s="537"/>
      <c r="GSA31" s="537"/>
      <c r="GSB31" s="537"/>
      <c r="GSC31" s="537"/>
      <c r="GSD31" s="537"/>
      <c r="GSE31" s="537"/>
      <c r="GSF31" s="537"/>
      <c r="GSG31" s="537"/>
      <c r="GSH31" s="537"/>
      <c r="GSI31" s="537"/>
      <c r="GSJ31" s="537"/>
      <c r="GSK31" s="537"/>
      <c r="GSL31" s="537"/>
      <c r="GSM31" s="537"/>
      <c r="GSN31" s="537"/>
      <c r="GSO31" s="537"/>
      <c r="GSP31" s="537"/>
      <c r="GSQ31" s="537"/>
      <c r="GSR31" s="537"/>
      <c r="GSS31" s="537"/>
      <c r="GST31" s="537"/>
      <c r="GSU31" s="537"/>
      <c r="GSV31" s="537"/>
      <c r="GSW31" s="537"/>
      <c r="GSX31" s="537"/>
      <c r="GSY31" s="537"/>
      <c r="GSZ31" s="537"/>
      <c r="GTA31" s="537"/>
      <c r="GTB31" s="537"/>
      <c r="GTC31" s="537"/>
      <c r="GTD31" s="537"/>
      <c r="GTE31" s="537"/>
      <c r="GTF31" s="537"/>
      <c r="GTG31" s="537"/>
      <c r="GTH31" s="537"/>
      <c r="GTI31" s="537"/>
      <c r="GTJ31" s="537"/>
      <c r="GTK31" s="537"/>
      <c r="GTL31" s="537"/>
      <c r="GTM31" s="537"/>
      <c r="GTN31" s="537"/>
      <c r="GTO31" s="537"/>
      <c r="GTP31" s="537"/>
      <c r="GTQ31" s="537"/>
      <c r="GTR31" s="537"/>
      <c r="GTS31" s="537"/>
      <c r="GTT31" s="537"/>
      <c r="GTU31" s="537"/>
      <c r="GTV31" s="537"/>
      <c r="GTW31" s="537"/>
      <c r="GTX31" s="537"/>
      <c r="GTY31" s="537"/>
      <c r="GTZ31" s="537"/>
      <c r="GUA31" s="537"/>
      <c r="GUB31" s="537"/>
      <c r="GUC31" s="537"/>
      <c r="GUD31" s="537"/>
      <c r="GUE31" s="537"/>
      <c r="GUF31" s="537"/>
      <c r="GUG31" s="537"/>
      <c r="GUH31" s="537"/>
      <c r="GUI31" s="537"/>
      <c r="GUJ31" s="537"/>
      <c r="GUK31" s="537"/>
      <c r="GUL31" s="537"/>
      <c r="GUM31" s="537"/>
      <c r="GUN31" s="537"/>
      <c r="GUO31" s="537"/>
      <c r="GUP31" s="537"/>
      <c r="GUQ31" s="537"/>
      <c r="GUR31" s="537"/>
      <c r="GUS31" s="537"/>
      <c r="GUT31" s="537"/>
      <c r="GUU31" s="537"/>
      <c r="GUV31" s="537"/>
      <c r="GUW31" s="537"/>
      <c r="GUX31" s="537"/>
      <c r="GUY31" s="537"/>
      <c r="GUZ31" s="537"/>
      <c r="GVA31" s="537"/>
      <c r="GVB31" s="537"/>
      <c r="GVC31" s="537"/>
      <c r="GVD31" s="537"/>
      <c r="GVE31" s="537"/>
      <c r="GVF31" s="537"/>
      <c r="GVG31" s="537"/>
      <c r="GVH31" s="537"/>
      <c r="GVI31" s="537"/>
      <c r="GVJ31" s="537"/>
      <c r="GVK31" s="537"/>
      <c r="GVL31" s="537"/>
      <c r="GVM31" s="537"/>
      <c r="GVN31" s="537"/>
      <c r="GVO31" s="537"/>
      <c r="GVP31" s="537"/>
      <c r="GVQ31" s="537"/>
      <c r="GVR31" s="537"/>
      <c r="GVS31" s="537"/>
      <c r="GVT31" s="537"/>
      <c r="GVU31" s="537"/>
      <c r="GVV31" s="537"/>
      <c r="GVW31" s="537"/>
      <c r="GVX31" s="537"/>
      <c r="GVY31" s="537"/>
      <c r="GVZ31" s="537"/>
      <c r="GWA31" s="537"/>
      <c r="GWB31" s="537"/>
      <c r="GWC31" s="537"/>
      <c r="GWD31" s="537"/>
      <c r="GWE31" s="537"/>
      <c r="GWF31" s="537"/>
      <c r="GWG31" s="537"/>
      <c r="GWH31" s="537"/>
      <c r="GWI31" s="537"/>
      <c r="GWJ31" s="537"/>
      <c r="GWK31" s="537"/>
      <c r="GWL31" s="537"/>
      <c r="GWM31" s="537"/>
      <c r="GWN31" s="537"/>
      <c r="GWO31" s="537"/>
      <c r="GWP31" s="537"/>
      <c r="GWQ31" s="537"/>
      <c r="GWR31" s="537"/>
      <c r="GWS31" s="537"/>
      <c r="GWT31" s="537"/>
      <c r="GWU31" s="537"/>
      <c r="GWV31" s="537"/>
      <c r="GWW31" s="537"/>
      <c r="GWX31" s="537"/>
      <c r="GWY31" s="537"/>
      <c r="GWZ31" s="537"/>
      <c r="GXA31" s="537"/>
      <c r="GXB31" s="537"/>
      <c r="GXC31" s="537"/>
      <c r="GXD31" s="537"/>
      <c r="GXE31" s="537"/>
      <c r="GXF31" s="537"/>
      <c r="GXG31" s="537"/>
      <c r="GXH31" s="537"/>
      <c r="GXI31" s="537"/>
      <c r="GXJ31" s="537"/>
      <c r="GXK31" s="537"/>
      <c r="GXL31" s="537"/>
      <c r="GXM31" s="537"/>
      <c r="GXN31" s="537"/>
      <c r="GXO31" s="537"/>
      <c r="GXP31" s="537"/>
      <c r="GXQ31" s="537"/>
      <c r="GXR31" s="537"/>
      <c r="GXS31" s="537"/>
      <c r="GXT31" s="537"/>
      <c r="GXU31" s="537"/>
      <c r="GXV31" s="537"/>
      <c r="GXW31" s="537"/>
      <c r="GXX31" s="537"/>
      <c r="GXY31" s="537"/>
      <c r="GXZ31" s="537"/>
      <c r="GYA31" s="537"/>
      <c r="GYB31" s="537"/>
      <c r="GYC31" s="537"/>
      <c r="GYD31" s="537"/>
      <c r="GYE31" s="537"/>
      <c r="GYF31" s="537"/>
      <c r="GYG31" s="537"/>
      <c r="GYH31" s="537"/>
      <c r="GYI31" s="537"/>
      <c r="GYJ31" s="537"/>
      <c r="GYK31" s="537"/>
      <c r="GYL31" s="537"/>
      <c r="GYM31" s="537"/>
      <c r="GYN31" s="537"/>
      <c r="GYO31" s="537"/>
      <c r="GYP31" s="537"/>
      <c r="GYQ31" s="537"/>
      <c r="GYR31" s="537"/>
      <c r="GYS31" s="537"/>
      <c r="GYT31" s="537"/>
      <c r="GYU31" s="537"/>
      <c r="GYV31" s="537"/>
      <c r="GYW31" s="537"/>
      <c r="GYX31" s="537"/>
      <c r="GYY31" s="537"/>
      <c r="GYZ31" s="537"/>
      <c r="GZA31" s="537"/>
      <c r="GZB31" s="537"/>
      <c r="GZC31" s="537"/>
      <c r="GZD31" s="537"/>
      <c r="GZE31" s="537"/>
      <c r="GZF31" s="537"/>
      <c r="GZG31" s="537"/>
      <c r="GZH31" s="537"/>
      <c r="GZI31" s="537"/>
      <c r="GZJ31" s="537"/>
      <c r="GZK31" s="537"/>
      <c r="GZL31" s="537"/>
      <c r="GZM31" s="537"/>
      <c r="GZN31" s="537"/>
      <c r="GZO31" s="537"/>
      <c r="GZP31" s="537"/>
      <c r="GZQ31" s="537"/>
      <c r="GZR31" s="537"/>
      <c r="GZS31" s="537"/>
      <c r="GZT31" s="537"/>
      <c r="GZU31" s="537"/>
      <c r="GZV31" s="537"/>
      <c r="GZW31" s="537"/>
      <c r="GZX31" s="537"/>
      <c r="GZY31" s="537"/>
      <c r="GZZ31" s="537"/>
      <c r="HAA31" s="537"/>
      <c r="HAB31" s="537"/>
      <c r="HAC31" s="537"/>
      <c r="HAD31" s="537"/>
      <c r="HAE31" s="537"/>
      <c r="HAF31" s="537"/>
      <c r="HAG31" s="537"/>
      <c r="HAH31" s="537"/>
      <c r="HAI31" s="537"/>
      <c r="HAJ31" s="537"/>
      <c r="HAK31" s="537"/>
      <c r="HAL31" s="537"/>
      <c r="HAM31" s="537"/>
      <c r="HAN31" s="537"/>
      <c r="HAO31" s="537"/>
      <c r="HAP31" s="537"/>
      <c r="HAQ31" s="537"/>
      <c r="HAR31" s="537"/>
      <c r="HAS31" s="537"/>
      <c r="HAT31" s="537"/>
      <c r="HAU31" s="537"/>
      <c r="HAV31" s="537"/>
      <c r="HAW31" s="537"/>
      <c r="HAX31" s="537"/>
      <c r="HAY31" s="537"/>
      <c r="HAZ31" s="537"/>
      <c r="HBA31" s="537"/>
      <c r="HBB31" s="537"/>
      <c r="HBC31" s="537"/>
      <c r="HBD31" s="537"/>
      <c r="HBE31" s="537"/>
      <c r="HBF31" s="537"/>
      <c r="HBG31" s="537"/>
      <c r="HBH31" s="537"/>
      <c r="HBI31" s="537"/>
      <c r="HBJ31" s="537"/>
      <c r="HBK31" s="537"/>
      <c r="HBL31" s="537"/>
      <c r="HBM31" s="537"/>
      <c r="HBN31" s="537"/>
      <c r="HBO31" s="537"/>
      <c r="HBP31" s="537"/>
      <c r="HBQ31" s="537"/>
      <c r="HBR31" s="537"/>
      <c r="HBS31" s="537"/>
      <c r="HBT31" s="537"/>
      <c r="HBU31" s="537"/>
      <c r="HBV31" s="537"/>
      <c r="HBW31" s="537"/>
      <c r="HBX31" s="537"/>
      <c r="HBY31" s="537"/>
      <c r="HBZ31" s="537"/>
      <c r="HCA31" s="537"/>
      <c r="HCB31" s="537"/>
      <c r="HCC31" s="537"/>
      <c r="HCD31" s="537"/>
      <c r="HCE31" s="537"/>
      <c r="HCF31" s="537"/>
      <c r="HCG31" s="537"/>
      <c r="HCH31" s="537"/>
      <c r="HCI31" s="537"/>
      <c r="HCJ31" s="537"/>
      <c r="HCK31" s="537"/>
      <c r="HCL31" s="537"/>
      <c r="HCM31" s="537"/>
      <c r="HCN31" s="537"/>
      <c r="HCO31" s="537"/>
      <c r="HCP31" s="537"/>
      <c r="HCQ31" s="537"/>
      <c r="HCR31" s="537"/>
      <c r="HCS31" s="537"/>
      <c r="HCT31" s="537"/>
      <c r="HCU31" s="537"/>
      <c r="HCV31" s="537"/>
      <c r="HCW31" s="537"/>
      <c r="HCX31" s="537"/>
      <c r="HCY31" s="537"/>
      <c r="HCZ31" s="537"/>
      <c r="HDA31" s="537"/>
      <c r="HDB31" s="537"/>
      <c r="HDC31" s="537"/>
      <c r="HDD31" s="537"/>
      <c r="HDE31" s="537"/>
      <c r="HDF31" s="537"/>
      <c r="HDG31" s="537"/>
      <c r="HDH31" s="537"/>
      <c r="HDI31" s="537"/>
      <c r="HDJ31" s="537"/>
      <c r="HDK31" s="537"/>
      <c r="HDL31" s="537"/>
      <c r="HDM31" s="537"/>
      <c r="HDN31" s="537"/>
      <c r="HDO31" s="537"/>
      <c r="HDP31" s="537"/>
      <c r="HDQ31" s="537"/>
      <c r="HDR31" s="537"/>
      <c r="HDS31" s="537"/>
      <c r="HDT31" s="537"/>
      <c r="HDU31" s="537"/>
      <c r="HDV31" s="537"/>
      <c r="HDW31" s="537"/>
      <c r="HDX31" s="537"/>
      <c r="HDY31" s="537"/>
      <c r="HDZ31" s="537"/>
      <c r="HEA31" s="537"/>
      <c r="HEB31" s="537"/>
      <c r="HEC31" s="537"/>
      <c r="HED31" s="537"/>
      <c r="HEE31" s="537"/>
      <c r="HEF31" s="537"/>
      <c r="HEG31" s="537"/>
      <c r="HEH31" s="537"/>
      <c r="HEI31" s="537"/>
      <c r="HEJ31" s="537"/>
      <c r="HEK31" s="537"/>
      <c r="HEL31" s="537"/>
      <c r="HEM31" s="537"/>
      <c r="HEN31" s="537"/>
      <c r="HEO31" s="537"/>
      <c r="HEP31" s="537"/>
      <c r="HEQ31" s="537"/>
      <c r="HER31" s="537"/>
      <c r="HES31" s="537"/>
      <c r="HET31" s="537"/>
      <c r="HEU31" s="537"/>
      <c r="HEV31" s="537"/>
      <c r="HEW31" s="537"/>
      <c r="HEX31" s="537"/>
      <c r="HEY31" s="537"/>
      <c r="HEZ31" s="537"/>
      <c r="HFA31" s="537"/>
      <c r="HFB31" s="537"/>
      <c r="HFC31" s="537"/>
      <c r="HFD31" s="537"/>
      <c r="HFE31" s="537"/>
      <c r="HFF31" s="537"/>
      <c r="HFG31" s="537"/>
      <c r="HFH31" s="537"/>
      <c r="HFI31" s="537"/>
      <c r="HFJ31" s="537"/>
      <c r="HFK31" s="537"/>
      <c r="HFL31" s="537"/>
      <c r="HFM31" s="537"/>
      <c r="HFN31" s="537"/>
      <c r="HFO31" s="537"/>
      <c r="HFP31" s="537"/>
      <c r="HFQ31" s="537"/>
      <c r="HFR31" s="537"/>
      <c r="HFS31" s="537"/>
      <c r="HFT31" s="537"/>
      <c r="HFU31" s="537"/>
      <c r="HFV31" s="537"/>
      <c r="HFW31" s="537"/>
      <c r="HFX31" s="537"/>
      <c r="HFY31" s="537"/>
      <c r="HFZ31" s="537"/>
      <c r="HGA31" s="537"/>
      <c r="HGB31" s="537"/>
      <c r="HGC31" s="537"/>
      <c r="HGD31" s="537"/>
      <c r="HGE31" s="537"/>
      <c r="HGF31" s="537"/>
      <c r="HGG31" s="537"/>
      <c r="HGH31" s="537"/>
      <c r="HGI31" s="537"/>
      <c r="HGJ31" s="537"/>
      <c r="HGK31" s="537"/>
      <c r="HGL31" s="537"/>
      <c r="HGM31" s="537"/>
      <c r="HGN31" s="537"/>
      <c r="HGO31" s="537"/>
      <c r="HGP31" s="537"/>
      <c r="HGQ31" s="537"/>
      <c r="HGR31" s="537"/>
      <c r="HGS31" s="537"/>
      <c r="HGT31" s="537"/>
      <c r="HGU31" s="537"/>
      <c r="HGV31" s="537"/>
      <c r="HGW31" s="537"/>
      <c r="HGX31" s="537"/>
      <c r="HGY31" s="537"/>
      <c r="HGZ31" s="537"/>
      <c r="HHA31" s="537"/>
      <c r="HHB31" s="537"/>
      <c r="HHC31" s="537"/>
      <c r="HHD31" s="537"/>
      <c r="HHE31" s="537"/>
      <c r="HHF31" s="537"/>
      <c r="HHG31" s="537"/>
      <c r="HHH31" s="537"/>
      <c r="HHI31" s="537"/>
      <c r="HHJ31" s="537"/>
      <c r="HHK31" s="537"/>
      <c r="HHL31" s="537"/>
      <c r="HHM31" s="537"/>
      <c r="HHN31" s="537"/>
      <c r="HHO31" s="537"/>
      <c r="HHP31" s="537"/>
      <c r="HHQ31" s="537"/>
      <c r="HHR31" s="537"/>
      <c r="HHS31" s="537"/>
      <c r="HHT31" s="537"/>
      <c r="HHU31" s="537"/>
      <c r="HHV31" s="537"/>
      <c r="HHW31" s="537"/>
      <c r="HHX31" s="537"/>
      <c r="HHY31" s="537"/>
      <c r="HHZ31" s="537"/>
      <c r="HIA31" s="537"/>
      <c r="HIB31" s="537"/>
      <c r="HIC31" s="537"/>
      <c r="HID31" s="537"/>
      <c r="HIE31" s="537"/>
      <c r="HIF31" s="537"/>
      <c r="HIG31" s="537"/>
      <c r="HIH31" s="537"/>
      <c r="HII31" s="537"/>
      <c r="HIJ31" s="537"/>
      <c r="HIK31" s="537"/>
      <c r="HIL31" s="537"/>
      <c r="HIM31" s="537"/>
      <c r="HIN31" s="537"/>
      <c r="HIO31" s="537"/>
      <c r="HIP31" s="537"/>
      <c r="HIQ31" s="537"/>
      <c r="HIR31" s="537"/>
      <c r="HIS31" s="537"/>
      <c r="HIT31" s="537"/>
      <c r="HIU31" s="537"/>
      <c r="HIV31" s="537"/>
      <c r="HIW31" s="537"/>
      <c r="HIX31" s="537"/>
      <c r="HIY31" s="537"/>
      <c r="HIZ31" s="537"/>
      <c r="HJA31" s="537"/>
      <c r="HJB31" s="537"/>
      <c r="HJC31" s="537"/>
      <c r="HJD31" s="537"/>
      <c r="HJE31" s="537"/>
      <c r="HJF31" s="537"/>
      <c r="HJG31" s="537"/>
      <c r="HJH31" s="537"/>
      <c r="HJI31" s="537"/>
      <c r="HJJ31" s="537"/>
      <c r="HJK31" s="537"/>
      <c r="HJL31" s="537"/>
      <c r="HJM31" s="537"/>
      <c r="HJN31" s="537"/>
      <c r="HJO31" s="537"/>
      <c r="HJP31" s="537"/>
      <c r="HJQ31" s="537"/>
      <c r="HJR31" s="537"/>
      <c r="HJS31" s="537"/>
      <c r="HJT31" s="537"/>
      <c r="HJU31" s="537"/>
      <c r="HJV31" s="537"/>
      <c r="HJW31" s="537"/>
      <c r="HJX31" s="537"/>
      <c r="HJY31" s="537"/>
      <c r="HJZ31" s="537"/>
      <c r="HKA31" s="537"/>
      <c r="HKB31" s="537"/>
      <c r="HKC31" s="537"/>
      <c r="HKD31" s="537"/>
      <c r="HKE31" s="537"/>
      <c r="HKF31" s="537"/>
      <c r="HKG31" s="537"/>
      <c r="HKH31" s="537"/>
      <c r="HKI31" s="537"/>
      <c r="HKJ31" s="537"/>
      <c r="HKK31" s="537"/>
      <c r="HKL31" s="537"/>
      <c r="HKM31" s="537"/>
      <c r="HKN31" s="537"/>
      <c r="HKO31" s="537"/>
      <c r="HKP31" s="537"/>
      <c r="HKQ31" s="537"/>
      <c r="HKR31" s="537"/>
      <c r="HKS31" s="537"/>
      <c r="HKT31" s="537"/>
      <c r="HKU31" s="537"/>
      <c r="HKV31" s="537"/>
      <c r="HKW31" s="537"/>
      <c r="HKX31" s="537"/>
      <c r="HKY31" s="537"/>
      <c r="HKZ31" s="537"/>
      <c r="HLA31" s="537"/>
      <c r="HLB31" s="537"/>
      <c r="HLC31" s="537"/>
      <c r="HLD31" s="537"/>
      <c r="HLE31" s="537"/>
      <c r="HLF31" s="537"/>
      <c r="HLG31" s="537"/>
      <c r="HLH31" s="537"/>
      <c r="HLI31" s="537"/>
      <c r="HLJ31" s="537"/>
      <c r="HLK31" s="537"/>
      <c r="HLL31" s="537"/>
      <c r="HLM31" s="537"/>
      <c r="HLN31" s="537"/>
      <c r="HLO31" s="537"/>
      <c r="HLP31" s="537"/>
      <c r="HLQ31" s="537"/>
      <c r="HLR31" s="537"/>
      <c r="HLS31" s="537"/>
      <c r="HLT31" s="537"/>
      <c r="HLU31" s="537"/>
      <c r="HLV31" s="537"/>
      <c r="HLW31" s="537"/>
      <c r="HLX31" s="537"/>
      <c r="HLY31" s="537"/>
      <c r="HLZ31" s="537"/>
      <c r="HMA31" s="537"/>
      <c r="HMB31" s="537"/>
      <c r="HMC31" s="537"/>
      <c r="HMD31" s="537"/>
      <c r="HME31" s="537"/>
      <c r="HMF31" s="537"/>
      <c r="HMG31" s="537"/>
      <c r="HMH31" s="537"/>
      <c r="HMI31" s="537"/>
      <c r="HMJ31" s="537"/>
      <c r="HMK31" s="537"/>
      <c r="HML31" s="537"/>
      <c r="HMM31" s="537"/>
      <c r="HMN31" s="537"/>
      <c r="HMO31" s="537"/>
      <c r="HMP31" s="537"/>
      <c r="HMQ31" s="537"/>
      <c r="HMR31" s="537"/>
      <c r="HMS31" s="537"/>
      <c r="HMT31" s="537"/>
      <c r="HMU31" s="537"/>
      <c r="HMV31" s="537"/>
      <c r="HMW31" s="537"/>
      <c r="HMX31" s="537"/>
      <c r="HMY31" s="537"/>
      <c r="HMZ31" s="537"/>
      <c r="HNA31" s="537"/>
      <c r="HNB31" s="537"/>
      <c r="HNC31" s="537"/>
      <c r="HND31" s="537"/>
      <c r="HNE31" s="537"/>
      <c r="HNF31" s="537"/>
      <c r="HNG31" s="537"/>
      <c r="HNH31" s="537"/>
      <c r="HNI31" s="537"/>
      <c r="HNJ31" s="537"/>
      <c r="HNK31" s="537"/>
      <c r="HNL31" s="537"/>
      <c r="HNM31" s="537"/>
      <c r="HNN31" s="537"/>
      <c r="HNO31" s="537"/>
      <c r="HNP31" s="537"/>
      <c r="HNQ31" s="537"/>
      <c r="HNR31" s="537"/>
      <c r="HNS31" s="537"/>
      <c r="HNT31" s="537"/>
      <c r="HNU31" s="537"/>
      <c r="HNV31" s="537"/>
      <c r="HNW31" s="537"/>
      <c r="HNX31" s="537"/>
      <c r="HNY31" s="537"/>
      <c r="HNZ31" s="537"/>
      <c r="HOA31" s="537"/>
      <c r="HOB31" s="537"/>
      <c r="HOC31" s="537"/>
      <c r="HOD31" s="537"/>
      <c r="HOE31" s="537"/>
      <c r="HOF31" s="537"/>
      <c r="HOG31" s="537"/>
      <c r="HOH31" s="537"/>
      <c r="HOI31" s="537"/>
      <c r="HOJ31" s="537"/>
      <c r="HOK31" s="537"/>
      <c r="HOL31" s="537"/>
      <c r="HOM31" s="537"/>
      <c r="HON31" s="537"/>
      <c r="HOO31" s="537"/>
      <c r="HOP31" s="537"/>
      <c r="HOQ31" s="537"/>
      <c r="HOR31" s="537"/>
      <c r="HOS31" s="537"/>
      <c r="HOT31" s="537"/>
      <c r="HOU31" s="537"/>
      <c r="HOV31" s="537"/>
      <c r="HOW31" s="537"/>
      <c r="HOX31" s="537"/>
      <c r="HOY31" s="537"/>
      <c r="HOZ31" s="537"/>
      <c r="HPA31" s="537"/>
      <c r="HPB31" s="537"/>
      <c r="HPC31" s="537"/>
      <c r="HPD31" s="537"/>
      <c r="HPE31" s="537"/>
      <c r="HPF31" s="537"/>
      <c r="HPG31" s="537"/>
      <c r="HPH31" s="537"/>
      <c r="HPI31" s="537"/>
      <c r="HPJ31" s="537"/>
      <c r="HPK31" s="537"/>
      <c r="HPL31" s="537"/>
      <c r="HPM31" s="537"/>
      <c r="HPN31" s="537"/>
      <c r="HPO31" s="537"/>
      <c r="HPP31" s="537"/>
      <c r="HPQ31" s="537"/>
      <c r="HPR31" s="537"/>
      <c r="HPS31" s="537"/>
      <c r="HPT31" s="537"/>
      <c r="HPU31" s="537"/>
      <c r="HPV31" s="537"/>
      <c r="HPW31" s="537"/>
      <c r="HPX31" s="537"/>
      <c r="HPY31" s="537"/>
      <c r="HPZ31" s="537"/>
      <c r="HQA31" s="537"/>
      <c r="HQB31" s="537"/>
      <c r="HQC31" s="537"/>
      <c r="HQD31" s="537"/>
      <c r="HQE31" s="537"/>
      <c r="HQF31" s="537"/>
      <c r="HQG31" s="537"/>
      <c r="HQH31" s="537"/>
      <c r="HQI31" s="537"/>
      <c r="HQJ31" s="537"/>
      <c r="HQK31" s="537"/>
      <c r="HQL31" s="537"/>
      <c r="HQM31" s="537"/>
      <c r="HQN31" s="537"/>
      <c r="HQO31" s="537"/>
      <c r="HQP31" s="537"/>
      <c r="HQQ31" s="537"/>
      <c r="HQR31" s="537"/>
      <c r="HQS31" s="537"/>
      <c r="HQT31" s="537"/>
      <c r="HQU31" s="537"/>
      <c r="HQV31" s="537"/>
      <c r="HQW31" s="537"/>
      <c r="HQX31" s="537"/>
      <c r="HQY31" s="537"/>
      <c r="HQZ31" s="537"/>
      <c r="HRA31" s="537"/>
      <c r="HRB31" s="537"/>
      <c r="HRC31" s="537"/>
      <c r="HRD31" s="537"/>
      <c r="HRE31" s="537"/>
      <c r="HRF31" s="537"/>
      <c r="HRG31" s="537"/>
      <c r="HRH31" s="537"/>
      <c r="HRI31" s="537"/>
      <c r="HRJ31" s="537"/>
      <c r="HRK31" s="537"/>
      <c r="HRL31" s="537"/>
      <c r="HRM31" s="537"/>
      <c r="HRN31" s="537"/>
      <c r="HRO31" s="537"/>
      <c r="HRP31" s="537"/>
      <c r="HRQ31" s="537"/>
      <c r="HRR31" s="537"/>
      <c r="HRS31" s="537"/>
      <c r="HRT31" s="537"/>
      <c r="HRU31" s="537"/>
      <c r="HRV31" s="537"/>
      <c r="HRW31" s="537"/>
      <c r="HRX31" s="537"/>
      <c r="HRY31" s="537"/>
      <c r="HRZ31" s="537"/>
      <c r="HSA31" s="537"/>
      <c r="HSB31" s="537"/>
      <c r="HSC31" s="537"/>
      <c r="HSD31" s="537"/>
      <c r="HSE31" s="537"/>
      <c r="HSF31" s="537"/>
      <c r="HSG31" s="537"/>
      <c r="HSH31" s="537"/>
      <c r="HSI31" s="537"/>
      <c r="HSJ31" s="537"/>
      <c r="HSK31" s="537"/>
      <c r="HSL31" s="537"/>
      <c r="HSM31" s="537"/>
      <c r="HSN31" s="537"/>
      <c r="HSO31" s="537"/>
      <c r="HSP31" s="537"/>
      <c r="HSQ31" s="537"/>
      <c r="HSR31" s="537"/>
      <c r="HSS31" s="537"/>
      <c r="HST31" s="537"/>
      <c r="HSU31" s="537"/>
      <c r="HSV31" s="537"/>
      <c r="HSW31" s="537"/>
      <c r="HSX31" s="537"/>
      <c r="HSY31" s="537"/>
      <c r="HSZ31" s="537"/>
      <c r="HTA31" s="537"/>
      <c r="HTB31" s="537"/>
      <c r="HTC31" s="537"/>
      <c r="HTD31" s="537"/>
      <c r="HTE31" s="537"/>
      <c r="HTF31" s="537"/>
      <c r="HTG31" s="537"/>
      <c r="HTH31" s="537"/>
      <c r="HTI31" s="537"/>
      <c r="HTJ31" s="537"/>
      <c r="HTK31" s="537"/>
      <c r="HTL31" s="537"/>
      <c r="HTM31" s="537"/>
      <c r="HTN31" s="537"/>
      <c r="HTO31" s="537"/>
      <c r="HTP31" s="537"/>
      <c r="HTQ31" s="537"/>
      <c r="HTR31" s="537"/>
      <c r="HTS31" s="537"/>
      <c r="HTT31" s="537"/>
      <c r="HTU31" s="537"/>
      <c r="HTV31" s="537"/>
      <c r="HTW31" s="537"/>
      <c r="HTX31" s="537"/>
      <c r="HTY31" s="537"/>
      <c r="HTZ31" s="537"/>
      <c r="HUA31" s="537"/>
      <c r="HUB31" s="537"/>
      <c r="HUC31" s="537"/>
      <c r="HUD31" s="537"/>
      <c r="HUE31" s="537"/>
      <c r="HUF31" s="537"/>
      <c r="HUG31" s="537"/>
      <c r="HUH31" s="537"/>
      <c r="HUI31" s="537"/>
      <c r="HUJ31" s="537"/>
      <c r="HUK31" s="537"/>
      <c r="HUL31" s="537"/>
      <c r="HUM31" s="537"/>
      <c r="HUN31" s="537"/>
      <c r="HUO31" s="537"/>
      <c r="HUP31" s="537"/>
      <c r="HUQ31" s="537"/>
      <c r="HUR31" s="537"/>
      <c r="HUS31" s="537"/>
      <c r="HUT31" s="537"/>
      <c r="HUU31" s="537"/>
      <c r="HUV31" s="537"/>
      <c r="HUW31" s="537"/>
      <c r="HUX31" s="537"/>
      <c r="HUY31" s="537"/>
      <c r="HUZ31" s="537"/>
      <c r="HVA31" s="537"/>
      <c r="HVB31" s="537"/>
      <c r="HVC31" s="537"/>
      <c r="HVD31" s="537"/>
      <c r="HVE31" s="537"/>
      <c r="HVF31" s="537"/>
      <c r="HVG31" s="537"/>
      <c r="HVH31" s="537"/>
      <c r="HVI31" s="537"/>
      <c r="HVJ31" s="537"/>
      <c r="HVK31" s="537"/>
      <c r="HVL31" s="537"/>
      <c r="HVM31" s="537"/>
      <c r="HVN31" s="537"/>
      <c r="HVO31" s="537"/>
      <c r="HVP31" s="537"/>
      <c r="HVQ31" s="537"/>
      <c r="HVR31" s="537"/>
      <c r="HVS31" s="537"/>
      <c r="HVT31" s="537"/>
      <c r="HVU31" s="537"/>
      <c r="HVV31" s="537"/>
      <c r="HVW31" s="537"/>
      <c r="HVX31" s="537"/>
      <c r="HVY31" s="537"/>
      <c r="HVZ31" s="537"/>
      <c r="HWA31" s="537"/>
      <c r="HWB31" s="537"/>
      <c r="HWC31" s="537"/>
      <c r="HWD31" s="537"/>
      <c r="HWE31" s="537"/>
      <c r="HWF31" s="537"/>
      <c r="HWG31" s="537"/>
      <c r="HWH31" s="537"/>
      <c r="HWI31" s="537"/>
      <c r="HWJ31" s="537"/>
      <c r="HWK31" s="537"/>
      <c r="HWL31" s="537"/>
      <c r="HWM31" s="537"/>
      <c r="HWN31" s="537"/>
      <c r="HWO31" s="537"/>
      <c r="HWP31" s="537"/>
      <c r="HWQ31" s="537"/>
      <c r="HWR31" s="537"/>
      <c r="HWS31" s="537"/>
      <c r="HWT31" s="537"/>
      <c r="HWU31" s="537"/>
      <c r="HWV31" s="537"/>
      <c r="HWW31" s="537"/>
      <c r="HWX31" s="537"/>
      <c r="HWY31" s="537"/>
      <c r="HWZ31" s="537"/>
      <c r="HXA31" s="537"/>
      <c r="HXB31" s="537"/>
      <c r="HXC31" s="537"/>
      <c r="HXD31" s="537"/>
      <c r="HXE31" s="537"/>
      <c r="HXF31" s="537"/>
      <c r="HXG31" s="537"/>
      <c r="HXH31" s="537"/>
      <c r="HXI31" s="537"/>
      <c r="HXJ31" s="537"/>
      <c r="HXK31" s="537"/>
      <c r="HXL31" s="537"/>
      <c r="HXM31" s="537"/>
      <c r="HXN31" s="537"/>
      <c r="HXO31" s="537"/>
      <c r="HXP31" s="537"/>
      <c r="HXQ31" s="537"/>
      <c r="HXR31" s="537"/>
      <c r="HXS31" s="537"/>
      <c r="HXT31" s="537"/>
      <c r="HXU31" s="537"/>
      <c r="HXV31" s="537"/>
      <c r="HXW31" s="537"/>
      <c r="HXX31" s="537"/>
      <c r="HXY31" s="537"/>
      <c r="HXZ31" s="537"/>
      <c r="HYA31" s="537"/>
      <c r="HYB31" s="537"/>
      <c r="HYC31" s="537"/>
      <c r="HYD31" s="537"/>
      <c r="HYE31" s="537"/>
      <c r="HYF31" s="537"/>
      <c r="HYG31" s="537"/>
      <c r="HYH31" s="537"/>
      <c r="HYI31" s="537"/>
      <c r="HYJ31" s="537"/>
      <c r="HYK31" s="537"/>
      <c r="HYL31" s="537"/>
      <c r="HYM31" s="537"/>
      <c r="HYN31" s="537"/>
      <c r="HYO31" s="537"/>
      <c r="HYP31" s="537"/>
      <c r="HYQ31" s="537"/>
      <c r="HYR31" s="537"/>
      <c r="HYS31" s="537"/>
      <c r="HYT31" s="537"/>
      <c r="HYU31" s="537"/>
      <c r="HYV31" s="537"/>
      <c r="HYW31" s="537"/>
      <c r="HYX31" s="537"/>
      <c r="HYY31" s="537"/>
      <c r="HYZ31" s="537"/>
      <c r="HZA31" s="537"/>
      <c r="HZB31" s="537"/>
      <c r="HZC31" s="537"/>
      <c r="HZD31" s="537"/>
      <c r="HZE31" s="537"/>
      <c r="HZF31" s="537"/>
      <c r="HZG31" s="537"/>
      <c r="HZH31" s="537"/>
      <c r="HZI31" s="537"/>
      <c r="HZJ31" s="537"/>
      <c r="HZK31" s="537"/>
      <c r="HZL31" s="537"/>
      <c r="HZM31" s="537"/>
      <c r="HZN31" s="537"/>
      <c r="HZO31" s="537"/>
      <c r="HZP31" s="537"/>
      <c r="HZQ31" s="537"/>
      <c r="HZR31" s="537"/>
      <c r="HZS31" s="537"/>
      <c r="HZT31" s="537"/>
      <c r="HZU31" s="537"/>
      <c r="HZV31" s="537"/>
      <c r="HZW31" s="537"/>
      <c r="HZX31" s="537"/>
      <c r="HZY31" s="537"/>
      <c r="HZZ31" s="537"/>
      <c r="IAA31" s="537"/>
      <c r="IAB31" s="537"/>
      <c r="IAC31" s="537"/>
      <c r="IAD31" s="537"/>
      <c r="IAE31" s="537"/>
      <c r="IAF31" s="537"/>
      <c r="IAG31" s="537"/>
      <c r="IAH31" s="537"/>
      <c r="IAI31" s="537"/>
      <c r="IAJ31" s="537"/>
      <c r="IAK31" s="537"/>
      <c r="IAL31" s="537"/>
      <c r="IAM31" s="537"/>
      <c r="IAN31" s="537"/>
      <c r="IAO31" s="537"/>
      <c r="IAP31" s="537"/>
      <c r="IAQ31" s="537"/>
      <c r="IAR31" s="537"/>
      <c r="IAS31" s="537"/>
      <c r="IAT31" s="537"/>
      <c r="IAU31" s="537"/>
      <c r="IAV31" s="537"/>
      <c r="IAW31" s="537"/>
      <c r="IAX31" s="537"/>
      <c r="IAY31" s="537"/>
      <c r="IAZ31" s="537"/>
      <c r="IBA31" s="537"/>
      <c r="IBB31" s="537"/>
      <c r="IBC31" s="537"/>
      <c r="IBD31" s="537"/>
      <c r="IBE31" s="537"/>
      <c r="IBF31" s="537"/>
      <c r="IBG31" s="537"/>
      <c r="IBH31" s="537"/>
      <c r="IBI31" s="537"/>
      <c r="IBJ31" s="537"/>
      <c r="IBK31" s="537"/>
      <c r="IBL31" s="537"/>
      <c r="IBM31" s="537"/>
      <c r="IBN31" s="537"/>
      <c r="IBO31" s="537"/>
      <c r="IBP31" s="537"/>
      <c r="IBQ31" s="537"/>
      <c r="IBR31" s="537"/>
      <c r="IBS31" s="537"/>
      <c r="IBT31" s="537"/>
      <c r="IBU31" s="537"/>
      <c r="IBV31" s="537"/>
      <c r="IBW31" s="537"/>
      <c r="IBX31" s="537"/>
      <c r="IBY31" s="537"/>
      <c r="IBZ31" s="537"/>
      <c r="ICA31" s="537"/>
      <c r="ICB31" s="537"/>
      <c r="ICC31" s="537"/>
      <c r="ICD31" s="537"/>
      <c r="ICE31" s="537"/>
      <c r="ICF31" s="537"/>
      <c r="ICG31" s="537"/>
      <c r="ICH31" s="537"/>
      <c r="ICI31" s="537"/>
      <c r="ICJ31" s="537"/>
      <c r="ICK31" s="537"/>
      <c r="ICL31" s="537"/>
      <c r="ICM31" s="537"/>
      <c r="ICN31" s="537"/>
      <c r="ICO31" s="537"/>
      <c r="ICP31" s="537"/>
      <c r="ICQ31" s="537"/>
      <c r="ICR31" s="537"/>
      <c r="ICS31" s="537"/>
      <c r="ICT31" s="537"/>
      <c r="ICU31" s="537"/>
      <c r="ICV31" s="537"/>
      <c r="ICW31" s="537"/>
      <c r="ICX31" s="537"/>
      <c r="ICY31" s="537"/>
      <c r="ICZ31" s="537"/>
      <c r="IDA31" s="537"/>
      <c r="IDB31" s="537"/>
      <c r="IDC31" s="537"/>
      <c r="IDD31" s="537"/>
      <c r="IDE31" s="537"/>
      <c r="IDF31" s="537"/>
      <c r="IDG31" s="537"/>
      <c r="IDH31" s="537"/>
      <c r="IDI31" s="537"/>
      <c r="IDJ31" s="537"/>
      <c r="IDK31" s="537"/>
      <c r="IDL31" s="537"/>
      <c r="IDM31" s="537"/>
      <c r="IDN31" s="537"/>
      <c r="IDO31" s="537"/>
      <c r="IDP31" s="537"/>
      <c r="IDQ31" s="537"/>
      <c r="IDR31" s="537"/>
      <c r="IDS31" s="537"/>
      <c r="IDT31" s="537"/>
      <c r="IDU31" s="537"/>
      <c r="IDV31" s="537"/>
      <c r="IDW31" s="537"/>
      <c r="IDX31" s="537"/>
      <c r="IDY31" s="537"/>
      <c r="IDZ31" s="537"/>
      <c r="IEA31" s="537"/>
      <c r="IEB31" s="537"/>
      <c r="IEC31" s="537"/>
      <c r="IED31" s="537"/>
      <c r="IEE31" s="537"/>
      <c r="IEF31" s="537"/>
      <c r="IEG31" s="537"/>
      <c r="IEH31" s="537"/>
      <c r="IEI31" s="537"/>
      <c r="IEJ31" s="537"/>
      <c r="IEK31" s="537"/>
      <c r="IEL31" s="537"/>
      <c r="IEM31" s="537"/>
      <c r="IEN31" s="537"/>
      <c r="IEO31" s="537"/>
      <c r="IEP31" s="537"/>
      <c r="IEQ31" s="537"/>
      <c r="IER31" s="537"/>
      <c r="IES31" s="537"/>
      <c r="IET31" s="537"/>
      <c r="IEU31" s="537"/>
      <c r="IEV31" s="537"/>
      <c r="IEW31" s="537"/>
      <c r="IEX31" s="537"/>
      <c r="IEY31" s="537"/>
      <c r="IEZ31" s="537"/>
      <c r="IFA31" s="537"/>
      <c r="IFB31" s="537"/>
      <c r="IFC31" s="537"/>
      <c r="IFD31" s="537"/>
      <c r="IFE31" s="537"/>
      <c r="IFF31" s="537"/>
      <c r="IFG31" s="537"/>
      <c r="IFH31" s="537"/>
      <c r="IFI31" s="537"/>
      <c r="IFJ31" s="537"/>
      <c r="IFK31" s="537"/>
      <c r="IFL31" s="537"/>
      <c r="IFM31" s="537"/>
      <c r="IFN31" s="537"/>
      <c r="IFO31" s="537"/>
      <c r="IFP31" s="537"/>
      <c r="IFQ31" s="537"/>
      <c r="IFR31" s="537"/>
      <c r="IFS31" s="537"/>
      <c r="IFT31" s="537"/>
      <c r="IFU31" s="537"/>
      <c r="IFV31" s="537"/>
      <c r="IFW31" s="537"/>
      <c r="IFX31" s="537"/>
      <c r="IFY31" s="537"/>
      <c r="IFZ31" s="537"/>
      <c r="IGA31" s="537"/>
      <c r="IGB31" s="537"/>
      <c r="IGC31" s="537"/>
      <c r="IGD31" s="537"/>
      <c r="IGE31" s="537"/>
      <c r="IGF31" s="537"/>
      <c r="IGG31" s="537"/>
      <c r="IGH31" s="537"/>
      <c r="IGI31" s="537"/>
      <c r="IGJ31" s="537"/>
      <c r="IGK31" s="537"/>
      <c r="IGL31" s="537"/>
      <c r="IGM31" s="537"/>
      <c r="IGN31" s="537"/>
      <c r="IGO31" s="537"/>
      <c r="IGP31" s="537"/>
      <c r="IGQ31" s="537"/>
      <c r="IGR31" s="537"/>
      <c r="IGS31" s="537"/>
      <c r="IGT31" s="537"/>
      <c r="IGU31" s="537"/>
      <c r="IGV31" s="537"/>
      <c r="IGW31" s="537"/>
      <c r="IGX31" s="537"/>
      <c r="IGY31" s="537"/>
      <c r="IGZ31" s="537"/>
      <c r="IHA31" s="537"/>
      <c r="IHB31" s="537"/>
      <c r="IHC31" s="537"/>
      <c r="IHD31" s="537"/>
      <c r="IHE31" s="537"/>
      <c r="IHF31" s="537"/>
      <c r="IHG31" s="537"/>
      <c r="IHH31" s="537"/>
      <c r="IHI31" s="537"/>
      <c r="IHJ31" s="537"/>
      <c r="IHK31" s="537"/>
      <c r="IHL31" s="537"/>
      <c r="IHM31" s="537"/>
      <c r="IHN31" s="537"/>
      <c r="IHO31" s="537"/>
      <c r="IHP31" s="537"/>
      <c r="IHQ31" s="537"/>
      <c r="IHR31" s="537"/>
      <c r="IHS31" s="537"/>
      <c r="IHT31" s="537"/>
      <c r="IHU31" s="537"/>
      <c r="IHV31" s="537"/>
      <c r="IHW31" s="537"/>
      <c r="IHX31" s="537"/>
      <c r="IHY31" s="537"/>
      <c r="IHZ31" s="537"/>
      <c r="IIA31" s="537"/>
      <c r="IIB31" s="537"/>
      <c r="IIC31" s="537"/>
      <c r="IID31" s="537"/>
      <c r="IIE31" s="537"/>
      <c r="IIF31" s="537"/>
      <c r="IIG31" s="537"/>
      <c r="IIH31" s="537"/>
      <c r="III31" s="537"/>
      <c r="IIJ31" s="537"/>
      <c r="IIK31" s="537"/>
      <c r="IIL31" s="537"/>
      <c r="IIM31" s="537"/>
      <c r="IIN31" s="537"/>
      <c r="IIO31" s="537"/>
      <c r="IIP31" s="537"/>
      <c r="IIQ31" s="537"/>
      <c r="IIR31" s="537"/>
      <c r="IIS31" s="537"/>
      <c r="IIT31" s="537"/>
      <c r="IIU31" s="537"/>
      <c r="IIV31" s="537"/>
      <c r="IIW31" s="537"/>
      <c r="IIX31" s="537"/>
      <c r="IIY31" s="537"/>
      <c r="IIZ31" s="537"/>
      <c r="IJA31" s="537"/>
      <c r="IJB31" s="537"/>
      <c r="IJC31" s="537"/>
      <c r="IJD31" s="537"/>
      <c r="IJE31" s="537"/>
      <c r="IJF31" s="537"/>
      <c r="IJG31" s="537"/>
      <c r="IJH31" s="537"/>
      <c r="IJI31" s="537"/>
      <c r="IJJ31" s="537"/>
      <c r="IJK31" s="537"/>
      <c r="IJL31" s="537"/>
      <c r="IJM31" s="537"/>
      <c r="IJN31" s="537"/>
      <c r="IJO31" s="537"/>
      <c r="IJP31" s="537"/>
      <c r="IJQ31" s="537"/>
      <c r="IJR31" s="537"/>
      <c r="IJS31" s="537"/>
      <c r="IJT31" s="537"/>
      <c r="IJU31" s="537"/>
      <c r="IJV31" s="537"/>
      <c r="IJW31" s="537"/>
      <c r="IJX31" s="537"/>
      <c r="IJY31" s="537"/>
      <c r="IJZ31" s="537"/>
      <c r="IKA31" s="537"/>
      <c r="IKB31" s="537"/>
      <c r="IKC31" s="537"/>
      <c r="IKD31" s="537"/>
      <c r="IKE31" s="537"/>
      <c r="IKF31" s="537"/>
      <c r="IKG31" s="537"/>
      <c r="IKH31" s="537"/>
      <c r="IKI31" s="537"/>
      <c r="IKJ31" s="537"/>
      <c r="IKK31" s="537"/>
      <c r="IKL31" s="537"/>
      <c r="IKM31" s="537"/>
      <c r="IKN31" s="537"/>
      <c r="IKO31" s="537"/>
      <c r="IKP31" s="537"/>
      <c r="IKQ31" s="537"/>
      <c r="IKR31" s="537"/>
      <c r="IKS31" s="537"/>
      <c r="IKT31" s="537"/>
      <c r="IKU31" s="537"/>
      <c r="IKV31" s="537"/>
      <c r="IKW31" s="537"/>
      <c r="IKX31" s="537"/>
      <c r="IKY31" s="537"/>
      <c r="IKZ31" s="537"/>
      <c r="ILA31" s="537"/>
      <c r="ILB31" s="537"/>
      <c r="ILC31" s="537"/>
      <c r="ILD31" s="537"/>
      <c r="ILE31" s="537"/>
      <c r="ILF31" s="537"/>
      <c r="ILG31" s="537"/>
      <c r="ILH31" s="537"/>
      <c r="ILI31" s="537"/>
      <c r="ILJ31" s="537"/>
      <c r="ILK31" s="537"/>
      <c r="ILL31" s="537"/>
      <c r="ILM31" s="537"/>
      <c r="ILN31" s="537"/>
      <c r="ILO31" s="537"/>
      <c r="ILP31" s="537"/>
      <c r="ILQ31" s="537"/>
      <c r="ILR31" s="537"/>
      <c r="ILS31" s="537"/>
      <c r="ILT31" s="537"/>
      <c r="ILU31" s="537"/>
      <c r="ILV31" s="537"/>
      <c r="ILW31" s="537"/>
      <c r="ILX31" s="537"/>
      <c r="ILY31" s="537"/>
      <c r="ILZ31" s="537"/>
      <c r="IMA31" s="537"/>
      <c r="IMB31" s="537"/>
      <c r="IMC31" s="537"/>
      <c r="IMD31" s="537"/>
      <c r="IME31" s="537"/>
      <c r="IMF31" s="537"/>
      <c r="IMG31" s="537"/>
      <c r="IMH31" s="537"/>
      <c r="IMI31" s="537"/>
      <c r="IMJ31" s="537"/>
      <c r="IMK31" s="537"/>
      <c r="IML31" s="537"/>
      <c r="IMM31" s="537"/>
      <c r="IMN31" s="537"/>
      <c r="IMO31" s="537"/>
      <c r="IMP31" s="537"/>
      <c r="IMQ31" s="537"/>
      <c r="IMR31" s="537"/>
      <c r="IMS31" s="537"/>
      <c r="IMT31" s="537"/>
      <c r="IMU31" s="537"/>
      <c r="IMV31" s="537"/>
      <c r="IMW31" s="537"/>
      <c r="IMX31" s="537"/>
      <c r="IMY31" s="537"/>
      <c r="IMZ31" s="537"/>
      <c r="INA31" s="537"/>
      <c r="INB31" s="537"/>
      <c r="INC31" s="537"/>
      <c r="IND31" s="537"/>
      <c r="INE31" s="537"/>
      <c r="INF31" s="537"/>
      <c r="ING31" s="537"/>
      <c r="INH31" s="537"/>
      <c r="INI31" s="537"/>
      <c r="INJ31" s="537"/>
      <c r="INK31" s="537"/>
      <c r="INL31" s="537"/>
      <c r="INM31" s="537"/>
      <c r="INN31" s="537"/>
      <c r="INO31" s="537"/>
      <c r="INP31" s="537"/>
      <c r="INQ31" s="537"/>
      <c r="INR31" s="537"/>
      <c r="INS31" s="537"/>
      <c r="INT31" s="537"/>
      <c r="INU31" s="537"/>
      <c r="INV31" s="537"/>
      <c r="INW31" s="537"/>
      <c r="INX31" s="537"/>
      <c r="INY31" s="537"/>
      <c r="INZ31" s="537"/>
      <c r="IOA31" s="537"/>
      <c r="IOB31" s="537"/>
      <c r="IOC31" s="537"/>
      <c r="IOD31" s="537"/>
      <c r="IOE31" s="537"/>
      <c r="IOF31" s="537"/>
      <c r="IOG31" s="537"/>
      <c r="IOH31" s="537"/>
      <c r="IOI31" s="537"/>
      <c r="IOJ31" s="537"/>
      <c r="IOK31" s="537"/>
      <c r="IOL31" s="537"/>
      <c r="IOM31" s="537"/>
      <c r="ION31" s="537"/>
      <c r="IOO31" s="537"/>
      <c r="IOP31" s="537"/>
      <c r="IOQ31" s="537"/>
      <c r="IOR31" s="537"/>
      <c r="IOS31" s="537"/>
      <c r="IOT31" s="537"/>
      <c r="IOU31" s="537"/>
      <c r="IOV31" s="537"/>
      <c r="IOW31" s="537"/>
      <c r="IOX31" s="537"/>
      <c r="IOY31" s="537"/>
      <c r="IOZ31" s="537"/>
      <c r="IPA31" s="537"/>
      <c r="IPB31" s="537"/>
      <c r="IPC31" s="537"/>
      <c r="IPD31" s="537"/>
      <c r="IPE31" s="537"/>
      <c r="IPF31" s="537"/>
      <c r="IPG31" s="537"/>
      <c r="IPH31" s="537"/>
      <c r="IPI31" s="537"/>
      <c r="IPJ31" s="537"/>
      <c r="IPK31" s="537"/>
      <c r="IPL31" s="537"/>
      <c r="IPM31" s="537"/>
      <c r="IPN31" s="537"/>
      <c r="IPO31" s="537"/>
      <c r="IPP31" s="537"/>
      <c r="IPQ31" s="537"/>
      <c r="IPR31" s="537"/>
      <c r="IPS31" s="537"/>
      <c r="IPT31" s="537"/>
      <c r="IPU31" s="537"/>
      <c r="IPV31" s="537"/>
      <c r="IPW31" s="537"/>
      <c r="IPX31" s="537"/>
      <c r="IPY31" s="537"/>
      <c r="IPZ31" s="537"/>
      <c r="IQA31" s="537"/>
      <c r="IQB31" s="537"/>
      <c r="IQC31" s="537"/>
      <c r="IQD31" s="537"/>
      <c r="IQE31" s="537"/>
      <c r="IQF31" s="537"/>
      <c r="IQG31" s="537"/>
      <c r="IQH31" s="537"/>
      <c r="IQI31" s="537"/>
      <c r="IQJ31" s="537"/>
      <c r="IQK31" s="537"/>
      <c r="IQL31" s="537"/>
      <c r="IQM31" s="537"/>
      <c r="IQN31" s="537"/>
      <c r="IQO31" s="537"/>
      <c r="IQP31" s="537"/>
      <c r="IQQ31" s="537"/>
      <c r="IQR31" s="537"/>
      <c r="IQS31" s="537"/>
      <c r="IQT31" s="537"/>
      <c r="IQU31" s="537"/>
      <c r="IQV31" s="537"/>
      <c r="IQW31" s="537"/>
      <c r="IQX31" s="537"/>
      <c r="IQY31" s="537"/>
      <c r="IQZ31" s="537"/>
      <c r="IRA31" s="537"/>
      <c r="IRB31" s="537"/>
      <c r="IRC31" s="537"/>
      <c r="IRD31" s="537"/>
      <c r="IRE31" s="537"/>
      <c r="IRF31" s="537"/>
      <c r="IRG31" s="537"/>
      <c r="IRH31" s="537"/>
      <c r="IRI31" s="537"/>
      <c r="IRJ31" s="537"/>
      <c r="IRK31" s="537"/>
      <c r="IRL31" s="537"/>
      <c r="IRM31" s="537"/>
      <c r="IRN31" s="537"/>
      <c r="IRO31" s="537"/>
      <c r="IRP31" s="537"/>
      <c r="IRQ31" s="537"/>
      <c r="IRR31" s="537"/>
      <c r="IRS31" s="537"/>
      <c r="IRT31" s="537"/>
      <c r="IRU31" s="537"/>
      <c r="IRV31" s="537"/>
      <c r="IRW31" s="537"/>
      <c r="IRX31" s="537"/>
      <c r="IRY31" s="537"/>
      <c r="IRZ31" s="537"/>
      <c r="ISA31" s="537"/>
      <c r="ISB31" s="537"/>
      <c r="ISC31" s="537"/>
      <c r="ISD31" s="537"/>
      <c r="ISE31" s="537"/>
      <c r="ISF31" s="537"/>
      <c r="ISG31" s="537"/>
      <c r="ISH31" s="537"/>
      <c r="ISI31" s="537"/>
      <c r="ISJ31" s="537"/>
      <c r="ISK31" s="537"/>
      <c r="ISL31" s="537"/>
      <c r="ISM31" s="537"/>
      <c r="ISN31" s="537"/>
      <c r="ISO31" s="537"/>
      <c r="ISP31" s="537"/>
      <c r="ISQ31" s="537"/>
      <c r="ISR31" s="537"/>
      <c r="ISS31" s="537"/>
      <c r="IST31" s="537"/>
      <c r="ISU31" s="537"/>
      <c r="ISV31" s="537"/>
      <c r="ISW31" s="537"/>
      <c r="ISX31" s="537"/>
      <c r="ISY31" s="537"/>
      <c r="ISZ31" s="537"/>
      <c r="ITA31" s="537"/>
      <c r="ITB31" s="537"/>
      <c r="ITC31" s="537"/>
      <c r="ITD31" s="537"/>
      <c r="ITE31" s="537"/>
      <c r="ITF31" s="537"/>
      <c r="ITG31" s="537"/>
      <c r="ITH31" s="537"/>
      <c r="ITI31" s="537"/>
      <c r="ITJ31" s="537"/>
      <c r="ITK31" s="537"/>
      <c r="ITL31" s="537"/>
      <c r="ITM31" s="537"/>
      <c r="ITN31" s="537"/>
      <c r="ITO31" s="537"/>
      <c r="ITP31" s="537"/>
      <c r="ITQ31" s="537"/>
      <c r="ITR31" s="537"/>
      <c r="ITS31" s="537"/>
      <c r="ITT31" s="537"/>
      <c r="ITU31" s="537"/>
      <c r="ITV31" s="537"/>
      <c r="ITW31" s="537"/>
      <c r="ITX31" s="537"/>
      <c r="ITY31" s="537"/>
      <c r="ITZ31" s="537"/>
      <c r="IUA31" s="537"/>
      <c r="IUB31" s="537"/>
      <c r="IUC31" s="537"/>
      <c r="IUD31" s="537"/>
      <c r="IUE31" s="537"/>
      <c r="IUF31" s="537"/>
      <c r="IUG31" s="537"/>
      <c r="IUH31" s="537"/>
      <c r="IUI31" s="537"/>
      <c r="IUJ31" s="537"/>
      <c r="IUK31" s="537"/>
      <c r="IUL31" s="537"/>
      <c r="IUM31" s="537"/>
      <c r="IUN31" s="537"/>
      <c r="IUO31" s="537"/>
      <c r="IUP31" s="537"/>
      <c r="IUQ31" s="537"/>
      <c r="IUR31" s="537"/>
      <c r="IUS31" s="537"/>
      <c r="IUT31" s="537"/>
      <c r="IUU31" s="537"/>
      <c r="IUV31" s="537"/>
      <c r="IUW31" s="537"/>
      <c r="IUX31" s="537"/>
      <c r="IUY31" s="537"/>
      <c r="IUZ31" s="537"/>
      <c r="IVA31" s="537"/>
      <c r="IVB31" s="537"/>
      <c r="IVC31" s="537"/>
      <c r="IVD31" s="537"/>
      <c r="IVE31" s="537"/>
      <c r="IVF31" s="537"/>
      <c r="IVG31" s="537"/>
      <c r="IVH31" s="537"/>
      <c r="IVI31" s="537"/>
      <c r="IVJ31" s="537"/>
      <c r="IVK31" s="537"/>
      <c r="IVL31" s="537"/>
      <c r="IVM31" s="537"/>
      <c r="IVN31" s="537"/>
      <c r="IVO31" s="537"/>
      <c r="IVP31" s="537"/>
      <c r="IVQ31" s="537"/>
      <c r="IVR31" s="537"/>
      <c r="IVS31" s="537"/>
      <c r="IVT31" s="537"/>
      <c r="IVU31" s="537"/>
      <c r="IVV31" s="537"/>
      <c r="IVW31" s="537"/>
      <c r="IVX31" s="537"/>
      <c r="IVY31" s="537"/>
      <c r="IVZ31" s="537"/>
      <c r="IWA31" s="537"/>
      <c r="IWB31" s="537"/>
      <c r="IWC31" s="537"/>
      <c r="IWD31" s="537"/>
      <c r="IWE31" s="537"/>
      <c r="IWF31" s="537"/>
      <c r="IWG31" s="537"/>
      <c r="IWH31" s="537"/>
      <c r="IWI31" s="537"/>
      <c r="IWJ31" s="537"/>
      <c r="IWK31" s="537"/>
      <c r="IWL31" s="537"/>
      <c r="IWM31" s="537"/>
      <c r="IWN31" s="537"/>
      <c r="IWO31" s="537"/>
      <c r="IWP31" s="537"/>
      <c r="IWQ31" s="537"/>
      <c r="IWR31" s="537"/>
      <c r="IWS31" s="537"/>
      <c r="IWT31" s="537"/>
      <c r="IWU31" s="537"/>
      <c r="IWV31" s="537"/>
      <c r="IWW31" s="537"/>
      <c r="IWX31" s="537"/>
      <c r="IWY31" s="537"/>
      <c r="IWZ31" s="537"/>
      <c r="IXA31" s="537"/>
      <c r="IXB31" s="537"/>
      <c r="IXC31" s="537"/>
      <c r="IXD31" s="537"/>
      <c r="IXE31" s="537"/>
      <c r="IXF31" s="537"/>
      <c r="IXG31" s="537"/>
      <c r="IXH31" s="537"/>
      <c r="IXI31" s="537"/>
      <c r="IXJ31" s="537"/>
      <c r="IXK31" s="537"/>
      <c r="IXL31" s="537"/>
      <c r="IXM31" s="537"/>
      <c r="IXN31" s="537"/>
      <c r="IXO31" s="537"/>
      <c r="IXP31" s="537"/>
      <c r="IXQ31" s="537"/>
      <c r="IXR31" s="537"/>
      <c r="IXS31" s="537"/>
      <c r="IXT31" s="537"/>
      <c r="IXU31" s="537"/>
      <c r="IXV31" s="537"/>
      <c r="IXW31" s="537"/>
      <c r="IXX31" s="537"/>
      <c r="IXY31" s="537"/>
      <c r="IXZ31" s="537"/>
      <c r="IYA31" s="537"/>
      <c r="IYB31" s="537"/>
      <c r="IYC31" s="537"/>
      <c r="IYD31" s="537"/>
      <c r="IYE31" s="537"/>
      <c r="IYF31" s="537"/>
      <c r="IYG31" s="537"/>
      <c r="IYH31" s="537"/>
      <c r="IYI31" s="537"/>
      <c r="IYJ31" s="537"/>
      <c r="IYK31" s="537"/>
      <c r="IYL31" s="537"/>
      <c r="IYM31" s="537"/>
      <c r="IYN31" s="537"/>
      <c r="IYO31" s="537"/>
      <c r="IYP31" s="537"/>
      <c r="IYQ31" s="537"/>
      <c r="IYR31" s="537"/>
      <c r="IYS31" s="537"/>
      <c r="IYT31" s="537"/>
      <c r="IYU31" s="537"/>
      <c r="IYV31" s="537"/>
      <c r="IYW31" s="537"/>
      <c r="IYX31" s="537"/>
      <c r="IYY31" s="537"/>
      <c r="IYZ31" s="537"/>
      <c r="IZA31" s="537"/>
      <c r="IZB31" s="537"/>
      <c r="IZC31" s="537"/>
      <c r="IZD31" s="537"/>
      <c r="IZE31" s="537"/>
      <c r="IZF31" s="537"/>
      <c r="IZG31" s="537"/>
      <c r="IZH31" s="537"/>
      <c r="IZI31" s="537"/>
      <c r="IZJ31" s="537"/>
      <c r="IZK31" s="537"/>
      <c r="IZL31" s="537"/>
      <c r="IZM31" s="537"/>
      <c r="IZN31" s="537"/>
      <c r="IZO31" s="537"/>
      <c r="IZP31" s="537"/>
      <c r="IZQ31" s="537"/>
      <c r="IZR31" s="537"/>
      <c r="IZS31" s="537"/>
      <c r="IZT31" s="537"/>
      <c r="IZU31" s="537"/>
      <c r="IZV31" s="537"/>
      <c r="IZW31" s="537"/>
      <c r="IZX31" s="537"/>
      <c r="IZY31" s="537"/>
      <c r="IZZ31" s="537"/>
      <c r="JAA31" s="537"/>
      <c r="JAB31" s="537"/>
      <c r="JAC31" s="537"/>
      <c r="JAD31" s="537"/>
      <c r="JAE31" s="537"/>
      <c r="JAF31" s="537"/>
      <c r="JAG31" s="537"/>
      <c r="JAH31" s="537"/>
      <c r="JAI31" s="537"/>
      <c r="JAJ31" s="537"/>
      <c r="JAK31" s="537"/>
      <c r="JAL31" s="537"/>
      <c r="JAM31" s="537"/>
      <c r="JAN31" s="537"/>
      <c r="JAO31" s="537"/>
      <c r="JAP31" s="537"/>
      <c r="JAQ31" s="537"/>
      <c r="JAR31" s="537"/>
      <c r="JAS31" s="537"/>
      <c r="JAT31" s="537"/>
      <c r="JAU31" s="537"/>
      <c r="JAV31" s="537"/>
      <c r="JAW31" s="537"/>
      <c r="JAX31" s="537"/>
      <c r="JAY31" s="537"/>
      <c r="JAZ31" s="537"/>
      <c r="JBA31" s="537"/>
      <c r="JBB31" s="537"/>
      <c r="JBC31" s="537"/>
      <c r="JBD31" s="537"/>
      <c r="JBE31" s="537"/>
      <c r="JBF31" s="537"/>
      <c r="JBG31" s="537"/>
      <c r="JBH31" s="537"/>
      <c r="JBI31" s="537"/>
      <c r="JBJ31" s="537"/>
      <c r="JBK31" s="537"/>
      <c r="JBL31" s="537"/>
      <c r="JBM31" s="537"/>
      <c r="JBN31" s="537"/>
      <c r="JBO31" s="537"/>
      <c r="JBP31" s="537"/>
      <c r="JBQ31" s="537"/>
      <c r="JBR31" s="537"/>
      <c r="JBS31" s="537"/>
      <c r="JBT31" s="537"/>
      <c r="JBU31" s="537"/>
      <c r="JBV31" s="537"/>
      <c r="JBW31" s="537"/>
      <c r="JBX31" s="537"/>
      <c r="JBY31" s="537"/>
      <c r="JBZ31" s="537"/>
      <c r="JCA31" s="537"/>
      <c r="JCB31" s="537"/>
      <c r="JCC31" s="537"/>
      <c r="JCD31" s="537"/>
      <c r="JCE31" s="537"/>
      <c r="JCF31" s="537"/>
      <c r="JCG31" s="537"/>
      <c r="JCH31" s="537"/>
      <c r="JCI31" s="537"/>
      <c r="JCJ31" s="537"/>
      <c r="JCK31" s="537"/>
      <c r="JCL31" s="537"/>
      <c r="JCM31" s="537"/>
      <c r="JCN31" s="537"/>
      <c r="JCO31" s="537"/>
      <c r="JCP31" s="537"/>
      <c r="JCQ31" s="537"/>
      <c r="JCR31" s="537"/>
      <c r="JCS31" s="537"/>
      <c r="JCT31" s="537"/>
      <c r="JCU31" s="537"/>
      <c r="JCV31" s="537"/>
      <c r="JCW31" s="537"/>
      <c r="JCX31" s="537"/>
      <c r="JCY31" s="537"/>
      <c r="JCZ31" s="537"/>
      <c r="JDA31" s="537"/>
      <c r="JDB31" s="537"/>
      <c r="JDC31" s="537"/>
      <c r="JDD31" s="537"/>
      <c r="JDE31" s="537"/>
      <c r="JDF31" s="537"/>
      <c r="JDG31" s="537"/>
      <c r="JDH31" s="537"/>
      <c r="JDI31" s="537"/>
      <c r="JDJ31" s="537"/>
      <c r="JDK31" s="537"/>
      <c r="JDL31" s="537"/>
      <c r="JDM31" s="537"/>
      <c r="JDN31" s="537"/>
      <c r="JDO31" s="537"/>
      <c r="JDP31" s="537"/>
      <c r="JDQ31" s="537"/>
      <c r="JDR31" s="537"/>
      <c r="JDS31" s="537"/>
      <c r="JDT31" s="537"/>
      <c r="JDU31" s="537"/>
      <c r="JDV31" s="537"/>
      <c r="JDW31" s="537"/>
      <c r="JDX31" s="537"/>
      <c r="JDY31" s="537"/>
      <c r="JDZ31" s="537"/>
      <c r="JEA31" s="537"/>
      <c r="JEB31" s="537"/>
      <c r="JEC31" s="537"/>
      <c r="JED31" s="537"/>
      <c r="JEE31" s="537"/>
      <c r="JEF31" s="537"/>
      <c r="JEG31" s="537"/>
      <c r="JEH31" s="537"/>
      <c r="JEI31" s="537"/>
      <c r="JEJ31" s="537"/>
      <c r="JEK31" s="537"/>
      <c r="JEL31" s="537"/>
      <c r="JEM31" s="537"/>
      <c r="JEN31" s="537"/>
      <c r="JEO31" s="537"/>
      <c r="JEP31" s="537"/>
      <c r="JEQ31" s="537"/>
      <c r="JER31" s="537"/>
      <c r="JES31" s="537"/>
      <c r="JET31" s="537"/>
      <c r="JEU31" s="537"/>
      <c r="JEV31" s="537"/>
      <c r="JEW31" s="537"/>
      <c r="JEX31" s="537"/>
      <c r="JEY31" s="537"/>
      <c r="JEZ31" s="537"/>
      <c r="JFA31" s="537"/>
      <c r="JFB31" s="537"/>
      <c r="JFC31" s="537"/>
      <c r="JFD31" s="537"/>
      <c r="JFE31" s="537"/>
      <c r="JFF31" s="537"/>
      <c r="JFG31" s="537"/>
      <c r="JFH31" s="537"/>
      <c r="JFI31" s="537"/>
      <c r="JFJ31" s="537"/>
      <c r="JFK31" s="537"/>
      <c r="JFL31" s="537"/>
      <c r="JFM31" s="537"/>
      <c r="JFN31" s="537"/>
      <c r="JFO31" s="537"/>
      <c r="JFP31" s="537"/>
      <c r="JFQ31" s="537"/>
      <c r="JFR31" s="537"/>
      <c r="JFS31" s="537"/>
      <c r="JFT31" s="537"/>
      <c r="JFU31" s="537"/>
      <c r="JFV31" s="537"/>
      <c r="JFW31" s="537"/>
      <c r="JFX31" s="537"/>
      <c r="JFY31" s="537"/>
      <c r="JFZ31" s="537"/>
      <c r="JGA31" s="537"/>
      <c r="JGB31" s="537"/>
      <c r="JGC31" s="537"/>
      <c r="JGD31" s="537"/>
      <c r="JGE31" s="537"/>
      <c r="JGF31" s="537"/>
      <c r="JGG31" s="537"/>
      <c r="JGH31" s="537"/>
      <c r="JGI31" s="537"/>
      <c r="JGJ31" s="537"/>
      <c r="JGK31" s="537"/>
      <c r="JGL31" s="537"/>
      <c r="JGM31" s="537"/>
      <c r="JGN31" s="537"/>
      <c r="JGO31" s="537"/>
      <c r="JGP31" s="537"/>
      <c r="JGQ31" s="537"/>
      <c r="JGR31" s="537"/>
      <c r="JGS31" s="537"/>
      <c r="JGT31" s="537"/>
      <c r="JGU31" s="537"/>
      <c r="JGV31" s="537"/>
      <c r="JGW31" s="537"/>
      <c r="JGX31" s="537"/>
      <c r="JGY31" s="537"/>
      <c r="JGZ31" s="537"/>
      <c r="JHA31" s="537"/>
      <c r="JHB31" s="537"/>
      <c r="JHC31" s="537"/>
      <c r="JHD31" s="537"/>
      <c r="JHE31" s="537"/>
      <c r="JHF31" s="537"/>
      <c r="JHG31" s="537"/>
      <c r="JHH31" s="537"/>
      <c r="JHI31" s="537"/>
      <c r="JHJ31" s="537"/>
      <c r="JHK31" s="537"/>
      <c r="JHL31" s="537"/>
      <c r="JHM31" s="537"/>
      <c r="JHN31" s="537"/>
      <c r="JHO31" s="537"/>
      <c r="JHP31" s="537"/>
      <c r="JHQ31" s="537"/>
      <c r="JHR31" s="537"/>
      <c r="JHS31" s="537"/>
      <c r="JHT31" s="537"/>
      <c r="JHU31" s="537"/>
      <c r="JHV31" s="537"/>
      <c r="JHW31" s="537"/>
      <c r="JHX31" s="537"/>
      <c r="JHY31" s="537"/>
      <c r="JHZ31" s="537"/>
      <c r="JIA31" s="537"/>
      <c r="JIB31" s="537"/>
      <c r="JIC31" s="537"/>
      <c r="JID31" s="537"/>
      <c r="JIE31" s="537"/>
      <c r="JIF31" s="537"/>
      <c r="JIG31" s="537"/>
      <c r="JIH31" s="537"/>
      <c r="JII31" s="537"/>
      <c r="JIJ31" s="537"/>
      <c r="JIK31" s="537"/>
      <c r="JIL31" s="537"/>
      <c r="JIM31" s="537"/>
      <c r="JIN31" s="537"/>
      <c r="JIO31" s="537"/>
      <c r="JIP31" s="537"/>
      <c r="JIQ31" s="537"/>
      <c r="JIR31" s="537"/>
      <c r="JIS31" s="537"/>
      <c r="JIT31" s="537"/>
      <c r="JIU31" s="537"/>
      <c r="JIV31" s="537"/>
      <c r="JIW31" s="537"/>
      <c r="JIX31" s="537"/>
      <c r="JIY31" s="537"/>
      <c r="JIZ31" s="537"/>
      <c r="JJA31" s="537"/>
      <c r="JJB31" s="537"/>
      <c r="JJC31" s="537"/>
      <c r="JJD31" s="537"/>
      <c r="JJE31" s="537"/>
      <c r="JJF31" s="537"/>
      <c r="JJG31" s="537"/>
      <c r="JJH31" s="537"/>
      <c r="JJI31" s="537"/>
      <c r="JJJ31" s="537"/>
      <c r="JJK31" s="537"/>
      <c r="JJL31" s="537"/>
      <c r="JJM31" s="537"/>
      <c r="JJN31" s="537"/>
      <c r="JJO31" s="537"/>
      <c r="JJP31" s="537"/>
      <c r="JJQ31" s="537"/>
      <c r="JJR31" s="537"/>
      <c r="JJS31" s="537"/>
      <c r="JJT31" s="537"/>
      <c r="JJU31" s="537"/>
      <c r="JJV31" s="537"/>
      <c r="JJW31" s="537"/>
      <c r="JJX31" s="537"/>
      <c r="JJY31" s="537"/>
      <c r="JJZ31" s="537"/>
      <c r="JKA31" s="537"/>
      <c r="JKB31" s="537"/>
      <c r="JKC31" s="537"/>
      <c r="JKD31" s="537"/>
      <c r="JKE31" s="537"/>
      <c r="JKF31" s="537"/>
      <c r="JKG31" s="537"/>
      <c r="JKH31" s="537"/>
      <c r="JKI31" s="537"/>
      <c r="JKJ31" s="537"/>
      <c r="JKK31" s="537"/>
      <c r="JKL31" s="537"/>
      <c r="JKM31" s="537"/>
      <c r="JKN31" s="537"/>
      <c r="JKO31" s="537"/>
      <c r="JKP31" s="537"/>
      <c r="JKQ31" s="537"/>
      <c r="JKR31" s="537"/>
      <c r="JKS31" s="537"/>
      <c r="JKT31" s="537"/>
      <c r="JKU31" s="537"/>
      <c r="JKV31" s="537"/>
      <c r="JKW31" s="537"/>
      <c r="JKX31" s="537"/>
      <c r="JKY31" s="537"/>
      <c r="JKZ31" s="537"/>
      <c r="JLA31" s="537"/>
      <c r="JLB31" s="537"/>
      <c r="JLC31" s="537"/>
      <c r="JLD31" s="537"/>
      <c r="JLE31" s="537"/>
      <c r="JLF31" s="537"/>
      <c r="JLG31" s="537"/>
      <c r="JLH31" s="537"/>
      <c r="JLI31" s="537"/>
      <c r="JLJ31" s="537"/>
      <c r="JLK31" s="537"/>
      <c r="JLL31" s="537"/>
      <c r="JLM31" s="537"/>
      <c r="JLN31" s="537"/>
      <c r="JLO31" s="537"/>
      <c r="JLP31" s="537"/>
      <c r="JLQ31" s="537"/>
      <c r="JLR31" s="537"/>
      <c r="JLS31" s="537"/>
      <c r="JLT31" s="537"/>
      <c r="JLU31" s="537"/>
      <c r="JLV31" s="537"/>
      <c r="JLW31" s="537"/>
      <c r="JLX31" s="537"/>
      <c r="JLY31" s="537"/>
      <c r="JLZ31" s="537"/>
      <c r="JMA31" s="537"/>
      <c r="JMB31" s="537"/>
      <c r="JMC31" s="537"/>
      <c r="JMD31" s="537"/>
      <c r="JME31" s="537"/>
      <c r="JMF31" s="537"/>
      <c r="JMG31" s="537"/>
      <c r="JMH31" s="537"/>
      <c r="JMI31" s="537"/>
      <c r="JMJ31" s="537"/>
      <c r="JMK31" s="537"/>
      <c r="JML31" s="537"/>
      <c r="JMM31" s="537"/>
      <c r="JMN31" s="537"/>
      <c r="JMO31" s="537"/>
      <c r="JMP31" s="537"/>
      <c r="JMQ31" s="537"/>
      <c r="JMR31" s="537"/>
      <c r="JMS31" s="537"/>
      <c r="JMT31" s="537"/>
      <c r="JMU31" s="537"/>
      <c r="JMV31" s="537"/>
      <c r="JMW31" s="537"/>
      <c r="JMX31" s="537"/>
      <c r="JMY31" s="537"/>
      <c r="JMZ31" s="537"/>
      <c r="JNA31" s="537"/>
      <c r="JNB31" s="537"/>
      <c r="JNC31" s="537"/>
      <c r="JND31" s="537"/>
      <c r="JNE31" s="537"/>
      <c r="JNF31" s="537"/>
      <c r="JNG31" s="537"/>
      <c r="JNH31" s="537"/>
      <c r="JNI31" s="537"/>
      <c r="JNJ31" s="537"/>
      <c r="JNK31" s="537"/>
      <c r="JNL31" s="537"/>
      <c r="JNM31" s="537"/>
      <c r="JNN31" s="537"/>
      <c r="JNO31" s="537"/>
      <c r="JNP31" s="537"/>
      <c r="JNQ31" s="537"/>
      <c r="JNR31" s="537"/>
      <c r="JNS31" s="537"/>
      <c r="JNT31" s="537"/>
      <c r="JNU31" s="537"/>
      <c r="JNV31" s="537"/>
      <c r="JNW31" s="537"/>
      <c r="JNX31" s="537"/>
      <c r="JNY31" s="537"/>
      <c r="JNZ31" s="537"/>
      <c r="JOA31" s="537"/>
      <c r="JOB31" s="537"/>
      <c r="JOC31" s="537"/>
      <c r="JOD31" s="537"/>
      <c r="JOE31" s="537"/>
      <c r="JOF31" s="537"/>
      <c r="JOG31" s="537"/>
      <c r="JOH31" s="537"/>
      <c r="JOI31" s="537"/>
      <c r="JOJ31" s="537"/>
      <c r="JOK31" s="537"/>
      <c r="JOL31" s="537"/>
      <c r="JOM31" s="537"/>
      <c r="JON31" s="537"/>
      <c r="JOO31" s="537"/>
      <c r="JOP31" s="537"/>
      <c r="JOQ31" s="537"/>
      <c r="JOR31" s="537"/>
      <c r="JOS31" s="537"/>
      <c r="JOT31" s="537"/>
      <c r="JOU31" s="537"/>
      <c r="JOV31" s="537"/>
      <c r="JOW31" s="537"/>
      <c r="JOX31" s="537"/>
      <c r="JOY31" s="537"/>
      <c r="JOZ31" s="537"/>
      <c r="JPA31" s="537"/>
      <c r="JPB31" s="537"/>
      <c r="JPC31" s="537"/>
      <c r="JPD31" s="537"/>
      <c r="JPE31" s="537"/>
      <c r="JPF31" s="537"/>
      <c r="JPG31" s="537"/>
      <c r="JPH31" s="537"/>
      <c r="JPI31" s="537"/>
      <c r="JPJ31" s="537"/>
      <c r="JPK31" s="537"/>
      <c r="JPL31" s="537"/>
      <c r="JPM31" s="537"/>
      <c r="JPN31" s="537"/>
      <c r="JPO31" s="537"/>
      <c r="JPP31" s="537"/>
      <c r="JPQ31" s="537"/>
      <c r="JPR31" s="537"/>
      <c r="JPS31" s="537"/>
      <c r="JPT31" s="537"/>
      <c r="JPU31" s="537"/>
      <c r="JPV31" s="537"/>
      <c r="JPW31" s="537"/>
      <c r="JPX31" s="537"/>
      <c r="JPY31" s="537"/>
      <c r="JPZ31" s="537"/>
      <c r="JQA31" s="537"/>
      <c r="JQB31" s="537"/>
      <c r="JQC31" s="537"/>
      <c r="JQD31" s="537"/>
      <c r="JQE31" s="537"/>
      <c r="JQF31" s="537"/>
      <c r="JQG31" s="537"/>
      <c r="JQH31" s="537"/>
      <c r="JQI31" s="537"/>
      <c r="JQJ31" s="537"/>
      <c r="JQK31" s="537"/>
      <c r="JQL31" s="537"/>
      <c r="JQM31" s="537"/>
      <c r="JQN31" s="537"/>
      <c r="JQO31" s="537"/>
      <c r="JQP31" s="537"/>
      <c r="JQQ31" s="537"/>
      <c r="JQR31" s="537"/>
      <c r="JQS31" s="537"/>
      <c r="JQT31" s="537"/>
      <c r="JQU31" s="537"/>
      <c r="JQV31" s="537"/>
      <c r="JQW31" s="537"/>
      <c r="JQX31" s="537"/>
      <c r="JQY31" s="537"/>
      <c r="JQZ31" s="537"/>
      <c r="JRA31" s="537"/>
      <c r="JRB31" s="537"/>
      <c r="JRC31" s="537"/>
      <c r="JRD31" s="537"/>
      <c r="JRE31" s="537"/>
      <c r="JRF31" s="537"/>
      <c r="JRG31" s="537"/>
      <c r="JRH31" s="537"/>
      <c r="JRI31" s="537"/>
      <c r="JRJ31" s="537"/>
      <c r="JRK31" s="537"/>
      <c r="JRL31" s="537"/>
      <c r="JRM31" s="537"/>
      <c r="JRN31" s="537"/>
      <c r="JRO31" s="537"/>
      <c r="JRP31" s="537"/>
      <c r="JRQ31" s="537"/>
      <c r="JRR31" s="537"/>
      <c r="JRS31" s="537"/>
      <c r="JRT31" s="537"/>
      <c r="JRU31" s="537"/>
      <c r="JRV31" s="537"/>
      <c r="JRW31" s="537"/>
      <c r="JRX31" s="537"/>
      <c r="JRY31" s="537"/>
      <c r="JRZ31" s="537"/>
      <c r="JSA31" s="537"/>
      <c r="JSB31" s="537"/>
      <c r="JSC31" s="537"/>
      <c r="JSD31" s="537"/>
      <c r="JSE31" s="537"/>
      <c r="JSF31" s="537"/>
      <c r="JSG31" s="537"/>
      <c r="JSH31" s="537"/>
      <c r="JSI31" s="537"/>
      <c r="JSJ31" s="537"/>
      <c r="JSK31" s="537"/>
      <c r="JSL31" s="537"/>
      <c r="JSM31" s="537"/>
      <c r="JSN31" s="537"/>
      <c r="JSO31" s="537"/>
      <c r="JSP31" s="537"/>
      <c r="JSQ31" s="537"/>
      <c r="JSR31" s="537"/>
      <c r="JSS31" s="537"/>
      <c r="JST31" s="537"/>
      <c r="JSU31" s="537"/>
      <c r="JSV31" s="537"/>
      <c r="JSW31" s="537"/>
      <c r="JSX31" s="537"/>
      <c r="JSY31" s="537"/>
      <c r="JSZ31" s="537"/>
      <c r="JTA31" s="537"/>
      <c r="JTB31" s="537"/>
      <c r="JTC31" s="537"/>
      <c r="JTD31" s="537"/>
      <c r="JTE31" s="537"/>
      <c r="JTF31" s="537"/>
      <c r="JTG31" s="537"/>
      <c r="JTH31" s="537"/>
      <c r="JTI31" s="537"/>
      <c r="JTJ31" s="537"/>
      <c r="JTK31" s="537"/>
      <c r="JTL31" s="537"/>
      <c r="JTM31" s="537"/>
      <c r="JTN31" s="537"/>
      <c r="JTO31" s="537"/>
      <c r="JTP31" s="537"/>
      <c r="JTQ31" s="537"/>
      <c r="JTR31" s="537"/>
      <c r="JTS31" s="537"/>
      <c r="JTT31" s="537"/>
      <c r="JTU31" s="537"/>
      <c r="JTV31" s="537"/>
      <c r="JTW31" s="537"/>
      <c r="JTX31" s="537"/>
      <c r="JTY31" s="537"/>
      <c r="JTZ31" s="537"/>
      <c r="JUA31" s="537"/>
      <c r="JUB31" s="537"/>
      <c r="JUC31" s="537"/>
      <c r="JUD31" s="537"/>
      <c r="JUE31" s="537"/>
      <c r="JUF31" s="537"/>
      <c r="JUG31" s="537"/>
      <c r="JUH31" s="537"/>
      <c r="JUI31" s="537"/>
      <c r="JUJ31" s="537"/>
      <c r="JUK31" s="537"/>
      <c r="JUL31" s="537"/>
      <c r="JUM31" s="537"/>
      <c r="JUN31" s="537"/>
      <c r="JUO31" s="537"/>
      <c r="JUP31" s="537"/>
      <c r="JUQ31" s="537"/>
      <c r="JUR31" s="537"/>
      <c r="JUS31" s="537"/>
      <c r="JUT31" s="537"/>
      <c r="JUU31" s="537"/>
      <c r="JUV31" s="537"/>
      <c r="JUW31" s="537"/>
      <c r="JUX31" s="537"/>
      <c r="JUY31" s="537"/>
      <c r="JUZ31" s="537"/>
      <c r="JVA31" s="537"/>
      <c r="JVB31" s="537"/>
      <c r="JVC31" s="537"/>
      <c r="JVD31" s="537"/>
      <c r="JVE31" s="537"/>
      <c r="JVF31" s="537"/>
      <c r="JVG31" s="537"/>
      <c r="JVH31" s="537"/>
      <c r="JVI31" s="537"/>
      <c r="JVJ31" s="537"/>
      <c r="JVK31" s="537"/>
      <c r="JVL31" s="537"/>
      <c r="JVM31" s="537"/>
      <c r="JVN31" s="537"/>
      <c r="JVO31" s="537"/>
      <c r="JVP31" s="537"/>
      <c r="JVQ31" s="537"/>
      <c r="JVR31" s="537"/>
      <c r="JVS31" s="537"/>
      <c r="JVT31" s="537"/>
      <c r="JVU31" s="537"/>
      <c r="JVV31" s="537"/>
      <c r="JVW31" s="537"/>
      <c r="JVX31" s="537"/>
      <c r="JVY31" s="537"/>
      <c r="JVZ31" s="537"/>
      <c r="JWA31" s="537"/>
      <c r="JWB31" s="537"/>
      <c r="JWC31" s="537"/>
      <c r="JWD31" s="537"/>
      <c r="JWE31" s="537"/>
      <c r="JWF31" s="537"/>
      <c r="JWG31" s="537"/>
      <c r="JWH31" s="537"/>
      <c r="JWI31" s="537"/>
      <c r="JWJ31" s="537"/>
      <c r="JWK31" s="537"/>
      <c r="JWL31" s="537"/>
      <c r="JWM31" s="537"/>
      <c r="JWN31" s="537"/>
      <c r="JWO31" s="537"/>
      <c r="JWP31" s="537"/>
      <c r="JWQ31" s="537"/>
      <c r="JWR31" s="537"/>
      <c r="JWS31" s="537"/>
      <c r="JWT31" s="537"/>
      <c r="JWU31" s="537"/>
      <c r="JWV31" s="537"/>
      <c r="JWW31" s="537"/>
      <c r="JWX31" s="537"/>
      <c r="JWY31" s="537"/>
      <c r="JWZ31" s="537"/>
      <c r="JXA31" s="537"/>
      <c r="JXB31" s="537"/>
      <c r="JXC31" s="537"/>
      <c r="JXD31" s="537"/>
      <c r="JXE31" s="537"/>
      <c r="JXF31" s="537"/>
      <c r="JXG31" s="537"/>
      <c r="JXH31" s="537"/>
      <c r="JXI31" s="537"/>
      <c r="JXJ31" s="537"/>
      <c r="JXK31" s="537"/>
      <c r="JXL31" s="537"/>
      <c r="JXM31" s="537"/>
      <c r="JXN31" s="537"/>
      <c r="JXO31" s="537"/>
      <c r="JXP31" s="537"/>
      <c r="JXQ31" s="537"/>
      <c r="JXR31" s="537"/>
      <c r="JXS31" s="537"/>
      <c r="JXT31" s="537"/>
      <c r="JXU31" s="537"/>
      <c r="JXV31" s="537"/>
      <c r="JXW31" s="537"/>
      <c r="JXX31" s="537"/>
      <c r="JXY31" s="537"/>
      <c r="JXZ31" s="537"/>
      <c r="JYA31" s="537"/>
      <c r="JYB31" s="537"/>
      <c r="JYC31" s="537"/>
      <c r="JYD31" s="537"/>
      <c r="JYE31" s="537"/>
      <c r="JYF31" s="537"/>
      <c r="JYG31" s="537"/>
      <c r="JYH31" s="537"/>
      <c r="JYI31" s="537"/>
      <c r="JYJ31" s="537"/>
      <c r="JYK31" s="537"/>
      <c r="JYL31" s="537"/>
      <c r="JYM31" s="537"/>
      <c r="JYN31" s="537"/>
      <c r="JYO31" s="537"/>
      <c r="JYP31" s="537"/>
      <c r="JYQ31" s="537"/>
      <c r="JYR31" s="537"/>
      <c r="JYS31" s="537"/>
      <c r="JYT31" s="537"/>
      <c r="JYU31" s="537"/>
      <c r="JYV31" s="537"/>
      <c r="JYW31" s="537"/>
      <c r="JYX31" s="537"/>
      <c r="JYY31" s="537"/>
      <c r="JYZ31" s="537"/>
      <c r="JZA31" s="537"/>
      <c r="JZB31" s="537"/>
      <c r="JZC31" s="537"/>
      <c r="JZD31" s="537"/>
      <c r="JZE31" s="537"/>
      <c r="JZF31" s="537"/>
      <c r="JZG31" s="537"/>
      <c r="JZH31" s="537"/>
      <c r="JZI31" s="537"/>
      <c r="JZJ31" s="537"/>
      <c r="JZK31" s="537"/>
      <c r="JZL31" s="537"/>
      <c r="JZM31" s="537"/>
      <c r="JZN31" s="537"/>
      <c r="JZO31" s="537"/>
      <c r="JZP31" s="537"/>
      <c r="JZQ31" s="537"/>
      <c r="JZR31" s="537"/>
      <c r="JZS31" s="537"/>
      <c r="JZT31" s="537"/>
      <c r="JZU31" s="537"/>
      <c r="JZV31" s="537"/>
      <c r="JZW31" s="537"/>
      <c r="JZX31" s="537"/>
      <c r="JZY31" s="537"/>
      <c r="JZZ31" s="537"/>
      <c r="KAA31" s="537"/>
      <c r="KAB31" s="537"/>
      <c r="KAC31" s="537"/>
      <c r="KAD31" s="537"/>
      <c r="KAE31" s="537"/>
      <c r="KAF31" s="537"/>
      <c r="KAG31" s="537"/>
      <c r="KAH31" s="537"/>
      <c r="KAI31" s="537"/>
      <c r="KAJ31" s="537"/>
      <c r="KAK31" s="537"/>
      <c r="KAL31" s="537"/>
      <c r="KAM31" s="537"/>
      <c r="KAN31" s="537"/>
      <c r="KAO31" s="537"/>
      <c r="KAP31" s="537"/>
      <c r="KAQ31" s="537"/>
      <c r="KAR31" s="537"/>
      <c r="KAS31" s="537"/>
      <c r="KAT31" s="537"/>
      <c r="KAU31" s="537"/>
      <c r="KAV31" s="537"/>
      <c r="KAW31" s="537"/>
      <c r="KAX31" s="537"/>
      <c r="KAY31" s="537"/>
      <c r="KAZ31" s="537"/>
      <c r="KBA31" s="537"/>
      <c r="KBB31" s="537"/>
      <c r="KBC31" s="537"/>
      <c r="KBD31" s="537"/>
      <c r="KBE31" s="537"/>
      <c r="KBF31" s="537"/>
      <c r="KBG31" s="537"/>
      <c r="KBH31" s="537"/>
      <c r="KBI31" s="537"/>
      <c r="KBJ31" s="537"/>
      <c r="KBK31" s="537"/>
      <c r="KBL31" s="537"/>
      <c r="KBM31" s="537"/>
      <c r="KBN31" s="537"/>
      <c r="KBO31" s="537"/>
      <c r="KBP31" s="537"/>
      <c r="KBQ31" s="537"/>
      <c r="KBR31" s="537"/>
      <c r="KBS31" s="537"/>
      <c r="KBT31" s="537"/>
      <c r="KBU31" s="537"/>
      <c r="KBV31" s="537"/>
      <c r="KBW31" s="537"/>
      <c r="KBX31" s="537"/>
      <c r="KBY31" s="537"/>
      <c r="KBZ31" s="537"/>
      <c r="KCA31" s="537"/>
      <c r="KCB31" s="537"/>
      <c r="KCC31" s="537"/>
      <c r="KCD31" s="537"/>
      <c r="KCE31" s="537"/>
      <c r="KCF31" s="537"/>
      <c r="KCG31" s="537"/>
      <c r="KCH31" s="537"/>
      <c r="KCI31" s="537"/>
      <c r="KCJ31" s="537"/>
      <c r="KCK31" s="537"/>
      <c r="KCL31" s="537"/>
      <c r="KCM31" s="537"/>
      <c r="KCN31" s="537"/>
      <c r="KCO31" s="537"/>
      <c r="KCP31" s="537"/>
      <c r="KCQ31" s="537"/>
      <c r="KCR31" s="537"/>
      <c r="KCS31" s="537"/>
      <c r="KCT31" s="537"/>
      <c r="KCU31" s="537"/>
      <c r="KCV31" s="537"/>
      <c r="KCW31" s="537"/>
      <c r="KCX31" s="537"/>
      <c r="KCY31" s="537"/>
      <c r="KCZ31" s="537"/>
      <c r="KDA31" s="537"/>
      <c r="KDB31" s="537"/>
      <c r="KDC31" s="537"/>
      <c r="KDD31" s="537"/>
      <c r="KDE31" s="537"/>
      <c r="KDF31" s="537"/>
      <c r="KDG31" s="537"/>
      <c r="KDH31" s="537"/>
      <c r="KDI31" s="537"/>
      <c r="KDJ31" s="537"/>
      <c r="KDK31" s="537"/>
      <c r="KDL31" s="537"/>
      <c r="KDM31" s="537"/>
      <c r="KDN31" s="537"/>
      <c r="KDO31" s="537"/>
      <c r="KDP31" s="537"/>
      <c r="KDQ31" s="537"/>
      <c r="KDR31" s="537"/>
      <c r="KDS31" s="537"/>
      <c r="KDT31" s="537"/>
      <c r="KDU31" s="537"/>
      <c r="KDV31" s="537"/>
      <c r="KDW31" s="537"/>
      <c r="KDX31" s="537"/>
      <c r="KDY31" s="537"/>
      <c r="KDZ31" s="537"/>
      <c r="KEA31" s="537"/>
      <c r="KEB31" s="537"/>
      <c r="KEC31" s="537"/>
      <c r="KED31" s="537"/>
      <c r="KEE31" s="537"/>
      <c r="KEF31" s="537"/>
      <c r="KEG31" s="537"/>
      <c r="KEH31" s="537"/>
      <c r="KEI31" s="537"/>
      <c r="KEJ31" s="537"/>
      <c r="KEK31" s="537"/>
      <c r="KEL31" s="537"/>
      <c r="KEM31" s="537"/>
      <c r="KEN31" s="537"/>
      <c r="KEO31" s="537"/>
      <c r="KEP31" s="537"/>
      <c r="KEQ31" s="537"/>
      <c r="KER31" s="537"/>
      <c r="KES31" s="537"/>
      <c r="KET31" s="537"/>
      <c r="KEU31" s="537"/>
      <c r="KEV31" s="537"/>
      <c r="KEW31" s="537"/>
      <c r="KEX31" s="537"/>
      <c r="KEY31" s="537"/>
      <c r="KEZ31" s="537"/>
      <c r="KFA31" s="537"/>
      <c r="KFB31" s="537"/>
      <c r="KFC31" s="537"/>
      <c r="KFD31" s="537"/>
      <c r="KFE31" s="537"/>
      <c r="KFF31" s="537"/>
      <c r="KFG31" s="537"/>
      <c r="KFH31" s="537"/>
      <c r="KFI31" s="537"/>
      <c r="KFJ31" s="537"/>
      <c r="KFK31" s="537"/>
      <c r="KFL31" s="537"/>
      <c r="KFM31" s="537"/>
      <c r="KFN31" s="537"/>
      <c r="KFO31" s="537"/>
      <c r="KFP31" s="537"/>
      <c r="KFQ31" s="537"/>
      <c r="KFR31" s="537"/>
      <c r="KFS31" s="537"/>
      <c r="KFT31" s="537"/>
      <c r="KFU31" s="537"/>
      <c r="KFV31" s="537"/>
      <c r="KFW31" s="537"/>
      <c r="KFX31" s="537"/>
      <c r="KFY31" s="537"/>
      <c r="KFZ31" s="537"/>
      <c r="KGA31" s="537"/>
      <c r="KGB31" s="537"/>
      <c r="KGC31" s="537"/>
      <c r="KGD31" s="537"/>
      <c r="KGE31" s="537"/>
      <c r="KGF31" s="537"/>
      <c r="KGG31" s="537"/>
      <c r="KGH31" s="537"/>
      <c r="KGI31" s="537"/>
      <c r="KGJ31" s="537"/>
      <c r="KGK31" s="537"/>
      <c r="KGL31" s="537"/>
      <c r="KGM31" s="537"/>
      <c r="KGN31" s="537"/>
      <c r="KGO31" s="537"/>
      <c r="KGP31" s="537"/>
      <c r="KGQ31" s="537"/>
      <c r="KGR31" s="537"/>
      <c r="KGS31" s="537"/>
      <c r="KGT31" s="537"/>
      <c r="KGU31" s="537"/>
      <c r="KGV31" s="537"/>
      <c r="KGW31" s="537"/>
      <c r="KGX31" s="537"/>
      <c r="KGY31" s="537"/>
      <c r="KGZ31" s="537"/>
      <c r="KHA31" s="537"/>
      <c r="KHB31" s="537"/>
      <c r="KHC31" s="537"/>
      <c r="KHD31" s="537"/>
      <c r="KHE31" s="537"/>
      <c r="KHF31" s="537"/>
      <c r="KHG31" s="537"/>
      <c r="KHH31" s="537"/>
      <c r="KHI31" s="537"/>
      <c r="KHJ31" s="537"/>
      <c r="KHK31" s="537"/>
      <c r="KHL31" s="537"/>
      <c r="KHM31" s="537"/>
      <c r="KHN31" s="537"/>
      <c r="KHO31" s="537"/>
      <c r="KHP31" s="537"/>
      <c r="KHQ31" s="537"/>
      <c r="KHR31" s="537"/>
      <c r="KHS31" s="537"/>
      <c r="KHT31" s="537"/>
      <c r="KHU31" s="537"/>
      <c r="KHV31" s="537"/>
      <c r="KHW31" s="537"/>
      <c r="KHX31" s="537"/>
      <c r="KHY31" s="537"/>
      <c r="KHZ31" s="537"/>
      <c r="KIA31" s="537"/>
      <c r="KIB31" s="537"/>
      <c r="KIC31" s="537"/>
      <c r="KID31" s="537"/>
      <c r="KIE31" s="537"/>
      <c r="KIF31" s="537"/>
      <c r="KIG31" s="537"/>
      <c r="KIH31" s="537"/>
      <c r="KII31" s="537"/>
      <c r="KIJ31" s="537"/>
      <c r="KIK31" s="537"/>
      <c r="KIL31" s="537"/>
      <c r="KIM31" s="537"/>
      <c r="KIN31" s="537"/>
      <c r="KIO31" s="537"/>
      <c r="KIP31" s="537"/>
      <c r="KIQ31" s="537"/>
      <c r="KIR31" s="537"/>
      <c r="KIS31" s="537"/>
      <c r="KIT31" s="537"/>
      <c r="KIU31" s="537"/>
      <c r="KIV31" s="537"/>
      <c r="KIW31" s="537"/>
      <c r="KIX31" s="537"/>
      <c r="KIY31" s="537"/>
      <c r="KIZ31" s="537"/>
      <c r="KJA31" s="537"/>
      <c r="KJB31" s="537"/>
      <c r="KJC31" s="537"/>
      <c r="KJD31" s="537"/>
      <c r="KJE31" s="537"/>
      <c r="KJF31" s="537"/>
      <c r="KJG31" s="537"/>
      <c r="KJH31" s="537"/>
      <c r="KJI31" s="537"/>
      <c r="KJJ31" s="537"/>
      <c r="KJK31" s="537"/>
      <c r="KJL31" s="537"/>
      <c r="KJM31" s="537"/>
      <c r="KJN31" s="537"/>
      <c r="KJO31" s="537"/>
      <c r="KJP31" s="537"/>
      <c r="KJQ31" s="537"/>
      <c r="KJR31" s="537"/>
      <c r="KJS31" s="537"/>
      <c r="KJT31" s="537"/>
      <c r="KJU31" s="537"/>
      <c r="KJV31" s="537"/>
      <c r="KJW31" s="537"/>
      <c r="KJX31" s="537"/>
      <c r="KJY31" s="537"/>
      <c r="KJZ31" s="537"/>
      <c r="KKA31" s="537"/>
      <c r="KKB31" s="537"/>
      <c r="KKC31" s="537"/>
      <c r="KKD31" s="537"/>
      <c r="KKE31" s="537"/>
      <c r="KKF31" s="537"/>
      <c r="KKG31" s="537"/>
      <c r="KKH31" s="537"/>
      <c r="KKI31" s="537"/>
      <c r="KKJ31" s="537"/>
      <c r="KKK31" s="537"/>
      <c r="KKL31" s="537"/>
      <c r="KKM31" s="537"/>
      <c r="KKN31" s="537"/>
      <c r="KKO31" s="537"/>
      <c r="KKP31" s="537"/>
      <c r="KKQ31" s="537"/>
      <c r="KKR31" s="537"/>
      <c r="KKS31" s="537"/>
      <c r="KKT31" s="537"/>
      <c r="KKU31" s="537"/>
      <c r="KKV31" s="537"/>
      <c r="KKW31" s="537"/>
      <c r="KKX31" s="537"/>
      <c r="KKY31" s="537"/>
      <c r="KKZ31" s="537"/>
      <c r="KLA31" s="537"/>
      <c r="KLB31" s="537"/>
      <c r="KLC31" s="537"/>
      <c r="KLD31" s="537"/>
      <c r="KLE31" s="537"/>
      <c r="KLF31" s="537"/>
      <c r="KLG31" s="537"/>
      <c r="KLH31" s="537"/>
      <c r="KLI31" s="537"/>
      <c r="KLJ31" s="537"/>
      <c r="KLK31" s="537"/>
      <c r="KLL31" s="537"/>
      <c r="KLM31" s="537"/>
      <c r="KLN31" s="537"/>
      <c r="KLO31" s="537"/>
      <c r="KLP31" s="537"/>
      <c r="KLQ31" s="537"/>
      <c r="KLR31" s="537"/>
      <c r="KLS31" s="537"/>
      <c r="KLT31" s="537"/>
      <c r="KLU31" s="537"/>
      <c r="KLV31" s="537"/>
      <c r="KLW31" s="537"/>
      <c r="KLX31" s="537"/>
      <c r="KLY31" s="537"/>
      <c r="KLZ31" s="537"/>
      <c r="KMA31" s="537"/>
      <c r="KMB31" s="537"/>
      <c r="KMC31" s="537"/>
      <c r="KMD31" s="537"/>
      <c r="KME31" s="537"/>
      <c r="KMF31" s="537"/>
      <c r="KMG31" s="537"/>
      <c r="KMH31" s="537"/>
      <c r="KMI31" s="537"/>
      <c r="KMJ31" s="537"/>
      <c r="KMK31" s="537"/>
      <c r="KML31" s="537"/>
      <c r="KMM31" s="537"/>
      <c r="KMN31" s="537"/>
      <c r="KMO31" s="537"/>
      <c r="KMP31" s="537"/>
      <c r="KMQ31" s="537"/>
      <c r="KMR31" s="537"/>
      <c r="KMS31" s="537"/>
      <c r="KMT31" s="537"/>
      <c r="KMU31" s="537"/>
      <c r="KMV31" s="537"/>
      <c r="KMW31" s="537"/>
      <c r="KMX31" s="537"/>
      <c r="KMY31" s="537"/>
      <c r="KMZ31" s="537"/>
      <c r="KNA31" s="537"/>
      <c r="KNB31" s="537"/>
      <c r="KNC31" s="537"/>
      <c r="KND31" s="537"/>
      <c r="KNE31" s="537"/>
      <c r="KNF31" s="537"/>
      <c r="KNG31" s="537"/>
      <c r="KNH31" s="537"/>
      <c r="KNI31" s="537"/>
      <c r="KNJ31" s="537"/>
      <c r="KNK31" s="537"/>
      <c r="KNL31" s="537"/>
      <c r="KNM31" s="537"/>
      <c r="KNN31" s="537"/>
      <c r="KNO31" s="537"/>
      <c r="KNP31" s="537"/>
      <c r="KNQ31" s="537"/>
      <c r="KNR31" s="537"/>
      <c r="KNS31" s="537"/>
      <c r="KNT31" s="537"/>
      <c r="KNU31" s="537"/>
      <c r="KNV31" s="537"/>
      <c r="KNW31" s="537"/>
      <c r="KNX31" s="537"/>
      <c r="KNY31" s="537"/>
      <c r="KNZ31" s="537"/>
      <c r="KOA31" s="537"/>
      <c r="KOB31" s="537"/>
      <c r="KOC31" s="537"/>
      <c r="KOD31" s="537"/>
      <c r="KOE31" s="537"/>
      <c r="KOF31" s="537"/>
      <c r="KOG31" s="537"/>
      <c r="KOH31" s="537"/>
      <c r="KOI31" s="537"/>
      <c r="KOJ31" s="537"/>
      <c r="KOK31" s="537"/>
      <c r="KOL31" s="537"/>
      <c r="KOM31" s="537"/>
      <c r="KON31" s="537"/>
      <c r="KOO31" s="537"/>
      <c r="KOP31" s="537"/>
      <c r="KOQ31" s="537"/>
      <c r="KOR31" s="537"/>
      <c r="KOS31" s="537"/>
      <c r="KOT31" s="537"/>
      <c r="KOU31" s="537"/>
      <c r="KOV31" s="537"/>
      <c r="KOW31" s="537"/>
      <c r="KOX31" s="537"/>
      <c r="KOY31" s="537"/>
      <c r="KOZ31" s="537"/>
      <c r="KPA31" s="537"/>
      <c r="KPB31" s="537"/>
      <c r="KPC31" s="537"/>
      <c r="KPD31" s="537"/>
      <c r="KPE31" s="537"/>
      <c r="KPF31" s="537"/>
      <c r="KPG31" s="537"/>
      <c r="KPH31" s="537"/>
      <c r="KPI31" s="537"/>
      <c r="KPJ31" s="537"/>
      <c r="KPK31" s="537"/>
      <c r="KPL31" s="537"/>
      <c r="KPM31" s="537"/>
      <c r="KPN31" s="537"/>
      <c r="KPO31" s="537"/>
      <c r="KPP31" s="537"/>
      <c r="KPQ31" s="537"/>
      <c r="KPR31" s="537"/>
      <c r="KPS31" s="537"/>
      <c r="KPT31" s="537"/>
      <c r="KPU31" s="537"/>
      <c r="KPV31" s="537"/>
      <c r="KPW31" s="537"/>
      <c r="KPX31" s="537"/>
      <c r="KPY31" s="537"/>
      <c r="KPZ31" s="537"/>
      <c r="KQA31" s="537"/>
      <c r="KQB31" s="537"/>
      <c r="KQC31" s="537"/>
      <c r="KQD31" s="537"/>
      <c r="KQE31" s="537"/>
      <c r="KQF31" s="537"/>
      <c r="KQG31" s="537"/>
      <c r="KQH31" s="537"/>
      <c r="KQI31" s="537"/>
      <c r="KQJ31" s="537"/>
      <c r="KQK31" s="537"/>
      <c r="KQL31" s="537"/>
      <c r="KQM31" s="537"/>
      <c r="KQN31" s="537"/>
      <c r="KQO31" s="537"/>
      <c r="KQP31" s="537"/>
      <c r="KQQ31" s="537"/>
      <c r="KQR31" s="537"/>
      <c r="KQS31" s="537"/>
      <c r="KQT31" s="537"/>
      <c r="KQU31" s="537"/>
      <c r="KQV31" s="537"/>
      <c r="KQW31" s="537"/>
      <c r="KQX31" s="537"/>
      <c r="KQY31" s="537"/>
      <c r="KQZ31" s="537"/>
      <c r="KRA31" s="537"/>
      <c r="KRB31" s="537"/>
      <c r="KRC31" s="537"/>
      <c r="KRD31" s="537"/>
      <c r="KRE31" s="537"/>
      <c r="KRF31" s="537"/>
      <c r="KRG31" s="537"/>
      <c r="KRH31" s="537"/>
      <c r="KRI31" s="537"/>
      <c r="KRJ31" s="537"/>
      <c r="KRK31" s="537"/>
      <c r="KRL31" s="537"/>
      <c r="KRM31" s="537"/>
      <c r="KRN31" s="537"/>
      <c r="KRO31" s="537"/>
      <c r="KRP31" s="537"/>
      <c r="KRQ31" s="537"/>
      <c r="KRR31" s="537"/>
      <c r="KRS31" s="537"/>
      <c r="KRT31" s="537"/>
      <c r="KRU31" s="537"/>
      <c r="KRV31" s="537"/>
      <c r="KRW31" s="537"/>
      <c r="KRX31" s="537"/>
      <c r="KRY31" s="537"/>
      <c r="KRZ31" s="537"/>
      <c r="KSA31" s="537"/>
      <c r="KSB31" s="537"/>
      <c r="KSC31" s="537"/>
      <c r="KSD31" s="537"/>
      <c r="KSE31" s="537"/>
      <c r="KSF31" s="537"/>
      <c r="KSG31" s="537"/>
      <c r="KSH31" s="537"/>
      <c r="KSI31" s="537"/>
      <c r="KSJ31" s="537"/>
      <c r="KSK31" s="537"/>
      <c r="KSL31" s="537"/>
      <c r="KSM31" s="537"/>
      <c r="KSN31" s="537"/>
      <c r="KSO31" s="537"/>
      <c r="KSP31" s="537"/>
      <c r="KSQ31" s="537"/>
      <c r="KSR31" s="537"/>
      <c r="KSS31" s="537"/>
      <c r="KST31" s="537"/>
      <c r="KSU31" s="537"/>
      <c r="KSV31" s="537"/>
      <c r="KSW31" s="537"/>
      <c r="KSX31" s="537"/>
      <c r="KSY31" s="537"/>
      <c r="KSZ31" s="537"/>
      <c r="KTA31" s="537"/>
      <c r="KTB31" s="537"/>
      <c r="KTC31" s="537"/>
      <c r="KTD31" s="537"/>
      <c r="KTE31" s="537"/>
      <c r="KTF31" s="537"/>
      <c r="KTG31" s="537"/>
      <c r="KTH31" s="537"/>
      <c r="KTI31" s="537"/>
      <c r="KTJ31" s="537"/>
      <c r="KTK31" s="537"/>
      <c r="KTL31" s="537"/>
      <c r="KTM31" s="537"/>
      <c r="KTN31" s="537"/>
      <c r="KTO31" s="537"/>
      <c r="KTP31" s="537"/>
      <c r="KTQ31" s="537"/>
      <c r="KTR31" s="537"/>
      <c r="KTS31" s="537"/>
      <c r="KTT31" s="537"/>
      <c r="KTU31" s="537"/>
      <c r="KTV31" s="537"/>
      <c r="KTW31" s="537"/>
      <c r="KTX31" s="537"/>
      <c r="KTY31" s="537"/>
      <c r="KTZ31" s="537"/>
      <c r="KUA31" s="537"/>
      <c r="KUB31" s="537"/>
      <c r="KUC31" s="537"/>
      <c r="KUD31" s="537"/>
      <c r="KUE31" s="537"/>
      <c r="KUF31" s="537"/>
      <c r="KUG31" s="537"/>
      <c r="KUH31" s="537"/>
      <c r="KUI31" s="537"/>
      <c r="KUJ31" s="537"/>
      <c r="KUK31" s="537"/>
      <c r="KUL31" s="537"/>
      <c r="KUM31" s="537"/>
      <c r="KUN31" s="537"/>
      <c r="KUO31" s="537"/>
      <c r="KUP31" s="537"/>
      <c r="KUQ31" s="537"/>
      <c r="KUR31" s="537"/>
      <c r="KUS31" s="537"/>
      <c r="KUT31" s="537"/>
      <c r="KUU31" s="537"/>
      <c r="KUV31" s="537"/>
      <c r="KUW31" s="537"/>
      <c r="KUX31" s="537"/>
      <c r="KUY31" s="537"/>
      <c r="KUZ31" s="537"/>
      <c r="KVA31" s="537"/>
      <c r="KVB31" s="537"/>
      <c r="KVC31" s="537"/>
      <c r="KVD31" s="537"/>
      <c r="KVE31" s="537"/>
      <c r="KVF31" s="537"/>
      <c r="KVG31" s="537"/>
      <c r="KVH31" s="537"/>
      <c r="KVI31" s="537"/>
      <c r="KVJ31" s="537"/>
      <c r="KVK31" s="537"/>
      <c r="KVL31" s="537"/>
      <c r="KVM31" s="537"/>
      <c r="KVN31" s="537"/>
      <c r="KVO31" s="537"/>
      <c r="KVP31" s="537"/>
      <c r="KVQ31" s="537"/>
      <c r="KVR31" s="537"/>
      <c r="KVS31" s="537"/>
      <c r="KVT31" s="537"/>
      <c r="KVU31" s="537"/>
      <c r="KVV31" s="537"/>
      <c r="KVW31" s="537"/>
      <c r="KVX31" s="537"/>
      <c r="KVY31" s="537"/>
      <c r="KVZ31" s="537"/>
      <c r="KWA31" s="537"/>
      <c r="KWB31" s="537"/>
      <c r="KWC31" s="537"/>
      <c r="KWD31" s="537"/>
      <c r="KWE31" s="537"/>
      <c r="KWF31" s="537"/>
      <c r="KWG31" s="537"/>
      <c r="KWH31" s="537"/>
      <c r="KWI31" s="537"/>
      <c r="KWJ31" s="537"/>
      <c r="KWK31" s="537"/>
      <c r="KWL31" s="537"/>
      <c r="KWM31" s="537"/>
      <c r="KWN31" s="537"/>
      <c r="KWO31" s="537"/>
      <c r="KWP31" s="537"/>
      <c r="KWQ31" s="537"/>
      <c r="KWR31" s="537"/>
      <c r="KWS31" s="537"/>
      <c r="KWT31" s="537"/>
      <c r="KWU31" s="537"/>
      <c r="KWV31" s="537"/>
      <c r="KWW31" s="537"/>
      <c r="KWX31" s="537"/>
      <c r="KWY31" s="537"/>
      <c r="KWZ31" s="537"/>
      <c r="KXA31" s="537"/>
      <c r="KXB31" s="537"/>
      <c r="KXC31" s="537"/>
      <c r="KXD31" s="537"/>
      <c r="KXE31" s="537"/>
      <c r="KXF31" s="537"/>
      <c r="KXG31" s="537"/>
      <c r="KXH31" s="537"/>
      <c r="KXI31" s="537"/>
      <c r="KXJ31" s="537"/>
      <c r="KXK31" s="537"/>
      <c r="KXL31" s="537"/>
      <c r="KXM31" s="537"/>
      <c r="KXN31" s="537"/>
      <c r="KXO31" s="537"/>
      <c r="KXP31" s="537"/>
      <c r="KXQ31" s="537"/>
      <c r="KXR31" s="537"/>
      <c r="KXS31" s="537"/>
      <c r="KXT31" s="537"/>
      <c r="KXU31" s="537"/>
      <c r="KXV31" s="537"/>
      <c r="KXW31" s="537"/>
      <c r="KXX31" s="537"/>
      <c r="KXY31" s="537"/>
      <c r="KXZ31" s="537"/>
      <c r="KYA31" s="537"/>
      <c r="KYB31" s="537"/>
      <c r="KYC31" s="537"/>
      <c r="KYD31" s="537"/>
      <c r="KYE31" s="537"/>
      <c r="KYF31" s="537"/>
      <c r="KYG31" s="537"/>
      <c r="KYH31" s="537"/>
      <c r="KYI31" s="537"/>
      <c r="KYJ31" s="537"/>
      <c r="KYK31" s="537"/>
      <c r="KYL31" s="537"/>
      <c r="KYM31" s="537"/>
      <c r="KYN31" s="537"/>
      <c r="KYO31" s="537"/>
      <c r="KYP31" s="537"/>
      <c r="KYQ31" s="537"/>
      <c r="KYR31" s="537"/>
      <c r="KYS31" s="537"/>
      <c r="KYT31" s="537"/>
      <c r="KYU31" s="537"/>
      <c r="KYV31" s="537"/>
      <c r="KYW31" s="537"/>
      <c r="KYX31" s="537"/>
      <c r="KYY31" s="537"/>
      <c r="KYZ31" s="537"/>
      <c r="KZA31" s="537"/>
      <c r="KZB31" s="537"/>
      <c r="KZC31" s="537"/>
      <c r="KZD31" s="537"/>
      <c r="KZE31" s="537"/>
      <c r="KZF31" s="537"/>
      <c r="KZG31" s="537"/>
      <c r="KZH31" s="537"/>
      <c r="KZI31" s="537"/>
      <c r="KZJ31" s="537"/>
      <c r="KZK31" s="537"/>
      <c r="KZL31" s="537"/>
      <c r="KZM31" s="537"/>
      <c r="KZN31" s="537"/>
      <c r="KZO31" s="537"/>
      <c r="KZP31" s="537"/>
      <c r="KZQ31" s="537"/>
      <c r="KZR31" s="537"/>
      <c r="KZS31" s="537"/>
      <c r="KZT31" s="537"/>
      <c r="KZU31" s="537"/>
      <c r="KZV31" s="537"/>
      <c r="KZW31" s="537"/>
      <c r="KZX31" s="537"/>
      <c r="KZY31" s="537"/>
      <c r="KZZ31" s="537"/>
      <c r="LAA31" s="537"/>
      <c r="LAB31" s="537"/>
      <c r="LAC31" s="537"/>
      <c r="LAD31" s="537"/>
      <c r="LAE31" s="537"/>
      <c r="LAF31" s="537"/>
      <c r="LAG31" s="537"/>
      <c r="LAH31" s="537"/>
      <c r="LAI31" s="537"/>
      <c r="LAJ31" s="537"/>
      <c r="LAK31" s="537"/>
      <c r="LAL31" s="537"/>
      <c r="LAM31" s="537"/>
      <c r="LAN31" s="537"/>
      <c r="LAO31" s="537"/>
      <c r="LAP31" s="537"/>
      <c r="LAQ31" s="537"/>
      <c r="LAR31" s="537"/>
      <c r="LAS31" s="537"/>
      <c r="LAT31" s="537"/>
      <c r="LAU31" s="537"/>
      <c r="LAV31" s="537"/>
      <c r="LAW31" s="537"/>
      <c r="LAX31" s="537"/>
      <c r="LAY31" s="537"/>
      <c r="LAZ31" s="537"/>
      <c r="LBA31" s="537"/>
      <c r="LBB31" s="537"/>
      <c r="LBC31" s="537"/>
      <c r="LBD31" s="537"/>
      <c r="LBE31" s="537"/>
      <c r="LBF31" s="537"/>
      <c r="LBG31" s="537"/>
      <c r="LBH31" s="537"/>
      <c r="LBI31" s="537"/>
      <c r="LBJ31" s="537"/>
      <c r="LBK31" s="537"/>
      <c r="LBL31" s="537"/>
      <c r="LBM31" s="537"/>
      <c r="LBN31" s="537"/>
      <c r="LBO31" s="537"/>
      <c r="LBP31" s="537"/>
      <c r="LBQ31" s="537"/>
      <c r="LBR31" s="537"/>
      <c r="LBS31" s="537"/>
      <c r="LBT31" s="537"/>
      <c r="LBU31" s="537"/>
      <c r="LBV31" s="537"/>
      <c r="LBW31" s="537"/>
      <c r="LBX31" s="537"/>
      <c r="LBY31" s="537"/>
      <c r="LBZ31" s="537"/>
      <c r="LCA31" s="537"/>
      <c r="LCB31" s="537"/>
      <c r="LCC31" s="537"/>
      <c r="LCD31" s="537"/>
      <c r="LCE31" s="537"/>
      <c r="LCF31" s="537"/>
      <c r="LCG31" s="537"/>
      <c r="LCH31" s="537"/>
      <c r="LCI31" s="537"/>
      <c r="LCJ31" s="537"/>
      <c r="LCK31" s="537"/>
      <c r="LCL31" s="537"/>
      <c r="LCM31" s="537"/>
      <c r="LCN31" s="537"/>
      <c r="LCO31" s="537"/>
      <c r="LCP31" s="537"/>
      <c r="LCQ31" s="537"/>
      <c r="LCR31" s="537"/>
      <c r="LCS31" s="537"/>
      <c r="LCT31" s="537"/>
      <c r="LCU31" s="537"/>
      <c r="LCV31" s="537"/>
      <c r="LCW31" s="537"/>
      <c r="LCX31" s="537"/>
      <c r="LCY31" s="537"/>
      <c r="LCZ31" s="537"/>
      <c r="LDA31" s="537"/>
      <c r="LDB31" s="537"/>
      <c r="LDC31" s="537"/>
      <c r="LDD31" s="537"/>
      <c r="LDE31" s="537"/>
      <c r="LDF31" s="537"/>
      <c r="LDG31" s="537"/>
      <c r="LDH31" s="537"/>
      <c r="LDI31" s="537"/>
      <c r="LDJ31" s="537"/>
      <c r="LDK31" s="537"/>
      <c r="LDL31" s="537"/>
      <c r="LDM31" s="537"/>
      <c r="LDN31" s="537"/>
      <c r="LDO31" s="537"/>
      <c r="LDP31" s="537"/>
      <c r="LDQ31" s="537"/>
      <c r="LDR31" s="537"/>
      <c r="LDS31" s="537"/>
      <c r="LDT31" s="537"/>
      <c r="LDU31" s="537"/>
      <c r="LDV31" s="537"/>
      <c r="LDW31" s="537"/>
      <c r="LDX31" s="537"/>
      <c r="LDY31" s="537"/>
      <c r="LDZ31" s="537"/>
      <c r="LEA31" s="537"/>
      <c r="LEB31" s="537"/>
      <c r="LEC31" s="537"/>
      <c r="LED31" s="537"/>
      <c r="LEE31" s="537"/>
      <c r="LEF31" s="537"/>
      <c r="LEG31" s="537"/>
      <c r="LEH31" s="537"/>
      <c r="LEI31" s="537"/>
      <c r="LEJ31" s="537"/>
      <c r="LEK31" s="537"/>
      <c r="LEL31" s="537"/>
      <c r="LEM31" s="537"/>
      <c r="LEN31" s="537"/>
      <c r="LEO31" s="537"/>
      <c r="LEP31" s="537"/>
      <c r="LEQ31" s="537"/>
      <c r="LER31" s="537"/>
      <c r="LES31" s="537"/>
      <c r="LET31" s="537"/>
      <c r="LEU31" s="537"/>
      <c r="LEV31" s="537"/>
      <c r="LEW31" s="537"/>
      <c r="LEX31" s="537"/>
      <c r="LEY31" s="537"/>
      <c r="LEZ31" s="537"/>
      <c r="LFA31" s="537"/>
      <c r="LFB31" s="537"/>
      <c r="LFC31" s="537"/>
      <c r="LFD31" s="537"/>
      <c r="LFE31" s="537"/>
      <c r="LFF31" s="537"/>
      <c r="LFG31" s="537"/>
      <c r="LFH31" s="537"/>
      <c r="LFI31" s="537"/>
      <c r="LFJ31" s="537"/>
      <c r="LFK31" s="537"/>
      <c r="LFL31" s="537"/>
      <c r="LFM31" s="537"/>
      <c r="LFN31" s="537"/>
      <c r="LFO31" s="537"/>
      <c r="LFP31" s="537"/>
      <c r="LFQ31" s="537"/>
      <c r="LFR31" s="537"/>
      <c r="LFS31" s="537"/>
      <c r="LFT31" s="537"/>
      <c r="LFU31" s="537"/>
      <c r="LFV31" s="537"/>
      <c r="LFW31" s="537"/>
      <c r="LFX31" s="537"/>
      <c r="LFY31" s="537"/>
      <c r="LFZ31" s="537"/>
      <c r="LGA31" s="537"/>
      <c r="LGB31" s="537"/>
      <c r="LGC31" s="537"/>
      <c r="LGD31" s="537"/>
      <c r="LGE31" s="537"/>
      <c r="LGF31" s="537"/>
      <c r="LGG31" s="537"/>
      <c r="LGH31" s="537"/>
      <c r="LGI31" s="537"/>
      <c r="LGJ31" s="537"/>
      <c r="LGK31" s="537"/>
      <c r="LGL31" s="537"/>
      <c r="LGM31" s="537"/>
      <c r="LGN31" s="537"/>
      <c r="LGO31" s="537"/>
      <c r="LGP31" s="537"/>
      <c r="LGQ31" s="537"/>
      <c r="LGR31" s="537"/>
      <c r="LGS31" s="537"/>
      <c r="LGT31" s="537"/>
      <c r="LGU31" s="537"/>
      <c r="LGV31" s="537"/>
      <c r="LGW31" s="537"/>
      <c r="LGX31" s="537"/>
      <c r="LGY31" s="537"/>
      <c r="LGZ31" s="537"/>
      <c r="LHA31" s="537"/>
      <c r="LHB31" s="537"/>
      <c r="LHC31" s="537"/>
      <c r="LHD31" s="537"/>
      <c r="LHE31" s="537"/>
      <c r="LHF31" s="537"/>
      <c r="LHG31" s="537"/>
      <c r="LHH31" s="537"/>
      <c r="LHI31" s="537"/>
      <c r="LHJ31" s="537"/>
      <c r="LHK31" s="537"/>
      <c r="LHL31" s="537"/>
      <c r="LHM31" s="537"/>
      <c r="LHN31" s="537"/>
      <c r="LHO31" s="537"/>
      <c r="LHP31" s="537"/>
      <c r="LHQ31" s="537"/>
      <c r="LHR31" s="537"/>
      <c r="LHS31" s="537"/>
      <c r="LHT31" s="537"/>
      <c r="LHU31" s="537"/>
      <c r="LHV31" s="537"/>
      <c r="LHW31" s="537"/>
      <c r="LHX31" s="537"/>
      <c r="LHY31" s="537"/>
      <c r="LHZ31" s="537"/>
      <c r="LIA31" s="537"/>
      <c r="LIB31" s="537"/>
      <c r="LIC31" s="537"/>
      <c r="LID31" s="537"/>
      <c r="LIE31" s="537"/>
      <c r="LIF31" s="537"/>
      <c r="LIG31" s="537"/>
      <c r="LIH31" s="537"/>
      <c r="LII31" s="537"/>
      <c r="LIJ31" s="537"/>
      <c r="LIK31" s="537"/>
      <c r="LIL31" s="537"/>
      <c r="LIM31" s="537"/>
      <c r="LIN31" s="537"/>
      <c r="LIO31" s="537"/>
      <c r="LIP31" s="537"/>
      <c r="LIQ31" s="537"/>
      <c r="LIR31" s="537"/>
      <c r="LIS31" s="537"/>
      <c r="LIT31" s="537"/>
      <c r="LIU31" s="537"/>
      <c r="LIV31" s="537"/>
      <c r="LIW31" s="537"/>
      <c r="LIX31" s="537"/>
      <c r="LIY31" s="537"/>
      <c r="LIZ31" s="537"/>
      <c r="LJA31" s="537"/>
      <c r="LJB31" s="537"/>
      <c r="LJC31" s="537"/>
      <c r="LJD31" s="537"/>
      <c r="LJE31" s="537"/>
      <c r="LJF31" s="537"/>
      <c r="LJG31" s="537"/>
      <c r="LJH31" s="537"/>
      <c r="LJI31" s="537"/>
      <c r="LJJ31" s="537"/>
      <c r="LJK31" s="537"/>
      <c r="LJL31" s="537"/>
      <c r="LJM31" s="537"/>
      <c r="LJN31" s="537"/>
      <c r="LJO31" s="537"/>
      <c r="LJP31" s="537"/>
      <c r="LJQ31" s="537"/>
      <c r="LJR31" s="537"/>
      <c r="LJS31" s="537"/>
      <c r="LJT31" s="537"/>
      <c r="LJU31" s="537"/>
      <c r="LJV31" s="537"/>
      <c r="LJW31" s="537"/>
      <c r="LJX31" s="537"/>
      <c r="LJY31" s="537"/>
      <c r="LJZ31" s="537"/>
      <c r="LKA31" s="537"/>
      <c r="LKB31" s="537"/>
      <c r="LKC31" s="537"/>
      <c r="LKD31" s="537"/>
      <c r="LKE31" s="537"/>
      <c r="LKF31" s="537"/>
      <c r="LKG31" s="537"/>
      <c r="LKH31" s="537"/>
      <c r="LKI31" s="537"/>
      <c r="LKJ31" s="537"/>
      <c r="LKK31" s="537"/>
      <c r="LKL31" s="537"/>
      <c r="LKM31" s="537"/>
      <c r="LKN31" s="537"/>
      <c r="LKO31" s="537"/>
      <c r="LKP31" s="537"/>
      <c r="LKQ31" s="537"/>
      <c r="LKR31" s="537"/>
      <c r="LKS31" s="537"/>
      <c r="LKT31" s="537"/>
      <c r="LKU31" s="537"/>
      <c r="LKV31" s="537"/>
      <c r="LKW31" s="537"/>
      <c r="LKX31" s="537"/>
      <c r="LKY31" s="537"/>
      <c r="LKZ31" s="537"/>
      <c r="LLA31" s="537"/>
      <c r="LLB31" s="537"/>
      <c r="LLC31" s="537"/>
      <c r="LLD31" s="537"/>
      <c r="LLE31" s="537"/>
      <c r="LLF31" s="537"/>
      <c r="LLG31" s="537"/>
      <c r="LLH31" s="537"/>
      <c r="LLI31" s="537"/>
      <c r="LLJ31" s="537"/>
      <c r="LLK31" s="537"/>
      <c r="LLL31" s="537"/>
      <c r="LLM31" s="537"/>
      <c r="LLN31" s="537"/>
      <c r="LLO31" s="537"/>
      <c r="LLP31" s="537"/>
      <c r="LLQ31" s="537"/>
      <c r="LLR31" s="537"/>
      <c r="LLS31" s="537"/>
      <c r="LLT31" s="537"/>
      <c r="LLU31" s="537"/>
      <c r="LLV31" s="537"/>
      <c r="LLW31" s="537"/>
      <c r="LLX31" s="537"/>
      <c r="LLY31" s="537"/>
      <c r="LLZ31" s="537"/>
      <c r="LMA31" s="537"/>
      <c r="LMB31" s="537"/>
      <c r="LMC31" s="537"/>
      <c r="LMD31" s="537"/>
      <c r="LME31" s="537"/>
      <c r="LMF31" s="537"/>
      <c r="LMG31" s="537"/>
      <c r="LMH31" s="537"/>
      <c r="LMI31" s="537"/>
      <c r="LMJ31" s="537"/>
      <c r="LMK31" s="537"/>
      <c r="LML31" s="537"/>
      <c r="LMM31" s="537"/>
      <c r="LMN31" s="537"/>
      <c r="LMO31" s="537"/>
      <c r="LMP31" s="537"/>
      <c r="LMQ31" s="537"/>
      <c r="LMR31" s="537"/>
      <c r="LMS31" s="537"/>
      <c r="LMT31" s="537"/>
      <c r="LMU31" s="537"/>
      <c r="LMV31" s="537"/>
      <c r="LMW31" s="537"/>
      <c r="LMX31" s="537"/>
      <c r="LMY31" s="537"/>
      <c r="LMZ31" s="537"/>
      <c r="LNA31" s="537"/>
      <c r="LNB31" s="537"/>
      <c r="LNC31" s="537"/>
      <c r="LND31" s="537"/>
      <c r="LNE31" s="537"/>
      <c r="LNF31" s="537"/>
      <c r="LNG31" s="537"/>
      <c r="LNH31" s="537"/>
      <c r="LNI31" s="537"/>
      <c r="LNJ31" s="537"/>
      <c r="LNK31" s="537"/>
      <c r="LNL31" s="537"/>
      <c r="LNM31" s="537"/>
      <c r="LNN31" s="537"/>
      <c r="LNO31" s="537"/>
      <c r="LNP31" s="537"/>
      <c r="LNQ31" s="537"/>
      <c r="LNR31" s="537"/>
      <c r="LNS31" s="537"/>
      <c r="LNT31" s="537"/>
      <c r="LNU31" s="537"/>
      <c r="LNV31" s="537"/>
      <c r="LNW31" s="537"/>
      <c r="LNX31" s="537"/>
      <c r="LNY31" s="537"/>
      <c r="LNZ31" s="537"/>
      <c r="LOA31" s="537"/>
      <c r="LOB31" s="537"/>
      <c r="LOC31" s="537"/>
      <c r="LOD31" s="537"/>
      <c r="LOE31" s="537"/>
      <c r="LOF31" s="537"/>
      <c r="LOG31" s="537"/>
      <c r="LOH31" s="537"/>
      <c r="LOI31" s="537"/>
      <c r="LOJ31" s="537"/>
      <c r="LOK31" s="537"/>
      <c r="LOL31" s="537"/>
      <c r="LOM31" s="537"/>
      <c r="LON31" s="537"/>
      <c r="LOO31" s="537"/>
      <c r="LOP31" s="537"/>
      <c r="LOQ31" s="537"/>
      <c r="LOR31" s="537"/>
      <c r="LOS31" s="537"/>
      <c r="LOT31" s="537"/>
      <c r="LOU31" s="537"/>
      <c r="LOV31" s="537"/>
      <c r="LOW31" s="537"/>
      <c r="LOX31" s="537"/>
      <c r="LOY31" s="537"/>
      <c r="LOZ31" s="537"/>
      <c r="LPA31" s="537"/>
      <c r="LPB31" s="537"/>
      <c r="LPC31" s="537"/>
      <c r="LPD31" s="537"/>
      <c r="LPE31" s="537"/>
      <c r="LPF31" s="537"/>
      <c r="LPG31" s="537"/>
      <c r="LPH31" s="537"/>
      <c r="LPI31" s="537"/>
      <c r="LPJ31" s="537"/>
      <c r="LPK31" s="537"/>
      <c r="LPL31" s="537"/>
      <c r="LPM31" s="537"/>
      <c r="LPN31" s="537"/>
      <c r="LPO31" s="537"/>
      <c r="LPP31" s="537"/>
      <c r="LPQ31" s="537"/>
      <c r="LPR31" s="537"/>
      <c r="LPS31" s="537"/>
      <c r="LPT31" s="537"/>
      <c r="LPU31" s="537"/>
      <c r="LPV31" s="537"/>
      <c r="LPW31" s="537"/>
      <c r="LPX31" s="537"/>
      <c r="LPY31" s="537"/>
      <c r="LPZ31" s="537"/>
      <c r="LQA31" s="537"/>
      <c r="LQB31" s="537"/>
      <c r="LQC31" s="537"/>
      <c r="LQD31" s="537"/>
      <c r="LQE31" s="537"/>
      <c r="LQF31" s="537"/>
      <c r="LQG31" s="537"/>
      <c r="LQH31" s="537"/>
      <c r="LQI31" s="537"/>
      <c r="LQJ31" s="537"/>
      <c r="LQK31" s="537"/>
      <c r="LQL31" s="537"/>
      <c r="LQM31" s="537"/>
      <c r="LQN31" s="537"/>
      <c r="LQO31" s="537"/>
      <c r="LQP31" s="537"/>
      <c r="LQQ31" s="537"/>
      <c r="LQR31" s="537"/>
      <c r="LQS31" s="537"/>
      <c r="LQT31" s="537"/>
      <c r="LQU31" s="537"/>
      <c r="LQV31" s="537"/>
      <c r="LQW31" s="537"/>
      <c r="LQX31" s="537"/>
      <c r="LQY31" s="537"/>
      <c r="LQZ31" s="537"/>
      <c r="LRA31" s="537"/>
      <c r="LRB31" s="537"/>
      <c r="LRC31" s="537"/>
      <c r="LRD31" s="537"/>
      <c r="LRE31" s="537"/>
      <c r="LRF31" s="537"/>
      <c r="LRG31" s="537"/>
      <c r="LRH31" s="537"/>
      <c r="LRI31" s="537"/>
      <c r="LRJ31" s="537"/>
      <c r="LRK31" s="537"/>
      <c r="LRL31" s="537"/>
      <c r="LRM31" s="537"/>
      <c r="LRN31" s="537"/>
      <c r="LRO31" s="537"/>
      <c r="LRP31" s="537"/>
      <c r="LRQ31" s="537"/>
      <c r="LRR31" s="537"/>
      <c r="LRS31" s="537"/>
      <c r="LRT31" s="537"/>
      <c r="LRU31" s="537"/>
      <c r="LRV31" s="537"/>
      <c r="LRW31" s="537"/>
      <c r="LRX31" s="537"/>
      <c r="LRY31" s="537"/>
      <c r="LRZ31" s="537"/>
      <c r="LSA31" s="537"/>
      <c r="LSB31" s="537"/>
      <c r="LSC31" s="537"/>
      <c r="LSD31" s="537"/>
      <c r="LSE31" s="537"/>
      <c r="LSF31" s="537"/>
      <c r="LSG31" s="537"/>
      <c r="LSH31" s="537"/>
      <c r="LSI31" s="537"/>
      <c r="LSJ31" s="537"/>
      <c r="LSK31" s="537"/>
      <c r="LSL31" s="537"/>
      <c r="LSM31" s="537"/>
      <c r="LSN31" s="537"/>
      <c r="LSO31" s="537"/>
      <c r="LSP31" s="537"/>
      <c r="LSQ31" s="537"/>
      <c r="LSR31" s="537"/>
      <c r="LSS31" s="537"/>
      <c r="LST31" s="537"/>
      <c r="LSU31" s="537"/>
      <c r="LSV31" s="537"/>
      <c r="LSW31" s="537"/>
      <c r="LSX31" s="537"/>
      <c r="LSY31" s="537"/>
      <c r="LSZ31" s="537"/>
      <c r="LTA31" s="537"/>
      <c r="LTB31" s="537"/>
      <c r="LTC31" s="537"/>
      <c r="LTD31" s="537"/>
      <c r="LTE31" s="537"/>
      <c r="LTF31" s="537"/>
      <c r="LTG31" s="537"/>
      <c r="LTH31" s="537"/>
      <c r="LTI31" s="537"/>
      <c r="LTJ31" s="537"/>
      <c r="LTK31" s="537"/>
      <c r="LTL31" s="537"/>
      <c r="LTM31" s="537"/>
      <c r="LTN31" s="537"/>
      <c r="LTO31" s="537"/>
      <c r="LTP31" s="537"/>
      <c r="LTQ31" s="537"/>
      <c r="LTR31" s="537"/>
      <c r="LTS31" s="537"/>
      <c r="LTT31" s="537"/>
      <c r="LTU31" s="537"/>
      <c r="LTV31" s="537"/>
      <c r="LTW31" s="537"/>
      <c r="LTX31" s="537"/>
      <c r="LTY31" s="537"/>
      <c r="LTZ31" s="537"/>
      <c r="LUA31" s="537"/>
      <c r="LUB31" s="537"/>
      <c r="LUC31" s="537"/>
      <c r="LUD31" s="537"/>
      <c r="LUE31" s="537"/>
      <c r="LUF31" s="537"/>
      <c r="LUG31" s="537"/>
      <c r="LUH31" s="537"/>
      <c r="LUI31" s="537"/>
      <c r="LUJ31" s="537"/>
      <c r="LUK31" s="537"/>
      <c r="LUL31" s="537"/>
      <c r="LUM31" s="537"/>
      <c r="LUN31" s="537"/>
      <c r="LUO31" s="537"/>
      <c r="LUP31" s="537"/>
      <c r="LUQ31" s="537"/>
      <c r="LUR31" s="537"/>
      <c r="LUS31" s="537"/>
      <c r="LUT31" s="537"/>
      <c r="LUU31" s="537"/>
      <c r="LUV31" s="537"/>
      <c r="LUW31" s="537"/>
      <c r="LUX31" s="537"/>
      <c r="LUY31" s="537"/>
      <c r="LUZ31" s="537"/>
      <c r="LVA31" s="537"/>
      <c r="LVB31" s="537"/>
      <c r="LVC31" s="537"/>
      <c r="LVD31" s="537"/>
      <c r="LVE31" s="537"/>
      <c r="LVF31" s="537"/>
      <c r="LVG31" s="537"/>
      <c r="LVH31" s="537"/>
      <c r="LVI31" s="537"/>
      <c r="LVJ31" s="537"/>
      <c r="LVK31" s="537"/>
      <c r="LVL31" s="537"/>
      <c r="LVM31" s="537"/>
      <c r="LVN31" s="537"/>
      <c r="LVO31" s="537"/>
      <c r="LVP31" s="537"/>
      <c r="LVQ31" s="537"/>
      <c r="LVR31" s="537"/>
      <c r="LVS31" s="537"/>
      <c r="LVT31" s="537"/>
      <c r="LVU31" s="537"/>
      <c r="LVV31" s="537"/>
      <c r="LVW31" s="537"/>
      <c r="LVX31" s="537"/>
      <c r="LVY31" s="537"/>
      <c r="LVZ31" s="537"/>
      <c r="LWA31" s="537"/>
      <c r="LWB31" s="537"/>
      <c r="LWC31" s="537"/>
      <c r="LWD31" s="537"/>
      <c r="LWE31" s="537"/>
      <c r="LWF31" s="537"/>
      <c r="LWG31" s="537"/>
      <c r="LWH31" s="537"/>
      <c r="LWI31" s="537"/>
      <c r="LWJ31" s="537"/>
      <c r="LWK31" s="537"/>
      <c r="LWL31" s="537"/>
      <c r="LWM31" s="537"/>
      <c r="LWN31" s="537"/>
      <c r="LWO31" s="537"/>
      <c r="LWP31" s="537"/>
      <c r="LWQ31" s="537"/>
      <c r="LWR31" s="537"/>
      <c r="LWS31" s="537"/>
      <c r="LWT31" s="537"/>
      <c r="LWU31" s="537"/>
      <c r="LWV31" s="537"/>
      <c r="LWW31" s="537"/>
      <c r="LWX31" s="537"/>
      <c r="LWY31" s="537"/>
      <c r="LWZ31" s="537"/>
      <c r="LXA31" s="537"/>
      <c r="LXB31" s="537"/>
      <c r="LXC31" s="537"/>
      <c r="LXD31" s="537"/>
      <c r="LXE31" s="537"/>
      <c r="LXF31" s="537"/>
      <c r="LXG31" s="537"/>
      <c r="LXH31" s="537"/>
      <c r="LXI31" s="537"/>
      <c r="LXJ31" s="537"/>
      <c r="LXK31" s="537"/>
      <c r="LXL31" s="537"/>
      <c r="LXM31" s="537"/>
      <c r="LXN31" s="537"/>
      <c r="LXO31" s="537"/>
      <c r="LXP31" s="537"/>
      <c r="LXQ31" s="537"/>
      <c r="LXR31" s="537"/>
      <c r="LXS31" s="537"/>
      <c r="LXT31" s="537"/>
      <c r="LXU31" s="537"/>
      <c r="LXV31" s="537"/>
      <c r="LXW31" s="537"/>
      <c r="LXX31" s="537"/>
      <c r="LXY31" s="537"/>
      <c r="LXZ31" s="537"/>
      <c r="LYA31" s="537"/>
      <c r="LYB31" s="537"/>
      <c r="LYC31" s="537"/>
      <c r="LYD31" s="537"/>
      <c r="LYE31" s="537"/>
      <c r="LYF31" s="537"/>
      <c r="LYG31" s="537"/>
      <c r="LYH31" s="537"/>
      <c r="LYI31" s="537"/>
      <c r="LYJ31" s="537"/>
      <c r="LYK31" s="537"/>
      <c r="LYL31" s="537"/>
      <c r="LYM31" s="537"/>
      <c r="LYN31" s="537"/>
      <c r="LYO31" s="537"/>
      <c r="LYP31" s="537"/>
      <c r="LYQ31" s="537"/>
      <c r="LYR31" s="537"/>
      <c r="LYS31" s="537"/>
      <c r="LYT31" s="537"/>
      <c r="LYU31" s="537"/>
      <c r="LYV31" s="537"/>
      <c r="LYW31" s="537"/>
      <c r="LYX31" s="537"/>
      <c r="LYY31" s="537"/>
      <c r="LYZ31" s="537"/>
      <c r="LZA31" s="537"/>
      <c r="LZB31" s="537"/>
      <c r="LZC31" s="537"/>
      <c r="LZD31" s="537"/>
      <c r="LZE31" s="537"/>
      <c r="LZF31" s="537"/>
      <c r="LZG31" s="537"/>
      <c r="LZH31" s="537"/>
      <c r="LZI31" s="537"/>
      <c r="LZJ31" s="537"/>
      <c r="LZK31" s="537"/>
      <c r="LZL31" s="537"/>
      <c r="LZM31" s="537"/>
      <c r="LZN31" s="537"/>
      <c r="LZO31" s="537"/>
      <c r="LZP31" s="537"/>
      <c r="LZQ31" s="537"/>
      <c r="LZR31" s="537"/>
      <c r="LZS31" s="537"/>
      <c r="LZT31" s="537"/>
      <c r="LZU31" s="537"/>
      <c r="LZV31" s="537"/>
      <c r="LZW31" s="537"/>
      <c r="LZX31" s="537"/>
      <c r="LZY31" s="537"/>
      <c r="LZZ31" s="537"/>
      <c r="MAA31" s="537"/>
      <c r="MAB31" s="537"/>
      <c r="MAC31" s="537"/>
      <c r="MAD31" s="537"/>
      <c r="MAE31" s="537"/>
      <c r="MAF31" s="537"/>
      <c r="MAG31" s="537"/>
      <c r="MAH31" s="537"/>
      <c r="MAI31" s="537"/>
      <c r="MAJ31" s="537"/>
      <c r="MAK31" s="537"/>
      <c r="MAL31" s="537"/>
      <c r="MAM31" s="537"/>
      <c r="MAN31" s="537"/>
      <c r="MAO31" s="537"/>
      <c r="MAP31" s="537"/>
      <c r="MAQ31" s="537"/>
      <c r="MAR31" s="537"/>
      <c r="MAS31" s="537"/>
      <c r="MAT31" s="537"/>
      <c r="MAU31" s="537"/>
      <c r="MAV31" s="537"/>
      <c r="MAW31" s="537"/>
      <c r="MAX31" s="537"/>
      <c r="MAY31" s="537"/>
      <c r="MAZ31" s="537"/>
      <c r="MBA31" s="537"/>
      <c r="MBB31" s="537"/>
      <c r="MBC31" s="537"/>
      <c r="MBD31" s="537"/>
      <c r="MBE31" s="537"/>
      <c r="MBF31" s="537"/>
      <c r="MBG31" s="537"/>
      <c r="MBH31" s="537"/>
      <c r="MBI31" s="537"/>
      <c r="MBJ31" s="537"/>
      <c r="MBK31" s="537"/>
      <c r="MBL31" s="537"/>
      <c r="MBM31" s="537"/>
      <c r="MBN31" s="537"/>
      <c r="MBO31" s="537"/>
      <c r="MBP31" s="537"/>
      <c r="MBQ31" s="537"/>
      <c r="MBR31" s="537"/>
      <c r="MBS31" s="537"/>
      <c r="MBT31" s="537"/>
      <c r="MBU31" s="537"/>
      <c r="MBV31" s="537"/>
      <c r="MBW31" s="537"/>
      <c r="MBX31" s="537"/>
      <c r="MBY31" s="537"/>
      <c r="MBZ31" s="537"/>
      <c r="MCA31" s="537"/>
      <c r="MCB31" s="537"/>
      <c r="MCC31" s="537"/>
      <c r="MCD31" s="537"/>
      <c r="MCE31" s="537"/>
      <c r="MCF31" s="537"/>
      <c r="MCG31" s="537"/>
      <c r="MCH31" s="537"/>
      <c r="MCI31" s="537"/>
      <c r="MCJ31" s="537"/>
      <c r="MCK31" s="537"/>
      <c r="MCL31" s="537"/>
      <c r="MCM31" s="537"/>
      <c r="MCN31" s="537"/>
      <c r="MCO31" s="537"/>
      <c r="MCP31" s="537"/>
      <c r="MCQ31" s="537"/>
      <c r="MCR31" s="537"/>
      <c r="MCS31" s="537"/>
      <c r="MCT31" s="537"/>
      <c r="MCU31" s="537"/>
      <c r="MCV31" s="537"/>
      <c r="MCW31" s="537"/>
      <c r="MCX31" s="537"/>
      <c r="MCY31" s="537"/>
      <c r="MCZ31" s="537"/>
      <c r="MDA31" s="537"/>
      <c r="MDB31" s="537"/>
      <c r="MDC31" s="537"/>
      <c r="MDD31" s="537"/>
      <c r="MDE31" s="537"/>
      <c r="MDF31" s="537"/>
      <c r="MDG31" s="537"/>
      <c r="MDH31" s="537"/>
      <c r="MDI31" s="537"/>
      <c r="MDJ31" s="537"/>
      <c r="MDK31" s="537"/>
      <c r="MDL31" s="537"/>
      <c r="MDM31" s="537"/>
      <c r="MDN31" s="537"/>
      <c r="MDO31" s="537"/>
      <c r="MDP31" s="537"/>
      <c r="MDQ31" s="537"/>
      <c r="MDR31" s="537"/>
      <c r="MDS31" s="537"/>
      <c r="MDT31" s="537"/>
      <c r="MDU31" s="537"/>
      <c r="MDV31" s="537"/>
      <c r="MDW31" s="537"/>
      <c r="MDX31" s="537"/>
      <c r="MDY31" s="537"/>
      <c r="MDZ31" s="537"/>
      <c r="MEA31" s="537"/>
      <c r="MEB31" s="537"/>
      <c r="MEC31" s="537"/>
      <c r="MED31" s="537"/>
      <c r="MEE31" s="537"/>
      <c r="MEF31" s="537"/>
      <c r="MEG31" s="537"/>
      <c r="MEH31" s="537"/>
      <c r="MEI31" s="537"/>
      <c r="MEJ31" s="537"/>
      <c r="MEK31" s="537"/>
      <c r="MEL31" s="537"/>
      <c r="MEM31" s="537"/>
      <c r="MEN31" s="537"/>
      <c r="MEO31" s="537"/>
      <c r="MEP31" s="537"/>
      <c r="MEQ31" s="537"/>
      <c r="MER31" s="537"/>
      <c r="MES31" s="537"/>
      <c r="MET31" s="537"/>
      <c r="MEU31" s="537"/>
      <c r="MEV31" s="537"/>
      <c r="MEW31" s="537"/>
      <c r="MEX31" s="537"/>
      <c r="MEY31" s="537"/>
      <c r="MEZ31" s="537"/>
      <c r="MFA31" s="537"/>
      <c r="MFB31" s="537"/>
      <c r="MFC31" s="537"/>
      <c r="MFD31" s="537"/>
      <c r="MFE31" s="537"/>
      <c r="MFF31" s="537"/>
      <c r="MFG31" s="537"/>
      <c r="MFH31" s="537"/>
      <c r="MFI31" s="537"/>
      <c r="MFJ31" s="537"/>
      <c r="MFK31" s="537"/>
      <c r="MFL31" s="537"/>
      <c r="MFM31" s="537"/>
      <c r="MFN31" s="537"/>
      <c r="MFO31" s="537"/>
      <c r="MFP31" s="537"/>
      <c r="MFQ31" s="537"/>
      <c r="MFR31" s="537"/>
      <c r="MFS31" s="537"/>
      <c r="MFT31" s="537"/>
      <c r="MFU31" s="537"/>
      <c r="MFV31" s="537"/>
      <c r="MFW31" s="537"/>
      <c r="MFX31" s="537"/>
      <c r="MFY31" s="537"/>
      <c r="MFZ31" s="537"/>
      <c r="MGA31" s="537"/>
      <c r="MGB31" s="537"/>
      <c r="MGC31" s="537"/>
      <c r="MGD31" s="537"/>
      <c r="MGE31" s="537"/>
      <c r="MGF31" s="537"/>
      <c r="MGG31" s="537"/>
      <c r="MGH31" s="537"/>
      <c r="MGI31" s="537"/>
      <c r="MGJ31" s="537"/>
      <c r="MGK31" s="537"/>
      <c r="MGL31" s="537"/>
      <c r="MGM31" s="537"/>
      <c r="MGN31" s="537"/>
      <c r="MGO31" s="537"/>
      <c r="MGP31" s="537"/>
      <c r="MGQ31" s="537"/>
      <c r="MGR31" s="537"/>
      <c r="MGS31" s="537"/>
      <c r="MGT31" s="537"/>
      <c r="MGU31" s="537"/>
      <c r="MGV31" s="537"/>
      <c r="MGW31" s="537"/>
      <c r="MGX31" s="537"/>
      <c r="MGY31" s="537"/>
      <c r="MGZ31" s="537"/>
      <c r="MHA31" s="537"/>
      <c r="MHB31" s="537"/>
      <c r="MHC31" s="537"/>
      <c r="MHD31" s="537"/>
      <c r="MHE31" s="537"/>
      <c r="MHF31" s="537"/>
      <c r="MHG31" s="537"/>
      <c r="MHH31" s="537"/>
      <c r="MHI31" s="537"/>
      <c r="MHJ31" s="537"/>
      <c r="MHK31" s="537"/>
      <c r="MHL31" s="537"/>
      <c r="MHM31" s="537"/>
      <c r="MHN31" s="537"/>
      <c r="MHO31" s="537"/>
      <c r="MHP31" s="537"/>
      <c r="MHQ31" s="537"/>
      <c r="MHR31" s="537"/>
      <c r="MHS31" s="537"/>
      <c r="MHT31" s="537"/>
      <c r="MHU31" s="537"/>
      <c r="MHV31" s="537"/>
      <c r="MHW31" s="537"/>
      <c r="MHX31" s="537"/>
      <c r="MHY31" s="537"/>
      <c r="MHZ31" s="537"/>
      <c r="MIA31" s="537"/>
      <c r="MIB31" s="537"/>
      <c r="MIC31" s="537"/>
      <c r="MID31" s="537"/>
      <c r="MIE31" s="537"/>
      <c r="MIF31" s="537"/>
      <c r="MIG31" s="537"/>
      <c r="MIH31" s="537"/>
      <c r="MII31" s="537"/>
      <c r="MIJ31" s="537"/>
      <c r="MIK31" s="537"/>
      <c r="MIL31" s="537"/>
      <c r="MIM31" s="537"/>
      <c r="MIN31" s="537"/>
      <c r="MIO31" s="537"/>
      <c r="MIP31" s="537"/>
      <c r="MIQ31" s="537"/>
      <c r="MIR31" s="537"/>
      <c r="MIS31" s="537"/>
      <c r="MIT31" s="537"/>
      <c r="MIU31" s="537"/>
      <c r="MIV31" s="537"/>
      <c r="MIW31" s="537"/>
      <c r="MIX31" s="537"/>
      <c r="MIY31" s="537"/>
      <c r="MIZ31" s="537"/>
      <c r="MJA31" s="537"/>
      <c r="MJB31" s="537"/>
      <c r="MJC31" s="537"/>
      <c r="MJD31" s="537"/>
      <c r="MJE31" s="537"/>
      <c r="MJF31" s="537"/>
      <c r="MJG31" s="537"/>
      <c r="MJH31" s="537"/>
      <c r="MJI31" s="537"/>
      <c r="MJJ31" s="537"/>
      <c r="MJK31" s="537"/>
      <c r="MJL31" s="537"/>
      <c r="MJM31" s="537"/>
      <c r="MJN31" s="537"/>
      <c r="MJO31" s="537"/>
      <c r="MJP31" s="537"/>
      <c r="MJQ31" s="537"/>
      <c r="MJR31" s="537"/>
      <c r="MJS31" s="537"/>
      <c r="MJT31" s="537"/>
      <c r="MJU31" s="537"/>
      <c r="MJV31" s="537"/>
      <c r="MJW31" s="537"/>
      <c r="MJX31" s="537"/>
      <c r="MJY31" s="537"/>
      <c r="MJZ31" s="537"/>
      <c r="MKA31" s="537"/>
      <c r="MKB31" s="537"/>
      <c r="MKC31" s="537"/>
      <c r="MKD31" s="537"/>
      <c r="MKE31" s="537"/>
      <c r="MKF31" s="537"/>
      <c r="MKG31" s="537"/>
      <c r="MKH31" s="537"/>
      <c r="MKI31" s="537"/>
      <c r="MKJ31" s="537"/>
      <c r="MKK31" s="537"/>
      <c r="MKL31" s="537"/>
      <c r="MKM31" s="537"/>
      <c r="MKN31" s="537"/>
      <c r="MKO31" s="537"/>
      <c r="MKP31" s="537"/>
      <c r="MKQ31" s="537"/>
      <c r="MKR31" s="537"/>
      <c r="MKS31" s="537"/>
      <c r="MKT31" s="537"/>
      <c r="MKU31" s="537"/>
      <c r="MKV31" s="537"/>
      <c r="MKW31" s="537"/>
      <c r="MKX31" s="537"/>
      <c r="MKY31" s="537"/>
      <c r="MKZ31" s="537"/>
      <c r="MLA31" s="537"/>
      <c r="MLB31" s="537"/>
      <c r="MLC31" s="537"/>
      <c r="MLD31" s="537"/>
      <c r="MLE31" s="537"/>
      <c r="MLF31" s="537"/>
      <c r="MLG31" s="537"/>
      <c r="MLH31" s="537"/>
      <c r="MLI31" s="537"/>
      <c r="MLJ31" s="537"/>
      <c r="MLK31" s="537"/>
      <c r="MLL31" s="537"/>
      <c r="MLM31" s="537"/>
      <c r="MLN31" s="537"/>
      <c r="MLO31" s="537"/>
      <c r="MLP31" s="537"/>
      <c r="MLQ31" s="537"/>
      <c r="MLR31" s="537"/>
      <c r="MLS31" s="537"/>
      <c r="MLT31" s="537"/>
      <c r="MLU31" s="537"/>
      <c r="MLV31" s="537"/>
      <c r="MLW31" s="537"/>
      <c r="MLX31" s="537"/>
      <c r="MLY31" s="537"/>
      <c r="MLZ31" s="537"/>
      <c r="MMA31" s="537"/>
      <c r="MMB31" s="537"/>
      <c r="MMC31" s="537"/>
      <c r="MMD31" s="537"/>
      <c r="MME31" s="537"/>
      <c r="MMF31" s="537"/>
      <c r="MMG31" s="537"/>
      <c r="MMH31" s="537"/>
      <c r="MMI31" s="537"/>
      <c r="MMJ31" s="537"/>
      <c r="MMK31" s="537"/>
      <c r="MML31" s="537"/>
      <c r="MMM31" s="537"/>
      <c r="MMN31" s="537"/>
      <c r="MMO31" s="537"/>
      <c r="MMP31" s="537"/>
      <c r="MMQ31" s="537"/>
      <c r="MMR31" s="537"/>
      <c r="MMS31" s="537"/>
      <c r="MMT31" s="537"/>
      <c r="MMU31" s="537"/>
      <c r="MMV31" s="537"/>
      <c r="MMW31" s="537"/>
      <c r="MMX31" s="537"/>
      <c r="MMY31" s="537"/>
      <c r="MMZ31" s="537"/>
      <c r="MNA31" s="537"/>
      <c r="MNB31" s="537"/>
      <c r="MNC31" s="537"/>
      <c r="MND31" s="537"/>
      <c r="MNE31" s="537"/>
      <c r="MNF31" s="537"/>
      <c r="MNG31" s="537"/>
      <c r="MNH31" s="537"/>
      <c r="MNI31" s="537"/>
      <c r="MNJ31" s="537"/>
      <c r="MNK31" s="537"/>
      <c r="MNL31" s="537"/>
      <c r="MNM31" s="537"/>
      <c r="MNN31" s="537"/>
      <c r="MNO31" s="537"/>
      <c r="MNP31" s="537"/>
      <c r="MNQ31" s="537"/>
      <c r="MNR31" s="537"/>
      <c r="MNS31" s="537"/>
      <c r="MNT31" s="537"/>
      <c r="MNU31" s="537"/>
      <c r="MNV31" s="537"/>
      <c r="MNW31" s="537"/>
      <c r="MNX31" s="537"/>
      <c r="MNY31" s="537"/>
      <c r="MNZ31" s="537"/>
      <c r="MOA31" s="537"/>
      <c r="MOB31" s="537"/>
      <c r="MOC31" s="537"/>
      <c r="MOD31" s="537"/>
      <c r="MOE31" s="537"/>
      <c r="MOF31" s="537"/>
      <c r="MOG31" s="537"/>
      <c r="MOH31" s="537"/>
      <c r="MOI31" s="537"/>
      <c r="MOJ31" s="537"/>
      <c r="MOK31" s="537"/>
      <c r="MOL31" s="537"/>
      <c r="MOM31" s="537"/>
      <c r="MON31" s="537"/>
      <c r="MOO31" s="537"/>
      <c r="MOP31" s="537"/>
      <c r="MOQ31" s="537"/>
      <c r="MOR31" s="537"/>
      <c r="MOS31" s="537"/>
      <c r="MOT31" s="537"/>
      <c r="MOU31" s="537"/>
      <c r="MOV31" s="537"/>
      <c r="MOW31" s="537"/>
      <c r="MOX31" s="537"/>
      <c r="MOY31" s="537"/>
      <c r="MOZ31" s="537"/>
      <c r="MPA31" s="537"/>
      <c r="MPB31" s="537"/>
      <c r="MPC31" s="537"/>
      <c r="MPD31" s="537"/>
      <c r="MPE31" s="537"/>
      <c r="MPF31" s="537"/>
      <c r="MPG31" s="537"/>
      <c r="MPH31" s="537"/>
      <c r="MPI31" s="537"/>
      <c r="MPJ31" s="537"/>
      <c r="MPK31" s="537"/>
      <c r="MPL31" s="537"/>
      <c r="MPM31" s="537"/>
      <c r="MPN31" s="537"/>
      <c r="MPO31" s="537"/>
      <c r="MPP31" s="537"/>
      <c r="MPQ31" s="537"/>
      <c r="MPR31" s="537"/>
      <c r="MPS31" s="537"/>
      <c r="MPT31" s="537"/>
      <c r="MPU31" s="537"/>
      <c r="MPV31" s="537"/>
      <c r="MPW31" s="537"/>
      <c r="MPX31" s="537"/>
      <c r="MPY31" s="537"/>
      <c r="MPZ31" s="537"/>
      <c r="MQA31" s="537"/>
      <c r="MQB31" s="537"/>
      <c r="MQC31" s="537"/>
      <c r="MQD31" s="537"/>
      <c r="MQE31" s="537"/>
      <c r="MQF31" s="537"/>
      <c r="MQG31" s="537"/>
      <c r="MQH31" s="537"/>
      <c r="MQI31" s="537"/>
      <c r="MQJ31" s="537"/>
      <c r="MQK31" s="537"/>
      <c r="MQL31" s="537"/>
      <c r="MQM31" s="537"/>
      <c r="MQN31" s="537"/>
      <c r="MQO31" s="537"/>
      <c r="MQP31" s="537"/>
      <c r="MQQ31" s="537"/>
      <c r="MQR31" s="537"/>
      <c r="MQS31" s="537"/>
      <c r="MQT31" s="537"/>
      <c r="MQU31" s="537"/>
      <c r="MQV31" s="537"/>
      <c r="MQW31" s="537"/>
      <c r="MQX31" s="537"/>
      <c r="MQY31" s="537"/>
      <c r="MQZ31" s="537"/>
      <c r="MRA31" s="537"/>
      <c r="MRB31" s="537"/>
      <c r="MRC31" s="537"/>
      <c r="MRD31" s="537"/>
      <c r="MRE31" s="537"/>
      <c r="MRF31" s="537"/>
      <c r="MRG31" s="537"/>
      <c r="MRH31" s="537"/>
      <c r="MRI31" s="537"/>
      <c r="MRJ31" s="537"/>
      <c r="MRK31" s="537"/>
      <c r="MRL31" s="537"/>
      <c r="MRM31" s="537"/>
      <c r="MRN31" s="537"/>
      <c r="MRO31" s="537"/>
      <c r="MRP31" s="537"/>
      <c r="MRQ31" s="537"/>
      <c r="MRR31" s="537"/>
      <c r="MRS31" s="537"/>
      <c r="MRT31" s="537"/>
      <c r="MRU31" s="537"/>
      <c r="MRV31" s="537"/>
      <c r="MRW31" s="537"/>
      <c r="MRX31" s="537"/>
      <c r="MRY31" s="537"/>
      <c r="MRZ31" s="537"/>
      <c r="MSA31" s="537"/>
      <c r="MSB31" s="537"/>
      <c r="MSC31" s="537"/>
      <c r="MSD31" s="537"/>
      <c r="MSE31" s="537"/>
      <c r="MSF31" s="537"/>
      <c r="MSG31" s="537"/>
      <c r="MSH31" s="537"/>
      <c r="MSI31" s="537"/>
      <c r="MSJ31" s="537"/>
      <c r="MSK31" s="537"/>
      <c r="MSL31" s="537"/>
      <c r="MSM31" s="537"/>
      <c r="MSN31" s="537"/>
      <c r="MSO31" s="537"/>
      <c r="MSP31" s="537"/>
      <c r="MSQ31" s="537"/>
      <c r="MSR31" s="537"/>
      <c r="MSS31" s="537"/>
      <c r="MST31" s="537"/>
      <c r="MSU31" s="537"/>
      <c r="MSV31" s="537"/>
      <c r="MSW31" s="537"/>
      <c r="MSX31" s="537"/>
      <c r="MSY31" s="537"/>
      <c r="MSZ31" s="537"/>
      <c r="MTA31" s="537"/>
      <c r="MTB31" s="537"/>
      <c r="MTC31" s="537"/>
      <c r="MTD31" s="537"/>
      <c r="MTE31" s="537"/>
      <c r="MTF31" s="537"/>
      <c r="MTG31" s="537"/>
      <c r="MTH31" s="537"/>
      <c r="MTI31" s="537"/>
      <c r="MTJ31" s="537"/>
      <c r="MTK31" s="537"/>
      <c r="MTL31" s="537"/>
      <c r="MTM31" s="537"/>
      <c r="MTN31" s="537"/>
      <c r="MTO31" s="537"/>
      <c r="MTP31" s="537"/>
      <c r="MTQ31" s="537"/>
      <c r="MTR31" s="537"/>
      <c r="MTS31" s="537"/>
      <c r="MTT31" s="537"/>
      <c r="MTU31" s="537"/>
      <c r="MTV31" s="537"/>
      <c r="MTW31" s="537"/>
      <c r="MTX31" s="537"/>
      <c r="MTY31" s="537"/>
      <c r="MTZ31" s="537"/>
      <c r="MUA31" s="537"/>
      <c r="MUB31" s="537"/>
      <c r="MUC31" s="537"/>
      <c r="MUD31" s="537"/>
      <c r="MUE31" s="537"/>
      <c r="MUF31" s="537"/>
      <c r="MUG31" s="537"/>
      <c r="MUH31" s="537"/>
      <c r="MUI31" s="537"/>
      <c r="MUJ31" s="537"/>
      <c r="MUK31" s="537"/>
      <c r="MUL31" s="537"/>
      <c r="MUM31" s="537"/>
      <c r="MUN31" s="537"/>
      <c r="MUO31" s="537"/>
      <c r="MUP31" s="537"/>
      <c r="MUQ31" s="537"/>
      <c r="MUR31" s="537"/>
      <c r="MUS31" s="537"/>
      <c r="MUT31" s="537"/>
      <c r="MUU31" s="537"/>
      <c r="MUV31" s="537"/>
      <c r="MUW31" s="537"/>
      <c r="MUX31" s="537"/>
      <c r="MUY31" s="537"/>
      <c r="MUZ31" s="537"/>
      <c r="MVA31" s="537"/>
      <c r="MVB31" s="537"/>
      <c r="MVC31" s="537"/>
      <c r="MVD31" s="537"/>
      <c r="MVE31" s="537"/>
      <c r="MVF31" s="537"/>
      <c r="MVG31" s="537"/>
      <c r="MVH31" s="537"/>
      <c r="MVI31" s="537"/>
      <c r="MVJ31" s="537"/>
      <c r="MVK31" s="537"/>
      <c r="MVL31" s="537"/>
      <c r="MVM31" s="537"/>
      <c r="MVN31" s="537"/>
      <c r="MVO31" s="537"/>
      <c r="MVP31" s="537"/>
      <c r="MVQ31" s="537"/>
      <c r="MVR31" s="537"/>
      <c r="MVS31" s="537"/>
      <c r="MVT31" s="537"/>
      <c r="MVU31" s="537"/>
      <c r="MVV31" s="537"/>
      <c r="MVW31" s="537"/>
      <c r="MVX31" s="537"/>
      <c r="MVY31" s="537"/>
      <c r="MVZ31" s="537"/>
      <c r="MWA31" s="537"/>
      <c r="MWB31" s="537"/>
      <c r="MWC31" s="537"/>
      <c r="MWD31" s="537"/>
      <c r="MWE31" s="537"/>
      <c r="MWF31" s="537"/>
      <c r="MWG31" s="537"/>
      <c r="MWH31" s="537"/>
      <c r="MWI31" s="537"/>
      <c r="MWJ31" s="537"/>
      <c r="MWK31" s="537"/>
      <c r="MWL31" s="537"/>
      <c r="MWM31" s="537"/>
      <c r="MWN31" s="537"/>
      <c r="MWO31" s="537"/>
      <c r="MWP31" s="537"/>
      <c r="MWQ31" s="537"/>
      <c r="MWR31" s="537"/>
      <c r="MWS31" s="537"/>
      <c r="MWT31" s="537"/>
      <c r="MWU31" s="537"/>
      <c r="MWV31" s="537"/>
      <c r="MWW31" s="537"/>
      <c r="MWX31" s="537"/>
      <c r="MWY31" s="537"/>
      <c r="MWZ31" s="537"/>
      <c r="MXA31" s="537"/>
      <c r="MXB31" s="537"/>
      <c r="MXC31" s="537"/>
      <c r="MXD31" s="537"/>
      <c r="MXE31" s="537"/>
      <c r="MXF31" s="537"/>
      <c r="MXG31" s="537"/>
      <c r="MXH31" s="537"/>
      <c r="MXI31" s="537"/>
      <c r="MXJ31" s="537"/>
      <c r="MXK31" s="537"/>
      <c r="MXL31" s="537"/>
      <c r="MXM31" s="537"/>
      <c r="MXN31" s="537"/>
      <c r="MXO31" s="537"/>
      <c r="MXP31" s="537"/>
      <c r="MXQ31" s="537"/>
      <c r="MXR31" s="537"/>
      <c r="MXS31" s="537"/>
      <c r="MXT31" s="537"/>
      <c r="MXU31" s="537"/>
      <c r="MXV31" s="537"/>
      <c r="MXW31" s="537"/>
      <c r="MXX31" s="537"/>
      <c r="MXY31" s="537"/>
      <c r="MXZ31" s="537"/>
      <c r="MYA31" s="537"/>
      <c r="MYB31" s="537"/>
      <c r="MYC31" s="537"/>
      <c r="MYD31" s="537"/>
      <c r="MYE31" s="537"/>
      <c r="MYF31" s="537"/>
      <c r="MYG31" s="537"/>
      <c r="MYH31" s="537"/>
      <c r="MYI31" s="537"/>
      <c r="MYJ31" s="537"/>
      <c r="MYK31" s="537"/>
      <c r="MYL31" s="537"/>
      <c r="MYM31" s="537"/>
      <c r="MYN31" s="537"/>
      <c r="MYO31" s="537"/>
      <c r="MYP31" s="537"/>
      <c r="MYQ31" s="537"/>
      <c r="MYR31" s="537"/>
      <c r="MYS31" s="537"/>
      <c r="MYT31" s="537"/>
      <c r="MYU31" s="537"/>
      <c r="MYV31" s="537"/>
      <c r="MYW31" s="537"/>
      <c r="MYX31" s="537"/>
      <c r="MYY31" s="537"/>
      <c r="MYZ31" s="537"/>
      <c r="MZA31" s="537"/>
      <c r="MZB31" s="537"/>
      <c r="MZC31" s="537"/>
      <c r="MZD31" s="537"/>
      <c r="MZE31" s="537"/>
      <c r="MZF31" s="537"/>
      <c r="MZG31" s="537"/>
      <c r="MZH31" s="537"/>
      <c r="MZI31" s="537"/>
      <c r="MZJ31" s="537"/>
      <c r="MZK31" s="537"/>
      <c r="MZL31" s="537"/>
      <c r="MZM31" s="537"/>
      <c r="MZN31" s="537"/>
      <c r="MZO31" s="537"/>
      <c r="MZP31" s="537"/>
      <c r="MZQ31" s="537"/>
      <c r="MZR31" s="537"/>
      <c r="MZS31" s="537"/>
      <c r="MZT31" s="537"/>
      <c r="MZU31" s="537"/>
      <c r="MZV31" s="537"/>
      <c r="MZW31" s="537"/>
      <c r="MZX31" s="537"/>
      <c r="MZY31" s="537"/>
      <c r="MZZ31" s="537"/>
      <c r="NAA31" s="537"/>
      <c r="NAB31" s="537"/>
      <c r="NAC31" s="537"/>
      <c r="NAD31" s="537"/>
      <c r="NAE31" s="537"/>
      <c r="NAF31" s="537"/>
      <c r="NAG31" s="537"/>
      <c r="NAH31" s="537"/>
      <c r="NAI31" s="537"/>
      <c r="NAJ31" s="537"/>
      <c r="NAK31" s="537"/>
      <c r="NAL31" s="537"/>
      <c r="NAM31" s="537"/>
      <c r="NAN31" s="537"/>
      <c r="NAO31" s="537"/>
      <c r="NAP31" s="537"/>
      <c r="NAQ31" s="537"/>
      <c r="NAR31" s="537"/>
      <c r="NAS31" s="537"/>
      <c r="NAT31" s="537"/>
      <c r="NAU31" s="537"/>
      <c r="NAV31" s="537"/>
      <c r="NAW31" s="537"/>
      <c r="NAX31" s="537"/>
      <c r="NAY31" s="537"/>
      <c r="NAZ31" s="537"/>
      <c r="NBA31" s="537"/>
      <c r="NBB31" s="537"/>
      <c r="NBC31" s="537"/>
      <c r="NBD31" s="537"/>
      <c r="NBE31" s="537"/>
      <c r="NBF31" s="537"/>
      <c r="NBG31" s="537"/>
      <c r="NBH31" s="537"/>
      <c r="NBI31" s="537"/>
      <c r="NBJ31" s="537"/>
      <c r="NBK31" s="537"/>
      <c r="NBL31" s="537"/>
      <c r="NBM31" s="537"/>
      <c r="NBN31" s="537"/>
      <c r="NBO31" s="537"/>
      <c r="NBP31" s="537"/>
      <c r="NBQ31" s="537"/>
      <c r="NBR31" s="537"/>
      <c r="NBS31" s="537"/>
      <c r="NBT31" s="537"/>
      <c r="NBU31" s="537"/>
      <c r="NBV31" s="537"/>
      <c r="NBW31" s="537"/>
      <c r="NBX31" s="537"/>
      <c r="NBY31" s="537"/>
      <c r="NBZ31" s="537"/>
      <c r="NCA31" s="537"/>
      <c r="NCB31" s="537"/>
      <c r="NCC31" s="537"/>
      <c r="NCD31" s="537"/>
      <c r="NCE31" s="537"/>
      <c r="NCF31" s="537"/>
      <c r="NCG31" s="537"/>
      <c r="NCH31" s="537"/>
      <c r="NCI31" s="537"/>
      <c r="NCJ31" s="537"/>
      <c r="NCK31" s="537"/>
      <c r="NCL31" s="537"/>
      <c r="NCM31" s="537"/>
      <c r="NCN31" s="537"/>
      <c r="NCO31" s="537"/>
      <c r="NCP31" s="537"/>
      <c r="NCQ31" s="537"/>
      <c r="NCR31" s="537"/>
      <c r="NCS31" s="537"/>
      <c r="NCT31" s="537"/>
      <c r="NCU31" s="537"/>
      <c r="NCV31" s="537"/>
      <c r="NCW31" s="537"/>
      <c r="NCX31" s="537"/>
      <c r="NCY31" s="537"/>
      <c r="NCZ31" s="537"/>
      <c r="NDA31" s="537"/>
      <c r="NDB31" s="537"/>
      <c r="NDC31" s="537"/>
      <c r="NDD31" s="537"/>
      <c r="NDE31" s="537"/>
      <c r="NDF31" s="537"/>
      <c r="NDG31" s="537"/>
      <c r="NDH31" s="537"/>
      <c r="NDI31" s="537"/>
      <c r="NDJ31" s="537"/>
      <c r="NDK31" s="537"/>
      <c r="NDL31" s="537"/>
      <c r="NDM31" s="537"/>
      <c r="NDN31" s="537"/>
      <c r="NDO31" s="537"/>
      <c r="NDP31" s="537"/>
      <c r="NDQ31" s="537"/>
      <c r="NDR31" s="537"/>
      <c r="NDS31" s="537"/>
      <c r="NDT31" s="537"/>
      <c r="NDU31" s="537"/>
      <c r="NDV31" s="537"/>
      <c r="NDW31" s="537"/>
      <c r="NDX31" s="537"/>
      <c r="NDY31" s="537"/>
      <c r="NDZ31" s="537"/>
      <c r="NEA31" s="537"/>
      <c r="NEB31" s="537"/>
      <c r="NEC31" s="537"/>
      <c r="NED31" s="537"/>
      <c r="NEE31" s="537"/>
      <c r="NEF31" s="537"/>
      <c r="NEG31" s="537"/>
      <c r="NEH31" s="537"/>
      <c r="NEI31" s="537"/>
      <c r="NEJ31" s="537"/>
      <c r="NEK31" s="537"/>
      <c r="NEL31" s="537"/>
      <c r="NEM31" s="537"/>
      <c r="NEN31" s="537"/>
      <c r="NEO31" s="537"/>
      <c r="NEP31" s="537"/>
      <c r="NEQ31" s="537"/>
      <c r="NER31" s="537"/>
      <c r="NES31" s="537"/>
      <c r="NET31" s="537"/>
      <c r="NEU31" s="537"/>
      <c r="NEV31" s="537"/>
      <c r="NEW31" s="537"/>
      <c r="NEX31" s="537"/>
      <c r="NEY31" s="537"/>
      <c r="NEZ31" s="537"/>
      <c r="NFA31" s="537"/>
      <c r="NFB31" s="537"/>
      <c r="NFC31" s="537"/>
      <c r="NFD31" s="537"/>
      <c r="NFE31" s="537"/>
      <c r="NFF31" s="537"/>
      <c r="NFG31" s="537"/>
      <c r="NFH31" s="537"/>
      <c r="NFI31" s="537"/>
      <c r="NFJ31" s="537"/>
      <c r="NFK31" s="537"/>
      <c r="NFL31" s="537"/>
      <c r="NFM31" s="537"/>
      <c r="NFN31" s="537"/>
      <c r="NFO31" s="537"/>
      <c r="NFP31" s="537"/>
      <c r="NFQ31" s="537"/>
      <c r="NFR31" s="537"/>
      <c r="NFS31" s="537"/>
      <c r="NFT31" s="537"/>
      <c r="NFU31" s="537"/>
      <c r="NFV31" s="537"/>
      <c r="NFW31" s="537"/>
      <c r="NFX31" s="537"/>
      <c r="NFY31" s="537"/>
      <c r="NFZ31" s="537"/>
      <c r="NGA31" s="537"/>
      <c r="NGB31" s="537"/>
      <c r="NGC31" s="537"/>
      <c r="NGD31" s="537"/>
      <c r="NGE31" s="537"/>
      <c r="NGF31" s="537"/>
      <c r="NGG31" s="537"/>
      <c r="NGH31" s="537"/>
      <c r="NGI31" s="537"/>
      <c r="NGJ31" s="537"/>
      <c r="NGK31" s="537"/>
      <c r="NGL31" s="537"/>
      <c r="NGM31" s="537"/>
      <c r="NGN31" s="537"/>
      <c r="NGO31" s="537"/>
      <c r="NGP31" s="537"/>
      <c r="NGQ31" s="537"/>
      <c r="NGR31" s="537"/>
      <c r="NGS31" s="537"/>
      <c r="NGT31" s="537"/>
      <c r="NGU31" s="537"/>
      <c r="NGV31" s="537"/>
      <c r="NGW31" s="537"/>
      <c r="NGX31" s="537"/>
      <c r="NGY31" s="537"/>
      <c r="NGZ31" s="537"/>
      <c r="NHA31" s="537"/>
      <c r="NHB31" s="537"/>
      <c r="NHC31" s="537"/>
      <c r="NHD31" s="537"/>
      <c r="NHE31" s="537"/>
      <c r="NHF31" s="537"/>
      <c r="NHG31" s="537"/>
      <c r="NHH31" s="537"/>
      <c r="NHI31" s="537"/>
      <c r="NHJ31" s="537"/>
      <c r="NHK31" s="537"/>
      <c r="NHL31" s="537"/>
      <c r="NHM31" s="537"/>
      <c r="NHN31" s="537"/>
      <c r="NHO31" s="537"/>
      <c r="NHP31" s="537"/>
      <c r="NHQ31" s="537"/>
      <c r="NHR31" s="537"/>
      <c r="NHS31" s="537"/>
      <c r="NHT31" s="537"/>
      <c r="NHU31" s="537"/>
      <c r="NHV31" s="537"/>
      <c r="NHW31" s="537"/>
      <c r="NHX31" s="537"/>
      <c r="NHY31" s="537"/>
      <c r="NHZ31" s="537"/>
      <c r="NIA31" s="537"/>
      <c r="NIB31" s="537"/>
      <c r="NIC31" s="537"/>
      <c r="NID31" s="537"/>
      <c r="NIE31" s="537"/>
      <c r="NIF31" s="537"/>
      <c r="NIG31" s="537"/>
      <c r="NIH31" s="537"/>
      <c r="NII31" s="537"/>
      <c r="NIJ31" s="537"/>
      <c r="NIK31" s="537"/>
      <c r="NIL31" s="537"/>
      <c r="NIM31" s="537"/>
      <c r="NIN31" s="537"/>
      <c r="NIO31" s="537"/>
      <c r="NIP31" s="537"/>
      <c r="NIQ31" s="537"/>
      <c r="NIR31" s="537"/>
      <c r="NIS31" s="537"/>
      <c r="NIT31" s="537"/>
      <c r="NIU31" s="537"/>
      <c r="NIV31" s="537"/>
      <c r="NIW31" s="537"/>
      <c r="NIX31" s="537"/>
      <c r="NIY31" s="537"/>
      <c r="NIZ31" s="537"/>
      <c r="NJA31" s="537"/>
      <c r="NJB31" s="537"/>
      <c r="NJC31" s="537"/>
      <c r="NJD31" s="537"/>
      <c r="NJE31" s="537"/>
      <c r="NJF31" s="537"/>
      <c r="NJG31" s="537"/>
      <c r="NJH31" s="537"/>
      <c r="NJI31" s="537"/>
      <c r="NJJ31" s="537"/>
      <c r="NJK31" s="537"/>
      <c r="NJL31" s="537"/>
      <c r="NJM31" s="537"/>
      <c r="NJN31" s="537"/>
      <c r="NJO31" s="537"/>
      <c r="NJP31" s="537"/>
      <c r="NJQ31" s="537"/>
      <c r="NJR31" s="537"/>
      <c r="NJS31" s="537"/>
      <c r="NJT31" s="537"/>
      <c r="NJU31" s="537"/>
      <c r="NJV31" s="537"/>
      <c r="NJW31" s="537"/>
      <c r="NJX31" s="537"/>
      <c r="NJY31" s="537"/>
      <c r="NJZ31" s="537"/>
      <c r="NKA31" s="537"/>
      <c r="NKB31" s="537"/>
      <c r="NKC31" s="537"/>
      <c r="NKD31" s="537"/>
      <c r="NKE31" s="537"/>
      <c r="NKF31" s="537"/>
      <c r="NKG31" s="537"/>
      <c r="NKH31" s="537"/>
      <c r="NKI31" s="537"/>
      <c r="NKJ31" s="537"/>
      <c r="NKK31" s="537"/>
      <c r="NKL31" s="537"/>
      <c r="NKM31" s="537"/>
      <c r="NKN31" s="537"/>
      <c r="NKO31" s="537"/>
      <c r="NKP31" s="537"/>
      <c r="NKQ31" s="537"/>
      <c r="NKR31" s="537"/>
      <c r="NKS31" s="537"/>
      <c r="NKT31" s="537"/>
      <c r="NKU31" s="537"/>
      <c r="NKV31" s="537"/>
      <c r="NKW31" s="537"/>
      <c r="NKX31" s="537"/>
      <c r="NKY31" s="537"/>
      <c r="NKZ31" s="537"/>
      <c r="NLA31" s="537"/>
      <c r="NLB31" s="537"/>
      <c r="NLC31" s="537"/>
      <c r="NLD31" s="537"/>
      <c r="NLE31" s="537"/>
      <c r="NLF31" s="537"/>
      <c r="NLG31" s="537"/>
      <c r="NLH31" s="537"/>
      <c r="NLI31" s="537"/>
      <c r="NLJ31" s="537"/>
      <c r="NLK31" s="537"/>
      <c r="NLL31" s="537"/>
      <c r="NLM31" s="537"/>
      <c r="NLN31" s="537"/>
      <c r="NLO31" s="537"/>
      <c r="NLP31" s="537"/>
      <c r="NLQ31" s="537"/>
      <c r="NLR31" s="537"/>
      <c r="NLS31" s="537"/>
      <c r="NLT31" s="537"/>
      <c r="NLU31" s="537"/>
      <c r="NLV31" s="537"/>
      <c r="NLW31" s="537"/>
      <c r="NLX31" s="537"/>
      <c r="NLY31" s="537"/>
      <c r="NLZ31" s="537"/>
      <c r="NMA31" s="537"/>
      <c r="NMB31" s="537"/>
      <c r="NMC31" s="537"/>
      <c r="NMD31" s="537"/>
      <c r="NME31" s="537"/>
      <c r="NMF31" s="537"/>
      <c r="NMG31" s="537"/>
      <c r="NMH31" s="537"/>
      <c r="NMI31" s="537"/>
      <c r="NMJ31" s="537"/>
      <c r="NMK31" s="537"/>
      <c r="NML31" s="537"/>
      <c r="NMM31" s="537"/>
      <c r="NMN31" s="537"/>
      <c r="NMO31" s="537"/>
      <c r="NMP31" s="537"/>
      <c r="NMQ31" s="537"/>
      <c r="NMR31" s="537"/>
      <c r="NMS31" s="537"/>
      <c r="NMT31" s="537"/>
      <c r="NMU31" s="537"/>
      <c r="NMV31" s="537"/>
      <c r="NMW31" s="537"/>
      <c r="NMX31" s="537"/>
      <c r="NMY31" s="537"/>
      <c r="NMZ31" s="537"/>
      <c r="NNA31" s="537"/>
      <c r="NNB31" s="537"/>
      <c r="NNC31" s="537"/>
      <c r="NND31" s="537"/>
      <c r="NNE31" s="537"/>
      <c r="NNF31" s="537"/>
      <c r="NNG31" s="537"/>
      <c r="NNH31" s="537"/>
      <c r="NNI31" s="537"/>
      <c r="NNJ31" s="537"/>
      <c r="NNK31" s="537"/>
      <c r="NNL31" s="537"/>
      <c r="NNM31" s="537"/>
      <c r="NNN31" s="537"/>
      <c r="NNO31" s="537"/>
      <c r="NNP31" s="537"/>
      <c r="NNQ31" s="537"/>
      <c r="NNR31" s="537"/>
      <c r="NNS31" s="537"/>
      <c r="NNT31" s="537"/>
      <c r="NNU31" s="537"/>
      <c r="NNV31" s="537"/>
      <c r="NNW31" s="537"/>
      <c r="NNX31" s="537"/>
      <c r="NNY31" s="537"/>
      <c r="NNZ31" s="537"/>
      <c r="NOA31" s="537"/>
      <c r="NOB31" s="537"/>
      <c r="NOC31" s="537"/>
      <c r="NOD31" s="537"/>
      <c r="NOE31" s="537"/>
      <c r="NOF31" s="537"/>
      <c r="NOG31" s="537"/>
      <c r="NOH31" s="537"/>
      <c r="NOI31" s="537"/>
      <c r="NOJ31" s="537"/>
      <c r="NOK31" s="537"/>
      <c r="NOL31" s="537"/>
      <c r="NOM31" s="537"/>
      <c r="NON31" s="537"/>
      <c r="NOO31" s="537"/>
      <c r="NOP31" s="537"/>
      <c r="NOQ31" s="537"/>
      <c r="NOR31" s="537"/>
      <c r="NOS31" s="537"/>
      <c r="NOT31" s="537"/>
      <c r="NOU31" s="537"/>
      <c r="NOV31" s="537"/>
      <c r="NOW31" s="537"/>
      <c r="NOX31" s="537"/>
      <c r="NOY31" s="537"/>
      <c r="NOZ31" s="537"/>
      <c r="NPA31" s="537"/>
      <c r="NPB31" s="537"/>
      <c r="NPC31" s="537"/>
      <c r="NPD31" s="537"/>
      <c r="NPE31" s="537"/>
      <c r="NPF31" s="537"/>
      <c r="NPG31" s="537"/>
      <c r="NPH31" s="537"/>
      <c r="NPI31" s="537"/>
      <c r="NPJ31" s="537"/>
      <c r="NPK31" s="537"/>
      <c r="NPL31" s="537"/>
      <c r="NPM31" s="537"/>
      <c r="NPN31" s="537"/>
      <c r="NPO31" s="537"/>
      <c r="NPP31" s="537"/>
      <c r="NPQ31" s="537"/>
      <c r="NPR31" s="537"/>
      <c r="NPS31" s="537"/>
      <c r="NPT31" s="537"/>
      <c r="NPU31" s="537"/>
      <c r="NPV31" s="537"/>
      <c r="NPW31" s="537"/>
      <c r="NPX31" s="537"/>
      <c r="NPY31" s="537"/>
      <c r="NPZ31" s="537"/>
      <c r="NQA31" s="537"/>
      <c r="NQB31" s="537"/>
      <c r="NQC31" s="537"/>
      <c r="NQD31" s="537"/>
      <c r="NQE31" s="537"/>
      <c r="NQF31" s="537"/>
      <c r="NQG31" s="537"/>
      <c r="NQH31" s="537"/>
      <c r="NQI31" s="537"/>
      <c r="NQJ31" s="537"/>
      <c r="NQK31" s="537"/>
      <c r="NQL31" s="537"/>
      <c r="NQM31" s="537"/>
      <c r="NQN31" s="537"/>
      <c r="NQO31" s="537"/>
      <c r="NQP31" s="537"/>
      <c r="NQQ31" s="537"/>
      <c r="NQR31" s="537"/>
      <c r="NQS31" s="537"/>
      <c r="NQT31" s="537"/>
      <c r="NQU31" s="537"/>
      <c r="NQV31" s="537"/>
      <c r="NQW31" s="537"/>
      <c r="NQX31" s="537"/>
      <c r="NQY31" s="537"/>
      <c r="NQZ31" s="537"/>
      <c r="NRA31" s="537"/>
      <c r="NRB31" s="537"/>
      <c r="NRC31" s="537"/>
      <c r="NRD31" s="537"/>
      <c r="NRE31" s="537"/>
      <c r="NRF31" s="537"/>
      <c r="NRG31" s="537"/>
      <c r="NRH31" s="537"/>
      <c r="NRI31" s="537"/>
      <c r="NRJ31" s="537"/>
      <c r="NRK31" s="537"/>
      <c r="NRL31" s="537"/>
      <c r="NRM31" s="537"/>
      <c r="NRN31" s="537"/>
      <c r="NRO31" s="537"/>
      <c r="NRP31" s="537"/>
      <c r="NRQ31" s="537"/>
      <c r="NRR31" s="537"/>
      <c r="NRS31" s="537"/>
      <c r="NRT31" s="537"/>
      <c r="NRU31" s="537"/>
      <c r="NRV31" s="537"/>
      <c r="NRW31" s="537"/>
      <c r="NRX31" s="537"/>
      <c r="NRY31" s="537"/>
      <c r="NRZ31" s="537"/>
      <c r="NSA31" s="537"/>
      <c r="NSB31" s="537"/>
      <c r="NSC31" s="537"/>
      <c r="NSD31" s="537"/>
      <c r="NSE31" s="537"/>
      <c r="NSF31" s="537"/>
      <c r="NSG31" s="537"/>
      <c r="NSH31" s="537"/>
      <c r="NSI31" s="537"/>
      <c r="NSJ31" s="537"/>
      <c r="NSK31" s="537"/>
      <c r="NSL31" s="537"/>
      <c r="NSM31" s="537"/>
      <c r="NSN31" s="537"/>
      <c r="NSO31" s="537"/>
      <c r="NSP31" s="537"/>
      <c r="NSQ31" s="537"/>
      <c r="NSR31" s="537"/>
      <c r="NSS31" s="537"/>
      <c r="NST31" s="537"/>
      <c r="NSU31" s="537"/>
      <c r="NSV31" s="537"/>
      <c r="NSW31" s="537"/>
      <c r="NSX31" s="537"/>
      <c r="NSY31" s="537"/>
      <c r="NSZ31" s="537"/>
      <c r="NTA31" s="537"/>
      <c r="NTB31" s="537"/>
      <c r="NTC31" s="537"/>
      <c r="NTD31" s="537"/>
      <c r="NTE31" s="537"/>
      <c r="NTF31" s="537"/>
      <c r="NTG31" s="537"/>
      <c r="NTH31" s="537"/>
      <c r="NTI31" s="537"/>
      <c r="NTJ31" s="537"/>
      <c r="NTK31" s="537"/>
      <c r="NTL31" s="537"/>
      <c r="NTM31" s="537"/>
      <c r="NTN31" s="537"/>
      <c r="NTO31" s="537"/>
      <c r="NTP31" s="537"/>
      <c r="NTQ31" s="537"/>
      <c r="NTR31" s="537"/>
      <c r="NTS31" s="537"/>
      <c r="NTT31" s="537"/>
      <c r="NTU31" s="537"/>
      <c r="NTV31" s="537"/>
      <c r="NTW31" s="537"/>
      <c r="NTX31" s="537"/>
      <c r="NTY31" s="537"/>
      <c r="NTZ31" s="537"/>
      <c r="NUA31" s="537"/>
      <c r="NUB31" s="537"/>
      <c r="NUC31" s="537"/>
      <c r="NUD31" s="537"/>
      <c r="NUE31" s="537"/>
      <c r="NUF31" s="537"/>
      <c r="NUG31" s="537"/>
      <c r="NUH31" s="537"/>
      <c r="NUI31" s="537"/>
      <c r="NUJ31" s="537"/>
      <c r="NUK31" s="537"/>
      <c r="NUL31" s="537"/>
      <c r="NUM31" s="537"/>
      <c r="NUN31" s="537"/>
      <c r="NUO31" s="537"/>
      <c r="NUP31" s="537"/>
      <c r="NUQ31" s="537"/>
      <c r="NUR31" s="537"/>
      <c r="NUS31" s="537"/>
      <c r="NUT31" s="537"/>
      <c r="NUU31" s="537"/>
      <c r="NUV31" s="537"/>
      <c r="NUW31" s="537"/>
      <c r="NUX31" s="537"/>
      <c r="NUY31" s="537"/>
      <c r="NUZ31" s="537"/>
      <c r="NVA31" s="537"/>
      <c r="NVB31" s="537"/>
      <c r="NVC31" s="537"/>
      <c r="NVD31" s="537"/>
      <c r="NVE31" s="537"/>
      <c r="NVF31" s="537"/>
      <c r="NVG31" s="537"/>
      <c r="NVH31" s="537"/>
      <c r="NVI31" s="537"/>
      <c r="NVJ31" s="537"/>
      <c r="NVK31" s="537"/>
      <c r="NVL31" s="537"/>
      <c r="NVM31" s="537"/>
      <c r="NVN31" s="537"/>
      <c r="NVO31" s="537"/>
      <c r="NVP31" s="537"/>
      <c r="NVQ31" s="537"/>
      <c r="NVR31" s="537"/>
      <c r="NVS31" s="537"/>
      <c r="NVT31" s="537"/>
      <c r="NVU31" s="537"/>
      <c r="NVV31" s="537"/>
      <c r="NVW31" s="537"/>
      <c r="NVX31" s="537"/>
      <c r="NVY31" s="537"/>
      <c r="NVZ31" s="537"/>
      <c r="NWA31" s="537"/>
      <c r="NWB31" s="537"/>
      <c r="NWC31" s="537"/>
      <c r="NWD31" s="537"/>
      <c r="NWE31" s="537"/>
      <c r="NWF31" s="537"/>
      <c r="NWG31" s="537"/>
      <c r="NWH31" s="537"/>
      <c r="NWI31" s="537"/>
      <c r="NWJ31" s="537"/>
      <c r="NWK31" s="537"/>
      <c r="NWL31" s="537"/>
      <c r="NWM31" s="537"/>
      <c r="NWN31" s="537"/>
      <c r="NWO31" s="537"/>
      <c r="NWP31" s="537"/>
      <c r="NWQ31" s="537"/>
      <c r="NWR31" s="537"/>
      <c r="NWS31" s="537"/>
      <c r="NWT31" s="537"/>
      <c r="NWU31" s="537"/>
      <c r="NWV31" s="537"/>
      <c r="NWW31" s="537"/>
      <c r="NWX31" s="537"/>
      <c r="NWY31" s="537"/>
      <c r="NWZ31" s="537"/>
      <c r="NXA31" s="537"/>
      <c r="NXB31" s="537"/>
      <c r="NXC31" s="537"/>
      <c r="NXD31" s="537"/>
      <c r="NXE31" s="537"/>
      <c r="NXF31" s="537"/>
      <c r="NXG31" s="537"/>
      <c r="NXH31" s="537"/>
      <c r="NXI31" s="537"/>
      <c r="NXJ31" s="537"/>
      <c r="NXK31" s="537"/>
      <c r="NXL31" s="537"/>
      <c r="NXM31" s="537"/>
      <c r="NXN31" s="537"/>
      <c r="NXO31" s="537"/>
      <c r="NXP31" s="537"/>
      <c r="NXQ31" s="537"/>
      <c r="NXR31" s="537"/>
      <c r="NXS31" s="537"/>
      <c r="NXT31" s="537"/>
      <c r="NXU31" s="537"/>
      <c r="NXV31" s="537"/>
      <c r="NXW31" s="537"/>
      <c r="NXX31" s="537"/>
      <c r="NXY31" s="537"/>
      <c r="NXZ31" s="537"/>
      <c r="NYA31" s="537"/>
      <c r="NYB31" s="537"/>
      <c r="NYC31" s="537"/>
      <c r="NYD31" s="537"/>
      <c r="NYE31" s="537"/>
      <c r="NYF31" s="537"/>
      <c r="NYG31" s="537"/>
      <c r="NYH31" s="537"/>
      <c r="NYI31" s="537"/>
      <c r="NYJ31" s="537"/>
      <c r="NYK31" s="537"/>
      <c r="NYL31" s="537"/>
      <c r="NYM31" s="537"/>
      <c r="NYN31" s="537"/>
      <c r="NYO31" s="537"/>
      <c r="NYP31" s="537"/>
      <c r="NYQ31" s="537"/>
      <c r="NYR31" s="537"/>
      <c r="NYS31" s="537"/>
      <c r="NYT31" s="537"/>
      <c r="NYU31" s="537"/>
      <c r="NYV31" s="537"/>
      <c r="NYW31" s="537"/>
      <c r="NYX31" s="537"/>
      <c r="NYY31" s="537"/>
      <c r="NYZ31" s="537"/>
      <c r="NZA31" s="537"/>
      <c r="NZB31" s="537"/>
      <c r="NZC31" s="537"/>
      <c r="NZD31" s="537"/>
      <c r="NZE31" s="537"/>
      <c r="NZF31" s="537"/>
      <c r="NZG31" s="537"/>
      <c r="NZH31" s="537"/>
      <c r="NZI31" s="537"/>
      <c r="NZJ31" s="537"/>
      <c r="NZK31" s="537"/>
      <c r="NZL31" s="537"/>
      <c r="NZM31" s="537"/>
      <c r="NZN31" s="537"/>
      <c r="NZO31" s="537"/>
      <c r="NZP31" s="537"/>
      <c r="NZQ31" s="537"/>
      <c r="NZR31" s="537"/>
      <c r="NZS31" s="537"/>
      <c r="NZT31" s="537"/>
      <c r="NZU31" s="537"/>
      <c r="NZV31" s="537"/>
      <c r="NZW31" s="537"/>
      <c r="NZX31" s="537"/>
      <c r="NZY31" s="537"/>
      <c r="NZZ31" s="537"/>
      <c r="OAA31" s="537"/>
      <c r="OAB31" s="537"/>
      <c r="OAC31" s="537"/>
      <c r="OAD31" s="537"/>
      <c r="OAE31" s="537"/>
      <c r="OAF31" s="537"/>
      <c r="OAG31" s="537"/>
      <c r="OAH31" s="537"/>
      <c r="OAI31" s="537"/>
      <c r="OAJ31" s="537"/>
      <c r="OAK31" s="537"/>
      <c r="OAL31" s="537"/>
      <c r="OAM31" s="537"/>
      <c r="OAN31" s="537"/>
      <c r="OAO31" s="537"/>
      <c r="OAP31" s="537"/>
      <c r="OAQ31" s="537"/>
      <c r="OAR31" s="537"/>
      <c r="OAS31" s="537"/>
      <c r="OAT31" s="537"/>
      <c r="OAU31" s="537"/>
      <c r="OAV31" s="537"/>
      <c r="OAW31" s="537"/>
      <c r="OAX31" s="537"/>
      <c r="OAY31" s="537"/>
      <c r="OAZ31" s="537"/>
      <c r="OBA31" s="537"/>
      <c r="OBB31" s="537"/>
      <c r="OBC31" s="537"/>
      <c r="OBD31" s="537"/>
      <c r="OBE31" s="537"/>
      <c r="OBF31" s="537"/>
      <c r="OBG31" s="537"/>
      <c r="OBH31" s="537"/>
      <c r="OBI31" s="537"/>
      <c r="OBJ31" s="537"/>
      <c r="OBK31" s="537"/>
      <c r="OBL31" s="537"/>
      <c r="OBM31" s="537"/>
      <c r="OBN31" s="537"/>
      <c r="OBO31" s="537"/>
      <c r="OBP31" s="537"/>
      <c r="OBQ31" s="537"/>
      <c r="OBR31" s="537"/>
      <c r="OBS31" s="537"/>
      <c r="OBT31" s="537"/>
      <c r="OBU31" s="537"/>
      <c r="OBV31" s="537"/>
      <c r="OBW31" s="537"/>
      <c r="OBX31" s="537"/>
      <c r="OBY31" s="537"/>
      <c r="OBZ31" s="537"/>
      <c r="OCA31" s="537"/>
      <c r="OCB31" s="537"/>
      <c r="OCC31" s="537"/>
      <c r="OCD31" s="537"/>
      <c r="OCE31" s="537"/>
      <c r="OCF31" s="537"/>
      <c r="OCG31" s="537"/>
      <c r="OCH31" s="537"/>
      <c r="OCI31" s="537"/>
      <c r="OCJ31" s="537"/>
      <c r="OCK31" s="537"/>
      <c r="OCL31" s="537"/>
      <c r="OCM31" s="537"/>
      <c r="OCN31" s="537"/>
      <c r="OCO31" s="537"/>
      <c r="OCP31" s="537"/>
      <c r="OCQ31" s="537"/>
      <c r="OCR31" s="537"/>
      <c r="OCS31" s="537"/>
      <c r="OCT31" s="537"/>
      <c r="OCU31" s="537"/>
      <c r="OCV31" s="537"/>
      <c r="OCW31" s="537"/>
      <c r="OCX31" s="537"/>
      <c r="OCY31" s="537"/>
      <c r="OCZ31" s="537"/>
      <c r="ODA31" s="537"/>
      <c r="ODB31" s="537"/>
      <c r="ODC31" s="537"/>
      <c r="ODD31" s="537"/>
      <c r="ODE31" s="537"/>
      <c r="ODF31" s="537"/>
      <c r="ODG31" s="537"/>
      <c r="ODH31" s="537"/>
      <c r="ODI31" s="537"/>
      <c r="ODJ31" s="537"/>
      <c r="ODK31" s="537"/>
      <c r="ODL31" s="537"/>
      <c r="ODM31" s="537"/>
      <c r="ODN31" s="537"/>
      <c r="ODO31" s="537"/>
      <c r="ODP31" s="537"/>
      <c r="ODQ31" s="537"/>
      <c r="ODR31" s="537"/>
      <c r="ODS31" s="537"/>
      <c r="ODT31" s="537"/>
      <c r="ODU31" s="537"/>
      <c r="ODV31" s="537"/>
      <c r="ODW31" s="537"/>
      <c r="ODX31" s="537"/>
      <c r="ODY31" s="537"/>
      <c r="ODZ31" s="537"/>
      <c r="OEA31" s="537"/>
      <c r="OEB31" s="537"/>
      <c r="OEC31" s="537"/>
      <c r="OED31" s="537"/>
      <c r="OEE31" s="537"/>
      <c r="OEF31" s="537"/>
      <c r="OEG31" s="537"/>
      <c r="OEH31" s="537"/>
      <c r="OEI31" s="537"/>
      <c r="OEJ31" s="537"/>
      <c r="OEK31" s="537"/>
      <c r="OEL31" s="537"/>
      <c r="OEM31" s="537"/>
      <c r="OEN31" s="537"/>
      <c r="OEO31" s="537"/>
      <c r="OEP31" s="537"/>
      <c r="OEQ31" s="537"/>
      <c r="OER31" s="537"/>
      <c r="OES31" s="537"/>
      <c r="OET31" s="537"/>
      <c r="OEU31" s="537"/>
      <c r="OEV31" s="537"/>
      <c r="OEW31" s="537"/>
      <c r="OEX31" s="537"/>
      <c r="OEY31" s="537"/>
      <c r="OEZ31" s="537"/>
      <c r="OFA31" s="537"/>
      <c r="OFB31" s="537"/>
      <c r="OFC31" s="537"/>
      <c r="OFD31" s="537"/>
      <c r="OFE31" s="537"/>
      <c r="OFF31" s="537"/>
      <c r="OFG31" s="537"/>
      <c r="OFH31" s="537"/>
      <c r="OFI31" s="537"/>
      <c r="OFJ31" s="537"/>
      <c r="OFK31" s="537"/>
      <c r="OFL31" s="537"/>
      <c r="OFM31" s="537"/>
      <c r="OFN31" s="537"/>
      <c r="OFO31" s="537"/>
      <c r="OFP31" s="537"/>
      <c r="OFQ31" s="537"/>
      <c r="OFR31" s="537"/>
      <c r="OFS31" s="537"/>
      <c r="OFT31" s="537"/>
      <c r="OFU31" s="537"/>
      <c r="OFV31" s="537"/>
      <c r="OFW31" s="537"/>
      <c r="OFX31" s="537"/>
      <c r="OFY31" s="537"/>
      <c r="OFZ31" s="537"/>
      <c r="OGA31" s="537"/>
      <c r="OGB31" s="537"/>
      <c r="OGC31" s="537"/>
      <c r="OGD31" s="537"/>
      <c r="OGE31" s="537"/>
      <c r="OGF31" s="537"/>
      <c r="OGG31" s="537"/>
      <c r="OGH31" s="537"/>
      <c r="OGI31" s="537"/>
      <c r="OGJ31" s="537"/>
      <c r="OGK31" s="537"/>
      <c r="OGL31" s="537"/>
      <c r="OGM31" s="537"/>
      <c r="OGN31" s="537"/>
      <c r="OGO31" s="537"/>
      <c r="OGP31" s="537"/>
      <c r="OGQ31" s="537"/>
      <c r="OGR31" s="537"/>
      <c r="OGS31" s="537"/>
      <c r="OGT31" s="537"/>
      <c r="OGU31" s="537"/>
      <c r="OGV31" s="537"/>
      <c r="OGW31" s="537"/>
      <c r="OGX31" s="537"/>
      <c r="OGY31" s="537"/>
      <c r="OGZ31" s="537"/>
      <c r="OHA31" s="537"/>
      <c r="OHB31" s="537"/>
      <c r="OHC31" s="537"/>
      <c r="OHD31" s="537"/>
      <c r="OHE31" s="537"/>
      <c r="OHF31" s="537"/>
      <c r="OHG31" s="537"/>
      <c r="OHH31" s="537"/>
      <c r="OHI31" s="537"/>
      <c r="OHJ31" s="537"/>
      <c r="OHK31" s="537"/>
      <c r="OHL31" s="537"/>
      <c r="OHM31" s="537"/>
      <c r="OHN31" s="537"/>
      <c r="OHO31" s="537"/>
      <c r="OHP31" s="537"/>
      <c r="OHQ31" s="537"/>
      <c r="OHR31" s="537"/>
      <c r="OHS31" s="537"/>
      <c r="OHT31" s="537"/>
      <c r="OHU31" s="537"/>
      <c r="OHV31" s="537"/>
      <c r="OHW31" s="537"/>
      <c r="OHX31" s="537"/>
      <c r="OHY31" s="537"/>
      <c r="OHZ31" s="537"/>
      <c r="OIA31" s="537"/>
      <c r="OIB31" s="537"/>
      <c r="OIC31" s="537"/>
      <c r="OID31" s="537"/>
      <c r="OIE31" s="537"/>
      <c r="OIF31" s="537"/>
      <c r="OIG31" s="537"/>
      <c r="OIH31" s="537"/>
      <c r="OII31" s="537"/>
      <c r="OIJ31" s="537"/>
      <c r="OIK31" s="537"/>
      <c r="OIL31" s="537"/>
      <c r="OIM31" s="537"/>
      <c r="OIN31" s="537"/>
      <c r="OIO31" s="537"/>
      <c r="OIP31" s="537"/>
      <c r="OIQ31" s="537"/>
      <c r="OIR31" s="537"/>
      <c r="OIS31" s="537"/>
      <c r="OIT31" s="537"/>
      <c r="OIU31" s="537"/>
      <c r="OIV31" s="537"/>
      <c r="OIW31" s="537"/>
      <c r="OIX31" s="537"/>
      <c r="OIY31" s="537"/>
      <c r="OIZ31" s="537"/>
      <c r="OJA31" s="537"/>
      <c r="OJB31" s="537"/>
      <c r="OJC31" s="537"/>
      <c r="OJD31" s="537"/>
      <c r="OJE31" s="537"/>
      <c r="OJF31" s="537"/>
      <c r="OJG31" s="537"/>
      <c r="OJH31" s="537"/>
      <c r="OJI31" s="537"/>
      <c r="OJJ31" s="537"/>
      <c r="OJK31" s="537"/>
      <c r="OJL31" s="537"/>
      <c r="OJM31" s="537"/>
      <c r="OJN31" s="537"/>
      <c r="OJO31" s="537"/>
      <c r="OJP31" s="537"/>
      <c r="OJQ31" s="537"/>
      <c r="OJR31" s="537"/>
      <c r="OJS31" s="537"/>
      <c r="OJT31" s="537"/>
      <c r="OJU31" s="537"/>
      <c r="OJV31" s="537"/>
      <c r="OJW31" s="537"/>
      <c r="OJX31" s="537"/>
      <c r="OJY31" s="537"/>
      <c r="OJZ31" s="537"/>
      <c r="OKA31" s="537"/>
      <c r="OKB31" s="537"/>
      <c r="OKC31" s="537"/>
      <c r="OKD31" s="537"/>
      <c r="OKE31" s="537"/>
      <c r="OKF31" s="537"/>
      <c r="OKG31" s="537"/>
      <c r="OKH31" s="537"/>
      <c r="OKI31" s="537"/>
      <c r="OKJ31" s="537"/>
      <c r="OKK31" s="537"/>
      <c r="OKL31" s="537"/>
      <c r="OKM31" s="537"/>
      <c r="OKN31" s="537"/>
      <c r="OKO31" s="537"/>
      <c r="OKP31" s="537"/>
      <c r="OKQ31" s="537"/>
      <c r="OKR31" s="537"/>
      <c r="OKS31" s="537"/>
      <c r="OKT31" s="537"/>
      <c r="OKU31" s="537"/>
      <c r="OKV31" s="537"/>
      <c r="OKW31" s="537"/>
      <c r="OKX31" s="537"/>
      <c r="OKY31" s="537"/>
      <c r="OKZ31" s="537"/>
      <c r="OLA31" s="537"/>
      <c r="OLB31" s="537"/>
      <c r="OLC31" s="537"/>
      <c r="OLD31" s="537"/>
      <c r="OLE31" s="537"/>
      <c r="OLF31" s="537"/>
      <c r="OLG31" s="537"/>
      <c r="OLH31" s="537"/>
      <c r="OLI31" s="537"/>
      <c r="OLJ31" s="537"/>
      <c r="OLK31" s="537"/>
      <c r="OLL31" s="537"/>
      <c r="OLM31" s="537"/>
      <c r="OLN31" s="537"/>
      <c r="OLO31" s="537"/>
      <c r="OLP31" s="537"/>
      <c r="OLQ31" s="537"/>
      <c r="OLR31" s="537"/>
      <c r="OLS31" s="537"/>
      <c r="OLT31" s="537"/>
      <c r="OLU31" s="537"/>
      <c r="OLV31" s="537"/>
      <c r="OLW31" s="537"/>
      <c r="OLX31" s="537"/>
      <c r="OLY31" s="537"/>
      <c r="OLZ31" s="537"/>
      <c r="OMA31" s="537"/>
      <c r="OMB31" s="537"/>
      <c r="OMC31" s="537"/>
      <c r="OMD31" s="537"/>
      <c r="OME31" s="537"/>
      <c r="OMF31" s="537"/>
      <c r="OMG31" s="537"/>
      <c r="OMH31" s="537"/>
      <c r="OMI31" s="537"/>
      <c r="OMJ31" s="537"/>
      <c r="OMK31" s="537"/>
      <c r="OML31" s="537"/>
      <c r="OMM31" s="537"/>
      <c r="OMN31" s="537"/>
      <c r="OMO31" s="537"/>
      <c r="OMP31" s="537"/>
      <c r="OMQ31" s="537"/>
      <c r="OMR31" s="537"/>
      <c r="OMS31" s="537"/>
      <c r="OMT31" s="537"/>
      <c r="OMU31" s="537"/>
      <c r="OMV31" s="537"/>
      <c r="OMW31" s="537"/>
      <c r="OMX31" s="537"/>
      <c r="OMY31" s="537"/>
      <c r="OMZ31" s="537"/>
      <c r="ONA31" s="537"/>
      <c r="ONB31" s="537"/>
      <c r="ONC31" s="537"/>
      <c r="OND31" s="537"/>
      <c r="ONE31" s="537"/>
      <c r="ONF31" s="537"/>
      <c r="ONG31" s="537"/>
      <c r="ONH31" s="537"/>
      <c r="ONI31" s="537"/>
      <c r="ONJ31" s="537"/>
      <c r="ONK31" s="537"/>
      <c r="ONL31" s="537"/>
      <c r="ONM31" s="537"/>
      <c r="ONN31" s="537"/>
      <c r="ONO31" s="537"/>
      <c r="ONP31" s="537"/>
      <c r="ONQ31" s="537"/>
      <c r="ONR31" s="537"/>
      <c r="ONS31" s="537"/>
      <c r="ONT31" s="537"/>
      <c r="ONU31" s="537"/>
      <c r="ONV31" s="537"/>
      <c r="ONW31" s="537"/>
      <c r="ONX31" s="537"/>
      <c r="ONY31" s="537"/>
      <c r="ONZ31" s="537"/>
      <c r="OOA31" s="537"/>
      <c r="OOB31" s="537"/>
      <c r="OOC31" s="537"/>
      <c r="OOD31" s="537"/>
      <c r="OOE31" s="537"/>
      <c r="OOF31" s="537"/>
      <c r="OOG31" s="537"/>
      <c r="OOH31" s="537"/>
      <c r="OOI31" s="537"/>
      <c r="OOJ31" s="537"/>
      <c r="OOK31" s="537"/>
      <c r="OOL31" s="537"/>
      <c r="OOM31" s="537"/>
      <c r="OON31" s="537"/>
      <c r="OOO31" s="537"/>
      <c r="OOP31" s="537"/>
      <c r="OOQ31" s="537"/>
      <c r="OOR31" s="537"/>
      <c r="OOS31" s="537"/>
      <c r="OOT31" s="537"/>
      <c r="OOU31" s="537"/>
      <c r="OOV31" s="537"/>
      <c r="OOW31" s="537"/>
      <c r="OOX31" s="537"/>
      <c r="OOY31" s="537"/>
      <c r="OOZ31" s="537"/>
      <c r="OPA31" s="537"/>
      <c r="OPB31" s="537"/>
      <c r="OPC31" s="537"/>
      <c r="OPD31" s="537"/>
      <c r="OPE31" s="537"/>
      <c r="OPF31" s="537"/>
      <c r="OPG31" s="537"/>
      <c r="OPH31" s="537"/>
      <c r="OPI31" s="537"/>
      <c r="OPJ31" s="537"/>
      <c r="OPK31" s="537"/>
      <c r="OPL31" s="537"/>
      <c r="OPM31" s="537"/>
      <c r="OPN31" s="537"/>
      <c r="OPO31" s="537"/>
      <c r="OPP31" s="537"/>
      <c r="OPQ31" s="537"/>
      <c r="OPR31" s="537"/>
      <c r="OPS31" s="537"/>
      <c r="OPT31" s="537"/>
      <c r="OPU31" s="537"/>
      <c r="OPV31" s="537"/>
      <c r="OPW31" s="537"/>
      <c r="OPX31" s="537"/>
      <c r="OPY31" s="537"/>
      <c r="OPZ31" s="537"/>
      <c r="OQA31" s="537"/>
      <c r="OQB31" s="537"/>
      <c r="OQC31" s="537"/>
      <c r="OQD31" s="537"/>
      <c r="OQE31" s="537"/>
      <c r="OQF31" s="537"/>
      <c r="OQG31" s="537"/>
      <c r="OQH31" s="537"/>
      <c r="OQI31" s="537"/>
      <c r="OQJ31" s="537"/>
      <c r="OQK31" s="537"/>
      <c r="OQL31" s="537"/>
      <c r="OQM31" s="537"/>
      <c r="OQN31" s="537"/>
      <c r="OQO31" s="537"/>
      <c r="OQP31" s="537"/>
      <c r="OQQ31" s="537"/>
      <c r="OQR31" s="537"/>
      <c r="OQS31" s="537"/>
      <c r="OQT31" s="537"/>
      <c r="OQU31" s="537"/>
      <c r="OQV31" s="537"/>
      <c r="OQW31" s="537"/>
      <c r="OQX31" s="537"/>
      <c r="OQY31" s="537"/>
      <c r="OQZ31" s="537"/>
      <c r="ORA31" s="537"/>
      <c r="ORB31" s="537"/>
      <c r="ORC31" s="537"/>
      <c r="ORD31" s="537"/>
      <c r="ORE31" s="537"/>
      <c r="ORF31" s="537"/>
      <c r="ORG31" s="537"/>
      <c r="ORH31" s="537"/>
      <c r="ORI31" s="537"/>
      <c r="ORJ31" s="537"/>
      <c r="ORK31" s="537"/>
      <c r="ORL31" s="537"/>
      <c r="ORM31" s="537"/>
      <c r="ORN31" s="537"/>
      <c r="ORO31" s="537"/>
      <c r="ORP31" s="537"/>
      <c r="ORQ31" s="537"/>
      <c r="ORR31" s="537"/>
      <c r="ORS31" s="537"/>
      <c r="ORT31" s="537"/>
      <c r="ORU31" s="537"/>
      <c r="ORV31" s="537"/>
      <c r="ORW31" s="537"/>
      <c r="ORX31" s="537"/>
      <c r="ORY31" s="537"/>
      <c r="ORZ31" s="537"/>
      <c r="OSA31" s="537"/>
      <c r="OSB31" s="537"/>
      <c r="OSC31" s="537"/>
      <c r="OSD31" s="537"/>
      <c r="OSE31" s="537"/>
      <c r="OSF31" s="537"/>
      <c r="OSG31" s="537"/>
      <c r="OSH31" s="537"/>
      <c r="OSI31" s="537"/>
      <c r="OSJ31" s="537"/>
      <c r="OSK31" s="537"/>
      <c r="OSL31" s="537"/>
      <c r="OSM31" s="537"/>
      <c r="OSN31" s="537"/>
      <c r="OSO31" s="537"/>
      <c r="OSP31" s="537"/>
      <c r="OSQ31" s="537"/>
      <c r="OSR31" s="537"/>
      <c r="OSS31" s="537"/>
      <c r="OST31" s="537"/>
      <c r="OSU31" s="537"/>
      <c r="OSV31" s="537"/>
      <c r="OSW31" s="537"/>
      <c r="OSX31" s="537"/>
      <c r="OSY31" s="537"/>
      <c r="OSZ31" s="537"/>
      <c r="OTA31" s="537"/>
      <c r="OTB31" s="537"/>
      <c r="OTC31" s="537"/>
      <c r="OTD31" s="537"/>
      <c r="OTE31" s="537"/>
      <c r="OTF31" s="537"/>
      <c r="OTG31" s="537"/>
      <c r="OTH31" s="537"/>
      <c r="OTI31" s="537"/>
      <c r="OTJ31" s="537"/>
      <c r="OTK31" s="537"/>
      <c r="OTL31" s="537"/>
      <c r="OTM31" s="537"/>
      <c r="OTN31" s="537"/>
      <c r="OTO31" s="537"/>
      <c r="OTP31" s="537"/>
      <c r="OTQ31" s="537"/>
      <c r="OTR31" s="537"/>
      <c r="OTS31" s="537"/>
      <c r="OTT31" s="537"/>
      <c r="OTU31" s="537"/>
      <c r="OTV31" s="537"/>
      <c r="OTW31" s="537"/>
      <c r="OTX31" s="537"/>
      <c r="OTY31" s="537"/>
      <c r="OTZ31" s="537"/>
      <c r="OUA31" s="537"/>
      <c r="OUB31" s="537"/>
      <c r="OUC31" s="537"/>
      <c r="OUD31" s="537"/>
      <c r="OUE31" s="537"/>
      <c r="OUF31" s="537"/>
      <c r="OUG31" s="537"/>
      <c r="OUH31" s="537"/>
      <c r="OUI31" s="537"/>
      <c r="OUJ31" s="537"/>
      <c r="OUK31" s="537"/>
      <c r="OUL31" s="537"/>
      <c r="OUM31" s="537"/>
      <c r="OUN31" s="537"/>
      <c r="OUO31" s="537"/>
      <c r="OUP31" s="537"/>
      <c r="OUQ31" s="537"/>
      <c r="OUR31" s="537"/>
      <c r="OUS31" s="537"/>
      <c r="OUT31" s="537"/>
      <c r="OUU31" s="537"/>
      <c r="OUV31" s="537"/>
      <c r="OUW31" s="537"/>
      <c r="OUX31" s="537"/>
      <c r="OUY31" s="537"/>
      <c r="OUZ31" s="537"/>
      <c r="OVA31" s="537"/>
      <c r="OVB31" s="537"/>
      <c r="OVC31" s="537"/>
      <c r="OVD31" s="537"/>
      <c r="OVE31" s="537"/>
      <c r="OVF31" s="537"/>
      <c r="OVG31" s="537"/>
      <c r="OVH31" s="537"/>
      <c r="OVI31" s="537"/>
      <c r="OVJ31" s="537"/>
      <c r="OVK31" s="537"/>
      <c r="OVL31" s="537"/>
      <c r="OVM31" s="537"/>
      <c r="OVN31" s="537"/>
      <c r="OVO31" s="537"/>
      <c r="OVP31" s="537"/>
      <c r="OVQ31" s="537"/>
      <c r="OVR31" s="537"/>
      <c r="OVS31" s="537"/>
      <c r="OVT31" s="537"/>
      <c r="OVU31" s="537"/>
      <c r="OVV31" s="537"/>
      <c r="OVW31" s="537"/>
      <c r="OVX31" s="537"/>
      <c r="OVY31" s="537"/>
      <c r="OVZ31" s="537"/>
      <c r="OWA31" s="537"/>
      <c r="OWB31" s="537"/>
      <c r="OWC31" s="537"/>
      <c r="OWD31" s="537"/>
      <c r="OWE31" s="537"/>
      <c r="OWF31" s="537"/>
      <c r="OWG31" s="537"/>
      <c r="OWH31" s="537"/>
      <c r="OWI31" s="537"/>
      <c r="OWJ31" s="537"/>
      <c r="OWK31" s="537"/>
      <c r="OWL31" s="537"/>
      <c r="OWM31" s="537"/>
      <c r="OWN31" s="537"/>
      <c r="OWO31" s="537"/>
      <c r="OWP31" s="537"/>
      <c r="OWQ31" s="537"/>
      <c r="OWR31" s="537"/>
      <c r="OWS31" s="537"/>
      <c r="OWT31" s="537"/>
      <c r="OWU31" s="537"/>
      <c r="OWV31" s="537"/>
      <c r="OWW31" s="537"/>
      <c r="OWX31" s="537"/>
      <c r="OWY31" s="537"/>
      <c r="OWZ31" s="537"/>
      <c r="OXA31" s="537"/>
      <c r="OXB31" s="537"/>
      <c r="OXC31" s="537"/>
      <c r="OXD31" s="537"/>
      <c r="OXE31" s="537"/>
      <c r="OXF31" s="537"/>
      <c r="OXG31" s="537"/>
      <c r="OXH31" s="537"/>
      <c r="OXI31" s="537"/>
      <c r="OXJ31" s="537"/>
      <c r="OXK31" s="537"/>
      <c r="OXL31" s="537"/>
      <c r="OXM31" s="537"/>
      <c r="OXN31" s="537"/>
      <c r="OXO31" s="537"/>
      <c r="OXP31" s="537"/>
      <c r="OXQ31" s="537"/>
      <c r="OXR31" s="537"/>
      <c r="OXS31" s="537"/>
      <c r="OXT31" s="537"/>
      <c r="OXU31" s="537"/>
      <c r="OXV31" s="537"/>
      <c r="OXW31" s="537"/>
      <c r="OXX31" s="537"/>
      <c r="OXY31" s="537"/>
      <c r="OXZ31" s="537"/>
      <c r="OYA31" s="537"/>
      <c r="OYB31" s="537"/>
      <c r="OYC31" s="537"/>
      <c r="OYD31" s="537"/>
      <c r="OYE31" s="537"/>
      <c r="OYF31" s="537"/>
      <c r="OYG31" s="537"/>
      <c r="OYH31" s="537"/>
      <c r="OYI31" s="537"/>
      <c r="OYJ31" s="537"/>
      <c r="OYK31" s="537"/>
      <c r="OYL31" s="537"/>
      <c r="OYM31" s="537"/>
      <c r="OYN31" s="537"/>
      <c r="OYO31" s="537"/>
      <c r="OYP31" s="537"/>
      <c r="OYQ31" s="537"/>
      <c r="OYR31" s="537"/>
      <c r="OYS31" s="537"/>
      <c r="OYT31" s="537"/>
      <c r="OYU31" s="537"/>
      <c r="OYV31" s="537"/>
      <c r="OYW31" s="537"/>
      <c r="OYX31" s="537"/>
      <c r="OYY31" s="537"/>
      <c r="OYZ31" s="537"/>
      <c r="OZA31" s="537"/>
      <c r="OZB31" s="537"/>
      <c r="OZC31" s="537"/>
      <c r="OZD31" s="537"/>
      <c r="OZE31" s="537"/>
      <c r="OZF31" s="537"/>
      <c r="OZG31" s="537"/>
      <c r="OZH31" s="537"/>
      <c r="OZI31" s="537"/>
      <c r="OZJ31" s="537"/>
      <c r="OZK31" s="537"/>
      <c r="OZL31" s="537"/>
      <c r="OZM31" s="537"/>
      <c r="OZN31" s="537"/>
      <c r="OZO31" s="537"/>
      <c r="OZP31" s="537"/>
      <c r="OZQ31" s="537"/>
      <c r="OZR31" s="537"/>
      <c r="OZS31" s="537"/>
      <c r="OZT31" s="537"/>
      <c r="OZU31" s="537"/>
      <c r="OZV31" s="537"/>
      <c r="OZW31" s="537"/>
      <c r="OZX31" s="537"/>
      <c r="OZY31" s="537"/>
      <c r="OZZ31" s="537"/>
      <c r="PAA31" s="537"/>
      <c r="PAB31" s="537"/>
      <c r="PAC31" s="537"/>
      <c r="PAD31" s="537"/>
      <c r="PAE31" s="537"/>
      <c r="PAF31" s="537"/>
      <c r="PAG31" s="537"/>
      <c r="PAH31" s="537"/>
      <c r="PAI31" s="537"/>
      <c r="PAJ31" s="537"/>
      <c r="PAK31" s="537"/>
      <c r="PAL31" s="537"/>
      <c r="PAM31" s="537"/>
      <c r="PAN31" s="537"/>
      <c r="PAO31" s="537"/>
      <c r="PAP31" s="537"/>
      <c r="PAQ31" s="537"/>
      <c r="PAR31" s="537"/>
      <c r="PAS31" s="537"/>
      <c r="PAT31" s="537"/>
      <c r="PAU31" s="537"/>
      <c r="PAV31" s="537"/>
      <c r="PAW31" s="537"/>
      <c r="PAX31" s="537"/>
      <c r="PAY31" s="537"/>
      <c r="PAZ31" s="537"/>
      <c r="PBA31" s="537"/>
      <c r="PBB31" s="537"/>
      <c r="PBC31" s="537"/>
      <c r="PBD31" s="537"/>
      <c r="PBE31" s="537"/>
      <c r="PBF31" s="537"/>
      <c r="PBG31" s="537"/>
      <c r="PBH31" s="537"/>
      <c r="PBI31" s="537"/>
      <c r="PBJ31" s="537"/>
      <c r="PBK31" s="537"/>
      <c r="PBL31" s="537"/>
      <c r="PBM31" s="537"/>
      <c r="PBN31" s="537"/>
      <c r="PBO31" s="537"/>
      <c r="PBP31" s="537"/>
      <c r="PBQ31" s="537"/>
      <c r="PBR31" s="537"/>
      <c r="PBS31" s="537"/>
      <c r="PBT31" s="537"/>
      <c r="PBU31" s="537"/>
      <c r="PBV31" s="537"/>
      <c r="PBW31" s="537"/>
      <c r="PBX31" s="537"/>
      <c r="PBY31" s="537"/>
      <c r="PBZ31" s="537"/>
      <c r="PCA31" s="537"/>
      <c r="PCB31" s="537"/>
      <c r="PCC31" s="537"/>
      <c r="PCD31" s="537"/>
      <c r="PCE31" s="537"/>
      <c r="PCF31" s="537"/>
      <c r="PCG31" s="537"/>
      <c r="PCH31" s="537"/>
      <c r="PCI31" s="537"/>
      <c r="PCJ31" s="537"/>
      <c r="PCK31" s="537"/>
      <c r="PCL31" s="537"/>
      <c r="PCM31" s="537"/>
      <c r="PCN31" s="537"/>
      <c r="PCO31" s="537"/>
      <c r="PCP31" s="537"/>
      <c r="PCQ31" s="537"/>
      <c r="PCR31" s="537"/>
      <c r="PCS31" s="537"/>
      <c r="PCT31" s="537"/>
      <c r="PCU31" s="537"/>
      <c r="PCV31" s="537"/>
      <c r="PCW31" s="537"/>
      <c r="PCX31" s="537"/>
      <c r="PCY31" s="537"/>
      <c r="PCZ31" s="537"/>
      <c r="PDA31" s="537"/>
      <c r="PDB31" s="537"/>
      <c r="PDC31" s="537"/>
      <c r="PDD31" s="537"/>
      <c r="PDE31" s="537"/>
      <c r="PDF31" s="537"/>
      <c r="PDG31" s="537"/>
      <c r="PDH31" s="537"/>
      <c r="PDI31" s="537"/>
      <c r="PDJ31" s="537"/>
      <c r="PDK31" s="537"/>
      <c r="PDL31" s="537"/>
      <c r="PDM31" s="537"/>
      <c r="PDN31" s="537"/>
      <c r="PDO31" s="537"/>
      <c r="PDP31" s="537"/>
      <c r="PDQ31" s="537"/>
      <c r="PDR31" s="537"/>
      <c r="PDS31" s="537"/>
      <c r="PDT31" s="537"/>
      <c r="PDU31" s="537"/>
      <c r="PDV31" s="537"/>
      <c r="PDW31" s="537"/>
      <c r="PDX31" s="537"/>
      <c r="PDY31" s="537"/>
      <c r="PDZ31" s="537"/>
      <c r="PEA31" s="537"/>
      <c r="PEB31" s="537"/>
      <c r="PEC31" s="537"/>
      <c r="PED31" s="537"/>
      <c r="PEE31" s="537"/>
      <c r="PEF31" s="537"/>
      <c r="PEG31" s="537"/>
      <c r="PEH31" s="537"/>
      <c r="PEI31" s="537"/>
      <c r="PEJ31" s="537"/>
      <c r="PEK31" s="537"/>
      <c r="PEL31" s="537"/>
      <c r="PEM31" s="537"/>
      <c r="PEN31" s="537"/>
      <c r="PEO31" s="537"/>
      <c r="PEP31" s="537"/>
      <c r="PEQ31" s="537"/>
      <c r="PER31" s="537"/>
      <c r="PES31" s="537"/>
      <c r="PET31" s="537"/>
      <c r="PEU31" s="537"/>
      <c r="PEV31" s="537"/>
      <c r="PEW31" s="537"/>
      <c r="PEX31" s="537"/>
      <c r="PEY31" s="537"/>
      <c r="PEZ31" s="537"/>
      <c r="PFA31" s="537"/>
      <c r="PFB31" s="537"/>
      <c r="PFC31" s="537"/>
      <c r="PFD31" s="537"/>
      <c r="PFE31" s="537"/>
      <c r="PFF31" s="537"/>
      <c r="PFG31" s="537"/>
      <c r="PFH31" s="537"/>
      <c r="PFI31" s="537"/>
      <c r="PFJ31" s="537"/>
      <c r="PFK31" s="537"/>
      <c r="PFL31" s="537"/>
      <c r="PFM31" s="537"/>
      <c r="PFN31" s="537"/>
      <c r="PFO31" s="537"/>
      <c r="PFP31" s="537"/>
      <c r="PFQ31" s="537"/>
      <c r="PFR31" s="537"/>
      <c r="PFS31" s="537"/>
      <c r="PFT31" s="537"/>
      <c r="PFU31" s="537"/>
      <c r="PFV31" s="537"/>
      <c r="PFW31" s="537"/>
      <c r="PFX31" s="537"/>
      <c r="PFY31" s="537"/>
      <c r="PFZ31" s="537"/>
      <c r="PGA31" s="537"/>
      <c r="PGB31" s="537"/>
      <c r="PGC31" s="537"/>
      <c r="PGD31" s="537"/>
      <c r="PGE31" s="537"/>
      <c r="PGF31" s="537"/>
      <c r="PGG31" s="537"/>
      <c r="PGH31" s="537"/>
      <c r="PGI31" s="537"/>
      <c r="PGJ31" s="537"/>
      <c r="PGK31" s="537"/>
      <c r="PGL31" s="537"/>
      <c r="PGM31" s="537"/>
      <c r="PGN31" s="537"/>
      <c r="PGO31" s="537"/>
      <c r="PGP31" s="537"/>
      <c r="PGQ31" s="537"/>
      <c r="PGR31" s="537"/>
      <c r="PGS31" s="537"/>
      <c r="PGT31" s="537"/>
      <c r="PGU31" s="537"/>
      <c r="PGV31" s="537"/>
      <c r="PGW31" s="537"/>
      <c r="PGX31" s="537"/>
      <c r="PGY31" s="537"/>
      <c r="PGZ31" s="537"/>
      <c r="PHA31" s="537"/>
      <c r="PHB31" s="537"/>
      <c r="PHC31" s="537"/>
      <c r="PHD31" s="537"/>
      <c r="PHE31" s="537"/>
      <c r="PHF31" s="537"/>
      <c r="PHG31" s="537"/>
      <c r="PHH31" s="537"/>
      <c r="PHI31" s="537"/>
      <c r="PHJ31" s="537"/>
      <c r="PHK31" s="537"/>
      <c r="PHL31" s="537"/>
      <c r="PHM31" s="537"/>
      <c r="PHN31" s="537"/>
      <c r="PHO31" s="537"/>
      <c r="PHP31" s="537"/>
      <c r="PHQ31" s="537"/>
      <c r="PHR31" s="537"/>
      <c r="PHS31" s="537"/>
      <c r="PHT31" s="537"/>
      <c r="PHU31" s="537"/>
      <c r="PHV31" s="537"/>
      <c r="PHW31" s="537"/>
      <c r="PHX31" s="537"/>
      <c r="PHY31" s="537"/>
      <c r="PHZ31" s="537"/>
      <c r="PIA31" s="537"/>
      <c r="PIB31" s="537"/>
      <c r="PIC31" s="537"/>
      <c r="PID31" s="537"/>
      <c r="PIE31" s="537"/>
      <c r="PIF31" s="537"/>
      <c r="PIG31" s="537"/>
      <c r="PIH31" s="537"/>
      <c r="PII31" s="537"/>
      <c r="PIJ31" s="537"/>
      <c r="PIK31" s="537"/>
      <c r="PIL31" s="537"/>
      <c r="PIM31" s="537"/>
      <c r="PIN31" s="537"/>
      <c r="PIO31" s="537"/>
      <c r="PIP31" s="537"/>
      <c r="PIQ31" s="537"/>
      <c r="PIR31" s="537"/>
      <c r="PIS31" s="537"/>
      <c r="PIT31" s="537"/>
      <c r="PIU31" s="537"/>
      <c r="PIV31" s="537"/>
      <c r="PIW31" s="537"/>
      <c r="PIX31" s="537"/>
      <c r="PIY31" s="537"/>
      <c r="PIZ31" s="537"/>
      <c r="PJA31" s="537"/>
      <c r="PJB31" s="537"/>
      <c r="PJC31" s="537"/>
      <c r="PJD31" s="537"/>
      <c r="PJE31" s="537"/>
      <c r="PJF31" s="537"/>
      <c r="PJG31" s="537"/>
      <c r="PJH31" s="537"/>
      <c r="PJI31" s="537"/>
      <c r="PJJ31" s="537"/>
      <c r="PJK31" s="537"/>
      <c r="PJL31" s="537"/>
      <c r="PJM31" s="537"/>
      <c r="PJN31" s="537"/>
      <c r="PJO31" s="537"/>
      <c r="PJP31" s="537"/>
      <c r="PJQ31" s="537"/>
      <c r="PJR31" s="537"/>
      <c r="PJS31" s="537"/>
      <c r="PJT31" s="537"/>
      <c r="PJU31" s="537"/>
      <c r="PJV31" s="537"/>
      <c r="PJW31" s="537"/>
      <c r="PJX31" s="537"/>
      <c r="PJY31" s="537"/>
      <c r="PJZ31" s="537"/>
      <c r="PKA31" s="537"/>
      <c r="PKB31" s="537"/>
      <c r="PKC31" s="537"/>
      <c r="PKD31" s="537"/>
      <c r="PKE31" s="537"/>
      <c r="PKF31" s="537"/>
      <c r="PKG31" s="537"/>
      <c r="PKH31" s="537"/>
      <c r="PKI31" s="537"/>
      <c r="PKJ31" s="537"/>
      <c r="PKK31" s="537"/>
      <c r="PKL31" s="537"/>
      <c r="PKM31" s="537"/>
      <c r="PKN31" s="537"/>
      <c r="PKO31" s="537"/>
      <c r="PKP31" s="537"/>
      <c r="PKQ31" s="537"/>
      <c r="PKR31" s="537"/>
      <c r="PKS31" s="537"/>
      <c r="PKT31" s="537"/>
      <c r="PKU31" s="537"/>
      <c r="PKV31" s="537"/>
      <c r="PKW31" s="537"/>
      <c r="PKX31" s="537"/>
      <c r="PKY31" s="537"/>
      <c r="PKZ31" s="537"/>
      <c r="PLA31" s="537"/>
      <c r="PLB31" s="537"/>
      <c r="PLC31" s="537"/>
      <c r="PLD31" s="537"/>
      <c r="PLE31" s="537"/>
      <c r="PLF31" s="537"/>
      <c r="PLG31" s="537"/>
      <c r="PLH31" s="537"/>
      <c r="PLI31" s="537"/>
      <c r="PLJ31" s="537"/>
      <c r="PLK31" s="537"/>
      <c r="PLL31" s="537"/>
      <c r="PLM31" s="537"/>
      <c r="PLN31" s="537"/>
      <c r="PLO31" s="537"/>
      <c r="PLP31" s="537"/>
      <c r="PLQ31" s="537"/>
      <c r="PLR31" s="537"/>
      <c r="PLS31" s="537"/>
      <c r="PLT31" s="537"/>
      <c r="PLU31" s="537"/>
      <c r="PLV31" s="537"/>
      <c r="PLW31" s="537"/>
      <c r="PLX31" s="537"/>
      <c r="PLY31" s="537"/>
      <c r="PLZ31" s="537"/>
      <c r="PMA31" s="537"/>
      <c r="PMB31" s="537"/>
      <c r="PMC31" s="537"/>
      <c r="PMD31" s="537"/>
      <c r="PME31" s="537"/>
      <c r="PMF31" s="537"/>
      <c r="PMG31" s="537"/>
      <c r="PMH31" s="537"/>
      <c r="PMI31" s="537"/>
      <c r="PMJ31" s="537"/>
      <c r="PMK31" s="537"/>
      <c r="PML31" s="537"/>
      <c r="PMM31" s="537"/>
      <c r="PMN31" s="537"/>
      <c r="PMO31" s="537"/>
      <c r="PMP31" s="537"/>
      <c r="PMQ31" s="537"/>
      <c r="PMR31" s="537"/>
      <c r="PMS31" s="537"/>
      <c r="PMT31" s="537"/>
      <c r="PMU31" s="537"/>
      <c r="PMV31" s="537"/>
      <c r="PMW31" s="537"/>
      <c r="PMX31" s="537"/>
      <c r="PMY31" s="537"/>
      <c r="PMZ31" s="537"/>
      <c r="PNA31" s="537"/>
      <c r="PNB31" s="537"/>
      <c r="PNC31" s="537"/>
      <c r="PND31" s="537"/>
      <c r="PNE31" s="537"/>
      <c r="PNF31" s="537"/>
      <c r="PNG31" s="537"/>
      <c r="PNH31" s="537"/>
      <c r="PNI31" s="537"/>
      <c r="PNJ31" s="537"/>
      <c r="PNK31" s="537"/>
      <c r="PNL31" s="537"/>
      <c r="PNM31" s="537"/>
      <c r="PNN31" s="537"/>
      <c r="PNO31" s="537"/>
      <c r="PNP31" s="537"/>
      <c r="PNQ31" s="537"/>
      <c r="PNR31" s="537"/>
      <c r="PNS31" s="537"/>
      <c r="PNT31" s="537"/>
      <c r="PNU31" s="537"/>
      <c r="PNV31" s="537"/>
      <c r="PNW31" s="537"/>
      <c r="PNX31" s="537"/>
      <c r="PNY31" s="537"/>
      <c r="PNZ31" s="537"/>
      <c r="POA31" s="537"/>
      <c r="POB31" s="537"/>
      <c r="POC31" s="537"/>
      <c r="POD31" s="537"/>
      <c r="POE31" s="537"/>
      <c r="POF31" s="537"/>
      <c r="POG31" s="537"/>
      <c r="POH31" s="537"/>
      <c r="POI31" s="537"/>
      <c r="POJ31" s="537"/>
      <c r="POK31" s="537"/>
      <c r="POL31" s="537"/>
      <c r="POM31" s="537"/>
      <c r="PON31" s="537"/>
      <c r="POO31" s="537"/>
      <c r="POP31" s="537"/>
      <c r="POQ31" s="537"/>
      <c r="POR31" s="537"/>
      <c r="POS31" s="537"/>
      <c r="POT31" s="537"/>
      <c r="POU31" s="537"/>
      <c r="POV31" s="537"/>
      <c r="POW31" s="537"/>
      <c r="POX31" s="537"/>
      <c r="POY31" s="537"/>
      <c r="POZ31" s="537"/>
      <c r="PPA31" s="537"/>
      <c r="PPB31" s="537"/>
      <c r="PPC31" s="537"/>
      <c r="PPD31" s="537"/>
      <c r="PPE31" s="537"/>
      <c r="PPF31" s="537"/>
      <c r="PPG31" s="537"/>
      <c r="PPH31" s="537"/>
      <c r="PPI31" s="537"/>
      <c r="PPJ31" s="537"/>
      <c r="PPK31" s="537"/>
      <c r="PPL31" s="537"/>
      <c r="PPM31" s="537"/>
      <c r="PPN31" s="537"/>
      <c r="PPO31" s="537"/>
      <c r="PPP31" s="537"/>
      <c r="PPQ31" s="537"/>
      <c r="PPR31" s="537"/>
      <c r="PPS31" s="537"/>
      <c r="PPT31" s="537"/>
      <c r="PPU31" s="537"/>
      <c r="PPV31" s="537"/>
      <c r="PPW31" s="537"/>
      <c r="PPX31" s="537"/>
      <c r="PPY31" s="537"/>
      <c r="PPZ31" s="537"/>
      <c r="PQA31" s="537"/>
      <c r="PQB31" s="537"/>
      <c r="PQC31" s="537"/>
      <c r="PQD31" s="537"/>
      <c r="PQE31" s="537"/>
      <c r="PQF31" s="537"/>
      <c r="PQG31" s="537"/>
      <c r="PQH31" s="537"/>
      <c r="PQI31" s="537"/>
      <c r="PQJ31" s="537"/>
      <c r="PQK31" s="537"/>
      <c r="PQL31" s="537"/>
      <c r="PQM31" s="537"/>
      <c r="PQN31" s="537"/>
      <c r="PQO31" s="537"/>
      <c r="PQP31" s="537"/>
      <c r="PQQ31" s="537"/>
      <c r="PQR31" s="537"/>
      <c r="PQS31" s="537"/>
      <c r="PQT31" s="537"/>
      <c r="PQU31" s="537"/>
      <c r="PQV31" s="537"/>
      <c r="PQW31" s="537"/>
      <c r="PQX31" s="537"/>
      <c r="PQY31" s="537"/>
      <c r="PQZ31" s="537"/>
      <c r="PRA31" s="537"/>
      <c r="PRB31" s="537"/>
      <c r="PRC31" s="537"/>
      <c r="PRD31" s="537"/>
      <c r="PRE31" s="537"/>
      <c r="PRF31" s="537"/>
      <c r="PRG31" s="537"/>
      <c r="PRH31" s="537"/>
      <c r="PRI31" s="537"/>
      <c r="PRJ31" s="537"/>
      <c r="PRK31" s="537"/>
      <c r="PRL31" s="537"/>
      <c r="PRM31" s="537"/>
      <c r="PRN31" s="537"/>
      <c r="PRO31" s="537"/>
      <c r="PRP31" s="537"/>
      <c r="PRQ31" s="537"/>
      <c r="PRR31" s="537"/>
      <c r="PRS31" s="537"/>
      <c r="PRT31" s="537"/>
      <c r="PRU31" s="537"/>
      <c r="PRV31" s="537"/>
      <c r="PRW31" s="537"/>
      <c r="PRX31" s="537"/>
      <c r="PRY31" s="537"/>
      <c r="PRZ31" s="537"/>
      <c r="PSA31" s="537"/>
      <c r="PSB31" s="537"/>
      <c r="PSC31" s="537"/>
      <c r="PSD31" s="537"/>
      <c r="PSE31" s="537"/>
      <c r="PSF31" s="537"/>
      <c r="PSG31" s="537"/>
      <c r="PSH31" s="537"/>
      <c r="PSI31" s="537"/>
      <c r="PSJ31" s="537"/>
      <c r="PSK31" s="537"/>
      <c r="PSL31" s="537"/>
      <c r="PSM31" s="537"/>
      <c r="PSN31" s="537"/>
      <c r="PSO31" s="537"/>
      <c r="PSP31" s="537"/>
      <c r="PSQ31" s="537"/>
      <c r="PSR31" s="537"/>
      <c r="PSS31" s="537"/>
      <c r="PST31" s="537"/>
      <c r="PSU31" s="537"/>
      <c r="PSV31" s="537"/>
      <c r="PSW31" s="537"/>
      <c r="PSX31" s="537"/>
      <c r="PSY31" s="537"/>
      <c r="PSZ31" s="537"/>
      <c r="PTA31" s="537"/>
      <c r="PTB31" s="537"/>
      <c r="PTC31" s="537"/>
      <c r="PTD31" s="537"/>
      <c r="PTE31" s="537"/>
      <c r="PTF31" s="537"/>
      <c r="PTG31" s="537"/>
      <c r="PTH31" s="537"/>
      <c r="PTI31" s="537"/>
      <c r="PTJ31" s="537"/>
      <c r="PTK31" s="537"/>
      <c r="PTL31" s="537"/>
      <c r="PTM31" s="537"/>
      <c r="PTN31" s="537"/>
      <c r="PTO31" s="537"/>
      <c r="PTP31" s="537"/>
      <c r="PTQ31" s="537"/>
      <c r="PTR31" s="537"/>
      <c r="PTS31" s="537"/>
      <c r="PTT31" s="537"/>
      <c r="PTU31" s="537"/>
      <c r="PTV31" s="537"/>
      <c r="PTW31" s="537"/>
      <c r="PTX31" s="537"/>
      <c r="PTY31" s="537"/>
      <c r="PTZ31" s="537"/>
      <c r="PUA31" s="537"/>
      <c r="PUB31" s="537"/>
      <c r="PUC31" s="537"/>
      <c r="PUD31" s="537"/>
      <c r="PUE31" s="537"/>
      <c r="PUF31" s="537"/>
      <c r="PUG31" s="537"/>
      <c r="PUH31" s="537"/>
      <c r="PUI31" s="537"/>
      <c r="PUJ31" s="537"/>
      <c r="PUK31" s="537"/>
      <c r="PUL31" s="537"/>
      <c r="PUM31" s="537"/>
      <c r="PUN31" s="537"/>
      <c r="PUO31" s="537"/>
      <c r="PUP31" s="537"/>
      <c r="PUQ31" s="537"/>
      <c r="PUR31" s="537"/>
      <c r="PUS31" s="537"/>
      <c r="PUT31" s="537"/>
      <c r="PUU31" s="537"/>
      <c r="PUV31" s="537"/>
      <c r="PUW31" s="537"/>
      <c r="PUX31" s="537"/>
      <c r="PUY31" s="537"/>
      <c r="PUZ31" s="537"/>
      <c r="PVA31" s="537"/>
      <c r="PVB31" s="537"/>
      <c r="PVC31" s="537"/>
      <c r="PVD31" s="537"/>
      <c r="PVE31" s="537"/>
      <c r="PVF31" s="537"/>
      <c r="PVG31" s="537"/>
      <c r="PVH31" s="537"/>
      <c r="PVI31" s="537"/>
      <c r="PVJ31" s="537"/>
      <c r="PVK31" s="537"/>
      <c r="PVL31" s="537"/>
      <c r="PVM31" s="537"/>
      <c r="PVN31" s="537"/>
      <c r="PVO31" s="537"/>
      <c r="PVP31" s="537"/>
      <c r="PVQ31" s="537"/>
      <c r="PVR31" s="537"/>
      <c r="PVS31" s="537"/>
      <c r="PVT31" s="537"/>
      <c r="PVU31" s="537"/>
      <c r="PVV31" s="537"/>
      <c r="PVW31" s="537"/>
      <c r="PVX31" s="537"/>
      <c r="PVY31" s="537"/>
      <c r="PVZ31" s="537"/>
      <c r="PWA31" s="537"/>
      <c r="PWB31" s="537"/>
      <c r="PWC31" s="537"/>
      <c r="PWD31" s="537"/>
      <c r="PWE31" s="537"/>
      <c r="PWF31" s="537"/>
      <c r="PWG31" s="537"/>
      <c r="PWH31" s="537"/>
      <c r="PWI31" s="537"/>
      <c r="PWJ31" s="537"/>
      <c r="PWK31" s="537"/>
      <c r="PWL31" s="537"/>
      <c r="PWM31" s="537"/>
      <c r="PWN31" s="537"/>
      <c r="PWO31" s="537"/>
      <c r="PWP31" s="537"/>
      <c r="PWQ31" s="537"/>
      <c r="PWR31" s="537"/>
      <c r="PWS31" s="537"/>
      <c r="PWT31" s="537"/>
      <c r="PWU31" s="537"/>
      <c r="PWV31" s="537"/>
      <c r="PWW31" s="537"/>
      <c r="PWX31" s="537"/>
      <c r="PWY31" s="537"/>
      <c r="PWZ31" s="537"/>
      <c r="PXA31" s="537"/>
      <c r="PXB31" s="537"/>
      <c r="PXC31" s="537"/>
      <c r="PXD31" s="537"/>
      <c r="PXE31" s="537"/>
      <c r="PXF31" s="537"/>
      <c r="PXG31" s="537"/>
      <c r="PXH31" s="537"/>
      <c r="PXI31" s="537"/>
      <c r="PXJ31" s="537"/>
      <c r="PXK31" s="537"/>
      <c r="PXL31" s="537"/>
      <c r="PXM31" s="537"/>
      <c r="PXN31" s="537"/>
      <c r="PXO31" s="537"/>
      <c r="PXP31" s="537"/>
      <c r="PXQ31" s="537"/>
      <c r="PXR31" s="537"/>
      <c r="PXS31" s="537"/>
      <c r="PXT31" s="537"/>
      <c r="PXU31" s="537"/>
      <c r="PXV31" s="537"/>
      <c r="PXW31" s="537"/>
      <c r="PXX31" s="537"/>
      <c r="PXY31" s="537"/>
      <c r="PXZ31" s="537"/>
      <c r="PYA31" s="537"/>
      <c r="PYB31" s="537"/>
      <c r="PYC31" s="537"/>
      <c r="PYD31" s="537"/>
      <c r="PYE31" s="537"/>
      <c r="PYF31" s="537"/>
      <c r="PYG31" s="537"/>
      <c r="PYH31" s="537"/>
      <c r="PYI31" s="537"/>
      <c r="PYJ31" s="537"/>
      <c r="PYK31" s="537"/>
      <c r="PYL31" s="537"/>
      <c r="PYM31" s="537"/>
      <c r="PYN31" s="537"/>
      <c r="PYO31" s="537"/>
      <c r="PYP31" s="537"/>
      <c r="PYQ31" s="537"/>
      <c r="PYR31" s="537"/>
      <c r="PYS31" s="537"/>
      <c r="PYT31" s="537"/>
      <c r="PYU31" s="537"/>
      <c r="PYV31" s="537"/>
      <c r="PYW31" s="537"/>
      <c r="PYX31" s="537"/>
      <c r="PYY31" s="537"/>
      <c r="PYZ31" s="537"/>
      <c r="PZA31" s="537"/>
      <c r="PZB31" s="537"/>
      <c r="PZC31" s="537"/>
      <c r="PZD31" s="537"/>
      <c r="PZE31" s="537"/>
      <c r="PZF31" s="537"/>
      <c r="PZG31" s="537"/>
      <c r="PZH31" s="537"/>
      <c r="PZI31" s="537"/>
      <c r="PZJ31" s="537"/>
      <c r="PZK31" s="537"/>
      <c r="PZL31" s="537"/>
      <c r="PZM31" s="537"/>
      <c r="PZN31" s="537"/>
      <c r="PZO31" s="537"/>
      <c r="PZP31" s="537"/>
      <c r="PZQ31" s="537"/>
      <c r="PZR31" s="537"/>
      <c r="PZS31" s="537"/>
      <c r="PZT31" s="537"/>
      <c r="PZU31" s="537"/>
      <c r="PZV31" s="537"/>
      <c r="PZW31" s="537"/>
      <c r="PZX31" s="537"/>
      <c r="PZY31" s="537"/>
      <c r="PZZ31" s="537"/>
      <c r="QAA31" s="537"/>
      <c r="QAB31" s="537"/>
      <c r="QAC31" s="537"/>
      <c r="QAD31" s="537"/>
      <c r="QAE31" s="537"/>
      <c r="QAF31" s="537"/>
      <c r="QAG31" s="537"/>
      <c r="QAH31" s="537"/>
      <c r="QAI31" s="537"/>
      <c r="QAJ31" s="537"/>
      <c r="QAK31" s="537"/>
      <c r="QAL31" s="537"/>
      <c r="QAM31" s="537"/>
      <c r="QAN31" s="537"/>
      <c r="QAO31" s="537"/>
      <c r="QAP31" s="537"/>
      <c r="QAQ31" s="537"/>
      <c r="QAR31" s="537"/>
      <c r="QAS31" s="537"/>
      <c r="QAT31" s="537"/>
      <c r="QAU31" s="537"/>
      <c r="QAV31" s="537"/>
      <c r="QAW31" s="537"/>
      <c r="QAX31" s="537"/>
      <c r="QAY31" s="537"/>
      <c r="QAZ31" s="537"/>
      <c r="QBA31" s="537"/>
      <c r="QBB31" s="537"/>
      <c r="QBC31" s="537"/>
      <c r="QBD31" s="537"/>
      <c r="QBE31" s="537"/>
      <c r="QBF31" s="537"/>
      <c r="QBG31" s="537"/>
      <c r="QBH31" s="537"/>
      <c r="QBI31" s="537"/>
      <c r="QBJ31" s="537"/>
      <c r="QBK31" s="537"/>
      <c r="QBL31" s="537"/>
      <c r="QBM31" s="537"/>
      <c r="QBN31" s="537"/>
      <c r="QBO31" s="537"/>
      <c r="QBP31" s="537"/>
      <c r="QBQ31" s="537"/>
      <c r="QBR31" s="537"/>
      <c r="QBS31" s="537"/>
      <c r="QBT31" s="537"/>
      <c r="QBU31" s="537"/>
      <c r="QBV31" s="537"/>
      <c r="QBW31" s="537"/>
      <c r="QBX31" s="537"/>
      <c r="QBY31" s="537"/>
      <c r="QBZ31" s="537"/>
      <c r="QCA31" s="537"/>
      <c r="QCB31" s="537"/>
      <c r="QCC31" s="537"/>
      <c r="QCD31" s="537"/>
      <c r="QCE31" s="537"/>
      <c r="QCF31" s="537"/>
      <c r="QCG31" s="537"/>
      <c r="QCH31" s="537"/>
      <c r="QCI31" s="537"/>
      <c r="QCJ31" s="537"/>
      <c r="QCK31" s="537"/>
      <c r="QCL31" s="537"/>
      <c r="QCM31" s="537"/>
      <c r="QCN31" s="537"/>
      <c r="QCO31" s="537"/>
      <c r="QCP31" s="537"/>
      <c r="QCQ31" s="537"/>
      <c r="QCR31" s="537"/>
      <c r="QCS31" s="537"/>
      <c r="QCT31" s="537"/>
      <c r="QCU31" s="537"/>
      <c r="QCV31" s="537"/>
      <c r="QCW31" s="537"/>
      <c r="QCX31" s="537"/>
      <c r="QCY31" s="537"/>
      <c r="QCZ31" s="537"/>
      <c r="QDA31" s="537"/>
      <c r="QDB31" s="537"/>
      <c r="QDC31" s="537"/>
      <c r="QDD31" s="537"/>
      <c r="QDE31" s="537"/>
      <c r="QDF31" s="537"/>
      <c r="QDG31" s="537"/>
      <c r="QDH31" s="537"/>
      <c r="QDI31" s="537"/>
      <c r="QDJ31" s="537"/>
      <c r="QDK31" s="537"/>
      <c r="QDL31" s="537"/>
      <c r="QDM31" s="537"/>
      <c r="QDN31" s="537"/>
      <c r="QDO31" s="537"/>
      <c r="QDP31" s="537"/>
      <c r="QDQ31" s="537"/>
      <c r="QDR31" s="537"/>
      <c r="QDS31" s="537"/>
      <c r="QDT31" s="537"/>
      <c r="QDU31" s="537"/>
      <c r="QDV31" s="537"/>
      <c r="QDW31" s="537"/>
      <c r="QDX31" s="537"/>
      <c r="QDY31" s="537"/>
      <c r="QDZ31" s="537"/>
      <c r="QEA31" s="537"/>
      <c r="QEB31" s="537"/>
      <c r="QEC31" s="537"/>
      <c r="QED31" s="537"/>
      <c r="QEE31" s="537"/>
      <c r="QEF31" s="537"/>
      <c r="QEG31" s="537"/>
      <c r="QEH31" s="537"/>
      <c r="QEI31" s="537"/>
      <c r="QEJ31" s="537"/>
      <c r="QEK31" s="537"/>
      <c r="QEL31" s="537"/>
      <c r="QEM31" s="537"/>
      <c r="QEN31" s="537"/>
      <c r="QEO31" s="537"/>
      <c r="QEP31" s="537"/>
      <c r="QEQ31" s="537"/>
      <c r="QER31" s="537"/>
      <c r="QES31" s="537"/>
      <c r="QET31" s="537"/>
      <c r="QEU31" s="537"/>
      <c r="QEV31" s="537"/>
      <c r="QEW31" s="537"/>
      <c r="QEX31" s="537"/>
      <c r="QEY31" s="537"/>
      <c r="QEZ31" s="537"/>
      <c r="QFA31" s="537"/>
      <c r="QFB31" s="537"/>
      <c r="QFC31" s="537"/>
      <c r="QFD31" s="537"/>
      <c r="QFE31" s="537"/>
      <c r="QFF31" s="537"/>
      <c r="QFG31" s="537"/>
      <c r="QFH31" s="537"/>
      <c r="QFI31" s="537"/>
      <c r="QFJ31" s="537"/>
      <c r="QFK31" s="537"/>
      <c r="QFL31" s="537"/>
      <c r="QFM31" s="537"/>
      <c r="QFN31" s="537"/>
      <c r="QFO31" s="537"/>
      <c r="QFP31" s="537"/>
      <c r="QFQ31" s="537"/>
      <c r="QFR31" s="537"/>
      <c r="QFS31" s="537"/>
      <c r="QFT31" s="537"/>
      <c r="QFU31" s="537"/>
      <c r="QFV31" s="537"/>
      <c r="QFW31" s="537"/>
      <c r="QFX31" s="537"/>
      <c r="QFY31" s="537"/>
      <c r="QFZ31" s="537"/>
      <c r="QGA31" s="537"/>
      <c r="QGB31" s="537"/>
      <c r="QGC31" s="537"/>
      <c r="QGD31" s="537"/>
      <c r="QGE31" s="537"/>
      <c r="QGF31" s="537"/>
      <c r="QGG31" s="537"/>
      <c r="QGH31" s="537"/>
      <c r="QGI31" s="537"/>
      <c r="QGJ31" s="537"/>
      <c r="QGK31" s="537"/>
      <c r="QGL31" s="537"/>
      <c r="QGM31" s="537"/>
      <c r="QGN31" s="537"/>
      <c r="QGO31" s="537"/>
      <c r="QGP31" s="537"/>
      <c r="QGQ31" s="537"/>
      <c r="QGR31" s="537"/>
      <c r="QGS31" s="537"/>
      <c r="QGT31" s="537"/>
      <c r="QGU31" s="537"/>
      <c r="QGV31" s="537"/>
      <c r="QGW31" s="537"/>
      <c r="QGX31" s="537"/>
      <c r="QGY31" s="537"/>
      <c r="QGZ31" s="537"/>
      <c r="QHA31" s="537"/>
      <c r="QHB31" s="537"/>
      <c r="QHC31" s="537"/>
      <c r="QHD31" s="537"/>
      <c r="QHE31" s="537"/>
      <c r="QHF31" s="537"/>
      <c r="QHG31" s="537"/>
      <c r="QHH31" s="537"/>
      <c r="QHI31" s="537"/>
      <c r="QHJ31" s="537"/>
      <c r="QHK31" s="537"/>
      <c r="QHL31" s="537"/>
      <c r="QHM31" s="537"/>
      <c r="QHN31" s="537"/>
      <c r="QHO31" s="537"/>
      <c r="QHP31" s="537"/>
      <c r="QHQ31" s="537"/>
      <c r="QHR31" s="537"/>
      <c r="QHS31" s="537"/>
      <c r="QHT31" s="537"/>
      <c r="QHU31" s="537"/>
      <c r="QHV31" s="537"/>
      <c r="QHW31" s="537"/>
      <c r="QHX31" s="537"/>
      <c r="QHY31" s="537"/>
      <c r="QHZ31" s="537"/>
      <c r="QIA31" s="537"/>
      <c r="QIB31" s="537"/>
      <c r="QIC31" s="537"/>
      <c r="QID31" s="537"/>
      <c r="QIE31" s="537"/>
      <c r="QIF31" s="537"/>
      <c r="QIG31" s="537"/>
      <c r="QIH31" s="537"/>
      <c r="QII31" s="537"/>
      <c r="QIJ31" s="537"/>
      <c r="QIK31" s="537"/>
      <c r="QIL31" s="537"/>
      <c r="QIM31" s="537"/>
      <c r="QIN31" s="537"/>
      <c r="QIO31" s="537"/>
      <c r="QIP31" s="537"/>
      <c r="QIQ31" s="537"/>
      <c r="QIR31" s="537"/>
      <c r="QIS31" s="537"/>
      <c r="QIT31" s="537"/>
      <c r="QIU31" s="537"/>
      <c r="QIV31" s="537"/>
      <c r="QIW31" s="537"/>
      <c r="QIX31" s="537"/>
      <c r="QIY31" s="537"/>
      <c r="QIZ31" s="537"/>
      <c r="QJA31" s="537"/>
      <c r="QJB31" s="537"/>
      <c r="QJC31" s="537"/>
      <c r="QJD31" s="537"/>
      <c r="QJE31" s="537"/>
      <c r="QJF31" s="537"/>
      <c r="QJG31" s="537"/>
      <c r="QJH31" s="537"/>
      <c r="QJI31" s="537"/>
      <c r="QJJ31" s="537"/>
      <c r="QJK31" s="537"/>
      <c r="QJL31" s="537"/>
      <c r="QJM31" s="537"/>
      <c r="QJN31" s="537"/>
      <c r="QJO31" s="537"/>
      <c r="QJP31" s="537"/>
      <c r="QJQ31" s="537"/>
      <c r="QJR31" s="537"/>
      <c r="QJS31" s="537"/>
      <c r="QJT31" s="537"/>
      <c r="QJU31" s="537"/>
      <c r="QJV31" s="537"/>
      <c r="QJW31" s="537"/>
      <c r="QJX31" s="537"/>
      <c r="QJY31" s="537"/>
      <c r="QJZ31" s="537"/>
      <c r="QKA31" s="537"/>
      <c r="QKB31" s="537"/>
      <c r="QKC31" s="537"/>
      <c r="QKD31" s="537"/>
      <c r="QKE31" s="537"/>
      <c r="QKF31" s="537"/>
      <c r="QKG31" s="537"/>
      <c r="QKH31" s="537"/>
      <c r="QKI31" s="537"/>
      <c r="QKJ31" s="537"/>
      <c r="QKK31" s="537"/>
      <c r="QKL31" s="537"/>
      <c r="QKM31" s="537"/>
      <c r="QKN31" s="537"/>
      <c r="QKO31" s="537"/>
      <c r="QKP31" s="537"/>
      <c r="QKQ31" s="537"/>
      <c r="QKR31" s="537"/>
      <c r="QKS31" s="537"/>
      <c r="QKT31" s="537"/>
      <c r="QKU31" s="537"/>
      <c r="QKV31" s="537"/>
      <c r="QKW31" s="537"/>
      <c r="QKX31" s="537"/>
      <c r="QKY31" s="537"/>
      <c r="QKZ31" s="537"/>
      <c r="QLA31" s="537"/>
      <c r="QLB31" s="537"/>
      <c r="QLC31" s="537"/>
      <c r="QLD31" s="537"/>
      <c r="QLE31" s="537"/>
      <c r="QLF31" s="537"/>
      <c r="QLG31" s="537"/>
      <c r="QLH31" s="537"/>
      <c r="QLI31" s="537"/>
      <c r="QLJ31" s="537"/>
      <c r="QLK31" s="537"/>
      <c r="QLL31" s="537"/>
      <c r="QLM31" s="537"/>
      <c r="QLN31" s="537"/>
      <c r="QLO31" s="537"/>
      <c r="QLP31" s="537"/>
      <c r="QLQ31" s="537"/>
      <c r="QLR31" s="537"/>
      <c r="QLS31" s="537"/>
      <c r="QLT31" s="537"/>
      <c r="QLU31" s="537"/>
      <c r="QLV31" s="537"/>
      <c r="QLW31" s="537"/>
      <c r="QLX31" s="537"/>
      <c r="QLY31" s="537"/>
      <c r="QLZ31" s="537"/>
      <c r="QMA31" s="537"/>
      <c r="QMB31" s="537"/>
      <c r="QMC31" s="537"/>
      <c r="QMD31" s="537"/>
      <c r="QME31" s="537"/>
      <c r="QMF31" s="537"/>
      <c r="QMG31" s="537"/>
      <c r="QMH31" s="537"/>
      <c r="QMI31" s="537"/>
      <c r="QMJ31" s="537"/>
      <c r="QMK31" s="537"/>
      <c r="QML31" s="537"/>
      <c r="QMM31" s="537"/>
      <c r="QMN31" s="537"/>
      <c r="QMO31" s="537"/>
      <c r="QMP31" s="537"/>
      <c r="QMQ31" s="537"/>
      <c r="QMR31" s="537"/>
      <c r="QMS31" s="537"/>
      <c r="QMT31" s="537"/>
      <c r="QMU31" s="537"/>
      <c r="QMV31" s="537"/>
      <c r="QMW31" s="537"/>
      <c r="QMX31" s="537"/>
      <c r="QMY31" s="537"/>
      <c r="QMZ31" s="537"/>
      <c r="QNA31" s="537"/>
      <c r="QNB31" s="537"/>
      <c r="QNC31" s="537"/>
      <c r="QND31" s="537"/>
      <c r="QNE31" s="537"/>
      <c r="QNF31" s="537"/>
      <c r="QNG31" s="537"/>
      <c r="QNH31" s="537"/>
      <c r="QNI31" s="537"/>
      <c r="QNJ31" s="537"/>
      <c r="QNK31" s="537"/>
      <c r="QNL31" s="537"/>
      <c r="QNM31" s="537"/>
      <c r="QNN31" s="537"/>
      <c r="QNO31" s="537"/>
      <c r="QNP31" s="537"/>
      <c r="QNQ31" s="537"/>
      <c r="QNR31" s="537"/>
      <c r="QNS31" s="537"/>
      <c r="QNT31" s="537"/>
      <c r="QNU31" s="537"/>
      <c r="QNV31" s="537"/>
      <c r="QNW31" s="537"/>
      <c r="QNX31" s="537"/>
      <c r="QNY31" s="537"/>
      <c r="QNZ31" s="537"/>
      <c r="QOA31" s="537"/>
      <c r="QOB31" s="537"/>
      <c r="QOC31" s="537"/>
      <c r="QOD31" s="537"/>
      <c r="QOE31" s="537"/>
      <c r="QOF31" s="537"/>
      <c r="QOG31" s="537"/>
      <c r="QOH31" s="537"/>
      <c r="QOI31" s="537"/>
      <c r="QOJ31" s="537"/>
      <c r="QOK31" s="537"/>
      <c r="QOL31" s="537"/>
      <c r="QOM31" s="537"/>
      <c r="QON31" s="537"/>
      <c r="QOO31" s="537"/>
      <c r="QOP31" s="537"/>
      <c r="QOQ31" s="537"/>
      <c r="QOR31" s="537"/>
      <c r="QOS31" s="537"/>
      <c r="QOT31" s="537"/>
      <c r="QOU31" s="537"/>
      <c r="QOV31" s="537"/>
      <c r="QOW31" s="537"/>
      <c r="QOX31" s="537"/>
      <c r="QOY31" s="537"/>
      <c r="QOZ31" s="537"/>
      <c r="QPA31" s="537"/>
      <c r="QPB31" s="537"/>
      <c r="QPC31" s="537"/>
      <c r="QPD31" s="537"/>
      <c r="QPE31" s="537"/>
      <c r="QPF31" s="537"/>
      <c r="QPG31" s="537"/>
      <c r="QPH31" s="537"/>
      <c r="QPI31" s="537"/>
      <c r="QPJ31" s="537"/>
      <c r="QPK31" s="537"/>
      <c r="QPL31" s="537"/>
      <c r="QPM31" s="537"/>
      <c r="QPN31" s="537"/>
      <c r="QPO31" s="537"/>
      <c r="QPP31" s="537"/>
      <c r="QPQ31" s="537"/>
      <c r="QPR31" s="537"/>
      <c r="QPS31" s="537"/>
      <c r="QPT31" s="537"/>
      <c r="QPU31" s="537"/>
      <c r="QPV31" s="537"/>
      <c r="QPW31" s="537"/>
      <c r="QPX31" s="537"/>
      <c r="QPY31" s="537"/>
      <c r="QPZ31" s="537"/>
      <c r="QQA31" s="537"/>
      <c r="QQB31" s="537"/>
      <c r="QQC31" s="537"/>
      <c r="QQD31" s="537"/>
      <c r="QQE31" s="537"/>
      <c r="QQF31" s="537"/>
      <c r="QQG31" s="537"/>
      <c r="QQH31" s="537"/>
      <c r="QQI31" s="537"/>
      <c r="QQJ31" s="537"/>
      <c r="QQK31" s="537"/>
      <c r="QQL31" s="537"/>
      <c r="QQM31" s="537"/>
      <c r="QQN31" s="537"/>
      <c r="QQO31" s="537"/>
      <c r="QQP31" s="537"/>
      <c r="QQQ31" s="537"/>
      <c r="QQR31" s="537"/>
      <c r="QQS31" s="537"/>
      <c r="QQT31" s="537"/>
      <c r="QQU31" s="537"/>
      <c r="QQV31" s="537"/>
      <c r="QQW31" s="537"/>
      <c r="QQX31" s="537"/>
      <c r="QQY31" s="537"/>
      <c r="QQZ31" s="537"/>
      <c r="QRA31" s="537"/>
      <c r="QRB31" s="537"/>
      <c r="QRC31" s="537"/>
      <c r="QRD31" s="537"/>
      <c r="QRE31" s="537"/>
      <c r="QRF31" s="537"/>
      <c r="QRG31" s="537"/>
      <c r="QRH31" s="537"/>
      <c r="QRI31" s="537"/>
      <c r="QRJ31" s="537"/>
      <c r="QRK31" s="537"/>
      <c r="QRL31" s="537"/>
      <c r="QRM31" s="537"/>
      <c r="QRN31" s="537"/>
      <c r="QRO31" s="537"/>
      <c r="QRP31" s="537"/>
      <c r="QRQ31" s="537"/>
      <c r="QRR31" s="537"/>
      <c r="QRS31" s="537"/>
      <c r="QRT31" s="537"/>
      <c r="QRU31" s="537"/>
      <c r="QRV31" s="537"/>
      <c r="QRW31" s="537"/>
      <c r="QRX31" s="537"/>
      <c r="QRY31" s="537"/>
      <c r="QRZ31" s="537"/>
      <c r="QSA31" s="537"/>
      <c r="QSB31" s="537"/>
      <c r="QSC31" s="537"/>
      <c r="QSD31" s="537"/>
      <c r="QSE31" s="537"/>
      <c r="QSF31" s="537"/>
      <c r="QSG31" s="537"/>
      <c r="QSH31" s="537"/>
      <c r="QSI31" s="537"/>
      <c r="QSJ31" s="537"/>
      <c r="QSK31" s="537"/>
      <c r="QSL31" s="537"/>
      <c r="QSM31" s="537"/>
      <c r="QSN31" s="537"/>
      <c r="QSO31" s="537"/>
      <c r="QSP31" s="537"/>
      <c r="QSQ31" s="537"/>
      <c r="QSR31" s="537"/>
      <c r="QSS31" s="537"/>
      <c r="QST31" s="537"/>
      <c r="QSU31" s="537"/>
      <c r="QSV31" s="537"/>
      <c r="QSW31" s="537"/>
      <c r="QSX31" s="537"/>
      <c r="QSY31" s="537"/>
      <c r="QSZ31" s="537"/>
      <c r="QTA31" s="537"/>
      <c r="QTB31" s="537"/>
      <c r="QTC31" s="537"/>
      <c r="QTD31" s="537"/>
      <c r="QTE31" s="537"/>
      <c r="QTF31" s="537"/>
      <c r="QTG31" s="537"/>
      <c r="QTH31" s="537"/>
      <c r="QTI31" s="537"/>
      <c r="QTJ31" s="537"/>
      <c r="QTK31" s="537"/>
      <c r="QTL31" s="537"/>
      <c r="QTM31" s="537"/>
      <c r="QTN31" s="537"/>
      <c r="QTO31" s="537"/>
      <c r="QTP31" s="537"/>
      <c r="QTQ31" s="537"/>
      <c r="QTR31" s="537"/>
      <c r="QTS31" s="537"/>
      <c r="QTT31" s="537"/>
      <c r="QTU31" s="537"/>
      <c r="QTV31" s="537"/>
      <c r="QTW31" s="537"/>
      <c r="QTX31" s="537"/>
      <c r="QTY31" s="537"/>
      <c r="QTZ31" s="537"/>
      <c r="QUA31" s="537"/>
      <c r="QUB31" s="537"/>
      <c r="QUC31" s="537"/>
      <c r="QUD31" s="537"/>
      <c r="QUE31" s="537"/>
      <c r="QUF31" s="537"/>
      <c r="QUG31" s="537"/>
      <c r="QUH31" s="537"/>
      <c r="QUI31" s="537"/>
      <c r="QUJ31" s="537"/>
      <c r="QUK31" s="537"/>
      <c r="QUL31" s="537"/>
      <c r="QUM31" s="537"/>
      <c r="QUN31" s="537"/>
      <c r="QUO31" s="537"/>
      <c r="QUP31" s="537"/>
      <c r="QUQ31" s="537"/>
      <c r="QUR31" s="537"/>
      <c r="QUS31" s="537"/>
      <c r="QUT31" s="537"/>
      <c r="QUU31" s="537"/>
      <c r="QUV31" s="537"/>
      <c r="QUW31" s="537"/>
      <c r="QUX31" s="537"/>
      <c r="QUY31" s="537"/>
      <c r="QUZ31" s="537"/>
      <c r="QVA31" s="537"/>
      <c r="QVB31" s="537"/>
      <c r="QVC31" s="537"/>
      <c r="QVD31" s="537"/>
      <c r="QVE31" s="537"/>
      <c r="QVF31" s="537"/>
      <c r="QVG31" s="537"/>
      <c r="QVH31" s="537"/>
      <c r="QVI31" s="537"/>
      <c r="QVJ31" s="537"/>
      <c r="QVK31" s="537"/>
      <c r="QVL31" s="537"/>
      <c r="QVM31" s="537"/>
      <c r="QVN31" s="537"/>
      <c r="QVO31" s="537"/>
      <c r="QVP31" s="537"/>
      <c r="QVQ31" s="537"/>
      <c r="QVR31" s="537"/>
      <c r="QVS31" s="537"/>
      <c r="QVT31" s="537"/>
      <c r="QVU31" s="537"/>
      <c r="QVV31" s="537"/>
      <c r="QVW31" s="537"/>
      <c r="QVX31" s="537"/>
      <c r="QVY31" s="537"/>
      <c r="QVZ31" s="537"/>
      <c r="QWA31" s="537"/>
      <c r="QWB31" s="537"/>
      <c r="QWC31" s="537"/>
      <c r="QWD31" s="537"/>
      <c r="QWE31" s="537"/>
      <c r="QWF31" s="537"/>
      <c r="QWG31" s="537"/>
      <c r="QWH31" s="537"/>
      <c r="QWI31" s="537"/>
      <c r="QWJ31" s="537"/>
      <c r="QWK31" s="537"/>
      <c r="QWL31" s="537"/>
      <c r="QWM31" s="537"/>
      <c r="QWN31" s="537"/>
      <c r="QWO31" s="537"/>
      <c r="QWP31" s="537"/>
      <c r="QWQ31" s="537"/>
      <c r="QWR31" s="537"/>
      <c r="QWS31" s="537"/>
      <c r="QWT31" s="537"/>
      <c r="QWU31" s="537"/>
      <c r="QWV31" s="537"/>
      <c r="QWW31" s="537"/>
      <c r="QWX31" s="537"/>
      <c r="QWY31" s="537"/>
      <c r="QWZ31" s="537"/>
      <c r="QXA31" s="537"/>
      <c r="QXB31" s="537"/>
      <c r="QXC31" s="537"/>
      <c r="QXD31" s="537"/>
      <c r="QXE31" s="537"/>
      <c r="QXF31" s="537"/>
      <c r="QXG31" s="537"/>
      <c r="QXH31" s="537"/>
      <c r="QXI31" s="537"/>
      <c r="QXJ31" s="537"/>
      <c r="QXK31" s="537"/>
      <c r="QXL31" s="537"/>
      <c r="QXM31" s="537"/>
      <c r="QXN31" s="537"/>
      <c r="QXO31" s="537"/>
      <c r="QXP31" s="537"/>
      <c r="QXQ31" s="537"/>
      <c r="QXR31" s="537"/>
      <c r="QXS31" s="537"/>
      <c r="QXT31" s="537"/>
      <c r="QXU31" s="537"/>
      <c r="QXV31" s="537"/>
      <c r="QXW31" s="537"/>
      <c r="QXX31" s="537"/>
      <c r="QXY31" s="537"/>
      <c r="QXZ31" s="537"/>
      <c r="QYA31" s="537"/>
      <c r="QYB31" s="537"/>
      <c r="QYC31" s="537"/>
      <c r="QYD31" s="537"/>
      <c r="QYE31" s="537"/>
      <c r="QYF31" s="537"/>
      <c r="QYG31" s="537"/>
      <c r="QYH31" s="537"/>
      <c r="QYI31" s="537"/>
      <c r="QYJ31" s="537"/>
      <c r="QYK31" s="537"/>
      <c r="QYL31" s="537"/>
      <c r="QYM31" s="537"/>
      <c r="QYN31" s="537"/>
      <c r="QYO31" s="537"/>
      <c r="QYP31" s="537"/>
      <c r="QYQ31" s="537"/>
      <c r="QYR31" s="537"/>
      <c r="QYS31" s="537"/>
      <c r="QYT31" s="537"/>
      <c r="QYU31" s="537"/>
      <c r="QYV31" s="537"/>
      <c r="QYW31" s="537"/>
      <c r="QYX31" s="537"/>
      <c r="QYY31" s="537"/>
      <c r="QYZ31" s="537"/>
      <c r="QZA31" s="537"/>
      <c r="QZB31" s="537"/>
      <c r="QZC31" s="537"/>
      <c r="QZD31" s="537"/>
      <c r="QZE31" s="537"/>
      <c r="QZF31" s="537"/>
      <c r="QZG31" s="537"/>
      <c r="QZH31" s="537"/>
      <c r="QZI31" s="537"/>
      <c r="QZJ31" s="537"/>
      <c r="QZK31" s="537"/>
      <c r="QZL31" s="537"/>
      <c r="QZM31" s="537"/>
      <c r="QZN31" s="537"/>
      <c r="QZO31" s="537"/>
      <c r="QZP31" s="537"/>
      <c r="QZQ31" s="537"/>
      <c r="QZR31" s="537"/>
      <c r="QZS31" s="537"/>
      <c r="QZT31" s="537"/>
      <c r="QZU31" s="537"/>
      <c r="QZV31" s="537"/>
      <c r="QZW31" s="537"/>
      <c r="QZX31" s="537"/>
      <c r="QZY31" s="537"/>
      <c r="QZZ31" s="537"/>
      <c r="RAA31" s="537"/>
      <c r="RAB31" s="537"/>
      <c r="RAC31" s="537"/>
      <c r="RAD31" s="537"/>
      <c r="RAE31" s="537"/>
      <c r="RAF31" s="537"/>
      <c r="RAG31" s="537"/>
      <c r="RAH31" s="537"/>
      <c r="RAI31" s="537"/>
      <c r="RAJ31" s="537"/>
      <c r="RAK31" s="537"/>
      <c r="RAL31" s="537"/>
      <c r="RAM31" s="537"/>
      <c r="RAN31" s="537"/>
      <c r="RAO31" s="537"/>
      <c r="RAP31" s="537"/>
      <c r="RAQ31" s="537"/>
      <c r="RAR31" s="537"/>
      <c r="RAS31" s="537"/>
      <c r="RAT31" s="537"/>
      <c r="RAU31" s="537"/>
      <c r="RAV31" s="537"/>
      <c r="RAW31" s="537"/>
      <c r="RAX31" s="537"/>
      <c r="RAY31" s="537"/>
      <c r="RAZ31" s="537"/>
      <c r="RBA31" s="537"/>
      <c r="RBB31" s="537"/>
      <c r="RBC31" s="537"/>
      <c r="RBD31" s="537"/>
      <c r="RBE31" s="537"/>
      <c r="RBF31" s="537"/>
      <c r="RBG31" s="537"/>
      <c r="RBH31" s="537"/>
      <c r="RBI31" s="537"/>
      <c r="RBJ31" s="537"/>
      <c r="RBK31" s="537"/>
      <c r="RBL31" s="537"/>
      <c r="RBM31" s="537"/>
      <c r="RBN31" s="537"/>
      <c r="RBO31" s="537"/>
      <c r="RBP31" s="537"/>
      <c r="RBQ31" s="537"/>
      <c r="RBR31" s="537"/>
      <c r="RBS31" s="537"/>
      <c r="RBT31" s="537"/>
      <c r="RBU31" s="537"/>
      <c r="RBV31" s="537"/>
      <c r="RBW31" s="537"/>
      <c r="RBX31" s="537"/>
      <c r="RBY31" s="537"/>
      <c r="RBZ31" s="537"/>
      <c r="RCA31" s="537"/>
      <c r="RCB31" s="537"/>
      <c r="RCC31" s="537"/>
      <c r="RCD31" s="537"/>
      <c r="RCE31" s="537"/>
      <c r="RCF31" s="537"/>
      <c r="RCG31" s="537"/>
      <c r="RCH31" s="537"/>
      <c r="RCI31" s="537"/>
      <c r="RCJ31" s="537"/>
      <c r="RCK31" s="537"/>
      <c r="RCL31" s="537"/>
      <c r="RCM31" s="537"/>
      <c r="RCN31" s="537"/>
      <c r="RCO31" s="537"/>
      <c r="RCP31" s="537"/>
      <c r="RCQ31" s="537"/>
      <c r="RCR31" s="537"/>
      <c r="RCS31" s="537"/>
      <c r="RCT31" s="537"/>
      <c r="RCU31" s="537"/>
      <c r="RCV31" s="537"/>
      <c r="RCW31" s="537"/>
      <c r="RCX31" s="537"/>
      <c r="RCY31" s="537"/>
      <c r="RCZ31" s="537"/>
      <c r="RDA31" s="537"/>
      <c r="RDB31" s="537"/>
      <c r="RDC31" s="537"/>
      <c r="RDD31" s="537"/>
      <c r="RDE31" s="537"/>
      <c r="RDF31" s="537"/>
      <c r="RDG31" s="537"/>
      <c r="RDH31" s="537"/>
      <c r="RDI31" s="537"/>
      <c r="RDJ31" s="537"/>
      <c r="RDK31" s="537"/>
      <c r="RDL31" s="537"/>
      <c r="RDM31" s="537"/>
      <c r="RDN31" s="537"/>
      <c r="RDO31" s="537"/>
      <c r="RDP31" s="537"/>
      <c r="RDQ31" s="537"/>
      <c r="RDR31" s="537"/>
      <c r="RDS31" s="537"/>
      <c r="RDT31" s="537"/>
      <c r="RDU31" s="537"/>
      <c r="RDV31" s="537"/>
      <c r="RDW31" s="537"/>
      <c r="RDX31" s="537"/>
      <c r="RDY31" s="537"/>
      <c r="RDZ31" s="537"/>
      <c r="REA31" s="537"/>
      <c r="REB31" s="537"/>
      <c r="REC31" s="537"/>
      <c r="RED31" s="537"/>
      <c r="REE31" s="537"/>
      <c r="REF31" s="537"/>
      <c r="REG31" s="537"/>
      <c r="REH31" s="537"/>
      <c r="REI31" s="537"/>
      <c r="REJ31" s="537"/>
      <c r="REK31" s="537"/>
      <c r="REL31" s="537"/>
      <c r="REM31" s="537"/>
      <c r="REN31" s="537"/>
      <c r="REO31" s="537"/>
      <c r="REP31" s="537"/>
      <c r="REQ31" s="537"/>
      <c r="RER31" s="537"/>
      <c r="RES31" s="537"/>
      <c r="RET31" s="537"/>
      <c r="REU31" s="537"/>
      <c r="REV31" s="537"/>
      <c r="REW31" s="537"/>
      <c r="REX31" s="537"/>
      <c r="REY31" s="537"/>
      <c r="REZ31" s="537"/>
      <c r="RFA31" s="537"/>
      <c r="RFB31" s="537"/>
      <c r="RFC31" s="537"/>
      <c r="RFD31" s="537"/>
      <c r="RFE31" s="537"/>
      <c r="RFF31" s="537"/>
      <c r="RFG31" s="537"/>
      <c r="RFH31" s="537"/>
      <c r="RFI31" s="537"/>
      <c r="RFJ31" s="537"/>
      <c r="RFK31" s="537"/>
      <c r="RFL31" s="537"/>
      <c r="RFM31" s="537"/>
      <c r="RFN31" s="537"/>
      <c r="RFO31" s="537"/>
      <c r="RFP31" s="537"/>
      <c r="RFQ31" s="537"/>
      <c r="RFR31" s="537"/>
      <c r="RFS31" s="537"/>
      <c r="RFT31" s="537"/>
      <c r="RFU31" s="537"/>
      <c r="RFV31" s="537"/>
      <c r="RFW31" s="537"/>
      <c r="RFX31" s="537"/>
      <c r="RFY31" s="537"/>
      <c r="RFZ31" s="537"/>
      <c r="RGA31" s="537"/>
      <c r="RGB31" s="537"/>
      <c r="RGC31" s="537"/>
      <c r="RGD31" s="537"/>
      <c r="RGE31" s="537"/>
      <c r="RGF31" s="537"/>
      <c r="RGG31" s="537"/>
      <c r="RGH31" s="537"/>
      <c r="RGI31" s="537"/>
      <c r="RGJ31" s="537"/>
      <c r="RGK31" s="537"/>
      <c r="RGL31" s="537"/>
      <c r="RGM31" s="537"/>
      <c r="RGN31" s="537"/>
      <c r="RGO31" s="537"/>
      <c r="RGP31" s="537"/>
      <c r="RGQ31" s="537"/>
      <c r="RGR31" s="537"/>
      <c r="RGS31" s="537"/>
      <c r="RGT31" s="537"/>
      <c r="RGU31" s="537"/>
      <c r="RGV31" s="537"/>
      <c r="RGW31" s="537"/>
      <c r="RGX31" s="537"/>
      <c r="RGY31" s="537"/>
      <c r="RGZ31" s="537"/>
      <c r="RHA31" s="537"/>
      <c r="RHB31" s="537"/>
      <c r="RHC31" s="537"/>
      <c r="RHD31" s="537"/>
      <c r="RHE31" s="537"/>
      <c r="RHF31" s="537"/>
      <c r="RHG31" s="537"/>
      <c r="RHH31" s="537"/>
      <c r="RHI31" s="537"/>
      <c r="RHJ31" s="537"/>
      <c r="RHK31" s="537"/>
      <c r="RHL31" s="537"/>
      <c r="RHM31" s="537"/>
      <c r="RHN31" s="537"/>
      <c r="RHO31" s="537"/>
      <c r="RHP31" s="537"/>
      <c r="RHQ31" s="537"/>
      <c r="RHR31" s="537"/>
      <c r="RHS31" s="537"/>
      <c r="RHT31" s="537"/>
      <c r="RHU31" s="537"/>
      <c r="RHV31" s="537"/>
      <c r="RHW31" s="537"/>
      <c r="RHX31" s="537"/>
      <c r="RHY31" s="537"/>
      <c r="RHZ31" s="537"/>
      <c r="RIA31" s="537"/>
      <c r="RIB31" s="537"/>
      <c r="RIC31" s="537"/>
      <c r="RID31" s="537"/>
      <c r="RIE31" s="537"/>
      <c r="RIF31" s="537"/>
      <c r="RIG31" s="537"/>
      <c r="RIH31" s="537"/>
      <c r="RII31" s="537"/>
      <c r="RIJ31" s="537"/>
      <c r="RIK31" s="537"/>
      <c r="RIL31" s="537"/>
      <c r="RIM31" s="537"/>
      <c r="RIN31" s="537"/>
      <c r="RIO31" s="537"/>
      <c r="RIP31" s="537"/>
      <c r="RIQ31" s="537"/>
      <c r="RIR31" s="537"/>
      <c r="RIS31" s="537"/>
      <c r="RIT31" s="537"/>
      <c r="RIU31" s="537"/>
      <c r="RIV31" s="537"/>
      <c r="RIW31" s="537"/>
      <c r="RIX31" s="537"/>
      <c r="RIY31" s="537"/>
      <c r="RIZ31" s="537"/>
      <c r="RJA31" s="537"/>
      <c r="RJB31" s="537"/>
      <c r="RJC31" s="537"/>
      <c r="RJD31" s="537"/>
      <c r="RJE31" s="537"/>
      <c r="RJF31" s="537"/>
      <c r="RJG31" s="537"/>
      <c r="RJH31" s="537"/>
      <c r="RJI31" s="537"/>
      <c r="RJJ31" s="537"/>
      <c r="RJK31" s="537"/>
      <c r="RJL31" s="537"/>
      <c r="RJM31" s="537"/>
      <c r="RJN31" s="537"/>
      <c r="RJO31" s="537"/>
      <c r="RJP31" s="537"/>
      <c r="RJQ31" s="537"/>
      <c r="RJR31" s="537"/>
      <c r="RJS31" s="537"/>
      <c r="RJT31" s="537"/>
      <c r="RJU31" s="537"/>
      <c r="RJV31" s="537"/>
      <c r="RJW31" s="537"/>
      <c r="RJX31" s="537"/>
      <c r="RJY31" s="537"/>
      <c r="RJZ31" s="537"/>
      <c r="RKA31" s="537"/>
      <c r="RKB31" s="537"/>
      <c r="RKC31" s="537"/>
      <c r="RKD31" s="537"/>
      <c r="RKE31" s="537"/>
      <c r="RKF31" s="537"/>
      <c r="RKG31" s="537"/>
      <c r="RKH31" s="537"/>
      <c r="RKI31" s="537"/>
      <c r="RKJ31" s="537"/>
      <c r="RKK31" s="537"/>
      <c r="RKL31" s="537"/>
      <c r="RKM31" s="537"/>
      <c r="RKN31" s="537"/>
      <c r="RKO31" s="537"/>
      <c r="RKP31" s="537"/>
      <c r="RKQ31" s="537"/>
      <c r="RKR31" s="537"/>
      <c r="RKS31" s="537"/>
      <c r="RKT31" s="537"/>
      <c r="RKU31" s="537"/>
      <c r="RKV31" s="537"/>
      <c r="RKW31" s="537"/>
      <c r="RKX31" s="537"/>
      <c r="RKY31" s="537"/>
      <c r="RKZ31" s="537"/>
      <c r="RLA31" s="537"/>
      <c r="RLB31" s="537"/>
      <c r="RLC31" s="537"/>
      <c r="RLD31" s="537"/>
      <c r="RLE31" s="537"/>
      <c r="RLF31" s="537"/>
      <c r="RLG31" s="537"/>
      <c r="RLH31" s="537"/>
      <c r="RLI31" s="537"/>
      <c r="RLJ31" s="537"/>
      <c r="RLK31" s="537"/>
      <c r="RLL31" s="537"/>
      <c r="RLM31" s="537"/>
      <c r="RLN31" s="537"/>
      <c r="RLO31" s="537"/>
      <c r="RLP31" s="537"/>
      <c r="RLQ31" s="537"/>
      <c r="RLR31" s="537"/>
      <c r="RLS31" s="537"/>
      <c r="RLT31" s="537"/>
      <c r="RLU31" s="537"/>
      <c r="RLV31" s="537"/>
      <c r="RLW31" s="537"/>
      <c r="RLX31" s="537"/>
      <c r="RLY31" s="537"/>
      <c r="RLZ31" s="537"/>
      <c r="RMA31" s="537"/>
      <c r="RMB31" s="537"/>
      <c r="RMC31" s="537"/>
      <c r="RMD31" s="537"/>
      <c r="RME31" s="537"/>
      <c r="RMF31" s="537"/>
      <c r="RMG31" s="537"/>
      <c r="RMH31" s="537"/>
      <c r="RMI31" s="537"/>
      <c r="RMJ31" s="537"/>
      <c r="RMK31" s="537"/>
      <c r="RML31" s="537"/>
      <c r="RMM31" s="537"/>
      <c r="RMN31" s="537"/>
      <c r="RMO31" s="537"/>
      <c r="RMP31" s="537"/>
      <c r="RMQ31" s="537"/>
      <c r="RMR31" s="537"/>
      <c r="RMS31" s="537"/>
      <c r="RMT31" s="537"/>
      <c r="RMU31" s="537"/>
      <c r="RMV31" s="537"/>
      <c r="RMW31" s="537"/>
      <c r="RMX31" s="537"/>
      <c r="RMY31" s="537"/>
      <c r="RMZ31" s="537"/>
      <c r="RNA31" s="537"/>
      <c r="RNB31" s="537"/>
      <c r="RNC31" s="537"/>
      <c r="RND31" s="537"/>
      <c r="RNE31" s="537"/>
      <c r="RNF31" s="537"/>
      <c r="RNG31" s="537"/>
      <c r="RNH31" s="537"/>
      <c r="RNI31" s="537"/>
      <c r="RNJ31" s="537"/>
      <c r="RNK31" s="537"/>
      <c r="RNL31" s="537"/>
      <c r="RNM31" s="537"/>
      <c r="RNN31" s="537"/>
      <c r="RNO31" s="537"/>
      <c r="RNP31" s="537"/>
      <c r="RNQ31" s="537"/>
      <c r="RNR31" s="537"/>
      <c r="RNS31" s="537"/>
      <c r="RNT31" s="537"/>
      <c r="RNU31" s="537"/>
      <c r="RNV31" s="537"/>
      <c r="RNW31" s="537"/>
      <c r="RNX31" s="537"/>
      <c r="RNY31" s="537"/>
      <c r="RNZ31" s="537"/>
      <c r="ROA31" s="537"/>
      <c r="ROB31" s="537"/>
      <c r="ROC31" s="537"/>
      <c r="ROD31" s="537"/>
      <c r="ROE31" s="537"/>
      <c r="ROF31" s="537"/>
      <c r="ROG31" s="537"/>
      <c r="ROH31" s="537"/>
      <c r="ROI31" s="537"/>
      <c r="ROJ31" s="537"/>
      <c r="ROK31" s="537"/>
      <c r="ROL31" s="537"/>
      <c r="ROM31" s="537"/>
      <c r="RON31" s="537"/>
      <c r="ROO31" s="537"/>
      <c r="ROP31" s="537"/>
      <c r="ROQ31" s="537"/>
      <c r="ROR31" s="537"/>
      <c r="ROS31" s="537"/>
      <c r="ROT31" s="537"/>
      <c r="ROU31" s="537"/>
      <c r="ROV31" s="537"/>
      <c r="ROW31" s="537"/>
      <c r="ROX31" s="537"/>
      <c r="ROY31" s="537"/>
      <c r="ROZ31" s="537"/>
      <c r="RPA31" s="537"/>
      <c r="RPB31" s="537"/>
      <c r="RPC31" s="537"/>
      <c r="RPD31" s="537"/>
      <c r="RPE31" s="537"/>
      <c r="RPF31" s="537"/>
      <c r="RPG31" s="537"/>
      <c r="RPH31" s="537"/>
      <c r="RPI31" s="537"/>
      <c r="RPJ31" s="537"/>
      <c r="RPK31" s="537"/>
      <c r="RPL31" s="537"/>
      <c r="RPM31" s="537"/>
      <c r="RPN31" s="537"/>
      <c r="RPO31" s="537"/>
      <c r="RPP31" s="537"/>
      <c r="RPQ31" s="537"/>
      <c r="RPR31" s="537"/>
      <c r="RPS31" s="537"/>
      <c r="RPT31" s="537"/>
      <c r="RPU31" s="537"/>
      <c r="RPV31" s="537"/>
      <c r="RPW31" s="537"/>
      <c r="RPX31" s="537"/>
      <c r="RPY31" s="537"/>
      <c r="RPZ31" s="537"/>
      <c r="RQA31" s="537"/>
      <c r="RQB31" s="537"/>
      <c r="RQC31" s="537"/>
      <c r="RQD31" s="537"/>
      <c r="RQE31" s="537"/>
      <c r="RQF31" s="537"/>
      <c r="RQG31" s="537"/>
      <c r="RQH31" s="537"/>
      <c r="RQI31" s="537"/>
      <c r="RQJ31" s="537"/>
      <c r="RQK31" s="537"/>
      <c r="RQL31" s="537"/>
      <c r="RQM31" s="537"/>
      <c r="RQN31" s="537"/>
      <c r="RQO31" s="537"/>
      <c r="RQP31" s="537"/>
      <c r="RQQ31" s="537"/>
      <c r="RQR31" s="537"/>
      <c r="RQS31" s="537"/>
      <c r="RQT31" s="537"/>
      <c r="RQU31" s="537"/>
      <c r="RQV31" s="537"/>
      <c r="RQW31" s="537"/>
      <c r="RQX31" s="537"/>
      <c r="RQY31" s="537"/>
      <c r="RQZ31" s="537"/>
      <c r="RRA31" s="537"/>
      <c r="RRB31" s="537"/>
      <c r="RRC31" s="537"/>
      <c r="RRD31" s="537"/>
      <c r="RRE31" s="537"/>
      <c r="RRF31" s="537"/>
      <c r="RRG31" s="537"/>
      <c r="RRH31" s="537"/>
      <c r="RRI31" s="537"/>
      <c r="RRJ31" s="537"/>
      <c r="RRK31" s="537"/>
      <c r="RRL31" s="537"/>
      <c r="RRM31" s="537"/>
      <c r="RRN31" s="537"/>
      <c r="RRO31" s="537"/>
      <c r="RRP31" s="537"/>
      <c r="RRQ31" s="537"/>
      <c r="RRR31" s="537"/>
      <c r="RRS31" s="537"/>
      <c r="RRT31" s="537"/>
      <c r="RRU31" s="537"/>
      <c r="RRV31" s="537"/>
      <c r="RRW31" s="537"/>
      <c r="RRX31" s="537"/>
      <c r="RRY31" s="537"/>
      <c r="RRZ31" s="537"/>
      <c r="RSA31" s="537"/>
      <c r="RSB31" s="537"/>
      <c r="RSC31" s="537"/>
      <c r="RSD31" s="537"/>
      <c r="RSE31" s="537"/>
      <c r="RSF31" s="537"/>
      <c r="RSG31" s="537"/>
      <c r="RSH31" s="537"/>
      <c r="RSI31" s="537"/>
      <c r="RSJ31" s="537"/>
      <c r="RSK31" s="537"/>
      <c r="RSL31" s="537"/>
      <c r="RSM31" s="537"/>
      <c r="RSN31" s="537"/>
      <c r="RSO31" s="537"/>
      <c r="RSP31" s="537"/>
      <c r="RSQ31" s="537"/>
      <c r="RSR31" s="537"/>
      <c r="RSS31" s="537"/>
      <c r="RST31" s="537"/>
      <c r="RSU31" s="537"/>
      <c r="RSV31" s="537"/>
      <c r="RSW31" s="537"/>
      <c r="RSX31" s="537"/>
      <c r="RSY31" s="537"/>
      <c r="RSZ31" s="537"/>
      <c r="RTA31" s="537"/>
      <c r="RTB31" s="537"/>
      <c r="RTC31" s="537"/>
      <c r="RTD31" s="537"/>
      <c r="RTE31" s="537"/>
      <c r="RTF31" s="537"/>
      <c r="RTG31" s="537"/>
      <c r="RTH31" s="537"/>
      <c r="RTI31" s="537"/>
      <c r="RTJ31" s="537"/>
      <c r="RTK31" s="537"/>
      <c r="RTL31" s="537"/>
      <c r="RTM31" s="537"/>
      <c r="RTN31" s="537"/>
      <c r="RTO31" s="537"/>
      <c r="RTP31" s="537"/>
      <c r="RTQ31" s="537"/>
      <c r="RTR31" s="537"/>
      <c r="RTS31" s="537"/>
      <c r="RTT31" s="537"/>
      <c r="RTU31" s="537"/>
      <c r="RTV31" s="537"/>
      <c r="RTW31" s="537"/>
      <c r="RTX31" s="537"/>
      <c r="RTY31" s="537"/>
      <c r="RTZ31" s="537"/>
      <c r="RUA31" s="537"/>
      <c r="RUB31" s="537"/>
      <c r="RUC31" s="537"/>
      <c r="RUD31" s="537"/>
      <c r="RUE31" s="537"/>
      <c r="RUF31" s="537"/>
      <c r="RUG31" s="537"/>
      <c r="RUH31" s="537"/>
      <c r="RUI31" s="537"/>
      <c r="RUJ31" s="537"/>
      <c r="RUK31" s="537"/>
      <c r="RUL31" s="537"/>
      <c r="RUM31" s="537"/>
      <c r="RUN31" s="537"/>
      <c r="RUO31" s="537"/>
      <c r="RUP31" s="537"/>
      <c r="RUQ31" s="537"/>
      <c r="RUR31" s="537"/>
      <c r="RUS31" s="537"/>
      <c r="RUT31" s="537"/>
      <c r="RUU31" s="537"/>
      <c r="RUV31" s="537"/>
      <c r="RUW31" s="537"/>
      <c r="RUX31" s="537"/>
      <c r="RUY31" s="537"/>
      <c r="RUZ31" s="537"/>
      <c r="RVA31" s="537"/>
      <c r="RVB31" s="537"/>
      <c r="RVC31" s="537"/>
      <c r="RVD31" s="537"/>
      <c r="RVE31" s="537"/>
      <c r="RVF31" s="537"/>
      <c r="RVG31" s="537"/>
      <c r="RVH31" s="537"/>
      <c r="RVI31" s="537"/>
      <c r="RVJ31" s="537"/>
      <c r="RVK31" s="537"/>
      <c r="RVL31" s="537"/>
      <c r="RVM31" s="537"/>
      <c r="RVN31" s="537"/>
      <c r="RVO31" s="537"/>
      <c r="RVP31" s="537"/>
      <c r="RVQ31" s="537"/>
      <c r="RVR31" s="537"/>
      <c r="RVS31" s="537"/>
      <c r="RVT31" s="537"/>
      <c r="RVU31" s="537"/>
      <c r="RVV31" s="537"/>
      <c r="RVW31" s="537"/>
      <c r="RVX31" s="537"/>
      <c r="RVY31" s="537"/>
      <c r="RVZ31" s="537"/>
      <c r="RWA31" s="537"/>
      <c r="RWB31" s="537"/>
      <c r="RWC31" s="537"/>
      <c r="RWD31" s="537"/>
      <c r="RWE31" s="537"/>
      <c r="RWF31" s="537"/>
      <c r="RWG31" s="537"/>
      <c r="RWH31" s="537"/>
      <c r="RWI31" s="537"/>
      <c r="RWJ31" s="537"/>
      <c r="RWK31" s="537"/>
      <c r="RWL31" s="537"/>
      <c r="RWM31" s="537"/>
      <c r="RWN31" s="537"/>
      <c r="RWO31" s="537"/>
      <c r="RWP31" s="537"/>
      <c r="RWQ31" s="537"/>
      <c r="RWR31" s="537"/>
      <c r="RWS31" s="537"/>
      <c r="RWT31" s="537"/>
      <c r="RWU31" s="537"/>
      <c r="RWV31" s="537"/>
      <c r="RWW31" s="537"/>
      <c r="RWX31" s="537"/>
      <c r="RWY31" s="537"/>
      <c r="RWZ31" s="537"/>
      <c r="RXA31" s="537"/>
      <c r="RXB31" s="537"/>
      <c r="RXC31" s="537"/>
      <c r="RXD31" s="537"/>
      <c r="RXE31" s="537"/>
      <c r="RXF31" s="537"/>
      <c r="RXG31" s="537"/>
      <c r="RXH31" s="537"/>
      <c r="RXI31" s="537"/>
      <c r="RXJ31" s="537"/>
      <c r="RXK31" s="537"/>
      <c r="RXL31" s="537"/>
      <c r="RXM31" s="537"/>
      <c r="RXN31" s="537"/>
      <c r="RXO31" s="537"/>
      <c r="RXP31" s="537"/>
      <c r="RXQ31" s="537"/>
      <c r="RXR31" s="537"/>
      <c r="RXS31" s="537"/>
      <c r="RXT31" s="537"/>
      <c r="RXU31" s="537"/>
      <c r="RXV31" s="537"/>
      <c r="RXW31" s="537"/>
      <c r="RXX31" s="537"/>
      <c r="RXY31" s="537"/>
      <c r="RXZ31" s="537"/>
      <c r="RYA31" s="537"/>
      <c r="RYB31" s="537"/>
      <c r="RYC31" s="537"/>
      <c r="RYD31" s="537"/>
      <c r="RYE31" s="537"/>
      <c r="RYF31" s="537"/>
      <c r="RYG31" s="537"/>
      <c r="RYH31" s="537"/>
      <c r="RYI31" s="537"/>
      <c r="RYJ31" s="537"/>
      <c r="RYK31" s="537"/>
      <c r="RYL31" s="537"/>
      <c r="RYM31" s="537"/>
      <c r="RYN31" s="537"/>
      <c r="RYO31" s="537"/>
      <c r="RYP31" s="537"/>
      <c r="RYQ31" s="537"/>
      <c r="RYR31" s="537"/>
      <c r="RYS31" s="537"/>
      <c r="RYT31" s="537"/>
      <c r="RYU31" s="537"/>
      <c r="RYV31" s="537"/>
      <c r="RYW31" s="537"/>
      <c r="RYX31" s="537"/>
      <c r="RYY31" s="537"/>
      <c r="RYZ31" s="537"/>
      <c r="RZA31" s="537"/>
      <c r="RZB31" s="537"/>
      <c r="RZC31" s="537"/>
      <c r="RZD31" s="537"/>
      <c r="RZE31" s="537"/>
      <c r="RZF31" s="537"/>
      <c r="RZG31" s="537"/>
      <c r="RZH31" s="537"/>
      <c r="RZI31" s="537"/>
      <c r="RZJ31" s="537"/>
      <c r="RZK31" s="537"/>
      <c r="RZL31" s="537"/>
      <c r="RZM31" s="537"/>
      <c r="RZN31" s="537"/>
      <c r="RZO31" s="537"/>
      <c r="RZP31" s="537"/>
      <c r="RZQ31" s="537"/>
      <c r="RZR31" s="537"/>
      <c r="RZS31" s="537"/>
      <c r="RZT31" s="537"/>
      <c r="RZU31" s="537"/>
      <c r="RZV31" s="537"/>
      <c r="RZW31" s="537"/>
      <c r="RZX31" s="537"/>
      <c r="RZY31" s="537"/>
      <c r="RZZ31" s="537"/>
      <c r="SAA31" s="537"/>
      <c r="SAB31" s="537"/>
      <c r="SAC31" s="537"/>
      <c r="SAD31" s="537"/>
      <c r="SAE31" s="537"/>
      <c r="SAF31" s="537"/>
      <c r="SAG31" s="537"/>
      <c r="SAH31" s="537"/>
      <c r="SAI31" s="537"/>
      <c r="SAJ31" s="537"/>
      <c r="SAK31" s="537"/>
      <c r="SAL31" s="537"/>
      <c r="SAM31" s="537"/>
      <c r="SAN31" s="537"/>
      <c r="SAO31" s="537"/>
      <c r="SAP31" s="537"/>
      <c r="SAQ31" s="537"/>
      <c r="SAR31" s="537"/>
      <c r="SAS31" s="537"/>
      <c r="SAT31" s="537"/>
      <c r="SAU31" s="537"/>
      <c r="SAV31" s="537"/>
      <c r="SAW31" s="537"/>
      <c r="SAX31" s="537"/>
      <c r="SAY31" s="537"/>
      <c r="SAZ31" s="537"/>
      <c r="SBA31" s="537"/>
      <c r="SBB31" s="537"/>
      <c r="SBC31" s="537"/>
      <c r="SBD31" s="537"/>
      <c r="SBE31" s="537"/>
      <c r="SBF31" s="537"/>
      <c r="SBG31" s="537"/>
      <c r="SBH31" s="537"/>
      <c r="SBI31" s="537"/>
      <c r="SBJ31" s="537"/>
      <c r="SBK31" s="537"/>
      <c r="SBL31" s="537"/>
      <c r="SBM31" s="537"/>
      <c r="SBN31" s="537"/>
      <c r="SBO31" s="537"/>
      <c r="SBP31" s="537"/>
      <c r="SBQ31" s="537"/>
      <c r="SBR31" s="537"/>
      <c r="SBS31" s="537"/>
      <c r="SBT31" s="537"/>
      <c r="SBU31" s="537"/>
      <c r="SBV31" s="537"/>
      <c r="SBW31" s="537"/>
      <c r="SBX31" s="537"/>
      <c r="SBY31" s="537"/>
      <c r="SBZ31" s="537"/>
      <c r="SCA31" s="537"/>
      <c r="SCB31" s="537"/>
      <c r="SCC31" s="537"/>
      <c r="SCD31" s="537"/>
      <c r="SCE31" s="537"/>
      <c r="SCF31" s="537"/>
      <c r="SCG31" s="537"/>
      <c r="SCH31" s="537"/>
      <c r="SCI31" s="537"/>
      <c r="SCJ31" s="537"/>
      <c r="SCK31" s="537"/>
      <c r="SCL31" s="537"/>
      <c r="SCM31" s="537"/>
      <c r="SCN31" s="537"/>
      <c r="SCO31" s="537"/>
      <c r="SCP31" s="537"/>
      <c r="SCQ31" s="537"/>
      <c r="SCR31" s="537"/>
      <c r="SCS31" s="537"/>
      <c r="SCT31" s="537"/>
      <c r="SCU31" s="537"/>
      <c r="SCV31" s="537"/>
      <c r="SCW31" s="537"/>
      <c r="SCX31" s="537"/>
      <c r="SCY31" s="537"/>
      <c r="SCZ31" s="537"/>
      <c r="SDA31" s="537"/>
      <c r="SDB31" s="537"/>
      <c r="SDC31" s="537"/>
      <c r="SDD31" s="537"/>
      <c r="SDE31" s="537"/>
      <c r="SDF31" s="537"/>
      <c r="SDG31" s="537"/>
      <c r="SDH31" s="537"/>
      <c r="SDI31" s="537"/>
      <c r="SDJ31" s="537"/>
      <c r="SDK31" s="537"/>
      <c r="SDL31" s="537"/>
      <c r="SDM31" s="537"/>
      <c r="SDN31" s="537"/>
      <c r="SDO31" s="537"/>
      <c r="SDP31" s="537"/>
      <c r="SDQ31" s="537"/>
      <c r="SDR31" s="537"/>
      <c r="SDS31" s="537"/>
      <c r="SDT31" s="537"/>
      <c r="SDU31" s="537"/>
      <c r="SDV31" s="537"/>
      <c r="SDW31" s="537"/>
      <c r="SDX31" s="537"/>
      <c r="SDY31" s="537"/>
      <c r="SDZ31" s="537"/>
      <c r="SEA31" s="537"/>
      <c r="SEB31" s="537"/>
      <c r="SEC31" s="537"/>
      <c r="SED31" s="537"/>
      <c r="SEE31" s="537"/>
      <c r="SEF31" s="537"/>
      <c r="SEG31" s="537"/>
      <c r="SEH31" s="537"/>
      <c r="SEI31" s="537"/>
      <c r="SEJ31" s="537"/>
      <c r="SEK31" s="537"/>
      <c r="SEL31" s="537"/>
      <c r="SEM31" s="537"/>
      <c r="SEN31" s="537"/>
      <c r="SEO31" s="537"/>
      <c r="SEP31" s="537"/>
      <c r="SEQ31" s="537"/>
      <c r="SER31" s="537"/>
      <c r="SES31" s="537"/>
      <c r="SET31" s="537"/>
      <c r="SEU31" s="537"/>
      <c r="SEV31" s="537"/>
      <c r="SEW31" s="537"/>
      <c r="SEX31" s="537"/>
      <c r="SEY31" s="537"/>
      <c r="SEZ31" s="537"/>
      <c r="SFA31" s="537"/>
      <c r="SFB31" s="537"/>
      <c r="SFC31" s="537"/>
      <c r="SFD31" s="537"/>
      <c r="SFE31" s="537"/>
      <c r="SFF31" s="537"/>
      <c r="SFG31" s="537"/>
      <c r="SFH31" s="537"/>
      <c r="SFI31" s="537"/>
      <c r="SFJ31" s="537"/>
      <c r="SFK31" s="537"/>
      <c r="SFL31" s="537"/>
      <c r="SFM31" s="537"/>
      <c r="SFN31" s="537"/>
      <c r="SFO31" s="537"/>
      <c r="SFP31" s="537"/>
      <c r="SFQ31" s="537"/>
      <c r="SFR31" s="537"/>
      <c r="SFS31" s="537"/>
      <c r="SFT31" s="537"/>
      <c r="SFU31" s="537"/>
      <c r="SFV31" s="537"/>
      <c r="SFW31" s="537"/>
      <c r="SFX31" s="537"/>
      <c r="SFY31" s="537"/>
      <c r="SFZ31" s="537"/>
      <c r="SGA31" s="537"/>
      <c r="SGB31" s="537"/>
      <c r="SGC31" s="537"/>
      <c r="SGD31" s="537"/>
      <c r="SGE31" s="537"/>
      <c r="SGF31" s="537"/>
      <c r="SGG31" s="537"/>
      <c r="SGH31" s="537"/>
      <c r="SGI31" s="537"/>
      <c r="SGJ31" s="537"/>
      <c r="SGK31" s="537"/>
      <c r="SGL31" s="537"/>
      <c r="SGM31" s="537"/>
      <c r="SGN31" s="537"/>
      <c r="SGO31" s="537"/>
      <c r="SGP31" s="537"/>
      <c r="SGQ31" s="537"/>
      <c r="SGR31" s="537"/>
      <c r="SGS31" s="537"/>
      <c r="SGT31" s="537"/>
      <c r="SGU31" s="537"/>
      <c r="SGV31" s="537"/>
      <c r="SGW31" s="537"/>
      <c r="SGX31" s="537"/>
      <c r="SGY31" s="537"/>
      <c r="SGZ31" s="537"/>
      <c r="SHA31" s="537"/>
      <c r="SHB31" s="537"/>
      <c r="SHC31" s="537"/>
      <c r="SHD31" s="537"/>
      <c r="SHE31" s="537"/>
      <c r="SHF31" s="537"/>
      <c r="SHG31" s="537"/>
      <c r="SHH31" s="537"/>
      <c r="SHI31" s="537"/>
      <c r="SHJ31" s="537"/>
      <c r="SHK31" s="537"/>
      <c r="SHL31" s="537"/>
      <c r="SHM31" s="537"/>
      <c r="SHN31" s="537"/>
      <c r="SHO31" s="537"/>
      <c r="SHP31" s="537"/>
      <c r="SHQ31" s="537"/>
      <c r="SHR31" s="537"/>
      <c r="SHS31" s="537"/>
      <c r="SHT31" s="537"/>
      <c r="SHU31" s="537"/>
      <c r="SHV31" s="537"/>
      <c r="SHW31" s="537"/>
      <c r="SHX31" s="537"/>
      <c r="SHY31" s="537"/>
      <c r="SHZ31" s="537"/>
      <c r="SIA31" s="537"/>
      <c r="SIB31" s="537"/>
      <c r="SIC31" s="537"/>
      <c r="SID31" s="537"/>
      <c r="SIE31" s="537"/>
      <c r="SIF31" s="537"/>
      <c r="SIG31" s="537"/>
      <c r="SIH31" s="537"/>
      <c r="SII31" s="537"/>
      <c r="SIJ31" s="537"/>
      <c r="SIK31" s="537"/>
      <c r="SIL31" s="537"/>
      <c r="SIM31" s="537"/>
      <c r="SIN31" s="537"/>
      <c r="SIO31" s="537"/>
      <c r="SIP31" s="537"/>
      <c r="SIQ31" s="537"/>
      <c r="SIR31" s="537"/>
      <c r="SIS31" s="537"/>
      <c r="SIT31" s="537"/>
      <c r="SIU31" s="537"/>
      <c r="SIV31" s="537"/>
      <c r="SIW31" s="537"/>
      <c r="SIX31" s="537"/>
      <c r="SIY31" s="537"/>
      <c r="SIZ31" s="537"/>
      <c r="SJA31" s="537"/>
      <c r="SJB31" s="537"/>
      <c r="SJC31" s="537"/>
      <c r="SJD31" s="537"/>
      <c r="SJE31" s="537"/>
      <c r="SJF31" s="537"/>
      <c r="SJG31" s="537"/>
      <c r="SJH31" s="537"/>
      <c r="SJI31" s="537"/>
      <c r="SJJ31" s="537"/>
      <c r="SJK31" s="537"/>
      <c r="SJL31" s="537"/>
      <c r="SJM31" s="537"/>
      <c r="SJN31" s="537"/>
      <c r="SJO31" s="537"/>
      <c r="SJP31" s="537"/>
      <c r="SJQ31" s="537"/>
      <c r="SJR31" s="537"/>
      <c r="SJS31" s="537"/>
      <c r="SJT31" s="537"/>
      <c r="SJU31" s="537"/>
      <c r="SJV31" s="537"/>
      <c r="SJW31" s="537"/>
      <c r="SJX31" s="537"/>
      <c r="SJY31" s="537"/>
      <c r="SJZ31" s="537"/>
      <c r="SKA31" s="537"/>
      <c r="SKB31" s="537"/>
      <c r="SKC31" s="537"/>
      <c r="SKD31" s="537"/>
      <c r="SKE31" s="537"/>
      <c r="SKF31" s="537"/>
      <c r="SKG31" s="537"/>
      <c r="SKH31" s="537"/>
      <c r="SKI31" s="537"/>
      <c r="SKJ31" s="537"/>
      <c r="SKK31" s="537"/>
      <c r="SKL31" s="537"/>
      <c r="SKM31" s="537"/>
      <c r="SKN31" s="537"/>
      <c r="SKO31" s="537"/>
      <c r="SKP31" s="537"/>
      <c r="SKQ31" s="537"/>
      <c r="SKR31" s="537"/>
      <c r="SKS31" s="537"/>
      <c r="SKT31" s="537"/>
      <c r="SKU31" s="537"/>
      <c r="SKV31" s="537"/>
      <c r="SKW31" s="537"/>
      <c r="SKX31" s="537"/>
      <c r="SKY31" s="537"/>
      <c r="SKZ31" s="537"/>
      <c r="SLA31" s="537"/>
      <c r="SLB31" s="537"/>
      <c r="SLC31" s="537"/>
      <c r="SLD31" s="537"/>
      <c r="SLE31" s="537"/>
      <c r="SLF31" s="537"/>
      <c r="SLG31" s="537"/>
      <c r="SLH31" s="537"/>
      <c r="SLI31" s="537"/>
      <c r="SLJ31" s="537"/>
      <c r="SLK31" s="537"/>
      <c r="SLL31" s="537"/>
      <c r="SLM31" s="537"/>
      <c r="SLN31" s="537"/>
      <c r="SLO31" s="537"/>
      <c r="SLP31" s="537"/>
      <c r="SLQ31" s="537"/>
      <c r="SLR31" s="537"/>
      <c r="SLS31" s="537"/>
      <c r="SLT31" s="537"/>
      <c r="SLU31" s="537"/>
      <c r="SLV31" s="537"/>
      <c r="SLW31" s="537"/>
      <c r="SLX31" s="537"/>
      <c r="SLY31" s="537"/>
      <c r="SLZ31" s="537"/>
      <c r="SMA31" s="537"/>
      <c r="SMB31" s="537"/>
      <c r="SMC31" s="537"/>
      <c r="SMD31" s="537"/>
      <c r="SME31" s="537"/>
      <c r="SMF31" s="537"/>
      <c r="SMG31" s="537"/>
      <c r="SMH31" s="537"/>
      <c r="SMI31" s="537"/>
      <c r="SMJ31" s="537"/>
      <c r="SMK31" s="537"/>
      <c r="SML31" s="537"/>
      <c r="SMM31" s="537"/>
      <c r="SMN31" s="537"/>
      <c r="SMO31" s="537"/>
      <c r="SMP31" s="537"/>
      <c r="SMQ31" s="537"/>
      <c r="SMR31" s="537"/>
      <c r="SMS31" s="537"/>
      <c r="SMT31" s="537"/>
      <c r="SMU31" s="537"/>
      <c r="SMV31" s="537"/>
      <c r="SMW31" s="537"/>
      <c r="SMX31" s="537"/>
      <c r="SMY31" s="537"/>
      <c r="SMZ31" s="537"/>
      <c r="SNA31" s="537"/>
      <c r="SNB31" s="537"/>
      <c r="SNC31" s="537"/>
      <c r="SND31" s="537"/>
      <c r="SNE31" s="537"/>
      <c r="SNF31" s="537"/>
      <c r="SNG31" s="537"/>
      <c r="SNH31" s="537"/>
      <c r="SNI31" s="537"/>
      <c r="SNJ31" s="537"/>
      <c r="SNK31" s="537"/>
      <c r="SNL31" s="537"/>
      <c r="SNM31" s="537"/>
      <c r="SNN31" s="537"/>
      <c r="SNO31" s="537"/>
      <c r="SNP31" s="537"/>
      <c r="SNQ31" s="537"/>
      <c r="SNR31" s="537"/>
      <c r="SNS31" s="537"/>
      <c r="SNT31" s="537"/>
      <c r="SNU31" s="537"/>
      <c r="SNV31" s="537"/>
      <c r="SNW31" s="537"/>
      <c r="SNX31" s="537"/>
      <c r="SNY31" s="537"/>
      <c r="SNZ31" s="537"/>
      <c r="SOA31" s="537"/>
      <c r="SOB31" s="537"/>
      <c r="SOC31" s="537"/>
      <c r="SOD31" s="537"/>
      <c r="SOE31" s="537"/>
      <c r="SOF31" s="537"/>
      <c r="SOG31" s="537"/>
      <c r="SOH31" s="537"/>
      <c r="SOI31" s="537"/>
      <c r="SOJ31" s="537"/>
      <c r="SOK31" s="537"/>
      <c r="SOL31" s="537"/>
      <c r="SOM31" s="537"/>
      <c r="SON31" s="537"/>
      <c r="SOO31" s="537"/>
      <c r="SOP31" s="537"/>
      <c r="SOQ31" s="537"/>
      <c r="SOR31" s="537"/>
      <c r="SOS31" s="537"/>
      <c r="SOT31" s="537"/>
      <c r="SOU31" s="537"/>
      <c r="SOV31" s="537"/>
      <c r="SOW31" s="537"/>
      <c r="SOX31" s="537"/>
      <c r="SOY31" s="537"/>
      <c r="SOZ31" s="537"/>
      <c r="SPA31" s="537"/>
      <c r="SPB31" s="537"/>
      <c r="SPC31" s="537"/>
      <c r="SPD31" s="537"/>
      <c r="SPE31" s="537"/>
      <c r="SPF31" s="537"/>
      <c r="SPG31" s="537"/>
      <c r="SPH31" s="537"/>
      <c r="SPI31" s="537"/>
      <c r="SPJ31" s="537"/>
      <c r="SPK31" s="537"/>
      <c r="SPL31" s="537"/>
      <c r="SPM31" s="537"/>
      <c r="SPN31" s="537"/>
      <c r="SPO31" s="537"/>
      <c r="SPP31" s="537"/>
      <c r="SPQ31" s="537"/>
      <c r="SPR31" s="537"/>
      <c r="SPS31" s="537"/>
      <c r="SPT31" s="537"/>
      <c r="SPU31" s="537"/>
      <c r="SPV31" s="537"/>
      <c r="SPW31" s="537"/>
      <c r="SPX31" s="537"/>
      <c r="SPY31" s="537"/>
      <c r="SPZ31" s="537"/>
      <c r="SQA31" s="537"/>
      <c r="SQB31" s="537"/>
      <c r="SQC31" s="537"/>
      <c r="SQD31" s="537"/>
      <c r="SQE31" s="537"/>
      <c r="SQF31" s="537"/>
      <c r="SQG31" s="537"/>
      <c r="SQH31" s="537"/>
      <c r="SQI31" s="537"/>
      <c r="SQJ31" s="537"/>
      <c r="SQK31" s="537"/>
      <c r="SQL31" s="537"/>
      <c r="SQM31" s="537"/>
      <c r="SQN31" s="537"/>
      <c r="SQO31" s="537"/>
      <c r="SQP31" s="537"/>
      <c r="SQQ31" s="537"/>
      <c r="SQR31" s="537"/>
      <c r="SQS31" s="537"/>
      <c r="SQT31" s="537"/>
      <c r="SQU31" s="537"/>
      <c r="SQV31" s="537"/>
      <c r="SQW31" s="537"/>
      <c r="SQX31" s="537"/>
      <c r="SQY31" s="537"/>
      <c r="SQZ31" s="537"/>
      <c r="SRA31" s="537"/>
      <c r="SRB31" s="537"/>
      <c r="SRC31" s="537"/>
      <c r="SRD31" s="537"/>
      <c r="SRE31" s="537"/>
      <c r="SRF31" s="537"/>
      <c r="SRG31" s="537"/>
      <c r="SRH31" s="537"/>
      <c r="SRI31" s="537"/>
      <c r="SRJ31" s="537"/>
      <c r="SRK31" s="537"/>
      <c r="SRL31" s="537"/>
      <c r="SRM31" s="537"/>
      <c r="SRN31" s="537"/>
      <c r="SRO31" s="537"/>
      <c r="SRP31" s="537"/>
      <c r="SRQ31" s="537"/>
      <c r="SRR31" s="537"/>
      <c r="SRS31" s="537"/>
      <c r="SRT31" s="537"/>
      <c r="SRU31" s="537"/>
      <c r="SRV31" s="537"/>
      <c r="SRW31" s="537"/>
      <c r="SRX31" s="537"/>
      <c r="SRY31" s="537"/>
      <c r="SRZ31" s="537"/>
      <c r="SSA31" s="537"/>
      <c r="SSB31" s="537"/>
      <c r="SSC31" s="537"/>
      <c r="SSD31" s="537"/>
      <c r="SSE31" s="537"/>
      <c r="SSF31" s="537"/>
      <c r="SSG31" s="537"/>
      <c r="SSH31" s="537"/>
      <c r="SSI31" s="537"/>
      <c r="SSJ31" s="537"/>
      <c r="SSK31" s="537"/>
      <c r="SSL31" s="537"/>
      <c r="SSM31" s="537"/>
      <c r="SSN31" s="537"/>
      <c r="SSO31" s="537"/>
      <c r="SSP31" s="537"/>
      <c r="SSQ31" s="537"/>
      <c r="SSR31" s="537"/>
      <c r="SSS31" s="537"/>
      <c r="SST31" s="537"/>
      <c r="SSU31" s="537"/>
      <c r="SSV31" s="537"/>
      <c r="SSW31" s="537"/>
      <c r="SSX31" s="537"/>
      <c r="SSY31" s="537"/>
      <c r="SSZ31" s="537"/>
      <c r="STA31" s="537"/>
      <c r="STB31" s="537"/>
      <c r="STC31" s="537"/>
      <c r="STD31" s="537"/>
      <c r="STE31" s="537"/>
      <c r="STF31" s="537"/>
      <c r="STG31" s="537"/>
      <c r="STH31" s="537"/>
      <c r="STI31" s="537"/>
      <c r="STJ31" s="537"/>
      <c r="STK31" s="537"/>
      <c r="STL31" s="537"/>
      <c r="STM31" s="537"/>
      <c r="STN31" s="537"/>
      <c r="STO31" s="537"/>
      <c r="STP31" s="537"/>
      <c r="STQ31" s="537"/>
      <c r="STR31" s="537"/>
      <c r="STS31" s="537"/>
      <c r="STT31" s="537"/>
      <c r="STU31" s="537"/>
      <c r="STV31" s="537"/>
      <c r="STW31" s="537"/>
      <c r="STX31" s="537"/>
      <c r="STY31" s="537"/>
      <c r="STZ31" s="537"/>
      <c r="SUA31" s="537"/>
      <c r="SUB31" s="537"/>
      <c r="SUC31" s="537"/>
      <c r="SUD31" s="537"/>
      <c r="SUE31" s="537"/>
      <c r="SUF31" s="537"/>
      <c r="SUG31" s="537"/>
      <c r="SUH31" s="537"/>
      <c r="SUI31" s="537"/>
      <c r="SUJ31" s="537"/>
      <c r="SUK31" s="537"/>
      <c r="SUL31" s="537"/>
      <c r="SUM31" s="537"/>
      <c r="SUN31" s="537"/>
      <c r="SUO31" s="537"/>
      <c r="SUP31" s="537"/>
      <c r="SUQ31" s="537"/>
      <c r="SUR31" s="537"/>
      <c r="SUS31" s="537"/>
      <c r="SUT31" s="537"/>
      <c r="SUU31" s="537"/>
      <c r="SUV31" s="537"/>
      <c r="SUW31" s="537"/>
      <c r="SUX31" s="537"/>
      <c r="SUY31" s="537"/>
      <c r="SUZ31" s="537"/>
      <c r="SVA31" s="537"/>
      <c r="SVB31" s="537"/>
      <c r="SVC31" s="537"/>
      <c r="SVD31" s="537"/>
      <c r="SVE31" s="537"/>
      <c r="SVF31" s="537"/>
      <c r="SVG31" s="537"/>
      <c r="SVH31" s="537"/>
      <c r="SVI31" s="537"/>
      <c r="SVJ31" s="537"/>
      <c r="SVK31" s="537"/>
      <c r="SVL31" s="537"/>
      <c r="SVM31" s="537"/>
      <c r="SVN31" s="537"/>
      <c r="SVO31" s="537"/>
      <c r="SVP31" s="537"/>
      <c r="SVQ31" s="537"/>
      <c r="SVR31" s="537"/>
      <c r="SVS31" s="537"/>
      <c r="SVT31" s="537"/>
      <c r="SVU31" s="537"/>
      <c r="SVV31" s="537"/>
      <c r="SVW31" s="537"/>
      <c r="SVX31" s="537"/>
      <c r="SVY31" s="537"/>
      <c r="SVZ31" s="537"/>
      <c r="SWA31" s="537"/>
      <c r="SWB31" s="537"/>
      <c r="SWC31" s="537"/>
      <c r="SWD31" s="537"/>
      <c r="SWE31" s="537"/>
      <c r="SWF31" s="537"/>
      <c r="SWG31" s="537"/>
      <c r="SWH31" s="537"/>
      <c r="SWI31" s="537"/>
      <c r="SWJ31" s="537"/>
      <c r="SWK31" s="537"/>
      <c r="SWL31" s="537"/>
      <c r="SWM31" s="537"/>
      <c r="SWN31" s="537"/>
      <c r="SWO31" s="537"/>
      <c r="SWP31" s="537"/>
      <c r="SWQ31" s="537"/>
      <c r="SWR31" s="537"/>
      <c r="SWS31" s="537"/>
      <c r="SWT31" s="537"/>
      <c r="SWU31" s="537"/>
      <c r="SWV31" s="537"/>
      <c r="SWW31" s="537"/>
      <c r="SWX31" s="537"/>
      <c r="SWY31" s="537"/>
      <c r="SWZ31" s="537"/>
      <c r="SXA31" s="537"/>
      <c r="SXB31" s="537"/>
      <c r="SXC31" s="537"/>
      <c r="SXD31" s="537"/>
      <c r="SXE31" s="537"/>
      <c r="SXF31" s="537"/>
      <c r="SXG31" s="537"/>
      <c r="SXH31" s="537"/>
      <c r="SXI31" s="537"/>
      <c r="SXJ31" s="537"/>
      <c r="SXK31" s="537"/>
      <c r="SXL31" s="537"/>
      <c r="SXM31" s="537"/>
      <c r="SXN31" s="537"/>
      <c r="SXO31" s="537"/>
      <c r="SXP31" s="537"/>
      <c r="SXQ31" s="537"/>
      <c r="SXR31" s="537"/>
      <c r="SXS31" s="537"/>
      <c r="SXT31" s="537"/>
      <c r="SXU31" s="537"/>
      <c r="SXV31" s="537"/>
      <c r="SXW31" s="537"/>
      <c r="SXX31" s="537"/>
      <c r="SXY31" s="537"/>
      <c r="SXZ31" s="537"/>
      <c r="SYA31" s="537"/>
      <c r="SYB31" s="537"/>
      <c r="SYC31" s="537"/>
      <c r="SYD31" s="537"/>
      <c r="SYE31" s="537"/>
      <c r="SYF31" s="537"/>
      <c r="SYG31" s="537"/>
      <c r="SYH31" s="537"/>
      <c r="SYI31" s="537"/>
      <c r="SYJ31" s="537"/>
      <c r="SYK31" s="537"/>
      <c r="SYL31" s="537"/>
      <c r="SYM31" s="537"/>
      <c r="SYN31" s="537"/>
      <c r="SYO31" s="537"/>
      <c r="SYP31" s="537"/>
      <c r="SYQ31" s="537"/>
      <c r="SYR31" s="537"/>
      <c r="SYS31" s="537"/>
      <c r="SYT31" s="537"/>
      <c r="SYU31" s="537"/>
      <c r="SYV31" s="537"/>
      <c r="SYW31" s="537"/>
      <c r="SYX31" s="537"/>
      <c r="SYY31" s="537"/>
      <c r="SYZ31" s="537"/>
      <c r="SZA31" s="537"/>
      <c r="SZB31" s="537"/>
      <c r="SZC31" s="537"/>
      <c r="SZD31" s="537"/>
      <c r="SZE31" s="537"/>
      <c r="SZF31" s="537"/>
      <c r="SZG31" s="537"/>
      <c r="SZH31" s="537"/>
      <c r="SZI31" s="537"/>
      <c r="SZJ31" s="537"/>
      <c r="SZK31" s="537"/>
      <c r="SZL31" s="537"/>
      <c r="SZM31" s="537"/>
      <c r="SZN31" s="537"/>
      <c r="SZO31" s="537"/>
      <c r="SZP31" s="537"/>
      <c r="SZQ31" s="537"/>
      <c r="SZR31" s="537"/>
      <c r="SZS31" s="537"/>
      <c r="SZT31" s="537"/>
      <c r="SZU31" s="537"/>
      <c r="SZV31" s="537"/>
      <c r="SZW31" s="537"/>
      <c r="SZX31" s="537"/>
      <c r="SZY31" s="537"/>
      <c r="SZZ31" s="537"/>
      <c r="TAA31" s="537"/>
      <c r="TAB31" s="537"/>
      <c r="TAC31" s="537"/>
      <c r="TAD31" s="537"/>
      <c r="TAE31" s="537"/>
      <c r="TAF31" s="537"/>
      <c r="TAG31" s="537"/>
      <c r="TAH31" s="537"/>
      <c r="TAI31" s="537"/>
      <c r="TAJ31" s="537"/>
      <c r="TAK31" s="537"/>
      <c r="TAL31" s="537"/>
      <c r="TAM31" s="537"/>
      <c r="TAN31" s="537"/>
      <c r="TAO31" s="537"/>
      <c r="TAP31" s="537"/>
      <c r="TAQ31" s="537"/>
      <c r="TAR31" s="537"/>
      <c r="TAS31" s="537"/>
      <c r="TAT31" s="537"/>
      <c r="TAU31" s="537"/>
      <c r="TAV31" s="537"/>
      <c r="TAW31" s="537"/>
      <c r="TAX31" s="537"/>
      <c r="TAY31" s="537"/>
      <c r="TAZ31" s="537"/>
      <c r="TBA31" s="537"/>
      <c r="TBB31" s="537"/>
      <c r="TBC31" s="537"/>
      <c r="TBD31" s="537"/>
      <c r="TBE31" s="537"/>
      <c r="TBF31" s="537"/>
      <c r="TBG31" s="537"/>
      <c r="TBH31" s="537"/>
      <c r="TBI31" s="537"/>
      <c r="TBJ31" s="537"/>
      <c r="TBK31" s="537"/>
      <c r="TBL31" s="537"/>
      <c r="TBM31" s="537"/>
      <c r="TBN31" s="537"/>
      <c r="TBO31" s="537"/>
      <c r="TBP31" s="537"/>
      <c r="TBQ31" s="537"/>
      <c r="TBR31" s="537"/>
      <c r="TBS31" s="537"/>
      <c r="TBT31" s="537"/>
      <c r="TBU31" s="537"/>
      <c r="TBV31" s="537"/>
      <c r="TBW31" s="537"/>
      <c r="TBX31" s="537"/>
      <c r="TBY31" s="537"/>
      <c r="TBZ31" s="537"/>
      <c r="TCA31" s="537"/>
      <c r="TCB31" s="537"/>
      <c r="TCC31" s="537"/>
      <c r="TCD31" s="537"/>
      <c r="TCE31" s="537"/>
      <c r="TCF31" s="537"/>
      <c r="TCG31" s="537"/>
      <c r="TCH31" s="537"/>
      <c r="TCI31" s="537"/>
      <c r="TCJ31" s="537"/>
      <c r="TCK31" s="537"/>
      <c r="TCL31" s="537"/>
      <c r="TCM31" s="537"/>
      <c r="TCN31" s="537"/>
      <c r="TCO31" s="537"/>
      <c r="TCP31" s="537"/>
      <c r="TCQ31" s="537"/>
      <c r="TCR31" s="537"/>
      <c r="TCS31" s="537"/>
      <c r="TCT31" s="537"/>
      <c r="TCU31" s="537"/>
      <c r="TCV31" s="537"/>
      <c r="TCW31" s="537"/>
      <c r="TCX31" s="537"/>
      <c r="TCY31" s="537"/>
      <c r="TCZ31" s="537"/>
      <c r="TDA31" s="537"/>
      <c r="TDB31" s="537"/>
      <c r="TDC31" s="537"/>
      <c r="TDD31" s="537"/>
      <c r="TDE31" s="537"/>
      <c r="TDF31" s="537"/>
      <c r="TDG31" s="537"/>
      <c r="TDH31" s="537"/>
      <c r="TDI31" s="537"/>
      <c r="TDJ31" s="537"/>
      <c r="TDK31" s="537"/>
      <c r="TDL31" s="537"/>
      <c r="TDM31" s="537"/>
      <c r="TDN31" s="537"/>
      <c r="TDO31" s="537"/>
      <c r="TDP31" s="537"/>
      <c r="TDQ31" s="537"/>
      <c r="TDR31" s="537"/>
      <c r="TDS31" s="537"/>
      <c r="TDT31" s="537"/>
      <c r="TDU31" s="537"/>
      <c r="TDV31" s="537"/>
      <c r="TDW31" s="537"/>
      <c r="TDX31" s="537"/>
      <c r="TDY31" s="537"/>
      <c r="TDZ31" s="537"/>
      <c r="TEA31" s="537"/>
      <c r="TEB31" s="537"/>
      <c r="TEC31" s="537"/>
      <c r="TED31" s="537"/>
      <c r="TEE31" s="537"/>
      <c r="TEF31" s="537"/>
      <c r="TEG31" s="537"/>
      <c r="TEH31" s="537"/>
      <c r="TEI31" s="537"/>
      <c r="TEJ31" s="537"/>
      <c r="TEK31" s="537"/>
      <c r="TEL31" s="537"/>
      <c r="TEM31" s="537"/>
      <c r="TEN31" s="537"/>
      <c r="TEO31" s="537"/>
      <c r="TEP31" s="537"/>
      <c r="TEQ31" s="537"/>
      <c r="TER31" s="537"/>
      <c r="TES31" s="537"/>
      <c r="TET31" s="537"/>
      <c r="TEU31" s="537"/>
      <c r="TEV31" s="537"/>
      <c r="TEW31" s="537"/>
      <c r="TEX31" s="537"/>
      <c r="TEY31" s="537"/>
      <c r="TEZ31" s="537"/>
      <c r="TFA31" s="537"/>
      <c r="TFB31" s="537"/>
      <c r="TFC31" s="537"/>
      <c r="TFD31" s="537"/>
      <c r="TFE31" s="537"/>
      <c r="TFF31" s="537"/>
      <c r="TFG31" s="537"/>
      <c r="TFH31" s="537"/>
      <c r="TFI31" s="537"/>
      <c r="TFJ31" s="537"/>
      <c r="TFK31" s="537"/>
      <c r="TFL31" s="537"/>
      <c r="TFM31" s="537"/>
      <c r="TFN31" s="537"/>
      <c r="TFO31" s="537"/>
      <c r="TFP31" s="537"/>
      <c r="TFQ31" s="537"/>
      <c r="TFR31" s="537"/>
      <c r="TFS31" s="537"/>
      <c r="TFT31" s="537"/>
      <c r="TFU31" s="537"/>
      <c r="TFV31" s="537"/>
      <c r="TFW31" s="537"/>
      <c r="TFX31" s="537"/>
      <c r="TFY31" s="537"/>
      <c r="TFZ31" s="537"/>
      <c r="TGA31" s="537"/>
      <c r="TGB31" s="537"/>
      <c r="TGC31" s="537"/>
      <c r="TGD31" s="537"/>
      <c r="TGE31" s="537"/>
      <c r="TGF31" s="537"/>
      <c r="TGG31" s="537"/>
      <c r="TGH31" s="537"/>
      <c r="TGI31" s="537"/>
      <c r="TGJ31" s="537"/>
      <c r="TGK31" s="537"/>
      <c r="TGL31" s="537"/>
      <c r="TGM31" s="537"/>
      <c r="TGN31" s="537"/>
      <c r="TGO31" s="537"/>
      <c r="TGP31" s="537"/>
      <c r="TGQ31" s="537"/>
      <c r="TGR31" s="537"/>
      <c r="TGS31" s="537"/>
      <c r="TGT31" s="537"/>
      <c r="TGU31" s="537"/>
      <c r="TGV31" s="537"/>
      <c r="TGW31" s="537"/>
      <c r="TGX31" s="537"/>
      <c r="TGY31" s="537"/>
      <c r="TGZ31" s="537"/>
      <c r="THA31" s="537"/>
      <c r="THB31" s="537"/>
      <c r="THC31" s="537"/>
      <c r="THD31" s="537"/>
      <c r="THE31" s="537"/>
      <c r="THF31" s="537"/>
      <c r="THG31" s="537"/>
      <c r="THH31" s="537"/>
      <c r="THI31" s="537"/>
      <c r="THJ31" s="537"/>
      <c r="THK31" s="537"/>
      <c r="THL31" s="537"/>
      <c r="THM31" s="537"/>
      <c r="THN31" s="537"/>
      <c r="THO31" s="537"/>
      <c r="THP31" s="537"/>
      <c r="THQ31" s="537"/>
      <c r="THR31" s="537"/>
      <c r="THS31" s="537"/>
      <c r="THT31" s="537"/>
      <c r="THU31" s="537"/>
      <c r="THV31" s="537"/>
      <c r="THW31" s="537"/>
      <c r="THX31" s="537"/>
      <c r="THY31" s="537"/>
      <c r="THZ31" s="537"/>
      <c r="TIA31" s="537"/>
      <c r="TIB31" s="537"/>
      <c r="TIC31" s="537"/>
      <c r="TID31" s="537"/>
      <c r="TIE31" s="537"/>
      <c r="TIF31" s="537"/>
      <c r="TIG31" s="537"/>
      <c r="TIH31" s="537"/>
      <c r="TII31" s="537"/>
      <c r="TIJ31" s="537"/>
      <c r="TIK31" s="537"/>
      <c r="TIL31" s="537"/>
      <c r="TIM31" s="537"/>
      <c r="TIN31" s="537"/>
      <c r="TIO31" s="537"/>
      <c r="TIP31" s="537"/>
      <c r="TIQ31" s="537"/>
      <c r="TIR31" s="537"/>
      <c r="TIS31" s="537"/>
      <c r="TIT31" s="537"/>
      <c r="TIU31" s="537"/>
      <c r="TIV31" s="537"/>
      <c r="TIW31" s="537"/>
      <c r="TIX31" s="537"/>
      <c r="TIY31" s="537"/>
      <c r="TIZ31" s="537"/>
      <c r="TJA31" s="537"/>
      <c r="TJB31" s="537"/>
      <c r="TJC31" s="537"/>
      <c r="TJD31" s="537"/>
      <c r="TJE31" s="537"/>
      <c r="TJF31" s="537"/>
      <c r="TJG31" s="537"/>
      <c r="TJH31" s="537"/>
      <c r="TJI31" s="537"/>
      <c r="TJJ31" s="537"/>
      <c r="TJK31" s="537"/>
      <c r="TJL31" s="537"/>
      <c r="TJM31" s="537"/>
      <c r="TJN31" s="537"/>
      <c r="TJO31" s="537"/>
      <c r="TJP31" s="537"/>
      <c r="TJQ31" s="537"/>
      <c r="TJR31" s="537"/>
      <c r="TJS31" s="537"/>
      <c r="TJT31" s="537"/>
      <c r="TJU31" s="537"/>
      <c r="TJV31" s="537"/>
      <c r="TJW31" s="537"/>
      <c r="TJX31" s="537"/>
      <c r="TJY31" s="537"/>
      <c r="TJZ31" s="537"/>
      <c r="TKA31" s="537"/>
      <c r="TKB31" s="537"/>
      <c r="TKC31" s="537"/>
      <c r="TKD31" s="537"/>
      <c r="TKE31" s="537"/>
      <c r="TKF31" s="537"/>
      <c r="TKG31" s="537"/>
      <c r="TKH31" s="537"/>
      <c r="TKI31" s="537"/>
      <c r="TKJ31" s="537"/>
      <c r="TKK31" s="537"/>
      <c r="TKL31" s="537"/>
      <c r="TKM31" s="537"/>
      <c r="TKN31" s="537"/>
      <c r="TKO31" s="537"/>
      <c r="TKP31" s="537"/>
      <c r="TKQ31" s="537"/>
      <c r="TKR31" s="537"/>
      <c r="TKS31" s="537"/>
      <c r="TKT31" s="537"/>
      <c r="TKU31" s="537"/>
      <c r="TKV31" s="537"/>
      <c r="TKW31" s="537"/>
      <c r="TKX31" s="537"/>
      <c r="TKY31" s="537"/>
      <c r="TKZ31" s="537"/>
      <c r="TLA31" s="537"/>
      <c r="TLB31" s="537"/>
      <c r="TLC31" s="537"/>
      <c r="TLD31" s="537"/>
      <c r="TLE31" s="537"/>
      <c r="TLF31" s="537"/>
      <c r="TLG31" s="537"/>
      <c r="TLH31" s="537"/>
      <c r="TLI31" s="537"/>
      <c r="TLJ31" s="537"/>
      <c r="TLK31" s="537"/>
      <c r="TLL31" s="537"/>
      <c r="TLM31" s="537"/>
      <c r="TLN31" s="537"/>
      <c r="TLO31" s="537"/>
      <c r="TLP31" s="537"/>
      <c r="TLQ31" s="537"/>
      <c r="TLR31" s="537"/>
      <c r="TLS31" s="537"/>
      <c r="TLT31" s="537"/>
      <c r="TLU31" s="537"/>
      <c r="TLV31" s="537"/>
      <c r="TLW31" s="537"/>
      <c r="TLX31" s="537"/>
      <c r="TLY31" s="537"/>
      <c r="TLZ31" s="537"/>
      <c r="TMA31" s="537"/>
      <c r="TMB31" s="537"/>
      <c r="TMC31" s="537"/>
      <c r="TMD31" s="537"/>
      <c r="TME31" s="537"/>
      <c r="TMF31" s="537"/>
      <c r="TMG31" s="537"/>
      <c r="TMH31" s="537"/>
      <c r="TMI31" s="537"/>
      <c r="TMJ31" s="537"/>
      <c r="TMK31" s="537"/>
      <c r="TML31" s="537"/>
      <c r="TMM31" s="537"/>
      <c r="TMN31" s="537"/>
      <c r="TMO31" s="537"/>
      <c r="TMP31" s="537"/>
      <c r="TMQ31" s="537"/>
      <c r="TMR31" s="537"/>
      <c r="TMS31" s="537"/>
      <c r="TMT31" s="537"/>
      <c r="TMU31" s="537"/>
      <c r="TMV31" s="537"/>
      <c r="TMW31" s="537"/>
      <c r="TMX31" s="537"/>
      <c r="TMY31" s="537"/>
      <c r="TMZ31" s="537"/>
      <c r="TNA31" s="537"/>
      <c r="TNB31" s="537"/>
      <c r="TNC31" s="537"/>
      <c r="TND31" s="537"/>
      <c r="TNE31" s="537"/>
      <c r="TNF31" s="537"/>
      <c r="TNG31" s="537"/>
      <c r="TNH31" s="537"/>
      <c r="TNI31" s="537"/>
      <c r="TNJ31" s="537"/>
      <c r="TNK31" s="537"/>
      <c r="TNL31" s="537"/>
      <c r="TNM31" s="537"/>
      <c r="TNN31" s="537"/>
      <c r="TNO31" s="537"/>
      <c r="TNP31" s="537"/>
      <c r="TNQ31" s="537"/>
      <c r="TNR31" s="537"/>
      <c r="TNS31" s="537"/>
      <c r="TNT31" s="537"/>
      <c r="TNU31" s="537"/>
      <c r="TNV31" s="537"/>
      <c r="TNW31" s="537"/>
      <c r="TNX31" s="537"/>
      <c r="TNY31" s="537"/>
      <c r="TNZ31" s="537"/>
      <c r="TOA31" s="537"/>
      <c r="TOB31" s="537"/>
      <c r="TOC31" s="537"/>
      <c r="TOD31" s="537"/>
      <c r="TOE31" s="537"/>
      <c r="TOF31" s="537"/>
      <c r="TOG31" s="537"/>
      <c r="TOH31" s="537"/>
      <c r="TOI31" s="537"/>
      <c r="TOJ31" s="537"/>
      <c r="TOK31" s="537"/>
      <c r="TOL31" s="537"/>
      <c r="TOM31" s="537"/>
      <c r="TON31" s="537"/>
      <c r="TOO31" s="537"/>
      <c r="TOP31" s="537"/>
      <c r="TOQ31" s="537"/>
      <c r="TOR31" s="537"/>
      <c r="TOS31" s="537"/>
      <c r="TOT31" s="537"/>
      <c r="TOU31" s="537"/>
      <c r="TOV31" s="537"/>
      <c r="TOW31" s="537"/>
      <c r="TOX31" s="537"/>
      <c r="TOY31" s="537"/>
      <c r="TOZ31" s="537"/>
      <c r="TPA31" s="537"/>
      <c r="TPB31" s="537"/>
      <c r="TPC31" s="537"/>
      <c r="TPD31" s="537"/>
      <c r="TPE31" s="537"/>
      <c r="TPF31" s="537"/>
      <c r="TPG31" s="537"/>
      <c r="TPH31" s="537"/>
      <c r="TPI31" s="537"/>
      <c r="TPJ31" s="537"/>
      <c r="TPK31" s="537"/>
      <c r="TPL31" s="537"/>
      <c r="TPM31" s="537"/>
      <c r="TPN31" s="537"/>
      <c r="TPO31" s="537"/>
      <c r="TPP31" s="537"/>
      <c r="TPQ31" s="537"/>
      <c r="TPR31" s="537"/>
      <c r="TPS31" s="537"/>
      <c r="TPT31" s="537"/>
      <c r="TPU31" s="537"/>
      <c r="TPV31" s="537"/>
      <c r="TPW31" s="537"/>
      <c r="TPX31" s="537"/>
      <c r="TPY31" s="537"/>
      <c r="TPZ31" s="537"/>
      <c r="TQA31" s="537"/>
      <c r="TQB31" s="537"/>
      <c r="TQC31" s="537"/>
      <c r="TQD31" s="537"/>
      <c r="TQE31" s="537"/>
      <c r="TQF31" s="537"/>
      <c r="TQG31" s="537"/>
      <c r="TQH31" s="537"/>
      <c r="TQI31" s="537"/>
      <c r="TQJ31" s="537"/>
      <c r="TQK31" s="537"/>
      <c r="TQL31" s="537"/>
      <c r="TQM31" s="537"/>
      <c r="TQN31" s="537"/>
      <c r="TQO31" s="537"/>
      <c r="TQP31" s="537"/>
      <c r="TQQ31" s="537"/>
      <c r="TQR31" s="537"/>
      <c r="TQS31" s="537"/>
      <c r="TQT31" s="537"/>
      <c r="TQU31" s="537"/>
      <c r="TQV31" s="537"/>
      <c r="TQW31" s="537"/>
      <c r="TQX31" s="537"/>
      <c r="TQY31" s="537"/>
      <c r="TQZ31" s="537"/>
      <c r="TRA31" s="537"/>
      <c r="TRB31" s="537"/>
      <c r="TRC31" s="537"/>
      <c r="TRD31" s="537"/>
      <c r="TRE31" s="537"/>
      <c r="TRF31" s="537"/>
      <c r="TRG31" s="537"/>
      <c r="TRH31" s="537"/>
      <c r="TRI31" s="537"/>
      <c r="TRJ31" s="537"/>
      <c r="TRK31" s="537"/>
      <c r="TRL31" s="537"/>
      <c r="TRM31" s="537"/>
      <c r="TRN31" s="537"/>
      <c r="TRO31" s="537"/>
      <c r="TRP31" s="537"/>
      <c r="TRQ31" s="537"/>
      <c r="TRR31" s="537"/>
      <c r="TRS31" s="537"/>
      <c r="TRT31" s="537"/>
      <c r="TRU31" s="537"/>
      <c r="TRV31" s="537"/>
      <c r="TRW31" s="537"/>
      <c r="TRX31" s="537"/>
      <c r="TRY31" s="537"/>
      <c r="TRZ31" s="537"/>
      <c r="TSA31" s="537"/>
      <c r="TSB31" s="537"/>
      <c r="TSC31" s="537"/>
      <c r="TSD31" s="537"/>
      <c r="TSE31" s="537"/>
      <c r="TSF31" s="537"/>
      <c r="TSG31" s="537"/>
      <c r="TSH31" s="537"/>
      <c r="TSI31" s="537"/>
      <c r="TSJ31" s="537"/>
      <c r="TSK31" s="537"/>
      <c r="TSL31" s="537"/>
      <c r="TSM31" s="537"/>
      <c r="TSN31" s="537"/>
      <c r="TSO31" s="537"/>
      <c r="TSP31" s="537"/>
      <c r="TSQ31" s="537"/>
      <c r="TSR31" s="537"/>
      <c r="TSS31" s="537"/>
      <c r="TST31" s="537"/>
      <c r="TSU31" s="537"/>
      <c r="TSV31" s="537"/>
      <c r="TSW31" s="537"/>
      <c r="TSX31" s="537"/>
      <c r="TSY31" s="537"/>
      <c r="TSZ31" s="537"/>
      <c r="TTA31" s="537"/>
      <c r="TTB31" s="537"/>
      <c r="TTC31" s="537"/>
      <c r="TTD31" s="537"/>
      <c r="TTE31" s="537"/>
      <c r="TTF31" s="537"/>
      <c r="TTG31" s="537"/>
      <c r="TTH31" s="537"/>
      <c r="TTI31" s="537"/>
      <c r="TTJ31" s="537"/>
      <c r="TTK31" s="537"/>
      <c r="TTL31" s="537"/>
      <c r="TTM31" s="537"/>
      <c r="TTN31" s="537"/>
      <c r="TTO31" s="537"/>
      <c r="TTP31" s="537"/>
      <c r="TTQ31" s="537"/>
      <c r="TTR31" s="537"/>
      <c r="TTS31" s="537"/>
      <c r="TTT31" s="537"/>
      <c r="TTU31" s="537"/>
      <c r="TTV31" s="537"/>
      <c r="TTW31" s="537"/>
      <c r="TTX31" s="537"/>
      <c r="TTY31" s="537"/>
      <c r="TTZ31" s="537"/>
      <c r="TUA31" s="537"/>
      <c r="TUB31" s="537"/>
      <c r="TUC31" s="537"/>
      <c r="TUD31" s="537"/>
      <c r="TUE31" s="537"/>
      <c r="TUF31" s="537"/>
      <c r="TUG31" s="537"/>
      <c r="TUH31" s="537"/>
      <c r="TUI31" s="537"/>
      <c r="TUJ31" s="537"/>
      <c r="TUK31" s="537"/>
      <c r="TUL31" s="537"/>
      <c r="TUM31" s="537"/>
      <c r="TUN31" s="537"/>
      <c r="TUO31" s="537"/>
      <c r="TUP31" s="537"/>
      <c r="TUQ31" s="537"/>
      <c r="TUR31" s="537"/>
      <c r="TUS31" s="537"/>
      <c r="TUT31" s="537"/>
      <c r="TUU31" s="537"/>
      <c r="TUV31" s="537"/>
      <c r="TUW31" s="537"/>
      <c r="TUX31" s="537"/>
      <c r="TUY31" s="537"/>
      <c r="TUZ31" s="537"/>
      <c r="TVA31" s="537"/>
      <c r="TVB31" s="537"/>
      <c r="TVC31" s="537"/>
      <c r="TVD31" s="537"/>
      <c r="TVE31" s="537"/>
      <c r="TVF31" s="537"/>
      <c r="TVG31" s="537"/>
      <c r="TVH31" s="537"/>
      <c r="TVI31" s="537"/>
      <c r="TVJ31" s="537"/>
      <c r="TVK31" s="537"/>
      <c r="TVL31" s="537"/>
      <c r="TVM31" s="537"/>
      <c r="TVN31" s="537"/>
      <c r="TVO31" s="537"/>
      <c r="TVP31" s="537"/>
      <c r="TVQ31" s="537"/>
      <c r="TVR31" s="537"/>
      <c r="TVS31" s="537"/>
      <c r="TVT31" s="537"/>
      <c r="TVU31" s="537"/>
      <c r="TVV31" s="537"/>
      <c r="TVW31" s="537"/>
      <c r="TVX31" s="537"/>
      <c r="TVY31" s="537"/>
      <c r="TVZ31" s="537"/>
      <c r="TWA31" s="537"/>
      <c r="TWB31" s="537"/>
      <c r="TWC31" s="537"/>
      <c r="TWD31" s="537"/>
      <c r="TWE31" s="537"/>
      <c r="TWF31" s="537"/>
      <c r="TWG31" s="537"/>
      <c r="TWH31" s="537"/>
      <c r="TWI31" s="537"/>
      <c r="TWJ31" s="537"/>
      <c r="TWK31" s="537"/>
      <c r="TWL31" s="537"/>
      <c r="TWM31" s="537"/>
      <c r="TWN31" s="537"/>
      <c r="TWO31" s="537"/>
      <c r="TWP31" s="537"/>
      <c r="TWQ31" s="537"/>
      <c r="TWR31" s="537"/>
      <c r="TWS31" s="537"/>
      <c r="TWT31" s="537"/>
      <c r="TWU31" s="537"/>
      <c r="TWV31" s="537"/>
      <c r="TWW31" s="537"/>
      <c r="TWX31" s="537"/>
      <c r="TWY31" s="537"/>
      <c r="TWZ31" s="537"/>
      <c r="TXA31" s="537"/>
      <c r="TXB31" s="537"/>
      <c r="TXC31" s="537"/>
      <c r="TXD31" s="537"/>
      <c r="TXE31" s="537"/>
      <c r="TXF31" s="537"/>
      <c r="TXG31" s="537"/>
      <c r="TXH31" s="537"/>
      <c r="TXI31" s="537"/>
      <c r="TXJ31" s="537"/>
      <c r="TXK31" s="537"/>
      <c r="TXL31" s="537"/>
      <c r="TXM31" s="537"/>
      <c r="TXN31" s="537"/>
      <c r="TXO31" s="537"/>
      <c r="TXP31" s="537"/>
      <c r="TXQ31" s="537"/>
      <c r="TXR31" s="537"/>
      <c r="TXS31" s="537"/>
      <c r="TXT31" s="537"/>
      <c r="TXU31" s="537"/>
      <c r="TXV31" s="537"/>
      <c r="TXW31" s="537"/>
      <c r="TXX31" s="537"/>
      <c r="TXY31" s="537"/>
      <c r="TXZ31" s="537"/>
      <c r="TYA31" s="537"/>
      <c r="TYB31" s="537"/>
      <c r="TYC31" s="537"/>
      <c r="TYD31" s="537"/>
      <c r="TYE31" s="537"/>
      <c r="TYF31" s="537"/>
      <c r="TYG31" s="537"/>
      <c r="TYH31" s="537"/>
      <c r="TYI31" s="537"/>
      <c r="TYJ31" s="537"/>
      <c r="TYK31" s="537"/>
      <c r="TYL31" s="537"/>
      <c r="TYM31" s="537"/>
      <c r="TYN31" s="537"/>
      <c r="TYO31" s="537"/>
      <c r="TYP31" s="537"/>
      <c r="TYQ31" s="537"/>
      <c r="TYR31" s="537"/>
      <c r="TYS31" s="537"/>
      <c r="TYT31" s="537"/>
      <c r="TYU31" s="537"/>
      <c r="TYV31" s="537"/>
      <c r="TYW31" s="537"/>
      <c r="TYX31" s="537"/>
      <c r="TYY31" s="537"/>
      <c r="TYZ31" s="537"/>
      <c r="TZA31" s="537"/>
      <c r="TZB31" s="537"/>
      <c r="TZC31" s="537"/>
      <c r="TZD31" s="537"/>
      <c r="TZE31" s="537"/>
      <c r="TZF31" s="537"/>
      <c r="TZG31" s="537"/>
      <c r="TZH31" s="537"/>
      <c r="TZI31" s="537"/>
      <c r="TZJ31" s="537"/>
      <c r="TZK31" s="537"/>
      <c r="TZL31" s="537"/>
      <c r="TZM31" s="537"/>
      <c r="TZN31" s="537"/>
      <c r="TZO31" s="537"/>
      <c r="TZP31" s="537"/>
      <c r="TZQ31" s="537"/>
      <c r="TZR31" s="537"/>
      <c r="TZS31" s="537"/>
      <c r="TZT31" s="537"/>
      <c r="TZU31" s="537"/>
      <c r="TZV31" s="537"/>
      <c r="TZW31" s="537"/>
      <c r="TZX31" s="537"/>
      <c r="TZY31" s="537"/>
      <c r="TZZ31" s="537"/>
      <c r="UAA31" s="537"/>
      <c r="UAB31" s="537"/>
      <c r="UAC31" s="537"/>
      <c r="UAD31" s="537"/>
      <c r="UAE31" s="537"/>
      <c r="UAF31" s="537"/>
      <c r="UAG31" s="537"/>
      <c r="UAH31" s="537"/>
      <c r="UAI31" s="537"/>
      <c r="UAJ31" s="537"/>
      <c r="UAK31" s="537"/>
      <c r="UAL31" s="537"/>
      <c r="UAM31" s="537"/>
      <c r="UAN31" s="537"/>
      <c r="UAO31" s="537"/>
      <c r="UAP31" s="537"/>
      <c r="UAQ31" s="537"/>
      <c r="UAR31" s="537"/>
      <c r="UAS31" s="537"/>
      <c r="UAT31" s="537"/>
      <c r="UAU31" s="537"/>
      <c r="UAV31" s="537"/>
      <c r="UAW31" s="537"/>
      <c r="UAX31" s="537"/>
      <c r="UAY31" s="537"/>
      <c r="UAZ31" s="537"/>
      <c r="UBA31" s="537"/>
      <c r="UBB31" s="537"/>
      <c r="UBC31" s="537"/>
      <c r="UBD31" s="537"/>
      <c r="UBE31" s="537"/>
      <c r="UBF31" s="537"/>
      <c r="UBG31" s="537"/>
      <c r="UBH31" s="537"/>
      <c r="UBI31" s="537"/>
      <c r="UBJ31" s="537"/>
      <c r="UBK31" s="537"/>
      <c r="UBL31" s="537"/>
      <c r="UBM31" s="537"/>
      <c r="UBN31" s="537"/>
      <c r="UBO31" s="537"/>
      <c r="UBP31" s="537"/>
      <c r="UBQ31" s="537"/>
      <c r="UBR31" s="537"/>
      <c r="UBS31" s="537"/>
      <c r="UBT31" s="537"/>
      <c r="UBU31" s="537"/>
      <c r="UBV31" s="537"/>
      <c r="UBW31" s="537"/>
      <c r="UBX31" s="537"/>
      <c r="UBY31" s="537"/>
      <c r="UBZ31" s="537"/>
      <c r="UCA31" s="537"/>
      <c r="UCB31" s="537"/>
      <c r="UCC31" s="537"/>
      <c r="UCD31" s="537"/>
      <c r="UCE31" s="537"/>
      <c r="UCF31" s="537"/>
      <c r="UCG31" s="537"/>
      <c r="UCH31" s="537"/>
      <c r="UCI31" s="537"/>
      <c r="UCJ31" s="537"/>
      <c r="UCK31" s="537"/>
      <c r="UCL31" s="537"/>
      <c r="UCM31" s="537"/>
      <c r="UCN31" s="537"/>
      <c r="UCO31" s="537"/>
      <c r="UCP31" s="537"/>
      <c r="UCQ31" s="537"/>
      <c r="UCR31" s="537"/>
      <c r="UCS31" s="537"/>
      <c r="UCT31" s="537"/>
      <c r="UCU31" s="537"/>
      <c r="UCV31" s="537"/>
      <c r="UCW31" s="537"/>
      <c r="UCX31" s="537"/>
      <c r="UCY31" s="537"/>
      <c r="UCZ31" s="537"/>
      <c r="UDA31" s="537"/>
      <c r="UDB31" s="537"/>
      <c r="UDC31" s="537"/>
      <c r="UDD31" s="537"/>
      <c r="UDE31" s="537"/>
      <c r="UDF31" s="537"/>
      <c r="UDG31" s="537"/>
      <c r="UDH31" s="537"/>
      <c r="UDI31" s="537"/>
      <c r="UDJ31" s="537"/>
      <c r="UDK31" s="537"/>
      <c r="UDL31" s="537"/>
      <c r="UDM31" s="537"/>
      <c r="UDN31" s="537"/>
      <c r="UDO31" s="537"/>
      <c r="UDP31" s="537"/>
      <c r="UDQ31" s="537"/>
      <c r="UDR31" s="537"/>
      <c r="UDS31" s="537"/>
      <c r="UDT31" s="537"/>
      <c r="UDU31" s="537"/>
      <c r="UDV31" s="537"/>
      <c r="UDW31" s="537"/>
      <c r="UDX31" s="537"/>
      <c r="UDY31" s="537"/>
      <c r="UDZ31" s="537"/>
      <c r="UEA31" s="537"/>
      <c r="UEB31" s="537"/>
      <c r="UEC31" s="537"/>
      <c r="UED31" s="537"/>
      <c r="UEE31" s="537"/>
      <c r="UEF31" s="537"/>
      <c r="UEG31" s="537"/>
      <c r="UEH31" s="537"/>
      <c r="UEI31" s="537"/>
      <c r="UEJ31" s="537"/>
      <c r="UEK31" s="537"/>
      <c r="UEL31" s="537"/>
      <c r="UEM31" s="537"/>
      <c r="UEN31" s="537"/>
      <c r="UEO31" s="537"/>
      <c r="UEP31" s="537"/>
      <c r="UEQ31" s="537"/>
      <c r="UER31" s="537"/>
      <c r="UES31" s="537"/>
      <c r="UET31" s="537"/>
      <c r="UEU31" s="537"/>
      <c r="UEV31" s="537"/>
      <c r="UEW31" s="537"/>
      <c r="UEX31" s="537"/>
      <c r="UEY31" s="537"/>
      <c r="UEZ31" s="537"/>
      <c r="UFA31" s="537"/>
      <c r="UFB31" s="537"/>
      <c r="UFC31" s="537"/>
      <c r="UFD31" s="537"/>
      <c r="UFE31" s="537"/>
      <c r="UFF31" s="537"/>
      <c r="UFG31" s="537"/>
      <c r="UFH31" s="537"/>
      <c r="UFI31" s="537"/>
      <c r="UFJ31" s="537"/>
      <c r="UFK31" s="537"/>
      <c r="UFL31" s="537"/>
      <c r="UFM31" s="537"/>
      <c r="UFN31" s="537"/>
      <c r="UFO31" s="537"/>
      <c r="UFP31" s="537"/>
      <c r="UFQ31" s="537"/>
      <c r="UFR31" s="537"/>
      <c r="UFS31" s="537"/>
      <c r="UFT31" s="537"/>
      <c r="UFU31" s="537"/>
      <c r="UFV31" s="537"/>
      <c r="UFW31" s="537"/>
      <c r="UFX31" s="537"/>
      <c r="UFY31" s="537"/>
      <c r="UFZ31" s="537"/>
      <c r="UGA31" s="537"/>
      <c r="UGB31" s="537"/>
      <c r="UGC31" s="537"/>
      <c r="UGD31" s="537"/>
      <c r="UGE31" s="537"/>
      <c r="UGF31" s="537"/>
      <c r="UGG31" s="537"/>
      <c r="UGH31" s="537"/>
      <c r="UGI31" s="537"/>
      <c r="UGJ31" s="537"/>
      <c r="UGK31" s="537"/>
      <c r="UGL31" s="537"/>
      <c r="UGM31" s="537"/>
      <c r="UGN31" s="537"/>
      <c r="UGO31" s="537"/>
      <c r="UGP31" s="537"/>
      <c r="UGQ31" s="537"/>
      <c r="UGR31" s="537"/>
      <c r="UGS31" s="537"/>
      <c r="UGT31" s="537"/>
      <c r="UGU31" s="537"/>
      <c r="UGV31" s="537"/>
      <c r="UGW31" s="537"/>
      <c r="UGX31" s="537"/>
      <c r="UGY31" s="537"/>
      <c r="UGZ31" s="537"/>
      <c r="UHA31" s="537"/>
      <c r="UHB31" s="537"/>
      <c r="UHC31" s="537"/>
      <c r="UHD31" s="537"/>
      <c r="UHE31" s="537"/>
      <c r="UHF31" s="537"/>
      <c r="UHG31" s="537"/>
      <c r="UHH31" s="537"/>
      <c r="UHI31" s="537"/>
      <c r="UHJ31" s="537"/>
      <c r="UHK31" s="537"/>
      <c r="UHL31" s="537"/>
      <c r="UHM31" s="537"/>
      <c r="UHN31" s="537"/>
      <c r="UHO31" s="537"/>
      <c r="UHP31" s="537"/>
      <c r="UHQ31" s="537"/>
      <c r="UHR31" s="537"/>
      <c r="UHS31" s="537"/>
      <c r="UHT31" s="537"/>
      <c r="UHU31" s="537"/>
      <c r="UHV31" s="537"/>
      <c r="UHW31" s="537"/>
      <c r="UHX31" s="537"/>
      <c r="UHY31" s="537"/>
      <c r="UHZ31" s="537"/>
      <c r="UIA31" s="537"/>
      <c r="UIB31" s="537"/>
      <c r="UIC31" s="537"/>
      <c r="UID31" s="537"/>
      <c r="UIE31" s="537"/>
      <c r="UIF31" s="537"/>
      <c r="UIG31" s="537"/>
      <c r="UIH31" s="537"/>
      <c r="UII31" s="537"/>
      <c r="UIJ31" s="537"/>
      <c r="UIK31" s="537"/>
      <c r="UIL31" s="537"/>
      <c r="UIM31" s="537"/>
      <c r="UIN31" s="537"/>
      <c r="UIO31" s="537"/>
      <c r="UIP31" s="537"/>
      <c r="UIQ31" s="537"/>
      <c r="UIR31" s="537"/>
      <c r="UIS31" s="537"/>
      <c r="UIT31" s="537"/>
      <c r="UIU31" s="537"/>
      <c r="UIV31" s="537"/>
      <c r="UIW31" s="537"/>
      <c r="UIX31" s="537"/>
      <c r="UIY31" s="537"/>
      <c r="UIZ31" s="537"/>
      <c r="UJA31" s="537"/>
      <c r="UJB31" s="537"/>
      <c r="UJC31" s="537"/>
      <c r="UJD31" s="537"/>
      <c r="UJE31" s="537"/>
      <c r="UJF31" s="537"/>
      <c r="UJG31" s="537"/>
      <c r="UJH31" s="537"/>
      <c r="UJI31" s="537"/>
      <c r="UJJ31" s="537"/>
      <c r="UJK31" s="537"/>
      <c r="UJL31" s="537"/>
      <c r="UJM31" s="537"/>
      <c r="UJN31" s="537"/>
      <c r="UJO31" s="537"/>
      <c r="UJP31" s="537"/>
      <c r="UJQ31" s="537"/>
      <c r="UJR31" s="537"/>
      <c r="UJS31" s="537"/>
      <c r="UJT31" s="537"/>
      <c r="UJU31" s="537"/>
      <c r="UJV31" s="537"/>
      <c r="UJW31" s="537"/>
      <c r="UJX31" s="537"/>
      <c r="UJY31" s="537"/>
      <c r="UJZ31" s="537"/>
      <c r="UKA31" s="537"/>
      <c r="UKB31" s="537"/>
      <c r="UKC31" s="537"/>
      <c r="UKD31" s="537"/>
      <c r="UKE31" s="537"/>
      <c r="UKF31" s="537"/>
      <c r="UKG31" s="537"/>
      <c r="UKH31" s="537"/>
      <c r="UKI31" s="537"/>
      <c r="UKJ31" s="537"/>
      <c r="UKK31" s="537"/>
      <c r="UKL31" s="537"/>
      <c r="UKM31" s="537"/>
      <c r="UKN31" s="537"/>
      <c r="UKO31" s="537"/>
      <c r="UKP31" s="537"/>
      <c r="UKQ31" s="537"/>
      <c r="UKR31" s="537"/>
      <c r="UKS31" s="537"/>
      <c r="UKT31" s="537"/>
      <c r="UKU31" s="537"/>
      <c r="UKV31" s="537"/>
      <c r="UKW31" s="537"/>
      <c r="UKX31" s="537"/>
      <c r="UKY31" s="537"/>
      <c r="UKZ31" s="537"/>
      <c r="ULA31" s="537"/>
      <c r="ULB31" s="537"/>
      <c r="ULC31" s="537"/>
      <c r="ULD31" s="537"/>
      <c r="ULE31" s="537"/>
      <c r="ULF31" s="537"/>
      <c r="ULG31" s="537"/>
      <c r="ULH31" s="537"/>
      <c r="ULI31" s="537"/>
      <c r="ULJ31" s="537"/>
      <c r="ULK31" s="537"/>
      <c r="ULL31" s="537"/>
      <c r="ULM31" s="537"/>
      <c r="ULN31" s="537"/>
      <c r="ULO31" s="537"/>
      <c r="ULP31" s="537"/>
      <c r="ULQ31" s="537"/>
      <c r="ULR31" s="537"/>
      <c r="ULS31" s="537"/>
      <c r="ULT31" s="537"/>
      <c r="ULU31" s="537"/>
      <c r="ULV31" s="537"/>
      <c r="ULW31" s="537"/>
      <c r="ULX31" s="537"/>
      <c r="ULY31" s="537"/>
      <c r="ULZ31" s="537"/>
      <c r="UMA31" s="537"/>
      <c r="UMB31" s="537"/>
      <c r="UMC31" s="537"/>
      <c r="UMD31" s="537"/>
      <c r="UME31" s="537"/>
      <c r="UMF31" s="537"/>
      <c r="UMG31" s="537"/>
      <c r="UMH31" s="537"/>
      <c r="UMI31" s="537"/>
      <c r="UMJ31" s="537"/>
      <c r="UMK31" s="537"/>
      <c r="UML31" s="537"/>
      <c r="UMM31" s="537"/>
      <c r="UMN31" s="537"/>
      <c r="UMO31" s="537"/>
      <c r="UMP31" s="537"/>
      <c r="UMQ31" s="537"/>
      <c r="UMR31" s="537"/>
      <c r="UMS31" s="537"/>
      <c r="UMT31" s="537"/>
      <c r="UMU31" s="537"/>
      <c r="UMV31" s="537"/>
      <c r="UMW31" s="537"/>
      <c r="UMX31" s="537"/>
      <c r="UMY31" s="537"/>
      <c r="UMZ31" s="537"/>
      <c r="UNA31" s="537"/>
      <c r="UNB31" s="537"/>
      <c r="UNC31" s="537"/>
      <c r="UND31" s="537"/>
      <c r="UNE31" s="537"/>
      <c r="UNF31" s="537"/>
      <c r="UNG31" s="537"/>
      <c r="UNH31" s="537"/>
      <c r="UNI31" s="537"/>
      <c r="UNJ31" s="537"/>
      <c r="UNK31" s="537"/>
      <c r="UNL31" s="537"/>
      <c r="UNM31" s="537"/>
      <c r="UNN31" s="537"/>
      <c r="UNO31" s="537"/>
      <c r="UNP31" s="537"/>
      <c r="UNQ31" s="537"/>
      <c r="UNR31" s="537"/>
      <c r="UNS31" s="537"/>
      <c r="UNT31" s="537"/>
      <c r="UNU31" s="537"/>
      <c r="UNV31" s="537"/>
      <c r="UNW31" s="537"/>
      <c r="UNX31" s="537"/>
      <c r="UNY31" s="537"/>
      <c r="UNZ31" s="537"/>
      <c r="UOA31" s="537"/>
      <c r="UOB31" s="537"/>
      <c r="UOC31" s="537"/>
      <c r="UOD31" s="537"/>
      <c r="UOE31" s="537"/>
      <c r="UOF31" s="537"/>
      <c r="UOG31" s="537"/>
      <c r="UOH31" s="537"/>
      <c r="UOI31" s="537"/>
      <c r="UOJ31" s="537"/>
      <c r="UOK31" s="537"/>
      <c r="UOL31" s="537"/>
      <c r="UOM31" s="537"/>
      <c r="UON31" s="537"/>
      <c r="UOO31" s="537"/>
      <c r="UOP31" s="537"/>
      <c r="UOQ31" s="537"/>
      <c r="UOR31" s="537"/>
      <c r="UOS31" s="537"/>
      <c r="UOT31" s="537"/>
      <c r="UOU31" s="537"/>
      <c r="UOV31" s="537"/>
      <c r="UOW31" s="537"/>
      <c r="UOX31" s="537"/>
      <c r="UOY31" s="537"/>
      <c r="UOZ31" s="537"/>
      <c r="UPA31" s="537"/>
      <c r="UPB31" s="537"/>
      <c r="UPC31" s="537"/>
      <c r="UPD31" s="537"/>
      <c r="UPE31" s="537"/>
      <c r="UPF31" s="537"/>
      <c r="UPG31" s="537"/>
      <c r="UPH31" s="537"/>
      <c r="UPI31" s="537"/>
      <c r="UPJ31" s="537"/>
      <c r="UPK31" s="537"/>
      <c r="UPL31" s="537"/>
      <c r="UPM31" s="537"/>
      <c r="UPN31" s="537"/>
      <c r="UPO31" s="537"/>
      <c r="UPP31" s="537"/>
      <c r="UPQ31" s="537"/>
      <c r="UPR31" s="537"/>
      <c r="UPS31" s="537"/>
      <c r="UPT31" s="537"/>
      <c r="UPU31" s="537"/>
      <c r="UPV31" s="537"/>
      <c r="UPW31" s="537"/>
      <c r="UPX31" s="537"/>
      <c r="UPY31" s="537"/>
      <c r="UPZ31" s="537"/>
      <c r="UQA31" s="537"/>
      <c r="UQB31" s="537"/>
      <c r="UQC31" s="537"/>
      <c r="UQD31" s="537"/>
      <c r="UQE31" s="537"/>
      <c r="UQF31" s="537"/>
      <c r="UQG31" s="537"/>
      <c r="UQH31" s="537"/>
      <c r="UQI31" s="537"/>
      <c r="UQJ31" s="537"/>
      <c r="UQK31" s="537"/>
      <c r="UQL31" s="537"/>
      <c r="UQM31" s="537"/>
      <c r="UQN31" s="537"/>
      <c r="UQO31" s="537"/>
      <c r="UQP31" s="537"/>
      <c r="UQQ31" s="537"/>
      <c r="UQR31" s="537"/>
      <c r="UQS31" s="537"/>
      <c r="UQT31" s="537"/>
      <c r="UQU31" s="537"/>
      <c r="UQV31" s="537"/>
      <c r="UQW31" s="537"/>
      <c r="UQX31" s="537"/>
      <c r="UQY31" s="537"/>
      <c r="UQZ31" s="537"/>
      <c r="URA31" s="537"/>
      <c r="URB31" s="537"/>
      <c r="URC31" s="537"/>
      <c r="URD31" s="537"/>
      <c r="URE31" s="537"/>
      <c r="URF31" s="537"/>
      <c r="URG31" s="537"/>
      <c r="URH31" s="537"/>
      <c r="URI31" s="537"/>
      <c r="URJ31" s="537"/>
      <c r="URK31" s="537"/>
      <c r="URL31" s="537"/>
      <c r="URM31" s="537"/>
      <c r="URN31" s="537"/>
      <c r="URO31" s="537"/>
      <c r="URP31" s="537"/>
      <c r="URQ31" s="537"/>
      <c r="URR31" s="537"/>
      <c r="URS31" s="537"/>
      <c r="URT31" s="537"/>
      <c r="URU31" s="537"/>
      <c r="URV31" s="537"/>
      <c r="URW31" s="537"/>
      <c r="URX31" s="537"/>
      <c r="URY31" s="537"/>
      <c r="URZ31" s="537"/>
      <c r="USA31" s="537"/>
      <c r="USB31" s="537"/>
      <c r="USC31" s="537"/>
      <c r="USD31" s="537"/>
      <c r="USE31" s="537"/>
      <c r="USF31" s="537"/>
      <c r="USG31" s="537"/>
      <c r="USH31" s="537"/>
      <c r="USI31" s="537"/>
      <c r="USJ31" s="537"/>
      <c r="USK31" s="537"/>
      <c r="USL31" s="537"/>
      <c r="USM31" s="537"/>
      <c r="USN31" s="537"/>
      <c r="USO31" s="537"/>
      <c r="USP31" s="537"/>
      <c r="USQ31" s="537"/>
      <c r="USR31" s="537"/>
      <c r="USS31" s="537"/>
      <c r="UST31" s="537"/>
      <c r="USU31" s="537"/>
      <c r="USV31" s="537"/>
      <c r="USW31" s="537"/>
      <c r="USX31" s="537"/>
      <c r="USY31" s="537"/>
      <c r="USZ31" s="537"/>
      <c r="UTA31" s="537"/>
      <c r="UTB31" s="537"/>
      <c r="UTC31" s="537"/>
      <c r="UTD31" s="537"/>
      <c r="UTE31" s="537"/>
      <c r="UTF31" s="537"/>
      <c r="UTG31" s="537"/>
      <c r="UTH31" s="537"/>
      <c r="UTI31" s="537"/>
      <c r="UTJ31" s="537"/>
      <c r="UTK31" s="537"/>
      <c r="UTL31" s="537"/>
      <c r="UTM31" s="537"/>
      <c r="UTN31" s="537"/>
      <c r="UTO31" s="537"/>
      <c r="UTP31" s="537"/>
      <c r="UTQ31" s="537"/>
      <c r="UTR31" s="537"/>
      <c r="UTS31" s="537"/>
      <c r="UTT31" s="537"/>
      <c r="UTU31" s="537"/>
      <c r="UTV31" s="537"/>
      <c r="UTW31" s="537"/>
      <c r="UTX31" s="537"/>
      <c r="UTY31" s="537"/>
      <c r="UTZ31" s="537"/>
      <c r="UUA31" s="537"/>
      <c r="UUB31" s="537"/>
      <c r="UUC31" s="537"/>
      <c r="UUD31" s="537"/>
      <c r="UUE31" s="537"/>
      <c r="UUF31" s="537"/>
      <c r="UUG31" s="537"/>
      <c r="UUH31" s="537"/>
      <c r="UUI31" s="537"/>
      <c r="UUJ31" s="537"/>
      <c r="UUK31" s="537"/>
      <c r="UUL31" s="537"/>
      <c r="UUM31" s="537"/>
      <c r="UUN31" s="537"/>
      <c r="UUO31" s="537"/>
      <c r="UUP31" s="537"/>
      <c r="UUQ31" s="537"/>
      <c r="UUR31" s="537"/>
      <c r="UUS31" s="537"/>
      <c r="UUT31" s="537"/>
      <c r="UUU31" s="537"/>
      <c r="UUV31" s="537"/>
      <c r="UUW31" s="537"/>
      <c r="UUX31" s="537"/>
      <c r="UUY31" s="537"/>
      <c r="UUZ31" s="537"/>
      <c r="UVA31" s="537"/>
      <c r="UVB31" s="537"/>
      <c r="UVC31" s="537"/>
      <c r="UVD31" s="537"/>
      <c r="UVE31" s="537"/>
      <c r="UVF31" s="537"/>
      <c r="UVG31" s="537"/>
      <c r="UVH31" s="537"/>
      <c r="UVI31" s="537"/>
      <c r="UVJ31" s="537"/>
      <c r="UVK31" s="537"/>
      <c r="UVL31" s="537"/>
      <c r="UVM31" s="537"/>
      <c r="UVN31" s="537"/>
      <c r="UVO31" s="537"/>
      <c r="UVP31" s="537"/>
      <c r="UVQ31" s="537"/>
      <c r="UVR31" s="537"/>
      <c r="UVS31" s="537"/>
      <c r="UVT31" s="537"/>
      <c r="UVU31" s="537"/>
      <c r="UVV31" s="537"/>
      <c r="UVW31" s="537"/>
      <c r="UVX31" s="537"/>
      <c r="UVY31" s="537"/>
      <c r="UVZ31" s="537"/>
      <c r="UWA31" s="537"/>
      <c r="UWB31" s="537"/>
      <c r="UWC31" s="537"/>
      <c r="UWD31" s="537"/>
      <c r="UWE31" s="537"/>
      <c r="UWF31" s="537"/>
      <c r="UWG31" s="537"/>
      <c r="UWH31" s="537"/>
      <c r="UWI31" s="537"/>
      <c r="UWJ31" s="537"/>
      <c r="UWK31" s="537"/>
      <c r="UWL31" s="537"/>
      <c r="UWM31" s="537"/>
      <c r="UWN31" s="537"/>
      <c r="UWO31" s="537"/>
      <c r="UWP31" s="537"/>
      <c r="UWQ31" s="537"/>
      <c r="UWR31" s="537"/>
      <c r="UWS31" s="537"/>
      <c r="UWT31" s="537"/>
      <c r="UWU31" s="537"/>
      <c r="UWV31" s="537"/>
      <c r="UWW31" s="537"/>
      <c r="UWX31" s="537"/>
      <c r="UWY31" s="537"/>
      <c r="UWZ31" s="537"/>
      <c r="UXA31" s="537"/>
      <c r="UXB31" s="537"/>
      <c r="UXC31" s="537"/>
      <c r="UXD31" s="537"/>
      <c r="UXE31" s="537"/>
      <c r="UXF31" s="537"/>
      <c r="UXG31" s="537"/>
      <c r="UXH31" s="537"/>
      <c r="UXI31" s="537"/>
      <c r="UXJ31" s="537"/>
      <c r="UXK31" s="537"/>
      <c r="UXL31" s="537"/>
      <c r="UXM31" s="537"/>
      <c r="UXN31" s="537"/>
      <c r="UXO31" s="537"/>
      <c r="UXP31" s="537"/>
      <c r="UXQ31" s="537"/>
      <c r="UXR31" s="537"/>
      <c r="UXS31" s="537"/>
      <c r="UXT31" s="537"/>
      <c r="UXU31" s="537"/>
      <c r="UXV31" s="537"/>
      <c r="UXW31" s="537"/>
      <c r="UXX31" s="537"/>
      <c r="UXY31" s="537"/>
      <c r="UXZ31" s="537"/>
      <c r="UYA31" s="537"/>
      <c r="UYB31" s="537"/>
      <c r="UYC31" s="537"/>
      <c r="UYD31" s="537"/>
      <c r="UYE31" s="537"/>
      <c r="UYF31" s="537"/>
      <c r="UYG31" s="537"/>
      <c r="UYH31" s="537"/>
      <c r="UYI31" s="537"/>
      <c r="UYJ31" s="537"/>
      <c r="UYK31" s="537"/>
      <c r="UYL31" s="537"/>
      <c r="UYM31" s="537"/>
      <c r="UYN31" s="537"/>
      <c r="UYO31" s="537"/>
      <c r="UYP31" s="537"/>
      <c r="UYQ31" s="537"/>
      <c r="UYR31" s="537"/>
      <c r="UYS31" s="537"/>
      <c r="UYT31" s="537"/>
      <c r="UYU31" s="537"/>
      <c r="UYV31" s="537"/>
      <c r="UYW31" s="537"/>
      <c r="UYX31" s="537"/>
      <c r="UYY31" s="537"/>
      <c r="UYZ31" s="537"/>
      <c r="UZA31" s="537"/>
      <c r="UZB31" s="537"/>
      <c r="UZC31" s="537"/>
      <c r="UZD31" s="537"/>
      <c r="UZE31" s="537"/>
      <c r="UZF31" s="537"/>
      <c r="UZG31" s="537"/>
      <c r="UZH31" s="537"/>
      <c r="UZI31" s="537"/>
      <c r="UZJ31" s="537"/>
      <c r="UZK31" s="537"/>
      <c r="UZL31" s="537"/>
      <c r="UZM31" s="537"/>
      <c r="UZN31" s="537"/>
      <c r="UZO31" s="537"/>
      <c r="UZP31" s="537"/>
      <c r="UZQ31" s="537"/>
      <c r="UZR31" s="537"/>
      <c r="UZS31" s="537"/>
      <c r="UZT31" s="537"/>
      <c r="UZU31" s="537"/>
      <c r="UZV31" s="537"/>
      <c r="UZW31" s="537"/>
      <c r="UZX31" s="537"/>
      <c r="UZY31" s="537"/>
      <c r="UZZ31" s="537"/>
      <c r="VAA31" s="537"/>
      <c r="VAB31" s="537"/>
      <c r="VAC31" s="537"/>
      <c r="VAD31" s="537"/>
      <c r="VAE31" s="537"/>
      <c r="VAF31" s="537"/>
      <c r="VAG31" s="537"/>
      <c r="VAH31" s="537"/>
      <c r="VAI31" s="537"/>
      <c r="VAJ31" s="537"/>
      <c r="VAK31" s="537"/>
      <c r="VAL31" s="537"/>
      <c r="VAM31" s="537"/>
      <c r="VAN31" s="537"/>
      <c r="VAO31" s="537"/>
      <c r="VAP31" s="537"/>
      <c r="VAQ31" s="537"/>
      <c r="VAR31" s="537"/>
      <c r="VAS31" s="537"/>
      <c r="VAT31" s="537"/>
      <c r="VAU31" s="537"/>
      <c r="VAV31" s="537"/>
      <c r="VAW31" s="537"/>
      <c r="VAX31" s="537"/>
      <c r="VAY31" s="537"/>
      <c r="VAZ31" s="537"/>
      <c r="VBA31" s="537"/>
      <c r="VBB31" s="537"/>
      <c r="VBC31" s="537"/>
      <c r="VBD31" s="537"/>
      <c r="VBE31" s="537"/>
      <c r="VBF31" s="537"/>
      <c r="VBG31" s="537"/>
      <c r="VBH31" s="537"/>
      <c r="VBI31" s="537"/>
      <c r="VBJ31" s="537"/>
      <c r="VBK31" s="537"/>
      <c r="VBL31" s="537"/>
      <c r="VBM31" s="537"/>
      <c r="VBN31" s="537"/>
      <c r="VBO31" s="537"/>
      <c r="VBP31" s="537"/>
      <c r="VBQ31" s="537"/>
      <c r="VBR31" s="537"/>
      <c r="VBS31" s="537"/>
      <c r="VBT31" s="537"/>
      <c r="VBU31" s="537"/>
      <c r="VBV31" s="537"/>
      <c r="VBW31" s="537"/>
      <c r="VBX31" s="537"/>
      <c r="VBY31" s="537"/>
      <c r="VBZ31" s="537"/>
      <c r="VCA31" s="537"/>
      <c r="VCB31" s="537"/>
      <c r="VCC31" s="537"/>
      <c r="VCD31" s="537"/>
      <c r="VCE31" s="537"/>
      <c r="VCF31" s="537"/>
      <c r="VCG31" s="537"/>
      <c r="VCH31" s="537"/>
      <c r="VCI31" s="537"/>
      <c r="VCJ31" s="537"/>
      <c r="VCK31" s="537"/>
      <c r="VCL31" s="537"/>
      <c r="VCM31" s="537"/>
      <c r="VCN31" s="537"/>
      <c r="VCO31" s="537"/>
      <c r="VCP31" s="537"/>
      <c r="VCQ31" s="537"/>
      <c r="VCR31" s="537"/>
      <c r="VCS31" s="537"/>
      <c r="VCT31" s="537"/>
      <c r="VCU31" s="537"/>
      <c r="VCV31" s="537"/>
      <c r="VCW31" s="537"/>
      <c r="VCX31" s="537"/>
      <c r="VCY31" s="537"/>
      <c r="VCZ31" s="537"/>
      <c r="VDA31" s="537"/>
      <c r="VDB31" s="537"/>
      <c r="VDC31" s="537"/>
      <c r="VDD31" s="537"/>
      <c r="VDE31" s="537"/>
      <c r="VDF31" s="537"/>
      <c r="VDG31" s="537"/>
      <c r="VDH31" s="537"/>
      <c r="VDI31" s="537"/>
      <c r="VDJ31" s="537"/>
      <c r="VDK31" s="537"/>
      <c r="VDL31" s="537"/>
      <c r="VDM31" s="537"/>
      <c r="VDN31" s="537"/>
      <c r="VDO31" s="537"/>
      <c r="VDP31" s="537"/>
      <c r="VDQ31" s="537"/>
      <c r="VDR31" s="537"/>
      <c r="VDS31" s="537"/>
      <c r="VDT31" s="537"/>
      <c r="VDU31" s="537"/>
      <c r="VDV31" s="537"/>
      <c r="VDW31" s="537"/>
      <c r="VDX31" s="537"/>
      <c r="VDY31" s="537"/>
      <c r="VDZ31" s="537"/>
      <c r="VEA31" s="537"/>
      <c r="VEB31" s="537"/>
      <c r="VEC31" s="537"/>
      <c r="VED31" s="537"/>
      <c r="VEE31" s="537"/>
      <c r="VEF31" s="537"/>
      <c r="VEG31" s="537"/>
      <c r="VEH31" s="537"/>
      <c r="VEI31" s="537"/>
      <c r="VEJ31" s="537"/>
      <c r="VEK31" s="537"/>
      <c r="VEL31" s="537"/>
      <c r="VEM31" s="537"/>
      <c r="VEN31" s="537"/>
      <c r="VEO31" s="537"/>
      <c r="VEP31" s="537"/>
      <c r="VEQ31" s="537"/>
      <c r="VER31" s="537"/>
      <c r="VES31" s="537"/>
      <c r="VET31" s="537"/>
      <c r="VEU31" s="537"/>
      <c r="VEV31" s="537"/>
      <c r="VEW31" s="537"/>
      <c r="VEX31" s="537"/>
      <c r="VEY31" s="537"/>
      <c r="VEZ31" s="537"/>
      <c r="VFA31" s="537"/>
      <c r="VFB31" s="537"/>
      <c r="VFC31" s="537"/>
      <c r="VFD31" s="537"/>
      <c r="VFE31" s="537"/>
      <c r="VFF31" s="537"/>
      <c r="VFG31" s="537"/>
      <c r="VFH31" s="537"/>
      <c r="VFI31" s="537"/>
      <c r="VFJ31" s="537"/>
      <c r="VFK31" s="537"/>
      <c r="VFL31" s="537"/>
      <c r="VFM31" s="537"/>
      <c r="VFN31" s="537"/>
      <c r="VFO31" s="537"/>
      <c r="VFP31" s="537"/>
      <c r="VFQ31" s="537"/>
      <c r="VFR31" s="537"/>
      <c r="VFS31" s="537"/>
      <c r="VFT31" s="537"/>
      <c r="VFU31" s="537"/>
      <c r="VFV31" s="537"/>
      <c r="VFW31" s="537"/>
      <c r="VFX31" s="537"/>
      <c r="VFY31" s="537"/>
      <c r="VFZ31" s="537"/>
      <c r="VGA31" s="537"/>
      <c r="VGB31" s="537"/>
      <c r="VGC31" s="537"/>
      <c r="VGD31" s="537"/>
      <c r="VGE31" s="537"/>
      <c r="VGF31" s="537"/>
      <c r="VGG31" s="537"/>
      <c r="VGH31" s="537"/>
      <c r="VGI31" s="537"/>
      <c r="VGJ31" s="537"/>
      <c r="VGK31" s="537"/>
      <c r="VGL31" s="537"/>
      <c r="VGM31" s="537"/>
      <c r="VGN31" s="537"/>
      <c r="VGO31" s="537"/>
      <c r="VGP31" s="537"/>
      <c r="VGQ31" s="537"/>
      <c r="VGR31" s="537"/>
      <c r="VGS31" s="537"/>
      <c r="VGT31" s="537"/>
      <c r="VGU31" s="537"/>
      <c r="VGV31" s="537"/>
      <c r="VGW31" s="537"/>
      <c r="VGX31" s="537"/>
      <c r="VGY31" s="537"/>
      <c r="VGZ31" s="537"/>
      <c r="VHA31" s="537"/>
      <c r="VHB31" s="537"/>
      <c r="VHC31" s="537"/>
      <c r="VHD31" s="537"/>
      <c r="VHE31" s="537"/>
      <c r="VHF31" s="537"/>
      <c r="VHG31" s="537"/>
      <c r="VHH31" s="537"/>
      <c r="VHI31" s="537"/>
      <c r="VHJ31" s="537"/>
      <c r="VHK31" s="537"/>
      <c r="VHL31" s="537"/>
      <c r="VHM31" s="537"/>
      <c r="VHN31" s="537"/>
      <c r="VHO31" s="537"/>
      <c r="VHP31" s="537"/>
      <c r="VHQ31" s="537"/>
      <c r="VHR31" s="537"/>
      <c r="VHS31" s="537"/>
      <c r="VHT31" s="537"/>
      <c r="VHU31" s="537"/>
      <c r="VHV31" s="537"/>
      <c r="VHW31" s="537"/>
      <c r="VHX31" s="537"/>
      <c r="VHY31" s="537"/>
      <c r="VHZ31" s="537"/>
      <c r="VIA31" s="537"/>
      <c r="VIB31" s="537"/>
      <c r="VIC31" s="537"/>
      <c r="VID31" s="537"/>
      <c r="VIE31" s="537"/>
      <c r="VIF31" s="537"/>
      <c r="VIG31" s="537"/>
      <c r="VIH31" s="537"/>
      <c r="VII31" s="537"/>
      <c r="VIJ31" s="537"/>
      <c r="VIK31" s="537"/>
      <c r="VIL31" s="537"/>
      <c r="VIM31" s="537"/>
      <c r="VIN31" s="537"/>
      <c r="VIO31" s="537"/>
      <c r="VIP31" s="537"/>
      <c r="VIQ31" s="537"/>
      <c r="VIR31" s="537"/>
      <c r="VIS31" s="537"/>
      <c r="VIT31" s="537"/>
      <c r="VIU31" s="537"/>
      <c r="VIV31" s="537"/>
      <c r="VIW31" s="537"/>
      <c r="VIX31" s="537"/>
      <c r="VIY31" s="537"/>
      <c r="VIZ31" s="537"/>
      <c r="VJA31" s="537"/>
      <c r="VJB31" s="537"/>
      <c r="VJC31" s="537"/>
      <c r="VJD31" s="537"/>
      <c r="VJE31" s="537"/>
      <c r="VJF31" s="537"/>
      <c r="VJG31" s="537"/>
      <c r="VJH31" s="537"/>
      <c r="VJI31" s="537"/>
      <c r="VJJ31" s="537"/>
      <c r="VJK31" s="537"/>
      <c r="VJL31" s="537"/>
      <c r="VJM31" s="537"/>
      <c r="VJN31" s="537"/>
      <c r="VJO31" s="537"/>
      <c r="VJP31" s="537"/>
      <c r="VJQ31" s="537"/>
      <c r="VJR31" s="537"/>
      <c r="VJS31" s="537"/>
      <c r="VJT31" s="537"/>
      <c r="VJU31" s="537"/>
      <c r="VJV31" s="537"/>
      <c r="VJW31" s="537"/>
      <c r="VJX31" s="537"/>
      <c r="VJY31" s="537"/>
      <c r="VJZ31" s="537"/>
      <c r="VKA31" s="537"/>
      <c r="VKB31" s="537"/>
      <c r="VKC31" s="537"/>
      <c r="VKD31" s="537"/>
      <c r="VKE31" s="537"/>
      <c r="VKF31" s="537"/>
      <c r="VKG31" s="537"/>
      <c r="VKH31" s="537"/>
      <c r="VKI31" s="537"/>
      <c r="VKJ31" s="537"/>
      <c r="VKK31" s="537"/>
      <c r="VKL31" s="537"/>
      <c r="VKM31" s="537"/>
      <c r="VKN31" s="537"/>
      <c r="VKO31" s="537"/>
      <c r="VKP31" s="537"/>
      <c r="VKQ31" s="537"/>
      <c r="VKR31" s="537"/>
      <c r="VKS31" s="537"/>
      <c r="VKT31" s="537"/>
      <c r="VKU31" s="537"/>
      <c r="VKV31" s="537"/>
      <c r="VKW31" s="537"/>
      <c r="VKX31" s="537"/>
      <c r="VKY31" s="537"/>
      <c r="VKZ31" s="537"/>
      <c r="VLA31" s="537"/>
      <c r="VLB31" s="537"/>
      <c r="VLC31" s="537"/>
      <c r="VLD31" s="537"/>
      <c r="VLE31" s="537"/>
      <c r="VLF31" s="537"/>
      <c r="VLG31" s="537"/>
      <c r="VLH31" s="537"/>
      <c r="VLI31" s="537"/>
      <c r="VLJ31" s="537"/>
      <c r="VLK31" s="537"/>
      <c r="VLL31" s="537"/>
      <c r="VLM31" s="537"/>
      <c r="VLN31" s="537"/>
      <c r="VLO31" s="537"/>
      <c r="VLP31" s="537"/>
      <c r="VLQ31" s="537"/>
      <c r="VLR31" s="537"/>
      <c r="VLS31" s="537"/>
      <c r="VLT31" s="537"/>
      <c r="VLU31" s="537"/>
      <c r="VLV31" s="537"/>
      <c r="VLW31" s="537"/>
      <c r="VLX31" s="537"/>
      <c r="VLY31" s="537"/>
      <c r="VLZ31" s="537"/>
      <c r="VMA31" s="537"/>
      <c r="VMB31" s="537"/>
      <c r="VMC31" s="537"/>
      <c r="VMD31" s="537"/>
      <c r="VME31" s="537"/>
      <c r="VMF31" s="537"/>
      <c r="VMG31" s="537"/>
      <c r="VMH31" s="537"/>
      <c r="VMI31" s="537"/>
      <c r="VMJ31" s="537"/>
      <c r="VMK31" s="537"/>
      <c r="VML31" s="537"/>
      <c r="VMM31" s="537"/>
      <c r="VMN31" s="537"/>
      <c r="VMO31" s="537"/>
      <c r="VMP31" s="537"/>
      <c r="VMQ31" s="537"/>
      <c r="VMR31" s="537"/>
      <c r="VMS31" s="537"/>
      <c r="VMT31" s="537"/>
      <c r="VMU31" s="537"/>
      <c r="VMV31" s="537"/>
      <c r="VMW31" s="537"/>
      <c r="VMX31" s="537"/>
      <c r="VMY31" s="537"/>
      <c r="VMZ31" s="537"/>
      <c r="VNA31" s="537"/>
      <c r="VNB31" s="537"/>
      <c r="VNC31" s="537"/>
      <c r="VND31" s="537"/>
      <c r="VNE31" s="537"/>
      <c r="VNF31" s="537"/>
      <c r="VNG31" s="537"/>
      <c r="VNH31" s="537"/>
      <c r="VNI31" s="537"/>
      <c r="VNJ31" s="537"/>
      <c r="VNK31" s="537"/>
      <c r="VNL31" s="537"/>
      <c r="VNM31" s="537"/>
      <c r="VNN31" s="537"/>
      <c r="VNO31" s="537"/>
      <c r="VNP31" s="537"/>
      <c r="VNQ31" s="537"/>
      <c r="VNR31" s="537"/>
      <c r="VNS31" s="537"/>
      <c r="VNT31" s="537"/>
      <c r="VNU31" s="537"/>
      <c r="VNV31" s="537"/>
      <c r="VNW31" s="537"/>
      <c r="VNX31" s="537"/>
      <c r="VNY31" s="537"/>
      <c r="VNZ31" s="537"/>
      <c r="VOA31" s="537"/>
      <c r="VOB31" s="537"/>
      <c r="VOC31" s="537"/>
      <c r="VOD31" s="537"/>
      <c r="VOE31" s="537"/>
      <c r="VOF31" s="537"/>
      <c r="VOG31" s="537"/>
      <c r="VOH31" s="537"/>
      <c r="VOI31" s="537"/>
      <c r="VOJ31" s="537"/>
      <c r="VOK31" s="537"/>
      <c r="VOL31" s="537"/>
      <c r="VOM31" s="537"/>
      <c r="VON31" s="537"/>
      <c r="VOO31" s="537"/>
      <c r="VOP31" s="537"/>
      <c r="VOQ31" s="537"/>
      <c r="VOR31" s="537"/>
      <c r="VOS31" s="537"/>
      <c r="VOT31" s="537"/>
      <c r="VOU31" s="537"/>
      <c r="VOV31" s="537"/>
      <c r="VOW31" s="537"/>
      <c r="VOX31" s="537"/>
      <c r="VOY31" s="537"/>
      <c r="VOZ31" s="537"/>
      <c r="VPA31" s="537"/>
      <c r="VPB31" s="537"/>
      <c r="VPC31" s="537"/>
      <c r="VPD31" s="537"/>
      <c r="VPE31" s="537"/>
      <c r="VPF31" s="537"/>
      <c r="VPG31" s="537"/>
      <c r="VPH31" s="537"/>
      <c r="VPI31" s="537"/>
      <c r="VPJ31" s="537"/>
      <c r="VPK31" s="537"/>
      <c r="VPL31" s="537"/>
      <c r="VPM31" s="537"/>
      <c r="VPN31" s="537"/>
      <c r="VPO31" s="537"/>
      <c r="VPP31" s="537"/>
      <c r="VPQ31" s="537"/>
      <c r="VPR31" s="537"/>
      <c r="VPS31" s="537"/>
      <c r="VPT31" s="537"/>
      <c r="VPU31" s="537"/>
      <c r="VPV31" s="537"/>
      <c r="VPW31" s="537"/>
      <c r="VPX31" s="537"/>
      <c r="VPY31" s="537"/>
      <c r="VPZ31" s="537"/>
      <c r="VQA31" s="537"/>
      <c r="VQB31" s="537"/>
      <c r="VQC31" s="537"/>
      <c r="VQD31" s="537"/>
      <c r="VQE31" s="537"/>
      <c r="VQF31" s="537"/>
      <c r="VQG31" s="537"/>
      <c r="VQH31" s="537"/>
      <c r="VQI31" s="537"/>
      <c r="VQJ31" s="537"/>
      <c r="VQK31" s="537"/>
      <c r="VQL31" s="537"/>
      <c r="VQM31" s="537"/>
      <c r="VQN31" s="537"/>
      <c r="VQO31" s="537"/>
      <c r="VQP31" s="537"/>
      <c r="VQQ31" s="537"/>
      <c r="VQR31" s="537"/>
      <c r="VQS31" s="537"/>
      <c r="VQT31" s="537"/>
      <c r="VQU31" s="537"/>
      <c r="VQV31" s="537"/>
      <c r="VQW31" s="537"/>
      <c r="VQX31" s="537"/>
      <c r="VQY31" s="537"/>
      <c r="VQZ31" s="537"/>
      <c r="VRA31" s="537"/>
      <c r="VRB31" s="537"/>
      <c r="VRC31" s="537"/>
      <c r="VRD31" s="537"/>
      <c r="VRE31" s="537"/>
      <c r="VRF31" s="537"/>
      <c r="VRG31" s="537"/>
      <c r="VRH31" s="537"/>
      <c r="VRI31" s="537"/>
      <c r="VRJ31" s="537"/>
      <c r="VRK31" s="537"/>
      <c r="VRL31" s="537"/>
      <c r="VRM31" s="537"/>
      <c r="VRN31" s="537"/>
      <c r="VRO31" s="537"/>
      <c r="VRP31" s="537"/>
      <c r="VRQ31" s="537"/>
      <c r="VRR31" s="537"/>
      <c r="VRS31" s="537"/>
      <c r="VRT31" s="537"/>
      <c r="VRU31" s="537"/>
      <c r="VRV31" s="537"/>
      <c r="VRW31" s="537"/>
      <c r="VRX31" s="537"/>
      <c r="VRY31" s="537"/>
      <c r="VRZ31" s="537"/>
      <c r="VSA31" s="537"/>
      <c r="VSB31" s="537"/>
      <c r="VSC31" s="537"/>
      <c r="VSD31" s="537"/>
      <c r="VSE31" s="537"/>
      <c r="VSF31" s="537"/>
      <c r="VSG31" s="537"/>
      <c r="VSH31" s="537"/>
      <c r="VSI31" s="537"/>
      <c r="VSJ31" s="537"/>
      <c r="VSK31" s="537"/>
      <c r="VSL31" s="537"/>
      <c r="VSM31" s="537"/>
      <c r="VSN31" s="537"/>
      <c r="VSO31" s="537"/>
      <c r="VSP31" s="537"/>
      <c r="VSQ31" s="537"/>
      <c r="VSR31" s="537"/>
      <c r="VSS31" s="537"/>
      <c r="VST31" s="537"/>
      <c r="VSU31" s="537"/>
      <c r="VSV31" s="537"/>
      <c r="VSW31" s="537"/>
      <c r="VSX31" s="537"/>
      <c r="VSY31" s="537"/>
      <c r="VSZ31" s="537"/>
      <c r="VTA31" s="537"/>
      <c r="VTB31" s="537"/>
      <c r="VTC31" s="537"/>
      <c r="VTD31" s="537"/>
      <c r="VTE31" s="537"/>
      <c r="VTF31" s="537"/>
      <c r="VTG31" s="537"/>
      <c r="VTH31" s="537"/>
      <c r="VTI31" s="537"/>
      <c r="VTJ31" s="537"/>
      <c r="VTK31" s="537"/>
      <c r="VTL31" s="537"/>
      <c r="VTM31" s="537"/>
      <c r="VTN31" s="537"/>
      <c r="VTO31" s="537"/>
      <c r="VTP31" s="537"/>
      <c r="VTQ31" s="537"/>
      <c r="VTR31" s="537"/>
      <c r="VTS31" s="537"/>
      <c r="VTT31" s="537"/>
      <c r="VTU31" s="537"/>
      <c r="VTV31" s="537"/>
      <c r="VTW31" s="537"/>
      <c r="VTX31" s="537"/>
      <c r="VTY31" s="537"/>
      <c r="VTZ31" s="537"/>
      <c r="VUA31" s="537"/>
      <c r="VUB31" s="537"/>
      <c r="VUC31" s="537"/>
      <c r="VUD31" s="537"/>
      <c r="VUE31" s="537"/>
      <c r="VUF31" s="537"/>
      <c r="VUG31" s="537"/>
      <c r="VUH31" s="537"/>
      <c r="VUI31" s="537"/>
      <c r="VUJ31" s="537"/>
      <c r="VUK31" s="537"/>
      <c r="VUL31" s="537"/>
      <c r="VUM31" s="537"/>
      <c r="VUN31" s="537"/>
      <c r="VUO31" s="537"/>
      <c r="VUP31" s="537"/>
      <c r="VUQ31" s="537"/>
      <c r="VUR31" s="537"/>
      <c r="VUS31" s="537"/>
      <c r="VUT31" s="537"/>
      <c r="VUU31" s="537"/>
      <c r="VUV31" s="537"/>
      <c r="VUW31" s="537"/>
      <c r="VUX31" s="537"/>
      <c r="VUY31" s="537"/>
      <c r="VUZ31" s="537"/>
      <c r="VVA31" s="537"/>
      <c r="VVB31" s="537"/>
      <c r="VVC31" s="537"/>
      <c r="VVD31" s="537"/>
      <c r="VVE31" s="537"/>
      <c r="VVF31" s="537"/>
      <c r="VVG31" s="537"/>
      <c r="VVH31" s="537"/>
      <c r="VVI31" s="537"/>
      <c r="VVJ31" s="537"/>
      <c r="VVK31" s="537"/>
      <c r="VVL31" s="537"/>
      <c r="VVM31" s="537"/>
      <c r="VVN31" s="537"/>
      <c r="VVO31" s="537"/>
      <c r="VVP31" s="537"/>
      <c r="VVQ31" s="537"/>
      <c r="VVR31" s="537"/>
      <c r="VVS31" s="537"/>
      <c r="VVT31" s="537"/>
      <c r="VVU31" s="537"/>
      <c r="VVV31" s="537"/>
      <c r="VVW31" s="537"/>
      <c r="VVX31" s="537"/>
      <c r="VVY31" s="537"/>
      <c r="VVZ31" s="537"/>
      <c r="VWA31" s="537"/>
      <c r="VWB31" s="537"/>
      <c r="VWC31" s="537"/>
      <c r="VWD31" s="537"/>
      <c r="VWE31" s="537"/>
      <c r="VWF31" s="537"/>
      <c r="VWG31" s="537"/>
      <c r="VWH31" s="537"/>
      <c r="VWI31" s="537"/>
      <c r="VWJ31" s="537"/>
      <c r="VWK31" s="537"/>
      <c r="VWL31" s="537"/>
      <c r="VWM31" s="537"/>
      <c r="VWN31" s="537"/>
      <c r="VWO31" s="537"/>
      <c r="VWP31" s="537"/>
      <c r="VWQ31" s="537"/>
      <c r="VWR31" s="537"/>
      <c r="VWS31" s="537"/>
      <c r="VWT31" s="537"/>
      <c r="VWU31" s="537"/>
      <c r="VWV31" s="537"/>
      <c r="VWW31" s="537"/>
      <c r="VWX31" s="537"/>
      <c r="VWY31" s="537"/>
      <c r="VWZ31" s="537"/>
      <c r="VXA31" s="537"/>
      <c r="VXB31" s="537"/>
      <c r="VXC31" s="537"/>
      <c r="VXD31" s="537"/>
      <c r="VXE31" s="537"/>
      <c r="VXF31" s="537"/>
      <c r="VXG31" s="537"/>
      <c r="VXH31" s="537"/>
      <c r="VXI31" s="537"/>
      <c r="VXJ31" s="537"/>
      <c r="VXK31" s="537"/>
      <c r="VXL31" s="537"/>
      <c r="VXM31" s="537"/>
      <c r="VXN31" s="537"/>
      <c r="VXO31" s="537"/>
      <c r="VXP31" s="537"/>
      <c r="VXQ31" s="537"/>
      <c r="VXR31" s="537"/>
      <c r="VXS31" s="537"/>
      <c r="VXT31" s="537"/>
      <c r="VXU31" s="537"/>
      <c r="VXV31" s="537"/>
      <c r="VXW31" s="537"/>
      <c r="VXX31" s="537"/>
      <c r="VXY31" s="537"/>
      <c r="VXZ31" s="537"/>
      <c r="VYA31" s="537"/>
      <c r="VYB31" s="537"/>
      <c r="VYC31" s="537"/>
      <c r="VYD31" s="537"/>
      <c r="VYE31" s="537"/>
      <c r="VYF31" s="537"/>
      <c r="VYG31" s="537"/>
      <c r="VYH31" s="537"/>
      <c r="VYI31" s="537"/>
      <c r="VYJ31" s="537"/>
      <c r="VYK31" s="537"/>
      <c r="VYL31" s="537"/>
      <c r="VYM31" s="537"/>
      <c r="VYN31" s="537"/>
      <c r="VYO31" s="537"/>
      <c r="VYP31" s="537"/>
      <c r="VYQ31" s="537"/>
      <c r="VYR31" s="537"/>
      <c r="VYS31" s="537"/>
      <c r="VYT31" s="537"/>
      <c r="VYU31" s="537"/>
      <c r="VYV31" s="537"/>
      <c r="VYW31" s="537"/>
      <c r="VYX31" s="537"/>
      <c r="VYY31" s="537"/>
      <c r="VYZ31" s="537"/>
      <c r="VZA31" s="537"/>
      <c r="VZB31" s="537"/>
      <c r="VZC31" s="537"/>
      <c r="VZD31" s="537"/>
      <c r="VZE31" s="537"/>
      <c r="VZF31" s="537"/>
      <c r="VZG31" s="537"/>
      <c r="VZH31" s="537"/>
      <c r="VZI31" s="537"/>
      <c r="VZJ31" s="537"/>
      <c r="VZK31" s="537"/>
      <c r="VZL31" s="537"/>
      <c r="VZM31" s="537"/>
      <c r="VZN31" s="537"/>
      <c r="VZO31" s="537"/>
      <c r="VZP31" s="537"/>
      <c r="VZQ31" s="537"/>
      <c r="VZR31" s="537"/>
      <c r="VZS31" s="537"/>
      <c r="VZT31" s="537"/>
      <c r="VZU31" s="537"/>
      <c r="VZV31" s="537"/>
      <c r="VZW31" s="537"/>
      <c r="VZX31" s="537"/>
      <c r="VZY31" s="537"/>
      <c r="VZZ31" s="537"/>
      <c r="WAA31" s="537"/>
      <c r="WAB31" s="537"/>
      <c r="WAC31" s="537"/>
      <c r="WAD31" s="537"/>
      <c r="WAE31" s="537"/>
      <c r="WAF31" s="537"/>
      <c r="WAG31" s="537"/>
      <c r="WAH31" s="537"/>
      <c r="WAI31" s="537"/>
      <c r="WAJ31" s="537"/>
      <c r="WAK31" s="537"/>
      <c r="WAL31" s="537"/>
      <c r="WAM31" s="537"/>
      <c r="WAN31" s="537"/>
      <c r="WAO31" s="537"/>
      <c r="WAP31" s="537"/>
      <c r="WAQ31" s="537"/>
      <c r="WAR31" s="537"/>
      <c r="WAS31" s="537"/>
      <c r="WAT31" s="537"/>
      <c r="WAU31" s="537"/>
      <c r="WAV31" s="537"/>
      <c r="WAW31" s="537"/>
      <c r="WAX31" s="537"/>
      <c r="WAY31" s="537"/>
      <c r="WAZ31" s="537"/>
      <c r="WBA31" s="537"/>
      <c r="WBB31" s="537"/>
      <c r="WBC31" s="537"/>
      <c r="WBD31" s="537"/>
      <c r="WBE31" s="537"/>
      <c r="WBF31" s="537"/>
      <c r="WBG31" s="537"/>
      <c r="WBH31" s="537"/>
      <c r="WBI31" s="537"/>
      <c r="WBJ31" s="537"/>
      <c r="WBK31" s="537"/>
      <c r="WBL31" s="537"/>
      <c r="WBM31" s="537"/>
      <c r="WBN31" s="537"/>
      <c r="WBO31" s="537"/>
      <c r="WBP31" s="537"/>
      <c r="WBQ31" s="537"/>
      <c r="WBR31" s="537"/>
      <c r="WBS31" s="537"/>
      <c r="WBT31" s="537"/>
      <c r="WBU31" s="537"/>
      <c r="WBV31" s="537"/>
      <c r="WBW31" s="537"/>
      <c r="WBX31" s="537"/>
      <c r="WBY31" s="537"/>
      <c r="WBZ31" s="537"/>
      <c r="WCA31" s="537"/>
      <c r="WCB31" s="537"/>
      <c r="WCC31" s="537"/>
      <c r="WCD31" s="537"/>
      <c r="WCE31" s="537"/>
      <c r="WCF31" s="537"/>
      <c r="WCG31" s="537"/>
      <c r="WCH31" s="537"/>
      <c r="WCI31" s="537"/>
      <c r="WCJ31" s="537"/>
      <c r="WCK31" s="537"/>
      <c r="WCL31" s="537"/>
      <c r="WCM31" s="537"/>
      <c r="WCN31" s="537"/>
      <c r="WCO31" s="537"/>
      <c r="WCP31" s="537"/>
      <c r="WCQ31" s="537"/>
      <c r="WCR31" s="537"/>
      <c r="WCS31" s="537"/>
      <c r="WCT31" s="537"/>
      <c r="WCU31" s="537"/>
      <c r="WCV31" s="537"/>
      <c r="WCW31" s="537"/>
      <c r="WCX31" s="537"/>
      <c r="WCY31" s="537"/>
      <c r="WCZ31" s="537"/>
      <c r="WDA31" s="537"/>
      <c r="WDB31" s="537"/>
      <c r="WDC31" s="537"/>
      <c r="WDD31" s="537"/>
      <c r="WDE31" s="537"/>
      <c r="WDF31" s="537"/>
      <c r="WDG31" s="537"/>
      <c r="WDH31" s="537"/>
      <c r="WDI31" s="537"/>
      <c r="WDJ31" s="537"/>
      <c r="WDK31" s="537"/>
      <c r="WDL31" s="537"/>
      <c r="WDM31" s="537"/>
      <c r="WDN31" s="537"/>
      <c r="WDO31" s="537"/>
      <c r="WDP31" s="537"/>
      <c r="WDQ31" s="537"/>
      <c r="WDR31" s="537"/>
      <c r="WDS31" s="537"/>
      <c r="WDT31" s="537"/>
      <c r="WDU31" s="537"/>
      <c r="WDV31" s="537"/>
      <c r="WDW31" s="537"/>
      <c r="WDX31" s="537"/>
      <c r="WDY31" s="537"/>
      <c r="WDZ31" s="537"/>
      <c r="WEA31" s="537"/>
      <c r="WEB31" s="537"/>
      <c r="WEC31" s="537"/>
      <c r="WED31" s="537"/>
      <c r="WEE31" s="537"/>
      <c r="WEF31" s="537"/>
      <c r="WEG31" s="537"/>
      <c r="WEH31" s="537"/>
      <c r="WEI31" s="537"/>
      <c r="WEJ31" s="537"/>
      <c r="WEK31" s="537"/>
      <c r="WEL31" s="537"/>
      <c r="WEM31" s="537"/>
      <c r="WEN31" s="537"/>
      <c r="WEO31" s="537"/>
      <c r="WEP31" s="537"/>
      <c r="WEQ31" s="537"/>
      <c r="WER31" s="537"/>
      <c r="WES31" s="537"/>
      <c r="WET31" s="537"/>
      <c r="WEU31" s="537"/>
      <c r="WEV31" s="537"/>
      <c r="WEW31" s="537"/>
      <c r="WEX31" s="537"/>
      <c r="WEY31" s="537"/>
      <c r="WEZ31" s="537"/>
      <c r="WFA31" s="537"/>
      <c r="WFB31" s="537"/>
      <c r="WFC31" s="537"/>
      <c r="WFD31" s="537"/>
      <c r="WFE31" s="537"/>
      <c r="WFF31" s="537"/>
      <c r="WFG31" s="537"/>
      <c r="WFH31" s="537"/>
      <c r="WFI31" s="537"/>
      <c r="WFJ31" s="537"/>
      <c r="WFK31" s="537"/>
      <c r="WFL31" s="537"/>
      <c r="WFM31" s="537"/>
      <c r="WFN31" s="537"/>
      <c r="WFO31" s="537"/>
      <c r="WFP31" s="537"/>
      <c r="WFQ31" s="537"/>
      <c r="WFR31" s="537"/>
      <c r="WFS31" s="537"/>
      <c r="WFT31" s="537"/>
      <c r="WFU31" s="537"/>
      <c r="WFV31" s="537"/>
      <c r="WFW31" s="537"/>
      <c r="WFX31" s="537"/>
      <c r="WFY31" s="537"/>
      <c r="WFZ31" s="537"/>
      <c r="WGA31" s="537"/>
      <c r="WGB31" s="537"/>
      <c r="WGC31" s="537"/>
      <c r="WGD31" s="537"/>
      <c r="WGE31" s="537"/>
      <c r="WGF31" s="537"/>
      <c r="WGG31" s="537"/>
      <c r="WGH31" s="537"/>
      <c r="WGI31" s="537"/>
      <c r="WGJ31" s="537"/>
      <c r="WGK31" s="537"/>
      <c r="WGL31" s="537"/>
      <c r="WGM31" s="537"/>
      <c r="WGN31" s="537"/>
      <c r="WGO31" s="537"/>
      <c r="WGP31" s="537"/>
      <c r="WGQ31" s="537"/>
      <c r="WGR31" s="537"/>
      <c r="WGS31" s="537"/>
      <c r="WGT31" s="537"/>
      <c r="WGU31" s="537"/>
      <c r="WGV31" s="537"/>
      <c r="WGW31" s="537"/>
      <c r="WGX31" s="537"/>
      <c r="WGY31" s="537"/>
      <c r="WGZ31" s="537"/>
      <c r="WHA31" s="537"/>
      <c r="WHB31" s="537"/>
      <c r="WHC31" s="537"/>
      <c r="WHD31" s="537"/>
      <c r="WHE31" s="537"/>
      <c r="WHF31" s="537"/>
      <c r="WHG31" s="537"/>
      <c r="WHH31" s="537"/>
      <c r="WHI31" s="537"/>
      <c r="WHJ31" s="537"/>
      <c r="WHK31" s="537"/>
      <c r="WHL31" s="537"/>
      <c r="WHM31" s="537"/>
      <c r="WHN31" s="537"/>
      <c r="WHO31" s="537"/>
      <c r="WHP31" s="537"/>
      <c r="WHQ31" s="537"/>
      <c r="WHR31" s="537"/>
      <c r="WHS31" s="537"/>
      <c r="WHT31" s="537"/>
      <c r="WHU31" s="537"/>
      <c r="WHV31" s="537"/>
      <c r="WHW31" s="537"/>
      <c r="WHX31" s="537"/>
      <c r="WHY31" s="537"/>
      <c r="WHZ31" s="537"/>
      <c r="WIA31" s="537"/>
      <c r="WIB31" s="537"/>
      <c r="WIC31" s="537"/>
      <c r="WID31" s="537"/>
      <c r="WIE31" s="537"/>
      <c r="WIF31" s="537"/>
      <c r="WIG31" s="537"/>
      <c r="WIH31" s="537"/>
      <c r="WII31" s="537"/>
      <c r="WIJ31" s="537"/>
      <c r="WIK31" s="537"/>
      <c r="WIL31" s="537"/>
      <c r="WIM31" s="537"/>
      <c r="WIN31" s="537"/>
      <c r="WIO31" s="537"/>
      <c r="WIP31" s="537"/>
      <c r="WIQ31" s="537"/>
      <c r="WIR31" s="537"/>
      <c r="WIS31" s="537"/>
      <c r="WIT31" s="537"/>
      <c r="WIU31" s="537"/>
      <c r="WIV31" s="537"/>
      <c r="WIW31" s="537"/>
      <c r="WIX31" s="537"/>
      <c r="WIY31" s="537"/>
      <c r="WIZ31" s="537"/>
      <c r="WJA31" s="537"/>
      <c r="WJB31" s="537"/>
      <c r="WJC31" s="537"/>
      <c r="WJD31" s="537"/>
      <c r="WJE31" s="537"/>
      <c r="WJF31" s="537"/>
      <c r="WJG31" s="537"/>
      <c r="WJH31" s="537"/>
      <c r="WJI31" s="537"/>
      <c r="WJJ31" s="537"/>
      <c r="WJK31" s="537"/>
      <c r="WJL31" s="537"/>
      <c r="WJM31" s="537"/>
      <c r="WJN31" s="537"/>
      <c r="WJO31" s="537"/>
      <c r="WJP31" s="537"/>
      <c r="WJQ31" s="537"/>
      <c r="WJR31" s="537"/>
      <c r="WJS31" s="537"/>
      <c r="WJT31" s="537"/>
      <c r="WJU31" s="537"/>
      <c r="WJV31" s="537"/>
      <c r="WJW31" s="537"/>
      <c r="WJX31" s="537"/>
      <c r="WJY31" s="537"/>
      <c r="WJZ31" s="537"/>
      <c r="WKA31" s="537"/>
      <c r="WKB31" s="537"/>
      <c r="WKC31" s="537"/>
      <c r="WKD31" s="537"/>
      <c r="WKE31" s="537"/>
      <c r="WKF31" s="537"/>
      <c r="WKG31" s="537"/>
      <c r="WKH31" s="537"/>
      <c r="WKI31" s="537"/>
      <c r="WKJ31" s="537"/>
      <c r="WKK31" s="537"/>
      <c r="WKL31" s="537"/>
      <c r="WKM31" s="537"/>
      <c r="WKN31" s="537"/>
      <c r="WKO31" s="537"/>
      <c r="WKP31" s="537"/>
      <c r="WKQ31" s="537"/>
      <c r="WKR31" s="537"/>
      <c r="WKS31" s="537"/>
      <c r="WKT31" s="537"/>
      <c r="WKU31" s="537"/>
      <c r="WKV31" s="537"/>
      <c r="WKW31" s="537"/>
      <c r="WKX31" s="537"/>
      <c r="WKY31" s="537"/>
      <c r="WKZ31" s="537"/>
      <c r="WLA31" s="537"/>
      <c r="WLB31" s="537"/>
      <c r="WLC31" s="537"/>
      <c r="WLD31" s="537"/>
      <c r="WLE31" s="537"/>
      <c r="WLF31" s="537"/>
      <c r="WLG31" s="537"/>
      <c r="WLH31" s="537"/>
      <c r="WLI31" s="537"/>
      <c r="WLJ31" s="537"/>
      <c r="WLK31" s="537"/>
      <c r="WLL31" s="537"/>
      <c r="WLM31" s="537"/>
      <c r="WLN31" s="537"/>
      <c r="WLO31" s="537"/>
      <c r="WLP31" s="537"/>
      <c r="WLQ31" s="537"/>
      <c r="WLR31" s="537"/>
      <c r="WLS31" s="537"/>
      <c r="WLT31" s="537"/>
      <c r="WLU31" s="537"/>
      <c r="WLV31" s="537"/>
      <c r="WLW31" s="537"/>
      <c r="WLX31" s="537"/>
      <c r="WLY31" s="537"/>
      <c r="WLZ31" s="537"/>
      <c r="WMA31" s="537"/>
      <c r="WMB31" s="537"/>
      <c r="WMC31" s="537"/>
      <c r="WMD31" s="537"/>
      <c r="WME31" s="537"/>
      <c r="WMF31" s="537"/>
      <c r="WMG31" s="537"/>
      <c r="WMH31" s="537"/>
      <c r="WMI31" s="537"/>
      <c r="WMJ31" s="537"/>
      <c r="WMK31" s="537"/>
      <c r="WML31" s="537"/>
      <c r="WMM31" s="537"/>
      <c r="WMN31" s="537"/>
      <c r="WMO31" s="537"/>
      <c r="WMP31" s="537"/>
      <c r="WMQ31" s="537"/>
      <c r="WMR31" s="537"/>
      <c r="WMS31" s="537"/>
      <c r="WMT31" s="537"/>
      <c r="WMU31" s="537"/>
      <c r="WMV31" s="537"/>
      <c r="WMW31" s="537"/>
      <c r="WMX31" s="537"/>
      <c r="WMY31" s="537"/>
      <c r="WMZ31" s="537"/>
      <c r="WNA31" s="537"/>
      <c r="WNB31" s="537"/>
      <c r="WNC31" s="537"/>
      <c r="WND31" s="537"/>
      <c r="WNE31" s="537"/>
      <c r="WNF31" s="537"/>
      <c r="WNG31" s="537"/>
      <c r="WNH31" s="537"/>
      <c r="WNI31" s="537"/>
      <c r="WNJ31" s="537"/>
      <c r="WNK31" s="537"/>
      <c r="WNL31" s="537"/>
      <c r="WNM31" s="537"/>
      <c r="WNN31" s="537"/>
      <c r="WNO31" s="537"/>
      <c r="WNP31" s="537"/>
      <c r="WNQ31" s="537"/>
      <c r="WNR31" s="537"/>
      <c r="WNS31" s="537"/>
      <c r="WNT31" s="537"/>
      <c r="WNU31" s="537"/>
      <c r="WNV31" s="537"/>
      <c r="WNW31" s="537"/>
      <c r="WNX31" s="537"/>
      <c r="WNY31" s="537"/>
      <c r="WNZ31" s="537"/>
      <c r="WOA31" s="537"/>
      <c r="WOB31" s="537"/>
      <c r="WOC31" s="537"/>
      <c r="WOD31" s="537"/>
      <c r="WOE31" s="537"/>
      <c r="WOF31" s="537"/>
      <c r="WOG31" s="537"/>
      <c r="WOH31" s="537"/>
      <c r="WOI31" s="537"/>
      <c r="WOJ31" s="537"/>
      <c r="WOK31" s="537"/>
      <c r="WOL31" s="537"/>
      <c r="WOM31" s="537"/>
      <c r="WON31" s="537"/>
      <c r="WOO31" s="537"/>
      <c r="WOP31" s="537"/>
      <c r="WOQ31" s="537"/>
      <c r="WOR31" s="537"/>
      <c r="WOS31" s="537"/>
      <c r="WOT31" s="537"/>
      <c r="WOU31" s="537"/>
      <c r="WOV31" s="537"/>
      <c r="WOW31" s="537"/>
      <c r="WOX31" s="537"/>
      <c r="WOY31" s="537"/>
      <c r="WOZ31" s="537"/>
      <c r="WPA31" s="537"/>
      <c r="WPB31" s="537"/>
      <c r="WPC31" s="537"/>
      <c r="WPD31" s="537"/>
      <c r="WPE31" s="537"/>
      <c r="WPF31" s="537"/>
      <c r="WPG31" s="537"/>
      <c r="WPH31" s="537"/>
      <c r="WPI31" s="537"/>
      <c r="WPJ31" s="537"/>
      <c r="WPK31" s="537"/>
      <c r="WPL31" s="537"/>
      <c r="WPM31" s="537"/>
      <c r="WPN31" s="537"/>
      <c r="WPO31" s="537"/>
      <c r="WPP31" s="537"/>
      <c r="WPQ31" s="537"/>
      <c r="WPR31" s="537"/>
      <c r="WPS31" s="537"/>
      <c r="WPT31" s="537"/>
      <c r="WPU31" s="537"/>
      <c r="WPV31" s="537"/>
      <c r="WPW31" s="537"/>
      <c r="WPX31" s="537"/>
      <c r="WPY31" s="537"/>
      <c r="WPZ31" s="537"/>
      <c r="WQA31" s="537"/>
      <c r="WQB31" s="537"/>
      <c r="WQC31" s="537"/>
      <c r="WQD31" s="537"/>
      <c r="WQE31" s="537"/>
      <c r="WQF31" s="537"/>
      <c r="WQG31" s="537"/>
      <c r="WQH31" s="537"/>
      <c r="WQI31" s="537"/>
      <c r="WQJ31" s="537"/>
      <c r="WQK31" s="537"/>
      <c r="WQL31" s="537"/>
      <c r="WQM31" s="537"/>
      <c r="WQN31" s="537"/>
      <c r="WQO31" s="537"/>
      <c r="WQP31" s="537"/>
      <c r="WQQ31" s="537"/>
      <c r="WQR31" s="537"/>
      <c r="WQS31" s="537"/>
      <c r="WQT31" s="537"/>
      <c r="WQU31" s="537"/>
      <c r="WQV31" s="537"/>
      <c r="WQW31" s="537"/>
      <c r="WQX31" s="537"/>
      <c r="WQY31" s="537"/>
      <c r="WQZ31" s="537"/>
      <c r="WRA31" s="537"/>
      <c r="WRB31" s="537"/>
      <c r="WRC31" s="537"/>
      <c r="WRD31" s="537"/>
      <c r="WRE31" s="537"/>
      <c r="WRF31" s="537"/>
      <c r="WRG31" s="537"/>
      <c r="WRH31" s="537"/>
      <c r="WRI31" s="537"/>
      <c r="WRJ31" s="537"/>
      <c r="WRK31" s="537"/>
      <c r="WRL31" s="537"/>
      <c r="WRM31" s="537"/>
      <c r="WRN31" s="537"/>
      <c r="WRO31" s="537"/>
      <c r="WRP31" s="537"/>
      <c r="WRQ31" s="537"/>
      <c r="WRR31" s="537"/>
      <c r="WRS31" s="537"/>
      <c r="WRT31" s="537"/>
      <c r="WRU31" s="537"/>
      <c r="WRV31" s="537"/>
      <c r="WRW31" s="537"/>
      <c r="WRX31" s="537"/>
      <c r="WRY31" s="537"/>
      <c r="WRZ31" s="537"/>
      <c r="WSA31" s="537"/>
      <c r="WSB31" s="537"/>
      <c r="WSC31" s="537"/>
      <c r="WSD31" s="537"/>
      <c r="WSE31" s="537"/>
      <c r="WSF31" s="537"/>
      <c r="WSG31" s="537"/>
      <c r="WSH31" s="537"/>
      <c r="WSI31" s="537"/>
      <c r="WSJ31" s="537"/>
      <c r="WSK31" s="537"/>
      <c r="WSL31" s="537"/>
      <c r="WSM31" s="537"/>
      <c r="WSN31" s="537"/>
      <c r="WSO31" s="537"/>
      <c r="WSP31" s="537"/>
      <c r="WSQ31" s="537"/>
      <c r="WSR31" s="537"/>
      <c r="WSS31" s="537"/>
      <c r="WST31" s="537"/>
      <c r="WSU31" s="537"/>
      <c r="WSV31" s="537"/>
      <c r="WSW31" s="537"/>
      <c r="WSX31" s="537"/>
      <c r="WSY31" s="537"/>
      <c r="WSZ31" s="537"/>
      <c r="WTA31" s="537"/>
      <c r="WTB31" s="537"/>
      <c r="WTC31" s="537"/>
      <c r="WTD31" s="537"/>
      <c r="WTE31" s="537"/>
      <c r="WTF31" s="537"/>
      <c r="WTG31" s="537"/>
      <c r="WTH31" s="537"/>
      <c r="WTI31" s="537"/>
      <c r="WTJ31" s="537"/>
      <c r="WTK31" s="537"/>
      <c r="WTL31" s="537"/>
      <c r="WTM31" s="537"/>
      <c r="WTN31" s="537"/>
      <c r="WTO31" s="537"/>
      <c r="WTP31" s="537"/>
      <c r="WTQ31" s="537"/>
      <c r="WTR31" s="537"/>
      <c r="WTS31" s="537"/>
      <c r="WTT31" s="537"/>
      <c r="WTU31" s="537"/>
      <c r="WTV31" s="537"/>
      <c r="WTW31" s="537"/>
      <c r="WTX31" s="537"/>
      <c r="WTY31" s="537"/>
      <c r="WTZ31" s="537"/>
      <c r="WUA31" s="537"/>
      <c r="WUB31" s="537"/>
      <c r="WUC31" s="537"/>
      <c r="WUD31" s="537"/>
      <c r="WUE31" s="537"/>
      <c r="WUF31" s="537"/>
      <c r="WUG31" s="537"/>
      <c r="WUH31" s="537"/>
      <c r="WUI31" s="537"/>
      <c r="WUJ31" s="537"/>
      <c r="WUK31" s="537"/>
      <c r="WUL31" s="537"/>
      <c r="WUM31" s="537"/>
      <c r="WUN31" s="537"/>
      <c r="WUO31" s="537"/>
      <c r="WUP31" s="537"/>
      <c r="WUQ31" s="537"/>
      <c r="WUR31" s="537"/>
      <c r="WUS31" s="537"/>
      <c r="WUT31" s="537"/>
      <c r="WUU31" s="537"/>
      <c r="WUV31" s="537"/>
      <c r="WUW31" s="537"/>
      <c r="WUX31" s="537"/>
      <c r="WUY31" s="537"/>
      <c r="WUZ31" s="537"/>
      <c r="WVA31" s="537"/>
      <c r="WVB31" s="537"/>
      <c r="WVC31" s="537"/>
      <c r="WVD31" s="537"/>
      <c r="WVE31" s="537"/>
      <c r="WVF31" s="537"/>
      <c r="WVG31" s="537"/>
      <c r="WVH31" s="537"/>
      <c r="WVI31" s="537"/>
      <c r="WVJ31" s="537"/>
      <c r="WVK31" s="537"/>
      <c r="WVL31" s="537"/>
      <c r="WVM31" s="537"/>
      <c r="WVN31" s="537"/>
      <c r="WVO31" s="537"/>
      <c r="WVP31" s="537"/>
      <c r="WVQ31" s="537"/>
      <c r="WVR31" s="537"/>
      <c r="WVS31" s="537"/>
      <c r="WVT31" s="537"/>
      <c r="WVU31" s="537"/>
      <c r="WVV31" s="537"/>
      <c r="WVW31" s="537"/>
      <c r="WVX31" s="537"/>
      <c r="WVY31" s="537"/>
      <c r="WVZ31" s="537"/>
      <c r="WWA31" s="537"/>
      <c r="WWB31" s="537"/>
      <c r="WWC31" s="537"/>
      <c r="WWD31" s="537"/>
      <c r="WWE31" s="537"/>
      <c r="WWF31" s="537"/>
      <c r="WWG31" s="537"/>
      <c r="WWH31" s="537"/>
      <c r="WWI31" s="537"/>
      <c r="WWJ31" s="537"/>
      <c r="WWK31" s="537"/>
      <c r="WWL31" s="537"/>
      <c r="WWM31" s="537"/>
      <c r="WWN31" s="537"/>
      <c r="WWO31" s="537"/>
      <c r="WWP31" s="537"/>
      <c r="WWQ31" s="537"/>
      <c r="WWR31" s="537"/>
      <c r="WWS31" s="537"/>
      <c r="WWT31" s="537"/>
      <c r="WWU31" s="537"/>
      <c r="WWV31" s="537"/>
      <c r="WWW31" s="537"/>
      <c r="WWX31" s="537"/>
      <c r="WWY31" s="537"/>
      <c r="WWZ31" s="537"/>
      <c r="WXA31" s="537"/>
      <c r="WXB31" s="537"/>
      <c r="WXC31" s="537"/>
      <c r="WXD31" s="537"/>
      <c r="WXE31" s="537"/>
      <c r="WXF31" s="537"/>
      <c r="WXG31" s="537"/>
      <c r="WXH31" s="537"/>
      <c r="WXI31" s="537"/>
      <c r="WXJ31" s="537"/>
      <c r="WXK31" s="537"/>
      <c r="WXL31" s="537"/>
      <c r="WXM31" s="537"/>
      <c r="WXN31" s="537"/>
      <c r="WXO31" s="537"/>
      <c r="WXP31" s="537"/>
      <c r="WXQ31" s="537"/>
      <c r="WXR31" s="537"/>
      <c r="WXS31" s="537"/>
      <c r="WXT31" s="537"/>
      <c r="WXU31" s="537"/>
      <c r="WXV31" s="537"/>
      <c r="WXW31" s="537"/>
      <c r="WXX31" s="537"/>
      <c r="WXY31" s="537"/>
      <c r="WXZ31" s="537"/>
      <c r="WYA31" s="537"/>
      <c r="WYB31" s="537"/>
      <c r="WYC31" s="537"/>
      <c r="WYD31" s="537"/>
      <c r="WYE31" s="537"/>
      <c r="WYF31" s="537"/>
      <c r="WYG31" s="537"/>
      <c r="WYH31" s="537"/>
      <c r="WYI31" s="537"/>
      <c r="WYJ31" s="537"/>
      <c r="WYK31" s="537"/>
      <c r="WYL31" s="537"/>
      <c r="WYM31" s="537"/>
      <c r="WYN31" s="537"/>
      <c r="WYO31" s="537"/>
      <c r="WYP31" s="537"/>
      <c r="WYQ31" s="537"/>
      <c r="WYR31" s="537"/>
      <c r="WYS31" s="537"/>
      <c r="WYT31" s="537"/>
      <c r="WYU31" s="537"/>
      <c r="WYV31" s="537"/>
      <c r="WYW31" s="537"/>
      <c r="WYX31" s="537"/>
      <c r="WYY31" s="537"/>
      <c r="WYZ31" s="537"/>
      <c r="WZA31" s="537"/>
      <c r="WZB31" s="537"/>
      <c r="WZC31" s="537"/>
      <c r="WZD31" s="537"/>
      <c r="WZE31" s="537"/>
      <c r="WZF31" s="537"/>
      <c r="WZG31" s="537"/>
      <c r="WZH31" s="537"/>
      <c r="WZI31" s="537"/>
      <c r="WZJ31" s="537"/>
      <c r="WZK31" s="537"/>
      <c r="WZL31" s="537"/>
      <c r="WZM31" s="537"/>
      <c r="WZN31" s="537"/>
      <c r="WZO31" s="537"/>
      <c r="WZP31" s="537"/>
      <c r="WZQ31" s="537"/>
      <c r="WZR31" s="537"/>
      <c r="WZS31" s="537"/>
      <c r="WZT31" s="537"/>
      <c r="WZU31" s="537"/>
      <c r="WZV31" s="537"/>
      <c r="WZW31" s="537"/>
      <c r="WZX31" s="537"/>
      <c r="WZY31" s="537"/>
      <c r="WZZ31" s="537"/>
      <c r="XAA31" s="537"/>
      <c r="XAB31" s="537"/>
      <c r="XAC31" s="537"/>
      <c r="XAD31" s="537"/>
      <c r="XAE31" s="537"/>
      <c r="XAF31" s="537"/>
      <c r="XAG31" s="537"/>
      <c r="XAH31" s="537"/>
      <c r="XAI31" s="537"/>
      <c r="XAJ31" s="537"/>
      <c r="XAK31" s="537"/>
      <c r="XAL31" s="537"/>
      <c r="XAM31" s="537"/>
      <c r="XAN31" s="537"/>
      <c r="XAO31" s="537"/>
      <c r="XAP31" s="537"/>
      <c r="XAQ31" s="537"/>
      <c r="XAR31" s="537"/>
      <c r="XAS31" s="537"/>
      <c r="XAT31" s="537"/>
      <c r="XAU31" s="537"/>
      <c r="XAV31" s="537"/>
      <c r="XAW31" s="537"/>
      <c r="XAX31" s="537"/>
      <c r="XAY31" s="537"/>
      <c r="XAZ31" s="537"/>
      <c r="XBA31" s="537"/>
      <c r="XBB31" s="537"/>
      <c r="XBC31" s="537"/>
      <c r="XBD31" s="537"/>
      <c r="XBE31" s="537"/>
      <c r="XBF31" s="537"/>
      <c r="XBG31" s="537"/>
      <c r="XBH31" s="537"/>
      <c r="XBI31" s="537"/>
      <c r="XBJ31" s="537"/>
      <c r="XBK31" s="537"/>
      <c r="XBL31" s="537"/>
      <c r="XBM31" s="537"/>
      <c r="XBN31" s="537"/>
      <c r="XBO31" s="537"/>
      <c r="XBP31" s="537"/>
      <c r="XBQ31" s="537"/>
      <c r="XBR31" s="537"/>
      <c r="XBS31" s="537"/>
      <c r="XBT31" s="537"/>
      <c r="XBU31" s="537"/>
      <c r="XBV31" s="537"/>
      <c r="XBW31" s="537"/>
      <c r="XBX31" s="537"/>
      <c r="XBY31" s="537"/>
      <c r="XBZ31" s="537"/>
      <c r="XCA31" s="537"/>
      <c r="XCB31" s="537"/>
      <c r="XCC31" s="537"/>
      <c r="XCD31" s="537"/>
      <c r="XCE31" s="537"/>
      <c r="XCF31" s="537"/>
      <c r="XCG31" s="537"/>
      <c r="XCH31" s="537"/>
      <c r="XCI31" s="537"/>
      <c r="XCJ31" s="537"/>
      <c r="XCK31" s="537"/>
      <c r="XCL31" s="537"/>
      <c r="XCM31" s="537"/>
      <c r="XCN31" s="537"/>
      <c r="XCO31" s="537"/>
      <c r="XCP31" s="537"/>
      <c r="XCQ31" s="537"/>
      <c r="XCR31" s="537"/>
      <c r="XCS31" s="537"/>
      <c r="XCT31" s="537"/>
      <c r="XCU31" s="537"/>
      <c r="XCV31" s="537"/>
      <c r="XCW31" s="537"/>
      <c r="XCX31" s="537"/>
      <c r="XCY31" s="537"/>
      <c r="XCZ31" s="537"/>
      <c r="XDA31" s="537"/>
      <c r="XDB31" s="537"/>
      <c r="XDC31" s="537"/>
      <c r="XDD31" s="537"/>
      <c r="XDE31" s="537"/>
      <c r="XDF31" s="537"/>
      <c r="XDG31" s="537"/>
      <c r="XDH31" s="537"/>
      <c r="XDI31" s="537"/>
      <c r="XDJ31" s="537"/>
      <c r="XDK31" s="537"/>
      <c r="XDL31" s="537"/>
      <c r="XDM31" s="537"/>
      <c r="XDN31" s="537"/>
      <c r="XDO31" s="537"/>
      <c r="XDP31" s="537"/>
      <c r="XDQ31" s="537"/>
      <c r="XDR31" s="537"/>
      <c r="XDS31" s="537"/>
      <c r="XDT31" s="537"/>
      <c r="XDU31" s="537"/>
      <c r="XDV31" s="537"/>
      <c r="XDW31" s="537"/>
      <c r="XDX31" s="537"/>
      <c r="XDY31" s="537"/>
      <c r="XDZ31" s="537"/>
      <c r="XEA31" s="537"/>
      <c r="XEB31" s="537"/>
      <c r="XEC31" s="537"/>
      <c r="XED31" s="537"/>
      <c r="XEE31" s="537"/>
      <c r="XEF31" s="537"/>
      <c r="XEG31" s="537"/>
      <c r="XEH31" s="537"/>
      <c r="XEI31" s="537"/>
      <c r="XEJ31" s="537"/>
      <c r="XEK31" s="537"/>
      <c r="XEL31" s="537"/>
      <c r="XEM31" s="537"/>
      <c r="XEN31" s="537"/>
      <c r="XEO31" s="537"/>
      <c r="XEP31" s="537"/>
      <c r="XEQ31" s="537"/>
      <c r="XER31" s="537"/>
      <c r="XES31" s="537"/>
      <c r="XET31" s="537"/>
      <c r="XEU31" s="537"/>
      <c r="XEV31" s="537"/>
      <c r="XEW31" s="537"/>
      <c r="XEX31" s="537"/>
      <c r="XEY31" s="537"/>
    </row>
    <row r="32" spans="1:16379" s="586" customFormat="1" ht="23.25" customHeight="1" x14ac:dyDescent="0.25">
      <c r="B32" s="434" t="s">
        <v>1007</v>
      </c>
      <c r="C32" s="558" t="s">
        <v>1030</v>
      </c>
      <c r="D32" s="559"/>
      <c r="E32" s="559"/>
      <c r="F32" s="587"/>
      <c r="G32" s="588"/>
      <c r="H32" s="589"/>
      <c r="I32" s="427">
        <f>-(SUMPRODUCT(((LEFT(BalanceN!$A$4:$A$9999,2)="16")+(LEFT(BalanceN!$A$4:$A$9999,2)="17")+(LEFT(BalanceN!$A$4:$A$9999,2)="18")-(LEFT(BalanceN!$A$4:$A$9999,3)="166")-(LEFT(BalanceN!$A$4:$A$9999,3)="176")-(LEFT(BalanceN!$A$4:$A$9999,3)="183"))*BalanceN!$E$4:$E$9999)-SUMPRODUCT(((LEFT(BalanceN!$A$4:$A$9999,4)="4794"))*BalanceN!$F$4:$F$9999)+SUMPRODUCT(((LEFT(BalanceN!$A$4:$A$9999,4)="4784"))*BalanceN!$E$4:$E$9999))</f>
        <v>-5000000</v>
      </c>
      <c r="J32" s="507">
        <f>-(SUMPRODUCT(((LEFT('BalanceN-1'!$A$4:$A$9999,2)="16")+(LEFT('BalanceN-1'!$A$4:$A$9999,2)="17")+(LEFT('BalanceN-1'!$A$4:$A$9999,2)="18")-(LEFT('BalanceN-1'!$A$4:$A$9999,3)="166")-(LEFT('BalanceN-1'!$A$4:$A$9999,3)="176")-(LEFT('BalanceN-1'!$A$4:$A$9999,3)="183"))*'BalanceN-1'!$E$4:$E$9999)-SUMPRODUCT(((LEFT('BalanceN-1'!$A$4:$A$9999,4)="4794"))*'BalanceN-1'!$F$4:$F$9999)+SUMPRODUCT(((LEFT('BalanceN-1'!$A$4:$A$9999,4)="4784"))*'BalanceN-1'!$E$4:$E$9999))</f>
        <v>0</v>
      </c>
    </row>
    <row r="33" spans="2:16379" s="546" customFormat="1" ht="33" customHeight="1" x14ac:dyDescent="0.25">
      <c r="B33" s="543" t="s">
        <v>1008</v>
      </c>
      <c r="C33" s="2029" t="s">
        <v>1043</v>
      </c>
      <c r="D33" s="2030"/>
      <c r="E33" s="2030"/>
      <c r="F33" s="2031"/>
      <c r="G33" s="547" t="s">
        <v>1036</v>
      </c>
      <c r="H33" s="590"/>
      <c r="I33" s="548">
        <f>SUM(I30:I32)</f>
        <v>95000000</v>
      </c>
      <c r="J33" s="548">
        <f>SUM(J30:J32)</f>
        <v>0</v>
      </c>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c r="IT33" s="537"/>
      <c r="IU33" s="537"/>
      <c r="IV33" s="537"/>
      <c r="IW33" s="537"/>
      <c r="IX33" s="537"/>
      <c r="IY33" s="537"/>
      <c r="IZ33" s="537"/>
      <c r="JA33" s="537"/>
      <c r="JB33" s="537"/>
      <c r="JC33" s="537"/>
      <c r="JD33" s="537"/>
      <c r="JE33" s="537"/>
      <c r="JF33" s="537"/>
      <c r="JG33" s="537"/>
      <c r="JH33" s="537"/>
      <c r="JI33" s="537"/>
      <c r="JJ33" s="537"/>
      <c r="JK33" s="537"/>
      <c r="JL33" s="537"/>
      <c r="JM33" s="537"/>
      <c r="JN33" s="537"/>
      <c r="JO33" s="537"/>
      <c r="JP33" s="537"/>
      <c r="JQ33" s="537"/>
      <c r="JR33" s="537"/>
      <c r="JS33" s="537"/>
      <c r="JT33" s="537"/>
      <c r="JU33" s="537"/>
      <c r="JV33" s="537"/>
      <c r="JW33" s="537"/>
      <c r="JX33" s="537"/>
      <c r="JY33" s="537"/>
      <c r="JZ33" s="537"/>
      <c r="KA33" s="537"/>
      <c r="KB33" s="537"/>
      <c r="KC33" s="537"/>
      <c r="KD33" s="537"/>
      <c r="KE33" s="537"/>
      <c r="KF33" s="537"/>
      <c r="KG33" s="537"/>
      <c r="KH33" s="537"/>
      <c r="KI33" s="537"/>
      <c r="KJ33" s="537"/>
      <c r="KK33" s="537"/>
      <c r="KL33" s="537"/>
      <c r="KM33" s="537"/>
      <c r="KN33" s="537"/>
      <c r="KO33" s="537"/>
      <c r="KP33" s="537"/>
      <c r="KQ33" s="537"/>
      <c r="KR33" s="537"/>
      <c r="KS33" s="537"/>
      <c r="KT33" s="537"/>
      <c r="KU33" s="537"/>
      <c r="KV33" s="537"/>
      <c r="KW33" s="537"/>
      <c r="KX33" s="537"/>
      <c r="KY33" s="537"/>
      <c r="KZ33" s="537"/>
      <c r="LA33" s="537"/>
      <c r="LB33" s="537"/>
      <c r="LC33" s="537"/>
      <c r="LD33" s="537"/>
      <c r="LE33" s="537"/>
      <c r="LF33" s="537"/>
      <c r="LG33" s="537"/>
      <c r="LH33" s="537"/>
      <c r="LI33" s="537"/>
      <c r="LJ33" s="537"/>
      <c r="LK33" s="537"/>
      <c r="LL33" s="537"/>
      <c r="LM33" s="537"/>
      <c r="LN33" s="537"/>
      <c r="LO33" s="537"/>
      <c r="LP33" s="537"/>
      <c r="LQ33" s="537"/>
      <c r="LR33" s="537"/>
      <c r="LS33" s="537"/>
      <c r="LT33" s="537"/>
      <c r="LU33" s="537"/>
      <c r="LV33" s="537"/>
      <c r="LW33" s="537"/>
      <c r="LX33" s="537"/>
      <c r="LY33" s="537"/>
      <c r="LZ33" s="537"/>
      <c r="MA33" s="537"/>
      <c r="MB33" s="537"/>
      <c r="MC33" s="537"/>
      <c r="MD33" s="537"/>
      <c r="ME33" s="537"/>
      <c r="MF33" s="537"/>
      <c r="MG33" s="537"/>
      <c r="MH33" s="537"/>
      <c r="MI33" s="537"/>
      <c r="MJ33" s="537"/>
      <c r="MK33" s="537"/>
      <c r="ML33" s="537"/>
      <c r="MM33" s="537"/>
      <c r="MN33" s="537"/>
      <c r="MO33" s="537"/>
      <c r="MP33" s="537"/>
      <c r="MQ33" s="537"/>
      <c r="MR33" s="537"/>
      <c r="MS33" s="537"/>
      <c r="MT33" s="537"/>
      <c r="MU33" s="537"/>
      <c r="MV33" s="537"/>
      <c r="MW33" s="537"/>
      <c r="MX33" s="537"/>
      <c r="MY33" s="537"/>
      <c r="MZ33" s="537"/>
      <c r="NA33" s="537"/>
      <c r="NB33" s="537"/>
      <c r="NC33" s="537"/>
      <c r="ND33" s="537"/>
      <c r="NE33" s="537"/>
      <c r="NF33" s="537"/>
      <c r="NG33" s="537"/>
      <c r="NH33" s="537"/>
      <c r="NI33" s="537"/>
      <c r="NJ33" s="537"/>
      <c r="NK33" s="537"/>
      <c r="NL33" s="537"/>
      <c r="NM33" s="537"/>
      <c r="NN33" s="537"/>
      <c r="NO33" s="537"/>
      <c r="NP33" s="537"/>
      <c r="NQ33" s="537"/>
      <c r="NR33" s="537"/>
      <c r="NS33" s="537"/>
      <c r="NT33" s="537"/>
      <c r="NU33" s="537"/>
      <c r="NV33" s="537"/>
      <c r="NW33" s="537"/>
      <c r="NX33" s="537"/>
      <c r="NY33" s="537"/>
      <c r="NZ33" s="537"/>
      <c r="OA33" s="537"/>
      <c r="OB33" s="537"/>
      <c r="OC33" s="537"/>
      <c r="OD33" s="537"/>
      <c r="OE33" s="537"/>
      <c r="OF33" s="537"/>
      <c r="OG33" s="537"/>
      <c r="OH33" s="537"/>
      <c r="OI33" s="537"/>
      <c r="OJ33" s="537"/>
      <c r="OK33" s="537"/>
      <c r="OL33" s="537"/>
      <c r="OM33" s="537"/>
      <c r="ON33" s="537"/>
      <c r="OO33" s="537"/>
      <c r="OP33" s="537"/>
      <c r="OQ33" s="537"/>
      <c r="OR33" s="537"/>
      <c r="OS33" s="537"/>
      <c r="OT33" s="537"/>
      <c r="OU33" s="537"/>
      <c r="OV33" s="537"/>
      <c r="OW33" s="537"/>
      <c r="OX33" s="537"/>
      <c r="OY33" s="537"/>
      <c r="OZ33" s="537"/>
      <c r="PA33" s="537"/>
      <c r="PB33" s="537"/>
      <c r="PC33" s="537"/>
      <c r="PD33" s="537"/>
      <c r="PE33" s="537"/>
      <c r="PF33" s="537"/>
      <c r="PG33" s="537"/>
      <c r="PH33" s="537"/>
      <c r="PI33" s="537"/>
      <c r="PJ33" s="537"/>
      <c r="PK33" s="537"/>
      <c r="PL33" s="537"/>
      <c r="PM33" s="537"/>
      <c r="PN33" s="537"/>
      <c r="PO33" s="537"/>
      <c r="PP33" s="537"/>
      <c r="PQ33" s="537"/>
      <c r="PR33" s="537"/>
      <c r="PS33" s="537"/>
      <c r="PT33" s="537"/>
      <c r="PU33" s="537"/>
      <c r="PV33" s="537"/>
      <c r="PW33" s="537"/>
      <c r="PX33" s="537"/>
      <c r="PY33" s="537"/>
      <c r="PZ33" s="537"/>
      <c r="QA33" s="537"/>
      <c r="QB33" s="537"/>
      <c r="QC33" s="537"/>
      <c r="QD33" s="537"/>
      <c r="QE33" s="537"/>
      <c r="QF33" s="537"/>
      <c r="QG33" s="537"/>
      <c r="QH33" s="537"/>
      <c r="QI33" s="537"/>
      <c r="QJ33" s="537"/>
      <c r="QK33" s="537"/>
      <c r="QL33" s="537"/>
      <c r="QM33" s="537"/>
      <c r="QN33" s="537"/>
      <c r="QO33" s="537"/>
      <c r="QP33" s="537"/>
      <c r="QQ33" s="537"/>
      <c r="QR33" s="537"/>
      <c r="QS33" s="537"/>
      <c r="QT33" s="537"/>
      <c r="QU33" s="537"/>
      <c r="QV33" s="537"/>
      <c r="QW33" s="537"/>
      <c r="QX33" s="537"/>
      <c r="QY33" s="537"/>
      <c r="QZ33" s="537"/>
      <c r="RA33" s="537"/>
      <c r="RB33" s="537"/>
      <c r="RC33" s="537"/>
      <c r="RD33" s="537"/>
      <c r="RE33" s="537"/>
      <c r="RF33" s="537"/>
      <c r="RG33" s="537"/>
      <c r="RH33" s="537"/>
      <c r="RI33" s="537"/>
      <c r="RJ33" s="537"/>
      <c r="RK33" s="537"/>
      <c r="RL33" s="537"/>
      <c r="RM33" s="537"/>
      <c r="RN33" s="537"/>
      <c r="RO33" s="537"/>
      <c r="RP33" s="537"/>
      <c r="RQ33" s="537"/>
      <c r="RR33" s="537"/>
      <c r="RS33" s="537"/>
      <c r="RT33" s="537"/>
      <c r="RU33" s="537"/>
      <c r="RV33" s="537"/>
      <c r="RW33" s="537"/>
      <c r="RX33" s="537"/>
      <c r="RY33" s="537"/>
      <c r="RZ33" s="537"/>
      <c r="SA33" s="537"/>
      <c r="SB33" s="537"/>
      <c r="SC33" s="537"/>
      <c r="SD33" s="537"/>
      <c r="SE33" s="537"/>
      <c r="SF33" s="537"/>
      <c r="SG33" s="537"/>
      <c r="SH33" s="537"/>
      <c r="SI33" s="537"/>
      <c r="SJ33" s="537"/>
      <c r="SK33" s="537"/>
      <c r="SL33" s="537"/>
      <c r="SM33" s="537"/>
      <c r="SN33" s="537"/>
      <c r="SO33" s="537"/>
      <c r="SP33" s="537"/>
      <c r="SQ33" s="537"/>
      <c r="SR33" s="537"/>
      <c r="SS33" s="537"/>
      <c r="ST33" s="537"/>
      <c r="SU33" s="537"/>
      <c r="SV33" s="537"/>
      <c r="SW33" s="537"/>
      <c r="SX33" s="537"/>
      <c r="SY33" s="537"/>
      <c r="SZ33" s="537"/>
      <c r="TA33" s="537"/>
      <c r="TB33" s="537"/>
      <c r="TC33" s="537"/>
      <c r="TD33" s="537"/>
      <c r="TE33" s="537"/>
      <c r="TF33" s="537"/>
      <c r="TG33" s="537"/>
      <c r="TH33" s="537"/>
      <c r="TI33" s="537"/>
      <c r="TJ33" s="537"/>
      <c r="TK33" s="537"/>
      <c r="TL33" s="537"/>
      <c r="TM33" s="537"/>
      <c r="TN33" s="537"/>
      <c r="TO33" s="537"/>
      <c r="TP33" s="537"/>
      <c r="TQ33" s="537"/>
      <c r="TR33" s="537"/>
      <c r="TS33" s="537"/>
      <c r="TT33" s="537"/>
      <c r="TU33" s="537"/>
      <c r="TV33" s="537"/>
      <c r="TW33" s="537"/>
      <c r="TX33" s="537"/>
      <c r="TY33" s="537"/>
      <c r="TZ33" s="537"/>
      <c r="UA33" s="537"/>
      <c r="UB33" s="537"/>
      <c r="UC33" s="537"/>
      <c r="UD33" s="537"/>
      <c r="UE33" s="537"/>
      <c r="UF33" s="537"/>
      <c r="UG33" s="537"/>
      <c r="UH33" s="537"/>
      <c r="UI33" s="537"/>
      <c r="UJ33" s="537"/>
      <c r="UK33" s="537"/>
      <c r="UL33" s="537"/>
      <c r="UM33" s="537"/>
      <c r="UN33" s="537"/>
      <c r="UO33" s="537"/>
      <c r="UP33" s="537"/>
      <c r="UQ33" s="537"/>
      <c r="UR33" s="537"/>
      <c r="US33" s="537"/>
      <c r="UT33" s="537"/>
      <c r="UU33" s="537"/>
      <c r="UV33" s="537"/>
      <c r="UW33" s="537"/>
      <c r="UX33" s="537"/>
      <c r="UY33" s="537"/>
      <c r="UZ33" s="537"/>
      <c r="VA33" s="537"/>
      <c r="VB33" s="537"/>
      <c r="VC33" s="537"/>
      <c r="VD33" s="537"/>
      <c r="VE33" s="537"/>
      <c r="VF33" s="537"/>
      <c r="VG33" s="537"/>
      <c r="VH33" s="537"/>
      <c r="VI33" s="537"/>
      <c r="VJ33" s="537"/>
      <c r="VK33" s="537"/>
      <c r="VL33" s="537"/>
      <c r="VM33" s="537"/>
      <c r="VN33" s="537"/>
      <c r="VO33" s="537"/>
      <c r="VP33" s="537"/>
      <c r="VQ33" s="537"/>
      <c r="VR33" s="537"/>
      <c r="VS33" s="537"/>
      <c r="VT33" s="537"/>
      <c r="VU33" s="537"/>
      <c r="VV33" s="537"/>
      <c r="VW33" s="537"/>
      <c r="VX33" s="537"/>
      <c r="VY33" s="537"/>
      <c r="VZ33" s="537"/>
      <c r="WA33" s="537"/>
      <c r="WB33" s="537"/>
      <c r="WC33" s="537"/>
      <c r="WD33" s="537"/>
      <c r="WE33" s="537"/>
      <c r="WF33" s="537"/>
      <c r="WG33" s="537"/>
      <c r="WH33" s="537"/>
      <c r="WI33" s="537"/>
      <c r="WJ33" s="537"/>
      <c r="WK33" s="537"/>
      <c r="WL33" s="537"/>
      <c r="WM33" s="537"/>
      <c r="WN33" s="537"/>
      <c r="WO33" s="537"/>
      <c r="WP33" s="537"/>
      <c r="WQ33" s="537"/>
      <c r="WR33" s="537"/>
      <c r="WS33" s="537"/>
      <c r="WT33" s="537"/>
      <c r="WU33" s="537"/>
      <c r="WV33" s="537"/>
      <c r="WW33" s="537"/>
      <c r="WX33" s="537"/>
      <c r="WY33" s="537"/>
      <c r="WZ33" s="537"/>
      <c r="XA33" s="537"/>
      <c r="XB33" s="537"/>
      <c r="XC33" s="537"/>
      <c r="XD33" s="537"/>
      <c r="XE33" s="537"/>
      <c r="XF33" s="537"/>
      <c r="XG33" s="537"/>
      <c r="XH33" s="537"/>
      <c r="XI33" s="537"/>
      <c r="XJ33" s="537"/>
      <c r="XK33" s="537"/>
      <c r="XL33" s="537"/>
      <c r="XM33" s="537"/>
      <c r="XN33" s="537"/>
      <c r="XO33" s="537"/>
      <c r="XP33" s="537"/>
      <c r="XQ33" s="537"/>
      <c r="XR33" s="537"/>
      <c r="XS33" s="537"/>
      <c r="XT33" s="537"/>
      <c r="XU33" s="537"/>
      <c r="XV33" s="537"/>
      <c r="XW33" s="537"/>
      <c r="XX33" s="537"/>
      <c r="XY33" s="537"/>
      <c r="XZ33" s="537"/>
      <c r="YA33" s="537"/>
      <c r="YB33" s="537"/>
      <c r="YC33" s="537"/>
      <c r="YD33" s="537"/>
      <c r="YE33" s="537"/>
      <c r="YF33" s="537"/>
      <c r="YG33" s="537"/>
      <c r="YH33" s="537"/>
      <c r="YI33" s="537"/>
      <c r="YJ33" s="537"/>
      <c r="YK33" s="537"/>
      <c r="YL33" s="537"/>
      <c r="YM33" s="537"/>
      <c r="YN33" s="537"/>
      <c r="YO33" s="537"/>
      <c r="YP33" s="537"/>
      <c r="YQ33" s="537"/>
      <c r="YR33" s="537"/>
      <c r="YS33" s="537"/>
      <c r="YT33" s="537"/>
      <c r="YU33" s="537"/>
      <c r="YV33" s="537"/>
      <c r="YW33" s="537"/>
      <c r="YX33" s="537"/>
      <c r="YY33" s="537"/>
      <c r="YZ33" s="537"/>
      <c r="ZA33" s="537"/>
      <c r="ZB33" s="537"/>
      <c r="ZC33" s="537"/>
      <c r="ZD33" s="537"/>
      <c r="ZE33" s="537"/>
      <c r="ZF33" s="537"/>
      <c r="ZG33" s="537"/>
      <c r="ZH33" s="537"/>
      <c r="ZI33" s="537"/>
      <c r="ZJ33" s="537"/>
      <c r="ZK33" s="537"/>
      <c r="ZL33" s="537"/>
      <c r="ZM33" s="537"/>
      <c r="ZN33" s="537"/>
      <c r="ZO33" s="537"/>
      <c r="ZP33" s="537"/>
      <c r="ZQ33" s="537"/>
      <c r="ZR33" s="537"/>
      <c r="ZS33" s="537"/>
      <c r="ZT33" s="537"/>
      <c r="ZU33" s="537"/>
      <c r="ZV33" s="537"/>
      <c r="ZW33" s="537"/>
      <c r="ZX33" s="537"/>
      <c r="ZY33" s="537"/>
      <c r="ZZ33" s="537"/>
      <c r="AAA33" s="537"/>
      <c r="AAB33" s="537"/>
      <c r="AAC33" s="537"/>
      <c r="AAD33" s="537"/>
      <c r="AAE33" s="537"/>
      <c r="AAF33" s="537"/>
      <c r="AAG33" s="537"/>
      <c r="AAH33" s="537"/>
      <c r="AAI33" s="537"/>
      <c r="AAJ33" s="537"/>
      <c r="AAK33" s="537"/>
      <c r="AAL33" s="537"/>
      <c r="AAM33" s="537"/>
      <c r="AAN33" s="537"/>
      <c r="AAO33" s="537"/>
      <c r="AAP33" s="537"/>
      <c r="AAQ33" s="537"/>
      <c r="AAR33" s="537"/>
      <c r="AAS33" s="537"/>
      <c r="AAT33" s="537"/>
      <c r="AAU33" s="537"/>
      <c r="AAV33" s="537"/>
      <c r="AAW33" s="537"/>
      <c r="AAX33" s="537"/>
      <c r="AAY33" s="537"/>
      <c r="AAZ33" s="537"/>
      <c r="ABA33" s="537"/>
      <c r="ABB33" s="537"/>
      <c r="ABC33" s="537"/>
      <c r="ABD33" s="537"/>
      <c r="ABE33" s="537"/>
      <c r="ABF33" s="537"/>
      <c r="ABG33" s="537"/>
      <c r="ABH33" s="537"/>
      <c r="ABI33" s="537"/>
      <c r="ABJ33" s="537"/>
      <c r="ABK33" s="537"/>
      <c r="ABL33" s="537"/>
      <c r="ABM33" s="537"/>
      <c r="ABN33" s="537"/>
      <c r="ABO33" s="537"/>
      <c r="ABP33" s="537"/>
      <c r="ABQ33" s="537"/>
      <c r="ABR33" s="537"/>
      <c r="ABS33" s="537"/>
      <c r="ABT33" s="537"/>
      <c r="ABU33" s="537"/>
      <c r="ABV33" s="537"/>
      <c r="ABW33" s="537"/>
      <c r="ABX33" s="537"/>
      <c r="ABY33" s="537"/>
      <c r="ABZ33" s="537"/>
      <c r="ACA33" s="537"/>
      <c r="ACB33" s="537"/>
      <c r="ACC33" s="537"/>
      <c r="ACD33" s="537"/>
      <c r="ACE33" s="537"/>
      <c r="ACF33" s="537"/>
      <c r="ACG33" s="537"/>
      <c r="ACH33" s="537"/>
      <c r="ACI33" s="537"/>
      <c r="ACJ33" s="537"/>
      <c r="ACK33" s="537"/>
      <c r="ACL33" s="537"/>
      <c r="ACM33" s="537"/>
      <c r="ACN33" s="537"/>
      <c r="ACO33" s="537"/>
      <c r="ACP33" s="537"/>
      <c r="ACQ33" s="537"/>
      <c r="ACR33" s="537"/>
      <c r="ACS33" s="537"/>
      <c r="ACT33" s="537"/>
      <c r="ACU33" s="537"/>
      <c r="ACV33" s="537"/>
      <c r="ACW33" s="537"/>
      <c r="ACX33" s="537"/>
      <c r="ACY33" s="537"/>
      <c r="ACZ33" s="537"/>
      <c r="ADA33" s="537"/>
      <c r="ADB33" s="537"/>
      <c r="ADC33" s="537"/>
      <c r="ADD33" s="537"/>
      <c r="ADE33" s="537"/>
      <c r="ADF33" s="537"/>
      <c r="ADG33" s="537"/>
      <c r="ADH33" s="537"/>
      <c r="ADI33" s="537"/>
      <c r="ADJ33" s="537"/>
      <c r="ADK33" s="537"/>
      <c r="ADL33" s="537"/>
      <c r="ADM33" s="537"/>
      <c r="ADN33" s="537"/>
      <c r="ADO33" s="537"/>
      <c r="ADP33" s="537"/>
      <c r="ADQ33" s="537"/>
      <c r="ADR33" s="537"/>
      <c r="ADS33" s="537"/>
      <c r="ADT33" s="537"/>
      <c r="ADU33" s="537"/>
      <c r="ADV33" s="537"/>
      <c r="ADW33" s="537"/>
      <c r="ADX33" s="537"/>
      <c r="ADY33" s="537"/>
      <c r="ADZ33" s="537"/>
      <c r="AEA33" s="537"/>
      <c r="AEB33" s="537"/>
      <c r="AEC33" s="537"/>
      <c r="AED33" s="537"/>
      <c r="AEE33" s="537"/>
      <c r="AEF33" s="537"/>
      <c r="AEG33" s="537"/>
      <c r="AEH33" s="537"/>
      <c r="AEI33" s="537"/>
      <c r="AEJ33" s="537"/>
      <c r="AEK33" s="537"/>
      <c r="AEL33" s="537"/>
      <c r="AEM33" s="537"/>
      <c r="AEN33" s="537"/>
      <c r="AEO33" s="537"/>
      <c r="AEP33" s="537"/>
      <c r="AEQ33" s="537"/>
      <c r="AER33" s="537"/>
      <c r="AES33" s="537"/>
      <c r="AET33" s="537"/>
      <c r="AEU33" s="537"/>
      <c r="AEV33" s="537"/>
      <c r="AEW33" s="537"/>
      <c r="AEX33" s="537"/>
      <c r="AEY33" s="537"/>
      <c r="AEZ33" s="537"/>
      <c r="AFA33" s="537"/>
      <c r="AFB33" s="537"/>
      <c r="AFC33" s="537"/>
      <c r="AFD33" s="537"/>
      <c r="AFE33" s="537"/>
      <c r="AFF33" s="537"/>
      <c r="AFG33" s="537"/>
      <c r="AFH33" s="537"/>
      <c r="AFI33" s="537"/>
      <c r="AFJ33" s="537"/>
      <c r="AFK33" s="537"/>
      <c r="AFL33" s="537"/>
      <c r="AFM33" s="537"/>
      <c r="AFN33" s="537"/>
      <c r="AFO33" s="537"/>
      <c r="AFP33" s="537"/>
      <c r="AFQ33" s="537"/>
      <c r="AFR33" s="537"/>
      <c r="AFS33" s="537"/>
      <c r="AFT33" s="537"/>
      <c r="AFU33" s="537"/>
      <c r="AFV33" s="537"/>
      <c r="AFW33" s="537"/>
      <c r="AFX33" s="537"/>
      <c r="AFY33" s="537"/>
      <c r="AFZ33" s="537"/>
      <c r="AGA33" s="537"/>
      <c r="AGB33" s="537"/>
      <c r="AGC33" s="537"/>
      <c r="AGD33" s="537"/>
      <c r="AGE33" s="537"/>
      <c r="AGF33" s="537"/>
      <c r="AGG33" s="537"/>
      <c r="AGH33" s="537"/>
      <c r="AGI33" s="537"/>
      <c r="AGJ33" s="537"/>
      <c r="AGK33" s="537"/>
      <c r="AGL33" s="537"/>
      <c r="AGM33" s="537"/>
      <c r="AGN33" s="537"/>
      <c r="AGO33" s="537"/>
      <c r="AGP33" s="537"/>
      <c r="AGQ33" s="537"/>
      <c r="AGR33" s="537"/>
      <c r="AGS33" s="537"/>
      <c r="AGT33" s="537"/>
      <c r="AGU33" s="537"/>
      <c r="AGV33" s="537"/>
      <c r="AGW33" s="537"/>
      <c r="AGX33" s="537"/>
      <c r="AGY33" s="537"/>
      <c r="AGZ33" s="537"/>
      <c r="AHA33" s="537"/>
      <c r="AHB33" s="537"/>
      <c r="AHC33" s="537"/>
      <c r="AHD33" s="537"/>
      <c r="AHE33" s="537"/>
      <c r="AHF33" s="537"/>
      <c r="AHG33" s="537"/>
      <c r="AHH33" s="537"/>
      <c r="AHI33" s="537"/>
      <c r="AHJ33" s="537"/>
      <c r="AHK33" s="537"/>
      <c r="AHL33" s="537"/>
      <c r="AHM33" s="537"/>
      <c r="AHN33" s="537"/>
      <c r="AHO33" s="537"/>
      <c r="AHP33" s="537"/>
      <c r="AHQ33" s="537"/>
      <c r="AHR33" s="537"/>
      <c r="AHS33" s="537"/>
      <c r="AHT33" s="537"/>
      <c r="AHU33" s="537"/>
      <c r="AHV33" s="537"/>
      <c r="AHW33" s="537"/>
      <c r="AHX33" s="537"/>
      <c r="AHY33" s="537"/>
      <c r="AHZ33" s="537"/>
      <c r="AIA33" s="537"/>
      <c r="AIB33" s="537"/>
      <c r="AIC33" s="537"/>
      <c r="AID33" s="537"/>
      <c r="AIE33" s="537"/>
      <c r="AIF33" s="537"/>
      <c r="AIG33" s="537"/>
      <c r="AIH33" s="537"/>
      <c r="AII33" s="537"/>
      <c r="AIJ33" s="537"/>
      <c r="AIK33" s="537"/>
      <c r="AIL33" s="537"/>
      <c r="AIM33" s="537"/>
      <c r="AIN33" s="537"/>
      <c r="AIO33" s="537"/>
      <c r="AIP33" s="537"/>
      <c r="AIQ33" s="537"/>
      <c r="AIR33" s="537"/>
      <c r="AIS33" s="537"/>
      <c r="AIT33" s="537"/>
      <c r="AIU33" s="537"/>
      <c r="AIV33" s="537"/>
      <c r="AIW33" s="537"/>
      <c r="AIX33" s="537"/>
      <c r="AIY33" s="537"/>
      <c r="AIZ33" s="537"/>
      <c r="AJA33" s="537"/>
      <c r="AJB33" s="537"/>
      <c r="AJC33" s="537"/>
      <c r="AJD33" s="537"/>
      <c r="AJE33" s="537"/>
      <c r="AJF33" s="537"/>
      <c r="AJG33" s="537"/>
      <c r="AJH33" s="537"/>
      <c r="AJI33" s="537"/>
      <c r="AJJ33" s="537"/>
      <c r="AJK33" s="537"/>
      <c r="AJL33" s="537"/>
      <c r="AJM33" s="537"/>
      <c r="AJN33" s="537"/>
      <c r="AJO33" s="537"/>
      <c r="AJP33" s="537"/>
      <c r="AJQ33" s="537"/>
      <c r="AJR33" s="537"/>
      <c r="AJS33" s="537"/>
      <c r="AJT33" s="537"/>
      <c r="AJU33" s="537"/>
      <c r="AJV33" s="537"/>
      <c r="AJW33" s="537"/>
      <c r="AJX33" s="537"/>
      <c r="AJY33" s="537"/>
      <c r="AJZ33" s="537"/>
      <c r="AKA33" s="537"/>
      <c r="AKB33" s="537"/>
      <c r="AKC33" s="537"/>
      <c r="AKD33" s="537"/>
      <c r="AKE33" s="537"/>
      <c r="AKF33" s="537"/>
      <c r="AKG33" s="537"/>
      <c r="AKH33" s="537"/>
      <c r="AKI33" s="537"/>
      <c r="AKJ33" s="537"/>
      <c r="AKK33" s="537"/>
      <c r="AKL33" s="537"/>
      <c r="AKM33" s="537"/>
      <c r="AKN33" s="537"/>
      <c r="AKO33" s="537"/>
      <c r="AKP33" s="537"/>
      <c r="AKQ33" s="537"/>
      <c r="AKR33" s="537"/>
      <c r="AKS33" s="537"/>
      <c r="AKT33" s="537"/>
      <c r="AKU33" s="537"/>
      <c r="AKV33" s="537"/>
      <c r="AKW33" s="537"/>
      <c r="AKX33" s="537"/>
      <c r="AKY33" s="537"/>
      <c r="AKZ33" s="537"/>
      <c r="ALA33" s="537"/>
      <c r="ALB33" s="537"/>
      <c r="ALC33" s="537"/>
      <c r="ALD33" s="537"/>
      <c r="ALE33" s="537"/>
      <c r="ALF33" s="537"/>
      <c r="ALG33" s="537"/>
      <c r="ALH33" s="537"/>
      <c r="ALI33" s="537"/>
      <c r="ALJ33" s="537"/>
      <c r="ALK33" s="537"/>
      <c r="ALL33" s="537"/>
      <c r="ALM33" s="537"/>
      <c r="ALN33" s="537"/>
      <c r="ALO33" s="537"/>
      <c r="ALP33" s="537"/>
      <c r="ALQ33" s="537"/>
      <c r="ALR33" s="537"/>
      <c r="ALS33" s="537"/>
      <c r="ALT33" s="537"/>
      <c r="ALU33" s="537"/>
      <c r="ALV33" s="537"/>
      <c r="ALW33" s="537"/>
      <c r="ALX33" s="537"/>
      <c r="ALY33" s="537"/>
      <c r="ALZ33" s="537"/>
      <c r="AMA33" s="537"/>
      <c r="AMB33" s="537"/>
      <c r="AMC33" s="537"/>
      <c r="AMD33" s="537"/>
      <c r="AME33" s="537"/>
      <c r="AMF33" s="537"/>
      <c r="AMG33" s="537"/>
      <c r="AMH33" s="537"/>
      <c r="AMI33" s="537"/>
      <c r="AMJ33" s="537"/>
      <c r="AMK33" s="537"/>
      <c r="AML33" s="537"/>
      <c r="AMM33" s="537"/>
      <c r="AMN33" s="537"/>
      <c r="AMO33" s="537"/>
      <c r="AMP33" s="537"/>
      <c r="AMQ33" s="537"/>
      <c r="AMR33" s="537"/>
      <c r="AMS33" s="537"/>
      <c r="AMT33" s="537"/>
      <c r="AMU33" s="537"/>
      <c r="AMV33" s="537"/>
      <c r="AMW33" s="537"/>
      <c r="AMX33" s="537"/>
      <c r="AMY33" s="537"/>
      <c r="AMZ33" s="537"/>
      <c r="ANA33" s="537"/>
      <c r="ANB33" s="537"/>
      <c r="ANC33" s="537"/>
      <c r="AND33" s="537"/>
      <c r="ANE33" s="537"/>
      <c r="ANF33" s="537"/>
      <c r="ANG33" s="537"/>
      <c r="ANH33" s="537"/>
      <c r="ANI33" s="537"/>
      <c r="ANJ33" s="537"/>
      <c r="ANK33" s="537"/>
      <c r="ANL33" s="537"/>
      <c r="ANM33" s="537"/>
      <c r="ANN33" s="537"/>
      <c r="ANO33" s="537"/>
      <c r="ANP33" s="537"/>
      <c r="ANQ33" s="537"/>
      <c r="ANR33" s="537"/>
      <c r="ANS33" s="537"/>
      <c r="ANT33" s="537"/>
      <c r="ANU33" s="537"/>
      <c r="ANV33" s="537"/>
      <c r="ANW33" s="537"/>
      <c r="ANX33" s="537"/>
      <c r="ANY33" s="537"/>
      <c r="ANZ33" s="537"/>
      <c r="AOA33" s="537"/>
      <c r="AOB33" s="537"/>
      <c r="AOC33" s="537"/>
      <c r="AOD33" s="537"/>
      <c r="AOE33" s="537"/>
      <c r="AOF33" s="537"/>
      <c r="AOG33" s="537"/>
      <c r="AOH33" s="537"/>
      <c r="AOI33" s="537"/>
      <c r="AOJ33" s="537"/>
      <c r="AOK33" s="537"/>
      <c r="AOL33" s="537"/>
      <c r="AOM33" s="537"/>
      <c r="AON33" s="537"/>
      <c r="AOO33" s="537"/>
      <c r="AOP33" s="537"/>
      <c r="AOQ33" s="537"/>
      <c r="AOR33" s="537"/>
      <c r="AOS33" s="537"/>
      <c r="AOT33" s="537"/>
      <c r="AOU33" s="537"/>
      <c r="AOV33" s="537"/>
      <c r="AOW33" s="537"/>
      <c r="AOX33" s="537"/>
      <c r="AOY33" s="537"/>
      <c r="AOZ33" s="537"/>
      <c r="APA33" s="537"/>
      <c r="APB33" s="537"/>
      <c r="APC33" s="537"/>
      <c r="APD33" s="537"/>
      <c r="APE33" s="537"/>
      <c r="APF33" s="537"/>
      <c r="APG33" s="537"/>
      <c r="APH33" s="537"/>
      <c r="API33" s="537"/>
      <c r="APJ33" s="537"/>
      <c r="APK33" s="537"/>
      <c r="APL33" s="537"/>
      <c r="APM33" s="537"/>
      <c r="APN33" s="537"/>
      <c r="APO33" s="537"/>
      <c r="APP33" s="537"/>
      <c r="APQ33" s="537"/>
      <c r="APR33" s="537"/>
      <c r="APS33" s="537"/>
      <c r="APT33" s="537"/>
      <c r="APU33" s="537"/>
      <c r="APV33" s="537"/>
      <c r="APW33" s="537"/>
      <c r="APX33" s="537"/>
      <c r="APY33" s="537"/>
      <c r="APZ33" s="537"/>
      <c r="AQA33" s="537"/>
      <c r="AQB33" s="537"/>
      <c r="AQC33" s="537"/>
      <c r="AQD33" s="537"/>
      <c r="AQE33" s="537"/>
      <c r="AQF33" s="537"/>
      <c r="AQG33" s="537"/>
      <c r="AQH33" s="537"/>
      <c r="AQI33" s="537"/>
      <c r="AQJ33" s="537"/>
      <c r="AQK33" s="537"/>
      <c r="AQL33" s="537"/>
      <c r="AQM33" s="537"/>
      <c r="AQN33" s="537"/>
      <c r="AQO33" s="537"/>
      <c r="AQP33" s="537"/>
      <c r="AQQ33" s="537"/>
      <c r="AQR33" s="537"/>
      <c r="AQS33" s="537"/>
      <c r="AQT33" s="537"/>
      <c r="AQU33" s="537"/>
      <c r="AQV33" s="537"/>
      <c r="AQW33" s="537"/>
      <c r="AQX33" s="537"/>
      <c r="AQY33" s="537"/>
      <c r="AQZ33" s="537"/>
      <c r="ARA33" s="537"/>
      <c r="ARB33" s="537"/>
      <c r="ARC33" s="537"/>
      <c r="ARD33" s="537"/>
      <c r="ARE33" s="537"/>
      <c r="ARF33" s="537"/>
      <c r="ARG33" s="537"/>
      <c r="ARH33" s="537"/>
      <c r="ARI33" s="537"/>
      <c r="ARJ33" s="537"/>
      <c r="ARK33" s="537"/>
      <c r="ARL33" s="537"/>
      <c r="ARM33" s="537"/>
      <c r="ARN33" s="537"/>
      <c r="ARO33" s="537"/>
      <c r="ARP33" s="537"/>
      <c r="ARQ33" s="537"/>
      <c r="ARR33" s="537"/>
      <c r="ARS33" s="537"/>
      <c r="ART33" s="537"/>
      <c r="ARU33" s="537"/>
      <c r="ARV33" s="537"/>
      <c r="ARW33" s="537"/>
      <c r="ARX33" s="537"/>
      <c r="ARY33" s="537"/>
      <c r="ARZ33" s="537"/>
      <c r="ASA33" s="537"/>
      <c r="ASB33" s="537"/>
      <c r="ASC33" s="537"/>
      <c r="ASD33" s="537"/>
      <c r="ASE33" s="537"/>
      <c r="ASF33" s="537"/>
      <c r="ASG33" s="537"/>
      <c r="ASH33" s="537"/>
      <c r="ASI33" s="537"/>
      <c r="ASJ33" s="537"/>
      <c r="ASK33" s="537"/>
      <c r="ASL33" s="537"/>
      <c r="ASM33" s="537"/>
      <c r="ASN33" s="537"/>
      <c r="ASO33" s="537"/>
      <c r="ASP33" s="537"/>
      <c r="ASQ33" s="537"/>
      <c r="ASR33" s="537"/>
      <c r="ASS33" s="537"/>
      <c r="AST33" s="537"/>
      <c r="ASU33" s="537"/>
      <c r="ASV33" s="537"/>
      <c r="ASW33" s="537"/>
      <c r="ASX33" s="537"/>
      <c r="ASY33" s="537"/>
      <c r="ASZ33" s="537"/>
      <c r="ATA33" s="537"/>
      <c r="ATB33" s="537"/>
      <c r="ATC33" s="537"/>
      <c r="ATD33" s="537"/>
      <c r="ATE33" s="537"/>
      <c r="ATF33" s="537"/>
      <c r="ATG33" s="537"/>
      <c r="ATH33" s="537"/>
      <c r="ATI33" s="537"/>
      <c r="ATJ33" s="537"/>
      <c r="ATK33" s="537"/>
      <c r="ATL33" s="537"/>
      <c r="ATM33" s="537"/>
      <c r="ATN33" s="537"/>
      <c r="ATO33" s="537"/>
      <c r="ATP33" s="537"/>
      <c r="ATQ33" s="537"/>
      <c r="ATR33" s="537"/>
      <c r="ATS33" s="537"/>
      <c r="ATT33" s="537"/>
      <c r="ATU33" s="537"/>
      <c r="ATV33" s="537"/>
      <c r="ATW33" s="537"/>
      <c r="ATX33" s="537"/>
      <c r="ATY33" s="537"/>
      <c r="ATZ33" s="537"/>
      <c r="AUA33" s="537"/>
      <c r="AUB33" s="537"/>
      <c r="AUC33" s="537"/>
      <c r="AUD33" s="537"/>
      <c r="AUE33" s="537"/>
      <c r="AUF33" s="537"/>
      <c r="AUG33" s="537"/>
      <c r="AUH33" s="537"/>
      <c r="AUI33" s="537"/>
      <c r="AUJ33" s="537"/>
      <c r="AUK33" s="537"/>
      <c r="AUL33" s="537"/>
      <c r="AUM33" s="537"/>
      <c r="AUN33" s="537"/>
      <c r="AUO33" s="537"/>
      <c r="AUP33" s="537"/>
      <c r="AUQ33" s="537"/>
      <c r="AUR33" s="537"/>
      <c r="AUS33" s="537"/>
      <c r="AUT33" s="537"/>
      <c r="AUU33" s="537"/>
      <c r="AUV33" s="537"/>
      <c r="AUW33" s="537"/>
      <c r="AUX33" s="537"/>
      <c r="AUY33" s="537"/>
      <c r="AUZ33" s="537"/>
      <c r="AVA33" s="537"/>
      <c r="AVB33" s="537"/>
      <c r="AVC33" s="537"/>
      <c r="AVD33" s="537"/>
      <c r="AVE33" s="537"/>
      <c r="AVF33" s="537"/>
      <c r="AVG33" s="537"/>
      <c r="AVH33" s="537"/>
      <c r="AVI33" s="537"/>
      <c r="AVJ33" s="537"/>
      <c r="AVK33" s="537"/>
      <c r="AVL33" s="537"/>
      <c r="AVM33" s="537"/>
      <c r="AVN33" s="537"/>
      <c r="AVO33" s="537"/>
      <c r="AVP33" s="537"/>
      <c r="AVQ33" s="537"/>
      <c r="AVR33" s="537"/>
      <c r="AVS33" s="537"/>
      <c r="AVT33" s="537"/>
      <c r="AVU33" s="537"/>
      <c r="AVV33" s="537"/>
      <c r="AVW33" s="537"/>
      <c r="AVX33" s="537"/>
      <c r="AVY33" s="537"/>
      <c r="AVZ33" s="537"/>
      <c r="AWA33" s="537"/>
      <c r="AWB33" s="537"/>
      <c r="AWC33" s="537"/>
      <c r="AWD33" s="537"/>
      <c r="AWE33" s="537"/>
      <c r="AWF33" s="537"/>
      <c r="AWG33" s="537"/>
      <c r="AWH33" s="537"/>
      <c r="AWI33" s="537"/>
      <c r="AWJ33" s="537"/>
      <c r="AWK33" s="537"/>
      <c r="AWL33" s="537"/>
      <c r="AWM33" s="537"/>
      <c r="AWN33" s="537"/>
      <c r="AWO33" s="537"/>
      <c r="AWP33" s="537"/>
      <c r="AWQ33" s="537"/>
      <c r="AWR33" s="537"/>
      <c r="AWS33" s="537"/>
      <c r="AWT33" s="537"/>
      <c r="AWU33" s="537"/>
      <c r="AWV33" s="537"/>
      <c r="AWW33" s="537"/>
      <c r="AWX33" s="537"/>
      <c r="AWY33" s="537"/>
      <c r="AWZ33" s="537"/>
      <c r="AXA33" s="537"/>
      <c r="AXB33" s="537"/>
      <c r="AXC33" s="537"/>
      <c r="AXD33" s="537"/>
      <c r="AXE33" s="537"/>
      <c r="AXF33" s="537"/>
      <c r="AXG33" s="537"/>
      <c r="AXH33" s="537"/>
      <c r="AXI33" s="537"/>
      <c r="AXJ33" s="537"/>
      <c r="AXK33" s="537"/>
      <c r="AXL33" s="537"/>
      <c r="AXM33" s="537"/>
      <c r="AXN33" s="537"/>
      <c r="AXO33" s="537"/>
      <c r="AXP33" s="537"/>
      <c r="AXQ33" s="537"/>
      <c r="AXR33" s="537"/>
      <c r="AXS33" s="537"/>
      <c r="AXT33" s="537"/>
      <c r="AXU33" s="537"/>
      <c r="AXV33" s="537"/>
      <c r="AXW33" s="537"/>
      <c r="AXX33" s="537"/>
      <c r="AXY33" s="537"/>
      <c r="AXZ33" s="537"/>
      <c r="AYA33" s="537"/>
      <c r="AYB33" s="537"/>
      <c r="AYC33" s="537"/>
      <c r="AYD33" s="537"/>
      <c r="AYE33" s="537"/>
      <c r="AYF33" s="537"/>
      <c r="AYG33" s="537"/>
      <c r="AYH33" s="537"/>
      <c r="AYI33" s="537"/>
      <c r="AYJ33" s="537"/>
      <c r="AYK33" s="537"/>
      <c r="AYL33" s="537"/>
      <c r="AYM33" s="537"/>
      <c r="AYN33" s="537"/>
      <c r="AYO33" s="537"/>
      <c r="AYP33" s="537"/>
      <c r="AYQ33" s="537"/>
      <c r="AYR33" s="537"/>
      <c r="AYS33" s="537"/>
      <c r="AYT33" s="537"/>
      <c r="AYU33" s="537"/>
      <c r="AYV33" s="537"/>
      <c r="AYW33" s="537"/>
      <c r="AYX33" s="537"/>
      <c r="AYY33" s="537"/>
      <c r="AYZ33" s="537"/>
      <c r="AZA33" s="537"/>
      <c r="AZB33" s="537"/>
      <c r="AZC33" s="537"/>
      <c r="AZD33" s="537"/>
      <c r="AZE33" s="537"/>
      <c r="AZF33" s="537"/>
      <c r="AZG33" s="537"/>
      <c r="AZH33" s="537"/>
      <c r="AZI33" s="537"/>
      <c r="AZJ33" s="537"/>
      <c r="AZK33" s="537"/>
      <c r="AZL33" s="537"/>
      <c r="AZM33" s="537"/>
      <c r="AZN33" s="537"/>
      <c r="AZO33" s="537"/>
      <c r="AZP33" s="537"/>
      <c r="AZQ33" s="537"/>
      <c r="AZR33" s="537"/>
      <c r="AZS33" s="537"/>
      <c r="AZT33" s="537"/>
      <c r="AZU33" s="537"/>
      <c r="AZV33" s="537"/>
      <c r="AZW33" s="537"/>
      <c r="AZX33" s="537"/>
      <c r="AZY33" s="537"/>
      <c r="AZZ33" s="537"/>
      <c r="BAA33" s="537"/>
      <c r="BAB33" s="537"/>
      <c r="BAC33" s="537"/>
      <c r="BAD33" s="537"/>
      <c r="BAE33" s="537"/>
      <c r="BAF33" s="537"/>
      <c r="BAG33" s="537"/>
      <c r="BAH33" s="537"/>
      <c r="BAI33" s="537"/>
      <c r="BAJ33" s="537"/>
      <c r="BAK33" s="537"/>
      <c r="BAL33" s="537"/>
      <c r="BAM33" s="537"/>
      <c r="BAN33" s="537"/>
      <c r="BAO33" s="537"/>
      <c r="BAP33" s="537"/>
      <c r="BAQ33" s="537"/>
      <c r="BAR33" s="537"/>
      <c r="BAS33" s="537"/>
      <c r="BAT33" s="537"/>
      <c r="BAU33" s="537"/>
      <c r="BAV33" s="537"/>
      <c r="BAW33" s="537"/>
      <c r="BAX33" s="537"/>
      <c r="BAY33" s="537"/>
      <c r="BAZ33" s="537"/>
      <c r="BBA33" s="537"/>
      <c r="BBB33" s="537"/>
      <c r="BBC33" s="537"/>
      <c r="BBD33" s="537"/>
      <c r="BBE33" s="537"/>
      <c r="BBF33" s="537"/>
      <c r="BBG33" s="537"/>
      <c r="BBH33" s="537"/>
      <c r="BBI33" s="537"/>
      <c r="BBJ33" s="537"/>
      <c r="BBK33" s="537"/>
      <c r="BBL33" s="537"/>
      <c r="BBM33" s="537"/>
      <c r="BBN33" s="537"/>
      <c r="BBO33" s="537"/>
      <c r="BBP33" s="537"/>
      <c r="BBQ33" s="537"/>
      <c r="BBR33" s="537"/>
      <c r="BBS33" s="537"/>
      <c r="BBT33" s="537"/>
      <c r="BBU33" s="537"/>
      <c r="BBV33" s="537"/>
      <c r="BBW33" s="537"/>
      <c r="BBX33" s="537"/>
      <c r="BBY33" s="537"/>
      <c r="BBZ33" s="537"/>
      <c r="BCA33" s="537"/>
      <c r="BCB33" s="537"/>
      <c r="BCC33" s="537"/>
      <c r="BCD33" s="537"/>
      <c r="BCE33" s="537"/>
      <c r="BCF33" s="537"/>
      <c r="BCG33" s="537"/>
      <c r="BCH33" s="537"/>
      <c r="BCI33" s="537"/>
      <c r="BCJ33" s="537"/>
      <c r="BCK33" s="537"/>
      <c r="BCL33" s="537"/>
      <c r="BCM33" s="537"/>
      <c r="BCN33" s="537"/>
      <c r="BCO33" s="537"/>
      <c r="BCP33" s="537"/>
      <c r="BCQ33" s="537"/>
      <c r="BCR33" s="537"/>
      <c r="BCS33" s="537"/>
      <c r="BCT33" s="537"/>
      <c r="BCU33" s="537"/>
      <c r="BCV33" s="537"/>
      <c r="BCW33" s="537"/>
      <c r="BCX33" s="537"/>
      <c r="BCY33" s="537"/>
      <c r="BCZ33" s="537"/>
      <c r="BDA33" s="537"/>
      <c r="BDB33" s="537"/>
      <c r="BDC33" s="537"/>
      <c r="BDD33" s="537"/>
      <c r="BDE33" s="537"/>
      <c r="BDF33" s="537"/>
      <c r="BDG33" s="537"/>
      <c r="BDH33" s="537"/>
      <c r="BDI33" s="537"/>
      <c r="BDJ33" s="537"/>
      <c r="BDK33" s="537"/>
      <c r="BDL33" s="537"/>
      <c r="BDM33" s="537"/>
      <c r="BDN33" s="537"/>
      <c r="BDO33" s="537"/>
      <c r="BDP33" s="537"/>
      <c r="BDQ33" s="537"/>
      <c r="BDR33" s="537"/>
      <c r="BDS33" s="537"/>
      <c r="BDT33" s="537"/>
      <c r="BDU33" s="537"/>
      <c r="BDV33" s="537"/>
      <c r="BDW33" s="537"/>
      <c r="BDX33" s="537"/>
      <c r="BDY33" s="537"/>
      <c r="BDZ33" s="537"/>
      <c r="BEA33" s="537"/>
      <c r="BEB33" s="537"/>
      <c r="BEC33" s="537"/>
      <c r="BED33" s="537"/>
      <c r="BEE33" s="537"/>
      <c r="BEF33" s="537"/>
      <c r="BEG33" s="537"/>
      <c r="BEH33" s="537"/>
      <c r="BEI33" s="537"/>
      <c r="BEJ33" s="537"/>
      <c r="BEK33" s="537"/>
      <c r="BEL33" s="537"/>
      <c r="BEM33" s="537"/>
      <c r="BEN33" s="537"/>
      <c r="BEO33" s="537"/>
      <c r="BEP33" s="537"/>
      <c r="BEQ33" s="537"/>
      <c r="BER33" s="537"/>
      <c r="BES33" s="537"/>
      <c r="BET33" s="537"/>
      <c r="BEU33" s="537"/>
      <c r="BEV33" s="537"/>
      <c r="BEW33" s="537"/>
      <c r="BEX33" s="537"/>
      <c r="BEY33" s="537"/>
      <c r="BEZ33" s="537"/>
      <c r="BFA33" s="537"/>
      <c r="BFB33" s="537"/>
      <c r="BFC33" s="537"/>
      <c r="BFD33" s="537"/>
      <c r="BFE33" s="537"/>
      <c r="BFF33" s="537"/>
      <c r="BFG33" s="537"/>
      <c r="BFH33" s="537"/>
      <c r="BFI33" s="537"/>
      <c r="BFJ33" s="537"/>
      <c r="BFK33" s="537"/>
      <c r="BFL33" s="537"/>
      <c r="BFM33" s="537"/>
      <c r="BFN33" s="537"/>
      <c r="BFO33" s="537"/>
      <c r="BFP33" s="537"/>
      <c r="BFQ33" s="537"/>
      <c r="BFR33" s="537"/>
      <c r="BFS33" s="537"/>
      <c r="BFT33" s="537"/>
      <c r="BFU33" s="537"/>
      <c r="BFV33" s="537"/>
      <c r="BFW33" s="537"/>
      <c r="BFX33" s="537"/>
      <c r="BFY33" s="537"/>
      <c r="BFZ33" s="537"/>
      <c r="BGA33" s="537"/>
      <c r="BGB33" s="537"/>
      <c r="BGC33" s="537"/>
      <c r="BGD33" s="537"/>
      <c r="BGE33" s="537"/>
      <c r="BGF33" s="537"/>
      <c r="BGG33" s="537"/>
      <c r="BGH33" s="537"/>
      <c r="BGI33" s="537"/>
      <c r="BGJ33" s="537"/>
      <c r="BGK33" s="537"/>
      <c r="BGL33" s="537"/>
      <c r="BGM33" s="537"/>
      <c r="BGN33" s="537"/>
      <c r="BGO33" s="537"/>
      <c r="BGP33" s="537"/>
      <c r="BGQ33" s="537"/>
      <c r="BGR33" s="537"/>
      <c r="BGS33" s="537"/>
      <c r="BGT33" s="537"/>
      <c r="BGU33" s="537"/>
      <c r="BGV33" s="537"/>
      <c r="BGW33" s="537"/>
      <c r="BGX33" s="537"/>
      <c r="BGY33" s="537"/>
      <c r="BGZ33" s="537"/>
      <c r="BHA33" s="537"/>
      <c r="BHB33" s="537"/>
      <c r="BHC33" s="537"/>
      <c r="BHD33" s="537"/>
      <c r="BHE33" s="537"/>
      <c r="BHF33" s="537"/>
      <c r="BHG33" s="537"/>
      <c r="BHH33" s="537"/>
      <c r="BHI33" s="537"/>
      <c r="BHJ33" s="537"/>
      <c r="BHK33" s="537"/>
      <c r="BHL33" s="537"/>
      <c r="BHM33" s="537"/>
      <c r="BHN33" s="537"/>
      <c r="BHO33" s="537"/>
      <c r="BHP33" s="537"/>
      <c r="BHQ33" s="537"/>
      <c r="BHR33" s="537"/>
      <c r="BHS33" s="537"/>
      <c r="BHT33" s="537"/>
      <c r="BHU33" s="537"/>
      <c r="BHV33" s="537"/>
      <c r="BHW33" s="537"/>
      <c r="BHX33" s="537"/>
      <c r="BHY33" s="537"/>
      <c r="BHZ33" s="537"/>
      <c r="BIA33" s="537"/>
      <c r="BIB33" s="537"/>
      <c r="BIC33" s="537"/>
      <c r="BID33" s="537"/>
      <c r="BIE33" s="537"/>
      <c r="BIF33" s="537"/>
      <c r="BIG33" s="537"/>
      <c r="BIH33" s="537"/>
      <c r="BII33" s="537"/>
      <c r="BIJ33" s="537"/>
      <c r="BIK33" s="537"/>
      <c r="BIL33" s="537"/>
      <c r="BIM33" s="537"/>
      <c r="BIN33" s="537"/>
      <c r="BIO33" s="537"/>
      <c r="BIP33" s="537"/>
      <c r="BIQ33" s="537"/>
      <c r="BIR33" s="537"/>
      <c r="BIS33" s="537"/>
      <c r="BIT33" s="537"/>
      <c r="BIU33" s="537"/>
      <c r="BIV33" s="537"/>
      <c r="BIW33" s="537"/>
      <c r="BIX33" s="537"/>
      <c r="BIY33" s="537"/>
      <c r="BIZ33" s="537"/>
      <c r="BJA33" s="537"/>
      <c r="BJB33" s="537"/>
      <c r="BJC33" s="537"/>
      <c r="BJD33" s="537"/>
      <c r="BJE33" s="537"/>
      <c r="BJF33" s="537"/>
      <c r="BJG33" s="537"/>
      <c r="BJH33" s="537"/>
      <c r="BJI33" s="537"/>
      <c r="BJJ33" s="537"/>
      <c r="BJK33" s="537"/>
      <c r="BJL33" s="537"/>
      <c r="BJM33" s="537"/>
      <c r="BJN33" s="537"/>
      <c r="BJO33" s="537"/>
      <c r="BJP33" s="537"/>
      <c r="BJQ33" s="537"/>
      <c r="BJR33" s="537"/>
      <c r="BJS33" s="537"/>
      <c r="BJT33" s="537"/>
      <c r="BJU33" s="537"/>
      <c r="BJV33" s="537"/>
      <c r="BJW33" s="537"/>
      <c r="BJX33" s="537"/>
      <c r="BJY33" s="537"/>
      <c r="BJZ33" s="537"/>
      <c r="BKA33" s="537"/>
      <c r="BKB33" s="537"/>
      <c r="BKC33" s="537"/>
      <c r="BKD33" s="537"/>
      <c r="BKE33" s="537"/>
      <c r="BKF33" s="537"/>
      <c r="BKG33" s="537"/>
      <c r="BKH33" s="537"/>
      <c r="BKI33" s="537"/>
      <c r="BKJ33" s="537"/>
      <c r="BKK33" s="537"/>
      <c r="BKL33" s="537"/>
      <c r="BKM33" s="537"/>
      <c r="BKN33" s="537"/>
      <c r="BKO33" s="537"/>
      <c r="BKP33" s="537"/>
      <c r="BKQ33" s="537"/>
      <c r="BKR33" s="537"/>
      <c r="BKS33" s="537"/>
      <c r="BKT33" s="537"/>
      <c r="BKU33" s="537"/>
      <c r="BKV33" s="537"/>
      <c r="BKW33" s="537"/>
      <c r="BKX33" s="537"/>
      <c r="BKY33" s="537"/>
      <c r="BKZ33" s="537"/>
      <c r="BLA33" s="537"/>
      <c r="BLB33" s="537"/>
      <c r="BLC33" s="537"/>
      <c r="BLD33" s="537"/>
      <c r="BLE33" s="537"/>
      <c r="BLF33" s="537"/>
      <c r="BLG33" s="537"/>
      <c r="BLH33" s="537"/>
      <c r="BLI33" s="537"/>
      <c r="BLJ33" s="537"/>
      <c r="BLK33" s="537"/>
      <c r="BLL33" s="537"/>
      <c r="BLM33" s="537"/>
      <c r="BLN33" s="537"/>
      <c r="BLO33" s="537"/>
      <c r="BLP33" s="537"/>
      <c r="BLQ33" s="537"/>
      <c r="BLR33" s="537"/>
      <c r="BLS33" s="537"/>
      <c r="BLT33" s="537"/>
      <c r="BLU33" s="537"/>
      <c r="BLV33" s="537"/>
      <c r="BLW33" s="537"/>
      <c r="BLX33" s="537"/>
      <c r="BLY33" s="537"/>
      <c r="BLZ33" s="537"/>
      <c r="BMA33" s="537"/>
      <c r="BMB33" s="537"/>
      <c r="BMC33" s="537"/>
      <c r="BMD33" s="537"/>
      <c r="BME33" s="537"/>
      <c r="BMF33" s="537"/>
      <c r="BMG33" s="537"/>
      <c r="BMH33" s="537"/>
      <c r="BMI33" s="537"/>
      <c r="BMJ33" s="537"/>
      <c r="BMK33" s="537"/>
      <c r="BML33" s="537"/>
      <c r="BMM33" s="537"/>
      <c r="BMN33" s="537"/>
      <c r="BMO33" s="537"/>
      <c r="BMP33" s="537"/>
      <c r="BMQ33" s="537"/>
      <c r="BMR33" s="537"/>
      <c r="BMS33" s="537"/>
      <c r="BMT33" s="537"/>
      <c r="BMU33" s="537"/>
      <c r="BMV33" s="537"/>
      <c r="BMW33" s="537"/>
      <c r="BMX33" s="537"/>
      <c r="BMY33" s="537"/>
      <c r="BMZ33" s="537"/>
      <c r="BNA33" s="537"/>
      <c r="BNB33" s="537"/>
      <c r="BNC33" s="537"/>
      <c r="BND33" s="537"/>
      <c r="BNE33" s="537"/>
      <c r="BNF33" s="537"/>
      <c r="BNG33" s="537"/>
      <c r="BNH33" s="537"/>
      <c r="BNI33" s="537"/>
      <c r="BNJ33" s="537"/>
      <c r="BNK33" s="537"/>
      <c r="BNL33" s="537"/>
      <c r="BNM33" s="537"/>
      <c r="BNN33" s="537"/>
      <c r="BNO33" s="537"/>
      <c r="BNP33" s="537"/>
      <c r="BNQ33" s="537"/>
      <c r="BNR33" s="537"/>
      <c r="BNS33" s="537"/>
      <c r="BNT33" s="537"/>
      <c r="BNU33" s="537"/>
      <c r="BNV33" s="537"/>
      <c r="BNW33" s="537"/>
      <c r="BNX33" s="537"/>
      <c r="BNY33" s="537"/>
      <c r="BNZ33" s="537"/>
      <c r="BOA33" s="537"/>
      <c r="BOB33" s="537"/>
      <c r="BOC33" s="537"/>
      <c r="BOD33" s="537"/>
      <c r="BOE33" s="537"/>
      <c r="BOF33" s="537"/>
      <c r="BOG33" s="537"/>
      <c r="BOH33" s="537"/>
      <c r="BOI33" s="537"/>
      <c r="BOJ33" s="537"/>
      <c r="BOK33" s="537"/>
      <c r="BOL33" s="537"/>
      <c r="BOM33" s="537"/>
      <c r="BON33" s="537"/>
      <c r="BOO33" s="537"/>
      <c r="BOP33" s="537"/>
      <c r="BOQ33" s="537"/>
      <c r="BOR33" s="537"/>
      <c r="BOS33" s="537"/>
      <c r="BOT33" s="537"/>
      <c r="BOU33" s="537"/>
      <c r="BOV33" s="537"/>
      <c r="BOW33" s="537"/>
      <c r="BOX33" s="537"/>
      <c r="BOY33" s="537"/>
      <c r="BOZ33" s="537"/>
      <c r="BPA33" s="537"/>
      <c r="BPB33" s="537"/>
      <c r="BPC33" s="537"/>
      <c r="BPD33" s="537"/>
      <c r="BPE33" s="537"/>
      <c r="BPF33" s="537"/>
      <c r="BPG33" s="537"/>
      <c r="BPH33" s="537"/>
      <c r="BPI33" s="537"/>
      <c r="BPJ33" s="537"/>
      <c r="BPK33" s="537"/>
      <c r="BPL33" s="537"/>
      <c r="BPM33" s="537"/>
      <c r="BPN33" s="537"/>
      <c r="BPO33" s="537"/>
      <c r="BPP33" s="537"/>
      <c r="BPQ33" s="537"/>
      <c r="BPR33" s="537"/>
      <c r="BPS33" s="537"/>
      <c r="BPT33" s="537"/>
      <c r="BPU33" s="537"/>
      <c r="BPV33" s="537"/>
      <c r="BPW33" s="537"/>
      <c r="BPX33" s="537"/>
      <c r="BPY33" s="537"/>
      <c r="BPZ33" s="537"/>
      <c r="BQA33" s="537"/>
      <c r="BQB33" s="537"/>
      <c r="BQC33" s="537"/>
      <c r="BQD33" s="537"/>
      <c r="BQE33" s="537"/>
      <c r="BQF33" s="537"/>
      <c r="BQG33" s="537"/>
      <c r="BQH33" s="537"/>
      <c r="BQI33" s="537"/>
      <c r="BQJ33" s="537"/>
      <c r="BQK33" s="537"/>
      <c r="BQL33" s="537"/>
      <c r="BQM33" s="537"/>
      <c r="BQN33" s="537"/>
      <c r="BQO33" s="537"/>
      <c r="BQP33" s="537"/>
      <c r="BQQ33" s="537"/>
      <c r="BQR33" s="537"/>
      <c r="BQS33" s="537"/>
      <c r="BQT33" s="537"/>
      <c r="BQU33" s="537"/>
      <c r="BQV33" s="537"/>
      <c r="BQW33" s="537"/>
      <c r="BQX33" s="537"/>
      <c r="BQY33" s="537"/>
      <c r="BQZ33" s="537"/>
      <c r="BRA33" s="537"/>
      <c r="BRB33" s="537"/>
      <c r="BRC33" s="537"/>
      <c r="BRD33" s="537"/>
      <c r="BRE33" s="537"/>
      <c r="BRF33" s="537"/>
      <c r="BRG33" s="537"/>
      <c r="BRH33" s="537"/>
      <c r="BRI33" s="537"/>
      <c r="BRJ33" s="537"/>
      <c r="BRK33" s="537"/>
      <c r="BRL33" s="537"/>
      <c r="BRM33" s="537"/>
      <c r="BRN33" s="537"/>
      <c r="BRO33" s="537"/>
      <c r="BRP33" s="537"/>
      <c r="BRQ33" s="537"/>
      <c r="BRR33" s="537"/>
      <c r="BRS33" s="537"/>
      <c r="BRT33" s="537"/>
      <c r="BRU33" s="537"/>
      <c r="BRV33" s="537"/>
      <c r="BRW33" s="537"/>
      <c r="BRX33" s="537"/>
      <c r="BRY33" s="537"/>
      <c r="BRZ33" s="537"/>
      <c r="BSA33" s="537"/>
      <c r="BSB33" s="537"/>
      <c r="BSC33" s="537"/>
      <c r="BSD33" s="537"/>
      <c r="BSE33" s="537"/>
      <c r="BSF33" s="537"/>
      <c r="BSG33" s="537"/>
      <c r="BSH33" s="537"/>
      <c r="BSI33" s="537"/>
      <c r="BSJ33" s="537"/>
      <c r="BSK33" s="537"/>
      <c r="BSL33" s="537"/>
      <c r="BSM33" s="537"/>
      <c r="BSN33" s="537"/>
      <c r="BSO33" s="537"/>
      <c r="BSP33" s="537"/>
      <c r="BSQ33" s="537"/>
      <c r="BSR33" s="537"/>
      <c r="BSS33" s="537"/>
      <c r="BST33" s="537"/>
      <c r="BSU33" s="537"/>
      <c r="BSV33" s="537"/>
      <c r="BSW33" s="537"/>
      <c r="BSX33" s="537"/>
      <c r="BSY33" s="537"/>
      <c r="BSZ33" s="537"/>
      <c r="BTA33" s="537"/>
      <c r="BTB33" s="537"/>
      <c r="BTC33" s="537"/>
      <c r="BTD33" s="537"/>
      <c r="BTE33" s="537"/>
      <c r="BTF33" s="537"/>
      <c r="BTG33" s="537"/>
      <c r="BTH33" s="537"/>
      <c r="BTI33" s="537"/>
      <c r="BTJ33" s="537"/>
      <c r="BTK33" s="537"/>
      <c r="BTL33" s="537"/>
      <c r="BTM33" s="537"/>
      <c r="BTN33" s="537"/>
      <c r="BTO33" s="537"/>
      <c r="BTP33" s="537"/>
      <c r="BTQ33" s="537"/>
      <c r="BTR33" s="537"/>
      <c r="BTS33" s="537"/>
      <c r="BTT33" s="537"/>
      <c r="BTU33" s="537"/>
      <c r="BTV33" s="537"/>
      <c r="BTW33" s="537"/>
      <c r="BTX33" s="537"/>
      <c r="BTY33" s="537"/>
      <c r="BTZ33" s="537"/>
      <c r="BUA33" s="537"/>
      <c r="BUB33" s="537"/>
      <c r="BUC33" s="537"/>
      <c r="BUD33" s="537"/>
      <c r="BUE33" s="537"/>
      <c r="BUF33" s="537"/>
      <c r="BUG33" s="537"/>
      <c r="BUH33" s="537"/>
      <c r="BUI33" s="537"/>
      <c r="BUJ33" s="537"/>
      <c r="BUK33" s="537"/>
      <c r="BUL33" s="537"/>
      <c r="BUM33" s="537"/>
      <c r="BUN33" s="537"/>
      <c r="BUO33" s="537"/>
      <c r="BUP33" s="537"/>
      <c r="BUQ33" s="537"/>
      <c r="BUR33" s="537"/>
      <c r="BUS33" s="537"/>
      <c r="BUT33" s="537"/>
      <c r="BUU33" s="537"/>
      <c r="BUV33" s="537"/>
      <c r="BUW33" s="537"/>
      <c r="BUX33" s="537"/>
      <c r="BUY33" s="537"/>
      <c r="BUZ33" s="537"/>
      <c r="BVA33" s="537"/>
      <c r="BVB33" s="537"/>
      <c r="BVC33" s="537"/>
      <c r="BVD33" s="537"/>
      <c r="BVE33" s="537"/>
      <c r="BVF33" s="537"/>
      <c r="BVG33" s="537"/>
      <c r="BVH33" s="537"/>
      <c r="BVI33" s="537"/>
      <c r="BVJ33" s="537"/>
      <c r="BVK33" s="537"/>
      <c r="BVL33" s="537"/>
      <c r="BVM33" s="537"/>
      <c r="BVN33" s="537"/>
      <c r="BVO33" s="537"/>
      <c r="BVP33" s="537"/>
      <c r="BVQ33" s="537"/>
      <c r="BVR33" s="537"/>
      <c r="BVS33" s="537"/>
      <c r="BVT33" s="537"/>
      <c r="BVU33" s="537"/>
      <c r="BVV33" s="537"/>
      <c r="BVW33" s="537"/>
      <c r="BVX33" s="537"/>
      <c r="BVY33" s="537"/>
      <c r="BVZ33" s="537"/>
      <c r="BWA33" s="537"/>
      <c r="BWB33" s="537"/>
      <c r="BWC33" s="537"/>
      <c r="BWD33" s="537"/>
      <c r="BWE33" s="537"/>
      <c r="BWF33" s="537"/>
      <c r="BWG33" s="537"/>
      <c r="BWH33" s="537"/>
      <c r="BWI33" s="537"/>
      <c r="BWJ33" s="537"/>
      <c r="BWK33" s="537"/>
      <c r="BWL33" s="537"/>
      <c r="BWM33" s="537"/>
      <c r="BWN33" s="537"/>
      <c r="BWO33" s="537"/>
      <c r="BWP33" s="537"/>
      <c r="BWQ33" s="537"/>
      <c r="BWR33" s="537"/>
      <c r="BWS33" s="537"/>
      <c r="BWT33" s="537"/>
      <c r="BWU33" s="537"/>
      <c r="BWV33" s="537"/>
      <c r="BWW33" s="537"/>
      <c r="BWX33" s="537"/>
      <c r="BWY33" s="537"/>
      <c r="BWZ33" s="537"/>
      <c r="BXA33" s="537"/>
      <c r="BXB33" s="537"/>
      <c r="BXC33" s="537"/>
      <c r="BXD33" s="537"/>
      <c r="BXE33" s="537"/>
      <c r="BXF33" s="537"/>
      <c r="BXG33" s="537"/>
      <c r="BXH33" s="537"/>
      <c r="BXI33" s="537"/>
      <c r="BXJ33" s="537"/>
      <c r="BXK33" s="537"/>
      <c r="BXL33" s="537"/>
      <c r="BXM33" s="537"/>
      <c r="BXN33" s="537"/>
      <c r="BXO33" s="537"/>
      <c r="BXP33" s="537"/>
      <c r="BXQ33" s="537"/>
      <c r="BXR33" s="537"/>
      <c r="BXS33" s="537"/>
      <c r="BXT33" s="537"/>
      <c r="BXU33" s="537"/>
      <c r="BXV33" s="537"/>
      <c r="BXW33" s="537"/>
      <c r="BXX33" s="537"/>
      <c r="BXY33" s="537"/>
      <c r="BXZ33" s="537"/>
      <c r="BYA33" s="537"/>
      <c r="BYB33" s="537"/>
      <c r="BYC33" s="537"/>
      <c r="BYD33" s="537"/>
      <c r="BYE33" s="537"/>
      <c r="BYF33" s="537"/>
      <c r="BYG33" s="537"/>
      <c r="BYH33" s="537"/>
      <c r="BYI33" s="537"/>
      <c r="BYJ33" s="537"/>
      <c r="BYK33" s="537"/>
      <c r="BYL33" s="537"/>
      <c r="BYM33" s="537"/>
      <c r="BYN33" s="537"/>
      <c r="BYO33" s="537"/>
      <c r="BYP33" s="537"/>
      <c r="BYQ33" s="537"/>
      <c r="BYR33" s="537"/>
      <c r="BYS33" s="537"/>
      <c r="BYT33" s="537"/>
      <c r="BYU33" s="537"/>
      <c r="BYV33" s="537"/>
      <c r="BYW33" s="537"/>
      <c r="BYX33" s="537"/>
      <c r="BYY33" s="537"/>
      <c r="BYZ33" s="537"/>
      <c r="BZA33" s="537"/>
      <c r="BZB33" s="537"/>
      <c r="BZC33" s="537"/>
      <c r="BZD33" s="537"/>
      <c r="BZE33" s="537"/>
      <c r="BZF33" s="537"/>
      <c r="BZG33" s="537"/>
      <c r="BZH33" s="537"/>
      <c r="BZI33" s="537"/>
      <c r="BZJ33" s="537"/>
      <c r="BZK33" s="537"/>
      <c r="BZL33" s="537"/>
      <c r="BZM33" s="537"/>
      <c r="BZN33" s="537"/>
      <c r="BZO33" s="537"/>
      <c r="BZP33" s="537"/>
      <c r="BZQ33" s="537"/>
      <c r="BZR33" s="537"/>
      <c r="BZS33" s="537"/>
      <c r="BZT33" s="537"/>
      <c r="BZU33" s="537"/>
      <c r="BZV33" s="537"/>
      <c r="BZW33" s="537"/>
      <c r="BZX33" s="537"/>
      <c r="BZY33" s="537"/>
      <c r="BZZ33" s="537"/>
      <c r="CAA33" s="537"/>
      <c r="CAB33" s="537"/>
      <c r="CAC33" s="537"/>
      <c r="CAD33" s="537"/>
      <c r="CAE33" s="537"/>
      <c r="CAF33" s="537"/>
      <c r="CAG33" s="537"/>
      <c r="CAH33" s="537"/>
      <c r="CAI33" s="537"/>
      <c r="CAJ33" s="537"/>
      <c r="CAK33" s="537"/>
      <c r="CAL33" s="537"/>
      <c r="CAM33" s="537"/>
      <c r="CAN33" s="537"/>
      <c r="CAO33" s="537"/>
      <c r="CAP33" s="537"/>
      <c r="CAQ33" s="537"/>
      <c r="CAR33" s="537"/>
      <c r="CAS33" s="537"/>
      <c r="CAT33" s="537"/>
      <c r="CAU33" s="537"/>
      <c r="CAV33" s="537"/>
      <c r="CAW33" s="537"/>
      <c r="CAX33" s="537"/>
      <c r="CAY33" s="537"/>
      <c r="CAZ33" s="537"/>
      <c r="CBA33" s="537"/>
      <c r="CBB33" s="537"/>
      <c r="CBC33" s="537"/>
      <c r="CBD33" s="537"/>
      <c r="CBE33" s="537"/>
      <c r="CBF33" s="537"/>
      <c r="CBG33" s="537"/>
      <c r="CBH33" s="537"/>
      <c r="CBI33" s="537"/>
      <c r="CBJ33" s="537"/>
      <c r="CBK33" s="537"/>
      <c r="CBL33" s="537"/>
      <c r="CBM33" s="537"/>
      <c r="CBN33" s="537"/>
      <c r="CBO33" s="537"/>
      <c r="CBP33" s="537"/>
      <c r="CBQ33" s="537"/>
      <c r="CBR33" s="537"/>
      <c r="CBS33" s="537"/>
      <c r="CBT33" s="537"/>
      <c r="CBU33" s="537"/>
      <c r="CBV33" s="537"/>
      <c r="CBW33" s="537"/>
      <c r="CBX33" s="537"/>
      <c r="CBY33" s="537"/>
      <c r="CBZ33" s="537"/>
      <c r="CCA33" s="537"/>
      <c r="CCB33" s="537"/>
      <c r="CCC33" s="537"/>
      <c r="CCD33" s="537"/>
      <c r="CCE33" s="537"/>
      <c r="CCF33" s="537"/>
      <c r="CCG33" s="537"/>
      <c r="CCH33" s="537"/>
      <c r="CCI33" s="537"/>
      <c r="CCJ33" s="537"/>
      <c r="CCK33" s="537"/>
      <c r="CCL33" s="537"/>
      <c r="CCM33" s="537"/>
      <c r="CCN33" s="537"/>
      <c r="CCO33" s="537"/>
      <c r="CCP33" s="537"/>
      <c r="CCQ33" s="537"/>
      <c r="CCR33" s="537"/>
      <c r="CCS33" s="537"/>
      <c r="CCT33" s="537"/>
      <c r="CCU33" s="537"/>
      <c r="CCV33" s="537"/>
      <c r="CCW33" s="537"/>
      <c r="CCX33" s="537"/>
      <c r="CCY33" s="537"/>
      <c r="CCZ33" s="537"/>
      <c r="CDA33" s="537"/>
      <c r="CDB33" s="537"/>
      <c r="CDC33" s="537"/>
      <c r="CDD33" s="537"/>
      <c r="CDE33" s="537"/>
      <c r="CDF33" s="537"/>
      <c r="CDG33" s="537"/>
      <c r="CDH33" s="537"/>
      <c r="CDI33" s="537"/>
      <c r="CDJ33" s="537"/>
      <c r="CDK33" s="537"/>
      <c r="CDL33" s="537"/>
      <c r="CDM33" s="537"/>
      <c r="CDN33" s="537"/>
      <c r="CDO33" s="537"/>
      <c r="CDP33" s="537"/>
      <c r="CDQ33" s="537"/>
      <c r="CDR33" s="537"/>
      <c r="CDS33" s="537"/>
      <c r="CDT33" s="537"/>
      <c r="CDU33" s="537"/>
      <c r="CDV33" s="537"/>
      <c r="CDW33" s="537"/>
      <c r="CDX33" s="537"/>
      <c r="CDY33" s="537"/>
      <c r="CDZ33" s="537"/>
      <c r="CEA33" s="537"/>
      <c r="CEB33" s="537"/>
      <c r="CEC33" s="537"/>
      <c r="CED33" s="537"/>
      <c r="CEE33" s="537"/>
      <c r="CEF33" s="537"/>
      <c r="CEG33" s="537"/>
      <c r="CEH33" s="537"/>
      <c r="CEI33" s="537"/>
      <c r="CEJ33" s="537"/>
      <c r="CEK33" s="537"/>
      <c r="CEL33" s="537"/>
      <c r="CEM33" s="537"/>
      <c r="CEN33" s="537"/>
      <c r="CEO33" s="537"/>
      <c r="CEP33" s="537"/>
      <c r="CEQ33" s="537"/>
      <c r="CER33" s="537"/>
      <c r="CES33" s="537"/>
      <c r="CET33" s="537"/>
      <c r="CEU33" s="537"/>
      <c r="CEV33" s="537"/>
      <c r="CEW33" s="537"/>
      <c r="CEX33" s="537"/>
      <c r="CEY33" s="537"/>
      <c r="CEZ33" s="537"/>
      <c r="CFA33" s="537"/>
      <c r="CFB33" s="537"/>
      <c r="CFC33" s="537"/>
      <c r="CFD33" s="537"/>
      <c r="CFE33" s="537"/>
      <c r="CFF33" s="537"/>
      <c r="CFG33" s="537"/>
      <c r="CFH33" s="537"/>
      <c r="CFI33" s="537"/>
      <c r="CFJ33" s="537"/>
      <c r="CFK33" s="537"/>
      <c r="CFL33" s="537"/>
      <c r="CFM33" s="537"/>
      <c r="CFN33" s="537"/>
      <c r="CFO33" s="537"/>
      <c r="CFP33" s="537"/>
      <c r="CFQ33" s="537"/>
      <c r="CFR33" s="537"/>
      <c r="CFS33" s="537"/>
      <c r="CFT33" s="537"/>
      <c r="CFU33" s="537"/>
      <c r="CFV33" s="537"/>
      <c r="CFW33" s="537"/>
      <c r="CFX33" s="537"/>
      <c r="CFY33" s="537"/>
      <c r="CFZ33" s="537"/>
      <c r="CGA33" s="537"/>
      <c r="CGB33" s="537"/>
      <c r="CGC33" s="537"/>
      <c r="CGD33" s="537"/>
      <c r="CGE33" s="537"/>
      <c r="CGF33" s="537"/>
      <c r="CGG33" s="537"/>
      <c r="CGH33" s="537"/>
      <c r="CGI33" s="537"/>
      <c r="CGJ33" s="537"/>
      <c r="CGK33" s="537"/>
      <c r="CGL33" s="537"/>
      <c r="CGM33" s="537"/>
      <c r="CGN33" s="537"/>
      <c r="CGO33" s="537"/>
      <c r="CGP33" s="537"/>
      <c r="CGQ33" s="537"/>
      <c r="CGR33" s="537"/>
      <c r="CGS33" s="537"/>
      <c r="CGT33" s="537"/>
      <c r="CGU33" s="537"/>
      <c r="CGV33" s="537"/>
      <c r="CGW33" s="537"/>
      <c r="CGX33" s="537"/>
      <c r="CGY33" s="537"/>
      <c r="CGZ33" s="537"/>
      <c r="CHA33" s="537"/>
      <c r="CHB33" s="537"/>
      <c r="CHC33" s="537"/>
      <c r="CHD33" s="537"/>
      <c r="CHE33" s="537"/>
      <c r="CHF33" s="537"/>
      <c r="CHG33" s="537"/>
      <c r="CHH33" s="537"/>
      <c r="CHI33" s="537"/>
      <c r="CHJ33" s="537"/>
      <c r="CHK33" s="537"/>
      <c r="CHL33" s="537"/>
      <c r="CHM33" s="537"/>
      <c r="CHN33" s="537"/>
      <c r="CHO33" s="537"/>
      <c r="CHP33" s="537"/>
      <c r="CHQ33" s="537"/>
      <c r="CHR33" s="537"/>
      <c r="CHS33" s="537"/>
      <c r="CHT33" s="537"/>
      <c r="CHU33" s="537"/>
      <c r="CHV33" s="537"/>
      <c r="CHW33" s="537"/>
      <c r="CHX33" s="537"/>
      <c r="CHY33" s="537"/>
      <c r="CHZ33" s="537"/>
      <c r="CIA33" s="537"/>
      <c r="CIB33" s="537"/>
      <c r="CIC33" s="537"/>
      <c r="CID33" s="537"/>
      <c r="CIE33" s="537"/>
      <c r="CIF33" s="537"/>
      <c r="CIG33" s="537"/>
      <c r="CIH33" s="537"/>
      <c r="CII33" s="537"/>
      <c r="CIJ33" s="537"/>
      <c r="CIK33" s="537"/>
      <c r="CIL33" s="537"/>
      <c r="CIM33" s="537"/>
      <c r="CIN33" s="537"/>
      <c r="CIO33" s="537"/>
      <c r="CIP33" s="537"/>
      <c r="CIQ33" s="537"/>
      <c r="CIR33" s="537"/>
      <c r="CIS33" s="537"/>
      <c r="CIT33" s="537"/>
      <c r="CIU33" s="537"/>
      <c r="CIV33" s="537"/>
      <c r="CIW33" s="537"/>
      <c r="CIX33" s="537"/>
      <c r="CIY33" s="537"/>
      <c r="CIZ33" s="537"/>
      <c r="CJA33" s="537"/>
      <c r="CJB33" s="537"/>
      <c r="CJC33" s="537"/>
      <c r="CJD33" s="537"/>
      <c r="CJE33" s="537"/>
      <c r="CJF33" s="537"/>
      <c r="CJG33" s="537"/>
      <c r="CJH33" s="537"/>
      <c r="CJI33" s="537"/>
      <c r="CJJ33" s="537"/>
      <c r="CJK33" s="537"/>
      <c r="CJL33" s="537"/>
      <c r="CJM33" s="537"/>
      <c r="CJN33" s="537"/>
      <c r="CJO33" s="537"/>
      <c r="CJP33" s="537"/>
      <c r="CJQ33" s="537"/>
      <c r="CJR33" s="537"/>
      <c r="CJS33" s="537"/>
      <c r="CJT33" s="537"/>
      <c r="CJU33" s="537"/>
      <c r="CJV33" s="537"/>
      <c r="CJW33" s="537"/>
      <c r="CJX33" s="537"/>
      <c r="CJY33" s="537"/>
      <c r="CJZ33" s="537"/>
      <c r="CKA33" s="537"/>
      <c r="CKB33" s="537"/>
      <c r="CKC33" s="537"/>
      <c r="CKD33" s="537"/>
      <c r="CKE33" s="537"/>
      <c r="CKF33" s="537"/>
      <c r="CKG33" s="537"/>
      <c r="CKH33" s="537"/>
      <c r="CKI33" s="537"/>
      <c r="CKJ33" s="537"/>
      <c r="CKK33" s="537"/>
      <c r="CKL33" s="537"/>
      <c r="CKM33" s="537"/>
      <c r="CKN33" s="537"/>
      <c r="CKO33" s="537"/>
      <c r="CKP33" s="537"/>
      <c r="CKQ33" s="537"/>
      <c r="CKR33" s="537"/>
      <c r="CKS33" s="537"/>
      <c r="CKT33" s="537"/>
      <c r="CKU33" s="537"/>
      <c r="CKV33" s="537"/>
      <c r="CKW33" s="537"/>
      <c r="CKX33" s="537"/>
      <c r="CKY33" s="537"/>
      <c r="CKZ33" s="537"/>
      <c r="CLA33" s="537"/>
      <c r="CLB33" s="537"/>
      <c r="CLC33" s="537"/>
      <c r="CLD33" s="537"/>
      <c r="CLE33" s="537"/>
      <c r="CLF33" s="537"/>
      <c r="CLG33" s="537"/>
      <c r="CLH33" s="537"/>
      <c r="CLI33" s="537"/>
      <c r="CLJ33" s="537"/>
      <c r="CLK33" s="537"/>
      <c r="CLL33" s="537"/>
      <c r="CLM33" s="537"/>
      <c r="CLN33" s="537"/>
      <c r="CLO33" s="537"/>
      <c r="CLP33" s="537"/>
      <c r="CLQ33" s="537"/>
      <c r="CLR33" s="537"/>
      <c r="CLS33" s="537"/>
      <c r="CLT33" s="537"/>
      <c r="CLU33" s="537"/>
      <c r="CLV33" s="537"/>
      <c r="CLW33" s="537"/>
      <c r="CLX33" s="537"/>
      <c r="CLY33" s="537"/>
      <c r="CLZ33" s="537"/>
      <c r="CMA33" s="537"/>
      <c r="CMB33" s="537"/>
      <c r="CMC33" s="537"/>
      <c r="CMD33" s="537"/>
      <c r="CME33" s="537"/>
      <c r="CMF33" s="537"/>
      <c r="CMG33" s="537"/>
      <c r="CMH33" s="537"/>
      <c r="CMI33" s="537"/>
      <c r="CMJ33" s="537"/>
      <c r="CMK33" s="537"/>
      <c r="CML33" s="537"/>
      <c r="CMM33" s="537"/>
      <c r="CMN33" s="537"/>
      <c r="CMO33" s="537"/>
      <c r="CMP33" s="537"/>
      <c r="CMQ33" s="537"/>
      <c r="CMR33" s="537"/>
      <c r="CMS33" s="537"/>
      <c r="CMT33" s="537"/>
      <c r="CMU33" s="537"/>
      <c r="CMV33" s="537"/>
      <c r="CMW33" s="537"/>
      <c r="CMX33" s="537"/>
      <c r="CMY33" s="537"/>
      <c r="CMZ33" s="537"/>
      <c r="CNA33" s="537"/>
      <c r="CNB33" s="537"/>
      <c r="CNC33" s="537"/>
      <c r="CND33" s="537"/>
      <c r="CNE33" s="537"/>
      <c r="CNF33" s="537"/>
      <c r="CNG33" s="537"/>
      <c r="CNH33" s="537"/>
      <c r="CNI33" s="537"/>
      <c r="CNJ33" s="537"/>
      <c r="CNK33" s="537"/>
      <c r="CNL33" s="537"/>
      <c r="CNM33" s="537"/>
      <c r="CNN33" s="537"/>
      <c r="CNO33" s="537"/>
      <c r="CNP33" s="537"/>
      <c r="CNQ33" s="537"/>
      <c r="CNR33" s="537"/>
      <c r="CNS33" s="537"/>
      <c r="CNT33" s="537"/>
      <c r="CNU33" s="537"/>
      <c r="CNV33" s="537"/>
      <c r="CNW33" s="537"/>
      <c r="CNX33" s="537"/>
      <c r="CNY33" s="537"/>
      <c r="CNZ33" s="537"/>
      <c r="COA33" s="537"/>
      <c r="COB33" s="537"/>
      <c r="COC33" s="537"/>
      <c r="COD33" s="537"/>
      <c r="COE33" s="537"/>
      <c r="COF33" s="537"/>
      <c r="COG33" s="537"/>
      <c r="COH33" s="537"/>
      <c r="COI33" s="537"/>
      <c r="COJ33" s="537"/>
      <c r="COK33" s="537"/>
      <c r="COL33" s="537"/>
      <c r="COM33" s="537"/>
      <c r="CON33" s="537"/>
      <c r="COO33" s="537"/>
      <c r="COP33" s="537"/>
      <c r="COQ33" s="537"/>
      <c r="COR33" s="537"/>
      <c r="COS33" s="537"/>
      <c r="COT33" s="537"/>
      <c r="COU33" s="537"/>
      <c r="COV33" s="537"/>
      <c r="COW33" s="537"/>
      <c r="COX33" s="537"/>
      <c r="COY33" s="537"/>
      <c r="COZ33" s="537"/>
      <c r="CPA33" s="537"/>
      <c r="CPB33" s="537"/>
      <c r="CPC33" s="537"/>
      <c r="CPD33" s="537"/>
      <c r="CPE33" s="537"/>
      <c r="CPF33" s="537"/>
      <c r="CPG33" s="537"/>
      <c r="CPH33" s="537"/>
      <c r="CPI33" s="537"/>
      <c r="CPJ33" s="537"/>
      <c r="CPK33" s="537"/>
      <c r="CPL33" s="537"/>
      <c r="CPM33" s="537"/>
      <c r="CPN33" s="537"/>
      <c r="CPO33" s="537"/>
      <c r="CPP33" s="537"/>
      <c r="CPQ33" s="537"/>
      <c r="CPR33" s="537"/>
      <c r="CPS33" s="537"/>
      <c r="CPT33" s="537"/>
      <c r="CPU33" s="537"/>
      <c r="CPV33" s="537"/>
      <c r="CPW33" s="537"/>
      <c r="CPX33" s="537"/>
      <c r="CPY33" s="537"/>
      <c r="CPZ33" s="537"/>
      <c r="CQA33" s="537"/>
      <c r="CQB33" s="537"/>
      <c r="CQC33" s="537"/>
      <c r="CQD33" s="537"/>
      <c r="CQE33" s="537"/>
      <c r="CQF33" s="537"/>
      <c r="CQG33" s="537"/>
      <c r="CQH33" s="537"/>
      <c r="CQI33" s="537"/>
      <c r="CQJ33" s="537"/>
      <c r="CQK33" s="537"/>
      <c r="CQL33" s="537"/>
      <c r="CQM33" s="537"/>
      <c r="CQN33" s="537"/>
      <c r="CQO33" s="537"/>
      <c r="CQP33" s="537"/>
      <c r="CQQ33" s="537"/>
      <c r="CQR33" s="537"/>
      <c r="CQS33" s="537"/>
      <c r="CQT33" s="537"/>
      <c r="CQU33" s="537"/>
      <c r="CQV33" s="537"/>
      <c r="CQW33" s="537"/>
      <c r="CQX33" s="537"/>
      <c r="CQY33" s="537"/>
      <c r="CQZ33" s="537"/>
      <c r="CRA33" s="537"/>
      <c r="CRB33" s="537"/>
      <c r="CRC33" s="537"/>
      <c r="CRD33" s="537"/>
      <c r="CRE33" s="537"/>
      <c r="CRF33" s="537"/>
      <c r="CRG33" s="537"/>
      <c r="CRH33" s="537"/>
      <c r="CRI33" s="537"/>
      <c r="CRJ33" s="537"/>
      <c r="CRK33" s="537"/>
      <c r="CRL33" s="537"/>
      <c r="CRM33" s="537"/>
      <c r="CRN33" s="537"/>
      <c r="CRO33" s="537"/>
      <c r="CRP33" s="537"/>
      <c r="CRQ33" s="537"/>
      <c r="CRR33" s="537"/>
      <c r="CRS33" s="537"/>
      <c r="CRT33" s="537"/>
      <c r="CRU33" s="537"/>
      <c r="CRV33" s="537"/>
      <c r="CRW33" s="537"/>
      <c r="CRX33" s="537"/>
      <c r="CRY33" s="537"/>
      <c r="CRZ33" s="537"/>
      <c r="CSA33" s="537"/>
      <c r="CSB33" s="537"/>
      <c r="CSC33" s="537"/>
      <c r="CSD33" s="537"/>
      <c r="CSE33" s="537"/>
      <c r="CSF33" s="537"/>
      <c r="CSG33" s="537"/>
      <c r="CSH33" s="537"/>
      <c r="CSI33" s="537"/>
      <c r="CSJ33" s="537"/>
      <c r="CSK33" s="537"/>
      <c r="CSL33" s="537"/>
      <c r="CSM33" s="537"/>
      <c r="CSN33" s="537"/>
      <c r="CSO33" s="537"/>
      <c r="CSP33" s="537"/>
      <c r="CSQ33" s="537"/>
      <c r="CSR33" s="537"/>
      <c r="CSS33" s="537"/>
      <c r="CST33" s="537"/>
      <c r="CSU33" s="537"/>
      <c r="CSV33" s="537"/>
      <c r="CSW33" s="537"/>
      <c r="CSX33" s="537"/>
      <c r="CSY33" s="537"/>
      <c r="CSZ33" s="537"/>
      <c r="CTA33" s="537"/>
      <c r="CTB33" s="537"/>
      <c r="CTC33" s="537"/>
      <c r="CTD33" s="537"/>
      <c r="CTE33" s="537"/>
      <c r="CTF33" s="537"/>
      <c r="CTG33" s="537"/>
      <c r="CTH33" s="537"/>
      <c r="CTI33" s="537"/>
      <c r="CTJ33" s="537"/>
      <c r="CTK33" s="537"/>
      <c r="CTL33" s="537"/>
      <c r="CTM33" s="537"/>
      <c r="CTN33" s="537"/>
      <c r="CTO33" s="537"/>
      <c r="CTP33" s="537"/>
      <c r="CTQ33" s="537"/>
      <c r="CTR33" s="537"/>
      <c r="CTS33" s="537"/>
      <c r="CTT33" s="537"/>
      <c r="CTU33" s="537"/>
      <c r="CTV33" s="537"/>
      <c r="CTW33" s="537"/>
      <c r="CTX33" s="537"/>
      <c r="CTY33" s="537"/>
      <c r="CTZ33" s="537"/>
      <c r="CUA33" s="537"/>
      <c r="CUB33" s="537"/>
      <c r="CUC33" s="537"/>
      <c r="CUD33" s="537"/>
      <c r="CUE33" s="537"/>
      <c r="CUF33" s="537"/>
      <c r="CUG33" s="537"/>
      <c r="CUH33" s="537"/>
      <c r="CUI33" s="537"/>
      <c r="CUJ33" s="537"/>
      <c r="CUK33" s="537"/>
      <c r="CUL33" s="537"/>
      <c r="CUM33" s="537"/>
      <c r="CUN33" s="537"/>
      <c r="CUO33" s="537"/>
      <c r="CUP33" s="537"/>
      <c r="CUQ33" s="537"/>
      <c r="CUR33" s="537"/>
      <c r="CUS33" s="537"/>
      <c r="CUT33" s="537"/>
      <c r="CUU33" s="537"/>
      <c r="CUV33" s="537"/>
      <c r="CUW33" s="537"/>
      <c r="CUX33" s="537"/>
      <c r="CUY33" s="537"/>
      <c r="CUZ33" s="537"/>
      <c r="CVA33" s="537"/>
      <c r="CVB33" s="537"/>
      <c r="CVC33" s="537"/>
      <c r="CVD33" s="537"/>
      <c r="CVE33" s="537"/>
      <c r="CVF33" s="537"/>
      <c r="CVG33" s="537"/>
      <c r="CVH33" s="537"/>
      <c r="CVI33" s="537"/>
      <c r="CVJ33" s="537"/>
      <c r="CVK33" s="537"/>
      <c r="CVL33" s="537"/>
      <c r="CVM33" s="537"/>
      <c r="CVN33" s="537"/>
      <c r="CVO33" s="537"/>
      <c r="CVP33" s="537"/>
      <c r="CVQ33" s="537"/>
      <c r="CVR33" s="537"/>
      <c r="CVS33" s="537"/>
      <c r="CVT33" s="537"/>
      <c r="CVU33" s="537"/>
      <c r="CVV33" s="537"/>
      <c r="CVW33" s="537"/>
      <c r="CVX33" s="537"/>
      <c r="CVY33" s="537"/>
      <c r="CVZ33" s="537"/>
      <c r="CWA33" s="537"/>
      <c r="CWB33" s="537"/>
      <c r="CWC33" s="537"/>
      <c r="CWD33" s="537"/>
      <c r="CWE33" s="537"/>
      <c r="CWF33" s="537"/>
      <c r="CWG33" s="537"/>
      <c r="CWH33" s="537"/>
      <c r="CWI33" s="537"/>
      <c r="CWJ33" s="537"/>
      <c r="CWK33" s="537"/>
      <c r="CWL33" s="537"/>
      <c r="CWM33" s="537"/>
      <c r="CWN33" s="537"/>
      <c r="CWO33" s="537"/>
      <c r="CWP33" s="537"/>
      <c r="CWQ33" s="537"/>
      <c r="CWR33" s="537"/>
      <c r="CWS33" s="537"/>
      <c r="CWT33" s="537"/>
      <c r="CWU33" s="537"/>
      <c r="CWV33" s="537"/>
      <c r="CWW33" s="537"/>
      <c r="CWX33" s="537"/>
      <c r="CWY33" s="537"/>
      <c r="CWZ33" s="537"/>
      <c r="CXA33" s="537"/>
      <c r="CXB33" s="537"/>
      <c r="CXC33" s="537"/>
      <c r="CXD33" s="537"/>
      <c r="CXE33" s="537"/>
      <c r="CXF33" s="537"/>
      <c r="CXG33" s="537"/>
      <c r="CXH33" s="537"/>
      <c r="CXI33" s="537"/>
      <c r="CXJ33" s="537"/>
      <c r="CXK33" s="537"/>
      <c r="CXL33" s="537"/>
      <c r="CXM33" s="537"/>
      <c r="CXN33" s="537"/>
      <c r="CXO33" s="537"/>
      <c r="CXP33" s="537"/>
      <c r="CXQ33" s="537"/>
      <c r="CXR33" s="537"/>
      <c r="CXS33" s="537"/>
      <c r="CXT33" s="537"/>
      <c r="CXU33" s="537"/>
      <c r="CXV33" s="537"/>
      <c r="CXW33" s="537"/>
      <c r="CXX33" s="537"/>
      <c r="CXY33" s="537"/>
      <c r="CXZ33" s="537"/>
      <c r="CYA33" s="537"/>
      <c r="CYB33" s="537"/>
      <c r="CYC33" s="537"/>
      <c r="CYD33" s="537"/>
      <c r="CYE33" s="537"/>
      <c r="CYF33" s="537"/>
      <c r="CYG33" s="537"/>
      <c r="CYH33" s="537"/>
      <c r="CYI33" s="537"/>
      <c r="CYJ33" s="537"/>
      <c r="CYK33" s="537"/>
      <c r="CYL33" s="537"/>
      <c r="CYM33" s="537"/>
      <c r="CYN33" s="537"/>
      <c r="CYO33" s="537"/>
      <c r="CYP33" s="537"/>
      <c r="CYQ33" s="537"/>
      <c r="CYR33" s="537"/>
      <c r="CYS33" s="537"/>
      <c r="CYT33" s="537"/>
      <c r="CYU33" s="537"/>
      <c r="CYV33" s="537"/>
      <c r="CYW33" s="537"/>
      <c r="CYX33" s="537"/>
      <c r="CYY33" s="537"/>
      <c r="CYZ33" s="537"/>
      <c r="CZA33" s="537"/>
      <c r="CZB33" s="537"/>
      <c r="CZC33" s="537"/>
      <c r="CZD33" s="537"/>
      <c r="CZE33" s="537"/>
      <c r="CZF33" s="537"/>
      <c r="CZG33" s="537"/>
      <c r="CZH33" s="537"/>
      <c r="CZI33" s="537"/>
      <c r="CZJ33" s="537"/>
      <c r="CZK33" s="537"/>
      <c r="CZL33" s="537"/>
      <c r="CZM33" s="537"/>
      <c r="CZN33" s="537"/>
      <c r="CZO33" s="537"/>
      <c r="CZP33" s="537"/>
      <c r="CZQ33" s="537"/>
      <c r="CZR33" s="537"/>
      <c r="CZS33" s="537"/>
      <c r="CZT33" s="537"/>
      <c r="CZU33" s="537"/>
      <c r="CZV33" s="537"/>
      <c r="CZW33" s="537"/>
      <c r="CZX33" s="537"/>
      <c r="CZY33" s="537"/>
      <c r="CZZ33" s="537"/>
      <c r="DAA33" s="537"/>
      <c r="DAB33" s="537"/>
      <c r="DAC33" s="537"/>
      <c r="DAD33" s="537"/>
      <c r="DAE33" s="537"/>
      <c r="DAF33" s="537"/>
      <c r="DAG33" s="537"/>
      <c r="DAH33" s="537"/>
      <c r="DAI33" s="537"/>
      <c r="DAJ33" s="537"/>
      <c r="DAK33" s="537"/>
      <c r="DAL33" s="537"/>
      <c r="DAM33" s="537"/>
      <c r="DAN33" s="537"/>
      <c r="DAO33" s="537"/>
      <c r="DAP33" s="537"/>
      <c r="DAQ33" s="537"/>
      <c r="DAR33" s="537"/>
      <c r="DAS33" s="537"/>
      <c r="DAT33" s="537"/>
      <c r="DAU33" s="537"/>
      <c r="DAV33" s="537"/>
      <c r="DAW33" s="537"/>
      <c r="DAX33" s="537"/>
      <c r="DAY33" s="537"/>
      <c r="DAZ33" s="537"/>
      <c r="DBA33" s="537"/>
      <c r="DBB33" s="537"/>
      <c r="DBC33" s="537"/>
      <c r="DBD33" s="537"/>
      <c r="DBE33" s="537"/>
      <c r="DBF33" s="537"/>
      <c r="DBG33" s="537"/>
      <c r="DBH33" s="537"/>
      <c r="DBI33" s="537"/>
      <c r="DBJ33" s="537"/>
      <c r="DBK33" s="537"/>
      <c r="DBL33" s="537"/>
      <c r="DBM33" s="537"/>
      <c r="DBN33" s="537"/>
      <c r="DBO33" s="537"/>
      <c r="DBP33" s="537"/>
      <c r="DBQ33" s="537"/>
      <c r="DBR33" s="537"/>
      <c r="DBS33" s="537"/>
      <c r="DBT33" s="537"/>
      <c r="DBU33" s="537"/>
      <c r="DBV33" s="537"/>
      <c r="DBW33" s="537"/>
      <c r="DBX33" s="537"/>
      <c r="DBY33" s="537"/>
      <c r="DBZ33" s="537"/>
      <c r="DCA33" s="537"/>
      <c r="DCB33" s="537"/>
      <c r="DCC33" s="537"/>
      <c r="DCD33" s="537"/>
      <c r="DCE33" s="537"/>
      <c r="DCF33" s="537"/>
      <c r="DCG33" s="537"/>
      <c r="DCH33" s="537"/>
      <c r="DCI33" s="537"/>
      <c r="DCJ33" s="537"/>
      <c r="DCK33" s="537"/>
      <c r="DCL33" s="537"/>
      <c r="DCM33" s="537"/>
      <c r="DCN33" s="537"/>
      <c r="DCO33" s="537"/>
      <c r="DCP33" s="537"/>
      <c r="DCQ33" s="537"/>
      <c r="DCR33" s="537"/>
      <c r="DCS33" s="537"/>
      <c r="DCT33" s="537"/>
      <c r="DCU33" s="537"/>
      <c r="DCV33" s="537"/>
      <c r="DCW33" s="537"/>
      <c r="DCX33" s="537"/>
      <c r="DCY33" s="537"/>
      <c r="DCZ33" s="537"/>
      <c r="DDA33" s="537"/>
      <c r="DDB33" s="537"/>
      <c r="DDC33" s="537"/>
      <c r="DDD33" s="537"/>
      <c r="DDE33" s="537"/>
      <c r="DDF33" s="537"/>
      <c r="DDG33" s="537"/>
      <c r="DDH33" s="537"/>
      <c r="DDI33" s="537"/>
      <c r="DDJ33" s="537"/>
      <c r="DDK33" s="537"/>
      <c r="DDL33" s="537"/>
      <c r="DDM33" s="537"/>
      <c r="DDN33" s="537"/>
      <c r="DDO33" s="537"/>
      <c r="DDP33" s="537"/>
      <c r="DDQ33" s="537"/>
      <c r="DDR33" s="537"/>
      <c r="DDS33" s="537"/>
      <c r="DDT33" s="537"/>
      <c r="DDU33" s="537"/>
      <c r="DDV33" s="537"/>
      <c r="DDW33" s="537"/>
      <c r="DDX33" s="537"/>
      <c r="DDY33" s="537"/>
      <c r="DDZ33" s="537"/>
      <c r="DEA33" s="537"/>
      <c r="DEB33" s="537"/>
      <c r="DEC33" s="537"/>
      <c r="DED33" s="537"/>
      <c r="DEE33" s="537"/>
      <c r="DEF33" s="537"/>
      <c r="DEG33" s="537"/>
      <c r="DEH33" s="537"/>
      <c r="DEI33" s="537"/>
      <c r="DEJ33" s="537"/>
      <c r="DEK33" s="537"/>
      <c r="DEL33" s="537"/>
      <c r="DEM33" s="537"/>
      <c r="DEN33" s="537"/>
      <c r="DEO33" s="537"/>
      <c r="DEP33" s="537"/>
      <c r="DEQ33" s="537"/>
      <c r="DER33" s="537"/>
      <c r="DES33" s="537"/>
      <c r="DET33" s="537"/>
      <c r="DEU33" s="537"/>
      <c r="DEV33" s="537"/>
      <c r="DEW33" s="537"/>
      <c r="DEX33" s="537"/>
      <c r="DEY33" s="537"/>
      <c r="DEZ33" s="537"/>
      <c r="DFA33" s="537"/>
      <c r="DFB33" s="537"/>
      <c r="DFC33" s="537"/>
      <c r="DFD33" s="537"/>
      <c r="DFE33" s="537"/>
      <c r="DFF33" s="537"/>
      <c r="DFG33" s="537"/>
      <c r="DFH33" s="537"/>
      <c r="DFI33" s="537"/>
      <c r="DFJ33" s="537"/>
      <c r="DFK33" s="537"/>
      <c r="DFL33" s="537"/>
      <c r="DFM33" s="537"/>
      <c r="DFN33" s="537"/>
      <c r="DFO33" s="537"/>
      <c r="DFP33" s="537"/>
      <c r="DFQ33" s="537"/>
      <c r="DFR33" s="537"/>
      <c r="DFS33" s="537"/>
      <c r="DFT33" s="537"/>
      <c r="DFU33" s="537"/>
      <c r="DFV33" s="537"/>
      <c r="DFW33" s="537"/>
      <c r="DFX33" s="537"/>
      <c r="DFY33" s="537"/>
      <c r="DFZ33" s="537"/>
      <c r="DGA33" s="537"/>
      <c r="DGB33" s="537"/>
      <c r="DGC33" s="537"/>
      <c r="DGD33" s="537"/>
      <c r="DGE33" s="537"/>
      <c r="DGF33" s="537"/>
      <c r="DGG33" s="537"/>
      <c r="DGH33" s="537"/>
      <c r="DGI33" s="537"/>
      <c r="DGJ33" s="537"/>
      <c r="DGK33" s="537"/>
      <c r="DGL33" s="537"/>
      <c r="DGM33" s="537"/>
      <c r="DGN33" s="537"/>
      <c r="DGO33" s="537"/>
      <c r="DGP33" s="537"/>
      <c r="DGQ33" s="537"/>
      <c r="DGR33" s="537"/>
      <c r="DGS33" s="537"/>
      <c r="DGT33" s="537"/>
      <c r="DGU33" s="537"/>
      <c r="DGV33" s="537"/>
      <c r="DGW33" s="537"/>
      <c r="DGX33" s="537"/>
      <c r="DGY33" s="537"/>
      <c r="DGZ33" s="537"/>
      <c r="DHA33" s="537"/>
      <c r="DHB33" s="537"/>
      <c r="DHC33" s="537"/>
      <c r="DHD33" s="537"/>
      <c r="DHE33" s="537"/>
      <c r="DHF33" s="537"/>
      <c r="DHG33" s="537"/>
      <c r="DHH33" s="537"/>
      <c r="DHI33" s="537"/>
      <c r="DHJ33" s="537"/>
      <c r="DHK33" s="537"/>
      <c r="DHL33" s="537"/>
      <c r="DHM33" s="537"/>
      <c r="DHN33" s="537"/>
      <c r="DHO33" s="537"/>
      <c r="DHP33" s="537"/>
      <c r="DHQ33" s="537"/>
      <c r="DHR33" s="537"/>
      <c r="DHS33" s="537"/>
      <c r="DHT33" s="537"/>
      <c r="DHU33" s="537"/>
      <c r="DHV33" s="537"/>
      <c r="DHW33" s="537"/>
      <c r="DHX33" s="537"/>
      <c r="DHY33" s="537"/>
      <c r="DHZ33" s="537"/>
      <c r="DIA33" s="537"/>
      <c r="DIB33" s="537"/>
      <c r="DIC33" s="537"/>
      <c r="DID33" s="537"/>
      <c r="DIE33" s="537"/>
      <c r="DIF33" s="537"/>
      <c r="DIG33" s="537"/>
      <c r="DIH33" s="537"/>
      <c r="DII33" s="537"/>
      <c r="DIJ33" s="537"/>
      <c r="DIK33" s="537"/>
      <c r="DIL33" s="537"/>
      <c r="DIM33" s="537"/>
      <c r="DIN33" s="537"/>
      <c r="DIO33" s="537"/>
      <c r="DIP33" s="537"/>
      <c r="DIQ33" s="537"/>
      <c r="DIR33" s="537"/>
      <c r="DIS33" s="537"/>
      <c r="DIT33" s="537"/>
      <c r="DIU33" s="537"/>
      <c r="DIV33" s="537"/>
      <c r="DIW33" s="537"/>
      <c r="DIX33" s="537"/>
      <c r="DIY33" s="537"/>
      <c r="DIZ33" s="537"/>
      <c r="DJA33" s="537"/>
      <c r="DJB33" s="537"/>
      <c r="DJC33" s="537"/>
      <c r="DJD33" s="537"/>
      <c r="DJE33" s="537"/>
      <c r="DJF33" s="537"/>
      <c r="DJG33" s="537"/>
      <c r="DJH33" s="537"/>
      <c r="DJI33" s="537"/>
      <c r="DJJ33" s="537"/>
      <c r="DJK33" s="537"/>
      <c r="DJL33" s="537"/>
      <c r="DJM33" s="537"/>
      <c r="DJN33" s="537"/>
      <c r="DJO33" s="537"/>
      <c r="DJP33" s="537"/>
      <c r="DJQ33" s="537"/>
      <c r="DJR33" s="537"/>
      <c r="DJS33" s="537"/>
      <c r="DJT33" s="537"/>
      <c r="DJU33" s="537"/>
      <c r="DJV33" s="537"/>
      <c r="DJW33" s="537"/>
      <c r="DJX33" s="537"/>
      <c r="DJY33" s="537"/>
      <c r="DJZ33" s="537"/>
      <c r="DKA33" s="537"/>
      <c r="DKB33" s="537"/>
      <c r="DKC33" s="537"/>
      <c r="DKD33" s="537"/>
      <c r="DKE33" s="537"/>
      <c r="DKF33" s="537"/>
      <c r="DKG33" s="537"/>
      <c r="DKH33" s="537"/>
      <c r="DKI33" s="537"/>
      <c r="DKJ33" s="537"/>
      <c r="DKK33" s="537"/>
      <c r="DKL33" s="537"/>
      <c r="DKM33" s="537"/>
      <c r="DKN33" s="537"/>
      <c r="DKO33" s="537"/>
      <c r="DKP33" s="537"/>
      <c r="DKQ33" s="537"/>
      <c r="DKR33" s="537"/>
      <c r="DKS33" s="537"/>
      <c r="DKT33" s="537"/>
      <c r="DKU33" s="537"/>
      <c r="DKV33" s="537"/>
      <c r="DKW33" s="537"/>
      <c r="DKX33" s="537"/>
      <c r="DKY33" s="537"/>
      <c r="DKZ33" s="537"/>
      <c r="DLA33" s="537"/>
      <c r="DLB33" s="537"/>
      <c r="DLC33" s="537"/>
      <c r="DLD33" s="537"/>
      <c r="DLE33" s="537"/>
      <c r="DLF33" s="537"/>
      <c r="DLG33" s="537"/>
      <c r="DLH33" s="537"/>
      <c r="DLI33" s="537"/>
      <c r="DLJ33" s="537"/>
      <c r="DLK33" s="537"/>
      <c r="DLL33" s="537"/>
      <c r="DLM33" s="537"/>
      <c r="DLN33" s="537"/>
      <c r="DLO33" s="537"/>
      <c r="DLP33" s="537"/>
      <c r="DLQ33" s="537"/>
      <c r="DLR33" s="537"/>
      <c r="DLS33" s="537"/>
      <c r="DLT33" s="537"/>
      <c r="DLU33" s="537"/>
      <c r="DLV33" s="537"/>
      <c r="DLW33" s="537"/>
      <c r="DLX33" s="537"/>
      <c r="DLY33" s="537"/>
      <c r="DLZ33" s="537"/>
      <c r="DMA33" s="537"/>
      <c r="DMB33" s="537"/>
      <c r="DMC33" s="537"/>
      <c r="DMD33" s="537"/>
      <c r="DME33" s="537"/>
      <c r="DMF33" s="537"/>
      <c r="DMG33" s="537"/>
      <c r="DMH33" s="537"/>
      <c r="DMI33" s="537"/>
      <c r="DMJ33" s="537"/>
      <c r="DMK33" s="537"/>
      <c r="DML33" s="537"/>
      <c r="DMM33" s="537"/>
      <c r="DMN33" s="537"/>
      <c r="DMO33" s="537"/>
      <c r="DMP33" s="537"/>
      <c r="DMQ33" s="537"/>
      <c r="DMR33" s="537"/>
      <c r="DMS33" s="537"/>
      <c r="DMT33" s="537"/>
      <c r="DMU33" s="537"/>
      <c r="DMV33" s="537"/>
      <c r="DMW33" s="537"/>
      <c r="DMX33" s="537"/>
      <c r="DMY33" s="537"/>
      <c r="DMZ33" s="537"/>
      <c r="DNA33" s="537"/>
      <c r="DNB33" s="537"/>
      <c r="DNC33" s="537"/>
      <c r="DND33" s="537"/>
      <c r="DNE33" s="537"/>
      <c r="DNF33" s="537"/>
      <c r="DNG33" s="537"/>
      <c r="DNH33" s="537"/>
      <c r="DNI33" s="537"/>
      <c r="DNJ33" s="537"/>
      <c r="DNK33" s="537"/>
      <c r="DNL33" s="537"/>
      <c r="DNM33" s="537"/>
      <c r="DNN33" s="537"/>
      <c r="DNO33" s="537"/>
      <c r="DNP33" s="537"/>
      <c r="DNQ33" s="537"/>
      <c r="DNR33" s="537"/>
      <c r="DNS33" s="537"/>
      <c r="DNT33" s="537"/>
      <c r="DNU33" s="537"/>
      <c r="DNV33" s="537"/>
      <c r="DNW33" s="537"/>
      <c r="DNX33" s="537"/>
      <c r="DNY33" s="537"/>
      <c r="DNZ33" s="537"/>
      <c r="DOA33" s="537"/>
      <c r="DOB33" s="537"/>
      <c r="DOC33" s="537"/>
      <c r="DOD33" s="537"/>
      <c r="DOE33" s="537"/>
      <c r="DOF33" s="537"/>
      <c r="DOG33" s="537"/>
      <c r="DOH33" s="537"/>
      <c r="DOI33" s="537"/>
      <c r="DOJ33" s="537"/>
      <c r="DOK33" s="537"/>
      <c r="DOL33" s="537"/>
      <c r="DOM33" s="537"/>
      <c r="DON33" s="537"/>
      <c r="DOO33" s="537"/>
      <c r="DOP33" s="537"/>
      <c r="DOQ33" s="537"/>
      <c r="DOR33" s="537"/>
      <c r="DOS33" s="537"/>
      <c r="DOT33" s="537"/>
      <c r="DOU33" s="537"/>
      <c r="DOV33" s="537"/>
      <c r="DOW33" s="537"/>
      <c r="DOX33" s="537"/>
      <c r="DOY33" s="537"/>
      <c r="DOZ33" s="537"/>
      <c r="DPA33" s="537"/>
      <c r="DPB33" s="537"/>
      <c r="DPC33" s="537"/>
      <c r="DPD33" s="537"/>
      <c r="DPE33" s="537"/>
      <c r="DPF33" s="537"/>
      <c r="DPG33" s="537"/>
      <c r="DPH33" s="537"/>
      <c r="DPI33" s="537"/>
      <c r="DPJ33" s="537"/>
      <c r="DPK33" s="537"/>
      <c r="DPL33" s="537"/>
      <c r="DPM33" s="537"/>
      <c r="DPN33" s="537"/>
      <c r="DPO33" s="537"/>
      <c r="DPP33" s="537"/>
      <c r="DPQ33" s="537"/>
      <c r="DPR33" s="537"/>
      <c r="DPS33" s="537"/>
      <c r="DPT33" s="537"/>
      <c r="DPU33" s="537"/>
      <c r="DPV33" s="537"/>
      <c r="DPW33" s="537"/>
      <c r="DPX33" s="537"/>
      <c r="DPY33" s="537"/>
      <c r="DPZ33" s="537"/>
      <c r="DQA33" s="537"/>
      <c r="DQB33" s="537"/>
      <c r="DQC33" s="537"/>
      <c r="DQD33" s="537"/>
      <c r="DQE33" s="537"/>
      <c r="DQF33" s="537"/>
      <c r="DQG33" s="537"/>
      <c r="DQH33" s="537"/>
      <c r="DQI33" s="537"/>
      <c r="DQJ33" s="537"/>
      <c r="DQK33" s="537"/>
      <c r="DQL33" s="537"/>
      <c r="DQM33" s="537"/>
      <c r="DQN33" s="537"/>
      <c r="DQO33" s="537"/>
      <c r="DQP33" s="537"/>
      <c r="DQQ33" s="537"/>
      <c r="DQR33" s="537"/>
      <c r="DQS33" s="537"/>
      <c r="DQT33" s="537"/>
      <c r="DQU33" s="537"/>
      <c r="DQV33" s="537"/>
      <c r="DQW33" s="537"/>
      <c r="DQX33" s="537"/>
      <c r="DQY33" s="537"/>
      <c r="DQZ33" s="537"/>
      <c r="DRA33" s="537"/>
      <c r="DRB33" s="537"/>
      <c r="DRC33" s="537"/>
      <c r="DRD33" s="537"/>
      <c r="DRE33" s="537"/>
      <c r="DRF33" s="537"/>
      <c r="DRG33" s="537"/>
      <c r="DRH33" s="537"/>
      <c r="DRI33" s="537"/>
      <c r="DRJ33" s="537"/>
      <c r="DRK33" s="537"/>
      <c r="DRL33" s="537"/>
      <c r="DRM33" s="537"/>
      <c r="DRN33" s="537"/>
      <c r="DRO33" s="537"/>
      <c r="DRP33" s="537"/>
      <c r="DRQ33" s="537"/>
      <c r="DRR33" s="537"/>
      <c r="DRS33" s="537"/>
      <c r="DRT33" s="537"/>
      <c r="DRU33" s="537"/>
      <c r="DRV33" s="537"/>
      <c r="DRW33" s="537"/>
      <c r="DRX33" s="537"/>
      <c r="DRY33" s="537"/>
      <c r="DRZ33" s="537"/>
      <c r="DSA33" s="537"/>
      <c r="DSB33" s="537"/>
      <c r="DSC33" s="537"/>
      <c r="DSD33" s="537"/>
      <c r="DSE33" s="537"/>
      <c r="DSF33" s="537"/>
      <c r="DSG33" s="537"/>
      <c r="DSH33" s="537"/>
      <c r="DSI33" s="537"/>
      <c r="DSJ33" s="537"/>
      <c r="DSK33" s="537"/>
      <c r="DSL33" s="537"/>
      <c r="DSM33" s="537"/>
      <c r="DSN33" s="537"/>
      <c r="DSO33" s="537"/>
      <c r="DSP33" s="537"/>
      <c r="DSQ33" s="537"/>
      <c r="DSR33" s="537"/>
      <c r="DSS33" s="537"/>
      <c r="DST33" s="537"/>
      <c r="DSU33" s="537"/>
      <c r="DSV33" s="537"/>
      <c r="DSW33" s="537"/>
      <c r="DSX33" s="537"/>
      <c r="DSY33" s="537"/>
      <c r="DSZ33" s="537"/>
      <c r="DTA33" s="537"/>
      <c r="DTB33" s="537"/>
      <c r="DTC33" s="537"/>
      <c r="DTD33" s="537"/>
      <c r="DTE33" s="537"/>
      <c r="DTF33" s="537"/>
      <c r="DTG33" s="537"/>
      <c r="DTH33" s="537"/>
      <c r="DTI33" s="537"/>
      <c r="DTJ33" s="537"/>
      <c r="DTK33" s="537"/>
      <c r="DTL33" s="537"/>
      <c r="DTM33" s="537"/>
      <c r="DTN33" s="537"/>
      <c r="DTO33" s="537"/>
      <c r="DTP33" s="537"/>
      <c r="DTQ33" s="537"/>
      <c r="DTR33" s="537"/>
      <c r="DTS33" s="537"/>
      <c r="DTT33" s="537"/>
      <c r="DTU33" s="537"/>
      <c r="DTV33" s="537"/>
      <c r="DTW33" s="537"/>
      <c r="DTX33" s="537"/>
      <c r="DTY33" s="537"/>
      <c r="DTZ33" s="537"/>
      <c r="DUA33" s="537"/>
      <c r="DUB33" s="537"/>
      <c r="DUC33" s="537"/>
      <c r="DUD33" s="537"/>
      <c r="DUE33" s="537"/>
      <c r="DUF33" s="537"/>
      <c r="DUG33" s="537"/>
      <c r="DUH33" s="537"/>
      <c r="DUI33" s="537"/>
      <c r="DUJ33" s="537"/>
      <c r="DUK33" s="537"/>
      <c r="DUL33" s="537"/>
      <c r="DUM33" s="537"/>
      <c r="DUN33" s="537"/>
      <c r="DUO33" s="537"/>
      <c r="DUP33" s="537"/>
      <c r="DUQ33" s="537"/>
      <c r="DUR33" s="537"/>
      <c r="DUS33" s="537"/>
      <c r="DUT33" s="537"/>
      <c r="DUU33" s="537"/>
      <c r="DUV33" s="537"/>
      <c r="DUW33" s="537"/>
      <c r="DUX33" s="537"/>
      <c r="DUY33" s="537"/>
      <c r="DUZ33" s="537"/>
      <c r="DVA33" s="537"/>
      <c r="DVB33" s="537"/>
      <c r="DVC33" s="537"/>
      <c r="DVD33" s="537"/>
      <c r="DVE33" s="537"/>
      <c r="DVF33" s="537"/>
      <c r="DVG33" s="537"/>
      <c r="DVH33" s="537"/>
      <c r="DVI33" s="537"/>
      <c r="DVJ33" s="537"/>
      <c r="DVK33" s="537"/>
      <c r="DVL33" s="537"/>
      <c r="DVM33" s="537"/>
      <c r="DVN33" s="537"/>
      <c r="DVO33" s="537"/>
      <c r="DVP33" s="537"/>
      <c r="DVQ33" s="537"/>
      <c r="DVR33" s="537"/>
      <c r="DVS33" s="537"/>
      <c r="DVT33" s="537"/>
      <c r="DVU33" s="537"/>
      <c r="DVV33" s="537"/>
      <c r="DVW33" s="537"/>
      <c r="DVX33" s="537"/>
      <c r="DVY33" s="537"/>
      <c r="DVZ33" s="537"/>
      <c r="DWA33" s="537"/>
      <c r="DWB33" s="537"/>
      <c r="DWC33" s="537"/>
      <c r="DWD33" s="537"/>
      <c r="DWE33" s="537"/>
      <c r="DWF33" s="537"/>
      <c r="DWG33" s="537"/>
      <c r="DWH33" s="537"/>
      <c r="DWI33" s="537"/>
      <c r="DWJ33" s="537"/>
      <c r="DWK33" s="537"/>
      <c r="DWL33" s="537"/>
      <c r="DWM33" s="537"/>
      <c r="DWN33" s="537"/>
      <c r="DWO33" s="537"/>
      <c r="DWP33" s="537"/>
      <c r="DWQ33" s="537"/>
      <c r="DWR33" s="537"/>
      <c r="DWS33" s="537"/>
      <c r="DWT33" s="537"/>
      <c r="DWU33" s="537"/>
      <c r="DWV33" s="537"/>
      <c r="DWW33" s="537"/>
      <c r="DWX33" s="537"/>
      <c r="DWY33" s="537"/>
      <c r="DWZ33" s="537"/>
      <c r="DXA33" s="537"/>
      <c r="DXB33" s="537"/>
      <c r="DXC33" s="537"/>
      <c r="DXD33" s="537"/>
      <c r="DXE33" s="537"/>
      <c r="DXF33" s="537"/>
      <c r="DXG33" s="537"/>
      <c r="DXH33" s="537"/>
      <c r="DXI33" s="537"/>
      <c r="DXJ33" s="537"/>
      <c r="DXK33" s="537"/>
      <c r="DXL33" s="537"/>
      <c r="DXM33" s="537"/>
      <c r="DXN33" s="537"/>
      <c r="DXO33" s="537"/>
      <c r="DXP33" s="537"/>
      <c r="DXQ33" s="537"/>
      <c r="DXR33" s="537"/>
      <c r="DXS33" s="537"/>
      <c r="DXT33" s="537"/>
      <c r="DXU33" s="537"/>
      <c r="DXV33" s="537"/>
      <c r="DXW33" s="537"/>
      <c r="DXX33" s="537"/>
      <c r="DXY33" s="537"/>
      <c r="DXZ33" s="537"/>
      <c r="DYA33" s="537"/>
      <c r="DYB33" s="537"/>
      <c r="DYC33" s="537"/>
      <c r="DYD33" s="537"/>
      <c r="DYE33" s="537"/>
      <c r="DYF33" s="537"/>
      <c r="DYG33" s="537"/>
      <c r="DYH33" s="537"/>
      <c r="DYI33" s="537"/>
      <c r="DYJ33" s="537"/>
      <c r="DYK33" s="537"/>
      <c r="DYL33" s="537"/>
      <c r="DYM33" s="537"/>
      <c r="DYN33" s="537"/>
      <c r="DYO33" s="537"/>
      <c r="DYP33" s="537"/>
      <c r="DYQ33" s="537"/>
      <c r="DYR33" s="537"/>
      <c r="DYS33" s="537"/>
      <c r="DYT33" s="537"/>
      <c r="DYU33" s="537"/>
      <c r="DYV33" s="537"/>
      <c r="DYW33" s="537"/>
      <c r="DYX33" s="537"/>
      <c r="DYY33" s="537"/>
      <c r="DYZ33" s="537"/>
      <c r="DZA33" s="537"/>
      <c r="DZB33" s="537"/>
      <c r="DZC33" s="537"/>
      <c r="DZD33" s="537"/>
      <c r="DZE33" s="537"/>
      <c r="DZF33" s="537"/>
      <c r="DZG33" s="537"/>
      <c r="DZH33" s="537"/>
      <c r="DZI33" s="537"/>
      <c r="DZJ33" s="537"/>
      <c r="DZK33" s="537"/>
      <c r="DZL33" s="537"/>
      <c r="DZM33" s="537"/>
      <c r="DZN33" s="537"/>
      <c r="DZO33" s="537"/>
      <c r="DZP33" s="537"/>
      <c r="DZQ33" s="537"/>
      <c r="DZR33" s="537"/>
      <c r="DZS33" s="537"/>
      <c r="DZT33" s="537"/>
      <c r="DZU33" s="537"/>
      <c r="DZV33" s="537"/>
      <c r="DZW33" s="537"/>
      <c r="DZX33" s="537"/>
      <c r="DZY33" s="537"/>
      <c r="DZZ33" s="537"/>
      <c r="EAA33" s="537"/>
      <c r="EAB33" s="537"/>
      <c r="EAC33" s="537"/>
      <c r="EAD33" s="537"/>
      <c r="EAE33" s="537"/>
      <c r="EAF33" s="537"/>
      <c r="EAG33" s="537"/>
      <c r="EAH33" s="537"/>
      <c r="EAI33" s="537"/>
      <c r="EAJ33" s="537"/>
      <c r="EAK33" s="537"/>
      <c r="EAL33" s="537"/>
      <c r="EAM33" s="537"/>
      <c r="EAN33" s="537"/>
      <c r="EAO33" s="537"/>
      <c r="EAP33" s="537"/>
      <c r="EAQ33" s="537"/>
      <c r="EAR33" s="537"/>
      <c r="EAS33" s="537"/>
      <c r="EAT33" s="537"/>
      <c r="EAU33" s="537"/>
      <c r="EAV33" s="537"/>
      <c r="EAW33" s="537"/>
      <c r="EAX33" s="537"/>
      <c r="EAY33" s="537"/>
      <c r="EAZ33" s="537"/>
      <c r="EBA33" s="537"/>
      <c r="EBB33" s="537"/>
      <c r="EBC33" s="537"/>
      <c r="EBD33" s="537"/>
      <c r="EBE33" s="537"/>
      <c r="EBF33" s="537"/>
      <c r="EBG33" s="537"/>
      <c r="EBH33" s="537"/>
      <c r="EBI33" s="537"/>
      <c r="EBJ33" s="537"/>
      <c r="EBK33" s="537"/>
      <c r="EBL33" s="537"/>
      <c r="EBM33" s="537"/>
      <c r="EBN33" s="537"/>
      <c r="EBO33" s="537"/>
      <c r="EBP33" s="537"/>
      <c r="EBQ33" s="537"/>
      <c r="EBR33" s="537"/>
      <c r="EBS33" s="537"/>
      <c r="EBT33" s="537"/>
      <c r="EBU33" s="537"/>
      <c r="EBV33" s="537"/>
      <c r="EBW33" s="537"/>
      <c r="EBX33" s="537"/>
      <c r="EBY33" s="537"/>
      <c r="EBZ33" s="537"/>
      <c r="ECA33" s="537"/>
      <c r="ECB33" s="537"/>
      <c r="ECC33" s="537"/>
      <c r="ECD33" s="537"/>
      <c r="ECE33" s="537"/>
      <c r="ECF33" s="537"/>
      <c r="ECG33" s="537"/>
      <c r="ECH33" s="537"/>
      <c r="ECI33" s="537"/>
      <c r="ECJ33" s="537"/>
      <c r="ECK33" s="537"/>
      <c r="ECL33" s="537"/>
      <c r="ECM33" s="537"/>
      <c r="ECN33" s="537"/>
      <c r="ECO33" s="537"/>
      <c r="ECP33" s="537"/>
      <c r="ECQ33" s="537"/>
      <c r="ECR33" s="537"/>
      <c r="ECS33" s="537"/>
      <c r="ECT33" s="537"/>
      <c r="ECU33" s="537"/>
      <c r="ECV33" s="537"/>
      <c r="ECW33" s="537"/>
      <c r="ECX33" s="537"/>
      <c r="ECY33" s="537"/>
      <c r="ECZ33" s="537"/>
      <c r="EDA33" s="537"/>
      <c r="EDB33" s="537"/>
      <c r="EDC33" s="537"/>
      <c r="EDD33" s="537"/>
      <c r="EDE33" s="537"/>
      <c r="EDF33" s="537"/>
      <c r="EDG33" s="537"/>
      <c r="EDH33" s="537"/>
      <c r="EDI33" s="537"/>
      <c r="EDJ33" s="537"/>
      <c r="EDK33" s="537"/>
      <c r="EDL33" s="537"/>
      <c r="EDM33" s="537"/>
      <c r="EDN33" s="537"/>
      <c r="EDO33" s="537"/>
      <c r="EDP33" s="537"/>
      <c r="EDQ33" s="537"/>
      <c r="EDR33" s="537"/>
      <c r="EDS33" s="537"/>
      <c r="EDT33" s="537"/>
      <c r="EDU33" s="537"/>
      <c r="EDV33" s="537"/>
      <c r="EDW33" s="537"/>
      <c r="EDX33" s="537"/>
      <c r="EDY33" s="537"/>
      <c r="EDZ33" s="537"/>
      <c r="EEA33" s="537"/>
      <c r="EEB33" s="537"/>
      <c r="EEC33" s="537"/>
      <c r="EED33" s="537"/>
      <c r="EEE33" s="537"/>
      <c r="EEF33" s="537"/>
      <c r="EEG33" s="537"/>
      <c r="EEH33" s="537"/>
      <c r="EEI33" s="537"/>
      <c r="EEJ33" s="537"/>
      <c r="EEK33" s="537"/>
      <c r="EEL33" s="537"/>
      <c r="EEM33" s="537"/>
      <c r="EEN33" s="537"/>
      <c r="EEO33" s="537"/>
      <c r="EEP33" s="537"/>
      <c r="EEQ33" s="537"/>
      <c r="EER33" s="537"/>
      <c r="EES33" s="537"/>
      <c r="EET33" s="537"/>
      <c r="EEU33" s="537"/>
      <c r="EEV33" s="537"/>
      <c r="EEW33" s="537"/>
      <c r="EEX33" s="537"/>
      <c r="EEY33" s="537"/>
      <c r="EEZ33" s="537"/>
      <c r="EFA33" s="537"/>
      <c r="EFB33" s="537"/>
      <c r="EFC33" s="537"/>
      <c r="EFD33" s="537"/>
      <c r="EFE33" s="537"/>
      <c r="EFF33" s="537"/>
      <c r="EFG33" s="537"/>
      <c r="EFH33" s="537"/>
      <c r="EFI33" s="537"/>
      <c r="EFJ33" s="537"/>
      <c r="EFK33" s="537"/>
      <c r="EFL33" s="537"/>
      <c r="EFM33" s="537"/>
      <c r="EFN33" s="537"/>
      <c r="EFO33" s="537"/>
      <c r="EFP33" s="537"/>
      <c r="EFQ33" s="537"/>
      <c r="EFR33" s="537"/>
      <c r="EFS33" s="537"/>
      <c r="EFT33" s="537"/>
      <c r="EFU33" s="537"/>
      <c r="EFV33" s="537"/>
      <c r="EFW33" s="537"/>
      <c r="EFX33" s="537"/>
      <c r="EFY33" s="537"/>
      <c r="EFZ33" s="537"/>
      <c r="EGA33" s="537"/>
      <c r="EGB33" s="537"/>
      <c r="EGC33" s="537"/>
      <c r="EGD33" s="537"/>
      <c r="EGE33" s="537"/>
      <c r="EGF33" s="537"/>
      <c r="EGG33" s="537"/>
      <c r="EGH33" s="537"/>
      <c r="EGI33" s="537"/>
      <c r="EGJ33" s="537"/>
      <c r="EGK33" s="537"/>
      <c r="EGL33" s="537"/>
      <c r="EGM33" s="537"/>
      <c r="EGN33" s="537"/>
      <c r="EGO33" s="537"/>
      <c r="EGP33" s="537"/>
      <c r="EGQ33" s="537"/>
      <c r="EGR33" s="537"/>
      <c r="EGS33" s="537"/>
      <c r="EGT33" s="537"/>
      <c r="EGU33" s="537"/>
      <c r="EGV33" s="537"/>
      <c r="EGW33" s="537"/>
      <c r="EGX33" s="537"/>
      <c r="EGY33" s="537"/>
      <c r="EGZ33" s="537"/>
      <c r="EHA33" s="537"/>
      <c r="EHB33" s="537"/>
      <c r="EHC33" s="537"/>
      <c r="EHD33" s="537"/>
      <c r="EHE33" s="537"/>
      <c r="EHF33" s="537"/>
      <c r="EHG33" s="537"/>
      <c r="EHH33" s="537"/>
      <c r="EHI33" s="537"/>
      <c r="EHJ33" s="537"/>
      <c r="EHK33" s="537"/>
      <c r="EHL33" s="537"/>
      <c r="EHM33" s="537"/>
      <c r="EHN33" s="537"/>
      <c r="EHO33" s="537"/>
      <c r="EHP33" s="537"/>
      <c r="EHQ33" s="537"/>
      <c r="EHR33" s="537"/>
      <c r="EHS33" s="537"/>
      <c r="EHT33" s="537"/>
      <c r="EHU33" s="537"/>
      <c r="EHV33" s="537"/>
      <c r="EHW33" s="537"/>
      <c r="EHX33" s="537"/>
      <c r="EHY33" s="537"/>
      <c r="EHZ33" s="537"/>
      <c r="EIA33" s="537"/>
      <c r="EIB33" s="537"/>
      <c r="EIC33" s="537"/>
      <c r="EID33" s="537"/>
      <c r="EIE33" s="537"/>
      <c r="EIF33" s="537"/>
      <c r="EIG33" s="537"/>
      <c r="EIH33" s="537"/>
      <c r="EII33" s="537"/>
      <c r="EIJ33" s="537"/>
      <c r="EIK33" s="537"/>
      <c r="EIL33" s="537"/>
      <c r="EIM33" s="537"/>
      <c r="EIN33" s="537"/>
      <c r="EIO33" s="537"/>
      <c r="EIP33" s="537"/>
      <c r="EIQ33" s="537"/>
      <c r="EIR33" s="537"/>
      <c r="EIS33" s="537"/>
      <c r="EIT33" s="537"/>
      <c r="EIU33" s="537"/>
      <c r="EIV33" s="537"/>
      <c r="EIW33" s="537"/>
      <c r="EIX33" s="537"/>
      <c r="EIY33" s="537"/>
      <c r="EIZ33" s="537"/>
      <c r="EJA33" s="537"/>
      <c r="EJB33" s="537"/>
      <c r="EJC33" s="537"/>
      <c r="EJD33" s="537"/>
      <c r="EJE33" s="537"/>
      <c r="EJF33" s="537"/>
      <c r="EJG33" s="537"/>
      <c r="EJH33" s="537"/>
      <c r="EJI33" s="537"/>
      <c r="EJJ33" s="537"/>
      <c r="EJK33" s="537"/>
      <c r="EJL33" s="537"/>
      <c r="EJM33" s="537"/>
      <c r="EJN33" s="537"/>
      <c r="EJO33" s="537"/>
      <c r="EJP33" s="537"/>
      <c r="EJQ33" s="537"/>
      <c r="EJR33" s="537"/>
      <c r="EJS33" s="537"/>
      <c r="EJT33" s="537"/>
      <c r="EJU33" s="537"/>
      <c r="EJV33" s="537"/>
      <c r="EJW33" s="537"/>
      <c r="EJX33" s="537"/>
      <c r="EJY33" s="537"/>
      <c r="EJZ33" s="537"/>
      <c r="EKA33" s="537"/>
      <c r="EKB33" s="537"/>
      <c r="EKC33" s="537"/>
      <c r="EKD33" s="537"/>
      <c r="EKE33" s="537"/>
      <c r="EKF33" s="537"/>
      <c r="EKG33" s="537"/>
      <c r="EKH33" s="537"/>
      <c r="EKI33" s="537"/>
      <c r="EKJ33" s="537"/>
      <c r="EKK33" s="537"/>
      <c r="EKL33" s="537"/>
      <c r="EKM33" s="537"/>
      <c r="EKN33" s="537"/>
      <c r="EKO33" s="537"/>
      <c r="EKP33" s="537"/>
      <c r="EKQ33" s="537"/>
      <c r="EKR33" s="537"/>
      <c r="EKS33" s="537"/>
      <c r="EKT33" s="537"/>
      <c r="EKU33" s="537"/>
      <c r="EKV33" s="537"/>
      <c r="EKW33" s="537"/>
      <c r="EKX33" s="537"/>
      <c r="EKY33" s="537"/>
      <c r="EKZ33" s="537"/>
      <c r="ELA33" s="537"/>
      <c r="ELB33" s="537"/>
      <c r="ELC33" s="537"/>
      <c r="ELD33" s="537"/>
      <c r="ELE33" s="537"/>
      <c r="ELF33" s="537"/>
      <c r="ELG33" s="537"/>
      <c r="ELH33" s="537"/>
      <c r="ELI33" s="537"/>
      <c r="ELJ33" s="537"/>
      <c r="ELK33" s="537"/>
      <c r="ELL33" s="537"/>
      <c r="ELM33" s="537"/>
      <c r="ELN33" s="537"/>
      <c r="ELO33" s="537"/>
      <c r="ELP33" s="537"/>
      <c r="ELQ33" s="537"/>
      <c r="ELR33" s="537"/>
      <c r="ELS33" s="537"/>
      <c r="ELT33" s="537"/>
      <c r="ELU33" s="537"/>
      <c r="ELV33" s="537"/>
      <c r="ELW33" s="537"/>
      <c r="ELX33" s="537"/>
      <c r="ELY33" s="537"/>
      <c r="ELZ33" s="537"/>
      <c r="EMA33" s="537"/>
      <c r="EMB33" s="537"/>
      <c r="EMC33" s="537"/>
      <c r="EMD33" s="537"/>
      <c r="EME33" s="537"/>
      <c r="EMF33" s="537"/>
      <c r="EMG33" s="537"/>
      <c r="EMH33" s="537"/>
      <c r="EMI33" s="537"/>
      <c r="EMJ33" s="537"/>
      <c r="EMK33" s="537"/>
      <c r="EML33" s="537"/>
      <c r="EMM33" s="537"/>
      <c r="EMN33" s="537"/>
      <c r="EMO33" s="537"/>
      <c r="EMP33" s="537"/>
      <c r="EMQ33" s="537"/>
      <c r="EMR33" s="537"/>
      <c r="EMS33" s="537"/>
      <c r="EMT33" s="537"/>
      <c r="EMU33" s="537"/>
      <c r="EMV33" s="537"/>
      <c r="EMW33" s="537"/>
      <c r="EMX33" s="537"/>
      <c r="EMY33" s="537"/>
      <c r="EMZ33" s="537"/>
      <c r="ENA33" s="537"/>
      <c r="ENB33" s="537"/>
      <c r="ENC33" s="537"/>
      <c r="END33" s="537"/>
      <c r="ENE33" s="537"/>
      <c r="ENF33" s="537"/>
      <c r="ENG33" s="537"/>
      <c r="ENH33" s="537"/>
      <c r="ENI33" s="537"/>
      <c r="ENJ33" s="537"/>
      <c r="ENK33" s="537"/>
      <c r="ENL33" s="537"/>
      <c r="ENM33" s="537"/>
      <c r="ENN33" s="537"/>
      <c r="ENO33" s="537"/>
      <c r="ENP33" s="537"/>
      <c r="ENQ33" s="537"/>
      <c r="ENR33" s="537"/>
      <c r="ENS33" s="537"/>
      <c r="ENT33" s="537"/>
      <c r="ENU33" s="537"/>
      <c r="ENV33" s="537"/>
      <c r="ENW33" s="537"/>
      <c r="ENX33" s="537"/>
      <c r="ENY33" s="537"/>
      <c r="ENZ33" s="537"/>
      <c r="EOA33" s="537"/>
      <c r="EOB33" s="537"/>
      <c r="EOC33" s="537"/>
      <c r="EOD33" s="537"/>
      <c r="EOE33" s="537"/>
      <c r="EOF33" s="537"/>
      <c r="EOG33" s="537"/>
      <c r="EOH33" s="537"/>
      <c r="EOI33" s="537"/>
      <c r="EOJ33" s="537"/>
      <c r="EOK33" s="537"/>
      <c r="EOL33" s="537"/>
      <c r="EOM33" s="537"/>
      <c r="EON33" s="537"/>
      <c r="EOO33" s="537"/>
      <c r="EOP33" s="537"/>
      <c r="EOQ33" s="537"/>
      <c r="EOR33" s="537"/>
      <c r="EOS33" s="537"/>
      <c r="EOT33" s="537"/>
      <c r="EOU33" s="537"/>
      <c r="EOV33" s="537"/>
      <c r="EOW33" s="537"/>
      <c r="EOX33" s="537"/>
      <c r="EOY33" s="537"/>
      <c r="EOZ33" s="537"/>
      <c r="EPA33" s="537"/>
      <c r="EPB33" s="537"/>
      <c r="EPC33" s="537"/>
      <c r="EPD33" s="537"/>
      <c r="EPE33" s="537"/>
      <c r="EPF33" s="537"/>
      <c r="EPG33" s="537"/>
      <c r="EPH33" s="537"/>
      <c r="EPI33" s="537"/>
      <c r="EPJ33" s="537"/>
      <c r="EPK33" s="537"/>
      <c r="EPL33" s="537"/>
      <c r="EPM33" s="537"/>
      <c r="EPN33" s="537"/>
      <c r="EPO33" s="537"/>
      <c r="EPP33" s="537"/>
      <c r="EPQ33" s="537"/>
      <c r="EPR33" s="537"/>
      <c r="EPS33" s="537"/>
      <c r="EPT33" s="537"/>
      <c r="EPU33" s="537"/>
      <c r="EPV33" s="537"/>
      <c r="EPW33" s="537"/>
      <c r="EPX33" s="537"/>
      <c r="EPY33" s="537"/>
      <c r="EPZ33" s="537"/>
      <c r="EQA33" s="537"/>
      <c r="EQB33" s="537"/>
      <c r="EQC33" s="537"/>
      <c r="EQD33" s="537"/>
      <c r="EQE33" s="537"/>
      <c r="EQF33" s="537"/>
      <c r="EQG33" s="537"/>
      <c r="EQH33" s="537"/>
      <c r="EQI33" s="537"/>
      <c r="EQJ33" s="537"/>
      <c r="EQK33" s="537"/>
      <c r="EQL33" s="537"/>
      <c r="EQM33" s="537"/>
      <c r="EQN33" s="537"/>
      <c r="EQO33" s="537"/>
      <c r="EQP33" s="537"/>
      <c r="EQQ33" s="537"/>
      <c r="EQR33" s="537"/>
      <c r="EQS33" s="537"/>
      <c r="EQT33" s="537"/>
      <c r="EQU33" s="537"/>
      <c r="EQV33" s="537"/>
      <c r="EQW33" s="537"/>
      <c r="EQX33" s="537"/>
      <c r="EQY33" s="537"/>
      <c r="EQZ33" s="537"/>
      <c r="ERA33" s="537"/>
      <c r="ERB33" s="537"/>
      <c r="ERC33" s="537"/>
      <c r="ERD33" s="537"/>
      <c r="ERE33" s="537"/>
      <c r="ERF33" s="537"/>
      <c r="ERG33" s="537"/>
      <c r="ERH33" s="537"/>
      <c r="ERI33" s="537"/>
      <c r="ERJ33" s="537"/>
      <c r="ERK33" s="537"/>
      <c r="ERL33" s="537"/>
      <c r="ERM33" s="537"/>
      <c r="ERN33" s="537"/>
      <c r="ERO33" s="537"/>
      <c r="ERP33" s="537"/>
      <c r="ERQ33" s="537"/>
      <c r="ERR33" s="537"/>
      <c r="ERS33" s="537"/>
      <c r="ERT33" s="537"/>
      <c r="ERU33" s="537"/>
      <c r="ERV33" s="537"/>
      <c r="ERW33" s="537"/>
      <c r="ERX33" s="537"/>
      <c r="ERY33" s="537"/>
      <c r="ERZ33" s="537"/>
      <c r="ESA33" s="537"/>
      <c r="ESB33" s="537"/>
      <c r="ESC33" s="537"/>
      <c r="ESD33" s="537"/>
      <c r="ESE33" s="537"/>
      <c r="ESF33" s="537"/>
      <c r="ESG33" s="537"/>
      <c r="ESH33" s="537"/>
      <c r="ESI33" s="537"/>
      <c r="ESJ33" s="537"/>
      <c r="ESK33" s="537"/>
      <c r="ESL33" s="537"/>
      <c r="ESM33" s="537"/>
      <c r="ESN33" s="537"/>
      <c r="ESO33" s="537"/>
      <c r="ESP33" s="537"/>
      <c r="ESQ33" s="537"/>
      <c r="ESR33" s="537"/>
      <c r="ESS33" s="537"/>
      <c r="EST33" s="537"/>
      <c r="ESU33" s="537"/>
      <c r="ESV33" s="537"/>
      <c r="ESW33" s="537"/>
      <c r="ESX33" s="537"/>
      <c r="ESY33" s="537"/>
      <c r="ESZ33" s="537"/>
      <c r="ETA33" s="537"/>
      <c r="ETB33" s="537"/>
      <c r="ETC33" s="537"/>
      <c r="ETD33" s="537"/>
      <c r="ETE33" s="537"/>
      <c r="ETF33" s="537"/>
      <c r="ETG33" s="537"/>
      <c r="ETH33" s="537"/>
      <c r="ETI33" s="537"/>
      <c r="ETJ33" s="537"/>
      <c r="ETK33" s="537"/>
      <c r="ETL33" s="537"/>
      <c r="ETM33" s="537"/>
      <c r="ETN33" s="537"/>
      <c r="ETO33" s="537"/>
      <c r="ETP33" s="537"/>
      <c r="ETQ33" s="537"/>
      <c r="ETR33" s="537"/>
      <c r="ETS33" s="537"/>
      <c r="ETT33" s="537"/>
      <c r="ETU33" s="537"/>
      <c r="ETV33" s="537"/>
      <c r="ETW33" s="537"/>
      <c r="ETX33" s="537"/>
      <c r="ETY33" s="537"/>
      <c r="ETZ33" s="537"/>
      <c r="EUA33" s="537"/>
      <c r="EUB33" s="537"/>
      <c r="EUC33" s="537"/>
      <c r="EUD33" s="537"/>
      <c r="EUE33" s="537"/>
      <c r="EUF33" s="537"/>
      <c r="EUG33" s="537"/>
      <c r="EUH33" s="537"/>
      <c r="EUI33" s="537"/>
      <c r="EUJ33" s="537"/>
      <c r="EUK33" s="537"/>
      <c r="EUL33" s="537"/>
      <c r="EUM33" s="537"/>
      <c r="EUN33" s="537"/>
      <c r="EUO33" s="537"/>
      <c r="EUP33" s="537"/>
      <c r="EUQ33" s="537"/>
      <c r="EUR33" s="537"/>
      <c r="EUS33" s="537"/>
      <c r="EUT33" s="537"/>
      <c r="EUU33" s="537"/>
      <c r="EUV33" s="537"/>
      <c r="EUW33" s="537"/>
      <c r="EUX33" s="537"/>
      <c r="EUY33" s="537"/>
      <c r="EUZ33" s="537"/>
      <c r="EVA33" s="537"/>
      <c r="EVB33" s="537"/>
      <c r="EVC33" s="537"/>
      <c r="EVD33" s="537"/>
      <c r="EVE33" s="537"/>
      <c r="EVF33" s="537"/>
      <c r="EVG33" s="537"/>
      <c r="EVH33" s="537"/>
      <c r="EVI33" s="537"/>
      <c r="EVJ33" s="537"/>
      <c r="EVK33" s="537"/>
      <c r="EVL33" s="537"/>
      <c r="EVM33" s="537"/>
      <c r="EVN33" s="537"/>
      <c r="EVO33" s="537"/>
      <c r="EVP33" s="537"/>
      <c r="EVQ33" s="537"/>
      <c r="EVR33" s="537"/>
      <c r="EVS33" s="537"/>
      <c r="EVT33" s="537"/>
      <c r="EVU33" s="537"/>
      <c r="EVV33" s="537"/>
      <c r="EVW33" s="537"/>
      <c r="EVX33" s="537"/>
      <c r="EVY33" s="537"/>
      <c r="EVZ33" s="537"/>
      <c r="EWA33" s="537"/>
      <c r="EWB33" s="537"/>
      <c r="EWC33" s="537"/>
      <c r="EWD33" s="537"/>
      <c r="EWE33" s="537"/>
      <c r="EWF33" s="537"/>
      <c r="EWG33" s="537"/>
      <c r="EWH33" s="537"/>
      <c r="EWI33" s="537"/>
      <c r="EWJ33" s="537"/>
      <c r="EWK33" s="537"/>
      <c r="EWL33" s="537"/>
      <c r="EWM33" s="537"/>
      <c r="EWN33" s="537"/>
      <c r="EWO33" s="537"/>
      <c r="EWP33" s="537"/>
      <c r="EWQ33" s="537"/>
      <c r="EWR33" s="537"/>
      <c r="EWS33" s="537"/>
      <c r="EWT33" s="537"/>
      <c r="EWU33" s="537"/>
      <c r="EWV33" s="537"/>
      <c r="EWW33" s="537"/>
      <c r="EWX33" s="537"/>
      <c r="EWY33" s="537"/>
      <c r="EWZ33" s="537"/>
      <c r="EXA33" s="537"/>
      <c r="EXB33" s="537"/>
      <c r="EXC33" s="537"/>
      <c r="EXD33" s="537"/>
      <c r="EXE33" s="537"/>
      <c r="EXF33" s="537"/>
      <c r="EXG33" s="537"/>
      <c r="EXH33" s="537"/>
      <c r="EXI33" s="537"/>
      <c r="EXJ33" s="537"/>
      <c r="EXK33" s="537"/>
      <c r="EXL33" s="537"/>
      <c r="EXM33" s="537"/>
      <c r="EXN33" s="537"/>
      <c r="EXO33" s="537"/>
      <c r="EXP33" s="537"/>
      <c r="EXQ33" s="537"/>
      <c r="EXR33" s="537"/>
      <c r="EXS33" s="537"/>
      <c r="EXT33" s="537"/>
      <c r="EXU33" s="537"/>
      <c r="EXV33" s="537"/>
      <c r="EXW33" s="537"/>
      <c r="EXX33" s="537"/>
      <c r="EXY33" s="537"/>
      <c r="EXZ33" s="537"/>
      <c r="EYA33" s="537"/>
      <c r="EYB33" s="537"/>
      <c r="EYC33" s="537"/>
      <c r="EYD33" s="537"/>
      <c r="EYE33" s="537"/>
      <c r="EYF33" s="537"/>
      <c r="EYG33" s="537"/>
      <c r="EYH33" s="537"/>
      <c r="EYI33" s="537"/>
      <c r="EYJ33" s="537"/>
      <c r="EYK33" s="537"/>
      <c r="EYL33" s="537"/>
      <c r="EYM33" s="537"/>
      <c r="EYN33" s="537"/>
      <c r="EYO33" s="537"/>
      <c r="EYP33" s="537"/>
      <c r="EYQ33" s="537"/>
      <c r="EYR33" s="537"/>
      <c r="EYS33" s="537"/>
      <c r="EYT33" s="537"/>
      <c r="EYU33" s="537"/>
      <c r="EYV33" s="537"/>
      <c r="EYW33" s="537"/>
      <c r="EYX33" s="537"/>
      <c r="EYY33" s="537"/>
      <c r="EYZ33" s="537"/>
      <c r="EZA33" s="537"/>
      <c r="EZB33" s="537"/>
      <c r="EZC33" s="537"/>
      <c r="EZD33" s="537"/>
      <c r="EZE33" s="537"/>
      <c r="EZF33" s="537"/>
      <c r="EZG33" s="537"/>
      <c r="EZH33" s="537"/>
      <c r="EZI33" s="537"/>
      <c r="EZJ33" s="537"/>
      <c r="EZK33" s="537"/>
      <c r="EZL33" s="537"/>
      <c r="EZM33" s="537"/>
      <c r="EZN33" s="537"/>
      <c r="EZO33" s="537"/>
      <c r="EZP33" s="537"/>
      <c r="EZQ33" s="537"/>
      <c r="EZR33" s="537"/>
      <c r="EZS33" s="537"/>
      <c r="EZT33" s="537"/>
      <c r="EZU33" s="537"/>
      <c r="EZV33" s="537"/>
      <c r="EZW33" s="537"/>
      <c r="EZX33" s="537"/>
      <c r="EZY33" s="537"/>
      <c r="EZZ33" s="537"/>
      <c r="FAA33" s="537"/>
      <c r="FAB33" s="537"/>
      <c r="FAC33" s="537"/>
      <c r="FAD33" s="537"/>
      <c r="FAE33" s="537"/>
      <c r="FAF33" s="537"/>
      <c r="FAG33" s="537"/>
      <c r="FAH33" s="537"/>
      <c r="FAI33" s="537"/>
      <c r="FAJ33" s="537"/>
      <c r="FAK33" s="537"/>
      <c r="FAL33" s="537"/>
      <c r="FAM33" s="537"/>
      <c r="FAN33" s="537"/>
      <c r="FAO33" s="537"/>
      <c r="FAP33" s="537"/>
      <c r="FAQ33" s="537"/>
      <c r="FAR33" s="537"/>
      <c r="FAS33" s="537"/>
      <c r="FAT33" s="537"/>
      <c r="FAU33" s="537"/>
      <c r="FAV33" s="537"/>
      <c r="FAW33" s="537"/>
      <c r="FAX33" s="537"/>
      <c r="FAY33" s="537"/>
      <c r="FAZ33" s="537"/>
      <c r="FBA33" s="537"/>
      <c r="FBB33" s="537"/>
      <c r="FBC33" s="537"/>
      <c r="FBD33" s="537"/>
      <c r="FBE33" s="537"/>
      <c r="FBF33" s="537"/>
      <c r="FBG33" s="537"/>
      <c r="FBH33" s="537"/>
      <c r="FBI33" s="537"/>
      <c r="FBJ33" s="537"/>
      <c r="FBK33" s="537"/>
      <c r="FBL33" s="537"/>
      <c r="FBM33" s="537"/>
      <c r="FBN33" s="537"/>
      <c r="FBO33" s="537"/>
      <c r="FBP33" s="537"/>
      <c r="FBQ33" s="537"/>
      <c r="FBR33" s="537"/>
      <c r="FBS33" s="537"/>
      <c r="FBT33" s="537"/>
      <c r="FBU33" s="537"/>
      <c r="FBV33" s="537"/>
      <c r="FBW33" s="537"/>
      <c r="FBX33" s="537"/>
      <c r="FBY33" s="537"/>
      <c r="FBZ33" s="537"/>
      <c r="FCA33" s="537"/>
      <c r="FCB33" s="537"/>
      <c r="FCC33" s="537"/>
      <c r="FCD33" s="537"/>
      <c r="FCE33" s="537"/>
      <c r="FCF33" s="537"/>
      <c r="FCG33" s="537"/>
      <c r="FCH33" s="537"/>
      <c r="FCI33" s="537"/>
      <c r="FCJ33" s="537"/>
      <c r="FCK33" s="537"/>
      <c r="FCL33" s="537"/>
      <c r="FCM33" s="537"/>
      <c r="FCN33" s="537"/>
      <c r="FCO33" s="537"/>
      <c r="FCP33" s="537"/>
      <c r="FCQ33" s="537"/>
      <c r="FCR33" s="537"/>
      <c r="FCS33" s="537"/>
      <c r="FCT33" s="537"/>
      <c r="FCU33" s="537"/>
      <c r="FCV33" s="537"/>
      <c r="FCW33" s="537"/>
      <c r="FCX33" s="537"/>
      <c r="FCY33" s="537"/>
      <c r="FCZ33" s="537"/>
      <c r="FDA33" s="537"/>
      <c r="FDB33" s="537"/>
      <c r="FDC33" s="537"/>
      <c r="FDD33" s="537"/>
      <c r="FDE33" s="537"/>
      <c r="FDF33" s="537"/>
      <c r="FDG33" s="537"/>
      <c r="FDH33" s="537"/>
      <c r="FDI33" s="537"/>
      <c r="FDJ33" s="537"/>
      <c r="FDK33" s="537"/>
      <c r="FDL33" s="537"/>
      <c r="FDM33" s="537"/>
      <c r="FDN33" s="537"/>
      <c r="FDO33" s="537"/>
      <c r="FDP33" s="537"/>
      <c r="FDQ33" s="537"/>
      <c r="FDR33" s="537"/>
      <c r="FDS33" s="537"/>
      <c r="FDT33" s="537"/>
      <c r="FDU33" s="537"/>
      <c r="FDV33" s="537"/>
      <c r="FDW33" s="537"/>
      <c r="FDX33" s="537"/>
      <c r="FDY33" s="537"/>
      <c r="FDZ33" s="537"/>
      <c r="FEA33" s="537"/>
      <c r="FEB33" s="537"/>
      <c r="FEC33" s="537"/>
      <c r="FED33" s="537"/>
      <c r="FEE33" s="537"/>
      <c r="FEF33" s="537"/>
      <c r="FEG33" s="537"/>
      <c r="FEH33" s="537"/>
      <c r="FEI33" s="537"/>
      <c r="FEJ33" s="537"/>
      <c r="FEK33" s="537"/>
      <c r="FEL33" s="537"/>
      <c r="FEM33" s="537"/>
      <c r="FEN33" s="537"/>
      <c r="FEO33" s="537"/>
      <c r="FEP33" s="537"/>
      <c r="FEQ33" s="537"/>
      <c r="FER33" s="537"/>
      <c r="FES33" s="537"/>
      <c r="FET33" s="537"/>
      <c r="FEU33" s="537"/>
      <c r="FEV33" s="537"/>
      <c r="FEW33" s="537"/>
      <c r="FEX33" s="537"/>
      <c r="FEY33" s="537"/>
      <c r="FEZ33" s="537"/>
      <c r="FFA33" s="537"/>
      <c r="FFB33" s="537"/>
      <c r="FFC33" s="537"/>
      <c r="FFD33" s="537"/>
      <c r="FFE33" s="537"/>
      <c r="FFF33" s="537"/>
      <c r="FFG33" s="537"/>
      <c r="FFH33" s="537"/>
      <c r="FFI33" s="537"/>
      <c r="FFJ33" s="537"/>
      <c r="FFK33" s="537"/>
      <c r="FFL33" s="537"/>
      <c r="FFM33" s="537"/>
      <c r="FFN33" s="537"/>
      <c r="FFO33" s="537"/>
      <c r="FFP33" s="537"/>
      <c r="FFQ33" s="537"/>
      <c r="FFR33" s="537"/>
      <c r="FFS33" s="537"/>
      <c r="FFT33" s="537"/>
      <c r="FFU33" s="537"/>
      <c r="FFV33" s="537"/>
      <c r="FFW33" s="537"/>
      <c r="FFX33" s="537"/>
      <c r="FFY33" s="537"/>
      <c r="FFZ33" s="537"/>
      <c r="FGA33" s="537"/>
      <c r="FGB33" s="537"/>
      <c r="FGC33" s="537"/>
      <c r="FGD33" s="537"/>
      <c r="FGE33" s="537"/>
      <c r="FGF33" s="537"/>
      <c r="FGG33" s="537"/>
      <c r="FGH33" s="537"/>
      <c r="FGI33" s="537"/>
      <c r="FGJ33" s="537"/>
      <c r="FGK33" s="537"/>
      <c r="FGL33" s="537"/>
      <c r="FGM33" s="537"/>
      <c r="FGN33" s="537"/>
      <c r="FGO33" s="537"/>
      <c r="FGP33" s="537"/>
      <c r="FGQ33" s="537"/>
      <c r="FGR33" s="537"/>
      <c r="FGS33" s="537"/>
      <c r="FGT33" s="537"/>
      <c r="FGU33" s="537"/>
      <c r="FGV33" s="537"/>
      <c r="FGW33" s="537"/>
      <c r="FGX33" s="537"/>
      <c r="FGY33" s="537"/>
      <c r="FGZ33" s="537"/>
      <c r="FHA33" s="537"/>
      <c r="FHB33" s="537"/>
      <c r="FHC33" s="537"/>
      <c r="FHD33" s="537"/>
      <c r="FHE33" s="537"/>
      <c r="FHF33" s="537"/>
      <c r="FHG33" s="537"/>
      <c r="FHH33" s="537"/>
      <c r="FHI33" s="537"/>
      <c r="FHJ33" s="537"/>
      <c r="FHK33" s="537"/>
      <c r="FHL33" s="537"/>
      <c r="FHM33" s="537"/>
      <c r="FHN33" s="537"/>
      <c r="FHO33" s="537"/>
      <c r="FHP33" s="537"/>
      <c r="FHQ33" s="537"/>
      <c r="FHR33" s="537"/>
      <c r="FHS33" s="537"/>
      <c r="FHT33" s="537"/>
      <c r="FHU33" s="537"/>
      <c r="FHV33" s="537"/>
      <c r="FHW33" s="537"/>
      <c r="FHX33" s="537"/>
      <c r="FHY33" s="537"/>
      <c r="FHZ33" s="537"/>
      <c r="FIA33" s="537"/>
      <c r="FIB33" s="537"/>
      <c r="FIC33" s="537"/>
      <c r="FID33" s="537"/>
      <c r="FIE33" s="537"/>
      <c r="FIF33" s="537"/>
      <c r="FIG33" s="537"/>
      <c r="FIH33" s="537"/>
      <c r="FII33" s="537"/>
      <c r="FIJ33" s="537"/>
      <c r="FIK33" s="537"/>
      <c r="FIL33" s="537"/>
      <c r="FIM33" s="537"/>
      <c r="FIN33" s="537"/>
      <c r="FIO33" s="537"/>
      <c r="FIP33" s="537"/>
      <c r="FIQ33" s="537"/>
      <c r="FIR33" s="537"/>
      <c r="FIS33" s="537"/>
      <c r="FIT33" s="537"/>
      <c r="FIU33" s="537"/>
      <c r="FIV33" s="537"/>
      <c r="FIW33" s="537"/>
      <c r="FIX33" s="537"/>
      <c r="FIY33" s="537"/>
      <c r="FIZ33" s="537"/>
      <c r="FJA33" s="537"/>
      <c r="FJB33" s="537"/>
      <c r="FJC33" s="537"/>
      <c r="FJD33" s="537"/>
      <c r="FJE33" s="537"/>
      <c r="FJF33" s="537"/>
      <c r="FJG33" s="537"/>
      <c r="FJH33" s="537"/>
      <c r="FJI33" s="537"/>
      <c r="FJJ33" s="537"/>
      <c r="FJK33" s="537"/>
      <c r="FJL33" s="537"/>
      <c r="FJM33" s="537"/>
      <c r="FJN33" s="537"/>
      <c r="FJO33" s="537"/>
      <c r="FJP33" s="537"/>
      <c r="FJQ33" s="537"/>
      <c r="FJR33" s="537"/>
      <c r="FJS33" s="537"/>
      <c r="FJT33" s="537"/>
      <c r="FJU33" s="537"/>
      <c r="FJV33" s="537"/>
      <c r="FJW33" s="537"/>
      <c r="FJX33" s="537"/>
      <c r="FJY33" s="537"/>
      <c r="FJZ33" s="537"/>
      <c r="FKA33" s="537"/>
      <c r="FKB33" s="537"/>
      <c r="FKC33" s="537"/>
      <c r="FKD33" s="537"/>
      <c r="FKE33" s="537"/>
      <c r="FKF33" s="537"/>
      <c r="FKG33" s="537"/>
      <c r="FKH33" s="537"/>
      <c r="FKI33" s="537"/>
      <c r="FKJ33" s="537"/>
      <c r="FKK33" s="537"/>
      <c r="FKL33" s="537"/>
      <c r="FKM33" s="537"/>
      <c r="FKN33" s="537"/>
      <c r="FKO33" s="537"/>
      <c r="FKP33" s="537"/>
      <c r="FKQ33" s="537"/>
      <c r="FKR33" s="537"/>
      <c r="FKS33" s="537"/>
      <c r="FKT33" s="537"/>
      <c r="FKU33" s="537"/>
      <c r="FKV33" s="537"/>
      <c r="FKW33" s="537"/>
      <c r="FKX33" s="537"/>
      <c r="FKY33" s="537"/>
      <c r="FKZ33" s="537"/>
      <c r="FLA33" s="537"/>
      <c r="FLB33" s="537"/>
      <c r="FLC33" s="537"/>
      <c r="FLD33" s="537"/>
      <c r="FLE33" s="537"/>
      <c r="FLF33" s="537"/>
      <c r="FLG33" s="537"/>
      <c r="FLH33" s="537"/>
      <c r="FLI33" s="537"/>
      <c r="FLJ33" s="537"/>
      <c r="FLK33" s="537"/>
      <c r="FLL33" s="537"/>
      <c r="FLM33" s="537"/>
      <c r="FLN33" s="537"/>
      <c r="FLO33" s="537"/>
      <c r="FLP33" s="537"/>
      <c r="FLQ33" s="537"/>
      <c r="FLR33" s="537"/>
      <c r="FLS33" s="537"/>
      <c r="FLT33" s="537"/>
      <c r="FLU33" s="537"/>
      <c r="FLV33" s="537"/>
      <c r="FLW33" s="537"/>
      <c r="FLX33" s="537"/>
      <c r="FLY33" s="537"/>
      <c r="FLZ33" s="537"/>
      <c r="FMA33" s="537"/>
      <c r="FMB33" s="537"/>
      <c r="FMC33" s="537"/>
      <c r="FMD33" s="537"/>
      <c r="FME33" s="537"/>
      <c r="FMF33" s="537"/>
      <c r="FMG33" s="537"/>
      <c r="FMH33" s="537"/>
      <c r="FMI33" s="537"/>
      <c r="FMJ33" s="537"/>
      <c r="FMK33" s="537"/>
      <c r="FML33" s="537"/>
      <c r="FMM33" s="537"/>
      <c r="FMN33" s="537"/>
      <c r="FMO33" s="537"/>
      <c r="FMP33" s="537"/>
      <c r="FMQ33" s="537"/>
      <c r="FMR33" s="537"/>
      <c r="FMS33" s="537"/>
      <c r="FMT33" s="537"/>
      <c r="FMU33" s="537"/>
      <c r="FMV33" s="537"/>
      <c r="FMW33" s="537"/>
      <c r="FMX33" s="537"/>
      <c r="FMY33" s="537"/>
      <c r="FMZ33" s="537"/>
      <c r="FNA33" s="537"/>
      <c r="FNB33" s="537"/>
      <c r="FNC33" s="537"/>
      <c r="FND33" s="537"/>
      <c r="FNE33" s="537"/>
      <c r="FNF33" s="537"/>
      <c r="FNG33" s="537"/>
      <c r="FNH33" s="537"/>
      <c r="FNI33" s="537"/>
      <c r="FNJ33" s="537"/>
      <c r="FNK33" s="537"/>
      <c r="FNL33" s="537"/>
      <c r="FNM33" s="537"/>
      <c r="FNN33" s="537"/>
      <c r="FNO33" s="537"/>
      <c r="FNP33" s="537"/>
      <c r="FNQ33" s="537"/>
      <c r="FNR33" s="537"/>
      <c r="FNS33" s="537"/>
      <c r="FNT33" s="537"/>
      <c r="FNU33" s="537"/>
      <c r="FNV33" s="537"/>
      <c r="FNW33" s="537"/>
      <c r="FNX33" s="537"/>
      <c r="FNY33" s="537"/>
      <c r="FNZ33" s="537"/>
      <c r="FOA33" s="537"/>
      <c r="FOB33" s="537"/>
      <c r="FOC33" s="537"/>
      <c r="FOD33" s="537"/>
      <c r="FOE33" s="537"/>
      <c r="FOF33" s="537"/>
      <c r="FOG33" s="537"/>
      <c r="FOH33" s="537"/>
      <c r="FOI33" s="537"/>
      <c r="FOJ33" s="537"/>
      <c r="FOK33" s="537"/>
      <c r="FOL33" s="537"/>
      <c r="FOM33" s="537"/>
      <c r="FON33" s="537"/>
      <c r="FOO33" s="537"/>
      <c r="FOP33" s="537"/>
      <c r="FOQ33" s="537"/>
      <c r="FOR33" s="537"/>
      <c r="FOS33" s="537"/>
      <c r="FOT33" s="537"/>
      <c r="FOU33" s="537"/>
      <c r="FOV33" s="537"/>
      <c r="FOW33" s="537"/>
      <c r="FOX33" s="537"/>
      <c r="FOY33" s="537"/>
      <c r="FOZ33" s="537"/>
      <c r="FPA33" s="537"/>
      <c r="FPB33" s="537"/>
      <c r="FPC33" s="537"/>
      <c r="FPD33" s="537"/>
      <c r="FPE33" s="537"/>
      <c r="FPF33" s="537"/>
      <c r="FPG33" s="537"/>
      <c r="FPH33" s="537"/>
      <c r="FPI33" s="537"/>
      <c r="FPJ33" s="537"/>
      <c r="FPK33" s="537"/>
      <c r="FPL33" s="537"/>
      <c r="FPM33" s="537"/>
      <c r="FPN33" s="537"/>
      <c r="FPO33" s="537"/>
      <c r="FPP33" s="537"/>
      <c r="FPQ33" s="537"/>
      <c r="FPR33" s="537"/>
      <c r="FPS33" s="537"/>
      <c r="FPT33" s="537"/>
      <c r="FPU33" s="537"/>
      <c r="FPV33" s="537"/>
      <c r="FPW33" s="537"/>
      <c r="FPX33" s="537"/>
      <c r="FPY33" s="537"/>
      <c r="FPZ33" s="537"/>
      <c r="FQA33" s="537"/>
      <c r="FQB33" s="537"/>
      <c r="FQC33" s="537"/>
      <c r="FQD33" s="537"/>
      <c r="FQE33" s="537"/>
      <c r="FQF33" s="537"/>
      <c r="FQG33" s="537"/>
      <c r="FQH33" s="537"/>
      <c r="FQI33" s="537"/>
      <c r="FQJ33" s="537"/>
      <c r="FQK33" s="537"/>
      <c r="FQL33" s="537"/>
      <c r="FQM33" s="537"/>
      <c r="FQN33" s="537"/>
      <c r="FQO33" s="537"/>
      <c r="FQP33" s="537"/>
      <c r="FQQ33" s="537"/>
      <c r="FQR33" s="537"/>
      <c r="FQS33" s="537"/>
      <c r="FQT33" s="537"/>
      <c r="FQU33" s="537"/>
      <c r="FQV33" s="537"/>
      <c r="FQW33" s="537"/>
      <c r="FQX33" s="537"/>
      <c r="FQY33" s="537"/>
      <c r="FQZ33" s="537"/>
      <c r="FRA33" s="537"/>
      <c r="FRB33" s="537"/>
      <c r="FRC33" s="537"/>
      <c r="FRD33" s="537"/>
      <c r="FRE33" s="537"/>
      <c r="FRF33" s="537"/>
      <c r="FRG33" s="537"/>
      <c r="FRH33" s="537"/>
      <c r="FRI33" s="537"/>
      <c r="FRJ33" s="537"/>
      <c r="FRK33" s="537"/>
      <c r="FRL33" s="537"/>
      <c r="FRM33" s="537"/>
      <c r="FRN33" s="537"/>
      <c r="FRO33" s="537"/>
      <c r="FRP33" s="537"/>
      <c r="FRQ33" s="537"/>
      <c r="FRR33" s="537"/>
      <c r="FRS33" s="537"/>
      <c r="FRT33" s="537"/>
      <c r="FRU33" s="537"/>
      <c r="FRV33" s="537"/>
      <c r="FRW33" s="537"/>
      <c r="FRX33" s="537"/>
      <c r="FRY33" s="537"/>
      <c r="FRZ33" s="537"/>
      <c r="FSA33" s="537"/>
      <c r="FSB33" s="537"/>
      <c r="FSC33" s="537"/>
      <c r="FSD33" s="537"/>
      <c r="FSE33" s="537"/>
      <c r="FSF33" s="537"/>
      <c r="FSG33" s="537"/>
      <c r="FSH33" s="537"/>
      <c r="FSI33" s="537"/>
      <c r="FSJ33" s="537"/>
      <c r="FSK33" s="537"/>
      <c r="FSL33" s="537"/>
      <c r="FSM33" s="537"/>
      <c r="FSN33" s="537"/>
      <c r="FSO33" s="537"/>
      <c r="FSP33" s="537"/>
      <c r="FSQ33" s="537"/>
      <c r="FSR33" s="537"/>
      <c r="FSS33" s="537"/>
      <c r="FST33" s="537"/>
      <c r="FSU33" s="537"/>
      <c r="FSV33" s="537"/>
      <c r="FSW33" s="537"/>
      <c r="FSX33" s="537"/>
      <c r="FSY33" s="537"/>
      <c r="FSZ33" s="537"/>
      <c r="FTA33" s="537"/>
      <c r="FTB33" s="537"/>
      <c r="FTC33" s="537"/>
      <c r="FTD33" s="537"/>
      <c r="FTE33" s="537"/>
      <c r="FTF33" s="537"/>
      <c r="FTG33" s="537"/>
      <c r="FTH33" s="537"/>
      <c r="FTI33" s="537"/>
      <c r="FTJ33" s="537"/>
      <c r="FTK33" s="537"/>
      <c r="FTL33" s="537"/>
      <c r="FTM33" s="537"/>
      <c r="FTN33" s="537"/>
      <c r="FTO33" s="537"/>
      <c r="FTP33" s="537"/>
      <c r="FTQ33" s="537"/>
      <c r="FTR33" s="537"/>
      <c r="FTS33" s="537"/>
      <c r="FTT33" s="537"/>
      <c r="FTU33" s="537"/>
      <c r="FTV33" s="537"/>
      <c r="FTW33" s="537"/>
      <c r="FTX33" s="537"/>
      <c r="FTY33" s="537"/>
      <c r="FTZ33" s="537"/>
      <c r="FUA33" s="537"/>
      <c r="FUB33" s="537"/>
      <c r="FUC33" s="537"/>
      <c r="FUD33" s="537"/>
      <c r="FUE33" s="537"/>
      <c r="FUF33" s="537"/>
      <c r="FUG33" s="537"/>
      <c r="FUH33" s="537"/>
      <c r="FUI33" s="537"/>
      <c r="FUJ33" s="537"/>
      <c r="FUK33" s="537"/>
      <c r="FUL33" s="537"/>
      <c r="FUM33" s="537"/>
      <c r="FUN33" s="537"/>
      <c r="FUO33" s="537"/>
      <c r="FUP33" s="537"/>
      <c r="FUQ33" s="537"/>
      <c r="FUR33" s="537"/>
      <c r="FUS33" s="537"/>
      <c r="FUT33" s="537"/>
      <c r="FUU33" s="537"/>
      <c r="FUV33" s="537"/>
      <c r="FUW33" s="537"/>
      <c r="FUX33" s="537"/>
      <c r="FUY33" s="537"/>
      <c r="FUZ33" s="537"/>
      <c r="FVA33" s="537"/>
      <c r="FVB33" s="537"/>
      <c r="FVC33" s="537"/>
      <c r="FVD33" s="537"/>
      <c r="FVE33" s="537"/>
      <c r="FVF33" s="537"/>
      <c r="FVG33" s="537"/>
      <c r="FVH33" s="537"/>
      <c r="FVI33" s="537"/>
      <c r="FVJ33" s="537"/>
      <c r="FVK33" s="537"/>
      <c r="FVL33" s="537"/>
      <c r="FVM33" s="537"/>
      <c r="FVN33" s="537"/>
      <c r="FVO33" s="537"/>
      <c r="FVP33" s="537"/>
      <c r="FVQ33" s="537"/>
      <c r="FVR33" s="537"/>
      <c r="FVS33" s="537"/>
      <c r="FVT33" s="537"/>
      <c r="FVU33" s="537"/>
      <c r="FVV33" s="537"/>
      <c r="FVW33" s="537"/>
      <c r="FVX33" s="537"/>
      <c r="FVY33" s="537"/>
      <c r="FVZ33" s="537"/>
      <c r="FWA33" s="537"/>
      <c r="FWB33" s="537"/>
      <c r="FWC33" s="537"/>
      <c r="FWD33" s="537"/>
      <c r="FWE33" s="537"/>
      <c r="FWF33" s="537"/>
      <c r="FWG33" s="537"/>
      <c r="FWH33" s="537"/>
      <c r="FWI33" s="537"/>
      <c r="FWJ33" s="537"/>
      <c r="FWK33" s="537"/>
      <c r="FWL33" s="537"/>
      <c r="FWM33" s="537"/>
      <c r="FWN33" s="537"/>
      <c r="FWO33" s="537"/>
      <c r="FWP33" s="537"/>
      <c r="FWQ33" s="537"/>
      <c r="FWR33" s="537"/>
      <c r="FWS33" s="537"/>
      <c r="FWT33" s="537"/>
      <c r="FWU33" s="537"/>
      <c r="FWV33" s="537"/>
      <c r="FWW33" s="537"/>
      <c r="FWX33" s="537"/>
      <c r="FWY33" s="537"/>
      <c r="FWZ33" s="537"/>
      <c r="FXA33" s="537"/>
      <c r="FXB33" s="537"/>
      <c r="FXC33" s="537"/>
      <c r="FXD33" s="537"/>
      <c r="FXE33" s="537"/>
      <c r="FXF33" s="537"/>
      <c r="FXG33" s="537"/>
      <c r="FXH33" s="537"/>
      <c r="FXI33" s="537"/>
      <c r="FXJ33" s="537"/>
      <c r="FXK33" s="537"/>
      <c r="FXL33" s="537"/>
      <c r="FXM33" s="537"/>
      <c r="FXN33" s="537"/>
      <c r="FXO33" s="537"/>
      <c r="FXP33" s="537"/>
      <c r="FXQ33" s="537"/>
      <c r="FXR33" s="537"/>
      <c r="FXS33" s="537"/>
      <c r="FXT33" s="537"/>
      <c r="FXU33" s="537"/>
      <c r="FXV33" s="537"/>
      <c r="FXW33" s="537"/>
      <c r="FXX33" s="537"/>
      <c r="FXY33" s="537"/>
      <c r="FXZ33" s="537"/>
      <c r="FYA33" s="537"/>
      <c r="FYB33" s="537"/>
      <c r="FYC33" s="537"/>
      <c r="FYD33" s="537"/>
      <c r="FYE33" s="537"/>
      <c r="FYF33" s="537"/>
      <c r="FYG33" s="537"/>
      <c r="FYH33" s="537"/>
      <c r="FYI33" s="537"/>
      <c r="FYJ33" s="537"/>
      <c r="FYK33" s="537"/>
      <c r="FYL33" s="537"/>
      <c r="FYM33" s="537"/>
      <c r="FYN33" s="537"/>
      <c r="FYO33" s="537"/>
      <c r="FYP33" s="537"/>
      <c r="FYQ33" s="537"/>
      <c r="FYR33" s="537"/>
      <c r="FYS33" s="537"/>
      <c r="FYT33" s="537"/>
      <c r="FYU33" s="537"/>
      <c r="FYV33" s="537"/>
      <c r="FYW33" s="537"/>
      <c r="FYX33" s="537"/>
      <c r="FYY33" s="537"/>
      <c r="FYZ33" s="537"/>
      <c r="FZA33" s="537"/>
      <c r="FZB33" s="537"/>
      <c r="FZC33" s="537"/>
      <c r="FZD33" s="537"/>
      <c r="FZE33" s="537"/>
      <c r="FZF33" s="537"/>
      <c r="FZG33" s="537"/>
      <c r="FZH33" s="537"/>
      <c r="FZI33" s="537"/>
      <c r="FZJ33" s="537"/>
      <c r="FZK33" s="537"/>
      <c r="FZL33" s="537"/>
      <c r="FZM33" s="537"/>
      <c r="FZN33" s="537"/>
      <c r="FZO33" s="537"/>
      <c r="FZP33" s="537"/>
      <c r="FZQ33" s="537"/>
      <c r="FZR33" s="537"/>
      <c r="FZS33" s="537"/>
      <c r="FZT33" s="537"/>
      <c r="FZU33" s="537"/>
      <c r="FZV33" s="537"/>
      <c r="FZW33" s="537"/>
      <c r="FZX33" s="537"/>
      <c r="FZY33" s="537"/>
      <c r="FZZ33" s="537"/>
      <c r="GAA33" s="537"/>
      <c r="GAB33" s="537"/>
      <c r="GAC33" s="537"/>
      <c r="GAD33" s="537"/>
      <c r="GAE33" s="537"/>
      <c r="GAF33" s="537"/>
      <c r="GAG33" s="537"/>
      <c r="GAH33" s="537"/>
      <c r="GAI33" s="537"/>
      <c r="GAJ33" s="537"/>
      <c r="GAK33" s="537"/>
      <c r="GAL33" s="537"/>
      <c r="GAM33" s="537"/>
      <c r="GAN33" s="537"/>
      <c r="GAO33" s="537"/>
      <c r="GAP33" s="537"/>
      <c r="GAQ33" s="537"/>
      <c r="GAR33" s="537"/>
      <c r="GAS33" s="537"/>
      <c r="GAT33" s="537"/>
      <c r="GAU33" s="537"/>
      <c r="GAV33" s="537"/>
      <c r="GAW33" s="537"/>
      <c r="GAX33" s="537"/>
      <c r="GAY33" s="537"/>
      <c r="GAZ33" s="537"/>
      <c r="GBA33" s="537"/>
      <c r="GBB33" s="537"/>
      <c r="GBC33" s="537"/>
      <c r="GBD33" s="537"/>
      <c r="GBE33" s="537"/>
      <c r="GBF33" s="537"/>
      <c r="GBG33" s="537"/>
      <c r="GBH33" s="537"/>
      <c r="GBI33" s="537"/>
      <c r="GBJ33" s="537"/>
      <c r="GBK33" s="537"/>
      <c r="GBL33" s="537"/>
      <c r="GBM33" s="537"/>
      <c r="GBN33" s="537"/>
      <c r="GBO33" s="537"/>
      <c r="GBP33" s="537"/>
      <c r="GBQ33" s="537"/>
      <c r="GBR33" s="537"/>
      <c r="GBS33" s="537"/>
      <c r="GBT33" s="537"/>
      <c r="GBU33" s="537"/>
      <c r="GBV33" s="537"/>
      <c r="GBW33" s="537"/>
      <c r="GBX33" s="537"/>
      <c r="GBY33" s="537"/>
      <c r="GBZ33" s="537"/>
      <c r="GCA33" s="537"/>
      <c r="GCB33" s="537"/>
      <c r="GCC33" s="537"/>
      <c r="GCD33" s="537"/>
      <c r="GCE33" s="537"/>
      <c r="GCF33" s="537"/>
      <c r="GCG33" s="537"/>
      <c r="GCH33" s="537"/>
      <c r="GCI33" s="537"/>
      <c r="GCJ33" s="537"/>
      <c r="GCK33" s="537"/>
      <c r="GCL33" s="537"/>
      <c r="GCM33" s="537"/>
      <c r="GCN33" s="537"/>
      <c r="GCO33" s="537"/>
      <c r="GCP33" s="537"/>
      <c r="GCQ33" s="537"/>
      <c r="GCR33" s="537"/>
      <c r="GCS33" s="537"/>
      <c r="GCT33" s="537"/>
      <c r="GCU33" s="537"/>
      <c r="GCV33" s="537"/>
      <c r="GCW33" s="537"/>
      <c r="GCX33" s="537"/>
      <c r="GCY33" s="537"/>
      <c r="GCZ33" s="537"/>
      <c r="GDA33" s="537"/>
      <c r="GDB33" s="537"/>
      <c r="GDC33" s="537"/>
      <c r="GDD33" s="537"/>
      <c r="GDE33" s="537"/>
      <c r="GDF33" s="537"/>
      <c r="GDG33" s="537"/>
      <c r="GDH33" s="537"/>
      <c r="GDI33" s="537"/>
      <c r="GDJ33" s="537"/>
      <c r="GDK33" s="537"/>
      <c r="GDL33" s="537"/>
      <c r="GDM33" s="537"/>
      <c r="GDN33" s="537"/>
      <c r="GDO33" s="537"/>
      <c r="GDP33" s="537"/>
      <c r="GDQ33" s="537"/>
      <c r="GDR33" s="537"/>
      <c r="GDS33" s="537"/>
      <c r="GDT33" s="537"/>
      <c r="GDU33" s="537"/>
      <c r="GDV33" s="537"/>
      <c r="GDW33" s="537"/>
      <c r="GDX33" s="537"/>
      <c r="GDY33" s="537"/>
      <c r="GDZ33" s="537"/>
      <c r="GEA33" s="537"/>
      <c r="GEB33" s="537"/>
      <c r="GEC33" s="537"/>
      <c r="GED33" s="537"/>
      <c r="GEE33" s="537"/>
      <c r="GEF33" s="537"/>
      <c r="GEG33" s="537"/>
      <c r="GEH33" s="537"/>
      <c r="GEI33" s="537"/>
      <c r="GEJ33" s="537"/>
      <c r="GEK33" s="537"/>
      <c r="GEL33" s="537"/>
      <c r="GEM33" s="537"/>
      <c r="GEN33" s="537"/>
      <c r="GEO33" s="537"/>
      <c r="GEP33" s="537"/>
      <c r="GEQ33" s="537"/>
      <c r="GER33" s="537"/>
      <c r="GES33" s="537"/>
      <c r="GET33" s="537"/>
      <c r="GEU33" s="537"/>
      <c r="GEV33" s="537"/>
      <c r="GEW33" s="537"/>
      <c r="GEX33" s="537"/>
      <c r="GEY33" s="537"/>
      <c r="GEZ33" s="537"/>
      <c r="GFA33" s="537"/>
      <c r="GFB33" s="537"/>
      <c r="GFC33" s="537"/>
      <c r="GFD33" s="537"/>
      <c r="GFE33" s="537"/>
      <c r="GFF33" s="537"/>
      <c r="GFG33" s="537"/>
      <c r="GFH33" s="537"/>
      <c r="GFI33" s="537"/>
      <c r="GFJ33" s="537"/>
      <c r="GFK33" s="537"/>
      <c r="GFL33" s="537"/>
      <c r="GFM33" s="537"/>
      <c r="GFN33" s="537"/>
      <c r="GFO33" s="537"/>
      <c r="GFP33" s="537"/>
      <c r="GFQ33" s="537"/>
      <c r="GFR33" s="537"/>
      <c r="GFS33" s="537"/>
      <c r="GFT33" s="537"/>
      <c r="GFU33" s="537"/>
      <c r="GFV33" s="537"/>
      <c r="GFW33" s="537"/>
      <c r="GFX33" s="537"/>
      <c r="GFY33" s="537"/>
      <c r="GFZ33" s="537"/>
      <c r="GGA33" s="537"/>
      <c r="GGB33" s="537"/>
      <c r="GGC33" s="537"/>
      <c r="GGD33" s="537"/>
      <c r="GGE33" s="537"/>
      <c r="GGF33" s="537"/>
      <c r="GGG33" s="537"/>
      <c r="GGH33" s="537"/>
      <c r="GGI33" s="537"/>
      <c r="GGJ33" s="537"/>
      <c r="GGK33" s="537"/>
      <c r="GGL33" s="537"/>
      <c r="GGM33" s="537"/>
      <c r="GGN33" s="537"/>
      <c r="GGO33" s="537"/>
      <c r="GGP33" s="537"/>
      <c r="GGQ33" s="537"/>
      <c r="GGR33" s="537"/>
      <c r="GGS33" s="537"/>
      <c r="GGT33" s="537"/>
      <c r="GGU33" s="537"/>
      <c r="GGV33" s="537"/>
      <c r="GGW33" s="537"/>
      <c r="GGX33" s="537"/>
      <c r="GGY33" s="537"/>
      <c r="GGZ33" s="537"/>
      <c r="GHA33" s="537"/>
      <c r="GHB33" s="537"/>
      <c r="GHC33" s="537"/>
      <c r="GHD33" s="537"/>
      <c r="GHE33" s="537"/>
      <c r="GHF33" s="537"/>
      <c r="GHG33" s="537"/>
      <c r="GHH33" s="537"/>
      <c r="GHI33" s="537"/>
      <c r="GHJ33" s="537"/>
      <c r="GHK33" s="537"/>
      <c r="GHL33" s="537"/>
      <c r="GHM33" s="537"/>
      <c r="GHN33" s="537"/>
      <c r="GHO33" s="537"/>
      <c r="GHP33" s="537"/>
      <c r="GHQ33" s="537"/>
      <c r="GHR33" s="537"/>
      <c r="GHS33" s="537"/>
      <c r="GHT33" s="537"/>
      <c r="GHU33" s="537"/>
      <c r="GHV33" s="537"/>
      <c r="GHW33" s="537"/>
      <c r="GHX33" s="537"/>
      <c r="GHY33" s="537"/>
      <c r="GHZ33" s="537"/>
      <c r="GIA33" s="537"/>
      <c r="GIB33" s="537"/>
      <c r="GIC33" s="537"/>
      <c r="GID33" s="537"/>
      <c r="GIE33" s="537"/>
      <c r="GIF33" s="537"/>
      <c r="GIG33" s="537"/>
      <c r="GIH33" s="537"/>
      <c r="GII33" s="537"/>
      <c r="GIJ33" s="537"/>
      <c r="GIK33" s="537"/>
      <c r="GIL33" s="537"/>
      <c r="GIM33" s="537"/>
      <c r="GIN33" s="537"/>
      <c r="GIO33" s="537"/>
      <c r="GIP33" s="537"/>
      <c r="GIQ33" s="537"/>
      <c r="GIR33" s="537"/>
      <c r="GIS33" s="537"/>
      <c r="GIT33" s="537"/>
      <c r="GIU33" s="537"/>
      <c r="GIV33" s="537"/>
      <c r="GIW33" s="537"/>
      <c r="GIX33" s="537"/>
      <c r="GIY33" s="537"/>
      <c r="GIZ33" s="537"/>
      <c r="GJA33" s="537"/>
      <c r="GJB33" s="537"/>
      <c r="GJC33" s="537"/>
      <c r="GJD33" s="537"/>
      <c r="GJE33" s="537"/>
      <c r="GJF33" s="537"/>
      <c r="GJG33" s="537"/>
      <c r="GJH33" s="537"/>
      <c r="GJI33" s="537"/>
      <c r="GJJ33" s="537"/>
      <c r="GJK33" s="537"/>
      <c r="GJL33" s="537"/>
      <c r="GJM33" s="537"/>
      <c r="GJN33" s="537"/>
      <c r="GJO33" s="537"/>
      <c r="GJP33" s="537"/>
      <c r="GJQ33" s="537"/>
      <c r="GJR33" s="537"/>
      <c r="GJS33" s="537"/>
      <c r="GJT33" s="537"/>
      <c r="GJU33" s="537"/>
      <c r="GJV33" s="537"/>
      <c r="GJW33" s="537"/>
      <c r="GJX33" s="537"/>
      <c r="GJY33" s="537"/>
      <c r="GJZ33" s="537"/>
      <c r="GKA33" s="537"/>
      <c r="GKB33" s="537"/>
      <c r="GKC33" s="537"/>
      <c r="GKD33" s="537"/>
      <c r="GKE33" s="537"/>
      <c r="GKF33" s="537"/>
      <c r="GKG33" s="537"/>
      <c r="GKH33" s="537"/>
      <c r="GKI33" s="537"/>
      <c r="GKJ33" s="537"/>
      <c r="GKK33" s="537"/>
      <c r="GKL33" s="537"/>
      <c r="GKM33" s="537"/>
      <c r="GKN33" s="537"/>
      <c r="GKO33" s="537"/>
      <c r="GKP33" s="537"/>
      <c r="GKQ33" s="537"/>
      <c r="GKR33" s="537"/>
      <c r="GKS33" s="537"/>
      <c r="GKT33" s="537"/>
      <c r="GKU33" s="537"/>
      <c r="GKV33" s="537"/>
      <c r="GKW33" s="537"/>
      <c r="GKX33" s="537"/>
      <c r="GKY33" s="537"/>
      <c r="GKZ33" s="537"/>
      <c r="GLA33" s="537"/>
      <c r="GLB33" s="537"/>
      <c r="GLC33" s="537"/>
      <c r="GLD33" s="537"/>
      <c r="GLE33" s="537"/>
      <c r="GLF33" s="537"/>
      <c r="GLG33" s="537"/>
      <c r="GLH33" s="537"/>
      <c r="GLI33" s="537"/>
      <c r="GLJ33" s="537"/>
      <c r="GLK33" s="537"/>
      <c r="GLL33" s="537"/>
      <c r="GLM33" s="537"/>
      <c r="GLN33" s="537"/>
      <c r="GLO33" s="537"/>
      <c r="GLP33" s="537"/>
      <c r="GLQ33" s="537"/>
      <c r="GLR33" s="537"/>
      <c r="GLS33" s="537"/>
      <c r="GLT33" s="537"/>
      <c r="GLU33" s="537"/>
      <c r="GLV33" s="537"/>
      <c r="GLW33" s="537"/>
      <c r="GLX33" s="537"/>
      <c r="GLY33" s="537"/>
      <c r="GLZ33" s="537"/>
      <c r="GMA33" s="537"/>
      <c r="GMB33" s="537"/>
      <c r="GMC33" s="537"/>
      <c r="GMD33" s="537"/>
      <c r="GME33" s="537"/>
      <c r="GMF33" s="537"/>
      <c r="GMG33" s="537"/>
      <c r="GMH33" s="537"/>
      <c r="GMI33" s="537"/>
      <c r="GMJ33" s="537"/>
      <c r="GMK33" s="537"/>
      <c r="GML33" s="537"/>
      <c r="GMM33" s="537"/>
      <c r="GMN33" s="537"/>
      <c r="GMO33" s="537"/>
      <c r="GMP33" s="537"/>
      <c r="GMQ33" s="537"/>
      <c r="GMR33" s="537"/>
      <c r="GMS33" s="537"/>
      <c r="GMT33" s="537"/>
      <c r="GMU33" s="537"/>
      <c r="GMV33" s="537"/>
      <c r="GMW33" s="537"/>
      <c r="GMX33" s="537"/>
      <c r="GMY33" s="537"/>
      <c r="GMZ33" s="537"/>
      <c r="GNA33" s="537"/>
      <c r="GNB33" s="537"/>
      <c r="GNC33" s="537"/>
      <c r="GND33" s="537"/>
      <c r="GNE33" s="537"/>
      <c r="GNF33" s="537"/>
      <c r="GNG33" s="537"/>
      <c r="GNH33" s="537"/>
      <c r="GNI33" s="537"/>
      <c r="GNJ33" s="537"/>
      <c r="GNK33" s="537"/>
      <c r="GNL33" s="537"/>
      <c r="GNM33" s="537"/>
      <c r="GNN33" s="537"/>
      <c r="GNO33" s="537"/>
      <c r="GNP33" s="537"/>
      <c r="GNQ33" s="537"/>
      <c r="GNR33" s="537"/>
      <c r="GNS33" s="537"/>
      <c r="GNT33" s="537"/>
      <c r="GNU33" s="537"/>
      <c r="GNV33" s="537"/>
      <c r="GNW33" s="537"/>
      <c r="GNX33" s="537"/>
      <c r="GNY33" s="537"/>
      <c r="GNZ33" s="537"/>
      <c r="GOA33" s="537"/>
      <c r="GOB33" s="537"/>
      <c r="GOC33" s="537"/>
      <c r="GOD33" s="537"/>
      <c r="GOE33" s="537"/>
      <c r="GOF33" s="537"/>
      <c r="GOG33" s="537"/>
      <c r="GOH33" s="537"/>
      <c r="GOI33" s="537"/>
      <c r="GOJ33" s="537"/>
      <c r="GOK33" s="537"/>
      <c r="GOL33" s="537"/>
      <c r="GOM33" s="537"/>
      <c r="GON33" s="537"/>
      <c r="GOO33" s="537"/>
      <c r="GOP33" s="537"/>
      <c r="GOQ33" s="537"/>
      <c r="GOR33" s="537"/>
      <c r="GOS33" s="537"/>
      <c r="GOT33" s="537"/>
      <c r="GOU33" s="537"/>
      <c r="GOV33" s="537"/>
      <c r="GOW33" s="537"/>
      <c r="GOX33" s="537"/>
      <c r="GOY33" s="537"/>
      <c r="GOZ33" s="537"/>
      <c r="GPA33" s="537"/>
      <c r="GPB33" s="537"/>
      <c r="GPC33" s="537"/>
      <c r="GPD33" s="537"/>
      <c r="GPE33" s="537"/>
      <c r="GPF33" s="537"/>
      <c r="GPG33" s="537"/>
      <c r="GPH33" s="537"/>
      <c r="GPI33" s="537"/>
      <c r="GPJ33" s="537"/>
      <c r="GPK33" s="537"/>
      <c r="GPL33" s="537"/>
      <c r="GPM33" s="537"/>
      <c r="GPN33" s="537"/>
      <c r="GPO33" s="537"/>
      <c r="GPP33" s="537"/>
      <c r="GPQ33" s="537"/>
      <c r="GPR33" s="537"/>
      <c r="GPS33" s="537"/>
      <c r="GPT33" s="537"/>
      <c r="GPU33" s="537"/>
      <c r="GPV33" s="537"/>
      <c r="GPW33" s="537"/>
      <c r="GPX33" s="537"/>
      <c r="GPY33" s="537"/>
      <c r="GPZ33" s="537"/>
      <c r="GQA33" s="537"/>
      <c r="GQB33" s="537"/>
      <c r="GQC33" s="537"/>
      <c r="GQD33" s="537"/>
      <c r="GQE33" s="537"/>
      <c r="GQF33" s="537"/>
      <c r="GQG33" s="537"/>
      <c r="GQH33" s="537"/>
      <c r="GQI33" s="537"/>
      <c r="GQJ33" s="537"/>
      <c r="GQK33" s="537"/>
      <c r="GQL33" s="537"/>
      <c r="GQM33" s="537"/>
      <c r="GQN33" s="537"/>
      <c r="GQO33" s="537"/>
      <c r="GQP33" s="537"/>
      <c r="GQQ33" s="537"/>
      <c r="GQR33" s="537"/>
      <c r="GQS33" s="537"/>
      <c r="GQT33" s="537"/>
      <c r="GQU33" s="537"/>
      <c r="GQV33" s="537"/>
      <c r="GQW33" s="537"/>
      <c r="GQX33" s="537"/>
      <c r="GQY33" s="537"/>
      <c r="GQZ33" s="537"/>
      <c r="GRA33" s="537"/>
      <c r="GRB33" s="537"/>
      <c r="GRC33" s="537"/>
      <c r="GRD33" s="537"/>
      <c r="GRE33" s="537"/>
      <c r="GRF33" s="537"/>
      <c r="GRG33" s="537"/>
      <c r="GRH33" s="537"/>
      <c r="GRI33" s="537"/>
      <c r="GRJ33" s="537"/>
      <c r="GRK33" s="537"/>
      <c r="GRL33" s="537"/>
      <c r="GRM33" s="537"/>
      <c r="GRN33" s="537"/>
      <c r="GRO33" s="537"/>
      <c r="GRP33" s="537"/>
      <c r="GRQ33" s="537"/>
      <c r="GRR33" s="537"/>
      <c r="GRS33" s="537"/>
      <c r="GRT33" s="537"/>
      <c r="GRU33" s="537"/>
      <c r="GRV33" s="537"/>
      <c r="GRW33" s="537"/>
      <c r="GRX33" s="537"/>
      <c r="GRY33" s="537"/>
      <c r="GRZ33" s="537"/>
      <c r="GSA33" s="537"/>
      <c r="GSB33" s="537"/>
      <c r="GSC33" s="537"/>
      <c r="GSD33" s="537"/>
      <c r="GSE33" s="537"/>
      <c r="GSF33" s="537"/>
      <c r="GSG33" s="537"/>
      <c r="GSH33" s="537"/>
      <c r="GSI33" s="537"/>
      <c r="GSJ33" s="537"/>
      <c r="GSK33" s="537"/>
      <c r="GSL33" s="537"/>
      <c r="GSM33" s="537"/>
      <c r="GSN33" s="537"/>
      <c r="GSO33" s="537"/>
      <c r="GSP33" s="537"/>
      <c r="GSQ33" s="537"/>
      <c r="GSR33" s="537"/>
      <c r="GSS33" s="537"/>
      <c r="GST33" s="537"/>
      <c r="GSU33" s="537"/>
      <c r="GSV33" s="537"/>
      <c r="GSW33" s="537"/>
      <c r="GSX33" s="537"/>
      <c r="GSY33" s="537"/>
      <c r="GSZ33" s="537"/>
      <c r="GTA33" s="537"/>
      <c r="GTB33" s="537"/>
      <c r="GTC33" s="537"/>
      <c r="GTD33" s="537"/>
      <c r="GTE33" s="537"/>
      <c r="GTF33" s="537"/>
      <c r="GTG33" s="537"/>
      <c r="GTH33" s="537"/>
      <c r="GTI33" s="537"/>
      <c r="GTJ33" s="537"/>
      <c r="GTK33" s="537"/>
      <c r="GTL33" s="537"/>
      <c r="GTM33" s="537"/>
      <c r="GTN33" s="537"/>
      <c r="GTO33" s="537"/>
      <c r="GTP33" s="537"/>
      <c r="GTQ33" s="537"/>
      <c r="GTR33" s="537"/>
      <c r="GTS33" s="537"/>
      <c r="GTT33" s="537"/>
      <c r="GTU33" s="537"/>
      <c r="GTV33" s="537"/>
      <c r="GTW33" s="537"/>
      <c r="GTX33" s="537"/>
      <c r="GTY33" s="537"/>
      <c r="GTZ33" s="537"/>
      <c r="GUA33" s="537"/>
      <c r="GUB33" s="537"/>
      <c r="GUC33" s="537"/>
      <c r="GUD33" s="537"/>
      <c r="GUE33" s="537"/>
      <c r="GUF33" s="537"/>
      <c r="GUG33" s="537"/>
      <c r="GUH33" s="537"/>
      <c r="GUI33" s="537"/>
      <c r="GUJ33" s="537"/>
      <c r="GUK33" s="537"/>
      <c r="GUL33" s="537"/>
      <c r="GUM33" s="537"/>
      <c r="GUN33" s="537"/>
      <c r="GUO33" s="537"/>
      <c r="GUP33" s="537"/>
      <c r="GUQ33" s="537"/>
      <c r="GUR33" s="537"/>
      <c r="GUS33" s="537"/>
      <c r="GUT33" s="537"/>
      <c r="GUU33" s="537"/>
      <c r="GUV33" s="537"/>
      <c r="GUW33" s="537"/>
      <c r="GUX33" s="537"/>
      <c r="GUY33" s="537"/>
      <c r="GUZ33" s="537"/>
      <c r="GVA33" s="537"/>
      <c r="GVB33" s="537"/>
      <c r="GVC33" s="537"/>
      <c r="GVD33" s="537"/>
      <c r="GVE33" s="537"/>
      <c r="GVF33" s="537"/>
      <c r="GVG33" s="537"/>
      <c r="GVH33" s="537"/>
      <c r="GVI33" s="537"/>
      <c r="GVJ33" s="537"/>
      <c r="GVK33" s="537"/>
      <c r="GVL33" s="537"/>
      <c r="GVM33" s="537"/>
      <c r="GVN33" s="537"/>
      <c r="GVO33" s="537"/>
      <c r="GVP33" s="537"/>
      <c r="GVQ33" s="537"/>
      <c r="GVR33" s="537"/>
      <c r="GVS33" s="537"/>
      <c r="GVT33" s="537"/>
      <c r="GVU33" s="537"/>
      <c r="GVV33" s="537"/>
      <c r="GVW33" s="537"/>
      <c r="GVX33" s="537"/>
      <c r="GVY33" s="537"/>
      <c r="GVZ33" s="537"/>
      <c r="GWA33" s="537"/>
      <c r="GWB33" s="537"/>
      <c r="GWC33" s="537"/>
      <c r="GWD33" s="537"/>
      <c r="GWE33" s="537"/>
      <c r="GWF33" s="537"/>
      <c r="GWG33" s="537"/>
      <c r="GWH33" s="537"/>
      <c r="GWI33" s="537"/>
      <c r="GWJ33" s="537"/>
      <c r="GWK33" s="537"/>
      <c r="GWL33" s="537"/>
      <c r="GWM33" s="537"/>
      <c r="GWN33" s="537"/>
      <c r="GWO33" s="537"/>
      <c r="GWP33" s="537"/>
      <c r="GWQ33" s="537"/>
      <c r="GWR33" s="537"/>
      <c r="GWS33" s="537"/>
      <c r="GWT33" s="537"/>
      <c r="GWU33" s="537"/>
      <c r="GWV33" s="537"/>
      <c r="GWW33" s="537"/>
      <c r="GWX33" s="537"/>
      <c r="GWY33" s="537"/>
      <c r="GWZ33" s="537"/>
      <c r="GXA33" s="537"/>
      <c r="GXB33" s="537"/>
      <c r="GXC33" s="537"/>
      <c r="GXD33" s="537"/>
      <c r="GXE33" s="537"/>
      <c r="GXF33" s="537"/>
      <c r="GXG33" s="537"/>
      <c r="GXH33" s="537"/>
      <c r="GXI33" s="537"/>
      <c r="GXJ33" s="537"/>
      <c r="GXK33" s="537"/>
      <c r="GXL33" s="537"/>
      <c r="GXM33" s="537"/>
      <c r="GXN33" s="537"/>
      <c r="GXO33" s="537"/>
      <c r="GXP33" s="537"/>
      <c r="GXQ33" s="537"/>
      <c r="GXR33" s="537"/>
      <c r="GXS33" s="537"/>
      <c r="GXT33" s="537"/>
      <c r="GXU33" s="537"/>
      <c r="GXV33" s="537"/>
      <c r="GXW33" s="537"/>
      <c r="GXX33" s="537"/>
      <c r="GXY33" s="537"/>
      <c r="GXZ33" s="537"/>
      <c r="GYA33" s="537"/>
      <c r="GYB33" s="537"/>
      <c r="GYC33" s="537"/>
      <c r="GYD33" s="537"/>
      <c r="GYE33" s="537"/>
      <c r="GYF33" s="537"/>
      <c r="GYG33" s="537"/>
      <c r="GYH33" s="537"/>
      <c r="GYI33" s="537"/>
      <c r="GYJ33" s="537"/>
      <c r="GYK33" s="537"/>
      <c r="GYL33" s="537"/>
      <c r="GYM33" s="537"/>
      <c r="GYN33" s="537"/>
      <c r="GYO33" s="537"/>
      <c r="GYP33" s="537"/>
      <c r="GYQ33" s="537"/>
      <c r="GYR33" s="537"/>
      <c r="GYS33" s="537"/>
      <c r="GYT33" s="537"/>
      <c r="GYU33" s="537"/>
      <c r="GYV33" s="537"/>
      <c r="GYW33" s="537"/>
      <c r="GYX33" s="537"/>
      <c r="GYY33" s="537"/>
      <c r="GYZ33" s="537"/>
      <c r="GZA33" s="537"/>
      <c r="GZB33" s="537"/>
      <c r="GZC33" s="537"/>
      <c r="GZD33" s="537"/>
      <c r="GZE33" s="537"/>
      <c r="GZF33" s="537"/>
      <c r="GZG33" s="537"/>
      <c r="GZH33" s="537"/>
      <c r="GZI33" s="537"/>
      <c r="GZJ33" s="537"/>
      <c r="GZK33" s="537"/>
      <c r="GZL33" s="537"/>
      <c r="GZM33" s="537"/>
      <c r="GZN33" s="537"/>
      <c r="GZO33" s="537"/>
      <c r="GZP33" s="537"/>
      <c r="GZQ33" s="537"/>
      <c r="GZR33" s="537"/>
      <c r="GZS33" s="537"/>
      <c r="GZT33" s="537"/>
      <c r="GZU33" s="537"/>
      <c r="GZV33" s="537"/>
      <c r="GZW33" s="537"/>
      <c r="GZX33" s="537"/>
      <c r="GZY33" s="537"/>
      <c r="GZZ33" s="537"/>
      <c r="HAA33" s="537"/>
      <c r="HAB33" s="537"/>
      <c r="HAC33" s="537"/>
      <c r="HAD33" s="537"/>
      <c r="HAE33" s="537"/>
      <c r="HAF33" s="537"/>
      <c r="HAG33" s="537"/>
      <c r="HAH33" s="537"/>
      <c r="HAI33" s="537"/>
      <c r="HAJ33" s="537"/>
      <c r="HAK33" s="537"/>
      <c r="HAL33" s="537"/>
      <c r="HAM33" s="537"/>
      <c r="HAN33" s="537"/>
      <c r="HAO33" s="537"/>
      <c r="HAP33" s="537"/>
      <c r="HAQ33" s="537"/>
      <c r="HAR33" s="537"/>
      <c r="HAS33" s="537"/>
      <c r="HAT33" s="537"/>
      <c r="HAU33" s="537"/>
      <c r="HAV33" s="537"/>
      <c r="HAW33" s="537"/>
      <c r="HAX33" s="537"/>
      <c r="HAY33" s="537"/>
      <c r="HAZ33" s="537"/>
      <c r="HBA33" s="537"/>
      <c r="HBB33" s="537"/>
      <c r="HBC33" s="537"/>
      <c r="HBD33" s="537"/>
      <c r="HBE33" s="537"/>
      <c r="HBF33" s="537"/>
      <c r="HBG33" s="537"/>
      <c r="HBH33" s="537"/>
      <c r="HBI33" s="537"/>
      <c r="HBJ33" s="537"/>
      <c r="HBK33" s="537"/>
      <c r="HBL33" s="537"/>
      <c r="HBM33" s="537"/>
      <c r="HBN33" s="537"/>
      <c r="HBO33" s="537"/>
      <c r="HBP33" s="537"/>
      <c r="HBQ33" s="537"/>
      <c r="HBR33" s="537"/>
      <c r="HBS33" s="537"/>
      <c r="HBT33" s="537"/>
      <c r="HBU33" s="537"/>
      <c r="HBV33" s="537"/>
      <c r="HBW33" s="537"/>
      <c r="HBX33" s="537"/>
      <c r="HBY33" s="537"/>
      <c r="HBZ33" s="537"/>
      <c r="HCA33" s="537"/>
      <c r="HCB33" s="537"/>
      <c r="HCC33" s="537"/>
      <c r="HCD33" s="537"/>
      <c r="HCE33" s="537"/>
      <c r="HCF33" s="537"/>
      <c r="HCG33" s="537"/>
      <c r="HCH33" s="537"/>
      <c r="HCI33" s="537"/>
      <c r="HCJ33" s="537"/>
      <c r="HCK33" s="537"/>
      <c r="HCL33" s="537"/>
      <c r="HCM33" s="537"/>
      <c r="HCN33" s="537"/>
      <c r="HCO33" s="537"/>
      <c r="HCP33" s="537"/>
      <c r="HCQ33" s="537"/>
      <c r="HCR33" s="537"/>
      <c r="HCS33" s="537"/>
      <c r="HCT33" s="537"/>
      <c r="HCU33" s="537"/>
      <c r="HCV33" s="537"/>
      <c r="HCW33" s="537"/>
      <c r="HCX33" s="537"/>
      <c r="HCY33" s="537"/>
      <c r="HCZ33" s="537"/>
      <c r="HDA33" s="537"/>
      <c r="HDB33" s="537"/>
      <c r="HDC33" s="537"/>
      <c r="HDD33" s="537"/>
      <c r="HDE33" s="537"/>
      <c r="HDF33" s="537"/>
      <c r="HDG33" s="537"/>
      <c r="HDH33" s="537"/>
      <c r="HDI33" s="537"/>
      <c r="HDJ33" s="537"/>
      <c r="HDK33" s="537"/>
      <c r="HDL33" s="537"/>
      <c r="HDM33" s="537"/>
      <c r="HDN33" s="537"/>
      <c r="HDO33" s="537"/>
      <c r="HDP33" s="537"/>
      <c r="HDQ33" s="537"/>
      <c r="HDR33" s="537"/>
      <c r="HDS33" s="537"/>
      <c r="HDT33" s="537"/>
      <c r="HDU33" s="537"/>
      <c r="HDV33" s="537"/>
      <c r="HDW33" s="537"/>
      <c r="HDX33" s="537"/>
      <c r="HDY33" s="537"/>
      <c r="HDZ33" s="537"/>
      <c r="HEA33" s="537"/>
      <c r="HEB33" s="537"/>
      <c r="HEC33" s="537"/>
      <c r="HED33" s="537"/>
      <c r="HEE33" s="537"/>
      <c r="HEF33" s="537"/>
      <c r="HEG33" s="537"/>
      <c r="HEH33" s="537"/>
      <c r="HEI33" s="537"/>
      <c r="HEJ33" s="537"/>
      <c r="HEK33" s="537"/>
      <c r="HEL33" s="537"/>
      <c r="HEM33" s="537"/>
      <c r="HEN33" s="537"/>
      <c r="HEO33" s="537"/>
      <c r="HEP33" s="537"/>
      <c r="HEQ33" s="537"/>
      <c r="HER33" s="537"/>
      <c r="HES33" s="537"/>
      <c r="HET33" s="537"/>
      <c r="HEU33" s="537"/>
      <c r="HEV33" s="537"/>
      <c r="HEW33" s="537"/>
      <c r="HEX33" s="537"/>
      <c r="HEY33" s="537"/>
      <c r="HEZ33" s="537"/>
      <c r="HFA33" s="537"/>
      <c r="HFB33" s="537"/>
      <c r="HFC33" s="537"/>
      <c r="HFD33" s="537"/>
      <c r="HFE33" s="537"/>
      <c r="HFF33" s="537"/>
      <c r="HFG33" s="537"/>
      <c r="HFH33" s="537"/>
      <c r="HFI33" s="537"/>
      <c r="HFJ33" s="537"/>
      <c r="HFK33" s="537"/>
      <c r="HFL33" s="537"/>
      <c r="HFM33" s="537"/>
      <c r="HFN33" s="537"/>
      <c r="HFO33" s="537"/>
      <c r="HFP33" s="537"/>
      <c r="HFQ33" s="537"/>
      <c r="HFR33" s="537"/>
      <c r="HFS33" s="537"/>
      <c r="HFT33" s="537"/>
      <c r="HFU33" s="537"/>
      <c r="HFV33" s="537"/>
      <c r="HFW33" s="537"/>
      <c r="HFX33" s="537"/>
      <c r="HFY33" s="537"/>
      <c r="HFZ33" s="537"/>
      <c r="HGA33" s="537"/>
      <c r="HGB33" s="537"/>
      <c r="HGC33" s="537"/>
      <c r="HGD33" s="537"/>
      <c r="HGE33" s="537"/>
      <c r="HGF33" s="537"/>
      <c r="HGG33" s="537"/>
      <c r="HGH33" s="537"/>
      <c r="HGI33" s="537"/>
      <c r="HGJ33" s="537"/>
      <c r="HGK33" s="537"/>
      <c r="HGL33" s="537"/>
      <c r="HGM33" s="537"/>
      <c r="HGN33" s="537"/>
      <c r="HGO33" s="537"/>
      <c r="HGP33" s="537"/>
      <c r="HGQ33" s="537"/>
      <c r="HGR33" s="537"/>
      <c r="HGS33" s="537"/>
      <c r="HGT33" s="537"/>
      <c r="HGU33" s="537"/>
      <c r="HGV33" s="537"/>
      <c r="HGW33" s="537"/>
      <c r="HGX33" s="537"/>
      <c r="HGY33" s="537"/>
      <c r="HGZ33" s="537"/>
      <c r="HHA33" s="537"/>
      <c r="HHB33" s="537"/>
      <c r="HHC33" s="537"/>
      <c r="HHD33" s="537"/>
      <c r="HHE33" s="537"/>
      <c r="HHF33" s="537"/>
      <c r="HHG33" s="537"/>
      <c r="HHH33" s="537"/>
      <c r="HHI33" s="537"/>
      <c r="HHJ33" s="537"/>
      <c r="HHK33" s="537"/>
      <c r="HHL33" s="537"/>
      <c r="HHM33" s="537"/>
      <c r="HHN33" s="537"/>
      <c r="HHO33" s="537"/>
      <c r="HHP33" s="537"/>
      <c r="HHQ33" s="537"/>
      <c r="HHR33" s="537"/>
      <c r="HHS33" s="537"/>
      <c r="HHT33" s="537"/>
      <c r="HHU33" s="537"/>
      <c r="HHV33" s="537"/>
      <c r="HHW33" s="537"/>
      <c r="HHX33" s="537"/>
      <c r="HHY33" s="537"/>
      <c r="HHZ33" s="537"/>
      <c r="HIA33" s="537"/>
      <c r="HIB33" s="537"/>
      <c r="HIC33" s="537"/>
      <c r="HID33" s="537"/>
      <c r="HIE33" s="537"/>
      <c r="HIF33" s="537"/>
      <c r="HIG33" s="537"/>
      <c r="HIH33" s="537"/>
      <c r="HII33" s="537"/>
      <c r="HIJ33" s="537"/>
      <c r="HIK33" s="537"/>
      <c r="HIL33" s="537"/>
      <c r="HIM33" s="537"/>
      <c r="HIN33" s="537"/>
      <c r="HIO33" s="537"/>
      <c r="HIP33" s="537"/>
      <c r="HIQ33" s="537"/>
      <c r="HIR33" s="537"/>
      <c r="HIS33" s="537"/>
      <c r="HIT33" s="537"/>
      <c r="HIU33" s="537"/>
      <c r="HIV33" s="537"/>
      <c r="HIW33" s="537"/>
      <c r="HIX33" s="537"/>
      <c r="HIY33" s="537"/>
      <c r="HIZ33" s="537"/>
      <c r="HJA33" s="537"/>
      <c r="HJB33" s="537"/>
      <c r="HJC33" s="537"/>
      <c r="HJD33" s="537"/>
      <c r="HJE33" s="537"/>
      <c r="HJF33" s="537"/>
      <c r="HJG33" s="537"/>
      <c r="HJH33" s="537"/>
      <c r="HJI33" s="537"/>
      <c r="HJJ33" s="537"/>
      <c r="HJK33" s="537"/>
      <c r="HJL33" s="537"/>
      <c r="HJM33" s="537"/>
      <c r="HJN33" s="537"/>
      <c r="HJO33" s="537"/>
      <c r="HJP33" s="537"/>
      <c r="HJQ33" s="537"/>
      <c r="HJR33" s="537"/>
      <c r="HJS33" s="537"/>
      <c r="HJT33" s="537"/>
      <c r="HJU33" s="537"/>
      <c r="HJV33" s="537"/>
      <c r="HJW33" s="537"/>
      <c r="HJX33" s="537"/>
      <c r="HJY33" s="537"/>
      <c r="HJZ33" s="537"/>
      <c r="HKA33" s="537"/>
      <c r="HKB33" s="537"/>
      <c r="HKC33" s="537"/>
      <c r="HKD33" s="537"/>
      <c r="HKE33" s="537"/>
      <c r="HKF33" s="537"/>
      <c r="HKG33" s="537"/>
      <c r="HKH33" s="537"/>
      <c r="HKI33" s="537"/>
      <c r="HKJ33" s="537"/>
      <c r="HKK33" s="537"/>
      <c r="HKL33" s="537"/>
      <c r="HKM33" s="537"/>
      <c r="HKN33" s="537"/>
      <c r="HKO33" s="537"/>
      <c r="HKP33" s="537"/>
      <c r="HKQ33" s="537"/>
      <c r="HKR33" s="537"/>
      <c r="HKS33" s="537"/>
      <c r="HKT33" s="537"/>
      <c r="HKU33" s="537"/>
      <c r="HKV33" s="537"/>
      <c r="HKW33" s="537"/>
      <c r="HKX33" s="537"/>
      <c r="HKY33" s="537"/>
      <c r="HKZ33" s="537"/>
      <c r="HLA33" s="537"/>
      <c r="HLB33" s="537"/>
      <c r="HLC33" s="537"/>
      <c r="HLD33" s="537"/>
      <c r="HLE33" s="537"/>
      <c r="HLF33" s="537"/>
      <c r="HLG33" s="537"/>
      <c r="HLH33" s="537"/>
      <c r="HLI33" s="537"/>
      <c r="HLJ33" s="537"/>
      <c r="HLK33" s="537"/>
      <c r="HLL33" s="537"/>
      <c r="HLM33" s="537"/>
      <c r="HLN33" s="537"/>
      <c r="HLO33" s="537"/>
      <c r="HLP33" s="537"/>
      <c r="HLQ33" s="537"/>
      <c r="HLR33" s="537"/>
      <c r="HLS33" s="537"/>
      <c r="HLT33" s="537"/>
      <c r="HLU33" s="537"/>
      <c r="HLV33" s="537"/>
      <c r="HLW33" s="537"/>
      <c r="HLX33" s="537"/>
      <c r="HLY33" s="537"/>
      <c r="HLZ33" s="537"/>
      <c r="HMA33" s="537"/>
      <c r="HMB33" s="537"/>
      <c r="HMC33" s="537"/>
      <c r="HMD33" s="537"/>
      <c r="HME33" s="537"/>
      <c r="HMF33" s="537"/>
      <c r="HMG33" s="537"/>
      <c r="HMH33" s="537"/>
      <c r="HMI33" s="537"/>
      <c r="HMJ33" s="537"/>
      <c r="HMK33" s="537"/>
      <c r="HML33" s="537"/>
      <c r="HMM33" s="537"/>
      <c r="HMN33" s="537"/>
      <c r="HMO33" s="537"/>
      <c r="HMP33" s="537"/>
      <c r="HMQ33" s="537"/>
      <c r="HMR33" s="537"/>
      <c r="HMS33" s="537"/>
      <c r="HMT33" s="537"/>
      <c r="HMU33" s="537"/>
      <c r="HMV33" s="537"/>
      <c r="HMW33" s="537"/>
      <c r="HMX33" s="537"/>
      <c r="HMY33" s="537"/>
      <c r="HMZ33" s="537"/>
      <c r="HNA33" s="537"/>
      <c r="HNB33" s="537"/>
      <c r="HNC33" s="537"/>
      <c r="HND33" s="537"/>
      <c r="HNE33" s="537"/>
      <c r="HNF33" s="537"/>
      <c r="HNG33" s="537"/>
      <c r="HNH33" s="537"/>
      <c r="HNI33" s="537"/>
      <c r="HNJ33" s="537"/>
      <c r="HNK33" s="537"/>
      <c r="HNL33" s="537"/>
      <c r="HNM33" s="537"/>
      <c r="HNN33" s="537"/>
      <c r="HNO33" s="537"/>
      <c r="HNP33" s="537"/>
      <c r="HNQ33" s="537"/>
      <c r="HNR33" s="537"/>
      <c r="HNS33" s="537"/>
      <c r="HNT33" s="537"/>
      <c r="HNU33" s="537"/>
      <c r="HNV33" s="537"/>
      <c r="HNW33" s="537"/>
      <c r="HNX33" s="537"/>
      <c r="HNY33" s="537"/>
      <c r="HNZ33" s="537"/>
      <c r="HOA33" s="537"/>
      <c r="HOB33" s="537"/>
      <c r="HOC33" s="537"/>
      <c r="HOD33" s="537"/>
      <c r="HOE33" s="537"/>
      <c r="HOF33" s="537"/>
      <c r="HOG33" s="537"/>
      <c r="HOH33" s="537"/>
      <c r="HOI33" s="537"/>
      <c r="HOJ33" s="537"/>
      <c r="HOK33" s="537"/>
      <c r="HOL33" s="537"/>
      <c r="HOM33" s="537"/>
      <c r="HON33" s="537"/>
      <c r="HOO33" s="537"/>
      <c r="HOP33" s="537"/>
      <c r="HOQ33" s="537"/>
      <c r="HOR33" s="537"/>
      <c r="HOS33" s="537"/>
      <c r="HOT33" s="537"/>
      <c r="HOU33" s="537"/>
      <c r="HOV33" s="537"/>
      <c r="HOW33" s="537"/>
      <c r="HOX33" s="537"/>
      <c r="HOY33" s="537"/>
      <c r="HOZ33" s="537"/>
      <c r="HPA33" s="537"/>
      <c r="HPB33" s="537"/>
      <c r="HPC33" s="537"/>
      <c r="HPD33" s="537"/>
      <c r="HPE33" s="537"/>
      <c r="HPF33" s="537"/>
      <c r="HPG33" s="537"/>
      <c r="HPH33" s="537"/>
      <c r="HPI33" s="537"/>
      <c r="HPJ33" s="537"/>
      <c r="HPK33" s="537"/>
      <c r="HPL33" s="537"/>
      <c r="HPM33" s="537"/>
      <c r="HPN33" s="537"/>
      <c r="HPO33" s="537"/>
      <c r="HPP33" s="537"/>
      <c r="HPQ33" s="537"/>
      <c r="HPR33" s="537"/>
      <c r="HPS33" s="537"/>
      <c r="HPT33" s="537"/>
      <c r="HPU33" s="537"/>
      <c r="HPV33" s="537"/>
      <c r="HPW33" s="537"/>
      <c r="HPX33" s="537"/>
      <c r="HPY33" s="537"/>
      <c r="HPZ33" s="537"/>
      <c r="HQA33" s="537"/>
      <c r="HQB33" s="537"/>
      <c r="HQC33" s="537"/>
      <c r="HQD33" s="537"/>
      <c r="HQE33" s="537"/>
      <c r="HQF33" s="537"/>
      <c r="HQG33" s="537"/>
      <c r="HQH33" s="537"/>
      <c r="HQI33" s="537"/>
      <c r="HQJ33" s="537"/>
      <c r="HQK33" s="537"/>
      <c r="HQL33" s="537"/>
      <c r="HQM33" s="537"/>
      <c r="HQN33" s="537"/>
      <c r="HQO33" s="537"/>
      <c r="HQP33" s="537"/>
      <c r="HQQ33" s="537"/>
      <c r="HQR33" s="537"/>
      <c r="HQS33" s="537"/>
      <c r="HQT33" s="537"/>
      <c r="HQU33" s="537"/>
      <c r="HQV33" s="537"/>
      <c r="HQW33" s="537"/>
      <c r="HQX33" s="537"/>
      <c r="HQY33" s="537"/>
      <c r="HQZ33" s="537"/>
      <c r="HRA33" s="537"/>
      <c r="HRB33" s="537"/>
      <c r="HRC33" s="537"/>
      <c r="HRD33" s="537"/>
      <c r="HRE33" s="537"/>
      <c r="HRF33" s="537"/>
      <c r="HRG33" s="537"/>
      <c r="HRH33" s="537"/>
      <c r="HRI33" s="537"/>
      <c r="HRJ33" s="537"/>
      <c r="HRK33" s="537"/>
      <c r="HRL33" s="537"/>
      <c r="HRM33" s="537"/>
      <c r="HRN33" s="537"/>
      <c r="HRO33" s="537"/>
      <c r="HRP33" s="537"/>
      <c r="HRQ33" s="537"/>
      <c r="HRR33" s="537"/>
      <c r="HRS33" s="537"/>
      <c r="HRT33" s="537"/>
      <c r="HRU33" s="537"/>
      <c r="HRV33" s="537"/>
      <c r="HRW33" s="537"/>
      <c r="HRX33" s="537"/>
      <c r="HRY33" s="537"/>
      <c r="HRZ33" s="537"/>
      <c r="HSA33" s="537"/>
      <c r="HSB33" s="537"/>
      <c r="HSC33" s="537"/>
      <c r="HSD33" s="537"/>
      <c r="HSE33" s="537"/>
      <c r="HSF33" s="537"/>
      <c r="HSG33" s="537"/>
      <c r="HSH33" s="537"/>
      <c r="HSI33" s="537"/>
      <c r="HSJ33" s="537"/>
      <c r="HSK33" s="537"/>
      <c r="HSL33" s="537"/>
      <c r="HSM33" s="537"/>
      <c r="HSN33" s="537"/>
      <c r="HSO33" s="537"/>
      <c r="HSP33" s="537"/>
      <c r="HSQ33" s="537"/>
      <c r="HSR33" s="537"/>
      <c r="HSS33" s="537"/>
      <c r="HST33" s="537"/>
      <c r="HSU33" s="537"/>
      <c r="HSV33" s="537"/>
      <c r="HSW33" s="537"/>
      <c r="HSX33" s="537"/>
      <c r="HSY33" s="537"/>
      <c r="HSZ33" s="537"/>
      <c r="HTA33" s="537"/>
      <c r="HTB33" s="537"/>
      <c r="HTC33" s="537"/>
      <c r="HTD33" s="537"/>
      <c r="HTE33" s="537"/>
      <c r="HTF33" s="537"/>
      <c r="HTG33" s="537"/>
      <c r="HTH33" s="537"/>
      <c r="HTI33" s="537"/>
      <c r="HTJ33" s="537"/>
      <c r="HTK33" s="537"/>
      <c r="HTL33" s="537"/>
      <c r="HTM33" s="537"/>
      <c r="HTN33" s="537"/>
      <c r="HTO33" s="537"/>
      <c r="HTP33" s="537"/>
      <c r="HTQ33" s="537"/>
      <c r="HTR33" s="537"/>
      <c r="HTS33" s="537"/>
      <c r="HTT33" s="537"/>
      <c r="HTU33" s="537"/>
      <c r="HTV33" s="537"/>
      <c r="HTW33" s="537"/>
      <c r="HTX33" s="537"/>
      <c r="HTY33" s="537"/>
      <c r="HTZ33" s="537"/>
      <c r="HUA33" s="537"/>
      <c r="HUB33" s="537"/>
      <c r="HUC33" s="537"/>
      <c r="HUD33" s="537"/>
      <c r="HUE33" s="537"/>
      <c r="HUF33" s="537"/>
      <c r="HUG33" s="537"/>
      <c r="HUH33" s="537"/>
      <c r="HUI33" s="537"/>
      <c r="HUJ33" s="537"/>
      <c r="HUK33" s="537"/>
      <c r="HUL33" s="537"/>
      <c r="HUM33" s="537"/>
      <c r="HUN33" s="537"/>
      <c r="HUO33" s="537"/>
      <c r="HUP33" s="537"/>
      <c r="HUQ33" s="537"/>
      <c r="HUR33" s="537"/>
      <c r="HUS33" s="537"/>
      <c r="HUT33" s="537"/>
      <c r="HUU33" s="537"/>
      <c r="HUV33" s="537"/>
      <c r="HUW33" s="537"/>
      <c r="HUX33" s="537"/>
      <c r="HUY33" s="537"/>
      <c r="HUZ33" s="537"/>
      <c r="HVA33" s="537"/>
      <c r="HVB33" s="537"/>
      <c r="HVC33" s="537"/>
      <c r="HVD33" s="537"/>
      <c r="HVE33" s="537"/>
      <c r="HVF33" s="537"/>
      <c r="HVG33" s="537"/>
      <c r="HVH33" s="537"/>
      <c r="HVI33" s="537"/>
      <c r="HVJ33" s="537"/>
      <c r="HVK33" s="537"/>
      <c r="HVL33" s="537"/>
      <c r="HVM33" s="537"/>
      <c r="HVN33" s="537"/>
      <c r="HVO33" s="537"/>
      <c r="HVP33" s="537"/>
      <c r="HVQ33" s="537"/>
      <c r="HVR33" s="537"/>
      <c r="HVS33" s="537"/>
      <c r="HVT33" s="537"/>
      <c r="HVU33" s="537"/>
      <c r="HVV33" s="537"/>
      <c r="HVW33" s="537"/>
      <c r="HVX33" s="537"/>
      <c r="HVY33" s="537"/>
      <c r="HVZ33" s="537"/>
      <c r="HWA33" s="537"/>
      <c r="HWB33" s="537"/>
      <c r="HWC33" s="537"/>
      <c r="HWD33" s="537"/>
      <c r="HWE33" s="537"/>
      <c r="HWF33" s="537"/>
      <c r="HWG33" s="537"/>
      <c r="HWH33" s="537"/>
      <c r="HWI33" s="537"/>
      <c r="HWJ33" s="537"/>
      <c r="HWK33" s="537"/>
      <c r="HWL33" s="537"/>
      <c r="HWM33" s="537"/>
      <c r="HWN33" s="537"/>
      <c r="HWO33" s="537"/>
      <c r="HWP33" s="537"/>
      <c r="HWQ33" s="537"/>
      <c r="HWR33" s="537"/>
      <c r="HWS33" s="537"/>
      <c r="HWT33" s="537"/>
      <c r="HWU33" s="537"/>
      <c r="HWV33" s="537"/>
      <c r="HWW33" s="537"/>
      <c r="HWX33" s="537"/>
      <c r="HWY33" s="537"/>
      <c r="HWZ33" s="537"/>
      <c r="HXA33" s="537"/>
      <c r="HXB33" s="537"/>
      <c r="HXC33" s="537"/>
      <c r="HXD33" s="537"/>
      <c r="HXE33" s="537"/>
      <c r="HXF33" s="537"/>
      <c r="HXG33" s="537"/>
      <c r="HXH33" s="537"/>
      <c r="HXI33" s="537"/>
      <c r="HXJ33" s="537"/>
      <c r="HXK33" s="537"/>
      <c r="HXL33" s="537"/>
      <c r="HXM33" s="537"/>
      <c r="HXN33" s="537"/>
      <c r="HXO33" s="537"/>
      <c r="HXP33" s="537"/>
      <c r="HXQ33" s="537"/>
      <c r="HXR33" s="537"/>
      <c r="HXS33" s="537"/>
      <c r="HXT33" s="537"/>
      <c r="HXU33" s="537"/>
      <c r="HXV33" s="537"/>
      <c r="HXW33" s="537"/>
      <c r="HXX33" s="537"/>
      <c r="HXY33" s="537"/>
      <c r="HXZ33" s="537"/>
      <c r="HYA33" s="537"/>
      <c r="HYB33" s="537"/>
      <c r="HYC33" s="537"/>
      <c r="HYD33" s="537"/>
      <c r="HYE33" s="537"/>
      <c r="HYF33" s="537"/>
      <c r="HYG33" s="537"/>
      <c r="HYH33" s="537"/>
      <c r="HYI33" s="537"/>
      <c r="HYJ33" s="537"/>
      <c r="HYK33" s="537"/>
      <c r="HYL33" s="537"/>
      <c r="HYM33" s="537"/>
      <c r="HYN33" s="537"/>
      <c r="HYO33" s="537"/>
      <c r="HYP33" s="537"/>
      <c r="HYQ33" s="537"/>
      <c r="HYR33" s="537"/>
      <c r="HYS33" s="537"/>
      <c r="HYT33" s="537"/>
      <c r="HYU33" s="537"/>
      <c r="HYV33" s="537"/>
      <c r="HYW33" s="537"/>
      <c r="HYX33" s="537"/>
      <c r="HYY33" s="537"/>
      <c r="HYZ33" s="537"/>
      <c r="HZA33" s="537"/>
      <c r="HZB33" s="537"/>
      <c r="HZC33" s="537"/>
      <c r="HZD33" s="537"/>
      <c r="HZE33" s="537"/>
      <c r="HZF33" s="537"/>
      <c r="HZG33" s="537"/>
      <c r="HZH33" s="537"/>
      <c r="HZI33" s="537"/>
      <c r="HZJ33" s="537"/>
      <c r="HZK33" s="537"/>
      <c r="HZL33" s="537"/>
      <c r="HZM33" s="537"/>
      <c r="HZN33" s="537"/>
      <c r="HZO33" s="537"/>
      <c r="HZP33" s="537"/>
      <c r="HZQ33" s="537"/>
      <c r="HZR33" s="537"/>
      <c r="HZS33" s="537"/>
      <c r="HZT33" s="537"/>
      <c r="HZU33" s="537"/>
      <c r="HZV33" s="537"/>
      <c r="HZW33" s="537"/>
      <c r="HZX33" s="537"/>
      <c r="HZY33" s="537"/>
      <c r="HZZ33" s="537"/>
      <c r="IAA33" s="537"/>
      <c r="IAB33" s="537"/>
      <c r="IAC33" s="537"/>
      <c r="IAD33" s="537"/>
      <c r="IAE33" s="537"/>
      <c r="IAF33" s="537"/>
      <c r="IAG33" s="537"/>
      <c r="IAH33" s="537"/>
      <c r="IAI33" s="537"/>
      <c r="IAJ33" s="537"/>
      <c r="IAK33" s="537"/>
      <c r="IAL33" s="537"/>
      <c r="IAM33" s="537"/>
      <c r="IAN33" s="537"/>
      <c r="IAO33" s="537"/>
      <c r="IAP33" s="537"/>
      <c r="IAQ33" s="537"/>
      <c r="IAR33" s="537"/>
      <c r="IAS33" s="537"/>
      <c r="IAT33" s="537"/>
      <c r="IAU33" s="537"/>
      <c r="IAV33" s="537"/>
      <c r="IAW33" s="537"/>
      <c r="IAX33" s="537"/>
      <c r="IAY33" s="537"/>
      <c r="IAZ33" s="537"/>
      <c r="IBA33" s="537"/>
      <c r="IBB33" s="537"/>
      <c r="IBC33" s="537"/>
      <c r="IBD33" s="537"/>
      <c r="IBE33" s="537"/>
      <c r="IBF33" s="537"/>
      <c r="IBG33" s="537"/>
      <c r="IBH33" s="537"/>
      <c r="IBI33" s="537"/>
      <c r="IBJ33" s="537"/>
      <c r="IBK33" s="537"/>
      <c r="IBL33" s="537"/>
      <c r="IBM33" s="537"/>
      <c r="IBN33" s="537"/>
      <c r="IBO33" s="537"/>
      <c r="IBP33" s="537"/>
      <c r="IBQ33" s="537"/>
      <c r="IBR33" s="537"/>
      <c r="IBS33" s="537"/>
      <c r="IBT33" s="537"/>
      <c r="IBU33" s="537"/>
      <c r="IBV33" s="537"/>
      <c r="IBW33" s="537"/>
      <c r="IBX33" s="537"/>
      <c r="IBY33" s="537"/>
      <c r="IBZ33" s="537"/>
      <c r="ICA33" s="537"/>
      <c r="ICB33" s="537"/>
      <c r="ICC33" s="537"/>
      <c r="ICD33" s="537"/>
      <c r="ICE33" s="537"/>
      <c r="ICF33" s="537"/>
      <c r="ICG33" s="537"/>
      <c r="ICH33" s="537"/>
      <c r="ICI33" s="537"/>
      <c r="ICJ33" s="537"/>
      <c r="ICK33" s="537"/>
      <c r="ICL33" s="537"/>
      <c r="ICM33" s="537"/>
      <c r="ICN33" s="537"/>
      <c r="ICO33" s="537"/>
      <c r="ICP33" s="537"/>
      <c r="ICQ33" s="537"/>
      <c r="ICR33" s="537"/>
      <c r="ICS33" s="537"/>
      <c r="ICT33" s="537"/>
      <c r="ICU33" s="537"/>
      <c r="ICV33" s="537"/>
      <c r="ICW33" s="537"/>
      <c r="ICX33" s="537"/>
      <c r="ICY33" s="537"/>
      <c r="ICZ33" s="537"/>
      <c r="IDA33" s="537"/>
      <c r="IDB33" s="537"/>
      <c r="IDC33" s="537"/>
      <c r="IDD33" s="537"/>
      <c r="IDE33" s="537"/>
      <c r="IDF33" s="537"/>
      <c r="IDG33" s="537"/>
      <c r="IDH33" s="537"/>
      <c r="IDI33" s="537"/>
      <c r="IDJ33" s="537"/>
      <c r="IDK33" s="537"/>
      <c r="IDL33" s="537"/>
      <c r="IDM33" s="537"/>
      <c r="IDN33" s="537"/>
      <c r="IDO33" s="537"/>
      <c r="IDP33" s="537"/>
      <c r="IDQ33" s="537"/>
      <c r="IDR33" s="537"/>
      <c r="IDS33" s="537"/>
      <c r="IDT33" s="537"/>
      <c r="IDU33" s="537"/>
      <c r="IDV33" s="537"/>
      <c r="IDW33" s="537"/>
      <c r="IDX33" s="537"/>
      <c r="IDY33" s="537"/>
      <c r="IDZ33" s="537"/>
      <c r="IEA33" s="537"/>
      <c r="IEB33" s="537"/>
      <c r="IEC33" s="537"/>
      <c r="IED33" s="537"/>
      <c r="IEE33" s="537"/>
      <c r="IEF33" s="537"/>
      <c r="IEG33" s="537"/>
      <c r="IEH33" s="537"/>
      <c r="IEI33" s="537"/>
      <c r="IEJ33" s="537"/>
      <c r="IEK33" s="537"/>
      <c r="IEL33" s="537"/>
      <c r="IEM33" s="537"/>
      <c r="IEN33" s="537"/>
      <c r="IEO33" s="537"/>
      <c r="IEP33" s="537"/>
      <c r="IEQ33" s="537"/>
      <c r="IER33" s="537"/>
      <c r="IES33" s="537"/>
      <c r="IET33" s="537"/>
      <c r="IEU33" s="537"/>
      <c r="IEV33" s="537"/>
      <c r="IEW33" s="537"/>
      <c r="IEX33" s="537"/>
      <c r="IEY33" s="537"/>
      <c r="IEZ33" s="537"/>
      <c r="IFA33" s="537"/>
      <c r="IFB33" s="537"/>
      <c r="IFC33" s="537"/>
      <c r="IFD33" s="537"/>
      <c r="IFE33" s="537"/>
      <c r="IFF33" s="537"/>
      <c r="IFG33" s="537"/>
      <c r="IFH33" s="537"/>
      <c r="IFI33" s="537"/>
      <c r="IFJ33" s="537"/>
      <c r="IFK33" s="537"/>
      <c r="IFL33" s="537"/>
      <c r="IFM33" s="537"/>
      <c r="IFN33" s="537"/>
      <c r="IFO33" s="537"/>
      <c r="IFP33" s="537"/>
      <c r="IFQ33" s="537"/>
      <c r="IFR33" s="537"/>
      <c r="IFS33" s="537"/>
      <c r="IFT33" s="537"/>
      <c r="IFU33" s="537"/>
      <c r="IFV33" s="537"/>
      <c r="IFW33" s="537"/>
      <c r="IFX33" s="537"/>
      <c r="IFY33" s="537"/>
      <c r="IFZ33" s="537"/>
      <c r="IGA33" s="537"/>
      <c r="IGB33" s="537"/>
      <c r="IGC33" s="537"/>
      <c r="IGD33" s="537"/>
      <c r="IGE33" s="537"/>
      <c r="IGF33" s="537"/>
      <c r="IGG33" s="537"/>
      <c r="IGH33" s="537"/>
      <c r="IGI33" s="537"/>
      <c r="IGJ33" s="537"/>
      <c r="IGK33" s="537"/>
      <c r="IGL33" s="537"/>
      <c r="IGM33" s="537"/>
      <c r="IGN33" s="537"/>
      <c r="IGO33" s="537"/>
      <c r="IGP33" s="537"/>
      <c r="IGQ33" s="537"/>
      <c r="IGR33" s="537"/>
      <c r="IGS33" s="537"/>
      <c r="IGT33" s="537"/>
      <c r="IGU33" s="537"/>
      <c r="IGV33" s="537"/>
      <c r="IGW33" s="537"/>
      <c r="IGX33" s="537"/>
      <c r="IGY33" s="537"/>
      <c r="IGZ33" s="537"/>
      <c r="IHA33" s="537"/>
      <c r="IHB33" s="537"/>
      <c r="IHC33" s="537"/>
      <c r="IHD33" s="537"/>
      <c r="IHE33" s="537"/>
      <c r="IHF33" s="537"/>
      <c r="IHG33" s="537"/>
      <c r="IHH33" s="537"/>
      <c r="IHI33" s="537"/>
      <c r="IHJ33" s="537"/>
      <c r="IHK33" s="537"/>
      <c r="IHL33" s="537"/>
      <c r="IHM33" s="537"/>
      <c r="IHN33" s="537"/>
      <c r="IHO33" s="537"/>
      <c r="IHP33" s="537"/>
      <c r="IHQ33" s="537"/>
      <c r="IHR33" s="537"/>
      <c r="IHS33" s="537"/>
      <c r="IHT33" s="537"/>
      <c r="IHU33" s="537"/>
      <c r="IHV33" s="537"/>
      <c r="IHW33" s="537"/>
      <c r="IHX33" s="537"/>
      <c r="IHY33" s="537"/>
      <c r="IHZ33" s="537"/>
      <c r="IIA33" s="537"/>
      <c r="IIB33" s="537"/>
      <c r="IIC33" s="537"/>
      <c r="IID33" s="537"/>
      <c r="IIE33" s="537"/>
      <c r="IIF33" s="537"/>
      <c r="IIG33" s="537"/>
      <c r="IIH33" s="537"/>
      <c r="III33" s="537"/>
      <c r="IIJ33" s="537"/>
      <c r="IIK33" s="537"/>
      <c r="IIL33" s="537"/>
      <c r="IIM33" s="537"/>
      <c r="IIN33" s="537"/>
      <c r="IIO33" s="537"/>
      <c r="IIP33" s="537"/>
      <c r="IIQ33" s="537"/>
      <c r="IIR33" s="537"/>
      <c r="IIS33" s="537"/>
      <c r="IIT33" s="537"/>
      <c r="IIU33" s="537"/>
      <c r="IIV33" s="537"/>
      <c r="IIW33" s="537"/>
      <c r="IIX33" s="537"/>
      <c r="IIY33" s="537"/>
      <c r="IIZ33" s="537"/>
      <c r="IJA33" s="537"/>
      <c r="IJB33" s="537"/>
      <c r="IJC33" s="537"/>
      <c r="IJD33" s="537"/>
      <c r="IJE33" s="537"/>
      <c r="IJF33" s="537"/>
      <c r="IJG33" s="537"/>
      <c r="IJH33" s="537"/>
      <c r="IJI33" s="537"/>
      <c r="IJJ33" s="537"/>
      <c r="IJK33" s="537"/>
      <c r="IJL33" s="537"/>
      <c r="IJM33" s="537"/>
      <c r="IJN33" s="537"/>
      <c r="IJO33" s="537"/>
      <c r="IJP33" s="537"/>
      <c r="IJQ33" s="537"/>
      <c r="IJR33" s="537"/>
      <c r="IJS33" s="537"/>
      <c r="IJT33" s="537"/>
      <c r="IJU33" s="537"/>
      <c r="IJV33" s="537"/>
      <c r="IJW33" s="537"/>
      <c r="IJX33" s="537"/>
      <c r="IJY33" s="537"/>
      <c r="IJZ33" s="537"/>
      <c r="IKA33" s="537"/>
      <c r="IKB33" s="537"/>
      <c r="IKC33" s="537"/>
      <c r="IKD33" s="537"/>
      <c r="IKE33" s="537"/>
      <c r="IKF33" s="537"/>
      <c r="IKG33" s="537"/>
      <c r="IKH33" s="537"/>
      <c r="IKI33" s="537"/>
      <c r="IKJ33" s="537"/>
      <c r="IKK33" s="537"/>
      <c r="IKL33" s="537"/>
      <c r="IKM33" s="537"/>
      <c r="IKN33" s="537"/>
      <c r="IKO33" s="537"/>
      <c r="IKP33" s="537"/>
      <c r="IKQ33" s="537"/>
      <c r="IKR33" s="537"/>
      <c r="IKS33" s="537"/>
      <c r="IKT33" s="537"/>
      <c r="IKU33" s="537"/>
      <c r="IKV33" s="537"/>
      <c r="IKW33" s="537"/>
      <c r="IKX33" s="537"/>
      <c r="IKY33" s="537"/>
      <c r="IKZ33" s="537"/>
      <c r="ILA33" s="537"/>
      <c r="ILB33" s="537"/>
      <c r="ILC33" s="537"/>
      <c r="ILD33" s="537"/>
      <c r="ILE33" s="537"/>
      <c r="ILF33" s="537"/>
      <c r="ILG33" s="537"/>
      <c r="ILH33" s="537"/>
      <c r="ILI33" s="537"/>
      <c r="ILJ33" s="537"/>
      <c r="ILK33" s="537"/>
      <c r="ILL33" s="537"/>
      <c r="ILM33" s="537"/>
      <c r="ILN33" s="537"/>
      <c r="ILO33" s="537"/>
      <c r="ILP33" s="537"/>
      <c r="ILQ33" s="537"/>
      <c r="ILR33" s="537"/>
      <c r="ILS33" s="537"/>
      <c r="ILT33" s="537"/>
      <c r="ILU33" s="537"/>
      <c r="ILV33" s="537"/>
      <c r="ILW33" s="537"/>
      <c r="ILX33" s="537"/>
      <c r="ILY33" s="537"/>
      <c r="ILZ33" s="537"/>
      <c r="IMA33" s="537"/>
      <c r="IMB33" s="537"/>
      <c r="IMC33" s="537"/>
      <c r="IMD33" s="537"/>
      <c r="IME33" s="537"/>
      <c r="IMF33" s="537"/>
      <c r="IMG33" s="537"/>
      <c r="IMH33" s="537"/>
      <c r="IMI33" s="537"/>
      <c r="IMJ33" s="537"/>
      <c r="IMK33" s="537"/>
      <c r="IML33" s="537"/>
      <c r="IMM33" s="537"/>
      <c r="IMN33" s="537"/>
      <c r="IMO33" s="537"/>
      <c r="IMP33" s="537"/>
      <c r="IMQ33" s="537"/>
      <c r="IMR33" s="537"/>
      <c r="IMS33" s="537"/>
      <c r="IMT33" s="537"/>
      <c r="IMU33" s="537"/>
      <c r="IMV33" s="537"/>
      <c r="IMW33" s="537"/>
      <c r="IMX33" s="537"/>
      <c r="IMY33" s="537"/>
      <c r="IMZ33" s="537"/>
      <c r="INA33" s="537"/>
      <c r="INB33" s="537"/>
      <c r="INC33" s="537"/>
      <c r="IND33" s="537"/>
      <c r="INE33" s="537"/>
      <c r="INF33" s="537"/>
      <c r="ING33" s="537"/>
      <c r="INH33" s="537"/>
      <c r="INI33" s="537"/>
      <c r="INJ33" s="537"/>
      <c r="INK33" s="537"/>
      <c r="INL33" s="537"/>
      <c r="INM33" s="537"/>
      <c r="INN33" s="537"/>
      <c r="INO33" s="537"/>
      <c r="INP33" s="537"/>
      <c r="INQ33" s="537"/>
      <c r="INR33" s="537"/>
      <c r="INS33" s="537"/>
      <c r="INT33" s="537"/>
      <c r="INU33" s="537"/>
      <c r="INV33" s="537"/>
      <c r="INW33" s="537"/>
      <c r="INX33" s="537"/>
      <c r="INY33" s="537"/>
      <c r="INZ33" s="537"/>
      <c r="IOA33" s="537"/>
      <c r="IOB33" s="537"/>
      <c r="IOC33" s="537"/>
      <c r="IOD33" s="537"/>
      <c r="IOE33" s="537"/>
      <c r="IOF33" s="537"/>
      <c r="IOG33" s="537"/>
      <c r="IOH33" s="537"/>
      <c r="IOI33" s="537"/>
      <c r="IOJ33" s="537"/>
      <c r="IOK33" s="537"/>
      <c r="IOL33" s="537"/>
      <c r="IOM33" s="537"/>
      <c r="ION33" s="537"/>
      <c r="IOO33" s="537"/>
      <c r="IOP33" s="537"/>
      <c r="IOQ33" s="537"/>
      <c r="IOR33" s="537"/>
      <c r="IOS33" s="537"/>
      <c r="IOT33" s="537"/>
      <c r="IOU33" s="537"/>
      <c r="IOV33" s="537"/>
      <c r="IOW33" s="537"/>
      <c r="IOX33" s="537"/>
      <c r="IOY33" s="537"/>
      <c r="IOZ33" s="537"/>
      <c r="IPA33" s="537"/>
      <c r="IPB33" s="537"/>
      <c r="IPC33" s="537"/>
      <c r="IPD33" s="537"/>
      <c r="IPE33" s="537"/>
      <c r="IPF33" s="537"/>
      <c r="IPG33" s="537"/>
      <c r="IPH33" s="537"/>
      <c r="IPI33" s="537"/>
      <c r="IPJ33" s="537"/>
      <c r="IPK33" s="537"/>
      <c r="IPL33" s="537"/>
      <c r="IPM33" s="537"/>
      <c r="IPN33" s="537"/>
      <c r="IPO33" s="537"/>
      <c r="IPP33" s="537"/>
      <c r="IPQ33" s="537"/>
      <c r="IPR33" s="537"/>
      <c r="IPS33" s="537"/>
      <c r="IPT33" s="537"/>
      <c r="IPU33" s="537"/>
      <c r="IPV33" s="537"/>
      <c r="IPW33" s="537"/>
      <c r="IPX33" s="537"/>
      <c r="IPY33" s="537"/>
      <c r="IPZ33" s="537"/>
      <c r="IQA33" s="537"/>
      <c r="IQB33" s="537"/>
      <c r="IQC33" s="537"/>
      <c r="IQD33" s="537"/>
      <c r="IQE33" s="537"/>
      <c r="IQF33" s="537"/>
      <c r="IQG33" s="537"/>
      <c r="IQH33" s="537"/>
      <c r="IQI33" s="537"/>
      <c r="IQJ33" s="537"/>
      <c r="IQK33" s="537"/>
      <c r="IQL33" s="537"/>
      <c r="IQM33" s="537"/>
      <c r="IQN33" s="537"/>
      <c r="IQO33" s="537"/>
      <c r="IQP33" s="537"/>
      <c r="IQQ33" s="537"/>
      <c r="IQR33" s="537"/>
      <c r="IQS33" s="537"/>
      <c r="IQT33" s="537"/>
      <c r="IQU33" s="537"/>
      <c r="IQV33" s="537"/>
      <c r="IQW33" s="537"/>
      <c r="IQX33" s="537"/>
      <c r="IQY33" s="537"/>
      <c r="IQZ33" s="537"/>
      <c r="IRA33" s="537"/>
      <c r="IRB33" s="537"/>
      <c r="IRC33" s="537"/>
      <c r="IRD33" s="537"/>
      <c r="IRE33" s="537"/>
      <c r="IRF33" s="537"/>
      <c r="IRG33" s="537"/>
      <c r="IRH33" s="537"/>
      <c r="IRI33" s="537"/>
      <c r="IRJ33" s="537"/>
      <c r="IRK33" s="537"/>
      <c r="IRL33" s="537"/>
      <c r="IRM33" s="537"/>
      <c r="IRN33" s="537"/>
      <c r="IRO33" s="537"/>
      <c r="IRP33" s="537"/>
      <c r="IRQ33" s="537"/>
      <c r="IRR33" s="537"/>
      <c r="IRS33" s="537"/>
      <c r="IRT33" s="537"/>
      <c r="IRU33" s="537"/>
      <c r="IRV33" s="537"/>
      <c r="IRW33" s="537"/>
      <c r="IRX33" s="537"/>
      <c r="IRY33" s="537"/>
      <c r="IRZ33" s="537"/>
      <c r="ISA33" s="537"/>
      <c r="ISB33" s="537"/>
      <c r="ISC33" s="537"/>
      <c r="ISD33" s="537"/>
      <c r="ISE33" s="537"/>
      <c r="ISF33" s="537"/>
      <c r="ISG33" s="537"/>
      <c r="ISH33" s="537"/>
      <c r="ISI33" s="537"/>
      <c r="ISJ33" s="537"/>
      <c r="ISK33" s="537"/>
      <c r="ISL33" s="537"/>
      <c r="ISM33" s="537"/>
      <c r="ISN33" s="537"/>
      <c r="ISO33" s="537"/>
      <c r="ISP33" s="537"/>
      <c r="ISQ33" s="537"/>
      <c r="ISR33" s="537"/>
      <c r="ISS33" s="537"/>
      <c r="IST33" s="537"/>
      <c r="ISU33" s="537"/>
      <c r="ISV33" s="537"/>
      <c r="ISW33" s="537"/>
      <c r="ISX33" s="537"/>
      <c r="ISY33" s="537"/>
      <c r="ISZ33" s="537"/>
      <c r="ITA33" s="537"/>
      <c r="ITB33" s="537"/>
      <c r="ITC33" s="537"/>
      <c r="ITD33" s="537"/>
      <c r="ITE33" s="537"/>
      <c r="ITF33" s="537"/>
      <c r="ITG33" s="537"/>
      <c r="ITH33" s="537"/>
      <c r="ITI33" s="537"/>
      <c r="ITJ33" s="537"/>
      <c r="ITK33" s="537"/>
      <c r="ITL33" s="537"/>
      <c r="ITM33" s="537"/>
      <c r="ITN33" s="537"/>
      <c r="ITO33" s="537"/>
      <c r="ITP33" s="537"/>
      <c r="ITQ33" s="537"/>
      <c r="ITR33" s="537"/>
      <c r="ITS33" s="537"/>
      <c r="ITT33" s="537"/>
      <c r="ITU33" s="537"/>
      <c r="ITV33" s="537"/>
      <c r="ITW33" s="537"/>
      <c r="ITX33" s="537"/>
      <c r="ITY33" s="537"/>
      <c r="ITZ33" s="537"/>
      <c r="IUA33" s="537"/>
      <c r="IUB33" s="537"/>
      <c r="IUC33" s="537"/>
      <c r="IUD33" s="537"/>
      <c r="IUE33" s="537"/>
      <c r="IUF33" s="537"/>
      <c r="IUG33" s="537"/>
      <c r="IUH33" s="537"/>
      <c r="IUI33" s="537"/>
      <c r="IUJ33" s="537"/>
      <c r="IUK33" s="537"/>
      <c r="IUL33" s="537"/>
      <c r="IUM33" s="537"/>
      <c r="IUN33" s="537"/>
      <c r="IUO33" s="537"/>
      <c r="IUP33" s="537"/>
      <c r="IUQ33" s="537"/>
      <c r="IUR33" s="537"/>
      <c r="IUS33" s="537"/>
      <c r="IUT33" s="537"/>
      <c r="IUU33" s="537"/>
      <c r="IUV33" s="537"/>
      <c r="IUW33" s="537"/>
      <c r="IUX33" s="537"/>
      <c r="IUY33" s="537"/>
      <c r="IUZ33" s="537"/>
      <c r="IVA33" s="537"/>
      <c r="IVB33" s="537"/>
      <c r="IVC33" s="537"/>
      <c r="IVD33" s="537"/>
      <c r="IVE33" s="537"/>
      <c r="IVF33" s="537"/>
      <c r="IVG33" s="537"/>
      <c r="IVH33" s="537"/>
      <c r="IVI33" s="537"/>
      <c r="IVJ33" s="537"/>
      <c r="IVK33" s="537"/>
      <c r="IVL33" s="537"/>
      <c r="IVM33" s="537"/>
      <c r="IVN33" s="537"/>
      <c r="IVO33" s="537"/>
      <c r="IVP33" s="537"/>
      <c r="IVQ33" s="537"/>
      <c r="IVR33" s="537"/>
      <c r="IVS33" s="537"/>
      <c r="IVT33" s="537"/>
      <c r="IVU33" s="537"/>
      <c r="IVV33" s="537"/>
      <c r="IVW33" s="537"/>
      <c r="IVX33" s="537"/>
      <c r="IVY33" s="537"/>
      <c r="IVZ33" s="537"/>
      <c r="IWA33" s="537"/>
      <c r="IWB33" s="537"/>
      <c r="IWC33" s="537"/>
      <c r="IWD33" s="537"/>
      <c r="IWE33" s="537"/>
      <c r="IWF33" s="537"/>
      <c r="IWG33" s="537"/>
      <c r="IWH33" s="537"/>
      <c r="IWI33" s="537"/>
      <c r="IWJ33" s="537"/>
      <c r="IWK33" s="537"/>
      <c r="IWL33" s="537"/>
      <c r="IWM33" s="537"/>
      <c r="IWN33" s="537"/>
      <c r="IWO33" s="537"/>
      <c r="IWP33" s="537"/>
      <c r="IWQ33" s="537"/>
      <c r="IWR33" s="537"/>
      <c r="IWS33" s="537"/>
      <c r="IWT33" s="537"/>
      <c r="IWU33" s="537"/>
      <c r="IWV33" s="537"/>
      <c r="IWW33" s="537"/>
      <c r="IWX33" s="537"/>
      <c r="IWY33" s="537"/>
      <c r="IWZ33" s="537"/>
      <c r="IXA33" s="537"/>
      <c r="IXB33" s="537"/>
      <c r="IXC33" s="537"/>
      <c r="IXD33" s="537"/>
      <c r="IXE33" s="537"/>
      <c r="IXF33" s="537"/>
      <c r="IXG33" s="537"/>
      <c r="IXH33" s="537"/>
      <c r="IXI33" s="537"/>
      <c r="IXJ33" s="537"/>
      <c r="IXK33" s="537"/>
      <c r="IXL33" s="537"/>
      <c r="IXM33" s="537"/>
      <c r="IXN33" s="537"/>
      <c r="IXO33" s="537"/>
      <c r="IXP33" s="537"/>
      <c r="IXQ33" s="537"/>
      <c r="IXR33" s="537"/>
      <c r="IXS33" s="537"/>
      <c r="IXT33" s="537"/>
      <c r="IXU33" s="537"/>
      <c r="IXV33" s="537"/>
      <c r="IXW33" s="537"/>
      <c r="IXX33" s="537"/>
      <c r="IXY33" s="537"/>
      <c r="IXZ33" s="537"/>
      <c r="IYA33" s="537"/>
      <c r="IYB33" s="537"/>
      <c r="IYC33" s="537"/>
      <c r="IYD33" s="537"/>
      <c r="IYE33" s="537"/>
      <c r="IYF33" s="537"/>
      <c r="IYG33" s="537"/>
      <c r="IYH33" s="537"/>
      <c r="IYI33" s="537"/>
      <c r="IYJ33" s="537"/>
      <c r="IYK33" s="537"/>
      <c r="IYL33" s="537"/>
      <c r="IYM33" s="537"/>
      <c r="IYN33" s="537"/>
      <c r="IYO33" s="537"/>
      <c r="IYP33" s="537"/>
      <c r="IYQ33" s="537"/>
      <c r="IYR33" s="537"/>
      <c r="IYS33" s="537"/>
      <c r="IYT33" s="537"/>
      <c r="IYU33" s="537"/>
      <c r="IYV33" s="537"/>
      <c r="IYW33" s="537"/>
      <c r="IYX33" s="537"/>
      <c r="IYY33" s="537"/>
      <c r="IYZ33" s="537"/>
      <c r="IZA33" s="537"/>
      <c r="IZB33" s="537"/>
      <c r="IZC33" s="537"/>
      <c r="IZD33" s="537"/>
      <c r="IZE33" s="537"/>
      <c r="IZF33" s="537"/>
      <c r="IZG33" s="537"/>
      <c r="IZH33" s="537"/>
      <c r="IZI33" s="537"/>
      <c r="IZJ33" s="537"/>
      <c r="IZK33" s="537"/>
      <c r="IZL33" s="537"/>
      <c r="IZM33" s="537"/>
      <c r="IZN33" s="537"/>
      <c r="IZO33" s="537"/>
      <c r="IZP33" s="537"/>
      <c r="IZQ33" s="537"/>
      <c r="IZR33" s="537"/>
      <c r="IZS33" s="537"/>
      <c r="IZT33" s="537"/>
      <c r="IZU33" s="537"/>
      <c r="IZV33" s="537"/>
      <c r="IZW33" s="537"/>
      <c r="IZX33" s="537"/>
      <c r="IZY33" s="537"/>
      <c r="IZZ33" s="537"/>
      <c r="JAA33" s="537"/>
      <c r="JAB33" s="537"/>
      <c r="JAC33" s="537"/>
      <c r="JAD33" s="537"/>
      <c r="JAE33" s="537"/>
      <c r="JAF33" s="537"/>
      <c r="JAG33" s="537"/>
      <c r="JAH33" s="537"/>
      <c r="JAI33" s="537"/>
      <c r="JAJ33" s="537"/>
      <c r="JAK33" s="537"/>
      <c r="JAL33" s="537"/>
      <c r="JAM33" s="537"/>
      <c r="JAN33" s="537"/>
      <c r="JAO33" s="537"/>
      <c r="JAP33" s="537"/>
      <c r="JAQ33" s="537"/>
      <c r="JAR33" s="537"/>
      <c r="JAS33" s="537"/>
      <c r="JAT33" s="537"/>
      <c r="JAU33" s="537"/>
      <c r="JAV33" s="537"/>
      <c r="JAW33" s="537"/>
      <c r="JAX33" s="537"/>
      <c r="JAY33" s="537"/>
      <c r="JAZ33" s="537"/>
      <c r="JBA33" s="537"/>
      <c r="JBB33" s="537"/>
      <c r="JBC33" s="537"/>
      <c r="JBD33" s="537"/>
      <c r="JBE33" s="537"/>
      <c r="JBF33" s="537"/>
      <c r="JBG33" s="537"/>
      <c r="JBH33" s="537"/>
      <c r="JBI33" s="537"/>
      <c r="JBJ33" s="537"/>
      <c r="JBK33" s="537"/>
      <c r="JBL33" s="537"/>
      <c r="JBM33" s="537"/>
      <c r="JBN33" s="537"/>
      <c r="JBO33" s="537"/>
      <c r="JBP33" s="537"/>
      <c r="JBQ33" s="537"/>
      <c r="JBR33" s="537"/>
      <c r="JBS33" s="537"/>
      <c r="JBT33" s="537"/>
      <c r="JBU33" s="537"/>
      <c r="JBV33" s="537"/>
      <c r="JBW33" s="537"/>
      <c r="JBX33" s="537"/>
      <c r="JBY33" s="537"/>
      <c r="JBZ33" s="537"/>
      <c r="JCA33" s="537"/>
      <c r="JCB33" s="537"/>
      <c r="JCC33" s="537"/>
      <c r="JCD33" s="537"/>
      <c r="JCE33" s="537"/>
      <c r="JCF33" s="537"/>
      <c r="JCG33" s="537"/>
      <c r="JCH33" s="537"/>
      <c r="JCI33" s="537"/>
      <c r="JCJ33" s="537"/>
      <c r="JCK33" s="537"/>
      <c r="JCL33" s="537"/>
      <c r="JCM33" s="537"/>
      <c r="JCN33" s="537"/>
      <c r="JCO33" s="537"/>
      <c r="JCP33" s="537"/>
      <c r="JCQ33" s="537"/>
      <c r="JCR33" s="537"/>
      <c r="JCS33" s="537"/>
      <c r="JCT33" s="537"/>
      <c r="JCU33" s="537"/>
      <c r="JCV33" s="537"/>
      <c r="JCW33" s="537"/>
      <c r="JCX33" s="537"/>
      <c r="JCY33" s="537"/>
      <c r="JCZ33" s="537"/>
      <c r="JDA33" s="537"/>
      <c r="JDB33" s="537"/>
      <c r="JDC33" s="537"/>
      <c r="JDD33" s="537"/>
      <c r="JDE33" s="537"/>
      <c r="JDF33" s="537"/>
      <c r="JDG33" s="537"/>
      <c r="JDH33" s="537"/>
      <c r="JDI33" s="537"/>
      <c r="JDJ33" s="537"/>
      <c r="JDK33" s="537"/>
      <c r="JDL33" s="537"/>
      <c r="JDM33" s="537"/>
      <c r="JDN33" s="537"/>
      <c r="JDO33" s="537"/>
      <c r="JDP33" s="537"/>
      <c r="JDQ33" s="537"/>
      <c r="JDR33" s="537"/>
      <c r="JDS33" s="537"/>
      <c r="JDT33" s="537"/>
      <c r="JDU33" s="537"/>
      <c r="JDV33" s="537"/>
      <c r="JDW33" s="537"/>
      <c r="JDX33" s="537"/>
      <c r="JDY33" s="537"/>
      <c r="JDZ33" s="537"/>
      <c r="JEA33" s="537"/>
      <c r="JEB33" s="537"/>
      <c r="JEC33" s="537"/>
      <c r="JED33" s="537"/>
      <c r="JEE33" s="537"/>
      <c r="JEF33" s="537"/>
      <c r="JEG33" s="537"/>
      <c r="JEH33" s="537"/>
      <c r="JEI33" s="537"/>
      <c r="JEJ33" s="537"/>
      <c r="JEK33" s="537"/>
      <c r="JEL33" s="537"/>
      <c r="JEM33" s="537"/>
      <c r="JEN33" s="537"/>
      <c r="JEO33" s="537"/>
      <c r="JEP33" s="537"/>
      <c r="JEQ33" s="537"/>
      <c r="JER33" s="537"/>
      <c r="JES33" s="537"/>
      <c r="JET33" s="537"/>
      <c r="JEU33" s="537"/>
      <c r="JEV33" s="537"/>
      <c r="JEW33" s="537"/>
      <c r="JEX33" s="537"/>
      <c r="JEY33" s="537"/>
      <c r="JEZ33" s="537"/>
      <c r="JFA33" s="537"/>
      <c r="JFB33" s="537"/>
      <c r="JFC33" s="537"/>
      <c r="JFD33" s="537"/>
      <c r="JFE33" s="537"/>
      <c r="JFF33" s="537"/>
      <c r="JFG33" s="537"/>
      <c r="JFH33" s="537"/>
      <c r="JFI33" s="537"/>
      <c r="JFJ33" s="537"/>
      <c r="JFK33" s="537"/>
      <c r="JFL33" s="537"/>
      <c r="JFM33" s="537"/>
      <c r="JFN33" s="537"/>
      <c r="JFO33" s="537"/>
      <c r="JFP33" s="537"/>
      <c r="JFQ33" s="537"/>
      <c r="JFR33" s="537"/>
      <c r="JFS33" s="537"/>
      <c r="JFT33" s="537"/>
      <c r="JFU33" s="537"/>
      <c r="JFV33" s="537"/>
      <c r="JFW33" s="537"/>
      <c r="JFX33" s="537"/>
      <c r="JFY33" s="537"/>
      <c r="JFZ33" s="537"/>
      <c r="JGA33" s="537"/>
      <c r="JGB33" s="537"/>
      <c r="JGC33" s="537"/>
      <c r="JGD33" s="537"/>
      <c r="JGE33" s="537"/>
      <c r="JGF33" s="537"/>
      <c r="JGG33" s="537"/>
      <c r="JGH33" s="537"/>
      <c r="JGI33" s="537"/>
      <c r="JGJ33" s="537"/>
      <c r="JGK33" s="537"/>
      <c r="JGL33" s="537"/>
      <c r="JGM33" s="537"/>
      <c r="JGN33" s="537"/>
      <c r="JGO33" s="537"/>
      <c r="JGP33" s="537"/>
      <c r="JGQ33" s="537"/>
      <c r="JGR33" s="537"/>
      <c r="JGS33" s="537"/>
      <c r="JGT33" s="537"/>
      <c r="JGU33" s="537"/>
      <c r="JGV33" s="537"/>
      <c r="JGW33" s="537"/>
      <c r="JGX33" s="537"/>
      <c r="JGY33" s="537"/>
      <c r="JGZ33" s="537"/>
      <c r="JHA33" s="537"/>
      <c r="JHB33" s="537"/>
      <c r="JHC33" s="537"/>
      <c r="JHD33" s="537"/>
      <c r="JHE33" s="537"/>
      <c r="JHF33" s="537"/>
      <c r="JHG33" s="537"/>
      <c r="JHH33" s="537"/>
      <c r="JHI33" s="537"/>
      <c r="JHJ33" s="537"/>
      <c r="JHK33" s="537"/>
      <c r="JHL33" s="537"/>
      <c r="JHM33" s="537"/>
      <c r="JHN33" s="537"/>
      <c r="JHO33" s="537"/>
      <c r="JHP33" s="537"/>
      <c r="JHQ33" s="537"/>
      <c r="JHR33" s="537"/>
      <c r="JHS33" s="537"/>
      <c r="JHT33" s="537"/>
      <c r="JHU33" s="537"/>
      <c r="JHV33" s="537"/>
      <c r="JHW33" s="537"/>
      <c r="JHX33" s="537"/>
      <c r="JHY33" s="537"/>
      <c r="JHZ33" s="537"/>
      <c r="JIA33" s="537"/>
      <c r="JIB33" s="537"/>
      <c r="JIC33" s="537"/>
      <c r="JID33" s="537"/>
      <c r="JIE33" s="537"/>
      <c r="JIF33" s="537"/>
      <c r="JIG33" s="537"/>
      <c r="JIH33" s="537"/>
      <c r="JII33" s="537"/>
      <c r="JIJ33" s="537"/>
      <c r="JIK33" s="537"/>
      <c r="JIL33" s="537"/>
      <c r="JIM33" s="537"/>
      <c r="JIN33" s="537"/>
      <c r="JIO33" s="537"/>
      <c r="JIP33" s="537"/>
      <c r="JIQ33" s="537"/>
      <c r="JIR33" s="537"/>
      <c r="JIS33" s="537"/>
      <c r="JIT33" s="537"/>
      <c r="JIU33" s="537"/>
      <c r="JIV33" s="537"/>
      <c r="JIW33" s="537"/>
      <c r="JIX33" s="537"/>
      <c r="JIY33" s="537"/>
      <c r="JIZ33" s="537"/>
      <c r="JJA33" s="537"/>
      <c r="JJB33" s="537"/>
      <c r="JJC33" s="537"/>
      <c r="JJD33" s="537"/>
      <c r="JJE33" s="537"/>
      <c r="JJF33" s="537"/>
      <c r="JJG33" s="537"/>
      <c r="JJH33" s="537"/>
      <c r="JJI33" s="537"/>
      <c r="JJJ33" s="537"/>
      <c r="JJK33" s="537"/>
      <c r="JJL33" s="537"/>
      <c r="JJM33" s="537"/>
      <c r="JJN33" s="537"/>
      <c r="JJO33" s="537"/>
      <c r="JJP33" s="537"/>
      <c r="JJQ33" s="537"/>
      <c r="JJR33" s="537"/>
      <c r="JJS33" s="537"/>
      <c r="JJT33" s="537"/>
      <c r="JJU33" s="537"/>
      <c r="JJV33" s="537"/>
      <c r="JJW33" s="537"/>
      <c r="JJX33" s="537"/>
      <c r="JJY33" s="537"/>
      <c r="JJZ33" s="537"/>
      <c r="JKA33" s="537"/>
      <c r="JKB33" s="537"/>
      <c r="JKC33" s="537"/>
      <c r="JKD33" s="537"/>
      <c r="JKE33" s="537"/>
      <c r="JKF33" s="537"/>
      <c r="JKG33" s="537"/>
      <c r="JKH33" s="537"/>
      <c r="JKI33" s="537"/>
      <c r="JKJ33" s="537"/>
      <c r="JKK33" s="537"/>
      <c r="JKL33" s="537"/>
      <c r="JKM33" s="537"/>
      <c r="JKN33" s="537"/>
      <c r="JKO33" s="537"/>
      <c r="JKP33" s="537"/>
      <c r="JKQ33" s="537"/>
      <c r="JKR33" s="537"/>
      <c r="JKS33" s="537"/>
      <c r="JKT33" s="537"/>
      <c r="JKU33" s="537"/>
      <c r="JKV33" s="537"/>
      <c r="JKW33" s="537"/>
      <c r="JKX33" s="537"/>
      <c r="JKY33" s="537"/>
      <c r="JKZ33" s="537"/>
      <c r="JLA33" s="537"/>
      <c r="JLB33" s="537"/>
      <c r="JLC33" s="537"/>
      <c r="JLD33" s="537"/>
      <c r="JLE33" s="537"/>
      <c r="JLF33" s="537"/>
      <c r="JLG33" s="537"/>
      <c r="JLH33" s="537"/>
      <c r="JLI33" s="537"/>
      <c r="JLJ33" s="537"/>
      <c r="JLK33" s="537"/>
      <c r="JLL33" s="537"/>
      <c r="JLM33" s="537"/>
      <c r="JLN33" s="537"/>
      <c r="JLO33" s="537"/>
      <c r="JLP33" s="537"/>
      <c r="JLQ33" s="537"/>
      <c r="JLR33" s="537"/>
      <c r="JLS33" s="537"/>
      <c r="JLT33" s="537"/>
      <c r="JLU33" s="537"/>
      <c r="JLV33" s="537"/>
      <c r="JLW33" s="537"/>
      <c r="JLX33" s="537"/>
      <c r="JLY33" s="537"/>
      <c r="JLZ33" s="537"/>
      <c r="JMA33" s="537"/>
      <c r="JMB33" s="537"/>
      <c r="JMC33" s="537"/>
      <c r="JMD33" s="537"/>
      <c r="JME33" s="537"/>
      <c r="JMF33" s="537"/>
      <c r="JMG33" s="537"/>
      <c r="JMH33" s="537"/>
      <c r="JMI33" s="537"/>
      <c r="JMJ33" s="537"/>
      <c r="JMK33" s="537"/>
      <c r="JML33" s="537"/>
      <c r="JMM33" s="537"/>
      <c r="JMN33" s="537"/>
      <c r="JMO33" s="537"/>
      <c r="JMP33" s="537"/>
      <c r="JMQ33" s="537"/>
      <c r="JMR33" s="537"/>
      <c r="JMS33" s="537"/>
      <c r="JMT33" s="537"/>
      <c r="JMU33" s="537"/>
      <c r="JMV33" s="537"/>
      <c r="JMW33" s="537"/>
      <c r="JMX33" s="537"/>
      <c r="JMY33" s="537"/>
      <c r="JMZ33" s="537"/>
      <c r="JNA33" s="537"/>
      <c r="JNB33" s="537"/>
      <c r="JNC33" s="537"/>
      <c r="JND33" s="537"/>
      <c r="JNE33" s="537"/>
      <c r="JNF33" s="537"/>
      <c r="JNG33" s="537"/>
      <c r="JNH33" s="537"/>
      <c r="JNI33" s="537"/>
      <c r="JNJ33" s="537"/>
      <c r="JNK33" s="537"/>
      <c r="JNL33" s="537"/>
      <c r="JNM33" s="537"/>
      <c r="JNN33" s="537"/>
      <c r="JNO33" s="537"/>
      <c r="JNP33" s="537"/>
      <c r="JNQ33" s="537"/>
      <c r="JNR33" s="537"/>
      <c r="JNS33" s="537"/>
      <c r="JNT33" s="537"/>
      <c r="JNU33" s="537"/>
      <c r="JNV33" s="537"/>
      <c r="JNW33" s="537"/>
      <c r="JNX33" s="537"/>
      <c r="JNY33" s="537"/>
      <c r="JNZ33" s="537"/>
      <c r="JOA33" s="537"/>
      <c r="JOB33" s="537"/>
      <c r="JOC33" s="537"/>
      <c r="JOD33" s="537"/>
      <c r="JOE33" s="537"/>
      <c r="JOF33" s="537"/>
      <c r="JOG33" s="537"/>
      <c r="JOH33" s="537"/>
      <c r="JOI33" s="537"/>
      <c r="JOJ33" s="537"/>
      <c r="JOK33" s="537"/>
      <c r="JOL33" s="537"/>
      <c r="JOM33" s="537"/>
      <c r="JON33" s="537"/>
      <c r="JOO33" s="537"/>
      <c r="JOP33" s="537"/>
      <c r="JOQ33" s="537"/>
      <c r="JOR33" s="537"/>
      <c r="JOS33" s="537"/>
      <c r="JOT33" s="537"/>
      <c r="JOU33" s="537"/>
      <c r="JOV33" s="537"/>
      <c r="JOW33" s="537"/>
      <c r="JOX33" s="537"/>
      <c r="JOY33" s="537"/>
      <c r="JOZ33" s="537"/>
      <c r="JPA33" s="537"/>
      <c r="JPB33" s="537"/>
      <c r="JPC33" s="537"/>
      <c r="JPD33" s="537"/>
      <c r="JPE33" s="537"/>
      <c r="JPF33" s="537"/>
      <c r="JPG33" s="537"/>
      <c r="JPH33" s="537"/>
      <c r="JPI33" s="537"/>
      <c r="JPJ33" s="537"/>
      <c r="JPK33" s="537"/>
      <c r="JPL33" s="537"/>
      <c r="JPM33" s="537"/>
      <c r="JPN33" s="537"/>
      <c r="JPO33" s="537"/>
      <c r="JPP33" s="537"/>
      <c r="JPQ33" s="537"/>
      <c r="JPR33" s="537"/>
      <c r="JPS33" s="537"/>
      <c r="JPT33" s="537"/>
      <c r="JPU33" s="537"/>
      <c r="JPV33" s="537"/>
      <c r="JPW33" s="537"/>
      <c r="JPX33" s="537"/>
      <c r="JPY33" s="537"/>
      <c r="JPZ33" s="537"/>
      <c r="JQA33" s="537"/>
      <c r="JQB33" s="537"/>
      <c r="JQC33" s="537"/>
      <c r="JQD33" s="537"/>
      <c r="JQE33" s="537"/>
      <c r="JQF33" s="537"/>
      <c r="JQG33" s="537"/>
      <c r="JQH33" s="537"/>
      <c r="JQI33" s="537"/>
      <c r="JQJ33" s="537"/>
      <c r="JQK33" s="537"/>
      <c r="JQL33" s="537"/>
      <c r="JQM33" s="537"/>
      <c r="JQN33" s="537"/>
      <c r="JQO33" s="537"/>
      <c r="JQP33" s="537"/>
      <c r="JQQ33" s="537"/>
      <c r="JQR33" s="537"/>
      <c r="JQS33" s="537"/>
      <c r="JQT33" s="537"/>
      <c r="JQU33" s="537"/>
      <c r="JQV33" s="537"/>
      <c r="JQW33" s="537"/>
      <c r="JQX33" s="537"/>
      <c r="JQY33" s="537"/>
      <c r="JQZ33" s="537"/>
      <c r="JRA33" s="537"/>
      <c r="JRB33" s="537"/>
      <c r="JRC33" s="537"/>
      <c r="JRD33" s="537"/>
      <c r="JRE33" s="537"/>
      <c r="JRF33" s="537"/>
      <c r="JRG33" s="537"/>
      <c r="JRH33" s="537"/>
      <c r="JRI33" s="537"/>
      <c r="JRJ33" s="537"/>
      <c r="JRK33" s="537"/>
      <c r="JRL33" s="537"/>
      <c r="JRM33" s="537"/>
      <c r="JRN33" s="537"/>
      <c r="JRO33" s="537"/>
      <c r="JRP33" s="537"/>
      <c r="JRQ33" s="537"/>
      <c r="JRR33" s="537"/>
      <c r="JRS33" s="537"/>
      <c r="JRT33" s="537"/>
      <c r="JRU33" s="537"/>
      <c r="JRV33" s="537"/>
      <c r="JRW33" s="537"/>
      <c r="JRX33" s="537"/>
      <c r="JRY33" s="537"/>
      <c r="JRZ33" s="537"/>
      <c r="JSA33" s="537"/>
      <c r="JSB33" s="537"/>
      <c r="JSC33" s="537"/>
      <c r="JSD33" s="537"/>
      <c r="JSE33" s="537"/>
      <c r="JSF33" s="537"/>
      <c r="JSG33" s="537"/>
      <c r="JSH33" s="537"/>
      <c r="JSI33" s="537"/>
      <c r="JSJ33" s="537"/>
      <c r="JSK33" s="537"/>
      <c r="JSL33" s="537"/>
      <c r="JSM33" s="537"/>
      <c r="JSN33" s="537"/>
      <c r="JSO33" s="537"/>
      <c r="JSP33" s="537"/>
      <c r="JSQ33" s="537"/>
      <c r="JSR33" s="537"/>
      <c r="JSS33" s="537"/>
      <c r="JST33" s="537"/>
      <c r="JSU33" s="537"/>
      <c r="JSV33" s="537"/>
      <c r="JSW33" s="537"/>
      <c r="JSX33" s="537"/>
      <c r="JSY33" s="537"/>
      <c r="JSZ33" s="537"/>
      <c r="JTA33" s="537"/>
      <c r="JTB33" s="537"/>
      <c r="JTC33" s="537"/>
      <c r="JTD33" s="537"/>
      <c r="JTE33" s="537"/>
      <c r="JTF33" s="537"/>
      <c r="JTG33" s="537"/>
      <c r="JTH33" s="537"/>
      <c r="JTI33" s="537"/>
      <c r="JTJ33" s="537"/>
      <c r="JTK33" s="537"/>
      <c r="JTL33" s="537"/>
      <c r="JTM33" s="537"/>
      <c r="JTN33" s="537"/>
      <c r="JTO33" s="537"/>
      <c r="JTP33" s="537"/>
      <c r="JTQ33" s="537"/>
      <c r="JTR33" s="537"/>
      <c r="JTS33" s="537"/>
      <c r="JTT33" s="537"/>
      <c r="JTU33" s="537"/>
      <c r="JTV33" s="537"/>
      <c r="JTW33" s="537"/>
      <c r="JTX33" s="537"/>
      <c r="JTY33" s="537"/>
      <c r="JTZ33" s="537"/>
      <c r="JUA33" s="537"/>
      <c r="JUB33" s="537"/>
      <c r="JUC33" s="537"/>
      <c r="JUD33" s="537"/>
      <c r="JUE33" s="537"/>
      <c r="JUF33" s="537"/>
      <c r="JUG33" s="537"/>
      <c r="JUH33" s="537"/>
      <c r="JUI33" s="537"/>
      <c r="JUJ33" s="537"/>
      <c r="JUK33" s="537"/>
      <c r="JUL33" s="537"/>
      <c r="JUM33" s="537"/>
      <c r="JUN33" s="537"/>
      <c r="JUO33" s="537"/>
      <c r="JUP33" s="537"/>
      <c r="JUQ33" s="537"/>
      <c r="JUR33" s="537"/>
      <c r="JUS33" s="537"/>
      <c r="JUT33" s="537"/>
      <c r="JUU33" s="537"/>
      <c r="JUV33" s="537"/>
      <c r="JUW33" s="537"/>
      <c r="JUX33" s="537"/>
      <c r="JUY33" s="537"/>
      <c r="JUZ33" s="537"/>
      <c r="JVA33" s="537"/>
      <c r="JVB33" s="537"/>
      <c r="JVC33" s="537"/>
      <c r="JVD33" s="537"/>
      <c r="JVE33" s="537"/>
      <c r="JVF33" s="537"/>
      <c r="JVG33" s="537"/>
      <c r="JVH33" s="537"/>
      <c r="JVI33" s="537"/>
      <c r="JVJ33" s="537"/>
      <c r="JVK33" s="537"/>
      <c r="JVL33" s="537"/>
      <c r="JVM33" s="537"/>
      <c r="JVN33" s="537"/>
      <c r="JVO33" s="537"/>
      <c r="JVP33" s="537"/>
      <c r="JVQ33" s="537"/>
      <c r="JVR33" s="537"/>
      <c r="JVS33" s="537"/>
      <c r="JVT33" s="537"/>
      <c r="JVU33" s="537"/>
      <c r="JVV33" s="537"/>
      <c r="JVW33" s="537"/>
      <c r="JVX33" s="537"/>
      <c r="JVY33" s="537"/>
      <c r="JVZ33" s="537"/>
      <c r="JWA33" s="537"/>
      <c r="JWB33" s="537"/>
      <c r="JWC33" s="537"/>
      <c r="JWD33" s="537"/>
      <c r="JWE33" s="537"/>
      <c r="JWF33" s="537"/>
      <c r="JWG33" s="537"/>
      <c r="JWH33" s="537"/>
      <c r="JWI33" s="537"/>
      <c r="JWJ33" s="537"/>
      <c r="JWK33" s="537"/>
      <c r="JWL33" s="537"/>
      <c r="JWM33" s="537"/>
      <c r="JWN33" s="537"/>
      <c r="JWO33" s="537"/>
      <c r="JWP33" s="537"/>
      <c r="JWQ33" s="537"/>
      <c r="JWR33" s="537"/>
      <c r="JWS33" s="537"/>
      <c r="JWT33" s="537"/>
      <c r="JWU33" s="537"/>
      <c r="JWV33" s="537"/>
      <c r="JWW33" s="537"/>
      <c r="JWX33" s="537"/>
      <c r="JWY33" s="537"/>
      <c r="JWZ33" s="537"/>
      <c r="JXA33" s="537"/>
      <c r="JXB33" s="537"/>
      <c r="JXC33" s="537"/>
      <c r="JXD33" s="537"/>
      <c r="JXE33" s="537"/>
      <c r="JXF33" s="537"/>
      <c r="JXG33" s="537"/>
      <c r="JXH33" s="537"/>
      <c r="JXI33" s="537"/>
      <c r="JXJ33" s="537"/>
      <c r="JXK33" s="537"/>
      <c r="JXL33" s="537"/>
      <c r="JXM33" s="537"/>
      <c r="JXN33" s="537"/>
      <c r="JXO33" s="537"/>
      <c r="JXP33" s="537"/>
      <c r="JXQ33" s="537"/>
      <c r="JXR33" s="537"/>
      <c r="JXS33" s="537"/>
      <c r="JXT33" s="537"/>
      <c r="JXU33" s="537"/>
      <c r="JXV33" s="537"/>
      <c r="JXW33" s="537"/>
      <c r="JXX33" s="537"/>
      <c r="JXY33" s="537"/>
      <c r="JXZ33" s="537"/>
      <c r="JYA33" s="537"/>
      <c r="JYB33" s="537"/>
      <c r="JYC33" s="537"/>
      <c r="JYD33" s="537"/>
      <c r="JYE33" s="537"/>
      <c r="JYF33" s="537"/>
      <c r="JYG33" s="537"/>
      <c r="JYH33" s="537"/>
      <c r="JYI33" s="537"/>
      <c r="JYJ33" s="537"/>
      <c r="JYK33" s="537"/>
      <c r="JYL33" s="537"/>
      <c r="JYM33" s="537"/>
      <c r="JYN33" s="537"/>
      <c r="JYO33" s="537"/>
      <c r="JYP33" s="537"/>
      <c r="JYQ33" s="537"/>
      <c r="JYR33" s="537"/>
      <c r="JYS33" s="537"/>
      <c r="JYT33" s="537"/>
      <c r="JYU33" s="537"/>
      <c r="JYV33" s="537"/>
      <c r="JYW33" s="537"/>
      <c r="JYX33" s="537"/>
      <c r="JYY33" s="537"/>
      <c r="JYZ33" s="537"/>
      <c r="JZA33" s="537"/>
      <c r="JZB33" s="537"/>
      <c r="JZC33" s="537"/>
      <c r="JZD33" s="537"/>
      <c r="JZE33" s="537"/>
      <c r="JZF33" s="537"/>
      <c r="JZG33" s="537"/>
      <c r="JZH33" s="537"/>
      <c r="JZI33" s="537"/>
      <c r="JZJ33" s="537"/>
      <c r="JZK33" s="537"/>
      <c r="JZL33" s="537"/>
      <c r="JZM33" s="537"/>
      <c r="JZN33" s="537"/>
      <c r="JZO33" s="537"/>
      <c r="JZP33" s="537"/>
      <c r="JZQ33" s="537"/>
      <c r="JZR33" s="537"/>
      <c r="JZS33" s="537"/>
      <c r="JZT33" s="537"/>
      <c r="JZU33" s="537"/>
      <c r="JZV33" s="537"/>
      <c r="JZW33" s="537"/>
      <c r="JZX33" s="537"/>
      <c r="JZY33" s="537"/>
      <c r="JZZ33" s="537"/>
      <c r="KAA33" s="537"/>
      <c r="KAB33" s="537"/>
      <c r="KAC33" s="537"/>
      <c r="KAD33" s="537"/>
      <c r="KAE33" s="537"/>
      <c r="KAF33" s="537"/>
      <c r="KAG33" s="537"/>
      <c r="KAH33" s="537"/>
      <c r="KAI33" s="537"/>
      <c r="KAJ33" s="537"/>
      <c r="KAK33" s="537"/>
      <c r="KAL33" s="537"/>
      <c r="KAM33" s="537"/>
      <c r="KAN33" s="537"/>
      <c r="KAO33" s="537"/>
      <c r="KAP33" s="537"/>
      <c r="KAQ33" s="537"/>
      <c r="KAR33" s="537"/>
      <c r="KAS33" s="537"/>
      <c r="KAT33" s="537"/>
      <c r="KAU33" s="537"/>
      <c r="KAV33" s="537"/>
      <c r="KAW33" s="537"/>
      <c r="KAX33" s="537"/>
      <c r="KAY33" s="537"/>
      <c r="KAZ33" s="537"/>
      <c r="KBA33" s="537"/>
      <c r="KBB33" s="537"/>
      <c r="KBC33" s="537"/>
      <c r="KBD33" s="537"/>
      <c r="KBE33" s="537"/>
      <c r="KBF33" s="537"/>
      <c r="KBG33" s="537"/>
      <c r="KBH33" s="537"/>
      <c r="KBI33" s="537"/>
      <c r="KBJ33" s="537"/>
      <c r="KBK33" s="537"/>
      <c r="KBL33" s="537"/>
      <c r="KBM33" s="537"/>
      <c r="KBN33" s="537"/>
      <c r="KBO33" s="537"/>
      <c r="KBP33" s="537"/>
      <c r="KBQ33" s="537"/>
      <c r="KBR33" s="537"/>
      <c r="KBS33" s="537"/>
      <c r="KBT33" s="537"/>
      <c r="KBU33" s="537"/>
      <c r="KBV33" s="537"/>
      <c r="KBW33" s="537"/>
      <c r="KBX33" s="537"/>
      <c r="KBY33" s="537"/>
      <c r="KBZ33" s="537"/>
      <c r="KCA33" s="537"/>
      <c r="KCB33" s="537"/>
      <c r="KCC33" s="537"/>
      <c r="KCD33" s="537"/>
      <c r="KCE33" s="537"/>
      <c r="KCF33" s="537"/>
      <c r="KCG33" s="537"/>
      <c r="KCH33" s="537"/>
      <c r="KCI33" s="537"/>
      <c r="KCJ33" s="537"/>
      <c r="KCK33" s="537"/>
      <c r="KCL33" s="537"/>
      <c r="KCM33" s="537"/>
      <c r="KCN33" s="537"/>
      <c r="KCO33" s="537"/>
      <c r="KCP33" s="537"/>
      <c r="KCQ33" s="537"/>
      <c r="KCR33" s="537"/>
      <c r="KCS33" s="537"/>
      <c r="KCT33" s="537"/>
      <c r="KCU33" s="537"/>
      <c r="KCV33" s="537"/>
      <c r="KCW33" s="537"/>
      <c r="KCX33" s="537"/>
      <c r="KCY33" s="537"/>
      <c r="KCZ33" s="537"/>
      <c r="KDA33" s="537"/>
      <c r="KDB33" s="537"/>
      <c r="KDC33" s="537"/>
      <c r="KDD33" s="537"/>
      <c r="KDE33" s="537"/>
      <c r="KDF33" s="537"/>
      <c r="KDG33" s="537"/>
      <c r="KDH33" s="537"/>
      <c r="KDI33" s="537"/>
      <c r="KDJ33" s="537"/>
      <c r="KDK33" s="537"/>
      <c r="KDL33" s="537"/>
      <c r="KDM33" s="537"/>
      <c r="KDN33" s="537"/>
      <c r="KDO33" s="537"/>
      <c r="KDP33" s="537"/>
      <c r="KDQ33" s="537"/>
      <c r="KDR33" s="537"/>
      <c r="KDS33" s="537"/>
      <c r="KDT33" s="537"/>
      <c r="KDU33" s="537"/>
      <c r="KDV33" s="537"/>
      <c r="KDW33" s="537"/>
      <c r="KDX33" s="537"/>
      <c r="KDY33" s="537"/>
      <c r="KDZ33" s="537"/>
      <c r="KEA33" s="537"/>
      <c r="KEB33" s="537"/>
      <c r="KEC33" s="537"/>
      <c r="KED33" s="537"/>
      <c r="KEE33" s="537"/>
      <c r="KEF33" s="537"/>
      <c r="KEG33" s="537"/>
      <c r="KEH33" s="537"/>
      <c r="KEI33" s="537"/>
      <c r="KEJ33" s="537"/>
      <c r="KEK33" s="537"/>
      <c r="KEL33" s="537"/>
      <c r="KEM33" s="537"/>
      <c r="KEN33" s="537"/>
      <c r="KEO33" s="537"/>
      <c r="KEP33" s="537"/>
      <c r="KEQ33" s="537"/>
      <c r="KER33" s="537"/>
      <c r="KES33" s="537"/>
      <c r="KET33" s="537"/>
      <c r="KEU33" s="537"/>
      <c r="KEV33" s="537"/>
      <c r="KEW33" s="537"/>
      <c r="KEX33" s="537"/>
      <c r="KEY33" s="537"/>
      <c r="KEZ33" s="537"/>
      <c r="KFA33" s="537"/>
      <c r="KFB33" s="537"/>
      <c r="KFC33" s="537"/>
      <c r="KFD33" s="537"/>
      <c r="KFE33" s="537"/>
      <c r="KFF33" s="537"/>
      <c r="KFG33" s="537"/>
      <c r="KFH33" s="537"/>
      <c r="KFI33" s="537"/>
      <c r="KFJ33" s="537"/>
      <c r="KFK33" s="537"/>
      <c r="KFL33" s="537"/>
      <c r="KFM33" s="537"/>
      <c r="KFN33" s="537"/>
      <c r="KFO33" s="537"/>
      <c r="KFP33" s="537"/>
      <c r="KFQ33" s="537"/>
      <c r="KFR33" s="537"/>
      <c r="KFS33" s="537"/>
      <c r="KFT33" s="537"/>
      <c r="KFU33" s="537"/>
      <c r="KFV33" s="537"/>
      <c r="KFW33" s="537"/>
      <c r="KFX33" s="537"/>
      <c r="KFY33" s="537"/>
      <c r="KFZ33" s="537"/>
      <c r="KGA33" s="537"/>
      <c r="KGB33" s="537"/>
      <c r="KGC33" s="537"/>
      <c r="KGD33" s="537"/>
      <c r="KGE33" s="537"/>
      <c r="KGF33" s="537"/>
      <c r="KGG33" s="537"/>
      <c r="KGH33" s="537"/>
      <c r="KGI33" s="537"/>
      <c r="KGJ33" s="537"/>
      <c r="KGK33" s="537"/>
      <c r="KGL33" s="537"/>
      <c r="KGM33" s="537"/>
      <c r="KGN33" s="537"/>
      <c r="KGO33" s="537"/>
      <c r="KGP33" s="537"/>
      <c r="KGQ33" s="537"/>
      <c r="KGR33" s="537"/>
      <c r="KGS33" s="537"/>
      <c r="KGT33" s="537"/>
      <c r="KGU33" s="537"/>
      <c r="KGV33" s="537"/>
      <c r="KGW33" s="537"/>
      <c r="KGX33" s="537"/>
      <c r="KGY33" s="537"/>
      <c r="KGZ33" s="537"/>
      <c r="KHA33" s="537"/>
      <c r="KHB33" s="537"/>
      <c r="KHC33" s="537"/>
      <c r="KHD33" s="537"/>
      <c r="KHE33" s="537"/>
      <c r="KHF33" s="537"/>
      <c r="KHG33" s="537"/>
      <c r="KHH33" s="537"/>
      <c r="KHI33" s="537"/>
      <c r="KHJ33" s="537"/>
      <c r="KHK33" s="537"/>
      <c r="KHL33" s="537"/>
      <c r="KHM33" s="537"/>
      <c r="KHN33" s="537"/>
      <c r="KHO33" s="537"/>
      <c r="KHP33" s="537"/>
      <c r="KHQ33" s="537"/>
      <c r="KHR33" s="537"/>
      <c r="KHS33" s="537"/>
      <c r="KHT33" s="537"/>
      <c r="KHU33" s="537"/>
      <c r="KHV33" s="537"/>
      <c r="KHW33" s="537"/>
      <c r="KHX33" s="537"/>
      <c r="KHY33" s="537"/>
      <c r="KHZ33" s="537"/>
      <c r="KIA33" s="537"/>
      <c r="KIB33" s="537"/>
      <c r="KIC33" s="537"/>
      <c r="KID33" s="537"/>
      <c r="KIE33" s="537"/>
      <c r="KIF33" s="537"/>
      <c r="KIG33" s="537"/>
      <c r="KIH33" s="537"/>
      <c r="KII33" s="537"/>
      <c r="KIJ33" s="537"/>
      <c r="KIK33" s="537"/>
      <c r="KIL33" s="537"/>
      <c r="KIM33" s="537"/>
      <c r="KIN33" s="537"/>
      <c r="KIO33" s="537"/>
      <c r="KIP33" s="537"/>
      <c r="KIQ33" s="537"/>
      <c r="KIR33" s="537"/>
      <c r="KIS33" s="537"/>
      <c r="KIT33" s="537"/>
      <c r="KIU33" s="537"/>
      <c r="KIV33" s="537"/>
      <c r="KIW33" s="537"/>
      <c r="KIX33" s="537"/>
      <c r="KIY33" s="537"/>
      <c r="KIZ33" s="537"/>
      <c r="KJA33" s="537"/>
      <c r="KJB33" s="537"/>
      <c r="KJC33" s="537"/>
      <c r="KJD33" s="537"/>
      <c r="KJE33" s="537"/>
      <c r="KJF33" s="537"/>
      <c r="KJG33" s="537"/>
      <c r="KJH33" s="537"/>
      <c r="KJI33" s="537"/>
      <c r="KJJ33" s="537"/>
      <c r="KJK33" s="537"/>
      <c r="KJL33" s="537"/>
      <c r="KJM33" s="537"/>
      <c r="KJN33" s="537"/>
      <c r="KJO33" s="537"/>
      <c r="KJP33" s="537"/>
      <c r="KJQ33" s="537"/>
      <c r="KJR33" s="537"/>
      <c r="KJS33" s="537"/>
      <c r="KJT33" s="537"/>
      <c r="KJU33" s="537"/>
      <c r="KJV33" s="537"/>
      <c r="KJW33" s="537"/>
      <c r="KJX33" s="537"/>
      <c r="KJY33" s="537"/>
      <c r="KJZ33" s="537"/>
      <c r="KKA33" s="537"/>
      <c r="KKB33" s="537"/>
      <c r="KKC33" s="537"/>
      <c r="KKD33" s="537"/>
      <c r="KKE33" s="537"/>
      <c r="KKF33" s="537"/>
      <c r="KKG33" s="537"/>
      <c r="KKH33" s="537"/>
      <c r="KKI33" s="537"/>
      <c r="KKJ33" s="537"/>
      <c r="KKK33" s="537"/>
      <c r="KKL33" s="537"/>
      <c r="KKM33" s="537"/>
      <c r="KKN33" s="537"/>
      <c r="KKO33" s="537"/>
      <c r="KKP33" s="537"/>
      <c r="KKQ33" s="537"/>
      <c r="KKR33" s="537"/>
      <c r="KKS33" s="537"/>
      <c r="KKT33" s="537"/>
      <c r="KKU33" s="537"/>
      <c r="KKV33" s="537"/>
      <c r="KKW33" s="537"/>
      <c r="KKX33" s="537"/>
      <c r="KKY33" s="537"/>
      <c r="KKZ33" s="537"/>
      <c r="KLA33" s="537"/>
      <c r="KLB33" s="537"/>
      <c r="KLC33" s="537"/>
      <c r="KLD33" s="537"/>
      <c r="KLE33" s="537"/>
      <c r="KLF33" s="537"/>
      <c r="KLG33" s="537"/>
      <c r="KLH33" s="537"/>
      <c r="KLI33" s="537"/>
      <c r="KLJ33" s="537"/>
      <c r="KLK33" s="537"/>
      <c r="KLL33" s="537"/>
      <c r="KLM33" s="537"/>
      <c r="KLN33" s="537"/>
      <c r="KLO33" s="537"/>
      <c r="KLP33" s="537"/>
      <c r="KLQ33" s="537"/>
      <c r="KLR33" s="537"/>
      <c r="KLS33" s="537"/>
      <c r="KLT33" s="537"/>
      <c r="KLU33" s="537"/>
      <c r="KLV33" s="537"/>
      <c r="KLW33" s="537"/>
      <c r="KLX33" s="537"/>
      <c r="KLY33" s="537"/>
      <c r="KLZ33" s="537"/>
      <c r="KMA33" s="537"/>
      <c r="KMB33" s="537"/>
      <c r="KMC33" s="537"/>
      <c r="KMD33" s="537"/>
      <c r="KME33" s="537"/>
      <c r="KMF33" s="537"/>
      <c r="KMG33" s="537"/>
      <c r="KMH33" s="537"/>
      <c r="KMI33" s="537"/>
      <c r="KMJ33" s="537"/>
      <c r="KMK33" s="537"/>
      <c r="KML33" s="537"/>
      <c r="KMM33" s="537"/>
      <c r="KMN33" s="537"/>
      <c r="KMO33" s="537"/>
      <c r="KMP33" s="537"/>
      <c r="KMQ33" s="537"/>
      <c r="KMR33" s="537"/>
      <c r="KMS33" s="537"/>
      <c r="KMT33" s="537"/>
      <c r="KMU33" s="537"/>
      <c r="KMV33" s="537"/>
      <c r="KMW33" s="537"/>
      <c r="KMX33" s="537"/>
      <c r="KMY33" s="537"/>
      <c r="KMZ33" s="537"/>
      <c r="KNA33" s="537"/>
      <c r="KNB33" s="537"/>
      <c r="KNC33" s="537"/>
      <c r="KND33" s="537"/>
      <c r="KNE33" s="537"/>
      <c r="KNF33" s="537"/>
      <c r="KNG33" s="537"/>
      <c r="KNH33" s="537"/>
      <c r="KNI33" s="537"/>
      <c r="KNJ33" s="537"/>
      <c r="KNK33" s="537"/>
      <c r="KNL33" s="537"/>
      <c r="KNM33" s="537"/>
      <c r="KNN33" s="537"/>
      <c r="KNO33" s="537"/>
      <c r="KNP33" s="537"/>
      <c r="KNQ33" s="537"/>
      <c r="KNR33" s="537"/>
      <c r="KNS33" s="537"/>
      <c r="KNT33" s="537"/>
      <c r="KNU33" s="537"/>
      <c r="KNV33" s="537"/>
      <c r="KNW33" s="537"/>
      <c r="KNX33" s="537"/>
      <c r="KNY33" s="537"/>
      <c r="KNZ33" s="537"/>
      <c r="KOA33" s="537"/>
      <c r="KOB33" s="537"/>
      <c r="KOC33" s="537"/>
      <c r="KOD33" s="537"/>
      <c r="KOE33" s="537"/>
      <c r="KOF33" s="537"/>
      <c r="KOG33" s="537"/>
      <c r="KOH33" s="537"/>
      <c r="KOI33" s="537"/>
      <c r="KOJ33" s="537"/>
      <c r="KOK33" s="537"/>
      <c r="KOL33" s="537"/>
      <c r="KOM33" s="537"/>
      <c r="KON33" s="537"/>
      <c r="KOO33" s="537"/>
      <c r="KOP33" s="537"/>
      <c r="KOQ33" s="537"/>
      <c r="KOR33" s="537"/>
      <c r="KOS33" s="537"/>
      <c r="KOT33" s="537"/>
      <c r="KOU33" s="537"/>
      <c r="KOV33" s="537"/>
      <c r="KOW33" s="537"/>
      <c r="KOX33" s="537"/>
      <c r="KOY33" s="537"/>
      <c r="KOZ33" s="537"/>
      <c r="KPA33" s="537"/>
      <c r="KPB33" s="537"/>
      <c r="KPC33" s="537"/>
      <c r="KPD33" s="537"/>
      <c r="KPE33" s="537"/>
      <c r="KPF33" s="537"/>
      <c r="KPG33" s="537"/>
      <c r="KPH33" s="537"/>
      <c r="KPI33" s="537"/>
      <c r="KPJ33" s="537"/>
      <c r="KPK33" s="537"/>
      <c r="KPL33" s="537"/>
      <c r="KPM33" s="537"/>
      <c r="KPN33" s="537"/>
      <c r="KPO33" s="537"/>
      <c r="KPP33" s="537"/>
      <c r="KPQ33" s="537"/>
      <c r="KPR33" s="537"/>
      <c r="KPS33" s="537"/>
      <c r="KPT33" s="537"/>
      <c r="KPU33" s="537"/>
      <c r="KPV33" s="537"/>
      <c r="KPW33" s="537"/>
      <c r="KPX33" s="537"/>
      <c r="KPY33" s="537"/>
      <c r="KPZ33" s="537"/>
      <c r="KQA33" s="537"/>
      <c r="KQB33" s="537"/>
      <c r="KQC33" s="537"/>
      <c r="KQD33" s="537"/>
      <c r="KQE33" s="537"/>
      <c r="KQF33" s="537"/>
      <c r="KQG33" s="537"/>
      <c r="KQH33" s="537"/>
      <c r="KQI33" s="537"/>
      <c r="KQJ33" s="537"/>
      <c r="KQK33" s="537"/>
      <c r="KQL33" s="537"/>
      <c r="KQM33" s="537"/>
      <c r="KQN33" s="537"/>
      <c r="KQO33" s="537"/>
      <c r="KQP33" s="537"/>
      <c r="KQQ33" s="537"/>
      <c r="KQR33" s="537"/>
      <c r="KQS33" s="537"/>
      <c r="KQT33" s="537"/>
      <c r="KQU33" s="537"/>
      <c r="KQV33" s="537"/>
      <c r="KQW33" s="537"/>
      <c r="KQX33" s="537"/>
      <c r="KQY33" s="537"/>
      <c r="KQZ33" s="537"/>
      <c r="KRA33" s="537"/>
      <c r="KRB33" s="537"/>
      <c r="KRC33" s="537"/>
      <c r="KRD33" s="537"/>
      <c r="KRE33" s="537"/>
      <c r="KRF33" s="537"/>
      <c r="KRG33" s="537"/>
      <c r="KRH33" s="537"/>
      <c r="KRI33" s="537"/>
      <c r="KRJ33" s="537"/>
      <c r="KRK33" s="537"/>
      <c r="KRL33" s="537"/>
      <c r="KRM33" s="537"/>
      <c r="KRN33" s="537"/>
      <c r="KRO33" s="537"/>
      <c r="KRP33" s="537"/>
      <c r="KRQ33" s="537"/>
      <c r="KRR33" s="537"/>
      <c r="KRS33" s="537"/>
      <c r="KRT33" s="537"/>
      <c r="KRU33" s="537"/>
      <c r="KRV33" s="537"/>
      <c r="KRW33" s="537"/>
      <c r="KRX33" s="537"/>
      <c r="KRY33" s="537"/>
      <c r="KRZ33" s="537"/>
      <c r="KSA33" s="537"/>
      <c r="KSB33" s="537"/>
      <c r="KSC33" s="537"/>
      <c r="KSD33" s="537"/>
      <c r="KSE33" s="537"/>
      <c r="KSF33" s="537"/>
      <c r="KSG33" s="537"/>
      <c r="KSH33" s="537"/>
      <c r="KSI33" s="537"/>
      <c r="KSJ33" s="537"/>
      <c r="KSK33" s="537"/>
      <c r="KSL33" s="537"/>
      <c r="KSM33" s="537"/>
      <c r="KSN33" s="537"/>
      <c r="KSO33" s="537"/>
      <c r="KSP33" s="537"/>
      <c r="KSQ33" s="537"/>
      <c r="KSR33" s="537"/>
      <c r="KSS33" s="537"/>
      <c r="KST33" s="537"/>
      <c r="KSU33" s="537"/>
      <c r="KSV33" s="537"/>
      <c r="KSW33" s="537"/>
      <c r="KSX33" s="537"/>
      <c r="KSY33" s="537"/>
      <c r="KSZ33" s="537"/>
      <c r="KTA33" s="537"/>
      <c r="KTB33" s="537"/>
      <c r="KTC33" s="537"/>
      <c r="KTD33" s="537"/>
      <c r="KTE33" s="537"/>
      <c r="KTF33" s="537"/>
      <c r="KTG33" s="537"/>
      <c r="KTH33" s="537"/>
      <c r="KTI33" s="537"/>
      <c r="KTJ33" s="537"/>
      <c r="KTK33" s="537"/>
      <c r="KTL33" s="537"/>
      <c r="KTM33" s="537"/>
      <c r="KTN33" s="537"/>
      <c r="KTO33" s="537"/>
      <c r="KTP33" s="537"/>
      <c r="KTQ33" s="537"/>
      <c r="KTR33" s="537"/>
      <c r="KTS33" s="537"/>
      <c r="KTT33" s="537"/>
      <c r="KTU33" s="537"/>
      <c r="KTV33" s="537"/>
      <c r="KTW33" s="537"/>
      <c r="KTX33" s="537"/>
      <c r="KTY33" s="537"/>
      <c r="KTZ33" s="537"/>
      <c r="KUA33" s="537"/>
      <c r="KUB33" s="537"/>
      <c r="KUC33" s="537"/>
      <c r="KUD33" s="537"/>
      <c r="KUE33" s="537"/>
      <c r="KUF33" s="537"/>
      <c r="KUG33" s="537"/>
      <c r="KUH33" s="537"/>
      <c r="KUI33" s="537"/>
      <c r="KUJ33" s="537"/>
      <c r="KUK33" s="537"/>
      <c r="KUL33" s="537"/>
      <c r="KUM33" s="537"/>
      <c r="KUN33" s="537"/>
      <c r="KUO33" s="537"/>
      <c r="KUP33" s="537"/>
      <c r="KUQ33" s="537"/>
      <c r="KUR33" s="537"/>
      <c r="KUS33" s="537"/>
      <c r="KUT33" s="537"/>
      <c r="KUU33" s="537"/>
      <c r="KUV33" s="537"/>
      <c r="KUW33" s="537"/>
      <c r="KUX33" s="537"/>
      <c r="KUY33" s="537"/>
      <c r="KUZ33" s="537"/>
      <c r="KVA33" s="537"/>
      <c r="KVB33" s="537"/>
      <c r="KVC33" s="537"/>
      <c r="KVD33" s="537"/>
      <c r="KVE33" s="537"/>
      <c r="KVF33" s="537"/>
      <c r="KVG33" s="537"/>
      <c r="KVH33" s="537"/>
      <c r="KVI33" s="537"/>
      <c r="KVJ33" s="537"/>
      <c r="KVK33" s="537"/>
      <c r="KVL33" s="537"/>
      <c r="KVM33" s="537"/>
      <c r="KVN33" s="537"/>
      <c r="KVO33" s="537"/>
      <c r="KVP33" s="537"/>
      <c r="KVQ33" s="537"/>
      <c r="KVR33" s="537"/>
      <c r="KVS33" s="537"/>
      <c r="KVT33" s="537"/>
      <c r="KVU33" s="537"/>
      <c r="KVV33" s="537"/>
      <c r="KVW33" s="537"/>
      <c r="KVX33" s="537"/>
      <c r="KVY33" s="537"/>
      <c r="KVZ33" s="537"/>
      <c r="KWA33" s="537"/>
      <c r="KWB33" s="537"/>
      <c r="KWC33" s="537"/>
      <c r="KWD33" s="537"/>
      <c r="KWE33" s="537"/>
      <c r="KWF33" s="537"/>
      <c r="KWG33" s="537"/>
      <c r="KWH33" s="537"/>
      <c r="KWI33" s="537"/>
      <c r="KWJ33" s="537"/>
      <c r="KWK33" s="537"/>
      <c r="KWL33" s="537"/>
      <c r="KWM33" s="537"/>
      <c r="KWN33" s="537"/>
      <c r="KWO33" s="537"/>
      <c r="KWP33" s="537"/>
      <c r="KWQ33" s="537"/>
      <c r="KWR33" s="537"/>
      <c r="KWS33" s="537"/>
      <c r="KWT33" s="537"/>
      <c r="KWU33" s="537"/>
      <c r="KWV33" s="537"/>
      <c r="KWW33" s="537"/>
      <c r="KWX33" s="537"/>
      <c r="KWY33" s="537"/>
      <c r="KWZ33" s="537"/>
      <c r="KXA33" s="537"/>
      <c r="KXB33" s="537"/>
      <c r="KXC33" s="537"/>
      <c r="KXD33" s="537"/>
      <c r="KXE33" s="537"/>
      <c r="KXF33" s="537"/>
      <c r="KXG33" s="537"/>
      <c r="KXH33" s="537"/>
      <c r="KXI33" s="537"/>
      <c r="KXJ33" s="537"/>
      <c r="KXK33" s="537"/>
      <c r="KXL33" s="537"/>
      <c r="KXM33" s="537"/>
      <c r="KXN33" s="537"/>
      <c r="KXO33" s="537"/>
      <c r="KXP33" s="537"/>
      <c r="KXQ33" s="537"/>
      <c r="KXR33" s="537"/>
      <c r="KXS33" s="537"/>
      <c r="KXT33" s="537"/>
      <c r="KXU33" s="537"/>
      <c r="KXV33" s="537"/>
      <c r="KXW33" s="537"/>
      <c r="KXX33" s="537"/>
      <c r="KXY33" s="537"/>
      <c r="KXZ33" s="537"/>
      <c r="KYA33" s="537"/>
      <c r="KYB33" s="537"/>
      <c r="KYC33" s="537"/>
      <c r="KYD33" s="537"/>
      <c r="KYE33" s="537"/>
      <c r="KYF33" s="537"/>
      <c r="KYG33" s="537"/>
      <c r="KYH33" s="537"/>
      <c r="KYI33" s="537"/>
      <c r="KYJ33" s="537"/>
      <c r="KYK33" s="537"/>
      <c r="KYL33" s="537"/>
      <c r="KYM33" s="537"/>
      <c r="KYN33" s="537"/>
      <c r="KYO33" s="537"/>
      <c r="KYP33" s="537"/>
      <c r="KYQ33" s="537"/>
      <c r="KYR33" s="537"/>
      <c r="KYS33" s="537"/>
      <c r="KYT33" s="537"/>
      <c r="KYU33" s="537"/>
      <c r="KYV33" s="537"/>
      <c r="KYW33" s="537"/>
      <c r="KYX33" s="537"/>
      <c r="KYY33" s="537"/>
      <c r="KYZ33" s="537"/>
      <c r="KZA33" s="537"/>
      <c r="KZB33" s="537"/>
      <c r="KZC33" s="537"/>
      <c r="KZD33" s="537"/>
      <c r="KZE33" s="537"/>
      <c r="KZF33" s="537"/>
      <c r="KZG33" s="537"/>
      <c r="KZH33" s="537"/>
      <c r="KZI33" s="537"/>
      <c r="KZJ33" s="537"/>
      <c r="KZK33" s="537"/>
      <c r="KZL33" s="537"/>
      <c r="KZM33" s="537"/>
      <c r="KZN33" s="537"/>
      <c r="KZO33" s="537"/>
      <c r="KZP33" s="537"/>
      <c r="KZQ33" s="537"/>
      <c r="KZR33" s="537"/>
      <c r="KZS33" s="537"/>
      <c r="KZT33" s="537"/>
      <c r="KZU33" s="537"/>
      <c r="KZV33" s="537"/>
      <c r="KZW33" s="537"/>
      <c r="KZX33" s="537"/>
      <c r="KZY33" s="537"/>
      <c r="KZZ33" s="537"/>
      <c r="LAA33" s="537"/>
      <c r="LAB33" s="537"/>
      <c r="LAC33" s="537"/>
      <c r="LAD33" s="537"/>
      <c r="LAE33" s="537"/>
      <c r="LAF33" s="537"/>
      <c r="LAG33" s="537"/>
      <c r="LAH33" s="537"/>
      <c r="LAI33" s="537"/>
      <c r="LAJ33" s="537"/>
      <c r="LAK33" s="537"/>
      <c r="LAL33" s="537"/>
      <c r="LAM33" s="537"/>
      <c r="LAN33" s="537"/>
      <c r="LAO33" s="537"/>
      <c r="LAP33" s="537"/>
      <c r="LAQ33" s="537"/>
      <c r="LAR33" s="537"/>
      <c r="LAS33" s="537"/>
      <c r="LAT33" s="537"/>
      <c r="LAU33" s="537"/>
      <c r="LAV33" s="537"/>
      <c r="LAW33" s="537"/>
      <c r="LAX33" s="537"/>
      <c r="LAY33" s="537"/>
      <c r="LAZ33" s="537"/>
      <c r="LBA33" s="537"/>
      <c r="LBB33" s="537"/>
      <c r="LBC33" s="537"/>
      <c r="LBD33" s="537"/>
      <c r="LBE33" s="537"/>
      <c r="LBF33" s="537"/>
      <c r="LBG33" s="537"/>
      <c r="LBH33" s="537"/>
      <c r="LBI33" s="537"/>
      <c r="LBJ33" s="537"/>
      <c r="LBK33" s="537"/>
      <c r="LBL33" s="537"/>
      <c r="LBM33" s="537"/>
      <c r="LBN33" s="537"/>
      <c r="LBO33" s="537"/>
      <c r="LBP33" s="537"/>
      <c r="LBQ33" s="537"/>
      <c r="LBR33" s="537"/>
      <c r="LBS33" s="537"/>
      <c r="LBT33" s="537"/>
      <c r="LBU33" s="537"/>
      <c r="LBV33" s="537"/>
      <c r="LBW33" s="537"/>
      <c r="LBX33" s="537"/>
      <c r="LBY33" s="537"/>
      <c r="LBZ33" s="537"/>
      <c r="LCA33" s="537"/>
      <c r="LCB33" s="537"/>
      <c r="LCC33" s="537"/>
      <c r="LCD33" s="537"/>
      <c r="LCE33" s="537"/>
      <c r="LCF33" s="537"/>
      <c r="LCG33" s="537"/>
      <c r="LCH33" s="537"/>
      <c r="LCI33" s="537"/>
      <c r="LCJ33" s="537"/>
      <c r="LCK33" s="537"/>
      <c r="LCL33" s="537"/>
      <c r="LCM33" s="537"/>
      <c r="LCN33" s="537"/>
      <c r="LCO33" s="537"/>
      <c r="LCP33" s="537"/>
      <c r="LCQ33" s="537"/>
      <c r="LCR33" s="537"/>
      <c r="LCS33" s="537"/>
      <c r="LCT33" s="537"/>
      <c r="LCU33" s="537"/>
      <c r="LCV33" s="537"/>
      <c r="LCW33" s="537"/>
      <c r="LCX33" s="537"/>
      <c r="LCY33" s="537"/>
      <c r="LCZ33" s="537"/>
      <c r="LDA33" s="537"/>
      <c r="LDB33" s="537"/>
      <c r="LDC33" s="537"/>
      <c r="LDD33" s="537"/>
      <c r="LDE33" s="537"/>
      <c r="LDF33" s="537"/>
      <c r="LDG33" s="537"/>
      <c r="LDH33" s="537"/>
      <c r="LDI33" s="537"/>
      <c r="LDJ33" s="537"/>
      <c r="LDK33" s="537"/>
      <c r="LDL33" s="537"/>
      <c r="LDM33" s="537"/>
      <c r="LDN33" s="537"/>
      <c r="LDO33" s="537"/>
      <c r="LDP33" s="537"/>
      <c r="LDQ33" s="537"/>
      <c r="LDR33" s="537"/>
      <c r="LDS33" s="537"/>
      <c r="LDT33" s="537"/>
      <c r="LDU33" s="537"/>
      <c r="LDV33" s="537"/>
      <c r="LDW33" s="537"/>
      <c r="LDX33" s="537"/>
      <c r="LDY33" s="537"/>
      <c r="LDZ33" s="537"/>
      <c r="LEA33" s="537"/>
      <c r="LEB33" s="537"/>
      <c r="LEC33" s="537"/>
      <c r="LED33" s="537"/>
      <c r="LEE33" s="537"/>
      <c r="LEF33" s="537"/>
      <c r="LEG33" s="537"/>
      <c r="LEH33" s="537"/>
      <c r="LEI33" s="537"/>
      <c r="LEJ33" s="537"/>
      <c r="LEK33" s="537"/>
      <c r="LEL33" s="537"/>
      <c r="LEM33" s="537"/>
      <c r="LEN33" s="537"/>
      <c r="LEO33" s="537"/>
      <c r="LEP33" s="537"/>
      <c r="LEQ33" s="537"/>
      <c r="LER33" s="537"/>
      <c r="LES33" s="537"/>
      <c r="LET33" s="537"/>
      <c r="LEU33" s="537"/>
      <c r="LEV33" s="537"/>
      <c r="LEW33" s="537"/>
      <c r="LEX33" s="537"/>
      <c r="LEY33" s="537"/>
      <c r="LEZ33" s="537"/>
      <c r="LFA33" s="537"/>
      <c r="LFB33" s="537"/>
      <c r="LFC33" s="537"/>
      <c r="LFD33" s="537"/>
      <c r="LFE33" s="537"/>
      <c r="LFF33" s="537"/>
      <c r="LFG33" s="537"/>
      <c r="LFH33" s="537"/>
      <c r="LFI33" s="537"/>
      <c r="LFJ33" s="537"/>
      <c r="LFK33" s="537"/>
      <c r="LFL33" s="537"/>
      <c r="LFM33" s="537"/>
      <c r="LFN33" s="537"/>
      <c r="LFO33" s="537"/>
      <c r="LFP33" s="537"/>
      <c r="LFQ33" s="537"/>
      <c r="LFR33" s="537"/>
      <c r="LFS33" s="537"/>
      <c r="LFT33" s="537"/>
      <c r="LFU33" s="537"/>
      <c r="LFV33" s="537"/>
      <c r="LFW33" s="537"/>
      <c r="LFX33" s="537"/>
      <c r="LFY33" s="537"/>
      <c r="LFZ33" s="537"/>
      <c r="LGA33" s="537"/>
      <c r="LGB33" s="537"/>
      <c r="LGC33" s="537"/>
      <c r="LGD33" s="537"/>
      <c r="LGE33" s="537"/>
      <c r="LGF33" s="537"/>
      <c r="LGG33" s="537"/>
      <c r="LGH33" s="537"/>
      <c r="LGI33" s="537"/>
      <c r="LGJ33" s="537"/>
      <c r="LGK33" s="537"/>
      <c r="LGL33" s="537"/>
      <c r="LGM33" s="537"/>
      <c r="LGN33" s="537"/>
      <c r="LGO33" s="537"/>
      <c r="LGP33" s="537"/>
      <c r="LGQ33" s="537"/>
      <c r="LGR33" s="537"/>
      <c r="LGS33" s="537"/>
      <c r="LGT33" s="537"/>
      <c r="LGU33" s="537"/>
      <c r="LGV33" s="537"/>
      <c r="LGW33" s="537"/>
      <c r="LGX33" s="537"/>
      <c r="LGY33" s="537"/>
      <c r="LGZ33" s="537"/>
      <c r="LHA33" s="537"/>
      <c r="LHB33" s="537"/>
      <c r="LHC33" s="537"/>
      <c r="LHD33" s="537"/>
      <c r="LHE33" s="537"/>
      <c r="LHF33" s="537"/>
      <c r="LHG33" s="537"/>
      <c r="LHH33" s="537"/>
      <c r="LHI33" s="537"/>
      <c r="LHJ33" s="537"/>
      <c r="LHK33" s="537"/>
      <c r="LHL33" s="537"/>
      <c r="LHM33" s="537"/>
      <c r="LHN33" s="537"/>
      <c r="LHO33" s="537"/>
      <c r="LHP33" s="537"/>
      <c r="LHQ33" s="537"/>
      <c r="LHR33" s="537"/>
      <c r="LHS33" s="537"/>
      <c r="LHT33" s="537"/>
      <c r="LHU33" s="537"/>
      <c r="LHV33" s="537"/>
      <c r="LHW33" s="537"/>
      <c r="LHX33" s="537"/>
      <c r="LHY33" s="537"/>
      <c r="LHZ33" s="537"/>
      <c r="LIA33" s="537"/>
      <c r="LIB33" s="537"/>
      <c r="LIC33" s="537"/>
      <c r="LID33" s="537"/>
      <c r="LIE33" s="537"/>
      <c r="LIF33" s="537"/>
      <c r="LIG33" s="537"/>
      <c r="LIH33" s="537"/>
      <c r="LII33" s="537"/>
      <c r="LIJ33" s="537"/>
      <c r="LIK33" s="537"/>
      <c r="LIL33" s="537"/>
      <c r="LIM33" s="537"/>
      <c r="LIN33" s="537"/>
      <c r="LIO33" s="537"/>
      <c r="LIP33" s="537"/>
      <c r="LIQ33" s="537"/>
      <c r="LIR33" s="537"/>
      <c r="LIS33" s="537"/>
      <c r="LIT33" s="537"/>
      <c r="LIU33" s="537"/>
      <c r="LIV33" s="537"/>
      <c r="LIW33" s="537"/>
      <c r="LIX33" s="537"/>
      <c r="LIY33" s="537"/>
      <c r="LIZ33" s="537"/>
      <c r="LJA33" s="537"/>
      <c r="LJB33" s="537"/>
      <c r="LJC33" s="537"/>
      <c r="LJD33" s="537"/>
      <c r="LJE33" s="537"/>
      <c r="LJF33" s="537"/>
      <c r="LJG33" s="537"/>
      <c r="LJH33" s="537"/>
      <c r="LJI33" s="537"/>
      <c r="LJJ33" s="537"/>
      <c r="LJK33" s="537"/>
      <c r="LJL33" s="537"/>
      <c r="LJM33" s="537"/>
      <c r="LJN33" s="537"/>
      <c r="LJO33" s="537"/>
      <c r="LJP33" s="537"/>
      <c r="LJQ33" s="537"/>
      <c r="LJR33" s="537"/>
      <c r="LJS33" s="537"/>
      <c r="LJT33" s="537"/>
      <c r="LJU33" s="537"/>
      <c r="LJV33" s="537"/>
      <c r="LJW33" s="537"/>
      <c r="LJX33" s="537"/>
      <c r="LJY33" s="537"/>
      <c r="LJZ33" s="537"/>
      <c r="LKA33" s="537"/>
      <c r="LKB33" s="537"/>
      <c r="LKC33" s="537"/>
      <c r="LKD33" s="537"/>
      <c r="LKE33" s="537"/>
      <c r="LKF33" s="537"/>
      <c r="LKG33" s="537"/>
      <c r="LKH33" s="537"/>
      <c r="LKI33" s="537"/>
      <c r="LKJ33" s="537"/>
      <c r="LKK33" s="537"/>
      <c r="LKL33" s="537"/>
      <c r="LKM33" s="537"/>
      <c r="LKN33" s="537"/>
      <c r="LKO33" s="537"/>
      <c r="LKP33" s="537"/>
      <c r="LKQ33" s="537"/>
      <c r="LKR33" s="537"/>
      <c r="LKS33" s="537"/>
      <c r="LKT33" s="537"/>
      <c r="LKU33" s="537"/>
      <c r="LKV33" s="537"/>
      <c r="LKW33" s="537"/>
      <c r="LKX33" s="537"/>
      <c r="LKY33" s="537"/>
      <c r="LKZ33" s="537"/>
      <c r="LLA33" s="537"/>
      <c r="LLB33" s="537"/>
      <c r="LLC33" s="537"/>
      <c r="LLD33" s="537"/>
      <c r="LLE33" s="537"/>
      <c r="LLF33" s="537"/>
      <c r="LLG33" s="537"/>
      <c r="LLH33" s="537"/>
      <c r="LLI33" s="537"/>
      <c r="LLJ33" s="537"/>
      <c r="LLK33" s="537"/>
      <c r="LLL33" s="537"/>
      <c r="LLM33" s="537"/>
      <c r="LLN33" s="537"/>
      <c r="LLO33" s="537"/>
      <c r="LLP33" s="537"/>
      <c r="LLQ33" s="537"/>
      <c r="LLR33" s="537"/>
      <c r="LLS33" s="537"/>
      <c r="LLT33" s="537"/>
      <c r="LLU33" s="537"/>
      <c r="LLV33" s="537"/>
      <c r="LLW33" s="537"/>
      <c r="LLX33" s="537"/>
      <c r="LLY33" s="537"/>
      <c r="LLZ33" s="537"/>
      <c r="LMA33" s="537"/>
      <c r="LMB33" s="537"/>
      <c r="LMC33" s="537"/>
      <c r="LMD33" s="537"/>
      <c r="LME33" s="537"/>
      <c r="LMF33" s="537"/>
      <c r="LMG33" s="537"/>
      <c r="LMH33" s="537"/>
      <c r="LMI33" s="537"/>
      <c r="LMJ33" s="537"/>
      <c r="LMK33" s="537"/>
      <c r="LML33" s="537"/>
      <c r="LMM33" s="537"/>
      <c r="LMN33" s="537"/>
      <c r="LMO33" s="537"/>
      <c r="LMP33" s="537"/>
      <c r="LMQ33" s="537"/>
      <c r="LMR33" s="537"/>
      <c r="LMS33" s="537"/>
      <c r="LMT33" s="537"/>
      <c r="LMU33" s="537"/>
      <c r="LMV33" s="537"/>
      <c r="LMW33" s="537"/>
      <c r="LMX33" s="537"/>
      <c r="LMY33" s="537"/>
      <c r="LMZ33" s="537"/>
      <c r="LNA33" s="537"/>
      <c r="LNB33" s="537"/>
      <c r="LNC33" s="537"/>
      <c r="LND33" s="537"/>
      <c r="LNE33" s="537"/>
      <c r="LNF33" s="537"/>
      <c r="LNG33" s="537"/>
      <c r="LNH33" s="537"/>
      <c r="LNI33" s="537"/>
      <c r="LNJ33" s="537"/>
      <c r="LNK33" s="537"/>
      <c r="LNL33" s="537"/>
      <c r="LNM33" s="537"/>
      <c r="LNN33" s="537"/>
      <c r="LNO33" s="537"/>
      <c r="LNP33" s="537"/>
      <c r="LNQ33" s="537"/>
      <c r="LNR33" s="537"/>
      <c r="LNS33" s="537"/>
      <c r="LNT33" s="537"/>
      <c r="LNU33" s="537"/>
      <c r="LNV33" s="537"/>
      <c r="LNW33" s="537"/>
      <c r="LNX33" s="537"/>
      <c r="LNY33" s="537"/>
      <c r="LNZ33" s="537"/>
      <c r="LOA33" s="537"/>
      <c r="LOB33" s="537"/>
      <c r="LOC33" s="537"/>
      <c r="LOD33" s="537"/>
      <c r="LOE33" s="537"/>
      <c r="LOF33" s="537"/>
      <c r="LOG33" s="537"/>
      <c r="LOH33" s="537"/>
      <c r="LOI33" s="537"/>
      <c r="LOJ33" s="537"/>
      <c r="LOK33" s="537"/>
      <c r="LOL33" s="537"/>
      <c r="LOM33" s="537"/>
      <c r="LON33" s="537"/>
      <c r="LOO33" s="537"/>
      <c r="LOP33" s="537"/>
      <c r="LOQ33" s="537"/>
      <c r="LOR33" s="537"/>
      <c r="LOS33" s="537"/>
      <c r="LOT33" s="537"/>
      <c r="LOU33" s="537"/>
      <c r="LOV33" s="537"/>
      <c r="LOW33" s="537"/>
      <c r="LOX33" s="537"/>
      <c r="LOY33" s="537"/>
      <c r="LOZ33" s="537"/>
      <c r="LPA33" s="537"/>
      <c r="LPB33" s="537"/>
      <c r="LPC33" s="537"/>
      <c r="LPD33" s="537"/>
      <c r="LPE33" s="537"/>
      <c r="LPF33" s="537"/>
      <c r="LPG33" s="537"/>
      <c r="LPH33" s="537"/>
      <c r="LPI33" s="537"/>
      <c r="LPJ33" s="537"/>
      <c r="LPK33" s="537"/>
      <c r="LPL33" s="537"/>
      <c r="LPM33" s="537"/>
      <c r="LPN33" s="537"/>
      <c r="LPO33" s="537"/>
      <c r="LPP33" s="537"/>
      <c r="LPQ33" s="537"/>
      <c r="LPR33" s="537"/>
      <c r="LPS33" s="537"/>
      <c r="LPT33" s="537"/>
      <c r="LPU33" s="537"/>
      <c r="LPV33" s="537"/>
      <c r="LPW33" s="537"/>
      <c r="LPX33" s="537"/>
      <c r="LPY33" s="537"/>
      <c r="LPZ33" s="537"/>
      <c r="LQA33" s="537"/>
      <c r="LQB33" s="537"/>
      <c r="LQC33" s="537"/>
      <c r="LQD33" s="537"/>
      <c r="LQE33" s="537"/>
      <c r="LQF33" s="537"/>
      <c r="LQG33" s="537"/>
      <c r="LQH33" s="537"/>
      <c r="LQI33" s="537"/>
      <c r="LQJ33" s="537"/>
      <c r="LQK33" s="537"/>
      <c r="LQL33" s="537"/>
      <c r="LQM33" s="537"/>
      <c r="LQN33" s="537"/>
      <c r="LQO33" s="537"/>
      <c r="LQP33" s="537"/>
      <c r="LQQ33" s="537"/>
      <c r="LQR33" s="537"/>
      <c r="LQS33" s="537"/>
      <c r="LQT33" s="537"/>
      <c r="LQU33" s="537"/>
      <c r="LQV33" s="537"/>
      <c r="LQW33" s="537"/>
      <c r="LQX33" s="537"/>
      <c r="LQY33" s="537"/>
      <c r="LQZ33" s="537"/>
      <c r="LRA33" s="537"/>
      <c r="LRB33" s="537"/>
      <c r="LRC33" s="537"/>
      <c r="LRD33" s="537"/>
      <c r="LRE33" s="537"/>
      <c r="LRF33" s="537"/>
      <c r="LRG33" s="537"/>
      <c r="LRH33" s="537"/>
      <c r="LRI33" s="537"/>
      <c r="LRJ33" s="537"/>
      <c r="LRK33" s="537"/>
      <c r="LRL33" s="537"/>
      <c r="LRM33" s="537"/>
      <c r="LRN33" s="537"/>
      <c r="LRO33" s="537"/>
      <c r="LRP33" s="537"/>
      <c r="LRQ33" s="537"/>
      <c r="LRR33" s="537"/>
      <c r="LRS33" s="537"/>
      <c r="LRT33" s="537"/>
      <c r="LRU33" s="537"/>
      <c r="LRV33" s="537"/>
      <c r="LRW33" s="537"/>
      <c r="LRX33" s="537"/>
      <c r="LRY33" s="537"/>
      <c r="LRZ33" s="537"/>
      <c r="LSA33" s="537"/>
      <c r="LSB33" s="537"/>
      <c r="LSC33" s="537"/>
      <c r="LSD33" s="537"/>
      <c r="LSE33" s="537"/>
      <c r="LSF33" s="537"/>
      <c r="LSG33" s="537"/>
      <c r="LSH33" s="537"/>
      <c r="LSI33" s="537"/>
      <c r="LSJ33" s="537"/>
      <c r="LSK33" s="537"/>
      <c r="LSL33" s="537"/>
      <c r="LSM33" s="537"/>
      <c r="LSN33" s="537"/>
      <c r="LSO33" s="537"/>
      <c r="LSP33" s="537"/>
      <c r="LSQ33" s="537"/>
      <c r="LSR33" s="537"/>
      <c r="LSS33" s="537"/>
      <c r="LST33" s="537"/>
      <c r="LSU33" s="537"/>
      <c r="LSV33" s="537"/>
      <c r="LSW33" s="537"/>
      <c r="LSX33" s="537"/>
      <c r="LSY33" s="537"/>
      <c r="LSZ33" s="537"/>
      <c r="LTA33" s="537"/>
      <c r="LTB33" s="537"/>
      <c r="LTC33" s="537"/>
      <c r="LTD33" s="537"/>
      <c r="LTE33" s="537"/>
      <c r="LTF33" s="537"/>
      <c r="LTG33" s="537"/>
      <c r="LTH33" s="537"/>
      <c r="LTI33" s="537"/>
      <c r="LTJ33" s="537"/>
      <c r="LTK33" s="537"/>
      <c r="LTL33" s="537"/>
      <c r="LTM33" s="537"/>
      <c r="LTN33" s="537"/>
      <c r="LTO33" s="537"/>
      <c r="LTP33" s="537"/>
      <c r="LTQ33" s="537"/>
      <c r="LTR33" s="537"/>
      <c r="LTS33" s="537"/>
      <c r="LTT33" s="537"/>
      <c r="LTU33" s="537"/>
      <c r="LTV33" s="537"/>
      <c r="LTW33" s="537"/>
      <c r="LTX33" s="537"/>
      <c r="LTY33" s="537"/>
      <c r="LTZ33" s="537"/>
      <c r="LUA33" s="537"/>
      <c r="LUB33" s="537"/>
      <c r="LUC33" s="537"/>
      <c r="LUD33" s="537"/>
      <c r="LUE33" s="537"/>
      <c r="LUF33" s="537"/>
      <c r="LUG33" s="537"/>
      <c r="LUH33" s="537"/>
      <c r="LUI33" s="537"/>
      <c r="LUJ33" s="537"/>
      <c r="LUK33" s="537"/>
      <c r="LUL33" s="537"/>
      <c r="LUM33" s="537"/>
      <c r="LUN33" s="537"/>
      <c r="LUO33" s="537"/>
      <c r="LUP33" s="537"/>
      <c r="LUQ33" s="537"/>
      <c r="LUR33" s="537"/>
      <c r="LUS33" s="537"/>
      <c r="LUT33" s="537"/>
      <c r="LUU33" s="537"/>
      <c r="LUV33" s="537"/>
      <c r="LUW33" s="537"/>
      <c r="LUX33" s="537"/>
      <c r="LUY33" s="537"/>
      <c r="LUZ33" s="537"/>
      <c r="LVA33" s="537"/>
      <c r="LVB33" s="537"/>
      <c r="LVC33" s="537"/>
      <c r="LVD33" s="537"/>
      <c r="LVE33" s="537"/>
      <c r="LVF33" s="537"/>
      <c r="LVG33" s="537"/>
      <c r="LVH33" s="537"/>
      <c r="LVI33" s="537"/>
      <c r="LVJ33" s="537"/>
      <c r="LVK33" s="537"/>
      <c r="LVL33" s="537"/>
      <c r="LVM33" s="537"/>
      <c r="LVN33" s="537"/>
      <c r="LVO33" s="537"/>
      <c r="LVP33" s="537"/>
      <c r="LVQ33" s="537"/>
      <c r="LVR33" s="537"/>
      <c r="LVS33" s="537"/>
      <c r="LVT33" s="537"/>
      <c r="LVU33" s="537"/>
      <c r="LVV33" s="537"/>
      <c r="LVW33" s="537"/>
      <c r="LVX33" s="537"/>
      <c r="LVY33" s="537"/>
      <c r="LVZ33" s="537"/>
      <c r="LWA33" s="537"/>
      <c r="LWB33" s="537"/>
      <c r="LWC33" s="537"/>
      <c r="LWD33" s="537"/>
      <c r="LWE33" s="537"/>
      <c r="LWF33" s="537"/>
      <c r="LWG33" s="537"/>
      <c r="LWH33" s="537"/>
      <c r="LWI33" s="537"/>
      <c r="LWJ33" s="537"/>
      <c r="LWK33" s="537"/>
      <c r="LWL33" s="537"/>
      <c r="LWM33" s="537"/>
      <c r="LWN33" s="537"/>
      <c r="LWO33" s="537"/>
      <c r="LWP33" s="537"/>
      <c r="LWQ33" s="537"/>
      <c r="LWR33" s="537"/>
      <c r="LWS33" s="537"/>
      <c r="LWT33" s="537"/>
      <c r="LWU33" s="537"/>
      <c r="LWV33" s="537"/>
      <c r="LWW33" s="537"/>
      <c r="LWX33" s="537"/>
      <c r="LWY33" s="537"/>
      <c r="LWZ33" s="537"/>
      <c r="LXA33" s="537"/>
      <c r="LXB33" s="537"/>
      <c r="LXC33" s="537"/>
      <c r="LXD33" s="537"/>
      <c r="LXE33" s="537"/>
      <c r="LXF33" s="537"/>
      <c r="LXG33" s="537"/>
      <c r="LXH33" s="537"/>
      <c r="LXI33" s="537"/>
      <c r="LXJ33" s="537"/>
      <c r="LXK33" s="537"/>
      <c r="LXL33" s="537"/>
      <c r="LXM33" s="537"/>
      <c r="LXN33" s="537"/>
      <c r="LXO33" s="537"/>
      <c r="LXP33" s="537"/>
      <c r="LXQ33" s="537"/>
      <c r="LXR33" s="537"/>
      <c r="LXS33" s="537"/>
      <c r="LXT33" s="537"/>
      <c r="LXU33" s="537"/>
      <c r="LXV33" s="537"/>
      <c r="LXW33" s="537"/>
      <c r="LXX33" s="537"/>
      <c r="LXY33" s="537"/>
      <c r="LXZ33" s="537"/>
      <c r="LYA33" s="537"/>
      <c r="LYB33" s="537"/>
      <c r="LYC33" s="537"/>
      <c r="LYD33" s="537"/>
      <c r="LYE33" s="537"/>
      <c r="LYF33" s="537"/>
      <c r="LYG33" s="537"/>
      <c r="LYH33" s="537"/>
      <c r="LYI33" s="537"/>
      <c r="LYJ33" s="537"/>
      <c r="LYK33" s="537"/>
      <c r="LYL33" s="537"/>
      <c r="LYM33" s="537"/>
      <c r="LYN33" s="537"/>
      <c r="LYO33" s="537"/>
      <c r="LYP33" s="537"/>
      <c r="LYQ33" s="537"/>
      <c r="LYR33" s="537"/>
      <c r="LYS33" s="537"/>
      <c r="LYT33" s="537"/>
      <c r="LYU33" s="537"/>
      <c r="LYV33" s="537"/>
      <c r="LYW33" s="537"/>
      <c r="LYX33" s="537"/>
      <c r="LYY33" s="537"/>
      <c r="LYZ33" s="537"/>
      <c r="LZA33" s="537"/>
      <c r="LZB33" s="537"/>
      <c r="LZC33" s="537"/>
      <c r="LZD33" s="537"/>
      <c r="LZE33" s="537"/>
      <c r="LZF33" s="537"/>
      <c r="LZG33" s="537"/>
      <c r="LZH33" s="537"/>
      <c r="LZI33" s="537"/>
      <c r="LZJ33" s="537"/>
      <c r="LZK33" s="537"/>
      <c r="LZL33" s="537"/>
      <c r="LZM33" s="537"/>
      <c r="LZN33" s="537"/>
      <c r="LZO33" s="537"/>
      <c r="LZP33" s="537"/>
      <c r="LZQ33" s="537"/>
      <c r="LZR33" s="537"/>
      <c r="LZS33" s="537"/>
      <c r="LZT33" s="537"/>
      <c r="LZU33" s="537"/>
      <c r="LZV33" s="537"/>
      <c r="LZW33" s="537"/>
      <c r="LZX33" s="537"/>
      <c r="LZY33" s="537"/>
      <c r="LZZ33" s="537"/>
      <c r="MAA33" s="537"/>
      <c r="MAB33" s="537"/>
      <c r="MAC33" s="537"/>
      <c r="MAD33" s="537"/>
      <c r="MAE33" s="537"/>
      <c r="MAF33" s="537"/>
      <c r="MAG33" s="537"/>
      <c r="MAH33" s="537"/>
      <c r="MAI33" s="537"/>
      <c r="MAJ33" s="537"/>
      <c r="MAK33" s="537"/>
      <c r="MAL33" s="537"/>
      <c r="MAM33" s="537"/>
      <c r="MAN33" s="537"/>
      <c r="MAO33" s="537"/>
      <c r="MAP33" s="537"/>
      <c r="MAQ33" s="537"/>
      <c r="MAR33" s="537"/>
      <c r="MAS33" s="537"/>
      <c r="MAT33" s="537"/>
      <c r="MAU33" s="537"/>
      <c r="MAV33" s="537"/>
      <c r="MAW33" s="537"/>
      <c r="MAX33" s="537"/>
      <c r="MAY33" s="537"/>
      <c r="MAZ33" s="537"/>
      <c r="MBA33" s="537"/>
      <c r="MBB33" s="537"/>
      <c r="MBC33" s="537"/>
      <c r="MBD33" s="537"/>
      <c r="MBE33" s="537"/>
      <c r="MBF33" s="537"/>
      <c r="MBG33" s="537"/>
      <c r="MBH33" s="537"/>
      <c r="MBI33" s="537"/>
      <c r="MBJ33" s="537"/>
      <c r="MBK33" s="537"/>
      <c r="MBL33" s="537"/>
      <c r="MBM33" s="537"/>
      <c r="MBN33" s="537"/>
      <c r="MBO33" s="537"/>
      <c r="MBP33" s="537"/>
      <c r="MBQ33" s="537"/>
      <c r="MBR33" s="537"/>
      <c r="MBS33" s="537"/>
      <c r="MBT33" s="537"/>
      <c r="MBU33" s="537"/>
      <c r="MBV33" s="537"/>
      <c r="MBW33" s="537"/>
      <c r="MBX33" s="537"/>
      <c r="MBY33" s="537"/>
      <c r="MBZ33" s="537"/>
      <c r="MCA33" s="537"/>
      <c r="MCB33" s="537"/>
      <c r="MCC33" s="537"/>
      <c r="MCD33" s="537"/>
      <c r="MCE33" s="537"/>
      <c r="MCF33" s="537"/>
      <c r="MCG33" s="537"/>
      <c r="MCH33" s="537"/>
      <c r="MCI33" s="537"/>
      <c r="MCJ33" s="537"/>
      <c r="MCK33" s="537"/>
      <c r="MCL33" s="537"/>
      <c r="MCM33" s="537"/>
      <c r="MCN33" s="537"/>
      <c r="MCO33" s="537"/>
      <c r="MCP33" s="537"/>
      <c r="MCQ33" s="537"/>
      <c r="MCR33" s="537"/>
      <c r="MCS33" s="537"/>
      <c r="MCT33" s="537"/>
      <c r="MCU33" s="537"/>
      <c r="MCV33" s="537"/>
      <c r="MCW33" s="537"/>
      <c r="MCX33" s="537"/>
      <c r="MCY33" s="537"/>
      <c r="MCZ33" s="537"/>
      <c r="MDA33" s="537"/>
      <c r="MDB33" s="537"/>
      <c r="MDC33" s="537"/>
      <c r="MDD33" s="537"/>
      <c r="MDE33" s="537"/>
      <c r="MDF33" s="537"/>
      <c r="MDG33" s="537"/>
      <c r="MDH33" s="537"/>
      <c r="MDI33" s="537"/>
      <c r="MDJ33" s="537"/>
      <c r="MDK33" s="537"/>
      <c r="MDL33" s="537"/>
      <c r="MDM33" s="537"/>
      <c r="MDN33" s="537"/>
      <c r="MDO33" s="537"/>
      <c r="MDP33" s="537"/>
      <c r="MDQ33" s="537"/>
      <c r="MDR33" s="537"/>
      <c r="MDS33" s="537"/>
      <c r="MDT33" s="537"/>
      <c r="MDU33" s="537"/>
      <c r="MDV33" s="537"/>
      <c r="MDW33" s="537"/>
      <c r="MDX33" s="537"/>
      <c r="MDY33" s="537"/>
      <c r="MDZ33" s="537"/>
      <c r="MEA33" s="537"/>
      <c r="MEB33" s="537"/>
      <c r="MEC33" s="537"/>
      <c r="MED33" s="537"/>
      <c r="MEE33" s="537"/>
      <c r="MEF33" s="537"/>
      <c r="MEG33" s="537"/>
      <c r="MEH33" s="537"/>
      <c r="MEI33" s="537"/>
      <c r="MEJ33" s="537"/>
      <c r="MEK33" s="537"/>
      <c r="MEL33" s="537"/>
      <c r="MEM33" s="537"/>
      <c r="MEN33" s="537"/>
      <c r="MEO33" s="537"/>
      <c r="MEP33" s="537"/>
      <c r="MEQ33" s="537"/>
      <c r="MER33" s="537"/>
      <c r="MES33" s="537"/>
      <c r="MET33" s="537"/>
      <c r="MEU33" s="537"/>
      <c r="MEV33" s="537"/>
      <c r="MEW33" s="537"/>
      <c r="MEX33" s="537"/>
      <c r="MEY33" s="537"/>
      <c r="MEZ33" s="537"/>
      <c r="MFA33" s="537"/>
      <c r="MFB33" s="537"/>
      <c r="MFC33" s="537"/>
      <c r="MFD33" s="537"/>
      <c r="MFE33" s="537"/>
      <c r="MFF33" s="537"/>
      <c r="MFG33" s="537"/>
      <c r="MFH33" s="537"/>
      <c r="MFI33" s="537"/>
      <c r="MFJ33" s="537"/>
      <c r="MFK33" s="537"/>
      <c r="MFL33" s="537"/>
      <c r="MFM33" s="537"/>
      <c r="MFN33" s="537"/>
      <c r="MFO33" s="537"/>
      <c r="MFP33" s="537"/>
      <c r="MFQ33" s="537"/>
      <c r="MFR33" s="537"/>
      <c r="MFS33" s="537"/>
      <c r="MFT33" s="537"/>
      <c r="MFU33" s="537"/>
      <c r="MFV33" s="537"/>
      <c r="MFW33" s="537"/>
      <c r="MFX33" s="537"/>
      <c r="MFY33" s="537"/>
      <c r="MFZ33" s="537"/>
      <c r="MGA33" s="537"/>
      <c r="MGB33" s="537"/>
      <c r="MGC33" s="537"/>
      <c r="MGD33" s="537"/>
      <c r="MGE33" s="537"/>
      <c r="MGF33" s="537"/>
      <c r="MGG33" s="537"/>
      <c r="MGH33" s="537"/>
      <c r="MGI33" s="537"/>
      <c r="MGJ33" s="537"/>
      <c r="MGK33" s="537"/>
      <c r="MGL33" s="537"/>
      <c r="MGM33" s="537"/>
      <c r="MGN33" s="537"/>
      <c r="MGO33" s="537"/>
      <c r="MGP33" s="537"/>
      <c r="MGQ33" s="537"/>
      <c r="MGR33" s="537"/>
      <c r="MGS33" s="537"/>
      <c r="MGT33" s="537"/>
      <c r="MGU33" s="537"/>
      <c r="MGV33" s="537"/>
      <c r="MGW33" s="537"/>
      <c r="MGX33" s="537"/>
      <c r="MGY33" s="537"/>
      <c r="MGZ33" s="537"/>
      <c r="MHA33" s="537"/>
      <c r="MHB33" s="537"/>
      <c r="MHC33" s="537"/>
      <c r="MHD33" s="537"/>
      <c r="MHE33" s="537"/>
      <c r="MHF33" s="537"/>
      <c r="MHG33" s="537"/>
      <c r="MHH33" s="537"/>
      <c r="MHI33" s="537"/>
      <c r="MHJ33" s="537"/>
      <c r="MHK33" s="537"/>
      <c r="MHL33" s="537"/>
      <c r="MHM33" s="537"/>
      <c r="MHN33" s="537"/>
      <c r="MHO33" s="537"/>
      <c r="MHP33" s="537"/>
      <c r="MHQ33" s="537"/>
      <c r="MHR33" s="537"/>
      <c r="MHS33" s="537"/>
      <c r="MHT33" s="537"/>
      <c r="MHU33" s="537"/>
      <c r="MHV33" s="537"/>
      <c r="MHW33" s="537"/>
      <c r="MHX33" s="537"/>
      <c r="MHY33" s="537"/>
      <c r="MHZ33" s="537"/>
      <c r="MIA33" s="537"/>
      <c r="MIB33" s="537"/>
      <c r="MIC33" s="537"/>
      <c r="MID33" s="537"/>
      <c r="MIE33" s="537"/>
      <c r="MIF33" s="537"/>
      <c r="MIG33" s="537"/>
      <c r="MIH33" s="537"/>
      <c r="MII33" s="537"/>
      <c r="MIJ33" s="537"/>
      <c r="MIK33" s="537"/>
      <c r="MIL33" s="537"/>
      <c r="MIM33" s="537"/>
      <c r="MIN33" s="537"/>
      <c r="MIO33" s="537"/>
      <c r="MIP33" s="537"/>
      <c r="MIQ33" s="537"/>
      <c r="MIR33" s="537"/>
      <c r="MIS33" s="537"/>
      <c r="MIT33" s="537"/>
      <c r="MIU33" s="537"/>
      <c r="MIV33" s="537"/>
      <c r="MIW33" s="537"/>
      <c r="MIX33" s="537"/>
      <c r="MIY33" s="537"/>
      <c r="MIZ33" s="537"/>
      <c r="MJA33" s="537"/>
      <c r="MJB33" s="537"/>
      <c r="MJC33" s="537"/>
      <c r="MJD33" s="537"/>
      <c r="MJE33" s="537"/>
      <c r="MJF33" s="537"/>
      <c r="MJG33" s="537"/>
      <c r="MJH33" s="537"/>
      <c r="MJI33" s="537"/>
      <c r="MJJ33" s="537"/>
      <c r="MJK33" s="537"/>
      <c r="MJL33" s="537"/>
      <c r="MJM33" s="537"/>
      <c r="MJN33" s="537"/>
      <c r="MJO33" s="537"/>
      <c r="MJP33" s="537"/>
      <c r="MJQ33" s="537"/>
      <c r="MJR33" s="537"/>
      <c r="MJS33" s="537"/>
      <c r="MJT33" s="537"/>
      <c r="MJU33" s="537"/>
      <c r="MJV33" s="537"/>
      <c r="MJW33" s="537"/>
      <c r="MJX33" s="537"/>
      <c r="MJY33" s="537"/>
      <c r="MJZ33" s="537"/>
      <c r="MKA33" s="537"/>
      <c r="MKB33" s="537"/>
      <c r="MKC33" s="537"/>
      <c r="MKD33" s="537"/>
      <c r="MKE33" s="537"/>
      <c r="MKF33" s="537"/>
      <c r="MKG33" s="537"/>
      <c r="MKH33" s="537"/>
      <c r="MKI33" s="537"/>
      <c r="MKJ33" s="537"/>
      <c r="MKK33" s="537"/>
      <c r="MKL33" s="537"/>
      <c r="MKM33" s="537"/>
      <c r="MKN33" s="537"/>
      <c r="MKO33" s="537"/>
      <c r="MKP33" s="537"/>
      <c r="MKQ33" s="537"/>
      <c r="MKR33" s="537"/>
      <c r="MKS33" s="537"/>
      <c r="MKT33" s="537"/>
      <c r="MKU33" s="537"/>
      <c r="MKV33" s="537"/>
      <c r="MKW33" s="537"/>
      <c r="MKX33" s="537"/>
      <c r="MKY33" s="537"/>
      <c r="MKZ33" s="537"/>
      <c r="MLA33" s="537"/>
      <c r="MLB33" s="537"/>
      <c r="MLC33" s="537"/>
      <c r="MLD33" s="537"/>
      <c r="MLE33" s="537"/>
      <c r="MLF33" s="537"/>
      <c r="MLG33" s="537"/>
      <c r="MLH33" s="537"/>
      <c r="MLI33" s="537"/>
      <c r="MLJ33" s="537"/>
      <c r="MLK33" s="537"/>
      <c r="MLL33" s="537"/>
      <c r="MLM33" s="537"/>
      <c r="MLN33" s="537"/>
      <c r="MLO33" s="537"/>
      <c r="MLP33" s="537"/>
      <c r="MLQ33" s="537"/>
      <c r="MLR33" s="537"/>
      <c r="MLS33" s="537"/>
      <c r="MLT33" s="537"/>
      <c r="MLU33" s="537"/>
      <c r="MLV33" s="537"/>
      <c r="MLW33" s="537"/>
      <c r="MLX33" s="537"/>
      <c r="MLY33" s="537"/>
      <c r="MLZ33" s="537"/>
      <c r="MMA33" s="537"/>
      <c r="MMB33" s="537"/>
      <c r="MMC33" s="537"/>
      <c r="MMD33" s="537"/>
      <c r="MME33" s="537"/>
      <c r="MMF33" s="537"/>
      <c r="MMG33" s="537"/>
      <c r="MMH33" s="537"/>
      <c r="MMI33" s="537"/>
      <c r="MMJ33" s="537"/>
      <c r="MMK33" s="537"/>
      <c r="MML33" s="537"/>
      <c r="MMM33" s="537"/>
      <c r="MMN33" s="537"/>
      <c r="MMO33" s="537"/>
      <c r="MMP33" s="537"/>
      <c r="MMQ33" s="537"/>
      <c r="MMR33" s="537"/>
      <c r="MMS33" s="537"/>
      <c r="MMT33" s="537"/>
      <c r="MMU33" s="537"/>
      <c r="MMV33" s="537"/>
      <c r="MMW33" s="537"/>
      <c r="MMX33" s="537"/>
      <c r="MMY33" s="537"/>
      <c r="MMZ33" s="537"/>
      <c r="MNA33" s="537"/>
      <c r="MNB33" s="537"/>
      <c r="MNC33" s="537"/>
      <c r="MND33" s="537"/>
      <c r="MNE33" s="537"/>
      <c r="MNF33" s="537"/>
      <c r="MNG33" s="537"/>
      <c r="MNH33" s="537"/>
      <c r="MNI33" s="537"/>
      <c r="MNJ33" s="537"/>
      <c r="MNK33" s="537"/>
      <c r="MNL33" s="537"/>
      <c r="MNM33" s="537"/>
      <c r="MNN33" s="537"/>
      <c r="MNO33" s="537"/>
      <c r="MNP33" s="537"/>
      <c r="MNQ33" s="537"/>
      <c r="MNR33" s="537"/>
      <c r="MNS33" s="537"/>
      <c r="MNT33" s="537"/>
      <c r="MNU33" s="537"/>
      <c r="MNV33" s="537"/>
      <c r="MNW33" s="537"/>
      <c r="MNX33" s="537"/>
      <c r="MNY33" s="537"/>
      <c r="MNZ33" s="537"/>
      <c r="MOA33" s="537"/>
      <c r="MOB33" s="537"/>
      <c r="MOC33" s="537"/>
      <c r="MOD33" s="537"/>
      <c r="MOE33" s="537"/>
      <c r="MOF33" s="537"/>
      <c r="MOG33" s="537"/>
      <c r="MOH33" s="537"/>
      <c r="MOI33" s="537"/>
      <c r="MOJ33" s="537"/>
      <c r="MOK33" s="537"/>
      <c r="MOL33" s="537"/>
      <c r="MOM33" s="537"/>
      <c r="MON33" s="537"/>
      <c r="MOO33" s="537"/>
      <c r="MOP33" s="537"/>
      <c r="MOQ33" s="537"/>
      <c r="MOR33" s="537"/>
      <c r="MOS33" s="537"/>
      <c r="MOT33" s="537"/>
      <c r="MOU33" s="537"/>
      <c r="MOV33" s="537"/>
      <c r="MOW33" s="537"/>
      <c r="MOX33" s="537"/>
      <c r="MOY33" s="537"/>
      <c r="MOZ33" s="537"/>
      <c r="MPA33" s="537"/>
      <c r="MPB33" s="537"/>
      <c r="MPC33" s="537"/>
      <c r="MPD33" s="537"/>
      <c r="MPE33" s="537"/>
      <c r="MPF33" s="537"/>
      <c r="MPG33" s="537"/>
      <c r="MPH33" s="537"/>
      <c r="MPI33" s="537"/>
      <c r="MPJ33" s="537"/>
      <c r="MPK33" s="537"/>
      <c r="MPL33" s="537"/>
      <c r="MPM33" s="537"/>
      <c r="MPN33" s="537"/>
      <c r="MPO33" s="537"/>
      <c r="MPP33" s="537"/>
      <c r="MPQ33" s="537"/>
      <c r="MPR33" s="537"/>
      <c r="MPS33" s="537"/>
      <c r="MPT33" s="537"/>
      <c r="MPU33" s="537"/>
      <c r="MPV33" s="537"/>
      <c r="MPW33" s="537"/>
      <c r="MPX33" s="537"/>
      <c r="MPY33" s="537"/>
      <c r="MPZ33" s="537"/>
      <c r="MQA33" s="537"/>
      <c r="MQB33" s="537"/>
      <c r="MQC33" s="537"/>
      <c r="MQD33" s="537"/>
      <c r="MQE33" s="537"/>
      <c r="MQF33" s="537"/>
      <c r="MQG33" s="537"/>
      <c r="MQH33" s="537"/>
      <c r="MQI33" s="537"/>
      <c r="MQJ33" s="537"/>
      <c r="MQK33" s="537"/>
      <c r="MQL33" s="537"/>
      <c r="MQM33" s="537"/>
      <c r="MQN33" s="537"/>
      <c r="MQO33" s="537"/>
      <c r="MQP33" s="537"/>
      <c r="MQQ33" s="537"/>
      <c r="MQR33" s="537"/>
      <c r="MQS33" s="537"/>
      <c r="MQT33" s="537"/>
      <c r="MQU33" s="537"/>
      <c r="MQV33" s="537"/>
      <c r="MQW33" s="537"/>
      <c r="MQX33" s="537"/>
      <c r="MQY33" s="537"/>
      <c r="MQZ33" s="537"/>
      <c r="MRA33" s="537"/>
      <c r="MRB33" s="537"/>
      <c r="MRC33" s="537"/>
      <c r="MRD33" s="537"/>
      <c r="MRE33" s="537"/>
      <c r="MRF33" s="537"/>
      <c r="MRG33" s="537"/>
      <c r="MRH33" s="537"/>
      <c r="MRI33" s="537"/>
      <c r="MRJ33" s="537"/>
      <c r="MRK33" s="537"/>
      <c r="MRL33" s="537"/>
      <c r="MRM33" s="537"/>
      <c r="MRN33" s="537"/>
      <c r="MRO33" s="537"/>
      <c r="MRP33" s="537"/>
      <c r="MRQ33" s="537"/>
      <c r="MRR33" s="537"/>
      <c r="MRS33" s="537"/>
      <c r="MRT33" s="537"/>
      <c r="MRU33" s="537"/>
      <c r="MRV33" s="537"/>
      <c r="MRW33" s="537"/>
      <c r="MRX33" s="537"/>
      <c r="MRY33" s="537"/>
      <c r="MRZ33" s="537"/>
      <c r="MSA33" s="537"/>
      <c r="MSB33" s="537"/>
      <c r="MSC33" s="537"/>
      <c r="MSD33" s="537"/>
      <c r="MSE33" s="537"/>
      <c r="MSF33" s="537"/>
      <c r="MSG33" s="537"/>
      <c r="MSH33" s="537"/>
      <c r="MSI33" s="537"/>
      <c r="MSJ33" s="537"/>
      <c r="MSK33" s="537"/>
      <c r="MSL33" s="537"/>
      <c r="MSM33" s="537"/>
      <c r="MSN33" s="537"/>
      <c r="MSO33" s="537"/>
      <c r="MSP33" s="537"/>
      <c r="MSQ33" s="537"/>
      <c r="MSR33" s="537"/>
      <c r="MSS33" s="537"/>
      <c r="MST33" s="537"/>
      <c r="MSU33" s="537"/>
      <c r="MSV33" s="537"/>
      <c r="MSW33" s="537"/>
      <c r="MSX33" s="537"/>
      <c r="MSY33" s="537"/>
      <c r="MSZ33" s="537"/>
      <c r="MTA33" s="537"/>
      <c r="MTB33" s="537"/>
      <c r="MTC33" s="537"/>
      <c r="MTD33" s="537"/>
      <c r="MTE33" s="537"/>
      <c r="MTF33" s="537"/>
      <c r="MTG33" s="537"/>
      <c r="MTH33" s="537"/>
      <c r="MTI33" s="537"/>
      <c r="MTJ33" s="537"/>
      <c r="MTK33" s="537"/>
      <c r="MTL33" s="537"/>
      <c r="MTM33" s="537"/>
      <c r="MTN33" s="537"/>
      <c r="MTO33" s="537"/>
      <c r="MTP33" s="537"/>
      <c r="MTQ33" s="537"/>
      <c r="MTR33" s="537"/>
      <c r="MTS33" s="537"/>
      <c r="MTT33" s="537"/>
      <c r="MTU33" s="537"/>
      <c r="MTV33" s="537"/>
      <c r="MTW33" s="537"/>
      <c r="MTX33" s="537"/>
      <c r="MTY33" s="537"/>
      <c r="MTZ33" s="537"/>
      <c r="MUA33" s="537"/>
      <c r="MUB33" s="537"/>
      <c r="MUC33" s="537"/>
      <c r="MUD33" s="537"/>
      <c r="MUE33" s="537"/>
      <c r="MUF33" s="537"/>
      <c r="MUG33" s="537"/>
      <c r="MUH33" s="537"/>
      <c r="MUI33" s="537"/>
      <c r="MUJ33" s="537"/>
      <c r="MUK33" s="537"/>
      <c r="MUL33" s="537"/>
      <c r="MUM33" s="537"/>
      <c r="MUN33" s="537"/>
      <c r="MUO33" s="537"/>
      <c r="MUP33" s="537"/>
      <c r="MUQ33" s="537"/>
      <c r="MUR33" s="537"/>
      <c r="MUS33" s="537"/>
      <c r="MUT33" s="537"/>
      <c r="MUU33" s="537"/>
      <c r="MUV33" s="537"/>
      <c r="MUW33" s="537"/>
      <c r="MUX33" s="537"/>
      <c r="MUY33" s="537"/>
      <c r="MUZ33" s="537"/>
      <c r="MVA33" s="537"/>
      <c r="MVB33" s="537"/>
      <c r="MVC33" s="537"/>
      <c r="MVD33" s="537"/>
      <c r="MVE33" s="537"/>
      <c r="MVF33" s="537"/>
      <c r="MVG33" s="537"/>
      <c r="MVH33" s="537"/>
      <c r="MVI33" s="537"/>
      <c r="MVJ33" s="537"/>
      <c r="MVK33" s="537"/>
      <c r="MVL33" s="537"/>
      <c r="MVM33" s="537"/>
      <c r="MVN33" s="537"/>
      <c r="MVO33" s="537"/>
      <c r="MVP33" s="537"/>
      <c r="MVQ33" s="537"/>
      <c r="MVR33" s="537"/>
      <c r="MVS33" s="537"/>
      <c r="MVT33" s="537"/>
      <c r="MVU33" s="537"/>
      <c r="MVV33" s="537"/>
      <c r="MVW33" s="537"/>
      <c r="MVX33" s="537"/>
      <c r="MVY33" s="537"/>
      <c r="MVZ33" s="537"/>
      <c r="MWA33" s="537"/>
      <c r="MWB33" s="537"/>
      <c r="MWC33" s="537"/>
      <c r="MWD33" s="537"/>
      <c r="MWE33" s="537"/>
      <c r="MWF33" s="537"/>
      <c r="MWG33" s="537"/>
      <c r="MWH33" s="537"/>
      <c r="MWI33" s="537"/>
      <c r="MWJ33" s="537"/>
      <c r="MWK33" s="537"/>
      <c r="MWL33" s="537"/>
      <c r="MWM33" s="537"/>
      <c r="MWN33" s="537"/>
      <c r="MWO33" s="537"/>
      <c r="MWP33" s="537"/>
      <c r="MWQ33" s="537"/>
      <c r="MWR33" s="537"/>
      <c r="MWS33" s="537"/>
      <c r="MWT33" s="537"/>
      <c r="MWU33" s="537"/>
      <c r="MWV33" s="537"/>
      <c r="MWW33" s="537"/>
      <c r="MWX33" s="537"/>
      <c r="MWY33" s="537"/>
      <c r="MWZ33" s="537"/>
      <c r="MXA33" s="537"/>
      <c r="MXB33" s="537"/>
      <c r="MXC33" s="537"/>
      <c r="MXD33" s="537"/>
      <c r="MXE33" s="537"/>
      <c r="MXF33" s="537"/>
      <c r="MXG33" s="537"/>
      <c r="MXH33" s="537"/>
      <c r="MXI33" s="537"/>
      <c r="MXJ33" s="537"/>
      <c r="MXK33" s="537"/>
      <c r="MXL33" s="537"/>
      <c r="MXM33" s="537"/>
      <c r="MXN33" s="537"/>
      <c r="MXO33" s="537"/>
      <c r="MXP33" s="537"/>
      <c r="MXQ33" s="537"/>
      <c r="MXR33" s="537"/>
      <c r="MXS33" s="537"/>
      <c r="MXT33" s="537"/>
      <c r="MXU33" s="537"/>
      <c r="MXV33" s="537"/>
      <c r="MXW33" s="537"/>
      <c r="MXX33" s="537"/>
      <c r="MXY33" s="537"/>
      <c r="MXZ33" s="537"/>
      <c r="MYA33" s="537"/>
      <c r="MYB33" s="537"/>
      <c r="MYC33" s="537"/>
      <c r="MYD33" s="537"/>
      <c r="MYE33" s="537"/>
      <c r="MYF33" s="537"/>
      <c r="MYG33" s="537"/>
      <c r="MYH33" s="537"/>
      <c r="MYI33" s="537"/>
      <c r="MYJ33" s="537"/>
      <c r="MYK33" s="537"/>
      <c r="MYL33" s="537"/>
      <c r="MYM33" s="537"/>
      <c r="MYN33" s="537"/>
      <c r="MYO33" s="537"/>
      <c r="MYP33" s="537"/>
      <c r="MYQ33" s="537"/>
      <c r="MYR33" s="537"/>
      <c r="MYS33" s="537"/>
      <c r="MYT33" s="537"/>
      <c r="MYU33" s="537"/>
      <c r="MYV33" s="537"/>
      <c r="MYW33" s="537"/>
      <c r="MYX33" s="537"/>
      <c r="MYY33" s="537"/>
      <c r="MYZ33" s="537"/>
      <c r="MZA33" s="537"/>
      <c r="MZB33" s="537"/>
      <c r="MZC33" s="537"/>
      <c r="MZD33" s="537"/>
      <c r="MZE33" s="537"/>
      <c r="MZF33" s="537"/>
      <c r="MZG33" s="537"/>
      <c r="MZH33" s="537"/>
      <c r="MZI33" s="537"/>
      <c r="MZJ33" s="537"/>
      <c r="MZK33" s="537"/>
      <c r="MZL33" s="537"/>
      <c r="MZM33" s="537"/>
      <c r="MZN33" s="537"/>
      <c r="MZO33" s="537"/>
      <c r="MZP33" s="537"/>
      <c r="MZQ33" s="537"/>
      <c r="MZR33" s="537"/>
      <c r="MZS33" s="537"/>
      <c r="MZT33" s="537"/>
      <c r="MZU33" s="537"/>
      <c r="MZV33" s="537"/>
      <c r="MZW33" s="537"/>
      <c r="MZX33" s="537"/>
      <c r="MZY33" s="537"/>
      <c r="MZZ33" s="537"/>
      <c r="NAA33" s="537"/>
      <c r="NAB33" s="537"/>
      <c r="NAC33" s="537"/>
      <c r="NAD33" s="537"/>
      <c r="NAE33" s="537"/>
      <c r="NAF33" s="537"/>
      <c r="NAG33" s="537"/>
      <c r="NAH33" s="537"/>
      <c r="NAI33" s="537"/>
      <c r="NAJ33" s="537"/>
      <c r="NAK33" s="537"/>
      <c r="NAL33" s="537"/>
      <c r="NAM33" s="537"/>
      <c r="NAN33" s="537"/>
      <c r="NAO33" s="537"/>
      <c r="NAP33" s="537"/>
      <c r="NAQ33" s="537"/>
      <c r="NAR33" s="537"/>
      <c r="NAS33" s="537"/>
      <c r="NAT33" s="537"/>
      <c r="NAU33" s="537"/>
      <c r="NAV33" s="537"/>
      <c r="NAW33" s="537"/>
      <c r="NAX33" s="537"/>
      <c r="NAY33" s="537"/>
      <c r="NAZ33" s="537"/>
      <c r="NBA33" s="537"/>
      <c r="NBB33" s="537"/>
      <c r="NBC33" s="537"/>
      <c r="NBD33" s="537"/>
      <c r="NBE33" s="537"/>
      <c r="NBF33" s="537"/>
      <c r="NBG33" s="537"/>
      <c r="NBH33" s="537"/>
      <c r="NBI33" s="537"/>
      <c r="NBJ33" s="537"/>
      <c r="NBK33" s="537"/>
      <c r="NBL33" s="537"/>
      <c r="NBM33" s="537"/>
      <c r="NBN33" s="537"/>
      <c r="NBO33" s="537"/>
      <c r="NBP33" s="537"/>
      <c r="NBQ33" s="537"/>
      <c r="NBR33" s="537"/>
      <c r="NBS33" s="537"/>
      <c r="NBT33" s="537"/>
      <c r="NBU33" s="537"/>
      <c r="NBV33" s="537"/>
      <c r="NBW33" s="537"/>
      <c r="NBX33" s="537"/>
      <c r="NBY33" s="537"/>
      <c r="NBZ33" s="537"/>
      <c r="NCA33" s="537"/>
      <c r="NCB33" s="537"/>
      <c r="NCC33" s="537"/>
      <c r="NCD33" s="537"/>
      <c r="NCE33" s="537"/>
      <c r="NCF33" s="537"/>
      <c r="NCG33" s="537"/>
      <c r="NCH33" s="537"/>
      <c r="NCI33" s="537"/>
      <c r="NCJ33" s="537"/>
      <c r="NCK33" s="537"/>
      <c r="NCL33" s="537"/>
      <c r="NCM33" s="537"/>
      <c r="NCN33" s="537"/>
      <c r="NCO33" s="537"/>
      <c r="NCP33" s="537"/>
      <c r="NCQ33" s="537"/>
      <c r="NCR33" s="537"/>
      <c r="NCS33" s="537"/>
      <c r="NCT33" s="537"/>
      <c r="NCU33" s="537"/>
      <c r="NCV33" s="537"/>
      <c r="NCW33" s="537"/>
      <c r="NCX33" s="537"/>
      <c r="NCY33" s="537"/>
      <c r="NCZ33" s="537"/>
      <c r="NDA33" s="537"/>
      <c r="NDB33" s="537"/>
      <c r="NDC33" s="537"/>
      <c r="NDD33" s="537"/>
      <c r="NDE33" s="537"/>
      <c r="NDF33" s="537"/>
      <c r="NDG33" s="537"/>
      <c r="NDH33" s="537"/>
      <c r="NDI33" s="537"/>
      <c r="NDJ33" s="537"/>
      <c r="NDK33" s="537"/>
      <c r="NDL33" s="537"/>
      <c r="NDM33" s="537"/>
      <c r="NDN33" s="537"/>
      <c r="NDO33" s="537"/>
      <c r="NDP33" s="537"/>
      <c r="NDQ33" s="537"/>
      <c r="NDR33" s="537"/>
      <c r="NDS33" s="537"/>
      <c r="NDT33" s="537"/>
      <c r="NDU33" s="537"/>
      <c r="NDV33" s="537"/>
      <c r="NDW33" s="537"/>
      <c r="NDX33" s="537"/>
      <c r="NDY33" s="537"/>
      <c r="NDZ33" s="537"/>
      <c r="NEA33" s="537"/>
      <c r="NEB33" s="537"/>
      <c r="NEC33" s="537"/>
      <c r="NED33" s="537"/>
      <c r="NEE33" s="537"/>
      <c r="NEF33" s="537"/>
      <c r="NEG33" s="537"/>
      <c r="NEH33" s="537"/>
      <c r="NEI33" s="537"/>
      <c r="NEJ33" s="537"/>
      <c r="NEK33" s="537"/>
      <c r="NEL33" s="537"/>
      <c r="NEM33" s="537"/>
      <c r="NEN33" s="537"/>
      <c r="NEO33" s="537"/>
      <c r="NEP33" s="537"/>
      <c r="NEQ33" s="537"/>
      <c r="NER33" s="537"/>
      <c r="NES33" s="537"/>
      <c r="NET33" s="537"/>
      <c r="NEU33" s="537"/>
      <c r="NEV33" s="537"/>
      <c r="NEW33" s="537"/>
      <c r="NEX33" s="537"/>
      <c r="NEY33" s="537"/>
      <c r="NEZ33" s="537"/>
      <c r="NFA33" s="537"/>
      <c r="NFB33" s="537"/>
      <c r="NFC33" s="537"/>
      <c r="NFD33" s="537"/>
      <c r="NFE33" s="537"/>
      <c r="NFF33" s="537"/>
      <c r="NFG33" s="537"/>
      <c r="NFH33" s="537"/>
      <c r="NFI33" s="537"/>
      <c r="NFJ33" s="537"/>
      <c r="NFK33" s="537"/>
      <c r="NFL33" s="537"/>
      <c r="NFM33" s="537"/>
      <c r="NFN33" s="537"/>
      <c r="NFO33" s="537"/>
      <c r="NFP33" s="537"/>
      <c r="NFQ33" s="537"/>
      <c r="NFR33" s="537"/>
      <c r="NFS33" s="537"/>
      <c r="NFT33" s="537"/>
      <c r="NFU33" s="537"/>
      <c r="NFV33" s="537"/>
      <c r="NFW33" s="537"/>
      <c r="NFX33" s="537"/>
      <c r="NFY33" s="537"/>
      <c r="NFZ33" s="537"/>
      <c r="NGA33" s="537"/>
      <c r="NGB33" s="537"/>
      <c r="NGC33" s="537"/>
      <c r="NGD33" s="537"/>
      <c r="NGE33" s="537"/>
      <c r="NGF33" s="537"/>
      <c r="NGG33" s="537"/>
      <c r="NGH33" s="537"/>
      <c r="NGI33" s="537"/>
      <c r="NGJ33" s="537"/>
      <c r="NGK33" s="537"/>
      <c r="NGL33" s="537"/>
      <c r="NGM33" s="537"/>
      <c r="NGN33" s="537"/>
      <c r="NGO33" s="537"/>
      <c r="NGP33" s="537"/>
      <c r="NGQ33" s="537"/>
      <c r="NGR33" s="537"/>
      <c r="NGS33" s="537"/>
      <c r="NGT33" s="537"/>
      <c r="NGU33" s="537"/>
      <c r="NGV33" s="537"/>
      <c r="NGW33" s="537"/>
      <c r="NGX33" s="537"/>
      <c r="NGY33" s="537"/>
      <c r="NGZ33" s="537"/>
      <c r="NHA33" s="537"/>
      <c r="NHB33" s="537"/>
      <c r="NHC33" s="537"/>
      <c r="NHD33" s="537"/>
      <c r="NHE33" s="537"/>
      <c r="NHF33" s="537"/>
      <c r="NHG33" s="537"/>
      <c r="NHH33" s="537"/>
      <c r="NHI33" s="537"/>
      <c r="NHJ33" s="537"/>
      <c r="NHK33" s="537"/>
      <c r="NHL33" s="537"/>
      <c r="NHM33" s="537"/>
      <c r="NHN33" s="537"/>
      <c r="NHO33" s="537"/>
      <c r="NHP33" s="537"/>
      <c r="NHQ33" s="537"/>
      <c r="NHR33" s="537"/>
      <c r="NHS33" s="537"/>
      <c r="NHT33" s="537"/>
      <c r="NHU33" s="537"/>
      <c r="NHV33" s="537"/>
      <c r="NHW33" s="537"/>
      <c r="NHX33" s="537"/>
      <c r="NHY33" s="537"/>
      <c r="NHZ33" s="537"/>
      <c r="NIA33" s="537"/>
      <c r="NIB33" s="537"/>
      <c r="NIC33" s="537"/>
      <c r="NID33" s="537"/>
      <c r="NIE33" s="537"/>
      <c r="NIF33" s="537"/>
      <c r="NIG33" s="537"/>
      <c r="NIH33" s="537"/>
      <c r="NII33" s="537"/>
      <c r="NIJ33" s="537"/>
      <c r="NIK33" s="537"/>
      <c r="NIL33" s="537"/>
      <c r="NIM33" s="537"/>
      <c r="NIN33" s="537"/>
      <c r="NIO33" s="537"/>
      <c r="NIP33" s="537"/>
      <c r="NIQ33" s="537"/>
      <c r="NIR33" s="537"/>
      <c r="NIS33" s="537"/>
      <c r="NIT33" s="537"/>
      <c r="NIU33" s="537"/>
      <c r="NIV33" s="537"/>
      <c r="NIW33" s="537"/>
      <c r="NIX33" s="537"/>
      <c r="NIY33" s="537"/>
      <c r="NIZ33" s="537"/>
      <c r="NJA33" s="537"/>
      <c r="NJB33" s="537"/>
      <c r="NJC33" s="537"/>
      <c r="NJD33" s="537"/>
      <c r="NJE33" s="537"/>
      <c r="NJF33" s="537"/>
      <c r="NJG33" s="537"/>
      <c r="NJH33" s="537"/>
      <c r="NJI33" s="537"/>
      <c r="NJJ33" s="537"/>
      <c r="NJK33" s="537"/>
      <c r="NJL33" s="537"/>
      <c r="NJM33" s="537"/>
      <c r="NJN33" s="537"/>
      <c r="NJO33" s="537"/>
      <c r="NJP33" s="537"/>
      <c r="NJQ33" s="537"/>
      <c r="NJR33" s="537"/>
      <c r="NJS33" s="537"/>
      <c r="NJT33" s="537"/>
      <c r="NJU33" s="537"/>
      <c r="NJV33" s="537"/>
      <c r="NJW33" s="537"/>
      <c r="NJX33" s="537"/>
      <c r="NJY33" s="537"/>
      <c r="NJZ33" s="537"/>
      <c r="NKA33" s="537"/>
      <c r="NKB33" s="537"/>
      <c r="NKC33" s="537"/>
      <c r="NKD33" s="537"/>
      <c r="NKE33" s="537"/>
      <c r="NKF33" s="537"/>
      <c r="NKG33" s="537"/>
      <c r="NKH33" s="537"/>
      <c r="NKI33" s="537"/>
      <c r="NKJ33" s="537"/>
      <c r="NKK33" s="537"/>
      <c r="NKL33" s="537"/>
      <c r="NKM33" s="537"/>
      <c r="NKN33" s="537"/>
      <c r="NKO33" s="537"/>
      <c r="NKP33" s="537"/>
      <c r="NKQ33" s="537"/>
      <c r="NKR33" s="537"/>
      <c r="NKS33" s="537"/>
      <c r="NKT33" s="537"/>
      <c r="NKU33" s="537"/>
      <c r="NKV33" s="537"/>
      <c r="NKW33" s="537"/>
      <c r="NKX33" s="537"/>
      <c r="NKY33" s="537"/>
      <c r="NKZ33" s="537"/>
      <c r="NLA33" s="537"/>
      <c r="NLB33" s="537"/>
      <c r="NLC33" s="537"/>
      <c r="NLD33" s="537"/>
      <c r="NLE33" s="537"/>
      <c r="NLF33" s="537"/>
      <c r="NLG33" s="537"/>
      <c r="NLH33" s="537"/>
      <c r="NLI33" s="537"/>
      <c r="NLJ33" s="537"/>
      <c r="NLK33" s="537"/>
      <c r="NLL33" s="537"/>
      <c r="NLM33" s="537"/>
      <c r="NLN33" s="537"/>
      <c r="NLO33" s="537"/>
      <c r="NLP33" s="537"/>
      <c r="NLQ33" s="537"/>
      <c r="NLR33" s="537"/>
      <c r="NLS33" s="537"/>
      <c r="NLT33" s="537"/>
      <c r="NLU33" s="537"/>
      <c r="NLV33" s="537"/>
      <c r="NLW33" s="537"/>
      <c r="NLX33" s="537"/>
      <c r="NLY33" s="537"/>
      <c r="NLZ33" s="537"/>
      <c r="NMA33" s="537"/>
      <c r="NMB33" s="537"/>
      <c r="NMC33" s="537"/>
      <c r="NMD33" s="537"/>
      <c r="NME33" s="537"/>
      <c r="NMF33" s="537"/>
      <c r="NMG33" s="537"/>
      <c r="NMH33" s="537"/>
      <c r="NMI33" s="537"/>
      <c r="NMJ33" s="537"/>
      <c r="NMK33" s="537"/>
      <c r="NML33" s="537"/>
      <c r="NMM33" s="537"/>
      <c r="NMN33" s="537"/>
      <c r="NMO33" s="537"/>
      <c r="NMP33" s="537"/>
      <c r="NMQ33" s="537"/>
      <c r="NMR33" s="537"/>
      <c r="NMS33" s="537"/>
      <c r="NMT33" s="537"/>
      <c r="NMU33" s="537"/>
      <c r="NMV33" s="537"/>
      <c r="NMW33" s="537"/>
      <c r="NMX33" s="537"/>
      <c r="NMY33" s="537"/>
      <c r="NMZ33" s="537"/>
      <c r="NNA33" s="537"/>
      <c r="NNB33" s="537"/>
      <c r="NNC33" s="537"/>
      <c r="NND33" s="537"/>
      <c r="NNE33" s="537"/>
      <c r="NNF33" s="537"/>
      <c r="NNG33" s="537"/>
      <c r="NNH33" s="537"/>
      <c r="NNI33" s="537"/>
      <c r="NNJ33" s="537"/>
      <c r="NNK33" s="537"/>
      <c r="NNL33" s="537"/>
      <c r="NNM33" s="537"/>
      <c r="NNN33" s="537"/>
      <c r="NNO33" s="537"/>
      <c r="NNP33" s="537"/>
      <c r="NNQ33" s="537"/>
      <c r="NNR33" s="537"/>
      <c r="NNS33" s="537"/>
      <c r="NNT33" s="537"/>
      <c r="NNU33" s="537"/>
      <c r="NNV33" s="537"/>
      <c r="NNW33" s="537"/>
      <c r="NNX33" s="537"/>
      <c r="NNY33" s="537"/>
      <c r="NNZ33" s="537"/>
      <c r="NOA33" s="537"/>
      <c r="NOB33" s="537"/>
      <c r="NOC33" s="537"/>
      <c r="NOD33" s="537"/>
      <c r="NOE33" s="537"/>
      <c r="NOF33" s="537"/>
      <c r="NOG33" s="537"/>
      <c r="NOH33" s="537"/>
      <c r="NOI33" s="537"/>
      <c r="NOJ33" s="537"/>
      <c r="NOK33" s="537"/>
      <c r="NOL33" s="537"/>
      <c r="NOM33" s="537"/>
      <c r="NON33" s="537"/>
      <c r="NOO33" s="537"/>
      <c r="NOP33" s="537"/>
      <c r="NOQ33" s="537"/>
      <c r="NOR33" s="537"/>
      <c r="NOS33" s="537"/>
      <c r="NOT33" s="537"/>
      <c r="NOU33" s="537"/>
      <c r="NOV33" s="537"/>
      <c r="NOW33" s="537"/>
      <c r="NOX33" s="537"/>
      <c r="NOY33" s="537"/>
      <c r="NOZ33" s="537"/>
      <c r="NPA33" s="537"/>
      <c r="NPB33" s="537"/>
      <c r="NPC33" s="537"/>
      <c r="NPD33" s="537"/>
      <c r="NPE33" s="537"/>
      <c r="NPF33" s="537"/>
      <c r="NPG33" s="537"/>
      <c r="NPH33" s="537"/>
      <c r="NPI33" s="537"/>
      <c r="NPJ33" s="537"/>
      <c r="NPK33" s="537"/>
      <c r="NPL33" s="537"/>
      <c r="NPM33" s="537"/>
      <c r="NPN33" s="537"/>
      <c r="NPO33" s="537"/>
      <c r="NPP33" s="537"/>
      <c r="NPQ33" s="537"/>
      <c r="NPR33" s="537"/>
      <c r="NPS33" s="537"/>
      <c r="NPT33" s="537"/>
      <c r="NPU33" s="537"/>
      <c r="NPV33" s="537"/>
      <c r="NPW33" s="537"/>
      <c r="NPX33" s="537"/>
      <c r="NPY33" s="537"/>
      <c r="NPZ33" s="537"/>
      <c r="NQA33" s="537"/>
      <c r="NQB33" s="537"/>
      <c r="NQC33" s="537"/>
      <c r="NQD33" s="537"/>
      <c r="NQE33" s="537"/>
      <c r="NQF33" s="537"/>
      <c r="NQG33" s="537"/>
      <c r="NQH33" s="537"/>
      <c r="NQI33" s="537"/>
      <c r="NQJ33" s="537"/>
      <c r="NQK33" s="537"/>
      <c r="NQL33" s="537"/>
      <c r="NQM33" s="537"/>
      <c r="NQN33" s="537"/>
      <c r="NQO33" s="537"/>
      <c r="NQP33" s="537"/>
      <c r="NQQ33" s="537"/>
      <c r="NQR33" s="537"/>
      <c r="NQS33" s="537"/>
      <c r="NQT33" s="537"/>
      <c r="NQU33" s="537"/>
      <c r="NQV33" s="537"/>
      <c r="NQW33" s="537"/>
      <c r="NQX33" s="537"/>
      <c r="NQY33" s="537"/>
      <c r="NQZ33" s="537"/>
      <c r="NRA33" s="537"/>
      <c r="NRB33" s="537"/>
      <c r="NRC33" s="537"/>
      <c r="NRD33" s="537"/>
      <c r="NRE33" s="537"/>
      <c r="NRF33" s="537"/>
      <c r="NRG33" s="537"/>
      <c r="NRH33" s="537"/>
      <c r="NRI33" s="537"/>
      <c r="NRJ33" s="537"/>
      <c r="NRK33" s="537"/>
      <c r="NRL33" s="537"/>
      <c r="NRM33" s="537"/>
      <c r="NRN33" s="537"/>
      <c r="NRO33" s="537"/>
      <c r="NRP33" s="537"/>
      <c r="NRQ33" s="537"/>
      <c r="NRR33" s="537"/>
      <c r="NRS33" s="537"/>
      <c r="NRT33" s="537"/>
      <c r="NRU33" s="537"/>
      <c r="NRV33" s="537"/>
      <c r="NRW33" s="537"/>
      <c r="NRX33" s="537"/>
      <c r="NRY33" s="537"/>
      <c r="NRZ33" s="537"/>
      <c r="NSA33" s="537"/>
      <c r="NSB33" s="537"/>
      <c r="NSC33" s="537"/>
      <c r="NSD33" s="537"/>
      <c r="NSE33" s="537"/>
      <c r="NSF33" s="537"/>
      <c r="NSG33" s="537"/>
      <c r="NSH33" s="537"/>
      <c r="NSI33" s="537"/>
      <c r="NSJ33" s="537"/>
      <c r="NSK33" s="537"/>
      <c r="NSL33" s="537"/>
      <c r="NSM33" s="537"/>
      <c r="NSN33" s="537"/>
      <c r="NSO33" s="537"/>
      <c r="NSP33" s="537"/>
      <c r="NSQ33" s="537"/>
      <c r="NSR33" s="537"/>
      <c r="NSS33" s="537"/>
      <c r="NST33" s="537"/>
      <c r="NSU33" s="537"/>
      <c r="NSV33" s="537"/>
      <c r="NSW33" s="537"/>
      <c r="NSX33" s="537"/>
      <c r="NSY33" s="537"/>
      <c r="NSZ33" s="537"/>
      <c r="NTA33" s="537"/>
      <c r="NTB33" s="537"/>
      <c r="NTC33" s="537"/>
      <c r="NTD33" s="537"/>
      <c r="NTE33" s="537"/>
      <c r="NTF33" s="537"/>
      <c r="NTG33" s="537"/>
      <c r="NTH33" s="537"/>
      <c r="NTI33" s="537"/>
      <c r="NTJ33" s="537"/>
      <c r="NTK33" s="537"/>
      <c r="NTL33" s="537"/>
      <c r="NTM33" s="537"/>
      <c r="NTN33" s="537"/>
      <c r="NTO33" s="537"/>
      <c r="NTP33" s="537"/>
      <c r="NTQ33" s="537"/>
      <c r="NTR33" s="537"/>
      <c r="NTS33" s="537"/>
      <c r="NTT33" s="537"/>
      <c r="NTU33" s="537"/>
      <c r="NTV33" s="537"/>
      <c r="NTW33" s="537"/>
      <c r="NTX33" s="537"/>
      <c r="NTY33" s="537"/>
      <c r="NTZ33" s="537"/>
      <c r="NUA33" s="537"/>
      <c r="NUB33" s="537"/>
      <c r="NUC33" s="537"/>
      <c r="NUD33" s="537"/>
      <c r="NUE33" s="537"/>
      <c r="NUF33" s="537"/>
      <c r="NUG33" s="537"/>
      <c r="NUH33" s="537"/>
      <c r="NUI33" s="537"/>
      <c r="NUJ33" s="537"/>
      <c r="NUK33" s="537"/>
      <c r="NUL33" s="537"/>
      <c r="NUM33" s="537"/>
      <c r="NUN33" s="537"/>
      <c r="NUO33" s="537"/>
      <c r="NUP33" s="537"/>
      <c r="NUQ33" s="537"/>
      <c r="NUR33" s="537"/>
      <c r="NUS33" s="537"/>
      <c r="NUT33" s="537"/>
      <c r="NUU33" s="537"/>
      <c r="NUV33" s="537"/>
      <c r="NUW33" s="537"/>
      <c r="NUX33" s="537"/>
      <c r="NUY33" s="537"/>
      <c r="NUZ33" s="537"/>
      <c r="NVA33" s="537"/>
      <c r="NVB33" s="537"/>
      <c r="NVC33" s="537"/>
      <c r="NVD33" s="537"/>
      <c r="NVE33" s="537"/>
      <c r="NVF33" s="537"/>
      <c r="NVG33" s="537"/>
      <c r="NVH33" s="537"/>
      <c r="NVI33" s="537"/>
      <c r="NVJ33" s="537"/>
      <c r="NVK33" s="537"/>
      <c r="NVL33" s="537"/>
      <c r="NVM33" s="537"/>
      <c r="NVN33" s="537"/>
      <c r="NVO33" s="537"/>
      <c r="NVP33" s="537"/>
      <c r="NVQ33" s="537"/>
      <c r="NVR33" s="537"/>
      <c r="NVS33" s="537"/>
      <c r="NVT33" s="537"/>
      <c r="NVU33" s="537"/>
      <c r="NVV33" s="537"/>
      <c r="NVW33" s="537"/>
      <c r="NVX33" s="537"/>
      <c r="NVY33" s="537"/>
      <c r="NVZ33" s="537"/>
      <c r="NWA33" s="537"/>
      <c r="NWB33" s="537"/>
      <c r="NWC33" s="537"/>
      <c r="NWD33" s="537"/>
      <c r="NWE33" s="537"/>
      <c r="NWF33" s="537"/>
      <c r="NWG33" s="537"/>
      <c r="NWH33" s="537"/>
      <c r="NWI33" s="537"/>
      <c r="NWJ33" s="537"/>
      <c r="NWK33" s="537"/>
      <c r="NWL33" s="537"/>
      <c r="NWM33" s="537"/>
      <c r="NWN33" s="537"/>
      <c r="NWO33" s="537"/>
      <c r="NWP33" s="537"/>
      <c r="NWQ33" s="537"/>
      <c r="NWR33" s="537"/>
      <c r="NWS33" s="537"/>
      <c r="NWT33" s="537"/>
      <c r="NWU33" s="537"/>
      <c r="NWV33" s="537"/>
      <c r="NWW33" s="537"/>
      <c r="NWX33" s="537"/>
      <c r="NWY33" s="537"/>
      <c r="NWZ33" s="537"/>
      <c r="NXA33" s="537"/>
      <c r="NXB33" s="537"/>
      <c r="NXC33" s="537"/>
      <c r="NXD33" s="537"/>
      <c r="NXE33" s="537"/>
      <c r="NXF33" s="537"/>
      <c r="NXG33" s="537"/>
      <c r="NXH33" s="537"/>
      <c r="NXI33" s="537"/>
      <c r="NXJ33" s="537"/>
      <c r="NXK33" s="537"/>
      <c r="NXL33" s="537"/>
      <c r="NXM33" s="537"/>
      <c r="NXN33" s="537"/>
      <c r="NXO33" s="537"/>
      <c r="NXP33" s="537"/>
      <c r="NXQ33" s="537"/>
      <c r="NXR33" s="537"/>
      <c r="NXS33" s="537"/>
      <c r="NXT33" s="537"/>
      <c r="NXU33" s="537"/>
      <c r="NXV33" s="537"/>
      <c r="NXW33" s="537"/>
      <c r="NXX33" s="537"/>
      <c r="NXY33" s="537"/>
      <c r="NXZ33" s="537"/>
      <c r="NYA33" s="537"/>
      <c r="NYB33" s="537"/>
      <c r="NYC33" s="537"/>
      <c r="NYD33" s="537"/>
      <c r="NYE33" s="537"/>
      <c r="NYF33" s="537"/>
      <c r="NYG33" s="537"/>
      <c r="NYH33" s="537"/>
      <c r="NYI33" s="537"/>
      <c r="NYJ33" s="537"/>
      <c r="NYK33" s="537"/>
      <c r="NYL33" s="537"/>
      <c r="NYM33" s="537"/>
      <c r="NYN33" s="537"/>
      <c r="NYO33" s="537"/>
      <c r="NYP33" s="537"/>
      <c r="NYQ33" s="537"/>
      <c r="NYR33" s="537"/>
      <c r="NYS33" s="537"/>
      <c r="NYT33" s="537"/>
      <c r="NYU33" s="537"/>
      <c r="NYV33" s="537"/>
      <c r="NYW33" s="537"/>
      <c r="NYX33" s="537"/>
      <c r="NYY33" s="537"/>
      <c r="NYZ33" s="537"/>
      <c r="NZA33" s="537"/>
      <c r="NZB33" s="537"/>
      <c r="NZC33" s="537"/>
      <c r="NZD33" s="537"/>
      <c r="NZE33" s="537"/>
      <c r="NZF33" s="537"/>
      <c r="NZG33" s="537"/>
      <c r="NZH33" s="537"/>
      <c r="NZI33" s="537"/>
      <c r="NZJ33" s="537"/>
      <c r="NZK33" s="537"/>
      <c r="NZL33" s="537"/>
      <c r="NZM33" s="537"/>
      <c r="NZN33" s="537"/>
      <c r="NZO33" s="537"/>
      <c r="NZP33" s="537"/>
      <c r="NZQ33" s="537"/>
      <c r="NZR33" s="537"/>
      <c r="NZS33" s="537"/>
      <c r="NZT33" s="537"/>
      <c r="NZU33" s="537"/>
      <c r="NZV33" s="537"/>
      <c r="NZW33" s="537"/>
      <c r="NZX33" s="537"/>
      <c r="NZY33" s="537"/>
      <c r="NZZ33" s="537"/>
      <c r="OAA33" s="537"/>
      <c r="OAB33" s="537"/>
      <c r="OAC33" s="537"/>
      <c r="OAD33" s="537"/>
      <c r="OAE33" s="537"/>
      <c r="OAF33" s="537"/>
      <c r="OAG33" s="537"/>
      <c r="OAH33" s="537"/>
      <c r="OAI33" s="537"/>
      <c r="OAJ33" s="537"/>
      <c r="OAK33" s="537"/>
      <c r="OAL33" s="537"/>
      <c r="OAM33" s="537"/>
      <c r="OAN33" s="537"/>
      <c r="OAO33" s="537"/>
      <c r="OAP33" s="537"/>
      <c r="OAQ33" s="537"/>
      <c r="OAR33" s="537"/>
      <c r="OAS33" s="537"/>
      <c r="OAT33" s="537"/>
      <c r="OAU33" s="537"/>
      <c r="OAV33" s="537"/>
      <c r="OAW33" s="537"/>
      <c r="OAX33" s="537"/>
      <c r="OAY33" s="537"/>
      <c r="OAZ33" s="537"/>
      <c r="OBA33" s="537"/>
      <c r="OBB33" s="537"/>
      <c r="OBC33" s="537"/>
      <c r="OBD33" s="537"/>
      <c r="OBE33" s="537"/>
      <c r="OBF33" s="537"/>
      <c r="OBG33" s="537"/>
      <c r="OBH33" s="537"/>
      <c r="OBI33" s="537"/>
      <c r="OBJ33" s="537"/>
      <c r="OBK33" s="537"/>
      <c r="OBL33" s="537"/>
      <c r="OBM33" s="537"/>
      <c r="OBN33" s="537"/>
      <c r="OBO33" s="537"/>
      <c r="OBP33" s="537"/>
      <c r="OBQ33" s="537"/>
      <c r="OBR33" s="537"/>
      <c r="OBS33" s="537"/>
      <c r="OBT33" s="537"/>
      <c r="OBU33" s="537"/>
      <c r="OBV33" s="537"/>
      <c r="OBW33" s="537"/>
      <c r="OBX33" s="537"/>
      <c r="OBY33" s="537"/>
      <c r="OBZ33" s="537"/>
      <c r="OCA33" s="537"/>
      <c r="OCB33" s="537"/>
      <c r="OCC33" s="537"/>
      <c r="OCD33" s="537"/>
      <c r="OCE33" s="537"/>
      <c r="OCF33" s="537"/>
      <c r="OCG33" s="537"/>
      <c r="OCH33" s="537"/>
      <c r="OCI33" s="537"/>
      <c r="OCJ33" s="537"/>
      <c r="OCK33" s="537"/>
      <c r="OCL33" s="537"/>
      <c r="OCM33" s="537"/>
      <c r="OCN33" s="537"/>
      <c r="OCO33" s="537"/>
      <c r="OCP33" s="537"/>
      <c r="OCQ33" s="537"/>
      <c r="OCR33" s="537"/>
      <c r="OCS33" s="537"/>
      <c r="OCT33" s="537"/>
      <c r="OCU33" s="537"/>
      <c r="OCV33" s="537"/>
      <c r="OCW33" s="537"/>
      <c r="OCX33" s="537"/>
      <c r="OCY33" s="537"/>
      <c r="OCZ33" s="537"/>
      <c r="ODA33" s="537"/>
      <c r="ODB33" s="537"/>
      <c r="ODC33" s="537"/>
      <c r="ODD33" s="537"/>
      <c r="ODE33" s="537"/>
      <c r="ODF33" s="537"/>
      <c r="ODG33" s="537"/>
      <c r="ODH33" s="537"/>
      <c r="ODI33" s="537"/>
      <c r="ODJ33" s="537"/>
      <c r="ODK33" s="537"/>
      <c r="ODL33" s="537"/>
      <c r="ODM33" s="537"/>
      <c r="ODN33" s="537"/>
      <c r="ODO33" s="537"/>
      <c r="ODP33" s="537"/>
      <c r="ODQ33" s="537"/>
      <c r="ODR33" s="537"/>
      <c r="ODS33" s="537"/>
      <c r="ODT33" s="537"/>
      <c r="ODU33" s="537"/>
      <c r="ODV33" s="537"/>
      <c r="ODW33" s="537"/>
      <c r="ODX33" s="537"/>
      <c r="ODY33" s="537"/>
      <c r="ODZ33" s="537"/>
      <c r="OEA33" s="537"/>
      <c r="OEB33" s="537"/>
      <c r="OEC33" s="537"/>
      <c r="OED33" s="537"/>
      <c r="OEE33" s="537"/>
      <c r="OEF33" s="537"/>
      <c r="OEG33" s="537"/>
      <c r="OEH33" s="537"/>
      <c r="OEI33" s="537"/>
      <c r="OEJ33" s="537"/>
      <c r="OEK33" s="537"/>
      <c r="OEL33" s="537"/>
      <c r="OEM33" s="537"/>
      <c r="OEN33" s="537"/>
      <c r="OEO33" s="537"/>
      <c r="OEP33" s="537"/>
      <c r="OEQ33" s="537"/>
      <c r="OER33" s="537"/>
      <c r="OES33" s="537"/>
      <c r="OET33" s="537"/>
      <c r="OEU33" s="537"/>
      <c r="OEV33" s="537"/>
      <c r="OEW33" s="537"/>
      <c r="OEX33" s="537"/>
      <c r="OEY33" s="537"/>
      <c r="OEZ33" s="537"/>
      <c r="OFA33" s="537"/>
      <c r="OFB33" s="537"/>
      <c r="OFC33" s="537"/>
      <c r="OFD33" s="537"/>
      <c r="OFE33" s="537"/>
      <c r="OFF33" s="537"/>
      <c r="OFG33" s="537"/>
      <c r="OFH33" s="537"/>
      <c r="OFI33" s="537"/>
      <c r="OFJ33" s="537"/>
      <c r="OFK33" s="537"/>
      <c r="OFL33" s="537"/>
      <c r="OFM33" s="537"/>
      <c r="OFN33" s="537"/>
      <c r="OFO33" s="537"/>
      <c r="OFP33" s="537"/>
      <c r="OFQ33" s="537"/>
      <c r="OFR33" s="537"/>
      <c r="OFS33" s="537"/>
      <c r="OFT33" s="537"/>
      <c r="OFU33" s="537"/>
      <c r="OFV33" s="537"/>
      <c r="OFW33" s="537"/>
      <c r="OFX33" s="537"/>
      <c r="OFY33" s="537"/>
      <c r="OFZ33" s="537"/>
      <c r="OGA33" s="537"/>
      <c r="OGB33" s="537"/>
      <c r="OGC33" s="537"/>
      <c r="OGD33" s="537"/>
      <c r="OGE33" s="537"/>
      <c r="OGF33" s="537"/>
      <c r="OGG33" s="537"/>
      <c r="OGH33" s="537"/>
      <c r="OGI33" s="537"/>
      <c r="OGJ33" s="537"/>
      <c r="OGK33" s="537"/>
      <c r="OGL33" s="537"/>
      <c r="OGM33" s="537"/>
      <c r="OGN33" s="537"/>
      <c r="OGO33" s="537"/>
      <c r="OGP33" s="537"/>
      <c r="OGQ33" s="537"/>
      <c r="OGR33" s="537"/>
      <c r="OGS33" s="537"/>
      <c r="OGT33" s="537"/>
      <c r="OGU33" s="537"/>
      <c r="OGV33" s="537"/>
      <c r="OGW33" s="537"/>
      <c r="OGX33" s="537"/>
      <c r="OGY33" s="537"/>
      <c r="OGZ33" s="537"/>
      <c r="OHA33" s="537"/>
      <c r="OHB33" s="537"/>
      <c r="OHC33" s="537"/>
      <c r="OHD33" s="537"/>
      <c r="OHE33" s="537"/>
      <c r="OHF33" s="537"/>
      <c r="OHG33" s="537"/>
      <c r="OHH33" s="537"/>
      <c r="OHI33" s="537"/>
      <c r="OHJ33" s="537"/>
      <c r="OHK33" s="537"/>
      <c r="OHL33" s="537"/>
      <c r="OHM33" s="537"/>
      <c r="OHN33" s="537"/>
      <c r="OHO33" s="537"/>
      <c r="OHP33" s="537"/>
      <c r="OHQ33" s="537"/>
      <c r="OHR33" s="537"/>
      <c r="OHS33" s="537"/>
      <c r="OHT33" s="537"/>
      <c r="OHU33" s="537"/>
      <c r="OHV33" s="537"/>
      <c r="OHW33" s="537"/>
      <c r="OHX33" s="537"/>
      <c r="OHY33" s="537"/>
      <c r="OHZ33" s="537"/>
      <c r="OIA33" s="537"/>
      <c r="OIB33" s="537"/>
      <c r="OIC33" s="537"/>
      <c r="OID33" s="537"/>
      <c r="OIE33" s="537"/>
      <c r="OIF33" s="537"/>
      <c r="OIG33" s="537"/>
      <c r="OIH33" s="537"/>
      <c r="OII33" s="537"/>
      <c r="OIJ33" s="537"/>
      <c r="OIK33" s="537"/>
      <c r="OIL33" s="537"/>
      <c r="OIM33" s="537"/>
      <c r="OIN33" s="537"/>
      <c r="OIO33" s="537"/>
      <c r="OIP33" s="537"/>
      <c r="OIQ33" s="537"/>
      <c r="OIR33" s="537"/>
      <c r="OIS33" s="537"/>
      <c r="OIT33" s="537"/>
      <c r="OIU33" s="537"/>
      <c r="OIV33" s="537"/>
      <c r="OIW33" s="537"/>
      <c r="OIX33" s="537"/>
      <c r="OIY33" s="537"/>
      <c r="OIZ33" s="537"/>
      <c r="OJA33" s="537"/>
      <c r="OJB33" s="537"/>
      <c r="OJC33" s="537"/>
      <c r="OJD33" s="537"/>
      <c r="OJE33" s="537"/>
      <c r="OJF33" s="537"/>
      <c r="OJG33" s="537"/>
      <c r="OJH33" s="537"/>
      <c r="OJI33" s="537"/>
      <c r="OJJ33" s="537"/>
      <c r="OJK33" s="537"/>
      <c r="OJL33" s="537"/>
      <c r="OJM33" s="537"/>
      <c r="OJN33" s="537"/>
      <c r="OJO33" s="537"/>
      <c r="OJP33" s="537"/>
      <c r="OJQ33" s="537"/>
      <c r="OJR33" s="537"/>
      <c r="OJS33" s="537"/>
      <c r="OJT33" s="537"/>
      <c r="OJU33" s="537"/>
      <c r="OJV33" s="537"/>
      <c r="OJW33" s="537"/>
      <c r="OJX33" s="537"/>
      <c r="OJY33" s="537"/>
      <c r="OJZ33" s="537"/>
      <c r="OKA33" s="537"/>
      <c r="OKB33" s="537"/>
      <c r="OKC33" s="537"/>
      <c r="OKD33" s="537"/>
      <c r="OKE33" s="537"/>
      <c r="OKF33" s="537"/>
      <c r="OKG33" s="537"/>
      <c r="OKH33" s="537"/>
      <c r="OKI33" s="537"/>
      <c r="OKJ33" s="537"/>
      <c r="OKK33" s="537"/>
      <c r="OKL33" s="537"/>
      <c r="OKM33" s="537"/>
      <c r="OKN33" s="537"/>
      <c r="OKO33" s="537"/>
      <c r="OKP33" s="537"/>
      <c r="OKQ33" s="537"/>
      <c r="OKR33" s="537"/>
      <c r="OKS33" s="537"/>
      <c r="OKT33" s="537"/>
      <c r="OKU33" s="537"/>
      <c r="OKV33" s="537"/>
      <c r="OKW33" s="537"/>
      <c r="OKX33" s="537"/>
      <c r="OKY33" s="537"/>
      <c r="OKZ33" s="537"/>
      <c r="OLA33" s="537"/>
      <c r="OLB33" s="537"/>
      <c r="OLC33" s="537"/>
      <c r="OLD33" s="537"/>
      <c r="OLE33" s="537"/>
      <c r="OLF33" s="537"/>
      <c r="OLG33" s="537"/>
      <c r="OLH33" s="537"/>
      <c r="OLI33" s="537"/>
      <c r="OLJ33" s="537"/>
      <c r="OLK33" s="537"/>
      <c r="OLL33" s="537"/>
      <c r="OLM33" s="537"/>
      <c r="OLN33" s="537"/>
      <c r="OLO33" s="537"/>
      <c r="OLP33" s="537"/>
      <c r="OLQ33" s="537"/>
      <c r="OLR33" s="537"/>
      <c r="OLS33" s="537"/>
      <c r="OLT33" s="537"/>
      <c r="OLU33" s="537"/>
      <c r="OLV33" s="537"/>
      <c r="OLW33" s="537"/>
      <c r="OLX33" s="537"/>
      <c r="OLY33" s="537"/>
      <c r="OLZ33" s="537"/>
      <c r="OMA33" s="537"/>
      <c r="OMB33" s="537"/>
      <c r="OMC33" s="537"/>
      <c r="OMD33" s="537"/>
      <c r="OME33" s="537"/>
      <c r="OMF33" s="537"/>
      <c r="OMG33" s="537"/>
      <c r="OMH33" s="537"/>
      <c r="OMI33" s="537"/>
      <c r="OMJ33" s="537"/>
      <c r="OMK33" s="537"/>
      <c r="OML33" s="537"/>
      <c r="OMM33" s="537"/>
      <c r="OMN33" s="537"/>
      <c r="OMO33" s="537"/>
      <c r="OMP33" s="537"/>
      <c r="OMQ33" s="537"/>
      <c r="OMR33" s="537"/>
      <c r="OMS33" s="537"/>
      <c r="OMT33" s="537"/>
      <c r="OMU33" s="537"/>
      <c r="OMV33" s="537"/>
      <c r="OMW33" s="537"/>
      <c r="OMX33" s="537"/>
      <c r="OMY33" s="537"/>
      <c r="OMZ33" s="537"/>
      <c r="ONA33" s="537"/>
      <c r="ONB33" s="537"/>
      <c r="ONC33" s="537"/>
      <c r="OND33" s="537"/>
      <c r="ONE33" s="537"/>
      <c r="ONF33" s="537"/>
      <c r="ONG33" s="537"/>
      <c r="ONH33" s="537"/>
      <c r="ONI33" s="537"/>
      <c r="ONJ33" s="537"/>
      <c r="ONK33" s="537"/>
      <c r="ONL33" s="537"/>
      <c r="ONM33" s="537"/>
      <c r="ONN33" s="537"/>
      <c r="ONO33" s="537"/>
      <c r="ONP33" s="537"/>
      <c r="ONQ33" s="537"/>
      <c r="ONR33" s="537"/>
      <c r="ONS33" s="537"/>
      <c r="ONT33" s="537"/>
      <c r="ONU33" s="537"/>
      <c r="ONV33" s="537"/>
      <c r="ONW33" s="537"/>
      <c r="ONX33" s="537"/>
      <c r="ONY33" s="537"/>
      <c r="ONZ33" s="537"/>
      <c r="OOA33" s="537"/>
      <c r="OOB33" s="537"/>
      <c r="OOC33" s="537"/>
      <c r="OOD33" s="537"/>
      <c r="OOE33" s="537"/>
      <c r="OOF33" s="537"/>
      <c r="OOG33" s="537"/>
      <c r="OOH33" s="537"/>
      <c r="OOI33" s="537"/>
      <c r="OOJ33" s="537"/>
      <c r="OOK33" s="537"/>
      <c r="OOL33" s="537"/>
      <c r="OOM33" s="537"/>
      <c r="OON33" s="537"/>
      <c r="OOO33" s="537"/>
      <c r="OOP33" s="537"/>
      <c r="OOQ33" s="537"/>
      <c r="OOR33" s="537"/>
      <c r="OOS33" s="537"/>
      <c r="OOT33" s="537"/>
      <c r="OOU33" s="537"/>
      <c r="OOV33" s="537"/>
      <c r="OOW33" s="537"/>
      <c r="OOX33" s="537"/>
      <c r="OOY33" s="537"/>
      <c r="OOZ33" s="537"/>
      <c r="OPA33" s="537"/>
      <c r="OPB33" s="537"/>
      <c r="OPC33" s="537"/>
      <c r="OPD33" s="537"/>
      <c r="OPE33" s="537"/>
      <c r="OPF33" s="537"/>
      <c r="OPG33" s="537"/>
      <c r="OPH33" s="537"/>
      <c r="OPI33" s="537"/>
      <c r="OPJ33" s="537"/>
      <c r="OPK33" s="537"/>
      <c r="OPL33" s="537"/>
      <c r="OPM33" s="537"/>
      <c r="OPN33" s="537"/>
      <c r="OPO33" s="537"/>
      <c r="OPP33" s="537"/>
      <c r="OPQ33" s="537"/>
      <c r="OPR33" s="537"/>
      <c r="OPS33" s="537"/>
      <c r="OPT33" s="537"/>
      <c r="OPU33" s="537"/>
      <c r="OPV33" s="537"/>
      <c r="OPW33" s="537"/>
      <c r="OPX33" s="537"/>
      <c r="OPY33" s="537"/>
      <c r="OPZ33" s="537"/>
      <c r="OQA33" s="537"/>
      <c r="OQB33" s="537"/>
      <c r="OQC33" s="537"/>
      <c r="OQD33" s="537"/>
      <c r="OQE33" s="537"/>
      <c r="OQF33" s="537"/>
      <c r="OQG33" s="537"/>
      <c r="OQH33" s="537"/>
      <c r="OQI33" s="537"/>
      <c r="OQJ33" s="537"/>
      <c r="OQK33" s="537"/>
      <c r="OQL33" s="537"/>
      <c r="OQM33" s="537"/>
      <c r="OQN33" s="537"/>
      <c r="OQO33" s="537"/>
      <c r="OQP33" s="537"/>
      <c r="OQQ33" s="537"/>
      <c r="OQR33" s="537"/>
      <c r="OQS33" s="537"/>
      <c r="OQT33" s="537"/>
      <c r="OQU33" s="537"/>
      <c r="OQV33" s="537"/>
      <c r="OQW33" s="537"/>
      <c r="OQX33" s="537"/>
      <c r="OQY33" s="537"/>
      <c r="OQZ33" s="537"/>
      <c r="ORA33" s="537"/>
      <c r="ORB33" s="537"/>
      <c r="ORC33" s="537"/>
      <c r="ORD33" s="537"/>
      <c r="ORE33" s="537"/>
      <c r="ORF33" s="537"/>
      <c r="ORG33" s="537"/>
      <c r="ORH33" s="537"/>
      <c r="ORI33" s="537"/>
      <c r="ORJ33" s="537"/>
      <c r="ORK33" s="537"/>
      <c r="ORL33" s="537"/>
      <c r="ORM33" s="537"/>
      <c r="ORN33" s="537"/>
      <c r="ORO33" s="537"/>
      <c r="ORP33" s="537"/>
      <c r="ORQ33" s="537"/>
      <c r="ORR33" s="537"/>
      <c r="ORS33" s="537"/>
      <c r="ORT33" s="537"/>
      <c r="ORU33" s="537"/>
      <c r="ORV33" s="537"/>
      <c r="ORW33" s="537"/>
      <c r="ORX33" s="537"/>
      <c r="ORY33" s="537"/>
      <c r="ORZ33" s="537"/>
      <c r="OSA33" s="537"/>
      <c r="OSB33" s="537"/>
      <c r="OSC33" s="537"/>
      <c r="OSD33" s="537"/>
      <c r="OSE33" s="537"/>
      <c r="OSF33" s="537"/>
      <c r="OSG33" s="537"/>
      <c r="OSH33" s="537"/>
      <c r="OSI33" s="537"/>
      <c r="OSJ33" s="537"/>
      <c r="OSK33" s="537"/>
      <c r="OSL33" s="537"/>
      <c r="OSM33" s="537"/>
      <c r="OSN33" s="537"/>
      <c r="OSO33" s="537"/>
      <c r="OSP33" s="537"/>
      <c r="OSQ33" s="537"/>
      <c r="OSR33" s="537"/>
      <c r="OSS33" s="537"/>
      <c r="OST33" s="537"/>
      <c r="OSU33" s="537"/>
      <c r="OSV33" s="537"/>
      <c r="OSW33" s="537"/>
      <c r="OSX33" s="537"/>
      <c r="OSY33" s="537"/>
      <c r="OSZ33" s="537"/>
      <c r="OTA33" s="537"/>
      <c r="OTB33" s="537"/>
      <c r="OTC33" s="537"/>
      <c r="OTD33" s="537"/>
      <c r="OTE33" s="537"/>
      <c r="OTF33" s="537"/>
      <c r="OTG33" s="537"/>
      <c r="OTH33" s="537"/>
      <c r="OTI33" s="537"/>
      <c r="OTJ33" s="537"/>
      <c r="OTK33" s="537"/>
      <c r="OTL33" s="537"/>
      <c r="OTM33" s="537"/>
      <c r="OTN33" s="537"/>
      <c r="OTO33" s="537"/>
      <c r="OTP33" s="537"/>
      <c r="OTQ33" s="537"/>
      <c r="OTR33" s="537"/>
      <c r="OTS33" s="537"/>
      <c r="OTT33" s="537"/>
      <c r="OTU33" s="537"/>
      <c r="OTV33" s="537"/>
      <c r="OTW33" s="537"/>
      <c r="OTX33" s="537"/>
      <c r="OTY33" s="537"/>
      <c r="OTZ33" s="537"/>
      <c r="OUA33" s="537"/>
      <c r="OUB33" s="537"/>
      <c r="OUC33" s="537"/>
      <c r="OUD33" s="537"/>
      <c r="OUE33" s="537"/>
      <c r="OUF33" s="537"/>
      <c r="OUG33" s="537"/>
      <c r="OUH33" s="537"/>
      <c r="OUI33" s="537"/>
      <c r="OUJ33" s="537"/>
      <c r="OUK33" s="537"/>
      <c r="OUL33" s="537"/>
      <c r="OUM33" s="537"/>
      <c r="OUN33" s="537"/>
      <c r="OUO33" s="537"/>
      <c r="OUP33" s="537"/>
      <c r="OUQ33" s="537"/>
      <c r="OUR33" s="537"/>
      <c r="OUS33" s="537"/>
      <c r="OUT33" s="537"/>
      <c r="OUU33" s="537"/>
      <c r="OUV33" s="537"/>
      <c r="OUW33" s="537"/>
      <c r="OUX33" s="537"/>
      <c r="OUY33" s="537"/>
      <c r="OUZ33" s="537"/>
      <c r="OVA33" s="537"/>
      <c r="OVB33" s="537"/>
      <c r="OVC33" s="537"/>
      <c r="OVD33" s="537"/>
      <c r="OVE33" s="537"/>
      <c r="OVF33" s="537"/>
      <c r="OVG33" s="537"/>
      <c r="OVH33" s="537"/>
      <c r="OVI33" s="537"/>
      <c r="OVJ33" s="537"/>
      <c r="OVK33" s="537"/>
      <c r="OVL33" s="537"/>
      <c r="OVM33" s="537"/>
      <c r="OVN33" s="537"/>
      <c r="OVO33" s="537"/>
      <c r="OVP33" s="537"/>
      <c r="OVQ33" s="537"/>
      <c r="OVR33" s="537"/>
      <c r="OVS33" s="537"/>
      <c r="OVT33" s="537"/>
      <c r="OVU33" s="537"/>
      <c r="OVV33" s="537"/>
      <c r="OVW33" s="537"/>
      <c r="OVX33" s="537"/>
      <c r="OVY33" s="537"/>
      <c r="OVZ33" s="537"/>
      <c r="OWA33" s="537"/>
      <c r="OWB33" s="537"/>
      <c r="OWC33" s="537"/>
      <c r="OWD33" s="537"/>
      <c r="OWE33" s="537"/>
      <c r="OWF33" s="537"/>
      <c r="OWG33" s="537"/>
      <c r="OWH33" s="537"/>
      <c r="OWI33" s="537"/>
      <c r="OWJ33" s="537"/>
      <c r="OWK33" s="537"/>
      <c r="OWL33" s="537"/>
      <c r="OWM33" s="537"/>
      <c r="OWN33" s="537"/>
      <c r="OWO33" s="537"/>
      <c r="OWP33" s="537"/>
      <c r="OWQ33" s="537"/>
      <c r="OWR33" s="537"/>
      <c r="OWS33" s="537"/>
      <c r="OWT33" s="537"/>
      <c r="OWU33" s="537"/>
      <c r="OWV33" s="537"/>
      <c r="OWW33" s="537"/>
      <c r="OWX33" s="537"/>
      <c r="OWY33" s="537"/>
      <c r="OWZ33" s="537"/>
      <c r="OXA33" s="537"/>
      <c r="OXB33" s="537"/>
      <c r="OXC33" s="537"/>
      <c r="OXD33" s="537"/>
      <c r="OXE33" s="537"/>
      <c r="OXF33" s="537"/>
      <c r="OXG33" s="537"/>
      <c r="OXH33" s="537"/>
      <c r="OXI33" s="537"/>
      <c r="OXJ33" s="537"/>
      <c r="OXK33" s="537"/>
      <c r="OXL33" s="537"/>
      <c r="OXM33" s="537"/>
      <c r="OXN33" s="537"/>
      <c r="OXO33" s="537"/>
      <c r="OXP33" s="537"/>
      <c r="OXQ33" s="537"/>
      <c r="OXR33" s="537"/>
      <c r="OXS33" s="537"/>
      <c r="OXT33" s="537"/>
      <c r="OXU33" s="537"/>
      <c r="OXV33" s="537"/>
      <c r="OXW33" s="537"/>
      <c r="OXX33" s="537"/>
      <c r="OXY33" s="537"/>
      <c r="OXZ33" s="537"/>
      <c r="OYA33" s="537"/>
      <c r="OYB33" s="537"/>
      <c r="OYC33" s="537"/>
      <c r="OYD33" s="537"/>
      <c r="OYE33" s="537"/>
      <c r="OYF33" s="537"/>
      <c r="OYG33" s="537"/>
      <c r="OYH33" s="537"/>
      <c r="OYI33" s="537"/>
      <c r="OYJ33" s="537"/>
      <c r="OYK33" s="537"/>
      <c r="OYL33" s="537"/>
      <c r="OYM33" s="537"/>
      <c r="OYN33" s="537"/>
      <c r="OYO33" s="537"/>
      <c r="OYP33" s="537"/>
      <c r="OYQ33" s="537"/>
      <c r="OYR33" s="537"/>
      <c r="OYS33" s="537"/>
      <c r="OYT33" s="537"/>
      <c r="OYU33" s="537"/>
      <c r="OYV33" s="537"/>
      <c r="OYW33" s="537"/>
      <c r="OYX33" s="537"/>
      <c r="OYY33" s="537"/>
      <c r="OYZ33" s="537"/>
      <c r="OZA33" s="537"/>
      <c r="OZB33" s="537"/>
      <c r="OZC33" s="537"/>
      <c r="OZD33" s="537"/>
      <c r="OZE33" s="537"/>
      <c r="OZF33" s="537"/>
      <c r="OZG33" s="537"/>
      <c r="OZH33" s="537"/>
      <c r="OZI33" s="537"/>
      <c r="OZJ33" s="537"/>
      <c r="OZK33" s="537"/>
      <c r="OZL33" s="537"/>
      <c r="OZM33" s="537"/>
      <c r="OZN33" s="537"/>
      <c r="OZO33" s="537"/>
      <c r="OZP33" s="537"/>
      <c r="OZQ33" s="537"/>
      <c r="OZR33" s="537"/>
      <c r="OZS33" s="537"/>
      <c r="OZT33" s="537"/>
      <c r="OZU33" s="537"/>
      <c r="OZV33" s="537"/>
      <c r="OZW33" s="537"/>
      <c r="OZX33" s="537"/>
      <c r="OZY33" s="537"/>
      <c r="OZZ33" s="537"/>
      <c r="PAA33" s="537"/>
      <c r="PAB33" s="537"/>
      <c r="PAC33" s="537"/>
      <c r="PAD33" s="537"/>
      <c r="PAE33" s="537"/>
      <c r="PAF33" s="537"/>
      <c r="PAG33" s="537"/>
      <c r="PAH33" s="537"/>
      <c r="PAI33" s="537"/>
      <c r="PAJ33" s="537"/>
      <c r="PAK33" s="537"/>
      <c r="PAL33" s="537"/>
      <c r="PAM33" s="537"/>
      <c r="PAN33" s="537"/>
      <c r="PAO33" s="537"/>
      <c r="PAP33" s="537"/>
      <c r="PAQ33" s="537"/>
      <c r="PAR33" s="537"/>
      <c r="PAS33" s="537"/>
      <c r="PAT33" s="537"/>
      <c r="PAU33" s="537"/>
      <c r="PAV33" s="537"/>
      <c r="PAW33" s="537"/>
      <c r="PAX33" s="537"/>
      <c r="PAY33" s="537"/>
      <c r="PAZ33" s="537"/>
      <c r="PBA33" s="537"/>
      <c r="PBB33" s="537"/>
      <c r="PBC33" s="537"/>
      <c r="PBD33" s="537"/>
      <c r="PBE33" s="537"/>
      <c r="PBF33" s="537"/>
      <c r="PBG33" s="537"/>
      <c r="PBH33" s="537"/>
      <c r="PBI33" s="537"/>
      <c r="PBJ33" s="537"/>
      <c r="PBK33" s="537"/>
      <c r="PBL33" s="537"/>
      <c r="PBM33" s="537"/>
      <c r="PBN33" s="537"/>
      <c r="PBO33" s="537"/>
      <c r="PBP33" s="537"/>
      <c r="PBQ33" s="537"/>
      <c r="PBR33" s="537"/>
      <c r="PBS33" s="537"/>
      <c r="PBT33" s="537"/>
      <c r="PBU33" s="537"/>
      <c r="PBV33" s="537"/>
      <c r="PBW33" s="537"/>
      <c r="PBX33" s="537"/>
      <c r="PBY33" s="537"/>
      <c r="PBZ33" s="537"/>
      <c r="PCA33" s="537"/>
      <c r="PCB33" s="537"/>
      <c r="PCC33" s="537"/>
      <c r="PCD33" s="537"/>
      <c r="PCE33" s="537"/>
      <c r="PCF33" s="537"/>
      <c r="PCG33" s="537"/>
      <c r="PCH33" s="537"/>
      <c r="PCI33" s="537"/>
      <c r="PCJ33" s="537"/>
      <c r="PCK33" s="537"/>
      <c r="PCL33" s="537"/>
      <c r="PCM33" s="537"/>
      <c r="PCN33" s="537"/>
      <c r="PCO33" s="537"/>
      <c r="PCP33" s="537"/>
      <c r="PCQ33" s="537"/>
      <c r="PCR33" s="537"/>
      <c r="PCS33" s="537"/>
      <c r="PCT33" s="537"/>
      <c r="PCU33" s="537"/>
      <c r="PCV33" s="537"/>
      <c r="PCW33" s="537"/>
      <c r="PCX33" s="537"/>
      <c r="PCY33" s="537"/>
      <c r="PCZ33" s="537"/>
      <c r="PDA33" s="537"/>
      <c r="PDB33" s="537"/>
      <c r="PDC33" s="537"/>
      <c r="PDD33" s="537"/>
      <c r="PDE33" s="537"/>
      <c r="PDF33" s="537"/>
      <c r="PDG33" s="537"/>
      <c r="PDH33" s="537"/>
      <c r="PDI33" s="537"/>
      <c r="PDJ33" s="537"/>
      <c r="PDK33" s="537"/>
      <c r="PDL33" s="537"/>
      <c r="PDM33" s="537"/>
      <c r="PDN33" s="537"/>
      <c r="PDO33" s="537"/>
      <c r="PDP33" s="537"/>
      <c r="PDQ33" s="537"/>
      <c r="PDR33" s="537"/>
      <c r="PDS33" s="537"/>
      <c r="PDT33" s="537"/>
      <c r="PDU33" s="537"/>
      <c r="PDV33" s="537"/>
      <c r="PDW33" s="537"/>
      <c r="PDX33" s="537"/>
      <c r="PDY33" s="537"/>
      <c r="PDZ33" s="537"/>
      <c r="PEA33" s="537"/>
      <c r="PEB33" s="537"/>
      <c r="PEC33" s="537"/>
      <c r="PED33" s="537"/>
      <c r="PEE33" s="537"/>
      <c r="PEF33" s="537"/>
      <c r="PEG33" s="537"/>
      <c r="PEH33" s="537"/>
      <c r="PEI33" s="537"/>
      <c r="PEJ33" s="537"/>
      <c r="PEK33" s="537"/>
      <c r="PEL33" s="537"/>
      <c r="PEM33" s="537"/>
      <c r="PEN33" s="537"/>
      <c r="PEO33" s="537"/>
      <c r="PEP33" s="537"/>
      <c r="PEQ33" s="537"/>
      <c r="PER33" s="537"/>
      <c r="PES33" s="537"/>
      <c r="PET33" s="537"/>
      <c r="PEU33" s="537"/>
      <c r="PEV33" s="537"/>
      <c r="PEW33" s="537"/>
      <c r="PEX33" s="537"/>
      <c r="PEY33" s="537"/>
      <c r="PEZ33" s="537"/>
      <c r="PFA33" s="537"/>
      <c r="PFB33" s="537"/>
      <c r="PFC33" s="537"/>
      <c r="PFD33" s="537"/>
      <c r="PFE33" s="537"/>
      <c r="PFF33" s="537"/>
      <c r="PFG33" s="537"/>
      <c r="PFH33" s="537"/>
      <c r="PFI33" s="537"/>
      <c r="PFJ33" s="537"/>
      <c r="PFK33" s="537"/>
      <c r="PFL33" s="537"/>
      <c r="PFM33" s="537"/>
      <c r="PFN33" s="537"/>
      <c r="PFO33" s="537"/>
      <c r="PFP33" s="537"/>
      <c r="PFQ33" s="537"/>
      <c r="PFR33" s="537"/>
      <c r="PFS33" s="537"/>
      <c r="PFT33" s="537"/>
      <c r="PFU33" s="537"/>
      <c r="PFV33" s="537"/>
      <c r="PFW33" s="537"/>
      <c r="PFX33" s="537"/>
      <c r="PFY33" s="537"/>
      <c r="PFZ33" s="537"/>
      <c r="PGA33" s="537"/>
      <c r="PGB33" s="537"/>
      <c r="PGC33" s="537"/>
      <c r="PGD33" s="537"/>
      <c r="PGE33" s="537"/>
      <c r="PGF33" s="537"/>
      <c r="PGG33" s="537"/>
      <c r="PGH33" s="537"/>
      <c r="PGI33" s="537"/>
      <c r="PGJ33" s="537"/>
      <c r="PGK33" s="537"/>
      <c r="PGL33" s="537"/>
      <c r="PGM33" s="537"/>
      <c r="PGN33" s="537"/>
      <c r="PGO33" s="537"/>
      <c r="PGP33" s="537"/>
      <c r="PGQ33" s="537"/>
      <c r="PGR33" s="537"/>
      <c r="PGS33" s="537"/>
      <c r="PGT33" s="537"/>
      <c r="PGU33" s="537"/>
      <c r="PGV33" s="537"/>
      <c r="PGW33" s="537"/>
      <c r="PGX33" s="537"/>
      <c r="PGY33" s="537"/>
      <c r="PGZ33" s="537"/>
      <c r="PHA33" s="537"/>
      <c r="PHB33" s="537"/>
      <c r="PHC33" s="537"/>
      <c r="PHD33" s="537"/>
      <c r="PHE33" s="537"/>
      <c r="PHF33" s="537"/>
      <c r="PHG33" s="537"/>
      <c r="PHH33" s="537"/>
      <c r="PHI33" s="537"/>
      <c r="PHJ33" s="537"/>
      <c r="PHK33" s="537"/>
      <c r="PHL33" s="537"/>
      <c r="PHM33" s="537"/>
      <c r="PHN33" s="537"/>
      <c r="PHO33" s="537"/>
      <c r="PHP33" s="537"/>
      <c r="PHQ33" s="537"/>
      <c r="PHR33" s="537"/>
      <c r="PHS33" s="537"/>
      <c r="PHT33" s="537"/>
      <c r="PHU33" s="537"/>
      <c r="PHV33" s="537"/>
      <c r="PHW33" s="537"/>
      <c r="PHX33" s="537"/>
      <c r="PHY33" s="537"/>
      <c r="PHZ33" s="537"/>
      <c r="PIA33" s="537"/>
      <c r="PIB33" s="537"/>
      <c r="PIC33" s="537"/>
      <c r="PID33" s="537"/>
      <c r="PIE33" s="537"/>
      <c r="PIF33" s="537"/>
      <c r="PIG33" s="537"/>
      <c r="PIH33" s="537"/>
      <c r="PII33" s="537"/>
      <c r="PIJ33" s="537"/>
      <c r="PIK33" s="537"/>
      <c r="PIL33" s="537"/>
      <c r="PIM33" s="537"/>
      <c r="PIN33" s="537"/>
      <c r="PIO33" s="537"/>
      <c r="PIP33" s="537"/>
      <c r="PIQ33" s="537"/>
      <c r="PIR33" s="537"/>
      <c r="PIS33" s="537"/>
      <c r="PIT33" s="537"/>
      <c r="PIU33" s="537"/>
      <c r="PIV33" s="537"/>
      <c r="PIW33" s="537"/>
      <c r="PIX33" s="537"/>
      <c r="PIY33" s="537"/>
      <c r="PIZ33" s="537"/>
      <c r="PJA33" s="537"/>
      <c r="PJB33" s="537"/>
      <c r="PJC33" s="537"/>
      <c r="PJD33" s="537"/>
      <c r="PJE33" s="537"/>
      <c r="PJF33" s="537"/>
      <c r="PJG33" s="537"/>
      <c r="PJH33" s="537"/>
      <c r="PJI33" s="537"/>
      <c r="PJJ33" s="537"/>
      <c r="PJK33" s="537"/>
      <c r="PJL33" s="537"/>
      <c r="PJM33" s="537"/>
      <c r="PJN33" s="537"/>
      <c r="PJO33" s="537"/>
      <c r="PJP33" s="537"/>
      <c r="PJQ33" s="537"/>
      <c r="PJR33" s="537"/>
      <c r="PJS33" s="537"/>
      <c r="PJT33" s="537"/>
      <c r="PJU33" s="537"/>
      <c r="PJV33" s="537"/>
      <c r="PJW33" s="537"/>
      <c r="PJX33" s="537"/>
      <c r="PJY33" s="537"/>
      <c r="PJZ33" s="537"/>
      <c r="PKA33" s="537"/>
      <c r="PKB33" s="537"/>
      <c r="PKC33" s="537"/>
      <c r="PKD33" s="537"/>
      <c r="PKE33" s="537"/>
      <c r="PKF33" s="537"/>
      <c r="PKG33" s="537"/>
      <c r="PKH33" s="537"/>
      <c r="PKI33" s="537"/>
      <c r="PKJ33" s="537"/>
      <c r="PKK33" s="537"/>
      <c r="PKL33" s="537"/>
      <c r="PKM33" s="537"/>
      <c r="PKN33" s="537"/>
      <c r="PKO33" s="537"/>
      <c r="PKP33" s="537"/>
      <c r="PKQ33" s="537"/>
      <c r="PKR33" s="537"/>
      <c r="PKS33" s="537"/>
      <c r="PKT33" s="537"/>
      <c r="PKU33" s="537"/>
      <c r="PKV33" s="537"/>
      <c r="PKW33" s="537"/>
      <c r="PKX33" s="537"/>
      <c r="PKY33" s="537"/>
      <c r="PKZ33" s="537"/>
      <c r="PLA33" s="537"/>
      <c r="PLB33" s="537"/>
      <c r="PLC33" s="537"/>
      <c r="PLD33" s="537"/>
      <c r="PLE33" s="537"/>
      <c r="PLF33" s="537"/>
      <c r="PLG33" s="537"/>
      <c r="PLH33" s="537"/>
      <c r="PLI33" s="537"/>
      <c r="PLJ33" s="537"/>
      <c r="PLK33" s="537"/>
      <c r="PLL33" s="537"/>
      <c r="PLM33" s="537"/>
      <c r="PLN33" s="537"/>
      <c r="PLO33" s="537"/>
      <c r="PLP33" s="537"/>
      <c r="PLQ33" s="537"/>
      <c r="PLR33" s="537"/>
      <c r="PLS33" s="537"/>
      <c r="PLT33" s="537"/>
      <c r="PLU33" s="537"/>
      <c r="PLV33" s="537"/>
      <c r="PLW33" s="537"/>
      <c r="PLX33" s="537"/>
      <c r="PLY33" s="537"/>
      <c r="PLZ33" s="537"/>
      <c r="PMA33" s="537"/>
      <c r="PMB33" s="537"/>
      <c r="PMC33" s="537"/>
      <c r="PMD33" s="537"/>
      <c r="PME33" s="537"/>
      <c r="PMF33" s="537"/>
      <c r="PMG33" s="537"/>
      <c r="PMH33" s="537"/>
      <c r="PMI33" s="537"/>
      <c r="PMJ33" s="537"/>
      <c r="PMK33" s="537"/>
      <c r="PML33" s="537"/>
      <c r="PMM33" s="537"/>
      <c r="PMN33" s="537"/>
      <c r="PMO33" s="537"/>
      <c r="PMP33" s="537"/>
      <c r="PMQ33" s="537"/>
      <c r="PMR33" s="537"/>
      <c r="PMS33" s="537"/>
      <c r="PMT33" s="537"/>
      <c r="PMU33" s="537"/>
      <c r="PMV33" s="537"/>
      <c r="PMW33" s="537"/>
      <c r="PMX33" s="537"/>
      <c r="PMY33" s="537"/>
      <c r="PMZ33" s="537"/>
      <c r="PNA33" s="537"/>
      <c r="PNB33" s="537"/>
      <c r="PNC33" s="537"/>
      <c r="PND33" s="537"/>
      <c r="PNE33" s="537"/>
      <c r="PNF33" s="537"/>
      <c r="PNG33" s="537"/>
      <c r="PNH33" s="537"/>
      <c r="PNI33" s="537"/>
      <c r="PNJ33" s="537"/>
      <c r="PNK33" s="537"/>
      <c r="PNL33" s="537"/>
      <c r="PNM33" s="537"/>
      <c r="PNN33" s="537"/>
      <c r="PNO33" s="537"/>
      <c r="PNP33" s="537"/>
      <c r="PNQ33" s="537"/>
      <c r="PNR33" s="537"/>
      <c r="PNS33" s="537"/>
      <c r="PNT33" s="537"/>
      <c r="PNU33" s="537"/>
      <c r="PNV33" s="537"/>
      <c r="PNW33" s="537"/>
      <c r="PNX33" s="537"/>
      <c r="PNY33" s="537"/>
      <c r="PNZ33" s="537"/>
      <c r="POA33" s="537"/>
      <c r="POB33" s="537"/>
      <c r="POC33" s="537"/>
      <c r="POD33" s="537"/>
      <c r="POE33" s="537"/>
      <c r="POF33" s="537"/>
      <c r="POG33" s="537"/>
      <c r="POH33" s="537"/>
      <c r="POI33" s="537"/>
      <c r="POJ33" s="537"/>
      <c r="POK33" s="537"/>
      <c r="POL33" s="537"/>
      <c r="POM33" s="537"/>
      <c r="PON33" s="537"/>
      <c r="POO33" s="537"/>
      <c r="POP33" s="537"/>
      <c r="POQ33" s="537"/>
      <c r="POR33" s="537"/>
      <c r="POS33" s="537"/>
      <c r="POT33" s="537"/>
      <c r="POU33" s="537"/>
      <c r="POV33" s="537"/>
      <c r="POW33" s="537"/>
      <c r="POX33" s="537"/>
      <c r="POY33" s="537"/>
      <c r="POZ33" s="537"/>
      <c r="PPA33" s="537"/>
      <c r="PPB33" s="537"/>
      <c r="PPC33" s="537"/>
      <c r="PPD33" s="537"/>
      <c r="PPE33" s="537"/>
      <c r="PPF33" s="537"/>
      <c r="PPG33" s="537"/>
      <c r="PPH33" s="537"/>
      <c r="PPI33" s="537"/>
      <c r="PPJ33" s="537"/>
      <c r="PPK33" s="537"/>
      <c r="PPL33" s="537"/>
      <c r="PPM33" s="537"/>
      <c r="PPN33" s="537"/>
      <c r="PPO33" s="537"/>
      <c r="PPP33" s="537"/>
      <c r="PPQ33" s="537"/>
      <c r="PPR33" s="537"/>
      <c r="PPS33" s="537"/>
      <c r="PPT33" s="537"/>
      <c r="PPU33" s="537"/>
      <c r="PPV33" s="537"/>
      <c r="PPW33" s="537"/>
      <c r="PPX33" s="537"/>
      <c r="PPY33" s="537"/>
      <c r="PPZ33" s="537"/>
      <c r="PQA33" s="537"/>
      <c r="PQB33" s="537"/>
      <c r="PQC33" s="537"/>
      <c r="PQD33" s="537"/>
      <c r="PQE33" s="537"/>
      <c r="PQF33" s="537"/>
      <c r="PQG33" s="537"/>
      <c r="PQH33" s="537"/>
      <c r="PQI33" s="537"/>
      <c r="PQJ33" s="537"/>
      <c r="PQK33" s="537"/>
      <c r="PQL33" s="537"/>
      <c r="PQM33" s="537"/>
      <c r="PQN33" s="537"/>
      <c r="PQO33" s="537"/>
      <c r="PQP33" s="537"/>
      <c r="PQQ33" s="537"/>
      <c r="PQR33" s="537"/>
      <c r="PQS33" s="537"/>
      <c r="PQT33" s="537"/>
      <c r="PQU33" s="537"/>
      <c r="PQV33" s="537"/>
      <c r="PQW33" s="537"/>
      <c r="PQX33" s="537"/>
      <c r="PQY33" s="537"/>
      <c r="PQZ33" s="537"/>
      <c r="PRA33" s="537"/>
      <c r="PRB33" s="537"/>
      <c r="PRC33" s="537"/>
      <c r="PRD33" s="537"/>
      <c r="PRE33" s="537"/>
      <c r="PRF33" s="537"/>
      <c r="PRG33" s="537"/>
      <c r="PRH33" s="537"/>
      <c r="PRI33" s="537"/>
      <c r="PRJ33" s="537"/>
      <c r="PRK33" s="537"/>
      <c r="PRL33" s="537"/>
      <c r="PRM33" s="537"/>
      <c r="PRN33" s="537"/>
      <c r="PRO33" s="537"/>
      <c r="PRP33" s="537"/>
      <c r="PRQ33" s="537"/>
      <c r="PRR33" s="537"/>
      <c r="PRS33" s="537"/>
      <c r="PRT33" s="537"/>
      <c r="PRU33" s="537"/>
      <c r="PRV33" s="537"/>
      <c r="PRW33" s="537"/>
      <c r="PRX33" s="537"/>
      <c r="PRY33" s="537"/>
      <c r="PRZ33" s="537"/>
      <c r="PSA33" s="537"/>
      <c r="PSB33" s="537"/>
      <c r="PSC33" s="537"/>
      <c r="PSD33" s="537"/>
      <c r="PSE33" s="537"/>
      <c r="PSF33" s="537"/>
      <c r="PSG33" s="537"/>
      <c r="PSH33" s="537"/>
      <c r="PSI33" s="537"/>
      <c r="PSJ33" s="537"/>
      <c r="PSK33" s="537"/>
      <c r="PSL33" s="537"/>
      <c r="PSM33" s="537"/>
      <c r="PSN33" s="537"/>
      <c r="PSO33" s="537"/>
      <c r="PSP33" s="537"/>
      <c r="PSQ33" s="537"/>
      <c r="PSR33" s="537"/>
      <c r="PSS33" s="537"/>
      <c r="PST33" s="537"/>
      <c r="PSU33" s="537"/>
      <c r="PSV33" s="537"/>
      <c r="PSW33" s="537"/>
      <c r="PSX33" s="537"/>
      <c r="PSY33" s="537"/>
      <c r="PSZ33" s="537"/>
      <c r="PTA33" s="537"/>
      <c r="PTB33" s="537"/>
      <c r="PTC33" s="537"/>
      <c r="PTD33" s="537"/>
      <c r="PTE33" s="537"/>
      <c r="PTF33" s="537"/>
      <c r="PTG33" s="537"/>
      <c r="PTH33" s="537"/>
      <c r="PTI33" s="537"/>
      <c r="PTJ33" s="537"/>
      <c r="PTK33" s="537"/>
      <c r="PTL33" s="537"/>
      <c r="PTM33" s="537"/>
      <c r="PTN33" s="537"/>
      <c r="PTO33" s="537"/>
      <c r="PTP33" s="537"/>
      <c r="PTQ33" s="537"/>
      <c r="PTR33" s="537"/>
      <c r="PTS33" s="537"/>
      <c r="PTT33" s="537"/>
      <c r="PTU33" s="537"/>
      <c r="PTV33" s="537"/>
      <c r="PTW33" s="537"/>
      <c r="PTX33" s="537"/>
      <c r="PTY33" s="537"/>
      <c r="PTZ33" s="537"/>
      <c r="PUA33" s="537"/>
      <c r="PUB33" s="537"/>
      <c r="PUC33" s="537"/>
      <c r="PUD33" s="537"/>
      <c r="PUE33" s="537"/>
      <c r="PUF33" s="537"/>
      <c r="PUG33" s="537"/>
      <c r="PUH33" s="537"/>
      <c r="PUI33" s="537"/>
      <c r="PUJ33" s="537"/>
      <c r="PUK33" s="537"/>
      <c r="PUL33" s="537"/>
      <c r="PUM33" s="537"/>
      <c r="PUN33" s="537"/>
      <c r="PUO33" s="537"/>
      <c r="PUP33" s="537"/>
      <c r="PUQ33" s="537"/>
      <c r="PUR33" s="537"/>
      <c r="PUS33" s="537"/>
      <c r="PUT33" s="537"/>
      <c r="PUU33" s="537"/>
      <c r="PUV33" s="537"/>
      <c r="PUW33" s="537"/>
      <c r="PUX33" s="537"/>
      <c r="PUY33" s="537"/>
      <c r="PUZ33" s="537"/>
      <c r="PVA33" s="537"/>
      <c r="PVB33" s="537"/>
      <c r="PVC33" s="537"/>
      <c r="PVD33" s="537"/>
      <c r="PVE33" s="537"/>
      <c r="PVF33" s="537"/>
      <c r="PVG33" s="537"/>
      <c r="PVH33" s="537"/>
      <c r="PVI33" s="537"/>
      <c r="PVJ33" s="537"/>
      <c r="PVK33" s="537"/>
      <c r="PVL33" s="537"/>
      <c r="PVM33" s="537"/>
      <c r="PVN33" s="537"/>
      <c r="PVO33" s="537"/>
      <c r="PVP33" s="537"/>
      <c r="PVQ33" s="537"/>
      <c r="PVR33" s="537"/>
      <c r="PVS33" s="537"/>
      <c r="PVT33" s="537"/>
      <c r="PVU33" s="537"/>
      <c r="PVV33" s="537"/>
      <c r="PVW33" s="537"/>
      <c r="PVX33" s="537"/>
      <c r="PVY33" s="537"/>
      <c r="PVZ33" s="537"/>
      <c r="PWA33" s="537"/>
      <c r="PWB33" s="537"/>
      <c r="PWC33" s="537"/>
      <c r="PWD33" s="537"/>
      <c r="PWE33" s="537"/>
      <c r="PWF33" s="537"/>
      <c r="PWG33" s="537"/>
      <c r="PWH33" s="537"/>
      <c r="PWI33" s="537"/>
      <c r="PWJ33" s="537"/>
      <c r="PWK33" s="537"/>
      <c r="PWL33" s="537"/>
      <c r="PWM33" s="537"/>
      <c r="PWN33" s="537"/>
      <c r="PWO33" s="537"/>
      <c r="PWP33" s="537"/>
      <c r="PWQ33" s="537"/>
      <c r="PWR33" s="537"/>
      <c r="PWS33" s="537"/>
      <c r="PWT33" s="537"/>
      <c r="PWU33" s="537"/>
      <c r="PWV33" s="537"/>
      <c r="PWW33" s="537"/>
      <c r="PWX33" s="537"/>
      <c r="PWY33" s="537"/>
      <c r="PWZ33" s="537"/>
      <c r="PXA33" s="537"/>
      <c r="PXB33" s="537"/>
      <c r="PXC33" s="537"/>
      <c r="PXD33" s="537"/>
      <c r="PXE33" s="537"/>
      <c r="PXF33" s="537"/>
      <c r="PXG33" s="537"/>
      <c r="PXH33" s="537"/>
      <c r="PXI33" s="537"/>
      <c r="PXJ33" s="537"/>
      <c r="PXK33" s="537"/>
      <c r="PXL33" s="537"/>
      <c r="PXM33" s="537"/>
      <c r="PXN33" s="537"/>
      <c r="PXO33" s="537"/>
      <c r="PXP33" s="537"/>
      <c r="PXQ33" s="537"/>
      <c r="PXR33" s="537"/>
      <c r="PXS33" s="537"/>
      <c r="PXT33" s="537"/>
      <c r="PXU33" s="537"/>
      <c r="PXV33" s="537"/>
      <c r="PXW33" s="537"/>
      <c r="PXX33" s="537"/>
      <c r="PXY33" s="537"/>
      <c r="PXZ33" s="537"/>
      <c r="PYA33" s="537"/>
      <c r="PYB33" s="537"/>
      <c r="PYC33" s="537"/>
      <c r="PYD33" s="537"/>
      <c r="PYE33" s="537"/>
      <c r="PYF33" s="537"/>
      <c r="PYG33" s="537"/>
      <c r="PYH33" s="537"/>
      <c r="PYI33" s="537"/>
      <c r="PYJ33" s="537"/>
      <c r="PYK33" s="537"/>
      <c r="PYL33" s="537"/>
      <c r="PYM33" s="537"/>
      <c r="PYN33" s="537"/>
      <c r="PYO33" s="537"/>
      <c r="PYP33" s="537"/>
      <c r="PYQ33" s="537"/>
      <c r="PYR33" s="537"/>
      <c r="PYS33" s="537"/>
      <c r="PYT33" s="537"/>
      <c r="PYU33" s="537"/>
      <c r="PYV33" s="537"/>
      <c r="PYW33" s="537"/>
      <c r="PYX33" s="537"/>
      <c r="PYY33" s="537"/>
      <c r="PYZ33" s="537"/>
      <c r="PZA33" s="537"/>
      <c r="PZB33" s="537"/>
      <c r="PZC33" s="537"/>
      <c r="PZD33" s="537"/>
      <c r="PZE33" s="537"/>
      <c r="PZF33" s="537"/>
      <c r="PZG33" s="537"/>
      <c r="PZH33" s="537"/>
      <c r="PZI33" s="537"/>
      <c r="PZJ33" s="537"/>
      <c r="PZK33" s="537"/>
      <c r="PZL33" s="537"/>
      <c r="PZM33" s="537"/>
      <c r="PZN33" s="537"/>
      <c r="PZO33" s="537"/>
      <c r="PZP33" s="537"/>
      <c r="PZQ33" s="537"/>
      <c r="PZR33" s="537"/>
      <c r="PZS33" s="537"/>
      <c r="PZT33" s="537"/>
      <c r="PZU33" s="537"/>
      <c r="PZV33" s="537"/>
      <c r="PZW33" s="537"/>
      <c r="PZX33" s="537"/>
      <c r="PZY33" s="537"/>
      <c r="PZZ33" s="537"/>
      <c r="QAA33" s="537"/>
      <c r="QAB33" s="537"/>
      <c r="QAC33" s="537"/>
      <c r="QAD33" s="537"/>
      <c r="QAE33" s="537"/>
      <c r="QAF33" s="537"/>
      <c r="QAG33" s="537"/>
      <c r="QAH33" s="537"/>
      <c r="QAI33" s="537"/>
      <c r="QAJ33" s="537"/>
      <c r="QAK33" s="537"/>
      <c r="QAL33" s="537"/>
      <c r="QAM33" s="537"/>
      <c r="QAN33" s="537"/>
      <c r="QAO33" s="537"/>
      <c r="QAP33" s="537"/>
      <c r="QAQ33" s="537"/>
      <c r="QAR33" s="537"/>
      <c r="QAS33" s="537"/>
      <c r="QAT33" s="537"/>
      <c r="QAU33" s="537"/>
      <c r="QAV33" s="537"/>
      <c r="QAW33" s="537"/>
      <c r="QAX33" s="537"/>
      <c r="QAY33" s="537"/>
      <c r="QAZ33" s="537"/>
      <c r="QBA33" s="537"/>
      <c r="QBB33" s="537"/>
      <c r="QBC33" s="537"/>
      <c r="QBD33" s="537"/>
      <c r="QBE33" s="537"/>
      <c r="QBF33" s="537"/>
      <c r="QBG33" s="537"/>
      <c r="QBH33" s="537"/>
      <c r="QBI33" s="537"/>
      <c r="QBJ33" s="537"/>
      <c r="QBK33" s="537"/>
      <c r="QBL33" s="537"/>
      <c r="QBM33" s="537"/>
      <c r="QBN33" s="537"/>
      <c r="QBO33" s="537"/>
      <c r="QBP33" s="537"/>
      <c r="QBQ33" s="537"/>
      <c r="QBR33" s="537"/>
      <c r="QBS33" s="537"/>
      <c r="QBT33" s="537"/>
      <c r="QBU33" s="537"/>
      <c r="QBV33" s="537"/>
      <c r="QBW33" s="537"/>
      <c r="QBX33" s="537"/>
      <c r="QBY33" s="537"/>
      <c r="QBZ33" s="537"/>
      <c r="QCA33" s="537"/>
      <c r="QCB33" s="537"/>
      <c r="QCC33" s="537"/>
      <c r="QCD33" s="537"/>
      <c r="QCE33" s="537"/>
      <c r="QCF33" s="537"/>
      <c r="QCG33" s="537"/>
      <c r="QCH33" s="537"/>
      <c r="QCI33" s="537"/>
      <c r="QCJ33" s="537"/>
      <c r="QCK33" s="537"/>
      <c r="QCL33" s="537"/>
      <c r="QCM33" s="537"/>
      <c r="QCN33" s="537"/>
      <c r="QCO33" s="537"/>
      <c r="QCP33" s="537"/>
      <c r="QCQ33" s="537"/>
      <c r="QCR33" s="537"/>
      <c r="QCS33" s="537"/>
      <c r="QCT33" s="537"/>
      <c r="QCU33" s="537"/>
      <c r="QCV33" s="537"/>
      <c r="QCW33" s="537"/>
      <c r="QCX33" s="537"/>
      <c r="QCY33" s="537"/>
      <c r="QCZ33" s="537"/>
      <c r="QDA33" s="537"/>
      <c r="QDB33" s="537"/>
      <c r="QDC33" s="537"/>
      <c r="QDD33" s="537"/>
      <c r="QDE33" s="537"/>
      <c r="QDF33" s="537"/>
      <c r="QDG33" s="537"/>
      <c r="QDH33" s="537"/>
      <c r="QDI33" s="537"/>
      <c r="QDJ33" s="537"/>
      <c r="QDK33" s="537"/>
      <c r="QDL33" s="537"/>
      <c r="QDM33" s="537"/>
      <c r="QDN33" s="537"/>
      <c r="QDO33" s="537"/>
      <c r="QDP33" s="537"/>
      <c r="QDQ33" s="537"/>
      <c r="QDR33" s="537"/>
      <c r="QDS33" s="537"/>
      <c r="QDT33" s="537"/>
      <c r="QDU33" s="537"/>
      <c r="QDV33" s="537"/>
      <c r="QDW33" s="537"/>
      <c r="QDX33" s="537"/>
      <c r="QDY33" s="537"/>
      <c r="QDZ33" s="537"/>
      <c r="QEA33" s="537"/>
      <c r="QEB33" s="537"/>
      <c r="QEC33" s="537"/>
      <c r="QED33" s="537"/>
      <c r="QEE33" s="537"/>
      <c r="QEF33" s="537"/>
      <c r="QEG33" s="537"/>
      <c r="QEH33" s="537"/>
      <c r="QEI33" s="537"/>
      <c r="QEJ33" s="537"/>
      <c r="QEK33" s="537"/>
      <c r="QEL33" s="537"/>
      <c r="QEM33" s="537"/>
      <c r="QEN33" s="537"/>
      <c r="QEO33" s="537"/>
      <c r="QEP33" s="537"/>
      <c r="QEQ33" s="537"/>
      <c r="QER33" s="537"/>
      <c r="QES33" s="537"/>
      <c r="QET33" s="537"/>
      <c r="QEU33" s="537"/>
      <c r="QEV33" s="537"/>
      <c r="QEW33" s="537"/>
      <c r="QEX33" s="537"/>
      <c r="QEY33" s="537"/>
      <c r="QEZ33" s="537"/>
      <c r="QFA33" s="537"/>
      <c r="QFB33" s="537"/>
      <c r="QFC33" s="537"/>
      <c r="QFD33" s="537"/>
      <c r="QFE33" s="537"/>
      <c r="QFF33" s="537"/>
      <c r="QFG33" s="537"/>
      <c r="QFH33" s="537"/>
      <c r="QFI33" s="537"/>
      <c r="QFJ33" s="537"/>
      <c r="QFK33" s="537"/>
      <c r="QFL33" s="537"/>
      <c r="QFM33" s="537"/>
      <c r="QFN33" s="537"/>
      <c r="QFO33" s="537"/>
      <c r="QFP33" s="537"/>
      <c r="QFQ33" s="537"/>
      <c r="QFR33" s="537"/>
      <c r="QFS33" s="537"/>
      <c r="QFT33" s="537"/>
      <c r="QFU33" s="537"/>
      <c r="QFV33" s="537"/>
      <c r="QFW33" s="537"/>
      <c r="QFX33" s="537"/>
      <c r="QFY33" s="537"/>
      <c r="QFZ33" s="537"/>
      <c r="QGA33" s="537"/>
      <c r="QGB33" s="537"/>
      <c r="QGC33" s="537"/>
      <c r="QGD33" s="537"/>
      <c r="QGE33" s="537"/>
      <c r="QGF33" s="537"/>
      <c r="QGG33" s="537"/>
      <c r="QGH33" s="537"/>
      <c r="QGI33" s="537"/>
      <c r="QGJ33" s="537"/>
      <c r="QGK33" s="537"/>
      <c r="QGL33" s="537"/>
      <c r="QGM33" s="537"/>
      <c r="QGN33" s="537"/>
      <c r="QGO33" s="537"/>
      <c r="QGP33" s="537"/>
      <c r="QGQ33" s="537"/>
      <c r="QGR33" s="537"/>
      <c r="QGS33" s="537"/>
      <c r="QGT33" s="537"/>
      <c r="QGU33" s="537"/>
      <c r="QGV33" s="537"/>
      <c r="QGW33" s="537"/>
      <c r="QGX33" s="537"/>
      <c r="QGY33" s="537"/>
      <c r="QGZ33" s="537"/>
      <c r="QHA33" s="537"/>
      <c r="QHB33" s="537"/>
      <c r="QHC33" s="537"/>
      <c r="QHD33" s="537"/>
      <c r="QHE33" s="537"/>
      <c r="QHF33" s="537"/>
      <c r="QHG33" s="537"/>
      <c r="QHH33" s="537"/>
      <c r="QHI33" s="537"/>
      <c r="QHJ33" s="537"/>
      <c r="QHK33" s="537"/>
      <c r="QHL33" s="537"/>
      <c r="QHM33" s="537"/>
      <c r="QHN33" s="537"/>
      <c r="QHO33" s="537"/>
      <c r="QHP33" s="537"/>
      <c r="QHQ33" s="537"/>
      <c r="QHR33" s="537"/>
      <c r="QHS33" s="537"/>
      <c r="QHT33" s="537"/>
      <c r="QHU33" s="537"/>
      <c r="QHV33" s="537"/>
      <c r="QHW33" s="537"/>
      <c r="QHX33" s="537"/>
      <c r="QHY33" s="537"/>
      <c r="QHZ33" s="537"/>
      <c r="QIA33" s="537"/>
      <c r="QIB33" s="537"/>
      <c r="QIC33" s="537"/>
      <c r="QID33" s="537"/>
      <c r="QIE33" s="537"/>
      <c r="QIF33" s="537"/>
      <c r="QIG33" s="537"/>
      <c r="QIH33" s="537"/>
      <c r="QII33" s="537"/>
      <c r="QIJ33" s="537"/>
      <c r="QIK33" s="537"/>
      <c r="QIL33" s="537"/>
      <c r="QIM33" s="537"/>
      <c r="QIN33" s="537"/>
      <c r="QIO33" s="537"/>
      <c r="QIP33" s="537"/>
      <c r="QIQ33" s="537"/>
      <c r="QIR33" s="537"/>
      <c r="QIS33" s="537"/>
      <c r="QIT33" s="537"/>
      <c r="QIU33" s="537"/>
      <c r="QIV33" s="537"/>
      <c r="QIW33" s="537"/>
      <c r="QIX33" s="537"/>
      <c r="QIY33" s="537"/>
      <c r="QIZ33" s="537"/>
      <c r="QJA33" s="537"/>
      <c r="QJB33" s="537"/>
      <c r="QJC33" s="537"/>
      <c r="QJD33" s="537"/>
      <c r="QJE33" s="537"/>
      <c r="QJF33" s="537"/>
      <c r="QJG33" s="537"/>
      <c r="QJH33" s="537"/>
      <c r="QJI33" s="537"/>
      <c r="QJJ33" s="537"/>
      <c r="QJK33" s="537"/>
      <c r="QJL33" s="537"/>
      <c r="QJM33" s="537"/>
      <c r="QJN33" s="537"/>
      <c r="QJO33" s="537"/>
      <c r="QJP33" s="537"/>
      <c r="QJQ33" s="537"/>
      <c r="QJR33" s="537"/>
      <c r="QJS33" s="537"/>
      <c r="QJT33" s="537"/>
      <c r="QJU33" s="537"/>
      <c r="QJV33" s="537"/>
      <c r="QJW33" s="537"/>
      <c r="QJX33" s="537"/>
      <c r="QJY33" s="537"/>
      <c r="QJZ33" s="537"/>
      <c r="QKA33" s="537"/>
      <c r="QKB33" s="537"/>
      <c r="QKC33" s="537"/>
      <c r="QKD33" s="537"/>
      <c r="QKE33" s="537"/>
      <c r="QKF33" s="537"/>
      <c r="QKG33" s="537"/>
      <c r="QKH33" s="537"/>
      <c r="QKI33" s="537"/>
      <c r="QKJ33" s="537"/>
      <c r="QKK33" s="537"/>
      <c r="QKL33" s="537"/>
      <c r="QKM33" s="537"/>
      <c r="QKN33" s="537"/>
      <c r="QKO33" s="537"/>
      <c r="QKP33" s="537"/>
      <c r="QKQ33" s="537"/>
      <c r="QKR33" s="537"/>
      <c r="QKS33" s="537"/>
      <c r="QKT33" s="537"/>
      <c r="QKU33" s="537"/>
      <c r="QKV33" s="537"/>
      <c r="QKW33" s="537"/>
      <c r="QKX33" s="537"/>
      <c r="QKY33" s="537"/>
      <c r="QKZ33" s="537"/>
      <c r="QLA33" s="537"/>
      <c r="QLB33" s="537"/>
      <c r="QLC33" s="537"/>
      <c r="QLD33" s="537"/>
      <c r="QLE33" s="537"/>
      <c r="QLF33" s="537"/>
      <c r="QLG33" s="537"/>
      <c r="QLH33" s="537"/>
      <c r="QLI33" s="537"/>
      <c r="QLJ33" s="537"/>
      <c r="QLK33" s="537"/>
      <c r="QLL33" s="537"/>
      <c r="QLM33" s="537"/>
      <c r="QLN33" s="537"/>
      <c r="QLO33" s="537"/>
      <c r="QLP33" s="537"/>
      <c r="QLQ33" s="537"/>
      <c r="QLR33" s="537"/>
      <c r="QLS33" s="537"/>
      <c r="QLT33" s="537"/>
      <c r="QLU33" s="537"/>
      <c r="QLV33" s="537"/>
      <c r="QLW33" s="537"/>
      <c r="QLX33" s="537"/>
      <c r="QLY33" s="537"/>
      <c r="QLZ33" s="537"/>
      <c r="QMA33" s="537"/>
      <c r="QMB33" s="537"/>
      <c r="QMC33" s="537"/>
      <c r="QMD33" s="537"/>
      <c r="QME33" s="537"/>
      <c r="QMF33" s="537"/>
      <c r="QMG33" s="537"/>
      <c r="QMH33" s="537"/>
      <c r="QMI33" s="537"/>
      <c r="QMJ33" s="537"/>
      <c r="QMK33" s="537"/>
      <c r="QML33" s="537"/>
      <c r="QMM33" s="537"/>
      <c r="QMN33" s="537"/>
      <c r="QMO33" s="537"/>
      <c r="QMP33" s="537"/>
      <c r="QMQ33" s="537"/>
      <c r="QMR33" s="537"/>
      <c r="QMS33" s="537"/>
      <c r="QMT33" s="537"/>
      <c r="QMU33" s="537"/>
      <c r="QMV33" s="537"/>
      <c r="QMW33" s="537"/>
      <c r="QMX33" s="537"/>
      <c r="QMY33" s="537"/>
      <c r="QMZ33" s="537"/>
      <c r="QNA33" s="537"/>
      <c r="QNB33" s="537"/>
      <c r="QNC33" s="537"/>
      <c r="QND33" s="537"/>
      <c r="QNE33" s="537"/>
      <c r="QNF33" s="537"/>
      <c r="QNG33" s="537"/>
      <c r="QNH33" s="537"/>
      <c r="QNI33" s="537"/>
      <c r="QNJ33" s="537"/>
      <c r="QNK33" s="537"/>
      <c r="QNL33" s="537"/>
      <c r="QNM33" s="537"/>
      <c r="QNN33" s="537"/>
      <c r="QNO33" s="537"/>
      <c r="QNP33" s="537"/>
      <c r="QNQ33" s="537"/>
      <c r="QNR33" s="537"/>
      <c r="QNS33" s="537"/>
      <c r="QNT33" s="537"/>
      <c r="QNU33" s="537"/>
      <c r="QNV33" s="537"/>
      <c r="QNW33" s="537"/>
      <c r="QNX33" s="537"/>
      <c r="QNY33" s="537"/>
      <c r="QNZ33" s="537"/>
      <c r="QOA33" s="537"/>
      <c r="QOB33" s="537"/>
      <c r="QOC33" s="537"/>
      <c r="QOD33" s="537"/>
      <c r="QOE33" s="537"/>
      <c r="QOF33" s="537"/>
      <c r="QOG33" s="537"/>
      <c r="QOH33" s="537"/>
      <c r="QOI33" s="537"/>
      <c r="QOJ33" s="537"/>
      <c r="QOK33" s="537"/>
      <c r="QOL33" s="537"/>
      <c r="QOM33" s="537"/>
      <c r="QON33" s="537"/>
      <c r="QOO33" s="537"/>
      <c r="QOP33" s="537"/>
      <c r="QOQ33" s="537"/>
      <c r="QOR33" s="537"/>
      <c r="QOS33" s="537"/>
      <c r="QOT33" s="537"/>
      <c r="QOU33" s="537"/>
      <c r="QOV33" s="537"/>
      <c r="QOW33" s="537"/>
      <c r="QOX33" s="537"/>
      <c r="QOY33" s="537"/>
      <c r="QOZ33" s="537"/>
      <c r="QPA33" s="537"/>
      <c r="QPB33" s="537"/>
      <c r="QPC33" s="537"/>
      <c r="QPD33" s="537"/>
      <c r="QPE33" s="537"/>
      <c r="QPF33" s="537"/>
      <c r="QPG33" s="537"/>
      <c r="QPH33" s="537"/>
      <c r="QPI33" s="537"/>
      <c r="QPJ33" s="537"/>
      <c r="QPK33" s="537"/>
      <c r="QPL33" s="537"/>
      <c r="QPM33" s="537"/>
      <c r="QPN33" s="537"/>
      <c r="QPO33" s="537"/>
      <c r="QPP33" s="537"/>
      <c r="QPQ33" s="537"/>
      <c r="QPR33" s="537"/>
      <c r="QPS33" s="537"/>
      <c r="QPT33" s="537"/>
      <c r="QPU33" s="537"/>
      <c r="QPV33" s="537"/>
      <c r="QPW33" s="537"/>
      <c r="QPX33" s="537"/>
      <c r="QPY33" s="537"/>
      <c r="QPZ33" s="537"/>
      <c r="QQA33" s="537"/>
      <c r="QQB33" s="537"/>
      <c r="QQC33" s="537"/>
      <c r="QQD33" s="537"/>
      <c r="QQE33" s="537"/>
      <c r="QQF33" s="537"/>
      <c r="QQG33" s="537"/>
      <c r="QQH33" s="537"/>
      <c r="QQI33" s="537"/>
      <c r="QQJ33" s="537"/>
      <c r="QQK33" s="537"/>
      <c r="QQL33" s="537"/>
      <c r="QQM33" s="537"/>
      <c r="QQN33" s="537"/>
      <c r="QQO33" s="537"/>
      <c r="QQP33" s="537"/>
      <c r="QQQ33" s="537"/>
      <c r="QQR33" s="537"/>
      <c r="QQS33" s="537"/>
      <c r="QQT33" s="537"/>
      <c r="QQU33" s="537"/>
      <c r="QQV33" s="537"/>
      <c r="QQW33" s="537"/>
      <c r="QQX33" s="537"/>
      <c r="QQY33" s="537"/>
      <c r="QQZ33" s="537"/>
      <c r="QRA33" s="537"/>
      <c r="QRB33" s="537"/>
      <c r="QRC33" s="537"/>
      <c r="QRD33" s="537"/>
      <c r="QRE33" s="537"/>
      <c r="QRF33" s="537"/>
      <c r="QRG33" s="537"/>
      <c r="QRH33" s="537"/>
      <c r="QRI33" s="537"/>
      <c r="QRJ33" s="537"/>
      <c r="QRK33" s="537"/>
      <c r="QRL33" s="537"/>
      <c r="QRM33" s="537"/>
      <c r="QRN33" s="537"/>
      <c r="QRO33" s="537"/>
      <c r="QRP33" s="537"/>
      <c r="QRQ33" s="537"/>
      <c r="QRR33" s="537"/>
      <c r="QRS33" s="537"/>
      <c r="QRT33" s="537"/>
      <c r="QRU33" s="537"/>
      <c r="QRV33" s="537"/>
      <c r="QRW33" s="537"/>
      <c r="QRX33" s="537"/>
      <c r="QRY33" s="537"/>
      <c r="QRZ33" s="537"/>
      <c r="QSA33" s="537"/>
      <c r="QSB33" s="537"/>
      <c r="QSC33" s="537"/>
      <c r="QSD33" s="537"/>
      <c r="QSE33" s="537"/>
      <c r="QSF33" s="537"/>
      <c r="QSG33" s="537"/>
      <c r="QSH33" s="537"/>
      <c r="QSI33" s="537"/>
      <c r="QSJ33" s="537"/>
      <c r="QSK33" s="537"/>
      <c r="QSL33" s="537"/>
      <c r="QSM33" s="537"/>
      <c r="QSN33" s="537"/>
      <c r="QSO33" s="537"/>
      <c r="QSP33" s="537"/>
      <c r="QSQ33" s="537"/>
      <c r="QSR33" s="537"/>
      <c r="QSS33" s="537"/>
      <c r="QST33" s="537"/>
      <c r="QSU33" s="537"/>
      <c r="QSV33" s="537"/>
      <c r="QSW33" s="537"/>
      <c r="QSX33" s="537"/>
      <c r="QSY33" s="537"/>
      <c r="QSZ33" s="537"/>
      <c r="QTA33" s="537"/>
      <c r="QTB33" s="537"/>
      <c r="QTC33" s="537"/>
      <c r="QTD33" s="537"/>
      <c r="QTE33" s="537"/>
      <c r="QTF33" s="537"/>
      <c r="QTG33" s="537"/>
      <c r="QTH33" s="537"/>
      <c r="QTI33" s="537"/>
      <c r="QTJ33" s="537"/>
      <c r="QTK33" s="537"/>
      <c r="QTL33" s="537"/>
      <c r="QTM33" s="537"/>
      <c r="QTN33" s="537"/>
      <c r="QTO33" s="537"/>
      <c r="QTP33" s="537"/>
      <c r="QTQ33" s="537"/>
      <c r="QTR33" s="537"/>
      <c r="QTS33" s="537"/>
      <c r="QTT33" s="537"/>
      <c r="QTU33" s="537"/>
      <c r="QTV33" s="537"/>
      <c r="QTW33" s="537"/>
      <c r="QTX33" s="537"/>
      <c r="QTY33" s="537"/>
      <c r="QTZ33" s="537"/>
      <c r="QUA33" s="537"/>
      <c r="QUB33" s="537"/>
      <c r="QUC33" s="537"/>
      <c r="QUD33" s="537"/>
      <c r="QUE33" s="537"/>
      <c r="QUF33" s="537"/>
      <c r="QUG33" s="537"/>
      <c r="QUH33" s="537"/>
      <c r="QUI33" s="537"/>
      <c r="QUJ33" s="537"/>
      <c r="QUK33" s="537"/>
      <c r="QUL33" s="537"/>
      <c r="QUM33" s="537"/>
      <c r="QUN33" s="537"/>
      <c r="QUO33" s="537"/>
      <c r="QUP33" s="537"/>
      <c r="QUQ33" s="537"/>
      <c r="QUR33" s="537"/>
      <c r="QUS33" s="537"/>
      <c r="QUT33" s="537"/>
      <c r="QUU33" s="537"/>
      <c r="QUV33" s="537"/>
      <c r="QUW33" s="537"/>
      <c r="QUX33" s="537"/>
      <c r="QUY33" s="537"/>
      <c r="QUZ33" s="537"/>
      <c r="QVA33" s="537"/>
      <c r="QVB33" s="537"/>
      <c r="QVC33" s="537"/>
      <c r="QVD33" s="537"/>
      <c r="QVE33" s="537"/>
      <c r="QVF33" s="537"/>
      <c r="QVG33" s="537"/>
      <c r="QVH33" s="537"/>
      <c r="QVI33" s="537"/>
      <c r="QVJ33" s="537"/>
      <c r="QVK33" s="537"/>
      <c r="QVL33" s="537"/>
      <c r="QVM33" s="537"/>
      <c r="QVN33" s="537"/>
      <c r="QVO33" s="537"/>
      <c r="QVP33" s="537"/>
      <c r="QVQ33" s="537"/>
      <c r="QVR33" s="537"/>
      <c r="QVS33" s="537"/>
      <c r="QVT33" s="537"/>
      <c r="QVU33" s="537"/>
      <c r="QVV33" s="537"/>
      <c r="QVW33" s="537"/>
      <c r="QVX33" s="537"/>
      <c r="QVY33" s="537"/>
      <c r="QVZ33" s="537"/>
      <c r="QWA33" s="537"/>
      <c r="QWB33" s="537"/>
      <c r="QWC33" s="537"/>
      <c r="QWD33" s="537"/>
      <c r="QWE33" s="537"/>
      <c r="QWF33" s="537"/>
      <c r="QWG33" s="537"/>
      <c r="QWH33" s="537"/>
      <c r="QWI33" s="537"/>
      <c r="QWJ33" s="537"/>
      <c r="QWK33" s="537"/>
      <c r="QWL33" s="537"/>
      <c r="QWM33" s="537"/>
      <c r="QWN33" s="537"/>
      <c r="QWO33" s="537"/>
      <c r="QWP33" s="537"/>
      <c r="QWQ33" s="537"/>
      <c r="QWR33" s="537"/>
      <c r="QWS33" s="537"/>
      <c r="QWT33" s="537"/>
      <c r="QWU33" s="537"/>
      <c r="QWV33" s="537"/>
      <c r="QWW33" s="537"/>
      <c r="QWX33" s="537"/>
      <c r="QWY33" s="537"/>
      <c r="QWZ33" s="537"/>
      <c r="QXA33" s="537"/>
      <c r="QXB33" s="537"/>
      <c r="QXC33" s="537"/>
      <c r="QXD33" s="537"/>
      <c r="QXE33" s="537"/>
      <c r="QXF33" s="537"/>
      <c r="QXG33" s="537"/>
      <c r="QXH33" s="537"/>
      <c r="QXI33" s="537"/>
      <c r="QXJ33" s="537"/>
      <c r="QXK33" s="537"/>
      <c r="QXL33" s="537"/>
      <c r="QXM33" s="537"/>
      <c r="QXN33" s="537"/>
      <c r="QXO33" s="537"/>
      <c r="QXP33" s="537"/>
      <c r="QXQ33" s="537"/>
      <c r="QXR33" s="537"/>
      <c r="QXS33" s="537"/>
      <c r="QXT33" s="537"/>
      <c r="QXU33" s="537"/>
      <c r="QXV33" s="537"/>
      <c r="QXW33" s="537"/>
      <c r="QXX33" s="537"/>
      <c r="QXY33" s="537"/>
      <c r="QXZ33" s="537"/>
      <c r="QYA33" s="537"/>
      <c r="QYB33" s="537"/>
      <c r="QYC33" s="537"/>
      <c r="QYD33" s="537"/>
      <c r="QYE33" s="537"/>
      <c r="QYF33" s="537"/>
      <c r="QYG33" s="537"/>
      <c r="QYH33" s="537"/>
      <c r="QYI33" s="537"/>
      <c r="QYJ33" s="537"/>
      <c r="QYK33" s="537"/>
      <c r="QYL33" s="537"/>
      <c r="QYM33" s="537"/>
      <c r="QYN33" s="537"/>
      <c r="QYO33" s="537"/>
      <c r="QYP33" s="537"/>
      <c r="QYQ33" s="537"/>
      <c r="QYR33" s="537"/>
      <c r="QYS33" s="537"/>
      <c r="QYT33" s="537"/>
      <c r="QYU33" s="537"/>
      <c r="QYV33" s="537"/>
      <c r="QYW33" s="537"/>
      <c r="QYX33" s="537"/>
      <c r="QYY33" s="537"/>
      <c r="QYZ33" s="537"/>
      <c r="QZA33" s="537"/>
      <c r="QZB33" s="537"/>
      <c r="QZC33" s="537"/>
      <c r="QZD33" s="537"/>
      <c r="QZE33" s="537"/>
      <c r="QZF33" s="537"/>
      <c r="QZG33" s="537"/>
      <c r="QZH33" s="537"/>
      <c r="QZI33" s="537"/>
      <c r="QZJ33" s="537"/>
      <c r="QZK33" s="537"/>
      <c r="QZL33" s="537"/>
      <c r="QZM33" s="537"/>
      <c r="QZN33" s="537"/>
      <c r="QZO33" s="537"/>
      <c r="QZP33" s="537"/>
      <c r="QZQ33" s="537"/>
      <c r="QZR33" s="537"/>
      <c r="QZS33" s="537"/>
      <c r="QZT33" s="537"/>
      <c r="QZU33" s="537"/>
      <c r="QZV33" s="537"/>
      <c r="QZW33" s="537"/>
      <c r="QZX33" s="537"/>
      <c r="QZY33" s="537"/>
      <c r="QZZ33" s="537"/>
      <c r="RAA33" s="537"/>
      <c r="RAB33" s="537"/>
      <c r="RAC33" s="537"/>
      <c r="RAD33" s="537"/>
      <c r="RAE33" s="537"/>
      <c r="RAF33" s="537"/>
      <c r="RAG33" s="537"/>
      <c r="RAH33" s="537"/>
      <c r="RAI33" s="537"/>
      <c r="RAJ33" s="537"/>
      <c r="RAK33" s="537"/>
      <c r="RAL33" s="537"/>
      <c r="RAM33" s="537"/>
      <c r="RAN33" s="537"/>
      <c r="RAO33" s="537"/>
      <c r="RAP33" s="537"/>
      <c r="RAQ33" s="537"/>
      <c r="RAR33" s="537"/>
      <c r="RAS33" s="537"/>
      <c r="RAT33" s="537"/>
      <c r="RAU33" s="537"/>
      <c r="RAV33" s="537"/>
      <c r="RAW33" s="537"/>
      <c r="RAX33" s="537"/>
      <c r="RAY33" s="537"/>
      <c r="RAZ33" s="537"/>
      <c r="RBA33" s="537"/>
      <c r="RBB33" s="537"/>
      <c r="RBC33" s="537"/>
      <c r="RBD33" s="537"/>
      <c r="RBE33" s="537"/>
      <c r="RBF33" s="537"/>
      <c r="RBG33" s="537"/>
      <c r="RBH33" s="537"/>
      <c r="RBI33" s="537"/>
      <c r="RBJ33" s="537"/>
      <c r="RBK33" s="537"/>
      <c r="RBL33" s="537"/>
      <c r="RBM33" s="537"/>
      <c r="RBN33" s="537"/>
      <c r="RBO33" s="537"/>
      <c r="RBP33" s="537"/>
      <c r="RBQ33" s="537"/>
      <c r="RBR33" s="537"/>
      <c r="RBS33" s="537"/>
      <c r="RBT33" s="537"/>
      <c r="RBU33" s="537"/>
      <c r="RBV33" s="537"/>
      <c r="RBW33" s="537"/>
      <c r="RBX33" s="537"/>
      <c r="RBY33" s="537"/>
      <c r="RBZ33" s="537"/>
      <c r="RCA33" s="537"/>
      <c r="RCB33" s="537"/>
      <c r="RCC33" s="537"/>
      <c r="RCD33" s="537"/>
      <c r="RCE33" s="537"/>
      <c r="RCF33" s="537"/>
      <c r="RCG33" s="537"/>
      <c r="RCH33" s="537"/>
      <c r="RCI33" s="537"/>
      <c r="RCJ33" s="537"/>
      <c r="RCK33" s="537"/>
      <c r="RCL33" s="537"/>
      <c r="RCM33" s="537"/>
      <c r="RCN33" s="537"/>
      <c r="RCO33" s="537"/>
      <c r="RCP33" s="537"/>
      <c r="RCQ33" s="537"/>
      <c r="RCR33" s="537"/>
      <c r="RCS33" s="537"/>
      <c r="RCT33" s="537"/>
      <c r="RCU33" s="537"/>
      <c r="RCV33" s="537"/>
      <c r="RCW33" s="537"/>
      <c r="RCX33" s="537"/>
      <c r="RCY33" s="537"/>
      <c r="RCZ33" s="537"/>
      <c r="RDA33" s="537"/>
      <c r="RDB33" s="537"/>
      <c r="RDC33" s="537"/>
      <c r="RDD33" s="537"/>
      <c r="RDE33" s="537"/>
      <c r="RDF33" s="537"/>
      <c r="RDG33" s="537"/>
      <c r="RDH33" s="537"/>
      <c r="RDI33" s="537"/>
      <c r="RDJ33" s="537"/>
      <c r="RDK33" s="537"/>
      <c r="RDL33" s="537"/>
      <c r="RDM33" s="537"/>
      <c r="RDN33" s="537"/>
      <c r="RDO33" s="537"/>
      <c r="RDP33" s="537"/>
      <c r="RDQ33" s="537"/>
      <c r="RDR33" s="537"/>
      <c r="RDS33" s="537"/>
      <c r="RDT33" s="537"/>
      <c r="RDU33" s="537"/>
      <c r="RDV33" s="537"/>
      <c r="RDW33" s="537"/>
      <c r="RDX33" s="537"/>
      <c r="RDY33" s="537"/>
      <c r="RDZ33" s="537"/>
      <c r="REA33" s="537"/>
      <c r="REB33" s="537"/>
      <c r="REC33" s="537"/>
      <c r="RED33" s="537"/>
      <c r="REE33" s="537"/>
      <c r="REF33" s="537"/>
      <c r="REG33" s="537"/>
      <c r="REH33" s="537"/>
      <c r="REI33" s="537"/>
      <c r="REJ33" s="537"/>
      <c r="REK33" s="537"/>
      <c r="REL33" s="537"/>
      <c r="REM33" s="537"/>
      <c r="REN33" s="537"/>
      <c r="REO33" s="537"/>
      <c r="REP33" s="537"/>
      <c r="REQ33" s="537"/>
      <c r="RER33" s="537"/>
      <c r="RES33" s="537"/>
      <c r="RET33" s="537"/>
      <c r="REU33" s="537"/>
      <c r="REV33" s="537"/>
      <c r="REW33" s="537"/>
      <c r="REX33" s="537"/>
      <c r="REY33" s="537"/>
      <c r="REZ33" s="537"/>
      <c r="RFA33" s="537"/>
      <c r="RFB33" s="537"/>
      <c r="RFC33" s="537"/>
      <c r="RFD33" s="537"/>
      <c r="RFE33" s="537"/>
      <c r="RFF33" s="537"/>
      <c r="RFG33" s="537"/>
      <c r="RFH33" s="537"/>
      <c r="RFI33" s="537"/>
      <c r="RFJ33" s="537"/>
      <c r="RFK33" s="537"/>
      <c r="RFL33" s="537"/>
      <c r="RFM33" s="537"/>
      <c r="RFN33" s="537"/>
      <c r="RFO33" s="537"/>
      <c r="RFP33" s="537"/>
      <c r="RFQ33" s="537"/>
      <c r="RFR33" s="537"/>
      <c r="RFS33" s="537"/>
      <c r="RFT33" s="537"/>
      <c r="RFU33" s="537"/>
      <c r="RFV33" s="537"/>
      <c r="RFW33" s="537"/>
      <c r="RFX33" s="537"/>
      <c r="RFY33" s="537"/>
      <c r="RFZ33" s="537"/>
      <c r="RGA33" s="537"/>
      <c r="RGB33" s="537"/>
      <c r="RGC33" s="537"/>
      <c r="RGD33" s="537"/>
      <c r="RGE33" s="537"/>
      <c r="RGF33" s="537"/>
      <c r="RGG33" s="537"/>
      <c r="RGH33" s="537"/>
      <c r="RGI33" s="537"/>
      <c r="RGJ33" s="537"/>
      <c r="RGK33" s="537"/>
      <c r="RGL33" s="537"/>
      <c r="RGM33" s="537"/>
      <c r="RGN33" s="537"/>
      <c r="RGO33" s="537"/>
      <c r="RGP33" s="537"/>
      <c r="RGQ33" s="537"/>
      <c r="RGR33" s="537"/>
      <c r="RGS33" s="537"/>
      <c r="RGT33" s="537"/>
      <c r="RGU33" s="537"/>
      <c r="RGV33" s="537"/>
      <c r="RGW33" s="537"/>
      <c r="RGX33" s="537"/>
      <c r="RGY33" s="537"/>
      <c r="RGZ33" s="537"/>
      <c r="RHA33" s="537"/>
      <c r="RHB33" s="537"/>
      <c r="RHC33" s="537"/>
      <c r="RHD33" s="537"/>
      <c r="RHE33" s="537"/>
      <c r="RHF33" s="537"/>
      <c r="RHG33" s="537"/>
      <c r="RHH33" s="537"/>
      <c r="RHI33" s="537"/>
      <c r="RHJ33" s="537"/>
      <c r="RHK33" s="537"/>
      <c r="RHL33" s="537"/>
      <c r="RHM33" s="537"/>
      <c r="RHN33" s="537"/>
      <c r="RHO33" s="537"/>
      <c r="RHP33" s="537"/>
      <c r="RHQ33" s="537"/>
      <c r="RHR33" s="537"/>
      <c r="RHS33" s="537"/>
      <c r="RHT33" s="537"/>
      <c r="RHU33" s="537"/>
      <c r="RHV33" s="537"/>
      <c r="RHW33" s="537"/>
      <c r="RHX33" s="537"/>
      <c r="RHY33" s="537"/>
      <c r="RHZ33" s="537"/>
      <c r="RIA33" s="537"/>
      <c r="RIB33" s="537"/>
      <c r="RIC33" s="537"/>
      <c r="RID33" s="537"/>
      <c r="RIE33" s="537"/>
      <c r="RIF33" s="537"/>
      <c r="RIG33" s="537"/>
      <c r="RIH33" s="537"/>
      <c r="RII33" s="537"/>
      <c r="RIJ33" s="537"/>
      <c r="RIK33" s="537"/>
      <c r="RIL33" s="537"/>
      <c r="RIM33" s="537"/>
      <c r="RIN33" s="537"/>
      <c r="RIO33" s="537"/>
      <c r="RIP33" s="537"/>
      <c r="RIQ33" s="537"/>
      <c r="RIR33" s="537"/>
      <c r="RIS33" s="537"/>
      <c r="RIT33" s="537"/>
      <c r="RIU33" s="537"/>
      <c r="RIV33" s="537"/>
      <c r="RIW33" s="537"/>
      <c r="RIX33" s="537"/>
      <c r="RIY33" s="537"/>
      <c r="RIZ33" s="537"/>
      <c r="RJA33" s="537"/>
      <c r="RJB33" s="537"/>
      <c r="RJC33" s="537"/>
      <c r="RJD33" s="537"/>
      <c r="RJE33" s="537"/>
      <c r="RJF33" s="537"/>
      <c r="RJG33" s="537"/>
      <c r="RJH33" s="537"/>
      <c r="RJI33" s="537"/>
      <c r="RJJ33" s="537"/>
      <c r="RJK33" s="537"/>
      <c r="RJL33" s="537"/>
      <c r="RJM33" s="537"/>
      <c r="RJN33" s="537"/>
      <c r="RJO33" s="537"/>
      <c r="RJP33" s="537"/>
      <c r="RJQ33" s="537"/>
      <c r="RJR33" s="537"/>
      <c r="RJS33" s="537"/>
      <c r="RJT33" s="537"/>
      <c r="RJU33" s="537"/>
      <c r="RJV33" s="537"/>
      <c r="RJW33" s="537"/>
      <c r="RJX33" s="537"/>
      <c r="RJY33" s="537"/>
      <c r="RJZ33" s="537"/>
      <c r="RKA33" s="537"/>
      <c r="RKB33" s="537"/>
      <c r="RKC33" s="537"/>
      <c r="RKD33" s="537"/>
      <c r="RKE33" s="537"/>
      <c r="RKF33" s="537"/>
      <c r="RKG33" s="537"/>
      <c r="RKH33" s="537"/>
      <c r="RKI33" s="537"/>
      <c r="RKJ33" s="537"/>
      <c r="RKK33" s="537"/>
      <c r="RKL33" s="537"/>
      <c r="RKM33" s="537"/>
      <c r="RKN33" s="537"/>
      <c r="RKO33" s="537"/>
      <c r="RKP33" s="537"/>
      <c r="RKQ33" s="537"/>
      <c r="RKR33" s="537"/>
      <c r="RKS33" s="537"/>
      <c r="RKT33" s="537"/>
      <c r="RKU33" s="537"/>
      <c r="RKV33" s="537"/>
      <c r="RKW33" s="537"/>
      <c r="RKX33" s="537"/>
      <c r="RKY33" s="537"/>
      <c r="RKZ33" s="537"/>
      <c r="RLA33" s="537"/>
      <c r="RLB33" s="537"/>
      <c r="RLC33" s="537"/>
      <c r="RLD33" s="537"/>
      <c r="RLE33" s="537"/>
      <c r="RLF33" s="537"/>
      <c r="RLG33" s="537"/>
      <c r="RLH33" s="537"/>
      <c r="RLI33" s="537"/>
      <c r="RLJ33" s="537"/>
      <c r="RLK33" s="537"/>
      <c r="RLL33" s="537"/>
      <c r="RLM33" s="537"/>
      <c r="RLN33" s="537"/>
      <c r="RLO33" s="537"/>
      <c r="RLP33" s="537"/>
      <c r="RLQ33" s="537"/>
      <c r="RLR33" s="537"/>
      <c r="RLS33" s="537"/>
      <c r="RLT33" s="537"/>
      <c r="RLU33" s="537"/>
      <c r="RLV33" s="537"/>
      <c r="RLW33" s="537"/>
      <c r="RLX33" s="537"/>
      <c r="RLY33" s="537"/>
      <c r="RLZ33" s="537"/>
      <c r="RMA33" s="537"/>
      <c r="RMB33" s="537"/>
      <c r="RMC33" s="537"/>
      <c r="RMD33" s="537"/>
      <c r="RME33" s="537"/>
      <c r="RMF33" s="537"/>
      <c r="RMG33" s="537"/>
      <c r="RMH33" s="537"/>
      <c r="RMI33" s="537"/>
      <c r="RMJ33" s="537"/>
      <c r="RMK33" s="537"/>
      <c r="RML33" s="537"/>
      <c r="RMM33" s="537"/>
      <c r="RMN33" s="537"/>
      <c r="RMO33" s="537"/>
      <c r="RMP33" s="537"/>
      <c r="RMQ33" s="537"/>
      <c r="RMR33" s="537"/>
      <c r="RMS33" s="537"/>
      <c r="RMT33" s="537"/>
      <c r="RMU33" s="537"/>
      <c r="RMV33" s="537"/>
      <c r="RMW33" s="537"/>
      <c r="RMX33" s="537"/>
      <c r="RMY33" s="537"/>
      <c r="RMZ33" s="537"/>
      <c r="RNA33" s="537"/>
      <c r="RNB33" s="537"/>
      <c r="RNC33" s="537"/>
      <c r="RND33" s="537"/>
      <c r="RNE33" s="537"/>
      <c r="RNF33" s="537"/>
      <c r="RNG33" s="537"/>
      <c r="RNH33" s="537"/>
      <c r="RNI33" s="537"/>
      <c r="RNJ33" s="537"/>
      <c r="RNK33" s="537"/>
      <c r="RNL33" s="537"/>
      <c r="RNM33" s="537"/>
      <c r="RNN33" s="537"/>
      <c r="RNO33" s="537"/>
      <c r="RNP33" s="537"/>
      <c r="RNQ33" s="537"/>
      <c r="RNR33" s="537"/>
      <c r="RNS33" s="537"/>
      <c r="RNT33" s="537"/>
      <c r="RNU33" s="537"/>
      <c r="RNV33" s="537"/>
      <c r="RNW33" s="537"/>
      <c r="RNX33" s="537"/>
      <c r="RNY33" s="537"/>
      <c r="RNZ33" s="537"/>
      <c r="ROA33" s="537"/>
      <c r="ROB33" s="537"/>
      <c r="ROC33" s="537"/>
      <c r="ROD33" s="537"/>
      <c r="ROE33" s="537"/>
      <c r="ROF33" s="537"/>
      <c r="ROG33" s="537"/>
      <c r="ROH33" s="537"/>
      <c r="ROI33" s="537"/>
      <c r="ROJ33" s="537"/>
      <c r="ROK33" s="537"/>
      <c r="ROL33" s="537"/>
      <c r="ROM33" s="537"/>
      <c r="RON33" s="537"/>
      <c r="ROO33" s="537"/>
      <c r="ROP33" s="537"/>
      <c r="ROQ33" s="537"/>
      <c r="ROR33" s="537"/>
      <c r="ROS33" s="537"/>
      <c r="ROT33" s="537"/>
      <c r="ROU33" s="537"/>
      <c r="ROV33" s="537"/>
      <c r="ROW33" s="537"/>
      <c r="ROX33" s="537"/>
      <c r="ROY33" s="537"/>
      <c r="ROZ33" s="537"/>
      <c r="RPA33" s="537"/>
      <c r="RPB33" s="537"/>
      <c r="RPC33" s="537"/>
      <c r="RPD33" s="537"/>
      <c r="RPE33" s="537"/>
      <c r="RPF33" s="537"/>
      <c r="RPG33" s="537"/>
      <c r="RPH33" s="537"/>
      <c r="RPI33" s="537"/>
      <c r="RPJ33" s="537"/>
      <c r="RPK33" s="537"/>
      <c r="RPL33" s="537"/>
      <c r="RPM33" s="537"/>
      <c r="RPN33" s="537"/>
      <c r="RPO33" s="537"/>
      <c r="RPP33" s="537"/>
      <c r="RPQ33" s="537"/>
      <c r="RPR33" s="537"/>
      <c r="RPS33" s="537"/>
      <c r="RPT33" s="537"/>
      <c r="RPU33" s="537"/>
      <c r="RPV33" s="537"/>
      <c r="RPW33" s="537"/>
      <c r="RPX33" s="537"/>
      <c r="RPY33" s="537"/>
      <c r="RPZ33" s="537"/>
      <c r="RQA33" s="537"/>
      <c r="RQB33" s="537"/>
      <c r="RQC33" s="537"/>
      <c r="RQD33" s="537"/>
      <c r="RQE33" s="537"/>
      <c r="RQF33" s="537"/>
      <c r="RQG33" s="537"/>
      <c r="RQH33" s="537"/>
      <c r="RQI33" s="537"/>
      <c r="RQJ33" s="537"/>
      <c r="RQK33" s="537"/>
      <c r="RQL33" s="537"/>
      <c r="RQM33" s="537"/>
      <c r="RQN33" s="537"/>
      <c r="RQO33" s="537"/>
      <c r="RQP33" s="537"/>
      <c r="RQQ33" s="537"/>
      <c r="RQR33" s="537"/>
      <c r="RQS33" s="537"/>
      <c r="RQT33" s="537"/>
      <c r="RQU33" s="537"/>
      <c r="RQV33" s="537"/>
      <c r="RQW33" s="537"/>
      <c r="RQX33" s="537"/>
      <c r="RQY33" s="537"/>
      <c r="RQZ33" s="537"/>
      <c r="RRA33" s="537"/>
      <c r="RRB33" s="537"/>
      <c r="RRC33" s="537"/>
      <c r="RRD33" s="537"/>
      <c r="RRE33" s="537"/>
      <c r="RRF33" s="537"/>
      <c r="RRG33" s="537"/>
      <c r="RRH33" s="537"/>
      <c r="RRI33" s="537"/>
      <c r="RRJ33" s="537"/>
      <c r="RRK33" s="537"/>
      <c r="RRL33" s="537"/>
      <c r="RRM33" s="537"/>
      <c r="RRN33" s="537"/>
      <c r="RRO33" s="537"/>
      <c r="RRP33" s="537"/>
      <c r="RRQ33" s="537"/>
      <c r="RRR33" s="537"/>
      <c r="RRS33" s="537"/>
      <c r="RRT33" s="537"/>
      <c r="RRU33" s="537"/>
      <c r="RRV33" s="537"/>
      <c r="RRW33" s="537"/>
      <c r="RRX33" s="537"/>
      <c r="RRY33" s="537"/>
      <c r="RRZ33" s="537"/>
      <c r="RSA33" s="537"/>
      <c r="RSB33" s="537"/>
      <c r="RSC33" s="537"/>
      <c r="RSD33" s="537"/>
      <c r="RSE33" s="537"/>
      <c r="RSF33" s="537"/>
      <c r="RSG33" s="537"/>
      <c r="RSH33" s="537"/>
      <c r="RSI33" s="537"/>
      <c r="RSJ33" s="537"/>
      <c r="RSK33" s="537"/>
      <c r="RSL33" s="537"/>
      <c r="RSM33" s="537"/>
      <c r="RSN33" s="537"/>
      <c r="RSO33" s="537"/>
      <c r="RSP33" s="537"/>
      <c r="RSQ33" s="537"/>
      <c r="RSR33" s="537"/>
      <c r="RSS33" s="537"/>
      <c r="RST33" s="537"/>
      <c r="RSU33" s="537"/>
      <c r="RSV33" s="537"/>
      <c r="RSW33" s="537"/>
      <c r="RSX33" s="537"/>
      <c r="RSY33" s="537"/>
      <c r="RSZ33" s="537"/>
      <c r="RTA33" s="537"/>
      <c r="RTB33" s="537"/>
      <c r="RTC33" s="537"/>
      <c r="RTD33" s="537"/>
      <c r="RTE33" s="537"/>
      <c r="RTF33" s="537"/>
      <c r="RTG33" s="537"/>
      <c r="RTH33" s="537"/>
      <c r="RTI33" s="537"/>
      <c r="RTJ33" s="537"/>
      <c r="RTK33" s="537"/>
      <c r="RTL33" s="537"/>
      <c r="RTM33" s="537"/>
      <c r="RTN33" s="537"/>
      <c r="RTO33" s="537"/>
      <c r="RTP33" s="537"/>
      <c r="RTQ33" s="537"/>
      <c r="RTR33" s="537"/>
      <c r="RTS33" s="537"/>
      <c r="RTT33" s="537"/>
      <c r="RTU33" s="537"/>
      <c r="RTV33" s="537"/>
      <c r="RTW33" s="537"/>
      <c r="RTX33" s="537"/>
      <c r="RTY33" s="537"/>
      <c r="RTZ33" s="537"/>
      <c r="RUA33" s="537"/>
      <c r="RUB33" s="537"/>
      <c r="RUC33" s="537"/>
      <c r="RUD33" s="537"/>
      <c r="RUE33" s="537"/>
      <c r="RUF33" s="537"/>
      <c r="RUG33" s="537"/>
      <c r="RUH33" s="537"/>
      <c r="RUI33" s="537"/>
      <c r="RUJ33" s="537"/>
      <c r="RUK33" s="537"/>
      <c r="RUL33" s="537"/>
      <c r="RUM33" s="537"/>
      <c r="RUN33" s="537"/>
      <c r="RUO33" s="537"/>
      <c r="RUP33" s="537"/>
      <c r="RUQ33" s="537"/>
      <c r="RUR33" s="537"/>
      <c r="RUS33" s="537"/>
      <c r="RUT33" s="537"/>
      <c r="RUU33" s="537"/>
      <c r="RUV33" s="537"/>
      <c r="RUW33" s="537"/>
      <c r="RUX33" s="537"/>
      <c r="RUY33" s="537"/>
      <c r="RUZ33" s="537"/>
      <c r="RVA33" s="537"/>
      <c r="RVB33" s="537"/>
      <c r="RVC33" s="537"/>
      <c r="RVD33" s="537"/>
      <c r="RVE33" s="537"/>
      <c r="RVF33" s="537"/>
      <c r="RVG33" s="537"/>
      <c r="RVH33" s="537"/>
      <c r="RVI33" s="537"/>
      <c r="RVJ33" s="537"/>
      <c r="RVK33" s="537"/>
      <c r="RVL33" s="537"/>
      <c r="RVM33" s="537"/>
      <c r="RVN33" s="537"/>
      <c r="RVO33" s="537"/>
      <c r="RVP33" s="537"/>
      <c r="RVQ33" s="537"/>
      <c r="RVR33" s="537"/>
      <c r="RVS33" s="537"/>
      <c r="RVT33" s="537"/>
      <c r="RVU33" s="537"/>
      <c r="RVV33" s="537"/>
      <c r="RVW33" s="537"/>
      <c r="RVX33" s="537"/>
      <c r="RVY33" s="537"/>
      <c r="RVZ33" s="537"/>
      <c r="RWA33" s="537"/>
      <c r="RWB33" s="537"/>
      <c r="RWC33" s="537"/>
      <c r="RWD33" s="537"/>
      <c r="RWE33" s="537"/>
      <c r="RWF33" s="537"/>
      <c r="RWG33" s="537"/>
      <c r="RWH33" s="537"/>
      <c r="RWI33" s="537"/>
      <c r="RWJ33" s="537"/>
      <c r="RWK33" s="537"/>
      <c r="RWL33" s="537"/>
      <c r="RWM33" s="537"/>
      <c r="RWN33" s="537"/>
      <c r="RWO33" s="537"/>
      <c r="RWP33" s="537"/>
      <c r="RWQ33" s="537"/>
      <c r="RWR33" s="537"/>
      <c r="RWS33" s="537"/>
      <c r="RWT33" s="537"/>
      <c r="RWU33" s="537"/>
      <c r="RWV33" s="537"/>
      <c r="RWW33" s="537"/>
      <c r="RWX33" s="537"/>
      <c r="RWY33" s="537"/>
      <c r="RWZ33" s="537"/>
      <c r="RXA33" s="537"/>
      <c r="RXB33" s="537"/>
      <c r="RXC33" s="537"/>
      <c r="RXD33" s="537"/>
      <c r="RXE33" s="537"/>
      <c r="RXF33" s="537"/>
      <c r="RXG33" s="537"/>
      <c r="RXH33" s="537"/>
      <c r="RXI33" s="537"/>
      <c r="RXJ33" s="537"/>
      <c r="RXK33" s="537"/>
      <c r="RXL33" s="537"/>
      <c r="RXM33" s="537"/>
      <c r="RXN33" s="537"/>
      <c r="RXO33" s="537"/>
      <c r="RXP33" s="537"/>
      <c r="RXQ33" s="537"/>
      <c r="RXR33" s="537"/>
      <c r="RXS33" s="537"/>
      <c r="RXT33" s="537"/>
      <c r="RXU33" s="537"/>
      <c r="RXV33" s="537"/>
      <c r="RXW33" s="537"/>
      <c r="RXX33" s="537"/>
      <c r="RXY33" s="537"/>
      <c r="RXZ33" s="537"/>
      <c r="RYA33" s="537"/>
      <c r="RYB33" s="537"/>
      <c r="RYC33" s="537"/>
      <c r="RYD33" s="537"/>
      <c r="RYE33" s="537"/>
      <c r="RYF33" s="537"/>
      <c r="RYG33" s="537"/>
      <c r="RYH33" s="537"/>
      <c r="RYI33" s="537"/>
      <c r="RYJ33" s="537"/>
      <c r="RYK33" s="537"/>
      <c r="RYL33" s="537"/>
      <c r="RYM33" s="537"/>
      <c r="RYN33" s="537"/>
      <c r="RYO33" s="537"/>
      <c r="RYP33" s="537"/>
      <c r="RYQ33" s="537"/>
      <c r="RYR33" s="537"/>
      <c r="RYS33" s="537"/>
      <c r="RYT33" s="537"/>
      <c r="RYU33" s="537"/>
      <c r="RYV33" s="537"/>
      <c r="RYW33" s="537"/>
      <c r="RYX33" s="537"/>
      <c r="RYY33" s="537"/>
      <c r="RYZ33" s="537"/>
      <c r="RZA33" s="537"/>
      <c r="RZB33" s="537"/>
      <c r="RZC33" s="537"/>
      <c r="RZD33" s="537"/>
      <c r="RZE33" s="537"/>
      <c r="RZF33" s="537"/>
      <c r="RZG33" s="537"/>
      <c r="RZH33" s="537"/>
      <c r="RZI33" s="537"/>
      <c r="RZJ33" s="537"/>
      <c r="RZK33" s="537"/>
      <c r="RZL33" s="537"/>
      <c r="RZM33" s="537"/>
      <c r="RZN33" s="537"/>
      <c r="RZO33" s="537"/>
      <c r="RZP33" s="537"/>
      <c r="RZQ33" s="537"/>
      <c r="RZR33" s="537"/>
      <c r="RZS33" s="537"/>
      <c r="RZT33" s="537"/>
      <c r="RZU33" s="537"/>
      <c r="RZV33" s="537"/>
      <c r="RZW33" s="537"/>
      <c r="RZX33" s="537"/>
      <c r="RZY33" s="537"/>
      <c r="RZZ33" s="537"/>
      <c r="SAA33" s="537"/>
      <c r="SAB33" s="537"/>
      <c r="SAC33" s="537"/>
      <c r="SAD33" s="537"/>
      <c r="SAE33" s="537"/>
      <c r="SAF33" s="537"/>
      <c r="SAG33" s="537"/>
      <c r="SAH33" s="537"/>
      <c r="SAI33" s="537"/>
      <c r="SAJ33" s="537"/>
      <c r="SAK33" s="537"/>
      <c r="SAL33" s="537"/>
      <c r="SAM33" s="537"/>
      <c r="SAN33" s="537"/>
      <c r="SAO33" s="537"/>
      <c r="SAP33" s="537"/>
      <c r="SAQ33" s="537"/>
      <c r="SAR33" s="537"/>
      <c r="SAS33" s="537"/>
      <c r="SAT33" s="537"/>
      <c r="SAU33" s="537"/>
      <c r="SAV33" s="537"/>
      <c r="SAW33" s="537"/>
      <c r="SAX33" s="537"/>
      <c r="SAY33" s="537"/>
      <c r="SAZ33" s="537"/>
      <c r="SBA33" s="537"/>
      <c r="SBB33" s="537"/>
      <c r="SBC33" s="537"/>
      <c r="SBD33" s="537"/>
      <c r="SBE33" s="537"/>
      <c r="SBF33" s="537"/>
      <c r="SBG33" s="537"/>
      <c r="SBH33" s="537"/>
      <c r="SBI33" s="537"/>
      <c r="SBJ33" s="537"/>
      <c r="SBK33" s="537"/>
      <c r="SBL33" s="537"/>
      <c r="SBM33" s="537"/>
      <c r="SBN33" s="537"/>
      <c r="SBO33" s="537"/>
      <c r="SBP33" s="537"/>
      <c r="SBQ33" s="537"/>
      <c r="SBR33" s="537"/>
      <c r="SBS33" s="537"/>
      <c r="SBT33" s="537"/>
      <c r="SBU33" s="537"/>
      <c r="SBV33" s="537"/>
      <c r="SBW33" s="537"/>
      <c r="SBX33" s="537"/>
      <c r="SBY33" s="537"/>
      <c r="SBZ33" s="537"/>
      <c r="SCA33" s="537"/>
      <c r="SCB33" s="537"/>
      <c r="SCC33" s="537"/>
      <c r="SCD33" s="537"/>
      <c r="SCE33" s="537"/>
      <c r="SCF33" s="537"/>
      <c r="SCG33" s="537"/>
      <c r="SCH33" s="537"/>
      <c r="SCI33" s="537"/>
      <c r="SCJ33" s="537"/>
      <c r="SCK33" s="537"/>
      <c r="SCL33" s="537"/>
      <c r="SCM33" s="537"/>
      <c r="SCN33" s="537"/>
      <c r="SCO33" s="537"/>
      <c r="SCP33" s="537"/>
      <c r="SCQ33" s="537"/>
      <c r="SCR33" s="537"/>
      <c r="SCS33" s="537"/>
      <c r="SCT33" s="537"/>
      <c r="SCU33" s="537"/>
      <c r="SCV33" s="537"/>
      <c r="SCW33" s="537"/>
      <c r="SCX33" s="537"/>
      <c r="SCY33" s="537"/>
      <c r="SCZ33" s="537"/>
      <c r="SDA33" s="537"/>
      <c r="SDB33" s="537"/>
      <c r="SDC33" s="537"/>
      <c r="SDD33" s="537"/>
      <c r="SDE33" s="537"/>
      <c r="SDF33" s="537"/>
      <c r="SDG33" s="537"/>
      <c r="SDH33" s="537"/>
      <c r="SDI33" s="537"/>
      <c r="SDJ33" s="537"/>
      <c r="SDK33" s="537"/>
      <c r="SDL33" s="537"/>
      <c r="SDM33" s="537"/>
      <c r="SDN33" s="537"/>
      <c r="SDO33" s="537"/>
      <c r="SDP33" s="537"/>
      <c r="SDQ33" s="537"/>
      <c r="SDR33" s="537"/>
      <c r="SDS33" s="537"/>
      <c r="SDT33" s="537"/>
      <c r="SDU33" s="537"/>
      <c r="SDV33" s="537"/>
      <c r="SDW33" s="537"/>
      <c r="SDX33" s="537"/>
      <c r="SDY33" s="537"/>
      <c r="SDZ33" s="537"/>
      <c r="SEA33" s="537"/>
      <c r="SEB33" s="537"/>
      <c r="SEC33" s="537"/>
      <c r="SED33" s="537"/>
      <c r="SEE33" s="537"/>
      <c r="SEF33" s="537"/>
      <c r="SEG33" s="537"/>
      <c r="SEH33" s="537"/>
      <c r="SEI33" s="537"/>
      <c r="SEJ33" s="537"/>
      <c r="SEK33" s="537"/>
      <c r="SEL33" s="537"/>
      <c r="SEM33" s="537"/>
      <c r="SEN33" s="537"/>
      <c r="SEO33" s="537"/>
      <c r="SEP33" s="537"/>
      <c r="SEQ33" s="537"/>
      <c r="SER33" s="537"/>
      <c r="SES33" s="537"/>
      <c r="SET33" s="537"/>
      <c r="SEU33" s="537"/>
      <c r="SEV33" s="537"/>
      <c r="SEW33" s="537"/>
      <c r="SEX33" s="537"/>
      <c r="SEY33" s="537"/>
      <c r="SEZ33" s="537"/>
      <c r="SFA33" s="537"/>
      <c r="SFB33" s="537"/>
      <c r="SFC33" s="537"/>
      <c r="SFD33" s="537"/>
      <c r="SFE33" s="537"/>
      <c r="SFF33" s="537"/>
      <c r="SFG33" s="537"/>
      <c r="SFH33" s="537"/>
      <c r="SFI33" s="537"/>
      <c r="SFJ33" s="537"/>
      <c r="SFK33" s="537"/>
      <c r="SFL33" s="537"/>
      <c r="SFM33" s="537"/>
      <c r="SFN33" s="537"/>
      <c r="SFO33" s="537"/>
      <c r="SFP33" s="537"/>
      <c r="SFQ33" s="537"/>
      <c r="SFR33" s="537"/>
      <c r="SFS33" s="537"/>
      <c r="SFT33" s="537"/>
      <c r="SFU33" s="537"/>
      <c r="SFV33" s="537"/>
      <c r="SFW33" s="537"/>
      <c r="SFX33" s="537"/>
      <c r="SFY33" s="537"/>
      <c r="SFZ33" s="537"/>
      <c r="SGA33" s="537"/>
      <c r="SGB33" s="537"/>
      <c r="SGC33" s="537"/>
      <c r="SGD33" s="537"/>
      <c r="SGE33" s="537"/>
      <c r="SGF33" s="537"/>
      <c r="SGG33" s="537"/>
      <c r="SGH33" s="537"/>
      <c r="SGI33" s="537"/>
      <c r="SGJ33" s="537"/>
      <c r="SGK33" s="537"/>
      <c r="SGL33" s="537"/>
      <c r="SGM33" s="537"/>
      <c r="SGN33" s="537"/>
      <c r="SGO33" s="537"/>
      <c r="SGP33" s="537"/>
      <c r="SGQ33" s="537"/>
      <c r="SGR33" s="537"/>
      <c r="SGS33" s="537"/>
      <c r="SGT33" s="537"/>
      <c r="SGU33" s="537"/>
      <c r="SGV33" s="537"/>
      <c r="SGW33" s="537"/>
      <c r="SGX33" s="537"/>
      <c r="SGY33" s="537"/>
      <c r="SGZ33" s="537"/>
      <c r="SHA33" s="537"/>
      <c r="SHB33" s="537"/>
      <c r="SHC33" s="537"/>
      <c r="SHD33" s="537"/>
      <c r="SHE33" s="537"/>
      <c r="SHF33" s="537"/>
      <c r="SHG33" s="537"/>
      <c r="SHH33" s="537"/>
      <c r="SHI33" s="537"/>
      <c r="SHJ33" s="537"/>
      <c r="SHK33" s="537"/>
      <c r="SHL33" s="537"/>
      <c r="SHM33" s="537"/>
      <c r="SHN33" s="537"/>
      <c r="SHO33" s="537"/>
      <c r="SHP33" s="537"/>
      <c r="SHQ33" s="537"/>
      <c r="SHR33" s="537"/>
      <c r="SHS33" s="537"/>
      <c r="SHT33" s="537"/>
      <c r="SHU33" s="537"/>
      <c r="SHV33" s="537"/>
      <c r="SHW33" s="537"/>
      <c r="SHX33" s="537"/>
      <c r="SHY33" s="537"/>
      <c r="SHZ33" s="537"/>
      <c r="SIA33" s="537"/>
      <c r="SIB33" s="537"/>
      <c r="SIC33" s="537"/>
      <c r="SID33" s="537"/>
      <c r="SIE33" s="537"/>
      <c r="SIF33" s="537"/>
      <c r="SIG33" s="537"/>
      <c r="SIH33" s="537"/>
      <c r="SII33" s="537"/>
      <c r="SIJ33" s="537"/>
      <c r="SIK33" s="537"/>
      <c r="SIL33" s="537"/>
      <c r="SIM33" s="537"/>
      <c r="SIN33" s="537"/>
      <c r="SIO33" s="537"/>
      <c r="SIP33" s="537"/>
      <c r="SIQ33" s="537"/>
      <c r="SIR33" s="537"/>
      <c r="SIS33" s="537"/>
      <c r="SIT33" s="537"/>
      <c r="SIU33" s="537"/>
      <c r="SIV33" s="537"/>
      <c r="SIW33" s="537"/>
      <c r="SIX33" s="537"/>
      <c r="SIY33" s="537"/>
      <c r="SIZ33" s="537"/>
      <c r="SJA33" s="537"/>
      <c r="SJB33" s="537"/>
      <c r="SJC33" s="537"/>
      <c r="SJD33" s="537"/>
      <c r="SJE33" s="537"/>
      <c r="SJF33" s="537"/>
      <c r="SJG33" s="537"/>
      <c r="SJH33" s="537"/>
      <c r="SJI33" s="537"/>
      <c r="SJJ33" s="537"/>
      <c r="SJK33" s="537"/>
      <c r="SJL33" s="537"/>
      <c r="SJM33" s="537"/>
      <c r="SJN33" s="537"/>
      <c r="SJO33" s="537"/>
      <c r="SJP33" s="537"/>
      <c r="SJQ33" s="537"/>
      <c r="SJR33" s="537"/>
      <c r="SJS33" s="537"/>
      <c r="SJT33" s="537"/>
      <c r="SJU33" s="537"/>
      <c r="SJV33" s="537"/>
      <c r="SJW33" s="537"/>
      <c r="SJX33" s="537"/>
      <c r="SJY33" s="537"/>
      <c r="SJZ33" s="537"/>
      <c r="SKA33" s="537"/>
      <c r="SKB33" s="537"/>
      <c r="SKC33" s="537"/>
      <c r="SKD33" s="537"/>
      <c r="SKE33" s="537"/>
      <c r="SKF33" s="537"/>
      <c r="SKG33" s="537"/>
      <c r="SKH33" s="537"/>
      <c r="SKI33" s="537"/>
      <c r="SKJ33" s="537"/>
      <c r="SKK33" s="537"/>
      <c r="SKL33" s="537"/>
      <c r="SKM33" s="537"/>
      <c r="SKN33" s="537"/>
      <c r="SKO33" s="537"/>
      <c r="SKP33" s="537"/>
      <c r="SKQ33" s="537"/>
      <c r="SKR33" s="537"/>
      <c r="SKS33" s="537"/>
      <c r="SKT33" s="537"/>
      <c r="SKU33" s="537"/>
      <c r="SKV33" s="537"/>
      <c r="SKW33" s="537"/>
      <c r="SKX33" s="537"/>
      <c r="SKY33" s="537"/>
      <c r="SKZ33" s="537"/>
      <c r="SLA33" s="537"/>
      <c r="SLB33" s="537"/>
      <c r="SLC33" s="537"/>
      <c r="SLD33" s="537"/>
      <c r="SLE33" s="537"/>
      <c r="SLF33" s="537"/>
      <c r="SLG33" s="537"/>
      <c r="SLH33" s="537"/>
      <c r="SLI33" s="537"/>
      <c r="SLJ33" s="537"/>
      <c r="SLK33" s="537"/>
      <c r="SLL33" s="537"/>
      <c r="SLM33" s="537"/>
      <c r="SLN33" s="537"/>
      <c r="SLO33" s="537"/>
      <c r="SLP33" s="537"/>
      <c r="SLQ33" s="537"/>
      <c r="SLR33" s="537"/>
      <c r="SLS33" s="537"/>
      <c r="SLT33" s="537"/>
      <c r="SLU33" s="537"/>
      <c r="SLV33" s="537"/>
      <c r="SLW33" s="537"/>
      <c r="SLX33" s="537"/>
      <c r="SLY33" s="537"/>
      <c r="SLZ33" s="537"/>
      <c r="SMA33" s="537"/>
      <c r="SMB33" s="537"/>
      <c r="SMC33" s="537"/>
      <c r="SMD33" s="537"/>
      <c r="SME33" s="537"/>
      <c r="SMF33" s="537"/>
      <c r="SMG33" s="537"/>
      <c r="SMH33" s="537"/>
      <c r="SMI33" s="537"/>
      <c r="SMJ33" s="537"/>
      <c r="SMK33" s="537"/>
      <c r="SML33" s="537"/>
      <c r="SMM33" s="537"/>
      <c r="SMN33" s="537"/>
      <c r="SMO33" s="537"/>
      <c r="SMP33" s="537"/>
      <c r="SMQ33" s="537"/>
      <c r="SMR33" s="537"/>
      <c r="SMS33" s="537"/>
      <c r="SMT33" s="537"/>
      <c r="SMU33" s="537"/>
      <c r="SMV33" s="537"/>
      <c r="SMW33" s="537"/>
      <c r="SMX33" s="537"/>
      <c r="SMY33" s="537"/>
      <c r="SMZ33" s="537"/>
      <c r="SNA33" s="537"/>
      <c r="SNB33" s="537"/>
      <c r="SNC33" s="537"/>
      <c r="SND33" s="537"/>
      <c r="SNE33" s="537"/>
      <c r="SNF33" s="537"/>
      <c r="SNG33" s="537"/>
      <c r="SNH33" s="537"/>
      <c r="SNI33" s="537"/>
      <c r="SNJ33" s="537"/>
      <c r="SNK33" s="537"/>
      <c r="SNL33" s="537"/>
      <c r="SNM33" s="537"/>
      <c r="SNN33" s="537"/>
      <c r="SNO33" s="537"/>
      <c r="SNP33" s="537"/>
      <c r="SNQ33" s="537"/>
      <c r="SNR33" s="537"/>
      <c r="SNS33" s="537"/>
      <c r="SNT33" s="537"/>
      <c r="SNU33" s="537"/>
      <c r="SNV33" s="537"/>
      <c r="SNW33" s="537"/>
      <c r="SNX33" s="537"/>
      <c r="SNY33" s="537"/>
      <c r="SNZ33" s="537"/>
      <c r="SOA33" s="537"/>
      <c r="SOB33" s="537"/>
      <c r="SOC33" s="537"/>
      <c r="SOD33" s="537"/>
      <c r="SOE33" s="537"/>
      <c r="SOF33" s="537"/>
      <c r="SOG33" s="537"/>
      <c r="SOH33" s="537"/>
      <c r="SOI33" s="537"/>
      <c r="SOJ33" s="537"/>
      <c r="SOK33" s="537"/>
      <c r="SOL33" s="537"/>
      <c r="SOM33" s="537"/>
      <c r="SON33" s="537"/>
      <c r="SOO33" s="537"/>
      <c r="SOP33" s="537"/>
      <c r="SOQ33" s="537"/>
      <c r="SOR33" s="537"/>
      <c r="SOS33" s="537"/>
      <c r="SOT33" s="537"/>
      <c r="SOU33" s="537"/>
      <c r="SOV33" s="537"/>
      <c r="SOW33" s="537"/>
      <c r="SOX33" s="537"/>
      <c r="SOY33" s="537"/>
      <c r="SOZ33" s="537"/>
      <c r="SPA33" s="537"/>
      <c r="SPB33" s="537"/>
      <c r="SPC33" s="537"/>
      <c r="SPD33" s="537"/>
      <c r="SPE33" s="537"/>
      <c r="SPF33" s="537"/>
      <c r="SPG33" s="537"/>
      <c r="SPH33" s="537"/>
      <c r="SPI33" s="537"/>
      <c r="SPJ33" s="537"/>
      <c r="SPK33" s="537"/>
      <c r="SPL33" s="537"/>
      <c r="SPM33" s="537"/>
      <c r="SPN33" s="537"/>
      <c r="SPO33" s="537"/>
      <c r="SPP33" s="537"/>
      <c r="SPQ33" s="537"/>
      <c r="SPR33" s="537"/>
      <c r="SPS33" s="537"/>
      <c r="SPT33" s="537"/>
      <c r="SPU33" s="537"/>
      <c r="SPV33" s="537"/>
      <c r="SPW33" s="537"/>
      <c r="SPX33" s="537"/>
      <c r="SPY33" s="537"/>
      <c r="SPZ33" s="537"/>
      <c r="SQA33" s="537"/>
      <c r="SQB33" s="537"/>
      <c r="SQC33" s="537"/>
      <c r="SQD33" s="537"/>
      <c r="SQE33" s="537"/>
      <c r="SQF33" s="537"/>
      <c r="SQG33" s="537"/>
      <c r="SQH33" s="537"/>
      <c r="SQI33" s="537"/>
      <c r="SQJ33" s="537"/>
      <c r="SQK33" s="537"/>
      <c r="SQL33" s="537"/>
      <c r="SQM33" s="537"/>
      <c r="SQN33" s="537"/>
      <c r="SQO33" s="537"/>
      <c r="SQP33" s="537"/>
      <c r="SQQ33" s="537"/>
      <c r="SQR33" s="537"/>
      <c r="SQS33" s="537"/>
      <c r="SQT33" s="537"/>
      <c r="SQU33" s="537"/>
      <c r="SQV33" s="537"/>
      <c r="SQW33" s="537"/>
      <c r="SQX33" s="537"/>
      <c r="SQY33" s="537"/>
      <c r="SQZ33" s="537"/>
      <c r="SRA33" s="537"/>
      <c r="SRB33" s="537"/>
      <c r="SRC33" s="537"/>
      <c r="SRD33" s="537"/>
      <c r="SRE33" s="537"/>
      <c r="SRF33" s="537"/>
      <c r="SRG33" s="537"/>
      <c r="SRH33" s="537"/>
      <c r="SRI33" s="537"/>
      <c r="SRJ33" s="537"/>
      <c r="SRK33" s="537"/>
      <c r="SRL33" s="537"/>
      <c r="SRM33" s="537"/>
      <c r="SRN33" s="537"/>
      <c r="SRO33" s="537"/>
      <c r="SRP33" s="537"/>
      <c r="SRQ33" s="537"/>
      <c r="SRR33" s="537"/>
      <c r="SRS33" s="537"/>
      <c r="SRT33" s="537"/>
      <c r="SRU33" s="537"/>
      <c r="SRV33" s="537"/>
      <c r="SRW33" s="537"/>
      <c r="SRX33" s="537"/>
      <c r="SRY33" s="537"/>
      <c r="SRZ33" s="537"/>
      <c r="SSA33" s="537"/>
      <c r="SSB33" s="537"/>
      <c r="SSC33" s="537"/>
      <c r="SSD33" s="537"/>
      <c r="SSE33" s="537"/>
      <c r="SSF33" s="537"/>
      <c r="SSG33" s="537"/>
      <c r="SSH33" s="537"/>
      <c r="SSI33" s="537"/>
      <c r="SSJ33" s="537"/>
      <c r="SSK33" s="537"/>
      <c r="SSL33" s="537"/>
      <c r="SSM33" s="537"/>
      <c r="SSN33" s="537"/>
      <c r="SSO33" s="537"/>
      <c r="SSP33" s="537"/>
      <c r="SSQ33" s="537"/>
      <c r="SSR33" s="537"/>
      <c r="SSS33" s="537"/>
      <c r="SST33" s="537"/>
      <c r="SSU33" s="537"/>
      <c r="SSV33" s="537"/>
      <c r="SSW33" s="537"/>
      <c r="SSX33" s="537"/>
      <c r="SSY33" s="537"/>
      <c r="SSZ33" s="537"/>
      <c r="STA33" s="537"/>
      <c r="STB33" s="537"/>
      <c r="STC33" s="537"/>
      <c r="STD33" s="537"/>
      <c r="STE33" s="537"/>
      <c r="STF33" s="537"/>
      <c r="STG33" s="537"/>
      <c r="STH33" s="537"/>
      <c r="STI33" s="537"/>
      <c r="STJ33" s="537"/>
      <c r="STK33" s="537"/>
      <c r="STL33" s="537"/>
      <c r="STM33" s="537"/>
      <c r="STN33" s="537"/>
      <c r="STO33" s="537"/>
      <c r="STP33" s="537"/>
      <c r="STQ33" s="537"/>
      <c r="STR33" s="537"/>
      <c r="STS33" s="537"/>
      <c r="STT33" s="537"/>
      <c r="STU33" s="537"/>
      <c r="STV33" s="537"/>
      <c r="STW33" s="537"/>
      <c r="STX33" s="537"/>
      <c r="STY33" s="537"/>
      <c r="STZ33" s="537"/>
      <c r="SUA33" s="537"/>
      <c r="SUB33" s="537"/>
      <c r="SUC33" s="537"/>
      <c r="SUD33" s="537"/>
      <c r="SUE33" s="537"/>
      <c r="SUF33" s="537"/>
      <c r="SUG33" s="537"/>
      <c r="SUH33" s="537"/>
      <c r="SUI33" s="537"/>
      <c r="SUJ33" s="537"/>
      <c r="SUK33" s="537"/>
      <c r="SUL33" s="537"/>
      <c r="SUM33" s="537"/>
      <c r="SUN33" s="537"/>
      <c r="SUO33" s="537"/>
      <c r="SUP33" s="537"/>
      <c r="SUQ33" s="537"/>
      <c r="SUR33" s="537"/>
      <c r="SUS33" s="537"/>
      <c r="SUT33" s="537"/>
      <c r="SUU33" s="537"/>
      <c r="SUV33" s="537"/>
      <c r="SUW33" s="537"/>
      <c r="SUX33" s="537"/>
      <c r="SUY33" s="537"/>
      <c r="SUZ33" s="537"/>
      <c r="SVA33" s="537"/>
      <c r="SVB33" s="537"/>
      <c r="SVC33" s="537"/>
      <c r="SVD33" s="537"/>
      <c r="SVE33" s="537"/>
      <c r="SVF33" s="537"/>
      <c r="SVG33" s="537"/>
      <c r="SVH33" s="537"/>
      <c r="SVI33" s="537"/>
      <c r="SVJ33" s="537"/>
      <c r="SVK33" s="537"/>
      <c r="SVL33" s="537"/>
      <c r="SVM33" s="537"/>
      <c r="SVN33" s="537"/>
      <c r="SVO33" s="537"/>
      <c r="SVP33" s="537"/>
      <c r="SVQ33" s="537"/>
      <c r="SVR33" s="537"/>
      <c r="SVS33" s="537"/>
      <c r="SVT33" s="537"/>
      <c r="SVU33" s="537"/>
      <c r="SVV33" s="537"/>
      <c r="SVW33" s="537"/>
      <c r="SVX33" s="537"/>
      <c r="SVY33" s="537"/>
      <c r="SVZ33" s="537"/>
      <c r="SWA33" s="537"/>
      <c r="SWB33" s="537"/>
      <c r="SWC33" s="537"/>
      <c r="SWD33" s="537"/>
      <c r="SWE33" s="537"/>
      <c r="SWF33" s="537"/>
      <c r="SWG33" s="537"/>
      <c r="SWH33" s="537"/>
      <c r="SWI33" s="537"/>
      <c r="SWJ33" s="537"/>
      <c r="SWK33" s="537"/>
      <c r="SWL33" s="537"/>
      <c r="SWM33" s="537"/>
      <c r="SWN33" s="537"/>
      <c r="SWO33" s="537"/>
      <c r="SWP33" s="537"/>
      <c r="SWQ33" s="537"/>
      <c r="SWR33" s="537"/>
      <c r="SWS33" s="537"/>
      <c r="SWT33" s="537"/>
      <c r="SWU33" s="537"/>
      <c r="SWV33" s="537"/>
      <c r="SWW33" s="537"/>
      <c r="SWX33" s="537"/>
      <c r="SWY33" s="537"/>
      <c r="SWZ33" s="537"/>
      <c r="SXA33" s="537"/>
      <c r="SXB33" s="537"/>
      <c r="SXC33" s="537"/>
      <c r="SXD33" s="537"/>
      <c r="SXE33" s="537"/>
      <c r="SXF33" s="537"/>
      <c r="SXG33" s="537"/>
      <c r="SXH33" s="537"/>
      <c r="SXI33" s="537"/>
      <c r="SXJ33" s="537"/>
      <c r="SXK33" s="537"/>
      <c r="SXL33" s="537"/>
      <c r="SXM33" s="537"/>
      <c r="SXN33" s="537"/>
      <c r="SXO33" s="537"/>
      <c r="SXP33" s="537"/>
      <c r="SXQ33" s="537"/>
      <c r="SXR33" s="537"/>
      <c r="SXS33" s="537"/>
      <c r="SXT33" s="537"/>
      <c r="SXU33" s="537"/>
      <c r="SXV33" s="537"/>
      <c r="SXW33" s="537"/>
      <c r="SXX33" s="537"/>
      <c r="SXY33" s="537"/>
      <c r="SXZ33" s="537"/>
      <c r="SYA33" s="537"/>
      <c r="SYB33" s="537"/>
      <c r="SYC33" s="537"/>
      <c r="SYD33" s="537"/>
      <c r="SYE33" s="537"/>
      <c r="SYF33" s="537"/>
      <c r="SYG33" s="537"/>
      <c r="SYH33" s="537"/>
      <c r="SYI33" s="537"/>
      <c r="SYJ33" s="537"/>
      <c r="SYK33" s="537"/>
      <c r="SYL33" s="537"/>
      <c r="SYM33" s="537"/>
      <c r="SYN33" s="537"/>
      <c r="SYO33" s="537"/>
      <c r="SYP33" s="537"/>
      <c r="SYQ33" s="537"/>
      <c r="SYR33" s="537"/>
      <c r="SYS33" s="537"/>
      <c r="SYT33" s="537"/>
      <c r="SYU33" s="537"/>
      <c r="SYV33" s="537"/>
      <c r="SYW33" s="537"/>
      <c r="SYX33" s="537"/>
      <c r="SYY33" s="537"/>
      <c r="SYZ33" s="537"/>
      <c r="SZA33" s="537"/>
      <c r="SZB33" s="537"/>
      <c r="SZC33" s="537"/>
      <c r="SZD33" s="537"/>
      <c r="SZE33" s="537"/>
      <c r="SZF33" s="537"/>
      <c r="SZG33" s="537"/>
      <c r="SZH33" s="537"/>
      <c r="SZI33" s="537"/>
      <c r="SZJ33" s="537"/>
      <c r="SZK33" s="537"/>
      <c r="SZL33" s="537"/>
      <c r="SZM33" s="537"/>
      <c r="SZN33" s="537"/>
      <c r="SZO33" s="537"/>
      <c r="SZP33" s="537"/>
      <c r="SZQ33" s="537"/>
      <c r="SZR33" s="537"/>
      <c r="SZS33" s="537"/>
      <c r="SZT33" s="537"/>
      <c r="SZU33" s="537"/>
      <c r="SZV33" s="537"/>
      <c r="SZW33" s="537"/>
      <c r="SZX33" s="537"/>
      <c r="SZY33" s="537"/>
      <c r="SZZ33" s="537"/>
      <c r="TAA33" s="537"/>
      <c r="TAB33" s="537"/>
      <c r="TAC33" s="537"/>
      <c r="TAD33" s="537"/>
      <c r="TAE33" s="537"/>
      <c r="TAF33" s="537"/>
      <c r="TAG33" s="537"/>
      <c r="TAH33" s="537"/>
      <c r="TAI33" s="537"/>
      <c r="TAJ33" s="537"/>
      <c r="TAK33" s="537"/>
      <c r="TAL33" s="537"/>
      <c r="TAM33" s="537"/>
      <c r="TAN33" s="537"/>
      <c r="TAO33" s="537"/>
      <c r="TAP33" s="537"/>
      <c r="TAQ33" s="537"/>
      <c r="TAR33" s="537"/>
      <c r="TAS33" s="537"/>
      <c r="TAT33" s="537"/>
      <c r="TAU33" s="537"/>
      <c r="TAV33" s="537"/>
      <c r="TAW33" s="537"/>
      <c r="TAX33" s="537"/>
      <c r="TAY33" s="537"/>
      <c r="TAZ33" s="537"/>
      <c r="TBA33" s="537"/>
      <c r="TBB33" s="537"/>
      <c r="TBC33" s="537"/>
      <c r="TBD33" s="537"/>
      <c r="TBE33" s="537"/>
      <c r="TBF33" s="537"/>
      <c r="TBG33" s="537"/>
      <c r="TBH33" s="537"/>
      <c r="TBI33" s="537"/>
      <c r="TBJ33" s="537"/>
      <c r="TBK33" s="537"/>
      <c r="TBL33" s="537"/>
      <c r="TBM33" s="537"/>
      <c r="TBN33" s="537"/>
      <c r="TBO33" s="537"/>
      <c r="TBP33" s="537"/>
      <c r="TBQ33" s="537"/>
      <c r="TBR33" s="537"/>
      <c r="TBS33" s="537"/>
      <c r="TBT33" s="537"/>
      <c r="TBU33" s="537"/>
      <c r="TBV33" s="537"/>
      <c r="TBW33" s="537"/>
      <c r="TBX33" s="537"/>
      <c r="TBY33" s="537"/>
      <c r="TBZ33" s="537"/>
      <c r="TCA33" s="537"/>
      <c r="TCB33" s="537"/>
      <c r="TCC33" s="537"/>
      <c r="TCD33" s="537"/>
      <c r="TCE33" s="537"/>
      <c r="TCF33" s="537"/>
      <c r="TCG33" s="537"/>
      <c r="TCH33" s="537"/>
      <c r="TCI33" s="537"/>
      <c r="TCJ33" s="537"/>
      <c r="TCK33" s="537"/>
      <c r="TCL33" s="537"/>
      <c r="TCM33" s="537"/>
      <c r="TCN33" s="537"/>
      <c r="TCO33" s="537"/>
      <c r="TCP33" s="537"/>
      <c r="TCQ33" s="537"/>
      <c r="TCR33" s="537"/>
      <c r="TCS33" s="537"/>
      <c r="TCT33" s="537"/>
      <c r="TCU33" s="537"/>
      <c r="TCV33" s="537"/>
      <c r="TCW33" s="537"/>
      <c r="TCX33" s="537"/>
      <c r="TCY33" s="537"/>
      <c r="TCZ33" s="537"/>
      <c r="TDA33" s="537"/>
      <c r="TDB33" s="537"/>
      <c r="TDC33" s="537"/>
      <c r="TDD33" s="537"/>
      <c r="TDE33" s="537"/>
      <c r="TDF33" s="537"/>
      <c r="TDG33" s="537"/>
      <c r="TDH33" s="537"/>
      <c r="TDI33" s="537"/>
      <c r="TDJ33" s="537"/>
      <c r="TDK33" s="537"/>
      <c r="TDL33" s="537"/>
      <c r="TDM33" s="537"/>
      <c r="TDN33" s="537"/>
      <c r="TDO33" s="537"/>
      <c r="TDP33" s="537"/>
      <c r="TDQ33" s="537"/>
      <c r="TDR33" s="537"/>
      <c r="TDS33" s="537"/>
      <c r="TDT33" s="537"/>
      <c r="TDU33" s="537"/>
      <c r="TDV33" s="537"/>
      <c r="TDW33" s="537"/>
      <c r="TDX33" s="537"/>
      <c r="TDY33" s="537"/>
      <c r="TDZ33" s="537"/>
      <c r="TEA33" s="537"/>
      <c r="TEB33" s="537"/>
      <c r="TEC33" s="537"/>
      <c r="TED33" s="537"/>
      <c r="TEE33" s="537"/>
      <c r="TEF33" s="537"/>
      <c r="TEG33" s="537"/>
      <c r="TEH33" s="537"/>
      <c r="TEI33" s="537"/>
      <c r="TEJ33" s="537"/>
      <c r="TEK33" s="537"/>
      <c r="TEL33" s="537"/>
      <c r="TEM33" s="537"/>
      <c r="TEN33" s="537"/>
      <c r="TEO33" s="537"/>
      <c r="TEP33" s="537"/>
      <c r="TEQ33" s="537"/>
      <c r="TER33" s="537"/>
      <c r="TES33" s="537"/>
      <c r="TET33" s="537"/>
      <c r="TEU33" s="537"/>
      <c r="TEV33" s="537"/>
      <c r="TEW33" s="537"/>
      <c r="TEX33" s="537"/>
      <c r="TEY33" s="537"/>
      <c r="TEZ33" s="537"/>
      <c r="TFA33" s="537"/>
      <c r="TFB33" s="537"/>
      <c r="TFC33" s="537"/>
      <c r="TFD33" s="537"/>
      <c r="TFE33" s="537"/>
      <c r="TFF33" s="537"/>
      <c r="TFG33" s="537"/>
      <c r="TFH33" s="537"/>
      <c r="TFI33" s="537"/>
      <c r="TFJ33" s="537"/>
      <c r="TFK33" s="537"/>
      <c r="TFL33" s="537"/>
      <c r="TFM33" s="537"/>
      <c r="TFN33" s="537"/>
      <c r="TFO33" s="537"/>
      <c r="TFP33" s="537"/>
      <c r="TFQ33" s="537"/>
      <c r="TFR33" s="537"/>
      <c r="TFS33" s="537"/>
      <c r="TFT33" s="537"/>
      <c r="TFU33" s="537"/>
      <c r="TFV33" s="537"/>
      <c r="TFW33" s="537"/>
      <c r="TFX33" s="537"/>
      <c r="TFY33" s="537"/>
      <c r="TFZ33" s="537"/>
      <c r="TGA33" s="537"/>
      <c r="TGB33" s="537"/>
      <c r="TGC33" s="537"/>
      <c r="TGD33" s="537"/>
      <c r="TGE33" s="537"/>
      <c r="TGF33" s="537"/>
      <c r="TGG33" s="537"/>
      <c r="TGH33" s="537"/>
      <c r="TGI33" s="537"/>
      <c r="TGJ33" s="537"/>
      <c r="TGK33" s="537"/>
      <c r="TGL33" s="537"/>
      <c r="TGM33" s="537"/>
      <c r="TGN33" s="537"/>
      <c r="TGO33" s="537"/>
      <c r="TGP33" s="537"/>
      <c r="TGQ33" s="537"/>
      <c r="TGR33" s="537"/>
      <c r="TGS33" s="537"/>
      <c r="TGT33" s="537"/>
      <c r="TGU33" s="537"/>
      <c r="TGV33" s="537"/>
      <c r="TGW33" s="537"/>
      <c r="TGX33" s="537"/>
      <c r="TGY33" s="537"/>
      <c r="TGZ33" s="537"/>
      <c r="THA33" s="537"/>
      <c r="THB33" s="537"/>
      <c r="THC33" s="537"/>
      <c r="THD33" s="537"/>
      <c r="THE33" s="537"/>
      <c r="THF33" s="537"/>
      <c r="THG33" s="537"/>
      <c r="THH33" s="537"/>
      <c r="THI33" s="537"/>
      <c r="THJ33" s="537"/>
      <c r="THK33" s="537"/>
      <c r="THL33" s="537"/>
      <c r="THM33" s="537"/>
      <c r="THN33" s="537"/>
      <c r="THO33" s="537"/>
      <c r="THP33" s="537"/>
      <c r="THQ33" s="537"/>
      <c r="THR33" s="537"/>
      <c r="THS33" s="537"/>
      <c r="THT33" s="537"/>
      <c r="THU33" s="537"/>
      <c r="THV33" s="537"/>
      <c r="THW33" s="537"/>
      <c r="THX33" s="537"/>
      <c r="THY33" s="537"/>
      <c r="THZ33" s="537"/>
      <c r="TIA33" s="537"/>
      <c r="TIB33" s="537"/>
      <c r="TIC33" s="537"/>
      <c r="TID33" s="537"/>
      <c r="TIE33" s="537"/>
      <c r="TIF33" s="537"/>
      <c r="TIG33" s="537"/>
      <c r="TIH33" s="537"/>
      <c r="TII33" s="537"/>
      <c r="TIJ33" s="537"/>
      <c r="TIK33" s="537"/>
      <c r="TIL33" s="537"/>
      <c r="TIM33" s="537"/>
      <c r="TIN33" s="537"/>
      <c r="TIO33" s="537"/>
      <c r="TIP33" s="537"/>
      <c r="TIQ33" s="537"/>
      <c r="TIR33" s="537"/>
      <c r="TIS33" s="537"/>
      <c r="TIT33" s="537"/>
      <c r="TIU33" s="537"/>
      <c r="TIV33" s="537"/>
      <c r="TIW33" s="537"/>
      <c r="TIX33" s="537"/>
      <c r="TIY33" s="537"/>
      <c r="TIZ33" s="537"/>
      <c r="TJA33" s="537"/>
      <c r="TJB33" s="537"/>
      <c r="TJC33" s="537"/>
      <c r="TJD33" s="537"/>
      <c r="TJE33" s="537"/>
      <c r="TJF33" s="537"/>
      <c r="TJG33" s="537"/>
      <c r="TJH33" s="537"/>
      <c r="TJI33" s="537"/>
      <c r="TJJ33" s="537"/>
      <c r="TJK33" s="537"/>
      <c r="TJL33" s="537"/>
      <c r="TJM33" s="537"/>
      <c r="TJN33" s="537"/>
      <c r="TJO33" s="537"/>
      <c r="TJP33" s="537"/>
      <c r="TJQ33" s="537"/>
      <c r="TJR33" s="537"/>
      <c r="TJS33" s="537"/>
      <c r="TJT33" s="537"/>
      <c r="TJU33" s="537"/>
      <c r="TJV33" s="537"/>
      <c r="TJW33" s="537"/>
      <c r="TJX33" s="537"/>
      <c r="TJY33" s="537"/>
      <c r="TJZ33" s="537"/>
      <c r="TKA33" s="537"/>
      <c r="TKB33" s="537"/>
      <c r="TKC33" s="537"/>
      <c r="TKD33" s="537"/>
      <c r="TKE33" s="537"/>
      <c r="TKF33" s="537"/>
      <c r="TKG33" s="537"/>
      <c r="TKH33" s="537"/>
      <c r="TKI33" s="537"/>
      <c r="TKJ33" s="537"/>
      <c r="TKK33" s="537"/>
      <c r="TKL33" s="537"/>
      <c r="TKM33" s="537"/>
      <c r="TKN33" s="537"/>
      <c r="TKO33" s="537"/>
      <c r="TKP33" s="537"/>
      <c r="TKQ33" s="537"/>
      <c r="TKR33" s="537"/>
      <c r="TKS33" s="537"/>
      <c r="TKT33" s="537"/>
      <c r="TKU33" s="537"/>
      <c r="TKV33" s="537"/>
      <c r="TKW33" s="537"/>
      <c r="TKX33" s="537"/>
      <c r="TKY33" s="537"/>
      <c r="TKZ33" s="537"/>
      <c r="TLA33" s="537"/>
      <c r="TLB33" s="537"/>
      <c r="TLC33" s="537"/>
      <c r="TLD33" s="537"/>
      <c r="TLE33" s="537"/>
      <c r="TLF33" s="537"/>
      <c r="TLG33" s="537"/>
      <c r="TLH33" s="537"/>
      <c r="TLI33" s="537"/>
      <c r="TLJ33" s="537"/>
      <c r="TLK33" s="537"/>
      <c r="TLL33" s="537"/>
      <c r="TLM33" s="537"/>
      <c r="TLN33" s="537"/>
      <c r="TLO33" s="537"/>
      <c r="TLP33" s="537"/>
      <c r="TLQ33" s="537"/>
      <c r="TLR33" s="537"/>
      <c r="TLS33" s="537"/>
      <c r="TLT33" s="537"/>
      <c r="TLU33" s="537"/>
      <c r="TLV33" s="537"/>
      <c r="TLW33" s="537"/>
      <c r="TLX33" s="537"/>
      <c r="TLY33" s="537"/>
      <c r="TLZ33" s="537"/>
      <c r="TMA33" s="537"/>
      <c r="TMB33" s="537"/>
      <c r="TMC33" s="537"/>
      <c r="TMD33" s="537"/>
      <c r="TME33" s="537"/>
      <c r="TMF33" s="537"/>
      <c r="TMG33" s="537"/>
      <c r="TMH33" s="537"/>
      <c r="TMI33" s="537"/>
      <c r="TMJ33" s="537"/>
      <c r="TMK33" s="537"/>
      <c r="TML33" s="537"/>
      <c r="TMM33" s="537"/>
      <c r="TMN33" s="537"/>
      <c r="TMO33" s="537"/>
      <c r="TMP33" s="537"/>
      <c r="TMQ33" s="537"/>
      <c r="TMR33" s="537"/>
      <c r="TMS33" s="537"/>
      <c r="TMT33" s="537"/>
      <c r="TMU33" s="537"/>
      <c r="TMV33" s="537"/>
      <c r="TMW33" s="537"/>
      <c r="TMX33" s="537"/>
      <c r="TMY33" s="537"/>
      <c r="TMZ33" s="537"/>
      <c r="TNA33" s="537"/>
      <c r="TNB33" s="537"/>
      <c r="TNC33" s="537"/>
      <c r="TND33" s="537"/>
      <c r="TNE33" s="537"/>
      <c r="TNF33" s="537"/>
      <c r="TNG33" s="537"/>
      <c r="TNH33" s="537"/>
      <c r="TNI33" s="537"/>
      <c r="TNJ33" s="537"/>
      <c r="TNK33" s="537"/>
      <c r="TNL33" s="537"/>
      <c r="TNM33" s="537"/>
      <c r="TNN33" s="537"/>
      <c r="TNO33" s="537"/>
      <c r="TNP33" s="537"/>
      <c r="TNQ33" s="537"/>
      <c r="TNR33" s="537"/>
      <c r="TNS33" s="537"/>
      <c r="TNT33" s="537"/>
      <c r="TNU33" s="537"/>
      <c r="TNV33" s="537"/>
      <c r="TNW33" s="537"/>
      <c r="TNX33" s="537"/>
      <c r="TNY33" s="537"/>
      <c r="TNZ33" s="537"/>
      <c r="TOA33" s="537"/>
      <c r="TOB33" s="537"/>
      <c r="TOC33" s="537"/>
      <c r="TOD33" s="537"/>
      <c r="TOE33" s="537"/>
      <c r="TOF33" s="537"/>
      <c r="TOG33" s="537"/>
      <c r="TOH33" s="537"/>
      <c r="TOI33" s="537"/>
      <c r="TOJ33" s="537"/>
      <c r="TOK33" s="537"/>
      <c r="TOL33" s="537"/>
      <c r="TOM33" s="537"/>
      <c r="TON33" s="537"/>
      <c r="TOO33" s="537"/>
      <c r="TOP33" s="537"/>
      <c r="TOQ33" s="537"/>
      <c r="TOR33" s="537"/>
      <c r="TOS33" s="537"/>
      <c r="TOT33" s="537"/>
      <c r="TOU33" s="537"/>
      <c r="TOV33" s="537"/>
      <c r="TOW33" s="537"/>
      <c r="TOX33" s="537"/>
      <c r="TOY33" s="537"/>
      <c r="TOZ33" s="537"/>
      <c r="TPA33" s="537"/>
      <c r="TPB33" s="537"/>
      <c r="TPC33" s="537"/>
      <c r="TPD33" s="537"/>
      <c r="TPE33" s="537"/>
      <c r="TPF33" s="537"/>
      <c r="TPG33" s="537"/>
      <c r="TPH33" s="537"/>
      <c r="TPI33" s="537"/>
      <c r="TPJ33" s="537"/>
      <c r="TPK33" s="537"/>
      <c r="TPL33" s="537"/>
      <c r="TPM33" s="537"/>
      <c r="TPN33" s="537"/>
      <c r="TPO33" s="537"/>
      <c r="TPP33" s="537"/>
      <c r="TPQ33" s="537"/>
      <c r="TPR33" s="537"/>
      <c r="TPS33" s="537"/>
      <c r="TPT33" s="537"/>
      <c r="TPU33" s="537"/>
      <c r="TPV33" s="537"/>
      <c r="TPW33" s="537"/>
      <c r="TPX33" s="537"/>
      <c r="TPY33" s="537"/>
      <c r="TPZ33" s="537"/>
      <c r="TQA33" s="537"/>
      <c r="TQB33" s="537"/>
      <c r="TQC33" s="537"/>
      <c r="TQD33" s="537"/>
      <c r="TQE33" s="537"/>
      <c r="TQF33" s="537"/>
      <c r="TQG33" s="537"/>
      <c r="TQH33" s="537"/>
      <c r="TQI33" s="537"/>
      <c r="TQJ33" s="537"/>
      <c r="TQK33" s="537"/>
      <c r="TQL33" s="537"/>
      <c r="TQM33" s="537"/>
      <c r="TQN33" s="537"/>
      <c r="TQO33" s="537"/>
      <c r="TQP33" s="537"/>
      <c r="TQQ33" s="537"/>
      <c r="TQR33" s="537"/>
      <c r="TQS33" s="537"/>
      <c r="TQT33" s="537"/>
      <c r="TQU33" s="537"/>
      <c r="TQV33" s="537"/>
      <c r="TQW33" s="537"/>
      <c r="TQX33" s="537"/>
      <c r="TQY33" s="537"/>
      <c r="TQZ33" s="537"/>
      <c r="TRA33" s="537"/>
      <c r="TRB33" s="537"/>
      <c r="TRC33" s="537"/>
      <c r="TRD33" s="537"/>
      <c r="TRE33" s="537"/>
      <c r="TRF33" s="537"/>
      <c r="TRG33" s="537"/>
      <c r="TRH33" s="537"/>
      <c r="TRI33" s="537"/>
      <c r="TRJ33" s="537"/>
      <c r="TRK33" s="537"/>
      <c r="TRL33" s="537"/>
      <c r="TRM33" s="537"/>
      <c r="TRN33" s="537"/>
      <c r="TRO33" s="537"/>
      <c r="TRP33" s="537"/>
      <c r="TRQ33" s="537"/>
      <c r="TRR33" s="537"/>
      <c r="TRS33" s="537"/>
      <c r="TRT33" s="537"/>
      <c r="TRU33" s="537"/>
      <c r="TRV33" s="537"/>
      <c r="TRW33" s="537"/>
      <c r="TRX33" s="537"/>
      <c r="TRY33" s="537"/>
      <c r="TRZ33" s="537"/>
      <c r="TSA33" s="537"/>
      <c r="TSB33" s="537"/>
      <c r="TSC33" s="537"/>
      <c r="TSD33" s="537"/>
      <c r="TSE33" s="537"/>
      <c r="TSF33" s="537"/>
      <c r="TSG33" s="537"/>
      <c r="TSH33" s="537"/>
      <c r="TSI33" s="537"/>
      <c r="TSJ33" s="537"/>
      <c r="TSK33" s="537"/>
      <c r="TSL33" s="537"/>
      <c r="TSM33" s="537"/>
      <c r="TSN33" s="537"/>
      <c r="TSO33" s="537"/>
      <c r="TSP33" s="537"/>
      <c r="TSQ33" s="537"/>
      <c r="TSR33" s="537"/>
      <c r="TSS33" s="537"/>
      <c r="TST33" s="537"/>
      <c r="TSU33" s="537"/>
      <c r="TSV33" s="537"/>
      <c r="TSW33" s="537"/>
      <c r="TSX33" s="537"/>
      <c r="TSY33" s="537"/>
      <c r="TSZ33" s="537"/>
      <c r="TTA33" s="537"/>
      <c r="TTB33" s="537"/>
      <c r="TTC33" s="537"/>
      <c r="TTD33" s="537"/>
      <c r="TTE33" s="537"/>
      <c r="TTF33" s="537"/>
      <c r="TTG33" s="537"/>
      <c r="TTH33" s="537"/>
      <c r="TTI33" s="537"/>
      <c r="TTJ33" s="537"/>
      <c r="TTK33" s="537"/>
      <c r="TTL33" s="537"/>
      <c r="TTM33" s="537"/>
      <c r="TTN33" s="537"/>
      <c r="TTO33" s="537"/>
      <c r="TTP33" s="537"/>
      <c r="TTQ33" s="537"/>
      <c r="TTR33" s="537"/>
      <c r="TTS33" s="537"/>
      <c r="TTT33" s="537"/>
      <c r="TTU33" s="537"/>
      <c r="TTV33" s="537"/>
      <c r="TTW33" s="537"/>
      <c r="TTX33" s="537"/>
      <c r="TTY33" s="537"/>
      <c r="TTZ33" s="537"/>
      <c r="TUA33" s="537"/>
      <c r="TUB33" s="537"/>
      <c r="TUC33" s="537"/>
      <c r="TUD33" s="537"/>
      <c r="TUE33" s="537"/>
      <c r="TUF33" s="537"/>
      <c r="TUG33" s="537"/>
      <c r="TUH33" s="537"/>
      <c r="TUI33" s="537"/>
      <c r="TUJ33" s="537"/>
      <c r="TUK33" s="537"/>
      <c r="TUL33" s="537"/>
      <c r="TUM33" s="537"/>
      <c r="TUN33" s="537"/>
      <c r="TUO33" s="537"/>
      <c r="TUP33" s="537"/>
      <c r="TUQ33" s="537"/>
      <c r="TUR33" s="537"/>
      <c r="TUS33" s="537"/>
      <c r="TUT33" s="537"/>
      <c r="TUU33" s="537"/>
      <c r="TUV33" s="537"/>
      <c r="TUW33" s="537"/>
      <c r="TUX33" s="537"/>
      <c r="TUY33" s="537"/>
      <c r="TUZ33" s="537"/>
      <c r="TVA33" s="537"/>
      <c r="TVB33" s="537"/>
      <c r="TVC33" s="537"/>
      <c r="TVD33" s="537"/>
      <c r="TVE33" s="537"/>
      <c r="TVF33" s="537"/>
      <c r="TVG33" s="537"/>
      <c r="TVH33" s="537"/>
      <c r="TVI33" s="537"/>
      <c r="TVJ33" s="537"/>
      <c r="TVK33" s="537"/>
      <c r="TVL33" s="537"/>
      <c r="TVM33" s="537"/>
      <c r="TVN33" s="537"/>
      <c r="TVO33" s="537"/>
      <c r="TVP33" s="537"/>
      <c r="TVQ33" s="537"/>
      <c r="TVR33" s="537"/>
      <c r="TVS33" s="537"/>
      <c r="TVT33" s="537"/>
      <c r="TVU33" s="537"/>
      <c r="TVV33" s="537"/>
      <c r="TVW33" s="537"/>
      <c r="TVX33" s="537"/>
      <c r="TVY33" s="537"/>
      <c r="TVZ33" s="537"/>
      <c r="TWA33" s="537"/>
      <c r="TWB33" s="537"/>
      <c r="TWC33" s="537"/>
      <c r="TWD33" s="537"/>
      <c r="TWE33" s="537"/>
      <c r="TWF33" s="537"/>
      <c r="TWG33" s="537"/>
      <c r="TWH33" s="537"/>
      <c r="TWI33" s="537"/>
      <c r="TWJ33" s="537"/>
      <c r="TWK33" s="537"/>
      <c r="TWL33" s="537"/>
      <c r="TWM33" s="537"/>
      <c r="TWN33" s="537"/>
      <c r="TWO33" s="537"/>
      <c r="TWP33" s="537"/>
      <c r="TWQ33" s="537"/>
      <c r="TWR33" s="537"/>
      <c r="TWS33" s="537"/>
      <c r="TWT33" s="537"/>
      <c r="TWU33" s="537"/>
      <c r="TWV33" s="537"/>
      <c r="TWW33" s="537"/>
      <c r="TWX33" s="537"/>
      <c r="TWY33" s="537"/>
      <c r="TWZ33" s="537"/>
      <c r="TXA33" s="537"/>
      <c r="TXB33" s="537"/>
      <c r="TXC33" s="537"/>
      <c r="TXD33" s="537"/>
      <c r="TXE33" s="537"/>
      <c r="TXF33" s="537"/>
      <c r="TXG33" s="537"/>
      <c r="TXH33" s="537"/>
      <c r="TXI33" s="537"/>
      <c r="TXJ33" s="537"/>
      <c r="TXK33" s="537"/>
      <c r="TXL33" s="537"/>
      <c r="TXM33" s="537"/>
      <c r="TXN33" s="537"/>
      <c r="TXO33" s="537"/>
      <c r="TXP33" s="537"/>
      <c r="TXQ33" s="537"/>
      <c r="TXR33" s="537"/>
      <c r="TXS33" s="537"/>
      <c r="TXT33" s="537"/>
      <c r="TXU33" s="537"/>
      <c r="TXV33" s="537"/>
      <c r="TXW33" s="537"/>
      <c r="TXX33" s="537"/>
      <c r="TXY33" s="537"/>
      <c r="TXZ33" s="537"/>
      <c r="TYA33" s="537"/>
      <c r="TYB33" s="537"/>
      <c r="TYC33" s="537"/>
      <c r="TYD33" s="537"/>
      <c r="TYE33" s="537"/>
      <c r="TYF33" s="537"/>
      <c r="TYG33" s="537"/>
      <c r="TYH33" s="537"/>
      <c r="TYI33" s="537"/>
      <c r="TYJ33" s="537"/>
      <c r="TYK33" s="537"/>
      <c r="TYL33" s="537"/>
      <c r="TYM33" s="537"/>
      <c r="TYN33" s="537"/>
      <c r="TYO33" s="537"/>
      <c r="TYP33" s="537"/>
      <c r="TYQ33" s="537"/>
      <c r="TYR33" s="537"/>
      <c r="TYS33" s="537"/>
      <c r="TYT33" s="537"/>
      <c r="TYU33" s="537"/>
      <c r="TYV33" s="537"/>
      <c r="TYW33" s="537"/>
      <c r="TYX33" s="537"/>
      <c r="TYY33" s="537"/>
      <c r="TYZ33" s="537"/>
      <c r="TZA33" s="537"/>
      <c r="TZB33" s="537"/>
      <c r="TZC33" s="537"/>
      <c r="TZD33" s="537"/>
      <c r="TZE33" s="537"/>
      <c r="TZF33" s="537"/>
      <c r="TZG33" s="537"/>
      <c r="TZH33" s="537"/>
      <c r="TZI33" s="537"/>
      <c r="TZJ33" s="537"/>
      <c r="TZK33" s="537"/>
      <c r="TZL33" s="537"/>
      <c r="TZM33" s="537"/>
      <c r="TZN33" s="537"/>
      <c r="TZO33" s="537"/>
      <c r="TZP33" s="537"/>
      <c r="TZQ33" s="537"/>
      <c r="TZR33" s="537"/>
      <c r="TZS33" s="537"/>
      <c r="TZT33" s="537"/>
      <c r="TZU33" s="537"/>
      <c r="TZV33" s="537"/>
      <c r="TZW33" s="537"/>
      <c r="TZX33" s="537"/>
      <c r="TZY33" s="537"/>
      <c r="TZZ33" s="537"/>
      <c r="UAA33" s="537"/>
      <c r="UAB33" s="537"/>
      <c r="UAC33" s="537"/>
      <c r="UAD33" s="537"/>
      <c r="UAE33" s="537"/>
      <c r="UAF33" s="537"/>
      <c r="UAG33" s="537"/>
      <c r="UAH33" s="537"/>
      <c r="UAI33" s="537"/>
      <c r="UAJ33" s="537"/>
      <c r="UAK33" s="537"/>
      <c r="UAL33" s="537"/>
      <c r="UAM33" s="537"/>
      <c r="UAN33" s="537"/>
      <c r="UAO33" s="537"/>
      <c r="UAP33" s="537"/>
      <c r="UAQ33" s="537"/>
      <c r="UAR33" s="537"/>
      <c r="UAS33" s="537"/>
      <c r="UAT33" s="537"/>
      <c r="UAU33" s="537"/>
      <c r="UAV33" s="537"/>
      <c r="UAW33" s="537"/>
      <c r="UAX33" s="537"/>
      <c r="UAY33" s="537"/>
      <c r="UAZ33" s="537"/>
      <c r="UBA33" s="537"/>
      <c r="UBB33" s="537"/>
      <c r="UBC33" s="537"/>
      <c r="UBD33" s="537"/>
      <c r="UBE33" s="537"/>
      <c r="UBF33" s="537"/>
      <c r="UBG33" s="537"/>
      <c r="UBH33" s="537"/>
      <c r="UBI33" s="537"/>
      <c r="UBJ33" s="537"/>
      <c r="UBK33" s="537"/>
      <c r="UBL33" s="537"/>
      <c r="UBM33" s="537"/>
      <c r="UBN33" s="537"/>
      <c r="UBO33" s="537"/>
      <c r="UBP33" s="537"/>
      <c r="UBQ33" s="537"/>
      <c r="UBR33" s="537"/>
      <c r="UBS33" s="537"/>
      <c r="UBT33" s="537"/>
      <c r="UBU33" s="537"/>
      <c r="UBV33" s="537"/>
      <c r="UBW33" s="537"/>
      <c r="UBX33" s="537"/>
      <c r="UBY33" s="537"/>
      <c r="UBZ33" s="537"/>
      <c r="UCA33" s="537"/>
      <c r="UCB33" s="537"/>
      <c r="UCC33" s="537"/>
      <c r="UCD33" s="537"/>
      <c r="UCE33" s="537"/>
      <c r="UCF33" s="537"/>
      <c r="UCG33" s="537"/>
      <c r="UCH33" s="537"/>
      <c r="UCI33" s="537"/>
      <c r="UCJ33" s="537"/>
      <c r="UCK33" s="537"/>
      <c r="UCL33" s="537"/>
      <c r="UCM33" s="537"/>
      <c r="UCN33" s="537"/>
      <c r="UCO33" s="537"/>
      <c r="UCP33" s="537"/>
      <c r="UCQ33" s="537"/>
      <c r="UCR33" s="537"/>
      <c r="UCS33" s="537"/>
      <c r="UCT33" s="537"/>
      <c r="UCU33" s="537"/>
      <c r="UCV33" s="537"/>
      <c r="UCW33" s="537"/>
      <c r="UCX33" s="537"/>
      <c r="UCY33" s="537"/>
      <c r="UCZ33" s="537"/>
      <c r="UDA33" s="537"/>
      <c r="UDB33" s="537"/>
      <c r="UDC33" s="537"/>
      <c r="UDD33" s="537"/>
      <c r="UDE33" s="537"/>
      <c r="UDF33" s="537"/>
      <c r="UDG33" s="537"/>
      <c r="UDH33" s="537"/>
      <c r="UDI33" s="537"/>
      <c r="UDJ33" s="537"/>
      <c r="UDK33" s="537"/>
      <c r="UDL33" s="537"/>
      <c r="UDM33" s="537"/>
      <c r="UDN33" s="537"/>
      <c r="UDO33" s="537"/>
      <c r="UDP33" s="537"/>
      <c r="UDQ33" s="537"/>
      <c r="UDR33" s="537"/>
      <c r="UDS33" s="537"/>
      <c r="UDT33" s="537"/>
      <c r="UDU33" s="537"/>
      <c r="UDV33" s="537"/>
      <c r="UDW33" s="537"/>
      <c r="UDX33" s="537"/>
      <c r="UDY33" s="537"/>
      <c r="UDZ33" s="537"/>
      <c r="UEA33" s="537"/>
      <c r="UEB33" s="537"/>
      <c r="UEC33" s="537"/>
      <c r="UED33" s="537"/>
      <c r="UEE33" s="537"/>
      <c r="UEF33" s="537"/>
      <c r="UEG33" s="537"/>
      <c r="UEH33" s="537"/>
      <c r="UEI33" s="537"/>
      <c r="UEJ33" s="537"/>
      <c r="UEK33" s="537"/>
      <c r="UEL33" s="537"/>
      <c r="UEM33" s="537"/>
      <c r="UEN33" s="537"/>
      <c r="UEO33" s="537"/>
      <c r="UEP33" s="537"/>
      <c r="UEQ33" s="537"/>
      <c r="UER33" s="537"/>
      <c r="UES33" s="537"/>
      <c r="UET33" s="537"/>
      <c r="UEU33" s="537"/>
      <c r="UEV33" s="537"/>
      <c r="UEW33" s="537"/>
      <c r="UEX33" s="537"/>
      <c r="UEY33" s="537"/>
      <c r="UEZ33" s="537"/>
      <c r="UFA33" s="537"/>
      <c r="UFB33" s="537"/>
      <c r="UFC33" s="537"/>
      <c r="UFD33" s="537"/>
      <c r="UFE33" s="537"/>
      <c r="UFF33" s="537"/>
      <c r="UFG33" s="537"/>
      <c r="UFH33" s="537"/>
      <c r="UFI33" s="537"/>
      <c r="UFJ33" s="537"/>
      <c r="UFK33" s="537"/>
      <c r="UFL33" s="537"/>
      <c r="UFM33" s="537"/>
      <c r="UFN33" s="537"/>
      <c r="UFO33" s="537"/>
      <c r="UFP33" s="537"/>
      <c r="UFQ33" s="537"/>
      <c r="UFR33" s="537"/>
      <c r="UFS33" s="537"/>
      <c r="UFT33" s="537"/>
      <c r="UFU33" s="537"/>
      <c r="UFV33" s="537"/>
      <c r="UFW33" s="537"/>
      <c r="UFX33" s="537"/>
      <c r="UFY33" s="537"/>
      <c r="UFZ33" s="537"/>
      <c r="UGA33" s="537"/>
      <c r="UGB33" s="537"/>
      <c r="UGC33" s="537"/>
      <c r="UGD33" s="537"/>
      <c r="UGE33" s="537"/>
      <c r="UGF33" s="537"/>
      <c r="UGG33" s="537"/>
      <c r="UGH33" s="537"/>
      <c r="UGI33" s="537"/>
      <c r="UGJ33" s="537"/>
      <c r="UGK33" s="537"/>
      <c r="UGL33" s="537"/>
      <c r="UGM33" s="537"/>
      <c r="UGN33" s="537"/>
      <c r="UGO33" s="537"/>
      <c r="UGP33" s="537"/>
      <c r="UGQ33" s="537"/>
      <c r="UGR33" s="537"/>
      <c r="UGS33" s="537"/>
      <c r="UGT33" s="537"/>
      <c r="UGU33" s="537"/>
      <c r="UGV33" s="537"/>
      <c r="UGW33" s="537"/>
      <c r="UGX33" s="537"/>
      <c r="UGY33" s="537"/>
      <c r="UGZ33" s="537"/>
      <c r="UHA33" s="537"/>
      <c r="UHB33" s="537"/>
      <c r="UHC33" s="537"/>
      <c r="UHD33" s="537"/>
      <c r="UHE33" s="537"/>
      <c r="UHF33" s="537"/>
      <c r="UHG33" s="537"/>
      <c r="UHH33" s="537"/>
      <c r="UHI33" s="537"/>
      <c r="UHJ33" s="537"/>
      <c r="UHK33" s="537"/>
      <c r="UHL33" s="537"/>
      <c r="UHM33" s="537"/>
      <c r="UHN33" s="537"/>
      <c r="UHO33" s="537"/>
      <c r="UHP33" s="537"/>
      <c r="UHQ33" s="537"/>
      <c r="UHR33" s="537"/>
      <c r="UHS33" s="537"/>
      <c r="UHT33" s="537"/>
      <c r="UHU33" s="537"/>
      <c r="UHV33" s="537"/>
      <c r="UHW33" s="537"/>
      <c r="UHX33" s="537"/>
      <c r="UHY33" s="537"/>
      <c r="UHZ33" s="537"/>
      <c r="UIA33" s="537"/>
      <c r="UIB33" s="537"/>
      <c r="UIC33" s="537"/>
      <c r="UID33" s="537"/>
      <c r="UIE33" s="537"/>
      <c r="UIF33" s="537"/>
      <c r="UIG33" s="537"/>
      <c r="UIH33" s="537"/>
      <c r="UII33" s="537"/>
      <c r="UIJ33" s="537"/>
      <c r="UIK33" s="537"/>
      <c r="UIL33" s="537"/>
      <c r="UIM33" s="537"/>
      <c r="UIN33" s="537"/>
      <c r="UIO33" s="537"/>
      <c r="UIP33" s="537"/>
      <c r="UIQ33" s="537"/>
      <c r="UIR33" s="537"/>
      <c r="UIS33" s="537"/>
      <c r="UIT33" s="537"/>
      <c r="UIU33" s="537"/>
      <c r="UIV33" s="537"/>
      <c r="UIW33" s="537"/>
      <c r="UIX33" s="537"/>
      <c r="UIY33" s="537"/>
      <c r="UIZ33" s="537"/>
      <c r="UJA33" s="537"/>
      <c r="UJB33" s="537"/>
      <c r="UJC33" s="537"/>
      <c r="UJD33" s="537"/>
      <c r="UJE33" s="537"/>
      <c r="UJF33" s="537"/>
      <c r="UJG33" s="537"/>
      <c r="UJH33" s="537"/>
      <c r="UJI33" s="537"/>
      <c r="UJJ33" s="537"/>
      <c r="UJK33" s="537"/>
      <c r="UJL33" s="537"/>
      <c r="UJM33" s="537"/>
      <c r="UJN33" s="537"/>
      <c r="UJO33" s="537"/>
      <c r="UJP33" s="537"/>
      <c r="UJQ33" s="537"/>
      <c r="UJR33" s="537"/>
      <c r="UJS33" s="537"/>
      <c r="UJT33" s="537"/>
      <c r="UJU33" s="537"/>
      <c r="UJV33" s="537"/>
      <c r="UJW33" s="537"/>
      <c r="UJX33" s="537"/>
      <c r="UJY33" s="537"/>
      <c r="UJZ33" s="537"/>
      <c r="UKA33" s="537"/>
      <c r="UKB33" s="537"/>
      <c r="UKC33" s="537"/>
      <c r="UKD33" s="537"/>
      <c r="UKE33" s="537"/>
      <c r="UKF33" s="537"/>
      <c r="UKG33" s="537"/>
      <c r="UKH33" s="537"/>
      <c r="UKI33" s="537"/>
      <c r="UKJ33" s="537"/>
      <c r="UKK33" s="537"/>
      <c r="UKL33" s="537"/>
      <c r="UKM33" s="537"/>
      <c r="UKN33" s="537"/>
      <c r="UKO33" s="537"/>
      <c r="UKP33" s="537"/>
      <c r="UKQ33" s="537"/>
      <c r="UKR33" s="537"/>
      <c r="UKS33" s="537"/>
      <c r="UKT33" s="537"/>
      <c r="UKU33" s="537"/>
      <c r="UKV33" s="537"/>
      <c r="UKW33" s="537"/>
      <c r="UKX33" s="537"/>
      <c r="UKY33" s="537"/>
      <c r="UKZ33" s="537"/>
      <c r="ULA33" s="537"/>
      <c r="ULB33" s="537"/>
      <c r="ULC33" s="537"/>
      <c r="ULD33" s="537"/>
      <c r="ULE33" s="537"/>
      <c r="ULF33" s="537"/>
      <c r="ULG33" s="537"/>
      <c r="ULH33" s="537"/>
      <c r="ULI33" s="537"/>
      <c r="ULJ33" s="537"/>
      <c r="ULK33" s="537"/>
      <c r="ULL33" s="537"/>
      <c r="ULM33" s="537"/>
      <c r="ULN33" s="537"/>
      <c r="ULO33" s="537"/>
      <c r="ULP33" s="537"/>
      <c r="ULQ33" s="537"/>
      <c r="ULR33" s="537"/>
      <c r="ULS33" s="537"/>
      <c r="ULT33" s="537"/>
      <c r="ULU33" s="537"/>
      <c r="ULV33" s="537"/>
      <c r="ULW33" s="537"/>
      <c r="ULX33" s="537"/>
      <c r="ULY33" s="537"/>
      <c r="ULZ33" s="537"/>
      <c r="UMA33" s="537"/>
      <c r="UMB33" s="537"/>
      <c r="UMC33" s="537"/>
      <c r="UMD33" s="537"/>
      <c r="UME33" s="537"/>
      <c r="UMF33" s="537"/>
      <c r="UMG33" s="537"/>
      <c r="UMH33" s="537"/>
      <c r="UMI33" s="537"/>
      <c r="UMJ33" s="537"/>
      <c r="UMK33" s="537"/>
      <c r="UML33" s="537"/>
      <c r="UMM33" s="537"/>
      <c r="UMN33" s="537"/>
      <c r="UMO33" s="537"/>
      <c r="UMP33" s="537"/>
      <c r="UMQ33" s="537"/>
      <c r="UMR33" s="537"/>
      <c r="UMS33" s="537"/>
      <c r="UMT33" s="537"/>
      <c r="UMU33" s="537"/>
      <c r="UMV33" s="537"/>
      <c r="UMW33" s="537"/>
      <c r="UMX33" s="537"/>
      <c r="UMY33" s="537"/>
      <c r="UMZ33" s="537"/>
      <c r="UNA33" s="537"/>
      <c r="UNB33" s="537"/>
      <c r="UNC33" s="537"/>
      <c r="UND33" s="537"/>
      <c r="UNE33" s="537"/>
      <c r="UNF33" s="537"/>
      <c r="UNG33" s="537"/>
      <c r="UNH33" s="537"/>
      <c r="UNI33" s="537"/>
      <c r="UNJ33" s="537"/>
      <c r="UNK33" s="537"/>
      <c r="UNL33" s="537"/>
      <c r="UNM33" s="537"/>
      <c r="UNN33" s="537"/>
      <c r="UNO33" s="537"/>
      <c r="UNP33" s="537"/>
      <c r="UNQ33" s="537"/>
      <c r="UNR33" s="537"/>
      <c r="UNS33" s="537"/>
      <c r="UNT33" s="537"/>
      <c r="UNU33" s="537"/>
      <c r="UNV33" s="537"/>
      <c r="UNW33" s="537"/>
      <c r="UNX33" s="537"/>
      <c r="UNY33" s="537"/>
      <c r="UNZ33" s="537"/>
      <c r="UOA33" s="537"/>
      <c r="UOB33" s="537"/>
      <c r="UOC33" s="537"/>
      <c r="UOD33" s="537"/>
      <c r="UOE33" s="537"/>
      <c r="UOF33" s="537"/>
      <c r="UOG33" s="537"/>
      <c r="UOH33" s="537"/>
      <c r="UOI33" s="537"/>
      <c r="UOJ33" s="537"/>
      <c r="UOK33" s="537"/>
      <c r="UOL33" s="537"/>
      <c r="UOM33" s="537"/>
      <c r="UON33" s="537"/>
      <c r="UOO33" s="537"/>
      <c r="UOP33" s="537"/>
      <c r="UOQ33" s="537"/>
      <c r="UOR33" s="537"/>
      <c r="UOS33" s="537"/>
      <c r="UOT33" s="537"/>
      <c r="UOU33" s="537"/>
      <c r="UOV33" s="537"/>
      <c r="UOW33" s="537"/>
      <c r="UOX33" s="537"/>
      <c r="UOY33" s="537"/>
      <c r="UOZ33" s="537"/>
      <c r="UPA33" s="537"/>
      <c r="UPB33" s="537"/>
      <c r="UPC33" s="537"/>
      <c r="UPD33" s="537"/>
      <c r="UPE33" s="537"/>
      <c r="UPF33" s="537"/>
      <c r="UPG33" s="537"/>
      <c r="UPH33" s="537"/>
      <c r="UPI33" s="537"/>
      <c r="UPJ33" s="537"/>
      <c r="UPK33" s="537"/>
      <c r="UPL33" s="537"/>
      <c r="UPM33" s="537"/>
      <c r="UPN33" s="537"/>
      <c r="UPO33" s="537"/>
      <c r="UPP33" s="537"/>
      <c r="UPQ33" s="537"/>
      <c r="UPR33" s="537"/>
      <c r="UPS33" s="537"/>
      <c r="UPT33" s="537"/>
      <c r="UPU33" s="537"/>
      <c r="UPV33" s="537"/>
      <c r="UPW33" s="537"/>
      <c r="UPX33" s="537"/>
      <c r="UPY33" s="537"/>
      <c r="UPZ33" s="537"/>
      <c r="UQA33" s="537"/>
      <c r="UQB33" s="537"/>
      <c r="UQC33" s="537"/>
      <c r="UQD33" s="537"/>
      <c r="UQE33" s="537"/>
      <c r="UQF33" s="537"/>
      <c r="UQG33" s="537"/>
      <c r="UQH33" s="537"/>
      <c r="UQI33" s="537"/>
      <c r="UQJ33" s="537"/>
      <c r="UQK33" s="537"/>
      <c r="UQL33" s="537"/>
      <c r="UQM33" s="537"/>
      <c r="UQN33" s="537"/>
      <c r="UQO33" s="537"/>
      <c r="UQP33" s="537"/>
      <c r="UQQ33" s="537"/>
      <c r="UQR33" s="537"/>
      <c r="UQS33" s="537"/>
      <c r="UQT33" s="537"/>
      <c r="UQU33" s="537"/>
      <c r="UQV33" s="537"/>
      <c r="UQW33" s="537"/>
      <c r="UQX33" s="537"/>
      <c r="UQY33" s="537"/>
      <c r="UQZ33" s="537"/>
      <c r="URA33" s="537"/>
      <c r="URB33" s="537"/>
      <c r="URC33" s="537"/>
      <c r="URD33" s="537"/>
      <c r="URE33" s="537"/>
      <c r="URF33" s="537"/>
      <c r="URG33" s="537"/>
      <c r="URH33" s="537"/>
      <c r="URI33" s="537"/>
      <c r="URJ33" s="537"/>
      <c r="URK33" s="537"/>
      <c r="URL33" s="537"/>
      <c r="URM33" s="537"/>
      <c r="URN33" s="537"/>
      <c r="URO33" s="537"/>
      <c r="URP33" s="537"/>
      <c r="URQ33" s="537"/>
      <c r="URR33" s="537"/>
      <c r="URS33" s="537"/>
      <c r="URT33" s="537"/>
      <c r="URU33" s="537"/>
      <c r="URV33" s="537"/>
      <c r="URW33" s="537"/>
      <c r="URX33" s="537"/>
      <c r="URY33" s="537"/>
      <c r="URZ33" s="537"/>
      <c r="USA33" s="537"/>
      <c r="USB33" s="537"/>
      <c r="USC33" s="537"/>
      <c r="USD33" s="537"/>
      <c r="USE33" s="537"/>
      <c r="USF33" s="537"/>
      <c r="USG33" s="537"/>
      <c r="USH33" s="537"/>
      <c r="USI33" s="537"/>
      <c r="USJ33" s="537"/>
      <c r="USK33" s="537"/>
      <c r="USL33" s="537"/>
      <c r="USM33" s="537"/>
      <c r="USN33" s="537"/>
      <c r="USO33" s="537"/>
      <c r="USP33" s="537"/>
      <c r="USQ33" s="537"/>
      <c r="USR33" s="537"/>
      <c r="USS33" s="537"/>
      <c r="UST33" s="537"/>
      <c r="USU33" s="537"/>
      <c r="USV33" s="537"/>
      <c r="USW33" s="537"/>
      <c r="USX33" s="537"/>
      <c r="USY33" s="537"/>
      <c r="USZ33" s="537"/>
      <c r="UTA33" s="537"/>
      <c r="UTB33" s="537"/>
      <c r="UTC33" s="537"/>
      <c r="UTD33" s="537"/>
      <c r="UTE33" s="537"/>
      <c r="UTF33" s="537"/>
      <c r="UTG33" s="537"/>
      <c r="UTH33" s="537"/>
      <c r="UTI33" s="537"/>
      <c r="UTJ33" s="537"/>
      <c r="UTK33" s="537"/>
      <c r="UTL33" s="537"/>
      <c r="UTM33" s="537"/>
      <c r="UTN33" s="537"/>
      <c r="UTO33" s="537"/>
      <c r="UTP33" s="537"/>
      <c r="UTQ33" s="537"/>
      <c r="UTR33" s="537"/>
      <c r="UTS33" s="537"/>
      <c r="UTT33" s="537"/>
      <c r="UTU33" s="537"/>
      <c r="UTV33" s="537"/>
      <c r="UTW33" s="537"/>
      <c r="UTX33" s="537"/>
      <c r="UTY33" s="537"/>
      <c r="UTZ33" s="537"/>
      <c r="UUA33" s="537"/>
      <c r="UUB33" s="537"/>
      <c r="UUC33" s="537"/>
      <c r="UUD33" s="537"/>
      <c r="UUE33" s="537"/>
      <c r="UUF33" s="537"/>
      <c r="UUG33" s="537"/>
      <c r="UUH33" s="537"/>
      <c r="UUI33" s="537"/>
      <c r="UUJ33" s="537"/>
      <c r="UUK33" s="537"/>
      <c r="UUL33" s="537"/>
      <c r="UUM33" s="537"/>
      <c r="UUN33" s="537"/>
      <c r="UUO33" s="537"/>
      <c r="UUP33" s="537"/>
      <c r="UUQ33" s="537"/>
      <c r="UUR33" s="537"/>
      <c r="UUS33" s="537"/>
      <c r="UUT33" s="537"/>
      <c r="UUU33" s="537"/>
      <c r="UUV33" s="537"/>
      <c r="UUW33" s="537"/>
      <c r="UUX33" s="537"/>
      <c r="UUY33" s="537"/>
      <c r="UUZ33" s="537"/>
      <c r="UVA33" s="537"/>
      <c r="UVB33" s="537"/>
      <c r="UVC33" s="537"/>
      <c r="UVD33" s="537"/>
      <c r="UVE33" s="537"/>
      <c r="UVF33" s="537"/>
      <c r="UVG33" s="537"/>
      <c r="UVH33" s="537"/>
      <c r="UVI33" s="537"/>
      <c r="UVJ33" s="537"/>
      <c r="UVK33" s="537"/>
      <c r="UVL33" s="537"/>
      <c r="UVM33" s="537"/>
      <c r="UVN33" s="537"/>
      <c r="UVO33" s="537"/>
      <c r="UVP33" s="537"/>
      <c r="UVQ33" s="537"/>
      <c r="UVR33" s="537"/>
      <c r="UVS33" s="537"/>
      <c r="UVT33" s="537"/>
      <c r="UVU33" s="537"/>
      <c r="UVV33" s="537"/>
      <c r="UVW33" s="537"/>
      <c r="UVX33" s="537"/>
      <c r="UVY33" s="537"/>
      <c r="UVZ33" s="537"/>
      <c r="UWA33" s="537"/>
      <c r="UWB33" s="537"/>
      <c r="UWC33" s="537"/>
      <c r="UWD33" s="537"/>
      <c r="UWE33" s="537"/>
      <c r="UWF33" s="537"/>
      <c r="UWG33" s="537"/>
      <c r="UWH33" s="537"/>
      <c r="UWI33" s="537"/>
      <c r="UWJ33" s="537"/>
      <c r="UWK33" s="537"/>
      <c r="UWL33" s="537"/>
      <c r="UWM33" s="537"/>
      <c r="UWN33" s="537"/>
      <c r="UWO33" s="537"/>
      <c r="UWP33" s="537"/>
      <c r="UWQ33" s="537"/>
      <c r="UWR33" s="537"/>
      <c r="UWS33" s="537"/>
      <c r="UWT33" s="537"/>
      <c r="UWU33" s="537"/>
      <c r="UWV33" s="537"/>
      <c r="UWW33" s="537"/>
      <c r="UWX33" s="537"/>
      <c r="UWY33" s="537"/>
      <c r="UWZ33" s="537"/>
      <c r="UXA33" s="537"/>
      <c r="UXB33" s="537"/>
      <c r="UXC33" s="537"/>
      <c r="UXD33" s="537"/>
      <c r="UXE33" s="537"/>
      <c r="UXF33" s="537"/>
      <c r="UXG33" s="537"/>
      <c r="UXH33" s="537"/>
      <c r="UXI33" s="537"/>
      <c r="UXJ33" s="537"/>
      <c r="UXK33" s="537"/>
      <c r="UXL33" s="537"/>
      <c r="UXM33" s="537"/>
      <c r="UXN33" s="537"/>
      <c r="UXO33" s="537"/>
      <c r="UXP33" s="537"/>
      <c r="UXQ33" s="537"/>
      <c r="UXR33" s="537"/>
      <c r="UXS33" s="537"/>
      <c r="UXT33" s="537"/>
      <c r="UXU33" s="537"/>
      <c r="UXV33" s="537"/>
      <c r="UXW33" s="537"/>
      <c r="UXX33" s="537"/>
      <c r="UXY33" s="537"/>
      <c r="UXZ33" s="537"/>
      <c r="UYA33" s="537"/>
      <c r="UYB33" s="537"/>
      <c r="UYC33" s="537"/>
      <c r="UYD33" s="537"/>
      <c r="UYE33" s="537"/>
      <c r="UYF33" s="537"/>
      <c r="UYG33" s="537"/>
      <c r="UYH33" s="537"/>
      <c r="UYI33" s="537"/>
      <c r="UYJ33" s="537"/>
      <c r="UYK33" s="537"/>
      <c r="UYL33" s="537"/>
      <c r="UYM33" s="537"/>
      <c r="UYN33" s="537"/>
      <c r="UYO33" s="537"/>
      <c r="UYP33" s="537"/>
      <c r="UYQ33" s="537"/>
      <c r="UYR33" s="537"/>
      <c r="UYS33" s="537"/>
      <c r="UYT33" s="537"/>
      <c r="UYU33" s="537"/>
      <c r="UYV33" s="537"/>
      <c r="UYW33" s="537"/>
      <c r="UYX33" s="537"/>
      <c r="UYY33" s="537"/>
      <c r="UYZ33" s="537"/>
      <c r="UZA33" s="537"/>
      <c r="UZB33" s="537"/>
      <c r="UZC33" s="537"/>
      <c r="UZD33" s="537"/>
      <c r="UZE33" s="537"/>
      <c r="UZF33" s="537"/>
      <c r="UZG33" s="537"/>
      <c r="UZH33" s="537"/>
      <c r="UZI33" s="537"/>
      <c r="UZJ33" s="537"/>
      <c r="UZK33" s="537"/>
      <c r="UZL33" s="537"/>
      <c r="UZM33" s="537"/>
      <c r="UZN33" s="537"/>
      <c r="UZO33" s="537"/>
      <c r="UZP33" s="537"/>
      <c r="UZQ33" s="537"/>
      <c r="UZR33" s="537"/>
      <c r="UZS33" s="537"/>
      <c r="UZT33" s="537"/>
      <c r="UZU33" s="537"/>
      <c r="UZV33" s="537"/>
      <c r="UZW33" s="537"/>
      <c r="UZX33" s="537"/>
      <c r="UZY33" s="537"/>
      <c r="UZZ33" s="537"/>
      <c r="VAA33" s="537"/>
      <c r="VAB33" s="537"/>
      <c r="VAC33" s="537"/>
      <c r="VAD33" s="537"/>
      <c r="VAE33" s="537"/>
      <c r="VAF33" s="537"/>
      <c r="VAG33" s="537"/>
      <c r="VAH33" s="537"/>
      <c r="VAI33" s="537"/>
      <c r="VAJ33" s="537"/>
      <c r="VAK33" s="537"/>
      <c r="VAL33" s="537"/>
      <c r="VAM33" s="537"/>
      <c r="VAN33" s="537"/>
      <c r="VAO33" s="537"/>
      <c r="VAP33" s="537"/>
      <c r="VAQ33" s="537"/>
      <c r="VAR33" s="537"/>
      <c r="VAS33" s="537"/>
      <c r="VAT33" s="537"/>
      <c r="VAU33" s="537"/>
      <c r="VAV33" s="537"/>
      <c r="VAW33" s="537"/>
      <c r="VAX33" s="537"/>
      <c r="VAY33" s="537"/>
      <c r="VAZ33" s="537"/>
      <c r="VBA33" s="537"/>
      <c r="VBB33" s="537"/>
      <c r="VBC33" s="537"/>
      <c r="VBD33" s="537"/>
      <c r="VBE33" s="537"/>
      <c r="VBF33" s="537"/>
      <c r="VBG33" s="537"/>
      <c r="VBH33" s="537"/>
      <c r="VBI33" s="537"/>
      <c r="VBJ33" s="537"/>
      <c r="VBK33" s="537"/>
      <c r="VBL33" s="537"/>
      <c r="VBM33" s="537"/>
      <c r="VBN33" s="537"/>
      <c r="VBO33" s="537"/>
      <c r="VBP33" s="537"/>
      <c r="VBQ33" s="537"/>
      <c r="VBR33" s="537"/>
      <c r="VBS33" s="537"/>
      <c r="VBT33" s="537"/>
      <c r="VBU33" s="537"/>
      <c r="VBV33" s="537"/>
      <c r="VBW33" s="537"/>
      <c r="VBX33" s="537"/>
      <c r="VBY33" s="537"/>
      <c r="VBZ33" s="537"/>
      <c r="VCA33" s="537"/>
      <c r="VCB33" s="537"/>
      <c r="VCC33" s="537"/>
      <c r="VCD33" s="537"/>
      <c r="VCE33" s="537"/>
      <c r="VCF33" s="537"/>
      <c r="VCG33" s="537"/>
      <c r="VCH33" s="537"/>
      <c r="VCI33" s="537"/>
      <c r="VCJ33" s="537"/>
      <c r="VCK33" s="537"/>
      <c r="VCL33" s="537"/>
      <c r="VCM33" s="537"/>
      <c r="VCN33" s="537"/>
      <c r="VCO33" s="537"/>
      <c r="VCP33" s="537"/>
      <c r="VCQ33" s="537"/>
      <c r="VCR33" s="537"/>
      <c r="VCS33" s="537"/>
      <c r="VCT33" s="537"/>
      <c r="VCU33" s="537"/>
      <c r="VCV33" s="537"/>
      <c r="VCW33" s="537"/>
      <c r="VCX33" s="537"/>
      <c r="VCY33" s="537"/>
      <c r="VCZ33" s="537"/>
      <c r="VDA33" s="537"/>
      <c r="VDB33" s="537"/>
      <c r="VDC33" s="537"/>
      <c r="VDD33" s="537"/>
      <c r="VDE33" s="537"/>
      <c r="VDF33" s="537"/>
      <c r="VDG33" s="537"/>
      <c r="VDH33" s="537"/>
      <c r="VDI33" s="537"/>
      <c r="VDJ33" s="537"/>
      <c r="VDK33" s="537"/>
      <c r="VDL33" s="537"/>
      <c r="VDM33" s="537"/>
      <c r="VDN33" s="537"/>
      <c r="VDO33" s="537"/>
      <c r="VDP33" s="537"/>
      <c r="VDQ33" s="537"/>
      <c r="VDR33" s="537"/>
      <c r="VDS33" s="537"/>
      <c r="VDT33" s="537"/>
      <c r="VDU33" s="537"/>
      <c r="VDV33" s="537"/>
      <c r="VDW33" s="537"/>
      <c r="VDX33" s="537"/>
      <c r="VDY33" s="537"/>
      <c r="VDZ33" s="537"/>
      <c r="VEA33" s="537"/>
      <c r="VEB33" s="537"/>
      <c r="VEC33" s="537"/>
      <c r="VED33" s="537"/>
      <c r="VEE33" s="537"/>
      <c r="VEF33" s="537"/>
      <c r="VEG33" s="537"/>
      <c r="VEH33" s="537"/>
      <c r="VEI33" s="537"/>
      <c r="VEJ33" s="537"/>
      <c r="VEK33" s="537"/>
      <c r="VEL33" s="537"/>
      <c r="VEM33" s="537"/>
      <c r="VEN33" s="537"/>
      <c r="VEO33" s="537"/>
      <c r="VEP33" s="537"/>
      <c r="VEQ33" s="537"/>
      <c r="VER33" s="537"/>
      <c r="VES33" s="537"/>
      <c r="VET33" s="537"/>
      <c r="VEU33" s="537"/>
      <c r="VEV33" s="537"/>
      <c r="VEW33" s="537"/>
      <c r="VEX33" s="537"/>
      <c r="VEY33" s="537"/>
      <c r="VEZ33" s="537"/>
      <c r="VFA33" s="537"/>
      <c r="VFB33" s="537"/>
      <c r="VFC33" s="537"/>
      <c r="VFD33" s="537"/>
      <c r="VFE33" s="537"/>
      <c r="VFF33" s="537"/>
      <c r="VFG33" s="537"/>
      <c r="VFH33" s="537"/>
      <c r="VFI33" s="537"/>
      <c r="VFJ33" s="537"/>
      <c r="VFK33" s="537"/>
      <c r="VFL33" s="537"/>
      <c r="VFM33" s="537"/>
      <c r="VFN33" s="537"/>
      <c r="VFO33" s="537"/>
      <c r="VFP33" s="537"/>
      <c r="VFQ33" s="537"/>
      <c r="VFR33" s="537"/>
      <c r="VFS33" s="537"/>
      <c r="VFT33" s="537"/>
      <c r="VFU33" s="537"/>
      <c r="VFV33" s="537"/>
      <c r="VFW33" s="537"/>
      <c r="VFX33" s="537"/>
      <c r="VFY33" s="537"/>
      <c r="VFZ33" s="537"/>
      <c r="VGA33" s="537"/>
      <c r="VGB33" s="537"/>
      <c r="VGC33" s="537"/>
      <c r="VGD33" s="537"/>
      <c r="VGE33" s="537"/>
      <c r="VGF33" s="537"/>
      <c r="VGG33" s="537"/>
      <c r="VGH33" s="537"/>
      <c r="VGI33" s="537"/>
      <c r="VGJ33" s="537"/>
      <c r="VGK33" s="537"/>
      <c r="VGL33" s="537"/>
      <c r="VGM33" s="537"/>
      <c r="VGN33" s="537"/>
      <c r="VGO33" s="537"/>
      <c r="VGP33" s="537"/>
      <c r="VGQ33" s="537"/>
      <c r="VGR33" s="537"/>
      <c r="VGS33" s="537"/>
      <c r="VGT33" s="537"/>
      <c r="VGU33" s="537"/>
      <c r="VGV33" s="537"/>
      <c r="VGW33" s="537"/>
      <c r="VGX33" s="537"/>
      <c r="VGY33" s="537"/>
      <c r="VGZ33" s="537"/>
      <c r="VHA33" s="537"/>
      <c r="VHB33" s="537"/>
      <c r="VHC33" s="537"/>
      <c r="VHD33" s="537"/>
      <c r="VHE33" s="537"/>
      <c r="VHF33" s="537"/>
      <c r="VHG33" s="537"/>
      <c r="VHH33" s="537"/>
      <c r="VHI33" s="537"/>
      <c r="VHJ33" s="537"/>
      <c r="VHK33" s="537"/>
      <c r="VHL33" s="537"/>
      <c r="VHM33" s="537"/>
      <c r="VHN33" s="537"/>
      <c r="VHO33" s="537"/>
      <c r="VHP33" s="537"/>
      <c r="VHQ33" s="537"/>
      <c r="VHR33" s="537"/>
      <c r="VHS33" s="537"/>
      <c r="VHT33" s="537"/>
      <c r="VHU33" s="537"/>
      <c r="VHV33" s="537"/>
      <c r="VHW33" s="537"/>
      <c r="VHX33" s="537"/>
      <c r="VHY33" s="537"/>
      <c r="VHZ33" s="537"/>
      <c r="VIA33" s="537"/>
      <c r="VIB33" s="537"/>
      <c r="VIC33" s="537"/>
      <c r="VID33" s="537"/>
      <c r="VIE33" s="537"/>
      <c r="VIF33" s="537"/>
      <c r="VIG33" s="537"/>
      <c r="VIH33" s="537"/>
      <c r="VII33" s="537"/>
      <c r="VIJ33" s="537"/>
      <c r="VIK33" s="537"/>
      <c r="VIL33" s="537"/>
      <c r="VIM33" s="537"/>
      <c r="VIN33" s="537"/>
      <c r="VIO33" s="537"/>
      <c r="VIP33" s="537"/>
      <c r="VIQ33" s="537"/>
      <c r="VIR33" s="537"/>
      <c r="VIS33" s="537"/>
      <c r="VIT33" s="537"/>
      <c r="VIU33" s="537"/>
      <c r="VIV33" s="537"/>
      <c r="VIW33" s="537"/>
      <c r="VIX33" s="537"/>
      <c r="VIY33" s="537"/>
      <c r="VIZ33" s="537"/>
      <c r="VJA33" s="537"/>
      <c r="VJB33" s="537"/>
      <c r="VJC33" s="537"/>
      <c r="VJD33" s="537"/>
      <c r="VJE33" s="537"/>
      <c r="VJF33" s="537"/>
      <c r="VJG33" s="537"/>
      <c r="VJH33" s="537"/>
      <c r="VJI33" s="537"/>
      <c r="VJJ33" s="537"/>
      <c r="VJK33" s="537"/>
      <c r="VJL33" s="537"/>
      <c r="VJM33" s="537"/>
      <c r="VJN33" s="537"/>
      <c r="VJO33" s="537"/>
      <c r="VJP33" s="537"/>
      <c r="VJQ33" s="537"/>
      <c r="VJR33" s="537"/>
      <c r="VJS33" s="537"/>
      <c r="VJT33" s="537"/>
      <c r="VJU33" s="537"/>
      <c r="VJV33" s="537"/>
      <c r="VJW33" s="537"/>
      <c r="VJX33" s="537"/>
      <c r="VJY33" s="537"/>
      <c r="VJZ33" s="537"/>
      <c r="VKA33" s="537"/>
      <c r="VKB33" s="537"/>
      <c r="VKC33" s="537"/>
      <c r="VKD33" s="537"/>
      <c r="VKE33" s="537"/>
      <c r="VKF33" s="537"/>
      <c r="VKG33" s="537"/>
      <c r="VKH33" s="537"/>
      <c r="VKI33" s="537"/>
      <c r="VKJ33" s="537"/>
      <c r="VKK33" s="537"/>
      <c r="VKL33" s="537"/>
      <c r="VKM33" s="537"/>
      <c r="VKN33" s="537"/>
      <c r="VKO33" s="537"/>
      <c r="VKP33" s="537"/>
      <c r="VKQ33" s="537"/>
      <c r="VKR33" s="537"/>
      <c r="VKS33" s="537"/>
      <c r="VKT33" s="537"/>
      <c r="VKU33" s="537"/>
      <c r="VKV33" s="537"/>
      <c r="VKW33" s="537"/>
      <c r="VKX33" s="537"/>
      <c r="VKY33" s="537"/>
      <c r="VKZ33" s="537"/>
      <c r="VLA33" s="537"/>
      <c r="VLB33" s="537"/>
      <c r="VLC33" s="537"/>
      <c r="VLD33" s="537"/>
      <c r="VLE33" s="537"/>
      <c r="VLF33" s="537"/>
      <c r="VLG33" s="537"/>
      <c r="VLH33" s="537"/>
      <c r="VLI33" s="537"/>
      <c r="VLJ33" s="537"/>
      <c r="VLK33" s="537"/>
      <c r="VLL33" s="537"/>
      <c r="VLM33" s="537"/>
      <c r="VLN33" s="537"/>
      <c r="VLO33" s="537"/>
      <c r="VLP33" s="537"/>
      <c r="VLQ33" s="537"/>
      <c r="VLR33" s="537"/>
      <c r="VLS33" s="537"/>
      <c r="VLT33" s="537"/>
      <c r="VLU33" s="537"/>
      <c r="VLV33" s="537"/>
      <c r="VLW33" s="537"/>
      <c r="VLX33" s="537"/>
      <c r="VLY33" s="537"/>
      <c r="VLZ33" s="537"/>
      <c r="VMA33" s="537"/>
      <c r="VMB33" s="537"/>
      <c r="VMC33" s="537"/>
      <c r="VMD33" s="537"/>
      <c r="VME33" s="537"/>
      <c r="VMF33" s="537"/>
      <c r="VMG33" s="537"/>
      <c r="VMH33" s="537"/>
      <c r="VMI33" s="537"/>
      <c r="VMJ33" s="537"/>
      <c r="VMK33" s="537"/>
      <c r="VML33" s="537"/>
      <c r="VMM33" s="537"/>
      <c r="VMN33" s="537"/>
      <c r="VMO33" s="537"/>
      <c r="VMP33" s="537"/>
      <c r="VMQ33" s="537"/>
      <c r="VMR33" s="537"/>
      <c r="VMS33" s="537"/>
      <c r="VMT33" s="537"/>
      <c r="VMU33" s="537"/>
      <c r="VMV33" s="537"/>
      <c r="VMW33" s="537"/>
      <c r="VMX33" s="537"/>
      <c r="VMY33" s="537"/>
      <c r="VMZ33" s="537"/>
      <c r="VNA33" s="537"/>
      <c r="VNB33" s="537"/>
      <c r="VNC33" s="537"/>
      <c r="VND33" s="537"/>
      <c r="VNE33" s="537"/>
      <c r="VNF33" s="537"/>
      <c r="VNG33" s="537"/>
      <c r="VNH33" s="537"/>
      <c r="VNI33" s="537"/>
      <c r="VNJ33" s="537"/>
      <c r="VNK33" s="537"/>
      <c r="VNL33" s="537"/>
      <c r="VNM33" s="537"/>
      <c r="VNN33" s="537"/>
      <c r="VNO33" s="537"/>
      <c r="VNP33" s="537"/>
      <c r="VNQ33" s="537"/>
      <c r="VNR33" s="537"/>
      <c r="VNS33" s="537"/>
      <c r="VNT33" s="537"/>
      <c r="VNU33" s="537"/>
      <c r="VNV33" s="537"/>
      <c r="VNW33" s="537"/>
      <c r="VNX33" s="537"/>
      <c r="VNY33" s="537"/>
      <c r="VNZ33" s="537"/>
      <c r="VOA33" s="537"/>
      <c r="VOB33" s="537"/>
      <c r="VOC33" s="537"/>
      <c r="VOD33" s="537"/>
      <c r="VOE33" s="537"/>
      <c r="VOF33" s="537"/>
      <c r="VOG33" s="537"/>
      <c r="VOH33" s="537"/>
      <c r="VOI33" s="537"/>
      <c r="VOJ33" s="537"/>
      <c r="VOK33" s="537"/>
      <c r="VOL33" s="537"/>
      <c r="VOM33" s="537"/>
      <c r="VON33" s="537"/>
      <c r="VOO33" s="537"/>
      <c r="VOP33" s="537"/>
      <c r="VOQ33" s="537"/>
      <c r="VOR33" s="537"/>
      <c r="VOS33" s="537"/>
      <c r="VOT33" s="537"/>
      <c r="VOU33" s="537"/>
      <c r="VOV33" s="537"/>
      <c r="VOW33" s="537"/>
      <c r="VOX33" s="537"/>
      <c r="VOY33" s="537"/>
      <c r="VOZ33" s="537"/>
      <c r="VPA33" s="537"/>
      <c r="VPB33" s="537"/>
      <c r="VPC33" s="537"/>
      <c r="VPD33" s="537"/>
      <c r="VPE33" s="537"/>
      <c r="VPF33" s="537"/>
      <c r="VPG33" s="537"/>
      <c r="VPH33" s="537"/>
      <c r="VPI33" s="537"/>
      <c r="VPJ33" s="537"/>
      <c r="VPK33" s="537"/>
      <c r="VPL33" s="537"/>
      <c r="VPM33" s="537"/>
      <c r="VPN33" s="537"/>
      <c r="VPO33" s="537"/>
      <c r="VPP33" s="537"/>
      <c r="VPQ33" s="537"/>
      <c r="VPR33" s="537"/>
      <c r="VPS33" s="537"/>
      <c r="VPT33" s="537"/>
      <c r="VPU33" s="537"/>
      <c r="VPV33" s="537"/>
      <c r="VPW33" s="537"/>
      <c r="VPX33" s="537"/>
      <c r="VPY33" s="537"/>
      <c r="VPZ33" s="537"/>
      <c r="VQA33" s="537"/>
      <c r="VQB33" s="537"/>
      <c r="VQC33" s="537"/>
      <c r="VQD33" s="537"/>
      <c r="VQE33" s="537"/>
      <c r="VQF33" s="537"/>
      <c r="VQG33" s="537"/>
      <c r="VQH33" s="537"/>
      <c r="VQI33" s="537"/>
      <c r="VQJ33" s="537"/>
      <c r="VQK33" s="537"/>
      <c r="VQL33" s="537"/>
      <c r="VQM33" s="537"/>
      <c r="VQN33" s="537"/>
      <c r="VQO33" s="537"/>
      <c r="VQP33" s="537"/>
      <c r="VQQ33" s="537"/>
      <c r="VQR33" s="537"/>
      <c r="VQS33" s="537"/>
      <c r="VQT33" s="537"/>
      <c r="VQU33" s="537"/>
      <c r="VQV33" s="537"/>
      <c r="VQW33" s="537"/>
      <c r="VQX33" s="537"/>
      <c r="VQY33" s="537"/>
      <c r="VQZ33" s="537"/>
      <c r="VRA33" s="537"/>
      <c r="VRB33" s="537"/>
      <c r="VRC33" s="537"/>
      <c r="VRD33" s="537"/>
      <c r="VRE33" s="537"/>
      <c r="VRF33" s="537"/>
      <c r="VRG33" s="537"/>
      <c r="VRH33" s="537"/>
      <c r="VRI33" s="537"/>
      <c r="VRJ33" s="537"/>
      <c r="VRK33" s="537"/>
      <c r="VRL33" s="537"/>
      <c r="VRM33" s="537"/>
      <c r="VRN33" s="537"/>
      <c r="VRO33" s="537"/>
      <c r="VRP33" s="537"/>
      <c r="VRQ33" s="537"/>
      <c r="VRR33" s="537"/>
      <c r="VRS33" s="537"/>
      <c r="VRT33" s="537"/>
      <c r="VRU33" s="537"/>
      <c r="VRV33" s="537"/>
      <c r="VRW33" s="537"/>
      <c r="VRX33" s="537"/>
      <c r="VRY33" s="537"/>
      <c r="VRZ33" s="537"/>
      <c r="VSA33" s="537"/>
      <c r="VSB33" s="537"/>
      <c r="VSC33" s="537"/>
      <c r="VSD33" s="537"/>
      <c r="VSE33" s="537"/>
      <c r="VSF33" s="537"/>
      <c r="VSG33" s="537"/>
      <c r="VSH33" s="537"/>
      <c r="VSI33" s="537"/>
      <c r="VSJ33" s="537"/>
      <c r="VSK33" s="537"/>
      <c r="VSL33" s="537"/>
      <c r="VSM33" s="537"/>
      <c r="VSN33" s="537"/>
      <c r="VSO33" s="537"/>
      <c r="VSP33" s="537"/>
      <c r="VSQ33" s="537"/>
      <c r="VSR33" s="537"/>
      <c r="VSS33" s="537"/>
      <c r="VST33" s="537"/>
      <c r="VSU33" s="537"/>
      <c r="VSV33" s="537"/>
      <c r="VSW33" s="537"/>
      <c r="VSX33" s="537"/>
      <c r="VSY33" s="537"/>
      <c r="VSZ33" s="537"/>
      <c r="VTA33" s="537"/>
      <c r="VTB33" s="537"/>
      <c r="VTC33" s="537"/>
      <c r="VTD33" s="537"/>
      <c r="VTE33" s="537"/>
      <c r="VTF33" s="537"/>
      <c r="VTG33" s="537"/>
      <c r="VTH33" s="537"/>
      <c r="VTI33" s="537"/>
      <c r="VTJ33" s="537"/>
      <c r="VTK33" s="537"/>
      <c r="VTL33" s="537"/>
      <c r="VTM33" s="537"/>
      <c r="VTN33" s="537"/>
      <c r="VTO33" s="537"/>
      <c r="VTP33" s="537"/>
      <c r="VTQ33" s="537"/>
      <c r="VTR33" s="537"/>
      <c r="VTS33" s="537"/>
      <c r="VTT33" s="537"/>
      <c r="VTU33" s="537"/>
      <c r="VTV33" s="537"/>
      <c r="VTW33" s="537"/>
      <c r="VTX33" s="537"/>
      <c r="VTY33" s="537"/>
      <c r="VTZ33" s="537"/>
      <c r="VUA33" s="537"/>
      <c r="VUB33" s="537"/>
      <c r="VUC33" s="537"/>
      <c r="VUD33" s="537"/>
      <c r="VUE33" s="537"/>
      <c r="VUF33" s="537"/>
      <c r="VUG33" s="537"/>
      <c r="VUH33" s="537"/>
      <c r="VUI33" s="537"/>
      <c r="VUJ33" s="537"/>
      <c r="VUK33" s="537"/>
      <c r="VUL33" s="537"/>
      <c r="VUM33" s="537"/>
      <c r="VUN33" s="537"/>
      <c r="VUO33" s="537"/>
      <c r="VUP33" s="537"/>
      <c r="VUQ33" s="537"/>
      <c r="VUR33" s="537"/>
      <c r="VUS33" s="537"/>
      <c r="VUT33" s="537"/>
      <c r="VUU33" s="537"/>
      <c r="VUV33" s="537"/>
      <c r="VUW33" s="537"/>
      <c r="VUX33" s="537"/>
      <c r="VUY33" s="537"/>
      <c r="VUZ33" s="537"/>
      <c r="VVA33" s="537"/>
      <c r="VVB33" s="537"/>
      <c r="VVC33" s="537"/>
      <c r="VVD33" s="537"/>
      <c r="VVE33" s="537"/>
      <c r="VVF33" s="537"/>
      <c r="VVG33" s="537"/>
      <c r="VVH33" s="537"/>
      <c r="VVI33" s="537"/>
      <c r="VVJ33" s="537"/>
      <c r="VVK33" s="537"/>
      <c r="VVL33" s="537"/>
      <c r="VVM33" s="537"/>
      <c r="VVN33" s="537"/>
      <c r="VVO33" s="537"/>
      <c r="VVP33" s="537"/>
      <c r="VVQ33" s="537"/>
      <c r="VVR33" s="537"/>
      <c r="VVS33" s="537"/>
      <c r="VVT33" s="537"/>
      <c r="VVU33" s="537"/>
      <c r="VVV33" s="537"/>
      <c r="VVW33" s="537"/>
      <c r="VVX33" s="537"/>
      <c r="VVY33" s="537"/>
      <c r="VVZ33" s="537"/>
      <c r="VWA33" s="537"/>
      <c r="VWB33" s="537"/>
      <c r="VWC33" s="537"/>
      <c r="VWD33" s="537"/>
      <c r="VWE33" s="537"/>
      <c r="VWF33" s="537"/>
      <c r="VWG33" s="537"/>
      <c r="VWH33" s="537"/>
      <c r="VWI33" s="537"/>
      <c r="VWJ33" s="537"/>
      <c r="VWK33" s="537"/>
      <c r="VWL33" s="537"/>
      <c r="VWM33" s="537"/>
      <c r="VWN33" s="537"/>
      <c r="VWO33" s="537"/>
      <c r="VWP33" s="537"/>
      <c r="VWQ33" s="537"/>
      <c r="VWR33" s="537"/>
      <c r="VWS33" s="537"/>
      <c r="VWT33" s="537"/>
      <c r="VWU33" s="537"/>
      <c r="VWV33" s="537"/>
      <c r="VWW33" s="537"/>
      <c r="VWX33" s="537"/>
      <c r="VWY33" s="537"/>
      <c r="VWZ33" s="537"/>
      <c r="VXA33" s="537"/>
      <c r="VXB33" s="537"/>
      <c r="VXC33" s="537"/>
      <c r="VXD33" s="537"/>
      <c r="VXE33" s="537"/>
      <c r="VXF33" s="537"/>
      <c r="VXG33" s="537"/>
      <c r="VXH33" s="537"/>
      <c r="VXI33" s="537"/>
      <c r="VXJ33" s="537"/>
      <c r="VXK33" s="537"/>
      <c r="VXL33" s="537"/>
      <c r="VXM33" s="537"/>
      <c r="VXN33" s="537"/>
      <c r="VXO33" s="537"/>
      <c r="VXP33" s="537"/>
      <c r="VXQ33" s="537"/>
      <c r="VXR33" s="537"/>
      <c r="VXS33" s="537"/>
      <c r="VXT33" s="537"/>
      <c r="VXU33" s="537"/>
      <c r="VXV33" s="537"/>
      <c r="VXW33" s="537"/>
      <c r="VXX33" s="537"/>
      <c r="VXY33" s="537"/>
      <c r="VXZ33" s="537"/>
      <c r="VYA33" s="537"/>
      <c r="VYB33" s="537"/>
      <c r="VYC33" s="537"/>
      <c r="VYD33" s="537"/>
      <c r="VYE33" s="537"/>
      <c r="VYF33" s="537"/>
      <c r="VYG33" s="537"/>
      <c r="VYH33" s="537"/>
      <c r="VYI33" s="537"/>
      <c r="VYJ33" s="537"/>
      <c r="VYK33" s="537"/>
      <c r="VYL33" s="537"/>
      <c r="VYM33" s="537"/>
      <c r="VYN33" s="537"/>
      <c r="VYO33" s="537"/>
      <c r="VYP33" s="537"/>
      <c r="VYQ33" s="537"/>
      <c r="VYR33" s="537"/>
      <c r="VYS33" s="537"/>
      <c r="VYT33" s="537"/>
      <c r="VYU33" s="537"/>
      <c r="VYV33" s="537"/>
      <c r="VYW33" s="537"/>
      <c r="VYX33" s="537"/>
      <c r="VYY33" s="537"/>
      <c r="VYZ33" s="537"/>
      <c r="VZA33" s="537"/>
      <c r="VZB33" s="537"/>
      <c r="VZC33" s="537"/>
      <c r="VZD33" s="537"/>
      <c r="VZE33" s="537"/>
      <c r="VZF33" s="537"/>
      <c r="VZG33" s="537"/>
      <c r="VZH33" s="537"/>
      <c r="VZI33" s="537"/>
      <c r="VZJ33" s="537"/>
      <c r="VZK33" s="537"/>
      <c r="VZL33" s="537"/>
      <c r="VZM33" s="537"/>
      <c r="VZN33" s="537"/>
      <c r="VZO33" s="537"/>
      <c r="VZP33" s="537"/>
      <c r="VZQ33" s="537"/>
      <c r="VZR33" s="537"/>
      <c r="VZS33" s="537"/>
      <c r="VZT33" s="537"/>
      <c r="VZU33" s="537"/>
      <c r="VZV33" s="537"/>
      <c r="VZW33" s="537"/>
      <c r="VZX33" s="537"/>
      <c r="VZY33" s="537"/>
      <c r="VZZ33" s="537"/>
      <c r="WAA33" s="537"/>
      <c r="WAB33" s="537"/>
      <c r="WAC33" s="537"/>
      <c r="WAD33" s="537"/>
      <c r="WAE33" s="537"/>
      <c r="WAF33" s="537"/>
      <c r="WAG33" s="537"/>
      <c r="WAH33" s="537"/>
      <c r="WAI33" s="537"/>
      <c r="WAJ33" s="537"/>
      <c r="WAK33" s="537"/>
      <c r="WAL33" s="537"/>
      <c r="WAM33" s="537"/>
      <c r="WAN33" s="537"/>
      <c r="WAO33" s="537"/>
      <c r="WAP33" s="537"/>
      <c r="WAQ33" s="537"/>
      <c r="WAR33" s="537"/>
      <c r="WAS33" s="537"/>
      <c r="WAT33" s="537"/>
      <c r="WAU33" s="537"/>
      <c r="WAV33" s="537"/>
      <c r="WAW33" s="537"/>
      <c r="WAX33" s="537"/>
      <c r="WAY33" s="537"/>
      <c r="WAZ33" s="537"/>
      <c r="WBA33" s="537"/>
      <c r="WBB33" s="537"/>
      <c r="WBC33" s="537"/>
      <c r="WBD33" s="537"/>
      <c r="WBE33" s="537"/>
      <c r="WBF33" s="537"/>
      <c r="WBG33" s="537"/>
      <c r="WBH33" s="537"/>
      <c r="WBI33" s="537"/>
      <c r="WBJ33" s="537"/>
      <c r="WBK33" s="537"/>
      <c r="WBL33" s="537"/>
      <c r="WBM33" s="537"/>
      <c r="WBN33" s="537"/>
      <c r="WBO33" s="537"/>
      <c r="WBP33" s="537"/>
      <c r="WBQ33" s="537"/>
      <c r="WBR33" s="537"/>
      <c r="WBS33" s="537"/>
      <c r="WBT33" s="537"/>
      <c r="WBU33" s="537"/>
      <c r="WBV33" s="537"/>
      <c r="WBW33" s="537"/>
      <c r="WBX33" s="537"/>
      <c r="WBY33" s="537"/>
      <c r="WBZ33" s="537"/>
      <c r="WCA33" s="537"/>
      <c r="WCB33" s="537"/>
      <c r="WCC33" s="537"/>
      <c r="WCD33" s="537"/>
      <c r="WCE33" s="537"/>
      <c r="WCF33" s="537"/>
      <c r="WCG33" s="537"/>
      <c r="WCH33" s="537"/>
      <c r="WCI33" s="537"/>
      <c r="WCJ33" s="537"/>
      <c r="WCK33" s="537"/>
      <c r="WCL33" s="537"/>
      <c r="WCM33" s="537"/>
      <c r="WCN33" s="537"/>
      <c r="WCO33" s="537"/>
      <c r="WCP33" s="537"/>
      <c r="WCQ33" s="537"/>
      <c r="WCR33" s="537"/>
      <c r="WCS33" s="537"/>
      <c r="WCT33" s="537"/>
      <c r="WCU33" s="537"/>
      <c r="WCV33" s="537"/>
      <c r="WCW33" s="537"/>
      <c r="WCX33" s="537"/>
      <c r="WCY33" s="537"/>
      <c r="WCZ33" s="537"/>
      <c r="WDA33" s="537"/>
      <c r="WDB33" s="537"/>
      <c r="WDC33" s="537"/>
      <c r="WDD33" s="537"/>
      <c r="WDE33" s="537"/>
      <c r="WDF33" s="537"/>
      <c r="WDG33" s="537"/>
      <c r="WDH33" s="537"/>
      <c r="WDI33" s="537"/>
      <c r="WDJ33" s="537"/>
      <c r="WDK33" s="537"/>
      <c r="WDL33" s="537"/>
      <c r="WDM33" s="537"/>
      <c r="WDN33" s="537"/>
      <c r="WDO33" s="537"/>
      <c r="WDP33" s="537"/>
      <c r="WDQ33" s="537"/>
      <c r="WDR33" s="537"/>
      <c r="WDS33" s="537"/>
      <c r="WDT33" s="537"/>
      <c r="WDU33" s="537"/>
      <c r="WDV33" s="537"/>
      <c r="WDW33" s="537"/>
      <c r="WDX33" s="537"/>
      <c r="WDY33" s="537"/>
      <c r="WDZ33" s="537"/>
      <c r="WEA33" s="537"/>
      <c r="WEB33" s="537"/>
      <c r="WEC33" s="537"/>
      <c r="WED33" s="537"/>
      <c r="WEE33" s="537"/>
      <c r="WEF33" s="537"/>
      <c r="WEG33" s="537"/>
      <c r="WEH33" s="537"/>
      <c r="WEI33" s="537"/>
      <c r="WEJ33" s="537"/>
      <c r="WEK33" s="537"/>
      <c r="WEL33" s="537"/>
      <c r="WEM33" s="537"/>
      <c r="WEN33" s="537"/>
      <c r="WEO33" s="537"/>
      <c r="WEP33" s="537"/>
      <c r="WEQ33" s="537"/>
      <c r="WER33" s="537"/>
      <c r="WES33" s="537"/>
      <c r="WET33" s="537"/>
      <c r="WEU33" s="537"/>
      <c r="WEV33" s="537"/>
      <c r="WEW33" s="537"/>
      <c r="WEX33" s="537"/>
      <c r="WEY33" s="537"/>
      <c r="WEZ33" s="537"/>
      <c r="WFA33" s="537"/>
      <c r="WFB33" s="537"/>
      <c r="WFC33" s="537"/>
      <c r="WFD33" s="537"/>
      <c r="WFE33" s="537"/>
      <c r="WFF33" s="537"/>
      <c r="WFG33" s="537"/>
      <c r="WFH33" s="537"/>
      <c r="WFI33" s="537"/>
      <c r="WFJ33" s="537"/>
      <c r="WFK33" s="537"/>
      <c r="WFL33" s="537"/>
      <c r="WFM33" s="537"/>
      <c r="WFN33" s="537"/>
      <c r="WFO33" s="537"/>
      <c r="WFP33" s="537"/>
      <c r="WFQ33" s="537"/>
      <c r="WFR33" s="537"/>
      <c r="WFS33" s="537"/>
      <c r="WFT33" s="537"/>
      <c r="WFU33" s="537"/>
      <c r="WFV33" s="537"/>
      <c r="WFW33" s="537"/>
      <c r="WFX33" s="537"/>
      <c r="WFY33" s="537"/>
      <c r="WFZ33" s="537"/>
      <c r="WGA33" s="537"/>
      <c r="WGB33" s="537"/>
      <c r="WGC33" s="537"/>
      <c r="WGD33" s="537"/>
      <c r="WGE33" s="537"/>
      <c r="WGF33" s="537"/>
      <c r="WGG33" s="537"/>
      <c r="WGH33" s="537"/>
      <c r="WGI33" s="537"/>
      <c r="WGJ33" s="537"/>
      <c r="WGK33" s="537"/>
      <c r="WGL33" s="537"/>
      <c r="WGM33" s="537"/>
      <c r="WGN33" s="537"/>
      <c r="WGO33" s="537"/>
      <c r="WGP33" s="537"/>
      <c r="WGQ33" s="537"/>
      <c r="WGR33" s="537"/>
      <c r="WGS33" s="537"/>
      <c r="WGT33" s="537"/>
      <c r="WGU33" s="537"/>
      <c r="WGV33" s="537"/>
      <c r="WGW33" s="537"/>
      <c r="WGX33" s="537"/>
      <c r="WGY33" s="537"/>
      <c r="WGZ33" s="537"/>
      <c r="WHA33" s="537"/>
      <c r="WHB33" s="537"/>
      <c r="WHC33" s="537"/>
      <c r="WHD33" s="537"/>
      <c r="WHE33" s="537"/>
      <c r="WHF33" s="537"/>
      <c r="WHG33" s="537"/>
      <c r="WHH33" s="537"/>
      <c r="WHI33" s="537"/>
      <c r="WHJ33" s="537"/>
      <c r="WHK33" s="537"/>
      <c r="WHL33" s="537"/>
      <c r="WHM33" s="537"/>
      <c r="WHN33" s="537"/>
      <c r="WHO33" s="537"/>
      <c r="WHP33" s="537"/>
      <c r="WHQ33" s="537"/>
      <c r="WHR33" s="537"/>
      <c r="WHS33" s="537"/>
      <c r="WHT33" s="537"/>
      <c r="WHU33" s="537"/>
      <c r="WHV33" s="537"/>
      <c r="WHW33" s="537"/>
      <c r="WHX33" s="537"/>
      <c r="WHY33" s="537"/>
      <c r="WHZ33" s="537"/>
      <c r="WIA33" s="537"/>
      <c r="WIB33" s="537"/>
      <c r="WIC33" s="537"/>
      <c r="WID33" s="537"/>
      <c r="WIE33" s="537"/>
      <c r="WIF33" s="537"/>
      <c r="WIG33" s="537"/>
      <c r="WIH33" s="537"/>
      <c r="WII33" s="537"/>
      <c r="WIJ33" s="537"/>
      <c r="WIK33" s="537"/>
      <c r="WIL33" s="537"/>
      <c r="WIM33" s="537"/>
      <c r="WIN33" s="537"/>
      <c r="WIO33" s="537"/>
      <c r="WIP33" s="537"/>
      <c r="WIQ33" s="537"/>
      <c r="WIR33" s="537"/>
      <c r="WIS33" s="537"/>
      <c r="WIT33" s="537"/>
      <c r="WIU33" s="537"/>
      <c r="WIV33" s="537"/>
      <c r="WIW33" s="537"/>
      <c r="WIX33" s="537"/>
      <c r="WIY33" s="537"/>
      <c r="WIZ33" s="537"/>
      <c r="WJA33" s="537"/>
      <c r="WJB33" s="537"/>
      <c r="WJC33" s="537"/>
      <c r="WJD33" s="537"/>
      <c r="WJE33" s="537"/>
      <c r="WJF33" s="537"/>
      <c r="WJG33" s="537"/>
      <c r="WJH33" s="537"/>
      <c r="WJI33" s="537"/>
      <c r="WJJ33" s="537"/>
      <c r="WJK33" s="537"/>
      <c r="WJL33" s="537"/>
      <c r="WJM33" s="537"/>
      <c r="WJN33" s="537"/>
      <c r="WJO33" s="537"/>
      <c r="WJP33" s="537"/>
      <c r="WJQ33" s="537"/>
      <c r="WJR33" s="537"/>
      <c r="WJS33" s="537"/>
      <c r="WJT33" s="537"/>
      <c r="WJU33" s="537"/>
      <c r="WJV33" s="537"/>
      <c r="WJW33" s="537"/>
      <c r="WJX33" s="537"/>
      <c r="WJY33" s="537"/>
      <c r="WJZ33" s="537"/>
      <c r="WKA33" s="537"/>
      <c r="WKB33" s="537"/>
      <c r="WKC33" s="537"/>
      <c r="WKD33" s="537"/>
      <c r="WKE33" s="537"/>
      <c r="WKF33" s="537"/>
      <c r="WKG33" s="537"/>
      <c r="WKH33" s="537"/>
      <c r="WKI33" s="537"/>
      <c r="WKJ33" s="537"/>
      <c r="WKK33" s="537"/>
      <c r="WKL33" s="537"/>
      <c r="WKM33" s="537"/>
      <c r="WKN33" s="537"/>
      <c r="WKO33" s="537"/>
      <c r="WKP33" s="537"/>
      <c r="WKQ33" s="537"/>
      <c r="WKR33" s="537"/>
      <c r="WKS33" s="537"/>
      <c r="WKT33" s="537"/>
      <c r="WKU33" s="537"/>
      <c r="WKV33" s="537"/>
      <c r="WKW33" s="537"/>
      <c r="WKX33" s="537"/>
      <c r="WKY33" s="537"/>
      <c r="WKZ33" s="537"/>
      <c r="WLA33" s="537"/>
      <c r="WLB33" s="537"/>
      <c r="WLC33" s="537"/>
      <c r="WLD33" s="537"/>
      <c r="WLE33" s="537"/>
      <c r="WLF33" s="537"/>
      <c r="WLG33" s="537"/>
      <c r="WLH33" s="537"/>
      <c r="WLI33" s="537"/>
      <c r="WLJ33" s="537"/>
      <c r="WLK33" s="537"/>
      <c r="WLL33" s="537"/>
      <c r="WLM33" s="537"/>
      <c r="WLN33" s="537"/>
      <c r="WLO33" s="537"/>
      <c r="WLP33" s="537"/>
      <c r="WLQ33" s="537"/>
      <c r="WLR33" s="537"/>
      <c r="WLS33" s="537"/>
      <c r="WLT33" s="537"/>
      <c r="WLU33" s="537"/>
      <c r="WLV33" s="537"/>
      <c r="WLW33" s="537"/>
      <c r="WLX33" s="537"/>
      <c r="WLY33" s="537"/>
      <c r="WLZ33" s="537"/>
      <c r="WMA33" s="537"/>
      <c r="WMB33" s="537"/>
      <c r="WMC33" s="537"/>
      <c r="WMD33" s="537"/>
      <c r="WME33" s="537"/>
      <c r="WMF33" s="537"/>
      <c r="WMG33" s="537"/>
      <c r="WMH33" s="537"/>
      <c r="WMI33" s="537"/>
      <c r="WMJ33" s="537"/>
      <c r="WMK33" s="537"/>
      <c r="WML33" s="537"/>
      <c r="WMM33" s="537"/>
      <c r="WMN33" s="537"/>
      <c r="WMO33" s="537"/>
      <c r="WMP33" s="537"/>
      <c r="WMQ33" s="537"/>
      <c r="WMR33" s="537"/>
      <c r="WMS33" s="537"/>
      <c r="WMT33" s="537"/>
      <c r="WMU33" s="537"/>
      <c r="WMV33" s="537"/>
      <c r="WMW33" s="537"/>
      <c r="WMX33" s="537"/>
      <c r="WMY33" s="537"/>
      <c r="WMZ33" s="537"/>
      <c r="WNA33" s="537"/>
      <c r="WNB33" s="537"/>
      <c r="WNC33" s="537"/>
      <c r="WND33" s="537"/>
      <c r="WNE33" s="537"/>
      <c r="WNF33" s="537"/>
      <c r="WNG33" s="537"/>
      <c r="WNH33" s="537"/>
      <c r="WNI33" s="537"/>
      <c r="WNJ33" s="537"/>
      <c r="WNK33" s="537"/>
      <c r="WNL33" s="537"/>
      <c r="WNM33" s="537"/>
      <c r="WNN33" s="537"/>
      <c r="WNO33" s="537"/>
      <c r="WNP33" s="537"/>
      <c r="WNQ33" s="537"/>
      <c r="WNR33" s="537"/>
      <c r="WNS33" s="537"/>
      <c r="WNT33" s="537"/>
      <c r="WNU33" s="537"/>
      <c r="WNV33" s="537"/>
      <c r="WNW33" s="537"/>
      <c r="WNX33" s="537"/>
      <c r="WNY33" s="537"/>
      <c r="WNZ33" s="537"/>
      <c r="WOA33" s="537"/>
      <c r="WOB33" s="537"/>
      <c r="WOC33" s="537"/>
      <c r="WOD33" s="537"/>
      <c r="WOE33" s="537"/>
      <c r="WOF33" s="537"/>
      <c r="WOG33" s="537"/>
      <c r="WOH33" s="537"/>
      <c r="WOI33" s="537"/>
      <c r="WOJ33" s="537"/>
      <c r="WOK33" s="537"/>
      <c r="WOL33" s="537"/>
      <c r="WOM33" s="537"/>
      <c r="WON33" s="537"/>
      <c r="WOO33" s="537"/>
      <c r="WOP33" s="537"/>
      <c r="WOQ33" s="537"/>
      <c r="WOR33" s="537"/>
      <c r="WOS33" s="537"/>
      <c r="WOT33" s="537"/>
      <c r="WOU33" s="537"/>
      <c r="WOV33" s="537"/>
      <c r="WOW33" s="537"/>
      <c r="WOX33" s="537"/>
      <c r="WOY33" s="537"/>
      <c r="WOZ33" s="537"/>
      <c r="WPA33" s="537"/>
      <c r="WPB33" s="537"/>
      <c r="WPC33" s="537"/>
      <c r="WPD33" s="537"/>
      <c r="WPE33" s="537"/>
      <c r="WPF33" s="537"/>
      <c r="WPG33" s="537"/>
      <c r="WPH33" s="537"/>
      <c r="WPI33" s="537"/>
      <c r="WPJ33" s="537"/>
      <c r="WPK33" s="537"/>
      <c r="WPL33" s="537"/>
      <c r="WPM33" s="537"/>
      <c r="WPN33" s="537"/>
      <c r="WPO33" s="537"/>
      <c r="WPP33" s="537"/>
      <c r="WPQ33" s="537"/>
      <c r="WPR33" s="537"/>
      <c r="WPS33" s="537"/>
      <c r="WPT33" s="537"/>
      <c r="WPU33" s="537"/>
      <c r="WPV33" s="537"/>
      <c r="WPW33" s="537"/>
      <c r="WPX33" s="537"/>
      <c r="WPY33" s="537"/>
      <c r="WPZ33" s="537"/>
      <c r="WQA33" s="537"/>
      <c r="WQB33" s="537"/>
      <c r="WQC33" s="537"/>
      <c r="WQD33" s="537"/>
      <c r="WQE33" s="537"/>
      <c r="WQF33" s="537"/>
      <c r="WQG33" s="537"/>
      <c r="WQH33" s="537"/>
      <c r="WQI33" s="537"/>
      <c r="WQJ33" s="537"/>
      <c r="WQK33" s="537"/>
      <c r="WQL33" s="537"/>
      <c r="WQM33" s="537"/>
      <c r="WQN33" s="537"/>
      <c r="WQO33" s="537"/>
      <c r="WQP33" s="537"/>
      <c r="WQQ33" s="537"/>
      <c r="WQR33" s="537"/>
      <c r="WQS33" s="537"/>
      <c r="WQT33" s="537"/>
      <c r="WQU33" s="537"/>
      <c r="WQV33" s="537"/>
      <c r="WQW33" s="537"/>
      <c r="WQX33" s="537"/>
      <c r="WQY33" s="537"/>
      <c r="WQZ33" s="537"/>
      <c r="WRA33" s="537"/>
      <c r="WRB33" s="537"/>
      <c r="WRC33" s="537"/>
      <c r="WRD33" s="537"/>
      <c r="WRE33" s="537"/>
      <c r="WRF33" s="537"/>
      <c r="WRG33" s="537"/>
      <c r="WRH33" s="537"/>
      <c r="WRI33" s="537"/>
      <c r="WRJ33" s="537"/>
      <c r="WRK33" s="537"/>
      <c r="WRL33" s="537"/>
      <c r="WRM33" s="537"/>
      <c r="WRN33" s="537"/>
      <c r="WRO33" s="537"/>
      <c r="WRP33" s="537"/>
      <c r="WRQ33" s="537"/>
      <c r="WRR33" s="537"/>
      <c r="WRS33" s="537"/>
      <c r="WRT33" s="537"/>
      <c r="WRU33" s="537"/>
      <c r="WRV33" s="537"/>
      <c r="WRW33" s="537"/>
      <c r="WRX33" s="537"/>
      <c r="WRY33" s="537"/>
      <c r="WRZ33" s="537"/>
      <c r="WSA33" s="537"/>
      <c r="WSB33" s="537"/>
      <c r="WSC33" s="537"/>
      <c r="WSD33" s="537"/>
      <c r="WSE33" s="537"/>
      <c r="WSF33" s="537"/>
      <c r="WSG33" s="537"/>
      <c r="WSH33" s="537"/>
      <c r="WSI33" s="537"/>
      <c r="WSJ33" s="537"/>
      <c r="WSK33" s="537"/>
      <c r="WSL33" s="537"/>
      <c r="WSM33" s="537"/>
      <c r="WSN33" s="537"/>
      <c r="WSO33" s="537"/>
      <c r="WSP33" s="537"/>
      <c r="WSQ33" s="537"/>
      <c r="WSR33" s="537"/>
      <c r="WSS33" s="537"/>
      <c r="WST33" s="537"/>
      <c r="WSU33" s="537"/>
      <c r="WSV33" s="537"/>
      <c r="WSW33" s="537"/>
      <c r="WSX33" s="537"/>
      <c r="WSY33" s="537"/>
      <c r="WSZ33" s="537"/>
      <c r="WTA33" s="537"/>
      <c r="WTB33" s="537"/>
      <c r="WTC33" s="537"/>
      <c r="WTD33" s="537"/>
      <c r="WTE33" s="537"/>
      <c r="WTF33" s="537"/>
      <c r="WTG33" s="537"/>
      <c r="WTH33" s="537"/>
      <c r="WTI33" s="537"/>
      <c r="WTJ33" s="537"/>
      <c r="WTK33" s="537"/>
      <c r="WTL33" s="537"/>
      <c r="WTM33" s="537"/>
      <c r="WTN33" s="537"/>
      <c r="WTO33" s="537"/>
      <c r="WTP33" s="537"/>
      <c r="WTQ33" s="537"/>
      <c r="WTR33" s="537"/>
      <c r="WTS33" s="537"/>
      <c r="WTT33" s="537"/>
      <c r="WTU33" s="537"/>
      <c r="WTV33" s="537"/>
      <c r="WTW33" s="537"/>
      <c r="WTX33" s="537"/>
      <c r="WTY33" s="537"/>
      <c r="WTZ33" s="537"/>
      <c r="WUA33" s="537"/>
      <c r="WUB33" s="537"/>
      <c r="WUC33" s="537"/>
      <c r="WUD33" s="537"/>
      <c r="WUE33" s="537"/>
      <c r="WUF33" s="537"/>
      <c r="WUG33" s="537"/>
      <c r="WUH33" s="537"/>
      <c r="WUI33" s="537"/>
      <c r="WUJ33" s="537"/>
      <c r="WUK33" s="537"/>
      <c r="WUL33" s="537"/>
      <c r="WUM33" s="537"/>
      <c r="WUN33" s="537"/>
      <c r="WUO33" s="537"/>
      <c r="WUP33" s="537"/>
      <c r="WUQ33" s="537"/>
      <c r="WUR33" s="537"/>
      <c r="WUS33" s="537"/>
      <c r="WUT33" s="537"/>
      <c r="WUU33" s="537"/>
      <c r="WUV33" s="537"/>
      <c r="WUW33" s="537"/>
      <c r="WUX33" s="537"/>
      <c r="WUY33" s="537"/>
      <c r="WUZ33" s="537"/>
      <c r="WVA33" s="537"/>
      <c r="WVB33" s="537"/>
      <c r="WVC33" s="537"/>
      <c r="WVD33" s="537"/>
      <c r="WVE33" s="537"/>
      <c r="WVF33" s="537"/>
      <c r="WVG33" s="537"/>
      <c r="WVH33" s="537"/>
      <c r="WVI33" s="537"/>
      <c r="WVJ33" s="537"/>
      <c r="WVK33" s="537"/>
      <c r="WVL33" s="537"/>
      <c r="WVM33" s="537"/>
      <c r="WVN33" s="537"/>
      <c r="WVO33" s="537"/>
      <c r="WVP33" s="537"/>
      <c r="WVQ33" s="537"/>
      <c r="WVR33" s="537"/>
      <c r="WVS33" s="537"/>
      <c r="WVT33" s="537"/>
      <c r="WVU33" s="537"/>
      <c r="WVV33" s="537"/>
      <c r="WVW33" s="537"/>
      <c r="WVX33" s="537"/>
      <c r="WVY33" s="537"/>
      <c r="WVZ33" s="537"/>
      <c r="WWA33" s="537"/>
      <c r="WWB33" s="537"/>
      <c r="WWC33" s="537"/>
      <c r="WWD33" s="537"/>
      <c r="WWE33" s="537"/>
      <c r="WWF33" s="537"/>
      <c r="WWG33" s="537"/>
      <c r="WWH33" s="537"/>
      <c r="WWI33" s="537"/>
      <c r="WWJ33" s="537"/>
      <c r="WWK33" s="537"/>
      <c r="WWL33" s="537"/>
      <c r="WWM33" s="537"/>
      <c r="WWN33" s="537"/>
      <c r="WWO33" s="537"/>
      <c r="WWP33" s="537"/>
      <c r="WWQ33" s="537"/>
      <c r="WWR33" s="537"/>
      <c r="WWS33" s="537"/>
      <c r="WWT33" s="537"/>
      <c r="WWU33" s="537"/>
      <c r="WWV33" s="537"/>
      <c r="WWW33" s="537"/>
      <c r="WWX33" s="537"/>
      <c r="WWY33" s="537"/>
      <c r="WWZ33" s="537"/>
      <c r="WXA33" s="537"/>
      <c r="WXB33" s="537"/>
      <c r="WXC33" s="537"/>
      <c r="WXD33" s="537"/>
      <c r="WXE33" s="537"/>
      <c r="WXF33" s="537"/>
      <c r="WXG33" s="537"/>
      <c r="WXH33" s="537"/>
      <c r="WXI33" s="537"/>
      <c r="WXJ33" s="537"/>
      <c r="WXK33" s="537"/>
      <c r="WXL33" s="537"/>
      <c r="WXM33" s="537"/>
      <c r="WXN33" s="537"/>
      <c r="WXO33" s="537"/>
      <c r="WXP33" s="537"/>
      <c r="WXQ33" s="537"/>
      <c r="WXR33" s="537"/>
      <c r="WXS33" s="537"/>
      <c r="WXT33" s="537"/>
      <c r="WXU33" s="537"/>
      <c r="WXV33" s="537"/>
      <c r="WXW33" s="537"/>
      <c r="WXX33" s="537"/>
      <c r="WXY33" s="537"/>
      <c r="WXZ33" s="537"/>
      <c r="WYA33" s="537"/>
      <c r="WYB33" s="537"/>
      <c r="WYC33" s="537"/>
      <c r="WYD33" s="537"/>
      <c r="WYE33" s="537"/>
      <c r="WYF33" s="537"/>
      <c r="WYG33" s="537"/>
      <c r="WYH33" s="537"/>
      <c r="WYI33" s="537"/>
      <c r="WYJ33" s="537"/>
      <c r="WYK33" s="537"/>
      <c r="WYL33" s="537"/>
      <c r="WYM33" s="537"/>
      <c r="WYN33" s="537"/>
      <c r="WYO33" s="537"/>
      <c r="WYP33" s="537"/>
      <c r="WYQ33" s="537"/>
      <c r="WYR33" s="537"/>
      <c r="WYS33" s="537"/>
      <c r="WYT33" s="537"/>
      <c r="WYU33" s="537"/>
      <c r="WYV33" s="537"/>
      <c r="WYW33" s="537"/>
      <c r="WYX33" s="537"/>
      <c r="WYY33" s="537"/>
      <c r="WYZ33" s="537"/>
      <c r="WZA33" s="537"/>
      <c r="WZB33" s="537"/>
      <c r="WZC33" s="537"/>
      <c r="WZD33" s="537"/>
      <c r="WZE33" s="537"/>
      <c r="WZF33" s="537"/>
      <c r="WZG33" s="537"/>
      <c r="WZH33" s="537"/>
      <c r="WZI33" s="537"/>
      <c r="WZJ33" s="537"/>
      <c r="WZK33" s="537"/>
      <c r="WZL33" s="537"/>
      <c r="WZM33" s="537"/>
      <c r="WZN33" s="537"/>
      <c r="WZO33" s="537"/>
      <c r="WZP33" s="537"/>
      <c r="WZQ33" s="537"/>
      <c r="WZR33" s="537"/>
      <c r="WZS33" s="537"/>
      <c r="WZT33" s="537"/>
      <c r="WZU33" s="537"/>
      <c r="WZV33" s="537"/>
      <c r="WZW33" s="537"/>
      <c r="WZX33" s="537"/>
      <c r="WZY33" s="537"/>
      <c r="WZZ33" s="537"/>
      <c r="XAA33" s="537"/>
      <c r="XAB33" s="537"/>
      <c r="XAC33" s="537"/>
      <c r="XAD33" s="537"/>
      <c r="XAE33" s="537"/>
      <c r="XAF33" s="537"/>
      <c r="XAG33" s="537"/>
      <c r="XAH33" s="537"/>
      <c r="XAI33" s="537"/>
      <c r="XAJ33" s="537"/>
      <c r="XAK33" s="537"/>
      <c r="XAL33" s="537"/>
      <c r="XAM33" s="537"/>
      <c r="XAN33" s="537"/>
      <c r="XAO33" s="537"/>
      <c r="XAP33" s="537"/>
      <c r="XAQ33" s="537"/>
      <c r="XAR33" s="537"/>
      <c r="XAS33" s="537"/>
      <c r="XAT33" s="537"/>
      <c r="XAU33" s="537"/>
      <c r="XAV33" s="537"/>
      <c r="XAW33" s="537"/>
      <c r="XAX33" s="537"/>
      <c r="XAY33" s="537"/>
      <c r="XAZ33" s="537"/>
      <c r="XBA33" s="537"/>
      <c r="XBB33" s="537"/>
      <c r="XBC33" s="537"/>
      <c r="XBD33" s="537"/>
      <c r="XBE33" s="537"/>
      <c r="XBF33" s="537"/>
      <c r="XBG33" s="537"/>
      <c r="XBH33" s="537"/>
      <c r="XBI33" s="537"/>
      <c r="XBJ33" s="537"/>
      <c r="XBK33" s="537"/>
      <c r="XBL33" s="537"/>
      <c r="XBM33" s="537"/>
      <c r="XBN33" s="537"/>
      <c r="XBO33" s="537"/>
      <c r="XBP33" s="537"/>
      <c r="XBQ33" s="537"/>
      <c r="XBR33" s="537"/>
      <c r="XBS33" s="537"/>
      <c r="XBT33" s="537"/>
      <c r="XBU33" s="537"/>
      <c r="XBV33" s="537"/>
      <c r="XBW33" s="537"/>
      <c r="XBX33" s="537"/>
      <c r="XBY33" s="537"/>
      <c r="XBZ33" s="537"/>
      <c r="XCA33" s="537"/>
      <c r="XCB33" s="537"/>
      <c r="XCC33" s="537"/>
      <c r="XCD33" s="537"/>
      <c r="XCE33" s="537"/>
      <c r="XCF33" s="537"/>
      <c r="XCG33" s="537"/>
      <c r="XCH33" s="537"/>
      <c r="XCI33" s="537"/>
      <c r="XCJ33" s="537"/>
      <c r="XCK33" s="537"/>
      <c r="XCL33" s="537"/>
      <c r="XCM33" s="537"/>
      <c r="XCN33" s="537"/>
      <c r="XCO33" s="537"/>
      <c r="XCP33" s="537"/>
      <c r="XCQ33" s="537"/>
      <c r="XCR33" s="537"/>
      <c r="XCS33" s="537"/>
      <c r="XCT33" s="537"/>
      <c r="XCU33" s="537"/>
      <c r="XCV33" s="537"/>
      <c r="XCW33" s="537"/>
      <c r="XCX33" s="537"/>
      <c r="XCY33" s="537"/>
      <c r="XCZ33" s="537"/>
      <c r="XDA33" s="537"/>
      <c r="XDB33" s="537"/>
      <c r="XDC33" s="537"/>
      <c r="XDD33" s="537"/>
      <c r="XDE33" s="537"/>
      <c r="XDF33" s="537"/>
      <c r="XDG33" s="537"/>
      <c r="XDH33" s="537"/>
      <c r="XDI33" s="537"/>
      <c r="XDJ33" s="537"/>
      <c r="XDK33" s="537"/>
      <c r="XDL33" s="537"/>
      <c r="XDM33" s="537"/>
      <c r="XDN33" s="537"/>
      <c r="XDO33" s="537"/>
      <c r="XDP33" s="537"/>
      <c r="XDQ33" s="537"/>
      <c r="XDR33" s="537"/>
      <c r="XDS33" s="537"/>
      <c r="XDT33" s="537"/>
      <c r="XDU33" s="537"/>
      <c r="XDV33" s="537"/>
      <c r="XDW33" s="537"/>
      <c r="XDX33" s="537"/>
      <c r="XDY33" s="537"/>
      <c r="XDZ33" s="537"/>
      <c r="XEA33" s="537"/>
      <c r="XEB33" s="537"/>
      <c r="XEC33" s="537"/>
      <c r="XED33" s="537"/>
      <c r="XEE33" s="537"/>
      <c r="XEF33" s="537"/>
      <c r="XEG33" s="537"/>
      <c r="XEH33" s="537"/>
      <c r="XEI33" s="537"/>
      <c r="XEJ33" s="537"/>
      <c r="XEK33" s="537"/>
      <c r="XEL33" s="537"/>
      <c r="XEM33" s="537"/>
      <c r="XEN33" s="537"/>
      <c r="XEO33" s="537"/>
      <c r="XEP33" s="537"/>
      <c r="XEQ33" s="537"/>
      <c r="XER33" s="537"/>
      <c r="XES33" s="537"/>
      <c r="XET33" s="537"/>
      <c r="XEU33" s="537"/>
      <c r="XEV33" s="537"/>
      <c r="XEW33" s="537"/>
      <c r="XEX33" s="537"/>
      <c r="XEY33" s="537"/>
    </row>
    <row r="34" spans="2:16379" s="579" customFormat="1" ht="30.75" customHeight="1" x14ac:dyDescent="0.25">
      <c r="B34" s="543" t="s">
        <v>1009</v>
      </c>
      <c r="C34" s="2029" t="s">
        <v>1031</v>
      </c>
      <c r="D34" s="2030"/>
      <c r="E34" s="2030"/>
      <c r="F34" s="2031"/>
      <c r="G34" s="547" t="s">
        <v>506</v>
      </c>
      <c r="H34" s="543"/>
      <c r="I34" s="548">
        <f>SUM(I28,I33)</f>
        <v>207000000</v>
      </c>
      <c r="J34" s="548">
        <f>SUM(J28,J33)</f>
        <v>26631518</v>
      </c>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575"/>
      <c r="AL34" s="575"/>
      <c r="AM34" s="575"/>
      <c r="AN34" s="575"/>
      <c r="AO34" s="575"/>
      <c r="AP34" s="575"/>
      <c r="AQ34" s="575"/>
      <c r="AR34" s="575"/>
      <c r="AS34" s="575"/>
      <c r="AT34" s="575"/>
      <c r="AU34" s="575"/>
      <c r="AV34" s="575"/>
      <c r="AW34" s="575"/>
      <c r="AX34" s="575"/>
      <c r="AY34" s="575"/>
      <c r="AZ34" s="575"/>
      <c r="BA34" s="575"/>
      <c r="BB34" s="575"/>
      <c r="BC34" s="575"/>
      <c r="BD34" s="575"/>
      <c r="BE34" s="575"/>
      <c r="BF34" s="575"/>
      <c r="BG34" s="575"/>
      <c r="BH34" s="575"/>
      <c r="BI34" s="575"/>
      <c r="BJ34" s="575"/>
      <c r="BK34" s="575"/>
      <c r="BL34" s="575"/>
      <c r="BM34" s="575"/>
      <c r="BN34" s="575"/>
      <c r="BO34" s="575"/>
      <c r="BP34" s="575"/>
      <c r="BQ34" s="575"/>
      <c r="BR34" s="575"/>
      <c r="BS34" s="575"/>
      <c r="BT34" s="575"/>
      <c r="BU34" s="575"/>
      <c r="BV34" s="575"/>
      <c r="BW34" s="575"/>
      <c r="BX34" s="575"/>
      <c r="BY34" s="575"/>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5"/>
      <c r="DY34" s="575"/>
      <c r="DZ34" s="575"/>
      <c r="EA34" s="575"/>
      <c r="EB34" s="575"/>
      <c r="EC34" s="575"/>
      <c r="ED34" s="575"/>
      <c r="EE34" s="575"/>
      <c r="EF34" s="575"/>
      <c r="EG34" s="575"/>
      <c r="EH34" s="575"/>
      <c r="EI34" s="575"/>
      <c r="EJ34" s="575"/>
      <c r="EK34" s="575"/>
      <c r="EL34" s="575"/>
      <c r="EM34" s="575"/>
      <c r="EN34" s="575"/>
      <c r="EO34" s="575"/>
      <c r="EP34" s="575"/>
      <c r="EQ34" s="575"/>
      <c r="ER34" s="575"/>
      <c r="ES34" s="575"/>
      <c r="ET34" s="575"/>
      <c r="EU34" s="575"/>
      <c r="EV34" s="575"/>
      <c r="EW34" s="575"/>
      <c r="EX34" s="575"/>
      <c r="EY34" s="575"/>
      <c r="EZ34" s="575"/>
      <c r="FA34" s="575"/>
      <c r="FB34" s="575"/>
      <c r="FC34" s="575"/>
      <c r="FD34" s="575"/>
      <c r="FE34" s="575"/>
      <c r="FF34" s="575"/>
      <c r="FG34" s="575"/>
      <c r="FH34" s="575"/>
      <c r="FI34" s="575"/>
      <c r="FJ34" s="575"/>
      <c r="FK34" s="575"/>
      <c r="FL34" s="575"/>
      <c r="FM34" s="575"/>
      <c r="FN34" s="575"/>
      <c r="FO34" s="575"/>
      <c r="FP34" s="575"/>
      <c r="FQ34" s="575"/>
      <c r="FR34" s="575"/>
      <c r="FS34" s="575"/>
      <c r="FT34" s="575"/>
      <c r="FU34" s="575"/>
      <c r="FV34" s="575"/>
      <c r="FW34" s="575"/>
      <c r="FX34" s="575"/>
      <c r="FY34" s="575"/>
      <c r="FZ34" s="575"/>
      <c r="GA34" s="575"/>
      <c r="GB34" s="575"/>
      <c r="GC34" s="575"/>
      <c r="GD34" s="575"/>
      <c r="GE34" s="575"/>
      <c r="GF34" s="575"/>
      <c r="GG34" s="575"/>
      <c r="GH34" s="575"/>
      <c r="GI34" s="575"/>
      <c r="GJ34" s="575"/>
      <c r="GK34" s="575"/>
      <c r="GL34" s="575"/>
      <c r="GM34" s="575"/>
      <c r="GN34" s="575"/>
      <c r="GO34" s="575"/>
      <c r="GP34" s="575"/>
      <c r="GQ34" s="575"/>
      <c r="GR34" s="575"/>
      <c r="GS34" s="575"/>
      <c r="GT34" s="575"/>
      <c r="GU34" s="575"/>
      <c r="GV34" s="575"/>
      <c r="GW34" s="575"/>
      <c r="GX34" s="575"/>
      <c r="GY34" s="575"/>
      <c r="GZ34" s="575"/>
      <c r="HA34" s="575"/>
      <c r="HB34" s="575"/>
      <c r="HC34" s="575"/>
      <c r="HD34" s="575"/>
      <c r="HE34" s="575"/>
      <c r="HF34" s="575"/>
      <c r="HG34" s="575"/>
      <c r="HH34" s="575"/>
      <c r="HI34" s="575"/>
      <c r="HJ34" s="575"/>
      <c r="HK34" s="575"/>
      <c r="HL34" s="575"/>
      <c r="HM34" s="575"/>
      <c r="HN34" s="575"/>
      <c r="HO34" s="575"/>
      <c r="HP34" s="575"/>
      <c r="HQ34" s="575"/>
      <c r="HR34" s="575"/>
      <c r="HS34" s="575"/>
      <c r="HT34" s="575"/>
      <c r="HU34" s="575"/>
      <c r="HV34" s="575"/>
      <c r="HW34" s="575"/>
      <c r="HX34" s="575"/>
      <c r="HY34" s="575"/>
      <c r="HZ34" s="575"/>
      <c r="IA34" s="575"/>
      <c r="IB34" s="575"/>
      <c r="IC34" s="575"/>
      <c r="ID34" s="575"/>
      <c r="IE34" s="575"/>
      <c r="IF34" s="575"/>
      <c r="IG34" s="575"/>
      <c r="IH34" s="575"/>
      <c r="II34" s="575"/>
      <c r="IJ34" s="575"/>
      <c r="IK34" s="575"/>
      <c r="IL34" s="575"/>
      <c r="IM34" s="575"/>
      <c r="IN34" s="575"/>
      <c r="IO34" s="575"/>
      <c r="IP34" s="575"/>
      <c r="IQ34" s="575"/>
      <c r="IR34" s="575"/>
      <c r="IS34" s="575"/>
      <c r="IT34" s="575"/>
      <c r="IU34" s="575"/>
      <c r="IV34" s="575"/>
      <c r="IW34" s="575"/>
      <c r="IX34" s="575"/>
      <c r="IY34" s="575"/>
      <c r="IZ34" s="575"/>
      <c r="JA34" s="575"/>
      <c r="JB34" s="575"/>
      <c r="JC34" s="575"/>
      <c r="JD34" s="575"/>
      <c r="JE34" s="575"/>
      <c r="JF34" s="575"/>
      <c r="JG34" s="575"/>
      <c r="JH34" s="575"/>
      <c r="JI34" s="575"/>
      <c r="JJ34" s="575"/>
      <c r="JK34" s="575"/>
      <c r="JL34" s="575"/>
      <c r="JM34" s="575"/>
      <c r="JN34" s="575"/>
      <c r="JO34" s="575"/>
      <c r="JP34" s="575"/>
      <c r="JQ34" s="575"/>
      <c r="JR34" s="575"/>
      <c r="JS34" s="575"/>
      <c r="JT34" s="575"/>
      <c r="JU34" s="575"/>
      <c r="JV34" s="575"/>
      <c r="JW34" s="575"/>
      <c r="JX34" s="575"/>
      <c r="JY34" s="575"/>
      <c r="JZ34" s="575"/>
      <c r="KA34" s="575"/>
      <c r="KB34" s="575"/>
      <c r="KC34" s="575"/>
      <c r="KD34" s="575"/>
      <c r="KE34" s="575"/>
      <c r="KF34" s="575"/>
      <c r="KG34" s="575"/>
      <c r="KH34" s="575"/>
      <c r="KI34" s="575"/>
      <c r="KJ34" s="575"/>
      <c r="KK34" s="575"/>
      <c r="KL34" s="575"/>
      <c r="KM34" s="575"/>
      <c r="KN34" s="575"/>
      <c r="KO34" s="575"/>
      <c r="KP34" s="575"/>
      <c r="KQ34" s="575"/>
      <c r="KR34" s="575"/>
      <c r="KS34" s="575"/>
      <c r="KT34" s="575"/>
      <c r="KU34" s="575"/>
      <c r="KV34" s="575"/>
      <c r="KW34" s="575"/>
      <c r="KX34" s="575"/>
      <c r="KY34" s="575"/>
      <c r="KZ34" s="575"/>
      <c r="LA34" s="575"/>
      <c r="LB34" s="575"/>
      <c r="LC34" s="575"/>
      <c r="LD34" s="575"/>
      <c r="LE34" s="575"/>
      <c r="LF34" s="575"/>
      <c r="LG34" s="575"/>
      <c r="LH34" s="575"/>
      <c r="LI34" s="575"/>
      <c r="LJ34" s="575"/>
      <c r="LK34" s="575"/>
      <c r="LL34" s="575"/>
      <c r="LM34" s="575"/>
      <c r="LN34" s="575"/>
      <c r="LO34" s="575"/>
      <c r="LP34" s="575"/>
      <c r="LQ34" s="575"/>
      <c r="LR34" s="575"/>
      <c r="LS34" s="575"/>
      <c r="LT34" s="575"/>
      <c r="LU34" s="575"/>
      <c r="LV34" s="575"/>
      <c r="LW34" s="575"/>
      <c r="LX34" s="575"/>
      <c r="LY34" s="575"/>
      <c r="LZ34" s="575"/>
      <c r="MA34" s="575"/>
      <c r="MB34" s="575"/>
      <c r="MC34" s="575"/>
      <c r="MD34" s="575"/>
      <c r="ME34" s="575"/>
      <c r="MF34" s="575"/>
      <c r="MG34" s="575"/>
      <c r="MH34" s="575"/>
      <c r="MI34" s="575"/>
      <c r="MJ34" s="575"/>
      <c r="MK34" s="575"/>
      <c r="ML34" s="575"/>
      <c r="MM34" s="575"/>
      <c r="MN34" s="575"/>
      <c r="MO34" s="575"/>
      <c r="MP34" s="575"/>
      <c r="MQ34" s="575"/>
      <c r="MR34" s="575"/>
      <c r="MS34" s="575"/>
      <c r="MT34" s="575"/>
      <c r="MU34" s="575"/>
      <c r="MV34" s="575"/>
      <c r="MW34" s="575"/>
      <c r="MX34" s="575"/>
      <c r="MY34" s="575"/>
      <c r="MZ34" s="575"/>
      <c r="NA34" s="575"/>
      <c r="NB34" s="575"/>
      <c r="NC34" s="575"/>
      <c r="ND34" s="575"/>
      <c r="NE34" s="575"/>
      <c r="NF34" s="575"/>
      <c r="NG34" s="575"/>
      <c r="NH34" s="575"/>
      <c r="NI34" s="575"/>
      <c r="NJ34" s="575"/>
      <c r="NK34" s="575"/>
      <c r="NL34" s="575"/>
      <c r="NM34" s="575"/>
      <c r="NN34" s="575"/>
      <c r="NO34" s="575"/>
      <c r="NP34" s="575"/>
      <c r="NQ34" s="575"/>
      <c r="NR34" s="575"/>
      <c r="NS34" s="575"/>
      <c r="NT34" s="575"/>
      <c r="NU34" s="575"/>
      <c r="NV34" s="575"/>
      <c r="NW34" s="575"/>
      <c r="NX34" s="575"/>
      <c r="NY34" s="575"/>
      <c r="NZ34" s="575"/>
      <c r="OA34" s="575"/>
      <c r="OB34" s="575"/>
      <c r="OC34" s="575"/>
      <c r="OD34" s="575"/>
      <c r="OE34" s="575"/>
      <c r="OF34" s="575"/>
      <c r="OG34" s="575"/>
      <c r="OH34" s="575"/>
      <c r="OI34" s="575"/>
      <c r="OJ34" s="575"/>
      <c r="OK34" s="575"/>
      <c r="OL34" s="575"/>
      <c r="OM34" s="575"/>
      <c r="ON34" s="575"/>
      <c r="OO34" s="575"/>
      <c r="OP34" s="575"/>
      <c r="OQ34" s="575"/>
      <c r="OR34" s="575"/>
      <c r="OS34" s="575"/>
      <c r="OT34" s="575"/>
      <c r="OU34" s="575"/>
      <c r="OV34" s="575"/>
      <c r="OW34" s="575"/>
      <c r="OX34" s="575"/>
      <c r="OY34" s="575"/>
      <c r="OZ34" s="575"/>
      <c r="PA34" s="575"/>
      <c r="PB34" s="575"/>
      <c r="PC34" s="575"/>
      <c r="PD34" s="575"/>
      <c r="PE34" s="575"/>
      <c r="PF34" s="575"/>
      <c r="PG34" s="575"/>
      <c r="PH34" s="575"/>
      <c r="PI34" s="575"/>
      <c r="PJ34" s="575"/>
      <c r="PK34" s="575"/>
      <c r="PL34" s="575"/>
      <c r="PM34" s="575"/>
      <c r="PN34" s="575"/>
      <c r="PO34" s="575"/>
      <c r="PP34" s="575"/>
      <c r="PQ34" s="575"/>
      <c r="PR34" s="575"/>
      <c r="PS34" s="575"/>
      <c r="PT34" s="575"/>
      <c r="PU34" s="575"/>
      <c r="PV34" s="575"/>
      <c r="PW34" s="575"/>
      <c r="PX34" s="575"/>
      <c r="PY34" s="575"/>
      <c r="PZ34" s="575"/>
      <c r="QA34" s="575"/>
      <c r="QB34" s="575"/>
      <c r="QC34" s="575"/>
      <c r="QD34" s="575"/>
      <c r="QE34" s="575"/>
      <c r="QF34" s="575"/>
      <c r="QG34" s="575"/>
      <c r="QH34" s="575"/>
      <c r="QI34" s="575"/>
      <c r="QJ34" s="575"/>
      <c r="QK34" s="575"/>
      <c r="QL34" s="575"/>
      <c r="QM34" s="575"/>
      <c r="QN34" s="575"/>
      <c r="QO34" s="575"/>
      <c r="QP34" s="575"/>
      <c r="QQ34" s="575"/>
      <c r="QR34" s="575"/>
      <c r="QS34" s="575"/>
      <c r="QT34" s="575"/>
      <c r="QU34" s="575"/>
      <c r="QV34" s="575"/>
      <c r="QW34" s="575"/>
      <c r="QX34" s="575"/>
      <c r="QY34" s="575"/>
      <c r="QZ34" s="575"/>
      <c r="RA34" s="575"/>
      <c r="RB34" s="575"/>
      <c r="RC34" s="575"/>
      <c r="RD34" s="575"/>
      <c r="RE34" s="575"/>
      <c r="RF34" s="575"/>
      <c r="RG34" s="575"/>
      <c r="RH34" s="575"/>
      <c r="RI34" s="575"/>
      <c r="RJ34" s="575"/>
      <c r="RK34" s="575"/>
      <c r="RL34" s="575"/>
      <c r="RM34" s="575"/>
      <c r="RN34" s="575"/>
      <c r="RO34" s="575"/>
      <c r="RP34" s="575"/>
      <c r="RQ34" s="575"/>
      <c r="RR34" s="575"/>
      <c r="RS34" s="575"/>
      <c r="RT34" s="575"/>
      <c r="RU34" s="575"/>
      <c r="RV34" s="575"/>
      <c r="RW34" s="575"/>
      <c r="RX34" s="575"/>
      <c r="RY34" s="575"/>
      <c r="RZ34" s="575"/>
      <c r="SA34" s="575"/>
      <c r="SB34" s="575"/>
      <c r="SC34" s="575"/>
      <c r="SD34" s="575"/>
      <c r="SE34" s="575"/>
      <c r="SF34" s="575"/>
      <c r="SG34" s="575"/>
      <c r="SH34" s="575"/>
      <c r="SI34" s="575"/>
      <c r="SJ34" s="575"/>
      <c r="SK34" s="575"/>
      <c r="SL34" s="575"/>
      <c r="SM34" s="575"/>
      <c r="SN34" s="575"/>
      <c r="SO34" s="575"/>
      <c r="SP34" s="575"/>
      <c r="SQ34" s="575"/>
      <c r="SR34" s="575"/>
      <c r="SS34" s="575"/>
      <c r="ST34" s="575"/>
      <c r="SU34" s="575"/>
      <c r="SV34" s="575"/>
      <c r="SW34" s="575"/>
      <c r="SX34" s="575"/>
      <c r="SY34" s="575"/>
      <c r="SZ34" s="575"/>
      <c r="TA34" s="575"/>
      <c r="TB34" s="575"/>
      <c r="TC34" s="575"/>
      <c r="TD34" s="575"/>
      <c r="TE34" s="575"/>
      <c r="TF34" s="575"/>
      <c r="TG34" s="575"/>
      <c r="TH34" s="575"/>
      <c r="TI34" s="575"/>
      <c r="TJ34" s="575"/>
      <c r="TK34" s="575"/>
      <c r="TL34" s="575"/>
      <c r="TM34" s="575"/>
      <c r="TN34" s="575"/>
      <c r="TO34" s="575"/>
      <c r="TP34" s="575"/>
      <c r="TQ34" s="575"/>
      <c r="TR34" s="575"/>
      <c r="TS34" s="575"/>
      <c r="TT34" s="575"/>
      <c r="TU34" s="575"/>
      <c r="TV34" s="575"/>
      <c r="TW34" s="575"/>
      <c r="TX34" s="575"/>
      <c r="TY34" s="575"/>
      <c r="TZ34" s="575"/>
      <c r="UA34" s="575"/>
      <c r="UB34" s="575"/>
      <c r="UC34" s="575"/>
      <c r="UD34" s="575"/>
      <c r="UE34" s="575"/>
      <c r="UF34" s="575"/>
      <c r="UG34" s="575"/>
      <c r="UH34" s="575"/>
      <c r="UI34" s="575"/>
      <c r="UJ34" s="575"/>
      <c r="UK34" s="575"/>
      <c r="UL34" s="575"/>
      <c r="UM34" s="575"/>
      <c r="UN34" s="575"/>
      <c r="UO34" s="575"/>
      <c r="UP34" s="575"/>
      <c r="UQ34" s="575"/>
      <c r="UR34" s="575"/>
      <c r="US34" s="575"/>
      <c r="UT34" s="575"/>
      <c r="UU34" s="575"/>
      <c r="UV34" s="575"/>
      <c r="UW34" s="575"/>
      <c r="UX34" s="575"/>
      <c r="UY34" s="575"/>
      <c r="UZ34" s="575"/>
      <c r="VA34" s="575"/>
      <c r="VB34" s="575"/>
      <c r="VC34" s="575"/>
      <c r="VD34" s="575"/>
      <c r="VE34" s="575"/>
      <c r="VF34" s="575"/>
      <c r="VG34" s="575"/>
      <c r="VH34" s="575"/>
      <c r="VI34" s="575"/>
      <c r="VJ34" s="575"/>
      <c r="VK34" s="575"/>
      <c r="VL34" s="575"/>
      <c r="VM34" s="575"/>
      <c r="VN34" s="575"/>
      <c r="VO34" s="575"/>
      <c r="VP34" s="575"/>
      <c r="VQ34" s="575"/>
      <c r="VR34" s="575"/>
      <c r="VS34" s="575"/>
      <c r="VT34" s="575"/>
      <c r="VU34" s="575"/>
      <c r="VV34" s="575"/>
      <c r="VW34" s="575"/>
      <c r="VX34" s="575"/>
      <c r="VY34" s="575"/>
      <c r="VZ34" s="575"/>
      <c r="WA34" s="575"/>
      <c r="WB34" s="575"/>
      <c r="WC34" s="575"/>
      <c r="WD34" s="575"/>
      <c r="WE34" s="575"/>
      <c r="WF34" s="575"/>
      <c r="WG34" s="575"/>
      <c r="WH34" s="575"/>
      <c r="WI34" s="575"/>
      <c r="WJ34" s="575"/>
      <c r="WK34" s="575"/>
      <c r="WL34" s="575"/>
      <c r="WM34" s="575"/>
      <c r="WN34" s="575"/>
      <c r="WO34" s="575"/>
      <c r="WP34" s="575"/>
      <c r="WQ34" s="575"/>
      <c r="WR34" s="575"/>
      <c r="WS34" s="575"/>
      <c r="WT34" s="575"/>
      <c r="WU34" s="575"/>
      <c r="WV34" s="575"/>
      <c r="WW34" s="575"/>
      <c r="WX34" s="575"/>
      <c r="WY34" s="575"/>
      <c r="WZ34" s="575"/>
      <c r="XA34" s="575"/>
      <c r="XB34" s="575"/>
      <c r="XC34" s="575"/>
      <c r="XD34" s="575"/>
      <c r="XE34" s="575"/>
      <c r="XF34" s="575"/>
      <c r="XG34" s="575"/>
      <c r="XH34" s="575"/>
      <c r="XI34" s="575"/>
      <c r="XJ34" s="575"/>
      <c r="XK34" s="575"/>
      <c r="XL34" s="575"/>
      <c r="XM34" s="575"/>
      <c r="XN34" s="575"/>
      <c r="XO34" s="575"/>
      <c r="XP34" s="575"/>
      <c r="XQ34" s="575"/>
      <c r="XR34" s="575"/>
      <c r="XS34" s="575"/>
      <c r="XT34" s="575"/>
      <c r="XU34" s="575"/>
      <c r="XV34" s="575"/>
      <c r="XW34" s="575"/>
      <c r="XX34" s="575"/>
      <c r="XY34" s="575"/>
      <c r="XZ34" s="575"/>
      <c r="YA34" s="575"/>
      <c r="YB34" s="575"/>
      <c r="YC34" s="575"/>
      <c r="YD34" s="575"/>
      <c r="YE34" s="575"/>
      <c r="YF34" s="575"/>
      <c r="YG34" s="575"/>
      <c r="YH34" s="575"/>
      <c r="YI34" s="575"/>
      <c r="YJ34" s="575"/>
      <c r="YK34" s="575"/>
      <c r="YL34" s="575"/>
      <c r="YM34" s="575"/>
      <c r="YN34" s="575"/>
      <c r="YO34" s="575"/>
      <c r="YP34" s="575"/>
      <c r="YQ34" s="575"/>
      <c r="YR34" s="575"/>
      <c r="YS34" s="575"/>
      <c r="YT34" s="575"/>
      <c r="YU34" s="575"/>
      <c r="YV34" s="575"/>
      <c r="YW34" s="575"/>
      <c r="YX34" s="575"/>
      <c r="YY34" s="575"/>
      <c r="YZ34" s="575"/>
      <c r="ZA34" s="575"/>
      <c r="ZB34" s="575"/>
      <c r="ZC34" s="575"/>
      <c r="ZD34" s="575"/>
      <c r="ZE34" s="575"/>
      <c r="ZF34" s="575"/>
      <c r="ZG34" s="575"/>
      <c r="ZH34" s="575"/>
      <c r="ZI34" s="575"/>
      <c r="ZJ34" s="575"/>
      <c r="ZK34" s="575"/>
      <c r="ZL34" s="575"/>
      <c r="ZM34" s="575"/>
      <c r="ZN34" s="575"/>
      <c r="ZO34" s="575"/>
      <c r="ZP34" s="575"/>
      <c r="ZQ34" s="575"/>
      <c r="ZR34" s="575"/>
      <c r="ZS34" s="575"/>
      <c r="ZT34" s="575"/>
      <c r="ZU34" s="575"/>
      <c r="ZV34" s="575"/>
      <c r="ZW34" s="575"/>
      <c r="ZX34" s="575"/>
      <c r="ZY34" s="575"/>
      <c r="ZZ34" s="575"/>
      <c r="AAA34" s="575"/>
      <c r="AAB34" s="575"/>
      <c r="AAC34" s="575"/>
      <c r="AAD34" s="575"/>
      <c r="AAE34" s="575"/>
      <c r="AAF34" s="575"/>
      <c r="AAG34" s="575"/>
      <c r="AAH34" s="575"/>
      <c r="AAI34" s="575"/>
      <c r="AAJ34" s="575"/>
      <c r="AAK34" s="575"/>
      <c r="AAL34" s="575"/>
      <c r="AAM34" s="575"/>
      <c r="AAN34" s="575"/>
      <c r="AAO34" s="575"/>
      <c r="AAP34" s="575"/>
      <c r="AAQ34" s="575"/>
      <c r="AAR34" s="575"/>
      <c r="AAS34" s="575"/>
      <c r="AAT34" s="575"/>
      <c r="AAU34" s="575"/>
      <c r="AAV34" s="575"/>
      <c r="AAW34" s="575"/>
      <c r="AAX34" s="575"/>
      <c r="AAY34" s="575"/>
      <c r="AAZ34" s="575"/>
      <c r="ABA34" s="575"/>
      <c r="ABB34" s="575"/>
      <c r="ABC34" s="575"/>
      <c r="ABD34" s="575"/>
      <c r="ABE34" s="575"/>
      <c r="ABF34" s="575"/>
      <c r="ABG34" s="575"/>
      <c r="ABH34" s="575"/>
      <c r="ABI34" s="575"/>
      <c r="ABJ34" s="575"/>
      <c r="ABK34" s="575"/>
      <c r="ABL34" s="575"/>
      <c r="ABM34" s="575"/>
      <c r="ABN34" s="575"/>
      <c r="ABO34" s="575"/>
      <c r="ABP34" s="575"/>
      <c r="ABQ34" s="575"/>
      <c r="ABR34" s="575"/>
      <c r="ABS34" s="575"/>
      <c r="ABT34" s="575"/>
      <c r="ABU34" s="575"/>
      <c r="ABV34" s="575"/>
      <c r="ABW34" s="575"/>
      <c r="ABX34" s="575"/>
      <c r="ABY34" s="575"/>
      <c r="ABZ34" s="575"/>
      <c r="ACA34" s="575"/>
      <c r="ACB34" s="575"/>
      <c r="ACC34" s="575"/>
      <c r="ACD34" s="575"/>
      <c r="ACE34" s="575"/>
      <c r="ACF34" s="575"/>
      <c r="ACG34" s="575"/>
      <c r="ACH34" s="575"/>
      <c r="ACI34" s="575"/>
      <c r="ACJ34" s="575"/>
      <c r="ACK34" s="575"/>
      <c r="ACL34" s="575"/>
      <c r="ACM34" s="575"/>
      <c r="ACN34" s="575"/>
      <c r="ACO34" s="575"/>
      <c r="ACP34" s="575"/>
      <c r="ACQ34" s="575"/>
      <c r="ACR34" s="575"/>
      <c r="ACS34" s="575"/>
      <c r="ACT34" s="575"/>
      <c r="ACU34" s="575"/>
      <c r="ACV34" s="575"/>
      <c r="ACW34" s="575"/>
      <c r="ACX34" s="575"/>
      <c r="ACY34" s="575"/>
      <c r="ACZ34" s="575"/>
      <c r="ADA34" s="575"/>
      <c r="ADB34" s="575"/>
      <c r="ADC34" s="575"/>
      <c r="ADD34" s="575"/>
      <c r="ADE34" s="575"/>
      <c r="ADF34" s="575"/>
      <c r="ADG34" s="575"/>
      <c r="ADH34" s="575"/>
      <c r="ADI34" s="575"/>
      <c r="ADJ34" s="575"/>
      <c r="ADK34" s="575"/>
      <c r="ADL34" s="575"/>
      <c r="ADM34" s="575"/>
      <c r="ADN34" s="575"/>
      <c r="ADO34" s="575"/>
      <c r="ADP34" s="575"/>
      <c r="ADQ34" s="575"/>
      <c r="ADR34" s="575"/>
      <c r="ADS34" s="575"/>
      <c r="ADT34" s="575"/>
      <c r="ADU34" s="575"/>
      <c r="ADV34" s="575"/>
      <c r="ADW34" s="575"/>
      <c r="ADX34" s="575"/>
      <c r="ADY34" s="575"/>
      <c r="ADZ34" s="575"/>
      <c r="AEA34" s="575"/>
      <c r="AEB34" s="575"/>
      <c r="AEC34" s="575"/>
      <c r="AED34" s="575"/>
      <c r="AEE34" s="575"/>
      <c r="AEF34" s="575"/>
      <c r="AEG34" s="575"/>
      <c r="AEH34" s="575"/>
      <c r="AEI34" s="575"/>
      <c r="AEJ34" s="575"/>
      <c r="AEK34" s="575"/>
      <c r="AEL34" s="575"/>
      <c r="AEM34" s="575"/>
      <c r="AEN34" s="575"/>
      <c r="AEO34" s="575"/>
      <c r="AEP34" s="575"/>
      <c r="AEQ34" s="575"/>
      <c r="AER34" s="575"/>
      <c r="AES34" s="575"/>
      <c r="AET34" s="575"/>
      <c r="AEU34" s="575"/>
      <c r="AEV34" s="575"/>
      <c r="AEW34" s="575"/>
      <c r="AEX34" s="575"/>
      <c r="AEY34" s="575"/>
      <c r="AEZ34" s="575"/>
      <c r="AFA34" s="575"/>
      <c r="AFB34" s="575"/>
      <c r="AFC34" s="575"/>
      <c r="AFD34" s="575"/>
      <c r="AFE34" s="575"/>
      <c r="AFF34" s="575"/>
      <c r="AFG34" s="575"/>
      <c r="AFH34" s="575"/>
      <c r="AFI34" s="575"/>
      <c r="AFJ34" s="575"/>
      <c r="AFK34" s="575"/>
      <c r="AFL34" s="575"/>
      <c r="AFM34" s="575"/>
      <c r="AFN34" s="575"/>
      <c r="AFO34" s="575"/>
      <c r="AFP34" s="575"/>
      <c r="AFQ34" s="575"/>
      <c r="AFR34" s="575"/>
      <c r="AFS34" s="575"/>
      <c r="AFT34" s="575"/>
      <c r="AFU34" s="575"/>
      <c r="AFV34" s="575"/>
      <c r="AFW34" s="575"/>
      <c r="AFX34" s="575"/>
      <c r="AFY34" s="575"/>
      <c r="AFZ34" s="575"/>
      <c r="AGA34" s="575"/>
      <c r="AGB34" s="575"/>
      <c r="AGC34" s="575"/>
      <c r="AGD34" s="575"/>
      <c r="AGE34" s="575"/>
      <c r="AGF34" s="575"/>
      <c r="AGG34" s="575"/>
      <c r="AGH34" s="575"/>
      <c r="AGI34" s="575"/>
      <c r="AGJ34" s="575"/>
      <c r="AGK34" s="575"/>
      <c r="AGL34" s="575"/>
      <c r="AGM34" s="575"/>
      <c r="AGN34" s="575"/>
      <c r="AGO34" s="575"/>
      <c r="AGP34" s="575"/>
      <c r="AGQ34" s="575"/>
      <c r="AGR34" s="575"/>
      <c r="AGS34" s="575"/>
      <c r="AGT34" s="575"/>
      <c r="AGU34" s="575"/>
      <c r="AGV34" s="575"/>
      <c r="AGW34" s="575"/>
      <c r="AGX34" s="575"/>
      <c r="AGY34" s="575"/>
      <c r="AGZ34" s="575"/>
      <c r="AHA34" s="575"/>
      <c r="AHB34" s="575"/>
      <c r="AHC34" s="575"/>
      <c r="AHD34" s="575"/>
      <c r="AHE34" s="575"/>
      <c r="AHF34" s="575"/>
      <c r="AHG34" s="575"/>
      <c r="AHH34" s="575"/>
      <c r="AHI34" s="575"/>
      <c r="AHJ34" s="575"/>
      <c r="AHK34" s="575"/>
      <c r="AHL34" s="575"/>
      <c r="AHM34" s="575"/>
      <c r="AHN34" s="575"/>
      <c r="AHO34" s="575"/>
      <c r="AHP34" s="575"/>
      <c r="AHQ34" s="575"/>
      <c r="AHR34" s="575"/>
      <c r="AHS34" s="575"/>
      <c r="AHT34" s="575"/>
      <c r="AHU34" s="575"/>
      <c r="AHV34" s="575"/>
      <c r="AHW34" s="575"/>
      <c r="AHX34" s="575"/>
      <c r="AHY34" s="575"/>
      <c r="AHZ34" s="575"/>
      <c r="AIA34" s="575"/>
      <c r="AIB34" s="575"/>
      <c r="AIC34" s="575"/>
      <c r="AID34" s="575"/>
      <c r="AIE34" s="575"/>
      <c r="AIF34" s="575"/>
      <c r="AIG34" s="575"/>
      <c r="AIH34" s="575"/>
      <c r="AII34" s="575"/>
      <c r="AIJ34" s="575"/>
      <c r="AIK34" s="575"/>
      <c r="AIL34" s="575"/>
      <c r="AIM34" s="575"/>
      <c r="AIN34" s="575"/>
      <c r="AIO34" s="575"/>
      <c r="AIP34" s="575"/>
      <c r="AIQ34" s="575"/>
      <c r="AIR34" s="575"/>
      <c r="AIS34" s="575"/>
      <c r="AIT34" s="575"/>
      <c r="AIU34" s="575"/>
      <c r="AIV34" s="575"/>
      <c r="AIW34" s="575"/>
      <c r="AIX34" s="575"/>
      <c r="AIY34" s="575"/>
      <c r="AIZ34" s="575"/>
      <c r="AJA34" s="575"/>
      <c r="AJB34" s="575"/>
      <c r="AJC34" s="575"/>
      <c r="AJD34" s="575"/>
      <c r="AJE34" s="575"/>
      <c r="AJF34" s="575"/>
      <c r="AJG34" s="575"/>
      <c r="AJH34" s="575"/>
      <c r="AJI34" s="575"/>
      <c r="AJJ34" s="575"/>
      <c r="AJK34" s="575"/>
      <c r="AJL34" s="575"/>
      <c r="AJM34" s="575"/>
      <c r="AJN34" s="575"/>
      <c r="AJO34" s="575"/>
      <c r="AJP34" s="575"/>
      <c r="AJQ34" s="575"/>
      <c r="AJR34" s="575"/>
      <c r="AJS34" s="575"/>
      <c r="AJT34" s="575"/>
      <c r="AJU34" s="575"/>
      <c r="AJV34" s="575"/>
      <c r="AJW34" s="575"/>
      <c r="AJX34" s="575"/>
      <c r="AJY34" s="575"/>
      <c r="AJZ34" s="575"/>
      <c r="AKA34" s="575"/>
      <c r="AKB34" s="575"/>
      <c r="AKC34" s="575"/>
      <c r="AKD34" s="575"/>
      <c r="AKE34" s="575"/>
      <c r="AKF34" s="575"/>
      <c r="AKG34" s="575"/>
      <c r="AKH34" s="575"/>
      <c r="AKI34" s="575"/>
      <c r="AKJ34" s="575"/>
      <c r="AKK34" s="575"/>
      <c r="AKL34" s="575"/>
      <c r="AKM34" s="575"/>
      <c r="AKN34" s="575"/>
      <c r="AKO34" s="575"/>
      <c r="AKP34" s="575"/>
      <c r="AKQ34" s="575"/>
      <c r="AKR34" s="575"/>
      <c r="AKS34" s="575"/>
      <c r="AKT34" s="575"/>
      <c r="AKU34" s="575"/>
      <c r="AKV34" s="575"/>
      <c r="AKW34" s="575"/>
      <c r="AKX34" s="575"/>
      <c r="AKY34" s="575"/>
      <c r="AKZ34" s="575"/>
      <c r="ALA34" s="575"/>
      <c r="ALB34" s="575"/>
      <c r="ALC34" s="575"/>
      <c r="ALD34" s="575"/>
      <c r="ALE34" s="575"/>
      <c r="ALF34" s="575"/>
      <c r="ALG34" s="575"/>
      <c r="ALH34" s="575"/>
      <c r="ALI34" s="575"/>
      <c r="ALJ34" s="575"/>
      <c r="ALK34" s="575"/>
      <c r="ALL34" s="575"/>
      <c r="ALM34" s="575"/>
      <c r="ALN34" s="575"/>
      <c r="ALO34" s="575"/>
      <c r="ALP34" s="575"/>
      <c r="ALQ34" s="575"/>
      <c r="ALR34" s="575"/>
      <c r="ALS34" s="575"/>
      <c r="ALT34" s="575"/>
      <c r="ALU34" s="575"/>
      <c r="ALV34" s="575"/>
      <c r="ALW34" s="575"/>
      <c r="ALX34" s="575"/>
      <c r="ALY34" s="575"/>
      <c r="ALZ34" s="575"/>
      <c r="AMA34" s="575"/>
      <c r="AMB34" s="575"/>
      <c r="AMC34" s="575"/>
      <c r="AMD34" s="575"/>
      <c r="AME34" s="575"/>
      <c r="AMF34" s="575"/>
      <c r="AMG34" s="575"/>
      <c r="AMH34" s="575"/>
      <c r="AMI34" s="575"/>
      <c r="AMJ34" s="575"/>
      <c r="AMK34" s="575"/>
      <c r="AML34" s="575"/>
      <c r="AMM34" s="575"/>
      <c r="AMN34" s="575"/>
      <c r="AMO34" s="575"/>
      <c r="AMP34" s="575"/>
      <c r="AMQ34" s="575"/>
      <c r="AMR34" s="575"/>
      <c r="AMS34" s="575"/>
      <c r="AMT34" s="575"/>
      <c r="AMU34" s="575"/>
      <c r="AMV34" s="575"/>
      <c r="AMW34" s="575"/>
      <c r="AMX34" s="575"/>
      <c r="AMY34" s="575"/>
      <c r="AMZ34" s="575"/>
      <c r="ANA34" s="575"/>
      <c r="ANB34" s="575"/>
      <c r="ANC34" s="575"/>
      <c r="AND34" s="575"/>
      <c r="ANE34" s="575"/>
      <c r="ANF34" s="575"/>
      <c r="ANG34" s="575"/>
      <c r="ANH34" s="575"/>
      <c r="ANI34" s="575"/>
      <c r="ANJ34" s="575"/>
      <c r="ANK34" s="575"/>
      <c r="ANL34" s="575"/>
      <c r="ANM34" s="575"/>
      <c r="ANN34" s="575"/>
      <c r="ANO34" s="575"/>
      <c r="ANP34" s="575"/>
      <c r="ANQ34" s="575"/>
      <c r="ANR34" s="575"/>
      <c r="ANS34" s="575"/>
      <c r="ANT34" s="575"/>
      <c r="ANU34" s="575"/>
      <c r="ANV34" s="575"/>
      <c r="ANW34" s="575"/>
      <c r="ANX34" s="575"/>
      <c r="ANY34" s="575"/>
      <c r="ANZ34" s="575"/>
      <c r="AOA34" s="575"/>
      <c r="AOB34" s="575"/>
      <c r="AOC34" s="575"/>
      <c r="AOD34" s="575"/>
      <c r="AOE34" s="575"/>
      <c r="AOF34" s="575"/>
      <c r="AOG34" s="575"/>
      <c r="AOH34" s="575"/>
      <c r="AOI34" s="575"/>
      <c r="AOJ34" s="575"/>
      <c r="AOK34" s="575"/>
      <c r="AOL34" s="575"/>
      <c r="AOM34" s="575"/>
      <c r="AON34" s="575"/>
      <c r="AOO34" s="575"/>
      <c r="AOP34" s="575"/>
      <c r="AOQ34" s="575"/>
      <c r="AOR34" s="575"/>
      <c r="AOS34" s="575"/>
      <c r="AOT34" s="575"/>
      <c r="AOU34" s="575"/>
      <c r="AOV34" s="575"/>
      <c r="AOW34" s="575"/>
      <c r="AOX34" s="575"/>
      <c r="AOY34" s="575"/>
      <c r="AOZ34" s="575"/>
      <c r="APA34" s="575"/>
      <c r="APB34" s="575"/>
      <c r="APC34" s="575"/>
      <c r="APD34" s="575"/>
      <c r="APE34" s="575"/>
      <c r="APF34" s="575"/>
      <c r="APG34" s="575"/>
      <c r="APH34" s="575"/>
      <c r="API34" s="575"/>
      <c r="APJ34" s="575"/>
      <c r="APK34" s="575"/>
      <c r="APL34" s="575"/>
      <c r="APM34" s="575"/>
      <c r="APN34" s="575"/>
      <c r="APO34" s="575"/>
      <c r="APP34" s="575"/>
      <c r="APQ34" s="575"/>
      <c r="APR34" s="575"/>
      <c r="APS34" s="575"/>
      <c r="APT34" s="575"/>
      <c r="APU34" s="575"/>
      <c r="APV34" s="575"/>
      <c r="APW34" s="575"/>
      <c r="APX34" s="575"/>
      <c r="APY34" s="575"/>
      <c r="APZ34" s="575"/>
      <c r="AQA34" s="575"/>
      <c r="AQB34" s="575"/>
      <c r="AQC34" s="575"/>
      <c r="AQD34" s="575"/>
      <c r="AQE34" s="575"/>
      <c r="AQF34" s="575"/>
      <c r="AQG34" s="575"/>
      <c r="AQH34" s="575"/>
      <c r="AQI34" s="575"/>
      <c r="AQJ34" s="575"/>
      <c r="AQK34" s="575"/>
      <c r="AQL34" s="575"/>
      <c r="AQM34" s="575"/>
      <c r="AQN34" s="575"/>
      <c r="AQO34" s="575"/>
      <c r="AQP34" s="575"/>
      <c r="AQQ34" s="575"/>
      <c r="AQR34" s="575"/>
      <c r="AQS34" s="575"/>
      <c r="AQT34" s="575"/>
      <c r="AQU34" s="575"/>
      <c r="AQV34" s="575"/>
      <c r="AQW34" s="575"/>
      <c r="AQX34" s="575"/>
      <c r="AQY34" s="575"/>
      <c r="AQZ34" s="575"/>
      <c r="ARA34" s="575"/>
      <c r="ARB34" s="575"/>
      <c r="ARC34" s="575"/>
      <c r="ARD34" s="575"/>
      <c r="ARE34" s="575"/>
      <c r="ARF34" s="575"/>
      <c r="ARG34" s="575"/>
      <c r="ARH34" s="575"/>
      <c r="ARI34" s="575"/>
      <c r="ARJ34" s="575"/>
      <c r="ARK34" s="575"/>
      <c r="ARL34" s="575"/>
      <c r="ARM34" s="575"/>
      <c r="ARN34" s="575"/>
      <c r="ARO34" s="575"/>
      <c r="ARP34" s="575"/>
      <c r="ARQ34" s="575"/>
      <c r="ARR34" s="575"/>
      <c r="ARS34" s="575"/>
      <c r="ART34" s="575"/>
      <c r="ARU34" s="575"/>
      <c r="ARV34" s="575"/>
      <c r="ARW34" s="575"/>
      <c r="ARX34" s="575"/>
      <c r="ARY34" s="575"/>
      <c r="ARZ34" s="575"/>
      <c r="ASA34" s="575"/>
      <c r="ASB34" s="575"/>
      <c r="ASC34" s="575"/>
      <c r="ASD34" s="575"/>
      <c r="ASE34" s="575"/>
      <c r="ASF34" s="575"/>
      <c r="ASG34" s="575"/>
      <c r="ASH34" s="575"/>
      <c r="ASI34" s="575"/>
      <c r="ASJ34" s="575"/>
      <c r="ASK34" s="575"/>
      <c r="ASL34" s="575"/>
      <c r="ASM34" s="575"/>
      <c r="ASN34" s="575"/>
      <c r="ASO34" s="575"/>
      <c r="ASP34" s="575"/>
      <c r="ASQ34" s="575"/>
      <c r="ASR34" s="575"/>
      <c r="ASS34" s="575"/>
      <c r="AST34" s="575"/>
      <c r="ASU34" s="575"/>
      <c r="ASV34" s="575"/>
      <c r="ASW34" s="575"/>
      <c r="ASX34" s="575"/>
      <c r="ASY34" s="575"/>
      <c r="ASZ34" s="575"/>
      <c r="ATA34" s="575"/>
      <c r="ATB34" s="575"/>
      <c r="ATC34" s="575"/>
      <c r="ATD34" s="575"/>
      <c r="ATE34" s="575"/>
      <c r="ATF34" s="575"/>
      <c r="ATG34" s="575"/>
      <c r="ATH34" s="575"/>
      <c r="ATI34" s="575"/>
      <c r="ATJ34" s="575"/>
      <c r="ATK34" s="575"/>
      <c r="ATL34" s="575"/>
      <c r="ATM34" s="575"/>
      <c r="ATN34" s="575"/>
      <c r="ATO34" s="575"/>
      <c r="ATP34" s="575"/>
      <c r="ATQ34" s="575"/>
      <c r="ATR34" s="575"/>
      <c r="ATS34" s="575"/>
      <c r="ATT34" s="575"/>
      <c r="ATU34" s="575"/>
      <c r="ATV34" s="575"/>
      <c r="ATW34" s="575"/>
      <c r="ATX34" s="575"/>
      <c r="ATY34" s="575"/>
      <c r="ATZ34" s="575"/>
      <c r="AUA34" s="575"/>
      <c r="AUB34" s="575"/>
      <c r="AUC34" s="575"/>
      <c r="AUD34" s="575"/>
      <c r="AUE34" s="575"/>
      <c r="AUF34" s="575"/>
      <c r="AUG34" s="575"/>
      <c r="AUH34" s="575"/>
      <c r="AUI34" s="575"/>
      <c r="AUJ34" s="575"/>
      <c r="AUK34" s="575"/>
      <c r="AUL34" s="575"/>
      <c r="AUM34" s="575"/>
      <c r="AUN34" s="575"/>
      <c r="AUO34" s="575"/>
      <c r="AUP34" s="575"/>
      <c r="AUQ34" s="575"/>
      <c r="AUR34" s="575"/>
      <c r="AUS34" s="575"/>
      <c r="AUT34" s="575"/>
      <c r="AUU34" s="575"/>
      <c r="AUV34" s="575"/>
      <c r="AUW34" s="575"/>
      <c r="AUX34" s="575"/>
      <c r="AUY34" s="575"/>
      <c r="AUZ34" s="575"/>
      <c r="AVA34" s="575"/>
      <c r="AVB34" s="575"/>
      <c r="AVC34" s="575"/>
      <c r="AVD34" s="575"/>
      <c r="AVE34" s="575"/>
      <c r="AVF34" s="575"/>
      <c r="AVG34" s="575"/>
      <c r="AVH34" s="575"/>
      <c r="AVI34" s="575"/>
      <c r="AVJ34" s="575"/>
      <c r="AVK34" s="575"/>
      <c r="AVL34" s="575"/>
      <c r="AVM34" s="575"/>
      <c r="AVN34" s="575"/>
      <c r="AVO34" s="575"/>
      <c r="AVP34" s="575"/>
      <c r="AVQ34" s="575"/>
      <c r="AVR34" s="575"/>
      <c r="AVS34" s="575"/>
      <c r="AVT34" s="575"/>
      <c r="AVU34" s="575"/>
      <c r="AVV34" s="575"/>
      <c r="AVW34" s="575"/>
      <c r="AVX34" s="575"/>
      <c r="AVY34" s="575"/>
      <c r="AVZ34" s="575"/>
      <c r="AWA34" s="575"/>
      <c r="AWB34" s="575"/>
      <c r="AWC34" s="575"/>
      <c r="AWD34" s="575"/>
      <c r="AWE34" s="575"/>
      <c r="AWF34" s="575"/>
      <c r="AWG34" s="575"/>
      <c r="AWH34" s="575"/>
      <c r="AWI34" s="575"/>
      <c r="AWJ34" s="575"/>
      <c r="AWK34" s="575"/>
      <c r="AWL34" s="575"/>
      <c r="AWM34" s="575"/>
      <c r="AWN34" s="575"/>
      <c r="AWO34" s="575"/>
      <c r="AWP34" s="575"/>
      <c r="AWQ34" s="575"/>
      <c r="AWR34" s="575"/>
      <c r="AWS34" s="575"/>
      <c r="AWT34" s="575"/>
      <c r="AWU34" s="575"/>
      <c r="AWV34" s="575"/>
      <c r="AWW34" s="575"/>
      <c r="AWX34" s="575"/>
      <c r="AWY34" s="575"/>
      <c r="AWZ34" s="575"/>
      <c r="AXA34" s="575"/>
      <c r="AXB34" s="575"/>
      <c r="AXC34" s="575"/>
      <c r="AXD34" s="575"/>
      <c r="AXE34" s="575"/>
      <c r="AXF34" s="575"/>
      <c r="AXG34" s="575"/>
      <c r="AXH34" s="575"/>
      <c r="AXI34" s="575"/>
      <c r="AXJ34" s="575"/>
      <c r="AXK34" s="575"/>
      <c r="AXL34" s="575"/>
      <c r="AXM34" s="575"/>
      <c r="AXN34" s="575"/>
      <c r="AXO34" s="575"/>
      <c r="AXP34" s="575"/>
      <c r="AXQ34" s="575"/>
      <c r="AXR34" s="575"/>
      <c r="AXS34" s="575"/>
      <c r="AXT34" s="575"/>
      <c r="AXU34" s="575"/>
      <c r="AXV34" s="575"/>
      <c r="AXW34" s="575"/>
      <c r="AXX34" s="575"/>
      <c r="AXY34" s="575"/>
      <c r="AXZ34" s="575"/>
      <c r="AYA34" s="575"/>
      <c r="AYB34" s="575"/>
      <c r="AYC34" s="575"/>
      <c r="AYD34" s="575"/>
      <c r="AYE34" s="575"/>
      <c r="AYF34" s="575"/>
      <c r="AYG34" s="575"/>
      <c r="AYH34" s="575"/>
      <c r="AYI34" s="575"/>
      <c r="AYJ34" s="575"/>
      <c r="AYK34" s="575"/>
      <c r="AYL34" s="575"/>
      <c r="AYM34" s="575"/>
      <c r="AYN34" s="575"/>
      <c r="AYO34" s="575"/>
      <c r="AYP34" s="575"/>
      <c r="AYQ34" s="575"/>
      <c r="AYR34" s="575"/>
      <c r="AYS34" s="575"/>
      <c r="AYT34" s="575"/>
      <c r="AYU34" s="575"/>
      <c r="AYV34" s="575"/>
      <c r="AYW34" s="575"/>
      <c r="AYX34" s="575"/>
      <c r="AYY34" s="575"/>
      <c r="AYZ34" s="575"/>
      <c r="AZA34" s="575"/>
      <c r="AZB34" s="575"/>
      <c r="AZC34" s="575"/>
      <c r="AZD34" s="575"/>
      <c r="AZE34" s="575"/>
      <c r="AZF34" s="575"/>
      <c r="AZG34" s="575"/>
      <c r="AZH34" s="575"/>
      <c r="AZI34" s="575"/>
      <c r="AZJ34" s="575"/>
      <c r="AZK34" s="575"/>
      <c r="AZL34" s="575"/>
      <c r="AZM34" s="575"/>
      <c r="AZN34" s="575"/>
      <c r="AZO34" s="575"/>
      <c r="AZP34" s="575"/>
      <c r="AZQ34" s="575"/>
      <c r="AZR34" s="575"/>
      <c r="AZS34" s="575"/>
      <c r="AZT34" s="575"/>
      <c r="AZU34" s="575"/>
      <c r="AZV34" s="575"/>
      <c r="AZW34" s="575"/>
      <c r="AZX34" s="575"/>
      <c r="AZY34" s="575"/>
      <c r="AZZ34" s="575"/>
      <c r="BAA34" s="575"/>
      <c r="BAB34" s="575"/>
      <c r="BAC34" s="575"/>
      <c r="BAD34" s="575"/>
      <c r="BAE34" s="575"/>
      <c r="BAF34" s="575"/>
      <c r="BAG34" s="575"/>
      <c r="BAH34" s="575"/>
      <c r="BAI34" s="575"/>
      <c r="BAJ34" s="575"/>
      <c r="BAK34" s="575"/>
      <c r="BAL34" s="575"/>
      <c r="BAM34" s="575"/>
      <c r="BAN34" s="575"/>
      <c r="BAO34" s="575"/>
      <c r="BAP34" s="575"/>
      <c r="BAQ34" s="575"/>
      <c r="BAR34" s="575"/>
      <c r="BAS34" s="575"/>
      <c r="BAT34" s="575"/>
      <c r="BAU34" s="575"/>
      <c r="BAV34" s="575"/>
      <c r="BAW34" s="575"/>
      <c r="BAX34" s="575"/>
      <c r="BAY34" s="575"/>
      <c r="BAZ34" s="575"/>
      <c r="BBA34" s="575"/>
      <c r="BBB34" s="575"/>
      <c r="BBC34" s="575"/>
      <c r="BBD34" s="575"/>
      <c r="BBE34" s="575"/>
      <c r="BBF34" s="575"/>
      <c r="BBG34" s="575"/>
      <c r="BBH34" s="575"/>
      <c r="BBI34" s="575"/>
      <c r="BBJ34" s="575"/>
      <c r="BBK34" s="575"/>
      <c r="BBL34" s="575"/>
      <c r="BBM34" s="575"/>
      <c r="BBN34" s="575"/>
      <c r="BBO34" s="575"/>
      <c r="BBP34" s="575"/>
      <c r="BBQ34" s="575"/>
      <c r="BBR34" s="575"/>
      <c r="BBS34" s="575"/>
      <c r="BBT34" s="575"/>
      <c r="BBU34" s="575"/>
      <c r="BBV34" s="575"/>
      <c r="BBW34" s="575"/>
      <c r="BBX34" s="575"/>
      <c r="BBY34" s="575"/>
      <c r="BBZ34" s="575"/>
      <c r="BCA34" s="575"/>
      <c r="BCB34" s="575"/>
      <c r="BCC34" s="575"/>
      <c r="BCD34" s="575"/>
      <c r="BCE34" s="575"/>
      <c r="BCF34" s="575"/>
      <c r="BCG34" s="575"/>
      <c r="BCH34" s="575"/>
      <c r="BCI34" s="575"/>
      <c r="BCJ34" s="575"/>
      <c r="BCK34" s="575"/>
      <c r="BCL34" s="575"/>
      <c r="BCM34" s="575"/>
      <c r="BCN34" s="575"/>
      <c r="BCO34" s="575"/>
      <c r="BCP34" s="575"/>
      <c r="BCQ34" s="575"/>
      <c r="BCR34" s="575"/>
      <c r="BCS34" s="575"/>
      <c r="BCT34" s="575"/>
      <c r="BCU34" s="575"/>
      <c r="BCV34" s="575"/>
      <c r="BCW34" s="575"/>
      <c r="BCX34" s="575"/>
      <c r="BCY34" s="575"/>
      <c r="BCZ34" s="575"/>
      <c r="BDA34" s="575"/>
      <c r="BDB34" s="575"/>
      <c r="BDC34" s="575"/>
      <c r="BDD34" s="575"/>
      <c r="BDE34" s="575"/>
      <c r="BDF34" s="575"/>
      <c r="BDG34" s="575"/>
      <c r="BDH34" s="575"/>
      <c r="BDI34" s="575"/>
      <c r="BDJ34" s="575"/>
      <c r="BDK34" s="575"/>
      <c r="BDL34" s="575"/>
      <c r="BDM34" s="575"/>
      <c r="BDN34" s="575"/>
      <c r="BDO34" s="575"/>
      <c r="BDP34" s="575"/>
      <c r="BDQ34" s="575"/>
      <c r="BDR34" s="575"/>
      <c r="BDS34" s="575"/>
      <c r="BDT34" s="575"/>
      <c r="BDU34" s="575"/>
      <c r="BDV34" s="575"/>
      <c r="BDW34" s="575"/>
      <c r="BDX34" s="575"/>
      <c r="BDY34" s="575"/>
      <c r="BDZ34" s="575"/>
      <c r="BEA34" s="575"/>
      <c r="BEB34" s="575"/>
      <c r="BEC34" s="575"/>
      <c r="BED34" s="575"/>
      <c r="BEE34" s="575"/>
      <c r="BEF34" s="575"/>
      <c r="BEG34" s="575"/>
      <c r="BEH34" s="575"/>
      <c r="BEI34" s="575"/>
      <c r="BEJ34" s="575"/>
      <c r="BEK34" s="575"/>
      <c r="BEL34" s="575"/>
      <c r="BEM34" s="575"/>
      <c r="BEN34" s="575"/>
      <c r="BEO34" s="575"/>
      <c r="BEP34" s="575"/>
      <c r="BEQ34" s="575"/>
      <c r="BER34" s="575"/>
      <c r="BES34" s="575"/>
      <c r="BET34" s="575"/>
      <c r="BEU34" s="575"/>
      <c r="BEV34" s="575"/>
      <c r="BEW34" s="575"/>
      <c r="BEX34" s="575"/>
      <c r="BEY34" s="575"/>
      <c r="BEZ34" s="575"/>
      <c r="BFA34" s="575"/>
      <c r="BFB34" s="575"/>
      <c r="BFC34" s="575"/>
      <c r="BFD34" s="575"/>
      <c r="BFE34" s="575"/>
      <c r="BFF34" s="575"/>
      <c r="BFG34" s="575"/>
      <c r="BFH34" s="575"/>
      <c r="BFI34" s="575"/>
      <c r="BFJ34" s="575"/>
      <c r="BFK34" s="575"/>
      <c r="BFL34" s="575"/>
      <c r="BFM34" s="575"/>
      <c r="BFN34" s="575"/>
      <c r="BFO34" s="575"/>
      <c r="BFP34" s="575"/>
      <c r="BFQ34" s="575"/>
      <c r="BFR34" s="575"/>
      <c r="BFS34" s="575"/>
      <c r="BFT34" s="575"/>
      <c r="BFU34" s="575"/>
      <c r="BFV34" s="575"/>
      <c r="BFW34" s="575"/>
      <c r="BFX34" s="575"/>
      <c r="BFY34" s="575"/>
      <c r="BFZ34" s="575"/>
      <c r="BGA34" s="575"/>
      <c r="BGB34" s="575"/>
      <c r="BGC34" s="575"/>
      <c r="BGD34" s="575"/>
      <c r="BGE34" s="575"/>
      <c r="BGF34" s="575"/>
      <c r="BGG34" s="575"/>
      <c r="BGH34" s="575"/>
      <c r="BGI34" s="575"/>
      <c r="BGJ34" s="575"/>
      <c r="BGK34" s="575"/>
      <c r="BGL34" s="575"/>
      <c r="BGM34" s="575"/>
      <c r="BGN34" s="575"/>
      <c r="BGO34" s="575"/>
      <c r="BGP34" s="575"/>
      <c r="BGQ34" s="575"/>
      <c r="BGR34" s="575"/>
      <c r="BGS34" s="575"/>
      <c r="BGT34" s="575"/>
      <c r="BGU34" s="575"/>
      <c r="BGV34" s="575"/>
      <c r="BGW34" s="575"/>
      <c r="BGX34" s="575"/>
      <c r="BGY34" s="575"/>
      <c r="BGZ34" s="575"/>
      <c r="BHA34" s="575"/>
      <c r="BHB34" s="575"/>
      <c r="BHC34" s="575"/>
      <c r="BHD34" s="575"/>
      <c r="BHE34" s="575"/>
      <c r="BHF34" s="575"/>
      <c r="BHG34" s="575"/>
      <c r="BHH34" s="575"/>
      <c r="BHI34" s="575"/>
      <c r="BHJ34" s="575"/>
      <c r="BHK34" s="575"/>
      <c r="BHL34" s="575"/>
      <c r="BHM34" s="575"/>
      <c r="BHN34" s="575"/>
      <c r="BHO34" s="575"/>
      <c r="BHP34" s="575"/>
      <c r="BHQ34" s="575"/>
      <c r="BHR34" s="575"/>
      <c r="BHS34" s="575"/>
      <c r="BHT34" s="575"/>
      <c r="BHU34" s="575"/>
      <c r="BHV34" s="575"/>
      <c r="BHW34" s="575"/>
      <c r="BHX34" s="575"/>
      <c r="BHY34" s="575"/>
      <c r="BHZ34" s="575"/>
      <c r="BIA34" s="575"/>
      <c r="BIB34" s="575"/>
      <c r="BIC34" s="575"/>
      <c r="BID34" s="575"/>
      <c r="BIE34" s="575"/>
      <c r="BIF34" s="575"/>
      <c r="BIG34" s="575"/>
      <c r="BIH34" s="575"/>
      <c r="BII34" s="575"/>
      <c r="BIJ34" s="575"/>
      <c r="BIK34" s="575"/>
      <c r="BIL34" s="575"/>
      <c r="BIM34" s="575"/>
      <c r="BIN34" s="575"/>
      <c r="BIO34" s="575"/>
      <c r="BIP34" s="575"/>
      <c r="BIQ34" s="575"/>
      <c r="BIR34" s="575"/>
      <c r="BIS34" s="575"/>
      <c r="BIT34" s="575"/>
      <c r="BIU34" s="575"/>
      <c r="BIV34" s="575"/>
      <c r="BIW34" s="575"/>
      <c r="BIX34" s="575"/>
      <c r="BIY34" s="575"/>
      <c r="BIZ34" s="575"/>
      <c r="BJA34" s="575"/>
      <c r="BJB34" s="575"/>
      <c r="BJC34" s="575"/>
      <c r="BJD34" s="575"/>
      <c r="BJE34" s="575"/>
      <c r="BJF34" s="575"/>
      <c r="BJG34" s="575"/>
      <c r="BJH34" s="575"/>
      <c r="BJI34" s="575"/>
      <c r="BJJ34" s="575"/>
      <c r="BJK34" s="575"/>
      <c r="BJL34" s="575"/>
      <c r="BJM34" s="575"/>
      <c r="BJN34" s="575"/>
      <c r="BJO34" s="575"/>
      <c r="BJP34" s="575"/>
      <c r="BJQ34" s="575"/>
      <c r="BJR34" s="575"/>
      <c r="BJS34" s="575"/>
      <c r="BJT34" s="575"/>
      <c r="BJU34" s="575"/>
      <c r="BJV34" s="575"/>
      <c r="BJW34" s="575"/>
      <c r="BJX34" s="575"/>
      <c r="BJY34" s="575"/>
      <c r="BJZ34" s="575"/>
      <c r="BKA34" s="575"/>
      <c r="BKB34" s="575"/>
      <c r="BKC34" s="575"/>
      <c r="BKD34" s="575"/>
      <c r="BKE34" s="575"/>
      <c r="BKF34" s="575"/>
      <c r="BKG34" s="575"/>
      <c r="BKH34" s="575"/>
      <c r="BKI34" s="575"/>
      <c r="BKJ34" s="575"/>
      <c r="BKK34" s="575"/>
      <c r="BKL34" s="575"/>
      <c r="BKM34" s="575"/>
      <c r="BKN34" s="575"/>
      <c r="BKO34" s="575"/>
      <c r="BKP34" s="575"/>
      <c r="BKQ34" s="575"/>
      <c r="BKR34" s="575"/>
      <c r="BKS34" s="575"/>
      <c r="BKT34" s="575"/>
      <c r="BKU34" s="575"/>
      <c r="BKV34" s="575"/>
      <c r="BKW34" s="575"/>
      <c r="BKX34" s="575"/>
      <c r="BKY34" s="575"/>
      <c r="BKZ34" s="575"/>
      <c r="BLA34" s="575"/>
      <c r="BLB34" s="575"/>
      <c r="BLC34" s="575"/>
      <c r="BLD34" s="575"/>
      <c r="BLE34" s="575"/>
      <c r="BLF34" s="575"/>
      <c r="BLG34" s="575"/>
      <c r="BLH34" s="575"/>
      <c r="BLI34" s="575"/>
      <c r="BLJ34" s="575"/>
      <c r="BLK34" s="575"/>
      <c r="BLL34" s="575"/>
      <c r="BLM34" s="575"/>
      <c r="BLN34" s="575"/>
      <c r="BLO34" s="575"/>
      <c r="BLP34" s="575"/>
      <c r="BLQ34" s="575"/>
      <c r="BLR34" s="575"/>
      <c r="BLS34" s="575"/>
      <c r="BLT34" s="575"/>
      <c r="BLU34" s="575"/>
      <c r="BLV34" s="575"/>
      <c r="BLW34" s="575"/>
      <c r="BLX34" s="575"/>
      <c r="BLY34" s="575"/>
      <c r="BLZ34" s="575"/>
      <c r="BMA34" s="575"/>
      <c r="BMB34" s="575"/>
      <c r="BMC34" s="575"/>
      <c r="BMD34" s="575"/>
      <c r="BME34" s="575"/>
      <c r="BMF34" s="575"/>
      <c r="BMG34" s="575"/>
      <c r="BMH34" s="575"/>
      <c r="BMI34" s="575"/>
      <c r="BMJ34" s="575"/>
      <c r="BMK34" s="575"/>
      <c r="BML34" s="575"/>
      <c r="BMM34" s="575"/>
      <c r="BMN34" s="575"/>
      <c r="BMO34" s="575"/>
      <c r="BMP34" s="575"/>
      <c r="BMQ34" s="575"/>
      <c r="BMR34" s="575"/>
      <c r="BMS34" s="575"/>
      <c r="BMT34" s="575"/>
      <c r="BMU34" s="575"/>
      <c r="BMV34" s="575"/>
      <c r="BMW34" s="575"/>
      <c r="BMX34" s="575"/>
      <c r="BMY34" s="575"/>
      <c r="BMZ34" s="575"/>
      <c r="BNA34" s="575"/>
      <c r="BNB34" s="575"/>
      <c r="BNC34" s="575"/>
      <c r="BND34" s="575"/>
      <c r="BNE34" s="575"/>
      <c r="BNF34" s="575"/>
      <c r="BNG34" s="575"/>
      <c r="BNH34" s="575"/>
      <c r="BNI34" s="575"/>
      <c r="BNJ34" s="575"/>
      <c r="BNK34" s="575"/>
      <c r="BNL34" s="575"/>
      <c r="BNM34" s="575"/>
      <c r="BNN34" s="575"/>
      <c r="BNO34" s="575"/>
      <c r="BNP34" s="575"/>
      <c r="BNQ34" s="575"/>
      <c r="BNR34" s="575"/>
      <c r="BNS34" s="575"/>
      <c r="BNT34" s="575"/>
      <c r="BNU34" s="575"/>
      <c r="BNV34" s="575"/>
      <c r="BNW34" s="575"/>
      <c r="BNX34" s="575"/>
      <c r="BNY34" s="575"/>
      <c r="BNZ34" s="575"/>
      <c r="BOA34" s="575"/>
      <c r="BOB34" s="575"/>
      <c r="BOC34" s="575"/>
      <c r="BOD34" s="575"/>
      <c r="BOE34" s="575"/>
      <c r="BOF34" s="575"/>
      <c r="BOG34" s="575"/>
      <c r="BOH34" s="575"/>
      <c r="BOI34" s="575"/>
      <c r="BOJ34" s="575"/>
      <c r="BOK34" s="575"/>
      <c r="BOL34" s="575"/>
      <c r="BOM34" s="575"/>
      <c r="BON34" s="575"/>
      <c r="BOO34" s="575"/>
      <c r="BOP34" s="575"/>
      <c r="BOQ34" s="575"/>
      <c r="BOR34" s="575"/>
      <c r="BOS34" s="575"/>
      <c r="BOT34" s="575"/>
      <c r="BOU34" s="575"/>
      <c r="BOV34" s="575"/>
      <c r="BOW34" s="575"/>
      <c r="BOX34" s="575"/>
      <c r="BOY34" s="575"/>
      <c r="BOZ34" s="575"/>
      <c r="BPA34" s="575"/>
      <c r="BPB34" s="575"/>
      <c r="BPC34" s="575"/>
      <c r="BPD34" s="575"/>
      <c r="BPE34" s="575"/>
      <c r="BPF34" s="575"/>
      <c r="BPG34" s="575"/>
      <c r="BPH34" s="575"/>
      <c r="BPI34" s="575"/>
      <c r="BPJ34" s="575"/>
      <c r="BPK34" s="575"/>
      <c r="BPL34" s="575"/>
      <c r="BPM34" s="575"/>
      <c r="BPN34" s="575"/>
      <c r="BPO34" s="575"/>
      <c r="BPP34" s="575"/>
      <c r="BPQ34" s="575"/>
      <c r="BPR34" s="575"/>
      <c r="BPS34" s="575"/>
      <c r="BPT34" s="575"/>
      <c r="BPU34" s="575"/>
      <c r="BPV34" s="575"/>
      <c r="BPW34" s="575"/>
      <c r="BPX34" s="575"/>
      <c r="BPY34" s="575"/>
      <c r="BPZ34" s="575"/>
      <c r="BQA34" s="575"/>
      <c r="BQB34" s="575"/>
      <c r="BQC34" s="575"/>
      <c r="BQD34" s="575"/>
      <c r="BQE34" s="575"/>
      <c r="BQF34" s="575"/>
      <c r="BQG34" s="575"/>
      <c r="BQH34" s="575"/>
      <c r="BQI34" s="575"/>
      <c r="BQJ34" s="575"/>
      <c r="BQK34" s="575"/>
      <c r="BQL34" s="575"/>
      <c r="BQM34" s="575"/>
      <c r="BQN34" s="575"/>
      <c r="BQO34" s="575"/>
      <c r="BQP34" s="575"/>
      <c r="BQQ34" s="575"/>
      <c r="BQR34" s="575"/>
      <c r="BQS34" s="575"/>
      <c r="BQT34" s="575"/>
      <c r="BQU34" s="575"/>
      <c r="BQV34" s="575"/>
      <c r="BQW34" s="575"/>
      <c r="BQX34" s="575"/>
      <c r="BQY34" s="575"/>
      <c r="BQZ34" s="575"/>
      <c r="BRA34" s="575"/>
      <c r="BRB34" s="575"/>
      <c r="BRC34" s="575"/>
      <c r="BRD34" s="575"/>
      <c r="BRE34" s="575"/>
      <c r="BRF34" s="575"/>
      <c r="BRG34" s="575"/>
      <c r="BRH34" s="575"/>
      <c r="BRI34" s="575"/>
      <c r="BRJ34" s="575"/>
      <c r="BRK34" s="575"/>
      <c r="BRL34" s="575"/>
      <c r="BRM34" s="575"/>
      <c r="BRN34" s="575"/>
      <c r="BRO34" s="575"/>
      <c r="BRP34" s="575"/>
      <c r="BRQ34" s="575"/>
      <c r="BRR34" s="575"/>
      <c r="BRS34" s="575"/>
      <c r="BRT34" s="575"/>
      <c r="BRU34" s="575"/>
      <c r="BRV34" s="575"/>
      <c r="BRW34" s="575"/>
      <c r="BRX34" s="575"/>
      <c r="BRY34" s="575"/>
      <c r="BRZ34" s="575"/>
      <c r="BSA34" s="575"/>
      <c r="BSB34" s="575"/>
      <c r="BSC34" s="575"/>
      <c r="BSD34" s="575"/>
      <c r="BSE34" s="575"/>
      <c r="BSF34" s="575"/>
      <c r="BSG34" s="575"/>
      <c r="BSH34" s="575"/>
      <c r="BSI34" s="575"/>
      <c r="BSJ34" s="575"/>
      <c r="BSK34" s="575"/>
      <c r="BSL34" s="575"/>
      <c r="BSM34" s="575"/>
      <c r="BSN34" s="575"/>
      <c r="BSO34" s="575"/>
      <c r="BSP34" s="575"/>
      <c r="BSQ34" s="575"/>
      <c r="BSR34" s="575"/>
      <c r="BSS34" s="575"/>
      <c r="BST34" s="575"/>
      <c r="BSU34" s="575"/>
      <c r="BSV34" s="575"/>
      <c r="BSW34" s="575"/>
      <c r="BSX34" s="575"/>
      <c r="BSY34" s="575"/>
      <c r="BSZ34" s="575"/>
      <c r="BTA34" s="575"/>
      <c r="BTB34" s="575"/>
      <c r="BTC34" s="575"/>
      <c r="BTD34" s="575"/>
      <c r="BTE34" s="575"/>
      <c r="BTF34" s="575"/>
      <c r="BTG34" s="575"/>
      <c r="BTH34" s="575"/>
      <c r="BTI34" s="575"/>
      <c r="BTJ34" s="575"/>
      <c r="BTK34" s="575"/>
      <c r="BTL34" s="575"/>
      <c r="BTM34" s="575"/>
      <c r="BTN34" s="575"/>
      <c r="BTO34" s="575"/>
      <c r="BTP34" s="575"/>
      <c r="BTQ34" s="575"/>
      <c r="BTR34" s="575"/>
      <c r="BTS34" s="575"/>
      <c r="BTT34" s="575"/>
      <c r="BTU34" s="575"/>
      <c r="BTV34" s="575"/>
      <c r="BTW34" s="575"/>
      <c r="BTX34" s="575"/>
      <c r="BTY34" s="575"/>
      <c r="BTZ34" s="575"/>
      <c r="BUA34" s="575"/>
      <c r="BUB34" s="575"/>
      <c r="BUC34" s="575"/>
      <c r="BUD34" s="575"/>
      <c r="BUE34" s="575"/>
      <c r="BUF34" s="575"/>
      <c r="BUG34" s="575"/>
      <c r="BUH34" s="575"/>
      <c r="BUI34" s="575"/>
      <c r="BUJ34" s="575"/>
      <c r="BUK34" s="575"/>
      <c r="BUL34" s="575"/>
      <c r="BUM34" s="575"/>
      <c r="BUN34" s="575"/>
      <c r="BUO34" s="575"/>
      <c r="BUP34" s="575"/>
      <c r="BUQ34" s="575"/>
      <c r="BUR34" s="575"/>
      <c r="BUS34" s="575"/>
      <c r="BUT34" s="575"/>
      <c r="BUU34" s="575"/>
      <c r="BUV34" s="575"/>
      <c r="BUW34" s="575"/>
      <c r="BUX34" s="575"/>
      <c r="BUY34" s="575"/>
      <c r="BUZ34" s="575"/>
      <c r="BVA34" s="575"/>
      <c r="BVB34" s="575"/>
      <c r="BVC34" s="575"/>
      <c r="BVD34" s="575"/>
      <c r="BVE34" s="575"/>
      <c r="BVF34" s="575"/>
      <c r="BVG34" s="575"/>
      <c r="BVH34" s="575"/>
      <c r="BVI34" s="575"/>
      <c r="BVJ34" s="575"/>
      <c r="BVK34" s="575"/>
      <c r="BVL34" s="575"/>
      <c r="BVM34" s="575"/>
      <c r="BVN34" s="575"/>
      <c r="BVO34" s="575"/>
      <c r="BVP34" s="575"/>
      <c r="BVQ34" s="575"/>
      <c r="BVR34" s="575"/>
      <c r="BVS34" s="575"/>
      <c r="BVT34" s="575"/>
      <c r="BVU34" s="575"/>
      <c r="BVV34" s="575"/>
      <c r="BVW34" s="575"/>
      <c r="BVX34" s="575"/>
      <c r="BVY34" s="575"/>
      <c r="BVZ34" s="575"/>
      <c r="BWA34" s="575"/>
      <c r="BWB34" s="575"/>
      <c r="BWC34" s="575"/>
      <c r="BWD34" s="575"/>
      <c r="BWE34" s="575"/>
      <c r="BWF34" s="575"/>
      <c r="BWG34" s="575"/>
      <c r="BWH34" s="575"/>
      <c r="BWI34" s="575"/>
      <c r="BWJ34" s="575"/>
      <c r="BWK34" s="575"/>
      <c r="BWL34" s="575"/>
      <c r="BWM34" s="575"/>
      <c r="BWN34" s="575"/>
      <c r="BWO34" s="575"/>
      <c r="BWP34" s="575"/>
      <c r="BWQ34" s="575"/>
      <c r="BWR34" s="575"/>
      <c r="BWS34" s="575"/>
      <c r="BWT34" s="575"/>
      <c r="BWU34" s="575"/>
      <c r="BWV34" s="575"/>
      <c r="BWW34" s="575"/>
      <c r="BWX34" s="575"/>
      <c r="BWY34" s="575"/>
      <c r="BWZ34" s="575"/>
      <c r="BXA34" s="575"/>
      <c r="BXB34" s="575"/>
      <c r="BXC34" s="575"/>
      <c r="BXD34" s="575"/>
      <c r="BXE34" s="575"/>
      <c r="BXF34" s="575"/>
      <c r="BXG34" s="575"/>
      <c r="BXH34" s="575"/>
      <c r="BXI34" s="575"/>
      <c r="BXJ34" s="575"/>
      <c r="BXK34" s="575"/>
      <c r="BXL34" s="575"/>
      <c r="BXM34" s="575"/>
      <c r="BXN34" s="575"/>
      <c r="BXO34" s="575"/>
      <c r="BXP34" s="575"/>
      <c r="BXQ34" s="575"/>
      <c r="BXR34" s="575"/>
      <c r="BXS34" s="575"/>
      <c r="BXT34" s="575"/>
      <c r="BXU34" s="575"/>
      <c r="BXV34" s="575"/>
      <c r="BXW34" s="575"/>
      <c r="BXX34" s="575"/>
      <c r="BXY34" s="575"/>
      <c r="BXZ34" s="575"/>
      <c r="BYA34" s="575"/>
      <c r="BYB34" s="575"/>
      <c r="BYC34" s="575"/>
      <c r="BYD34" s="575"/>
      <c r="BYE34" s="575"/>
      <c r="BYF34" s="575"/>
      <c r="BYG34" s="575"/>
      <c r="BYH34" s="575"/>
      <c r="BYI34" s="575"/>
      <c r="BYJ34" s="575"/>
      <c r="BYK34" s="575"/>
      <c r="BYL34" s="575"/>
      <c r="BYM34" s="575"/>
      <c r="BYN34" s="575"/>
      <c r="BYO34" s="575"/>
      <c r="BYP34" s="575"/>
      <c r="BYQ34" s="575"/>
      <c r="BYR34" s="575"/>
      <c r="BYS34" s="575"/>
      <c r="BYT34" s="575"/>
      <c r="BYU34" s="575"/>
      <c r="BYV34" s="575"/>
      <c r="BYW34" s="575"/>
      <c r="BYX34" s="575"/>
      <c r="BYY34" s="575"/>
      <c r="BYZ34" s="575"/>
      <c r="BZA34" s="575"/>
      <c r="BZB34" s="575"/>
      <c r="BZC34" s="575"/>
      <c r="BZD34" s="575"/>
      <c r="BZE34" s="575"/>
      <c r="BZF34" s="575"/>
      <c r="BZG34" s="575"/>
      <c r="BZH34" s="575"/>
      <c r="BZI34" s="575"/>
      <c r="BZJ34" s="575"/>
      <c r="BZK34" s="575"/>
      <c r="BZL34" s="575"/>
      <c r="BZM34" s="575"/>
      <c r="BZN34" s="575"/>
      <c r="BZO34" s="575"/>
      <c r="BZP34" s="575"/>
      <c r="BZQ34" s="575"/>
      <c r="BZR34" s="575"/>
      <c r="BZS34" s="575"/>
      <c r="BZT34" s="575"/>
      <c r="BZU34" s="575"/>
      <c r="BZV34" s="575"/>
      <c r="BZW34" s="575"/>
      <c r="BZX34" s="575"/>
      <c r="BZY34" s="575"/>
      <c r="BZZ34" s="575"/>
      <c r="CAA34" s="575"/>
      <c r="CAB34" s="575"/>
      <c r="CAC34" s="575"/>
      <c r="CAD34" s="575"/>
      <c r="CAE34" s="575"/>
      <c r="CAF34" s="575"/>
      <c r="CAG34" s="575"/>
      <c r="CAH34" s="575"/>
      <c r="CAI34" s="575"/>
      <c r="CAJ34" s="575"/>
      <c r="CAK34" s="575"/>
      <c r="CAL34" s="575"/>
      <c r="CAM34" s="575"/>
      <c r="CAN34" s="575"/>
      <c r="CAO34" s="575"/>
      <c r="CAP34" s="575"/>
      <c r="CAQ34" s="575"/>
      <c r="CAR34" s="575"/>
      <c r="CAS34" s="575"/>
      <c r="CAT34" s="575"/>
      <c r="CAU34" s="575"/>
      <c r="CAV34" s="575"/>
      <c r="CAW34" s="575"/>
      <c r="CAX34" s="575"/>
      <c r="CAY34" s="575"/>
      <c r="CAZ34" s="575"/>
      <c r="CBA34" s="575"/>
      <c r="CBB34" s="575"/>
      <c r="CBC34" s="575"/>
      <c r="CBD34" s="575"/>
      <c r="CBE34" s="575"/>
      <c r="CBF34" s="575"/>
      <c r="CBG34" s="575"/>
      <c r="CBH34" s="575"/>
      <c r="CBI34" s="575"/>
      <c r="CBJ34" s="575"/>
      <c r="CBK34" s="575"/>
      <c r="CBL34" s="575"/>
      <c r="CBM34" s="575"/>
      <c r="CBN34" s="575"/>
      <c r="CBO34" s="575"/>
      <c r="CBP34" s="575"/>
      <c r="CBQ34" s="575"/>
      <c r="CBR34" s="575"/>
      <c r="CBS34" s="575"/>
      <c r="CBT34" s="575"/>
      <c r="CBU34" s="575"/>
      <c r="CBV34" s="575"/>
      <c r="CBW34" s="575"/>
      <c r="CBX34" s="575"/>
      <c r="CBY34" s="575"/>
      <c r="CBZ34" s="575"/>
      <c r="CCA34" s="575"/>
      <c r="CCB34" s="575"/>
      <c r="CCC34" s="575"/>
      <c r="CCD34" s="575"/>
      <c r="CCE34" s="575"/>
      <c r="CCF34" s="575"/>
      <c r="CCG34" s="575"/>
      <c r="CCH34" s="575"/>
      <c r="CCI34" s="575"/>
      <c r="CCJ34" s="575"/>
      <c r="CCK34" s="575"/>
      <c r="CCL34" s="575"/>
      <c r="CCM34" s="575"/>
      <c r="CCN34" s="575"/>
      <c r="CCO34" s="575"/>
      <c r="CCP34" s="575"/>
      <c r="CCQ34" s="575"/>
      <c r="CCR34" s="575"/>
      <c r="CCS34" s="575"/>
      <c r="CCT34" s="575"/>
      <c r="CCU34" s="575"/>
      <c r="CCV34" s="575"/>
      <c r="CCW34" s="575"/>
      <c r="CCX34" s="575"/>
      <c r="CCY34" s="575"/>
      <c r="CCZ34" s="575"/>
      <c r="CDA34" s="575"/>
      <c r="CDB34" s="575"/>
      <c r="CDC34" s="575"/>
      <c r="CDD34" s="575"/>
      <c r="CDE34" s="575"/>
      <c r="CDF34" s="575"/>
      <c r="CDG34" s="575"/>
      <c r="CDH34" s="575"/>
      <c r="CDI34" s="575"/>
      <c r="CDJ34" s="575"/>
      <c r="CDK34" s="575"/>
      <c r="CDL34" s="575"/>
      <c r="CDM34" s="575"/>
      <c r="CDN34" s="575"/>
      <c r="CDO34" s="575"/>
      <c r="CDP34" s="575"/>
      <c r="CDQ34" s="575"/>
      <c r="CDR34" s="575"/>
      <c r="CDS34" s="575"/>
      <c r="CDT34" s="575"/>
      <c r="CDU34" s="575"/>
      <c r="CDV34" s="575"/>
      <c r="CDW34" s="575"/>
      <c r="CDX34" s="575"/>
      <c r="CDY34" s="575"/>
      <c r="CDZ34" s="575"/>
      <c r="CEA34" s="575"/>
      <c r="CEB34" s="575"/>
      <c r="CEC34" s="575"/>
      <c r="CED34" s="575"/>
      <c r="CEE34" s="575"/>
      <c r="CEF34" s="575"/>
      <c r="CEG34" s="575"/>
      <c r="CEH34" s="575"/>
      <c r="CEI34" s="575"/>
      <c r="CEJ34" s="575"/>
      <c r="CEK34" s="575"/>
      <c r="CEL34" s="575"/>
      <c r="CEM34" s="575"/>
      <c r="CEN34" s="575"/>
      <c r="CEO34" s="575"/>
      <c r="CEP34" s="575"/>
      <c r="CEQ34" s="575"/>
      <c r="CER34" s="575"/>
      <c r="CES34" s="575"/>
      <c r="CET34" s="575"/>
      <c r="CEU34" s="575"/>
      <c r="CEV34" s="575"/>
      <c r="CEW34" s="575"/>
      <c r="CEX34" s="575"/>
      <c r="CEY34" s="575"/>
      <c r="CEZ34" s="575"/>
      <c r="CFA34" s="575"/>
      <c r="CFB34" s="575"/>
      <c r="CFC34" s="575"/>
      <c r="CFD34" s="575"/>
      <c r="CFE34" s="575"/>
      <c r="CFF34" s="575"/>
      <c r="CFG34" s="575"/>
      <c r="CFH34" s="575"/>
      <c r="CFI34" s="575"/>
      <c r="CFJ34" s="575"/>
      <c r="CFK34" s="575"/>
      <c r="CFL34" s="575"/>
      <c r="CFM34" s="575"/>
      <c r="CFN34" s="575"/>
      <c r="CFO34" s="575"/>
      <c r="CFP34" s="575"/>
      <c r="CFQ34" s="575"/>
      <c r="CFR34" s="575"/>
      <c r="CFS34" s="575"/>
      <c r="CFT34" s="575"/>
      <c r="CFU34" s="575"/>
      <c r="CFV34" s="575"/>
      <c r="CFW34" s="575"/>
      <c r="CFX34" s="575"/>
      <c r="CFY34" s="575"/>
      <c r="CFZ34" s="575"/>
      <c r="CGA34" s="575"/>
      <c r="CGB34" s="575"/>
      <c r="CGC34" s="575"/>
      <c r="CGD34" s="575"/>
      <c r="CGE34" s="575"/>
      <c r="CGF34" s="575"/>
      <c r="CGG34" s="575"/>
      <c r="CGH34" s="575"/>
      <c r="CGI34" s="575"/>
      <c r="CGJ34" s="575"/>
      <c r="CGK34" s="575"/>
      <c r="CGL34" s="575"/>
      <c r="CGM34" s="575"/>
      <c r="CGN34" s="575"/>
      <c r="CGO34" s="575"/>
      <c r="CGP34" s="575"/>
      <c r="CGQ34" s="575"/>
      <c r="CGR34" s="575"/>
      <c r="CGS34" s="575"/>
      <c r="CGT34" s="575"/>
      <c r="CGU34" s="575"/>
      <c r="CGV34" s="575"/>
      <c r="CGW34" s="575"/>
      <c r="CGX34" s="575"/>
      <c r="CGY34" s="575"/>
      <c r="CGZ34" s="575"/>
      <c r="CHA34" s="575"/>
      <c r="CHB34" s="575"/>
      <c r="CHC34" s="575"/>
      <c r="CHD34" s="575"/>
      <c r="CHE34" s="575"/>
      <c r="CHF34" s="575"/>
      <c r="CHG34" s="575"/>
      <c r="CHH34" s="575"/>
      <c r="CHI34" s="575"/>
      <c r="CHJ34" s="575"/>
      <c r="CHK34" s="575"/>
      <c r="CHL34" s="575"/>
      <c r="CHM34" s="575"/>
      <c r="CHN34" s="575"/>
      <c r="CHO34" s="575"/>
      <c r="CHP34" s="575"/>
      <c r="CHQ34" s="575"/>
      <c r="CHR34" s="575"/>
      <c r="CHS34" s="575"/>
      <c r="CHT34" s="575"/>
      <c r="CHU34" s="575"/>
      <c r="CHV34" s="575"/>
      <c r="CHW34" s="575"/>
      <c r="CHX34" s="575"/>
      <c r="CHY34" s="575"/>
      <c r="CHZ34" s="575"/>
      <c r="CIA34" s="575"/>
      <c r="CIB34" s="575"/>
      <c r="CIC34" s="575"/>
      <c r="CID34" s="575"/>
      <c r="CIE34" s="575"/>
      <c r="CIF34" s="575"/>
      <c r="CIG34" s="575"/>
      <c r="CIH34" s="575"/>
      <c r="CII34" s="575"/>
      <c r="CIJ34" s="575"/>
      <c r="CIK34" s="575"/>
      <c r="CIL34" s="575"/>
      <c r="CIM34" s="575"/>
      <c r="CIN34" s="575"/>
      <c r="CIO34" s="575"/>
      <c r="CIP34" s="575"/>
      <c r="CIQ34" s="575"/>
      <c r="CIR34" s="575"/>
      <c r="CIS34" s="575"/>
      <c r="CIT34" s="575"/>
      <c r="CIU34" s="575"/>
      <c r="CIV34" s="575"/>
      <c r="CIW34" s="575"/>
      <c r="CIX34" s="575"/>
      <c r="CIY34" s="575"/>
      <c r="CIZ34" s="575"/>
      <c r="CJA34" s="575"/>
      <c r="CJB34" s="575"/>
      <c r="CJC34" s="575"/>
      <c r="CJD34" s="575"/>
      <c r="CJE34" s="575"/>
      <c r="CJF34" s="575"/>
      <c r="CJG34" s="575"/>
      <c r="CJH34" s="575"/>
      <c r="CJI34" s="575"/>
      <c r="CJJ34" s="575"/>
      <c r="CJK34" s="575"/>
      <c r="CJL34" s="575"/>
      <c r="CJM34" s="575"/>
      <c r="CJN34" s="575"/>
      <c r="CJO34" s="575"/>
      <c r="CJP34" s="575"/>
      <c r="CJQ34" s="575"/>
      <c r="CJR34" s="575"/>
      <c r="CJS34" s="575"/>
      <c r="CJT34" s="575"/>
      <c r="CJU34" s="575"/>
      <c r="CJV34" s="575"/>
      <c r="CJW34" s="575"/>
      <c r="CJX34" s="575"/>
      <c r="CJY34" s="575"/>
      <c r="CJZ34" s="575"/>
      <c r="CKA34" s="575"/>
      <c r="CKB34" s="575"/>
      <c r="CKC34" s="575"/>
      <c r="CKD34" s="575"/>
      <c r="CKE34" s="575"/>
      <c r="CKF34" s="575"/>
      <c r="CKG34" s="575"/>
      <c r="CKH34" s="575"/>
      <c r="CKI34" s="575"/>
      <c r="CKJ34" s="575"/>
      <c r="CKK34" s="575"/>
      <c r="CKL34" s="575"/>
      <c r="CKM34" s="575"/>
      <c r="CKN34" s="575"/>
      <c r="CKO34" s="575"/>
      <c r="CKP34" s="575"/>
      <c r="CKQ34" s="575"/>
      <c r="CKR34" s="575"/>
      <c r="CKS34" s="575"/>
      <c r="CKT34" s="575"/>
      <c r="CKU34" s="575"/>
      <c r="CKV34" s="575"/>
      <c r="CKW34" s="575"/>
      <c r="CKX34" s="575"/>
      <c r="CKY34" s="575"/>
      <c r="CKZ34" s="575"/>
      <c r="CLA34" s="575"/>
      <c r="CLB34" s="575"/>
      <c r="CLC34" s="575"/>
      <c r="CLD34" s="575"/>
      <c r="CLE34" s="575"/>
      <c r="CLF34" s="575"/>
      <c r="CLG34" s="575"/>
      <c r="CLH34" s="575"/>
      <c r="CLI34" s="575"/>
      <c r="CLJ34" s="575"/>
      <c r="CLK34" s="575"/>
      <c r="CLL34" s="575"/>
      <c r="CLM34" s="575"/>
      <c r="CLN34" s="575"/>
      <c r="CLO34" s="575"/>
      <c r="CLP34" s="575"/>
      <c r="CLQ34" s="575"/>
      <c r="CLR34" s="575"/>
      <c r="CLS34" s="575"/>
      <c r="CLT34" s="575"/>
      <c r="CLU34" s="575"/>
      <c r="CLV34" s="575"/>
      <c r="CLW34" s="575"/>
      <c r="CLX34" s="575"/>
      <c r="CLY34" s="575"/>
      <c r="CLZ34" s="575"/>
      <c r="CMA34" s="575"/>
      <c r="CMB34" s="575"/>
      <c r="CMC34" s="575"/>
      <c r="CMD34" s="575"/>
      <c r="CME34" s="575"/>
      <c r="CMF34" s="575"/>
      <c r="CMG34" s="575"/>
      <c r="CMH34" s="575"/>
      <c r="CMI34" s="575"/>
      <c r="CMJ34" s="575"/>
      <c r="CMK34" s="575"/>
      <c r="CML34" s="575"/>
      <c r="CMM34" s="575"/>
      <c r="CMN34" s="575"/>
      <c r="CMO34" s="575"/>
      <c r="CMP34" s="575"/>
      <c r="CMQ34" s="575"/>
      <c r="CMR34" s="575"/>
      <c r="CMS34" s="575"/>
      <c r="CMT34" s="575"/>
      <c r="CMU34" s="575"/>
      <c r="CMV34" s="575"/>
      <c r="CMW34" s="575"/>
      <c r="CMX34" s="575"/>
      <c r="CMY34" s="575"/>
      <c r="CMZ34" s="575"/>
      <c r="CNA34" s="575"/>
      <c r="CNB34" s="575"/>
      <c r="CNC34" s="575"/>
      <c r="CND34" s="575"/>
      <c r="CNE34" s="575"/>
      <c r="CNF34" s="575"/>
      <c r="CNG34" s="575"/>
      <c r="CNH34" s="575"/>
      <c r="CNI34" s="575"/>
      <c r="CNJ34" s="575"/>
      <c r="CNK34" s="575"/>
      <c r="CNL34" s="575"/>
      <c r="CNM34" s="575"/>
      <c r="CNN34" s="575"/>
      <c r="CNO34" s="575"/>
      <c r="CNP34" s="575"/>
      <c r="CNQ34" s="575"/>
      <c r="CNR34" s="575"/>
      <c r="CNS34" s="575"/>
      <c r="CNT34" s="575"/>
      <c r="CNU34" s="575"/>
      <c r="CNV34" s="575"/>
      <c r="CNW34" s="575"/>
      <c r="CNX34" s="575"/>
      <c r="CNY34" s="575"/>
      <c r="CNZ34" s="575"/>
      <c r="COA34" s="575"/>
      <c r="COB34" s="575"/>
      <c r="COC34" s="575"/>
      <c r="COD34" s="575"/>
      <c r="COE34" s="575"/>
      <c r="COF34" s="575"/>
      <c r="COG34" s="575"/>
      <c r="COH34" s="575"/>
      <c r="COI34" s="575"/>
      <c r="COJ34" s="575"/>
      <c r="COK34" s="575"/>
      <c r="COL34" s="575"/>
      <c r="COM34" s="575"/>
      <c r="CON34" s="575"/>
      <c r="COO34" s="575"/>
      <c r="COP34" s="575"/>
      <c r="COQ34" s="575"/>
      <c r="COR34" s="575"/>
      <c r="COS34" s="575"/>
      <c r="COT34" s="575"/>
      <c r="COU34" s="575"/>
      <c r="COV34" s="575"/>
      <c r="COW34" s="575"/>
      <c r="COX34" s="575"/>
      <c r="COY34" s="575"/>
      <c r="COZ34" s="575"/>
      <c r="CPA34" s="575"/>
      <c r="CPB34" s="575"/>
      <c r="CPC34" s="575"/>
      <c r="CPD34" s="575"/>
      <c r="CPE34" s="575"/>
      <c r="CPF34" s="575"/>
      <c r="CPG34" s="575"/>
      <c r="CPH34" s="575"/>
      <c r="CPI34" s="575"/>
      <c r="CPJ34" s="575"/>
      <c r="CPK34" s="575"/>
      <c r="CPL34" s="575"/>
      <c r="CPM34" s="575"/>
      <c r="CPN34" s="575"/>
      <c r="CPO34" s="575"/>
      <c r="CPP34" s="575"/>
      <c r="CPQ34" s="575"/>
      <c r="CPR34" s="575"/>
      <c r="CPS34" s="575"/>
      <c r="CPT34" s="575"/>
      <c r="CPU34" s="575"/>
      <c r="CPV34" s="575"/>
      <c r="CPW34" s="575"/>
      <c r="CPX34" s="575"/>
      <c r="CPY34" s="575"/>
      <c r="CPZ34" s="575"/>
      <c r="CQA34" s="575"/>
      <c r="CQB34" s="575"/>
      <c r="CQC34" s="575"/>
      <c r="CQD34" s="575"/>
      <c r="CQE34" s="575"/>
      <c r="CQF34" s="575"/>
      <c r="CQG34" s="575"/>
      <c r="CQH34" s="575"/>
      <c r="CQI34" s="575"/>
      <c r="CQJ34" s="575"/>
      <c r="CQK34" s="575"/>
      <c r="CQL34" s="575"/>
      <c r="CQM34" s="575"/>
      <c r="CQN34" s="575"/>
      <c r="CQO34" s="575"/>
      <c r="CQP34" s="575"/>
      <c r="CQQ34" s="575"/>
      <c r="CQR34" s="575"/>
      <c r="CQS34" s="575"/>
      <c r="CQT34" s="575"/>
      <c r="CQU34" s="575"/>
      <c r="CQV34" s="575"/>
      <c r="CQW34" s="575"/>
      <c r="CQX34" s="575"/>
      <c r="CQY34" s="575"/>
      <c r="CQZ34" s="575"/>
      <c r="CRA34" s="575"/>
      <c r="CRB34" s="575"/>
      <c r="CRC34" s="575"/>
      <c r="CRD34" s="575"/>
      <c r="CRE34" s="575"/>
      <c r="CRF34" s="575"/>
      <c r="CRG34" s="575"/>
      <c r="CRH34" s="575"/>
      <c r="CRI34" s="575"/>
      <c r="CRJ34" s="575"/>
      <c r="CRK34" s="575"/>
      <c r="CRL34" s="575"/>
      <c r="CRM34" s="575"/>
      <c r="CRN34" s="575"/>
      <c r="CRO34" s="575"/>
      <c r="CRP34" s="575"/>
      <c r="CRQ34" s="575"/>
      <c r="CRR34" s="575"/>
      <c r="CRS34" s="575"/>
      <c r="CRT34" s="575"/>
      <c r="CRU34" s="575"/>
      <c r="CRV34" s="575"/>
      <c r="CRW34" s="575"/>
      <c r="CRX34" s="575"/>
      <c r="CRY34" s="575"/>
      <c r="CRZ34" s="575"/>
      <c r="CSA34" s="575"/>
      <c r="CSB34" s="575"/>
      <c r="CSC34" s="575"/>
      <c r="CSD34" s="575"/>
      <c r="CSE34" s="575"/>
      <c r="CSF34" s="575"/>
      <c r="CSG34" s="575"/>
      <c r="CSH34" s="575"/>
      <c r="CSI34" s="575"/>
      <c r="CSJ34" s="575"/>
      <c r="CSK34" s="575"/>
      <c r="CSL34" s="575"/>
      <c r="CSM34" s="575"/>
      <c r="CSN34" s="575"/>
      <c r="CSO34" s="575"/>
      <c r="CSP34" s="575"/>
      <c r="CSQ34" s="575"/>
      <c r="CSR34" s="575"/>
      <c r="CSS34" s="575"/>
      <c r="CST34" s="575"/>
      <c r="CSU34" s="575"/>
      <c r="CSV34" s="575"/>
      <c r="CSW34" s="575"/>
      <c r="CSX34" s="575"/>
      <c r="CSY34" s="575"/>
      <c r="CSZ34" s="575"/>
      <c r="CTA34" s="575"/>
      <c r="CTB34" s="575"/>
      <c r="CTC34" s="575"/>
      <c r="CTD34" s="575"/>
      <c r="CTE34" s="575"/>
      <c r="CTF34" s="575"/>
      <c r="CTG34" s="575"/>
      <c r="CTH34" s="575"/>
      <c r="CTI34" s="575"/>
      <c r="CTJ34" s="575"/>
      <c r="CTK34" s="575"/>
      <c r="CTL34" s="575"/>
      <c r="CTM34" s="575"/>
      <c r="CTN34" s="575"/>
      <c r="CTO34" s="575"/>
      <c r="CTP34" s="575"/>
      <c r="CTQ34" s="575"/>
      <c r="CTR34" s="575"/>
      <c r="CTS34" s="575"/>
      <c r="CTT34" s="575"/>
      <c r="CTU34" s="575"/>
      <c r="CTV34" s="575"/>
      <c r="CTW34" s="575"/>
      <c r="CTX34" s="575"/>
      <c r="CTY34" s="575"/>
      <c r="CTZ34" s="575"/>
      <c r="CUA34" s="575"/>
      <c r="CUB34" s="575"/>
      <c r="CUC34" s="575"/>
      <c r="CUD34" s="575"/>
      <c r="CUE34" s="575"/>
      <c r="CUF34" s="575"/>
      <c r="CUG34" s="575"/>
      <c r="CUH34" s="575"/>
      <c r="CUI34" s="575"/>
      <c r="CUJ34" s="575"/>
      <c r="CUK34" s="575"/>
      <c r="CUL34" s="575"/>
      <c r="CUM34" s="575"/>
      <c r="CUN34" s="575"/>
      <c r="CUO34" s="575"/>
      <c r="CUP34" s="575"/>
      <c r="CUQ34" s="575"/>
      <c r="CUR34" s="575"/>
      <c r="CUS34" s="575"/>
      <c r="CUT34" s="575"/>
      <c r="CUU34" s="575"/>
      <c r="CUV34" s="575"/>
      <c r="CUW34" s="575"/>
      <c r="CUX34" s="575"/>
      <c r="CUY34" s="575"/>
      <c r="CUZ34" s="575"/>
      <c r="CVA34" s="575"/>
      <c r="CVB34" s="575"/>
      <c r="CVC34" s="575"/>
      <c r="CVD34" s="575"/>
      <c r="CVE34" s="575"/>
      <c r="CVF34" s="575"/>
      <c r="CVG34" s="575"/>
      <c r="CVH34" s="575"/>
      <c r="CVI34" s="575"/>
      <c r="CVJ34" s="575"/>
      <c r="CVK34" s="575"/>
      <c r="CVL34" s="575"/>
      <c r="CVM34" s="575"/>
      <c r="CVN34" s="575"/>
      <c r="CVO34" s="575"/>
      <c r="CVP34" s="575"/>
      <c r="CVQ34" s="575"/>
      <c r="CVR34" s="575"/>
      <c r="CVS34" s="575"/>
      <c r="CVT34" s="575"/>
      <c r="CVU34" s="575"/>
      <c r="CVV34" s="575"/>
      <c r="CVW34" s="575"/>
      <c r="CVX34" s="575"/>
      <c r="CVY34" s="575"/>
      <c r="CVZ34" s="575"/>
      <c r="CWA34" s="575"/>
      <c r="CWB34" s="575"/>
      <c r="CWC34" s="575"/>
      <c r="CWD34" s="575"/>
      <c r="CWE34" s="575"/>
      <c r="CWF34" s="575"/>
      <c r="CWG34" s="575"/>
      <c r="CWH34" s="575"/>
      <c r="CWI34" s="575"/>
      <c r="CWJ34" s="575"/>
      <c r="CWK34" s="575"/>
      <c r="CWL34" s="575"/>
      <c r="CWM34" s="575"/>
      <c r="CWN34" s="575"/>
      <c r="CWO34" s="575"/>
      <c r="CWP34" s="575"/>
      <c r="CWQ34" s="575"/>
      <c r="CWR34" s="575"/>
      <c r="CWS34" s="575"/>
      <c r="CWT34" s="575"/>
      <c r="CWU34" s="575"/>
      <c r="CWV34" s="575"/>
      <c r="CWW34" s="575"/>
      <c r="CWX34" s="575"/>
      <c r="CWY34" s="575"/>
      <c r="CWZ34" s="575"/>
      <c r="CXA34" s="575"/>
      <c r="CXB34" s="575"/>
      <c r="CXC34" s="575"/>
      <c r="CXD34" s="575"/>
      <c r="CXE34" s="575"/>
      <c r="CXF34" s="575"/>
      <c r="CXG34" s="575"/>
      <c r="CXH34" s="575"/>
      <c r="CXI34" s="575"/>
      <c r="CXJ34" s="575"/>
      <c r="CXK34" s="575"/>
      <c r="CXL34" s="575"/>
      <c r="CXM34" s="575"/>
      <c r="CXN34" s="575"/>
      <c r="CXO34" s="575"/>
      <c r="CXP34" s="575"/>
      <c r="CXQ34" s="575"/>
      <c r="CXR34" s="575"/>
      <c r="CXS34" s="575"/>
      <c r="CXT34" s="575"/>
      <c r="CXU34" s="575"/>
      <c r="CXV34" s="575"/>
      <c r="CXW34" s="575"/>
      <c r="CXX34" s="575"/>
      <c r="CXY34" s="575"/>
      <c r="CXZ34" s="575"/>
      <c r="CYA34" s="575"/>
      <c r="CYB34" s="575"/>
      <c r="CYC34" s="575"/>
      <c r="CYD34" s="575"/>
      <c r="CYE34" s="575"/>
      <c r="CYF34" s="575"/>
      <c r="CYG34" s="575"/>
      <c r="CYH34" s="575"/>
      <c r="CYI34" s="575"/>
      <c r="CYJ34" s="575"/>
      <c r="CYK34" s="575"/>
      <c r="CYL34" s="575"/>
      <c r="CYM34" s="575"/>
      <c r="CYN34" s="575"/>
      <c r="CYO34" s="575"/>
      <c r="CYP34" s="575"/>
      <c r="CYQ34" s="575"/>
      <c r="CYR34" s="575"/>
      <c r="CYS34" s="575"/>
      <c r="CYT34" s="575"/>
      <c r="CYU34" s="575"/>
      <c r="CYV34" s="575"/>
      <c r="CYW34" s="575"/>
      <c r="CYX34" s="575"/>
      <c r="CYY34" s="575"/>
      <c r="CYZ34" s="575"/>
      <c r="CZA34" s="575"/>
      <c r="CZB34" s="575"/>
      <c r="CZC34" s="575"/>
      <c r="CZD34" s="575"/>
      <c r="CZE34" s="575"/>
      <c r="CZF34" s="575"/>
      <c r="CZG34" s="575"/>
      <c r="CZH34" s="575"/>
      <c r="CZI34" s="575"/>
      <c r="CZJ34" s="575"/>
      <c r="CZK34" s="575"/>
      <c r="CZL34" s="575"/>
      <c r="CZM34" s="575"/>
      <c r="CZN34" s="575"/>
      <c r="CZO34" s="575"/>
      <c r="CZP34" s="575"/>
      <c r="CZQ34" s="575"/>
      <c r="CZR34" s="575"/>
      <c r="CZS34" s="575"/>
      <c r="CZT34" s="575"/>
      <c r="CZU34" s="575"/>
      <c r="CZV34" s="575"/>
      <c r="CZW34" s="575"/>
      <c r="CZX34" s="575"/>
      <c r="CZY34" s="575"/>
      <c r="CZZ34" s="575"/>
      <c r="DAA34" s="575"/>
      <c r="DAB34" s="575"/>
      <c r="DAC34" s="575"/>
      <c r="DAD34" s="575"/>
      <c r="DAE34" s="575"/>
      <c r="DAF34" s="575"/>
      <c r="DAG34" s="575"/>
      <c r="DAH34" s="575"/>
      <c r="DAI34" s="575"/>
      <c r="DAJ34" s="575"/>
      <c r="DAK34" s="575"/>
      <c r="DAL34" s="575"/>
      <c r="DAM34" s="575"/>
      <c r="DAN34" s="575"/>
      <c r="DAO34" s="575"/>
      <c r="DAP34" s="575"/>
      <c r="DAQ34" s="575"/>
      <c r="DAR34" s="575"/>
      <c r="DAS34" s="575"/>
      <c r="DAT34" s="575"/>
      <c r="DAU34" s="575"/>
      <c r="DAV34" s="575"/>
      <c r="DAW34" s="575"/>
      <c r="DAX34" s="575"/>
      <c r="DAY34" s="575"/>
      <c r="DAZ34" s="575"/>
      <c r="DBA34" s="575"/>
      <c r="DBB34" s="575"/>
      <c r="DBC34" s="575"/>
      <c r="DBD34" s="575"/>
      <c r="DBE34" s="575"/>
      <c r="DBF34" s="575"/>
      <c r="DBG34" s="575"/>
      <c r="DBH34" s="575"/>
      <c r="DBI34" s="575"/>
      <c r="DBJ34" s="575"/>
      <c r="DBK34" s="575"/>
      <c r="DBL34" s="575"/>
      <c r="DBM34" s="575"/>
      <c r="DBN34" s="575"/>
      <c r="DBO34" s="575"/>
      <c r="DBP34" s="575"/>
      <c r="DBQ34" s="575"/>
      <c r="DBR34" s="575"/>
      <c r="DBS34" s="575"/>
      <c r="DBT34" s="575"/>
      <c r="DBU34" s="575"/>
      <c r="DBV34" s="575"/>
      <c r="DBW34" s="575"/>
      <c r="DBX34" s="575"/>
      <c r="DBY34" s="575"/>
      <c r="DBZ34" s="575"/>
      <c r="DCA34" s="575"/>
      <c r="DCB34" s="575"/>
      <c r="DCC34" s="575"/>
      <c r="DCD34" s="575"/>
      <c r="DCE34" s="575"/>
      <c r="DCF34" s="575"/>
      <c r="DCG34" s="575"/>
      <c r="DCH34" s="575"/>
      <c r="DCI34" s="575"/>
      <c r="DCJ34" s="575"/>
      <c r="DCK34" s="575"/>
      <c r="DCL34" s="575"/>
      <c r="DCM34" s="575"/>
      <c r="DCN34" s="575"/>
      <c r="DCO34" s="575"/>
      <c r="DCP34" s="575"/>
      <c r="DCQ34" s="575"/>
      <c r="DCR34" s="575"/>
      <c r="DCS34" s="575"/>
      <c r="DCT34" s="575"/>
      <c r="DCU34" s="575"/>
      <c r="DCV34" s="575"/>
      <c r="DCW34" s="575"/>
      <c r="DCX34" s="575"/>
      <c r="DCY34" s="575"/>
      <c r="DCZ34" s="575"/>
      <c r="DDA34" s="575"/>
      <c r="DDB34" s="575"/>
      <c r="DDC34" s="575"/>
      <c r="DDD34" s="575"/>
      <c r="DDE34" s="575"/>
      <c r="DDF34" s="575"/>
      <c r="DDG34" s="575"/>
      <c r="DDH34" s="575"/>
      <c r="DDI34" s="575"/>
      <c r="DDJ34" s="575"/>
      <c r="DDK34" s="575"/>
      <c r="DDL34" s="575"/>
      <c r="DDM34" s="575"/>
      <c r="DDN34" s="575"/>
      <c r="DDO34" s="575"/>
      <c r="DDP34" s="575"/>
      <c r="DDQ34" s="575"/>
      <c r="DDR34" s="575"/>
      <c r="DDS34" s="575"/>
      <c r="DDT34" s="575"/>
      <c r="DDU34" s="575"/>
      <c r="DDV34" s="575"/>
      <c r="DDW34" s="575"/>
      <c r="DDX34" s="575"/>
      <c r="DDY34" s="575"/>
      <c r="DDZ34" s="575"/>
      <c r="DEA34" s="575"/>
      <c r="DEB34" s="575"/>
      <c r="DEC34" s="575"/>
      <c r="DED34" s="575"/>
      <c r="DEE34" s="575"/>
      <c r="DEF34" s="575"/>
      <c r="DEG34" s="575"/>
      <c r="DEH34" s="575"/>
      <c r="DEI34" s="575"/>
      <c r="DEJ34" s="575"/>
      <c r="DEK34" s="575"/>
      <c r="DEL34" s="575"/>
      <c r="DEM34" s="575"/>
      <c r="DEN34" s="575"/>
      <c r="DEO34" s="575"/>
      <c r="DEP34" s="575"/>
      <c r="DEQ34" s="575"/>
      <c r="DER34" s="575"/>
      <c r="DES34" s="575"/>
      <c r="DET34" s="575"/>
      <c r="DEU34" s="575"/>
      <c r="DEV34" s="575"/>
      <c r="DEW34" s="575"/>
      <c r="DEX34" s="575"/>
      <c r="DEY34" s="575"/>
      <c r="DEZ34" s="575"/>
      <c r="DFA34" s="575"/>
      <c r="DFB34" s="575"/>
      <c r="DFC34" s="575"/>
      <c r="DFD34" s="575"/>
      <c r="DFE34" s="575"/>
      <c r="DFF34" s="575"/>
      <c r="DFG34" s="575"/>
      <c r="DFH34" s="575"/>
      <c r="DFI34" s="575"/>
      <c r="DFJ34" s="575"/>
      <c r="DFK34" s="575"/>
      <c r="DFL34" s="575"/>
      <c r="DFM34" s="575"/>
      <c r="DFN34" s="575"/>
      <c r="DFO34" s="575"/>
      <c r="DFP34" s="575"/>
      <c r="DFQ34" s="575"/>
      <c r="DFR34" s="575"/>
      <c r="DFS34" s="575"/>
      <c r="DFT34" s="575"/>
      <c r="DFU34" s="575"/>
      <c r="DFV34" s="575"/>
      <c r="DFW34" s="575"/>
      <c r="DFX34" s="575"/>
      <c r="DFY34" s="575"/>
      <c r="DFZ34" s="575"/>
      <c r="DGA34" s="575"/>
      <c r="DGB34" s="575"/>
      <c r="DGC34" s="575"/>
      <c r="DGD34" s="575"/>
      <c r="DGE34" s="575"/>
      <c r="DGF34" s="575"/>
      <c r="DGG34" s="575"/>
      <c r="DGH34" s="575"/>
      <c r="DGI34" s="575"/>
      <c r="DGJ34" s="575"/>
      <c r="DGK34" s="575"/>
      <c r="DGL34" s="575"/>
      <c r="DGM34" s="575"/>
      <c r="DGN34" s="575"/>
      <c r="DGO34" s="575"/>
      <c r="DGP34" s="575"/>
      <c r="DGQ34" s="575"/>
      <c r="DGR34" s="575"/>
      <c r="DGS34" s="575"/>
      <c r="DGT34" s="575"/>
      <c r="DGU34" s="575"/>
      <c r="DGV34" s="575"/>
      <c r="DGW34" s="575"/>
      <c r="DGX34" s="575"/>
      <c r="DGY34" s="575"/>
      <c r="DGZ34" s="575"/>
      <c r="DHA34" s="575"/>
      <c r="DHB34" s="575"/>
      <c r="DHC34" s="575"/>
      <c r="DHD34" s="575"/>
      <c r="DHE34" s="575"/>
      <c r="DHF34" s="575"/>
      <c r="DHG34" s="575"/>
      <c r="DHH34" s="575"/>
      <c r="DHI34" s="575"/>
      <c r="DHJ34" s="575"/>
      <c r="DHK34" s="575"/>
      <c r="DHL34" s="575"/>
      <c r="DHM34" s="575"/>
      <c r="DHN34" s="575"/>
      <c r="DHO34" s="575"/>
      <c r="DHP34" s="575"/>
      <c r="DHQ34" s="575"/>
      <c r="DHR34" s="575"/>
      <c r="DHS34" s="575"/>
      <c r="DHT34" s="575"/>
      <c r="DHU34" s="575"/>
      <c r="DHV34" s="575"/>
      <c r="DHW34" s="575"/>
      <c r="DHX34" s="575"/>
      <c r="DHY34" s="575"/>
      <c r="DHZ34" s="575"/>
      <c r="DIA34" s="575"/>
      <c r="DIB34" s="575"/>
      <c r="DIC34" s="575"/>
      <c r="DID34" s="575"/>
      <c r="DIE34" s="575"/>
      <c r="DIF34" s="575"/>
      <c r="DIG34" s="575"/>
      <c r="DIH34" s="575"/>
      <c r="DII34" s="575"/>
      <c r="DIJ34" s="575"/>
      <c r="DIK34" s="575"/>
      <c r="DIL34" s="575"/>
      <c r="DIM34" s="575"/>
      <c r="DIN34" s="575"/>
      <c r="DIO34" s="575"/>
      <c r="DIP34" s="575"/>
      <c r="DIQ34" s="575"/>
      <c r="DIR34" s="575"/>
      <c r="DIS34" s="575"/>
      <c r="DIT34" s="575"/>
      <c r="DIU34" s="575"/>
      <c r="DIV34" s="575"/>
      <c r="DIW34" s="575"/>
      <c r="DIX34" s="575"/>
      <c r="DIY34" s="575"/>
      <c r="DIZ34" s="575"/>
      <c r="DJA34" s="575"/>
      <c r="DJB34" s="575"/>
      <c r="DJC34" s="575"/>
      <c r="DJD34" s="575"/>
      <c r="DJE34" s="575"/>
      <c r="DJF34" s="575"/>
      <c r="DJG34" s="575"/>
      <c r="DJH34" s="575"/>
      <c r="DJI34" s="575"/>
      <c r="DJJ34" s="575"/>
      <c r="DJK34" s="575"/>
      <c r="DJL34" s="575"/>
      <c r="DJM34" s="575"/>
      <c r="DJN34" s="575"/>
      <c r="DJO34" s="575"/>
      <c r="DJP34" s="575"/>
      <c r="DJQ34" s="575"/>
      <c r="DJR34" s="575"/>
      <c r="DJS34" s="575"/>
      <c r="DJT34" s="575"/>
      <c r="DJU34" s="575"/>
      <c r="DJV34" s="575"/>
      <c r="DJW34" s="575"/>
      <c r="DJX34" s="575"/>
      <c r="DJY34" s="575"/>
      <c r="DJZ34" s="575"/>
      <c r="DKA34" s="575"/>
      <c r="DKB34" s="575"/>
      <c r="DKC34" s="575"/>
      <c r="DKD34" s="575"/>
      <c r="DKE34" s="575"/>
      <c r="DKF34" s="575"/>
      <c r="DKG34" s="575"/>
      <c r="DKH34" s="575"/>
      <c r="DKI34" s="575"/>
      <c r="DKJ34" s="575"/>
      <c r="DKK34" s="575"/>
      <c r="DKL34" s="575"/>
      <c r="DKM34" s="575"/>
      <c r="DKN34" s="575"/>
      <c r="DKO34" s="575"/>
      <c r="DKP34" s="575"/>
      <c r="DKQ34" s="575"/>
      <c r="DKR34" s="575"/>
      <c r="DKS34" s="575"/>
      <c r="DKT34" s="575"/>
      <c r="DKU34" s="575"/>
      <c r="DKV34" s="575"/>
      <c r="DKW34" s="575"/>
      <c r="DKX34" s="575"/>
      <c r="DKY34" s="575"/>
      <c r="DKZ34" s="575"/>
      <c r="DLA34" s="575"/>
      <c r="DLB34" s="575"/>
      <c r="DLC34" s="575"/>
      <c r="DLD34" s="575"/>
      <c r="DLE34" s="575"/>
      <c r="DLF34" s="575"/>
      <c r="DLG34" s="575"/>
      <c r="DLH34" s="575"/>
      <c r="DLI34" s="575"/>
      <c r="DLJ34" s="575"/>
      <c r="DLK34" s="575"/>
      <c r="DLL34" s="575"/>
      <c r="DLM34" s="575"/>
      <c r="DLN34" s="575"/>
      <c r="DLO34" s="575"/>
      <c r="DLP34" s="575"/>
      <c r="DLQ34" s="575"/>
      <c r="DLR34" s="575"/>
      <c r="DLS34" s="575"/>
      <c r="DLT34" s="575"/>
      <c r="DLU34" s="575"/>
      <c r="DLV34" s="575"/>
      <c r="DLW34" s="575"/>
      <c r="DLX34" s="575"/>
      <c r="DLY34" s="575"/>
      <c r="DLZ34" s="575"/>
      <c r="DMA34" s="575"/>
      <c r="DMB34" s="575"/>
      <c r="DMC34" s="575"/>
      <c r="DMD34" s="575"/>
      <c r="DME34" s="575"/>
      <c r="DMF34" s="575"/>
      <c r="DMG34" s="575"/>
      <c r="DMH34" s="575"/>
      <c r="DMI34" s="575"/>
      <c r="DMJ34" s="575"/>
      <c r="DMK34" s="575"/>
      <c r="DML34" s="575"/>
      <c r="DMM34" s="575"/>
      <c r="DMN34" s="575"/>
      <c r="DMO34" s="575"/>
      <c r="DMP34" s="575"/>
      <c r="DMQ34" s="575"/>
      <c r="DMR34" s="575"/>
      <c r="DMS34" s="575"/>
      <c r="DMT34" s="575"/>
      <c r="DMU34" s="575"/>
      <c r="DMV34" s="575"/>
      <c r="DMW34" s="575"/>
      <c r="DMX34" s="575"/>
      <c r="DMY34" s="575"/>
      <c r="DMZ34" s="575"/>
      <c r="DNA34" s="575"/>
      <c r="DNB34" s="575"/>
      <c r="DNC34" s="575"/>
      <c r="DND34" s="575"/>
      <c r="DNE34" s="575"/>
      <c r="DNF34" s="575"/>
      <c r="DNG34" s="575"/>
      <c r="DNH34" s="575"/>
      <c r="DNI34" s="575"/>
      <c r="DNJ34" s="575"/>
      <c r="DNK34" s="575"/>
      <c r="DNL34" s="575"/>
      <c r="DNM34" s="575"/>
      <c r="DNN34" s="575"/>
      <c r="DNO34" s="575"/>
      <c r="DNP34" s="575"/>
      <c r="DNQ34" s="575"/>
      <c r="DNR34" s="575"/>
      <c r="DNS34" s="575"/>
      <c r="DNT34" s="575"/>
      <c r="DNU34" s="575"/>
      <c r="DNV34" s="575"/>
      <c r="DNW34" s="575"/>
      <c r="DNX34" s="575"/>
      <c r="DNY34" s="575"/>
      <c r="DNZ34" s="575"/>
      <c r="DOA34" s="575"/>
      <c r="DOB34" s="575"/>
      <c r="DOC34" s="575"/>
      <c r="DOD34" s="575"/>
      <c r="DOE34" s="575"/>
      <c r="DOF34" s="575"/>
      <c r="DOG34" s="575"/>
      <c r="DOH34" s="575"/>
      <c r="DOI34" s="575"/>
      <c r="DOJ34" s="575"/>
      <c r="DOK34" s="575"/>
      <c r="DOL34" s="575"/>
      <c r="DOM34" s="575"/>
      <c r="DON34" s="575"/>
      <c r="DOO34" s="575"/>
      <c r="DOP34" s="575"/>
      <c r="DOQ34" s="575"/>
      <c r="DOR34" s="575"/>
      <c r="DOS34" s="575"/>
      <c r="DOT34" s="575"/>
      <c r="DOU34" s="575"/>
      <c r="DOV34" s="575"/>
      <c r="DOW34" s="575"/>
      <c r="DOX34" s="575"/>
      <c r="DOY34" s="575"/>
      <c r="DOZ34" s="575"/>
      <c r="DPA34" s="575"/>
      <c r="DPB34" s="575"/>
      <c r="DPC34" s="575"/>
      <c r="DPD34" s="575"/>
      <c r="DPE34" s="575"/>
      <c r="DPF34" s="575"/>
      <c r="DPG34" s="575"/>
      <c r="DPH34" s="575"/>
      <c r="DPI34" s="575"/>
      <c r="DPJ34" s="575"/>
      <c r="DPK34" s="575"/>
      <c r="DPL34" s="575"/>
      <c r="DPM34" s="575"/>
      <c r="DPN34" s="575"/>
      <c r="DPO34" s="575"/>
      <c r="DPP34" s="575"/>
      <c r="DPQ34" s="575"/>
      <c r="DPR34" s="575"/>
      <c r="DPS34" s="575"/>
      <c r="DPT34" s="575"/>
      <c r="DPU34" s="575"/>
      <c r="DPV34" s="575"/>
      <c r="DPW34" s="575"/>
      <c r="DPX34" s="575"/>
      <c r="DPY34" s="575"/>
      <c r="DPZ34" s="575"/>
      <c r="DQA34" s="575"/>
      <c r="DQB34" s="575"/>
      <c r="DQC34" s="575"/>
      <c r="DQD34" s="575"/>
      <c r="DQE34" s="575"/>
      <c r="DQF34" s="575"/>
      <c r="DQG34" s="575"/>
      <c r="DQH34" s="575"/>
      <c r="DQI34" s="575"/>
      <c r="DQJ34" s="575"/>
      <c r="DQK34" s="575"/>
      <c r="DQL34" s="575"/>
      <c r="DQM34" s="575"/>
      <c r="DQN34" s="575"/>
      <c r="DQO34" s="575"/>
      <c r="DQP34" s="575"/>
      <c r="DQQ34" s="575"/>
      <c r="DQR34" s="575"/>
      <c r="DQS34" s="575"/>
      <c r="DQT34" s="575"/>
      <c r="DQU34" s="575"/>
      <c r="DQV34" s="575"/>
      <c r="DQW34" s="575"/>
      <c r="DQX34" s="575"/>
      <c r="DQY34" s="575"/>
      <c r="DQZ34" s="575"/>
      <c r="DRA34" s="575"/>
      <c r="DRB34" s="575"/>
      <c r="DRC34" s="575"/>
      <c r="DRD34" s="575"/>
      <c r="DRE34" s="575"/>
      <c r="DRF34" s="575"/>
      <c r="DRG34" s="575"/>
      <c r="DRH34" s="575"/>
      <c r="DRI34" s="575"/>
      <c r="DRJ34" s="575"/>
      <c r="DRK34" s="575"/>
      <c r="DRL34" s="575"/>
      <c r="DRM34" s="575"/>
      <c r="DRN34" s="575"/>
      <c r="DRO34" s="575"/>
      <c r="DRP34" s="575"/>
      <c r="DRQ34" s="575"/>
      <c r="DRR34" s="575"/>
      <c r="DRS34" s="575"/>
      <c r="DRT34" s="575"/>
      <c r="DRU34" s="575"/>
      <c r="DRV34" s="575"/>
      <c r="DRW34" s="575"/>
      <c r="DRX34" s="575"/>
      <c r="DRY34" s="575"/>
      <c r="DRZ34" s="575"/>
      <c r="DSA34" s="575"/>
      <c r="DSB34" s="575"/>
      <c r="DSC34" s="575"/>
      <c r="DSD34" s="575"/>
      <c r="DSE34" s="575"/>
      <c r="DSF34" s="575"/>
      <c r="DSG34" s="575"/>
      <c r="DSH34" s="575"/>
      <c r="DSI34" s="575"/>
      <c r="DSJ34" s="575"/>
      <c r="DSK34" s="575"/>
      <c r="DSL34" s="575"/>
      <c r="DSM34" s="575"/>
      <c r="DSN34" s="575"/>
      <c r="DSO34" s="575"/>
      <c r="DSP34" s="575"/>
      <c r="DSQ34" s="575"/>
      <c r="DSR34" s="575"/>
      <c r="DSS34" s="575"/>
      <c r="DST34" s="575"/>
      <c r="DSU34" s="575"/>
      <c r="DSV34" s="575"/>
      <c r="DSW34" s="575"/>
      <c r="DSX34" s="575"/>
      <c r="DSY34" s="575"/>
      <c r="DSZ34" s="575"/>
      <c r="DTA34" s="575"/>
      <c r="DTB34" s="575"/>
      <c r="DTC34" s="575"/>
      <c r="DTD34" s="575"/>
      <c r="DTE34" s="575"/>
      <c r="DTF34" s="575"/>
      <c r="DTG34" s="575"/>
      <c r="DTH34" s="575"/>
      <c r="DTI34" s="575"/>
      <c r="DTJ34" s="575"/>
      <c r="DTK34" s="575"/>
      <c r="DTL34" s="575"/>
      <c r="DTM34" s="575"/>
      <c r="DTN34" s="575"/>
      <c r="DTO34" s="575"/>
      <c r="DTP34" s="575"/>
      <c r="DTQ34" s="575"/>
      <c r="DTR34" s="575"/>
      <c r="DTS34" s="575"/>
      <c r="DTT34" s="575"/>
      <c r="DTU34" s="575"/>
      <c r="DTV34" s="575"/>
      <c r="DTW34" s="575"/>
      <c r="DTX34" s="575"/>
      <c r="DTY34" s="575"/>
      <c r="DTZ34" s="575"/>
      <c r="DUA34" s="575"/>
      <c r="DUB34" s="575"/>
      <c r="DUC34" s="575"/>
      <c r="DUD34" s="575"/>
      <c r="DUE34" s="575"/>
      <c r="DUF34" s="575"/>
      <c r="DUG34" s="575"/>
      <c r="DUH34" s="575"/>
      <c r="DUI34" s="575"/>
      <c r="DUJ34" s="575"/>
      <c r="DUK34" s="575"/>
      <c r="DUL34" s="575"/>
      <c r="DUM34" s="575"/>
      <c r="DUN34" s="575"/>
      <c r="DUO34" s="575"/>
      <c r="DUP34" s="575"/>
      <c r="DUQ34" s="575"/>
      <c r="DUR34" s="575"/>
      <c r="DUS34" s="575"/>
      <c r="DUT34" s="575"/>
      <c r="DUU34" s="575"/>
      <c r="DUV34" s="575"/>
      <c r="DUW34" s="575"/>
      <c r="DUX34" s="575"/>
      <c r="DUY34" s="575"/>
      <c r="DUZ34" s="575"/>
      <c r="DVA34" s="575"/>
      <c r="DVB34" s="575"/>
      <c r="DVC34" s="575"/>
      <c r="DVD34" s="575"/>
      <c r="DVE34" s="575"/>
      <c r="DVF34" s="575"/>
      <c r="DVG34" s="575"/>
      <c r="DVH34" s="575"/>
      <c r="DVI34" s="575"/>
      <c r="DVJ34" s="575"/>
      <c r="DVK34" s="575"/>
      <c r="DVL34" s="575"/>
      <c r="DVM34" s="575"/>
      <c r="DVN34" s="575"/>
      <c r="DVO34" s="575"/>
      <c r="DVP34" s="575"/>
      <c r="DVQ34" s="575"/>
      <c r="DVR34" s="575"/>
      <c r="DVS34" s="575"/>
      <c r="DVT34" s="575"/>
      <c r="DVU34" s="575"/>
      <c r="DVV34" s="575"/>
      <c r="DVW34" s="575"/>
      <c r="DVX34" s="575"/>
      <c r="DVY34" s="575"/>
      <c r="DVZ34" s="575"/>
      <c r="DWA34" s="575"/>
      <c r="DWB34" s="575"/>
      <c r="DWC34" s="575"/>
      <c r="DWD34" s="575"/>
      <c r="DWE34" s="575"/>
      <c r="DWF34" s="575"/>
      <c r="DWG34" s="575"/>
      <c r="DWH34" s="575"/>
      <c r="DWI34" s="575"/>
      <c r="DWJ34" s="575"/>
      <c r="DWK34" s="575"/>
      <c r="DWL34" s="575"/>
      <c r="DWM34" s="575"/>
      <c r="DWN34" s="575"/>
      <c r="DWO34" s="575"/>
      <c r="DWP34" s="575"/>
      <c r="DWQ34" s="575"/>
      <c r="DWR34" s="575"/>
      <c r="DWS34" s="575"/>
      <c r="DWT34" s="575"/>
      <c r="DWU34" s="575"/>
      <c r="DWV34" s="575"/>
      <c r="DWW34" s="575"/>
      <c r="DWX34" s="575"/>
      <c r="DWY34" s="575"/>
      <c r="DWZ34" s="575"/>
      <c r="DXA34" s="575"/>
      <c r="DXB34" s="575"/>
      <c r="DXC34" s="575"/>
      <c r="DXD34" s="575"/>
      <c r="DXE34" s="575"/>
      <c r="DXF34" s="575"/>
      <c r="DXG34" s="575"/>
      <c r="DXH34" s="575"/>
      <c r="DXI34" s="575"/>
      <c r="DXJ34" s="575"/>
      <c r="DXK34" s="575"/>
      <c r="DXL34" s="575"/>
      <c r="DXM34" s="575"/>
      <c r="DXN34" s="575"/>
      <c r="DXO34" s="575"/>
      <c r="DXP34" s="575"/>
      <c r="DXQ34" s="575"/>
      <c r="DXR34" s="575"/>
      <c r="DXS34" s="575"/>
      <c r="DXT34" s="575"/>
      <c r="DXU34" s="575"/>
      <c r="DXV34" s="575"/>
      <c r="DXW34" s="575"/>
      <c r="DXX34" s="575"/>
      <c r="DXY34" s="575"/>
      <c r="DXZ34" s="575"/>
      <c r="DYA34" s="575"/>
      <c r="DYB34" s="575"/>
      <c r="DYC34" s="575"/>
      <c r="DYD34" s="575"/>
      <c r="DYE34" s="575"/>
      <c r="DYF34" s="575"/>
      <c r="DYG34" s="575"/>
      <c r="DYH34" s="575"/>
      <c r="DYI34" s="575"/>
      <c r="DYJ34" s="575"/>
      <c r="DYK34" s="575"/>
      <c r="DYL34" s="575"/>
      <c r="DYM34" s="575"/>
      <c r="DYN34" s="575"/>
      <c r="DYO34" s="575"/>
      <c r="DYP34" s="575"/>
      <c r="DYQ34" s="575"/>
      <c r="DYR34" s="575"/>
      <c r="DYS34" s="575"/>
      <c r="DYT34" s="575"/>
      <c r="DYU34" s="575"/>
      <c r="DYV34" s="575"/>
      <c r="DYW34" s="575"/>
      <c r="DYX34" s="575"/>
      <c r="DYY34" s="575"/>
      <c r="DYZ34" s="575"/>
      <c r="DZA34" s="575"/>
      <c r="DZB34" s="575"/>
      <c r="DZC34" s="575"/>
      <c r="DZD34" s="575"/>
      <c r="DZE34" s="575"/>
      <c r="DZF34" s="575"/>
      <c r="DZG34" s="575"/>
      <c r="DZH34" s="575"/>
      <c r="DZI34" s="575"/>
      <c r="DZJ34" s="575"/>
      <c r="DZK34" s="575"/>
      <c r="DZL34" s="575"/>
      <c r="DZM34" s="575"/>
      <c r="DZN34" s="575"/>
      <c r="DZO34" s="575"/>
      <c r="DZP34" s="575"/>
      <c r="DZQ34" s="575"/>
      <c r="DZR34" s="575"/>
      <c r="DZS34" s="575"/>
      <c r="DZT34" s="575"/>
      <c r="DZU34" s="575"/>
      <c r="DZV34" s="575"/>
      <c r="DZW34" s="575"/>
      <c r="DZX34" s="575"/>
      <c r="DZY34" s="575"/>
      <c r="DZZ34" s="575"/>
      <c r="EAA34" s="575"/>
      <c r="EAB34" s="575"/>
      <c r="EAC34" s="575"/>
      <c r="EAD34" s="575"/>
      <c r="EAE34" s="575"/>
      <c r="EAF34" s="575"/>
      <c r="EAG34" s="575"/>
      <c r="EAH34" s="575"/>
      <c r="EAI34" s="575"/>
      <c r="EAJ34" s="575"/>
      <c r="EAK34" s="575"/>
      <c r="EAL34" s="575"/>
      <c r="EAM34" s="575"/>
      <c r="EAN34" s="575"/>
      <c r="EAO34" s="575"/>
      <c r="EAP34" s="575"/>
      <c r="EAQ34" s="575"/>
      <c r="EAR34" s="575"/>
      <c r="EAS34" s="575"/>
      <c r="EAT34" s="575"/>
      <c r="EAU34" s="575"/>
      <c r="EAV34" s="575"/>
      <c r="EAW34" s="575"/>
      <c r="EAX34" s="575"/>
      <c r="EAY34" s="575"/>
      <c r="EAZ34" s="575"/>
      <c r="EBA34" s="575"/>
      <c r="EBB34" s="575"/>
      <c r="EBC34" s="575"/>
      <c r="EBD34" s="575"/>
      <c r="EBE34" s="575"/>
      <c r="EBF34" s="575"/>
      <c r="EBG34" s="575"/>
      <c r="EBH34" s="575"/>
      <c r="EBI34" s="575"/>
      <c r="EBJ34" s="575"/>
      <c r="EBK34" s="575"/>
      <c r="EBL34" s="575"/>
      <c r="EBM34" s="575"/>
      <c r="EBN34" s="575"/>
      <c r="EBO34" s="575"/>
      <c r="EBP34" s="575"/>
      <c r="EBQ34" s="575"/>
      <c r="EBR34" s="575"/>
      <c r="EBS34" s="575"/>
      <c r="EBT34" s="575"/>
      <c r="EBU34" s="575"/>
      <c r="EBV34" s="575"/>
      <c r="EBW34" s="575"/>
      <c r="EBX34" s="575"/>
      <c r="EBY34" s="575"/>
      <c r="EBZ34" s="575"/>
      <c r="ECA34" s="575"/>
      <c r="ECB34" s="575"/>
      <c r="ECC34" s="575"/>
      <c r="ECD34" s="575"/>
      <c r="ECE34" s="575"/>
      <c r="ECF34" s="575"/>
      <c r="ECG34" s="575"/>
      <c r="ECH34" s="575"/>
      <c r="ECI34" s="575"/>
      <c r="ECJ34" s="575"/>
      <c r="ECK34" s="575"/>
      <c r="ECL34" s="575"/>
      <c r="ECM34" s="575"/>
      <c r="ECN34" s="575"/>
      <c r="ECO34" s="575"/>
      <c r="ECP34" s="575"/>
      <c r="ECQ34" s="575"/>
      <c r="ECR34" s="575"/>
      <c r="ECS34" s="575"/>
      <c r="ECT34" s="575"/>
      <c r="ECU34" s="575"/>
      <c r="ECV34" s="575"/>
      <c r="ECW34" s="575"/>
      <c r="ECX34" s="575"/>
      <c r="ECY34" s="575"/>
      <c r="ECZ34" s="575"/>
      <c r="EDA34" s="575"/>
      <c r="EDB34" s="575"/>
      <c r="EDC34" s="575"/>
      <c r="EDD34" s="575"/>
      <c r="EDE34" s="575"/>
      <c r="EDF34" s="575"/>
      <c r="EDG34" s="575"/>
      <c r="EDH34" s="575"/>
      <c r="EDI34" s="575"/>
      <c r="EDJ34" s="575"/>
      <c r="EDK34" s="575"/>
      <c r="EDL34" s="575"/>
      <c r="EDM34" s="575"/>
      <c r="EDN34" s="575"/>
      <c r="EDO34" s="575"/>
      <c r="EDP34" s="575"/>
      <c r="EDQ34" s="575"/>
      <c r="EDR34" s="575"/>
      <c r="EDS34" s="575"/>
      <c r="EDT34" s="575"/>
      <c r="EDU34" s="575"/>
      <c r="EDV34" s="575"/>
      <c r="EDW34" s="575"/>
      <c r="EDX34" s="575"/>
      <c r="EDY34" s="575"/>
      <c r="EDZ34" s="575"/>
      <c r="EEA34" s="575"/>
      <c r="EEB34" s="575"/>
      <c r="EEC34" s="575"/>
      <c r="EED34" s="575"/>
      <c r="EEE34" s="575"/>
      <c r="EEF34" s="575"/>
      <c r="EEG34" s="575"/>
      <c r="EEH34" s="575"/>
      <c r="EEI34" s="575"/>
      <c r="EEJ34" s="575"/>
      <c r="EEK34" s="575"/>
      <c r="EEL34" s="575"/>
      <c r="EEM34" s="575"/>
      <c r="EEN34" s="575"/>
      <c r="EEO34" s="575"/>
      <c r="EEP34" s="575"/>
      <c r="EEQ34" s="575"/>
      <c r="EER34" s="575"/>
      <c r="EES34" s="575"/>
      <c r="EET34" s="575"/>
      <c r="EEU34" s="575"/>
      <c r="EEV34" s="575"/>
      <c r="EEW34" s="575"/>
      <c r="EEX34" s="575"/>
      <c r="EEY34" s="575"/>
      <c r="EEZ34" s="575"/>
      <c r="EFA34" s="575"/>
      <c r="EFB34" s="575"/>
      <c r="EFC34" s="575"/>
      <c r="EFD34" s="575"/>
      <c r="EFE34" s="575"/>
      <c r="EFF34" s="575"/>
      <c r="EFG34" s="575"/>
      <c r="EFH34" s="575"/>
      <c r="EFI34" s="575"/>
      <c r="EFJ34" s="575"/>
      <c r="EFK34" s="575"/>
      <c r="EFL34" s="575"/>
      <c r="EFM34" s="575"/>
      <c r="EFN34" s="575"/>
      <c r="EFO34" s="575"/>
      <c r="EFP34" s="575"/>
      <c r="EFQ34" s="575"/>
      <c r="EFR34" s="575"/>
      <c r="EFS34" s="575"/>
      <c r="EFT34" s="575"/>
      <c r="EFU34" s="575"/>
      <c r="EFV34" s="575"/>
      <c r="EFW34" s="575"/>
      <c r="EFX34" s="575"/>
      <c r="EFY34" s="575"/>
      <c r="EFZ34" s="575"/>
      <c r="EGA34" s="575"/>
      <c r="EGB34" s="575"/>
      <c r="EGC34" s="575"/>
      <c r="EGD34" s="575"/>
      <c r="EGE34" s="575"/>
      <c r="EGF34" s="575"/>
      <c r="EGG34" s="575"/>
      <c r="EGH34" s="575"/>
      <c r="EGI34" s="575"/>
      <c r="EGJ34" s="575"/>
      <c r="EGK34" s="575"/>
      <c r="EGL34" s="575"/>
      <c r="EGM34" s="575"/>
      <c r="EGN34" s="575"/>
      <c r="EGO34" s="575"/>
      <c r="EGP34" s="575"/>
      <c r="EGQ34" s="575"/>
      <c r="EGR34" s="575"/>
      <c r="EGS34" s="575"/>
      <c r="EGT34" s="575"/>
      <c r="EGU34" s="575"/>
      <c r="EGV34" s="575"/>
      <c r="EGW34" s="575"/>
      <c r="EGX34" s="575"/>
      <c r="EGY34" s="575"/>
      <c r="EGZ34" s="575"/>
      <c r="EHA34" s="575"/>
      <c r="EHB34" s="575"/>
      <c r="EHC34" s="575"/>
      <c r="EHD34" s="575"/>
      <c r="EHE34" s="575"/>
      <c r="EHF34" s="575"/>
      <c r="EHG34" s="575"/>
      <c r="EHH34" s="575"/>
      <c r="EHI34" s="575"/>
      <c r="EHJ34" s="575"/>
      <c r="EHK34" s="575"/>
      <c r="EHL34" s="575"/>
      <c r="EHM34" s="575"/>
      <c r="EHN34" s="575"/>
      <c r="EHO34" s="575"/>
      <c r="EHP34" s="575"/>
      <c r="EHQ34" s="575"/>
      <c r="EHR34" s="575"/>
      <c r="EHS34" s="575"/>
      <c r="EHT34" s="575"/>
      <c r="EHU34" s="575"/>
      <c r="EHV34" s="575"/>
      <c r="EHW34" s="575"/>
      <c r="EHX34" s="575"/>
      <c r="EHY34" s="575"/>
      <c r="EHZ34" s="575"/>
      <c r="EIA34" s="575"/>
      <c r="EIB34" s="575"/>
      <c r="EIC34" s="575"/>
      <c r="EID34" s="575"/>
      <c r="EIE34" s="575"/>
      <c r="EIF34" s="575"/>
      <c r="EIG34" s="575"/>
      <c r="EIH34" s="575"/>
      <c r="EII34" s="575"/>
      <c r="EIJ34" s="575"/>
      <c r="EIK34" s="575"/>
      <c r="EIL34" s="575"/>
      <c r="EIM34" s="575"/>
      <c r="EIN34" s="575"/>
      <c r="EIO34" s="575"/>
      <c r="EIP34" s="575"/>
      <c r="EIQ34" s="575"/>
      <c r="EIR34" s="575"/>
      <c r="EIS34" s="575"/>
      <c r="EIT34" s="575"/>
      <c r="EIU34" s="575"/>
      <c r="EIV34" s="575"/>
      <c r="EIW34" s="575"/>
      <c r="EIX34" s="575"/>
      <c r="EIY34" s="575"/>
      <c r="EIZ34" s="575"/>
      <c r="EJA34" s="575"/>
      <c r="EJB34" s="575"/>
      <c r="EJC34" s="575"/>
      <c r="EJD34" s="575"/>
      <c r="EJE34" s="575"/>
      <c r="EJF34" s="575"/>
      <c r="EJG34" s="575"/>
      <c r="EJH34" s="575"/>
      <c r="EJI34" s="575"/>
      <c r="EJJ34" s="575"/>
      <c r="EJK34" s="575"/>
      <c r="EJL34" s="575"/>
      <c r="EJM34" s="575"/>
      <c r="EJN34" s="575"/>
      <c r="EJO34" s="575"/>
      <c r="EJP34" s="575"/>
      <c r="EJQ34" s="575"/>
      <c r="EJR34" s="575"/>
      <c r="EJS34" s="575"/>
      <c r="EJT34" s="575"/>
      <c r="EJU34" s="575"/>
      <c r="EJV34" s="575"/>
      <c r="EJW34" s="575"/>
      <c r="EJX34" s="575"/>
      <c r="EJY34" s="575"/>
      <c r="EJZ34" s="575"/>
      <c r="EKA34" s="575"/>
      <c r="EKB34" s="575"/>
      <c r="EKC34" s="575"/>
      <c r="EKD34" s="575"/>
      <c r="EKE34" s="575"/>
      <c r="EKF34" s="575"/>
      <c r="EKG34" s="575"/>
      <c r="EKH34" s="575"/>
      <c r="EKI34" s="575"/>
      <c r="EKJ34" s="575"/>
      <c r="EKK34" s="575"/>
      <c r="EKL34" s="575"/>
      <c r="EKM34" s="575"/>
      <c r="EKN34" s="575"/>
      <c r="EKO34" s="575"/>
      <c r="EKP34" s="575"/>
      <c r="EKQ34" s="575"/>
      <c r="EKR34" s="575"/>
      <c r="EKS34" s="575"/>
      <c r="EKT34" s="575"/>
      <c r="EKU34" s="575"/>
      <c r="EKV34" s="575"/>
      <c r="EKW34" s="575"/>
      <c r="EKX34" s="575"/>
      <c r="EKY34" s="575"/>
      <c r="EKZ34" s="575"/>
      <c r="ELA34" s="575"/>
      <c r="ELB34" s="575"/>
      <c r="ELC34" s="575"/>
      <c r="ELD34" s="575"/>
      <c r="ELE34" s="575"/>
      <c r="ELF34" s="575"/>
      <c r="ELG34" s="575"/>
      <c r="ELH34" s="575"/>
      <c r="ELI34" s="575"/>
      <c r="ELJ34" s="575"/>
      <c r="ELK34" s="575"/>
      <c r="ELL34" s="575"/>
      <c r="ELM34" s="575"/>
      <c r="ELN34" s="575"/>
      <c r="ELO34" s="575"/>
      <c r="ELP34" s="575"/>
      <c r="ELQ34" s="575"/>
      <c r="ELR34" s="575"/>
      <c r="ELS34" s="575"/>
      <c r="ELT34" s="575"/>
      <c r="ELU34" s="575"/>
      <c r="ELV34" s="575"/>
      <c r="ELW34" s="575"/>
      <c r="ELX34" s="575"/>
      <c r="ELY34" s="575"/>
      <c r="ELZ34" s="575"/>
      <c r="EMA34" s="575"/>
      <c r="EMB34" s="575"/>
      <c r="EMC34" s="575"/>
      <c r="EMD34" s="575"/>
      <c r="EME34" s="575"/>
      <c r="EMF34" s="575"/>
      <c r="EMG34" s="575"/>
      <c r="EMH34" s="575"/>
      <c r="EMI34" s="575"/>
      <c r="EMJ34" s="575"/>
      <c r="EMK34" s="575"/>
      <c r="EML34" s="575"/>
      <c r="EMM34" s="575"/>
      <c r="EMN34" s="575"/>
      <c r="EMO34" s="575"/>
      <c r="EMP34" s="575"/>
      <c r="EMQ34" s="575"/>
      <c r="EMR34" s="575"/>
      <c r="EMS34" s="575"/>
      <c r="EMT34" s="575"/>
      <c r="EMU34" s="575"/>
      <c r="EMV34" s="575"/>
      <c r="EMW34" s="575"/>
      <c r="EMX34" s="575"/>
      <c r="EMY34" s="575"/>
      <c r="EMZ34" s="575"/>
      <c r="ENA34" s="575"/>
      <c r="ENB34" s="575"/>
      <c r="ENC34" s="575"/>
      <c r="END34" s="575"/>
      <c r="ENE34" s="575"/>
      <c r="ENF34" s="575"/>
      <c r="ENG34" s="575"/>
      <c r="ENH34" s="575"/>
      <c r="ENI34" s="575"/>
      <c r="ENJ34" s="575"/>
      <c r="ENK34" s="575"/>
      <c r="ENL34" s="575"/>
      <c r="ENM34" s="575"/>
      <c r="ENN34" s="575"/>
      <c r="ENO34" s="575"/>
      <c r="ENP34" s="575"/>
      <c r="ENQ34" s="575"/>
      <c r="ENR34" s="575"/>
      <c r="ENS34" s="575"/>
      <c r="ENT34" s="575"/>
      <c r="ENU34" s="575"/>
      <c r="ENV34" s="575"/>
      <c r="ENW34" s="575"/>
      <c r="ENX34" s="575"/>
      <c r="ENY34" s="575"/>
      <c r="ENZ34" s="575"/>
      <c r="EOA34" s="575"/>
      <c r="EOB34" s="575"/>
      <c r="EOC34" s="575"/>
      <c r="EOD34" s="575"/>
      <c r="EOE34" s="575"/>
      <c r="EOF34" s="575"/>
      <c r="EOG34" s="575"/>
      <c r="EOH34" s="575"/>
      <c r="EOI34" s="575"/>
      <c r="EOJ34" s="575"/>
      <c r="EOK34" s="575"/>
      <c r="EOL34" s="575"/>
      <c r="EOM34" s="575"/>
      <c r="EON34" s="575"/>
      <c r="EOO34" s="575"/>
      <c r="EOP34" s="575"/>
      <c r="EOQ34" s="575"/>
      <c r="EOR34" s="575"/>
      <c r="EOS34" s="575"/>
      <c r="EOT34" s="575"/>
      <c r="EOU34" s="575"/>
      <c r="EOV34" s="575"/>
      <c r="EOW34" s="575"/>
      <c r="EOX34" s="575"/>
      <c r="EOY34" s="575"/>
      <c r="EOZ34" s="575"/>
      <c r="EPA34" s="575"/>
      <c r="EPB34" s="575"/>
      <c r="EPC34" s="575"/>
      <c r="EPD34" s="575"/>
      <c r="EPE34" s="575"/>
      <c r="EPF34" s="575"/>
      <c r="EPG34" s="575"/>
      <c r="EPH34" s="575"/>
      <c r="EPI34" s="575"/>
      <c r="EPJ34" s="575"/>
      <c r="EPK34" s="575"/>
      <c r="EPL34" s="575"/>
      <c r="EPM34" s="575"/>
      <c r="EPN34" s="575"/>
      <c r="EPO34" s="575"/>
      <c r="EPP34" s="575"/>
      <c r="EPQ34" s="575"/>
      <c r="EPR34" s="575"/>
      <c r="EPS34" s="575"/>
      <c r="EPT34" s="575"/>
      <c r="EPU34" s="575"/>
      <c r="EPV34" s="575"/>
      <c r="EPW34" s="575"/>
      <c r="EPX34" s="575"/>
      <c r="EPY34" s="575"/>
      <c r="EPZ34" s="575"/>
      <c r="EQA34" s="575"/>
      <c r="EQB34" s="575"/>
      <c r="EQC34" s="575"/>
      <c r="EQD34" s="575"/>
      <c r="EQE34" s="575"/>
      <c r="EQF34" s="575"/>
      <c r="EQG34" s="575"/>
      <c r="EQH34" s="575"/>
      <c r="EQI34" s="575"/>
      <c r="EQJ34" s="575"/>
      <c r="EQK34" s="575"/>
      <c r="EQL34" s="575"/>
      <c r="EQM34" s="575"/>
      <c r="EQN34" s="575"/>
      <c r="EQO34" s="575"/>
      <c r="EQP34" s="575"/>
      <c r="EQQ34" s="575"/>
      <c r="EQR34" s="575"/>
      <c r="EQS34" s="575"/>
      <c r="EQT34" s="575"/>
      <c r="EQU34" s="575"/>
      <c r="EQV34" s="575"/>
      <c r="EQW34" s="575"/>
      <c r="EQX34" s="575"/>
      <c r="EQY34" s="575"/>
      <c r="EQZ34" s="575"/>
      <c r="ERA34" s="575"/>
      <c r="ERB34" s="575"/>
      <c r="ERC34" s="575"/>
      <c r="ERD34" s="575"/>
      <c r="ERE34" s="575"/>
      <c r="ERF34" s="575"/>
      <c r="ERG34" s="575"/>
      <c r="ERH34" s="575"/>
      <c r="ERI34" s="575"/>
      <c r="ERJ34" s="575"/>
      <c r="ERK34" s="575"/>
      <c r="ERL34" s="575"/>
      <c r="ERM34" s="575"/>
      <c r="ERN34" s="575"/>
      <c r="ERO34" s="575"/>
      <c r="ERP34" s="575"/>
      <c r="ERQ34" s="575"/>
      <c r="ERR34" s="575"/>
      <c r="ERS34" s="575"/>
      <c r="ERT34" s="575"/>
      <c r="ERU34" s="575"/>
      <c r="ERV34" s="575"/>
      <c r="ERW34" s="575"/>
      <c r="ERX34" s="575"/>
      <c r="ERY34" s="575"/>
      <c r="ERZ34" s="575"/>
      <c r="ESA34" s="575"/>
      <c r="ESB34" s="575"/>
      <c r="ESC34" s="575"/>
      <c r="ESD34" s="575"/>
      <c r="ESE34" s="575"/>
      <c r="ESF34" s="575"/>
      <c r="ESG34" s="575"/>
      <c r="ESH34" s="575"/>
      <c r="ESI34" s="575"/>
      <c r="ESJ34" s="575"/>
      <c r="ESK34" s="575"/>
      <c r="ESL34" s="575"/>
      <c r="ESM34" s="575"/>
      <c r="ESN34" s="575"/>
      <c r="ESO34" s="575"/>
      <c r="ESP34" s="575"/>
      <c r="ESQ34" s="575"/>
      <c r="ESR34" s="575"/>
      <c r="ESS34" s="575"/>
      <c r="EST34" s="575"/>
      <c r="ESU34" s="575"/>
      <c r="ESV34" s="575"/>
      <c r="ESW34" s="575"/>
      <c r="ESX34" s="575"/>
      <c r="ESY34" s="575"/>
      <c r="ESZ34" s="575"/>
      <c r="ETA34" s="575"/>
      <c r="ETB34" s="575"/>
      <c r="ETC34" s="575"/>
      <c r="ETD34" s="575"/>
      <c r="ETE34" s="575"/>
      <c r="ETF34" s="575"/>
      <c r="ETG34" s="575"/>
      <c r="ETH34" s="575"/>
      <c r="ETI34" s="575"/>
      <c r="ETJ34" s="575"/>
      <c r="ETK34" s="575"/>
      <c r="ETL34" s="575"/>
      <c r="ETM34" s="575"/>
      <c r="ETN34" s="575"/>
      <c r="ETO34" s="575"/>
      <c r="ETP34" s="575"/>
      <c r="ETQ34" s="575"/>
      <c r="ETR34" s="575"/>
      <c r="ETS34" s="575"/>
      <c r="ETT34" s="575"/>
      <c r="ETU34" s="575"/>
      <c r="ETV34" s="575"/>
      <c r="ETW34" s="575"/>
      <c r="ETX34" s="575"/>
      <c r="ETY34" s="575"/>
      <c r="ETZ34" s="575"/>
      <c r="EUA34" s="575"/>
      <c r="EUB34" s="575"/>
      <c r="EUC34" s="575"/>
      <c r="EUD34" s="575"/>
      <c r="EUE34" s="575"/>
      <c r="EUF34" s="575"/>
      <c r="EUG34" s="575"/>
      <c r="EUH34" s="575"/>
      <c r="EUI34" s="575"/>
      <c r="EUJ34" s="575"/>
      <c r="EUK34" s="575"/>
      <c r="EUL34" s="575"/>
      <c r="EUM34" s="575"/>
      <c r="EUN34" s="575"/>
      <c r="EUO34" s="575"/>
      <c r="EUP34" s="575"/>
      <c r="EUQ34" s="575"/>
      <c r="EUR34" s="575"/>
      <c r="EUS34" s="575"/>
      <c r="EUT34" s="575"/>
      <c r="EUU34" s="575"/>
      <c r="EUV34" s="575"/>
      <c r="EUW34" s="575"/>
      <c r="EUX34" s="575"/>
      <c r="EUY34" s="575"/>
      <c r="EUZ34" s="575"/>
      <c r="EVA34" s="575"/>
      <c r="EVB34" s="575"/>
      <c r="EVC34" s="575"/>
      <c r="EVD34" s="575"/>
      <c r="EVE34" s="575"/>
      <c r="EVF34" s="575"/>
      <c r="EVG34" s="575"/>
      <c r="EVH34" s="575"/>
      <c r="EVI34" s="575"/>
      <c r="EVJ34" s="575"/>
      <c r="EVK34" s="575"/>
      <c r="EVL34" s="575"/>
      <c r="EVM34" s="575"/>
      <c r="EVN34" s="575"/>
      <c r="EVO34" s="575"/>
      <c r="EVP34" s="575"/>
      <c r="EVQ34" s="575"/>
      <c r="EVR34" s="575"/>
      <c r="EVS34" s="575"/>
      <c r="EVT34" s="575"/>
      <c r="EVU34" s="575"/>
      <c r="EVV34" s="575"/>
      <c r="EVW34" s="575"/>
      <c r="EVX34" s="575"/>
      <c r="EVY34" s="575"/>
      <c r="EVZ34" s="575"/>
      <c r="EWA34" s="575"/>
      <c r="EWB34" s="575"/>
      <c r="EWC34" s="575"/>
      <c r="EWD34" s="575"/>
      <c r="EWE34" s="575"/>
      <c r="EWF34" s="575"/>
      <c r="EWG34" s="575"/>
      <c r="EWH34" s="575"/>
      <c r="EWI34" s="575"/>
      <c r="EWJ34" s="575"/>
      <c r="EWK34" s="575"/>
      <c r="EWL34" s="575"/>
      <c r="EWM34" s="575"/>
      <c r="EWN34" s="575"/>
      <c r="EWO34" s="575"/>
      <c r="EWP34" s="575"/>
      <c r="EWQ34" s="575"/>
      <c r="EWR34" s="575"/>
      <c r="EWS34" s="575"/>
      <c r="EWT34" s="575"/>
      <c r="EWU34" s="575"/>
      <c r="EWV34" s="575"/>
      <c r="EWW34" s="575"/>
      <c r="EWX34" s="575"/>
      <c r="EWY34" s="575"/>
      <c r="EWZ34" s="575"/>
      <c r="EXA34" s="575"/>
      <c r="EXB34" s="575"/>
      <c r="EXC34" s="575"/>
      <c r="EXD34" s="575"/>
      <c r="EXE34" s="575"/>
      <c r="EXF34" s="575"/>
      <c r="EXG34" s="575"/>
      <c r="EXH34" s="575"/>
      <c r="EXI34" s="575"/>
      <c r="EXJ34" s="575"/>
      <c r="EXK34" s="575"/>
      <c r="EXL34" s="575"/>
      <c r="EXM34" s="575"/>
      <c r="EXN34" s="575"/>
      <c r="EXO34" s="575"/>
      <c r="EXP34" s="575"/>
      <c r="EXQ34" s="575"/>
      <c r="EXR34" s="575"/>
      <c r="EXS34" s="575"/>
      <c r="EXT34" s="575"/>
      <c r="EXU34" s="575"/>
      <c r="EXV34" s="575"/>
      <c r="EXW34" s="575"/>
      <c r="EXX34" s="575"/>
      <c r="EXY34" s="575"/>
      <c r="EXZ34" s="575"/>
      <c r="EYA34" s="575"/>
      <c r="EYB34" s="575"/>
      <c r="EYC34" s="575"/>
      <c r="EYD34" s="575"/>
      <c r="EYE34" s="575"/>
      <c r="EYF34" s="575"/>
      <c r="EYG34" s="575"/>
      <c r="EYH34" s="575"/>
      <c r="EYI34" s="575"/>
      <c r="EYJ34" s="575"/>
      <c r="EYK34" s="575"/>
      <c r="EYL34" s="575"/>
      <c r="EYM34" s="575"/>
      <c r="EYN34" s="575"/>
      <c r="EYO34" s="575"/>
      <c r="EYP34" s="575"/>
      <c r="EYQ34" s="575"/>
      <c r="EYR34" s="575"/>
      <c r="EYS34" s="575"/>
      <c r="EYT34" s="575"/>
      <c r="EYU34" s="575"/>
      <c r="EYV34" s="575"/>
      <c r="EYW34" s="575"/>
      <c r="EYX34" s="575"/>
      <c r="EYY34" s="575"/>
      <c r="EYZ34" s="575"/>
      <c r="EZA34" s="575"/>
      <c r="EZB34" s="575"/>
      <c r="EZC34" s="575"/>
      <c r="EZD34" s="575"/>
      <c r="EZE34" s="575"/>
      <c r="EZF34" s="575"/>
      <c r="EZG34" s="575"/>
      <c r="EZH34" s="575"/>
      <c r="EZI34" s="575"/>
      <c r="EZJ34" s="575"/>
      <c r="EZK34" s="575"/>
      <c r="EZL34" s="575"/>
      <c r="EZM34" s="575"/>
      <c r="EZN34" s="575"/>
      <c r="EZO34" s="575"/>
      <c r="EZP34" s="575"/>
      <c r="EZQ34" s="575"/>
      <c r="EZR34" s="575"/>
      <c r="EZS34" s="575"/>
      <c r="EZT34" s="575"/>
      <c r="EZU34" s="575"/>
      <c r="EZV34" s="575"/>
      <c r="EZW34" s="575"/>
      <c r="EZX34" s="575"/>
      <c r="EZY34" s="575"/>
      <c r="EZZ34" s="575"/>
      <c r="FAA34" s="575"/>
      <c r="FAB34" s="575"/>
      <c r="FAC34" s="575"/>
      <c r="FAD34" s="575"/>
      <c r="FAE34" s="575"/>
      <c r="FAF34" s="575"/>
      <c r="FAG34" s="575"/>
      <c r="FAH34" s="575"/>
      <c r="FAI34" s="575"/>
      <c r="FAJ34" s="575"/>
      <c r="FAK34" s="575"/>
      <c r="FAL34" s="575"/>
      <c r="FAM34" s="575"/>
      <c r="FAN34" s="575"/>
      <c r="FAO34" s="575"/>
      <c r="FAP34" s="575"/>
      <c r="FAQ34" s="575"/>
      <c r="FAR34" s="575"/>
      <c r="FAS34" s="575"/>
      <c r="FAT34" s="575"/>
      <c r="FAU34" s="575"/>
      <c r="FAV34" s="575"/>
      <c r="FAW34" s="575"/>
      <c r="FAX34" s="575"/>
      <c r="FAY34" s="575"/>
      <c r="FAZ34" s="575"/>
      <c r="FBA34" s="575"/>
      <c r="FBB34" s="575"/>
      <c r="FBC34" s="575"/>
      <c r="FBD34" s="575"/>
      <c r="FBE34" s="575"/>
      <c r="FBF34" s="575"/>
      <c r="FBG34" s="575"/>
      <c r="FBH34" s="575"/>
      <c r="FBI34" s="575"/>
      <c r="FBJ34" s="575"/>
      <c r="FBK34" s="575"/>
      <c r="FBL34" s="575"/>
      <c r="FBM34" s="575"/>
      <c r="FBN34" s="575"/>
      <c r="FBO34" s="575"/>
      <c r="FBP34" s="575"/>
      <c r="FBQ34" s="575"/>
      <c r="FBR34" s="575"/>
      <c r="FBS34" s="575"/>
      <c r="FBT34" s="575"/>
      <c r="FBU34" s="575"/>
      <c r="FBV34" s="575"/>
      <c r="FBW34" s="575"/>
      <c r="FBX34" s="575"/>
      <c r="FBY34" s="575"/>
      <c r="FBZ34" s="575"/>
      <c r="FCA34" s="575"/>
      <c r="FCB34" s="575"/>
      <c r="FCC34" s="575"/>
      <c r="FCD34" s="575"/>
      <c r="FCE34" s="575"/>
      <c r="FCF34" s="575"/>
      <c r="FCG34" s="575"/>
      <c r="FCH34" s="575"/>
      <c r="FCI34" s="575"/>
      <c r="FCJ34" s="575"/>
      <c r="FCK34" s="575"/>
      <c r="FCL34" s="575"/>
      <c r="FCM34" s="575"/>
      <c r="FCN34" s="575"/>
      <c r="FCO34" s="575"/>
      <c r="FCP34" s="575"/>
      <c r="FCQ34" s="575"/>
      <c r="FCR34" s="575"/>
      <c r="FCS34" s="575"/>
      <c r="FCT34" s="575"/>
      <c r="FCU34" s="575"/>
      <c r="FCV34" s="575"/>
      <c r="FCW34" s="575"/>
      <c r="FCX34" s="575"/>
      <c r="FCY34" s="575"/>
      <c r="FCZ34" s="575"/>
      <c r="FDA34" s="575"/>
      <c r="FDB34" s="575"/>
      <c r="FDC34" s="575"/>
      <c r="FDD34" s="575"/>
      <c r="FDE34" s="575"/>
      <c r="FDF34" s="575"/>
      <c r="FDG34" s="575"/>
      <c r="FDH34" s="575"/>
      <c r="FDI34" s="575"/>
      <c r="FDJ34" s="575"/>
      <c r="FDK34" s="575"/>
      <c r="FDL34" s="575"/>
      <c r="FDM34" s="575"/>
      <c r="FDN34" s="575"/>
      <c r="FDO34" s="575"/>
      <c r="FDP34" s="575"/>
      <c r="FDQ34" s="575"/>
      <c r="FDR34" s="575"/>
      <c r="FDS34" s="575"/>
      <c r="FDT34" s="575"/>
      <c r="FDU34" s="575"/>
      <c r="FDV34" s="575"/>
      <c r="FDW34" s="575"/>
      <c r="FDX34" s="575"/>
      <c r="FDY34" s="575"/>
      <c r="FDZ34" s="575"/>
      <c r="FEA34" s="575"/>
      <c r="FEB34" s="575"/>
      <c r="FEC34" s="575"/>
      <c r="FED34" s="575"/>
      <c r="FEE34" s="575"/>
      <c r="FEF34" s="575"/>
      <c r="FEG34" s="575"/>
      <c r="FEH34" s="575"/>
      <c r="FEI34" s="575"/>
      <c r="FEJ34" s="575"/>
      <c r="FEK34" s="575"/>
      <c r="FEL34" s="575"/>
      <c r="FEM34" s="575"/>
      <c r="FEN34" s="575"/>
      <c r="FEO34" s="575"/>
      <c r="FEP34" s="575"/>
      <c r="FEQ34" s="575"/>
      <c r="FER34" s="575"/>
      <c r="FES34" s="575"/>
      <c r="FET34" s="575"/>
      <c r="FEU34" s="575"/>
      <c r="FEV34" s="575"/>
      <c r="FEW34" s="575"/>
      <c r="FEX34" s="575"/>
      <c r="FEY34" s="575"/>
      <c r="FEZ34" s="575"/>
      <c r="FFA34" s="575"/>
      <c r="FFB34" s="575"/>
      <c r="FFC34" s="575"/>
      <c r="FFD34" s="575"/>
      <c r="FFE34" s="575"/>
      <c r="FFF34" s="575"/>
      <c r="FFG34" s="575"/>
      <c r="FFH34" s="575"/>
      <c r="FFI34" s="575"/>
      <c r="FFJ34" s="575"/>
      <c r="FFK34" s="575"/>
      <c r="FFL34" s="575"/>
      <c r="FFM34" s="575"/>
      <c r="FFN34" s="575"/>
      <c r="FFO34" s="575"/>
      <c r="FFP34" s="575"/>
      <c r="FFQ34" s="575"/>
      <c r="FFR34" s="575"/>
      <c r="FFS34" s="575"/>
      <c r="FFT34" s="575"/>
      <c r="FFU34" s="575"/>
      <c r="FFV34" s="575"/>
      <c r="FFW34" s="575"/>
      <c r="FFX34" s="575"/>
      <c r="FFY34" s="575"/>
      <c r="FFZ34" s="575"/>
      <c r="FGA34" s="575"/>
      <c r="FGB34" s="575"/>
      <c r="FGC34" s="575"/>
      <c r="FGD34" s="575"/>
      <c r="FGE34" s="575"/>
      <c r="FGF34" s="575"/>
      <c r="FGG34" s="575"/>
      <c r="FGH34" s="575"/>
      <c r="FGI34" s="575"/>
      <c r="FGJ34" s="575"/>
      <c r="FGK34" s="575"/>
      <c r="FGL34" s="575"/>
      <c r="FGM34" s="575"/>
      <c r="FGN34" s="575"/>
      <c r="FGO34" s="575"/>
      <c r="FGP34" s="575"/>
      <c r="FGQ34" s="575"/>
      <c r="FGR34" s="575"/>
      <c r="FGS34" s="575"/>
      <c r="FGT34" s="575"/>
      <c r="FGU34" s="575"/>
      <c r="FGV34" s="575"/>
      <c r="FGW34" s="575"/>
      <c r="FGX34" s="575"/>
      <c r="FGY34" s="575"/>
      <c r="FGZ34" s="575"/>
      <c r="FHA34" s="575"/>
      <c r="FHB34" s="575"/>
      <c r="FHC34" s="575"/>
      <c r="FHD34" s="575"/>
      <c r="FHE34" s="575"/>
      <c r="FHF34" s="575"/>
      <c r="FHG34" s="575"/>
      <c r="FHH34" s="575"/>
      <c r="FHI34" s="575"/>
      <c r="FHJ34" s="575"/>
      <c r="FHK34" s="575"/>
      <c r="FHL34" s="575"/>
      <c r="FHM34" s="575"/>
      <c r="FHN34" s="575"/>
      <c r="FHO34" s="575"/>
      <c r="FHP34" s="575"/>
      <c r="FHQ34" s="575"/>
      <c r="FHR34" s="575"/>
      <c r="FHS34" s="575"/>
      <c r="FHT34" s="575"/>
      <c r="FHU34" s="575"/>
      <c r="FHV34" s="575"/>
      <c r="FHW34" s="575"/>
      <c r="FHX34" s="575"/>
      <c r="FHY34" s="575"/>
      <c r="FHZ34" s="575"/>
      <c r="FIA34" s="575"/>
      <c r="FIB34" s="575"/>
      <c r="FIC34" s="575"/>
      <c r="FID34" s="575"/>
      <c r="FIE34" s="575"/>
      <c r="FIF34" s="575"/>
      <c r="FIG34" s="575"/>
      <c r="FIH34" s="575"/>
      <c r="FII34" s="575"/>
      <c r="FIJ34" s="575"/>
      <c r="FIK34" s="575"/>
      <c r="FIL34" s="575"/>
      <c r="FIM34" s="575"/>
      <c r="FIN34" s="575"/>
      <c r="FIO34" s="575"/>
      <c r="FIP34" s="575"/>
      <c r="FIQ34" s="575"/>
      <c r="FIR34" s="575"/>
      <c r="FIS34" s="575"/>
      <c r="FIT34" s="575"/>
      <c r="FIU34" s="575"/>
      <c r="FIV34" s="575"/>
      <c r="FIW34" s="575"/>
      <c r="FIX34" s="575"/>
      <c r="FIY34" s="575"/>
      <c r="FIZ34" s="575"/>
      <c r="FJA34" s="575"/>
      <c r="FJB34" s="575"/>
      <c r="FJC34" s="575"/>
      <c r="FJD34" s="575"/>
      <c r="FJE34" s="575"/>
      <c r="FJF34" s="575"/>
      <c r="FJG34" s="575"/>
      <c r="FJH34" s="575"/>
      <c r="FJI34" s="575"/>
      <c r="FJJ34" s="575"/>
      <c r="FJK34" s="575"/>
      <c r="FJL34" s="575"/>
      <c r="FJM34" s="575"/>
      <c r="FJN34" s="575"/>
      <c r="FJO34" s="575"/>
      <c r="FJP34" s="575"/>
      <c r="FJQ34" s="575"/>
      <c r="FJR34" s="575"/>
      <c r="FJS34" s="575"/>
      <c r="FJT34" s="575"/>
      <c r="FJU34" s="575"/>
      <c r="FJV34" s="575"/>
      <c r="FJW34" s="575"/>
      <c r="FJX34" s="575"/>
      <c r="FJY34" s="575"/>
      <c r="FJZ34" s="575"/>
      <c r="FKA34" s="575"/>
      <c r="FKB34" s="575"/>
      <c r="FKC34" s="575"/>
      <c r="FKD34" s="575"/>
      <c r="FKE34" s="575"/>
      <c r="FKF34" s="575"/>
      <c r="FKG34" s="575"/>
      <c r="FKH34" s="575"/>
      <c r="FKI34" s="575"/>
      <c r="FKJ34" s="575"/>
      <c r="FKK34" s="575"/>
      <c r="FKL34" s="575"/>
      <c r="FKM34" s="575"/>
      <c r="FKN34" s="575"/>
      <c r="FKO34" s="575"/>
      <c r="FKP34" s="575"/>
      <c r="FKQ34" s="575"/>
      <c r="FKR34" s="575"/>
      <c r="FKS34" s="575"/>
      <c r="FKT34" s="575"/>
      <c r="FKU34" s="575"/>
      <c r="FKV34" s="575"/>
      <c r="FKW34" s="575"/>
      <c r="FKX34" s="575"/>
      <c r="FKY34" s="575"/>
      <c r="FKZ34" s="575"/>
      <c r="FLA34" s="575"/>
      <c r="FLB34" s="575"/>
      <c r="FLC34" s="575"/>
      <c r="FLD34" s="575"/>
      <c r="FLE34" s="575"/>
      <c r="FLF34" s="575"/>
      <c r="FLG34" s="575"/>
      <c r="FLH34" s="575"/>
      <c r="FLI34" s="575"/>
      <c r="FLJ34" s="575"/>
      <c r="FLK34" s="575"/>
      <c r="FLL34" s="575"/>
      <c r="FLM34" s="575"/>
      <c r="FLN34" s="575"/>
      <c r="FLO34" s="575"/>
      <c r="FLP34" s="575"/>
      <c r="FLQ34" s="575"/>
      <c r="FLR34" s="575"/>
      <c r="FLS34" s="575"/>
      <c r="FLT34" s="575"/>
      <c r="FLU34" s="575"/>
      <c r="FLV34" s="575"/>
      <c r="FLW34" s="575"/>
      <c r="FLX34" s="575"/>
      <c r="FLY34" s="575"/>
      <c r="FLZ34" s="575"/>
      <c r="FMA34" s="575"/>
      <c r="FMB34" s="575"/>
      <c r="FMC34" s="575"/>
      <c r="FMD34" s="575"/>
      <c r="FME34" s="575"/>
      <c r="FMF34" s="575"/>
      <c r="FMG34" s="575"/>
      <c r="FMH34" s="575"/>
      <c r="FMI34" s="575"/>
      <c r="FMJ34" s="575"/>
      <c r="FMK34" s="575"/>
      <c r="FML34" s="575"/>
      <c r="FMM34" s="575"/>
      <c r="FMN34" s="575"/>
      <c r="FMO34" s="575"/>
      <c r="FMP34" s="575"/>
      <c r="FMQ34" s="575"/>
      <c r="FMR34" s="575"/>
      <c r="FMS34" s="575"/>
      <c r="FMT34" s="575"/>
      <c r="FMU34" s="575"/>
      <c r="FMV34" s="575"/>
      <c r="FMW34" s="575"/>
      <c r="FMX34" s="575"/>
      <c r="FMY34" s="575"/>
      <c r="FMZ34" s="575"/>
      <c r="FNA34" s="575"/>
      <c r="FNB34" s="575"/>
      <c r="FNC34" s="575"/>
      <c r="FND34" s="575"/>
      <c r="FNE34" s="575"/>
      <c r="FNF34" s="575"/>
      <c r="FNG34" s="575"/>
      <c r="FNH34" s="575"/>
      <c r="FNI34" s="575"/>
      <c r="FNJ34" s="575"/>
      <c r="FNK34" s="575"/>
      <c r="FNL34" s="575"/>
      <c r="FNM34" s="575"/>
      <c r="FNN34" s="575"/>
      <c r="FNO34" s="575"/>
      <c r="FNP34" s="575"/>
      <c r="FNQ34" s="575"/>
      <c r="FNR34" s="575"/>
      <c r="FNS34" s="575"/>
      <c r="FNT34" s="575"/>
      <c r="FNU34" s="575"/>
      <c r="FNV34" s="575"/>
      <c r="FNW34" s="575"/>
      <c r="FNX34" s="575"/>
      <c r="FNY34" s="575"/>
      <c r="FNZ34" s="575"/>
      <c r="FOA34" s="575"/>
      <c r="FOB34" s="575"/>
      <c r="FOC34" s="575"/>
      <c r="FOD34" s="575"/>
      <c r="FOE34" s="575"/>
      <c r="FOF34" s="575"/>
      <c r="FOG34" s="575"/>
      <c r="FOH34" s="575"/>
      <c r="FOI34" s="575"/>
      <c r="FOJ34" s="575"/>
      <c r="FOK34" s="575"/>
      <c r="FOL34" s="575"/>
      <c r="FOM34" s="575"/>
      <c r="FON34" s="575"/>
      <c r="FOO34" s="575"/>
      <c r="FOP34" s="575"/>
      <c r="FOQ34" s="575"/>
      <c r="FOR34" s="575"/>
      <c r="FOS34" s="575"/>
      <c r="FOT34" s="575"/>
      <c r="FOU34" s="575"/>
      <c r="FOV34" s="575"/>
      <c r="FOW34" s="575"/>
      <c r="FOX34" s="575"/>
      <c r="FOY34" s="575"/>
      <c r="FOZ34" s="575"/>
      <c r="FPA34" s="575"/>
      <c r="FPB34" s="575"/>
      <c r="FPC34" s="575"/>
      <c r="FPD34" s="575"/>
      <c r="FPE34" s="575"/>
      <c r="FPF34" s="575"/>
      <c r="FPG34" s="575"/>
      <c r="FPH34" s="575"/>
      <c r="FPI34" s="575"/>
      <c r="FPJ34" s="575"/>
      <c r="FPK34" s="575"/>
      <c r="FPL34" s="575"/>
      <c r="FPM34" s="575"/>
      <c r="FPN34" s="575"/>
      <c r="FPO34" s="575"/>
      <c r="FPP34" s="575"/>
      <c r="FPQ34" s="575"/>
      <c r="FPR34" s="575"/>
      <c r="FPS34" s="575"/>
      <c r="FPT34" s="575"/>
      <c r="FPU34" s="575"/>
      <c r="FPV34" s="575"/>
      <c r="FPW34" s="575"/>
      <c r="FPX34" s="575"/>
      <c r="FPY34" s="575"/>
      <c r="FPZ34" s="575"/>
      <c r="FQA34" s="575"/>
      <c r="FQB34" s="575"/>
      <c r="FQC34" s="575"/>
      <c r="FQD34" s="575"/>
      <c r="FQE34" s="575"/>
      <c r="FQF34" s="575"/>
      <c r="FQG34" s="575"/>
      <c r="FQH34" s="575"/>
      <c r="FQI34" s="575"/>
      <c r="FQJ34" s="575"/>
      <c r="FQK34" s="575"/>
      <c r="FQL34" s="575"/>
      <c r="FQM34" s="575"/>
      <c r="FQN34" s="575"/>
      <c r="FQO34" s="575"/>
      <c r="FQP34" s="575"/>
      <c r="FQQ34" s="575"/>
      <c r="FQR34" s="575"/>
      <c r="FQS34" s="575"/>
      <c r="FQT34" s="575"/>
      <c r="FQU34" s="575"/>
      <c r="FQV34" s="575"/>
      <c r="FQW34" s="575"/>
      <c r="FQX34" s="575"/>
      <c r="FQY34" s="575"/>
      <c r="FQZ34" s="575"/>
      <c r="FRA34" s="575"/>
      <c r="FRB34" s="575"/>
      <c r="FRC34" s="575"/>
      <c r="FRD34" s="575"/>
      <c r="FRE34" s="575"/>
      <c r="FRF34" s="575"/>
      <c r="FRG34" s="575"/>
      <c r="FRH34" s="575"/>
      <c r="FRI34" s="575"/>
      <c r="FRJ34" s="575"/>
      <c r="FRK34" s="575"/>
      <c r="FRL34" s="575"/>
      <c r="FRM34" s="575"/>
      <c r="FRN34" s="575"/>
      <c r="FRO34" s="575"/>
      <c r="FRP34" s="575"/>
      <c r="FRQ34" s="575"/>
      <c r="FRR34" s="575"/>
      <c r="FRS34" s="575"/>
      <c r="FRT34" s="575"/>
      <c r="FRU34" s="575"/>
      <c r="FRV34" s="575"/>
      <c r="FRW34" s="575"/>
      <c r="FRX34" s="575"/>
      <c r="FRY34" s="575"/>
      <c r="FRZ34" s="575"/>
      <c r="FSA34" s="575"/>
      <c r="FSB34" s="575"/>
      <c r="FSC34" s="575"/>
      <c r="FSD34" s="575"/>
      <c r="FSE34" s="575"/>
      <c r="FSF34" s="575"/>
      <c r="FSG34" s="575"/>
      <c r="FSH34" s="575"/>
      <c r="FSI34" s="575"/>
      <c r="FSJ34" s="575"/>
      <c r="FSK34" s="575"/>
      <c r="FSL34" s="575"/>
      <c r="FSM34" s="575"/>
      <c r="FSN34" s="575"/>
      <c r="FSO34" s="575"/>
      <c r="FSP34" s="575"/>
      <c r="FSQ34" s="575"/>
      <c r="FSR34" s="575"/>
      <c r="FSS34" s="575"/>
      <c r="FST34" s="575"/>
      <c r="FSU34" s="575"/>
      <c r="FSV34" s="575"/>
      <c r="FSW34" s="575"/>
      <c r="FSX34" s="575"/>
      <c r="FSY34" s="575"/>
      <c r="FSZ34" s="575"/>
      <c r="FTA34" s="575"/>
      <c r="FTB34" s="575"/>
      <c r="FTC34" s="575"/>
      <c r="FTD34" s="575"/>
      <c r="FTE34" s="575"/>
      <c r="FTF34" s="575"/>
      <c r="FTG34" s="575"/>
      <c r="FTH34" s="575"/>
      <c r="FTI34" s="575"/>
      <c r="FTJ34" s="575"/>
      <c r="FTK34" s="575"/>
      <c r="FTL34" s="575"/>
      <c r="FTM34" s="575"/>
      <c r="FTN34" s="575"/>
      <c r="FTO34" s="575"/>
      <c r="FTP34" s="575"/>
      <c r="FTQ34" s="575"/>
      <c r="FTR34" s="575"/>
      <c r="FTS34" s="575"/>
      <c r="FTT34" s="575"/>
      <c r="FTU34" s="575"/>
      <c r="FTV34" s="575"/>
      <c r="FTW34" s="575"/>
      <c r="FTX34" s="575"/>
      <c r="FTY34" s="575"/>
      <c r="FTZ34" s="575"/>
      <c r="FUA34" s="575"/>
      <c r="FUB34" s="575"/>
      <c r="FUC34" s="575"/>
      <c r="FUD34" s="575"/>
      <c r="FUE34" s="575"/>
      <c r="FUF34" s="575"/>
      <c r="FUG34" s="575"/>
      <c r="FUH34" s="575"/>
      <c r="FUI34" s="575"/>
      <c r="FUJ34" s="575"/>
      <c r="FUK34" s="575"/>
      <c r="FUL34" s="575"/>
      <c r="FUM34" s="575"/>
      <c r="FUN34" s="575"/>
      <c r="FUO34" s="575"/>
      <c r="FUP34" s="575"/>
      <c r="FUQ34" s="575"/>
      <c r="FUR34" s="575"/>
      <c r="FUS34" s="575"/>
      <c r="FUT34" s="575"/>
      <c r="FUU34" s="575"/>
      <c r="FUV34" s="575"/>
      <c r="FUW34" s="575"/>
      <c r="FUX34" s="575"/>
      <c r="FUY34" s="575"/>
      <c r="FUZ34" s="575"/>
      <c r="FVA34" s="575"/>
      <c r="FVB34" s="575"/>
      <c r="FVC34" s="575"/>
      <c r="FVD34" s="575"/>
      <c r="FVE34" s="575"/>
      <c r="FVF34" s="575"/>
      <c r="FVG34" s="575"/>
      <c r="FVH34" s="575"/>
      <c r="FVI34" s="575"/>
      <c r="FVJ34" s="575"/>
      <c r="FVK34" s="575"/>
      <c r="FVL34" s="575"/>
      <c r="FVM34" s="575"/>
      <c r="FVN34" s="575"/>
      <c r="FVO34" s="575"/>
      <c r="FVP34" s="575"/>
      <c r="FVQ34" s="575"/>
      <c r="FVR34" s="575"/>
      <c r="FVS34" s="575"/>
      <c r="FVT34" s="575"/>
      <c r="FVU34" s="575"/>
      <c r="FVV34" s="575"/>
      <c r="FVW34" s="575"/>
      <c r="FVX34" s="575"/>
      <c r="FVY34" s="575"/>
      <c r="FVZ34" s="575"/>
      <c r="FWA34" s="575"/>
      <c r="FWB34" s="575"/>
      <c r="FWC34" s="575"/>
      <c r="FWD34" s="575"/>
      <c r="FWE34" s="575"/>
      <c r="FWF34" s="575"/>
      <c r="FWG34" s="575"/>
      <c r="FWH34" s="575"/>
      <c r="FWI34" s="575"/>
      <c r="FWJ34" s="575"/>
      <c r="FWK34" s="575"/>
      <c r="FWL34" s="575"/>
      <c r="FWM34" s="575"/>
      <c r="FWN34" s="575"/>
      <c r="FWO34" s="575"/>
      <c r="FWP34" s="575"/>
      <c r="FWQ34" s="575"/>
      <c r="FWR34" s="575"/>
      <c r="FWS34" s="575"/>
      <c r="FWT34" s="575"/>
      <c r="FWU34" s="575"/>
      <c r="FWV34" s="575"/>
      <c r="FWW34" s="575"/>
      <c r="FWX34" s="575"/>
      <c r="FWY34" s="575"/>
      <c r="FWZ34" s="575"/>
      <c r="FXA34" s="575"/>
      <c r="FXB34" s="575"/>
      <c r="FXC34" s="575"/>
      <c r="FXD34" s="575"/>
      <c r="FXE34" s="575"/>
      <c r="FXF34" s="575"/>
      <c r="FXG34" s="575"/>
      <c r="FXH34" s="575"/>
      <c r="FXI34" s="575"/>
      <c r="FXJ34" s="575"/>
      <c r="FXK34" s="575"/>
      <c r="FXL34" s="575"/>
      <c r="FXM34" s="575"/>
      <c r="FXN34" s="575"/>
      <c r="FXO34" s="575"/>
      <c r="FXP34" s="575"/>
      <c r="FXQ34" s="575"/>
      <c r="FXR34" s="575"/>
      <c r="FXS34" s="575"/>
      <c r="FXT34" s="575"/>
      <c r="FXU34" s="575"/>
      <c r="FXV34" s="575"/>
      <c r="FXW34" s="575"/>
      <c r="FXX34" s="575"/>
      <c r="FXY34" s="575"/>
      <c r="FXZ34" s="575"/>
      <c r="FYA34" s="575"/>
      <c r="FYB34" s="575"/>
      <c r="FYC34" s="575"/>
      <c r="FYD34" s="575"/>
      <c r="FYE34" s="575"/>
      <c r="FYF34" s="575"/>
      <c r="FYG34" s="575"/>
      <c r="FYH34" s="575"/>
      <c r="FYI34" s="575"/>
      <c r="FYJ34" s="575"/>
      <c r="FYK34" s="575"/>
      <c r="FYL34" s="575"/>
      <c r="FYM34" s="575"/>
      <c r="FYN34" s="575"/>
      <c r="FYO34" s="575"/>
      <c r="FYP34" s="575"/>
      <c r="FYQ34" s="575"/>
      <c r="FYR34" s="575"/>
      <c r="FYS34" s="575"/>
      <c r="FYT34" s="575"/>
      <c r="FYU34" s="575"/>
      <c r="FYV34" s="575"/>
      <c r="FYW34" s="575"/>
      <c r="FYX34" s="575"/>
      <c r="FYY34" s="575"/>
      <c r="FYZ34" s="575"/>
      <c r="FZA34" s="575"/>
      <c r="FZB34" s="575"/>
      <c r="FZC34" s="575"/>
      <c r="FZD34" s="575"/>
      <c r="FZE34" s="575"/>
      <c r="FZF34" s="575"/>
      <c r="FZG34" s="575"/>
      <c r="FZH34" s="575"/>
      <c r="FZI34" s="575"/>
      <c r="FZJ34" s="575"/>
      <c r="FZK34" s="575"/>
      <c r="FZL34" s="575"/>
      <c r="FZM34" s="575"/>
      <c r="FZN34" s="575"/>
      <c r="FZO34" s="575"/>
      <c r="FZP34" s="575"/>
      <c r="FZQ34" s="575"/>
      <c r="FZR34" s="575"/>
      <c r="FZS34" s="575"/>
      <c r="FZT34" s="575"/>
      <c r="FZU34" s="575"/>
      <c r="FZV34" s="575"/>
      <c r="FZW34" s="575"/>
      <c r="FZX34" s="575"/>
      <c r="FZY34" s="575"/>
      <c r="FZZ34" s="575"/>
      <c r="GAA34" s="575"/>
      <c r="GAB34" s="575"/>
      <c r="GAC34" s="575"/>
      <c r="GAD34" s="575"/>
      <c r="GAE34" s="575"/>
      <c r="GAF34" s="575"/>
      <c r="GAG34" s="575"/>
      <c r="GAH34" s="575"/>
      <c r="GAI34" s="575"/>
      <c r="GAJ34" s="575"/>
      <c r="GAK34" s="575"/>
      <c r="GAL34" s="575"/>
      <c r="GAM34" s="575"/>
      <c r="GAN34" s="575"/>
      <c r="GAO34" s="575"/>
      <c r="GAP34" s="575"/>
      <c r="GAQ34" s="575"/>
      <c r="GAR34" s="575"/>
      <c r="GAS34" s="575"/>
      <c r="GAT34" s="575"/>
      <c r="GAU34" s="575"/>
      <c r="GAV34" s="575"/>
      <c r="GAW34" s="575"/>
      <c r="GAX34" s="575"/>
      <c r="GAY34" s="575"/>
      <c r="GAZ34" s="575"/>
      <c r="GBA34" s="575"/>
      <c r="GBB34" s="575"/>
      <c r="GBC34" s="575"/>
      <c r="GBD34" s="575"/>
      <c r="GBE34" s="575"/>
      <c r="GBF34" s="575"/>
      <c r="GBG34" s="575"/>
      <c r="GBH34" s="575"/>
      <c r="GBI34" s="575"/>
      <c r="GBJ34" s="575"/>
      <c r="GBK34" s="575"/>
      <c r="GBL34" s="575"/>
      <c r="GBM34" s="575"/>
      <c r="GBN34" s="575"/>
      <c r="GBO34" s="575"/>
      <c r="GBP34" s="575"/>
      <c r="GBQ34" s="575"/>
      <c r="GBR34" s="575"/>
      <c r="GBS34" s="575"/>
      <c r="GBT34" s="575"/>
      <c r="GBU34" s="575"/>
      <c r="GBV34" s="575"/>
      <c r="GBW34" s="575"/>
      <c r="GBX34" s="575"/>
      <c r="GBY34" s="575"/>
      <c r="GBZ34" s="575"/>
      <c r="GCA34" s="575"/>
      <c r="GCB34" s="575"/>
      <c r="GCC34" s="575"/>
      <c r="GCD34" s="575"/>
      <c r="GCE34" s="575"/>
      <c r="GCF34" s="575"/>
      <c r="GCG34" s="575"/>
      <c r="GCH34" s="575"/>
      <c r="GCI34" s="575"/>
      <c r="GCJ34" s="575"/>
      <c r="GCK34" s="575"/>
      <c r="GCL34" s="575"/>
      <c r="GCM34" s="575"/>
      <c r="GCN34" s="575"/>
      <c r="GCO34" s="575"/>
      <c r="GCP34" s="575"/>
      <c r="GCQ34" s="575"/>
      <c r="GCR34" s="575"/>
      <c r="GCS34" s="575"/>
      <c r="GCT34" s="575"/>
      <c r="GCU34" s="575"/>
      <c r="GCV34" s="575"/>
      <c r="GCW34" s="575"/>
      <c r="GCX34" s="575"/>
      <c r="GCY34" s="575"/>
      <c r="GCZ34" s="575"/>
      <c r="GDA34" s="575"/>
      <c r="GDB34" s="575"/>
      <c r="GDC34" s="575"/>
      <c r="GDD34" s="575"/>
      <c r="GDE34" s="575"/>
      <c r="GDF34" s="575"/>
      <c r="GDG34" s="575"/>
      <c r="GDH34" s="575"/>
      <c r="GDI34" s="575"/>
      <c r="GDJ34" s="575"/>
      <c r="GDK34" s="575"/>
      <c r="GDL34" s="575"/>
      <c r="GDM34" s="575"/>
      <c r="GDN34" s="575"/>
      <c r="GDO34" s="575"/>
      <c r="GDP34" s="575"/>
      <c r="GDQ34" s="575"/>
      <c r="GDR34" s="575"/>
      <c r="GDS34" s="575"/>
      <c r="GDT34" s="575"/>
      <c r="GDU34" s="575"/>
      <c r="GDV34" s="575"/>
      <c r="GDW34" s="575"/>
      <c r="GDX34" s="575"/>
      <c r="GDY34" s="575"/>
      <c r="GDZ34" s="575"/>
      <c r="GEA34" s="575"/>
      <c r="GEB34" s="575"/>
      <c r="GEC34" s="575"/>
      <c r="GED34" s="575"/>
      <c r="GEE34" s="575"/>
      <c r="GEF34" s="575"/>
      <c r="GEG34" s="575"/>
      <c r="GEH34" s="575"/>
      <c r="GEI34" s="575"/>
      <c r="GEJ34" s="575"/>
      <c r="GEK34" s="575"/>
      <c r="GEL34" s="575"/>
      <c r="GEM34" s="575"/>
      <c r="GEN34" s="575"/>
      <c r="GEO34" s="575"/>
      <c r="GEP34" s="575"/>
      <c r="GEQ34" s="575"/>
      <c r="GER34" s="575"/>
      <c r="GES34" s="575"/>
      <c r="GET34" s="575"/>
      <c r="GEU34" s="575"/>
      <c r="GEV34" s="575"/>
      <c r="GEW34" s="575"/>
      <c r="GEX34" s="575"/>
      <c r="GEY34" s="575"/>
      <c r="GEZ34" s="575"/>
      <c r="GFA34" s="575"/>
      <c r="GFB34" s="575"/>
      <c r="GFC34" s="575"/>
      <c r="GFD34" s="575"/>
      <c r="GFE34" s="575"/>
      <c r="GFF34" s="575"/>
      <c r="GFG34" s="575"/>
      <c r="GFH34" s="575"/>
      <c r="GFI34" s="575"/>
      <c r="GFJ34" s="575"/>
      <c r="GFK34" s="575"/>
      <c r="GFL34" s="575"/>
      <c r="GFM34" s="575"/>
      <c r="GFN34" s="575"/>
      <c r="GFO34" s="575"/>
      <c r="GFP34" s="575"/>
      <c r="GFQ34" s="575"/>
      <c r="GFR34" s="575"/>
      <c r="GFS34" s="575"/>
      <c r="GFT34" s="575"/>
      <c r="GFU34" s="575"/>
      <c r="GFV34" s="575"/>
      <c r="GFW34" s="575"/>
      <c r="GFX34" s="575"/>
      <c r="GFY34" s="575"/>
      <c r="GFZ34" s="575"/>
      <c r="GGA34" s="575"/>
      <c r="GGB34" s="575"/>
      <c r="GGC34" s="575"/>
      <c r="GGD34" s="575"/>
      <c r="GGE34" s="575"/>
      <c r="GGF34" s="575"/>
      <c r="GGG34" s="575"/>
      <c r="GGH34" s="575"/>
      <c r="GGI34" s="575"/>
      <c r="GGJ34" s="575"/>
      <c r="GGK34" s="575"/>
      <c r="GGL34" s="575"/>
      <c r="GGM34" s="575"/>
      <c r="GGN34" s="575"/>
      <c r="GGO34" s="575"/>
      <c r="GGP34" s="575"/>
      <c r="GGQ34" s="575"/>
      <c r="GGR34" s="575"/>
      <c r="GGS34" s="575"/>
      <c r="GGT34" s="575"/>
      <c r="GGU34" s="575"/>
      <c r="GGV34" s="575"/>
      <c r="GGW34" s="575"/>
      <c r="GGX34" s="575"/>
      <c r="GGY34" s="575"/>
      <c r="GGZ34" s="575"/>
      <c r="GHA34" s="575"/>
      <c r="GHB34" s="575"/>
      <c r="GHC34" s="575"/>
      <c r="GHD34" s="575"/>
      <c r="GHE34" s="575"/>
      <c r="GHF34" s="575"/>
      <c r="GHG34" s="575"/>
      <c r="GHH34" s="575"/>
      <c r="GHI34" s="575"/>
      <c r="GHJ34" s="575"/>
      <c r="GHK34" s="575"/>
      <c r="GHL34" s="575"/>
      <c r="GHM34" s="575"/>
      <c r="GHN34" s="575"/>
      <c r="GHO34" s="575"/>
      <c r="GHP34" s="575"/>
      <c r="GHQ34" s="575"/>
      <c r="GHR34" s="575"/>
      <c r="GHS34" s="575"/>
      <c r="GHT34" s="575"/>
      <c r="GHU34" s="575"/>
      <c r="GHV34" s="575"/>
      <c r="GHW34" s="575"/>
      <c r="GHX34" s="575"/>
      <c r="GHY34" s="575"/>
      <c r="GHZ34" s="575"/>
      <c r="GIA34" s="575"/>
      <c r="GIB34" s="575"/>
      <c r="GIC34" s="575"/>
      <c r="GID34" s="575"/>
      <c r="GIE34" s="575"/>
      <c r="GIF34" s="575"/>
      <c r="GIG34" s="575"/>
      <c r="GIH34" s="575"/>
      <c r="GII34" s="575"/>
      <c r="GIJ34" s="575"/>
      <c r="GIK34" s="575"/>
      <c r="GIL34" s="575"/>
      <c r="GIM34" s="575"/>
      <c r="GIN34" s="575"/>
      <c r="GIO34" s="575"/>
      <c r="GIP34" s="575"/>
      <c r="GIQ34" s="575"/>
      <c r="GIR34" s="575"/>
      <c r="GIS34" s="575"/>
      <c r="GIT34" s="575"/>
      <c r="GIU34" s="575"/>
      <c r="GIV34" s="575"/>
      <c r="GIW34" s="575"/>
      <c r="GIX34" s="575"/>
      <c r="GIY34" s="575"/>
      <c r="GIZ34" s="575"/>
      <c r="GJA34" s="575"/>
      <c r="GJB34" s="575"/>
      <c r="GJC34" s="575"/>
      <c r="GJD34" s="575"/>
      <c r="GJE34" s="575"/>
      <c r="GJF34" s="575"/>
      <c r="GJG34" s="575"/>
      <c r="GJH34" s="575"/>
      <c r="GJI34" s="575"/>
      <c r="GJJ34" s="575"/>
      <c r="GJK34" s="575"/>
      <c r="GJL34" s="575"/>
      <c r="GJM34" s="575"/>
      <c r="GJN34" s="575"/>
      <c r="GJO34" s="575"/>
      <c r="GJP34" s="575"/>
      <c r="GJQ34" s="575"/>
      <c r="GJR34" s="575"/>
      <c r="GJS34" s="575"/>
      <c r="GJT34" s="575"/>
      <c r="GJU34" s="575"/>
      <c r="GJV34" s="575"/>
      <c r="GJW34" s="575"/>
      <c r="GJX34" s="575"/>
      <c r="GJY34" s="575"/>
      <c r="GJZ34" s="575"/>
      <c r="GKA34" s="575"/>
      <c r="GKB34" s="575"/>
      <c r="GKC34" s="575"/>
      <c r="GKD34" s="575"/>
      <c r="GKE34" s="575"/>
      <c r="GKF34" s="575"/>
      <c r="GKG34" s="575"/>
      <c r="GKH34" s="575"/>
      <c r="GKI34" s="575"/>
      <c r="GKJ34" s="575"/>
      <c r="GKK34" s="575"/>
      <c r="GKL34" s="575"/>
      <c r="GKM34" s="575"/>
      <c r="GKN34" s="575"/>
      <c r="GKO34" s="575"/>
      <c r="GKP34" s="575"/>
      <c r="GKQ34" s="575"/>
      <c r="GKR34" s="575"/>
      <c r="GKS34" s="575"/>
      <c r="GKT34" s="575"/>
      <c r="GKU34" s="575"/>
      <c r="GKV34" s="575"/>
      <c r="GKW34" s="575"/>
      <c r="GKX34" s="575"/>
      <c r="GKY34" s="575"/>
      <c r="GKZ34" s="575"/>
      <c r="GLA34" s="575"/>
      <c r="GLB34" s="575"/>
      <c r="GLC34" s="575"/>
      <c r="GLD34" s="575"/>
      <c r="GLE34" s="575"/>
      <c r="GLF34" s="575"/>
      <c r="GLG34" s="575"/>
      <c r="GLH34" s="575"/>
      <c r="GLI34" s="575"/>
      <c r="GLJ34" s="575"/>
      <c r="GLK34" s="575"/>
      <c r="GLL34" s="575"/>
      <c r="GLM34" s="575"/>
      <c r="GLN34" s="575"/>
      <c r="GLO34" s="575"/>
      <c r="GLP34" s="575"/>
      <c r="GLQ34" s="575"/>
      <c r="GLR34" s="575"/>
      <c r="GLS34" s="575"/>
      <c r="GLT34" s="575"/>
      <c r="GLU34" s="575"/>
      <c r="GLV34" s="575"/>
      <c r="GLW34" s="575"/>
      <c r="GLX34" s="575"/>
      <c r="GLY34" s="575"/>
      <c r="GLZ34" s="575"/>
      <c r="GMA34" s="575"/>
      <c r="GMB34" s="575"/>
      <c r="GMC34" s="575"/>
      <c r="GMD34" s="575"/>
      <c r="GME34" s="575"/>
      <c r="GMF34" s="575"/>
      <c r="GMG34" s="575"/>
      <c r="GMH34" s="575"/>
      <c r="GMI34" s="575"/>
      <c r="GMJ34" s="575"/>
      <c r="GMK34" s="575"/>
      <c r="GML34" s="575"/>
      <c r="GMM34" s="575"/>
      <c r="GMN34" s="575"/>
      <c r="GMO34" s="575"/>
      <c r="GMP34" s="575"/>
      <c r="GMQ34" s="575"/>
      <c r="GMR34" s="575"/>
      <c r="GMS34" s="575"/>
      <c r="GMT34" s="575"/>
      <c r="GMU34" s="575"/>
      <c r="GMV34" s="575"/>
      <c r="GMW34" s="575"/>
      <c r="GMX34" s="575"/>
      <c r="GMY34" s="575"/>
      <c r="GMZ34" s="575"/>
      <c r="GNA34" s="575"/>
      <c r="GNB34" s="575"/>
      <c r="GNC34" s="575"/>
      <c r="GND34" s="575"/>
      <c r="GNE34" s="575"/>
      <c r="GNF34" s="575"/>
      <c r="GNG34" s="575"/>
      <c r="GNH34" s="575"/>
      <c r="GNI34" s="575"/>
      <c r="GNJ34" s="575"/>
      <c r="GNK34" s="575"/>
      <c r="GNL34" s="575"/>
      <c r="GNM34" s="575"/>
      <c r="GNN34" s="575"/>
      <c r="GNO34" s="575"/>
      <c r="GNP34" s="575"/>
      <c r="GNQ34" s="575"/>
      <c r="GNR34" s="575"/>
      <c r="GNS34" s="575"/>
      <c r="GNT34" s="575"/>
      <c r="GNU34" s="575"/>
      <c r="GNV34" s="575"/>
      <c r="GNW34" s="575"/>
      <c r="GNX34" s="575"/>
      <c r="GNY34" s="575"/>
      <c r="GNZ34" s="575"/>
      <c r="GOA34" s="575"/>
      <c r="GOB34" s="575"/>
      <c r="GOC34" s="575"/>
      <c r="GOD34" s="575"/>
      <c r="GOE34" s="575"/>
      <c r="GOF34" s="575"/>
      <c r="GOG34" s="575"/>
      <c r="GOH34" s="575"/>
      <c r="GOI34" s="575"/>
      <c r="GOJ34" s="575"/>
      <c r="GOK34" s="575"/>
      <c r="GOL34" s="575"/>
      <c r="GOM34" s="575"/>
      <c r="GON34" s="575"/>
      <c r="GOO34" s="575"/>
      <c r="GOP34" s="575"/>
      <c r="GOQ34" s="575"/>
      <c r="GOR34" s="575"/>
      <c r="GOS34" s="575"/>
      <c r="GOT34" s="575"/>
      <c r="GOU34" s="575"/>
      <c r="GOV34" s="575"/>
      <c r="GOW34" s="575"/>
      <c r="GOX34" s="575"/>
      <c r="GOY34" s="575"/>
      <c r="GOZ34" s="575"/>
      <c r="GPA34" s="575"/>
      <c r="GPB34" s="575"/>
      <c r="GPC34" s="575"/>
      <c r="GPD34" s="575"/>
      <c r="GPE34" s="575"/>
      <c r="GPF34" s="575"/>
      <c r="GPG34" s="575"/>
      <c r="GPH34" s="575"/>
      <c r="GPI34" s="575"/>
      <c r="GPJ34" s="575"/>
      <c r="GPK34" s="575"/>
      <c r="GPL34" s="575"/>
      <c r="GPM34" s="575"/>
      <c r="GPN34" s="575"/>
      <c r="GPO34" s="575"/>
      <c r="GPP34" s="575"/>
      <c r="GPQ34" s="575"/>
      <c r="GPR34" s="575"/>
      <c r="GPS34" s="575"/>
      <c r="GPT34" s="575"/>
      <c r="GPU34" s="575"/>
      <c r="GPV34" s="575"/>
      <c r="GPW34" s="575"/>
      <c r="GPX34" s="575"/>
      <c r="GPY34" s="575"/>
      <c r="GPZ34" s="575"/>
      <c r="GQA34" s="575"/>
      <c r="GQB34" s="575"/>
      <c r="GQC34" s="575"/>
      <c r="GQD34" s="575"/>
      <c r="GQE34" s="575"/>
      <c r="GQF34" s="575"/>
      <c r="GQG34" s="575"/>
      <c r="GQH34" s="575"/>
      <c r="GQI34" s="575"/>
      <c r="GQJ34" s="575"/>
      <c r="GQK34" s="575"/>
      <c r="GQL34" s="575"/>
      <c r="GQM34" s="575"/>
      <c r="GQN34" s="575"/>
      <c r="GQO34" s="575"/>
      <c r="GQP34" s="575"/>
      <c r="GQQ34" s="575"/>
      <c r="GQR34" s="575"/>
      <c r="GQS34" s="575"/>
      <c r="GQT34" s="575"/>
      <c r="GQU34" s="575"/>
      <c r="GQV34" s="575"/>
      <c r="GQW34" s="575"/>
      <c r="GQX34" s="575"/>
      <c r="GQY34" s="575"/>
      <c r="GQZ34" s="575"/>
      <c r="GRA34" s="575"/>
      <c r="GRB34" s="575"/>
      <c r="GRC34" s="575"/>
      <c r="GRD34" s="575"/>
      <c r="GRE34" s="575"/>
      <c r="GRF34" s="575"/>
      <c r="GRG34" s="575"/>
      <c r="GRH34" s="575"/>
      <c r="GRI34" s="575"/>
      <c r="GRJ34" s="575"/>
      <c r="GRK34" s="575"/>
      <c r="GRL34" s="575"/>
      <c r="GRM34" s="575"/>
      <c r="GRN34" s="575"/>
      <c r="GRO34" s="575"/>
      <c r="GRP34" s="575"/>
      <c r="GRQ34" s="575"/>
      <c r="GRR34" s="575"/>
      <c r="GRS34" s="575"/>
      <c r="GRT34" s="575"/>
      <c r="GRU34" s="575"/>
      <c r="GRV34" s="575"/>
      <c r="GRW34" s="575"/>
      <c r="GRX34" s="575"/>
      <c r="GRY34" s="575"/>
      <c r="GRZ34" s="575"/>
      <c r="GSA34" s="575"/>
      <c r="GSB34" s="575"/>
      <c r="GSC34" s="575"/>
      <c r="GSD34" s="575"/>
      <c r="GSE34" s="575"/>
      <c r="GSF34" s="575"/>
      <c r="GSG34" s="575"/>
      <c r="GSH34" s="575"/>
      <c r="GSI34" s="575"/>
      <c r="GSJ34" s="575"/>
      <c r="GSK34" s="575"/>
      <c r="GSL34" s="575"/>
      <c r="GSM34" s="575"/>
      <c r="GSN34" s="575"/>
      <c r="GSO34" s="575"/>
      <c r="GSP34" s="575"/>
      <c r="GSQ34" s="575"/>
      <c r="GSR34" s="575"/>
      <c r="GSS34" s="575"/>
      <c r="GST34" s="575"/>
      <c r="GSU34" s="575"/>
      <c r="GSV34" s="575"/>
      <c r="GSW34" s="575"/>
      <c r="GSX34" s="575"/>
      <c r="GSY34" s="575"/>
      <c r="GSZ34" s="575"/>
      <c r="GTA34" s="575"/>
      <c r="GTB34" s="575"/>
      <c r="GTC34" s="575"/>
      <c r="GTD34" s="575"/>
      <c r="GTE34" s="575"/>
      <c r="GTF34" s="575"/>
      <c r="GTG34" s="575"/>
      <c r="GTH34" s="575"/>
      <c r="GTI34" s="575"/>
      <c r="GTJ34" s="575"/>
      <c r="GTK34" s="575"/>
      <c r="GTL34" s="575"/>
      <c r="GTM34" s="575"/>
      <c r="GTN34" s="575"/>
      <c r="GTO34" s="575"/>
      <c r="GTP34" s="575"/>
      <c r="GTQ34" s="575"/>
      <c r="GTR34" s="575"/>
      <c r="GTS34" s="575"/>
      <c r="GTT34" s="575"/>
      <c r="GTU34" s="575"/>
      <c r="GTV34" s="575"/>
      <c r="GTW34" s="575"/>
      <c r="GTX34" s="575"/>
      <c r="GTY34" s="575"/>
      <c r="GTZ34" s="575"/>
      <c r="GUA34" s="575"/>
      <c r="GUB34" s="575"/>
      <c r="GUC34" s="575"/>
      <c r="GUD34" s="575"/>
      <c r="GUE34" s="575"/>
      <c r="GUF34" s="575"/>
      <c r="GUG34" s="575"/>
      <c r="GUH34" s="575"/>
      <c r="GUI34" s="575"/>
      <c r="GUJ34" s="575"/>
      <c r="GUK34" s="575"/>
      <c r="GUL34" s="575"/>
      <c r="GUM34" s="575"/>
      <c r="GUN34" s="575"/>
      <c r="GUO34" s="575"/>
      <c r="GUP34" s="575"/>
      <c r="GUQ34" s="575"/>
      <c r="GUR34" s="575"/>
      <c r="GUS34" s="575"/>
      <c r="GUT34" s="575"/>
      <c r="GUU34" s="575"/>
      <c r="GUV34" s="575"/>
      <c r="GUW34" s="575"/>
      <c r="GUX34" s="575"/>
      <c r="GUY34" s="575"/>
      <c r="GUZ34" s="575"/>
      <c r="GVA34" s="575"/>
      <c r="GVB34" s="575"/>
      <c r="GVC34" s="575"/>
      <c r="GVD34" s="575"/>
      <c r="GVE34" s="575"/>
      <c r="GVF34" s="575"/>
      <c r="GVG34" s="575"/>
      <c r="GVH34" s="575"/>
      <c r="GVI34" s="575"/>
      <c r="GVJ34" s="575"/>
      <c r="GVK34" s="575"/>
      <c r="GVL34" s="575"/>
      <c r="GVM34" s="575"/>
      <c r="GVN34" s="575"/>
      <c r="GVO34" s="575"/>
      <c r="GVP34" s="575"/>
      <c r="GVQ34" s="575"/>
      <c r="GVR34" s="575"/>
      <c r="GVS34" s="575"/>
      <c r="GVT34" s="575"/>
      <c r="GVU34" s="575"/>
      <c r="GVV34" s="575"/>
      <c r="GVW34" s="575"/>
      <c r="GVX34" s="575"/>
      <c r="GVY34" s="575"/>
      <c r="GVZ34" s="575"/>
      <c r="GWA34" s="575"/>
      <c r="GWB34" s="575"/>
      <c r="GWC34" s="575"/>
      <c r="GWD34" s="575"/>
      <c r="GWE34" s="575"/>
      <c r="GWF34" s="575"/>
      <c r="GWG34" s="575"/>
      <c r="GWH34" s="575"/>
      <c r="GWI34" s="575"/>
      <c r="GWJ34" s="575"/>
      <c r="GWK34" s="575"/>
      <c r="GWL34" s="575"/>
      <c r="GWM34" s="575"/>
      <c r="GWN34" s="575"/>
      <c r="GWO34" s="575"/>
      <c r="GWP34" s="575"/>
      <c r="GWQ34" s="575"/>
      <c r="GWR34" s="575"/>
      <c r="GWS34" s="575"/>
      <c r="GWT34" s="575"/>
      <c r="GWU34" s="575"/>
      <c r="GWV34" s="575"/>
      <c r="GWW34" s="575"/>
      <c r="GWX34" s="575"/>
      <c r="GWY34" s="575"/>
      <c r="GWZ34" s="575"/>
      <c r="GXA34" s="575"/>
      <c r="GXB34" s="575"/>
      <c r="GXC34" s="575"/>
      <c r="GXD34" s="575"/>
      <c r="GXE34" s="575"/>
      <c r="GXF34" s="575"/>
      <c r="GXG34" s="575"/>
      <c r="GXH34" s="575"/>
      <c r="GXI34" s="575"/>
      <c r="GXJ34" s="575"/>
      <c r="GXK34" s="575"/>
      <c r="GXL34" s="575"/>
      <c r="GXM34" s="575"/>
      <c r="GXN34" s="575"/>
      <c r="GXO34" s="575"/>
      <c r="GXP34" s="575"/>
      <c r="GXQ34" s="575"/>
      <c r="GXR34" s="575"/>
      <c r="GXS34" s="575"/>
      <c r="GXT34" s="575"/>
      <c r="GXU34" s="575"/>
      <c r="GXV34" s="575"/>
      <c r="GXW34" s="575"/>
      <c r="GXX34" s="575"/>
      <c r="GXY34" s="575"/>
      <c r="GXZ34" s="575"/>
      <c r="GYA34" s="575"/>
      <c r="GYB34" s="575"/>
      <c r="GYC34" s="575"/>
      <c r="GYD34" s="575"/>
      <c r="GYE34" s="575"/>
      <c r="GYF34" s="575"/>
      <c r="GYG34" s="575"/>
      <c r="GYH34" s="575"/>
      <c r="GYI34" s="575"/>
      <c r="GYJ34" s="575"/>
      <c r="GYK34" s="575"/>
      <c r="GYL34" s="575"/>
      <c r="GYM34" s="575"/>
      <c r="GYN34" s="575"/>
      <c r="GYO34" s="575"/>
      <c r="GYP34" s="575"/>
      <c r="GYQ34" s="575"/>
      <c r="GYR34" s="575"/>
      <c r="GYS34" s="575"/>
      <c r="GYT34" s="575"/>
      <c r="GYU34" s="575"/>
      <c r="GYV34" s="575"/>
      <c r="GYW34" s="575"/>
      <c r="GYX34" s="575"/>
      <c r="GYY34" s="575"/>
      <c r="GYZ34" s="575"/>
      <c r="GZA34" s="575"/>
      <c r="GZB34" s="575"/>
      <c r="GZC34" s="575"/>
      <c r="GZD34" s="575"/>
      <c r="GZE34" s="575"/>
      <c r="GZF34" s="575"/>
      <c r="GZG34" s="575"/>
      <c r="GZH34" s="575"/>
      <c r="GZI34" s="575"/>
      <c r="GZJ34" s="575"/>
      <c r="GZK34" s="575"/>
      <c r="GZL34" s="575"/>
      <c r="GZM34" s="575"/>
      <c r="GZN34" s="575"/>
      <c r="GZO34" s="575"/>
      <c r="GZP34" s="575"/>
      <c r="GZQ34" s="575"/>
      <c r="GZR34" s="575"/>
      <c r="GZS34" s="575"/>
      <c r="GZT34" s="575"/>
      <c r="GZU34" s="575"/>
      <c r="GZV34" s="575"/>
      <c r="GZW34" s="575"/>
      <c r="GZX34" s="575"/>
      <c r="GZY34" s="575"/>
      <c r="GZZ34" s="575"/>
      <c r="HAA34" s="575"/>
      <c r="HAB34" s="575"/>
      <c r="HAC34" s="575"/>
      <c r="HAD34" s="575"/>
      <c r="HAE34" s="575"/>
      <c r="HAF34" s="575"/>
      <c r="HAG34" s="575"/>
      <c r="HAH34" s="575"/>
      <c r="HAI34" s="575"/>
      <c r="HAJ34" s="575"/>
      <c r="HAK34" s="575"/>
      <c r="HAL34" s="575"/>
      <c r="HAM34" s="575"/>
      <c r="HAN34" s="575"/>
      <c r="HAO34" s="575"/>
      <c r="HAP34" s="575"/>
      <c r="HAQ34" s="575"/>
      <c r="HAR34" s="575"/>
      <c r="HAS34" s="575"/>
      <c r="HAT34" s="575"/>
      <c r="HAU34" s="575"/>
      <c r="HAV34" s="575"/>
      <c r="HAW34" s="575"/>
      <c r="HAX34" s="575"/>
      <c r="HAY34" s="575"/>
      <c r="HAZ34" s="575"/>
      <c r="HBA34" s="575"/>
      <c r="HBB34" s="575"/>
      <c r="HBC34" s="575"/>
      <c r="HBD34" s="575"/>
      <c r="HBE34" s="575"/>
      <c r="HBF34" s="575"/>
      <c r="HBG34" s="575"/>
      <c r="HBH34" s="575"/>
      <c r="HBI34" s="575"/>
      <c r="HBJ34" s="575"/>
      <c r="HBK34" s="575"/>
      <c r="HBL34" s="575"/>
      <c r="HBM34" s="575"/>
      <c r="HBN34" s="575"/>
      <c r="HBO34" s="575"/>
      <c r="HBP34" s="575"/>
      <c r="HBQ34" s="575"/>
      <c r="HBR34" s="575"/>
      <c r="HBS34" s="575"/>
      <c r="HBT34" s="575"/>
      <c r="HBU34" s="575"/>
      <c r="HBV34" s="575"/>
      <c r="HBW34" s="575"/>
      <c r="HBX34" s="575"/>
      <c r="HBY34" s="575"/>
      <c r="HBZ34" s="575"/>
      <c r="HCA34" s="575"/>
      <c r="HCB34" s="575"/>
      <c r="HCC34" s="575"/>
      <c r="HCD34" s="575"/>
      <c r="HCE34" s="575"/>
      <c r="HCF34" s="575"/>
      <c r="HCG34" s="575"/>
      <c r="HCH34" s="575"/>
      <c r="HCI34" s="575"/>
      <c r="HCJ34" s="575"/>
      <c r="HCK34" s="575"/>
      <c r="HCL34" s="575"/>
      <c r="HCM34" s="575"/>
      <c r="HCN34" s="575"/>
      <c r="HCO34" s="575"/>
      <c r="HCP34" s="575"/>
      <c r="HCQ34" s="575"/>
      <c r="HCR34" s="575"/>
      <c r="HCS34" s="575"/>
      <c r="HCT34" s="575"/>
      <c r="HCU34" s="575"/>
      <c r="HCV34" s="575"/>
      <c r="HCW34" s="575"/>
      <c r="HCX34" s="575"/>
      <c r="HCY34" s="575"/>
      <c r="HCZ34" s="575"/>
      <c r="HDA34" s="575"/>
      <c r="HDB34" s="575"/>
      <c r="HDC34" s="575"/>
      <c r="HDD34" s="575"/>
      <c r="HDE34" s="575"/>
      <c r="HDF34" s="575"/>
      <c r="HDG34" s="575"/>
      <c r="HDH34" s="575"/>
      <c r="HDI34" s="575"/>
      <c r="HDJ34" s="575"/>
      <c r="HDK34" s="575"/>
      <c r="HDL34" s="575"/>
      <c r="HDM34" s="575"/>
      <c r="HDN34" s="575"/>
      <c r="HDO34" s="575"/>
      <c r="HDP34" s="575"/>
      <c r="HDQ34" s="575"/>
      <c r="HDR34" s="575"/>
      <c r="HDS34" s="575"/>
      <c r="HDT34" s="575"/>
      <c r="HDU34" s="575"/>
      <c r="HDV34" s="575"/>
      <c r="HDW34" s="575"/>
      <c r="HDX34" s="575"/>
      <c r="HDY34" s="575"/>
      <c r="HDZ34" s="575"/>
      <c r="HEA34" s="575"/>
      <c r="HEB34" s="575"/>
      <c r="HEC34" s="575"/>
      <c r="HED34" s="575"/>
      <c r="HEE34" s="575"/>
      <c r="HEF34" s="575"/>
      <c r="HEG34" s="575"/>
      <c r="HEH34" s="575"/>
      <c r="HEI34" s="575"/>
      <c r="HEJ34" s="575"/>
      <c r="HEK34" s="575"/>
      <c r="HEL34" s="575"/>
      <c r="HEM34" s="575"/>
      <c r="HEN34" s="575"/>
      <c r="HEO34" s="575"/>
      <c r="HEP34" s="575"/>
      <c r="HEQ34" s="575"/>
      <c r="HER34" s="575"/>
      <c r="HES34" s="575"/>
      <c r="HET34" s="575"/>
      <c r="HEU34" s="575"/>
      <c r="HEV34" s="575"/>
      <c r="HEW34" s="575"/>
      <c r="HEX34" s="575"/>
      <c r="HEY34" s="575"/>
      <c r="HEZ34" s="575"/>
      <c r="HFA34" s="575"/>
      <c r="HFB34" s="575"/>
      <c r="HFC34" s="575"/>
      <c r="HFD34" s="575"/>
      <c r="HFE34" s="575"/>
      <c r="HFF34" s="575"/>
      <c r="HFG34" s="575"/>
      <c r="HFH34" s="575"/>
      <c r="HFI34" s="575"/>
      <c r="HFJ34" s="575"/>
      <c r="HFK34" s="575"/>
      <c r="HFL34" s="575"/>
      <c r="HFM34" s="575"/>
      <c r="HFN34" s="575"/>
      <c r="HFO34" s="575"/>
      <c r="HFP34" s="575"/>
      <c r="HFQ34" s="575"/>
      <c r="HFR34" s="575"/>
      <c r="HFS34" s="575"/>
      <c r="HFT34" s="575"/>
      <c r="HFU34" s="575"/>
      <c r="HFV34" s="575"/>
      <c r="HFW34" s="575"/>
      <c r="HFX34" s="575"/>
      <c r="HFY34" s="575"/>
      <c r="HFZ34" s="575"/>
      <c r="HGA34" s="575"/>
      <c r="HGB34" s="575"/>
      <c r="HGC34" s="575"/>
      <c r="HGD34" s="575"/>
      <c r="HGE34" s="575"/>
      <c r="HGF34" s="575"/>
      <c r="HGG34" s="575"/>
      <c r="HGH34" s="575"/>
      <c r="HGI34" s="575"/>
      <c r="HGJ34" s="575"/>
      <c r="HGK34" s="575"/>
      <c r="HGL34" s="575"/>
      <c r="HGM34" s="575"/>
      <c r="HGN34" s="575"/>
      <c r="HGO34" s="575"/>
      <c r="HGP34" s="575"/>
      <c r="HGQ34" s="575"/>
      <c r="HGR34" s="575"/>
      <c r="HGS34" s="575"/>
      <c r="HGT34" s="575"/>
      <c r="HGU34" s="575"/>
      <c r="HGV34" s="575"/>
      <c r="HGW34" s="575"/>
      <c r="HGX34" s="575"/>
      <c r="HGY34" s="575"/>
      <c r="HGZ34" s="575"/>
      <c r="HHA34" s="575"/>
      <c r="HHB34" s="575"/>
      <c r="HHC34" s="575"/>
      <c r="HHD34" s="575"/>
      <c r="HHE34" s="575"/>
      <c r="HHF34" s="575"/>
      <c r="HHG34" s="575"/>
      <c r="HHH34" s="575"/>
      <c r="HHI34" s="575"/>
      <c r="HHJ34" s="575"/>
      <c r="HHK34" s="575"/>
      <c r="HHL34" s="575"/>
      <c r="HHM34" s="575"/>
      <c r="HHN34" s="575"/>
      <c r="HHO34" s="575"/>
      <c r="HHP34" s="575"/>
      <c r="HHQ34" s="575"/>
      <c r="HHR34" s="575"/>
      <c r="HHS34" s="575"/>
      <c r="HHT34" s="575"/>
      <c r="HHU34" s="575"/>
      <c r="HHV34" s="575"/>
      <c r="HHW34" s="575"/>
      <c r="HHX34" s="575"/>
      <c r="HHY34" s="575"/>
      <c r="HHZ34" s="575"/>
      <c r="HIA34" s="575"/>
      <c r="HIB34" s="575"/>
      <c r="HIC34" s="575"/>
      <c r="HID34" s="575"/>
      <c r="HIE34" s="575"/>
      <c r="HIF34" s="575"/>
      <c r="HIG34" s="575"/>
      <c r="HIH34" s="575"/>
      <c r="HII34" s="575"/>
      <c r="HIJ34" s="575"/>
      <c r="HIK34" s="575"/>
      <c r="HIL34" s="575"/>
      <c r="HIM34" s="575"/>
      <c r="HIN34" s="575"/>
      <c r="HIO34" s="575"/>
      <c r="HIP34" s="575"/>
      <c r="HIQ34" s="575"/>
      <c r="HIR34" s="575"/>
      <c r="HIS34" s="575"/>
      <c r="HIT34" s="575"/>
      <c r="HIU34" s="575"/>
      <c r="HIV34" s="575"/>
      <c r="HIW34" s="575"/>
      <c r="HIX34" s="575"/>
      <c r="HIY34" s="575"/>
      <c r="HIZ34" s="575"/>
      <c r="HJA34" s="575"/>
      <c r="HJB34" s="575"/>
      <c r="HJC34" s="575"/>
      <c r="HJD34" s="575"/>
      <c r="HJE34" s="575"/>
      <c r="HJF34" s="575"/>
      <c r="HJG34" s="575"/>
      <c r="HJH34" s="575"/>
      <c r="HJI34" s="575"/>
      <c r="HJJ34" s="575"/>
      <c r="HJK34" s="575"/>
      <c r="HJL34" s="575"/>
      <c r="HJM34" s="575"/>
      <c r="HJN34" s="575"/>
      <c r="HJO34" s="575"/>
      <c r="HJP34" s="575"/>
      <c r="HJQ34" s="575"/>
      <c r="HJR34" s="575"/>
      <c r="HJS34" s="575"/>
      <c r="HJT34" s="575"/>
      <c r="HJU34" s="575"/>
      <c r="HJV34" s="575"/>
      <c r="HJW34" s="575"/>
      <c r="HJX34" s="575"/>
      <c r="HJY34" s="575"/>
      <c r="HJZ34" s="575"/>
      <c r="HKA34" s="575"/>
      <c r="HKB34" s="575"/>
      <c r="HKC34" s="575"/>
      <c r="HKD34" s="575"/>
      <c r="HKE34" s="575"/>
      <c r="HKF34" s="575"/>
      <c r="HKG34" s="575"/>
      <c r="HKH34" s="575"/>
      <c r="HKI34" s="575"/>
      <c r="HKJ34" s="575"/>
      <c r="HKK34" s="575"/>
      <c r="HKL34" s="575"/>
      <c r="HKM34" s="575"/>
      <c r="HKN34" s="575"/>
      <c r="HKO34" s="575"/>
      <c r="HKP34" s="575"/>
      <c r="HKQ34" s="575"/>
      <c r="HKR34" s="575"/>
      <c r="HKS34" s="575"/>
      <c r="HKT34" s="575"/>
      <c r="HKU34" s="575"/>
      <c r="HKV34" s="575"/>
      <c r="HKW34" s="575"/>
      <c r="HKX34" s="575"/>
      <c r="HKY34" s="575"/>
      <c r="HKZ34" s="575"/>
      <c r="HLA34" s="575"/>
      <c r="HLB34" s="575"/>
      <c r="HLC34" s="575"/>
      <c r="HLD34" s="575"/>
      <c r="HLE34" s="575"/>
      <c r="HLF34" s="575"/>
      <c r="HLG34" s="575"/>
      <c r="HLH34" s="575"/>
      <c r="HLI34" s="575"/>
      <c r="HLJ34" s="575"/>
      <c r="HLK34" s="575"/>
      <c r="HLL34" s="575"/>
      <c r="HLM34" s="575"/>
      <c r="HLN34" s="575"/>
      <c r="HLO34" s="575"/>
      <c r="HLP34" s="575"/>
      <c r="HLQ34" s="575"/>
      <c r="HLR34" s="575"/>
      <c r="HLS34" s="575"/>
      <c r="HLT34" s="575"/>
      <c r="HLU34" s="575"/>
      <c r="HLV34" s="575"/>
      <c r="HLW34" s="575"/>
      <c r="HLX34" s="575"/>
      <c r="HLY34" s="575"/>
      <c r="HLZ34" s="575"/>
      <c r="HMA34" s="575"/>
      <c r="HMB34" s="575"/>
      <c r="HMC34" s="575"/>
      <c r="HMD34" s="575"/>
      <c r="HME34" s="575"/>
      <c r="HMF34" s="575"/>
      <c r="HMG34" s="575"/>
      <c r="HMH34" s="575"/>
      <c r="HMI34" s="575"/>
      <c r="HMJ34" s="575"/>
      <c r="HMK34" s="575"/>
      <c r="HML34" s="575"/>
      <c r="HMM34" s="575"/>
      <c r="HMN34" s="575"/>
      <c r="HMO34" s="575"/>
      <c r="HMP34" s="575"/>
      <c r="HMQ34" s="575"/>
      <c r="HMR34" s="575"/>
      <c r="HMS34" s="575"/>
      <c r="HMT34" s="575"/>
      <c r="HMU34" s="575"/>
      <c r="HMV34" s="575"/>
      <c r="HMW34" s="575"/>
      <c r="HMX34" s="575"/>
      <c r="HMY34" s="575"/>
      <c r="HMZ34" s="575"/>
      <c r="HNA34" s="575"/>
      <c r="HNB34" s="575"/>
      <c r="HNC34" s="575"/>
      <c r="HND34" s="575"/>
      <c r="HNE34" s="575"/>
      <c r="HNF34" s="575"/>
      <c r="HNG34" s="575"/>
      <c r="HNH34" s="575"/>
      <c r="HNI34" s="575"/>
      <c r="HNJ34" s="575"/>
      <c r="HNK34" s="575"/>
      <c r="HNL34" s="575"/>
      <c r="HNM34" s="575"/>
      <c r="HNN34" s="575"/>
      <c r="HNO34" s="575"/>
      <c r="HNP34" s="575"/>
      <c r="HNQ34" s="575"/>
      <c r="HNR34" s="575"/>
      <c r="HNS34" s="575"/>
      <c r="HNT34" s="575"/>
      <c r="HNU34" s="575"/>
      <c r="HNV34" s="575"/>
      <c r="HNW34" s="575"/>
      <c r="HNX34" s="575"/>
      <c r="HNY34" s="575"/>
      <c r="HNZ34" s="575"/>
      <c r="HOA34" s="575"/>
      <c r="HOB34" s="575"/>
      <c r="HOC34" s="575"/>
      <c r="HOD34" s="575"/>
      <c r="HOE34" s="575"/>
      <c r="HOF34" s="575"/>
      <c r="HOG34" s="575"/>
      <c r="HOH34" s="575"/>
      <c r="HOI34" s="575"/>
      <c r="HOJ34" s="575"/>
      <c r="HOK34" s="575"/>
      <c r="HOL34" s="575"/>
      <c r="HOM34" s="575"/>
      <c r="HON34" s="575"/>
      <c r="HOO34" s="575"/>
      <c r="HOP34" s="575"/>
      <c r="HOQ34" s="575"/>
      <c r="HOR34" s="575"/>
      <c r="HOS34" s="575"/>
      <c r="HOT34" s="575"/>
      <c r="HOU34" s="575"/>
      <c r="HOV34" s="575"/>
      <c r="HOW34" s="575"/>
      <c r="HOX34" s="575"/>
      <c r="HOY34" s="575"/>
      <c r="HOZ34" s="575"/>
      <c r="HPA34" s="575"/>
      <c r="HPB34" s="575"/>
      <c r="HPC34" s="575"/>
      <c r="HPD34" s="575"/>
      <c r="HPE34" s="575"/>
      <c r="HPF34" s="575"/>
      <c r="HPG34" s="575"/>
      <c r="HPH34" s="575"/>
      <c r="HPI34" s="575"/>
      <c r="HPJ34" s="575"/>
      <c r="HPK34" s="575"/>
      <c r="HPL34" s="575"/>
      <c r="HPM34" s="575"/>
      <c r="HPN34" s="575"/>
      <c r="HPO34" s="575"/>
      <c r="HPP34" s="575"/>
      <c r="HPQ34" s="575"/>
      <c r="HPR34" s="575"/>
      <c r="HPS34" s="575"/>
      <c r="HPT34" s="575"/>
      <c r="HPU34" s="575"/>
      <c r="HPV34" s="575"/>
      <c r="HPW34" s="575"/>
      <c r="HPX34" s="575"/>
      <c r="HPY34" s="575"/>
      <c r="HPZ34" s="575"/>
      <c r="HQA34" s="575"/>
      <c r="HQB34" s="575"/>
      <c r="HQC34" s="575"/>
      <c r="HQD34" s="575"/>
      <c r="HQE34" s="575"/>
      <c r="HQF34" s="575"/>
      <c r="HQG34" s="575"/>
      <c r="HQH34" s="575"/>
      <c r="HQI34" s="575"/>
      <c r="HQJ34" s="575"/>
      <c r="HQK34" s="575"/>
      <c r="HQL34" s="575"/>
      <c r="HQM34" s="575"/>
      <c r="HQN34" s="575"/>
      <c r="HQO34" s="575"/>
      <c r="HQP34" s="575"/>
      <c r="HQQ34" s="575"/>
      <c r="HQR34" s="575"/>
      <c r="HQS34" s="575"/>
      <c r="HQT34" s="575"/>
      <c r="HQU34" s="575"/>
      <c r="HQV34" s="575"/>
      <c r="HQW34" s="575"/>
      <c r="HQX34" s="575"/>
      <c r="HQY34" s="575"/>
      <c r="HQZ34" s="575"/>
      <c r="HRA34" s="575"/>
      <c r="HRB34" s="575"/>
      <c r="HRC34" s="575"/>
      <c r="HRD34" s="575"/>
      <c r="HRE34" s="575"/>
      <c r="HRF34" s="575"/>
      <c r="HRG34" s="575"/>
      <c r="HRH34" s="575"/>
      <c r="HRI34" s="575"/>
      <c r="HRJ34" s="575"/>
      <c r="HRK34" s="575"/>
      <c r="HRL34" s="575"/>
      <c r="HRM34" s="575"/>
      <c r="HRN34" s="575"/>
      <c r="HRO34" s="575"/>
      <c r="HRP34" s="575"/>
      <c r="HRQ34" s="575"/>
      <c r="HRR34" s="575"/>
      <c r="HRS34" s="575"/>
      <c r="HRT34" s="575"/>
      <c r="HRU34" s="575"/>
      <c r="HRV34" s="575"/>
      <c r="HRW34" s="575"/>
      <c r="HRX34" s="575"/>
      <c r="HRY34" s="575"/>
      <c r="HRZ34" s="575"/>
      <c r="HSA34" s="575"/>
      <c r="HSB34" s="575"/>
      <c r="HSC34" s="575"/>
      <c r="HSD34" s="575"/>
      <c r="HSE34" s="575"/>
      <c r="HSF34" s="575"/>
      <c r="HSG34" s="575"/>
      <c r="HSH34" s="575"/>
      <c r="HSI34" s="575"/>
      <c r="HSJ34" s="575"/>
      <c r="HSK34" s="575"/>
      <c r="HSL34" s="575"/>
      <c r="HSM34" s="575"/>
      <c r="HSN34" s="575"/>
      <c r="HSO34" s="575"/>
      <c r="HSP34" s="575"/>
      <c r="HSQ34" s="575"/>
      <c r="HSR34" s="575"/>
      <c r="HSS34" s="575"/>
      <c r="HST34" s="575"/>
      <c r="HSU34" s="575"/>
      <c r="HSV34" s="575"/>
      <c r="HSW34" s="575"/>
      <c r="HSX34" s="575"/>
      <c r="HSY34" s="575"/>
      <c r="HSZ34" s="575"/>
      <c r="HTA34" s="575"/>
      <c r="HTB34" s="575"/>
      <c r="HTC34" s="575"/>
      <c r="HTD34" s="575"/>
      <c r="HTE34" s="575"/>
      <c r="HTF34" s="575"/>
      <c r="HTG34" s="575"/>
      <c r="HTH34" s="575"/>
      <c r="HTI34" s="575"/>
      <c r="HTJ34" s="575"/>
      <c r="HTK34" s="575"/>
      <c r="HTL34" s="575"/>
      <c r="HTM34" s="575"/>
      <c r="HTN34" s="575"/>
      <c r="HTO34" s="575"/>
      <c r="HTP34" s="575"/>
      <c r="HTQ34" s="575"/>
      <c r="HTR34" s="575"/>
      <c r="HTS34" s="575"/>
      <c r="HTT34" s="575"/>
      <c r="HTU34" s="575"/>
      <c r="HTV34" s="575"/>
      <c r="HTW34" s="575"/>
      <c r="HTX34" s="575"/>
      <c r="HTY34" s="575"/>
      <c r="HTZ34" s="575"/>
      <c r="HUA34" s="575"/>
      <c r="HUB34" s="575"/>
      <c r="HUC34" s="575"/>
      <c r="HUD34" s="575"/>
      <c r="HUE34" s="575"/>
      <c r="HUF34" s="575"/>
      <c r="HUG34" s="575"/>
      <c r="HUH34" s="575"/>
      <c r="HUI34" s="575"/>
      <c r="HUJ34" s="575"/>
      <c r="HUK34" s="575"/>
      <c r="HUL34" s="575"/>
      <c r="HUM34" s="575"/>
      <c r="HUN34" s="575"/>
      <c r="HUO34" s="575"/>
      <c r="HUP34" s="575"/>
      <c r="HUQ34" s="575"/>
      <c r="HUR34" s="575"/>
      <c r="HUS34" s="575"/>
      <c r="HUT34" s="575"/>
      <c r="HUU34" s="575"/>
      <c r="HUV34" s="575"/>
      <c r="HUW34" s="575"/>
      <c r="HUX34" s="575"/>
      <c r="HUY34" s="575"/>
      <c r="HUZ34" s="575"/>
      <c r="HVA34" s="575"/>
      <c r="HVB34" s="575"/>
      <c r="HVC34" s="575"/>
      <c r="HVD34" s="575"/>
      <c r="HVE34" s="575"/>
      <c r="HVF34" s="575"/>
      <c r="HVG34" s="575"/>
      <c r="HVH34" s="575"/>
      <c r="HVI34" s="575"/>
      <c r="HVJ34" s="575"/>
      <c r="HVK34" s="575"/>
      <c r="HVL34" s="575"/>
      <c r="HVM34" s="575"/>
      <c r="HVN34" s="575"/>
      <c r="HVO34" s="575"/>
      <c r="HVP34" s="575"/>
      <c r="HVQ34" s="575"/>
      <c r="HVR34" s="575"/>
      <c r="HVS34" s="575"/>
      <c r="HVT34" s="575"/>
      <c r="HVU34" s="575"/>
      <c r="HVV34" s="575"/>
      <c r="HVW34" s="575"/>
      <c r="HVX34" s="575"/>
      <c r="HVY34" s="575"/>
      <c r="HVZ34" s="575"/>
      <c r="HWA34" s="575"/>
      <c r="HWB34" s="575"/>
      <c r="HWC34" s="575"/>
      <c r="HWD34" s="575"/>
      <c r="HWE34" s="575"/>
      <c r="HWF34" s="575"/>
      <c r="HWG34" s="575"/>
      <c r="HWH34" s="575"/>
      <c r="HWI34" s="575"/>
      <c r="HWJ34" s="575"/>
      <c r="HWK34" s="575"/>
      <c r="HWL34" s="575"/>
      <c r="HWM34" s="575"/>
      <c r="HWN34" s="575"/>
      <c r="HWO34" s="575"/>
      <c r="HWP34" s="575"/>
      <c r="HWQ34" s="575"/>
      <c r="HWR34" s="575"/>
      <c r="HWS34" s="575"/>
      <c r="HWT34" s="575"/>
      <c r="HWU34" s="575"/>
      <c r="HWV34" s="575"/>
      <c r="HWW34" s="575"/>
      <c r="HWX34" s="575"/>
      <c r="HWY34" s="575"/>
      <c r="HWZ34" s="575"/>
      <c r="HXA34" s="575"/>
      <c r="HXB34" s="575"/>
      <c r="HXC34" s="575"/>
      <c r="HXD34" s="575"/>
      <c r="HXE34" s="575"/>
      <c r="HXF34" s="575"/>
      <c r="HXG34" s="575"/>
      <c r="HXH34" s="575"/>
      <c r="HXI34" s="575"/>
      <c r="HXJ34" s="575"/>
      <c r="HXK34" s="575"/>
      <c r="HXL34" s="575"/>
      <c r="HXM34" s="575"/>
      <c r="HXN34" s="575"/>
      <c r="HXO34" s="575"/>
      <c r="HXP34" s="575"/>
      <c r="HXQ34" s="575"/>
      <c r="HXR34" s="575"/>
      <c r="HXS34" s="575"/>
      <c r="HXT34" s="575"/>
      <c r="HXU34" s="575"/>
      <c r="HXV34" s="575"/>
      <c r="HXW34" s="575"/>
      <c r="HXX34" s="575"/>
      <c r="HXY34" s="575"/>
      <c r="HXZ34" s="575"/>
      <c r="HYA34" s="575"/>
      <c r="HYB34" s="575"/>
      <c r="HYC34" s="575"/>
      <c r="HYD34" s="575"/>
      <c r="HYE34" s="575"/>
      <c r="HYF34" s="575"/>
      <c r="HYG34" s="575"/>
      <c r="HYH34" s="575"/>
      <c r="HYI34" s="575"/>
      <c r="HYJ34" s="575"/>
      <c r="HYK34" s="575"/>
      <c r="HYL34" s="575"/>
      <c r="HYM34" s="575"/>
      <c r="HYN34" s="575"/>
      <c r="HYO34" s="575"/>
      <c r="HYP34" s="575"/>
      <c r="HYQ34" s="575"/>
      <c r="HYR34" s="575"/>
      <c r="HYS34" s="575"/>
      <c r="HYT34" s="575"/>
      <c r="HYU34" s="575"/>
      <c r="HYV34" s="575"/>
      <c r="HYW34" s="575"/>
      <c r="HYX34" s="575"/>
      <c r="HYY34" s="575"/>
      <c r="HYZ34" s="575"/>
      <c r="HZA34" s="575"/>
      <c r="HZB34" s="575"/>
      <c r="HZC34" s="575"/>
      <c r="HZD34" s="575"/>
      <c r="HZE34" s="575"/>
      <c r="HZF34" s="575"/>
      <c r="HZG34" s="575"/>
      <c r="HZH34" s="575"/>
      <c r="HZI34" s="575"/>
      <c r="HZJ34" s="575"/>
      <c r="HZK34" s="575"/>
      <c r="HZL34" s="575"/>
      <c r="HZM34" s="575"/>
      <c r="HZN34" s="575"/>
      <c r="HZO34" s="575"/>
      <c r="HZP34" s="575"/>
      <c r="HZQ34" s="575"/>
      <c r="HZR34" s="575"/>
      <c r="HZS34" s="575"/>
      <c r="HZT34" s="575"/>
      <c r="HZU34" s="575"/>
      <c r="HZV34" s="575"/>
      <c r="HZW34" s="575"/>
      <c r="HZX34" s="575"/>
      <c r="HZY34" s="575"/>
      <c r="HZZ34" s="575"/>
      <c r="IAA34" s="575"/>
      <c r="IAB34" s="575"/>
      <c r="IAC34" s="575"/>
      <c r="IAD34" s="575"/>
      <c r="IAE34" s="575"/>
      <c r="IAF34" s="575"/>
      <c r="IAG34" s="575"/>
      <c r="IAH34" s="575"/>
      <c r="IAI34" s="575"/>
      <c r="IAJ34" s="575"/>
      <c r="IAK34" s="575"/>
      <c r="IAL34" s="575"/>
      <c r="IAM34" s="575"/>
      <c r="IAN34" s="575"/>
      <c r="IAO34" s="575"/>
      <c r="IAP34" s="575"/>
      <c r="IAQ34" s="575"/>
      <c r="IAR34" s="575"/>
      <c r="IAS34" s="575"/>
      <c r="IAT34" s="575"/>
      <c r="IAU34" s="575"/>
      <c r="IAV34" s="575"/>
      <c r="IAW34" s="575"/>
      <c r="IAX34" s="575"/>
      <c r="IAY34" s="575"/>
      <c r="IAZ34" s="575"/>
      <c r="IBA34" s="575"/>
      <c r="IBB34" s="575"/>
      <c r="IBC34" s="575"/>
      <c r="IBD34" s="575"/>
      <c r="IBE34" s="575"/>
      <c r="IBF34" s="575"/>
      <c r="IBG34" s="575"/>
      <c r="IBH34" s="575"/>
      <c r="IBI34" s="575"/>
      <c r="IBJ34" s="575"/>
      <c r="IBK34" s="575"/>
      <c r="IBL34" s="575"/>
      <c r="IBM34" s="575"/>
      <c r="IBN34" s="575"/>
      <c r="IBO34" s="575"/>
      <c r="IBP34" s="575"/>
      <c r="IBQ34" s="575"/>
      <c r="IBR34" s="575"/>
      <c r="IBS34" s="575"/>
      <c r="IBT34" s="575"/>
      <c r="IBU34" s="575"/>
      <c r="IBV34" s="575"/>
      <c r="IBW34" s="575"/>
      <c r="IBX34" s="575"/>
      <c r="IBY34" s="575"/>
      <c r="IBZ34" s="575"/>
      <c r="ICA34" s="575"/>
      <c r="ICB34" s="575"/>
      <c r="ICC34" s="575"/>
      <c r="ICD34" s="575"/>
      <c r="ICE34" s="575"/>
      <c r="ICF34" s="575"/>
      <c r="ICG34" s="575"/>
      <c r="ICH34" s="575"/>
      <c r="ICI34" s="575"/>
      <c r="ICJ34" s="575"/>
      <c r="ICK34" s="575"/>
      <c r="ICL34" s="575"/>
      <c r="ICM34" s="575"/>
      <c r="ICN34" s="575"/>
      <c r="ICO34" s="575"/>
      <c r="ICP34" s="575"/>
      <c r="ICQ34" s="575"/>
      <c r="ICR34" s="575"/>
      <c r="ICS34" s="575"/>
      <c r="ICT34" s="575"/>
      <c r="ICU34" s="575"/>
      <c r="ICV34" s="575"/>
      <c r="ICW34" s="575"/>
      <c r="ICX34" s="575"/>
      <c r="ICY34" s="575"/>
      <c r="ICZ34" s="575"/>
      <c r="IDA34" s="575"/>
      <c r="IDB34" s="575"/>
      <c r="IDC34" s="575"/>
      <c r="IDD34" s="575"/>
      <c r="IDE34" s="575"/>
      <c r="IDF34" s="575"/>
      <c r="IDG34" s="575"/>
      <c r="IDH34" s="575"/>
      <c r="IDI34" s="575"/>
      <c r="IDJ34" s="575"/>
      <c r="IDK34" s="575"/>
      <c r="IDL34" s="575"/>
      <c r="IDM34" s="575"/>
      <c r="IDN34" s="575"/>
      <c r="IDO34" s="575"/>
      <c r="IDP34" s="575"/>
      <c r="IDQ34" s="575"/>
      <c r="IDR34" s="575"/>
      <c r="IDS34" s="575"/>
      <c r="IDT34" s="575"/>
      <c r="IDU34" s="575"/>
      <c r="IDV34" s="575"/>
      <c r="IDW34" s="575"/>
      <c r="IDX34" s="575"/>
      <c r="IDY34" s="575"/>
      <c r="IDZ34" s="575"/>
      <c r="IEA34" s="575"/>
      <c r="IEB34" s="575"/>
      <c r="IEC34" s="575"/>
      <c r="IED34" s="575"/>
      <c r="IEE34" s="575"/>
      <c r="IEF34" s="575"/>
      <c r="IEG34" s="575"/>
      <c r="IEH34" s="575"/>
      <c r="IEI34" s="575"/>
      <c r="IEJ34" s="575"/>
      <c r="IEK34" s="575"/>
      <c r="IEL34" s="575"/>
      <c r="IEM34" s="575"/>
      <c r="IEN34" s="575"/>
      <c r="IEO34" s="575"/>
      <c r="IEP34" s="575"/>
      <c r="IEQ34" s="575"/>
      <c r="IER34" s="575"/>
      <c r="IES34" s="575"/>
      <c r="IET34" s="575"/>
      <c r="IEU34" s="575"/>
      <c r="IEV34" s="575"/>
      <c r="IEW34" s="575"/>
      <c r="IEX34" s="575"/>
      <c r="IEY34" s="575"/>
      <c r="IEZ34" s="575"/>
      <c r="IFA34" s="575"/>
      <c r="IFB34" s="575"/>
      <c r="IFC34" s="575"/>
      <c r="IFD34" s="575"/>
      <c r="IFE34" s="575"/>
      <c r="IFF34" s="575"/>
      <c r="IFG34" s="575"/>
      <c r="IFH34" s="575"/>
      <c r="IFI34" s="575"/>
      <c r="IFJ34" s="575"/>
      <c r="IFK34" s="575"/>
      <c r="IFL34" s="575"/>
      <c r="IFM34" s="575"/>
      <c r="IFN34" s="575"/>
      <c r="IFO34" s="575"/>
      <c r="IFP34" s="575"/>
      <c r="IFQ34" s="575"/>
      <c r="IFR34" s="575"/>
      <c r="IFS34" s="575"/>
      <c r="IFT34" s="575"/>
      <c r="IFU34" s="575"/>
      <c r="IFV34" s="575"/>
      <c r="IFW34" s="575"/>
      <c r="IFX34" s="575"/>
      <c r="IFY34" s="575"/>
      <c r="IFZ34" s="575"/>
      <c r="IGA34" s="575"/>
      <c r="IGB34" s="575"/>
      <c r="IGC34" s="575"/>
      <c r="IGD34" s="575"/>
      <c r="IGE34" s="575"/>
      <c r="IGF34" s="575"/>
      <c r="IGG34" s="575"/>
      <c r="IGH34" s="575"/>
      <c r="IGI34" s="575"/>
      <c r="IGJ34" s="575"/>
      <c r="IGK34" s="575"/>
      <c r="IGL34" s="575"/>
      <c r="IGM34" s="575"/>
      <c r="IGN34" s="575"/>
      <c r="IGO34" s="575"/>
      <c r="IGP34" s="575"/>
      <c r="IGQ34" s="575"/>
      <c r="IGR34" s="575"/>
      <c r="IGS34" s="575"/>
      <c r="IGT34" s="575"/>
      <c r="IGU34" s="575"/>
      <c r="IGV34" s="575"/>
      <c r="IGW34" s="575"/>
      <c r="IGX34" s="575"/>
      <c r="IGY34" s="575"/>
      <c r="IGZ34" s="575"/>
      <c r="IHA34" s="575"/>
      <c r="IHB34" s="575"/>
      <c r="IHC34" s="575"/>
      <c r="IHD34" s="575"/>
      <c r="IHE34" s="575"/>
      <c r="IHF34" s="575"/>
      <c r="IHG34" s="575"/>
      <c r="IHH34" s="575"/>
      <c r="IHI34" s="575"/>
      <c r="IHJ34" s="575"/>
      <c r="IHK34" s="575"/>
      <c r="IHL34" s="575"/>
      <c r="IHM34" s="575"/>
      <c r="IHN34" s="575"/>
      <c r="IHO34" s="575"/>
      <c r="IHP34" s="575"/>
      <c r="IHQ34" s="575"/>
      <c r="IHR34" s="575"/>
      <c r="IHS34" s="575"/>
      <c r="IHT34" s="575"/>
      <c r="IHU34" s="575"/>
      <c r="IHV34" s="575"/>
      <c r="IHW34" s="575"/>
      <c r="IHX34" s="575"/>
      <c r="IHY34" s="575"/>
      <c r="IHZ34" s="575"/>
      <c r="IIA34" s="575"/>
      <c r="IIB34" s="575"/>
      <c r="IIC34" s="575"/>
      <c r="IID34" s="575"/>
      <c r="IIE34" s="575"/>
      <c r="IIF34" s="575"/>
      <c r="IIG34" s="575"/>
      <c r="IIH34" s="575"/>
      <c r="III34" s="575"/>
      <c r="IIJ34" s="575"/>
      <c r="IIK34" s="575"/>
      <c r="IIL34" s="575"/>
      <c r="IIM34" s="575"/>
      <c r="IIN34" s="575"/>
      <c r="IIO34" s="575"/>
      <c r="IIP34" s="575"/>
      <c r="IIQ34" s="575"/>
      <c r="IIR34" s="575"/>
      <c r="IIS34" s="575"/>
      <c r="IIT34" s="575"/>
      <c r="IIU34" s="575"/>
      <c r="IIV34" s="575"/>
      <c r="IIW34" s="575"/>
      <c r="IIX34" s="575"/>
      <c r="IIY34" s="575"/>
      <c r="IIZ34" s="575"/>
      <c r="IJA34" s="575"/>
      <c r="IJB34" s="575"/>
      <c r="IJC34" s="575"/>
      <c r="IJD34" s="575"/>
      <c r="IJE34" s="575"/>
      <c r="IJF34" s="575"/>
      <c r="IJG34" s="575"/>
      <c r="IJH34" s="575"/>
      <c r="IJI34" s="575"/>
      <c r="IJJ34" s="575"/>
      <c r="IJK34" s="575"/>
      <c r="IJL34" s="575"/>
      <c r="IJM34" s="575"/>
      <c r="IJN34" s="575"/>
      <c r="IJO34" s="575"/>
      <c r="IJP34" s="575"/>
      <c r="IJQ34" s="575"/>
      <c r="IJR34" s="575"/>
      <c r="IJS34" s="575"/>
      <c r="IJT34" s="575"/>
      <c r="IJU34" s="575"/>
      <c r="IJV34" s="575"/>
      <c r="IJW34" s="575"/>
      <c r="IJX34" s="575"/>
      <c r="IJY34" s="575"/>
      <c r="IJZ34" s="575"/>
      <c r="IKA34" s="575"/>
      <c r="IKB34" s="575"/>
      <c r="IKC34" s="575"/>
      <c r="IKD34" s="575"/>
      <c r="IKE34" s="575"/>
      <c r="IKF34" s="575"/>
      <c r="IKG34" s="575"/>
      <c r="IKH34" s="575"/>
      <c r="IKI34" s="575"/>
      <c r="IKJ34" s="575"/>
      <c r="IKK34" s="575"/>
      <c r="IKL34" s="575"/>
      <c r="IKM34" s="575"/>
      <c r="IKN34" s="575"/>
      <c r="IKO34" s="575"/>
      <c r="IKP34" s="575"/>
      <c r="IKQ34" s="575"/>
      <c r="IKR34" s="575"/>
      <c r="IKS34" s="575"/>
      <c r="IKT34" s="575"/>
      <c r="IKU34" s="575"/>
      <c r="IKV34" s="575"/>
      <c r="IKW34" s="575"/>
      <c r="IKX34" s="575"/>
      <c r="IKY34" s="575"/>
      <c r="IKZ34" s="575"/>
      <c r="ILA34" s="575"/>
      <c r="ILB34" s="575"/>
      <c r="ILC34" s="575"/>
      <c r="ILD34" s="575"/>
      <c r="ILE34" s="575"/>
      <c r="ILF34" s="575"/>
      <c r="ILG34" s="575"/>
      <c r="ILH34" s="575"/>
      <c r="ILI34" s="575"/>
      <c r="ILJ34" s="575"/>
      <c r="ILK34" s="575"/>
      <c r="ILL34" s="575"/>
      <c r="ILM34" s="575"/>
      <c r="ILN34" s="575"/>
      <c r="ILO34" s="575"/>
      <c r="ILP34" s="575"/>
      <c r="ILQ34" s="575"/>
      <c r="ILR34" s="575"/>
      <c r="ILS34" s="575"/>
      <c r="ILT34" s="575"/>
      <c r="ILU34" s="575"/>
      <c r="ILV34" s="575"/>
      <c r="ILW34" s="575"/>
      <c r="ILX34" s="575"/>
      <c r="ILY34" s="575"/>
      <c r="ILZ34" s="575"/>
      <c r="IMA34" s="575"/>
      <c r="IMB34" s="575"/>
      <c r="IMC34" s="575"/>
      <c r="IMD34" s="575"/>
      <c r="IME34" s="575"/>
      <c r="IMF34" s="575"/>
      <c r="IMG34" s="575"/>
      <c r="IMH34" s="575"/>
      <c r="IMI34" s="575"/>
      <c r="IMJ34" s="575"/>
      <c r="IMK34" s="575"/>
      <c r="IML34" s="575"/>
      <c r="IMM34" s="575"/>
      <c r="IMN34" s="575"/>
      <c r="IMO34" s="575"/>
      <c r="IMP34" s="575"/>
      <c r="IMQ34" s="575"/>
      <c r="IMR34" s="575"/>
      <c r="IMS34" s="575"/>
      <c r="IMT34" s="575"/>
      <c r="IMU34" s="575"/>
      <c r="IMV34" s="575"/>
      <c r="IMW34" s="575"/>
      <c r="IMX34" s="575"/>
      <c r="IMY34" s="575"/>
      <c r="IMZ34" s="575"/>
      <c r="INA34" s="575"/>
      <c r="INB34" s="575"/>
      <c r="INC34" s="575"/>
      <c r="IND34" s="575"/>
      <c r="INE34" s="575"/>
      <c r="INF34" s="575"/>
      <c r="ING34" s="575"/>
      <c r="INH34" s="575"/>
      <c r="INI34" s="575"/>
      <c r="INJ34" s="575"/>
      <c r="INK34" s="575"/>
      <c r="INL34" s="575"/>
      <c r="INM34" s="575"/>
      <c r="INN34" s="575"/>
      <c r="INO34" s="575"/>
      <c r="INP34" s="575"/>
      <c r="INQ34" s="575"/>
      <c r="INR34" s="575"/>
      <c r="INS34" s="575"/>
      <c r="INT34" s="575"/>
      <c r="INU34" s="575"/>
      <c r="INV34" s="575"/>
      <c r="INW34" s="575"/>
      <c r="INX34" s="575"/>
      <c r="INY34" s="575"/>
      <c r="INZ34" s="575"/>
      <c r="IOA34" s="575"/>
      <c r="IOB34" s="575"/>
      <c r="IOC34" s="575"/>
      <c r="IOD34" s="575"/>
      <c r="IOE34" s="575"/>
      <c r="IOF34" s="575"/>
      <c r="IOG34" s="575"/>
      <c r="IOH34" s="575"/>
      <c r="IOI34" s="575"/>
      <c r="IOJ34" s="575"/>
      <c r="IOK34" s="575"/>
      <c r="IOL34" s="575"/>
      <c r="IOM34" s="575"/>
      <c r="ION34" s="575"/>
      <c r="IOO34" s="575"/>
      <c r="IOP34" s="575"/>
      <c r="IOQ34" s="575"/>
      <c r="IOR34" s="575"/>
      <c r="IOS34" s="575"/>
      <c r="IOT34" s="575"/>
      <c r="IOU34" s="575"/>
      <c r="IOV34" s="575"/>
      <c r="IOW34" s="575"/>
      <c r="IOX34" s="575"/>
      <c r="IOY34" s="575"/>
      <c r="IOZ34" s="575"/>
      <c r="IPA34" s="575"/>
      <c r="IPB34" s="575"/>
      <c r="IPC34" s="575"/>
      <c r="IPD34" s="575"/>
      <c r="IPE34" s="575"/>
      <c r="IPF34" s="575"/>
      <c r="IPG34" s="575"/>
      <c r="IPH34" s="575"/>
      <c r="IPI34" s="575"/>
      <c r="IPJ34" s="575"/>
      <c r="IPK34" s="575"/>
      <c r="IPL34" s="575"/>
      <c r="IPM34" s="575"/>
      <c r="IPN34" s="575"/>
      <c r="IPO34" s="575"/>
      <c r="IPP34" s="575"/>
      <c r="IPQ34" s="575"/>
      <c r="IPR34" s="575"/>
      <c r="IPS34" s="575"/>
      <c r="IPT34" s="575"/>
      <c r="IPU34" s="575"/>
      <c r="IPV34" s="575"/>
      <c r="IPW34" s="575"/>
      <c r="IPX34" s="575"/>
      <c r="IPY34" s="575"/>
      <c r="IPZ34" s="575"/>
      <c r="IQA34" s="575"/>
      <c r="IQB34" s="575"/>
      <c r="IQC34" s="575"/>
      <c r="IQD34" s="575"/>
      <c r="IQE34" s="575"/>
      <c r="IQF34" s="575"/>
      <c r="IQG34" s="575"/>
      <c r="IQH34" s="575"/>
      <c r="IQI34" s="575"/>
      <c r="IQJ34" s="575"/>
      <c r="IQK34" s="575"/>
      <c r="IQL34" s="575"/>
      <c r="IQM34" s="575"/>
      <c r="IQN34" s="575"/>
      <c r="IQO34" s="575"/>
      <c r="IQP34" s="575"/>
      <c r="IQQ34" s="575"/>
      <c r="IQR34" s="575"/>
      <c r="IQS34" s="575"/>
      <c r="IQT34" s="575"/>
      <c r="IQU34" s="575"/>
      <c r="IQV34" s="575"/>
      <c r="IQW34" s="575"/>
      <c r="IQX34" s="575"/>
      <c r="IQY34" s="575"/>
      <c r="IQZ34" s="575"/>
      <c r="IRA34" s="575"/>
      <c r="IRB34" s="575"/>
      <c r="IRC34" s="575"/>
      <c r="IRD34" s="575"/>
      <c r="IRE34" s="575"/>
      <c r="IRF34" s="575"/>
      <c r="IRG34" s="575"/>
      <c r="IRH34" s="575"/>
      <c r="IRI34" s="575"/>
      <c r="IRJ34" s="575"/>
      <c r="IRK34" s="575"/>
      <c r="IRL34" s="575"/>
      <c r="IRM34" s="575"/>
      <c r="IRN34" s="575"/>
      <c r="IRO34" s="575"/>
      <c r="IRP34" s="575"/>
      <c r="IRQ34" s="575"/>
      <c r="IRR34" s="575"/>
      <c r="IRS34" s="575"/>
      <c r="IRT34" s="575"/>
      <c r="IRU34" s="575"/>
      <c r="IRV34" s="575"/>
      <c r="IRW34" s="575"/>
      <c r="IRX34" s="575"/>
      <c r="IRY34" s="575"/>
      <c r="IRZ34" s="575"/>
      <c r="ISA34" s="575"/>
      <c r="ISB34" s="575"/>
      <c r="ISC34" s="575"/>
      <c r="ISD34" s="575"/>
      <c r="ISE34" s="575"/>
      <c r="ISF34" s="575"/>
      <c r="ISG34" s="575"/>
      <c r="ISH34" s="575"/>
      <c r="ISI34" s="575"/>
      <c r="ISJ34" s="575"/>
      <c r="ISK34" s="575"/>
      <c r="ISL34" s="575"/>
      <c r="ISM34" s="575"/>
      <c r="ISN34" s="575"/>
      <c r="ISO34" s="575"/>
      <c r="ISP34" s="575"/>
      <c r="ISQ34" s="575"/>
      <c r="ISR34" s="575"/>
      <c r="ISS34" s="575"/>
      <c r="IST34" s="575"/>
      <c r="ISU34" s="575"/>
      <c r="ISV34" s="575"/>
      <c r="ISW34" s="575"/>
      <c r="ISX34" s="575"/>
      <c r="ISY34" s="575"/>
      <c r="ISZ34" s="575"/>
      <c r="ITA34" s="575"/>
      <c r="ITB34" s="575"/>
      <c r="ITC34" s="575"/>
      <c r="ITD34" s="575"/>
      <c r="ITE34" s="575"/>
      <c r="ITF34" s="575"/>
      <c r="ITG34" s="575"/>
      <c r="ITH34" s="575"/>
      <c r="ITI34" s="575"/>
      <c r="ITJ34" s="575"/>
      <c r="ITK34" s="575"/>
      <c r="ITL34" s="575"/>
      <c r="ITM34" s="575"/>
      <c r="ITN34" s="575"/>
      <c r="ITO34" s="575"/>
      <c r="ITP34" s="575"/>
      <c r="ITQ34" s="575"/>
      <c r="ITR34" s="575"/>
      <c r="ITS34" s="575"/>
      <c r="ITT34" s="575"/>
      <c r="ITU34" s="575"/>
      <c r="ITV34" s="575"/>
      <c r="ITW34" s="575"/>
      <c r="ITX34" s="575"/>
      <c r="ITY34" s="575"/>
      <c r="ITZ34" s="575"/>
      <c r="IUA34" s="575"/>
      <c r="IUB34" s="575"/>
      <c r="IUC34" s="575"/>
      <c r="IUD34" s="575"/>
      <c r="IUE34" s="575"/>
      <c r="IUF34" s="575"/>
      <c r="IUG34" s="575"/>
      <c r="IUH34" s="575"/>
      <c r="IUI34" s="575"/>
      <c r="IUJ34" s="575"/>
      <c r="IUK34" s="575"/>
      <c r="IUL34" s="575"/>
      <c r="IUM34" s="575"/>
      <c r="IUN34" s="575"/>
      <c r="IUO34" s="575"/>
      <c r="IUP34" s="575"/>
      <c r="IUQ34" s="575"/>
      <c r="IUR34" s="575"/>
      <c r="IUS34" s="575"/>
      <c r="IUT34" s="575"/>
      <c r="IUU34" s="575"/>
      <c r="IUV34" s="575"/>
      <c r="IUW34" s="575"/>
      <c r="IUX34" s="575"/>
      <c r="IUY34" s="575"/>
      <c r="IUZ34" s="575"/>
      <c r="IVA34" s="575"/>
      <c r="IVB34" s="575"/>
      <c r="IVC34" s="575"/>
      <c r="IVD34" s="575"/>
      <c r="IVE34" s="575"/>
      <c r="IVF34" s="575"/>
      <c r="IVG34" s="575"/>
      <c r="IVH34" s="575"/>
      <c r="IVI34" s="575"/>
      <c r="IVJ34" s="575"/>
      <c r="IVK34" s="575"/>
      <c r="IVL34" s="575"/>
      <c r="IVM34" s="575"/>
      <c r="IVN34" s="575"/>
      <c r="IVO34" s="575"/>
      <c r="IVP34" s="575"/>
      <c r="IVQ34" s="575"/>
      <c r="IVR34" s="575"/>
      <c r="IVS34" s="575"/>
      <c r="IVT34" s="575"/>
      <c r="IVU34" s="575"/>
      <c r="IVV34" s="575"/>
      <c r="IVW34" s="575"/>
      <c r="IVX34" s="575"/>
      <c r="IVY34" s="575"/>
      <c r="IVZ34" s="575"/>
      <c r="IWA34" s="575"/>
      <c r="IWB34" s="575"/>
      <c r="IWC34" s="575"/>
      <c r="IWD34" s="575"/>
      <c r="IWE34" s="575"/>
      <c r="IWF34" s="575"/>
      <c r="IWG34" s="575"/>
      <c r="IWH34" s="575"/>
      <c r="IWI34" s="575"/>
      <c r="IWJ34" s="575"/>
      <c r="IWK34" s="575"/>
      <c r="IWL34" s="575"/>
      <c r="IWM34" s="575"/>
      <c r="IWN34" s="575"/>
      <c r="IWO34" s="575"/>
      <c r="IWP34" s="575"/>
      <c r="IWQ34" s="575"/>
      <c r="IWR34" s="575"/>
      <c r="IWS34" s="575"/>
      <c r="IWT34" s="575"/>
      <c r="IWU34" s="575"/>
      <c r="IWV34" s="575"/>
      <c r="IWW34" s="575"/>
      <c r="IWX34" s="575"/>
      <c r="IWY34" s="575"/>
      <c r="IWZ34" s="575"/>
      <c r="IXA34" s="575"/>
      <c r="IXB34" s="575"/>
      <c r="IXC34" s="575"/>
      <c r="IXD34" s="575"/>
      <c r="IXE34" s="575"/>
      <c r="IXF34" s="575"/>
      <c r="IXG34" s="575"/>
      <c r="IXH34" s="575"/>
      <c r="IXI34" s="575"/>
      <c r="IXJ34" s="575"/>
      <c r="IXK34" s="575"/>
      <c r="IXL34" s="575"/>
      <c r="IXM34" s="575"/>
      <c r="IXN34" s="575"/>
      <c r="IXO34" s="575"/>
      <c r="IXP34" s="575"/>
      <c r="IXQ34" s="575"/>
      <c r="IXR34" s="575"/>
      <c r="IXS34" s="575"/>
      <c r="IXT34" s="575"/>
      <c r="IXU34" s="575"/>
      <c r="IXV34" s="575"/>
      <c r="IXW34" s="575"/>
      <c r="IXX34" s="575"/>
      <c r="IXY34" s="575"/>
      <c r="IXZ34" s="575"/>
      <c r="IYA34" s="575"/>
      <c r="IYB34" s="575"/>
      <c r="IYC34" s="575"/>
      <c r="IYD34" s="575"/>
      <c r="IYE34" s="575"/>
      <c r="IYF34" s="575"/>
      <c r="IYG34" s="575"/>
      <c r="IYH34" s="575"/>
      <c r="IYI34" s="575"/>
      <c r="IYJ34" s="575"/>
      <c r="IYK34" s="575"/>
      <c r="IYL34" s="575"/>
      <c r="IYM34" s="575"/>
      <c r="IYN34" s="575"/>
      <c r="IYO34" s="575"/>
      <c r="IYP34" s="575"/>
      <c r="IYQ34" s="575"/>
      <c r="IYR34" s="575"/>
      <c r="IYS34" s="575"/>
      <c r="IYT34" s="575"/>
      <c r="IYU34" s="575"/>
      <c r="IYV34" s="575"/>
      <c r="IYW34" s="575"/>
      <c r="IYX34" s="575"/>
      <c r="IYY34" s="575"/>
      <c r="IYZ34" s="575"/>
      <c r="IZA34" s="575"/>
      <c r="IZB34" s="575"/>
      <c r="IZC34" s="575"/>
      <c r="IZD34" s="575"/>
      <c r="IZE34" s="575"/>
      <c r="IZF34" s="575"/>
      <c r="IZG34" s="575"/>
      <c r="IZH34" s="575"/>
      <c r="IZI34" s="575"/>
      <c r="IZJ34" s="575"/>
      <c r="IZK34" s="575"/>
      <c r="IZL34" s="575"/>
      <c r="IZM34" s="575"/>
      <c r="IZN34" s="575"/>
      <c r="IZO34" s="575"/>
      <c r="IZP34" s="575"/>
      <c r="IZQ34" s="575"/>
      <c r="IZR34" s="575"/>
      <c r="IZS34" s="575"/>
      <c r="IZT34" s="575"/>
      <c r="IZU34" s="575"/>
      <c r="IZV34" s="575"/>
      <c r="IZW34" s="575"/>
      <c r="IZX34" s="575"/>
      <c r="IZY34" s="575"/>
      <c r="IZZ34" s="575"/>
      <c r="JAA34" s="575"/>
      <c r="JAB34" s="575"/>
      <c r="JAC34" s="575"/>
      <c r="JAD34" s="575"/>
      <c r="JAE34" s="575"/>
      <c r="JAF34" s="575"/>
      <c r="JAG34" s="575"/>
      <c r="JAH34" s="575"/>
      <c r="JAI34" s="575"/>
      <c r="JAJ34" s="575"/>
      <c r="JAK34" s="575"/>
      <c r="JAL34" s="575"/>
      <c r="JAM34" s="575"/>
      <c r="JAN34" s="575"/>
      <c r="JAO34" s="575"/>
      <c r="JAP34" s="575"/>
      <c r="JAQ34" s="575"/>
      <c r="JAR34" s="575"/>
      <c r="JAS34" s="575"/>
      <c r="JAT34" s="575"/>
      <c r="JAU34" s="575"/>
      <c r="JAV34" s="575"/>
      <c r="JAW34" s="575"/>
      <c r="JAX34" s="575"/>
      <c r="JAY34" s="575"/>
      <c r="JAZ34" s="575"/>
      <c r="JBA34" s="575"/>
      <c r="JBB34" s="575"/>
      <c r="JBC34" s="575"/>
      <c r="JBD34" s="575"/>
      <c r="JBE34" s="575"/>
      <c r="JBF34" s="575"/>
      <c r="JBG34" s="575"/>
      <c r="JBH34" s="575"/>
      <c r="JBI34" s="575"/>
      <c r="JBJ34" s="575"/>
      <c r="JBK34" s="575"/>
      <c r="JBL34" s="575"/>
      <c r="JBM34" s="575"/>
      <c r="JBN34" s="575"/>
      <c r="JBO34" s="575"/>
      <c r="JBP34" s="575"/>
      <c r="JBQ34" s="575"/>
      <c r="JBR34" s="575"/>
      <c r="JBS34" s="575"/>
      <c r="JBT34" s="575"/>
      <c r="JBU34" s="575"/>
      <c r="JBV34" s="575"/>
      <c r="JBW34" s="575"/>
      <c r="JBX34" s="575"/>
      <c r="JBY34" s="575"/>
      <c r="JBZ34" s="575"/>
      <c r="JCA34" s="575"/>
      <c r="JCB34" s="575"/>
      <c r="JCC34" s="575"/>
      <c r="JCD34" s="575"/>
      <c r="JCE34" s="575"/>
      <c r="JCF34" s="575"/>
      <c r="JCG34" s="575"/>
      <c r="JCH34" s="575"/>
      <c r="JCI34" s="575"/>
      <c r="JCJ34" s="575"/>
      <c r="JCK34" s="575"/>
      <c r="JCL34" s="575"/>
      <c r="JCM34" s="575"/>
      <c r="JCN34" s="575"/>
      <c r="JCO34" s="575"/>
      <c r="JCP34" s="575"/>
      <c r="JCQ34" s="575"/>
      <c r="JCR34" s="575"/>
      <c r="JCS34" s="575"/>
      <c r="JCT34" s="575"/>
      <c r="JCU34" s="575"/>
      <c r="JCV34" s="575"/>
      <c r="JCW34" s="575"/>
      <c r="JCX34" s="575"/>
      <c r="JCY34" s="575"/>
      <c r="JCZ34" s="575"/>
      <c r="JDA34" s="575"/>
      <c r="JDB34" s="575"/>
      <c r="JDC34" s="575"/>
      <c r="JDD34" s="575"/>
      <c r="JDE34" s="575"/>
      <c r="JDF34" s="575"/>
      <c r="JDG34" s="575"/>
      <c r="JDH34" s="575"/>
      <c r="JDI34" s="575"/>
      <c r="JDJ34" s="575"/>
      <c r="JDK34" s="575"/>
      <c r="JDL34" s="575"/>
      <c r="JDM34" s="575"/>
      <c r="JDN34" s="575"/>
      <c r="JDO34" s="575"/>
      <c r="JDP34" s="575"/>
      <c r="JDQ34" s="575"/>
      <c r="JDR34" s="575"/>
      <c r="JDS34" s="575"/>
      <c r="JDT34" s="575"/>
      <c r="JDU34" s="575"/>
      <c r="JDV34" s="575"/>
      <c r="JDW34" s="575"/>
      <c r="JDX34" s="575"/>
      <c r="JDY34" s="575"/>
      <c r="JDZ34" s="575"/>
      <c r="JEA34" s="575"/>
      <c r="JEB34" s="575"/>
      <c r="JEC34" s="575"/>
      <c r="JED34" s="575"/>
      <c r="JEE34" s="575"/>
      <c r="JEF34" s="575"/>
      <c r="JEG34" s="575"/>
      <c r="JEH34" s="575"/>
      <c r="JEI34" s="575"/>
      <c r="JEJ34" s="575"/>
      <c r="JEK34" s="575"/>
      <c r="JEL34" s="575"/>
      <c r="JEM34" s="575"/>
      <c r="JEN34" s="575"/>
      <c r="JEO34" s="575"/>
      <c r="JEP34" s="575"/>
      <c r="JEQ34" s="575"/>
      <c r="JER34" s="575"/>
      <c r="JES34" s="575"/>
      <c r="JET34" s="575"/>
      <c r="JEU34" s="575"/>
      <c r="JEV34" s="575"/>
      <c r="JEW34" s="575"/>
      <c r="JEX34" s="575"/>
      <c r="JEY34" s="575"/>
      <c r="JEZ34" s="575"/>
      <c r="JFA34" s="575"/>
      <c r="JFB34" s="575"/>
      <c r="JFC34" s="575"/>
      <c r="JFD34" s="575"/>
      <c r="JFE34" s="575"/>
      <c r="JFF34" s="575"/>
      <c r="JFG34" s="575"/>
      <c r="JFH34" s="575"/>
      <c r="JFI34" s="575"/>
      <c r="JFJ34" s="575"/>
      <c r="JFK34" s="575"/>
      <c r="JFL34" s="575"/>
      <c r="JFM34" s="575"/>
      <c r="JFN34" s="575"/>
      <c r="JFO34" s="575"/>
      <c r="JFP34" s="575"/>
      <c r="JFQ34" s="575"/>
      <c r="JFR34" s="575"/>
      <c r="JFS34" s="575"/>
      <c r="JFT34" s="575"/>
      <c r="JFU34" s="575"/>
      <c r="JFV34" s="575"/>
      <c r="JFW34" s="575"/>
      <c r="JFX34" s="575"/>
      <c r="JFY34" s="575"/>
      <c r="JFZ34" s="575"/>
      <c r="JGA34" s="575"/>
      <c r="JGB34" s="575"/>
      <c r="JGC34" s="575"/>
      <c r="JGD34" s="575"/>
      <c r="JGE34" s="575"/>
      <c r="JGF34" s="575"/>
      <c r="JGG34" s="575"/>
      <c r="JGH34" s="575"/>
      <c r="JGI34" s="575"/>
      <c r="JGJ34" s="575"/>
      <c r="JGK34" s="575"/>
      <c r="JGL34" s="575"/>
      <c r="JGM34" s="575"/>
      <c r="JGN34" s="575"/>
      <c r="JGO34" s="575"/>
      <c r="JGP34" s="575"/>
      <c r="JGQ34" s="575"/>
      <c r="JGR34" s="575"/>
      <c r="JGS34" s="575"/>
      <c r="JGT34" s="575"/>
      <c r="JGU34" s="575"/>
      <c r="JGV34" s="575"/>
      <c r="JGW34" s="575"/>
      <c r="JGX34" s="575"/>
      <c r="JGY34" s="575"/>
      <c r="JGZ34" s="575"/>
      <c r="JHA34" s="575"/>
      <c r="JHB34" s="575"/>
      <c r="JHC34" s="575"/>
      <c r="JHD34" s="575"/>
      <c r="JHE34" s="575"/>
      <c r="JHF34" s="575"/>
      <c r="JHG34" s="575"/>
      <c r="JHH34" s="575"/>
      <c r="JHI34" s="575"/>
      <c r="JHJ34" s="575"/>
      <c r="JHK34" s="575"/>
      <c r="JHL34" s="575"/>
      <c r="JHM34" s="575"/>
      <c r="JHN34" s="575"/>
      <c r="JHO34" s="575"/>
      <c r="JHP34" s="575"/>
      <c r="JHQ34" s="575"/>
      <c r="JHR34" s="575"/>
      <c r="JHS34" s="575"/>
      <c r="JHT34" s="575"/>
      <c r="JHU34" s="575"/>
      <c r="JHV34" s="575"/>
      <c r="JHW34" s="575"/>
      <c r="JHX34" s="575"/>
      <c r="JHY34" s="575"/>
      <c r="JHZ34" s="575"/>
      <c r="JIA34" s="575"/>
      <c r="JIB34" s="575"/>
      <c r="JIC34" s="575"/>
      <c r="JID34" s="575"/>
      <c r="JIE34" s="575"/>
      <c r="JIF34" s="575"/>
      <c r="JIG34" s="575"/>
      <c r="JIH34" s="575"/>
      <c r="JII34" s="575"/>
      <c r="JIJ34" s="575"/>
      <c r="JIK34" s="575"/>
      <c r="JIL34" s="575"/>
      <c r="JIM34" s="575"/>
      <c r="JIN34" s="575"/>
      <c r="JIO34" s="575"/>
      <c r="JIP34" s="575"/>
      <c r="JIQ34" s="575"/>
      <c r="JIR34" s="575"/>
      <c r="JIS34" s="575"/>
      <c r="JIT34" s="575"/>
      <c r="JIU34" s="575"/>
      <c r="JIV34" s="575"/>
      <c r="JIW34" s="575"/>
      <c r="JIX34" s="575"/>
      <c r="JIY34" s="575"/>
      <c r="JIZ34" s="575"/>
      <c r="JJA34" s="575"/>
      <c r="JJB34" s="575"/>
      <c r="JJC34" s="575"/>
      <c r="JJD34" s="575"/>
      <c r="JJE34" s="575"/>
      <c r="JJF34" s="575"/>
      <c r="JJG34" s="575"/>
      <c r="JJH34" s="575"/>
      <c r="JJI34" s="575"/>
      <c r="JJJ34" s="575"/>
      <c r="JJK34" s="575"/>
      <c r="JJL34" s="575"/>
      <c r="JJM34" s="575"/>
      <c r="JJN34" s="575"/>
      <c r="JJO34" s="575"/>
      <c r="JJP34" s="575"/>
      <c r="JJQ34" s="575"/>
      <c r="JJR34" s="575"/>
      <c r="JJS34" s="575"/>
      <c r="JJT34" s="575"/>
      <c r="JJU34" s="575"/>
      <c r="JJV34" s="575"/>
      <c r="JJW34" s="575"/>
      <c r="JJX34" s="575"/>
      <c r="JJY34" s="575"/>
      <c r="JJZ34" s="575"/>
      <c r="JKA34" s="575"/>
      <c r="JKB34" s="575"/>
      <c r="JKC34" s="575"/>
      <c r="JKD34" s="575"/>
      <c r="JKE34" s="575"/>
      <c r="JKF34" s="575"/>
      <c r="JKG34" s="575"/>
      <c r="JKH34" s="575"/>
      <c r="JKI34" s="575"/>
      <c r="JKJ34" s="575"/>
      <c r="JKK34" s="575"/>
      <c r="JKL34" s="575"/>
      <c r="JKM34" s="575"/>
      <c r="JKN34" s="575"/>
      <c r="JKO34" s="575"/>
      <c r="JKP34" s="575"/>
      <c r="JKQ34" s="575"/>
      <c r="JKR34" s="575"/>
      <c r="JKS34" s="575"/>
      <c r="JKT34" s="575"/>
      <c r="JKU34" s="575"/>
      <c r="JKV34" s="575"/>
      <c r="JKW34" s="575"/>
      <c r="JKX34" s="575"/>
      <c r="JKY34" s="575"/>
      <c r="JKZ34" s="575"/>
      <c r="JLA34" s="575"/>
      <c r="JLB34" s="575"/>
      <c r="JLC34" s="575"/>
      <c r="JLD34" s="575"/>
      <c r="JLE34" s="575"/>
      <c r="JLF34" s="575"/>
      <c r="JLG34" s="575"/>
      <c r="JLH34" s="575"/>
      <c r="JLI34" s="575"/>
      <c r="JLJ34" s="575"/>
      <c r="JLK34" s="575"/>
      <c r="JLL34" s="575"/>
      <c r="JLM34" s="575"/>
      <c r="JLN34" s="575"/>
      <c r="JLO34" s="575"/>
      <c r="JLP34" s="575"/>
      <c r="JLQ34" s="575"/>
      <c r="JLR34" s="575"/>
      <c r="JLS34" s="575"/>
      <c r="JLT34" s="575"/>
      <c r="JLU34" s="575"/>
      <c r="JLV34" s="575"/>
      <c r="JLW34" s="575"/>
      <c r="JLX34" s="575"/>
      <c r="JLY34" s="575"/>
      <c r="JLZ34" s="575"/>
      <c r="JMA34" s="575"/>
      <c r="JMB34" s="575"/>
      <c r="JMC34" s="575"/>
      <c r="JMD34" s="575"/>
      <c r="JME34" s="575"/>
      <c r="JMF34" s="575"/>
      <c r="JMG34" s="575"/>
      <c r="JMH34" s="575"/>
      <c r="JMI34" s="575"/>
      <c r="JMJ34" s="575"/>
      <c r="JMK34" s="575"/>
      <c r="JML34" s="575"/>
      <c r="JMM34" s="575"/>
      <c r="JMN34" s="575"/>
      <c r="JMO34" s="575"/>
      <c r="JMP34" s="575"/>
      <c r="JMQ34" s="575"/>
      <c r="JMR34" s="575"/>
      <c r="JMS34" s="575"/>
      <c r="JMT34" s="575"/>
      <c r="JMU34" s="575"/>
      <c r="JMV34" s="575"/>
      <c r="JMW34" s="575"/>
      <c r="JMX34" s="575"/>
      <c r="JMY34" s="575"/>
      <c r="JMZ34" s="575"/>
      <c r="JNA34" s="575"/>
      <c r="JNB34" s="575"/>
      <c r="JNC34" s="575"/>
      <c r="JND34" s="575"/>
      <c r="JNE34" s="575"/>
      <c r="JNF34" s="575"/>
      <c r="JNG34" s="575"/>
      <c r="JNH34" s="575"/>
      <c r="JNI34" s="575"/>
      <c r="JNJ34" s="575"/>
      <c r="JNK34" s="575"/>
      <c r="JNL34" s="575"/>
      <c r="JNM34" s="575"/>
      <c r="JNN34" s="575"/>
      <c r="JNO34" s="575"/>
      <c r="JNP34" s="575"/>
      <c r="JNQ34" s="575"/>
      <c r="JNR34" s="575"/>
      <c r="JNS34" s="575"/>
      <c r="JNT34" s="575"/>
      <c r="JNU34" s="575"/>
      <c r="JNV34" s="575"/>
      <c r="JNW34" s="575"/>
      <c r="JNX34" s="575"/>
      <c r="JNY34" s="575"/>
      <c r="JNZ34" s="575"/>
      <c r="JOA34" s="575"/>
      <c r="JOB34" s="575"/>
      <c r="JOC34" s="575"/>
      <c r="JOD34" s="575"/>
      <c r="JOE34" s="575"/>
      <c r="JOF34" s="575"/>
      <c r="JOG34" s="575"/>
      <c r="JOH34" s="575"/>
      <c r="JOI34" s="575"/>
      <c r="JOJ34" s="575"/>
      <c r="JOK34" s="575"/>
      <c r="JOL34" s="575"/>
      <c r="JOM34" s="575"/>
      <c r="JON34" s="575"/>
      <c r="JOO34" s="575"/>
      <c r="JOP34" s="575"/>
      <c r="JOQ34" s="575"/>
      <c r="JOR34" s="575"/>
      <c r="JOS34" s="575"/>
      <c r="JOT34" s="575"/>
      <c r="JOU34" s="575"/>
      <c r="JOV34" s="575"/>
      <c r="JOW34" s="575"/>
      <c r="JOX34" s="575"/>
      <c r="JOY34" s="575"/>
      <c r="JOZ34" s="575"/>
      <c r="JPA34" s="575"/>
      <c r="JPB34" s="575"/>
      <c r="JPC34" s="575"/>
      <c r="JPD34" s="575"/>
      <c r="JPE34" s="575"/>
      <c r="JPF34" s="575"/>
      <c r="JPG34" s="575"/>
      <c r="JPH34" s="575"/>
      <c r="JPI34" s="575"/>
      <c r="JPJ34" s="575"/>
      <c r="JPK34" s="575"/>
      <c r="JPL34" s="575"/>
      <c r="JPM34" s="575"/>
      <c r="JPN34" s="575"/>
      <c r="JPO34" s="575"/>
      <c r="JPP34" s="575"/>
      <c r="JPQ34" s="575"/>
      <c r="JPR34" s="575"/>
      <c r="JPS34" s="575"/>
      <c r="JPT34" s="575"/>
      <c r="JPU34" s="575"/>
      <c r="JPV34" s="575"/>
      <c r="JPW34" s="575"/>
      <c r="JPX34" s="575"/>
      <c r="JPY34" s="575"/>
      <c r="JPZ34" s="575"/>
      <c r="JQA34" s="575"/>
      <c r="JQB34" s="575"/>
      <c r="JQC34" s="575"/>
      <c r="JQD34" s="575"/>
      <c r="JQE34" s="575"/>
      <c r="JQF34" s="575"/>
      <c r="JQG34" s="575"/>
      <c r="JQH34" s="575"/>
      <c r="JQI34" s="575"/>
      <c r="JQJ34" s="575"/>
      <c r="JQK34" s="575"/>
      <c r="JQL34" s="575"/>
      <c r="JQM34" s="575"/>
      <c r="JQN34" s="575"/>
      <c r="JQO34" s="575"/>
      <c r="JQP34" s="575"/>
      <c r="JQQ34" s="575"/>
      <c r="JQR34" s="575"/>
      <c r="JQS34" s="575"/>
      <c r="JQT34" s="575"/>
      <c r="JQU34" s="575"/>
      <c r="JQV34" s="575"/>
      <c r="JQW34" s="575"/>
      <c r="JQX34" s="575"/>
      <c r="JQY34" s="575"/>
      <c r="JQZ34" s="575"/>
      <c r="JRA34" s="575"/>
      <c r="JRB34" s="575"/>
      <c r="JRC34" s="575"/>
      <c r="JRD34" s="575"/>
      <c r="JRE34" s="575"/>
      <c r="JRF34" s="575"/>
      <c r="JRG34" s="575"/>
      <c r="JRH34" s="575"/>
      <c r="JRI34" s="575"/>
      <c r="JRJ34" s="575"/>
      <c r="JRK34" s="575"/>
      <c r="JRL34" s="575"/>
      <c r="JRM34" s="575"/>
      <c r="JRN34" s="575"/>
      <c r="JRO34" s="575"/>
      <c r="JRP34" s="575"/>
      <c r="JRQ34" s="575"/>
      <c r="JRR34" s="575"/>
      <c r="JRS34" s="575"/>
      <c r="JRT34" s="575"/>
      <c r="JRU34" s="575"/>
      <c r="JRV34" s="575"/>
      <c r="JRW34" s="575"/>
      <c r="JRX34" s="575"/>
      <c r="JRY34" s="575"/>
      <c r="JRZ34" s="575"/>
      <c r="JSA34" s="575"/>
      <c r="JSB34" s="575"/>
      <c r="JSC34" s="575"/>
      <c r="JSD34" s="575"/>
      <c r="JSE34" s="575"/>
      <c r="JSF34" s="575"/>
      <c r="JSG34" s="575"/>
      <c r="JSH34" s="575"/>
      <c r="JSI34" s="575"/>
      <c r="JSJ34" s="575"/>
      <c r="JSK34" s="575"/>
      <c r="JSL34" s="575"/>
      <c r="JSM34" s="575"/>
      <c r="JSN34" s="575"/>
      <c r="JSO34" s="575"/>
      <c r="JSP34" s="575"/>
      <c r="JSQ34" s="575"/>
      <c r="JSR34" s="575"/>
      <c r="JSS34" s="575"/>
      <c r="JST34" s="575"/>
      <c r="JSU34" s="575"/>
      <c r="JSV34" s="575"/>
      <c r="JSW34" s="575"/>
      <c r="JSX34" s="575"/>
      <c r="JSY34" s="575"/>
      <c r="JSZ34" s="575"/>
      <c r="JTA34" s="575"/>
      <c r="JTB34" s="575"/>
      <c r="JTC34" s="575"/>
      <c r="JTD34" s="575"/>
      <c r="JTE34" s="575"/>
      <c r="JTF34" s="575"/>
      <c r="JTG34" s="575"/>
      <c r="JTH34" s="575"/>
      <c r="JTI34" s="575"/>
      <c r="JTJ34" s="575"/>
      <c r="JTK34" s="575"/>
      <c r="JTL34" s="575"/>
      <c r="JTM34" s="575"/>
      <c r="JTN34" s="575"/>
      <c r="JTO34" s="575"/>
      <c r="JTP34" s="575"/>
      <c r="JTQ34" s="575"/>
      <c r="JTR34" s="575"/>
      <c r="JTS34" s="575"/>
      <c r="JTT34" s="575"/>
      <c r="JTU34" s="575"/>
      <c r="JTV34" s="575"/>
      <c r="JTW34" s="575"/>
      <c r="JTX34" s="575"/>
      <c r="JTY34" s="575"/>
      <c r="JTZ34" s="575"/>
      <c r="JUA34" s="575"/>
      <c r="JUB34" s="575"/>
      <c r="JUC34" s="575"/>
      <c r="JUD34" s="575"/>
      <c r="JUE34" s="575"/>
      <c r="JUF34" s="575"/>
      <c r="JUG34" s="575"/>
      <c r="JUH34" s="575"/>
      <c r="JUI34" s="575"/>
      <c r="JUJ34" s="575"/>
      <c r="JUK34" s="575"/>
      <c r="JUL34" s="575"/>
      <c r="JUM34" s="575"/>
      <c r="JUN34" s="575"/>
      <c r="JUO34" s="575"/>
      <c r="JUP34" s="575"/>
      <c r="JUQ34" s="575"/>
      <c r="JUR34" s="575"/>
      <c r="JUS34" s="575"/>
      <c r="JUT34" s="575"/>
      <c r="JUU34" s="575"/>
      <c r="JUV34" s="575"/>
      <c r="JUW34" s="575"/>
      <c r="JUX34" s="575"/>
      <c r="JUY34" s="575"/>
      <c r="JUZ34" s="575"/>
      <c r="JVA34" s="575"/>
      <c r="JVB34" s="575"/>
      <c r="JVC34" s="575"/>
      <c r="JVD34" s="575"/>
      <c r="JVE34" s="575"/>
      <c r="JVF34" s="575"/>
      <c r="JVG34" s="575"/>
      <c r="JVH34" s="575"/>
      <c r="JVI34" s="575"/>
      <c r="JVJ34" s="575"/>
      <c r="JVK34" s="575"/>
      <c r="JVL34" s="575"/>
      <c r="JVM34" s="575"/>
      <c r="JVN34" s="575"/>
      <c r="JVO34" s="575"/>
      <c r="JVP34" s="575"/>
      <c r="JVQ34" s="575"/>
      <c r="JVR34" s="575"/>
      <c r="JVS34" s="575"/>
      <c r="JVT34" s="575"/>
      <c r="JVU34" s="575"/>
      <c r="JVV34" s="575"/>
      <c r="JVW34" s="575"/>
      <c r="JVX34" s="575"/>
      <c r="JVY34" s="575"/>
      <c r="JVZ34" s="575"/>
      <c r="JWA34" s="575"/>
      <c r="JWB34" s="575"/>
      <c r="JWC34" s="575"/>
      <c r="JWD34" s="575"/>
      <c r="JWE34" s="575"/>
      <c r="JWF34" s="575"/>
      <c r="JWG34" s="575"/>
      <c r="JWH34" s="575"/>
      <c r="JWI34" s="575"/>
      <c r="JWJ34" s="575"/>
      <c r="JWK34" s="575"/>
      <c r="JWL34" s="575"/>
      <c r="JWM34" s="575"/>
      <c r="JWN34" s="575"/>
      <c r="JWO34" s="575"/>
      <c r="JWP34" s="575"/>
      <c r="JWQ34" s="575"/>
      <c r="JWR34" s="575"/>
      <c r="JWS34" s="575"/>
      <c r="JWT34" s="575"/>
      <c r="JWU34" s="575"/>
      <c r="JWV34" s="575"/>
      <c r="JWW34" s="575"/>
      <c r="JWX34" s="575"/>
      <c r="JWY34" s="575"/>
      <c r="JWZ34" s="575"/>
      <c r="JXA34" s="575"/>
      <c r="JXB34" s="575"/>
      <c r="JXC34" s="575"/>
      <c r="JXD34" s="575"/>
      <c r="JXE34" s="575"/>
      <c r="JXF34" s="575"/>
      <c r="JXG34" s="575"/>
      <c r="JXH34" s="575"/>
      <c r="JXI34" s="575"/>
      <c r="JXJ34" s="575"/>
      <c r="JXK34" s="575"/>
      <c r="JXL34" s="575"/>
      <c r="JXM34" s="575"/>
      <c r="JXN34" s="575"/>
      <c r="JXO34" s="575"/>
      <c r="JXP34" s="575"/>
      <c r="JXQ34" s="575"/>
      <c r="JXR34" s="575"/>
      <c r="JXS34" s="575"/>
      <c r="JXT34" s="575"/>
      <c r="JXU34" s="575"/>
      <c r="JXV34" s="575"/>
      <c r="JXW34" s="575"/>
      <c r="JXX34" s="575"/>
      <c r="JXY34" s="575"/>
      <c r="JXZ34" s="575"/>
      <c r="JYA34" s="575"/>
      <c r="JYB34" s="575"/>
      <c r="JYC34" s="575"/>
      <c r="JYD34" s="575"/>
      <c r="JYE34" s="575"/>
      <c r="JYF34" s="575"/>
      <c r="JYG34" s="575"/>
      <c r="JYH34" s="575"/>
      <c r="JYI34" s="575"/>
      <c r="JYJ34" s="575"/>
      <c r="JYK34" s="575"/>
      <c r="JYL34" s="575"/>
      <c r="JYM34" s="575"/>
      <c r="JYN34" s="575"/>
      <c r="JYO34" s="575"/>
      <c r="JYP34" s="575"/>
      <c r="JYQ34" s="575"/>
      <c r="JYR34" s="575"/>
      <c r="JYS34" s="575"/>
      <c r="JYT34" s="575"/>
      <c r="JYU34" s="575"/>
      <c r="JYV34" s="575"/>
      <c r="JYW34" s="575"/>
      <c r="JYX34" s="575"/>
      <c r="JYY34" s="575"/>
      <c r="JYZ34" s="575"/>
      <c r="JZA34" s="575"/>
      <c r="JZB34" s="575"/>
      <c r="JZC34" s="575"/>
      <c r="JZD34" s="575"/>
      <c r="JZE34" s="575"/>
      <c r="JZF34" s="575"/>
      <c r="JZG34" s="575"/>
      <c r="JZH34" s="575"/>
      <c r="JZI34" s="575"/>
      <c r="JZJ34" s="575"/>
      <c r="JZK34" s="575"/>
      <c r="JZL34" s="575"/>
      <c r="JZM34" s="575"/>
      <c r="JZN34" s="575"/>
      <c r="JZO34" s="575"/>
      <c r="JZP34" s="575"/>
      <c r="JZQ34" s="575"/>
      <c r="JZR34" s="575"/>
      <c r="JZS34" s="575"/>
      <c r="JZT34" s="575"/>
      <c r="JZU34" s="575"/>
      <c r="JZV34" s="575"/>
      <c r="JZW34" s="575"/>
      <c r="JZX34" s="575"/>
      <c r="JZY34" s="575"/>
      <c r="JZZ34" s="575"/>
      <c r="KAA34" s="575"/>
      <c r="KAB34" s="575"/>
      <c r="KAC34" s="575"/>
      <c r="KAD34" s="575"/>
      <c r="KAE34" s="575"/>
      <c r="KAF34" s="575"/>
      <c r="KAG34" s="575"/>
      <c r="KAH34" s="575"/>
      <c r="KAI34" s="575"/>
      <c r="KAJ34" s="575"/>
      <c r="KAK34" s="575"/>
      <c r="KAL34" s="575"/>
      <c r="KAM34" s="575"/>
      <c r="KAN34" s="575"/>
      <c r="KAO34" s="575"/>
      <c r="KAP34" s="575"/>
      <c r="KAQ34" s="575"/>
      <c r="KAR34" s="575"/>
      <c r="KAS34" s="575"/>
      <c r="KAT34" s="575"/>
      <c r="KAU34" s="575"/>
      <c r="KAV34" s="575"/>
      <c r="KAW34" s="575"/>
      <c r="KAX34" s="575"/>
      <c r="KAY34" s="575"/>
      <c r="KAZ34" s="575"/>
      <c r="KBA34" s="575"/>
      <c r="KBB34" s="575"/>
      <c r="KBC34" s="575"/>
      <c r="KBD34" s="575"/>
      <c r="KBE34" s="575"/>
      <c r="KBF34" s="575"/>
      <c r="KBG34" s="575"/>
      <c r="KBH34" s="575"/>
      <c r="KBI34" s="575"/>
      <c r="KBJ34" s="575"/>
      <c r="KBK34" s="575"/>
      <c r="KBL34" s="575"/>
      <c r="KBM34" s="575"/>
      <c r="KBN34" s="575"/>
      <c r="KBO34" s="575"/>
      <c r="KBP34" s="575"/>
      <c r="KBQ34" s="575"/>
      <c r="KBR34" s="575"/>
      <c r="KBS34" s="575"/>
      <c r="KBT34" s="575"/>
      <c r="KBU34" s="575"/>
      <c r="KBV34" s="575"/>
      <c r="KBW34" s="575"/>
      <c r="KBX34" s="575"/>
      <c r="KBY34" s="575"/>
      <c r="KBZ34" s="575"/>
      <c r="KCA34" s="575"/>
      <c r="KCB34" s="575"/>
      <c r="KCC34" s="575"/>
      <c r="KCD34" s="575"/>
      <c r="KCE34" s="575"/>
      <c r="KCF34" s="575"/>
      <c r="KCG34" s="575"/>
      <c r="KCH34" s="575"/>
      <c r="KCI34" s="575"/>
      <c r="KCJ34" s="575"/>
      <c r="KCK34" s="575"/>
      <c r="KCL34" s="575"/>
      <c r="KCM34" s="575"/>
      <c r="KCN34" s="575"/>
      <c r="KCO34" s="575"/>
      <c r="KCP34" s="575"/>
      <c r="KCQ34" s="575"/>
      <c r="KCR34" s="575"/>
      <c r="KCS34" s="575"/>
      <c r="KCT34" s="575"/>
      <c r="KCU34" s="575"/>
      <c r="KCV34" s="575"/>
      <c r="KCW34" s="575"/>
      <c r="KCX34" s="575"/>
      <c r="KCY34" s="575"/>
      <c r="KCZ34" s="575"/>
      <c r="KDA34" s="575"/>
      <c r="KDB34" s="575"/>
      <c r="KDC34" s="575"/>
      <c r="KDD34" s="575"/>
      <c r="KDE34" s="575"/>
      <c r="KDF34" s="575"/>
      <c r="KDG34" s="575"/>
      <c r="KDH34" s="575"/>
      <c r="KDI34" s="575"/>
      <c r="KDJ34" s="575"/>
      <c r="KDK34" s="575"/>
      <c r="KDL34" s="575"/>
      <c r="KDM34" s="575"/>
      <c r="KDN34" s="575"/>
      <c r="KDO34" s="575"/>
      <c r="KDP34" s="575"/>
      <c r="KDQ34" s="575"/>
      <c r="KDR34" s="575"/>
      <c r="KDS34" s="575"/>
      <c r="KDT34" s="575"/>
      <c r="KDU34" s="575"/>
      <c r="KDV34" s="575"/>
      <c r="KDW34" s="575"/>
      <c r="KDX34" s="575"/>
      <c r="KDY34" s="575"/>
      <c r="KDZ34" s="575"/>
      <c r="KEA34" s="575"/>
      <c r="KEB34" s="575"/>
      <c r="KEC34" s="575"/>
      <c r="KED34" s="575"/>
      <c r="KEE34" s="575"/>
      <c r="KEF34" s="575"/>
      <c r="KEG34" s="575"/>
      <c r="KEH34" s="575"/>
      <c r="KEI34" s="575"/>
      <c r="KEJ34" s="575"/>
      <c r="KEK34" s="575"/>
      <c r="KEL34" s="575"/>
      <c r="KEM34" s="575"/>
      <c r="KEN34" s="575"/>
      <c r="KEO34" s="575"/>
      <c r="KEP34" s="575"/>
      <c r="KEQ34" s="575"/>
      <c r="KER34" s="575"/>
      <c r="KES34" s="575"/>
      <c r="KET34" s="575"/>
      <c r="KEU34" s="575"/>
      <c r="KEV34" s="575"/>
      <c r="KEW34" s="575"/>
      <c r="KEX34" s="575"/>
      <c r="KEY34" s="575"/>
      <c r="KEZ34" s="575"/>
      <c r="KFA34" s="575"/>
      <c r="KFB34" s="575"/>
      <c r="KFC34" s="575"/>
      <c r="KFD34" s="575"/>
      <c r="KFE34" s="575"/>
      <c r="KFF34" s="575"/>
      <c r="KFG34" s="575"/>
      <c r="KFH34" s="575"/>
      <c r="KFI34" s="575"/>
      <c r="KFJ34" s="575"/>
      <c r="KFK34" s="575"/>
      <c r="KFL34" s="575"/>
      <c r="KFM34" s="575"/>
      <c r="KFN34" s="575"/>
      <c r="KFO34" s="575"/>
      <c r="KFP34" s="575"/>
      <c r="KFQ34" s="575"/>
      <c r="KFR34" s="575"/>
      <c r="KFS34" s="575"/>
      <c r="KFT34" s="575"/>
      <c r="KFU34" s="575"/>
      <c r="KFV34" s="575"/>
      <c r="KFW34" s="575"/>
      <c r="KFX34" s="575"/>
      <c r="KFY34" s="575"/>
      <c r="KFZ34" s="575"/>
      <c r="KGA34" s="575"/>
      <c r="KGB34" s="575"/>
      <c r="KGC34" s="575"/>
      <c r="KGD34" s="575"/>
      <c r="KGE34" s="575"/>
      <c r="KGF34" s="575"/>
      <c r="KGG34" s="575"/>
      <c r="KGH34" s="575"/>
      <c r="KGI34" s="575"/>
      <c r="KGJ34" s="575"/>
      <c r="KGK34" s="575"/>
      <c r="KGL34" s="575"/>
      <c r="KGM34" s="575"/>
      <c r="KGN34" s="575"/>
      <c r="KGO34" s="575"/>
      <c r="KGP34" s="575"/>
      <c r="KGQ34" s="575"/>
      <c r="KGR34" s="575"/>
      <c r="KGS34" s="575"/>
      <c r="KGT34" s="575"/>
      <c r="KGU34" s="575"/>
      <c r="KGV34" s="575"/>
      <c r="KGW34" s="575"/>
      <c r="KGX34" s="575"/>
      <c r="KGY34" s="575"/>
      <c r="KGZ34" s="575"/>
      <c r="KHA34" s="575"/>
      <c r="KHB34" s="575"/>
      <c r="KHC34" s="575"/>
      <c r="KHD34" s="575"/>
      <c r="KHE34" s="575"/>
      <c r="KHF34" s="575"/>
      <c r="KHG34" s="575"/>
      <c r="KHH34" s="575"/>
      <c r="KHI34" s="575"/>
      <c r="KHJ34" s="575"/>
      <c r="KHK34" s="575"/>
      <c r="KHL34" s="575"/>
      <c r="KHM34" s="575"/>
      <c r="KHN34" s="575"/>
      <c r="KHO34" s="575"/>
      <c r="KHP34" s="575"/>
      <c r="KHQ34" s="575"/>
      <c r="KHR34" s="575"/>
      <c r="KHS34" s="575"/>
      <c r="KHT34" s="575"/>
      <c r="KHU34" s="575"/>
      <c r="KHV34" s="575"/>
      <c r="KHW34" s="575"/>
      <c r="KHX34" s="575"/>
      <c r="KHY34" s="575"/>
      <c r="KHZ34" s="575"/>
      <c r="KIA34" s="575"/>
      <c r="KIB34" s="575"/>
      <c r="KIC34" s="575"/>
      <c r="KID34" s="575"/>
      <c r="KIE34" s="575"/>
      <c r="KIF34" s="575"/>
      <c r="KIG34" s="575"/>
      <c r="KIH34" s="575"/>
      <c r="KII34" s="575"/>
      <c r="KIJ34" s="575"/>
      <c r="KIK34" s="575"/>
      <c r="KIL34" s="575"/>
      <c r="KIM34" s="575"/>
      <c r="KIN34" s="575"/>
      <c r="KIO34" s="575"/>
      <c r="KIP34" s="575"/>
      <c r="KIQ34" s="575"/>
      <c r="KIR34" s="575"/>
      <c r="KIS34" s="575"/>
      <c r="KIT34" s="575"/>
      <c r="KIU34" s="575"/>
      <c r="KIV34" s="575"/>
      <c r="KIW34" s="575"/>
      <c r="KIX34" s="575"/>
      <c r="KIY34" s="575"/>
      <c r="KIZ34" s="575"/>
      <c r="KJA34" s="575"/>
      <c r="KJB34" s="575"/>
      <c r="KJC34" s="575"/>
      <c r="KJD34" s="575"/>
      <c r="KJE34" s="575"/>
      <c r="KJF34" s="575"/>
      <c r="KJG34" s="575"/>
      <c r="KJH34" s="575"/>
      <c r="KJI34" s="575"/>
      <c r="KJJ34" s="575"/>
      <c r="KJK34" s="575"/>
      <c r="KJL34" s="575"/>
      <c r="KJM34" s="575"/>
      <c r="KJN34" s="575"/>
      <c r="KJO34" s="575"/>
      <c r="KJP34" s="575"/>
      <c r="KJQ34" s="575"/>
      <c r="KJR34" s="575"/>
      <c r="KJS34" s="575"/>
      <c r="KJT34" s="575"/>
      <c r="KJU34" s="575"/>
      <c r="KJV34" s="575"/>
      <c r="KJW34" s="575"/>
      <c r="KJX34" s="575"/>
      <c r="KJY34" s="575"/>
      <c r="KJZ34" s="575"/>
      <c r="KKA34" s="575"/>
      <c r="KKB34" s="575"/>
      <c r="KKC34" s="575"/>
      <c r="KKD34" s="575"/>
      <c r="KKE34" s="575"/>
      <c r="KKF34" s="575"/>
      <c r="KKG34" s="575"/>
      <c r="KKH34" s="575"/>
      <c r="KKI34" s="575"/>
      <c r="KKJ34" s="575"/>
      <c r="KKK34" s="575"/>
      <c r="KKL34" s="575"/>
      <c r="KKM34" s="575"/>
      <c r="KKN34" s="575"/>
      <c r="KKO34" s="575"/>
      <c r="KKP34" s="575"/>
      <c r="KKQ34" s="575"/>
      <c r="KKR34" s="575"/>
      <c r="KKS34" s="575"/>
      <c r="KKT34" s="575"/>
      <c r="KKU34" s="575"/>
      <c r="KKV34" s="575"/>
      <c r="KKW34" s="575"/>
      <c r="KKX34" s="575"/>
      <c r="KKY34" s="575"/>
      <c r="KKZ34" s="575"/>
      <c r="KLA34" s="575"/>
      <c r="KLB34" s="575"/>
      <c r="KLC34" s="575"/>
      <c r="KLD34" s="575"/>
      <c r="KLE34" s="575"/>
      <c r="KLF34" s="575"/>
      <c r="KLG34" s="575"/>
      <c r="KLH34" s="575"/>
      <c r="KLI34" s="575"/>
      <c r="KLJ34" s="575"/>
      <c r="KLK34" s="575"/>
      <c r="KLL34" s="575"/>
      <c r="KLM34" s="575"/>
      <c r="KLN34" s="575"/>
      <c r="KLO34" s="575"/>
      <c r="KLP34" s="575"/>
      <c r="KLQ34" s="575"/>
      <c r="KLR34" s="575"/>
      <c r="KLS34" s="575"/>
      <c r="KLT34" s="575"/>
      <c r="KLU34" s="575"/>
      <c r="KLV34" s="575"/>
      <c r="KLW34" s="575"/>
      <c r="KLX34" s="575"/>
      <c r="KLY34" s="575"/>
      <c r="KLZ34" s="575"/>
      <c r="KMA34" s="575"/>
      <c r="KMB34" s="575"/>
      <c r="KMC34" s="575"/>
      <c r="KMD34" s="575"/>
      <c r="KME34" s="575"/>
      <c r="KMF34" s="575"/>
      <c r="KMG34" s="575"/>
      <c r="KMH34" s="575"/>
      <c r="KMI34" s="575"/>
      <c r="KMJ34" s="575"/>
      <c r="KMK34" s="575"/>
      <c r="KML34" s="575"/>
      <c r="KMM34" s="575"/>
      <c r="KMN34" s="575"/>
      <c r="KMO34" s="575"/>
      <c r="KMP34" s="575"/>
      <c r="KMQ34" s="575"/>
      <c r="KMR34" s="575"/>
      <c r="KMS34" s="575"/>
      <c r="KMT34" s="575"/>
      <c r="KMU34" s="575"/>
      <c r="KMV34" s="575"/>
      <c r="KMW34" s="575"/>
      <c r="KMX34" s="575"/>
      <c r="KMY34" s="575"/>
      <c r="KMZ34" s="575"/>
      <c r="KNA34" s="575"/>
      <c r="KNB34" s="575"/>
      <c r="KNC34" s="575"/>
      <c r="KND34" s="575"/>
      <c r="KNE34" s="575"/>
      <c r="KNF34" s="575"/>
      <c r="KNG34" s="575"/>
      <c r="KNH34" s="575"/>
      <c r="KNI34" s="575"/>
      <c r="KNJ34" s="575"/>
      <c r="KNK34" s="575"/>
      <c r="KNL34" s="575"/>
      <c r="KNM34" s="575"/>
      <c r="KNN34" s="575"/>
      <c r="KNO34" s="575"/>
      <c r="KNP34" s="575"/>
      <c r="KNQ34" s="575"/>
      <c r="KNR34" s="575"/>
      <c r="KNS34" s="575"/>
      <c r="KNT34" s="575"/>
      <c r="KNU34" s="575"/>
      <c r="KNV34" s="575"/>
      <c r="KNW34" s="575"/>
      <c r="KNX34" s="575"/>
      <c r="KNY34" s="575"/>
      <c r="KNZ34" s="575"/>
      <c r="KOA34" s="575"/>
      <c r="KOB34" s="575"/>
      <c r="KOC34" s="575"/>
      <c r="KOD34" s="575"/>
      <c r="KOE34" s="575"/>
      <c r="KOF34" s="575"/>
      <c r="KOG34" s="575"/>
      <c r="KOH34" s="575"/>
      <c r="KOI34" s="575"/>
      <c r="KOJ34" s="575"/>
      <c r="KOK34" s="575"/>
      <c r="KOL34" s="575"/>
      <c r="KOM34" s="575"/>
      <c r="KON34" s="575"/>
      <c r="KOO34" s="575"/>
      <c r="KOP34" s="575"/>
      <c r="KOQ34" s="575"/>
      <c r="KOR34" s="575"/>
      <c r="KOS34" s="575"/>
      <c r="KOT34" s="575"/>
      <c r="KOU34" s="575"/>
      <c r="KOV34" s="575"/>
      <c r="KOW34" s="575"/>
      <c r="KOX34" s="575"/>
      <c r="KOY34" s="575"/>
      <c r="KOZ34" s="575"/>
      <c r="KPA34" s="575"/>
      <c r="KPB34" s="575"/>
      <c r="KPC34" s="575"/>
      <c r="KPD34" s="575"/>
      <c r="KPE34" s="575"/>
      <c r="KPF34" s="575"/>
      <c r="KPG34" s="575"/>
      <c r="KPH34" s="575"/>
      <c r="KPI34" s="575"/>
      <c r="KPJ34" s="575"/>
      <c r="KPK34" s="575"/>
      <c r="KPL34" s="575"/>
      <c r="KPM34" s="575"/>
      <c r="KPN34" s="575"/>
      <c r="KPO34" s="575"/>
      <c r="KPP34" s="575"/>
      <c r="KPQ34" s="575"/>
      <c r="KPR34" s="575"/>
      <c r="KPS34" s="575"/>
      <c r="KPT34" s="575"/>
      <c r="KPU34" s="575"/>
      <c r="KPV34" s="575"/>
      <c r="KPW34" s="575"/>
      <c r="KPX34" s="575"/>
      <c r="KPY34" s="575"/>
      <c r="KPZ34" s="575"/>
      <c r="KQA34" s="575"/>
      <c r="KQB34" s="575"/>
      <c r="KQC34" s="575"/>
      <c r="KQD34" s="575"/>
      <c r="KQE34" s="575"/>
      <c r="KQF34" s="575"/>
      <c r="KQG34" s="575"/>
      <c r="KQH34" s="575"/>
      <c r="KQI34" s="575"/>
      <c r="KQJ34" s="575"/>
      <c r="KQK34" s="575"/>
      <c r="KQL34" s="575"/>
      <c r="KQM34" s="575"/>
      <c r="KQN34" s="575"/>
      <c r="KQO34" s="575"/>
      <c r="KQP34" s="575"/>
      <c r="KQQ34" s="575"/>
      <c r="KQR34" s="575"/>
      <c r="KQS34" s="575"/>
      <c r="KQT34" s="575"/>
      <c r="KQU34" s="575"/>
      <c r="KQV34" s="575"/>
      <c r="KQW34" s="575"/>
      <c r="KQX34" s="575"/>
      <c r="KQY34" s="575"/>
      <c r="KQZ34" s="575"/>
      <c r="KRA34" s="575"/>
      <c r="KRB34" s="575"/>
      <c r="KRC34" s="575"/>
      <c r="KRD34" s="575"/>
      <c r="KRE34" s="575"/>
      <c r="KRF34" s="575"/>
      <c r="KRG34" s="575"/>
      <c r="KRH34" s="575"/>
      <c r="KRI34" s="575"/>
      <c r="KRJ34" s="575"/>
      <c r="KRK34" s="575"/>
      <c r="KRL34" s="575"/>
      <c r="KRM34" s="575"/>
      <c r="KRN34" s="575"/>
      <c r="KRO34" s="575"/>
      <c r="KRP34" s="575"/>
      <c r="KRQ34" s="575"/>
      <c r="KRR34" s="575"/>
      <c r="KRS34" s="575"/>
      <c r="KRT34" s="575"/>
      <c r="KRU34" s="575"/>
      <c r="KRV34" s="575"/>
      <c r="KRW34" s="575"/>
      <c r="KRX34" s="575"/>
      <c r="KRY34" s="575"/>
      <c r="KRZ34" s="575"/>
      <c r="KSA34" s="575"/>
      <c r="KSB34" s="575"/>
      <c r="KSC34" s="575"/>
      <c r="KSD34" s="575"/>
      <c r="KSE34" s="575"/>
      <c r="KSF34" s="575"/>
      <c r="KSG34" s="575"/>
      <c r="KSH34" s="575"/>
      <c r="KSI34" s="575"/>
      <c r="KSJ34" s="575"/>
      <c r="KSK34" s="575"/>
      <c r="KSL34" s="575"/>
      <c r="KSM34" s="575"/>
      <c r="KSN34" s="575"/>
      <c r="KSO34" s="575"/>
      <c r="KSP34" s="575"/>
      <c r="KSQ34" s="575"/>
      <c r="KSR34" s="575"/>
      <c r="KSS34" s="575"/>
      <c r="KST34" s="575"/>
      <c r="KSU34" s="575"/>
      <c r="KSV34" s="575"/>
      <c r="KSW34" s="575"/>
      <c r="KSX34" s="575"/>
      <c r="KSY34" s="575"/>
      <c r="KSZ34" s="575"/>
      <c r="KTA34" s="575"/>
      <c r="KTB34" s="575"/>
      <c r="KTC34" s="575"/>
      <c r="KTD34" s="575"/>
      <c r="KTE34" s="575"/>
      <c r="KTF34" s="575"/>
      <c r="KTG34" s="575"/>
      <c r="KTH34" s="575"/>
      <c r="KTI34" s="575"/>
      <c r="KTJ34" s="575"/>
      <c r="KTK34" s="575"/>
      <c r="KTL34" s="575"/>
      <c r="KTM34" s="575"/>
      <c r="KTN34" s="575"/>
      <c r="KTO34" s="575"/>
      <c r="KTP34" s="575"/>
      <c r="KTQ34" s="575"/>
      <c r="KTR34" s="575"/>
      <c r="KTS34" s="575"/>
      <c r="KTT34" s="575"/>
      <c r="KTU34" s="575"/>
      <c r="KTV34" s="575"/>
      <c r="KTW34" s="575"/>
      <c r="KTX34" s="575"/>
      <c r="KTY34" s="575"/>
      <c r="KTZ34" s="575"/>
      <c r="KUA34" s="575"/>
      <c r="KUB34" s="575"/>
      <c r="KUC34" s="575"/>
      <c r="KUD34" s="575"/>
      <c r="KUE34" s="575"/>
      <c r="KUF34" s="575"/>
      <c r="KUG34" s="575"/>
      <c r="KUH34" s="575"/>
      <c r="KUI34" s="575"/>
      <c r="KUJ34" s="575"/>
      <c r="KUK34" s="575"/>
      <c r="KUL34" s="575"/>
      <c r="KUM34" s="575"/>
      <c r="KUN34" s="575"/>
      <c r="KUO34" s="575"/>
      <c r="KUP34" s="575"/>
      <c r="KUQ34" s="575"/>
      <c r="KUR34" s="575"/>
      <c r="KUS34" s="575"/>
      <c r="KUT34" s="575"/>
      <c r="KUU34" s="575"/>
      <c r="KUV34" s="575"/>
      <c r="KUW34" s="575"/>
      <c r="KUX34" s="575"/>
      <c r="KUY34" s="575"/>
      <c r="KUZ34" s="575"/>
      <c r="KVA34" s="575"/>
      <c r="KVB34" s="575"/>
      <c r="KVC34" s="575"/>
      <c r="KVD34" s="575"/>
      <c r="KVE34" s="575"/>
      <c r="KVF34" s="575"/>
      <c r="KVG34" s="575"/>
      <c r="KVH34" s="575"/>
      <c r="KVI34" s="575"/>
      <c r="KVJ34" s="575"/>
      <c r="KVK34" s="575"/>
      <c r="KVL34" s="575"/>
      <c r="KVM34" s="575"/>
      <c r="KVN34" s="575"/>
      <c r="KVO34" s="575"/>
      <c r="KVP34" s="575"/>
      <c r="KVQ34" s="575"/>
      <c r="KVR34" s="575"/>
      <c r="KVS34" s="575"/>
      <c r="KVT34" s="575"/>
      <c r="KVU34" s="575"/>
      <c r="KVV34" s="575"/>
      <c r="KVW34" s="575"/>
      <c r="KVX34" s="575"/>
      <c r="KVY34" s="575"/>
      <c r="KVZ34" s="575"/>
      <c r="KWA34" s="575"/>
      <c r="KWB34" s="575"/>
      <c r="KWC34" s="575"/>
      <c r="KWD34" s="575"/>
      <c r="KWE34" s="575"/>
      <c r="KWF34" s="575"/>
      <c r="KWG34" s="575"/>
      <c r="KWH34" s="575"/>
      <c r="KWI34" s="575"/>
      <c r="KWJ34" s="575"/>
      <c r="KWK34" s="575"/>
      <c r="KWL34" s="575"/>
      <c r="KWM34" s="575"/>
      <c r="KWN34" s="575"/>
      <c r="KWO34" s="575"/>
      <c r="KWP34" s="575"/>
      <c r="KWQ34" s="575"/>
      <c r="KWR34" s="575"/>
      <c r="KWS34" s="575"/>
      <c r="KWT34" s="575"/>
      <c r="KWU34" s="575"/>
      <c r="KWV34" s="575"/>
      <c r="KWW34" s="575"/>
      <c r="KWX34" s="575"/>
      <c r="KWY34" s="575"/>
      <c r="KWZ34" s="575"/>
      <c r="KXA34" s="575"/>
      <c r="KXB34" s="575"/>
      <c r="KXC34" s="575"/>
      <c r="KXD34" s="575"/>
      <c r="KXE34" s="575"/>
      <c r="KXF34" s="575"/>
      <c r="KXG34" s="575"/>
      <c r="KXH34" s="575"/>
      <c r="KXI34" s="575"/>
      <c r="KXJ34" s="575"/>
      <c r="KXK34" s="575"/>
      <c r="KXL34" s="575"/>
      <c r="KXM34" s="575"/>
      <c r="KXN34" s="575"/>
      <c r="KXO34" s="575"/>
      <c r="KXP34" s="575"/>
      <c r="KXQ34" s="575"/>
      <c r="KXR34" s="575"/>
      <c r="KXS34" s="575"/>
      <c r="KXT34" s="575"/>
      <c r="KXU34" s="575"/>
      <c r="KXV34" s="575"/>
      <c r="KXW34" s="575"/>
      <c r="KXX34" s="575"/>
      <c r="KXY34" s="575"/>
      <c r="KXZ34" s="575"/>
      <c r="KYA34" s="575"/>
      <c r="KYB34" s="575"/>
      <c r="KYC34" s="575"/>
      <c r="KYD34" s="575"/>
      <c r="KYE34" s="575"/>
      <c r="KYF34" s="575"/>
      <c r="KYG34" s="575"/>
      <c r="KYH34" s="575"/>
      <c r="KYI34" s="575"/>
      <c r="KYJ34" s="575"/>
      <c r="KYK34" s="575"/>
      <c r="KYL34" s="575"/>
      <c r="KYM34" s="575"/>
      <c r="KYN34" s="575"/>
      <c r="KYO34" s="575"/>
      <c r="KYP34" s="575"/>
      <c r="KYQ34" s="575"/>
      <c r="KYR34" s="575"/>
      <c r="KYS34" s="575"/>
      <c r="KYT34" s="575"/>
      <c r="KYU34" s="575"/>
      <c r="KYV34" s="575"/>
      <c r="KYW34" s="575"/>
      <c r="KYX34" s="575"/>
      <c r="KYY34" s="575"/>
      <c r="KYZ34" s="575"/>
      <c r="KZA34" s="575"/>
      <c r="KZB34" s="575"/>
      <c r="KZC34" s="575"/>
      <c r="KZD34" s="575"/>
      <c r="KZE34" s="575"/>
      <c r="KZF34" s="575"/>
      <c r="KZG34" s="575"/>
      <c r="KZH34" s="575"/>
      <c r="KZI34" s="575"/>
      <c r="KZJ34" s="575"/>
      <c r="KZK34" s="575"/>
      <c r="KZL34" s="575"/>
      <c r="KZM34" s="575"/>
      <c r="KZN34" s="575"/>
      <c r="KZO34" s="575"/>
      <c r="KZP34" s="575"/>
      <c r="KZQ34" s="575"/>
      <c r="KZR34" s="575"/>
      <c r="KZS34" s="575"/>
      <c r="KZT34" s="575"/>
      <c r="KZU34" s="575"/>
      <c r="KZV34" s="575"/>
      <c r="KZW34" s="575"/>
      <c r="KZX34" s="575"/>
      <c r="KZY34" s="575"/>
      <c r="KZZ34" s="575"/>
      <c r="LAA34" s="575"/>
      <c r="LAB34" s="575"/>
      <c r="LAC34" s="575"/>
      <c r="LAD34" s="575"/>
      <c r="LAE34" s="575"/>
      <c r="LAF34" s="575"/>
      <c r="LAG34" s="575"/>
      <c r="LAH34" s="575"/>
      <c r="LAI34" s="575"/>
      <c r="LAJ34" s="575"/>
      <c r="LAK34" s="575"/>
      <c r="LAL34" s="575"/>
      <c r="LAM34" s="575"/>
      <c r="LAN34" s="575"/>
      <c r="LAO34" s="575"/>
      <c r="LAP34" s="575"/>
      <c r="LAQ34" s="575"/>
      <c r="LAR34" s="575"/>
      <c r="LAS34" s="575"/>
      <c r="LAT34" s="575"/>
      <c r="LAU34" s="575"/>
      <c r="LAV34" s="575"/>
      <c r="LAW34" s="575"/>
      <c r="LAX34" s="575"/>
      <c r="LAY34" s="575"/>
      <c r="LAZ34" s="575"/>
      <c r="LBA34" s="575"/>
      <c r="LBB34" s="575"/>
      <c r="LBC34" s="575"/>
      <c r="LBD34" s="575"/>
      <c r="LBE34" s="575"/>
      <c r="LBF34" s="575"/>
      <c r="LBG34" s="575"/>
      <c r="LBH34" s="575"/>
      <c r="LBI34" s="575"/>
      <c r="LBJ34" s="575"/>
      <c r="LBK34" s="575"/>
      <c r="LBL34" s="575"/>
      <c r="LBM34" s="575"/>
      <c r="LBN34" s="575"/>
      <c r="LBO34" s="575"/>
      <c r="LBP34" s="575"/>
      <c r="LBQ34" s="575"/>
      <c r="LBR34" s="575"/>
      <c r="LBS34" s="575"/>
      <c r="LBT34" s="575"/>
      <c r="LBU34" s="575"/>
      <c r="LBV34" s="575"/>
      <c r="LBW34" s="575"/>
      <c r="LBX34" s="575"/>
      <c r="LBY34" s="575"/>
      <c r="LBZ34" s="575"/>
      <c r="LCA34" s="575"/>
      <c r="LCB34" s="575"/>
      <c r="LCC34" s="575"/>
      <c r="LCD34" s="575"/>
      <c r="LCE34" s="575"/>
      <c r="LCF34" s="575"/>
      <c r="LCG34" s="575"/>
      <c r="LCH34" s="575"/>
      <c r="LCI34" s="575"/>
      <c r="LCJ34" s="575"/>
      <c r="LCK34" s="575"/>
      <c r="LCL34" s="575"/>
      <c r="LCM34" s="575"/>
      <c r="LCN34" s="575"/>
      <c r="LCO34" s="575"/>
      <c r="LCP34" s="575"/>
      <c r="LCQ34" s="575"/>
      <c r="LCR34" s="575"/>
      <c r="LCS34" s="575"/>
      <c r="LCT34" s="575"/>
      <c r="LCU34" s="575"/>
      <c r="LCV34" s="575"/>
      <c r="LCW34" s="575"/>
      <c r="LCX34" s="575"/>
      <c r="LCY34" s="575"/>
      <c r="LCZ34" s="575"/>
      <c r="LDA34" s="575"/>
      <c r="LDB34" s="575"/>
      <c r="LDC34" s="575"/>
      <c r="LDD34" s="575"/>
      <c r="LDE34" s="575"/>
      <c r="LDF34" s="575"/>
      <c r="LDG34" s="575"/>
      <c r="LDH34" s="575"/>
      <c r="LDI34" s="575"/>
      <c r="LDJ34" s="575"/>
      <c r="LDK34" s="575"/>
      <c r="LDL34" s="575"/>
      <c r="LDM34" s="575"/>
      <c r="LDN34" s="575"/>
      <c r="LDO34" s="575"/>
      <c r="LDP34" s="575"/>
      <c r="LDQ34" s="575"/>
      <c r="LDR34" s="575"/>
      <c r="LDS34" s="575"/>
      <c r="LDT34" s="575"/>
      <c r="LDU34" s="575"/>
      <c r="LDV34" s="575"/>
      <c r="LDW34" s="575"/>
      <c r="LDX34" s="575"/>
      <c r="LDY34" s="575"/>
      <c r="LDZ34" s="575"/>
      <c r="LEA34" s="575"/>
      <c r="LEB34" s="575"/>
      <c r="LEC34" s="575"/>
      <c r="LED34" s="575"/>
      <c r="LEE34" s="575"/>
      <c r="LEF34" s="575"/>
      <c r="LEG34" s="575"/>
      <c r="LEH34" s="575"/>
      <c r="LEI34" s="575"/>
      <c r="LEJ34" s="575"/>
      <c r="LEK34" s="575"/>
      <c r="LEL34" s="575"/>
      <c r="LEM34" s="575"/>
      <c r="LEN34" s="575"/>
      <c r="LEO34" s="575"/>
      <c r="LEP34" s="575"/>
      <c r="LEQ34" s="575"/>
      <c r="LER34" s="575"/>
      <c r="LES34" s="575"/>
      <c r="LET34" s="575"/>
      <c r="LEU34" s="575"/>
      <c r="LEV34" s="575"/>
      <c r="LEW34" s="575"/>
      <c r="LEX34" s="575"/>
      <c r="LEY34" s="575"/>
      <c r="LEZ34" s="575"/>
      <c r="LFA34" s="575"/>
      <c r="LFB34" s="575"/>
      <c r="LFC34" s="575"/>
      <c r="LFD34" s="575"/>
      <c r="LFE34" s="575"/>
      <c r="LFF34" s="575"/>
      <c r="LFG34" s="575"/>
      <c r="LFH34" s="575"/>
      <c r="LFI34" s="575"/>
      <c r="LFJ34" s="575"/>
      <c r="LFK34" s="575"/>
      <c r="LFL34" s="575"/>
      <c r="LFM34" s="575"/>
      <c r="LFN34" s="575"/>
      <c r="LFO34" s="575"/>
      <c r="LFP34" s="575"/>
      <c r="LFQ34" s="575"/>
      <c r="LFR34" s="575"/>
      <c r="LFS34" s="575"/>
      <c r="LFT34" s="575"/>
      <c r="LFU34" s="575"/>
      <c r="LFV34" s="575"/>
      <c r="LFW34" s="575"/>
      <c r="LFX34" s="575"/>
      <c r="LFY34" s="575"/>
      <c r="LFZ34" s="575"/>
      <c r="LGA34" s="575"/>
      <c r="LGB34" s="575"/>
      <c r="LGC34" s="575"/>
      <c r="LGD34" s="575"/>
      <c r="LGE34" s="575"/>
      <c r="LGF34" s="575"/>
      <c r="LGG34" s="575"/>
      <c r="LGH34" s="575"/>
      <c r="LGI34" s="575"/>
      <c r="LGJ34" s="575"/>
      <c r="LGK34" s="575"/>
      <c r="LGL34" s="575"/>
      <c r="LGM34" s="575"/>
      <c r="LGN34" s="575"/>
      <c r="LGO34" s="575"/>
      <c r="LGP34" s="575"/>
      <c r="LGQ34" s="575"/>
      <c r="LGR34" s="575"/>
      <c r="LGS34" s="575"/>
      <c r="LGT34" s="575"/>
      <c r="LGU34" s="575"/>
      <c r="LGV34" s="575"/>
      <c r="LGW34" s="575"/>
      <c r="LGX34" s="575"/>
      <c r="LGY34" s="575"/>
      <c r="LGZ34" s="575"/>
      <c r="LHA34" s="575"/>
      <c r="LHB34" s="575"/>
      <c r="LHC34" s="575"/>
      <c r="LHD34" s="575"/>
      <c r="LHE34" s="575"/>
      <c r="LHF34" s="575"/>
      <c r="LHG34" s="575"/>
      <c r="LHH34" s="575"/>
      <c r="LHI34" s="575"/>
      <c r="LHJ34" s="575"/>
      <c r="LHK34" s="575"/>
      <c r="LHL34" s="575"/>
      <c r="LHM34" s="575"/>
      <c r="LHN34" s="575"/>
      <c r="LHO34" s="575"/>
      <c r="LHP34" s="575"/>
      <c r="LHQ34" s="575"/>
      <c r="LHR34" s="575"/>
      <c r="LHS34" s="575"/>
      <c r="LHT34" s="575"/>
      <c r="LHU34" s="575"/>
      <c r="LHV34" s="575"/>
      <c r="LHW34" s="575"/>
      <c r="LHX34" s="575"/>
      <c r="LHY34" s="575"/>
      <c r="LHZ34" s="575"/>
      <c r="LIA34" s="575"/>
      <c r="LIB34" s="575"/>
      <c r="LIC34" s="575"/>
      <c r="LID34" s="575"/>
      <c r="LIE34" s="575"/>
      <c r="LIF34" s="575"/>
      <c r="LIG34" s="575"/>
      <c r="LIH34" s="575"/>
      <c r="LII34" s="575"/>
      <c r="LIJ34" s="575"/>
      <c r="LIK34" s="575"/>
      <c r="LIL34" s="575"/>
      <c r="LIM34" s="575"/>
      <c r="LIN34" s="575"/>
      <c r="LIO34" s="575"/>
      <c r="LIP34" s="575"/>
      <c r="LIQ34" s="575"/>
      <c r="LIR34" s="575"/>
      <c r="LIS34" s="575"/>
      <c r="LIT34" s="575"/>
      <c r="LIU34" s="575"/>
      <c r="LIV34" s="575"/>
      <c r="LIW34" s="575"/>
      <c r="LIX34" s="575"/>
      <c r="LIY34" s="575"/>
      <c r="LIZ34" s="575"/>
      <c r="LJA34" s="575"/>
      <c r="LJB34" s="575"/>
      <c r="LJC34" s="575"/>
      <c r="LJD34" s="575"/>
      <c r="LJE34" s="575"/>
      <c r="LJF34" s="575"/>
      <c r="LJG34" s="575"/>
      <c r="LJH34" s="575"/>
      <c r="LJI34" s="575"/>
      <c r="LJJ34" s="575"/>
      <c r="LJK34" s="575"/>
      <c r="LJL34" s="575"/>
      <c r="LJM34" s="575"/>
      <c r="LJN34" s="575"/>
      <c r="LJO34" s="575"/>
      <c r="LJP34" s="575"/>
      <c r="LJQ34" s="575"/>
      <c r="LJR34" s="575"/>
      <c r="LJS34" s="575"/>
      <c r="LJT34" s="575"/>
      <c r="LJU34" s="575"/>
      <c r="LJV34" s="575"/>
      <c r="LJW34" s="575"/>
      <c r="LJX34" s="575"/>
      <c r="LJY34" s="575"/>
      <c r="LJZ34" s="575"/>
      <c r="LKA34" s="575"/>
      <c r="LKB34" s="575"/>
      <c r="LKC34" s="575"/>
      <c r="LKD34" s="575"/>
      <c r="LKE34" s="575"/>
      <c r="LKF34" s="575"/>
      <c r="LKG34" s="575"/>
      <c r="LKH34" s="575"/>
      <c r="LKI34" s="575"/>
      <c r="LKJ34" s="575"/>
      <c r="LKK34" s="575"/>
      <c r="LKL34" s="575"/>
      <c r="LKM34" s="575"/>
      <c r="LKN34" s="575"/>
      <c r="LKO34" s="575"/>
      <c r="LKP34" s="575"/>
      <c r="LKQ34" s="575"/>
      <c r="LKR34" s="575"/>
      <c r="LKS34" s="575"/>
      <c r="LKT34" s="575"/>
      <c r="LKU34" s="575"/>
      <c r="LKV34" s="575"/>
      <c r="LKW34" s="575"/>
      <c r="LKX34" s="575"/>
      <c r="LKY34" s="575"/>
      <c r="LKZ34" s="575"/>
      <c r="LLA34" s="575"/>
      <c r="LLB34" s="575"/>
      <c r="LLC34" s="575"/>
      <c r="LLD34" s="575"/>
      <c r="LLE34" s="575"/>
      <c r="LLF34" s="575"/>
      <c r="LLG34" s="575"/>
      <c r="LLH34" s="575"/>
      <c r="LLI34" s="575"/>
      <c r="LLJ34" s="575"/>
      <c r="LLK34" s="575"/>
      <c r="LLL34" s="575"/>
      <c r="LLM34" s="575"/>
      <c r="LLN34" s="575"/>
      <c r="LLO34" s="575"/>
      <c r="LLP34" s="575"/>
      <c r="LLQ34" s="575"/>
      <c r="LLR34" s="575"/>
      <c r="LLS34" s="575"/>
      <c r="LLT34" s="575"/>
      <c r="LLU34" s="575"/>
      <c r="LLV34" s="575"/>
      <c r="LLW34" s="575"/>
      <c r="LLX34" s="575"/>
      <c r="LLY34" s="575"/>
      <c r="LLZ34" s="575"/>
      <c r="LMA34" s="575"/>
      <c r="LMB34" s="575"/>
      <c r="LMC34" s="575"/>
      <c r="LMD34" s="575"/>
      <c r="LME34" s="575"/>
      <c r="LMF34" s="575"/>
      <c r="LMG34" s="575"/>
      <c r="LMH34" s="575"/>
      <c r="LMI34" s="575"/>
      <c r="LMJ34" s="575"/>
      <c r="LMK34" s="575"/>
      <c r="LML34" s="575"/>
      <c r="LMM34" s="575"/>
      <c r="LMN34" s="575"/>
      <c r="LMO34" s="575"/>
      <c r="LMP34" s="575"/>
      <c r="LMQ34" s="575"/>
      <c r="LMR34" s="575"/>
      <c r="LMS34" s="575"/>
      <c r="LMT34" s="575"/>
      <c r="LMU34" s="575"/>
      <c r="LMV34" s="575"/>
      <c r="LMW34" s="575"/>
      <c r="LMX34" s="575"/>
      <c r="LMY34" s="575"/>
      <c r="LMZ34" s="575"/>
      <c r="LNA34" s="575"/>
      <c r="LNB34" s="575"/>
      <c r="LNC34" s="575"/>
      <c r="LND34" s="575"/>
      <c r="LNE34" s="575"/>
      <c r="LNF34" s="575"/>
      <c r="LNG34" s="575"/>
      <c r="LNH34" s="575"/>
      <c r="LNI34" s="575"/>
      <c r="LNJ34" s="575"/>
      <c r="LNK34" s="575"/>
      <c r="LNL34" s="575"/>
      <c r="LNM34" s="575"/>
      <c r="LNN34" s="575"/>
      <c r="LNO34" s="575"/>
      <c r="LNP34" s="575"/>
      <c r="LNQ34" s="575"/>
      <c r="LNR34" s="575"/>
      <c r="LNS34" s="575"/>
      <c r="LNT34" s="575"/>
      <c r="LNU34" s="575"/>
      <c r="LNV34" s="575"/>
      <c r="LNW34" s="575"/>
      <c r="LNX34" s="575"/>
      <c r="LNY34" s="575"/>
      <c r="LNZ34" s="575"/>
      <c r="LOA34" s="575"/>
      <c r="LOB34" s="575"/>
      <c r="LOC34" s="575"/>
      <c r="LOD34" s="575"/>
      <c r="LOE34" s="575"/>
      <c r="LOF34" s="575"/>
      <c r="LOG34" s="575"/>
      <c r="LOH34" s="575"/>
      <c r="LOI34" s="575"/>
      <c r="LOJ34" s="575"/>
      <c r="LOK34" s="575"/>
      <c r="LOL34" s="575"/>
      <c r="LOM34" s="575"/>
      <c r="LON34" s="575"/>
      <c r="LOO34" s="575"/>
      <c r="LOP34" s="575"/>
      <c r="LOQ34" s="575"/>
      <c r="LOR34" s="575"/>
      <c r="LOS34" s="575"/>
      <c r="LOT34" s="575"/>
      <c r="LOU34" s="575"/>
      <c r="LOV34" s="575"/>
      <c r="LOW34" s="575"/>
      <c r="LOX34" s="575"/>
      <c r="LOY34" s="575"/>
      <c r="LOZ34" s="575"/>
      <c r="LPA34" s="575"/>
      <c r="LPB34" s="575"/>
      <c r="LPC34" s="575"/>
      <c r="LPD34" s="575"/>
      <c r="LPE34" s="575"/>
      <c r="LPF34" s="575"/>
      <c r="LPG34" s="575"/>
      <c r="LPH34" s="575"/>
      <c r="LPI34" s="575"/>
      <c r="LPJ34" s="575"/>
      <c r="LPK34" s="575"/>
      <c r="LPL34" s="575"/>
      <c r="LPM34" s="575"/>
      <c r="LPN34" s="575"/>
      <c r="LPO34" s="575"/>
      <c r="LPP34" s="575"/>
      <c r="LPQ34" s="575"/>
      <c r="LPR34" s="575"/>
      <c r="LPS34" s="575"/>
      <c r="LPT34" s="575"/>
      <c r="LPU34" s="575"/>
      <c r="LPV34" s="575"/>
      <c r="LPW34" s="575"/>
      <c r="LPX34" s="575"/>
      <c r="LPY34" s="575"/>
      <c r="LPZ34" s="575"/>
      <c r="LQA34" s="575"/>
      <c r="LQB34" s="575"/>
      <c r="LQC34" s="575"/>
      <c r="LQD34" s="575"/>
      <c r="LQE34" s="575"/>
      <c r="LQF34" s="575"/>
      <c r="LQG34" s="575"/>
      <c r="LQH34" s="575"/>
      <c r="LQI34" s="575"/>
      <c r="LQJ34" s="575"/>
      <c r="LQK34" s="575"/>
      <c r="LQL34" s="575"/>
      <c r="LQM34" s="575"/>
      <c r="LQN34" s="575"/>
      <c r="LQO34" s="575"/>
      <c r="LQP34" s="575"/>
      <c r="LQQ34" s="575"/>
      <c r="LQR34" s="575"/>
      <c r="LQS34" s="575"/>
      <c r="LQT34" s="575"/>
      <c r="LQU34" s="575"/>
      <c r="LQV34" s="575"/>
      <c r="LQW34" s="575"/>
      <c r="LQX34" s="575"/>
      <c r="LQY34" s="575"/>
      <c r="LQZ34" s="575"/>
      <c r="LRA34" s="575"/>
      <c r="LRB34" s="575"/>
      <c r="LRC34" s="575"/>
      <c r="LRD34" s="575"/>
      <c r="LRE34" s="575"/>
      <c r="LRF34" s="575"/>
      <c r="LRG34" s="575"/>
      <c r="LRH34" s="575"/>
      <c r="LRI34" s="575"/>
      <c r="LRJ34" s="575"/>
      <c r="LRK34" s="575"/>
      <c r="LRL34" s="575"/>
      <c r="LRM34" s="575"/>
      <c r="LRN34" s="575"/>
      <c r="LRO34" s="575"/>
      <c r="LRP34" s="575"/>
      <c r="LRQ34" s="575"/>
      <c r="LRR34" s="575"/>
      <c r="LRS34" s="575"/>
      <c r="LRT34" s="575"/>
      <c r="LRU34" s="575"/>
      <c r="LRV34" s="575"/>
      <c r="LRW34" s="575"/>
      <c r="LRX34" s="575"/>
      <c r="LRY34" s="575"/>
      <c r="LRZ34" s="575"/>
      <c r="LSA34" s="575"/>
      <c r="LSB34" s="575"/>
      <c r="LSC34" s="575"/>
      <c r="LSD34" s="575"/>
      <c r="LSE34" s="575"/>
      <c r="LSF34" s="575"/>
      <c r="LSG34" s="575"/>
      <c r="LSH34" s="575"/>
      <c r="LSI34" s="575"/>
      <c r="LSJ34" s="575"/>
      <c r="LSK34" s="575"/>
      <c r="LSL34" s="575"/>
      <c r="LSM34" s="575"/>
      <c r="LSN34" s="575"/>
      <c r="LSO34" s="575"/>
      <c r="LSP34" s="575"/>
      <c r="LSQ34" s="575"/>
      <c r="LSR34" s="575"/>
      <c r="LSS34" s="575"/>
      <c r="LST34" s="575"/>
      <c r="LSU34" s="575"/>
      <c r="LSV34" s="575"/>
      <c r="LSW34" s="575"/>
      <c r="LSX34" s="575"/>
      <c r="LSY34" s="575"/>
      <c r="LSZ34" s="575"/>
      <c r="LTA34" s="575"/>
      <c r="LTB34" s="575"/>
      <c r="LTC34" s="575"/>
      <c r="LTD34" s="575"/>
      <c r="LTE34" s="575"/>
      <c r="LTF34" s="575"/>
      <c r="LTG34" s="575"/>
      <c r="LTH34" s="575"/>
      <c r="LTI34" s="575"/>
      <c r="LTJ34" s="575"/>
      <c r="LTK34" s="575"/>
      <c r="LTL34" s="575"/>
      <c r="LTM34" s="575"/>
      <c r="LTN34" s="575"/>
      <c r="LTO34" s="575"/>
      <c r="LTP34" s="575"/>
      <c r="LTQ34" s="575"/>
      <c r="LTR34" s="575"/>
      <c r="LTS34" s="575"/>
      <c r="LTT34" s="575"/>
      <c r="LTU34" s="575"/>
      <c r="LTV34" s="575"/>
      <c r="LTW34" s="575"/>
      <c r="LTX34" s="575"/>
      <c r="LTY34" s="575"/>
      <c r="LTZ34" s="575"/>
      <c r="LUA34" s="575"/>
      <c r="LUB34" s="575"/>
      <c r="LUC34" s="575"/>
      <c r="LUD34" s="575"/>
      <c r="LUE34" s="575"/>
      <c r="LUF34" s="575"/>
      <c r="LUG34" s="575"/>
      <c r="LUH34" s="575"/>
      <c r="LUI34" s="575"/>
      <c r="LUJ34" s="575"/>
      <c r="LUK34" s="575"/>
      <c r="LUL34" s="575"/>
      <c r="LUM34" s="575"/>
      <c r="LUN34" s="575"/>
      <c r="LUO34" s="575"/>
      <c r="LUP34" s="575"/>
      <c r="LUQ34" s="575"/>
      <c r="LUR34" s="575"/>
      <c r="LUS34" s="575"/>
      <c r="LUT34" s="575"/>
      <c r="LUU34" s="575"/>
      <c r="LUV34" s="575"/>
      <c r="LUW34" s="575"/>
      <c r="LUX34" s="575"/>
      <c r="LUY34" s="575"/>
      <c r="LUZ34" s="575"/>
      <c r="LVA34" s="575"/>
      <c r="LVB34" s="575"/>
      <c r="LVC34" s="575"/>
      <c r="LVD34" s="575"/>
      <c r="LVE34" s="575"/>
      <c r="LVF34" s="575"/>
      <c r="LVG34" s="575"/>
      <c r="LVH34" s="575"/>
      <c r="LVI34" s="575"/>
      <c r="LVJ34" s="575"/>
      <c r="LVK34" s="575"/>
      <c r="LVL34" s="575"/>
      <c r="LVM34" s="575"/>
      <c r="LVN34" s="575"/>
      <c r="LVO34" s="575"/>
      <c r="LVP34" s="575"/>
      <c r="LVQ34" s="575"/>
      <c r="LVR34" s="575"/>
      <c r="LVS34" s="575"/>
      <c r="LVT34" s="575"/>
      <c r="LVU34" s="575"/>
      <c r="LVV34" s="575"/>
      <c r="LVW34" s="575"/>
      <c r="LVX34" s="575"/>
      <c r="LVY34" s="575"/>
      <c r="LVZ34" s="575"/>
      <c r="LWA34" s="575"/>
      <c r="LWB34" s="575"/>
      <c r="LWC34" s="575"/>
      <c r="LWD34" s="575"/>
      <c r="LWE34" s="575"/>
      <c r="LWF34" s="575"/>
      <c r="LWG34" s="575"/>
      <c r="LWH34" s="575"/>
      <c r="LWI34" s="575"/>
      <c r="LWJ34" s="575"/>
      <c r="LWK34" s="575"/>
      <c r="LWL34" s="575"/>
      <c r="LWM34" s="575"/>
      <c r="LWN34" s="575"/>
      <c r="LWO34" s="575"/>
      <c r="LWP34" s="575"/>
      <c r="LWQ34" s="575"/>
      <c r="LWR34" s="575"/>
      <c r="LWS34" s="575"/>
      <c r="LWT34" s="575"/>
      <c r="LWU34" s="575"/>
      <c r="LWV34" s="575"/>
      <c r="LWW34" s="575"/>
      <c r="LWX34" s="575"/>
      <c r="LWY34" s="575"/>
      <c r="LWZ34" s="575"/>
      <c r="LXA34" s="575"/>
      <c r="LXB34" s="575"/>
      <c r="LXC34" s="575"/>
      <c r="LXD34" s="575"/>
      <c r="LXE34" s="575"/>
      <c r="LXF34" s="575"/>
      <c r="LXG34" s="575"/>
      <c r="LXH34" s="575"/>
      <c r="LXI34" s="575"/>
      <c r="LXJ34" s="575"/>
      <c r="LXK34" s="575"/>
      <c r="LXL34" s="575"/>
      <c r="LXM34" s="575"/>
      <c r="LXN34" s="575"/>
      <c r="LXO34" s="575"/>
      <c r="LXP34" s="575"/>
      <c r="LXQ34" s="575"/>
      <c r="LXR34" s="575"/>
      <c r="LXS34" s="575"/>
      <c r="LXT34" s="575"/>
      <c r="LXU34" s="575"/>
      <c r="LXV34" s="575"/>
      <c r="LXW34" s="575"/>
      <c r="LXX34" s="575"/>
      <c r="LXY34" s="575"/>
      <c r="LXZ34" s="575"/>
      <c r="LYA34" s="575"/>
      <c r="LYB34" s="575"/>
      <c r="LYC34" s="575"/>
      <c r="LYD34" s="575"/>
      <c r="LYE34" s="575"/>
      <c r="LYF34" s="575"/>
      <c r="LYG34" s="575"/>
      <c r="LYH34" s="575"/>
      <c r="LYI34" s="575"/>
      <c r="LYJ34" s="575"/>
      <c r="LYK34" s="575"/>
      <c r="LYL34" s="575"/>
      <c r="LYM34" s="575"/>
      <c r="LYN34" s="575"/>
      <c r="LYO34" s="575"/>
      <c r="LYP34" s="575"/>
      <c r="LYQ34" s="575"/>
      <c r="LYR34" s="575"/>
      <c r="LYS34" s="575"/>
      <c r="LYT34" s="575"/>
      <c r="LYU34" s="575"/>
      <c r="LYV34" s="575"/>
      <c r="LYW34" s="575"/>
      <c r="LYX34" s="575"/>
      <c r="LYY34" s="575"/>
      <c r="LYZ34" s="575"/>
      <c r="LZA34" s="575"/>
      <c r="LZB34" s="575"/>
      <c r="LZC34" s="575"/>
      <c r="LZD34" s="575"/>
      <c r="LZE34" s="575"/>
      <c r="LZF34" s="575"/>
      <c r="LZG34" s="575"/>
      <c r="LZH34" s="575"/>
      <c r="LZI34" s="575"/>
      <c r="LZJ34" s="575"/>
      <c r="LZK34" s="575"/>
      <c r="LZL34" s="575"/>
      <c r="LZM34" s="575"/>
      <c r="LZN34" s="575"/>
      <c r="LZO34" s="575"/>
      <c r="LZP34" s="575"/>
      <c r="LZQ34" s="575"/>
      <c r="LZR34" s="575"/>
      <c r="LZS34" s="575"/>
      <c r="LZT34" s="575"/>
      <c r="LZU34" s="575"/>
      <c r="LZV34" s="575"/>
      <c r="LZW34" s="575"/>
      <c r="LZX34" s="575"/>
      <c r="LZY34" s="575"/>
      <c r="LZZ34" s="575"/>
      <c r="MAA34" s="575"/>
      <c r="MAB34" s="575"/>
      <c r="MAC34" s="575"/>
      <c r="MAD34" s="575"/>
      <c r="MAE34" s="575"/>
      <c r="MAF34" s="575"/>
      <c r="MAG34" s="575"/>
      <c r="MAH34" s="575"/>
      <c r="MAI34" s="575"/>
      <c r="MAJ34" s="575"/>
      <c r="MAK34" s="575"/>
      <c r="MAL34" s="575"/>
      <c r="MAM34" s="575"/>
      <c r="MAN34" s="575"/>
      <c r="MAO34" s="575"/>
      <c r="MAP34" s="575"/>
      <c r="MAQ34" s="575"/>
      <c r="MAR34" s="575"/>
      <c r="MAS34" s="575"/>
      <c r="MAT34" s="575"/>
      <c r="MAU34" s="575"/>
      <c r="MAV34" s="575"/>
      <c r="MAW34" s="575"/>
      <c r="MAX34" s="575"/>
      <c r="MAY34" s="575"/>
      <c r="MAZ34" s="575"/>
      <c r="MBA34" s="575"/>
      <c r="MBB34" s="575"/>
      <c r="MBC34" s="575"/>
      <c r="MBD34" s="575"/>
      <c r="MBE34" s="575"/>
      <c r="MBF34" s="575"/>
      <c r="MBG34" s="575"/>
      <c r="MBH34" s="575"/>
      <c r="MBI34" s="575"/>
      <c r="MBJ34" s="575"/>
      <c r="MBK34" s="575"/>
      <c r="MBL34" s="575"/>
      <c r="MBM34" s="575"/>
      <c r="MBN34" s="575"/>
      <c r="MBO34" s="575"/>
      <c r="MBP34" s="575"/>
      <c r="MBQ34" s="575"/>
      <c r="MBR34" s="575"/>
      <c r="MBS34" s="575"/>
      <c r="MBT34" s="575"/>
      <c r="MBU34" s="575"/>
      <c r="MBV34" s="575"/>
      <c r="MBW34" s="575"/>
      <c r="MBX34" s="575"/>
      <c r="MBY34" s="575"/>
      <c r="MBZ34" s="575"/>
      <c r="MCA34" s="575"/>
      <c r="MCB34" s="575"/>
      <c r="MCC34" s="575"/>
      <c r="MCD34" s="575"/>
      <c r="MCE34" s="575"/>
      <c r="MCF34" s="575"/>
      <c r="MCG34" s="575"/>
      <c r="MCH34" s="575"/>
      <c r="MCI34" s="575"/>
      <c r="MCJ34" s="575"/>
      <c r="MCK34" s="575"/>
      <c r="MCL34" s="575"/>
      <c r="MCM34" s="575"/>
      <c r="MCN34" s="575"/>
      <c r="MCO34" s="575"/>
      <c r="MCP34" s="575"/>
      <c r="MCQ34" s="575"/>
      <c r="MCR34" s="575"/>
      <c r="MCS34" s="575"/>
      <c r="MCT34" s="575"/>
      <c r="MCU34" s="575"/>
      <c r="MCV34" s="575"/>
      <c r="MCW34" s="575"/>
      <c r="MCX34" s="575"/>
      <c r="MCY34" s="575"/>
      <c r="MCZ34" s="575"/>
      <c r="MDA34" s="575"/>
      <c r="MDB34" s="575"/>
      <c r="MDC34" s="575"/>
      <c r="MDD34" s="575"/>
      <c r="MDE34" s="575"/>
      <c r="MDF34" s="575"/>
      <c r="MDG34" s="575"/>
      <c r="MDH34" s="575"/>
      <c r="MDI34" s="575"/>
      <c r="MDJ34" s="575"/>
      <c r="MDK34" s="575"/>
      <c r="MDL34" s="575"/>
      <c r="MDM34" s="575"/>
      <c r="MDN34" s="575"/>
      <c r="MDO34" s="575"/>
      <c r="MDP34" s="575"/>
      <c r="MDQ34" s="575"/>
      <c r="MDR34" s="575"/>
      <c r="MDS34" s="575"/>
      <c r="MDT34" s="575"/>
      <c r="MDU34" s="575"/>
      <c r="MDV34" s="575"/>
      <c r="MDW34" s="575"/>
      <c r="MDX34" s="575"/>
      <c r="MDY34" s="575"/>
      <c r="MDZ34" s="575"/>
      <c r="MEA34" s="575"/>
      <c r="MEB34" s="575"/>
      <c r="MEC34" s="575"/>
      <c r="MED34" s="575"/>
      <c r="MEE34" s="575"/>
      <c r="MEF34" s="575"/>
      <c r="MEG34" s="575"/>
      <c r="MEH34" s="575"/>
      <c r="MEI34" s="575"/>
      <c r="MEJ34" s="575"/>
      <c r="MEK34" s="575"/>
      <c r="MEL34" s="575"/>
      <c r="MEM34" s="575"/>
      <c r="MEN34" s="575"/>
      <c r="MEO34" s="575"/>
      <c r="MEP34" s="575"/>
      <c r="MEQ34" s="575"/>
      <c r="MER34" s="575"/>
      <c r="MES34" s="575"/>
      <c r="MET34" s="575"/>
      <c r="MEU34" s="575"/>
      <c r="MEV34" s="575"/>
      <c r="MEW34" s="575"/>
      <c r="MEX34" s="575"/>
      <c r="MEY34" s="575"/>
      <c r="MEZ34" s="575"/>
      <c r="MFA34" s="575"/>
      <c r="MFB34" s="575"/>
      <c r="MFC34" s="575"/>
      <c r="MFD34" s="575"/>
      <c r="MFE34" s="575"/>
      <c r="MFF34" s="575"/>
      <c r="MFG34" s="575"/>
      <c r="MFH34" s="575"/>
      <c r="MFI34" s="575"/>
      <c r="MFJ34" s="575"/>
      <c r="MFK34" s="575"/>
      <c r="MFL34" s="575"/>
      <c r="MFM34" s="575"/>
      <c r="MFN34" s="575"/>
      <c r="MFO34" s="575"/>
      <c r="MFP34" s="575"/>
      <c r="MFQ34" s="575"/>
      <c r="MFR34" s="575"/>
      <c r="MFS34" s="575"/>
      <c r="MFT34" s="575"/>
      <c r="MFU34" s="575"/>
      <c r="MFV34" s="575"/>
      <c r="MFW34" s="575"/>
      <c r="MFX34" s="575"/>
      <c r="MFY34" s="575"/>
      <c r="MFZ34" s="575"/>
      <c r="MGA34" s="575"/>
      <c r="MGB34" s="575"/>
      <c r="MGC34" s="575"/>
      <c r="MGD34" s="575"/>
      <c r="MGE34" s="575"/>
      <c r="MGF34" s="575"/>
      <c r="MGG34" s="575"/>
      <c r="MGH34" s="575"/>
      <c r="MGI34" s="575"/>
      <c r="MGJ34" s="575"/>
      <c r="MGK34" s="575"/>
      <c r="MGL34" s="575"/>
      <c r="MGM34" s="575"/>
      <c r="MGN34" s="575"/>
      <c r="MGO34" s="575"/>
      <c r="MGP34" s="575"/>
      <c r="MGQ34" s="575"/>
      <c r="MGR34" s="575"/>
      <c r="MGS34" s="575"/>
      <c r="MGT34" s="575"/>
      <c r="MGU34" s="575"/>
      <c r="MGV34" s="575"/>
      <c r="MGW34" s="575"/>
      <c r="MGX34" s="575"/>
      <c r="MGY34" s="575"/>
      <c r="MGZ34" s="575"/>
      <c r="MHA34" s="575"/>
      <c r="MHB34" s="575"/>
      <c r="MHC34" s="575"/>
      <c r="MHD34" s="575"/>
      <c r="MHE34" s="575"/>
      <c r="MHF34" s="575"/>
      <c r="MHG34" s="575"/>
      <c r="MHH34" s="575"/>
      <c r="MHI34" s="575"/>
      <c r="MHJ34" s="575"/>
      <c r="MHK34" s="575"/>
      <c r="MHL34" s="575"/>
      <c r="MHM34" s="575"/>
      <c r="MHN34" s="575"/>
      <c r="MHO34" s="575"/>
      <c r="MHP34" s="575"/>
      <c r="MHQ34" s="575"/>
      <c r="MHR34" s="575"/>
      <c r="MHS34" s="575"/>
      <c r="MHT34" s="575"/>
      <c r="MHU34" s="575"/>
      <c r="MHV34" s="575"/>
      <c r="MHW34" s="575"/>
      <c r="MHX34" s="575"/>
      <c r="MHY34" s="575"/>
      <c r="MHZ34" s="575"/>
      <c r="MIA34" s="575"/>
      <c r="MIB34" s="575"/>
      <c r="MIC34" s="575"/>
      <c r="MID34" s="575"/>
      <c r="MIE34" s="575"/>
      <c r="MIF34" s="575"/>
      <c r="MIG34" s="575"/>
      <c r="MIH34" s="575"/>
      <c r="MII34" s="575"/>
      <c r="MIJ34" s="575"/>
      <c r="MIK34" s="575"/>
      <c r="MIL34" s="575"/>
      <c r="MIM34" s="575"/>
      <c r="MIN34" s="575"/>
      <c r="MIO34" s="575"/>
      <c r="MIP34" s="575"/>
      <c r="MIQ34" s="575"/>
      <c r="MIR34" s="575"/>
      <c r="MIS34" s="575"/>
      <c r="MIT34" s="575"/>
      <c r="MIU34" s="575"/>
      <c r="MIV34" s="575"/>
      <c r="MIW34" s="575"/>
      <c r="MIX34" s="575"/>
      <c r="MIY34" s="575"/>
      <c r="MIZ34" s="575"/>
      <c r="MJA34" s="575"/>
      <c r="MJB34" s="575"/>
      <c r="MJC34" s="575"/>
      <c r="MJD34" s="575"/>
      <c r="MJE34" s="575"/>
      <c r="MJF34" s="575"/>
      <c r="MJG34" s="575"/>
      <c r="MJH34" s="575"/>
      <c r="MJI34" s="575"/>
      <c r="MJJ34" s="575"/>
      <c r="MJK34" s="575"/>
      <c r="MJL34" s="575"/>
      <c r="MJM34" s="575"/>
      <c r="MJN34" s="575"/>
      <c r="MJO34" s="575"/>
      <c r="MJP34" s="575"/>
      <c r="MJQ34" s="575"/>
      <c r="MJR34" s="575"/>
      <c r="MJS34" s="575"/>
      <c r="MJT34" s="575"/>
      <c r="MJU34" s="575"/>
      <c r="MJV34" s="575"/>
      <c r="MJW34" s="575"/>
      <c r="MJX34" s="575"/>
      <c r="MJY34" s="575"/>
      <c r="MJZ34" s="575"/>
      <c r="MKA34" s="575"/>
      <c r="MKB34" s="575"/>
      <c r="MKC34" s="575"/>
      <c r="MKD34" s="575"/>
      <c r="MKE34" s="575"/>
      <c r="MKF34" s="575"/>
      <c r="MKG34" s="575"/>
      <c r="MKH34" s="575"/>
      <c r="MKI34" s="575"/>
      <c r="MKJ34" s="575"/>
      <c r="MKK34" s="575"/>
      <c r="MKL34" s="575"/>
      <c r="MKM34" s="575"/>
      <c r="MKN34" s="575"/>
      <c r="MKO34" s="575"/>
      <c r="MKP34" s="575"/>
      <c r="MKQ34" s="575"/>
      <c r="MKR34" s="575"/>
      <c r="MKS34" s="575"/>
      <c r="MKT34" s="575"/>
      <c r="MKU34" s="575"/>
      <c r="MKV34" s="575"/>
      <c r="MKW34" s="575"/>
      <c r="MKX34" s="575"/>
      <c r="MKY34" s="575"/>
      <c r="MKZ34" s="575"/>
      <c r="MLA34" s="575"/>
      <c r="MLB34" s="575"/>
      <c r="MLC34" s="575"/>
      <c r="MLD34" s="575"/>
      <c r="MLE34" s="575"/>
      <c r="MLF34" s="575"/>
      <c r="MLG34" s="575"/>
      <c r="MLH34" s="575"/>
      <c r="MLI34" s="575"/>
      <c r="MLJ34" s="575"/>
      <c r="MLK34" s="575"/>
      <c r="MLL34" s="575"/>
      <c r="MLM34" s="575"/>
      <c r="MLN34" s="575"/>
      <c r="MLO34" s="575"/>
      <c r="MLP34" s="575"/>
      <c r="MLQ34" s="575"/>
      <c r="MLR34" s="575"/>
      <c r="MLS34" s="575"/>
      <c r="MLT34" s="575"/>
      <c r="MLU34" s="575"/>
      <c r="MLV34" s="575"/>
      <c r="MLW34" s="575"/>
      <c r="MLX34" s="575"/>
      <c r="MLY34" s="575"/>
      <c r="MLZ34" s="575"/>
      <c r="MMA34" s="575"/>
      <c r="MMB34" s="575"/>
      <c r="MMC34" s="575"/>
      <c r="MMD34" s="575"/>
      <c r="MME34" s="575"/>
      <c r="MMF34" s="575"/>
      <c r="MMG34" s="575"/>
      <c r="MMH34" s="575"/>
      <c r="MMI34" s="575"/>
      <c r="MMJ34" s="575"/>
      <c r="MMK34" s="575"/>
      <c r="MML34" s="575"/>
      <c r="MMM34" s="575"/>
      <c r="MMN34" s="575"/>
      <c r="MMO34" s="575"/>
      <c r="MMP34" s="575"/>
      <c r="MMQ34" s="575"/>
      <c r="MMR34" s="575"/>
      <c r="MMS34" s="575"/>
      <c r="MMT34" s="575"/>
      <c r="MMU34" s="575"/>
      <c r="MMV34" s="575"/>
      <c r="MMW34" s="575"/>
      <c r="MMX34" s="575"/>
      <c r="MMY34" s="575"/>
      <c r="MMZ34" s="575"/>
      <c r="MNA34" s="575"/>
      <c r="MNB34" s="575"/>
      <c r="MNC34" s="575"/>
      <c r="MND34" s="575"/>
      <c r="MNE34" s="575"/>
      <c r="MNF34" s="575"/>
      <c r="MNG34" s="575"/>
      <c r="MNH34" s="575"/>
      <c r="MNI34" s="575"/>
      <c r="MNJ34" s="575"/>
      <c r="MNK34" s="575"/>
      <c r="MNL34" s="575"/>
      <c r="MNM34" s="575"/>
      <c r="MNN34" s="575"/>
      <c r="MNO34" s="575"/>
      <c r="MNP34" s="575"/>
      <c r="MNQ34" s="575"/>
      <c r="MNR34" s="575"/>
      <c r="MNS34" s="575"/>
      <c r="MNT34" s="575"/>
      <c r="MNU34" s="575"/>
      <c r="MNV34" s="575"/>
      <c r="MNW34" s="575"/>
      <c r="MNX34" s="575"/>
      <c r="MNY34" s="575"/>
      <c r="MNZ34" s="575"/>
      <c r="MOA34" s="575"/>
      <c r="MOB34" s="575"/>
      <c r="MOC34" s="575"/>
      <c r="MOD34" s="575"/>
      <c r="MOE34" s="575"/>
      <c r="MOF34" s="575"/>
      <c r="MOG34" s="575"/>
      <c r="MOH34" s="575"/>
      <c r="MOI34" s="575"/>
      <c r="MOJ34" s="575"/>
      <c r="MOK34" s="575"/>
      <c r="MOL34" s="575"/>
      <c r="MOM34" s="575"/>
      <c r="MON34" s="575"/>
      <c r="MOO34" s="575"/>
      <c r="MOP34" s="575"/>
      <c r="MOQ34" s="575"/>
      <c r="MOR34" s="575"/>
      <c r="MOS34" s="575"/>
      <c r="MOT34" s="575"/>
      <c r="MOU34" s="575"/>
      <c r="MOV34" s="575"/>
      <c r="MOW34" s="575"/>
      <c r="MOX34" s="575"/>
      <c r="MOY34" s="575"/>
      <c r="MOZ34" s="575"/>
      <c r="MPA34" s="575"/>
      <c r="MPB34" s="575"/>
      <c r="MPC34" s="575"/>
      <c r="MPD34" s="575"/>
      <c r="MPE34" s="575"/>
      <c r="MPF34" s="575"/>
      <c r="MPG34" s="575"/>
      <c r="MPH34" s="575"/>
      <c r="MPI34" s="575"/>
      <c r="MPJ34" s="575"/>
      <c r="MPK34" s="575"/>
      <c r="MPL34" s="575"/>
      <c r="MPM34" s="575"/>
      <c r="MPN34" s="575"/>
      <c r="MPO34" s="575"/>
      <c r="MPP34" s="575"/>
      <c r="MPQ34" s="575"/>
      <c r="MPR34" s="575"/>
      <c r="MPS34" s="575"/>
      <c r="MPT34" s="575"/>
      <c r="MPU34" s="575"/>
      <c r="MPV34" s="575"/>
      <c r="MPW34" s="575"/>
      <c r="MPX34" s="575"/>
      <c r="MPY34" s="575"/>
      <c r="MPZ34" s="575"/>
      <c r="MQA34" s="575"/>
      <c r="MQB34" s="575"/>
      <c r="MQC34" s="575"/>
      <c r="MQD34" s="575"/>
      <c r="MQE34" s="575"/>
      <c r="MQF34" s="575"/>
      <c r="MQG34" s="575"/>
      <c r="MQH34" s="575"/>
      <c r="MQI34" s="575"/>
      <c r="MQJ34" s="575"/>
      <c r="MQK34" s="575"/>
      <c r="MQL34" s="575"/>
      <c r="MQM34" s="575"/>
      <c r="MQN34" s="575"/>
      <c r="MQO34" s="575"/>
      <c r="MQP34" s="575"/>
      <c r="MQQ34" s="575"/>
      <c r="MQR34" s="575"/>
      <c r="MQS34" s="575"/>
      <c r="MQT34" s="575"/>
      <c r="MQU34" s="575"/>
      <c r="MQV34" s="575"/>
      <c r="MQW34" s="575"/>
      <c r="MQX34" s="575"/>
      <c r="MQY34" s="575"/>
      <c r="MQZ34" s="575"/>
      <c r="MRA34" s="575"/>
      <c r="MRB34" s="575"/>
      <c r="MRC34" s="575"/>
      <c r="MRD34" s="575"/>
      <c r="MRE34" s="575"/>
      <c r="MRF34" s="575"/>
      <c r="MRG34" s="575"/>
      <c r="MRH34" s="575"/>
      <c r="MRI34" s="575"/>
      <c r="MRJ34" s="575"/>
      <c r="MRK34" s="575"/>
      <c r="MRL34" s="575"/>
      <c r="MRM34" s="575"/>
      <c r="MRN34" s="575"/>
      <c r="MRO34" s="575"/>
      <c r="MRP34" s="575"/>
      <c r="MRQ34" s="575"/>
      <c r="MRR34" s="575"/>
      <c r="MRS34" s="575"/>
      <c r="MRT34" s="575"/>
      <c r="MRU34" s="575"/>
      <c r="MRV34" s="575"/>
      <c r="MRW34" s="575"/>
      <c r="MRX34" s="575"/>
      <c r="MRY34" s="575"/>
      <c r="MRZ34" s="575"/>
      <c r="MSA34" s="575"/>
      <c r="MSB34" s="575"/>
      <c r="MSC34" s="575"/>
      <c r="MSD34" s="575"/>
      <c r="MSE34" s="575"/>
      <c r="MSF34" s="575"/>
      <c r="MSG34" s="575"/>
      <c r="MSH34" s="575"/>
      <c r="MSI34" s="575"/>
      <c r="MSJ34" s="575"/>
      <c r="MSK34" s="575"/>
      <c r="MSL34" s="575"/>
      <c r="MSM34" s="575"/>
      <c r="MSN34" s="575"/>
      <c r="MSO34" s="575"/>
      <c r="MSP34" s="575"/>
      <c r="MSQ34" s="575"/>
      <c r="MSR34" s="575"/>
      <c r="MSS34" s="575"/>
      <c r="MST34" s="575"/>
      <c r="MSU34" s="575"/>
      <c r="MSV34" s="575"/>
      <c r="MSW34" s="575"/>
      <c r="MSX34" s="575"/>
      <c r="MSY34" s="575"/>
      <c r="MSZ34" s="575"/>
      <c r="MTA34" s="575"/>
      <c r="MTB34" s="575"/>
      <c r="MTC34" s="575"/>
      <c r="MTD34" s="575"/>
      <c r="MTE34" s="575"/>
      <c r="MTF34" s="575"/>
      <c r="MTG34" s="575"/>
      <c r="MTH34" s="575"/>
      <c r="MTI34" s="575"/>
      <c r="MTJ34" s="575"/>
      <c r="MTK34" s="575"/>
      <c r="MTL34" s="575"/>
      <c r="MTM34" s="575"/>
      <c r="MTN34" s="575"/>
      <c r="MTO34" s="575"/>
      <c r="MTP34" s="575"/>
      <c r="MTQ34" s="575"/>
      <c r="MTR34" s="575"/>
      <c r="MTS34" s="575"/>
      <c r="MTT34" s="575"/>
      <c r="MTU34" s="575"/>
      <c r="MTV34" s="575"/>
      <c r="MTW34" s="575"/>
      <c r="MTX34" s="575"/>
      <c r="MTY34" s="575"/>
      <c r="MTZ34" s="575"/>
      <c r="MUA34" s="575"/>
      <c r="MUB34" s="575"/>
      <c r="MUC34" s="575"/>
      <c r="MUD34" s="575"/>
      <c r="MUE34" s="575"/>
      <c r="MUF34" s="575"/>
      <c r="MUG34" s="575"/>
      <c r="MUH34" s="575"/>
      <c r="MUI34" s="575"/>
      <c r="MUJ34" s="575"/>
      <c r="MUK34" s="575"/>
      <c r="MUL34" s="575"/>
      <c r="MUM34" s="575"/>
      <c r="MUN34" s="575"/>
      <c r="MUO34" s="575"/>
      <c r="MUP34" s="575"/>
      <c r="MUQ34" s="575"/>
      <c r="MUR34" s="575"/>
      <c r="MUS34" s="575"/>
      <c r="MUT34" s="575"/>
      <c r="MUU34" s="575"/>
      <c r="MUV34" s="575"/>
      <c r="MUW34" s="575"/>
      <c r="MUX34" s="575"/>
      <c r="MUY34" s="575"/>
      <c r="MUZ34" s="575"/>
      <c r="MVA34" s="575"/>
      <c r="MVB34" s="575"/>
      <c r="MVC34" s="575"/>
      <c r="MVD34" s="575"/>
      <c r="MVE34" s="575"/>
      <c r="MVF34" s="575"/>
      <c r="MVG34" s="575"/>
      <c r="MVH34" s="575"/>
      <c r="MVI34" s="575"/>
      <c r="MVJ34" s="575"/>
      <c r="MVK34" s="575"/>
      <c r="MVL34" s="575"/>
      <c r="MVM34" s="575"/>
      <c r="MVN34" s="575"/>
      <c r="MVO34" s="575"/>
      <c r="MVP34" s="575"/>
      <c r="MVQ34" s="575"/>
      <c r="MVR34" s="575"/>
      <c r="MVS34" s="575"/>
      <c r="MVT34" s="575"/>
      <c r="MVU34" s="575"/>
      <c r="MVV34" s="575"/>
      <c r="MVW34" s="575"/>
      <c r="MVX34" s="575"/>
      <c r="MVY34" s="575"/>
      <c r="MVZ34" s="575"/>
      <c r="MWA34" s="575"/>
      <c r="MWB34" s="575"/>
      <c r="MWC34" s="575"/>
      <c r="MWD34" s="575"/>
      <c r="MWE34" s="575"/>
      <c r="MWF34" s="575"/>
      <c r="MWG34" s="575"/>
      <c r="MWH34" s="575"/>
      <c r="MWI34" s="575"/>
      <c r="MWJ34" s="575"/>
      <c r="MWK34" s="575"/>
      <c r="MWL34" s="575"/>
      <c r="MWM34" s="575"/>
      <c r="MWN34" s="575"/>
      <c r="MWO34" s="575"/>
      <c r="MWP34" s="575"/>
      <c r="MWQ34" s="575"/>
      <c r="MWR34" s="575"/>
      <c r="MWS34" s="575"/>
      <c r="MWT34" s="575"/>
      <c r="MWU34" s="575"/>
      <c r="MWV34" s="575"/>
      <c r="MWW34" s="575"/>
      <c r="MWX34" s="575"/>
      <c r="MWY34" s="575"/>
      <c r="MWZ34" s="575"/>
      <c r="MXA34" s="575"/>
      <c r="MXB34" s="575"/>
      <c r="MXC34" s="575"/>
      <c r="MXD34" s="575"/>
      <c r="MXE34" s="575"/>
      <c r="MXF34" s="575"/>
      <c r="MXG34" s="575"/>
      <c r="MXH34" s="575"/>
      <c r="MXI34" s="575"/>
      <c r="MXJ34" s="575"/>
      <c r="MXK34" s="575"/>
      <c r="MXL34" s="575"/>
      <c r="MXM34" s="575"/>
      <c r="MXN34" s="575"/>
      <c r="MXO34" s="575"/>
      <c r="MXP34" s="575"/>
      <c r="MXQ34" s="575"/>
      <c r="MXR34" s="575"/>
      <c r="MXS34" s="575"/>
      <c r="MXT34" s="575"/>
      <c r="MXU34" s="575"/>
      <c r="MXV34" s="575"/>
      <c r="MXW34" s="575"/>
      <c r="MXX34" s="575"/>
      <c r="MXY34" s="575"/>
      <c r="MXZ34" s="575"/>
      <c r="MYA34" s="575"/>
      <c r="MYB34" s="575"/>
      <c r="MYC34" s="575"/>
      <c r="MYD34" s="575"/>
      <c r="MYE34" s="575"/>
      <c r="MYF34" s="575"/>
      <c r="MYG34" s="575"/>
      <c r="MYH34" s="575"/>
      <c r="MYI34" s="575"/>
      <c r="MYJ34" s="575"/>
      <c r="MYK34" s="575"/>
      <c r="MYL34" s="575"/>
      <c r="MYM34" s="575"/>
      <c r="MYN34" s="575"/>
      <c r="MYO34" s="575"/>
      <c r="MYP34" s="575"/>
      <c r="MYQ34" s="575"/>
      <c r="MYR34" s="575"/>
      <c r="MYS34" s="575"/>
      <c r="MYT34" s="575"/>
      <c r="MYU34" s="575"/>
      <c r="MYV34" s="575"/>
      <c r="MYW34" s="575"/>
      <c r="MYX34" s="575"/>
      <c r="MYY34" s="575"/>
      <c r="MYZ34" s="575"/>
      <c r="MZA34" s="575"/>
      <c r="MZB34" s="575"/>
      <c r="MZC34" s="575"/>
      <c r="MZD34" s="575"/>
      <c r="MZE34" s="575"/>
      <c r="MZF34" s="575"/>
      <c r="MZG34" s="575"/>
      <c r="MZH34" s="575"/>
      <c r="MZI34" s="575"/>
      <c r="MZJ34" s="575"/>
      <c r="MZK34" s="575"/>
      <c r="MZL34" s="575"/>
      <c r="MZM34" s="575"/>
      <c r="MZN34" s="575"/>
      <c r="MZO34" s="575"/>
      <c r="MZP34" s="575"/>
      <c r="MZQ34" s="575"/>
      <c r="MZR34" s="575"/>
      <c r="MZS34" s="575"/>
      <c r="MZT34" s="575"/>
      <c r="MZU34" s="575"/>
      <c r="MZV34" s="575"/>
      <c r="MZW34" s="575"/>
      <c r="MZX34" s="575"/>
      <c r="MZY34" s="575"/>
      <c r="MZZ34" s="575"/>
      <c r="NAA34" s="575"/>
      <c r="NAB34" s="575"/>
      <c r="NAC34" s="575"/>
      <c r="NAD34" s="575"/>
      <c r="NAE34" s="575"/>
      <c r="NAF34" s="575"/>
      <c r="NAG34" s="575"/>
      <c r="NAH34" s="575"/>
      <c r="NAI34" s="575"/>
      <c r="NAJ34" s="575"/>
      <c r="NAK34" s="575"/>
      <c r="NAL34" s="575"/>
      <c r="NAM34" s="575"/>
      <c r="NAN34" s="575"/>
      <c r="NAO34" s="575"/>
      <c r="NAP34" s="575"/>
      <c r="NAQ34" s="575"/>
      <c r="NAR34" s="575"/>
      <c r="NAS34" s="575"/>
      <c r="NAT34" s="575"/>
      <c r="NAU34" s="575"/>
      <c r="NAV34" s="575"/>
      <c r="NAW34" s="575"/>
      <c r="NAX34" s="575"/>
      <c r="NAY34" s="575"/>
      <c r="NAZ34" s="575"/>
      <c r="NBA34" s="575"/>
      <c r="NBB34" s="575"/>
      <c r="NBC34" s="575"/>
      <c r="NBD34" s="575"/>
      <c r="NBE34" s="575"/>
      <c r="NBF34" s="575"/>
      <c r="NBG34" s="575"/>
      <c r="NBH34" s="575"/>
      <c r="NBI34" s="575"/>
      <c r="NBJ34" s="575"/>
      <c r="NBK34" s="575"/>
      <c r="NBL34" s="575"/>
      <c r="NBM34" s="575"/>
      <c r="NBN34" s="575"/>
      <c r="NBO34" s="575"/>
      <c r="NBP34" s="575"/>
      <c r="NBQ34" s="575"/>
      <c r="NBR34" s="575"/>
      <c r="NBS34" s="575"/>
      <c r="NBT34" s="575"/>
      <c r="NBU34" s="575"/>
      <c r="NBV34" s="575"/>
      <c r="NBW34" s="575"/>
      <c r="NBX34" s="575"/>
      <c r="NBY34" s="575"/>
      <c r="NBZ34" s="575"/>
      <c r="NCA34" s="575"/>
      <c r="NCB34" s="575"/>
      <c r="NCC34" s="575"/>
      <c r="NCD34" s="575"/>
      <c r="NCE34" s="575"/>
      <c r="NCF34" s="575"/>
      <c r="NCG34" s="575"/>
      <c r="NCH34" s="575"/>
      <c r="NCI34" s="575"/>
      <c r="NCJ34" s="575"/>
      <c r="NCK34" s="575"/>
      <c r="NCL34" s="575"/>
      <c r="NCM34" s="575"/>
      <c r="NCN34" s="575"/>
      <c r="NCO34" s="575"/>
      <c r="NCP34" s="575"/>
      <c r="NCQ34" s="575"/>
      <c r="NCR34" s="575"/>
      <c r="NCS34" s="575"/>
      <c r="NCT34" s="575"/>
      <c r="NCU34" s="575"/>
      <c r="NCV34" s="575"/>
      <c r="NCW34" s="575"/>
      <c r="NCX34" s="575"/>
      <c r="NCY34" s="575"/>
      <c r="NCZ34" s="575"/>
      <c r="NDA34" s="575"/>
      <c r="NDB34" s="575"/>
      <c r="NDC34" s="575"/>
      <c r="NDD34" s="575"/>
      <c r="NDE34" s="575"/>
      <c r="NDF34" s="575"/>
      <c r="NDG34" s="575"/>
      <c r="NDH34" s="575"/>
      <c r="NDI34" s="575"/>
      <c r="NDJ34" s="575"/>
      <c r="NDK34" s="575"/>
      <c r="NDL34" s="575"/>
      <c r="NDM34" s="575"/>
      <c r="NDN34" s="575"/>
      <c r="NDO34" s="575"/>
      <c r="NDP34" s="575"/>
      <c r="NDQ34" s="575"/>
      <c r="NDR34" s="575"/>
      <c r="NDS34" s="575"/>
      <c r="NDT34" s="575"/>
      <c r="NDU34" s="575"/>
      <c r="NDV34" s="575"/>
      <c r="NDW34" s="575"/>
      <c r="NDX34" s="575"/>
      <c r="NDY34" s="575"/>
      <c r="NDZ34" s="575"/>
      <c r="NEA34" s="575"/>
      <c r="NEB34" s="575"/>
      <c r="NEC34" s="575"/>
      <c r="NED34" s="575"/>
      <c r="NEE34" s="575"/>
      <c r="NEF34" s="575"/>
      <c r="NEG34" s="575"/>
      <c r="NEH34" s="575"/>
      <c r="NEI34" s="575"/>
      <c r="NEJ34" s="575"/>
      <c r="NEK34" s="575"/>
      <c r="NEL34" s="575"/>
      <c r="NEM34" s="575"/>
      <c r="NEN34" s="575"/>
      <c r="NEO34" s="575"/>
      <c r="NEP34" s="575"/>
      <c r="NEQ34" s="575"/>
      <c r="NER34" s="575"/>
      <c r="NES34" s="575"/>
      <c r="NET34" s="575"/>
      <c r="NEU34" s="575"/>
      <c r="NEV34" s="575"/>
      <c r="NEW34" s="575"/>
      <c r="NEX34" s="575"/>
      <c r="NEY34" s="575"/>
      <c r="NEZ34" s="575"/>
      <c r="NFA34" s="575"/>
      <c r="NFB34" s="575"/>
      <c r="NFC34" s="575"/>
      <c r="NFD34" s="575"/>
      <c r="NFE34" s="575"/>
      <c r="NFF34" s="575"/>
      <c r="NFG34" s="575"/>
      <c r="NFH34" s="575"/>
      <c r="NFI34" s="575"/>
      <c r="NFJ34" s="575"/>
      <c r="NFK34" s="575"/>
      <c r="NFL34" s="575"/>
      <c r="NFM34" s="575"/>
      <c r="NFN34" s="575"/>
      <c r="NFO34" s="575"/>
      <c r="NFP34" s="575"/>
      <c r="NFQ34" s="575"/>
      <c r="NFR34" s="575"/>
      <c r="NFS34" s="575"/>
      <c r="NFT34" s="575"/>
      <c r="NFU34" s="575"/>
      <c r="NFV34" s="575"/>
      <c r="NFW34" s="575"/>
      <c r="NFX34" s="575"/>
      <c r="NFY34" s="575"/>
      <c r="NFZ34" s="575"/>
      <c r="NGA34" s="575"/>
      <c r="NGB34" s="575"/>
      <c r="NGC34" s="575"/>
      <c r="NGD34" s="575"/>
      <c r="NGE34" s="575"/>
      <c r="NGF34" s="575"/>
      <c r="NGG34" s="575"/>
      <c r="NGH34" s="575"/>
      <c r="NGI34" s="575"/>
      <c r="NGJ34" s="575"/>
      <c r="NGK34" s="575"/>
      <c r="NGL34" s="575"/>
      <c r="NGM34" s="575"/>
      <c r="NGN34" s="575"/>
      <c r="NGO34" s="575"/>
      <c r="NGP34" s="575"/>
      <c r="NGQ34" s="575"/>
      <c r="NGR34" s="575"/>
      <c r="NGS34" s="575"/>
      <c r="NGT34" s="575"/>
      <c r="NGU34" s="575"/>
      <c r="NGV34" s="575"/>
      <c r="NGW34" s="575"/>
      <c r="NGX34" s="575"/>
      <c r="NGY34" s="575"/>
      <c r="NGZ34" s="575"/>
      <c r="NHA34" s="575"/>
      <c r="NHB34" s="575"/>
      <c r="NHC34" s="575"/>
      <c r="NHD34" s="575"/>
      <c r="NHE34" s="575"/>
      <c r="NHF34" s="575"/>
      <c r="NHG34" s="575"/>
      <c r="NHH34" s="575"/>
      <c r="NHI34" s="575"/>
      <c r="NHJ34" s="575"/>
      <c r="NHK34" s="575"/>
      <c r="NHL34" s="575"/>
      <c r="NHM34" s="575"/>
      <c r="NHN34" s="575"/>
      <c r="NHO34" s="575"/>
      <c r="NHP34" s="575"/>
      <c r="NHQ34" s="575"/>
      <c r="NHR34" s="575"/>
      <c r="NHS34" s="575"/>
      <c r="NHT34" s="575"/>
      <c r="NHU34" s="575"/>
      <c r="NHV34" s="575"/>
      <c r="NHW34" s="575"/>
      <c r="NHX34" s="575"/>
      <c r="NHY34" s="575"/>
      <c r="NHZ34" s="575"/>
      <c r="NIA34" s="575"/>
      <c r="NIB34" s="575"/>
      <c r="NIC34" s="575"/>
      <c r="NID34" s="575"/>
      <c r="NIE34" s="575"/>
      <c r="NIF34" s="575"/>
      <c r="NIG34" s="575"/>
      <c r="NIH34" s="575"/>
      <c r="NII34" s="575"/>
      <c r="NIJ34" s="575"/>
      <c r="NIK34" s="575"/>
      <c r="NIL34" s="575"/>
      <c r="NIM34" s="575"/>
      <c r="NIN34" s="575"/>
      <c r="NIO34" s="575"/>
      <c r="NIP34" s="575"/>
      <c r="NIQ34" s="575"/>
      <c r="NIR34" s="575"/>
      <c r="NIS34" s="575"/>
      <c r="NIT34" s="575"/>
      <c r="NIU34" s="575"/>
      <c r="NIV34" s="575"/>
      <c r="NIW34" s="575"/>
      <c r="NIX34" s="575"/>
      <c r="NIY34" s="575"/>
      <c r="NIZ34" s="575"/>
      <c r="NJA34" s="575"/>
      <c r="NJB34" s="575"/>
      <c r="NJC34" s="575"/>
      <c r="NJD34" s="575"/>
      <c r="NJE34" s="575"/>
      <c r="NJF34" s="575"/>
      <c r="NJG34" s="575"/>
      <c r="NJH34" s="575"/>
      <c r="NJI34" s="575"/>
      <c r="NJJ34" s="575"/>
      <c r="NJK34" s="575"/>
      <c r="NJL34" s="575"/>
      <c r="NJM34" s="575"/>
      <c r="NJN34" s="575"/>
      <c r="NJO34" s="575"/>
      <c r="NJP34" s="575"/>
      <c r="NJQ34" s="575"/>
      <c r="NJR34" s="575"/>
      <c r="NJS34" s="575"/>
      <c r="NJT34" s="575"/>
      <c r="NJU34" s="575"/>
      <c r="NJV34" s="575"/>
      <c r="NJW34" s="575"/>
      <c r="NJX34" s="575"/>
      <c r="NJY34" s="575"/>
      <c r="NJZ34" s="575"/>
      <c r="NKA34" s="575"/>
      <c r="NKB34" s="575"/>
      <c r="NKC34" s="575"/>
      <c r="NKD34" s="575"/>
      <c r="NKE34" s="575"/>
      <c r="NKF34" s="575"/>
      <c r="NKG34" s="575"/>
      <c r="NKH34" s="575"/>
      <c r="NKI34" s="575"/>
      <c r="NKJ34" s="575"/>
      <c r="NKK34" s="575"/>
      <c r="NKL34" s="575"/>
      <c r="NKM34" s="575"/>
      <c r="NKN34" s="575"/>
      <c r="NKO34" s="575"/>
      <c r="NKP34" s="575"/>
      <c r="NKQ34" s="575"/>
      <c r="NKR34" s="575"/>
      <c r="NKS34" s="575"/>
      <c r="NKT34" s="575"/>
      <c r="NKU34" s="575"/>
      <c r="NKV34" s="575"/>
      <c r="NKW34" s="575"/>
      <c r="NKX34" s="575"/>
      <c r="NKY34" s="575"/>
      <c r="NKZ34" s="575"/>
      <c r="NLA34" s="575"/>
      <c r="NLB34" s="575"/>
      <c r="NLC34" s="575"/>
      <c r="NLD34" s="575"/>
      <c r="NLE34" s="575"/>
      <c r="NLF34" s="575"/>
      <c r="NLG34" s="575"/>
      <c r="NLH34" s="575"/>
      <c r="NLI34" s="575"/>
      <c r="NLJ34" s="575"/>
      <c r="NLK34" s="575"/>
      <c r="NLL34" s="575"/>
      <c r="NLM34" s="575"/>
      <c r="NLN34" s="575"/>
      <c r="NLO34" s="575"/>
      <c r="NLP34" s="575"/>
      <c r="NLQ34" s="575"/>
      <c r="NLR34" s="575"/>
      <c r="NLS34" s="575"/>
      <c r="NLT34" s="575"/>
      <c r="NLU34" s="575"/>
      <c r="NLV34" s="575"/>
      <c r="NLW34" s="575"/>
      <c r="NLX34" s="575"/>
      <c r="NLY34" s="575"/>
      <c r="NLZ34" s="575"/>
      <c r="NMA34" s="575"/>
      <c r="NMB34" s="575"/>
      <c r="NMC34" s="575"/>
      <c r="NMD34" s="575"/>
      <c r="NME34" s="575"/>
      <c r="NMF34" s="575"/>
      <c r="NMG34" s="575"/>
      <c r="NMH34" s="575"/>
      <c r="NMI34" s="575"/>
      <c r="NMJ34" s="575"/>
      <c r="NMK34" s="575"/>
      <c r="NML34" s="575"/>
      <c r="NMM34" s="575"/>
      <c r="NMN34" s="575"/>
      <c r="NMO34" s="575"/>
      <c r="NMP34" s="575"/>
      <c r="NMQ34" s="575"/>
      <c r="NMR34" s="575"/>
      <c r="NMS34" s="575"/>
      <c r="NMT34" s="575"/>
      <c r="NMU34" s="575"/>
      <c r="NMV34" s="575"/>
      <c r="NMW34" s="575"/>
      <c r="NMX34" s="575"/>
      <c r="NMY34" s="575"/>
      <c r="NMZ34" s="575"/>
      <c r="NNA34" s="575"/>
      <c r="NNB34" s="575"/>
      <c r="NNC34" s="575"/>
      <c r="NND34" s="575"/>
      <c r="NNE34" s="575"/>
      <c r="NNF34" s="575"/>
      <c r="NNG34" s="575"/>
      <c r="NNH34" s="575"/>
      <c r="NNI34" s="575"/>
      <c r="NNJ34" s="575"/>
      <c r="NNK34" s="575"/>
      <c r="NNL34" s="575"/>
      <c r="NNM34" s="575"/>
      <c r="NNN34" s="575"/>
      <c r="NNO34" s="575"/>
      <c r="NNP34" s="575"/>
      <c r="NNQ34" s="575"/>
      <c r="NNR34" s="575"/>
      <c r="NNS34" s="575"/>
      <c r="NNT34" s="575"/>
      <c r="NNU34" s="575"/>
      <c r="NNV34" s="575"/>
      <c r="NNW34" s="575"/>
      <c r="NNX34" s="575"/>
      <c r="NNY34" s="575"/>
      <c r="NNZ34" s="575"/>
      <c r="NOA34" s="575"/>
      <c r="NOB34" s="575"/>
      <c r="NOC34" s="575"/>
      <c r="NOD34" s="575"/>
      <c r="NOE34" s="575"/>
      <c r="NOF34" s="575"/>
      <c r="NOG34" s="575"/>
      <c r="NOH34" s="575"/>
      <c r="NOI34" s="575"/>
      <c r="NOJ34" s="575"/>
      <c r="NOK34" s="575"/>
      <c r="NOL34" s="575"/>
      <c r="NOM34" s="575"/>
      <c r="NON34" s="575"/>
      <c r="NOO34" s="575"/>
      <c r="NOP34" s="575"/>
      <c r="NOQ34" s="575"/>
      <c r="NOR34" s="575"/>
      <c r="NOS34" s="575"/>
      <c r="NOT34" s="575"/>
      <c r="NOU34" s="575"/>
      <c r="NOV34" s="575"/>
      <c r="NOW34" s="575"/>
      <c r="NOX34" s="575"/>
      <c r="NOY34" s="575"/>
      <c r="NOZ34" s="575"/>
      <c r="NPA34" s="575"/>
      <c r="NPB34" s="575"/>
      <c r="NPC34" s="575"/>
      <c r="NPD34" s="575"/>
      <c r="NPE34" s="575"/>
      <c r="NPF34" s="575"/>
      <c r="NPG34" s="575"/>
      <c r="NPH34" s="575"/>
      <c r="NPI34" s="575"/>
      <c r="NPJ34" s="575"/>
      <c r="NPK34" s="575"/>
      <c r="NPL34" s="575"/>
      <c r="NPM34" s="575"/>
      <c r="NPN34" s="575"/>
      <c r="NPO34" s="575"/>
      <c r="NPP34" s="575"/>
      <c r="NPQ34" s="575"/>
      <c r="NPR34" s="575"/>
      <c r="NPS34" s="575"/>
      <c r="NPT34" s="575"/>
      <c r="NPU34" s="575"/>
      <c r="NPV34" s="575"/>
      <c r="NPW34" s="575"/>
      <c r="NPX34" s="575"/>
      <c r="NPY34" s="575"/>
      <c r="NPZ34" s="575"/>
      <c r="NQA34" s="575"/>
      <c r="NQB34" s="575"/>
      <c r="NQC34" s="575"/>
      <c r="NQD34" s="575"/>
      <c r="NQE34" s="575"/>
      <c r="NQF34" s="575"/>
      <c r="NQG34" s="575"/>
      <c r="NQH34" s="575"/>
      <c r="NQI34" s="575"/>
      <c r="NQJ34" s="575"/>
      <c r="NQK34" s="575"/>
      <c r="NQL34" s="575"/>
      <c r="NQM34" s="575"/>
      <c r="NQN34" s="575"/>
      <c r="NQO34" s="575"/>
      <c r="NQP34" s="575"/>
      <c r="NQQ34" s="575"/>
      <c r="NQR34" s="575"/>
      <c r="NQS34" s="575"/>
      <c r="NQT34" s="575"/>
      <c r="NQU34" s="575"/>
      <c r="NQV34" s="575"/>
      <c r="NQW34" s="575"/>
      <c r="NQX34" s="575"/>
      <c r="NQY34" s="575"/>
      <c r="NQZ34" s="575"/>
      <c r="NRA34" s="575"/>
      <c r="NRB34" s="575"/>
      <c r="NRC34" s="575"/>
      <c r="NRD34" s="575"/>
      <c r="NRE34" s="575"/>
      <c r="NRF34" s="575"/>
      <c r="NRG34" s="575"/>
      <c r="NRH34" s="575"/>
      <c r="NRI34" s="575"/>
      <c r="NRJ34" s="575"/>
      <c r="NRK34" s="575"/>
      <c r="NRL34" s="575"/>
      <c r="NRM34" s="575"/>
      <c r="NRN34" s="575"/>
      <c r="NRO34" s="575"/>
      <c r="NRP34" s="575"/>
      <c r="NRQ34" s="575"/>
      <c r="NRR34" s="575"/>
      <c r="NRS34" s="575"/>
      <c r="NRT34" s="575"/>
      <c r="NRU34" s="575"/>
      <c r="NRV34" s="575"/>
      <c r="NRW34" s="575"/>
      <c r="NRX34" s="575"/>
      <c r="NRY34" s="575"/>
      <c r="NRZ34" s="575"/>
      <c r="NSA34" s="575"/>
      <c r="NSB34" s="575"/>
      <c r="NSC34" s="575"/>
      <c r="NSD34" s="575"/>
      <c r="NSE34" s="575"/>
      <c r="NSF34" s="575"/>
      <c r="NSG34" s="575"/>
      <c r="NSH34" s="575"/>
      <c r="NSI34" s="575"/>
      <c r="NSJ34" s="575"/>
      <c r="NSK34" s="575"/>
      <c r="NSL34" s="575"/>
      <c r="NSM34" s="575"/>
      <c r="NSN34" s="575"/>
      <c r="NSO34" s="575"/>
      <c r="NSP34" s="575"/>
      <c r="NSQ34" s="575"/>
      <c r="NSR34" s="575"/>
      <c r="NSS34" s="575"/>
      <c r="NST34" s="575"/>
      <c r="NSU34" s="575"/>
      <c r="NSV34" s="575"/>
      <c r="NSW34" s="575"/>
      <c r="NSX34" s="575"/>
      <c r="NSY34" s="575"/>
      <c r="NSZ34" s="575"/>
      <c r="NTA34" s="575"/>
      <c r="NTB34" s="575"/>
      <c r="NTC34" s="575"/>
      <c r="NTD34" s="575"/>
      <c r="NTE34" s="575"/>
      <c r="NTF34" s="575"/>
      <c r="NTG34" s="575"/>
      <c r="NTH34" s="575"/>
      <c r="NTI34" s="575"/>
      <c r="NTJ34" s="575"/>
      <c r="NTK34" s="575"/>
      <c r="NTL34" s="575"/>
      <c r="NTM34" s="575"/>
      <c r="NTN34" s="575"/>
      <c r="NTO34" s="575"/>
      <c r="NTP34" s="575"/>
      <c r="NTQ34" s="575"/>
      <c r="NTR34" s="575"/>
      <c r="NTS34" s="575"/>
      <c r="NTT34" s="575"/>
      <c r="NTU34" s="575"/>
      <c r="NTV34" s="575"/>
      <c r="NTW34" s="575"/>
      <c r="NTX34" s="575"/>
      <c r="NTY34" s="575"/>
      <c r="NTZ34" s="575"/>
      <c r="NUA34" s="575"/>
      <c r="NUB34" s="575"/>
      <c r="NUC34" s="575"/>
      <c r="NUD34" s="575"/>
      <c r="NUE34" s="575"/>
      <c r="NUF34" s="575"/>
      <c r="NUG34" s="575"/>
      <c r="NUH34" s="575"/>
      <c r="NUI34" s="575"/>
      <c r="NUJ34" s="575"/>
      <c r="NUK34" s="575"/>
      <c r="NUL34" s="575"/>
      <c r="NUM34" s="575"/>
      <c r="NUN34" s="575"/>
      <c r="NUO34" s="575"/>
      <c r="NUP34" s="575"/>
      <c r="NUQ34" s="575"/>
      <c r="NUR34" s="575"/>
      <c r="NUS34" s="575"/>
      <c r="NUT34" s="575"/>
      <c r="NUU34" s="575"/>
      <c r="NUV34" s="575"/>
      <c r="NUW34" s="575"/>
      <c r="NUX34" s="575"/>
      <c r="NUY34" s="575"/>
      <c r="NUZ34" s="575"/>
      <c r="NVA34" s="575"/>
      <c r="NVB34" s="575"/>
      <c r="NVC34" s="575"/>
      <c r="NVD34" s="575"/>
      <c r="NVE34" s="575"/>
      <c r="NVF34" s="575"/>
      <c r="NVG34" s="575"/>
      <c r="NVH34" s="575"/>
      <c r="NVI34" s="575"/>
      <c r="NVJ34" s="575"/>
      <c r="NVK34" s="575"/>
      <c r="NVL34" s="575"/>
      <c r="NVM34" s="575"/>
      <c r="NVN34" s="575"/>
      <c r="NVO34" s="575"/>
      <c r="NVP34" s="575"/>
      <c r="NVQ34" s="575"/>
      <c r="NVR34" s="575"/>
      <c r="NVS34" s="575"/>
      <c r="NVT34" s="575"/>
      <c r="NVU34" s="575"/>
      <c r="NVV34" s="575"/>
      <c r="NVW34" s="575"/>
      <c r="NVX34" s="575"/>
      <c r="NVY34" s="575"/>
      <c r="NVZ34" s="575"/>
      <c r="NWA34" s="575"/>
      <c r="NWB34" s="575"/>
      <c r="NWC34" s="575"/>
      <c r="NWD34" s="575"/>
      <c r="NWE34" s="575"/>
      <c r="NWF34" s="575"/>
      <c r="NWG34" s="575"/>
      <c r="NWH34" s="575"/>
      <c r="NWI34" s="575"/>
      <c r="NWJ34" s="575"/>
      <c r="NWK34" s="575"/>
      <c r="NWL34" s="575"/>
      <c r="NWM34" s="575"/>
      <c r="NWN34" s="575"/>
      <c r="NWO34" s="575"/>
      <c r="NWP34" s="575"/>
      <c r="NWQ34" s="575"/>
      <c r="NWR34" s="575"/>
      <c r="NWS34" s="575"/>
      <c r="NWT34" s="575"/>
      <c r="NWU34" s="575"/>
      <c r="NWV34" s="575"/>
      <c r="NWW34" s="575"/>
      <c r="NWX34" s="575"/>
      <c r="NWY34" s="575"/>
      <c r="NWZ34" s="575"/>
      <c r="NXA34" s="575"/>
      <c r="NXB34" s="575"/>
      <c r="NXC34" s="575"/>
      <c r="NXD34" s="575"/>
      <c r="NXE34" s="575"/>
      <c r="NXF34" s="575"/>
      <c r="NXG34" s="575"/>
      <c r="NXH34" s="575"/>
      <c r="NXI34" s="575"/>
      <c r="NXJ34" s="575"/>
      <c r="NXK34" s="575"/>
      <c r="NXL34" s="575"/>
      <c r="NXM34" s="575"/>
      <c r="NXN34" s="575"/>
      <c r="NXO34" s="575"/>
      <c r="NXP34" s="575"/>
      <c r="NXQ34" s="575"/>
      <c r="NXR34" s="575"/>
      <c r="NXS34" s="575"/>
      <c r="NXT34" s="575"/>
      <c r="NXU34" s="575"/>
      <c r="NXV34" s="575"/>
      <c r="NXW34" s="575"/>
      <c r="NXX34" s="575"/>
      <c r="NXY34" s="575"/>
      <c r="NXZ34" s="575"/>
      <c r="NYA34" s="575"/>
      <c r="NYB34" s="575"/>
      <c r="NYC34" s="575"/>
      <c r="NYD34" s="575"/>
      <c r="NYE34" s="575"/>
      <c r="NYF34" s="575"/>
      <c r="NYG34" s="575"/>
      <c r="NYH34" s="575"/>
      <c r="NYI34" s="575"/>
      <c r="NYJ34" s="575"/>
      <c r="NYK34" s="575"/>
      <c r="NYL34" s="575"/>
      <c r="NYM34" s="575"/>
      <c r="NYN34" s="575"/>
      <c r="NYO34" s="575"/>
      <c r="NYP34" s="575"/>
      <c r="NYQ34" s="575"/>
      <c r="NYR34" s="575"/>
      <c r="NYS34" s="575"/>
      <c r="NYT34" s="575"/>
      <c r="NYU34" s="575"/>
      <c r="NYV34" s="575"/>
      <c r="NYW34" s="575"/>
      <c r="NYX34" s="575"/>
      <c r="NYY34" s="575"/>
      <c r="NYZ34" s="575"/>
      <c r="NZA34" s="575"/>
      <c r="NZB34" s="575"/>
      <c r="NZC34" s="575"/>
      <c r="NZD34" s="575"/>
      <c r="NZE34" s="575"/>
      <c r="NZF34" s="575"/>
      <c r="NZG34" s="575"/>
      <c r="NZH34" s="575"/>
      <c r="NZI34" s="575"/>
      <c r="NZJ34" s="575"/>
      <c r="NZK34" s="575"/>
      <c r="NZL34" s="575"/>
      <c r="NZM34" s="575"/>
      <c r="NZN34" s="575"/>
      <c r="NZO34" s="575"/>
      <c r="NZP34" s="575"/>
      <c r="NZQ34" s="575"/>
      <c r="NZR34" s="575"/>
      <c r="NZS34" s="575"/>
      <c r="NZT34" s="575"/>
      <c r="NZU34" s="575"/>
      <c r="NZV34" s="575"/>
      <c r="NZW34" s="575"/>
      <c r="NZX34" s="575"/>
      <c r="NZY34" s="575"/>
      <c r="NZZ34" s="575"/>
      <c r="OAA34" s="575"/>
      <c r="OAB34" s="575"/>
      <c r="OAC34" s="575"/>
      <c r="OAD34" s="575"/>
      <c r="OAE34" s="575"/>
      <c r="OAF34" s="575"/>
      <c r="OAG34" s="575"/>
      <c r="OAH34" s="575"/>
      <c r="OAI34" s="575"/>
      <c r="OAJ34" s="575"/>
      <c r="OAK34" s="575"/>
      <c r="OAL34" s="575"/>
      <c r="OAM34" s="575"/>
      <c r="OAN34" s="575"/>
      <c r="OAO34" s="575"/>
      <c r="OAP34" s="575"/>
      <c r="OAQ34" s="575"/>
      <c r="OAR34" s="575"/>
      <c r="OAS34" s="575"/>
      <c r="OAT34" s="575"/>
      <c r="OAU34" s="575"/>
      <c r="OAV34" s="575"/>
      <c r="OAW34" s="575"/>
      <c r="OAX34" s="575"/>
      <c r="OAY34" s="575"/>
      <c r="OAZ34" s="575"/>
      <c r="OBA34" s="575"/>
      <c r="OBB34" s="575"/>
      <c r="OBC34" s="575"/>
      <c r="OBD34" s="575"/>
      <c r="OBE34" s="575"/>
      <c r="OBF34" s="575"/>
      <c r="OBG34" s="575"/>
      <c r="OBH34" s="575"/>
      <c r="OBI34" s="575"/>
      <c r="OBJ34" s="575"/>
      <c r="OBK34" s="575"/>
      <c r="OBL34" s="575"/>
      <c r="OBM34" s="575"/>
      <c r="OBN34" s="575"/>
      <c r="OBO34" s="575"/>
      <c r="OBP34" s="575"/>
      <c r="OBQ34" s="575"/>
      <c r="OBR34" s="575"/>
      <c r="OBS34" s="575"/>
      <c r="OBT34" s="575"/>
      <c r="OBU34" s="575"/>
      <c r="OBV34" s="575"/>
      <c r="OBW34" s="575"/>
      <c r="OBX34" s="575"/>
      <c r="OBY34" s="575"/>
      <c r="OBZ34" s="575"/>
      <c r="OCA34" s="575"/>
      <c r="OCB34" s="575"/>
      <c r="OCC34" s="575"/>
      <c r="OCD34" s="575"/>
      <c r="OCE34" s="575"/>
      <c r="OCF34" s="575"/>
      <c r="OCG34" s="575"/>
      <c r="OCH34" s="575"/>
      <c r="OCI34" s="575"/>
      <c r="OCJ34" s="575"/>
      <c r="OCK34" s="575"/>
      <c r="OCL34" s="575"/>
      <c r="OCM34" s="575"/>
      <c r="OCN34" s="575"/>
      <c r="OCO34" s="575"/>
      <c r="OCP34" s="575"/>
      <c r="OCQ34" s="575"/>
      <c r="OCR34" s="575"/>
      <c r="OCS34" s="575"/>
      <c r="OCT34" s="575"/>
      <c r="OCU34" s="575"/>
      <c r="OCV34" s="575"/>
      <c r="OCW34" s="575"/>
      <c r="OCX34" s="575"/>
      <c r="OCY34" s="575"/>
      <c r="OCZ34" s="575"/>
      <c r="ODA34" s="575"/>
      <c r="ODB34" s="575"/>
      <c r="ODC34" s="575"/>
      <c r="ODD34" s="575"/>
      <c r="ODE34" s="575"/>
      <c r="ODF34" s="575"/>
      <c r="ODG34" s="575"/>
      <c r="ODH34" s="575"/>
      <c r="ODI34" s="575"/>
      <c r="ODJ34" s="575"/>
      <c r="ODK34" s="575"/>
      <c r="ODL34" s="575"/>
      <c r="ODM34" s="575"/>
      <c r="ODN34" s="575"/>
      <c r="ODO34" s="575"/>
      <c r="ODP34" s="575"/>
      <c r="ODQ34" s="575"/>
      <c r="ODR34" s="575"/>
      <c r="ODS34" s="575"/>
      <c r="ODT34" s="575"/>
      <c r="ODU34" s="575"/>
      <c r="ODV34" s="575"/>
      <c r="ODW34" s="575"/>
      <c r="ODX34" s="575"/>
      <c r="ODY34" s="575"/>
      <c r="ODZ34" s="575"/>
      <c r="OEA34" s="575"/>
      <c r="OEB34" s="575"/>
      <c r="OEC34" s="575"/>
      <c r="OED34" s="575"/>
      <c r="OEE34" s="575"/>
      <c r="OEF34" s="575"/>
      <c r="OEG34" s="575"/>
      <c r="OEH34" s="575"/>
      <c r="OEI34" s="575"/>
      <c r="OEJ34" s="575"/>
      <c r="OEK34" s="575"/>
      <c r="OEL34" s="575"/>
      <c r="OEM34" s="575"/>
      <c r="OEN34" s="575"/>
      <c r="OEO34" s="575"/>
      <c r="OEP34" s="575"/>
      <c r="OEQ34" s="575"/>
      <c r="OER34" s="575"/>
      <c r="OES34" s="575"/>
      <c r="OET34" s="575"/>
      <c r="OEU34" s="575"/>
      <c r="OEV34" s="575"/>
      <c r="OEW34" s="575"/>
      <c r="OEX34" s="575"/>
      <c r="OEY34" s="575"/>
      <c r="OEZ34" s="575"/>
      <c r="OFA34" s="575"/>
      <c r="OFB34" s="575"/>
      <c r="OFC34" s="575"/>
      <c r="OFD34" s="575"/>
      <c r="OFE34" s="575"/>
      <c r="OFF34" s="575"/>
      <c r="OFG34" s="575"/>
      <c r="OFH34" s="575"/>
      <c r="OFI34" s="575"/>
      <c r="OFJ34" s="575"/>
      <c r="OFK34" s="575"/>
      <c r="OFL34" s="575"/>
      <c r="OFM34" s="575"/>
      <c r="OFN34" s="575"/>
      <c r="OFO34" s="575"/>
      <c r="OFP34" s="575"/>
      <c r="OFQ34" s="575"/>
      <c r="OFR34" s="575"/>
      <c r="OFS34" s="575"/>
      <c r="OFT34" s="575"/>
      <c r="OFU34" s="575"/>
      <c r="OFV34" s="575"/>
      <c r="OFW34" s="575"/>
      <c r="OFX34" s="575"/>
      <c r="OFY34" s="575"/>
      <c r="OFZ34" s="575"/>
      <c r="OGA34" s="575"/>
      <c r="OGB34" s="575"/>
      <c r="OGC34" s="575"/>
      <c r="OGD34" s="575"/>
      <c r="OGE34" s="575"/>
      <c r="OGF34" s="575"/>
      <c r="OGG34" s="575"/>
      <c r="OGH34" s="575"/>
      <c r="OGI34" s="575"/>
      <c r="OGJ34" s="575"/>
      <c r="OGK34" s="575"/>
      <c r="OGL34" s="575"/>
      <c r="OGM34" s="575"/>
      <c r="OGN34" s="575"/>
      <c r="OGO34" s="575"/>
      <c r="OGP34" s="575"/>
      <c r="OGQ34" s="575"/>
      <c r="OGR34" s="575"/>
      <c r="OGS34" s="575"/>
      <c r="OGT34" s="575"/>
      <c r="OGU34" s="575"/>
      <c r="OGV34" s="575"/>
      <c r="OGW34" s="575"/>
      <c r="OGX34" s="575"/>
      <c r="OGY34" s="575"/>
      <c r="OGZ34" s="575"/>
      <c r="OHA34" s="575"/>
      <c r="OHB34" s="575"/>
      <c r="OHC34" s="575"/>
      <c r="OHD34" s="575"/>
      <c r="OHE34" s="575"/>
      <c r="OHF34" s="575"/>
      <c r="OHG34" s="575"/>
      <c r="OHH34" s="575"/>
      <c r="OHI34" s="575"/>
      <c r="OHJ34" s="575"/>
      <c r="OHK34" s="575"/>
      <c r="OHL34" s="575"/>
      <c r="OHM34" s="575"/>
      <c r="OHN34" s="575"/>
      <c r="OHO34" s="575"/>
      <c r="OHP34" s="575"/>
      <c r="OHQ34" s="575"/>
      <c r="OHR34" s="575"/>
      <c r="OHS34" s="575"/>
      <c r="OHT34" s="575"/>
      <c r="OHU34" s="575"/>
      <c r="OHV34" s="575"/>
      <c r="OHW34" s="575"/>
      <c r="OHX34" s="575"/>
      <c r="OHY34" s="575"/>
      <c r="OHZ34" s="575"/>
      <c r="OIA34" s="575"/>
      <c r="OIB34" s="575"/>
      <c r="OIC34" s="575"/>
      <c r="OID34" s="575"/>
      <c r="OIE34" s="575"/>
      <c r="OIF34" s="575"/>
      <c r="OIG34" s="575"/>
      <c r="OIH34" s="575"/>
      <c r="OII34" s="575"/>
      <c r="OIJ34" s="575"/>
      <c r="OIK34" s="575"/>
      <c r="OIL34" s="575"/>
      <c r="OIM34" s="575"/>
      <c r="OIN34" s="575"/>
      <c r="OIO34" s="575"/>
      <c r="OIP34" s="575"/>
      <c r="OIQ34" s="575"/>
      <c r="OIR34" s="575"/>
      <c r="OIS34" s="575"/>
      <c r="OIT34" s="575"/>
      <c r="OIU34" s="575"/>
      <c r="OIV34" s="575"/>
      <c r="OIW34" s="575"/>
      <c r="OIX34" s="575"/>
      <c r="OIY34" s="575"/>
      <c r="OIZ34" s="575"/>
      <c r="OJA34" s="575"/>
      <c r="OJB34" s="575"/>
      <c r="OJC34" s="575"/>
      <c r="OJD34" s="575"/>
      <c r="OJE34" s="575"/>
      <c r="OJF34" s="575"/>
      <c r="OJG34" s="575"/>
      <c r="OJH34" s="575"/>
      <c r="OJI34" s="575"/>
      <c r="OJJ34" s="575"/>
      <c r="OJK34" s="575"/>
      <c r="OJL34" s="575"/>
      <c r="OJM34" s="575"/>
      <c r="OJN34" s="575"/>
      <c r="OJO34" s="575"/>
      <c r="OJP34" s="575"/>
      <c r="OJQ34" s="575"/>
      <c r="OJR34" s="575"/>
      <c r="OJS34" s="575"/>
      <c r="OJT34" s="575"/>
      <c r="OJU34" s="575"/>
      <c r="OJV34" s="575"/>
      <c r="OJW34" s="575"/>
      <c r="OJX34" s="575"/>
      <c r="OJY34" s="575"/>
      <c r="OJZ34" s="575"/>
      <c r="OKA34" s="575"/>
      <c r="OKB34" s="575"/>
      <c r="OKC34" s="575"/>
      <c r="OKD34" s="575"/>
      <c r="OKE34" s="575"/>
      <c r="OKF34" s="575"/>
      <c r="OKG34" s="575"/>
      <c r="OKH34" s="575"/>
      <c r="OKI34" s="575"/>
      <c r="OKJ34" s="575"/>
      <c r="OKK34" s="575"/>
      <c r="OKL34" s="575"/>
      <c r="OKM34" s="575"/>
      <c r="OKN34" s="575"/>
      <c r="OKO34" s="575"/>
      <c r="OKP34" s="575"/>
      <c r="OKQ34" s="575"/>
      <c r="OKR34" s="575"/>
      <c r="OKS34" s="575"/>
      <c r="OKT34" s="575"/>
      <c r="OKU34" s="575"/>
      <c r="OKV34" s="575"/>
      <c r="OKW34" s="575"/>
      <c r="OKX34" s="575"/>
      <c r="OKY34" s="575"/>
      <c r="OKZ34" s="575"/>
      <c r="OLA34" s="575"/>
      <c r="OLB34" s="575"/>
      <c r="OLC34" s="575"/>
      <c r="OLD34" s="575"/>
      <c r="OLE34" s="575"/>
      <c r="OLF34" s="575"/>
      <c r="OLG34" s="575"/>
      <c r="OLH34" s="575"/>
      <c r="OLI34" s="575"/>
      <c r="OLJ34" s="575"/>
      <c r="OLK34" s="575"/>
      <c r="OLL34" s="575"/>
      <c r="OLM34" s="575"/>
      <c r="OLN34" s="575"/>
      <c r="OLO34" s="575"/>
      <c r="OLP34" s="575"/>
      <c r="OLQ34" s="575"/>
      <c r="OLR34" s="575"/>
      <c r="OLS34" s="575"/>
      <c r="OLT34" s="575"/>
      <c r="OLU34" s="575"/>
      <c r="OLV34" s="575"/>
      <c r="OLW34" s="575"/>
      <c r="OLX34" s="575"/>
      <c r="OLY34" s="575"/>
      <c r="OLZ34" s="575"/>
      <c r="OMA34" s="575"/>
      <c r="OMB34" s="575"/>
      <c r="OMC34" s="575"/>
      <c r="OMD34" s="575"/>
      <c r="OME34" s="575"/>
      <c r="OMF34" s="575"/>
      <c r="OMG34" s="575"/>
      <c r="OMH34" s="575"/>
      <c r="OMI34" s="575"/>
      <c r="OMJ34" s="575"/>
      <c r="OMK34" s="575"/>
      <c r="OML34" s="575"/>
      <c r="OMM34" s="575"/>
      <c r="OMN34" s="575"/>
      <c r="OMO34" s="575"/>
      <c r="OMP34" s="575"/>
      <c r="OMQ34" s="575"/>
      <c r="OMR34" s="575"/>
      <c r="OMS34" s="575"/>
      <c r="OMT34" s="575"/>
      <c r="OMU34" s="575"/>
      <c r="OMV34" s="575"/>
      <c r="OMW34" s="575"/>
      <c r="OMX34" s="575"/>
      <c r="OMY34" s="575"/>
      <c r="OMZ34" s="575"/>
      <c r="ONA34" s="575"/>
      <c r="ONB34" s="575"/>
      <c r="ONC34" s="575"/>
      <c r="OND34" s="575"/>
      <c r="ONE34" s="575"/>
      <c r="ONF34" s="575"/>
      <c r="ONG34" s="575"/>
      <c r="ONH34" s="575"/>
      <c r="ONI34" s="575"/>
      <c r="ONJ34" s="575"/>
      <c r="ONK34" s="575"/>
      <c r="ONL34" s="575"/>
      <c r="ONM34" s="575"/>
      <c r="ONN34" s="575"/>
      <c r="ONO34" s="575"/>
      <c r="ONP34" s="575"/>
      <c r="ONQ34" s="575"/>
      <c r="ONR34" s="575"/>
      <c r="ONS34" s="575"/>
      <c r="ONT34" s="575"/>
      <c r="ONU34" s="575"/>
      <c r="ONV34" s="575"/>
      <c r="ONW34" s="575"/>
      <c r="ONX34" s="575"/>
      <c r="ONY34" s="575"/>
      <c r="ONZ34" s="575"/>
      <c r="OOA34" s="575"/>
      <c r="OOB34" s="575"/>
      <c r="OOC34" s="575"/>
      <c r="OOD34" s="575"/>
      <c r="OOE34" s="575"/>
      <c r="OOF34" s="575"/>
      <c r="OOG34" s="575"/>
      <c r="OOH34" s="575"/>
      <c r="OOI34" s="575"/>
      <c r="OOJ34" s="575"/>
      <c r="OOK34" s="575"/>
      <c r="OOL34" s="575"/>
      <c r="OOM34" s="575"/>
      <c r="OON34" s="575"/>
      <c r="OOO34" s="575"/>
      <c r="OOP34" s="575"/>
      <c r="OOQ34" s="575"/>
      <c r="OOR34" s="575"/>
      <c r="OOS34" s="575"/>
      <c r="OOT34" s="575"/>
      <c r="OOU34" s="575"/>
      <c r="OOV34" s="575"/>
      <c r="OOW34" s="575"/>
      <c r="OOX34" s="575"/>
      <c r="OOY34" s="575"/>
      <c r="OOZ34" s="575"/>
      <c r="OPA34" s="575"/>
      <c r="OPB34" s="575"/>
      <c r="OPC34" s="575"/>
      <c r="OPD34" s="575"/>
      <c r="OPE34" s="575"/>
      <c r="OPF34" s="575"/>
      <c r="OPG34" s="575"/>
      <c r="OPH34" s="575"/>
      <c r="OPI34" s="575"/>
      <c r="OPJ34" s="575"/>
      <c r="OPK34" s="575"/>
      <c r="OPL34" s="575"/>
      <c r="OPM34" s="575"/>
      <c r="OPN34" s="575"/>
      <c r="OPO34" s="575"/>
      <c r="OPP34" s="575"/>
      <c r="OPQ34" s="575"/>
      <c r="OPR34" s="575"/>
      <c r="OPS34" s="575"/>
      <c r="OPT34" s="575"/>
      <c r="OPU34" s="575"/>
      <c r="OPV34" s="575"/>
      <c r="OPW34" s="575"/>
      <c r="OPX34" s="575"/>
      <c r="OPY34" s="575"/>
      <c r="OPZ34" s="575"/>
      <c r="OQA34" s="575"/>
      <c r="OQB34" s="575"/>
      <c r="OQC34" s="575"/>
      <c r="OQD34" s="575"/>
      <c r="OQE34" s="575"/>
      <c r="OQF34" s="575"/>
      <c r="OQG34" s="575"/>
      <c r="OQH34" s="575"/>
      <c r="OQI34" s="575"/>
      <c r="OQJ34" s="575"/>
      <c r="OQK34" s="575"/>
      <c r="OQL34" s="575"/>
      <c r="OQM34" s="575"/>
      <c r="OQN34" s="575"/>
      <c r="OQO34" s="575"/>
      <c r="OQP34" s="575"/>
      <c r="OQQ34" s="575"/>
      <c r="OQR34" s="575"/>
      <c r="OQS34" s="575"/>
      <c r="OQT34" s="575"/>
      <c r="OQU34" s="575"/>
      <c r="OQV34" s="575"/>
      <c r="OQW34" s="575"/>
      <c r="OQX34" s="575"/>
      <c r="OQY34" s="575"/>
      <c r="OQZ34" s="575"/>
      <c r="ORA34" s="575"/>
      <c r="ORB34" s="575"/>
      <c r="ORC34" s="575"/>
      <c r="ORD34" s="575"/>
      <c r="ORE34" s="575"/>
      <c r="ORF34" s="575"/>
      <c r="ORG34" s="575"/>
      <c r="ORH34" s="575"/>
      <c r="ORI34" s="575"/>
      <c r="ORJ34" s="575"/>
      <c r="ORK34" s="575"/>
      <c r="ORL34" s="575"/>
      <c r="ORM34" s="575"/>
      <c r="ORN34" s="575"/>
      <c r="ORO34" s="575"/>
      <c r="ORP34" s="575"/>
      <c r="ORQ34" s="575"/>
      <c r="ORR34" s="575"/>
      <c r="ORS34" s="575"/>
      <c r="ORT34" s="575"/>
      <c r="ORU34" s="575"/>
      <c r="ORV34" s="575"/>
      <c r="ORW34" s="575"/>
      <c r="ORX34" s="575"/>
      <c r="ORY34" s="575"/>
      <c r="ORZ34" s="575"/>
      <c r="OSA34" s="575"/>
      <c r="OSB34" s="575"/>
      <c r="OSC34" s="575"/>
      <c r="OSD34" s="575"/>
      <c r="OSE34" s="575"/>
      <c r="OSF34" s="575"/>
      <c r="OSG34" s="575"/>
      <c r="OSH34" s="575"/>
      <c r="OSI34" s="575"/>
      <c r="OSJ34" s="575"/>
      <c r="OSK34" s="575"/>
      <c r="OSL34" s="575"/>
      <c r="OSM34" s="575"/>
      <c r="OSN34" s="575"/>
      <c r="OSO34" s="575"/>
      <c r="OSP34" s="575"/>
      <c r="OSQ34" s="575"/>
      <c r="OSR34" s="575"/>
      <c r="OSS34" s="575"/>
      <c r="OST34" s="575"/>
      <c r="OSU34" s="575"/>
      <c r="OSV34" s="575"/>
      <c r="OSW34" s="575"/>
      <c r="OSX34" s="575"/>
      <c r="OSY34" s="575"/>
      <c r="OSZ34" s="575"/>
      <c r="OTA34" s="575"/>
      <c r="OTB34" s="575"/>
      <c r="OTC34" s="575"/>
      <c r="OTD34" s="575"/>
      <c r="OTE34" s="575"/>
      <c r="OTF34" s="575"/>
      <c r="OTG34" s="575"/>
      <c r="OTH34" s="575"/>
      <c r="OTI34" s="575"/>
      <c r="OTJ34" s="575"/>
      <c r="OTK34" s="575"/>
      <c r="OTL34" s="575"/>
      <c r="OTM34" s="575"/>
      <c r="OTN34" s="575"/>
      <c r="OTO34" s="575"/>
      <c r="OTP34" s="575"/>
      <c r="OTQ34" s="575"/>
      <c r="OTR34" s="575"/>
      <c r="OTS34" s="575"/>
      <c r="OTT34" s="575"/>
      <c r="OTU34" s="575"/>
      <c r="OTV34" s="575"/>
      <c r="OTW34" s="575"/>
      <c r="OTX34" s="575"/>
      <c r="OTY34" s="575"/>
      <c r="OTZ34" s="575"/>
      <c r="OUA34" s="575"/>
      <c r="OUB34" s="575"/>
      <c r="OUC34" s="575"/>
      <c r="OUD34" s="575"/>
      <c r="OUE34" s="575"/>
      <c r="OUF34" s="575"/>
      <c r="OUG34" s="575"/>
      <c r="OUH34" s="575"/>
      <c r="OUI34" s="575"/>
      <c r="OUJ34" s="575"/>
      <c r="OUK34" s="575"/>
      <c r="OUL34" s="575"/>
      <c r="OUM34" s="575"/>
      <c r="OUN34" s="575"/>
      <c r="OUO34" s="575"/>
      <c r="OUP34" s="575"/>
      <c r="OUQ34" s="575"/>
      <c r="OUR34" s="575"/>
      <c r="OUS34" s="575"/>
      <c r="OUT34" s="575"/>
      <c r="OUU34" s="575"/>
      <c r="OUV34" s="575"/>
      <c r="OUW34" s="575"/>
      <c r="OUX34" s="575"/>
      <c r="OUY34" s="575"/>
      <c r="OUZ34" s="575"/>
      <c r="OVA34" s="575"/>
      <c r="OVB34" s="575"/>
      <c r="OVC34" s="575"/>
      <c r="OVD34" s="575"/>
      <c r="OVE34" s="575"/>
      <c r="OVF34" s="575"/>
      <c r="OVG34" s="575"/>
      <c r="OVH34" s="575"/>
      <c r="OVI34" s="575"/>
      <c r="OVJ34" s="575"/>
      <c r="OVK34" s="575"/>
      <c r="OVL34" s="575"/>
      <c r="OVM34" s="575"/>
      <c r="OVN34" s="575"/>
      <c r="OVO34" s="575"/>
      <c r="OVP34" s="575"/>
      <c r="OVQ34" s="575"/>
      <c r="OVR34" s="575"/>
      <c r="OVS34" s="575"/>
      <c r="OVT34" s="575"/>
      <c r="OVU34" s="575"/>
      <c r="OVV34" s="575"/>
      <c r="OVW34" s="575"/>
      <c r="OVX34" s="575"/>
      <c r="OVY34" s="575"/>
      <c r="OVZ34" s="575"/>
      <c r="OWA34" s="575"/>
      <c r="OWB34" s="575"/>
      <c r="OWC34" s="575"/>
      <c r="OWD34" s="575"/>
      <c r="OWE34" s="575"/>
      <c r="OWF34" s="575"/>
      <c r="OWG34" s="575"/>
      <c r="OWH34" s="575"/>
      <c r="OWI34" s="575"/>
      <c r="OWJ34" s="575"/>
      <c r="OWK34" s="575"/>
      <c r="OWL34" s="575"/>
      <c r="OWM34" s="575"/>
      <c r="OWN34" s="575"/>
      <c r="OWO34" s="575"/>
      <c r="OWP34" s="575"/>
      <c r="OWQ34" s="575"/>
      <c r="OWR34" s="575"/>
      <c r="OWS34" s="575"/>
      <c r="OWT34" s="575"/>
      <c r="OWU34" s="575"/>
      <c r="OWV34" s="575"/>
      <c r="OWW34" s="575"/>
      <c r="OWX34" s="575"/>
      <c r="OWY34" s="575"/>
      <c r="OWZ34" s="575"/>
      <c r="OXA34" s="575"/>
      <c r="OXB34" s="575"/>
      <c r="OXC34" s="575"/>
      <c r="OXD34" s="575"/>
      <c r="OXE34" s="575"/>
      <c r="OXF34" s="575"/>
      <c r="OXG34" s="575"/>
      <c r="OXH34" s="575"/>
      <c r="OXI34" s="575"/>
      <c r="OXJ34" s="575"/>
      <c r="OXK34" s="575"/>
      <c r="OXL34" s="575"/>
      <c r="OXM34" s="575"/>
      <c r="OXN34" s="575"/>
      <c r="OXO34" s="575"/>
      <c r="OXP34" s="575"/>
      <c r="OXQ34" s="575"/>
      <c r="OXR34" s="575"/>
      <c r="OXS34" s="575"/>
      <c r="OXT34" s="575"/>
      <c r="OXU34" s="575"/>
      <c r="OXV34" s="575"/>
      <c r="OXW34" s="575"/>
      <c r="OXX34" s="575"/>
      <c r="OXY34" s="575"/>
      <c r="OXZ34" s="575"/>
      <c r="OYA34" s="575"/>
      <c r="OYB34" s="575"/>
      <c r="OYC34" s="575"/>
      <c r="OYD34" s="575"/>
      <c r="OYE34" s="575"/>
      <c r="OYF34" s="575"/>
      <c r="OYG34" s="575"/>
      <c r="OYH34" s="575"/>
      <c r="OYI34" s="575"/>
      <c r="OYJ34" s="575"/>
      <c r="OYK34" s="575"/>
      <c r="OYL34" s="575"/>
      <c r="OYM34" s="575"/>
      <c r="OYN34" s="575"/>
      <c r="OYO34" s="575"/>
      <c r="OYP34" s="575"/>
      <c r="OYQ34" s="575"/>
      <c r="OYR34" s="575"/>
      <c r="OYS34" s="575"/>
      <c r="OYT34" s="575"/>
      <c r="OYU34" s="575"/>
      <c r="OYV34" s="575"/>
      <c r="OYW34" s="575"/>
      <c r="OYX34" s="575"/>
      <c r="OYY34" s="575"/>
      <c r="OYZ34" s="575"/>
      <c r="OZA34" s="575"/>
      <c r="OZB34" s="575"/>
      <c r="OZC34" s="575"/>
      <c r="OZD34" s="575"/>
      <c r="OZE34" s="575"/>
      <c r="OZF34" s="575"/>
      <c r="OZG34" s="575"/>
      <c r="OZH34" s="575"/>
      <c r="OZI34" s="575"/>
      <c r="OZJ34" s="575"/>
      <c r="OZK34" s="575"/>
      <c r="OZL34" s="575"/>
      <c r="OZM34" s="575"/>
      <c r="OZN34" s="575"/>
      <c r="OZO34" s="575"/>
      <c r="OZP34" s="575"/>
      <c r="OZQ34" s="575"/>
      <c r="OZR34" s="575"/>
      <c r="OZS34" s="575"/>
      <c r="OZT34" s="575"/>
      <c r="OZU34" s="575"/>
      <c r="OZV34" s="575"/>
      <c r="OZW34" s="575"/>
      <c r="OZX34" s="575"/>
      <c r="OZY34" s="575"/>
      <c r="OZZ34" s="575"/>
      <c r="PAA34" s="575"/>
      <c r="PAB34" s="575"/>
      <c r="PAC34" s="575"/>
      <c r="PAD34" s="575"/>
      <c r="PAE34" s="575"/>
      <c r="PAF34" s="575"/>
      <c r="PAG34" s="575"/>
      <c r="PAH34" s="575"/>
      <c r="PAI34" s="575"/>
      <c r="PAJ34" s="575"/>
      <c r="PAK34" s="575"/>
      <c r="PAL34" s="575"/>
      <c r="PAM34" s="575"/>
      <c r="PAN34" s="575"/>
      <c r="PAO34" s="575"/>
      <c r="PAP34" s="575"/>
      <c r="PAQ34" s="575"/>
      <c r="PAR34" s="575"/>
      <c r="PAS34" s="575"/>
      <c r="PAT34" s="575"/>
      <c r="PAU34" s="575"/>
      <c r="PAV34" s="575"/>
      <c r="PAW34" s="575"/>
      <c r="PAX34" s="575"/>
      <c r="PAY34" s="575"/>
      <c r="PAZ34" s="575"/>
      <c r="PBA34" s="575"/>
      <c r="PBB34" s="575"/>
      <c r="PBC34" s="575"/>
      <c r="PBD34" s="575"/>
      <c r="PBE34" s="575"/>
      <c r="PBF34" s="575"/>
      <c r="PBG34" s="575"/>
      <c r="PBH34" s="575"/>
      <c r="PBI34" s="575"/>
      <c r="PBJ34" s="575"/>
      <c r="PBK34" s="575"/>
      <c r="PBL34" s="575"/>
      <c r="PBM34" s="575"/>
      <c r="PBN34" s="575"/>
      <c r="PBO34" s="575"/>
      <c r="PBP34" s="575"/>
      <c r="PBQ34" s="575"/>
      <c r="PBR34" s="575"/>
      <c r="PBS34" s="575"/>
      <c r="PBT34" s="575"/>
      <c r="PBU34" s="575"/>
      <c r="PBV34" s="575"/>
      <c r="PBW34" s="575"/>
      <c r="PBX34" s="575"/>
      <c r="PBY34" s="575"/>
      <c r="PBZ34" s="575"/>
      <c r="PCA34" s="575"/>
      <c r="PCB34" s="575"/>
      <c r="PCC34" s="575"/>
      <c r="PCD34" s="575"/>
      <c r="PCE34" s="575"/>
      <c r="PCF34" s="575"/>
      <c r="PCG34" s="575"/>
      <c r="PCH34" s="575"/>
      <c r="PCI34" s="575"/>
      <c r="PCJ34" s="575"/>
      <c r="PCK34" s="575"/>
      <c r="PCL34" s="575"/>
      <c r="PCM34" s="575"/>
      <c r="PCN34" s="575"/>
      <c r="PCO34" s="575"/>
      <c r="PCP34" s="575"/>
      <c r="PCQ34" s="575"/>
      <c r="PCR34" s="575"/>
      <c r="PCS34" s="575"/>
      <c r="PCT34" s="575"/>
      <c r="PCU34" s="575"/>
      <c r="PCV34" s="575"/>
      <c r="PCW34" s="575"/>
      <c r="PCX34" s="575"/>
      <c r="PCY34" s="575"/>
      <c r="PCZ34" s="575"/>
      <c r="PDA34" s="575"/>
      <c r="PDB34" s="575"/>
      <c r="PDC34" s="575"/>
      <c r="PDD34" s="575"/>
      <c r="PDE34" s="575"/>
      <c r="PDF34" s="575"/>
      <c r="PDG34" s="575"/>
      <c r="PDH34" s="575"/>
      <c r="PDI34" s="575"/>
      <c r="PDJ34" s="575"/>
      <c r="PDK34" s="575"/>
      <c r="PDL34" s="575"/>
      <c r="PDM34" s="575"/>
      <c r="PDN34" s="575"/>
      <c r="PDO34" s="575"/>
      <c r="PDP34" s="575"/>
      <c r="PDQ34" s="575"/>
      <c r="PDR34" s="575"/>
      <c r="PDS34" s="575"/>
      <c r="PDT34" s="575"/>
      <c r="PDU34" s="575"/>
      <c r="PDV34" s="575"/>
      <c r="PDW34" s="575"/>
      <c r="PDX34" s="575"/>
      <c r="PDY34" s="575"/>
      <c r="PDZ34" s="575"/>
      <c r="PEA34" s="575"/>
      <c r="PEB34" s="575"/>
      <c r="PEC34" s="575"/>
      <c r="PED34" s="575"/>
      <c r="PEE34" s="575"/>
      <c r="PEF34" s="575"/>
      <c r="PEG34" s="575"/>
      <c r="PEH34" s="575"/>
      <c r="PEI34" s="575"/>
      <c r="PEJ34" s="575"/>
      <c r="PEK34" s="575"/>
      <c r="PEL34" s="575"/>
      <c r="PEM34" s="575"/>
      <c r="PEN34" s="575"/>
      <c r="PEO34" s="575"/>
      <c r="PEP34" s="575"/>
      <c r="PEQ34" s="575"/>
      <c r="PER34" s="575"/>
      <c r="PES34" s="575"/>
      <c r="PET34" s="575"/>
      <c r="PEU34" s="575"/>
      <c r="PEV34" s="575"/>
      <c r="PEW34" s="575"/>
      <c r="PEX34" s="575"/>
      <c r="PEY34" s="575"/>
      <c r="PEZ34" s="575"/>
      <c r="PFA34" s="575"/>
      <c r="PFB34" s="575"/>
      <c r="PFC34" s="575"/>
      <c r="PFD34" s="575"/>
      <c r="PFE34" s="575"/>
      <c r="PFF34" s="575"/>
      <c r="PFG34" s="575"/>
      <c r="PFH34" s="575"/>
      <c r="PFI34" s="575"/>
      <c r="PFJ34" s="575"/>
      <c r="PFK34" s="575"/>
      <c r="PFL34" s="575"/>
      <c r="PFM34" s="575"/>
      <c r="PFN34" s="575"/>
      <c r="PFO34" s="575"/>
      <c r="PFP34" s="575"/>
      <c r="PFQ34" s="575"/>
      <c r="PFR34" s="575"/>
      <c r="PFS34" s="575"/>
      <c r="PFT34" s="575"/>
      <c r="PFU34" s="575"/>
      <c r="PFV34" s="575"/>
      <c r="PFW34" s="575"/>
      <c r="PFX34" s="575"/>
      <c r="PFY34" s="575"/>
      <c r="PFZ34" s="575"/>
      <c r="PGA34" s="575"/>
      <c r="PGB34" s="575"/>
      <c r="PGC34" s="575"/>
      <c r="PGD34" s="575"/>
      <c r="PGE34" s="575"/>
      <c r="PGF34" s="575"/>
      <c r="PGG34" s="575"/>
      <c r="PGH34" s="575"/>
      <c r="PGI34" s="575"/>
      <c r="PGJ34" s="575"/>
      <c r="PGK34" s="575"/>
      <c r="PGL34" s="575"/>
      <c r="PGM34" s="575"/>
      <c r="PGN34" s="575"/>
      <c r="PGO34" s="575"/>
      <c r="PGP34" s="575"/>
      <c r="PGQ34" s="575"/>
      <c r="PGR34" s="575"/>
      <c r="PGS34" s="575"/>
      <c r="PGT34" s="575"/>
      <c r="PGU34" s="575"/>
      <c r="PGV34" s="575"/>
      <c r="PGW34" s="575"/>
      <c r="PGX34" s="575"/>
      <c r="PGY34" s="575"/>
      <c r="PGZ34" s="575"/>
      <c r="PHA34" s="575"/>
      <c r="PHB34" s="575"/>
      <c r="PHC34" s="575"/>
      <c r="PHD34" s="575"/>
      <c r="PHE34" s="575"/>
      <c r="PHF34" s="575"/>
      <c r="PHG34" s="575"/>
      <c r="PHH34" s="575"/>
      <c r="PHI34" s="575"/>
      <c r="PHJ34" s="575"/>
      <c r="PHK34" s="575"/>
      <c r="PHL34" s="575"/>
      <c r="PHM34" s="575"/>
      <c r="PHN34" s="575"/>
      <c r="PHO34" s="575"/>
      <c r="PHP34" s="575"/>
      <c r="PHQ34" s="575"/>
      <c r="PHR34" s="575"/>
      <c r="PHS34" s="575"/>
      <c r="PHT34" s="575"/>
      <c r="PHU34" s="575"/>
      <c r="PHV34" s="575"/>
      <c r="PHW34" s="575"/>
      <c r="PHX34" s="575"/>
      <c r="PHY34" s="575"/>
      <c r="PHZ34" s="575"/>
      <c r="PIA34" s="575"/>
      <c r="PIB34" s="575"/>
      <c r="PIC34" s="575"/>
      <c r="PID34" s="575"/>
      <c r="PIE34" s="575"/>
      <c r="PIF34" s="575"/>
      <c r="PIG34" s="575"/>
      <c r="PIH34" s="575"/>
      <c r="PII34" s="575"/>
      <c r="PIJ34" s="575"/>
      <c r="PIK34" s="575"/>
      <c r="PIL34" s="575"/>
      <c r="PIM34" s="575"/>
      <c r="PIN34" s="575"/>
      <c r="PIO34" s="575"/>
      <c r="PIP34" s="575"/>
      <c r="PIQ34" s="575"/>
      <c r="PIR34" s="575"/>
      <c r="PIS34" s="575"/>
      <c r="PIT34" s="575"/>
      <c r="PIU34" s="575"/>
      <c r="PIV34" s="575"/>
      <c r="PIW34" s="575"/>
      <c r="PIX34" s="575"/>
      <c r="PIY34" s="575"/>
      <c r="PIZ34" s="575"/>
      <c r="PJA34" s="575"/>
      <c r="PJB34" s="575"/>
      <c r="PJC34" s="575"/>
      <c r="PJD34" s="575"/>
      <c r="PJE34" s="575"/>
      <c r="PJF34" s="575"/>
      <c r="PJG34" s="575"/>
      <c r="PJH34" s="575"/>
      <c r="PJI34" s="575"/>
      <c r="PJJ34" s="575"/>
      <c r="PJK34" s="575"/>
      <c r="PJL34" s="575"/>
      <c r="PJM34" s="575"/>
      <c r="PJN34" s="575"/>
      <c r="PJO34" s="575"/>
      <c r="PJP34" s="575"/>
      <c r="PJQ34" s="575"/>
      <c r="PJR34" s="575"/>
      <c r="PJS34" s="575"/>
      <c r="PJT34" s="575"/>
      <c r="PJU34" s="575"/>
      <c r="PJV34" s="575"/>
      <c r="PJW34" s="575"/>
      <c r="PJX34" s="575"/>
      <c r="PJY34" s="575"/>
      <c r="PJZ34" s="575"/>
      <c r="PKA34" s="575"/>
      <c r="PKB34" s="575"/>
      <c r="PKC34" s="575"/>
      <c r="PKD34" s="575"/>
      <c r="PKE34" s="575"/>
      <c r="PKF34" s="575"/>
      <c r="PKG34" s="575"/>
      <c r="PKH34" s="575"/>
      <c r="PKI34" s="575"/>
      <c r="PKJ34" s="575"/>
      <c r="PKK34" s="575"/>
      <c r="PKL34" s="575"/>
      <c r="PKM34" s="575"/>
      <c r="PKN34" s="575"/>
      <c r="PKO34" s="575"/>
      <c r="PKP34" s="575"/>
      <c r="PKQ34" s="575"/>
      <c r="PKR34" s="575"/>
      <c r="PKS34" s="575"/>
      <c r="PKT34" s="575"/>
      <c r="PKU34" s="575"/>
      <c r="PKV34" s="575"/>
      <c r="PKW34" s="575"/>
      <c r="PKX34" s="575"/>
      <c r="PKY34" s="575"/>
      <c r="PKZ34" s="575"/>
      <c r="PLA34" s="575"/>
      <c r="PLB34" s="575"/>
      <c r="PLC34" s="575"/>
      <c r="PLD34" s="575"/>
      <c r="PLE34" s="575"/>
      <c r="PLF34" s="575"/>
      <c r="PLG34" s="575"/>
      <c r="PLH34" s="575"/>
      <c r="PLI34" s="575"/>
      <c r="PLJ34" s="575"/>
      <c r="PLK34" s="575"/>
      <c r="PLL34" s="575"/>
      <c r="PLM34" s="575"/>
      <c r="PLN34" s="575"/>
      <c r="PLO34" s="575"/>
      <c r="PLP34" s="575"/>
      <c r="PLQ34" s="575"/>
      <c r="PLR34" s="575"/>
      <c r="PLS34" s="575"/>
      <c r="PLT34" s="575"/>
      <c r="PLU34" s="575"/>
      <c r="PLV34" s="575"/>
      <c r="PLW34" s="575"/>
      <c r="PLX34" s="575"/>
      <c r="PLY34" s="575"/>
      <c r="PLZ34" s="575"/>
      <c r="PMA34" s="575"/>
      <c r="PMB34" s="575"/>
      <c r="PMC34" s="575"/>
      <c r="PMD34" s="575"/>
      <c r="PME34" s="575"/>
      <c r="PMF34" s="575"/>
      <c r="PMG34" s="575"/>
      <c r="PMH34" s="575"/>
      <c r="PMI34" s="575"/>
      <c r="PMJ34" s="575"/>
      <c r="PMK34" s="575"/>
      <c r="PML34" s="575"/>
      <c r="PMM34" s="575"/>
      <c r="PMN34" s="575"/>
      <c r="PMO34" s="575"/>
      <c r="PMP34" s="575"/>
      <c r="PMQ34" s="575"/>
      <c r="PMR34" s="575"/>
      <c r="PMS34" s="575"/>
      <c r="PMT34" s="575"/>
      <c r="PMU34" s="575"/>
      <c r="PMV34" s="575"/>
      <c r="PMW34" s="575"/>
      <c r="PMX34" s="575"/>
      <c r="PMY34" s="575"/>
      <c r="PMZ34" s="575"/>
      <c r="PNA34" s="575"/>
      <c r="PNB34" s="575"/>
      <c r="PNC34" s="575"/>
      <c r="PND34" s="575"/>
      <c r="PNE34" s="575"/>
      <c r="PNF34" s="575"/>
      <c r="PNG34" s="575"/>
      <c r="PNH34" s="575"/>
      <c r="PNI34" s="575"/>
      <c r="PNJ34" s="575"/>
      <c r="PNK34" s="575"/>
      <c r="PNL34" s="575"/>
      <c r="PNM34" s="575"/>
      <c r="PNN34" s="575"/>
      <c r="PNO34" s="575"/>
      <c r="PNP34" s="575"/>
      <c r="PNQ34" s="575"/>
      <c r="PNR34" s="575"/>
      <c r="PNS34" s="575"/>
      <c r="PNT34" s="575"/>
      <c r="PNU34" s="575"/>
      <c r="PNV34" s="575"/>
      <c r="PNW34" s="575"/>
      <c r="PNX34" s="575"/>
      <c r="PNY34" s="575"/>
      <c r="PNZ34" s="575"/>
      <c r="POA34" s="575"/>
      <c r="POB34" s="575"/>
      <c r="POC34" s="575"/>
      <c r="POD34" s="575"/>
      <c r="POE34" s="575"/>
      <c r="POF34" s="575"/>
      <c r="POG34" s="575"/>
      <c r="POH34" s="575"/>
      <c r="POI34" s="575"/>
      <c r="POJ34" s="575"/>
      <c r="POK34" s="575"/>
      <c r="POL34" s="575"/>
      <c r="POM34" s="575"/>
      <c r="PON34" s="575"/>
      <c r="POO34" s="575"/>
      <c r="POP34" s="575"/>
      <c r="POQ34" s="575"/>
      <c r="POR34" s="575"/>
      <c r="POS34" s="575"/>
      <c r="POT34" s="575"/>
      <c r="POU34" s="575"/>
      <c r="POV34" s="575"/>
      <c r="POW34" s="575"/>
      <c r="POX34" s="575"/>
      <c r="POY34" s="575"/>
      <c r="POZ34" s="575"/>
      <c r="PPA34" s="575"/>
      <c r="PPB34" s="575"/>
      <c r="PPC34" s="575"/>
      <c r="PPD34" s="575"/>
      <c r="PPE34" s="575"/>
      <c r="PPF34" s="575"/>
      <c r="PPG34" s="575"/>
      <c r="PPH34" s="575"/>
      <c r="PPI34" s="575"/>
      <c r="PPJ34" s="575"/>
      <c r="PPK34" s="575"/>
      <c r="PPL34" s="575"/>
      <c r="PPM34" s="575"/>
      <c r="PPN34" s="575"/>
      <c r="PPO34" s="575"/>
      <c r="PPP34" s="575"/>
      <c r="PPQ34" s="575"/>
      <c r="PPR34" s="575"/>
      <c r="PPS34" s="575"/>
      <c r="PPT34" s="575"/>
      <c r="PPU34" s="575"/>
      <c r="PPV34" s="575"/>
      <c r="PPW34" s="575"/>
      <c r="PPX34" s="575"/>
      <c r="PPY34" s="575"/>
      <c r="PPZ34" s="575"/>
      <c r="PQA34" s="575"/>
      <c r="PQB34" s="575"/>
      <c r="PQC34" s="575"/>
      <c r="PQD34" s="575"/>
      <c r="PQE34" s="575"/>
      <c r="PQF34" s="575"/>
      <c r="PQG34" s="575"/>
      <c r="PQH34" s="575"/>
      <c r="PQI34" s="575"/>
      <c r="PQJ34" s="575"/>
      <c r="PQK34" s="575"/>
      <c r="PQL34" s="575"/>
      <c r="PQM34" s="575"/>
      <c r="PQN34" s="575"/>
      <c r="PQO34" s="575"/>
      <c r="PQP34" s="575"/>
      <c r="PQQ34" s="575"/>
      <c r="PQR34" s="575"/>
      <c r="PQS34" s="575"/>
      <c r="PQT34" s="575"/>
      <c r="PQU34" s="575"/>
      <c r="PQV34" s="575"/>
      <c r="PQW34" s="575"/>
      <c r="PQX34" s="575"/>
      <c r="PQY34" s="575"/>
      <c r="PQZ34" s="575"/>
      <c r="PRA34" s="575"/>
      <c r="PRB34" s="575"/>
      <c r="PRC34" s="575"/>
      <c r="PRD34" s="575"/>
      <c r="PRE34" s="575"/>
      <c r="PRF34" s="575"/>
      <c r="PRG34" s="575"/>
      <c r="PRH34" s="575"/>
      <c r="PRI34" s="575"/>
      <c r="PRJ34" s="575"/>
      <c r="PRK34" s="575"/>
      <c r="PRL34" s="575"/>
      <c r="PRM34" s="575"/>
      <c r="PRN34" s="575"/>
      <c r="PRO34" s="575"/>
      <c r="PRP34" s="575"/>
      <c r="PRQ34" s="575"/>
      <c r="PRR34" s="575"/>
      <c r="PRS34" s="575"/>
      <c r="PRT34" s="575"/>
      <c r="PRU34" s="575"/>
      <c r="PRV34" s="575"/>
      <c r="PRW34" s="575"/>
      <c r="PRX34" s="575"/>
      <c r="PRY34" s="575"/>
      <c r="PRZ34" s="575"/>
      <c r="PSA34" s="575"/>
      <c r="PSB34" s="575"/>
      <c r="PSC34" s="575"/>
      <c r="PSD34" s="575"/>
      <c r="PSE34" s="575"/>
      <c r="PSF34" s="575"/>
      <c r="PSG34" s="575"/>
      <c r="PSH34" s="575"/>
      <c r="PSI34" s="575"/>
      <c r="PSJ34" s="575"/>
      <c r="PSK34" s="575"/>
      <c r="PSL34" s="575"/>
      <c r="PSM34" s="575"/>
      <c r="PSN34" s="575"/>
      <c r="PSO34" s="575"/>
      <c r="PSP34" s="575"/>
      <c r="PSQ34" s="575"/>
      <c r="PSR34" s="575"/>
      <c r="PSS34" s="575"/>
      <c r="PST34" s="575"/>
      <c r="PSU34" s="575"/>
      <c r="PSV34" s="575"/>
      <c r="PSW34" s="575"/>
      <c r="PSX34" s="575"/>
      <c r="PSY34" s="575"/>
      <c r="PSZ34" s="575"/>
      <c r="PTA34" s="575"/>
      <c r="PTB34" s="575"/>
      <c r="PTC34" s="575"/>
      <c r="PTD34" s="575"/>
      <c r="PTE34" s="575"/>
      <c r="PTF34" s="575"/>
      <c r="PTG34" s="575"/>
      <c r="PTH34" s="575"/>
      <c r="PTI34" s="575"/>
      <c r="PTJ34" s="575"/>
      <c r="PTK34" s="575"/>
      <c r="PTL34" s="575"/>
      <c r="PTM34" s="575"/>
      <c r="PTN34" s="575"/>
      <c r="PTO34" s="575"/>
      <c r="PTP34" s="575"/>
      <c r="PTQ34" s="575"/>
      <c r="PTR34" s="575"/>
      <c r="PTS34" s="575"/>
      <c r="PTT34" s="575"/>
      <c r="PTU34" s="575"/>
      <c r="PTV34" s="575"/>
      <c r="PTW34" s="575"/>
      <c r="PTX34" s="575"/>
      <c r="PTY34" s="575"/>
      <c r="PTZ34" s="575"/>
      <c r="PUA34" s="575"/>
      <c r="PUB34" s="575"/>
      <c r="PUC34" s="575"/>
      <c r="PUD34" s="575"/>
      <c r="PUE34" s="575"/>
      <c r="PUF34" s="575"/>
      <c r="PUG34" s="575"/>
      <c r="PUH34" s="575"/>
      <c r="PUI34" s="575"/>
      <c r="PUJ34" s="575"/>
      <c r="PUK34" s="575"/>
      <c r="PUL34" s="575"/>
      <c r="PUM34" s="575"/>
      <c r="PUN34" s="575"/>
      <c r="PUO34" s="575"/>
      <c r="PUP34" s="575"/>
      <c r="PUQ34" s="575"/>
      <c r="PUR34" s="575"/>
      <c r="PUS34" s="575"/>
      <c r="PUT34" s="575"/>
      <c r="PUU34" s="575"/>
      <c r="PUV34" s="575"/>
      <c r="PUW34" s="575"/>
      <c r="PUX34" s="575"/>
      <c r="PUY34" s="575"/>
      <c r="PUZ34" s="575"/>
      <c r="PVA34" s="575"/>
      <c r="PVB34" s="575"/>
      <c r="PVC34" s="575"/>
      <c r="PVD34" s="575"/>
      <c r="PVE34" s="575"/>
      <c r="PVF34" s="575"/>
      <c r="PVG34" s="575"/>
      <c r="PVH34" s="575"/>
      <c r="PVI34" s="575"/>
      <c r="PVJ34" s="575"/>
      <c r="PVK34" s="575"/>
      <c r="PVL34" s="575"/>
      <c r="PVM34" s="575"/>
      <c r="PVN34" s="575"/>
      <c r="PVO34" s="575"/>
      <c r="PVP34" s="575"/>
      <c r="PVQ34" s="575"/>
      <c r="PVR34" s="575"/>
      <c r="PVS34" s="575"/>
      <c r="PVT34" s="575"/>
      <c r="PVU34" s="575"/>
      <c r="PVV34" s="575"/>
      <c r="PVW34" s="575"/>
      <c r="PVX34" s="575"/>
      <c r="PVY34" s="575"/>
      <c r="PVZ34" s="575"/>
      <c r="PWA34" s="575"/>
      <c r="PWB34" s="575"/>
      <c r="PWC34" s="575"/>
      <c r="PWD34" s="575"/>
      <c r="PWE34" s="575"/>
      <c r="PWF34" s="575"/>
      <c r="PWG34" s="575"/>
      <c r="PWH34" s="575"/>
      <c r="PWI34" s="575"/>
      <c r="PWJ34" s="575"/>
      <c r="PWK34" s="575"/>
      <c r="PWL34" s="575"/>
      <c r="PWM34" s="575"/>
      <c r="PWN34" s="575"/>
      <c r="PWO34" s="575"/>
      <c r="PWP34" s="575"/>
      <c r="PWQ34" s="575"/>
      <c r="PWR34" s="575"/>
      <c r="PWS34" s="575"/>
      <c r="PWT34" s="575"/>
      <c r="PWU34" s="575"/>
      <c r="PWV34" s="575"/>
      <c r="PWW34" s="575"/>
      <c r="PWX34" s="575"/>
      <c r="PWY34" s="575"/>
      <c r="PWZ34" s="575"/>
      <c r="PXA34" s="575"/>
      <c r="PXB34" s="575"/>
      <c r="PXC34" s="575"/>
      <c r="PXD34" s="575"/>
      <c r="PXE34" s="575"/>
      <c r="PXF34" s="575"/>
      <c r="PXG34" s="575"/>
      <c r="PXH34" s="575"/>
      <c r="PXI34" s="575"/>
      <c r="PXJ34" s="575"/>
      <c r="PXK34" s="575"/>
      <c r="PXL34" s="575"/>
      <c r="PXM34" s="575"/>
      <c r="PXN34" s="575"/>
      <c r="PXO34" s="575"/>
      <c r="PXP34" s="575"/>
      <c r="PXQ34" s="575"/>
      <c r="PXR34" s="575"/>
      <c r="PXS34" s="575"/>
      <c r="PXT34" s="575"/>
      <c r="PXU34" s="575"/>
      <c r="PXV34" s="575"/>
      <c r="PXW34" s="575"/>
      <c r="PXX34" s="575"/>
      <c r="PXY34" s="575"/>
      <c r="PXZ34" s="575"/>
      <c r="PYA34" s="575"/>
      <c r="PYB34" s="575"/>
      <c r="PYC34" s="575"/>
      <c r="PYD34" s="575"/>
      <c r="PYE34" s="575"/>
      <c r="PYF34" s="575"/>
      <c r="PYG34" s="575"/>
      <c r="PYH34" s="575"/>
      <c r="PYI34" s="575"/>
      <c r="PYJ34" s="575"/>
      <c r="PYK34" s="575"/>
      <c r="PYL34" s="575"/>
      <c r="PYM34" s="575"/>
      <c r="PYN34" s="575"/>
      <c r="PYO34" s="575"/>
      <c r="PYP34" s="575"/>
      <c r="PYQ34" s="575"/>
      <c r="PYR34" s="575"/>
      <c r="PYS34" s="575"/>
      <c r="PYT34" s="575"/>
      <c r="PYU34" s="575"/>
      <c r="PYV34" s="575"/>
      <c r="PYW34" s="575"/>
      <c r="PYX34" s="575"/>
      <c r="PYY34" s="575"/>
      <c r="PYZ34" s="575"/>
      <c r="PZA34" s="575"/>
      <c r="PZB34" s="575"/>
      <c r="PZC34" s="575"/>
      <c r="PZD34" s="575"/>
      <c r="PZE34" s="575"/>
      <c r="PZF34" s="575"/>
      <c r="PZG34" s="575"/>
      <c r="PZH34" s="575"/>
      <c r="PZI34" s="575"/>
      <c r="PZJ34" s="575"/>
      <c r="PZK34" s="575"/>
      <c r="PZL34" s="575"/>
      <c r="PZM34" s="575"/>
      <c r="PZN34" s="575"/>
      <c r="PZO34" s="575"/>
      <c r="PZP34" s="575"/>
      <c r="PZQ34" s="575"/>
      <c r="PZR34" s="575"/>
      <c r="PZS34" s="575"/>
      <c r="PZT34" s="575"/>
      <c r="PZU34" s="575"/>
      <c r="PZV34" s="575"/>
      <c r="PZW34" s="575"/>
      <c r="PZX34" s="575"/>
      <c r="PZY34" s="575"/>
      <c r="PZZ34" s="575"/>
      <c r="QAA34" s="575"/>
      <c r="QAB34" s="575"/>
      <c r="QAC34" s="575"/>
      <c r="QAD34" s="575"/>
      <c r="QAE34" s="575"/>
      <c r="QAF34" s="575"/>
      <c r="QAG34" s="575"/>
      <c r="QAH34" s="575"/>
      <c r="QAI34" s="575"/>
      <c r="QAJ34" s="575"/>
      <c r="QAK34" s="575"/>
      <c r="QAL34" s="575"/>
      <c r="QAM34" s="575"/>
      <c r="QAN34" s="575"/>
      <c r="QAO34" s="575"/>
      <c r="QAP34" s="575"/>
      <c r="QAQ34" s="575"/>
      <c r="QAR34" s="575"/>
      <c r="QAS34" s="575"/>
      <c r="QAT34" s="575"/>
      <c r="QAU34" s="575"/>
      <c r="QAV34" s="575"/>
      <c r="QAW34" s="575"/>
      <c r="QAX34" s="575"/>
      <c r="QAY34" s="575"/>
      <c r="QAZ34" s="575"/>
      <c r="QBA34" s="575"/>
      <c r="QBB34" s="575"/>
      <c r="QBC34" s="575"/>
      <c r="QBD34" s="575"/>
      <c r="QBE34" s="575"/>
      <c r="QBF34" s="575"/>
      <c r="QBG34" s="575"/>
      <c r="QBH34" s="575"/>
      <c r="QBI34" s="575"/>
      <c r="QBJ34" s="575"/>
      <c r="QBK34" s="575"/>
      <c r="QBL34" s="575"/>
      <c r="QBM34" s="575"/>
      <c r="QBN34" s="575"/>
      <c r="QBO34" s="575"/>
      <c r="QBP34" s="575"/>
      <c r="QBQ34" s="575"/>
      <c r="QBR34" s="575"/>
      <c r="QBS34" s="575"/>
      <c r="QBT34" s="575"/>
      <c r="QBU34" s="575"/>
      <c r="QBV34" s="575"/>
      <c r="QBW34" s="575"/>
      <c r="QBX34" s="575"/>
      <c r="QBY34" s="575"/>
      <c r="QBZ34" s="575"/>
      <c r="QCA34" s="575"/>
      <c r="QCB34" s="575"/>
      <c r="QCC34" s="575"/>
      <c r="QCD34" s="575"/>
      <c r="QCE34" s="575"/>
      <c r="QCF34" s="575"/>
      <c r="QCG34" s="575"/>
      <c r="QCH34" s="575"/>
      <c r="QCI34" s="575"/>
      <c r="QCJ34" s="575"/>
      <c r="QCK34" s="575"/>
      <c r="QCL34" s="575"/>
      <c r="QCM34" s="575"/>
      <c r="QCN34" s="575"/>
      <c r="QCO34" s="575"/>
      <c r="QCP34" s="575"/>
      <c r="QCQ34" s="575"/>
      <c r="QCR34" s="575"/>
      <c r="QCS34" s="575"/>
      <c r="QCT34" s="575"/>
      <c r="QCU34" s="575"/>
      <c r="QCV34" s="575"/>
      <c r="QCW34" s="575"/>
      <c r="QCX34" s="575"/>
      <c r="QCY34" s="575"/>
      <c r="QCZ34" s="575"/>
      <c r="QDA34" s="575"/>
      <c r="QDB34" s="575"/>
      <c r="QDC34" s="575"/>
      <c r="QDD34" s="575"/>
      <c r="QDE34" s="575"/>
      <c r="QDF34" s="575"/>
      <c r="QDG34" s="575"/>
      <c r="QDH34" s="575"/>
      <c r="QDI34" s="575"/>
      <c r="QDJ34" s="575"/>
      <c r="QDK34" s="575"/>
      <c r="QDL34" s="575"/>
      <c r="QDM34" s="575"/>
      <c r="QDN34" s="575"/>
      <c r="QDO34" s="575"/>
      <c r="QDP34" s="575"/>
      <c r="QDQ34" s="575"/>
      <c r="QDR34" s="575"/>
      <c r="QDS34" s="575"/>
      <c r="QDT34" s="575"/>
      <c r="QDU34" s="575"/>
      <c r="QDV34" s="575"/>
      <c r="QDW34" s="575"/>
      <c r="QDX34" s="575"/>
      <c r="QDY34" s="575"/>
      <c r="QDZ34" s="575"/>
      <c r="QEA34" s="575"/>
      <c r="QEB34" s="575"/>
      <c r="QEC34" s="575"/>
      <c r="QED34" s="575"/>
      <c r="QEE34" s="575"/>
      <c r="QEF34" s="575"/>
      <c r="QEG34" s="575"/>
      <c r="QEH34" s="575"/>
      <c r="QEI34" s="575"/>
      <c r="QEJ34" s="575"/>
      <c r="QEK34" s="575"/>
      <c r="QEL34" s="575"/>
      <c r="QEM34" s="575"/>
      <c r="QEN34" s="575"/>
      <c r="QEO34" s="575"/>
      <c r="QEP34" s="575"/>
      <c r="QEQ34" s="575"/>
      <c r="QER34" s="575"/>
      <c r="QES34" s="575"/>
      <c r="QET34" s="575"/>
      <c r="QEU34" s="575"/>
      <c r="QEV34" s="575"/>
      <c r="QEW34" s="575"/>
      <c r="QEX34" s="575"/>
      <c r="QEY34" s="575"/>
      <c r="QEZ34" s="575"/>
      <c r="QFA34" s="575"/>
      <c r="QFB34" s="575"/>
      <c r="QFC34" s="575"/>
      <c r="QFD34" s="575"/>
      <c r="QFE34" s="575"/>
      <c r="QFF34" s="575"/>
      <c r="QFG34" s="575"/>
      <c r="QFH34" s="575"/>
      <c r="QFI34" s="575"/>
      <c r="QFJ34" s="575"/>
      <c r="QFK34" s="575"/>
      <c r="QFL34" s="575"/>
      <c r="QFM34" s="575"/>
      <c r="QFN34" s="575"/>
      <c r="QFO34" s="575"/>
      <c r="QFP34" s="575"/>
      <c r="QFQ34" s="575"/>
      <c r="QFR34" s="575"/>
      <c r="QFS34" s="575"/>
      <c r="QFT34" s="575"/>
      <c r="QFU34" s="575"/>
      <c r="QFV34" s="575"/>
      <c r="QFW34" s="575"/>
      <c r="QFX34" s="575"/>
      <c r="QFY34" s="575"/>
      <c r="QFZ34" s="575"/>
      <c r="QGA34" s="575"/>
      <c r="QGB34" s="575"/>
      <c r="QGC34" s="575"/>
      <c r="QGD34" s="575"/>
      <c r="QGE34" s="575"/>
      <c r="QGF34" s="575"/>
      <c r="QGG34" s="575"/>
      <c r="QGH34" s="575"/>
      <c r="QGI34" s="575"/>
      <c r="QGJ34" s="575"/>
      <c r="QGK34" s="575"/>
      <c r="QGL34" s="575"/>
      <c r="QGM34" s="575"/>
      <c r="QGN34" s="575"/>
      <c r="QGO34" s="575"/>
      <c r="QGP34" s="575"/>
      <c r="QGQ34" s="575"/>
      <c r="QGR34" s="575"/>
      <c r="QGS34" s="575"/>
      <c r="QGT34" s="575"/>
      <c r="QGU34" s="575"/>
      <c r="QGV34" s="575"/>
      <c r="QGW34" s="575"/>
      <c r="QGX34" s="575"/>
      <c r="QGY34" s="575"/>
      <c r="QGZ34" s="575"/>
      <c r="QHA34" s="575"/>
      <c r="QHB34" s="575"/>
      <c r="QHC34" s="575"/>
      <c r="QHD34" s="575"/>
      <c r="QHE34" s="575"/>
      <c r="QHF34" s="575"/>
      <c r="QHG34" s="575"/>
      <c r="QHH34" s="575"/>
      <c r="QHI34" s="575"/>
      <c r="QHJ34" s="575"/>
      <c r="QHK34" s="575"/>
      <c r="QHL34" s="575"/>
      <c r="QHM34" s="575"/>
      <c r="QHN34" s="575"/>
      <c r="QHO34" s="575"/>
      <c r="QHP34" s="575"/>
      <c r="QHQ34" s="575"/>
      <c r="QHR34" s="575"/>
      <c r="QHS34" s="575"/>
      <c r="QHT34" s="575"/>
      <c r="QHU34" s="575"/>
      <c r="QHV34" s="575"/>
      <c r="QHW34" s="575"/>
      <c r="QHX34" s="575"/>
      <c r="QHY34" s="575"/>
      <c r="QHZ34" s="575"/>
      <c r="QIA34" s="575"/>
      <c r="QIB34" s="575"/>
      <c r="QIC34" s="575"/>
      <c r="QID34" s="575"/>
      <c r="QIE34" s="575"/>
      <c r="QIF34" s="575"/>
      <c r="QIG34" s="575"/>
      <c r="QIH34" s="575"/>
      <c r="QII34" s="575"/>
      <c r="QIJ34" s="575"/>
      <c r="QIK34" s="575"/>
      <c r="QIL34" s="575"/>
      <c r="QIM34" s="575"/>
      <c r="QIN34" s="575"/>
      <c r="QIO34" s="575"/>
      <c r="QIP34" s="575"/>
      <c r="QIQ34" s="575"/>
      <c r="QIR34" s="575"/>
      <c r="QIS34" s="575"/>
      <c r="QIT34" s="575"/>
      <c r="QIU34" s="575"/>
      <c r="QIV34" s="575"/>
      <c r="QIW34" s="575"/>
      <c r="QIX34" s="575"/>
      <c r="QIY34" s="575"/>
      <c r="QIZ34" s="575"/>
      <c r="QJA34" s="575"/>
      <c r="QJB34" s="575"/>
      <c r="QJC34" s="575"/>
      <c r="QJD34" s="575"/>
      <c r="QJE34" s="575"/>
      <c r="QJF34" s="575"/>
      <c r="QJG34" s="575"/>
      <c r="QJH34" s="575"/>
      <c r="QJI34" s="575"/>
      <c r="QJJ34" s="575"/>
      <c r="QJK34" s="575"/>
      <c r="QJL34" s="575"/>
      <c r="QJM34" s="575"/>
      <c r="QJN34" s="575"/>
      <c r="QJO34" s="575"/>
      <c r="QJP34" s="575"/>
      <c r="QJQ34" s="575"/>
      <c r="QJR34" s="575"/>
      <c r="QJS34" s="575"/>
      <c r="QJT34" s="575"/>
      <c r="QJU34" s="575"/>
      <c r="QJV34" s="575"/>
      <c r="QJW34" s="575"/>
      <c r="QJX34" s="575"/>
      <c r="QJY34" s="575"/>
      <c r="QJZ34" s="575"/>
      <c r="QKA34" s="575"/>
      <c r="QKB34" s="575"/>
      <c r="QKC34" s="575"/>
      <c r="QKD34" s="575"/>
      <c r="QKE34" s="575"/>
      <c r="QKF34" s="575"/>
      <c r="QKG34" s="575"/>
      <c r="QKH34" s="575"/>
      <c r="QKI34" s="575"/>
      <c r="QKJ34" s="575"/>
      <c r="QKK34" s="575"/>
      <c r="QKL34" s="575"/>
      <c r="QKM34" s="575"/>
      <c r="QKN34" s="575"/>
      <c r="QKO34" s="575"/>
      <c r="QKP34" s="575"/>
      <c r="QKQ34" s="575"/>
      <c r="QKR34" s="575"/>
      <c r="QKS34" s="575"/>
      <c r="QKT34" s="575"/>
      <c r="QKU34" s="575"/>
      <c r="QKV34" s="575"/>
      <c r="QKW34" s="575"/>
      <c r="QKX34" s="575"/>
      <c r="QKY34" s="575"/>
      <c r="QKZ34" s="575"/>
      <c r="QLA34" s="575"/>
      <c r="QLB34" s="575"/>
      <c r="QLC34" s="575"/>
      <c r="QLD34" s="575"/>
      <c r="QLE34" s="575"/>
      <c r="QLF34" s="575"/>
      <c r="QLG34" s="575"/>
      <c r="QLH34" s="575"/>
      <c r="QLI34" s="575"/>
      <c r="QLJ34" s="575"/>
      <c r="QLK34" s="575"/>
      <c r="QLL34" s="575"/>
      <c r="QLM34" s="575"/>
      <c r="QLN34" s="575"/>
      <c r="QLO34" s="575"/>
      <c r="QLP34" s="575"/>
      <c r="QLQ34" s="575"/>
      <c r="QLR34" s="575"/>
      <c r="QLS34" s="575"/>
      <c r="QLT34" s="575"/>
      <c r="QLU34" s="575"/>
      <c r="QLV34" s="575"/>
      <c r="QLW34" s="575"/>
      <c r="QLX34" s="575"/>
      <c r="QLY34" s="575"/>
      <c r="QLZ34" s="575"/>
      <c r="QMA34" s="575"/>
      <c r="QMB34" s="575"/>
      <c r="QMC34" s="575"/>
      <c r="QMD34" s="575"/>
      <c r="QME34" s="575"/>
      <c r="QMF34" s="575"/>
      <c r="QMG34" s="575"/>
      <c r="QMH34" s="575"/>
      <c r="QMI34" s="575"/>
      <c r="QMJ34" s="575"/>
      <c r="QMK34" s="575"/>
      <c r="QML34" s="575"/>
      <c r="QMM34" s="575"/>
      <c r="QMN34" s="575"/>
      <c r="QMO34" s="575"/>
      <c r="QMP34" s="575"/>
      <c r="QMQ34" s="575"/>
      <c r="QMR34" s="575"/>
      <c r="QMS34" s="575"/>
      <c r="QMT34" s="575"/>
      <c r="QMU34" s="575"/>
      <c r="QMV34" s="575"/>
      <c r="QMW34" s="575"/>
      <c r="QMX34" s="575"/>
      <c r="QMY34" s="575"/>
      <c r="QMZ34" s="575"/>
      <c r="QNA34" s="575"/>
      <c r="QNB34" s="575"/>
      <c r="QNC34" s="575"/>
      <c r="QND34" s="575"/>
      <c r="QNE34" s="575"/>
      <c r="QNF34" s="575"/>
      <c r="QNG34" s="575"/>
      <c r="QNH34" s="575"/>
      <c r="QNI34" s="575"/>
      <c r="QNJ34" s="575"/>
      <c r="QNK34" s="575"/>
      <c r="QNL34" s="575"/>
      <c r="QNM34" s="575"/>
      <c r="QNN34" s="575"/>
      <c r="QNO34" s="575"/>
      <c r="QNP34" s="575"/>
      <c r="QNQ34" s="575"/>
      <c r="QNR34" s="575"/>
      <c r="QNS34" s="575"/>
      <c r="QNT34" s="575"/>
      <c r="QNU34" s="575"/>
      <c r="QNV34" s="575"/>
      <c r="QNW34" s="575"/>
      <c r="QNX34" s="575"/>
      <c r="QNY34" s="575"/>
      <c r="QNZ34" s="575"/>
      <c r="QOA34" s="575"/>
      <c r="QOB34" s="575"/>
      <c r="QOC34" s="575"/>
      <c r="QOD34" s="575"/>
      <c r="QOE34" s="575"/>
      <c r="QOF34" s="575"/>
      <c r="QOG34" s="575"/>
      <c r="QOH34" s="575"/>
      <c r="QOI34" s="575"/>
      <c r="QOJ34" s="575"/>
      <c r="QOK34" s="575"/>
      <c r="QOL34" s="575"/>
      <c r="QOM34" s="575"/>
      <c r="QON34" s="575"/>
      <c r="QOO34" s="575"/>
      <c r="QOP34" s="575"/>
      <c r="QOQ34" s="575"/>
      <c r="QOR34" s="575"/>
      <c r="QOS34" s="575"/>
      <c r="QOT34" s="575"/>
      <c r="QOU34" s="575"/>
      <c r="QOV34" s="575"/>
      <c r="QOW34" s="575"/>
      <c r="QOX34" s="575"/>
      <c r="QOY34" s="575"/>
      <c r="QOZ34" s="575"/>
      <c r="QPA34" s="575"/>
      <c r="QPB34" s="575"/>
      <c r="QPC34" s="575"/>
      <c r="QPD34" s="575"/>
      <c r="QPE34" s="575"/>
      <c r="QPF34" s="575"/>
      <c r="QPG34" s="575"/>
      <c r="QPH34" s="575"/>
      <c r="QPI34" s="575"/>
      <c r="QPJ34" s="575"/>
      <c r="QPK34" s="575"/>
      <c r="QPL34" s="575"/>
      <c r="QPM34" s="575"/>
      <c r="QPN34" s="575"/>
      <c r="QPO34" s="575"/>
      <c r="QPP34" s="575"/>
      <c r="QPQ34" s="575"/>
      <c r="QPR34" s="575"/>
      <c r="QPS34" s="575"/>
      <c r="QPT34" s="575"/>
      <c r="QPU34" s="575"/>
      <c r="QPV34" s="575"/>
      <c r="QPW34" s="575"/>
      <c r="QPX34" s="575"/>
      <c r="QPY34" s="575"/>
      <c r="QPZ34" s="575"/>
      <c r="QQA34" s="575"/>
      <c r="QQB34" s="575"/>
      <c r="QQC34" s="575"/>
      <c r="QQD34" s="575"/>
      <c r="QQE34" s="575"/>
      <c r="QQF34" s="575"/>
      <c r="QQG34" s="575"/>
      <c r="QQH34" s="575"/>
      <c r="QQI34" s="575"/>
      <c r="QQJ34" s="575"/>
      <c r="QQK34" s="575"/>
      <c r="QQL34" s="575"/>
      <c r="QQM34" s="575"/>
      <c r="QQN34" s="575"/>
      <c r="QQO34" s="575"/>
      <c r="QQP34" s="575"/>
      <c r="QQQ34" s="575"/>
      <c r="QQR34" s="575"/>
      <c r="QQS34" s="575"/>
      <c r="QQT34" s="575"/>
      <c r="QQU34" s="575"/>
      <c r="QQV34" s="575"/>
      <c r="QQW34" s="575"/>
      <c r="QQX34" s="575"/>
      <c r="QQY34" s="575"/>
      <c r="QQZ34" s="575"/>
      <c r="QRA34" s="575"/>
      <c r="QRB34" s="575"/>
      <c r="QRC34" s="575"/>
      <c r="QRD34" s="575"/>
      <c r="QRE34" s="575"/>
      <c r="QRF34" s="575"/>
      <c r="QRG34" s="575"/>
      <c r="QRH34" s="575"/>
      <c r="QRI34" s="575"/>
      <c r="QRJ34" s="575"/>
      <c r="QRK34" s="575"/>
      <c r="QRL34" s="575"/>
      <c r="QRM34" s="575"/>
      <c r="QRN34" s="575"/>
      <c r="QRO34" s="575"/>
      <c r="QRP34" s="575"/>
      <c r="QRQ34" s="575"/>
      <c r="QRR34" s="575"/>
      <c r="QRS34" s="575"/>
      <c r="QRT34" s="575"/>
      <c r="QRU34" s="575"/>
      <c r="QRV34" s="575"/>
      <c r="QRW34" s="575"/>
      <c r="QRX34" s="575"/>
      <c r="QRY34" s="575"/>
      <c r="QRZ34" s="575"/>
      <c r="QSA34" s="575"/>
      <c r="QSB34" s="575"/>
      <c r="QSC34" s="575"/>
      <c r="QSD34" s="575"/>
      <c r="QSE34" s="575"/>
      <c r="QSF34" s="575"/>
      <c r="QSG34" s="575"/>
      <c r="QSH34" s="575"/>
      <c r="QSI34" s="575"/>
      <c r="QSJ34" s="575"/>
      <c r="QSK34" s="575"/>
      <c r="QSL34" s="575"/>
      <c r="QSM34" s="575"/>
      <c r="QSN34" s="575"/>
      <c r="QSO34" s="575"/>
      <c r="QSP34" s="575"/>
      <c r="QSQ34" s="575"/>
      <c r="QSR34" s="575"/>
      <c r="QSS34" s="575"/>
      <c r="QST34" s="575"/>
      <c r="QSU34" s="575"/>
      <c r="QSV34" s="575"/>
      <c r="QSW34" s="575"/>
      <c r="QSX34" s="575"/>
      <c r="QSY34" s="575"/>
      <c r="QSZ34" s="575"/>
      <c r="QTA34" s="575"/>
      <c r="QTB34" s="575"/>
      <c r="QTC34" s="575"/>
      <c r="QTD34" s="575"/>
      <c r="QTE34" s="575"/>
      <c r="QTF34" s="575"/>
      <c r="QTG34" s="575"/>
      <c r="QTH34" s="575"/>
      <c r="QTI34" s="575"/>
      <c r="QTJ34" s="575"/>
      <c r="QTK34" s="575"/>
      <c r="QTL34" s="575"/>
      <c r="QTM34" s="575"/>
      <c r="QTN34" s="575"/>
      <c r="QTO34" s="575"/>
      <c r="QTP34" s="575"/>
      <c r="QTQ34" s="575"/>
      <c r="QTR34" s="575"/>
      <c r="QTS34" s="575"/>
      <c r="QTT34" s="575"/>
      <c r="QTU34" s="575"/>
      <c r="QTV34" s="575"/>
      <c r="QTW34" s="575"/>
      <c r="QTX34" s="575"/>
      <c r="QTY34" s="575"/>
      <c r="QTZ34" s="575"/>
      <c r="QUA34" s="575"/>
      <c r="QUB34" s="575"/>
      <c r="QUC34" s="575"/>
      <c r="QUD34" s="575"/>
      <c r="QUE34" s="575"/>
      <c r="QUF34" s="575"/>
      <c r="QUG34" s="575"/>
      <c r="QUH34" s="575"/>
      <c r="QUI34" s="575"/>
      <c r="QUJ34" s="575"/>
      <c r="QUK34" s="575"/>
      <c r="QUL34" s="575"/>
      <c r="QUM34" s="575"/>
      <c r="QUN34" s="575"/>
      <c r="QUO34" s="575"/>
      <c r="QUP34" s="575"/>
      <c r="QUQ34" s="575"/>
      <c r="QUR34" s="575"/>
      <c r="QUS34" s="575"/>
      <c r="QUT34" s="575"/>
      <c r="QUU34" s="575"/>
      <c r="QUV34" s="575"/>
      <c r="QUW34" s="575"/>
      <c r="QUX34" s="575"/>
      <c r="QUY34" s="575"/>
      <c r="QUZ34" s="575"/>
      <c r="QVA34" s="575"/>
      <c r="QVB34" s="575"/>
      <c r="QVC34" s="575"/>
      <c r="QVD34" s="575"/>
      <c r="QVE34" s="575"/>
      <c r="QVF34" s="575"/>
      <c r="QVG34" s="575"/>
      <c r="QVH34" s="575"/>
      <c r="QVI34" s="575"/>
      <c r="QVJ34" s="575"/>
      <c r="QVK34" s="575"/>
      <c r="QVL34" s="575"/>
      <c r="QVM34" s="575"/>
      <c r="QVN34" s="575"/>
      <c r="QVO34" s="575"/>
      <c r="QVP34" s="575"/>
      <c r="QVQ34" s="575"/>
      <c r="QVR34" s="575"/>
      <c r="QVS34" s="575"/>
      <c r="QVT34" s="575"/>
      <c r="QVU34" s="575"/>
      <c r="QVV34" s="575"/>
      <c r="QVW34" s="575"/>
      <c r="QVX34" s="575"/>
      <c r="QVY34" s="575"/>
      <c r="QVZ34" s="575"/>
      <c r="QWA34" s="575"/>
      <c r="QWB34" s="575"/>
      <c r="QWC34" s="575"/>
      <c r="QWD34" s="575"/>
      <c r="QWE34" s="575"/>
      <c r="QWF34" s="575"/>
      <c r="QWG34" s="575"/>
      <c r="QWH34" s="575"/>
      <c r="QWI34" s="575"/>
      <c r="QWJ34" s="575"/>
      <c r="QWK34" s="575"/>
      <c r="QWL34" s="575"/>
      <c r="QWM34" s="575"/>
      <c r="QWN34" s="575"/>
      <c r="QWO34" s="575"/>
      <c r="QWP34" s="575"/>
      <c r="QWQ34" s="575"/>
      <c r="QWR34" s="575"/>
      <c r="QWS34" s="575"/>
      <c r="QWT34" s="575"/>
      <c r="QWU34" s="575"/>
      <c r="QWV34" s="575"/>
      <c r="QWW34" s="575"/>
      <c r="QWX34" s="575"/>
      <c r="QWY34" s="575"/>
      <c r="QWZ34" s="575"/>
      <c r="QXA34" s="575"/>
      <c r="QXB34" s="575"/>
      <c r="QXC34" s="575"/>
      <c r="QXD34" s="575"/>
      <c r="QXE34" s="575"/>
      <c r="QXF34" s="575"/>
      <c r="QXG34" s="575"/>
      <c r="QXH34" s="575"/>
      <c r="QXI34" s="575"/>
      <c r="QXJ34" s="575"/>
      <c r="QXK34" s="575"/>
      <c r="QXL34" s="575"/>
      <c r="QXM34" s="575"/>
      <c r="QXN34" s="575"/>
      <c r="QXO34" s="575"/>
      <c r="QXP34" s="575"/>
      <c r="QXQ34" s="575"/>
      <c r="QXR34" s="575"/>
      <c r="QXS34" s="575"/>
      <c r="QXT34" s="575"/>
      <c r="QXU34" s="575"/>
      <c r="QXV34" s="575"/>
      <c r="QXW34" s="575"/>
      <c r="QXX34" s="575"/>
      <c r="QXY34" s="575"/>
      <c r="QXZ34" s="575"/>
      <c r="QYA34" s="575"/>
      <c r="QYB34" s="575"/>
      <c r="QYC34" s="575"/>
      <c r="QYD34" s="575"/>
      <c r="QYE34" s="575"/>
      <c r="QYF34" s="575"/>
      <c r="QYG34" s="575"/>
      <c r="QYH34" s="575"/>
      <c r="QYI34" s="575"/>
      <c r="QYJ34" s="575"/>
      <c r="QYK34" s="575"/>
      <c r="QYL34" s="575"/>
      <c r="QYM34" s="575"/>
      <c r="QYN34" s="575"/>
      <c r="QYO34" s="575"/>
      <c r="QYP34" s="575"/>
      <c r="QYQ34" s="575"/>
      <c r="QYR34" s="575"/>
      <c r="QYS34" s="575"/>
      <c r="QYT34" s="575"/>
      <c r="QYU34" s="575"/>
      <c r="QYV34" s="575"/>
      <c r="QYW34" s="575"/>
      <c r="QYX34" s="575"/>
      <c r="QYY34" s="575"/>
      <c r="QYZ34" s="575"/>
      <c r="QZA34" s="575"/>
      <c r="QZB34" s="575"/>
      <c r="QZC34" s="575"/>
      <c r="QZD34" s="575"/>
      <c r="QZE34" s="575"/>
      <c r="QZF34" s="575"/>
      <c r="QZG34" s="575"/>
      <c r="QZH34" s="575"/>
      <c r="QZI34" s="575"/>
      <c r="QZJ34" s="575"/>
      <c r="QZK34" s="575"/>
      <c r="QZL34" s="575"/>
      <c r="QZM34" s="575"/>
      <c r="QZN34" s="575"/>
      <c r="QZO34" s="575"/>
      <c r="QZP34" s="575"/>
      <c r="QZQ34" s="575"/>
      <c r="QZR34" s="575"/>
      <c r="QZS34" s="575"/>
      <c r="QZT34" s="575"/>
      <c r="QZU34" s="575"/>
      <c r="QZV34" s="575"/>
      <c r="QZW34" s="575"/>
      <c r="QZX34" s="575"/>
      <c r="QZY34" s="575"/>
      <c r="QZZ34" s="575"/>
      <c r="RAA34" s="575"/>
      <c r="RAB34" s="575"/>
      <c r="RAC34" s="575"/>
      <c r="RAD34" s="575"/>
      <c r="RAE34" s="575"/>
      <c r="RAF34" s="575"/>
      <c r="RAG34" s="575"/>
      <c r="RAH34" s="575"/>
      <c r="RAI34" s="575"/>
      <c r="RAJ34" s="575"/>
      <c r="RAK34" s="575"/>
      <c r="RAL34" s="575"/>
      <c r="RAM34" s="575"/>
      <c r="RAN34" s="575"/>
      <c r="RAO34" s="575"/>
      <c r="RAP34" s="575"/>
      <c r="RAQ34" s="575"/>
      <c r="RAR34" s="575"/>
      <c r="RAS34" s="575"/>
      <c r="RAT34" s="575"/>
      <c r="RAU34" s="575"/>
      <c r="RAV34" s="575"/>
      <c r="RAW34" s="575"/>
      <c r="RAX34" s="575"/>
      <c r="RAY34" s="575"/>
      <c r="RAZ34" s="575"/>
      <c r="RBA34" s="575"/>
      <c r="RBB34" s="575"/>
      <c r="RBC34" s="575"/>
      <c r="RBD34" s="575"/>
      <c r="RBE34" s="575"/>
      <c r="RBF34" s="575"/>
      <c r="RBG34" s="575"/>
      <c r="RBH34" s="575"/>
      <c r="RBI34" s="575"/>
      <c r="RBJ34" s="575"/>
      <c r="RBK34" s="575"/>
      <c r="RBL34" s="575"/>
      <c r="RBM34" s="575"/>
      <c r="RBN34" s="575"/>
      <c r="RBO34" s="575"/>
      <c r="RBP34" s="575"/>
      <c r="RBQ34" s="575"/>
      <c r="RBR34" s="575"/>
      <c r="RBS34" s="575"/>
      <c r="RBT34" s="575"/>
      <c r="RBU34" s="575"/>
      <c r="RBV34" s="575"/>
      <c r="RBW34" s="575"/>
      <c r="RBX34" s="575"/>
      <c r="RBY34" s="575"/>
      <c r="RBZ34" s="575"/>
      <c r="RCA34" s="575"/>
      <c r="RCB34" s="575"/>
      <c r="RCC34" s="575"/>
      <c r="RCD34" s="575"/>
      <c r="RCE34" s="575"/>
      <c r="RCF34" s="575"/>
      <c r="RCG34" s="575"/>
      <c r="RCH34" s="575"/>
      <c r="RCI34" s="575"/>
      <c r="RCJ34" s="575"/>
      <c r="RCK34" s="575"/>
      <c r="RCL34" s="575"/>
      <c r="RCM34" s="575"/>
      <c r="RCN34" s="575"/>
      <c r="RCO34" s="575"/>
      <c r="RCP34" s="575"/>
      <c r="RCQ34" s="575"/>
      <c r="RCR34" s="575"/>
      <c r="RCS34" s="575"/>
      <c r="RCT34" s="575"/>
      <c r="RCU34" s="575"/>
      <c r="RCV34" s="575"/>
      <c r="RCW34" s="575"/>
      <c r="RCX34" s="575"/>
      <c r="RCY34" s="575"/>
      <c r="RCZ34" s="575"/>
      <c r="RDA34" s="575"/>
      <c r="RDB34" s="575"/>
      <c r="RDC34" s="575"/>
      <c r="RDD34" s="575"/>
      <c r="RDE34" s="575"/>
      <c r="RDF34" s="575"/>
      <c r="RDG34" s="575"/>
      <c r="RDH34" s="575"/>
      <c r="RDI34" s="575"/>
      <c r="RDJ34" s="575"/>
      <c r="RDK34" s="575"/>
      <c r="RDL34" s="575"/>
      <c r="RDM34" s="575"/>
      <c r="RDN34" s="575"/>
      <c r="RDO34" s="575"/>
      <c r="RDP34" s="575"/>
      <c r="RDQ34" s="575"/>
      <c r="RDR34" s="575"/>
      <c r="RDS34" s="575"/>
      <c r="RDT34" s="575"/>
      <c r="RDU34" s="575"/>
      <c r="RDV34" s="575"/>
      <c r="RDW34" s="575"/>
      <c r="RDX34" s="575"/>
      <c r="RDY34" s="575"/>
      <c r="RDZ34" s="575"/>
      <c r="REA34" s="575"/>
      <c r="REB34" s="575"/>
      <c r="REC34" s="575"/>
      <c r="RED34" s="575"/>
      <c r="REE34" s="575"/>
      <c r="REF34" s="575"/>
      <c r="REG34" s="575"/>
      <c r="REH34" s="575"/>
      <c r="REI34" s="575"/>
      <c r="REJ34" s="575"/>
      <c r="REK34" s="575"/>
      <c r="REL34" s="575"/>
      <c r="REM34" s="575"/>
      <c r="REN34" s="575"/>
      <c r="REO34" s="575"/>
      <c r="REP34" s="575"/>
      <c r="REQ34" s="575"/>
      <c r="RER34" s="575"/>
      <c r="RES34" s="575"/>
      <c r="RET34" s="575"/>
      <c r="REU34" s="575"/>
      <c r="REV34" s="575"/>
      <c r="REW34" s="575"/>
      <c r="REX34" s="575"/>
      <c r="REY34" s="575"/>
      <c r="REZ34" s="575"/>
      <c r="RFA34" s="575"/>
      <c r="RFB34" s="575"/>
      <c r="RFC34" s="575"/>
      <c r="RFD34" s="575"/>
      <c r="RFE34" s="575"/>
      <c r="RFF34" s="575"/>
      <c r="RFG34" s="575"/>
      <c r="RFH34" s="575"/>
      <c r="RFI34" s="575"/>
      <c r="RFJ34" s="575"/>
      <c r="RFK34" s="575"/>
      <c r="RFL34" s="575"/>
      <c r="RFM34" s="575"/>
      <c r="RFN34" s="575"/>
      <c r="RFO34" s="575"/>
      <c r="RFP34" s="575"/>
      <c r="RFQ34" s="575"/>
      <c r="RFR34" s="575"/>
      <c r="RFS34" s="575"/>
      <c r="RFT34" s="575"/>
      <c r="RFU34" s="575"/>
      <c r="RFV34" s="575"/>
      <c r="RFW34" s="575"/>
      <c r="RFX34" s="575"/>
      <c r="RFY34" s="575"/>
      <c r="RFZ34" s="575"/>
      <c r="RGA34" s="575"/>
      <c r="RGB34" s="575"/>
      <c r="RGC34" s="575"/>
      <c r="RGD34" s="575"/>
      <c r="RGE34" s="575"/>
      <c r="RGF34" s="575"/>
      <c r="RGG34" s="575"/>
      <c r="RGH34" s="575"/>
      <c r="RGI34" s="575"/>
      <c r="RGJ34" s="575"/>
      <c r="RGK34" s="575"/>
      <c r="RGL34" s="575"/>
      <c r="RGM34" s="575"/>
      <c r="RGN34" s="575"/>
      <c r="RGO34" s="575"/>
      <c r="RGP34" s="575"/>
      <c r="RGQ34" s="575"/>
      <c r="RGR34" s="575"/>
      <c r="RGS34" s="575"/>
      <c r="RGT34" s="575"/>
      <c r="RGU34" s="575"/>
      <c r="RGV34" s="575"/>
      <c r="RGW34" s="575"/>
      <c r="RGX34" s="575"/>
      <c r="RGY34" s="575"/>
      <c r="RGZ34" s="575"/>
      <c r="RHA34" s="575"/>
      <c r="RHB34" s="575"/>
      <c r="RHC34" s="575"/>
      <c r="RHD34" s="575"/>
      <c r="RHE34" s="575"/>
      <c r="RHF34" s="575"/>
      <c r="RHG34" s="575"/>
      <c r="RHH34" s="575"/>
      <c r="RHI34" s="575"/>
      <c r="RHJ34" s="575"/>
      <c r="RHK34" s="575"/>
      <c r="RHL34" s="575"/>
      <c r="RHM34" s="575"/>
      <c r="RHN34" s="575"/>
      <c r="RHO34" s="575"/>
      <c r="RHP34" s="575"/>
      <c r="RHQ34" s="575"/>
      <c r="RHR34" s="575"/>
      <c r="RHS34" s="575"/>
      <c r="RHT34" s="575"/>
      <c r="RHU34" s="575"/>
      <c r="RHV34" s="575"/>
      <c r="RHW34" s="575"/>
      <c r="RHX34" s="575"/>
      <c r="RHY34" s="575"/>
      <c r="RHZ34" s="575"/>
      <c r="RIA34" s="575"/>
      <c r="RIB34" s="575"/>
      <c r="RIC34" s="575"/>
      <c r="RID34" s="575"/>
      <c r="RIE34" s="575"/>
      <c r="RIF34" s="575"/>
      <c r="RIG34" s="575"/>
      <c r="RIH34" s="575"/>
      <c r="RII34" s="575"/>
      <c r="RIJ34" s="575"/>
      <c r="RIK34" s="575"/>
      <c r="RIL34" s="575"/>
      <c r="RIM34" s="575"/>
      <c r="RIN34" s="575"/>
      <c r="RIO34" s="575"/>
      <c r="RIP34" s="575"/>
      <c r="RIQ34" s="575"/>
      <c r="RIR34" s="575"/>
      <c r="RIS34" s="575"/>
      <c r="RIT34" s="575"/>
      <c r="RIU34" s="575"/>
      <c r="RIV34" s="575"/>
      <c r="RIW34" s="575"/>
      <c r="RIX34" s="575"/>
      <c r="RIY34" s="575"/>
      <c r="RIZ34" s="575"/>
      <c r="RJA34" s="575"/>
      <c r="RJB34" s="575"/>
      <c r="RJC34" s="575"/>
      <c r="RJD34" s="575"/>
      <c r="RJE34" s="575"/>
      <c r="RJF34" s="575"/>
      <c r="RJG34" s="575"/>
      <c r="RJH34" s="575"/>
      <c r="RJI34" s="575"/>
      <c r="RJJ34" s="575"/>
      <c r="RJK34" s="575"/>
      <c r="RJL34" s="575"/>
      <c r="RJM34" s="575"/>
      <c r="RJN34" s="575"/>
      <c r="RJO34" s="575"/>
      <c r="RJP34" s="575"/>
      <c r="RJQ34" s="575"/>
      <c r="RJR34" s="575"/>
      <c r="RJS34" s="575"/>
      <c r="RJT34" s="575"/>
      <c r="RJU34" s="575"/>
      <c r="RJV34" s="575"/>
      <c r="RJW34" s="575"/>
      <c r="RJX34" s="575"/>
      <c r="RJY34" s="575"/>
      <c r="RJZ34" s="575"/>
      <c r="RKA34" s="575"/>
      <c r="RKB34" s="575"/>
      <c r="RKC34" s="575"/>
      <c r="RKD34" s="575"/>
      <c r="RKE34" s="575"/>
      <c r="RKF34" s="575"/>
      <c r="RKG34" s="575"/>
      <c r="RKH34" s="575"/>
      <c r="RKI34" s="575"/>
      <c r="RKJ34" s="575"/>
      <c r="RKK34" s="575"/>
      <c r="RKL34" s="575"/>
      <c r="RKM34" s="575"/>
      <c r="RKN34" s="575"/>
      <c r="RKO34" s="575"/>
      <c r="RKP34" s="575"/>
      <c r="RKQ34" s="575"/>
      <c r="RKR34" s="575"/>
      <c r="RKS34" s="575"/>
      <c r="RKT34" s="575"/>
      <c r="RKU34" s="575"/>
      <c r="RKV34" s="575"/>
      <c r="RKW34" s="575"/>
      <c r="RKX34" s="575"/>
      <c r="RKY34" s="575"/>
      <c r="RKZ34" s="575"/>
      <c r="RLA34" s="575"/>
      <c r="RLB34" s="575"/>
      <c r="RLC34" s="575"/>
      <c r="RLD34" s="575"/>
      <c r="RLE34" s="575"/>
      <c r="RLF34" s="575"/>
      <c r="RLG34" s="575"/>
      <c r="RLH34" s="575"/>
      <c r="RLI34" s="575"/>
      <c r="RLJ34" s="575"/>
      <c r="RLK34" s="575"/>
      <c r="RLL34" s="575"/>
      <c r="RLM34" s="575"/>
      <c r="RLN34" s="575"/>
      <c r="RLO34" s="575"/>
      <c r="RLP34" s="575"/>
      <c r="RLQ34" s="575"/>
      <c r="RLR34" s="575"/>
      <c r="RLS34" s="575"/>
      <c r="RLT34" s="575"/>
      <c r="RLU34" s="575"/>
      <c r="RLV34" s="575"/>
      <c r="RLW34" s="575"/>
      <c r="RLX34" s="575"/>
      <c r="RLY34" s="575"/>
      <c r="RLZ34" s="575"/>
      <c r="RMA34" s="575"/>
      <c r="RMB34" s="575"/>
      <c r="RMC34" s="575"/>
      <c r="RMD34" s="575"/>
      <c r="RME34" s="575"/>
      <c r="RMF34" s="575"/>
      <c r="RMG34" s="575"/>
      <c r="RMH34" s="575"/>
      <c r="RMI34" s="575"/>
      <c r="RMJ34" s="575"/>
      <c r="RMK34" s="575"/>
      <c r="RML34" s="575"/>
      <c r="RMM34" s="575"/>
      <c r="RMN34" s="575"/>
      <c r="RMO34" s="575"/>
      <c r="RMP34" s="575"/>
      <c r="RMQ34" s="575"/>
      <c r="RMR34" s="575"/>
      <c r="RMS34" s="575"/>
      <c r="RMT34" s="575"/>
      <c r="RMU34" s="575"/>
      <c r="RMV34" s="575"/>
      <c r="RMW34" s="575"/>
      <c r="RMX34" s="575"/>
      <c r="RMY34" s="575"/>
      <c r="RMZ34" s="575"/>
      <c r="RNA34" s="575"/>
      <c r="RNB34" s="575"/>
      <c r="RNC34" s="575"/>
      <c r="RND34" s="575"/>
      <c r="RNE34" s="575"/>
      <c r="RNF34" s="575"/>
      <c r="RNG34" s="575"/>
      <c r="RNH34" s="575"/>
      <c r="RNI34" s="575"/>
      <c r="RNJ34" s="575"/>
      <c r="RNK34" s="575"/>
      <c r="RNL34" s="575"/>
      <c r="RNM34" s="575"/>
      <c r="RNN34" s="575"/>
      <c r="RNO34" s="575"/>
      <c r="RNP34" s="575"/>
      <c r="RNQ34" s="575"/>
      <c r="RNR34" s="575"/>
      <c r="RNS34" s="575"/>
      <c r="RNT34" s="575"/>
      <c r="RNU34" s="575"/>
      <c r="RNV34" s="575"/>
      <c r="RNW34" s="575"/>
      <c r="RNX34" s="575"/>
      <c r="RNY34" s="575"/>
      <c r="RNZ34" s="575"/>
      <c r="ROA34" s="575"/>
      <c r="ROB34" s="575"/>
      <c r="ROC34" s="575"/>
      <c r="ROD34" s="575"/>
      <c r="ROE34" s="575"/>
      <c r="ROF34" s="575"/>
      <c r="ROG34" s="575"/>
      <c r="ROH34" s="575"/>
      <c r="ROI34" s="575"/>
      <c r="ROJ34" s="575"/>
      <c r="ROK34" s="575"/>
      <c r="ROL34" s="575"/>
      <c r="ROM34" s="575"/>
      <c r="RON34" s="575"/>
      <c r="ROO34" s="575"/>
      <c r="ROP34" s="575"/>
      <c r="ROQ34" s="575"/>
      <c r="ROR34" s="575"/>
      <c r="ROS34" s="575"/>
      <c r="ROT34" s="575"/>
      <c r="ROU34" s="575"/>
      <c r="ROV34" s="575"/>
      <c r="ROW34" s="575"/>
      <c r="ROX34" s="575"/>
      <c r="ROY34" s="575"/>
      <c r="ROZ34" s="575"/>
      <c r="RPA34" s="575"/>
      <c r="RPB34" s="575"/>
      <c r="RPC34" s="575"/>
      <c r="RPD34" s="575"/>
      <c r="RPE34" s="575"/>
      <c r="RPF34" s="575"/>
      <c r="RPG34" s="575"/>
      <c r="RPH34" s="575"/>
      <c r="RPI34" s="575"/>
      <c r="RPJ34" s="575"/>
      <c r="RPK34" s="575"/>
      <c r="RPL34" s="575"/>
      <c r="RPM34" s="575"/>
      <c r="RPN34" s="575"/>
      <c r="RPO34" s="575"/>
      <c r="RPP34" s="575"/>
      <c r="RPQ34" s="575"/>
      <c r="RPR34" s="575"/>
      <c r="RPS34" s="575"/>
      <c r="RPT34" s="575"/>
      <c r="RPU34" s="575"/>
      <c r="RPV34" s="575"/>
      <c r="RPW34" s="575"/>
      <c r="RPX34" s="575"/>
      <c r="RPY34" s="575"/>
      <c r="RPZ34" s="575"/>
      <c r="RQA34" s="575"/>
      <c r="RQB34" s="575"/>
      <c r="RQC34" s="575"/>
      <c r="RQD34" s="575"/>
      <c r="RQE34" s="575"/>
      <c r="RQF34" s="575"/>
      <c r="RQG34" s="575"/>
      <c r="RQH34" s="575"/>
      <c r="RQI34" s="575"/>
      <c r="RQJ34" s="575"/>
      <c r="RQK34" s="575"/>
      <c r="RQL34" s="575"/>
      <c r="RQM34" s="575"/>
      <c r="RQN34" s="575"/>
      <c r="RQO34" s="575"/>
      <c r="RQP34" s="575"/>
      <c r="RQQ34" s="575"/>
      <c r="RQR34" s="575"/>
      <c r="RQS34" s="575"/>
      <c r="RQT34" s="575"/>
      <c r="RQU34" s="575"/>
      <c r="RQV34" s="575"/>
      <c r="RQW34" s="575"/>
      <c r="RQX34" s="575"/>
      <c r="RQY34" s="575"/>
      <c r="RQZ34" s="575"/>
      <c r="RRA34" s="575"/>
      <c r="RRB34" s="575"/>
      <c r="RRC34" s="575"/>
      <c r="RRD34" s="575"/>
      <c r="RRE34" s="575"/>
      <c r="RRF34" s="575"/>
      <c r="RRG34" s="575"/>
      <c r="RRH34" s="575"/>
      <c r="RRI34" s="575"/>
      <c r="RRJ34" s="575"/>
      <c r="RRK34" s="575"/>
      <c r="RRL34" s="575"/>
      <c r="RRM34" s="575"/>
      <c r="RRN34" s="575"/>
      <c r="RRO34" s="575"/>
      <c r="RRP34" s="575"/>
      <c r="RRQ34" s="575"/>
      <c r="RRR34" s="575"/>
      <c r="RRS34" s="575"/>
      <c r="RRT34" s="575"/>
      <c r="RRU34" s="575"/>
      <c r="RRV34" s="575"/>
      <c r="RRW34" s="575"/>
      <c r="RRX34" s="575"/>
      <c r="RRY34" s="575"/>
      <c r="RRZ34" s="575"/>
      <c r="RSA34" s="575"/>
      <c r="RSB34" s="575"/>
      <c r="RSC34" s="575"/>
      <c r="RSD34" s="575"/>
      <c r="RSE34" s="575"/>
      <c r="RSF34" s="575"/>
      <c r="RSG34" s="575"/>
      <c r="RSH34" s="575"/>
      <c r="RSI34" s="575"/>
      <c r="RSJ34" s="575"/>
      <c r="RSK34" s="575"/>
      <c r="RSL34" s="575"/>
      <c r="RSM34" s="575"/>
      <c r="RSN34" s="575"/>
      <c r="RSO34" s="575"/>
      <c r="RSP34" s="575"/>
      <c r="RSQ34" s="575"/>
      <c r="RSR34" s="575"/>
      <c r="RSS34" s="575"/>
      <c r="RST34" s="575"/>
      <c r="RSU34" s="575"/>
      <c r="RSV34" s="575"/>
      <c r="RSW34" s="575"/>
      <c r="RSX34" s="575"/>
      <c r="RSY34" s="575"/>
      <c r="RSZ34" s="575"/>
      <c r="RTA34" s="575"/>
      <c r="RTB34" s="575"/>
      <c r="RTC34" s="575"/>
      <c r="RTD34" s="575"/>
      <c r="RTE34" s="575"/>
      <c r="RTF34" s="575"/>
      <c r="RTG34" s="575"/>
      <c r="RTH34" s="575"/>
      <c r="RTI34" s="575"/>
      <c r="RTJ34" s="575"/>
      <c r="RTK34" s="575"/>
      <c r="RTL34" s="575"/>
      <c r="RTM34" s="575"/>
      <c r="RTN34" s="575"/>
      <c r="RTO34" s="575"/>
      <c r="RTP34" s="575"/>
      <c r="RTQ34" s="575"/>
      <c r="RTR34" s="575"/>
      <c r="RTS34" s="575"/>
      <c r="RTT34" s="575"/>
      <c r="RTU34" s="575"/>
      <c r="RTV34" s="575"/>
      <c r="RTW34" s="575"/>
      <c r="RTX34" s="575"/>
      <c r="RTY34" s="575"/>
      <c r="RTZ34" s="575"/>
      <c r="RUA34" s="575"/>
      <c r="RUB34" s="575"/>
      <c r="RUC34" s="575"/>
      <c r="RUD34" s="575"/>
      <c r="RUE34" s="575"/>
      <c r="RUF34" s="575"/>
      <c r="RUG34" s="575"/>
      <c r="RUH34" s="575"/>
      <c r="RUI34" s="575"/>
      <c r="RUJ34" s="575"/>
      <c r="RUK34" s="575"/>
      <c r="RUL34" s="575"/>
      <c r="RUM34" s="575"/>
      <c r="RUN34" s="575"/>
      <c r="RUO34" s="575"/>
      <c r="RUP34" s="575"/>
      <c r="RUQ34" s="575"/>
      <c r="RUR34" s="575"/>
      <c r="RUS34" s="575"/>
      <c r="RUT34" s="575"/>
      <c r="RUU34" s="575"/>
      <c r="RUV34" s="575"/>
      <c r="RUW34" s="575"/>
      <c r="RUX34" s="575"/>
      <c r="RUY34" s="575"/>
      <c r="RUZ34" s="575"/>
      <c r="RVA34" s="575"/>
      <c r="RVB34" s="575"/>
      <c r="RVC34" s="575"/>
      <c r="RVD34" s="575"/>
      <c r="RVE34" s="575"/>
      <c r="RVF34" s="575"/>
      <c r="RVG34" s="575"/>
      <c r="RVH34" s="575"/>
      <c r="RVI34" s="575"/>
      <c r="RVJ34" s="575"/>
      <c r="RVK34" s="575"/>
      <c r="RVL34" s="575"/>
      <c r="RVM34" s="575"/>
      <c r="RVN34" s="575"/>
      <c r="RVO34" s="575"/>
      <c r="RVP34" s="575"/>
      <c r="RVQ34" s="575"/>
      <c r="RVR34" s="575"/>
      <c r="RVS34" s="575"/>
      <c r="RVT34" s="575"/>
      <c r="RVU34" s="575"/>
      <c r="RVV34" s="575"/>
      <c r="RVW34" s="575"/>
      <c r="RVX34" s="575"/>
      <c r="RVY34" s="575"/>
      <c r="RVZ34" s="575"/>
      <c r="RWA34" s="575"/>
      <c r="RWB34" s="575"/>
      <c r="RWC34" s="575"/>
      <c r="RWD34" s="575"/>
      <c r="RWE34" s="575"/>
      <c r="RWF34" s="575"/>
      <c r="RWG34" s="575"/>
      <c r="RWH34" s="575"/>
      <c r="RWI34" s="575"/>
      <c r="RWJ34" s="575"/>
      <c r="RWK34" s="575"/>
      <c r="RWL34" s="575"/>
      <c r="RWM34" s="575"/>
      <c r="RWN34" s="575"/>
      <c r="RWO34" s="575"/>
      <c r="RWP34" s="575"/>
      <c r="RWQ34" s="575"/>
      <c r="RWR34" s="575"/>
      <c r="RWS34" s="575"/>
      <c r="RWT34" s="575"/>
      <c r="RWU34" s="575"/>
      <c r="RWV34" s="575"/>
      <c r="RWW34" s="575"/>
      <c r="RWX34" s="575"/>
      <c r="RWY34" s="575"/>
      <c r="RWZ34" s="575"/>
      <c r="RXA34" s="575"/>
      <c r="RXB34" s="575"/>
      <c r="RXC34" s="575"/>
      <c r="RXD34" s="575"/>
      <c r="RXE34" s="575"/>
      <c r="RXF34" s="575"/>
      <c r="RXG34" s="575"/>
      <c r="RXH34" s="575"/>
      <c r="RXI34" s="575"/>
      <c r="RXJ34" s="575"/>
      <c r="RXK34" s="575"/>
      <c r="RXL34" s="575"/>
      <c r="RXM34" s="575"/>
      <c r="RXN34" s="575"/>
      <c r="RXO34" s="575"/>
      <c r="RXP34" s="575"/>
      <c r="RXQ34" s="575"/>
      <c r="RXR34" s="575"/>
      <c r="RXS34" s="575"/>
      <c r="RXT34" s="575"/>
      <c r="RXU34" s="575"/>
      <c r="RXV34" s="575"/>
      <c r="RXW34" s="575"/>
      <c r="RXX34" s="575"/>
      <c r="RXY34" s="575"/>
      <c r="RXZ34" s="575"/>
      <c r="RYA34" s="575"/>
      <c r="RYB34" s="575"/>
      <c r="RYC34" s="575"/>
      <c r="RYD34" s="575"/>
      <c r="RYE34" s="575"/>
      <c r="RYF34" s="575"/>
      <c r="RYG34" s="575"/>
      <c r="RYH34" s="575"/>
      <c r="RYI34" s="575"/>
      <c r="RYJ34" s="575"/>
      <c r="RYK34" s="575"/>
      <c r="RYL34" s="575"/>
      <c r="RYM34" s="575"/>
      <c r="RYN34" s="575"/>
      <c r="RYO34" s="575"/>
      <c r="RYP34" s="575"/>
      <c r="RYQ34" s="575"/>
      <c r="RYR34" s="575"/>
      <c r="RYS34" s="575"/>
      <c r="RYT34" s="575"/>
      <c r="RYU34" s="575"/>
      <c r="RYV34" s="575"/>
      <c r="RYW34" s="575"/>
      <c r="RYX34" s="575"/>
      <c r="RYY34" s="575"/>
      <c r="RYZ34" s="575"/>
      <c r="RZA34" s="575"/>
      <c r="RZB34" s="575"/>
      <c r="RZC34" s="575"/>
      <c r="RZD34" s="575"/>
      <c r="RZE34" s="575"/>
      <c r="RZF34" s="575"/>
      <c r="RZG34" s="575"/>
      <c r="RZH34" s="575"/>
      <c r="RZI34" s="575"/>
      <c r="RZJ34" s="575"/>
      <c r="RZK34" s="575"/>
      <c r="RZL34" s="575"/>
      <c r="RZM34" s="575"/>
      <c r="RZN34" s="575"/>
      <c r="RZO34" s="575"/>
      <c r="RZP34" s="575"/>
      <c r="RZQ34" s="575"/>
      <c r="RZR34" s="575"/>
      <c r="RZS34" s="575"/>
      <c r="RZT34" s="575"/>
      <c r="RZU34" s="575"/>
      <c r="RZV34" s="575"/>
      <c r="RZW34" s="575"/>
      <c r="RZX34" s="575"/>
      <c r="RZY34" s="575"/>
      <c r="RZZ34" s="575"/>
      <c r="SAA34" s="575"/>
      <c r="SAB34" s="575"/>
      <c r="SAC34" s="575"/>
      <c r="SAD34" s="575"/>
      <c r="SAE34" s="575"/>
      <c r="SAF34" s="575"/>
      <c r="SAG34" s="575"/>
      <c r="SAH34" s="575"/>
      <c r="SAI34" s="575"/>
      <c r="SAJ34" s="575"/>
      <c r="SAK34" s="575"/>
      <c r="SAL34" s="575"/>
      <c r="SAM34" s="575"/>
      <c r="SAN34" s="575"/>
      <c r="SAO34" s="575"/>
      <c r="SAP34" s="575"/>
      <c r="SAQ34" s="575"/>
      <c r="SAR34" s="575"/>
      <c r="SAS34" s="575"/>
      <c r="SAT34" s="575"/>
      <c r="SAU34" s="575"/>
      <c r="SAV34" s="575"/>
      <c r="SAW34" s="575"/>
      <c r="SAX34" s="575"/>
      <c r="SAY34" s="575"/>
      <c r="SAZ34" s="575"/>
      <c r="SBA34" s="575"/>
      <c r="SBB34" s="575"/>
      <c r="SBC34" s="575"/>
      <c r="SBD34" s="575"/>
      <c r="SBE34" s="575"/>
      <c r="SBF34" s="575"/>
      <c r="SBG34" s="575"/>
      <c r="SBH34" s="575"/>
      <c r="SBI34" s="575"/>
      <c r="SBJ34" s="575"/>
      <c r="SBK34" s="575"/>
      <c r="SBL34" s="575"/>
      <c r="SBM34" s="575"/>
      <c r="SBN34" s="575"/>
      <c r="SBO34" s="575"/>
      <c r="SBP34" s="575"/>
      <c r="SBQ34" s="575"/>
      <c r="SBR34" s="575"/>
      <c r="SBS34" s="575"/>
      <c r="SBT34" s="575"/>
      <c r="SBU34" s="575"/>
      <c r="SBV34" s="575"/>
      <c r="SBW34" s="575"/>
      <c r="SBX34" s="575"/>
      <c r="SBY34" s="575"/>
      <c r="SBZ34" s="575"/>
      <c r="SCA34" s="575"/>
      <c r="SCB34" s="575"/>
      <c r="SCC34" s="575"/>
      <c r="SCD34" s="575"/>
      <c r="SCE34" s="575"/>
      <c r="SCF34" s="575"/>
      <c r="SCG34" s="575"/>
      <c r="SCH34" s="575"/>
      <c r="SCI34" s="575"/>
      <c r="SCJ34" s="575"/>
      <c r="SCK34" s="575"/>
      <c r="SCL34" s="575"/>
      <c r="SCM34" s="575"/>
      <c r="SCN34" s="575"/>
      <c r="SCO34" s="575"/>
      <c r="SCP34" s="575"/>
      <c r="SCQ34" s="575"/>
      <c r="SCR34" s="575"/>
      <c r="SCS34" s="575"/>
      <c r="SCT34" s="575"/>
      <c r="SCU34" s="575"/>
      <c r="SCV34" s="575"/>
      <c r="SCW34" s="575"/>
      <c r="SCX34" s="575"/>
      <c r="SCY34" s="575"/>
      <c r="SCZ34" s="575"/>
      <c r="SDA34" s="575"/>
      <c r="SDB34" s="575"/>
      <c r="SDC34" s="575"/>
      <c r="SDD34" s="575"/>
      <c r="SDE34" s="575"/>
      <c r="SDF34" s="575"/>
      <c r="SDG34" s="575"/>
      <c r="SDH34" s="575"/>
      <c r="SDI34" s="575"/>
      <c r="SDJ34" s="575"/>
      <c r="SDK34" s="575"/>
      <c r="SDL34" s="575"/>
      <c r="SDM34" s="575"/>
      <c r="SDN34" s="575"/>
      <c r="SDO34" s="575"/>
      <c r="SDP34" s="575"/>
      <c r="SDQ34" s="575"/>
      <c r="SDR34" s="575"/>
      <c r="SDS34" s="575"/>
      <c r="SDT34" s="575"/>
      <c r="SDU34" s="575"/>
      <c r="SDV34" s="575"/>
      <c r="SDW34" s="575"/>
      <c r="SDX34" s="575"/>
      <c r="SDY34" s="575"/>
      <c r="SDZ34" s="575"/>
      <c r="SEA34" s="575"/>
      <c r="SEB34" s="575"/>
      <c r="SEC34" s="575"/>
      <c r="SED34" s="575"/>
      <c r="SEE34" s="575"/>
      <c r="SEF34" s="575"/>
      <c r="SEG34" s="575"/>
      <c r="SEH34" s="575"/>
      <c r="SEI34" s="575"/>
      <c r="SEJ34" s="575"/>
      <c r="SEK34" s="575"/>
      <c r="SEL34" s="575"/>
      <c r="SEM34" s="575"/>
      <c r="SEN34" s="575"/>
      <c r="SEO34" s="575"/>
      <c r="SEP34" s="575"/>
      <c r="SEQ34" s="575"/>
      <c r="SER34" s="575"/>
      <c r="SES34" s="575"/>
      <c r="SET34" s="575"/>
      <c r="SEU34" s="575"/>
      <c r="SEV34" s="575"/>
      <c r="SEW34" s="575"/>
      <c r="SEX34" s="575"/>
      <c r="SEY34" s="575"/>
      <c r="SEZ34" s="575"/>
      <c r="SFA34" s="575"/>
      <c r="SFB34" s="575"/>
      <c r="SFC34" s="575"/>
      <c r="SFD34" s="575"/>
      <c r="SFE34" s="575"/>
      <c r="SFF34" s="575"/>
      <c r="SFG34" s="575"/>
      <c r="SFH34" s="575"/>
      <c r="SFI34" s="575"/>
      <c r="SFJ34" s="575"/>
      <c r="SFK34" s="575"/>
      <c r="SFL34" s="575"/>
      <c r="SFM34" s="575"/>
      <c r="SFN34" s="575"/>
      <c r="SFO34" s="575"/>
      <c r="SFP34" s="575"/>
      <c r="SFQ34" s="575"/>
      <c r="SFR34" s="575"/>
      <c r="SFS34" s="575"/>
      <c r="SFT34" s="575"/>
      <c r="SFU34" s="575"/>
      <c r="SFV34" s="575"/>
      <c r="SFW34" s="575"/>
      <c r="SFX34" s="575"/>
      <c r="SFY34" s="575"/>
      <c r="SFZ34" s="575"/>
      <c r="SGA34" s="575"/>
      <c r="SGB34" s="575"/>
      <c r="SGC34" s="575"/>
      <c r="SGD34" s="575"/>
      <c r="SGE34" s="575"/>
      <c r="SGF34" s="575"/>
      <c r="SGG34" s="575"/>
      <c r="SGH34" s="575"/>
      <c r="SGI34" s="575"/>
      <c r="SGJ34" s="575"/>
      <c r="SGK34" s="575"/>
      <c r="SGL34" s="575"/>
      <c r="SGM34" s="575"/>
      <c r="SGN34" s="575"/>
      <c r="SGO34" s="575"/>
      <c r="SGP34" s="575"/>
      <c r="SGQ34" s="575"/>
      <c r="SGR34" s="575"/>
      <c r="SGS34" s="575"/>
      <c r="SGT34" s="575"/>
      <c r="SGU34" s="575"/>
      <c r="SGV34" s="575"/>
      <c r="SGW34" s="575"/>
      <c r="SGX34" s="575"/>
      <c r="SGY34" s="575"/>
      <c r="SGZ34" s="575"/>
      <c r="SHA34" s="575"/>
      <c r="SHB34" s="575"/>
      <c r="SHC34" s="575"/>
      <c r="SHD34" s="575"/>
      <c r="SHE34" s="575"/>
      <c r="SHF34" s="575"/>
      <c r="SHG34" s="575"/>
      <c r="SHH34" s="575"/>
      <c r="SHI34" s="575"/>
      <c r="SHJ34" s="575"/>
      <c r="SHK34" s="575"/>
      <c r="SHL34" s="575"/>
      <c r="SHM34" s="575"/>
      <c r="SHN34" s="575"/>
      <c r="SHO34" s="575"/>
      <c r="SHP34" s="575"/>
      <c r="SHQ34" s="575"/>
      <c r="SHR34" s="575"/>
      <c r="SHS34" s="575"/>
      <c r="SHT34" s="575"/>
      <c r="SHU34" s="575"/>
      <c r="SHV34" s="575"/>
      <c r="SHW34" s="575"/>
      <c r="SHX34" s="575"/>
      <c r="SHY34" s="575"/>
      <c r="SHZ34" s="575"/>
      <c r="SIA34" s="575"/>
      <c r="SIB34" s="575"/>
      <c r="SIC34" s="575"/>
      <c r="SID34" s="575"/>
      <c r="SIE34" s="575"/>
      <c r="SIF34" s="575"/>
      <c r="SIG34" s="575"/>
      <c r="SIH34" s="575"/>
      <c r="SII34" s="575"/>
      <c r="SIJ34" s="575"/>
      <c r="SIK34" s="575"/>
      <c r="SIL34" s="575"/>
      <c r="SIM34" s="575"/>
      <c r="SIN34" s="575"/>
      <c r="SIO34" s="575"/>
      <c r="SIP34" s="575"/>
      <c r="SIQ34" s="575"/>
      <c r="SIR34" s="575"/>
      <c r="SIS34" s="575"/>
      <c r="SIT34" s="575"/>
      <c r="SIU34" s="575"/>
      <c r="SIV34" s="575"/>
      <c r="SIW34" s="575"/>
      <c r="SIX34" s="575"/>
      <c r="SIY34" s="575"/>
      <c r="SIZ34" s="575"/>
      <c r="SJA34" s="575"/>
      <c r="SJB34" s="575"/>
      <c r="SJC34" s="575"/>
      <c r="SJD34" s="575"/>
      <c r="SJE34" s="575"/>
      <c r="SJF34" s="575"/>
      <c r="SJG34" s="575"/>
      <c r="SJH34" s="575"/>
      <c r="SJI34" s="575"/>
      <c r="SJJ34" s="575"/>
      <c r="SJK34" s="575"/>
      <c r="SJL34" s="575"/>
      <c r="SJM34" s="575"/>
      <c r="SJN34" s="575"/>
      <c r="SJO34" s="575"/>
      <c r="SJP34" s="575"/>
      <c r="SJQ34" s="575"/>
      <c r="SJR34" s="575"/>
      <c r="SJS34" s="575"/>
      <c r="SJT34" s="575"/>
      <c r="SJU34" s="575"/>
      <c r="SJV34" s="575"/>
      <c r="SJW34" s="575"/>
      <c r="SJX34" s="575"/>
      <c r="SJY34" s="575"/>
      <c r="SJZ34" s="575"/>
      <c r="SKA34" s="575"/>
      <c r="SKB34" s="575"/>
      <c r="SKC34" s="575"/>
      <c r="SKD34" s="575"/>
      <c r="SKE34" s="575"/>
      <c r="SKF34" s="575"/>
      <c r="SKG34" s="575"/>
      <c r="SKH34" s="575"/>
      <c r="SKI34" s="575"/>
      <c r="SKJ34" s="575"/>
      <c r="SKK34" s="575"/>
      <c r="SKL34" s="575"/>
      <c r="SKM34" s="575"/>
      <c r="SKN34" s="575"/>
      <c r="SKO34" s="575"/>
      <c r="SKP34" s="575"/>
      <c r="SKQ34" s="575"/>
      <c r="SKR34" s="575"/>
      <c r="SKS34" s="575"/>
      <c r="SKT34" s="575"/>
      <c r="SKU34" s="575"/>
      <c r="SKV34" s="575"/>
      <c r="SKW34" s="575"/>
      <c r="SKX34" s="575"/>
      <c r="SKY34" s="575"/>
      <c r="SKZ34" s="575"/>
      <c r="SLA34" s="575"/>
      <c r="SLB34" s="575"/>
      <c r="SLC34" s="575"/>
      <c r="SLD34" s="575"/>
      <c r="SLE34" s="575"/>
      <c r="SLF34" s="575"/>
      <c r="SLG34" s="575"/>
      <c r="SLH34" s="575"/>
      <c r="SLI34" s="575"/>
      <c r="SLJ34" s="575"/>
      <c r="SLK34" s="575"/>
      <c r="SLL34" s="575"/>
      <c r="SLM34" s="575"/>
      <c r="SLN34" s="575"/>
      <c r="SLO34" s="575"/>
      <c r="SLP34" s="575"/>
      <c r="SLQ34" s="575"/>
      <c r="SLR34" s="575"/>
      <c r="SLS34" s="575"/>
      <c r="SLT34" s="575"/>
      <c r="SLU34" s="575"/>
      <c r="SLV34" s="575"/>
      <c r="SLW34" s="575"/>
      <c r="SLX34" s="575"/>
      <c r="SLY34" s="575"/>
      <c r="SLZ34" s="575"/>
      <c r="SMA34" s="575"/>
      <c r="SMB34" s="575"/>
      <c r="SMC34" s="575"/>
      <c r="SMD34" s="575"/>
      <c r="SME34" s="575"/>
      <c r="SMF34" s="575"/>
      <c r="SMG34" s="575"/>
      <c r="SMH34" s="575"/>
      <c r="SMI34" s="575"/>
      <c r="SMJ34" s="575"/>
      <c r="SMK34" s="575"/>
      <c r="SML34" s="575"/>
      <c r="SMM34" s="575"/>
      <c r="SMN34" s="575"/>
      <c r="SMO34" s="575"/>
      <c r="SMP34" s="575"/>
      <c r="SMQ34" s="575"/>
      <c r="SMR34" s="575"/>
      <c r="SMS34" s="575"/>
      <c r="SMT34" s="575"/>
      <c r="SMU34" s="575"/>
      <c r="SMV34" s="575"/>
      <c r="SMW34" s="575"/>
      <c r="SMX34" s="575"/>
      <c r="SMY34" s="575"/>
      <c r="SMZ34" s="575"/>
      <c r="SNA34" s="575"/>
      <c r="SNB34" s="575"/>
      <c r="SNC34" s="575"/>
      <c r="SND34" s="575"/>
      <c r="SNE34" s="575"/>
      <c r="SNF34" s="575"/>
      <c r="SNG34" s="575"/>
      <c r="SNH34" s="575"/>
      <c r="SNI34" s="575"/>
      <c r="SNJ34" s="575"/>
      <c r="SNK34" s="575"/>
      <c r="SNL34" s="575"/>
      <c r="SNM34" s="575"/>
      <c r="SNN34" s="575"/>
      <c r="SNO34" s="575"/>
      <c r="SNP34" s="575"/>
      <c r="SNQ34" s="575"/>
      <c r="SNR34" s="575"/>
      <c r="SNS34" s="575"/>
      <c r="SNT34" s="575"/>
      <c r="SNU34" s="575"/>
      <c r="SNV34" s="575"/>
      <c r="SNW34" s="575"/>
      <c r="SNX34" s="575"/>
      <c r="SNY34" s="575"/>
      <c r="SNZ34" s="575"/>
      <c r="SOA34" s="575"/>
      <c r="SOB34" s="575"/>
      <c r="SOC34" s="575"/>
      <c r="SOD34" s="575"/>
      <c r="SOE34" s="575"/>
      <c r="SOF34" s="575"/>
      <c r="SOG34" s="575"/>
      <c r="SOH34" s="575"/>
      <c r="SOI34" s="575"/>
      <c r="SOJ34" s="575"/>
      <c r="SOK34" s="575"/>
      <c r="SOL34" s="575"/>
      <c r="SOM34" s="575"/>
      <c r="SON34" s="575"/>
      <c r="SOO34" s="575"/>
      <c r="SOP34" s="575"/>
      <c r="SOQ34" s="575"/>
      <c r="SOR34" s="575"/>
      <c r="SOS34" s="575"/>
      <c r="SOT34" s="575"/>
      <c r="SOU34" s="575"/>
      <c r="SOV34" s="575"/>
      <c r="SOW34" s="575"/>
      <c r="SOX34" s="575"/>
      <c r="SOY34" s="575"/>
      <c r="SOZ34" s="575"/>
      <c r="SPA34" s="575"/>
      <c r="SPB34" s="575"/>
      <c r="SPC34" s="575"/>
      <c r="SPD34" s="575"/>
      <c r="SPE34" s="575"/>
      <c r="SPF34" s="575"/>
      <c r="SPG34" s="575"/>
      <c r="SPH34" s="575"/>
      <c r="SPI34" s="575"/>
      <c r="SPJ34" s="575"/>
      <c r="SPK34" s="575"/>
      <c r="SPL34" s="575"/>
      <c r="SPM34" s="575"/>
      <c r="SPN34" s="575"/>
      <c r="SPO34" s="575"/>
      <c r="SPP34" s="575"/>
      <c r="SPQ34" s="575"/>
      <c r="SPR34" s="575"/>
      <c r="SPS34" s="575"/>
      <c r="SPT34" s="575"/>
      <c r="SPU34" s="575"/>
      <c r="SPV34" s="575"/>
      <c r="SPW34" s="575"/>
      <c r="SPX34" s="575"/>
      <c r="SPY34" s="575"/>
      <c r="SPZ34" s="575"/>
      <c r="SQA34" s="575"/>
      <c r="SQB34" s="575"/>
      <c r="SQC34" s="575"/>
      <c r="SQD34" s="575"/>
      <c r="SQE34" s="575"/>
      <c r="SQF34" s="575"/>
      <c r="SQG34" s="575"/>
      <c r="SQH34" s="575"/>
      <c r="SQI34" s="575"/>
      <c r="SQJ34" s="575"/>
      <c r="SQK34" s="575"/>
      <c r="SQL34" s="575"/>
      <c r="SQM34" s="575"/>
      <c r="SQN34" s="575"/>
      <c r="SQO34" s="575"/>
      <c r="SQP34" s="575"/>
      <c r="SQQ34" s="575"/>
      <c r="SQR34" s="575"/>
      <c r="SQS34" s="575"/>
      <c r="SQT34" s="575"/>
      <c r="SQU34" s="575"/>
      <c r="SQV34" s="575"/>
      <c r="SQW34" s="575"/>
      <c r="SQX34" s="575"/>
      <c r="SQY34" s="575"/>
      <c r="SQZ34" s="575"/>
      <c r="SRA34" s="575"/>
      <c r="SRB34" s="575"/>
      <c r="SRC34" s="575"/>
      <c r="SRD34" s="575"/>
      <c r="SRE34" s="575"/>
      <c r="SRF34" s="575"/>
      <c r="SRG34" s="575"/>
      <c r="SRH34" s="575"/>
      <c r="SRI34" s="575"/>
      <c r="SRJ34" s="575"/>
      <c r="SRK34" s="575"/>
      <c r="SRL34" s="575"/>
      <c r="SRM34" s="575"/>
      <c r="SRN34" s="575"/>
      <c r="SRO34" s="575"/>
      <c r="SRP34" s="575"/>
      <c r="SRQ34" s="575"/>
      <c r="SRR34" s="575"/>
      <c r="SRS34" s="575"/>
      <c r="SRT34" s="575"/>
      <c r="SRU34" s="575"/>
      <c r="SRV34" s="575"/>
      <c r="SRW34" s="575"/>
      <c r="SRX34" s="575"/>
      <c r="SRY34" s="575"/>
      <c r="SRZ34" s="575"/>
      <c r="SSA34" s="575"/>
      <c r="SSB34" s="575"/>
      <c r="SSC34" s="575"/>
      <c r="SSD34" s="575"/>
      <c r="SSE34" s="575"/>
      <c r="SSF34" s="575"/>
      <c r="SSG34" s="575"/>
      <c r="SSH34" s="575"/>
      <c r="SSI34" s="575"/>
      <c r="SSJ34" s="575"/>
      <c r="SSK34" s="575"/>
      <c r="SSL34" s="575"/>
      <c r="SSM34" s="575"/>
      <c r="SSN34" s="575"/>
      <c r="SSO34" s="575"/>
      <c r="SSP34" s="575"/>
      <c r="SSQ34" s="575"/>
      <c r="SSR34" s="575"/>
      <c r="SSS34" s="575"/>
      <c r="SST34" s="575"/>
      <c r="SSU34" s="575"/>
      <c r="SSV34" s="575"/>
      <c r="SSW34" s="575"/>
      <c r="SSX34" s="575"/>
      <c r="SSY34" s="575"/>
      <c r="SSZ34" s="575"/>
      <c r="STA34" s="575"/>
      <c r="STB34" s="575"/>
      <c r="STC34" s="575"/>
      <c r="STD34" s="575"/>
      <c r="STE34" s="575"/>
      <c r="STF34" s="575"/>
      <c r="STG34" s="575"/>
      <c r="STH34" s="575"/>
      <c r="STI34" s="575"/>
      <c r="STJ34" s="575"/>
      <c r="STK34" s="575"/>
      <c r="STL34" s="575"/>
      <c r="STM34" s="575"/>
      <c r="STN34" s="575"/>
      <c r="STO34" s="575"/>
      <c r="STP34" s="575"/>
      <c r="STQ34" s="575"/>
      <c r="STR34" s="575"/>
      <c r="STS34" s="575"/>
      <c r="STT34" s="575"/>
      <c r="STU34" s="575"/>
      <c r="STV34" s="575"/>
      <c r="STW34" s="575"/>
      <c r="STX34" s="575"/>
      <c r="STY34" s="575"/>
      <c r="STZ34" s="575"/>
      <c r="SUA34" s="575"/>
      <c r="SUB34" s="575"/>
      <c r="SUC34" s="575"/>
      <c r="SUD34" s="575"/>
      <c r="SUE34" s="575"/>
      <c r="SUF34" s="575"/>
      <c r="SUG34" s="575"/>
      <c r="SUH34" s="575"/>
      <c r="SUI34" s="575"/>
      <c r="SUJ34" s="575"/>
      <c r="SUK34" s="575"/>
      <c r="SUL34" s="575"/>
      <c r="SUM34" s="575"/>
      <c r="SUN34" s="575"/>
      <c r="SUO34" s="575"/>
      <c r="SUP34" s="575"/>
      <c r="SUQ34" s="575"/>
      <c r="SUR34" s="575"/>
      <c r="SUS34" s="575"/>
      <c r="SUT34" s="575"/>
      <c r="SUU34" s="575"/>
      <c r="SUV34" s="575"/>
      <c r="SUW34" s="575"/>
      <c r="SUX34" s="575"/>
      <c r="SUY34" s="575"/>
      <c r="SUZ34" s="575"/>
      <c r="SVA34" s="575"/>
      <c r="SVB34" s="575"/>
      <c r="SVC34" s="575"/>
      <c r="SVD34" s="575"/>
      <c r="SVE34" s="575"/>
      <c r="SVF34" s="575"/>
      <c r="SVG34" s="575"/>
      <c r="SVH34" s="575"/>
      <c r="SVI34" s="575"/>
      <c r="SVJ34" s="575"/>
      <c r="SVK34" s="575"/>
      <c r="SVL34" s="575"/>
      <c r="SVM34" s="575"/>
      <c r="SVN34" s="575"/>
      <c r="SVO34" s="575"/>
      <c r="SVP34" s="575"/>
      <c r="SVQ34" s="575"/>
      <c r="SVR34" s="575"/>
      <c r="SVS34" s="575"/>
      <c r="SVT34" s="575"/>
      <c r="SVU34" s="575"/>
      <c r="SVV34" s="575"/>
      <c r="SVW34" s="575"/>
      <c r="SVX34" s="575"/>
      <c r="SVY34" s="575"/>
      <c r="SVZ34" s="575"/>
      <c r="SWA34" s="575"/>
      <c r="SWB34" s="575"/>
      <c r="SWC34" s="575"/>
      <c r="SWD34" s="575"/>
      <c r="SWE34" s="575"/>
      <c r="SWF34" s="575"/>
      <c r="SWG34" s="575"/>
      <c r="SWH34" s="575"/>
      <c r="SWI34" s="575"/>
      <c r="SWJ34" s="575"/>
      <c r="SWK34" s="575"/>
      <c r="SWL34" s="575"/>
      <c r="SWM34" s="575"/>
      <c r="SWN34" s="575"/>
      <c r="SWO34" s="575"/>
      <c r="SWP34" s="575"/>
      <c r="SWQ34" s="575"/>
      <c r="SWR34" s="575"/>
      <c r="SWS34" s="575"/>
      <c r="SWT34" s="575"/>
      <c r="SWU34" s="575"/>
      <c r="SWV34" s="575"/>
      <c r="SWW34" s="575"/>
      <c r="SWX34" s="575"/>
      <c r="SWY34" s="575"/>
      <c r="SWZ34" s="575"/>
      <c r="SXA34" s="575"/>
      <c r="SXB34" s="575"/>
      <c r="SXC34" s="575"/>
      <c r="SXD34" s="575"/>
      <c r="SXE34" s="575"/>
      <c r="SXF34" s="575"/>
      <c r="SXG34" s="575"/>
      <c r="SXH34" s="575"/>
      <c r="SXI34" s="575"/>
      <c r="SXJ34" s="575"/>
      <c r="SXK34" s="575"/>
      <c r="SXL34" s="575"/>
      <c r="SXM34" s="575"/>
      <c r="SXN34" s="575"/>
      <c r="SXO34" s="575"/>
      <c r="SXP34" s="575"/>
      <c r="SXQ34" s="575"/>
      <c r="SXR34" s="575"/>
      <c r="SXS34" s="575"/>
      <c r="SXT34" s="575"/>
      <c r="SXU34" s="575"/>
      <c r="SXV34" s="575"/>
      <c r="SXW34" s="575"/>
      <c r="SXX34" s="575"/>
      <c r="SXY34" s="575"/>
      <c r="SXZ34" s="575"/>
      <c r="SYA34" s="575"/>
      <c r="SYB34" s="575"/>
      <c r="SYC34" s="575"/>
      <c r="SYD34" s="575"/>
      <c r="SYE34" s="575"/>
      <c r="SYF34" s="575"/>
      <c r="SYG34" s="575"/>
      <c r="SYH34" s="575"/>
      <c r="SYI34" s="575"/>
      <c r="SYJ34" s="575"/>
      <c r="SYK34" s="575"/>
      <c r="SYL34" s="575"/>
      <c r="SYM34" s="575"/>
      <c r="SYN34" s="575"/>
      <c r="SYO34" s="575"/>
      <c r="SYP34" s="575"/>
      <c r="SYQ34" s="575"/>
      <c r="SYR34" s="575"/>
      <c r="SYS34" s="575"/>
      <c r="SYT34" s="575"/>
      <c r="SYU34" s="575"/>
      <c r="SYV34" s="575"/>
      <c r="SYW34" s="575"/>
      <c r="SYX34" s="575"/>
      <c r="SYY34" s="575"/>
      <c r="SYZ34" s="575"/>
      <c r="SZA34" s="575"/>
      <c r="SZB34" s="575"/>
      <c r="SZC34" s="575"/>
      <c r="SZD34" s="575"/>
      <c r="SZE34" s="575"/>
      <c r="SZF34" s="575"/>
      <c r="SZG34" s="575"/>
      <c r="SZH34" s="575"/>
      <c r="SZI34" s="575"/>
      <c r="SZJ34" s="575"/>
      <c r="SZK34" s="575"/>
      <c r="SZL34" s="575"/>
      <c r="SZM34" s="575"/>
      <c r="SZN34" s="575"/>
      <c r="SZO34" s="575"/>
      <c r="SZP34" s="575"/>
      <c r="SZQ34" s="575"/>
      <c r="SZR34" s="575"/>
      <c r="SZS34" s="575"/>
      <c r="SZT34" s="575"/>
      <c r="SZU34" s="575"/>
      <c r="SZV34" s="575"/>
      <c r="SZW34" s="575"/>
      <c r="SZX34" s="575"/>
      <c r="SZY34" s="575"/>
      <c r="SZZ34" s="575"/>
      <c r="TAA34" s="575"/>
      <c r="TAB34" s="575"/>
      <c r="TAC34" s="575"/>
      <c r="TAD34" s="575"/>
      <c r="TAE34" s="575"/>
      <c r="TAF34" s="575"/>
      <c r="TAG34" s="575"/>
      <c r="TAH34" s="575"/>
      <c r="TAI34" s="575"/>
      <c r="TAJ34" s="575"/>
      <c r="TAK34" s="575"/>
      <c r="TAL34" s="575"/>
      <c r="TAM34" s="575"/>
      <c r="TAN34" s="575"/>
      <c r="TAO34" s="575"/>
      <c r="TAP34" s="575"/>
      <c r="TAQ34" s="575"/>
      <c r="TAR34" s="575"/>
      <c r="TAS34" s="575"/>
      <c r="TAT34" s="575"/>
      <c r="TAU34" s="575"/>
      <c r="TAV34" s="575"/>
      <c r="TAW34" s="575"/>
      <c r="TAX34" s="575"/>
      <c r="TAY34" s="575"/>
      <c r="TAZ34" s="575"/>
      <c r="TBA34" s="575"/>
      <c r="TBB34" s="575"/>
      <c r="TBC34" s="575"/>
      <c r="TBD34" s="575"/>
      <c r="TBE34" s="575"/>
      <c r="TBF34" s="575"/>
      <c r="TBG34" s="575"/>
      <c r="TBH34" s="575"/>
      <c r="TBI34" s="575"/>
      <c r="TBJ34" s="575"/>
      <c r="TBK34" s="575"/>
      <c r="TBL34" s="575"/>
      <c r="TBM34" s="575"/>
      <c r="TBN34" s="575"/>
      <c r="TBO34" s="575"/>
      <c r="TBP34" s="575"/>
      <c r="TBQ34" s="575"/>
      <c r="TBR34" s="575"/>
      <c r="TBS34" s="575"/>
      <c r="TBT34" s="575"/>
      <c r="TBU34" s="575"/>
      <c r="TBV34" s="575"/>
      <c r="TBW34" s="575"/>
      <c r="TBX34" s="575"/>
      <c r="TBY34" s="575"/>
      <c r="TBZ34" s="575"/>
      <c r="TCA34" s="575"/>
      <c r="TCB34" s="575"/>
      <c r="TCC34" s="575"/>
      <c r="TCD34" s="575"/>
      <c r="TCE34" s="575"/>
      <c r="TCF34" s="575"/>
      <c r="TCG34" s="575"/>
      <c r="TCH34" s="575"/>
      <c r="TCI34" s="575"/>
      <c r="TCJ34" s="575"/>
      <c r="TCK34" s="575"/>
      <c r="TCL34" s="575"/>
      <c r="TCM34" s="575"/>
      <c r="TCN34" s="575"/>
      <c r="TCO34" s="575"/>
      <c r="TCP34" s="575"/>
      <c r="TCQ34" s="575"/>
      <c r="TCR34" s="575"/>
      <c r="TCS34" s="575"/>
      <c r="TCT34" s="575"/>
      <c r="TCU34" s="575"/>
      <c r="TCV34" s="575"/>
      <c r="TCW34" s="575"/>
      <c r="TCX34" s="575"/>
      <c r="TCY34" s="575"/>
      <c r="TCZ34" s="575"/>
      <c r="TDA34" s="575"/>
      <c r="TDB34" s="575"/>
      <c r="TDC34" s="575"/>
      <c r="TDD34" s="575"/>
      <c r="TDE34" s="575"/>
      <c r="TDF34" s="575"/>
      <c r="TDG34" s="575"/>
      <c r="TDH34" s="575"/>
      <c r="TDI34" s="575"/>
      <c r="TDJ34" s="575"/>
      <c r="TDK34" s="575"/>
      <c r="TDL34" s="575"/>
      <c r="TDM34" s="575"/>
      <c r="TDN34" s="575"/>
      <c r="TDO34" s="575"/>
      <c r="TDP34" s="575"/>
      <c r="TDQ34" s="575"/>
      <c r="TDR34" s="575"/>
      <c r="TDS34" s="575"/>
      <c r="TDT34" s="575"/>
      <c r="TDU34" s="575"/>
      <c r="TDV34" s="575"/>
      <c r="TDW34" s="575"/>
      <c r="TDX34" s="575"/>
      <c r="TDY34" s="575"/>
      <c r="TDZ34" s="575"/>
      <c r="TEA34" s="575"/>
      <c r="TEB34" s="575"/>
      <c r="TEC34" s="575"/>
      <c r="TED34" s="575"/>
      <c r="TEE34" s="575"/>
      <c r="TEF34" s="575"/>
      <c r="TEG34" s="575"/>
      <c r="TEH34" s="575"/>
      <c r="TEI34" s="575"/>
      <c r="TEJ34" s="575"/>
      <c r="TEK34" s="575"/>
      <c r="TEL34" s="575"/>
      <c r="TEM34" s="575"/>
      <c r="TEN34" s="575"/>
      <c r="TEO34" s="575"/>
      <c r="TEP34" s="575"/>
      <c r="TEQ34" s="575"/>
      <c r="TER34" s="575"/>
      <c r="TES34" s="575"/>
      <c r="TET34" s="575"/>
      <c r="TEU34" s="575"/>
      <c r="TEV34" s="575"/>
      <c r="TEW34" s="575"/>
      <c r="TEX34" s="575"/>
      <c r="TEY34" s="575"/>
      <c r="TEZ34" s="575"/>
      <c r="TFA34" s="575"/>
      <c r="TFB34" s="575"/>
      <c r="TFC34" s="575"/>
      <c r="TFD34" s="575"/>
      <c r="TFE34" s="575"/>
      <c r="TFF34" s="575"/>
      <c r="TFG34" s="575"/>
      <c r="TFH34" s="575"/>
      <c r="TFI34" s="575"/>
      <c r="TFJ34" s="575"/>
      <c r="TFK34" s="575"/>
      <c r="TFL34" s="575"/>
      <c r="TFM34" s="575"/>
      <c r="TFN34" s="575"/>
      <c r="TFO34" s="575"/>
      <c r="TFP34" s="575"/>
      <c r="TFQ34" s="575"/>
      <c r="TFR34" s="575"/>
      <c r="TFS34" s="575"/>
      <c r="TFT34" s="575"/>
      <c r="TFU34" s="575"/>
      <c r="TFV34" s="575"/>
      <c r="TFW34" s="575"/>
      <c r="TFX34" s="575"/>
      <c r="TFY34" s="575"/>
      <c r="TFZ34" s="575"/>
      <c r="TGA34" s="575"/>
      <c r="TGB34" s="575"/>
      <c r="TGC34" s="575"/>
      <c r="TGD34" s="575"/>
      <c r="TGE34" s="575"/>
      <c r="TGF34" s="575"/>
      <c r="TGG34" s="575"/>
      <c r="TGH34" s="575"/>
      <c r="TGI34" s="575"/>
      <c r="TGJ34" s="575"/>
      <c r="TGK34" s="575"/>
      <c r="TGL34" s="575"/>
      <c r="TGM34" s="575"/>
      <c r="TGN34" s="575"/>
      <c r="TGO34" s="575"/>
      <c r="TGP34" s="575"/>
      <c r="TGQ34" s="575"/>
      <c r="TGR34" s="575"/>
      <c r="TGS34" s="575"/>
      <c r="TGT34" s="575"/>
      <c r="TGU34" s="575"/>
      <c r="TGV34" s="575"/>
      <c r="TGW34" s="575"/>
      <c r="TGX34" s="575"/>
      <c r="TGY34" s="575"/>
      <c r="TGZ34" s="575"/>
      <c r="THA34" s="575"/>
      <c r="THB34" s="575"/>
      <c r="THC34" s="575"/>
      <c r="THD34" s="575"/>
      <c r="THE34" s="575"/>
      <c r="THF34" s="575"/>
      <c r="THG34" s="575"/>
      <c r="THH34" s="575"/>
      <c r="THI34" s="575"/>
      <c r="THJ34" s="575"/>
      <c r="THK34" s="575"/>
      <c r="THL34" s="575"/>
      <c r="THM34" s="575"/>
      <c r="THN34" s="575"/>
      <c r="THO34" s="575"/>
      <c r="THP34" s="575"/>
      <c r="THQ34" s="575"/>
      <c r="THR34" s="575"/>
      <c r="THS34" s="575"/>
      <c r="THT34" s="575"/>
      <c r="THU34" s="575"/>
      <c r="THV34" s="575"/>
      <c r="THW34" s="575"/>
      <c r="THX34" s="575"/>
      <c r="THY34" s="575"/>
      <c r="THZ34" s="575"/>
      <c r="TIA34" s="575"/>
      <c r="TIB34" s="575"/>
      <c r="TIC34" s="575"/>
      <c r="TID34" s="575"/>
      <c r="TIE34" s="575"/>
      <c r="TIF34" s="575"/>
      <c r="TIG34" s="575"/>
      <c r="TIH34" s="575"/>
      <c r="TII34" s="575"/>
      <c r="TIJ34" s="575"/>
      <c r="TIK34" s="575"/>
      <c r="TIL34" s="575"/>
      <c r="TIM34" s="575"/>
      <c r="TIN34" s="575"/>
      <c r="TIO34" s="575"/>
      <c r="TIP34" s="575"/>
      <c r="TIQ34" s="575"/>
      <c r="TIR34" s="575"/>
      <c r="TIS34" s="575"/>
      <c r="TIT34" s="575"/>
      <c r="TIU34" s="575"/>
      <c r="TIV34" s="575"/>
      <c r="TIW34" s="575"/>
      <c r="TIX34" s="575"/>
      <c r="TIY34" s="575"/>
      <c r="TIZ34" s="575"/>
      <c r="TJA34" s="575"/>
      <c r="TJB34" s="575"/>
      <c r="TJC34" s="575"/>
      <c r="TJD34" s="575"/>
      <c r="TJE34" s="575"/>
      <c r="TJF34" s="575"/>
      <c r="TJG34" s="575"/>
      <c r="TJH34" s="575"/>
      <c r="TJI34" s="575"/>
      <c r="TJJ34" s="575"/>
      <c r="TJK34" s="575"/>
      <c r="TJL34" s="575"/>
      <c r="TJM34" s="575"/>
      <c r="TJN34" s="575"/>
      <c r="TJO34" s="575"/>
      <c r="TJP34" s="575"/>
      <c r="TJQ34" s="575"/>
      <c r="TJR34" s="575"/>
      <c r="TJS34" s="575"/>
      <c r="TJT34" s="575"/>
      <c r="TJU34" s="575"/>
      <c r="TJV34" s="575"/>
      <c r="TJW34" s="575"/>
      <c r="TJX34" s="575"/>
      <c r="TJY34" s="575"/>
      <c r="TJZ34" s="575"/>
      <c r="TKA34" s="575"/>
      <c r="TKB34" s="575"/>
      <c r="TKC34" s="575"/>
      <c r="TKD34" s="575"/>
      <c r="TKE34" s="575"/>
      <c r="TKF34" s="575"/>
      <c r="TKG34" s="575"/>
      <c r="TKH34" s="575"/>
      <c r="TKI34" s="575"/>
      <c r="TKJ34" s="575"/>
      <c r="TKK34" s="575"/>
      <c r="TKL34" s="575"/>
      <c r="TKM34" s="575"/>
      <c r="TKN34" s="575"/>
      <c r="TKO34" s="575"/>
      <c r="TKP34" s="575"/>
      <c r="TKQ34" s="575"/>
      <c r="TKR34" s="575"/>
      <c r="TKS34" s="575"/>
      <c r="TKT34" s="575"/>
      <c r="TKU34" s="575"/>
      <c r="TKV34" s="575"/>
      <c r="TKW34" s="575"/>
      <c r="TKX34" s="575"/>
      <c r="TKY34" s="575"/>
      <c r="TKZ34" s="575"/>
      <c r="TLA34" s="575"/>
      <c r="TLB34" s="575"/>
      <c r="TLC34" s="575"/>
      <c r="TLD34" s="575"/>
      <c r="TLE34" s="575"/>
      <c r="TLF34" s="575"/>
      <c r="TLG34" s="575"/>
      <c r="TLH34" s="575"/>
      <c r="TLI34" s="575"/>
      <c r="TLJ34" s="575"/>
      <c r="TLK34" s="575"/>
      <c r="TLL34" s="575"/>
      <c r="TLM34" s="575"/>
      <c r="TLN34" s="575"/>
      <c r="TLO34" s="575"/>
      <c r="TLP34" s="575"/>
      <c r="TLQ34" s="575"/>
      <c r="TLR34" s="575"/>
      <c r="TLS34" s="575"/>
      <c r="TLT34" s="575"/>
      <c r="TLU34" s="575"/>
      <c r="TLV34" s="575"/>
      <c r="TLW34" s="575"/>
      <c r="TLX34" s="575"/>
      <c r="TLY34" s="575"/>
      <c r="TLZ34" s="575"/>
      <c r="TMA34" s="575"/>
      <c r="TMB34" s="575"/>
      <c r="TMC34" s="575"/>
      <c r="TMD34" s="575"/>
      <c r="TME34" s="575"/>
      <c r="TMF34" s="575"/>
      <c r="TMG34" s="575"/>
      <c r="TMH34" s="575"/>
      <c r="TMI34" s="575"/>
      <c r="TMJ34" s="575"/>
      <c r="TMK34" s="575"/>
      <c r="TML34" s="575"/>
      <c r="TMM34" s="575"/>
      <c r="TMN34" s="575"/>
      <c r="TMO34" s="575"/>
      <c r="TMP34" s="575"/>
      <c r="TMQ34" s="575"/>
      <c r="TMR34" s="575"/>
      <c r="TMS34" s="575"/>
      <c r="TMT34" s="575"/>
      <c r="TMU34" s="575"/>
      <c r="TMV34" s="575"/>
      <c r="TMW34" s="575"/>
      <c r="TMX34" s="575"/>
      <c r="TMY34" s="575"/>
      <c r="TMZ34" s="575"/>
      <c r="TNA34" s="575"/>
      <c r="TNB34" s="575"/>
      <c r="TNC34" s="575"/>
      <c r="TND34" s="575"/>
      <c r="TNE34" s="575"/>
      <c r="TNF34" s="575"/>
      <c r="TNG34" s="575"/>
      <c r="TNH34" s="575"/>
      <c r="TNI34" s="575"/>
      <c r="TNJ34" s="575"/>
      <c r="TNK34" s="575"/>
      <c r="TNL34" s="575"/>
      <c r="TNM34" s="575"/>
      <c r="TNN34" s="575"/>
      <c r="TNO34" s="575"/>
      <c r="TNP34" s="575"/>
      <c r="TNQ34" s="575"/>
      <c r="TNR34" s="575"/>
      <c r="TNS34" s="575"/>
      <c r="TNT34" s="575"/>
      <c r="TNU34" s="575"/>
      <c r="TNV34" s="575"/>
      <c r="TNW34" s="575"/>
      <c r="TNX34" s="575"/>
      <c r="TNY34" s="575"/>
      <c r="TNZ34" s="575"/>
      <c r="TOA34" s="575"/>
      <c r="TOB34" s="575"/>
      <c r="TOC34" s="575"/>
      <c r="TOD34" s="575"/>
      <c r="TOE34" s="575"/>
      <c r="TOF34" s="575"/>
      <c r="TOG34" s="575"/>
      <c r="TOH34" s="575"/>
      <c r="TOI34" s="575"/>
      <c r="TOJ34" s="575"/>
      <c r="TOK34" s="575"/>
      <c r="TOL34" s="575"/>
      <c r="TOM34" s="575"/>
      <c r="TON34" s="575"/>
      <c r="TOO34" s="575"/>
      <c r="TOP34" s="575"/>
      <c r="TOQ34" s="575"/>
      <c r="TOR34" s="575"/>
      <c r="TOS34" s="575"/>
      <c r="TOT34" s="575"/>
      <c r="TOU34" s="575"/>
      <c r="TOV34" s="575"/>
      <c r="TOW34" s="575"/>
      <c r="TOX34" s="575"/>
      <c r="TOY34" s="575"/>
      <c r="TOZ34" s="575"/>
      <c r="TPA34" s="575"/>
      <c r="TPB34" s="575"/>
      <c r="TPC34" s="575"/>
      <c r="TPD34" s="575"/>
      <c r="TPE34" s="575"/>
      <c r="TPF34" s="575"/>
      <c r="TPG34" s="575"/>
      <c r="TPH34" s="575"/>
      <c r="TPI34" s="575"/>
      <c r="TPJ34" s="575"/>
      <c r="TPK34" s="575"/>
      <c r="TPL34" s="575"/>
      <c r="TPM34" s="575"/>
      <c r="TPN34" s="575"/>
      <c r="TPO34" s="575"/>
      <c r="TPP34" s="575"/>
      <c r="TPQ34" s="575"/>
      <c r="TPR34" s="575"/>
      <c r="TPS34" s="575"/>
      <c r="TPT34" s="575"/>
      <c r="TPU34" s="575"/>
      <c r="TPV34" s="575"/>
      <c r="TPW34" s="575"/>
      <c r="TPX34" s="575"/>
      <c r="TPY34" s="575"/>
      <c r="TPZ34" s="575"/>
      <c r="TQA34" s="575"/>
      <c r="TQB34" s="575"/>
      <c r="TQC34" s="575"/>
      <c r="TQD34" s="575"/>
      <c r="TQE34" s="575"/>
      <c r="TQF34" s="575"/>
      <c r="TQG34" s="575"/>
      <c r="TQH34" s="575"/>
      <c r="TQI34" s="575"/>
      <c r="TQJ34" s="575"/>
      <c r="TQK34" s="575"/>
      <c r="TQL34" s="575"/>
      <c r="TQM34" s="575"/>
      <c r="TQN34" s="575"/>
      <c r="TQO34" s="575"/>
      <c r="TQP34" s="575"/>
      <c r="TQQ34" s="575"/>
      <c r="TQR34" s="575"/>
      <c r="TQS34" s="575"/>
      <c r="TQT34" s="575"/>
      <c r="TQU34" s="575"/>
      <c r="TQV34" s="575"/>
      <c r="TQW34" s="575"/>
      <c r="TQX34" s="575"/>
      <c r="TQY34" s="575"/>
      <c r="TQZ34" s="575"/>
      <c r="TRA34" s="575"/>
      <c r="TRB34" s="575"/>
      <c r="TRC34" s="575"/>
      <c r="TRD34" s="575"/>
      <c r="TRE34" s="575"/>
      <c r="TRF34" s="575"/>
      <c r="TRG34" s="575"/>
      <c r="TRH34" s="575"/>
      <c r="TRI34" s="575"/>
      <c r="TRJ34" s="575"/>
      <c r="TRK34" s="575"/>
      <c r="TRL34" s="575"/>
      <c r="TRM34" s="575"/>
      <c r="TRN34" s="575"/>
      <c r="TRO34" s="575"/>
      <c r="TRP34" s="575"/>
      <c r="TRQ34" s="575"/>
      <c r="TRR34" s="575"/>
      <c r="TRS34" s="575"/>
      <c r="TRT34" s="575"/>
      <c r="TRU34" s="575"/>
      <c r="TRV34" s="575"/>
      <c r="TRW34" s="575"/>
      <c r="TRX34" s="575"/>
      <c r="TRY34" s="575"/>
      <c r="TRZ34" s="575"/>
      <c r="TSA34" s="575"/>
      <c r="TSB34" s="575"/>
      <c r="TSC34" s="575"/>
      <c r="TSD34" s="575"/>
      <c r="TSE34" s="575"/>
      <c r="TSF34" s="575"/>
      <c r="TSG34" s="575"/>
      <c r="TSH34" s="575"/>
      <c r="TSI34" s="575"/>
      <c r="TSJ34" s="575"/>
      <c r="TSK34" s="575"/>
      <c r="TSL34" s="575"/>
      <c r="TSM34" s="575"/>
      <c r="TSN34" s="575"/>
      <c r="TSO34" s="575"/>
      <c r="TSP34" s="575"/>
      <c r="TSQ34" s="575"/>
      <c r="TSR34" s="575"/>
      <c r="TSS34" s="575"/>
      <c r="TST34" s="575"/>
      <c r="TSU34" s="575"/>
      <c r="TSV34" s="575"/>
      <c r="TSW34" s="575"/>
      <c r="TSX34" s="575"/>
      <c r="TSY34" s="575"/>
      <c r="TSZ34" s="575"/>
      <c r="TTA34" s="575"/>
      <c r="TTB34" s="575"/>
      <c r="TTC34" s="575"/>
      <c r="TTD34" s="575"/>
      <c r="TTE34" s="575"/>
      <c r="TTF34" s="575"/>
      <c r="TTG34" s="575"/>
      <c r="TTH34" s="575"/>
      <c r="TTI34" s="575"/>
      <c r="TTJ34" s="575"/>
      <c r="TTK34" s="575"/>
      <c r="TTL34" s="575"/>
      <c r="TTM34" s="575"/>
      <c r="TTN34" s="575"/>
      <c r="TTO34" s="575"/>
      <c r="TTP34" s="575"/>
      <c r="TTQ34" s="575"/>
      <c r="TTR34" s="575"/>
      <c r="TTS34" s="575"/>
      <c r="TTT34" s="575"/>
      <c r="TTU34" s="575"/>
      <c r="TTV34" s="575"/>
      <c r="TTW34" s="575"/>
      <c r="TTX34" s="575"/>
      <c r="TTY34" s="575"/>
      <c r="TTZ34" s="575"/>
      <c r="TUA34" s="575"/>
      <c r="TUB34" s="575"/>
      <c r="TUC34" s="575"/>
      <c r="TUD34" s="575"/>
      <c r="TUE34" s="575"/>
      <c r="TUF34" s="575"/>
      <c r="TUG34" s="575"/>
      <c r="TUH34" s="575"/>
      <c r="TUI34" s="575"/>
      <c r="TUJ34" s="575"/>
      <c r="TUK34" s="575"/>
      <c r="TUL34" s="575"/>
      <c r="TUM34" s="575"/>
      <c r="TUN34" s="575"/>
      <c r="TUO34" s="575"/>
      <c r="TUP34" s="575"/>
      <c r="TUQ34" s="575"/>
      <c r="TUR34" s="575"/>
      <c r="TUS34" s="575"/>
      <c r="TUT34" s="575"/>
      <c r="TUU34" s="575"/>
      <c r="TUV34" s="575"/>
      <c r="TUW34" s="575"/>
      <c r="TUX34" s="575"/>
      <c r="TUY34" s="575"/>
      <c r="TUZ34" s="575"/>
      <c r="TVA34" s="575"/>
      <c r="TVB34" s="575"/>
      <c r="TVC34" s="575"/>
      <c r="TVD34" s="575"/>
      <c r="TVE34" s="575"/>
      <c r="TVF34" s="575"/>
      <c r="TVG34" s="575"/>
      <c r="TVH34" s="575"/>
      <c r="TVI34" s="575"/>
      <c r="TVJ34" s="575"/>
      <c r="TVK34" s="575"/>
      <c r="TVL34" s="575"/>
      <c r="TVM34" s="575"/>
      <c r="TVN34" s="575"/>
      <c r="TVO34" s="575"/>
      <c r="TVP34" s="575"/>
      <c r="TVQ34" s="575"/>
      <c r="TVR34" s="575"/>
      <c r="TVS34" s="575"/>
      <c r="TVT34" s="575"/>
      <c r="TVU34" s="575"/>
      <c r="TVV34" s="575"/>
      <c r="TVW34" s="575"/>
      <c r="TVX34" s="575"/>
      <c r="TVY34" s="575"/>
      <c r="TVZ34" s="575"/>
      <c r="TWA34" s="575"/>
      <c r="TWB34" s="575"/>
      <c r="TWC34" s="575"/>
      <c r="TWD34" s="575"/>
      <c r="TWE34" s="575"/>
      <c r="TWF34" s="575"/>
      <c r="TWG34" s="575"/>
      <c r="TWH34" s="575"/>
      <c r="TWI34" s="575"/>
      <c r="TWJ34" s="575"/>
      <c r="TWK34" s="575"/>
      <c r="TWL34" s="575"/>
      <c r="TWM34" s="575"/>
      <c r="TWN34" s="575"/>
      <c r="TWO34" s="575"/>
      <c r="TWP34" s="575"/>
      <c r="TWQ34" s="575"/>
      <c r="TWR34" s="575"/>
      <c r="TWS34" s="575"/>
      <c r="TWT34" s="575"/>
      <c r="TWU34" s="575"/>
      <c r="TWV34" s="575"/>
      <c r="TWW34" s="575"/>
      <c r="TWX34" s="575"/>
      <c r="TWY34" s="575"/>
      <c r="TWZ34" s="575"/>
      <c r="TXA34" s="575"/>
      <c r="TXB34" s="575"/>
      <c r="TXC34" s="575"/>
      <c r="TXD34" s="575"/>
      <c r="TXE34" s="575"/>
      <c r="TXF34" s="575"/>
      <c r="TXG34" s="575"/>
      <c r="TXH34" s="575"/>
      <c r="TXI34" s="575"/>
      <c r="TXJ34" s="575"/>
      <c r="TXK34" s="575"/>
      <c r="TXL34" s="575"/>
      <c r="TXM34" s="575"/>
      <c r="TXN34" s="575"/>
      <c r="TXO34" s="575"/>
      <c r="TXP34" s="575"/>
      <c r="TXQ34" s="575"/>
      <c r="TXR34" s="575"/>
      <c r="TXS34" s="575"/>
      <c r="TXT34" s="575"/>
      <c r="TXU34" s="575"/>
      <c r="TXV34" s="575"/>
      <c r="TXW34" s="575"/>
      <c r="TXX34" s="575"/>
      <c r="TXY34" s="575"/>
      <c r="TXZ34" s="575"/>
      <c r="TYA34" s="575"/>
      <c r="TYB34" s="575"/>
      <c r="TYC34" s="575"/>
      <c r="TYD34" s="575"/>
      <c r="TYE34" s="575"/>
      <c r="TYF34" s="575"/>
      <c r="TYG34" s="575"/>
      <c r="TYH34" s="575"/>
      <c r="TYI34" s="575"/>
      <c r="TYJ34" s="575"/>
      <c r="TYK34" s="575"/>
      <c r="TYL34" s="575"/>
      <c r="TYM34" s="575"/>
      <c r="TYN34" s="575"/>
      <c r="TYO34" s="575"/>
      <c r="TYP34" s="575"/>
      <c r="TYQ34" s="575"/>
      <c r="TYR34" s="575"/>
      <c r="TYS34" s="575"/>
      <c r="TYT34" s="575"/>
      <c r="TYU34" s="575"/>
      <c r="TYV34" s="575"/>
      <c r="TYW34" s="575"/>
      <c r="TYX34" s="575"/>
      <c r="TYY34" s="575"/>
      <c r="TYZ34" s="575"/>
      <c r="TZA34" s="575"/>
      <c r="TZB34" s="575"/>
      <c r="TZC34" s="575"/>
      <c r="TZD34" s="575"/>
      <c r="TZE34" s="575"/>
      <c r="TZF34" s="575"/>
      <c r="TZG34" s="575"/>
      <c r="TZH34" s="575"/>
      <c r="TZI34" s="575"/>
      <c r="TZJ34" s="575"/>
      <c r="TZK34" s="575"/>
      <c r="TZL34" s="575"/>
      <c r="TZM34" s="575"/>
      <c r="TZN34" s="575"/>
      <c r="TZO34" s="575"/>
      <c r="TZP34" s="575"/>
      <c r="TZQ34" s="575"/>
      <c r="TZR34" s="575"/>
      <c r="TZS34" s="575"/>
      <c r="TZT34" s="575"/>
      <c r="TZU34" s="575"/>
      <c r="TZV34" s="575"/>
      <c r="TZW34" s="575"/>
      <c r="TZX34" s="575"/>
      <c r="TZY34" s="575"/>
      <c r="TZZ34" s="575"/>
      <c r="UAA34" s="575"/>
      <c r="UAB34" s="575"/>
      <c r="UAC34" s="575"/>
      <c r="UAD34" s="575"/>
      <c r="UAE34" s="575"/>
      <c r="UAF34" s="575"/>
      <c r="UAG34" s="575"/>
      <c r="UAH34" s="575"/>
      <c r="UAI34" s="575"/>
      <c r="UAJ34" s="575"/>
      <c r="UAK34" s="575"/>
      <c r="UAL34" s="575"/>
      <c r="UAM34" s="575"/>
      <c r="UAN34" s="575"/>
      <c r="UAO34" s="575"/>
      <c r="UAP34" s="575"/>
      <c r="UAQ34" s="575"/>
      <c r="UAR34" s="575"/>
      <c r="UAS34" s="575"/>
      <c r="UAT34" s="575"/>
      <c r="UAU34" s="575"/>
      <c r="UAV34" s="575"/>
      <c r="UAW34" s="575"/>
      <c r="UAX34" s="575"/>
      <c r="UAY34" s="575"/>
      <c r="UAZ34" s="575"/>
      <c r="UBA34" s="575"/>
      <c r="UBB34" s="575"/>
      <c r="UBC34" s="575"/>
      <c r="UBD34" s="575"/>
      <c r="UBE34" s="575"/>
      <c r="UBF34" s="575"/>
      <c r="UBG34" s="575"/>
      <c r="UBH34" s="575"/>
      <c r="UBI34" s="575"/>
      <c r="UBJ34" s="575"/>
      <c r="UBK34" s="575"/>
      <c r="UBL34" s="575"/>
      <c r="UBM34" s="575"/>
      <c r="UBN34" s="575"/>
      <c r="UBO34" s="575"/>
      <c r="UBP34" s="575"/>
      <c r="UBQ34" s="575"/>
      <c r="UBR34" s="575"/>
      <c r="UBS34" s="575"/>
      <c r="UBT34" s="575"/>
      <c r="UBU34" s="575"/>
      <c r="UBV34" s="575"/>
      <c r="UBW34" s="575"/>
      <c r="UBX34" s="575"/>
      <c r="UBY34" s="575"/>
      <c r="UBZ34" s="575"/>
      <c r="UCA34" s="575"/>
      <c r="UCB34" s="575"/>
      <c r="UCC34" s="575"/>
      <c r="UCD34" s="575"/>
      <c r="UCE34" s="575"/>
      <c r="UCF34" s="575"/>
      <c r="UCG34" s="575"/>
      <c r="UCH34" s="575"/>
      <c r="UCI34" s="575"/>
      <c r="UCJ34" s="575"/>
      <c r="UCK34" s="575"/>
      <c r="UCL34" s="575"/>
      <c r="UCM34" s="575"/>
      <c r="UCN34" s="575"/>
      <c r="UCO34" s="575"/>
      <c r="UCP34" s="575"/>
      <c r="UCQ34" s="575"/>
      <c r="UCR34" s="575"/>
      <c r="UCS34" s="575"/>
      <c r="UCT34" s="575"/>
      <c r="UCU34" s="575"/>
      <c r="UCV34" s="575"/>
      <c r="UCW34" s="575"/>
      <c r="UCX34" s="575"/>
      <c r="UCY34" s="575"/>
      <c r="UCZ34" s="575"/>
      <c r="UDA34" s="575"/>
      <c r="UDB34" s="575"/>
      <c r="UDC34" s="575"/>
      <c r="UDD34" s="575"/>
      <c r="UDE34" s="575"/>
      <c r="UDF34" s="575"/>
      <c r="UDG34" s="575"/>
      <c r="UDH34" s="575"/>
      <c r="UDI34" s="575"/>
      <c r="UDJ34" s="575"/>
      <c r="UDK34" s="575"/>
      <c r="UDL34" s="575"/>
      <c r="UDM34" s="575"/>
      <c r="UDN34" s="575"/>
      <c r="UDO34" s="575"/>
      <c r="UDP34" s="575"/>
      <c r="UDQ34" s="575"/>
      <c r="UDR34" s="575"/>
      <c r="UDS34" s="575"/>
      <c r="UDT34" s="575"/>
      <c r="UDU34" s="575"/>
      <c r="UDV34" s="575"/>
      <c r="UDW34" s="575"/>
      <c r="UDX34" s="575"/>
      <c r="UDY34" s="575"/>
      <c r="UDZ34" s="575"/>
      <c r="UEA34" s="575"/>
      <c r="UEB34" s="575"/>
      <c r="UEC34" s="575"/>
      <c r="UED34" s="575"/>
      <c r="UEE34" s="575"/>
      <c r="UEF34" s="575"/>
      <c r="UEG34" s="575"/>
      <c r="UEH34" s="575"/>
      <c r="UEI34" s="575"/>
      <c r="UEJ34" s="575"/>
      <c r="UEK34" s="575"/>
      <c r="UEL34" s="575"/>
      <c r="UEM34" s="575"/>
      <c r="UEN34" s="575"/>
      <c r="UEO34" s="575"/>
      <c r="UEP34" s="575"/>
      <c r="UEQ34" s="575"/>
      <c r="UER34" s="575"/>
      <c r="UES34" s="575"/>
      <c r="UET34" s="575"/>
      <c r="UEU34" s="575"/>
      <c r="UEV34" s="575"/>
      <c r="UEW34" s="575"/>
      <c r="UEX34" s="575"/>
      <c r="UEY34" s="575"/>
      <c r="UEZ34" s="575"/>
      <c r="UFA34" s="575"/>
      <c r="UFB34" s="575"/>
      <c r="UFC34" s="575"/>
      <c r="UFD34" s="575"/>
      <c r="UFE34" s="575"/>
      <c r="UFF34" s="575"/>
      <c r="UFG34" s="575"/>
      <c r="UFH34" s="575"/>
      <c r="UFI34" s="575"/>
      <c r="UFJ34" s="575"/>
      <c r="UFK34" s="575"/>
      <c r="UFL34" s="575"/>
      <c r="UFM34" s="575"/>
      <c r="UFN34" s="575"/>
      <c r="UFO34" s="575"/>
      <c r="UFP34" s="575"/>
      <c r="UFQ34" s="575"/>
      <c r="UFR34" s="575"/>
      <c r="UFS34" s="575"/>
      <c r="UFT34" s="575"/>
      <c r="UFU34" s="575"/>
      <c r="UFV34" s="575"/>
      <c r="UFW34" s="575"/>
      <c r="UFX34" s="575"/>
      <c r="UFY34" s="575"/>
      <c r="UFZ34" s="575"/>
      <c r="UGA34" s="575"/>
      <c r="UGB34" s="575"/>
      <c r="UGC34" s="575"/>
      <c r="UGD34" s="575"/>
      <c r="UGE34" s="575"/>
      <c r="UGF34" s="575"/>
      <c r="UGG34" s="575"/>
      <c r="UGH34" s="575"/>
      <c r="UGI34" s="575"/>
      <c r="UGJ34" s="575"/>
      <c r="UGK34" s="575"/>
      <c r="UGL34" s="575"/>
      <c r="UGM34" s="575"/>
      <c r="UGN34" s="575"/>
      <c r="UGO34" s="575"/>
      <c r="UGP34" s="575"/>
      <c r="UGQ34" s="575"/>
      <c r="UGR34" s="575"/>
      <c r="UGS34" s="575"/>
      <c r="UGT34" s="575"/>
      <c r="UGU34" s="575"/>
      <c r="UGV34" s="575"/>
      <c r="UGW34" s="575"/>
      <c r="UGX34" s="575"/>
      <c r="UGY34" s="575"/>
      <c r="UGZ34" s="575"/>
      <c r="UHA34" s="575"/>
      <c r="UHB34" s="575"/>
      <c r="UHC34" s="575"/>
      <c r="UHD34" s="575"/>
      <c r="UHE34" s="575"/>
      <c r="UHF34" s="575"/>
      <c r="UHG34" s="575"/>
      <c r="UHH34" s="575"/>
      <c r="UHI34" s="575"/>
      <c r="UHJ34" s="575"/>
      <c r="UHK34" s="575"/>
      <c r="UHL34" s="575"/>
      <c r="UHM34" s="575"/>
      <c r="UHN34" s="575"/>
      <c r="UHO34" s="575"/>
      <c r="UHP34" s="575"/>
      <c r="UHQ34" s="575"/>
      <c r="UHR34" s="575"/>
      <c r="UHS34" s="575"/>
      <c r="UHT34" s="575"/>
      <c r="UHU34" s="575"/>
      <c r="UHV34" s="575"/>
      <c r="UHW34" s="575"/>
      <c r="UHX34" s="575"/>
      <c r="UHY34" s="575"/>
      <c r="UHZ34" s="575"/>
      <c r="UIA34" s="575"/>
      <c r="UIB34" s="575"/>
      <c r="UIC34" s="575"/>
      <c r="UID34" s="575"/>
      <c r="UIE34" s="575"/>
      <c r="UIF34" s="575"/>
      <c r="UIG34" s="575"/>
      <c r="UIH34" s="575"/>
      <c r="UII34" s="575"/>
      <c r="UIJ34" s="575"/>
      <c r="UIK34" s="575"/>
      <c r="UIL34" s="575"/>
      <c r="UIM34" s="575"/>
      <c r="UIN34" s="575"/>
      <c r="UIO34" s="575"/>
      <c r="UIP34" s="575"/>
      <c r="UIQ34" s="575"/>
      <c r="UIR34" s="575"/>
      <c r="UIS34" s="575"/>
      <c r="UIT34" s="575"/>
      <c r="UIU34" s="575"/>
      <c r="UIV34" s="575"/>
      <c r="UIW34" s="575"/>
      <c r="UIX34" s="575"/>
      <c r="UIY34" s="575"/>
      <c r="UIZ34" s="575"/>
      <c r="UJA34" s="575"/>
      <c r="UJB34" s="575"/>
      <c r="UJC34" s="575"/>
      <c r="UJD34" s="575"/>
      <c r="UJE34" s="575"/>
      <c r="UJF34" s="575"/>
      <c r="UJG34" s="575"/>
      <c r="UJH34" s="575"/>
      <c r="UJI34" s="575"/>
      <c r="UJJ34" s="575"/>
      <c r="UJK34" s="575"/>
      <c r="UJL34" s="575"/>
      <c r="UJM34" s="575"/>
      <c r="UJN34" s="575"/>
      <c r="UJO34" s="575"/>
      <c r="UJP34" s="575"/>
      <c r="UJQ34" s="575"/>
      <c r="UJR34" s="575"/>
      <c r="UJS34" s="575"/>
      <c r="UJT34" s="575"/>
      <c r="UJU34" s="575"/>
      <c r="UJV34" s="575"/>
      <c r="UJW34" s="575"/>
      <c r="UJX34" s="575"/>
      <c r="UJY34" s="575"/>
      <c r="UJZ34" s="575"/>
      <c r="UKA34" s="575"/>
      <c r="UKB34" s="575"/>
      <c r="UKC34" s="575"/>
      <c r="UKD34" s="575"/>
      <c r="UKE34" s="575"/>
      <c r="UKF34" s="575"/>
      <c r="UKG34" s="575"/>
      <c r="UKH34" s="575"/>
      <c r="UKI34" s="575"/>
      <c r="UKJ34" s="575"/>
      <c r="UKK34" s="575"/>
      <c r="UKL34" s="575"/>
      <c r="UKM34" s="575"/>
      <c r="UKN34" s="575"/>
      <c r="UKO34" s="575"/>
      <c r="UKP34" s="575"/>
      <c r="UKQ34" s="575"/>
      <c r="UKR34" s="575"/>
      <c r="UKS34" s="575"/>
      <c r="UKT34" s="575"/>
      <c r="UKU34" s="575"/>
      <c r="UKV34" s="575"/>
      <c r="UKW34" s="575"/>
      <c r="UKX34" s="575"/>
      <c r="UKY34" s="575"/>
      <c r="UKZ34" s="575"/>
      <c r="ULA34" s="575"/>
      <c r="ULB34" s="575"/>
      <c r="ULC34" s="575"/>
      <c r="ULD34" s="575"/>
      <c r="ULE34" s="575"/>
      <c r="ULF34" s="575"/>
      <c r="ULG34" s="575"/>
      <c r="ULH34" s="575"/>
      <c r="ULI34" s="575"/>
      <c r="ULJ34" s="575"/>
      <c r="ULK34" s="575"/>
      <c r="ULL34" s="575"/>
      <c r="ULM34" s="575"/>
      <c r="ULN34" s="575"/>
      <c r="ULO34" s="575"/>
      <c r="ULP34" s="575"/>
      <c r="ULQ34" s="575"/>
      <c r="ULR34" s="575"/>
      <c r="ULS34" s="575"/>
      <c r="ULT34" s="575"/>
      <c r="ULU34" s="575"/>
      <c r="ULV34" s="575"/>
      <c r="ULW34" s="575"/>
      <c r="ULX34" s="575"/>
      <c r="ULY34" s="575"/>
      <c r="ULZ34" s="575"/>
      <c r="UMA34" s="575"/>
      <c r="UMB34" s="575"/>
      <c r="UMC34" s="575"/>
      <c r="UMD34" s="575"/>
      <c r="UME34" s="575"/>
      <c r="UMF34" s="575"/>
      <c r="UMG34" s="575"/>
      <c r="UMH34" s="575"/>
      <c r="UMI34" s="575"/>
      <c r="UMJ34" s="575"/>
      <c r="UMK34" s="575"/>
      <c r="UML34" s="575"/>
      <c r="UMM34" s="575"/>
      <c r="UMN34" s="575"/>
      <c r="UMO34" s="575"/>
      <c r="UMP34" s="575"/>
      <c r="UMQ34" s="575"/>
      <c r="UMR34" s="575"/>
      <c r="UMS34" s="575"/>
      <c r="UMT34" s="575"/>
      <c r="UMU34" s="575"/>
      <c r="UMV34" s="575"/>
      <c r="UMW34" s="575"/>
      <c r="UMX34" s="575"/>
      <c r="UMY34" s="575"/>
      <c r="UMZ34" s="575"/>
      <c r="UNA34" s="575"/>
      <c r="UNB34" s="575"/>
      <c r="UNC34" s="575"/>
      <c r="UND34" s="575"/>
      <c r="UNE34" s="575"/>
      <c r="UNF34" s="575"/>
      <c r="UNG34" s="575"/>
      <c r="UNH34" s="575"/>
      <c r="UNI34" s="575"/>
      <c r="UNJ34" s="575"/>
      <c r="UNK34" s="575"/>
      <c r="UNL34" s="575"/>
      <c r="UNM34" s="575"/>
      <c r="UNN34" s="575"/>
      <c r="UNO34" s="575"/>
      <c r="UNP34" s="575"/>
      <c r="UNQ34" s="575"/>
      <c r="UNR34" s="575"/>
      <c r="UNS34" s="575"/>
      <c r="UNT34" s="575"/>
      <c r="UNU34" s="575"/>
      <c r="UNV34" s="575"/>
      <c r="UNW34" s="575"/>
      <c r="UNX34" s="575"/>
      <c r="UNY34" s="575"/>
      <c r="UNZ34" s="575"/>
      <c r="UOA34" s="575"/>
      <c r="UOB34" s="575"/>
      <c r="UOC34" s="575"/>
      <c r="UOD34" s="575"/>
      <c r="UOE34" s="575"/>
      <c r="UOF34" s="575"/>
      <c r="UOG34" s="575"/>
      <c r="UOH34" s="575"/>
      <c r="UOI34" s="575"/>
      <c r="UOJ34" s="575"/>
      <c r="UOK34" s="575"/>
      <c r="UOL34" s="575"/>
      <c r="UOM34" s="575"/>
      <c r="UON34" s="575"/>
      <c r="UOO34" s="575"/>
      <c r="UOP34" s="575"/>
      <c r="UOQ34" s="575"/>
      <c r="UOR34" s="575"/>
      <c r="UOS34" s="575"/>
      <c r="UOT34" s="575"/>
      <c r="UOU34" s="575"/>
      <c r="UOV34" s="575"/>
      <c r="UOW34" s="575"/>
      <c r="UOX34" s="575"/>
      <c r="UOY34" s="575"/>
      <c r="UOZ34" s="575"/>
      <c r="UPA34" s="575"/>
      <c r="UPB34" s="575"/>
      <c r="UPC34" s="575"/>
      <c r="UPD34" s="575"/>
      <c r="UPE34" s="575"/>
      <c r="UPF34" s="575"/>
      <c r="UPG34" s="575"/>
      <c r="UPH34" s="575"/>
      <c r="UPI34" s="575"/>
      <c r="UPJ34" s="575"/>
      <c r="UPK34" s="575"/>
      <c r="UPL34" s="575"/>
      <c r="UPM34" s="575"/>
      <c r="UPN34" s="575"/>
      <c r="UPO34" s="575"/>
      <c r="UPP34" s="575"/>
      <c r="UPQ34" s="575"/>
      <c r="UPR34" s="575"/>
      <c r="UPS34" s="575"/>
      <c r="UPT34" s="575"/>
      <c r="UPU34" s="575"/>
      <c r="UPV34" s="575"/>
      <c r="UPW34" s="575"/>
      <c r="UPX34" s="575"/>
      <c r="UPY34" s="575"/>
      <c r="UPZ34" s="575"/>
      <c r="UQA34" s="575"/>
      <c r="UQB34" s="575"/>
      <c r="UQC34" s="575"/>
      <c r="UQD34" s="575"/>
      <c r="UQE34" s="575"/>
      <c r="UQF34" s="575"/>
      <c r="UQG34" s="575"/>
      <c r="UQH34" s="575"/>
      <c r="UQI34" s="575"/>
      <c r="UQJ34" s="575"/>
      <c r="UQK34" s="575"/>
      <c r="UQL34" s="575"/>
      <c r="UQM34" s="575"/>
      <c r="UQN34" s="575"/>
      <c r="UQO34" s="575"/>
      <c r="UQP34" s="575"/>
      <c r="UQQ34" s="575"/>
      <c r="UQR34" s="575"/>
      <c r="UQS34" s="575"/>
      <c r="UQT34" s="575"/>
      <c r="UQU34" s="575"/>
      <c r="UQV34" s="575"/>
      <c r="UQW34" s="575"/>
      <c r="UQX34" s="575"/>
      <c r="UQY34" s="575"/>
      <c r="UQZ34" s="575"/>
      <c r="URA34" s="575"/>
      <c r="URB34" s="575"/>
      <c r="URC34" s="575"/>
      <c r="URD34" s="575"/>
      <c r="URE34" s="575"/>
      <c r="URF34" s="575"/>
      <c r="URG34" s="575"/>
      <c r="URH34" s="575"/>
      <c r="URI34" s="575"/>
      <c r="URJ34" s="575"/>
      <c r="URK34" s="575"/>
      <c r="URL34" s="575"/>
      <c r="URM34" s="575"/>
      <c r="URN34" s="575"/>
      <c r="URO34" s="575"/>
      <c r="URP34" s="575"/>
      <c r="URQ34" s="575"/>
      <c r="URR34" s="575"/>
      <c r="URS34" s="575"/>
      <c r="URT34" s="575"/>
      <c r="URU34" s="575"/>
      <c r="URV34" s="575"/>
      <c r="URW34" s="575"/>
      <c r="URX34" s="575"/>
      <c r="URY34" s="575"/>
      <c r="URZ34" s="575"/>
      <c r="USA34" s="575"/>
      <c r="USB34" s="575"/>
      <c r="USC34" s="575"/>
      <c r="USD34" s="575"/>
      <c r="USE34" s="575"/>
      <c r="USF34" s="575"/>
      <c r="USG34" s="575"/>
      <c r="USH34" s="575"/>
      <c r="USI34" s="575"/>
      <c r="USJ34" s="575"/>
      <c r="USK34" s="575"/>
      <c r="USL34" s="575"/>
      <c r="USM34" s="575"/>
      <c r="USN34" s="575"/>
      <c r="USO34" s="575"/>
      <c r="USP34" s="575"/>
      <c r="USQ34" s="575"/>
      <c r="USR34" s="575"/>
      <c r="USS34" s="575"/>
      <c r="UST34" s="575"/>
      <c r="USU34" s="575"/>
      <c r="USV34" s="575"/>
      <c r="USW34" s="575"/>
      <c r="USX34" s="575"/>
      <c r="USY34" s="575"/>
      <c r="USZ34" s="575"/>
      <c r="UTA34" s="575"/>
      <c r="UTB34" s="575"/>
      <c r="UTC34" s="575"/>
      <c r="UTD34" s="575"/>
      <c r="UTE34" s="575"/>
      <c r="UTF34" s="575"/>
      <c r="UTG34" s="575"/>
      <c r="UTH34" s="575"/>
      <c r="UTI34" s="575"/>
      <c r="UTJ34" s="575"/>
      <c r="UTK34" s="575"/>
      <c r="UTL34" s="575"/>
      <c r="UTM34" s="575"/>
      <c r="UTN34" s="575"/>
      <c r="UTO34" s="575"/>
      <c r="UTP34" s="575"/>
      <c r="UTQ34" s="575"/>
      <c r="UTR34" s="575"/>
      <c r="UTS34" s="575"/>
      <c r="UTT34" s="575"/>
      <c r="UTU34" s="575"/>
      <c r="UTV34" s="575"/>
      <c r="UTW34" s="575"/>
      <c r="UTX34" s="575"/>
      <c r="UTY34" s="575"/>
      <c r="UTZ34" s="575"/>
      <c r="UUA34" s="575"/>
      <c r="UUB34" s="575"/>
      <c r="UUC34" s="575"/>
      <c r="UUD34" s="575"/>
      <c r="UUE34" s="575"/>
      <c r="UUF34" s="575"/>
      <c r="UUG34" s="575"/>
      <c r="UUH34" s="575"/>
      <c r="UUI34" s="575"/>
      <c r="UUJ34" s="575"/>
      <c r="UUK34" s="575"/>
      <c r="UUL34" s="575"/>
      <c r="UUM34" s="575"/>
      <c r="UUN34" s="575"/>
      <c r="UUO34" s="575"/>
      <c r="UUP34" s="575"/>
      <c r="UUQ34" s="575"/>
      <c r="UUR34" s="575"/>
      <c r="UUS34" s="575"/>
      <c r="UUT34" s="575"/>
      <c r="UUU34" s="575"/>
      <c r="UUV34" s="575"/>
      <c r="UUW34" s="575"/>
      <c r="UUX34" s="575"/>
      <c r="UUY34" s="575"/>
      <c r="UUZ34" s="575"/>
      <c r="UVA34" s="575"/>
      <c r="UVB34" s="575"/>
      <c r="UVC34" s="575"/>
      <c r="UVD34" s="575"/>
      <c r="UVE34" s="575"/>
      <c r="UVF34" s="575"/>
      <c r="UVG34" s="575"/>
      <c r="UVH34" s="575"/>
      <c r="UVI34" s="575"/>
      <c r="UVJ34" s="575"/>
      <c r="UVK34" s="575"/>
      <c r="UVL34" s="575"/>
      <c r="UVM34" s="575"/>
      <c r="UVN34" s="575"/>
      <c r="UVO34" s="575"/>
      <c r="UVP34" s="575"/>
      <c r="UVQ34" s="575"/>
      <c r="UVR34" s="575"/>
      <c r="UVS34" s="575"/>
      <c r="UVT34" s="575"/>
      <c r="UVU34" s="575"/>
      <c r="UVV34" s="575"/>
      <c r="UVW34" s="575"/>
      <c r="UVX34" s="575"/>
      <c r="UVY34" s="575"/>
      <c r="UVZ34" s="575"/>
      <c r="UWA34" s="575"/>
      <c r="UWB34" s="575"/>
      <c r="UWC34" s="575"/>
      <c r="UWD34" s="575"/>
      <c r="UWE34" s="575"/>
      <c r="UWF34" s="575"/>
      <c r="UWG34" s="575"/>
      <c r="UWH34" s="575"/>
      <c r="UWI34" s="575"/>
      <c r="UWJ34" s="575"/>
      <c r="UWK34" s="575"/>
      <c r="UWL34" s="575"/>
      <c r="UWM34" s="575"/>
      <c r="UWN34" s="575"/>
      <c r="UWO34" s="575"/>
      <c r="UWP34" s="575"/>
      <c r="UWQ34" s="575"/>
      <c r="UWR34" s="575"/>
      <c r="UWS34" s="575"/>
      <c r="UWT34" s="575"/>
      <c r="UWU34" s="575"/>
      <c r="UWV34" s="575"/>
      <c r="UWW34" s="575"/>
      <c r="UWX34" s="575"/>
      <c r="UWY34" s="575"/>
      <c r="UWZ34" s="575"/>
      <c r="UXA34" s="575"/>
      <c r="UXB34" s="575"/>
      <c r="UXC34" s="575"/>
      <c r="UXD34" s="575"/>
      <c r="UXE34" s="575"/>
      <c r="UXF34" s="575"/>
      <c r="UXG34" s="575"/>
      <c r="UXH34" s="575"/>
      <c r="UXI34" s="575"/>
      <c r="UXJ34" s="575"/>
      <c r="UXK34" s="575"/>
      <c r="UXL34" s="575"/>
      <c r="UXM34" s="575"/>
      <c r="UXN34" s="575"/>
      <c r="UXO34" s="575"/>
      <c r="UXP34" s="575"/>
      <c r="UXQ34" s="575"/>
      <c r="UXR34" s="575"/>
      <c r="UXS34" s="575"/>
      <c r="UXT34" s="575"/>
      <c r="UXU34" s="575"/>
      <c r="UXV34" s="575"/>
      <c r="UXW34" s="575"/>
      <c r="UXX34" s="575"/>
      <c r="UXY34" s="575"/>
      <c r="UXZ34" s="575"/>
      <c r="UYA34" s="575"/>
      <c r="UYB34" s="575"/>
      <c r="UYC34" s="575"/>
      <c r="UYD34" s="575"/>
      <c r="UYE34" s="575"/>
      <c r="UYF34" s="575"/>
      <c r="UYG34" s="575"/>
      <c r="UYH34" s="575"/>
      <c r="UYI34" s="575"/>
      <c r="UYJ34" s="575"/>
      <c r="UYK34" s="575"/>
      <c r="UYL34" s="575"/>
      <c r="UYM34" s="575"/>
      <c r="UYN34" s="575"/>
      <c r="UYO34" s="575"/>
      <c r="UYP34" s="575"/>
      <c r="UYQ34" s="575"/>
      <c r="UYR34" s="575"/>
      <c r="UYS34" s="575"/>
      <c r="UYT34" s="575"/>
      <c r="UYU34" s="575"/>
      <c r="UYV34" s="575"/>
      <c r="UYW34" s="575"/>
      <c r="UYX34" s="575"/>
      <c r="UYY34" s="575"/>
      <c r="UYZ34" s="575"/>
      <c r="UZA34" s="575"/>
      <c r="UZB34" s="575"/>
      <c r="UZC34" s="575"/>
      <c r="UZD34" s="575"/>
      <c r="UZE34" s="575"/>
      <c r="UZF34" s="575"/>
      <c r="UZG34" s="575"/>
      <c r="UZH34" s="575"/>
      <c r="UZI34" s="575"/>
      <c r="UZJ34" s="575"/>
      <c r="UZK34" s="575"/>
      <c r="UZL34" s="575"/>
      <c r="UZM34" s="575"/>
      <c r="UZN34" s="575"/>
      <c r="UZO34" s="575"/>
      <c r="UZP34" s="575"/>
      <c r="UZQ34" s="575"/>
      <c r="UZR34" s="575"/>
      <c r="UZS34" s="575"/>
      <c r="UZT34" s="575"/>
      <c r="UZU34" s="575"/>
      <c r="UZV34" s="575"/>
      <c r="UZW34" s="575"/>
      <c r="UZX34" s="575"/>
      <c r="UZY34" s="575"/>
      <c r="UZZ34" s="575"/>
      <c r="VAA34" s="575"/>
      <c r="VAB34" s="575"/>
      <c r="VAC34" s="575"/>
      <c r="VAD34" s="575"/>
      <c r="VAE34" s="575"/>
      <c r="VAF34" s="575"/>
      <c r="VAG34" s="575"/>
      <c r="VAH34" s="575"/>
      <c r="VAI34" s="575"/>
      <c r="VAJ34" s="575"/>
      <c r="VAK34" s="575"/>
      <c r="VAL34" s="575"/>
      <c r="VAM34" s="575"/>
      <c r="VAN34" s="575"/>
      <c r="VAO34" s="575"/>
      <c r="VAP34" s="575"/>
      <c r="VAQ34" s="575"/>
      <c r="VAR34" s="575"/>
      <c r="VAS34" s="575"/>
      <c r="VAT34" s="575"/>
      <c r="VAU34" s="575"/>
      <c r="VAV34" s="575"/>
      <c r="VAW34" s="575"/>
      <c r="VAX34" s="575"/>
      <c r="VAY34" s="575"/>
      <c r="VAZ34" s="575"/>
      <c r="VBA34" s="575"/>
      <c r="VBB34" s="575"/>
      <c r="VBC34" s="575"/>
      <c r="VBD34" s="575"/>
      <c r="VBE34" s="575"/>
      <c r="VBF34" s="575"/>
      <c r="VBG34" s="575"/>
      <c r="VBH34" s="575"/>
      <c r="VBI34" s="575"/>
      <c r="VBJ34" s="575"/>
      <c r="VBK34" s="575"/>
      <c r="VBL34" s="575"/>
      <c r="VBM34" s="575"/>
      <c r="VBN34" s="575"/>
      <c r="VBO34" s="575"/>
      <c r="VBP34" s="575"/>
      <c r="VBQ34" s="575"/>
      <c r="VBR34" s="575"/>
      <c r="VBS34" s="575"/>
      <c r="VBT34" s="575"/>
      <c r="VBU34" s="575"/>
      <c r="VBV34" s="575"/>
      <c r="VBW34" s="575"/>
      <c r="VBX34" s="575"/>
      <c r="VBY34" s="575"/>
      <c r="VBZ34" s="575"/>
      <c r="VCA34" s="575"/>
      <c r="VCB34" s="575"/>
      <c r="VCC34" s="575"/>
      <c r="VCD34" s="575"/>
      <c r="VCE34" s="575"/>
      <c r="VCF34" s="575"/>
      <c r="VCG34" s="575"/>
      <c r="VCH34" s="575"/>
      <c r="VCI34" s="575"/>
      <c r="VCJ34" s="575"/>
      <c r="VCK34" s="575"/>
      <c r="VCL34" s="575"/>
      <c r="VCM34" s="575"/>
      <c r="VCN34" s="575"/>
      <c r="VCO34" s="575"/>
      <c r="VCP34" s="575"/>
      <c r="VCQ34" s="575"/>
      <c r="VCR34" s="575"/>
      <c r="VCS34" s="575"/>
      <c r="VCT34" s="575"/>
      <c r="VCU34" s="575"/>
      <c r="VCV34" s="575"/>
      <c r="VCW34" s="575"/>
      <c r="VCX34" s="575"/>
      <c r="VCY34" s="575"/>
      <c r="VCZ34" s="575"/>
      <c r="VDA34" s="575"/>
      <c r="VDB34" s="575"/>
      <c r="VDC34" s="575"/>
      <c r="VDD34" s="575"/>
      <c r="VDE34" s="575"/>
      <c r="VDF34" s="575"/>
      <c r="VDG34" s="575"/>
      <c r="VDH34" s="575"/>
      <c r="VDI34" s="575"/>
      <c r="VDJ34" s="575"/>
      <c r="VDK34" s="575"/>
      <c r="VDL34" s="575"/>
      <c r="VDM34" s="575"/>
      <c r="VDN34" s="575"/>
      <c r="VDO34" s="575"/>
      <c r="VDP34" s="575"/>
      <c r="VDQ34" s="575"/>
      <c r="VDR34" s="575"/>
      <c r="VDS34" s="575"/>
      <c r="VDT34" s="575"/>
      <c r="VDU34" s="575"/>
      <c r="VDV34" s="575"/>
      <c r="VDW34" s="575"/>
      <c r="VDX34" s="575"/>
      <c r="VDY34" s="575"/>
      <c r="VDZ34" s="575"/>
      <c r="VEA34" s="575"/>
      <c r="VEB34" s="575"/>
      <c r="VEC34" s="575"/>
      <c r="VED34" s="575"/>
      <c r="VEE34" s="575"/>
      <c r="VEF34" s="575"/>
      <c r="VEG34" s="575"/>
      <c r="VEH34" s="575"/>
      <c r="VEI34" s="575"/>
      <c r="VEJ34" s="575"/>
      <c r="VEK34" s="575"/>
      <c r="VEL34" s="575"/>
      <c r="VEM34" s="575"/>
      <c r="VEN34" s="575"/>
      <c r="VEO34" s="575"/>
      <c r="VEP34" s="575"/>
      <c r="VEQ34" s="575"/>
      <c r="VER34" s="575"/>
      <c r="VES34" s="575"/>
      <c r="VET34" s="575"/>
      <c r="VEU34" s="575"/>
      <c r="VEV34" s="575"/>
      <c r="VEW34" s="575"/>
      <c r="VEX34" s="575"/>
      <c r="VEY34" s="575"/>
      <c r="VEZ34" s="575"/>
      <c r="VFA34" s="575"/>
      <c r="VFB34" s="575"/>
      <c r="VFC34" s="575"/>
      <c r="VFD34" s="575"/>
      <c r="VFE34" s="575"/>
      <c r="VFF34" s="575"/>
      <c r="VFG34" s="575"/>
      <c r="VFH34" s="575"/>
      <c r="VFI34" s="575"/>
      <c r="VFJ34" s="575"/>
      <c r="VFK34" s="575"/>
      <c r="VFL34" s="575"/>
      <c r="VFM34" s="575"/>
      <c r="VFN34" s="575"/>
      <c r="VFO34" s="575"/>
      <c r="VFP34" s="575"/>
      <c r="VFQ34" s="575"/>
      <c r="VFR34" s="575"/>
      <c r="VFS34" s="575"/>
      <c r="VFT34" s="575"/>
      <c r="VFU34" s="575"/>
      <c r="VFV34" s="575"/>
      <c r="VFW34" s="575"/>
      <c r="VFX34" s="575"/>
      <c r="VFY34" s="575"/>
      <c r="VFZ34" s="575"/>
      <c r="VGA34" s="575"/>
      <c r="VGB34" s="575"/>
      <c r="VGC34" s="575"/>
      <c r="VGD34" s="575"/>
      <c r="VGE34" s="575"/>
      <c r="VGF34" s="575"/>
      <c r="VGG34" s="575"/>
      <c r="VGH34" s="575"/>
      <c r="VGI34" s="575"/>
      <c r="VGJ34" s="575"/>
      <c r="VGK34" s="575"/>
      <c r="VGL34" s="575"/>
      <c r="VGM34" s="575"/>
      <c r="VGN34" s="575"/>
      <c r="VGO34" s="575"/>
      <c r="VGP34" s="575"/>
      <c r="VGQ34" s="575"/>
      <c r="VGR34" s="575"/>
      <c r="VGS34" s="575"/>
      <c r="VGT34" s="575"/>
      <c r="VGU34" s="575"/>
      <c r="VGV34" s="575"/>
      <c r="VGW34" s="575"/>
      <c r="VGX34" s="575"/>
      <c r="VGY34" s="575"/>
      <c r="VGZ34" s="575"/>
      <c r="VHA34" s="575"/>
      <c r="VHB34" s="575"/>
      <c r="VHC34" s="575"/>
      <c r="VHD34" s="575"/>
      <c r="VHE34" s="575"/>
      <c r="VHF34" s="575"/>
      <c r="VHG34" s="575"/>
      <c r="VHH34" s="575"/>
      <c r="VHI34" s="575"/>
      <c r="VHJ34" s="575"/>
      <c r="VHK34" s="575"/>
      <c r="VHL34" s="575"/>
      <c r="VHM34" s="575"/>
      <c r="VHN34" s="575"/>
      <c r="VHO34" s="575"/>
      <c r="VHP34" s="575"/>
      <c r="VHQ34" s="575"/>
      <c r="VHR34" s="575"/>
      <c r="VHS34" s="575"/>
      <c r="VHT34" s="575"/>
      <c r="VHU34" s="575"/>
      <c r="VHV34" s="575"/>
      <c r="VHW34" s="575"/>
      <c r="VHX34" s="575"/>
      <c r="VHY34" s="575"/>
      <c r="VHZ34" s="575"/>
      <c r="VIA34" s="575"/>
      <c r="VIB34" s="575"/>
      <c r="VIC34" s="575"/>
      <c r="VID34" s="575"/>
      <c r="VIE34" s="575"/>
      <c r="VIF34" s="575"/>
      <c r="VIG34" s="575"/>
      <c r="VIH34" s="575"/>
      <c r="VII34" s="575"/>
      <c r="VIJ34" s="575"/>
      <c r="VIK34" s="575"/>
      <c r="VIL34" s="575"/>
      <c r="VIM34" s="575"/>
      <c r="VIN34" s="575"/>
      <c r="VIO34" s="575"/>
      <c r="VIP34" s="575"/>
      <c r="VIQ34" s="575"/>
      <c r="VIR34" s="575"/>
      <c r="VIS34" s="575"/>
      <c r="VIT34" s="575"/>
      <c r="VIU34" s="575"/>
      <c r="VIV34" s="575"/>
      <c r="VIW34" s="575"/>
      <c r="VIX34" s="575"/>
      <c r="VIY34" s="575"/>
      <c r="VIZ34" s="575"/>
      <c r="VJA34" s="575"/>
      <c r="VJB34" s="575"/>
      <c r="VJC34" s="575"/>
      <c r="VJD34" s="575"/>
      <c r="VJE34" s="575"/>
      <c r="VJF34" s="575"/>
      <c r="VJG34" s="575"/>
      <c r="VJH34" s="575"/>
      <c r="VJI34" s="575"/>
      <c r="VJJ34" s="575"/>
      <c r="VJK34" s="575"/>
      <c r="VJL34" s="575"/>
      <c r="VJM34" s="575"/>
      <c r="VJN34" s="575"/>
      <c r="VJO34" s="575"/>
      <c r="VJP34" s="575"/>
      <c r="VJQ34" s="575"/>
      <c r="VJR34" s="575"/>
      <c r="VJS34" s="575"/>
      <c r="VJT34" s="575"/>
      <c r="VJU34" s="575"/>
      <c r="VJV34" s="575"/>
      <c r="VJW34" s="575"/>
      <c r="VJX34" s="575"/>
      <c r="VJY34" s="575"/>
      <c r="VJZ34" s="575"/>
      <c r="VKA34" s="575"/>
      <c r="VKB34" s="575"/>
      <c r="VKC34" s="575"/>
      <c r="VKD34" s="575"/>
      <c r="VKE34" s="575"/>
      <c r="VKF34" s="575"/>
      <c r="VKG34" s="575"/>
      <c r="VKH34" s="575"/>
      <c r="VKI34" s="575"/>
      <c r="VKJ34" s="575"/>
      <c r="VKK34" s="575"/>
      <c r="VKL34" s="575"/>
      <c r="VKM34" s="575"/>
      <c r="VKN34" s="575"/>
      <c r="VKO34" s="575"/>
      <c r="VKP34" s="575"/>
      <c r="VKQ34" s="575"/>
      <c r="VKR34" s="575"/>
      <c r="VKS34" s="575"/>
      <c r="VKT34" s="575"/>
      <c r="VKU34" s="575"/>
      <c r="VKV34" s="575"/>
      <c r="VKW34" s="575"/>
      <c r="VKX34" s="575"/>
      <c r="VKY34" s="575"/>
      <c r="VKZ34" s="575"/>
      <c r="VLA34" s="575"/>
      <c r="VLB34" s="575"/>
      <c r="VLC34" s="575"/>
      <c r="VLD34" s="575"/>
      <c r="VLE34" s="575"/>
      <c r="VLF34" s="575"/>
      <c r="VLG34" s="575"/>
      <c r="VLH34" s="575"/>
      <c r="VLI34" s="575"/>
      <c r="VLJ34" s="575"/>
      <c r="VLK34" s="575"/>
      <c r="VLL34" s="575"/>
      <c r="VLM34" s="575"/>
      <c r="VLN34" s="575"/>
      <c r="VLO34" s="575"/>
      <c r="VLP34" s="575"/>
      <c r="VLQ34" s="575"/>
      <c r="VLR34" s="575"/>
      <c r="VLS34" s="575"/>
      <c r="VLT34" s="575"/>
      <c r="VLU34" s="575"/>
      <c r="VLV34" s="575"/>
      <c r="VLW34" s="575"/>
      <c r="VLX34" s="575"/>
      <c r="VLY34" s="575"/>
      <c r="VLZ34" s="575"/>
      <c r="VMA34" s="575"/>
      <c r="VMB34" s="575"/>
      <c r="VMC34" s="575"/>
      <c r="VMD34" s="575"/>
      <c r="VME34" s="575"/>
      <c r="VMF34" s="575"/>
      <c r="VMG34" s="575"/>
      <c r="VMH34" s="575"/>
      <c r="VMI34" s="575"/>
      <c r="VMJ34" s="575"/>
      <c r="VMK34" s="575"/>
      <c r="VML34" s="575"/>
      <c r="VMM34" s="575"/>
      <c r="VMN34" s="575"/>
      <c r="VMO34" s="575"/>
      <c r="VMP34" s="575"/>
      <c r="VMQ34" s="575"/>
      <c r="VMR34" s="575"/>
      <c r="VMS34" s="575"/>
      <c r="VMT34" s="575"/>
      <c r="VMU34" s="575"/>
      <c r="VMV34" s="575"/>
      <c r="VMW34" s="575"/>
      <c r="VMX34" s="575"/>
      <c r="VMY34" s="575"/>
      <c r="VMZ34" s="575"/>
      <c r="VNA34" s="575"/>
      <c r="VNB34" s="575"/>
      <c r="VNC34" s="575"/>
      <c r="VND34" s="575"/>
      <c r="VNE34" s="575"/>
      <c r="VNF34" s="575"/>
      <c r="VNG34" s="575"/>
      <c r="VNH34" s="575"/>
      <c r="VNI34" s="575"/>
      <c r="VNJ34" s="575"/>
      <c r="VNK34" s="575"/>
      <c r="VNL34" s="575"/>
      <c r="VNM34" s="575"/>
      <c r="VNN34" s="575"/>
      <c r="VNO34" s="575"/>
      <c r="VNP34" s="575"/>
      <c r="VNQ34" s="575"/>
      <c r="VNR34" s="575"/>
      <c r="VNS34" s="575"/>
      <c r="VNT34" s="575"/>
      <c r="VNU34" s="575"/>
      <c r="VNV34" s="575"/>
      <c r="VNW34" s="575"/>
      <c r="VNX34" s="575"/>
      <c r="VNY34" s="575"/>
      <c r="VNZ34" s="575"/>
      <c r="VOA34" s="575"/>
      <c r="VOB34" s="575"/>
      <c r="VOC34" s="575"/>
      <c r="VOD34" s="575"/>
      <c r="VOE34" s="575"/>
      <c r="VOF34" s="575"/>
      <c r="VOG34" s="575"/>
      <c r="VOH34" s="575"/>
      <c r="VOI34" s="575"/>
      <c r="VOJ34" s="575"/>
      <c r="VOK34" s="575"/>
      <c r="VOL34" s="575"/>
      <c r="VOM34" s="575"/>
      <c r="VON34" s="575"/>
      <c r="VOO34" s="575"/>
      <c r="VOP34" s="575"/>
      <c r="VOQ34" s="575"/>
      <c r="VOR34" s="575"/>
      <c r="VOS34" s="575"/>
      <c r="VOT34" s="575"/>
      <c r="VOU34" s="575"/>
      <c r="VOV34" s="575"/>
      <c r="VOW34" s="575"/>
      <c r="VOX34" s="575"/>
      <c r="VOY34" s="575"/>
      <c r="VOZ34" s="575"/>
      <c r="VPA34" s="575"/>
      <c r="VPB34" s="575"/>
      <c r="VPC34" s="575"/>
      <c r="VPD34" s="575"/>
      <c r="VPE34" s="575"/>
      <c r="VPF34" s="575"/>
      <c r="VPG34" s="575"/>
      <c r="VPH34" s="575"/>
      <c r="VPI34" s="575"/>
      <c r="VPJ34" s="575"/>
      <c r="VPK34" s="575"/>
      <c r="VPL34" s="575"/>
      <c r="VPM34" s="575"/>
      <c r="VPN34" s="575"/>
      <c r="VPO34" s="575"/>
      <c r="VPP34" s="575"/>
      <c r="VPQ34" s="575"/>
      <c r="VPR34" s="575"/>
      <c r="VPS34" s="575"/>
      <c r="VPT34" s="575"/>
      <c r="VPU34" s="575"/>
      <c r="VPV34" s="575"/>
      <c r="VPW34" s="575"/>
      <c r="VPX34" s="575"/>
      <c r="VPY34" s="575"/>
      <c r="VPZ34" s="575"/>
      <c r="VQA34" s="575"/>
      <c r="VQB34" s="575"/>
      <c r="VQC34" s="575"/>
      <c r="VQD34" s="575"/>
      <c r="VQE34" s="575"/>
      <c r="VQF34" s="575"/>
      <c r="VQG34" s="575"/>
      <c r="VQH34" s="575"/>
      <c r="VQI34" s="575"/>
      <c r="VQJ34" s="575"/>
      <c r="VQK34" s="575"/>
      <c r="VQL34" s="575"/>
      <c r="VQM34" s="575"/>
      <c r="VQN34" s="575"/>
      <c r="VQO34" s="575"/>
      <c r="VQP34" s="575"/>
      <c r="VQQ34" s="575"/>
      <c r="VQR34" s="575"/>
      <c r="VQS34" s="575"/>
      <c r="VQT34" s="575"/>
      <c r="VQU34" s="575"/>
      <c r="VQV34" s="575"/>
      <c r="VQW34" s="575"/>
      <c r="VQX34" s="575"/>
      <c r="VQY34" s="575"/>
      <c r="VQZ34" s="575"/>
      <c r="VRA34" s="575"/>
      <c r="VRB34" s="575"/>
      <c r="VRC34" s="575"/>
      <c r="VRD34" s="575"/>
      <c r="VRE34" s="575"/>
      <c r="VRF34" s="575"/>
      <c r="VRG34" s="575"/>
      <c r="VRH34" s="575"/>
      <c r="VRI34" s="575"/>
      <c r="VRJ34" s="575"/>
      <c r="VRK34" s="575"/>
      <c r="VRL34" s="575"/>
      <c r="VRM34" s="575"/>
      <c r="VRN34" s="575"/>
      <c r="VRO34" s="575"/>
      <c r="VRP34" s="575"/>
      <c r="VRQ34" s="575"/>
      <c r="VRR34" s="575"/>
      <c r="VRS34" s="575"/>
      <c r="VRT34" s="575"/>
      <c r="VRU34" s="575"/>
      <c r="VRV34" s="575"/>
      <c r="VRW34" s="575"/>
      <c r="VRX34" s="575"/>
      <c r="VRY34" s="575"/>
      <c r="VRZ34" s="575"/>
      <c r="VSA34" s="575"/>
      <c r="VSB34" s="575"/>
      <c r="VSC34" s="575"/>
      <c r="VSD34" s="575"/>
      <c r="VSE34" s="575"/>
      <c r="VSF34" s="575"/>
      <c r="VSG34" s="575"/>
      <c r="VSH34" s="575"/>
      <c r="VSI34" s="575"/>
      <c r="VSJ34" s="575"/>
      <c r="VSK34" s="575"/>
      <c r="VSL34" s="575"/>
      <c r="VSM34" s="575"/>
      <c r="VSN34" s="575"/>
      <c r="VSO34" s="575"/>
      <c r="VSP34" s="575"/>
      <c r="VSQ34" s="575"/>
      <c r="VSR34" s="575"/>
      <c r="VSS34" s="575"/>
      <c r="VST34" s="575"/>
      <c r="VSU34" s="575"/>
      <c r="VSV34" s="575"/>
      <c r="VSW34" s="575"/>
      <c r="VSX34" s="575"/>
      <c r="VSY34" s="575"/>
      <c r="VSZ34" s="575"/>
      <c r="VTA34" s="575"/>
      <c r="VTB34" s="575"/>
      <c r="VTC34" s="575"/>
      <c r="VTD34" s="575"/>
      <c r="VTE34" s="575"/>
      <c r="VTF34" s="575"/>
      <c r="VTG34" s="575"/>
      <c r="VTH34" s="575"/>
      <c r="VTI34" s="575"/>
      <c r="VTJ34" s="575"/>
      <c r="VTK34" s="575"/>
      <c r="VTL34" s="575"/>
      <c r="VTM34" s="575"/>
      <c r="VTN34" s="575"/>
      <c r="VTO34" s="575"/>
      <c r="VTP34" s="575"/>
      <c r="VTQ34" s="575"/>
      <c r="VTR34" s="575"/>
      <c r="VTS34" s="575"/>
      <c r="VTT34" s="575"/>
      <c r="VTU34" s="575"/>
      <c r="VTV34" s="575"/>
      <c r="VTW34" s="575"/>
      <c r="VTX34" s="575"/>
      <c r="VTY34" s="575"/>
      <c r="VTZ34" s="575"/>
      <c r="VUA34" s="575"/>
      <c r="VUB34" s="575"/>
      <c r="VUC34" s="575"/>
      <c r="VUD34" s="575"/>
      <c r="VUE34" s="575"/>
      <c r="VUF34" s="575"/>
      <c r="VUG34" s="575"/>
      <c r="VUH34" s="575"/>
      <c r="VUI34" s="575"/>
      <c r="VUJ34" s="575"/>
      <c r="VUK34" s="575"/>
      <c r="VUL34" s="575"/>
      <c r="VUM34" s="575"/>
      <c r="VUN34" s="575"/>
      <c r="VUO34" s="575"/>
      <c r="VUP34" s="575"/>
      <c r="VUQ34" s="575"/>
      <c r="VUR34" s="575"/>
      <c r="VUS34" s="575"/>
      <c r="VUT34" s="575"/>
      <c r="VUU34" s="575"/>
      <c r="VUV34" s="575"/>
      <c r="VUW34" s="575"/>
      <c r="VUX34" s="575"/>
      <c r="VUY34" s="575"/>
      <c r="VUZ34" s="575"/>
      <c r="VVA34" s="575"/>
      <c r="VVB34" s="575"/>
      <c r="VVC34" s="575"/>
      <c r="VVD34" s="575"/>
      <c r="VVE34" s="575"/>
      <c r="VVF34" s="575"/>
      <c r="VVG34" s="575"/>
      <c r="VVH34" s="575"/>
      <c r="VVI34" s="575"/>
      <c r="VVJ34" s="575"/>
      <c r="VVK34" s="575"/>
      <c r="VVL34" s="575"/>
      <c r="VVM34" s="575"/>
      <c r="VVN34" s="575"/>
      <c r="VVO34" s="575"/>
      <c r="VVP34" s="575"/>
      <c r="VVQ34" s="575"/>
      <c r="VVR34" s="575"/>
      <c r="VVS34" s="575"/>
      <c r="VVT34" s="575"/>
      <c r="VVU34" s="575"/>
      <c r="VVV34" s="575"/>
      <c r="VVW34" s="575"/>
      <c r="VVX34" s="575"/>
      <c r="VVY34" s="575"/>
      <c r="VVZ34" s="575"/>
      <c r="VWA34" s="575"/>
      <c r="VWB34" s="575"/>
      <c r="VWC34" s="575"/>
      <c r="VWD34" s="575"/>
      <c r="VWE34" s="575"/>
      <c r="VWF34" s="575"/>
      <c r="VWG34" s="575"/>
      <c r="VWH34" s="575"/>
      <c r="VWI34" s="575"/>
      <c r="VWJ34" s="575"/>
      <c r="VWK34" s="575"/>
      <c r="VWL34" s="575"/>
      <c r="VWM34" s="575"/>
      <c r="VWN34" s="575"/>
      <c r="VWO34" s="575"/>
      <c r="VWP34" s="575"/>
      <c r="VWQ34" s="575"/>
      <c r="VWR34" s="575"/>
      <c r="VWS34" s="575"/>
      <c r="VWT34" s="575"/>
      <c r="VWU34" s="575"/>
      <c r="VWV34" s="575"/>
      <c r="VWW34" s="575"/>
      <c r="VWX34" s="575"/>
      <c r="VWY34" s="575"/>
      <c r="VWZ34" s="575"/>
      <c r="VXA34" s="575"/>
      <c r="VXB34" s="575"/>
      <c r="VXC34" s="575"/>
      <c r="VXD34" s="575"/>
      <c r="VXE34" s="575"/>
      <c r="VXF34" s="575"/>
      <c r="VXG34" s="575"/>
      <c r="VXH34" s="575"/>
      <c r="VXI34" s="575"/>
      <c r="VXJ34" s="575"/>
      <c r="VXK34" s="575"/>
      <c r="VXL34" s="575"/>
      <c r="VXM34" s="575"/>
      <c r="VXN34" s="575"/>
      <c r="VXO34" s="575"/>
      <c r="VXP34" s="575"/>
      <c r="VXQ34" s="575"/>
      <c r="VXR34" s="575"/>
      <c r="VXS34" s="575"/>
      <c r="VXT34" s="575"/>
      <c r="VXU34" s="575"/>
      <c r="VXV34" s="575"/>
      <c r="VXW34" s="575"/>
      <c r="VXX34" s="575"/>
      <c r="VXY34" s="575"/>
      <c r="VXZ34" s="575"/>
      <c r="VYA34" s="575"/>
      <c r="VYB34" s="575"/>
      <c r="VYC34" s="575"/>
      <c r="VYD34" s="575"/>
      <c r="VYE34" s="575"/>
      <c r="VYF34" s="575"/>
      <c r="VYG34" s="575"/>
      <c r="VYH34" s="575"/>
      <c r="VYI34" s="575"/>
      <c r="VYJ34" s="575"/>
      <c r="VYK34" s="575"/>
      <c r="VYL34" s="575"/>
      <c r="VYM34" s="575"/>
      <c r="VYN34" s="575"/>
      <c r="VYO34" s="575"/>
      <c r="VYP34" s="575"/>
      <c r="VYQ34" s="575"/>
      <c r="VYR34" s="575"/>
      <c r="VYS34" s="575"/>
      <c r="VYT34" s="575"/>
      <c r="VYU34" s="575"/>
      <c r="VYV34" s="575"/>
      <c r="VYW34" s="575"/>
      <c r="VYX34" s="575"/>
      <c r="VYY34" s="575"/>
      <c r="VYZ34" s="575"/>
      <c r="VZA34" s="575"/>
      <c r="VZB34" s="575"/>
      <c r="VZC34" s="575"/>
      <c r="VZD34" s="575"/>
      <c r="VZE34" s="575"/>
      <c r="VZF34" s="575"/>
      <c r="VZG34" s="575"/>
      <c r="VZH34" s="575"/>
      <c r="VZI34" s="575"/>
      <c r="VZJ34" s="575"/>
      <c r="VZK34" s="575"/>
      <c r="VZL34" s="575"/>
      <c r="VZM34" s="575"/>
      <c r="VZN34" s="575"/>
      <c r="VZO34" s="575"/>
      <c r="VZP34" s="575"/>
      <c r="VZQ34" s="575"/>
      <c r="VZR34" s="575"/>
      <c r="VZS34" s="575"/>
      <c r="VZT34" s="575"/>
      <c r="VZU34" s="575"/>
      <c r="VZV34" s="575"/>
      <c r="VZW34" s="575"/>
      <c r="VZX34" s="575"/>
      <c r="VZY34" s="575"/>
      <c r="VZZ34" s="575"/>
      <c r="WAA34" s="575"/>
      <c r="WAB34" s="575"/>
      <c r="WAC34" s="575"/>
      <c r="WAD34" s="575"/>
      <c r="WAE34" s="575"/>
      <c r="WAF34" s="575"/>
      <c r="WAG34" s="575"/>
      <c r="WAH34" s="575"/>
      <c r="WAI34" s="575"/>
      <c r="WAJ34" s="575"/>
      <c r="WAK34" s="575"/>
      <c r="WAL34" s="575"/>
      <c r="WAM34" s="575"/>
      <c r="WAN34" s="575"/>
      <c r="WAO34" s="575"/>
      <c r="WAP34" s="575"/>
      <c r="WAQ34" s="575"/>
      <c r="WAR34" s="575"/>
      <c r="WAS34" s="575"/>
      <c r="WAT34" s="575"/>
      <c r="WAU34" s="575"/>
      <c r="WAV34" s="575"/>
      <c r="WAW34" s="575"/>
      <c r="WAX34" s="575"/>
      <c r="WAY34" s="575"/>
      <c r="WAZ34" s="575"/>
      <c r="WBA34" s="575"/>
      <c r="WBB34" s="575"/>
      <c r="WBC34" s="575"/>
      <c r="WBD34" s="575"/>
      <c r="WBE34" s="575"/>
      <c r="WBF34" s="575"/>
      <c r="WBG34" s="575"/>
      <c r="WBH34" s="575"/>
      <c r="WBI34" s="575"/>
      <c r="WBJ34" s="575"/>
      <c r="WBK34" s="575"/>
      <c r="WBL34" s="575"/>
      <c r="WBM34" s="575"/>
      <c r="WBN34" s="575"/>
      <c r="WBO34" s="575"/>
      <c r="WBP34" s="575"/>
      <c r="WBQ34" s="575"/>
      <c r="WBR34" s="575"/>
      <c r="WBS34" s="575"/>
      <c r="WBT34" s="575"/>
      <c r="WBU34" s="575"/>
      <c r="WBV34" s="575"/>
      <c r="WBW34" s="575"/>
      <c r="WBX34" s="575"/>
      <c r="WBY34" s="575"/>
      <c r="WBZ34" s="575"/>
      <c r="WCA34" s="575"/>
      <c r="WCB34" s="575"/>
      <c r="WCC34" s="575"/>
      <c r="WCD34" s="575"/>
      <c r="WCE34" s="575"/>
      <c r="WCF34" s="575"/>
      <c r="WCG34" s="575"/>
      <c r="WCH34" s="575"/>
      <c r="WCI34" s="575"/>
      <c r="WCJ34" s="575"/>
      <c r="WCK34" s="575"/>
      <c r="WCL34" s="575"/>
      <c r="WCM34" s="575"/>
      <c r="WCN34" s="575"/>
      <c r="WCO34" s="575"/>
      <c r="WCP34" s="575"/>
      <c r="WCQ34" s="575"/>
      <c r="WCR34" s="575"/>
      <c r="WCS34" s="575"/>
      <c r="WCT34" s="575"/>
      <c r="WCU34" s="575"/>
      <c r="WCV34" s="575"/>
      <c r="WCW34" s="575"/>
      <c r="WCX34" s="575"/>
      <c r="WCY34" s="575"/>
      <c r="WCZ34" s="575"/>
      <c r="WDA34" s="575"/>
      <c r="WDB34" s="575"/>
      <c r="WDC34" s="575"/>
      <c r="WDD34" s="575"/>
      <c r="WDE34" s="575"/>
      <c r="WDF34" s="575"/>
      <c r="WDG34" s="575"/>
      <c r="WDH34" s="575"/>
      <c r="WDI34" s="575"/>
      <c r="WDJ34" s="575"/>
      <c r="WDK34" s="575"/>
      <c r="WDL34" s="575"/>
      <c r="WDM34" s="575"/>
      <c r="WDN34" s="575"/>
      <c r="WDO34" s="575"/>
      <c r="WDP34" s="575"/>
      <c r="WDQ34" s="575"/>
      <c r="WDR34" s="575"/>
      <c r="WDS34" s="575"/>
      <c r="WDT34" s="575"/>
      <c r="WDU34" s="575"/>
      <c r="WDV34" s="575"/>
      <c r="WDW34" s="575"/>
      <c r="WDX34" s="575"/>
      <c r="WDY34" s="575"/>
      <c r="WDZ34" s="575"/>
      <c r="WEA34" s="575"/>
      <c r="WEB34" s="575"/>
      <c r="WEC34" s="575"/>
      <c r="WED34" s="575"/>
      <c r="WEE34" s="575"/>
      <c r="WEF34" s="575"/>
      <c r="WEG34" s="575"/>
      <c r="WEH34" s="575"/>
      <c r="WEI34" s="575"/>
      <c r="WEJ34" s="575"/>
      <c r="WEK34" s="575"/>
      <c r="WEL34" s="575"/>
      <c r="WEM34" s="575"/>
      <c r="WEN34" s="575"/>
      <c r="WEO34" s="575"/>
      <c r="WEP34" s="575"/>
      <c r="WEQ34" s="575"/>
      <c r="WER34" s="575"/>
      <c r="WES34" s="575"/>
      <c r="WET34" s="575"/>
      <c r="WEU34" s="575"/>
      <c r="WEV34" s="575"/>
      <c r="WEW34" s="575"/>
      <c r="WEX34" s="575"/>
      <c r="WEY34" s="575"/>
      <c r="WEZ34" s="575"/>
      <c r="WFA34" s="575"/>
      <c r="WFB34" s="575"/>
      <c r="WFC34" s="575"/>
      <c r="WFD34" s="575"/>
      <c r="WFE34" s="575"/>
      <c r="WFF34" s="575"/>
      <c r="WFG34" s="575"/>
      <c r="WFH34" s="575"/>
      <c r="WFI34" s="575"/>
      <c r="WFJ34" s="575"/>
      <c r="WFK34" s="575"/>
      <c r="WFL34" s="575"/>
      <c r="WFM34" s="575"/>
      <c r="WFN34" s="575"/>
      <c r="WFO34" s="575"/>
      <c r="WFP34" s="575"/>
      <c r="WFQ34" s="575"/>
      <c r="WFR34" s="575"/>
      <c r="WFS34" s="575"/>
      <c r="WFT34" s="575"/>
      <c r="WFU34" s="575"/>
      <c r="WFV34" s="575"/>
      <c r="WFW34" s="575"/>
      <c r="WFX34" s="575"/>
      <c r="WFY34" s="575"/>
      <c r="WFZ34" s="575"/>
      <c r="WGA34" s="575"/>
      <c r="WGB34" s="575"/>
      <c r="WGC34" s="575"/>
      <c r="WGD34" s="575"/>
      <c r="WGE34" s="575"/>
      <c r="WGF34" s="575"/>
      <c r="WGG34" s="575"/>
      <c r="WGH34" s="575"/>
      <c r="WGI34" s="575"/>
      <c r="WGJ34" s="575"/>
      <c r="WGK34" s="575"/>
      <c r="WGL34" s="575"/>
      <c r="WGM34" s="575"/>
      <c r="WGN34" s="575"/>
      <c r="WGO34" s="575"/>
      <c r="WGP34" s="575"/>
      <c r="WGQ34" s="575"/>
      <c r="WGR34" s="575"/>
      <c r="WGS34" s="575"/>
      <c r="WGT34" s="575"/>
      <c r="WGU34" s="575"/>
      <c r="WGV34" s="575"/>
      <c r="WGW34" s="575"/>
      <c r="WGX34" s="575"/>
      <c r="WGY34" s="575"/>
      <c r="WGZ34" s="575"/>
      <c r="WHA34" s="575"/>
      <c r="WHB34" s="575"/>
      <c r="WHC34" s="575"/>
      <c r="WHD34" s="575"/>
      <c r="WHE34" s="575"/>
      <c r="WHF34" s="575"/>
      <c r="WHG34" s="575"/>
      <c r="WHH34" s="575"/>
      <c r="WHI34" s="575"/>
      <c r="WHJ34" s="575"/>
      <c r="WHK34" s="575"/>
      <c r="WHL34" s="575"/>
      <c r="WHM34" s="575"/>
      <c r="WHN34" s="575"/>
      <c r="WHO34" s="575"/>
      <c r="WHP34" s="575"/>
      <c r="WHQ34" s="575"/>
      <c r="WHR34" s="575"/>
      <c r="WHS34" s="575"/>
      <c r="WHT34" s="575"/>
      <c r="WHU34" s="575"/>
      <c r="WHV34" s="575"/>
      <c r="WHW34" s="575"/>
      <c r="WHX34" s="575"/>
      <c r="WHY34" s="575"/>
      <c r="WHZ34" s="575"/>
      <c r="WIA34" s="575"/>
      <c r="WIB34" s="575"/>
      <c r="WIC34" s="575"/>
      <c r="WID34" s="575"/>
      <c r="WIE34" s="575"/>
      <c r="WIF34" s="575"/>
      <c r="WIG34" s="575"/>
      <c r="WIH34" s="575"/>
      <c r="WII34" s="575"/>
      <c r="WIJ34" s="575"/>
      <c r="WIK34" s="575"/>
      <c r="WIL34" s="575"/>
      <c r="WIM34" s="575"/>
      <c r="WIN34" s="575"/>
      <c r="WIO34" s="575"/>
      <c r="WIP34" s="575"/>
      <c r="WIQ34" s="575"/>
      <c r="WIR34" s="575"/>
      <c r="WIS34" s="575"/>
      <c r="WIT34" s="575"/>
      <c r="WIU34" s="575"/>
      <c r="WIV34" s="575"/>
      <c r="WIW34" s="575"/>
      <c r="WIX34" s="575"/>
      <c r="WIY34" s="575"/>
      <c r="WIZ34" s="575"/>
      <c r="WJA34" s="575"/>
      <c r="WJB34" s="575"/>
      <c r="WJC34" s="575"/>
      <c r="WJD34" s="575"/>
      <c r="WJE34" s="575"/>
      <c r="WJF34" s="575"/>
      <c r="WJG34" s="575"/>
      <c r="WJH34" s="575"/>
      <c r="WJI34" s="575"/>
      <c r="WJJ34" s="575"/>
      <c r="WJK34" s="575"/>
      <c r="WJL34" s="575"/>
      <c r="WJM34" s="575"/>
      <c r="WJN34" s="575"/>
      <c r="WJO34" s="575"/>
      <c r="WJP34" s="575"/>
      <c r="WJQ34" s="575"/>
      <c r="WJR34" s="575"/>
      <c r="WJS34" s="575"/>
      <c r="WJT34" s="575"/>
      <c r="WJU34" s="575"/>
      <c r="WJV34" s="575"/>
      <c r="WJW34" s="575"/>
      <c r="WJX34" s="575"/>
      <c r="WJY34" s="575"/>
      <c r="WJZ34" s="575"/>
      <c r="WKA34" s="575"/>
      <c r="WKB34" s="575"/>
      <c r="WKC34" s="575"/>
      <c r="WKD34" s="575"/>
      <c r="WKE34" s="575"/>
      <c r="WKF34" s="575"/>
      <c r="WKG34" s="575"/>
      <c r="WKH34" s="575"/>
      <c r="WKI34" s="575"/>
      <c r="WKJ34" s="575"/>
      <c r="WKK34" s="575"/>
      <c r="WKL34" s="575"/>
      <c r="WKM34" s="575"/>
      <c r="WKN34" s="575"/>
      <c r="WKO34" s="575"/>
      <c r="WKP34" s="575"/>
      <c r="WKQ34" s="575"/>
      <c r="WKR34" s="575"/>
      <c r="WKS34" s="575"/>
      <c r="WKT34" s="575"/>
      <c r="WKU34" s="575"/>
      <c r="WKV34" s="575"/>
      <c r="WKW34" s="575"/>
      <c r="WKX34" s="575"/>
      <c r="WKY34" s="575"/>
      <c r="WKZ34" s="575"/>
      <c r="WLA34" s="575"/>
      <c r="WLB34" s="575"/>
      <c r="WLC34" s="575"/>
      <c r="WLD34" s="575"/>
      <c r="WLE34" s="575"/>
      <c r="WLF34" s="575"/>
      <c r="WLG34" s="575"/>
      <c r="WLH34" s="575"/>
      <c r="WLI34" s="575"/>
      <c r="WLJ34" s="575"/>
      <c r="WLK34" s="575"/>
      <c r="WLL34" s="575"/>
      <c r="WLM34" s="575"/>
      <c r="WLN34" s="575"/>
      <c r="WLO34" s="575"/>
      <c r="WLP34" s="575"/>
      <c r="WLQ34" s="575"/>
      <c r="WLR34" s="575"/>
      <c r="WLS34" s="575"/>
      <c r="WLT34" s="575"/>
      <c r="WLU34" s="575"/>
      <c r="WLV34" s="575"/>
      <c r="WLW34" s="575"/>
      <c r="WLX34" s="575"/>
      <c r="WLY34" s="575"/>
      <c r="WLZ34" s="575"/>
      <c r="WMA34" s="575"/>
      <c r="WMB34" s="575"/>
      <c r="WMC34" s="575"/>
      <c r="WMD34" s="575"/>
      <c r="WME34" s="575"/>
      <c r="WMF34" s="575"/>
      <c r="WMG34" s="575"/>
      <c r="WMH34" s="575"/>
      <c r="WMI34" s="575"/>
      <c r="WMJ34" s="575"/>
      <c r="WMK34" s="575"/>
      <c r="WML34" s="575"/>
      <c r="WMM34" s="575"/>
      <c r="WMN34" s="575"/>
      <c r="WMO34" s="575"/>
      <c r="WMP34" s="575"/>
      <c r="WMQ34" s="575"/>
      <c r="WMR34" s="575"/>
      <c r="WMS34" s="575"/>
      <c r="WMT34" s="575"/>
      <c r="WMU34" s="575"/>
      <c r="WMV34" s="575"/>
      <c r="WMW34" s="575"/>
      <c r="WMX34" s="575"/>
      <c r="WMY34" s="575"/>
      <c r="WMZ34" s="575"/>
      <c r="WNA34" s="575"/>
      <c r="WNB34" s="575"/>
      <c r="WNC34" s="575"/>
      <c r="WND34" s="575"/>
      <c r="WNE34" s="575"/>
      <c r="WNF34" s="575"/>
      <c r="WNG34" s="575"/>
      <c r="WNH34" s="575"/>
      <c r="WNI34" s="575"/>
      <c r="WNJ34" s="575"/>
      <c r="WNK34" s="575"/>
      <c r="WNL34" s="575"/>
      <c r="WNM34" s="575"/>
      <c r="WNN34" s="575"/>
      <c r="WNO34" s="575"/>
      <c r="WNP34" s="575"/>
      <c r="WNQ34" s="575"/>
      <c r="WNR34" s="575"/>
      <c r="WNS34" s="575"/>
      <c r="WNT34" s="575"/>
      <c r="WNU34" s="575"/>
      <c r="WNV34" s="575"/>
      <c r="WNW34" s="575"/>
      <c r="WNX34" s="575"/>
      <c r="WNY34" s="575"/>
      <c r="WNZ34" s="575"/>
      <c r="WOA34" s="575"/>
      <c r="WOB34" s="575"/>
      <c r="WOC34" s="575"/>
      <c r="WOD34" s="575"/>
      <c r="WOE34" s="575"/>
      <c r="WOF34" s="575"/>
      <c r="WOG34" s="575"/>
      <c r="WOH34" s="575"/>
      <c r="WOI34" s="575"/>
      <c r="WOJ34" s="575"/>
      <c r="WOK34" s="575"/>
      <c r="WOL34" s="575"/>
      <c r="WOM34" s="575"/>
      <c r="WON34" s="575"/>
      <c r="WOO34" s="575"/>
      <c r="WOP34" s="575"/>
      <c r="WOQ34" s="575"/>
      <c r="WOR34" s="575"/>
      <c r="WOS34" s="575"/>
      <c r="WOT34" s="575"/>
      <c r="WOU34" s="575"/>
      <c r="WOV34" s="575"/>
      <c r="WOW34" s="575"/>
      <c r="WOX34" s="575"/>
      <c r="WOY34" s="575"/>
      <c r="WOZ34" s="575"/>
      <c r="WPA34" s="575"/>
      <c r="WPB34" s="575"/>
      <c r="WPC34" s="575"/>
      <c r="WPD34" s="575"/>
      <c r="WPE34" s="575"/>
      <c r="WPF34" s="575"/>
      <c r="WPG34" s="575"/>
      <c r="WPH34" s="575"/>
      <c r="WPI34" s="575"/>
      <c r="WPJ34" s="575"/>
      <c r="WPK34" s="575"/>
      <c r="WPL34" s="575"/>
      <c r="WPM34" s="575"/>
      <c r="WPN34" s="575"/>
      <c r="WPO34" s="575"/>
      <c r="WPP34" s="575"/>
      <c r="WPQ34" s="575"/>
      <c r="WPR34" s="575"/>
      <c r="WPS34" s="575"/>
      <c r="WPT34" s="575"/>
      <c r="WPU34" s="575"/>
      <c r="WPV34" s="575"/>
      <c r="WPW34" s="575"/>
      <c r="WPX34" s="575"/>
      <c r="WPY34" s="575"/>
      <c r="WPZ34" s="575"/>
      <c r="WQA34" s="575"/>
      <c r="WQB34" s="575"/>
      <c r="WQC34" s="575"/>
      <c r="WQD34" s="575"/>
      <c r="WQE34" s="575"/>
      <c r="WQF34" s="575"/>
      <c r="WQG34" s="575"/>
      <c r="WQH34" s="575"/>
      <c r="WQI34" s="575"/>
      <c r="WQJ34" s="575"/>
      <c r="WQK34" s="575"/>
      <c r="WQL34" s="575"/>
      <c r="WQM34" s="575"/>
      <c r="WQN34" s="575"/>
      <c r="WQO34" s="575"/>
      <c r="WQP34" s="575"/>
      <c r="WQQ34" s="575"/>
      <c r="WQR34" s="575"/>
      <c r="WQS34" s="575"/>
      <c r="WQT34" s="575"/>
      <c r="WQU34" s="575"/>
      <c r="WQV34" s="575"/>
      <c r="WQW34" s="575"/>
      <c r="WQX34" s="575"/>
      <c r="WQY34" s="575"/>
      <c r="WQZ34" s="575"/>
      <c r="WRA34" s="575"/>
      <c r="WRB34" s="575"/>
      <c r="WRC34" s="575"/>
      <c r="WRD34" s="575"/>
      <c r="WRE34" s="575"/>
      <c r="WRF34" s="575"/>
      <c r="WRG34" s="575"/>
      <c r="WRH34" s="575"/>
      <c r="WRI34" s="575"/>
      <c r="WRJ34" s="575"/>
      <c r="WRK34" s="575"/>
      <c r="WRL34" s="575"/>
      <c r="WRM34" s="575"/>
      <c r="WRN34" s="575"/>
      <c r="WRO34" s="575"/>
      <c r="WRP34" s="575"/>
      <c r="WRQ34" s="575"/>
      <c r="WRR34" s="575"/>
      <c r="WRS34" s="575"/>
      <c r="WRT34" s="575"/>
      <c r="WRU34" s="575"/>
      <c r="WRV34" s="575"/>
      <c r="WRW34" s="575"/>
      <c r="WRX34" s="575"/>
      <c r="WRY34" s="575"/>
      <c r="WRZ34" s="575"/>
      <c r="WSA34" s="575"/>
      <c r="WSB34" s="575"/>
      <c r="WSC34" s="575"/>
      <c r="WSD34" s="575"/>
      <c r="WSE34" s="575"/>
      <c r="WSF34" s="575"/>
      <c r="WSG34" s="575"/>
      <c r="WSH34" s="575"/>
      <c r="WSI34" s="575"/>
      <c r="WSJ34" s="575"/>
      <c r="WSK34" s="575"/>
      <c r="WSL34" s="575"/>
      <c r="WSM34" s="575"/>
      <c r="WSN34" s="575"/>
      <c r="WSO34" s="575"/>
      <c r="WSP34" s="575"/>
      <c r="WSQ34" s="575"/>
      <c r="WSR34" s="575"/>
      <c r="WSS34" s="575"/>
      <c r="WST34" s="575"/>
      <c r="WSU34" s="575"/>
      <c r="WSV34" s="575"/>
      <c r="WSW34" s="575"/>
      <c r="WSX34" s="575"/>
      <c r="WSY34" s="575"/>
      <c r="WSZ34" s="575"/>
      <c r="WTA34" s="575"/>
      <c r="WTB34" s="575"/>
      <c r="WTC34" s="575"/>
      <c r="WTD34" s="575"/>
      <c r="WTE34" s="575"/>
      <c r="WTF34" s="575"/>
      <c r="WTG34" s="575"/>
      <c r="WTH34" s="575"/>
      <c r="WTI34" s="575"/>
      <c r="WTJ34" s="575"/>
      <c r="WTK34" s="575"/>
      <c r="WTL34" s="575"/>
      <c r="WTM34" s="575"/>
      <c r="WTN34" s="575"/>
      <c r="WTO34" s="575"/>
      <c r="WTP34" s="575"/>
      <c r="WTQ34" s="575"/>
      <c r="WTR34" s="575"/>
      <c r="WTS34" s="575"/>
      <c r="WTT34" s="575"/>
      <c r="WTU34" s="575"/>
      <c r="WTV34" s="575"/>
      <c r="WTW34" s="575"/>
      <c r="WTX34" s="575"/>
      <c r="WTY34" s="575"/>
      <c r="WTZ34" s="575"/>
      <c r="WUA34" s="575"/>
      <c r="WUB34" s="575"/>
      <c r="WUC34" s="575"/>
      <c r="WUD34" s="575"/>
      <c r="WUE34" s="575"/>
      <c r="WUF34" s="575"/>
      <c r="WUG34" s="575"/>
      <c r="WUH34" s="575"/>
      <c r="WUI34" s="575"/>
      <c r="WUJ34" s="575"/>
      <c r="WUK34" s="575"/>
      <c r="WUL34" s="575"/>
      <c r="WUM34" s="575"/>
      <c r="WUN34" s="575"/>
      <c r="WUO34" s="575"/>
      <c r="WUP34" s="575"/>
      <c r="WUQ34" s="575"/>
      <c r="WUR34" s="575"/>
      <c r="WUS34" s="575"/>
      <c r="WUT34" s="575"/>
      <c r="WUU34" s="575"/>
      <c r="WUV34" s="575"/>
      <c r="WUW34" s="575"/>
      <c r="WUX34" s="575"/>
      <c r="WUY34" s="575"/>
      <c r="WUZ34" s="575"/>
      <c r="WVA34" s="575"/>
      <c r="WVB34" s="575"/>
      <c r="WVC34" s="575"/>
      <c r="WVD34" s="575"/>
      <c r="WVE34" s="575"/>
      <c r="WVF34" s="575"/>
      <c r="WVG34" s="575"/>
      <c r="WVH34" s="575"/>
      <c r="WVI34" s="575"/>
      <c r="WVJ34" s="575"/>
      <c r="WVK34" s="575"/>
      <c r="WVL34" s="575"/>
      <c r="WVM34" s="575"/>
      <c r="WVN34" s="575"/>
      <c r="WVO34" s="575"/>
      <c r="WVP34" s="575"/>
      <c r="WVQ34" s="575"/>
      <c r="WVR34" s="575"/>
      <c r="WVS34" s="575"/>
      <c r="WVT34" s="575"/>
      <c r="WVU34" s="575"/>
      <c r="WVV34" s="575"/>
      <c r="WVW34" s="575"/>
      <c r="WVX34" s="575"/>
      <c r="WVY34" s="575"/>
      <c r="WVZ34" s="575"/>
      <c r="WWA34" s="575"/>
      <c r="WWB34" s="575"/>
      <c r="WWC34" s="575"/>
      <c r="WWD34" s="575"/>
      <c r="WWE34" s="575"/>
      <c r="WWF34" s="575"/>
      <c r="WWG34" s="575"/>
      <c r="WWH34" s="575"/>
      <c r="WWI34" s="575"/>
      <c r="WWJ34" s="575"/>
      <c r="WWK34" s="575"/>
      <c r="WWL34" s="575"/>
      <c r="WWM34" s="575"/>
      <c r="WWN34" s="575"/>
      <c r="WWO34" s="575"/>
      <c r="WWP34" s="575"/>
      <c r="WWQ34" s="575"/>
      <c r="WWR34" s="575"/>
      <c r="WWS34" s="575"/>
      <c r="WWT34" s="575"/>
      <c r="WWU34" s="575"/>
      <c r="WWV34" s="575"/>
      <c r="WWW34" s="575"/>
      <c r="WWX34" s="575"/>
      <c r="WWY34" s="575"/>
      <c r="WWZ34" s="575"/>
      <c r="WXA34" s="575"/>
      <c r="WXB34" s="575"/>
      <c r="WXC34" s="575"/>
      <c r="WXD34" s="575"/>
      <c r="WXE34" s="575"/>
      <c r="WXF34" s="575"/>
      <c r="WXG34" s="575"/>
      <c r="WXH34" s="575"/>
      <c r="WXI34" s="575"/>
      <c r="WXJ34" s="575"/>
      <c r="WXK34" s="575"/>
      <c r="WXL34" s="575"/>
      <c r="WXM34" s="575"/>
      <c r="WXN34" s="575"/>
      <c r="WXO34" s="575"/>
      <c r="WXP34" s="575"/>
      <c r="WXQ34" s="575"/>
      <c r="WXR34" s="575"/>
      <c r="WXS34" s="575"/>
      <c r="WXT34" s="575"/>
      <c r="WXU34" s="575"/>
      <c r="WXV34" s="575"/>
      <c r="WXW34" s="575"/>
      <c r="WXX34" s="575"/>
      <c r="WXY34" s="575"/>
      <c r="WXZ34" s="575"/>
      <c r="WYA34" s="575"/>
      <c r="WYB34" s="575"/>
      <c r="WYC34" s="575"/>
      <c r="WYD34" s="575"/>
      <c r="WYE34" s="575"/>
      <c r="WYF34" s="575"/>
      <c r="WYG34" s="575"/>
      <c r="WYH34" s="575"/>
      <c r="WYI34" s="575"/>
      <c r="WYJ34" s="575"/>
      <c r="WYK34" s="575"/>
      <c r="WYL34" s="575"/>
      <c r="WYM34" s="575"/>
      <c r="WYN34" s="575"/>
      <c r="WYO34" s="575"/>
      <c r="WYP34" s="575"/>
      <c r="WYQ34" s="575"/>
      <c r="WYR34" s="575"/>
      <c r="WYS34" s="575"/>
      <c r="WYT34" s="575"/>
      <c r="WYU34" s="575"/>
      <c r="WYV34" s="575"/>
      <c r="WYW34" s="575"/>
      <c r="WYX34" s="575"/>
      <c r="WYY34" s="575"/>
      <c r="WYZ34" s="575"/>
      <c r="WZA34" s="575"/>
      <c r="WZB34" s="575"/>
      <c r="WZC34" s="575"/>
      <c r="WZD34" s="575"/>
      <c r="WZE34" s="575"/>
      <c r="WZF34" s="575"/>
      <c r="WZG34" s="575"/>
      <c r="WZH34" s="575"/>
      <c r="WZI34" s="575"/>
      <c r="WZJ34" s="575"/>
      <c r="WZK34" s="575"/>
      <c r="WZL34" s="575"/>
      <c r="WZM34" s="575"/>
      <c r="WZN34" s="575"/>
      <c r="WZO34" s="575"/>
      <c r="WZP34" s="575"/>
      <c r="WZQ34" s="575"/>
      <c r="WZR34" s="575"/>
      <c r="WZS34" s="575"/>
      <c r="WZT34" s="575"/>
      <c r="WZU34" s="575"/>
      <c r="WZV34" s="575"/>
      <c r="WZW34" s="575"/>
      <c r="WZX34" s="575"/>
      <c r="WZY34" s="575"/>
      <c r="WZZ34" s="575"/>
      <c r="XAA34" s="575"/>
      <c r="XAB34" s="575"/>
      <c r="XAC34" s="575"/>
      <c r="XAD34" s="575"/>
      <c r="XAE34" s="575"/>
      <c r="XAF34" s="575"/>
      <c r="XAG34" s="575"/>
      <c r="XAH34" s="575"/>
      <c r="XAI34" s="575"/>
      <c r="XAJ34" s="575"/>
      <c r="XAK34" s="575"/>
      <c r="XAL34" s="575"/>
      <c r="XAM34" s="575"/>
      <c r="XAN34" s="575"/>
      <c r="XAO34" s="575"/>
      <c r="XAP34" s="575"/>
      <c r="XAQ34" s="575"/>
      <c r="XAR34" s="575"/>
      <c r="XAS34" s="575"/>
      <c r="XAT34" s="575"/>
      <c r="XAU34" s="575"/>
      <c r="XAV34" s="575"/>
      <c r="XAW34" s="575"/>
      <c r="XAX34" s="575"/>
      <c r="XAY34" s="575"/>
      <c r="XAZ34" s="575"/>
      <c r="XBA34" s="575"/>
      <c r="XBB34" s="575"/>
      <c r="XBC34" s="575"/>
      <c r="XBD34" s="575"/>
      <c r="XBE34" s="575"/>
      <c r="XBF34" s="575"/>
      <c r="XBG34" s="575"/>
      <c r="XBH34" s="575"/>
      <c r="XBI34" s="575"/>
      <c r="XBJ34" s="575"/>
      <c r="XBK34" s="575"/>
      <c r="XBL34" s="575"/>
      <c r="XBM34" s="575"/>
      <c r="XBN34" s="575"/>
      <c r="XBO34" s="575"/>
      <c r="XBP34" s="575"/>
      <c r="XBQ34" s="575"/>
      <c r="XBR34" s="575"/>
      <c r="XBS34" s="575"/>
      <c r="XBT34" s="575"/>
      <c r="XBU34" s="575"/>
      <c r="XBV34" s="575"/>
      <c r="XBW34" s="575"/>
      <c r="XBX34" s="575"/>
      <c r="XBY34" s="575"/>
      <c r="XBZ34" s="575"/>
      <c r="XCA34" s="575"/>
      <c r="XCB34" s="575"/>
      <c r="XCC34" s="575"/>
      <c r="XCD34" s="575"/>
      <c r="XCE34" s="575"/>
      <c r="XCF34" s="575"/>
      <c r="XCG34" s="575"/>
      <c r="XCH34" s="575"/>
      <c r="XCI34" s="575"/>
      <c r="XCJ34" s="575"/>
      <c r="XCK34" s="575"/>
      <c r="XCL34" s="575"/>
      <c r="XCM34" s="575"/>
      <c r="XCN34" s="575"/>
      <c r="XCO34" s="575"/>
      <c r="XCP34" s="575"/>
      <c r="XCQ34" s="575"/>
      <c r="XCR34" s="575"/>
      <c r="XCS34" s="575"/>
      <c r="XCT34" s="575"/>
      <c r="XCU34" s="575"/>
      <c r="XCV34" s="575"/>
      <c r="XCW34" s="575"/>
      <c r="XCX34" s="575"/>
      <c r="XCY34" s="575"/>
      <c r="XCZ34" s="575"/>
      <c r="XDA34" s="575"/>
      <c r="XDB34" s="575"/>
      <c r="XDC34" s="575"/>
      <c r="XDD34" s="575"/>
      <c r="XDE34" s="575"/>
      <c r="XDF34" s="575"/>
      <c r="XDG34" s="575"/>
      <c r="XDH34" s="575"/>
      <c r="XDI34" s="575"/>
      <c r="XDJ34" s="575"/>
      <c r="XDK34" s="575"/>
      <c r="XDL34" s="575"/>
      <c r="XDM34" s="575"/>
      <c r="XDN34" s="575"/>
      <c r="XDO34" s="575"/>
      <c r="XDP34" s="575"/>
      <c r="XDQ34" s="575"/>
      <c r="XDR34" s="575"/>
      <c r="XDS34" s="575"/>
      <c r="XDT34" s="575"/>
      <c r="XDU34" s="575"/>
      <c r="XDV34" s="575"/>
      <c r="XDW34" s="575"/>
      <c r="XDX34" s="575"/>
      <c r="XDY34" s="575"/>
      <c r="XDZ34" s="575"/>
      <c r="XEA34" s="575"/>
      <c r="XEB34" s="575"/>
      <c r="XEC34" s="575"/>
      <c r="XED34" s="575"/>
      <c r="XEE34" s="575"/>
      <c r="XEF34" s="575"/>
      <c r="XEG34" s="575"/>
      <c r="XEH34" s="575"/>
      <c r="XEI34" s="575"/>
      <c r="XEJ34" s="575"/>
      <c r="XEK34" s="575"/>
      <c r="XEL34" s="575"/>
      <c r="XEM34" s="575"/>
      <c r="XEN34" s="575"/>
      <c r="XEO34" s="575"/>
      <c r="XEP34" s="575"/>
      <c r="XEQ34" s="575"/>
      <c r="XER34" s="575"/>
      <c r="XES34" s="575"/>
      <c r="XET34" s="575"/>
      <c r="XEU34" s="575"/>
      <c r="XEV34" s="575"/>
      <c r="XEW34" s="575"/>
      <c r="XEX34" s="575"/>
      <c r="XEY34" s="575"/>
    </row>
    <row r="35" spans="2:16379" s="546" customFormat="1" ht="24" customHeight="1" x14ac:dyDescent="0.25">
      <c r="B35" s="543" t="s">
        <v>1010</v>
      </c>
      <c r="C35" s="591" t="s">
        <v>1032</v>
      </c>
      <c r="D35" s="592"/>
      <c r="E35" s="592"/>
      <c r="F35" s="593"/>
      <c r="G35" s="547" t="s">
        <v>1037</v>
      </c>
      <c r="H35" s="543"/>
      <c r="I35" s="548">
        <f>SUM(I16,I22,I34)</f>
        <v>48512970</v>
      </c>
      <c r="J35" s="548">
        <f>SUM(J16,J22,J34)</f>
        <v>107620271</v>
      </c>
      <c r="K35" s="571"/>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c r="IT35" s="537"/>
      <c r="IU35" s="537"/>
      <c r="IV35" s="537"/>
      <c r="IW35" s="537"/>
      <c r="IX35" s="537"/>
      <c r="IY35" s="537"/>
      <c r="IZ35" s="537"/>
      <c r="JA35" s="537"/>
      <c r="JB35" s="537"/>
      <c r="JC35" s="537"/>
      <c r="JD35" s="537"/>
      <c r="JE35" s="537"/>
      <c r="JF35" s="537"/>
      <c r="JG35" s="537"/>
      <c r="JH35" s="537"/>
      <c r="JI35" s="537"/>
      <c r="JJ35" s="537"/>
      <c r="JK35" s="537"/>
      <c r="JL35" s="537"/>
      <c r="JM35" s="537"/>
      <c r="JN35" s="537"/>
      <c r="JO35" s="537"/>
      <c r="JP35" s="537"/>
      <c r="JQ35" s="537"/>
      <c r="JR35" s="537"/>
      <c r="JS35" s="537"/>
      <c r="JT35" s="537"/>
      <c r="JU35" s="537"/>
      <c r="JV35" s="537"/>
      <c r="JW35" s="537"/>
      <c r="JX35" s="537"/>
      <c r="JY35" s="537"/>
      <c r="JZ35" s="537"/>
      <c r="KA35" s="537"/>
      <c r="KB35" s="537"/>
      <c r="KC35" s="537"/>
      <c r="KD35" s="537"/>
      <c r="KE35" s="537"/>
      <c r="KF35" s="537"/>
      <c r="KG35" s="537"/>
      <c r="KH35" s="537"/>
      <c r="KI35" s="537"/>
      <c r="KJ35" s="537"/>
      <c r="KK35" s="537"/>
      <c r="KL35" s="537"/>
      <c r="KM35" s="537"/>
      <c r="KN35" s="537"/>
      <c r="KO35" s="537"/>
      <c r="KP35" s="537"/>
      <c r="KQ35" s="537"/>
      <c r="KR35" s="537"/>
      <c r="KS35" s="537"/>
      <c r="KT35" s="537"/>
      <c r="KU35" s="537"/>
      <c r="KV35" s="537"/>
      <c r="KW35" s="537"/>
      <c r="KX35" s="537"/>
      <c r="KY35" s="537"/>
      <c r="KZ35" s="537"/>
      <c r="LA35" s="537"/>
      <c r="LB35" s="537"/>
      <c r="LC35" s="537"/>
      <c r="LD35" s="537"/>
      <c r="LE35" s="537"/>
      <c r="LF35" s="537"/>
      <c r="LG35" s="537"/>
      <c r="LH35" s="537"/>
      <c r="LI35" s="537"/>
      <c r="LJ35" s="537"/>
      <c r="LK35" s="537"/>
      <c r="LL35" s="537"/>
      <c r="LM35" s="537"/>
      <c r="LN35" s="537"/>
      <c r="LO35" s="537"/>
      <c r="LP35" s="537"/>
      <c r="LQ35" s="537"/>
      <c r="LR35" s="537"/>
      <c r="LS35" s="537"/>
      <c r="LT35" s="537"/>
      <c r="LU35" s="537"/>
      <c r="LV35" s="537"/>
      <c r="LW35" s="537"/>
      <c r="LX35" s="537"/>
      <c r="LY35" s="537"/>
      <c r="LZ35" s="537"/>
      <c r="MA35" s="537"/>
      <c r="MB35" s="537"/>
      <c r="MC35" s="537"/>
      <c r="MD35" s="537"/>
      <c r="ME35" s="537"/>
      <c r="MF35" s="537"/>
      <c r="MG35" s="537"/>
      <c r="MH35" s="537"/>
      <c r="MI35" s="537"/>
      <c r="MJ35" s="537"/>
      <c r="MK35" s="537"/>
      <c r="ML35" s="537"/>
      <c r="MM35" s="537"/>
      <c r="MN35" s="537"/>
      <c r="MO35" s="537"/>
      <c r="MP35" s="537"/>
      <c r="MQ35" s="537"/>
      <c r="MR35" s="537"/>
      <c r="MS35" s="537"/>
      <c r="MT35" s="537"/>
      <c r="MU35" s="537"/>
      <c r="MV35" s="537"/>
      <c r="MW35" s="537"/>
      <c r="MX35" s="537"/>
      <c r="MY35" s="537"/>
      <c r="MZ35" s="537"/>
      <c r="NA35" s="537"/>
      <c r="NB35" s="537"/>
      <c r="NC35" s="537"/>
      <c r="ND35" s="537"/>
      <c r="NE35" s="537"/>
      <c r="NF35" s="537"/>
      <c r="NG35" s="537"/>
      <c r="NH35" s="537"/>
      <c r="NI35" s="537"/>
      <c r="NJ35" s="537"/>
      <c r="NK35" s="537"/>
      <c r="NL35" s="537"/>
      <c r="NM35" s="537"/>
      <c r="NN35" s="537"/>
      <c r="NO35" s="537"/>
      <c r="NP35" s="537"/>
      <c r="NQ35" s="537"/>
      <c r="NR35" s="537"/>
      <c r="NS35" s="537"/>
      <c r="NT35" s="537"/>
      <c r="NU35" s="537"/>
      <c r="NV35" s="537"/>
      <c r="NW35" s="537"/>
      <c r="NX35" s="537"/>
      <c r="NY35" s="537"/>
      <c r="NZ35" s="537"/>
      <c r="OA35" s="537"/>
      <c r="OB35" s="537"/>
      <c r="OC35" s="537"/>
      <c r="OD35" s="537"/>
      <c r="OE35" s="537"/>
      <c r="OF35" s="537"/>
      <c r="OG35" s="537"/>
      <c r="OH35" s="537"/>
      <c r="OI35" s="537"/>
      <c r="OJ35" s="537"/>
      <c r="OK35" s="537"/>
      <c r="OL35" s="537"/>
      <c r="OM35" s="537"/>
      <c r="ON35" s="537"/>
      <c r="OO35" s="537"/>
      <c r="OP35" s="537"/>
      <c r="OQ35" s="537"/>
      <c r="OR35" s="537"/>
      <c r="OS35" s="537"/>
      <c r="OT35" s="537"/>
      <c r="OU35" s="537"/>
      <c r="OV35" s="537"/>
      <c r="OW35" s="537"/>
      <c r="OX35" s="537"/>
      <c r="OY35" s="537"/>
      <c r="OZ35" s="537"/>
      <c r="PA35" s="537"/>
      <c r="PB35" s="537"/>
      <c r="PC35" s="537"/>
      <c r="PD35" s="537"/>
      <c r="PE35" s="537"/>
      <c r="PF35" s="537"/>
      <c r="PG35" s="537"/>
      <c r="PH35" s="537"/>
      <c r="PI35" s="537"/>
      <c r="PJ35" s="537"/>
      <c r="PK35" s="537"/>
      <c r="PL35" s="537"/>
      <c r="PM35" s="537"/>
      <c r="PN35" s="537"/>
      <c r="PO35" s="537"/>
      <c r="PP35" s="537"/>
      <c r="PQ35" s="537"/>
      <c r="PR35" s="537"/>
      <c r="PS35" s="537"/>
      <c r="PT35" s="537"/>
      <c r="PU35" s="537"/>
      <c r="PV35" s="537"/>
      <c r="PW35" s="537"/>
      <c r="PX35" s="537"/>
      <c r="PY35" s="537"/>
      <c r="PZ35" s="537"/>
      <c r="QA35" s="537"/>
      <c r="QB35" s="537"/>
      <c r="QC35" s="537"/>
      <c r="QD35" s="537"/>
      <c r="QE35" s="537"/>
      <c r="QF35" s="537"/>
      <c r="QG35" s="537"/>
      <c r="QH35" s="537"/>
      <c r="QI35" s="537"/>
      <c r="QJ35" s="537"/>
      <c r="QK35" s="537"/>
      <c r="QL35" s="537"/>
      <c r="QM35" s="537"/>
      <c r="QN35" s="537"/>
      <c r="QO35" s="537"/>
      <c r="QP35" s="537"/>
      <c r="QQ35" s="537"/>
      <c r="QR35" s="537"/>
      <c r="QS35" s="537"/>
      <c r="QT35" s="537"/>
      <c r="QU35" s="537"/>
      <c r="QV35" s="537"/>
      <c r="QW35" s="537"/>
      <c r="QX35" s="537"/>
      <c r="QY35" s="537"/>
      <c r="QZ35" s="537"/>
      <c r="RA35" s="537"/>
      <c r="RB35" s="537"/>
      <c r="RC35" s="537"/>
      <c r="RD35" s="537"/>
      <c r="RE35" s="537"/>
      <c r="RF35" s="537"/>
      <c r="RG35" s="537"/>
      <c r="RH35" s="537"/>
      <c r="RI35" s="537"/>
      <c r="RJ35" s="537"/>
      <c r="RK35" s="537"/>
      <c r="RL35" s="537"/>
      <c r="RM35" s="537"/>
      <c r="RN35" s="537"/>
      <c r="RO35" s="537"/>
      <c r="RP35" s="537"/>
      <c r="RQ35" s="537"/>
      <c r="RR35" s="537"/>
      <c r="RS35" s="537"/>
      <c r="RT35" s="537"/>
      <c r="RU35" s="537"/>
      <c r="RV35" s="537"/>
      <c r="RW35" s="537"/>
      <c r="RX35" s="537"/>
      <c r="RY35" s="537"/>
      <c r="RZ35" s="537"/>
      <c r="SA35" s="537"/>
      <c r="SB35" s="537"/>
      <c r="SC35" s="537"/>
      <c r="SD35" s="537"/>
      <c r="SE35" s="537"/>
      <c r="SF35" s="537"/>
      <c r="SG35" s="537"/>
      <c r="SH35" s="537"/>
      <c r="SI35" s="537"/>
      <c r="SJ35" s="537"/>
      <c r="SK35" s="537"/>
      <c r="SL35" s="537"/>
      <c r="SM35" s="537"/>
      <c r="SN35" s="537"/>
      <c r="SO35" s="537"/>
      <c r="SP35" s="537"/>
      <c r="SQ35" s="537"/>
      <c r="SR35" s="537"/>
      <c r="SS35" s="537"/>
      <c r="ST35" s="537"/>
      <c r="SU35" s="537"/>
      <c r="SV35" s="537"/>
      <c r="SW35" s="537"/>
      <c r="SX35" s="537"/>
      <c r="SY35" s="537"/>
      <c r="SZ35" s="537"/>
      <c r="TA35" s="537"/>
      <c r="TB35" s="537"/>
      <c r="TC35" s="537"/>
      <c r="TD35" s="537"/>
      <c r="TE35" s="537"/>
      <c r="TF35" s="537"/>
      <c r="TG35" s="537"/>
      <c r="TH35" s="537"/>
      <c r="TI35" s="537"/>
      <c r="TJ35" s="537"/>
      <c r="TK35" s="537"/>
      <c r="TL35" s="537"/>
      <c r="TM35" s="537"/>
      <c r="TN35" s="537"/>
      <c r="TO35" s="537"/>
      <c r="TP35" s="537"/>
      <c r="TQ35" s="537"/>
      <c r="TR35" s="537"/>
      <c r="TS35" s="537"/>
      <c r="TT35" s="537"/>
      <c r="TU35" s="537"/>
      <c r="TV35" s="537"/>
      <c r="TW35" s="537"/>
      <c r="TX35" s="537"/>
      <c r="TY35" s="537"/>
      <c r="TZ35" s="537"/>
      <c r="UA35" s="537"/>
      <c r="UB35" s="537"/>
      <c r="UC35" s="537"/>
      <c r="UD35" s="537"/>
      <c r="UE35" s="537"/>
      <c r="UF35" s="537"/>
      <c r="UG35" s="537"/>
      <c r="UH35" s="537"/>
      <c r="UI35" s="537"/>
      <c r="UJ35" s="537"/>
      <c r="UK35" s="537"/>
      <c r="UL35" s="537"/>
      <c r="UM35" s="537"/>
      <c r="UN35" s="537"/>
      <c r="UO35" s="537"/>
      <c r="UP35" s="537"/>
      <c r="UQ35" s="537"/>
      <c r="UR35" s="537"/>
      <c r="US35" s="537"/>
      <c r="UT35" s="537"/>
      <c r="UU35" s="537"/>
      <c r="UV35" s="537"/>
      <c r="UW35" s="537"/>
      <c r="UX35" s="537"/>
      <c r="UY35" s="537"/>
      <c r="UZ35" s="537"/>
      <c r="VA35" s="537"/>
      <c r="VB35" s="537"/>
      <c r="VC35" s="537"/>
      <c r="VD35" s="537"/>
      <c r="VE35" s="537"/>
      <c r="VF35" s="537"/>
      <c r="VG35" s="537"/>
      <c r="VH35" s="537"/>
      <c r="VI35" s="537"/>
      <c r="VJ35" s="537"/>
      <c r="VK35" s="537"/>
      <c r="VL35" s="537"/>
      <c r="VM35" s="537"/>
      <c r="VN35" s="537"/>
      <c r="VO35" s="537"/>
      <c r="VP35" s="537"/>
      <c r="VQ35" s="537"/>
      <c r="VR35" s="537"/>
      <c r="VS35" s="537"/>
      <c r="VT35" s="537"/>
      <c r="VU35" s="537"/>
      <c r="VV35" s="537"/>
      <c r="VW35" s="537"/>
      <c r="VX35" s="537"/>
      <c r="VY35" s="537"/>
      <c r="VZ35" s="537"/>
      <c r="WA35" s="537"/>
      <c r="WB35" s="537"/>
      <c r="WC35" s="537"/>
      <c r="WD35" s="537"/>
      <c r="WE35" s="537"/>
      <c r="WF35" s="537"/>
      <c r="WG35" s="537"/>
      <c r="WH35" s="537"/>
      <c r="WI35" s="537"/>
      <c r="WJ35" s="537"/>
      <c r="WK35" s="537"/>
      <c r="WL35" s="537"/>
      <c r="WM35" s="537"/>
      <c r="WN35" s="537"/>
      <c r="WO35" s="537"/>
      <c r="WP35" s="537"/>
      <c r="WQ35" s="537"/>
      <c r="WR35" s="537"/>
      <c r="WS35" s="537"/>
      <c r="WT35" s="537"/>
      <c r="WU35" s="537"/>
      <c r="WV35" s="537"/>
      <c r="WW35" s="537"/>
      <c r="WX35" s="537"/>
      <c r="WY35" s="537"/>
      <c r="WZ35" s="537"/>
      <c r="XA35" s="537"/>
      <c r="XB35" s="537"/>
      <c r="XC35" s="537"/>
      <c r="XD35" s="537"/>
      <c r="XE35" s="537"/>
      <c r="XF35" s="537"/>
      <c r="XG35" s="537"/>
      <c r="XH35" s="537"/>
      <c r="XI35" s="537"/>
      <c r="XJ35" s="537"/>
      <c r="XK35" s="537"/>
      <c r="XL35" s="537"/>
      <c r="XM35" s="537"/>
      <c r="XN35" s="537"/>
      <c r="XO35" s="537"/>
      <c r="XP35" s="537"/>
      <c r="XQ35" s="537"/>
      <c r="XR35" s="537"/>
      <c r="XS35" s="537"/>
      <c r="XT35" s="537"/>
      <c r="XU35" s="537"/>
      <c r="XV35" s="537"/>
      <c r="XW35" s="537"/>
      <c r="XX35" s="537"/>
      <c r="XY35" s="537"/>
      <c r="XZ35" s="537"/>
      <c r="YA35" s="537"/>
      <c r="YB35" s="537"/>
      <c r="YC35" s="537"/>
      <c r="YD35" s="537"/>
      <c r="YE35" s="537"/>
      <c r="YF35" s="537"/>
      <c r="YG35" s="537"/>
      <c r="YH35" s="537"/>
      <c r="YI35" s="537"/>
      <c r="YJ35" s="537"/>
      <c r="YK35" s="537"/>
      <c r="YL35" s="537"/>
      <c r="YM35" s="537"/>
      <c r="YN35" s="537"/>
      <c r="YO35" s="537"/>
      <c r="YP35" s="537"/>
      <c r="YQ35" s="537"/>
      <c r="YR35" s="537"/>
      <c r="YS35" s="537"/>
      <c r="YT35" s="537"/>
      <c r="YU35" s="537"/>
      <c r="YV35" s="537"/>
      <c r="YW35" s="537"/>
      <c r="YX35" s="537"/>
      <c r="YY35" s="537"/>
      <c r="YZ35" s="537"/>
      <c r="ZA35" s="537"/>
      <c r="ZB35" s="537"/>
      <c r="ZC35" s="537"/>
      <c r="ZD35" s="537"/>
      <c r="ZE35" s="537"/>
      <c r="ZF35" s="537"/>
      <c r="ZG35" s="537"/>
      <c r="ZH35" s="537"/>
      <c r="ZI35" s="537"/>
      <c r="ZJ35" s="537"/>
      <c r="ZK35" s="537"/>
      <c r="ZL35" s="537"/>
      <c r="ZM35" s="537"/>
      <c r="ZN35" s="537"/>
      <c r="ZO35" s="537"/>
      <c r="ZP35" s="537"/>
      <c r="ZQ35" s="537"/>
      <c r="ZR35" s="537"/>
      <c r="ZS35" s="537"/>
      <c r="ZT35" s="537"/>
      <c r="ZU35" s="537"/>
      <c r="ZV35" s="537"/>
      <c r="ZW35" s="537"/>
      <c r="ZX35" s="537"/>
      <c r="ZY35" s="537"/>
      <c r="ZZ35" s="537"/>
      <c r="AAA35" s="537"/>
      <c r="AAB35" s="537"/>
      <c r="AAC35" s="537"/>
      <c r="AAD35" s="537"/>
      <c r="AAE35" s="537"/>
      <c r="AAF35" s="537"/>
      <c r="AAG35" s="537"/>
      <c r="AAH35" s="537"/>
      <c r="AAI35" s="537"/>
      <c r="AAJ35" s="537"/>
      <c r="AAK35" s="537"/>
      <c r="AAL35" s="537"/>
      <c r="AAM35" s="537"/>
      <c r="AAN35" s="537"/>
      <c r="AAO35" s="537"/>
      <c r="AAP35" s="537"/>
      <c r="AAQ35" s="537"/>
      <c r="AAR35" s="537"/>
      <c r="AAS35" s="537"/>
      <c r="AAT35" s="537"/>
      <c r="AAU35" s="537"/>
      <c r="AAV35" s="537"/>
      <c r="AAW35" s="537"/>
      <c r="AAX35" s="537"/>
      <c r="AAY35" s="537"/>
      <c r="AAZ35" s="537"/>
      <c r="ABA35" s="537"/>
      <c r="ABB35" s="537"/>
      <c r="ABC35" s="537"/>
      <c r="ABD35" s="537"/>
      <c r="ABE35" s="537"/>
      <c r="ABF35" s="537"/>
      <c r="ABG35" s="537"/>
      <c r="ABH35" s="537"/>
      <c r="ABI35" s="537"/>
      <c r="ABJ35" s="537"/>
      <c r="ABK35" s="537"/>
      <c r="ABL35" s="537"/>
      <c r="ABM35" s="537"/>
      <c r="ABN35" s="537"/>
      <c r="ABO35" s="537"/>
      <c r="ABP35" s="537"/>
      <c r="ABQ35" s="537"/>
      <c r="ABR35" s="537"/>
      <c r="ABS35" s="537"/>
      <c r="ABT35" s="537"/>
      <c r="ABU35" s="537"/>
      <c r="ABV35" s="537"/>
      <c r="ABW35" s="537"/>
      <c r="ABX35" s="537"/>
      <c r="ABY35" s="537"/>
      <c r="ABZ35" s="537"/>
      <c r="ACA35" s="537"/>
      <c r="ACB35" s="537"/>
      <c r="ACC35" s="537"/>
      <c r="ACD35" s="537"/>
      <c r="ACE35" s="537"/>
      <c r="ACF35" s="537"/>
      <c r="ACG35" s="537"/>
      <c r="ACH35" s="537"/>
      <c r="ACI35" s="537"/>
      <c r="ACJ35" s="537"/>
      <c r="ACK35" s="537"/>
      <c r="ACL35" s="537"/>
      <c r="ACM35" s="537"/>
      <c r="ACN35" s="537"/>
      <c r="ACO35" s="537"/>
      <c r="ACP35" s="537"/>
      <c r="ACQ35" s="537"/>
      <c r="ACR35" s="537"/>
      <c r="ACS35" s="537"/>
      <c r="ACT35" s="537"/>
      <c r="ACU35" s="537"/>
      <c r="ACV35" s="537"/>
      <c r="ACW35" s="537"/>
      <c r="ACX35" s="537"/>
      <c r="ACY35" s="537"/>
      <c r="ACZ35" s="537"/>
      <c r="ADA35" s="537"/>
      <c r="ADB35" s="537"/>
      <c r="ADC35" s="537"/>
      <c r="ADD35" s="537"/>
      <c r="ADE35" s="537"/>
      <c r="ADF35" s="537"/>
      <c r="ADG35" s="537"/>
      <c r="ADH35" s="537"/>
      <c r="ADI35" s="537"/>
      <c r="ADJ35" s="537"/>
      <c r="ADK35" s="537"/>
      <c r="ADL35" s="537"/>
      <c r="ADM35" s="537"/>
      <c r="ADN35" s="537"/>
      <c r="ADO35" s="537"/>
      <c r="ADP35" s="537"/>
      <c r="ADQ35" s="537"/>
      <c r="ADR35" s="537"/>
      <c r="ADS35" s="537"/>
      <c r="ADT35" s="537"/>
      <c r="ADU35" s="537"/>
      <c r="ADV35" s="537"/>
      <c r="ADW35" s="537"/>
      <c r="ADX35" s="537"/>
      <c r="ADY35" s="537"/>
      <c r="ADZ35" s="537"/>
      <c r="AEA35" s="537"/>
      <c r="AEB35" s="537"/>
      <c r="AEC35" s="537"/>
      <c r="AED35" s="537"/>
      <c r="AEE35" s="537"/>
      <c r="AEF35" s="537"/>
      <c r="AEG35" s="537"/>
      <c r="AEH35" s="537"/>
      <c r="AEI35" s="537"/>
      <c r="AEJ35" s="537"/>
      <c r="AEK35" s="537"/>
      <c r="AEL35" s="537"/>
      <c r="AEM35" s="537"/>
      <c r="AEN35" s="537"/>
      <c r="AEO35" s="537"/>
      <c r="AEP35" s="537"/>
      <c r="AEQ35" s="537"/>
      <c r="AER35" s="537"/>
      <c r="AES35" s="537"/>
      <c r="AET35" s="537"/>
      <c r="AEU35" s="537"/>
      <c r="AEV35" s="537"/>
      <c r="AEW35" s="537"/>
      <c r="AEX35" s="537"/>
      <c r="AEY35" s="537"/>
      <c r="AEZ35" s="537"/>
      <c r="AFA35" s="537"/>
      <c r="AFB35" s="537"/>
      <c r="AFC35" s="537"/>
      <c r="AFD35" s="537"/>
      <c r="AFE35" s="537"/>
      <c r="AFF35" s="537"/>
      <c r="AFG35" s="537"/>
      <c r="AFH35" s="537"/>
      <c r="AFI35" s="537"/>
      <c r="AFJ35" s="537"/>
      <c r="AFK35" s="537"/>
      <c r="AFL35" s="537"/>
      <c r="AFM35" s="537"/>
      <c r="AFN35" s="537"/>
      <c r="AFO35" s="537"/>
      <c r="AFP35" s="537"/>
      <c r="AFQ35" s="537"/>
      <c r="AFR35" s="537"/>
      <c r="AFS35" s="537"/>
      <c r="AFT35" s="537"/>
      <c r="AFU35" s="537"/>
      <c r="AFV35" s="537"/>
      <c r="AFW35" s="537"/>
      <c r="AFX35" s="537"/>
      <c r="AFY35" s="537"/>
      <c r="AFZ35" s="537"/>
      <c r="AGA35" s="537"/>
      <c r="AGB35" s="537"/>
      <c r="AGC35" s="537"/>
      <c r="AGD35" s="537"/>
      <c r="AGE35" s="537"/>
      <c r="AGF35" s="537"/>
      <c r="AGG35" s="537"/>
      <c r="AGH35" s="537"/>
      <c r="AGI35" s="537"/>
      <c r="AGJ35" s="537"/>
      <c r="AGK35" s="537"/>
      <c r="AGL35" s="537"/>
      <c r="AGM35" s="537"/>
      <c r="AGN35" s="537"/>
      <c r="AGO35" s="537"/>
      <c r="AGP35" s="537"/>
      <c r="AGQ35" s="537"/>
      <c r="AGR35" s="537"/>
      <c r="AGS35" s="537"/>
      <c r="AGT35" s="537"/>
      <c r="AGU35" s="537"/>
      <c r="AGV35" s="537"/>
      <c r="AGW35" s="537"/>
      <c r="AGX35" s="537"/>
      <c r="AGY35" s="537"/>
      <c r="AGZ35" s="537"/>
      <c r="AHA35" s="537"/>
      <c r="AHB35" s="537"/>
      <c r="AHC35" s="537"/>
      <c r="AHD35" s="537"/>
      <c r="AHE35" s="537"/>
      <c r="AHF35" s="537"/>
      <c r="AHG35" s="537"/>
      <c r="AHH35" s="537"/>
      <c r="AHI35" s="537"/>
      <c r="AHJ35" s="537"/>
      <c r="AHK35" s="537"/>
      <c r="AHL35" s="537"/>
      <c r="AHM35" s="537"/>
      <c r="AHN35" s="537"/>
      <c r="AHO35" s="537"/>
      <c r="AHP35" s="537"/>
      <c r="AHQ35" s="537"/>
      <c r="AHR35" s="537"/>
      <c r="AHS35" s="537"/>
      <c r="AHT35" s="537"/>
      <c r="AHU35" s="537"/>
      <c r="AHV35" s="537"/>
      <c r="AHW35" s="537"/>
      <c r="AHX35" s="537"/>
      <c r="AHY35" s="537"/>
      <c r="AHZ35" s="537"/>
      <c r="AIA35" s="537"/>
      <c r="AIB35" s="537"/>
      <c r="AIC35" s="537"/>
      <c r="AID35" s="537"/>
      <c r="AIE35" s="537"/>
      <c r="AIF35" s="537"/>
      <c r="AIG35" s="537"/>
      <c r="AIH35" s="537"/>
      <c r="AII35" s="537"/>
      <c r="AIJ35" s="537"/>
      <c r="AIK35" s="537"/>
      <c r="AIL35" s="537"/>
      <c r="AIM35" s="537"/>
      <c r="AIN35" s="537"/>
      <c r="AIO35" s="537"/>
      <c r="AIP35" s="537"/>
      <c r="AIQ35" s="537"/>
      <c r="AIR35" s="537"/>
      <c r="AIS35" s="537"/>
      <c r="AIT35" s="537"/>
      <c r="AIU35" s="537"/>
      <c r="AIV35" s="537"/>
      <c r="AIW35" s="537"/>
      <c r="AIX35" s="537"/>
      <c r="AIY35" s="537"/>
      <c r="AIZ35" s="537"/>
      <c r="AJA35" s="537"/>
      <c r="AJB35" s="537"/>
      <c r="AJC35" s="537"/>
      <c r="AJD35" s="537"/>
      <c r="AJE35" s="537"/>
      <c r="AJF35" s="537"/>
      <c r="AJG35" s="537"/>
      <c r="AJH35" s="537"/>
      <c r="AJI35" s="537"/>
      <c r="AJJ35" s="537"/>
      <c r="AJK35" s="537"/>
      <c r="AJL35" s="537"/>
      <c r="AJM35" s="537"/>
      <c r="AJN35" s="537"/>
      <c r="AJO35" s="537"/>
      <c r="AJP35" s="537"/>
      <c r="AJQ35" s="537"/>
      <c r="AJR35" s="537"/>
      <c r="AJS35" s="537"/>
      <c r="AJT35" s="537"/>
      <c r="AJU35" s="537"/>
      <c r="AJV35" s="537"/>
      <c r="AJW35" s="537"/>
      <c r="AJX35" s="537"/>
      <c r="AJY35" s="537"/>
      <c r="AJZ35" s="537"/>
      <c r="AKA35" s="537"/>
      <c r="AKB35" s="537"/>
      <c r="AKC35" s="537"/>
      <c r="AKD35" s="537"/>
      <c r="AKE35" s="537"/>
      <c r="AKF35" s="537"/>
      <c r="AKG35" s="537"/>
      <c r="AKH35" s="537"/>
      <c r="AKI35" s="537"/>
      <c r="AKJ35" s="537"/>
      <c r="AKK35" s="537"/>
      <c r="AKL35" s="537"/>
      <c r="AKM35" s="537"/>
      <c r="AKN35" s="537"/>
      <c r="AKO35" s="537"/>
      <c r="AKP35" s="537"/>
      <c r="AKQ35" s="537"/>
      <c r="AKR35" s="537"/>
      <c r="AKS35" s="537"/>
      <c r="AKT35" s="537"/>
      <c r="AKU35" s="537"/>
      <c r="AKV35" s="537"/>
      <c r="AKW35" s="537"/>
      <c r="AKX35" s="537"/>
      <c r="AKY35" s="537"/>
      <c r="AKZ35" s="537"/>
      <c r="ALA35" s="537"/>
      <c r="ALB35" s="537"/>
      <c r="ALC35" s="537"/>
      <c r="ALD35" s="537"/>
      <c r="ALE35" s="537"/>
      <c r="ALF35" s="537"/>
      <c r="ALG35" s="537"/>
      <c r="ALH35" s="537"/>
      <c r="ALI35" s="537"/>
      <c r="ALJ35" s="537"/>
      <c r="ALK35" s="537"/>
      <c r="ALL35" s="537"/>
      <c r="ALM35" s="537"/>
      <c r="ALN35" s="537"/>
      <c r="ALO35" s="537"/>
      <c r="ALP35" s="537"/>
      <c r="ALQ35" s="537"/>
      <c r="ALR35" s="537"/>
      <c r="ALS35" s="537"/>
      <c r="ALT35" s="537"/>
      <c r="ALU35" s="537"/>
      <c r="ALV35" s="537"/>
      <c r="ALW35" s="537"/>
      <c r="ALX35" s="537"/>
      <c r="ALY35" s="537"/>
      <c r="ALZ35" s="537"/>
      <c r="AMA35" s="537"/>
      <c r="AMB35" s="537"/>
      <c r="AMC35" s="537"/>
      <c r="AMD35" s="537"/>
      <c r="AME35" s="537"/>
      <c r="AMF35" s="537"/>
      <c r="AMG35" s="537"/>
      <c r="AMH35" s="537"/>
      <c r="AMI35" s="537"/>
      <c r="AMJ35" s="537"/>
      <c r="AMK35" s="537"/>
      <c r="AML35" s="537"/>
      <c r="AMM35" s="537"/>
      <c r="AMN35" s="537"/>
      <c r="AMO35" s="537"/>
      <c r="AMP35" s="537"/>
      <c r="AMQ35" s="537"/>
      <c r="AMR35" s="537"/>
      <c r="AMS35" s="537"/>
      <c r="AMT35" s="537"/>
      <c r="AMU35" s="537"/>
      <c r="AMV35" s="537"/>
      <c r="AMW35" s="537"/>
      <c r="AMX35" s="537"/>
      <c r="AMY35" s="537"/>
      <c r="AMZ35" s="537"/>
      <c r="ANA35" s="537"/>
      <c r="ANB35" s="537"/>
      <c r="ANC35" s="537"/>
      <c r="AND35" s="537"/>
      <c r="ANE35" s="537"/>
      <c r="ANF35" s="537"/>
      <c r="ANG35" s="537"/>
      <c r="ANH35" s="537"/>
      <c r="ANI35" s="537"/>
      <c r="ANJ35" s="537"/>
      <c r="ANK35" s="537"/>
      <c r="ANL35" s="537"/>
      <c r="ANM35" s="537"/>
      <c r="ANN35" s="537"/>
      <c r="ANO35" s="537"/>
      <c r="ANP35" s="537"/>
      <c r="ANQ35" s="537"/>
      <c r="ANR35" s="537"/>
      <c r="ANS35" s="537"/>
      <c r="ANT35" s="537"/>
      <c r="ANU35" s="537"/>
      <c r="ANV35" s="537"/>
      <c r="ANW35" s="537"/>
      <c r="ANX35" s="537"/>
      <c r="ANY35" s="537"/>
      <c r="ANZ35" s="537"/>
      <c r="AOA35" s="537"/>
      <c r="AOB35" s="537"/>
      <c r="AOC35" s="537"/>
      <c r="AOD35" s="537"/>
      <c r="AOE35" s="537"/>
      <c r="AOF35" s="537"/>
      <c r="AOG35" s="537"/>
      <c r="AOH35" s="537"/>
      <c r="AOI35" s="537"/>
      <c r="AOJ35" s="537"/>
      <c r="AOK35" s="537"/>
      <c r="AOL35" s="537"/>
      <c r="AOM35" s="537"/>
      <c r="AON35" s="537"/>
      <c r="AOO35" s="537"/>
      <c r="AOP35" s="537"/>
      <c r="AOQ35" s="537"/>
      <c r="AOR35" s="537"/>
      <c r="AOS35" s="537"/>
      <c r="AOT35" s="537"/>
      <c r="AOU35" s="537"/>
      <c r="AOV35" s="537"/>
      <c r="AOW35" s="537"/>
      <c r="AOX35" s="537"/>
      <c r="AOY35" s="537"/>
      <c r="AOZ35" s="537"/>
      <c r="APA35" s="537"/>
      <c r="APB35" s="537"/>
      <c r="APC35" s="537"/>
      <c r="APD35" s="537"/>
      <c r="APE35" s="537"/>
      <c r="APF35" s="537"/>
      <c r="APG35" s="537"/>
      <c r="APH35" s="537"/>
      <c r="API35" s="537"/>
      <c r="APJ35" s="537"/>
      <c r="APK35" s="537"/>
      <c r="APL35" s="537"/>
      <c r="APM35" s="537"/>
      <c r="APN35" s="537"/>
      <c r="APO35" s="537"/>
      <c r="APP35" s="537"/>
      <c r="APQ35" s="537"/>
      <c r="APR35" s="537"/>
      <c r="APS35" s="537"/>
      <c r="APT35" s="537"/>
      <c r="APU35" s="537"/>
      <c r="APV35" s="537"/>
      <c r="APW35" s="537"/>
      <c r="APX35" s="537"/>
      <c r="APY35" s="537"/>
      <c r="APZ35" s="537"/>
      <c r="AQA35" s="537"/>
      <c r="AQB35" s="537"/>
      <c r="AQC35" s="537"/>
      <c r="AQD35" s="537"/>
      <c r="AQE35" s="537"/>
      <c r="AQF35" s="537"/>
      <c r="AQG35" s="537"/>
      <c r="AQH35" s="537"/>
      <c r="AQI35" s="537"/>
      <c r="AQJ35" s="537"/>
      <c r="AQK35" s="537"/>
      <c r="AQL35" s="537"/>
      <c r="AQM35" s="537"/>
      <c r="AQN35" s="537"/>
      <c r="AQO35" s="537"/>
      <c r="AQP35" s="537"/>
      <c r="AQQ35" s="537"/>
      <c r="AQR35" s="537"/>
      <c r="AQS35" s="537"/>
      <c r="AQT35" s="537"/>
      <c r="AQU35" s="537"/>
      <c r="AQV35" s="537"/>
      <c r="AQW35" s="537"/>
      <c r="AQX35" s="537"/>
      <c r="AQY35" s="537"/>
      <c r="AQZ35" s="537"/>
      <c r="ARA35" s="537"/>
      <c r="ARB35" s="537"/>
      <c r="ARC35" s="537"/>
      <c r="ARD35" s="537"/>
      <c r="ARE35" s="537"/>
      <c r="ARF35" s="537"/>
      <c r="ARG35" s="537"/>
      <c r="ARH35" s="537"/>
      <c r="ARI35" s="537"/>
      <c r="ARJ35" s="537"/>
      <c r="ARK35" s="537"/>
      <c r="ARL35" s="537"/>
      <c r="ARM35" s="537"/>
      <c r="ARN35" s="537"/>
      <c r="ARO35" s="537"/>
      <c r="ARP35" s="537"/>
      <c r="ARQ35" s="537"/>
      <c r="ARR35" s="537"/>
      <c r="ARS35" s="537"/>
      <c r="ART35" s="537"/>
      <c r="ARU35" s="537"/>
      <c r="ARV35" s="537"/>
      <c r="ARW35" s="537"/>
      <c r="ARX35" s="537"/>
      <c r="ARY35" s="537"/>
      <c r="ARZ35" s="537"/>
      <c r="ASA35" s="537"/>
      <c r="ASB35" s="537"/>
      <c r="ASC35" s="537"/>
      <c r="ASD35" s="537"/>
      <c r="ASE35" s="537"/>
      <c r="ASF35" s="537"/>
      <c r="ASG35" s="537"/>
      <c r="ASH35" s="537"/>
      <c r="ASI35" s="537"/>
      <c r="ASJ35" s="537"/>
      <c r="ASK35" s="537"/>
      <c r="ASL35" s="537"/>
      <c r="ASM35" s="537"/>
      <c r="ASN35" s="537"/>
      <c r="ASO35" s="537"/>
      <c r="ASP35" s="537"/>
      <c r="ASQ35" s="537"/>
      <c r="ASR35" s="537"/>
      <c r="ASS35" s="537"/>
      <c r="AST35" s="537"/>
      <c r="ASU35" s="537"/>
      <c r="ASV35" s="537"/>
      <c r="ASW35" s="537"/>
      <c r="ASX35" s="537"/>
      <c r="ASY35" s="537"/>
      <c r="ASZ35" s="537"/>
      <c r="ATA35" s="537"/>
      <c r="ATB35" s="537"/>
      <c r="ATC35" s="537"/>
      <c r="ATD35" s="537"/>
      <c r="ATE35" s="537"/>
      <c r="ATF35" s="537"/>
      <c r="ATG35" s="537"/>
      <c r="ATH35" s="537"/>
      <c r="ATI35" s="537"/>
      <c r="ATJ35" s="537"/>
      <c r="ATK35" s="537"/>
      <c r="ATL35" s="537"/>
      <c r="ATM35" s="537"/>
      <c r="ATN35" s="537"/>
      <c r="ATO35" s="537"/>
      <c r="ATP35" s="537"/>
      <c r="ATQ35" s="537"/>
      <c r="ATR35" s="537"/>
      <c r="ATS35" s="537"/>
      <c r="ATT35" s="537"/>
      <c r="ATU35" s="537"/>
      <c r="ATV35" s="537"/>
      <c r="ATW35" s="537"/>
      <c r="ATX35" s="537"/>
      <c r="ATY35" s="537"/>
      <c r="ATZ35" s="537"/>
      <c r="AUA35" s="537"/>
      <c r="AUB35" s="537"/>
      <c r="AUC35" s="537"/>
      <c r="AUD35" s="537"/>
      <c r="AUE35" s="537"/>
      <c r="AUF35" s="537"/>
      <c r="AUG35" s="537"/>
      <c r="AUH35" s="537"/>
      <c r="AUI35" s="537"/>
      <c r="AUJ35" s="537"/>
      <c r="AUK35" s="537"/>
      <c r="AUL35" s="537"/>
      <c r="AUM35" s="537"/>
      <c r="AUN35" s="537"/>
      <c r="AUO35" s="537"/>
      <c r="AUP35" s="537"/>
      <c r="AUQ35" s="537"/>
      <c r="AUR35" s="537"/>
      <c r="AUS35" s="537"/>
      <c r="AUT35" s="537"/>
      <c r="AUU35" s="537"/>
      <c r="AUV35" s="537"/>
      <c r="AUW35" s="537"/>
      <c r="AUX35" s="537"/>
      <c r="AUY35" s="537"/>
      <c r="AUZ35" s="537"/>
      <c r="AVA35" s="537"/>
      <c r="AVB35" s="537"/>
      <c r="AVC35" s="537"/>
      <c r="AVD35" s="537"/>
      <c r="AVE35" s="537"/>
      <c r="AVF35" s="537"/>
      <c r="AVG35" s="537"/>
      <c r="AVH35" s="537"/>
      <c r="AVI35" s="537"/>
      <c r="AVJ35" s="537"/>
      <c r="AVK35" s="537"/>
      <c r="AVL35" s="537"/>
      <c r="AVM35" s="537"/>
      <c r="AVN35" s="537"/>
      <c r="AVO35" s="537"/>
      <c r="AVP35" s="537"/>
      <c r="AVQ35" s="537"/>
      <c r="AVR35" s="537"/>
      <c r="AVS35" s="537"/>
      <c r="AVT35" s="537"/>
      <c r="AVU35" s="537"/>
      <c r="AVV35" s="537"/>
      <c r="AVW35" s="537"/>
      <c r="AVX35" s="537"/>
      <c r="AVY35" s="537"/>
      <c r="AVZ35" s="537"/>
      <c r="AWA35" s="537"/>
      <c r="AWB35" s="537"/>
      <c r="AWC35" s="537"/>
      <c r="AWD35" s="537"/>
      <c r="AWE35" s="537"/>
      <c r="AWF35" s="537"/>
      <c r="AWG35" s="537"/>
      <c r="AWH35" s="537"/>
      <c r="AWI35" s="537"/>
      <c r="AWJ35" s="537"/>
      <c r="AWK35" s="537"/>
      <c r="AWL35" s="537"/>
      <c r="AWM35" s="537"/>
      <c r="AWN35" s="537"/>
      <c r="AWO35" s="537"/>
      <c r="AWP35" s="537"/>
      <c r="AWQ35" s="537"/>
      <c r="AWR35" s="537"/>
      <c r="AWS35" s="537"/>
      <c r="AWT35" s="537"/>
      <c r="AWU35" s="537"/>
      <c r="AWV35" s="537"/>
      <c r="AWW35" s="537"/>
      <c r="AWX35" s="537"/>
      <c r="AWY35" s="537"/>
      <c r="AWZ35" s="537"/>
      <c r="AXA35" s="537"/>
      <c r="AXB35" s="537"/>
      <c r="AXC35" s="537"/>
      <c r="AXD35" s="537"/>
      <c r="AXE35" s="537"/>
      <c r="AXF35" s="537"/>
      <c r="AXG35" s="537"/>
      <c r="AXH35" s="537"/>
      <c r="AXI35" s="537"/>
      <c r="AXJ35" s="537"/>
      <c r="AXK35" s="537"/>
      <c r="AXL35" s="537"/>
      <c r="AXM35" s="537"/>
      <c r="AXN35" s="537"/>
      <c r="AXO35" s="537"/>
      <c r="AXP35" s="537"/>
      <c r="AXQ35" s="537"/>
      <c r="AXR35" s="537"/>
      <c r="AXS35" s="537"/>
      <c r="AXT35" s="537"/>
      <c r="AXU35" s="537"/>
      <c r="AXV35" s="537"/>
      <c r="AXW35" s="537"/>
      <c r="AXX35" s="537"/>
      <c r="AXY35" s="537"/>
      <c r="AXZ35" s="537"/>
      <c r="AYA35" s="537"/>
      <c r="AYB35" s="537"/>
      <c r="AYC35" s="537"/>
      <c r="AYD35" s="537"/>
      <c r="AYE35" s="537"/>
      <c r="AYF35" s="537"/>
      <c r="AYG35" s="537"/>
      <c r="AYH35" s="537"/>
      <c r="AYI35" s="537"/>
      <c r="AYJ35" s="537"/>
      <c r="AYK35" s="537"/>
      <c r="AYL35" s="537"/>
      <c r="AYM35" s="537"/>
      <c r="AYN35" s="537"/>
      <c r="AYO35" s="537"/>
      <c r="AYP35" s="537"/>
      <c r="AYQ35" s="537"/>
      <c r="AYR35" s="537"/>
      <c r="AYS35" s="537"/>
      <c r="AYT35" s="537"/>
      <c r="AYU35" s="537"/>
      <c r="AYV35" s="537"/>
      <c r="AYW35" s="537"/>
      <c r="AYX35" s="537"/>
      <c r="AYY35" s="537"/>
      <c r="AYZ35" s="537"/>
      <c r="AZA35" s="537"/>
      <c r="AZB35" s="537"/>
      <c r="AZC35" s="537"/>
      <c r="AZD35" s="537"/>
      <c r="AZE35" s="537"/>
      <c r="AZF35" s="537"/>
      <c r="AZG35" s="537"/>
      <c r="AZH35" s="537"/>
      <c r="AZI35" s="537"/>
      <c r="AZJ35" s="537"/>
      <c r="AZK35" s="537"/>
      <c r="AZL35" s="537"/>
      <c r="AZM35" s="537"/>
      <c r="AZN35" s="537"/>
      <c r="AZO35" s="537"/>
      <c r="AZP35" s="537"/>
      <c r="AZQ35" s="537"/>
      <c r="AZR35" s="537"/>
      <c r="AZS35" s="537"/>
      <c r="AZT35" s="537"/>
      <c r="AZU35" s="537"/>
      <c r="AZV35" s="537"/>
      <c r="AZW35" s="537"/>
      <c r="AZX35" s="537"/>
      <c r="AZY35" s="537"/>
      <c r="AZZ35" s="537"/>
      <c r="BAA35" s="537"/>
      <c r="BAB35" s="537"/>
      <c r="BAC35" s="537"/>
      <c r="BAD35" s="537"/>
      <c r="BAE35" s="537"/>
      <c r="BAF35" s="537"/>
      <c r="BAG35" s="537"/>
      <c r="BAH35" s="537"/>
      <c r="BAI35" s="537"/>
      <c r="BAJ35" s="537"/>
      <c r="BAK35" s="537"/>
      <c r="BAL35" s="537"/>
      <c r="BAM35" s="537"/>
      <c r="BAN35" s="537"/>
      <c r="BAO35" s="537"/>
      <c r="BAP35" s="537"/>
      <c r="BAQ35" s="537"/>
      <c r="BAR35" s="537"/>
      <c r="BAS35" s="537"/>
      <c r="BAT35" s="537"/>
      <c r="BAU35" s="537"/>
      <c r="BAV35" s="537"/>
      <c r="BAW35" s="537"/>
      <c r="BAX35" s="537"/>
      <c r="BAY35" s="537"/>
      <c r="BAZ35" s="537"/>
      <c r="BBA35" s="537"/>
      <c r="BBB35" s="537"/>
      <c r="BBC35" s="537"/>
      <c r="BBD35" s="537"/>
      <c r="BBE35" s="537"/>
      <c r="BBF35" s="537"/>
      <c r="BBG35" s="537"/>
      <c r="BBH35" s="537"/>
      <c r="BBI35" s="537"/>
      <c r="BBJ35" s="537"/>
      <c r="BBK35" s="537"/>
      <c r="BBL35" s="537"/>
      <c r="BBM35" s="537"/>
      <c r="BBN35" s="537"/>
      <c r="BBO35" s="537"/>
      <c r="BBP35" s="537"/>
      <c r="BBQ35" s="537"/>
      <c r="BBR35" s="537"/>
      <c r="BBS35" s="537"/>
      <c r="BBT35" s="537"/>
      <c r="BBU35" s="537"/>
      <c r="BBV35" s="537"/>
      <c r="BBW35" s="537"/>
      <c r="BBX35" s="537"/>
      <c r="BBY35" s="537"/>
      <c r="BBZ35" s="537"/>
      <c r="BCA35" s="537"/>
      <c r="BCB35" s="537"/>
      <c r="BCC35" s="537"/>
      <c r="BCD35" s="537"/>
      <c r="BCE35" s="537"/>
      <c r="BCF35" s="537"/>
      <c r="BCG35" s="537"/>
      <c r="BCH35" s="537"/>
      <c r="BCI35" s="537"/>
      <c r="BCJ35" s="537"/>
      <c r="BCK35" s="537"/>
      <c r="BCL35" s="537"/>
      <c r="BCM35" s="537"/>
      <c r="BCN35" s="537"/>
      <c r="BCO35" s="537"/>
      <c r="BCP35" s="537"/>
      <c r="BCQ35" s="537"/>
      <c r="BCR35" s="537"/>
      <c r="BCS35" s="537"/>
      <c r="BCT35" s="537"/>
      <c r="BCU35" s="537"/>
      <c r="BCV35" s="537"/>
      <c r="BCW35" s="537"/>
      <c r="BCX35" s="537"/>
      <c r="BCY35" s="537"/>
      <c r="BCZ35" s="537"/>
      <c r="BDA35" s="537"/>
      <c r="BDB35" s="537"/>
      <c r="BDC35" s="537"/>
      <c r="BDD35" s="537"/>
      <c r="BDE35" s="537"/>
      <c r="BDF35" s="537"/>
      <c r="BDG35" s="537"/>
      <c r="BDH35" s="537"/>
      <c r="BDI35" s="537"/>
      <c r="BDJ35" s="537"/>
      <c r="BDK35" s="537"/>
      <c r="BDL35" s="537"/>
      <c r="BDM35" s="537"/>
      <c r="BDN35" s="537"/>
      <c r="BDO35" s="537"/>
      <c r="BDP35" s="537"/>
      <c r="BDQ35" s="537"/>
      <c r="BDR35" s="537"/>
      <c r="BDS35" s="537"/>
      <c r="BDT35" s="537"/>
      <c r="BDU35" s="537"/>
      <c r="BDV35" s="537"/>
      <c r="BDW35" s="537"/>
      <c r="BDX35" s="537"/>
      <c r="BDY35" s="537"/>
      <c r="BDZ35" s="537"/>
      <c r="BEA35" s="537"/>
      <c r="BEB35" s="537"/>
      <c r="BEC35" s="537"/>
      <c r="BED35" s="537"/>
      <c r="BEE35" s="537"/>
      <c r="BEF35" s="537"/>
      <c r="BEG35" s="537"/>
      <c r="BEH35" s="537"/>
      <c r="BEI35" s="537"/>
      <c r="BEJ35" s="537"/>
      <c r="BEK35" s="537"/>
      <c r="BEL35" s="537"/>
      <c r="BEM35" s="537"/>
      <c r="BEN35" s="537"/>
      <c r="BEO35" s="537"/>
      <c r="BEP35" s="537"/>
      <c r="BEQ35" s="537"/>
      <c r="BER35" s="537"/>
      <c r="BES35" s="537"/>
      <c r="BET35" s="537"/>
      <c r="BEU35" s="537"/>
      <c r="BEV35" s="537"/>
      <c r="BEW35" s="537"/>
      <c r="BEX35" s="537"/>
      <c r="BEY35" s="537"/>
      <c r="BEZ35" s="537"/>
      <c r="BFA35" s="537"/>
      <c r="BFB35" s="537"/>
      <c r="BFC35" s="537"/>
      <c r="BFD35" s="537"/>
      <c r="BFE35" s="537"/>
      <c r="BFF35" s="537"/>
      <c r="BFG35" s="537"/>
      <c r="BFH35" s="537"/>
      <c r="BFI35" s="537"/>
      <c r="BFJ35" s="537"/>
      <c r="BFK35" s="537"/>
      <c r="BFL35" s="537"/>
      <c r="BFM35" s="537"/>
      <c r="BFN35" s="537"/>
      <c r="BFO35" s="537"/>
      <c r="BFP35" s="537"/>
      <c r="BFQ35" s="537"/>
      <c r="BFR35" s="537"/>
      <c r="BFS35" s="537"/>
      <c r="BFT35" s="537"/>
      <c r="BFU35" s="537"/>
      <c r="BFV35" s="537"/>
      <c r="BFW35" s="537"/>
      <c r="BFX35" s="537"/>
      <c r="BFY35" s="537"/>
      <c r="BFZ35" s="537"/>
      <c r="BGA35" s="537"/>
      <c r="BGB35" s="537"/>
      <c r="BGC35" s="537"/>
      <c r="BGD35" s="537"/>
      <c r="BGE35" s="537"/>
      <c r="BGF35" s="537"/>
      <c r="BGG35" s="537"/>
      <c r="BGH35" s="537"/>
      <c r="BGI35" s="537"/>
      <c r="BGJ35" s="537"/>
      <c r="BGK35" s="537"/>
      <c r="BGL35" s="537"/>
      <c r="BGM35" s="537"/>
      <c r="BGN35" s="537"/>
      <c r="BGO35" s="537"/>
      <c r="BGP35" s="537"/>
      <c r="BGQ35" s="537"/>
      <c r="BGR35" s="537"/>
      <c r="BGS35" s="537"/>
      <c r="BGT35" s="537"/>
      <c r="BGU35" s="537"/>
      <c r="BGV35" s="537"/>
      <c r="BGW35" s="537"/>
      <c r="BGX35" s="537"/>
      <c r="BGY35" s="537"/>
      <c r="BGZ35" s="537"/>
      <c r="BHA35" s="537"/>
      <c r="BHB35" s="537"/>
      <c r="BHC35" s="537"/>
      <c r="BHD35" s="537"/>
      <c r="BHE35" s="537"/>
      <c r="BHF35" s="537"/>
      <c r="BHG35" s="537"/>
      <c r="BHH35" s="537"/>
      <c r="BHI35" s="537"/>
      <c r="BHJ35" s="537"/>
      <c r="BHK35" s="537"/>
      <c r="BHL35" s="537"/>
      <c r="BHM35" s="537"/>
      <c r="BHN35" s="537"/>
      <c r="BHO35" s="537"/>
      <c r="BHP35" s="537"/>
      <c r="BHQ35" s="537"/>
      <c r="BHR35" s="537"/>
      <c r="BHS35" s="537"/>
      <c r="BHT35" s="537"/>
      <c r="BHU35" s="537"/>
      <c r="BHV35" s="537"/>
      <c r="BHW35" s="537"/>
      <c r="BHX35" s="537"/>
      <c r="BHY35" s="537"/>
      <c r="BHZ35" s="537"/>
      <c r="BIA35" s="537"/>
      <c r="BIB35" s="537"/>
      <c r="BIC35" s="537"/>
      <c r="BID35" s="537"/>
      <c r="BIE35" s="537"/>
      <c r="BIF35" s="537"/>
      <c r="BIG35" s="537"/>
      <c r="BIH35" s="537"/>
      <c r="BII35" s="537"/>
      <c r="BIJ35" s="537"/>
      <c r="BIK35" s="537"/>
      <c r="BIL35" s="537"/>
      <c r="BIM35" s="537"/>
      <c r="BIN35" s="537"/>
      <c r="BIO35" s="537"/>
      <c r="BIP35" s="537"/>
      <c r="BIQ35" s="537"/>
      <c r="BIR35" s="537"/>
      <c r="BIS35" s="537"/>
      <c r="BIT35" s="537"/>
      <c r="BIU35" s="537"/>
      <c r="BIV35" s="537"/>
      <c r="BIW35" s="537"/>
      <c r="BIX35" s="537"/>
      <c r="BIY35" s="537"/>
      <c r="BIZ35" s="537"/>
      <c r="BJA35" s="537"/>
      <c r="BJB35" s="537"/>
      <c r="BJC35" s="537"/>
      <c r="BJD35" s="537"/>
      <c r="BJE35" s="537"/>
      <c r="BJF35" s="537"/>
      <c r="BJG35" s="537"/>
      <c r="BJH35" s="537"/>
      <c r="BJI35" s="537"/>
      <c r="BJJ35" s="537"/>
      <c r="BJK35" s="537"/>
      <c r="BJL35" s="537"/>
      <c r="BJM35" s="537"/>
      <c r="BJN35" s="537"/>
      <c r="BJO35" s="537"/>
      <c r="BJP35" s="537"/>
      <c r="BJQ35" s="537"/>
      <c r="BJR35" s="537"/>
      <c r="BJS35" s="537"/>
      <c r="BJT35" s="537"/>
      <c r="BJU35" s="537"/>
      <c r="BJV35" s="537"/>
      <c r="BJW35" s="537"/>
      <c r="BJX35" s="537"/>
      <c r="BJY35" s="537"/>
      <c r="BJZ35" s="537"/>
      <c r="BKA35" s="537"/>
      <c r="BKB35" s="537"/>
      <c r="BKC35" s="537"/>
      <c r="BKD35" s="537"/>
      <c r="BKE35" s="537"/>
      <c r="BKF35" s="537"/>
      <c r="BKG35" s="537"/>
      <c r="BKH35" s="537"/>
      <c r="BKI35" s="537"/>
      <c r="BKJ35" s="537"/>
      <c r="BKK35" s="537"/>
      <c r="BKL35" s="537"/>
      <c r="BKM35" s="537"/>
      <c r="BKN35" s="537"/>
      <c r="BKO35" s="537"/>
      <c r="BKP35" s="537"/>
      <c r="BKQ35" s="537"/>
      <c r="BKR35" s="537"/>
      <c r="BKS35" s="537"/>
      <c r="BKT35" s="537"/>
      <c r="BKU35" s="537"/>
      <c r="BKV35" s="537"/>
      <c r="BKW35" s="537"/>
      <c r="BKX35" s="537"/>
      <c r="BKY35" s="537"/>
      <c r="BKZ35" s="537"/>
      <c r="BLA35" s="537"/>
      <c r="BLB35" s="537"/>
      <c r="BLC35" s="537"/>
      <c r="BLD35" s="537"/>
      <c r="BLE35" s="537"/>
      <c r="BLF35" s="537"/>
      <c r="BLG35" s="537"/>
      <c r="BLH35" s="537"/>
      <c r="BLI35" s="537"/>
      <c r="BLJ35" s="537"/>
      <c r="BLK35" s="537"/>
      <c r="BLL35" s="537"/>
      <c r="BLM35" s="537"/>
      <c r="BLN35" s="537"/>
      <c r="BLO35" s="537"/>
      <c r="BLP35" s="537"/>
      <c r="BLQ35" s="537"/>
      <c r="BLR35" s="537"/>
      <c r="BLS35" s="537"/>
      <c r="BLT35" s="537"/>
      <c r="BLU35" s="537"/>
      <c r="BLV35" s="537"/>
      <c r="BLW35" s="537"/>
      <c r="BLX35" s="537"/>
      <c r="BLY35" s="537"/>
      <c r="BLZ35" s="537"/>
      <c r="BMA35" s="537"/>
      <c r="BMB35" s="537"/>
      <c r="BMC35" s="537"/>
      <c r="BMD35" s="537"/>
      <c r="BME35" s="537"/>
      <c r="BMF35" s="537"/>
      <c r="BMG35" s="537"/>
      <c r="BMH35" s="537"/>
      <c r="BMI35" s="537"/>
      <c r="BMJ35" s="537"/>
      <c r="BMK35" s="537"/>
      <c r="BML35" s="537"/>
      <c r="BMM35" s="537"/>
      <c r="BMN35" s="537"/>
      <c r="BMO35" s="537"/>
      <c r="BMP35" s="537"/>
      <c r="BMQ35" s="537"/>
      <c r="BMR35" s="537"/>
      <c r="BMS35" s="537"/>
      <c r="BMT35" s="537"/>
      <c r="BMU35" s="537"/>
      <c r="BMV35" s="537"/>
      <c r="BMW35" s="537"/>
      <c r="BMX35" s="537"/>
      <c r="BMY35" s="537"/>
      <c r="BMZ35" s="537"/>
      <c r="BNA35" s="537"/>
      <c r="BNB35" s="537"/>
      <c r="BNC35" s="537"/>
      <c r="BND35" s="537"/>
      <c r="BNE35" s="537"/>
      <c r="BNF35" s="537"/>
      <c r="BNG35" s="537"/>
      <c r="BNH35" s="537"/>
      <c r="BNI35" s="537"/>
      <c r="BNJ35" s="537"/>
      <c r="BNK35" s="537"/>
      <c r="BNL35" s="537"/>
      <c r="BNM35" s="537"/>
      <c r="BNN35" s="537"/>
      <c r="BNO35" s="537"/>
      <c r="BNP35" s="537"/>
      <c r="BNQ35" s="537"/>
      <c r="BNR35" s="537"/>
      <c r="BNS35" s="537"/>
      <c r="BNT35" s="537"/>
      <c r="BNU35" s="537"/>
      <c r="BNV35" s="537"/>
      <c r="BNW35" s="537"/>
      <c r="BNX35" s="537"/>
      <c r="BNY35" s="537"/>
      <c r="BNZ35" s="537"/>
      <c r="BOA35" s="537"/>
      <c r="BOB35" s="537"/>
      <c r="BOC35" s="537"/>
      <c r="BOD35" s="537"/>
      <c r="BOE35" s="537"/>
      <c r="BOF35" s="537"/>
      <c r="BOG35" s="537"/>
      <c r="BOH35" s="537"/>
      <c r="BOI35" s="537"/>
      <c r="BOJ35" s="537"/>
      <c r="BOK35" s="537"/>
      <c r="BOL35" s="537"/>
      <c r="BOM35" s="537"/>
      <c r="BON35" s="537"/>
      <c r="BOO35" s="537"/>
      <c r="BOP35" s="537"/>
      <c r="BOQ35" s="537"/>
      <c r="BOR35" s="537"/>
      <c r="BOS35" s="537"/>
      <c r="BOT35" s="537"/>
      <c r="BOU35" s="537"/>
      <c r="BOV35" s="537"/>
      <c r="BOW35" s="537"/>
      <c r="BOX35" s="537"/>
      <c r="BOY35" s="537"/>
      <c r="BOZ35" s="537"/>
      <c r="BPA35" s="537"/>
      <c r="BPB35" s="537"/>
      <c r="BPC35" s="537"/>
      <c r="BPD35" s="537"/>
      <c r="BPE35" s="537"/>
      <c r="BPF35" s="537"/>
      <c r="BPG35" s="537"/>
      <c r="BPH35" s="537"/>
      <c r="BPI35" s="537"/>
      <c r="BPJ35" s="537"/>
      <c r="BPK35" s="537"/>
      <c r="BPL35" s="537"/>
      <c r="BPM35" s="537"/>
      <c r="BPN35" s="537"/>
      <c r="BPO35" s="537"/>
      <c r="BPP35" s="537"/>
      <c r="BPQ35" s="537"/>
      <c r="BPR35" s="537"/>
      <c r="BPS35" s="537"/>
      <c r="BPT35" s="537"/>
      <c r="BPU35" s="537"/>
      <c r="BPV35" s="537"/>
      <c r="BPW35" s="537"/>
      <c r="BPX35" s="537"/>
      <c r="BPY35" s="537"/>
      <c r="BPZ35" s="537"/>
      <c r="BQA35" s="537"/>
      <c r="BQB35" s="537"/>
      <c r="BQC35" s="537"/>
      <c r="BQD35" s="537"/>
      <c r="BQE35" s="537"/>
      <c r="BQF35" s="537"/>
      <c r="BQG35" s="537"/>
      <c r="BQH35" s="537"/>
      <c r="BQI35" s="537"/>
      <c r="BQJ35" s="537"/>
      <c r="BQK35" s="537"/>
      <c r="BQL35" s="537"/>
      <c r="BQM35" s="537"/>
      <c r="BQN35" s="537"/>
      <c r="BQO35" s="537"/>
      <c r="BQP35" s="537"/>
      <c r="BQQ35" s="537"/>
      <c r="BQR35" s="537"/>
      <c r="BQS35" s="537"/>
      <c r="BQT35" s="537"/>
      <c r="BQU35" s="537"/>
      <c r="BQV35" s="537"/>
      <c r="BQW35" s="537"/>
      <c r="BQX35" s="537"/>
      <c r="BQY35" s="537"/>
      <c r="BQZ35" s="537"/>
      <c r="BRA35" s="537"/>
      <c r="BRB35" s="537"/>
      <c r="BRC35" s="537"/>
      <c r="BRD35" s="537"/>
      <c r="BRE35" s="537"/>
      <c r="BRF35" s="537"/>
      <c r="BRG35" s="537"/>
      <c r="BRH35" s="537"/>
      <c r="BRI35" s="537"/>
      <c r="BRJ35" s="537"/>
      <c r="BRK35" s="537"/>
      <c r="BRL35" s="537"/>
      <c r="BRM35" s="537"/>
      <c r="BRN35" s="537"/>
      <c r="BRO35" s="537"/>
      <c r="BRP35" s="537"/>
      <c r="BRQ35" s="537"/>
      <c r="BRR35" s="537"/>
      <c r="BRS35" s="537"/>
      <c r="BRT35" s="537"/>
      <c r="BRU35" s="537"/>
      <c r="BRV35" s="537"/>
      <c r="BRW35" s="537"/>
      <c r="BRX35" s="537"/>
      <c r="BRY35" s="537"/>
      <c r="BRZ35" s="537"/>
      <c r="BSA35" s="537"/>
      <c r="BSB35" s="537"/>
      <c r="BSC35" s="537"/>
      <c r="BSD35" s="537"/>
      <c r="BSE35" s="537"/>
      <c r="BSF35" s="537"/>
      <c r="BSG35" s="537"/>
      <c r="BSH35" s="537"/>
      <c r="BSI35" s="537"/>
      <c r="BSJ35" s="537"/>
      <c r="BSK35" s="537"/>
      <c r="BSL35" s="537"/>
      <c r="BSM35" s="537"/>
      <c r="BSN35" s="537"/>
      <c r="BSO35" s="537"/>
      <c r="BSP35" s="537"/>
      <c r="BSQ35" s="537"/>
      <c r="BSR35" s="537"/>
      <c r="BSS35" s="537"/>
      <c r="BST35" s="537"/>
      <c r="BSU35" s="537"/>
      <c r="BSV35" s="537"/>
      <c r="BSW35" s="537"/>
      <c r="BSX35" s="537"/>
      <c r="BSY35" s="537"/>
      <c r="BSZ35" s="537"/>
      <c r="BTA35" s="537"/>
      <c r="BTB35" s="537"/>
      <c r="BTC35" s="537"/>
      <c r="BTD35" s="537"/>
      <c r="BTE35" s="537"/>
      <c r="BTF35" s="537"/>
      <c r="BTG35" s="537"/>
      <c r="BTH35" s="537"/>
      <c r="BTI35" s="537"/>
      <c r="BTJ35" s="537"/>
      <c r="BTK35" s="537"/>
      <c r="BTL35" s="537"/>
      <c r="BTM35" s="537"/>
      <c r="BTN35" s="537"/>
      <c r="BTO35" s="537"/>
      <c r="BTP35" s="537"/>
      <c r="BTQ35" s="537"/>
      <c r="BTR35" s="537"/>
      <c r="BTS35" s="537"/>
      <c r="BTT35" s="537"/>
      <c r="BTU35" s="537"/>
      <c r="BTV35" s="537"/>
      <c r="BTW35" s="537"/>
      <c r="BTX35" s="537"/>
      <c r="BTY35" s="537"/>
      <c r="BTZ35" s="537"/>
      <c r="BUA35" s="537"/>
      <c r="BUB35" s="537"/>
      <c r="BUC35" s="537"/>
      <c r="BUD35" s="537"/>
      <c r="BUE35" s="537"/>
      <c r="BUF35" s="537"/>
      <c r="BUG35" s="537"/>
      <c r="BUH35" s="537"/>
      <c r="BUI35" s="537"/>
      <c r="BUJ35" s="537"/>
      <c r="BUK35" s="537"/>
      <c r="BUL35" s="537"/>
      <c r="BUM35" s="537"/>
      <c r="BUN35" s="537"/>
      <c r="BUO35" s="537"/>
      <c r="BUP35" s="537"/>
      <c r="BUQ35" s="537"/>
      <c r="BUR35" s="537"/>
      <c r="BUS35" s="537"/>
      <c r="BUT35" s="537"/>
      <c r="BUU35" s="537"/>
      <c r="BUV35" s="537"/>
      <c r="BUW35" s="537"/>
      <c r="BUX35" s="537"/>
      <c r="BUY35" s="537"/>
      <c r="BUZ35" s="537"/>
      <c r="BVA35" s="537"/>
      <c r="BVB35" s="537"/>
      <c r="BVC35" s="537"/>
      <c r="BVD35" s="537"/>
      <c r="BVE35" s="537"/>
      <c r="BVF35" s="537"/>
      <c r="BVG35" s="537"/>
      <c r="BVH35" s="537"/>
      <c r="BVI35" s="537"/>
      <c r="BVJ35" s="537"/>
      <c r="BVK35" s="537"/>
      <c r="BVL35" s="537"/>
      <c r="BVM35" s="537"/>
      <c r="BVN35" s="537"/>
      <c r="BVO35" s="537"/>
      <c r="BVP35" s="537"/>
      <c r="BVQ35" s="537"/>
      <c r="BVR35" s="537"/>
      <c r="BVS35" s="537"/>
      <c r="BVT35" s="537"/>
      <c r="BVU35" s="537"/>
      <c r="BVV35" s="537"/>
      <c r="BVW35" s="537"/>
      <c r="BVX35" s="537"/>
      <c r="BVY35" s="537"/>
      <c r="BVZ35" s="537"/>
      <c r="BWA35" s="537"/>
      <c r="BWB35" s="537"/>
      <c r="BWC35" s="537"/>
      <c r="BWD35" s="537"/>
      <c r="BWE35" s="537"/>
      <c r="BWF35" s="537"/>
      <c r="BWG35" s="537"/>
      <c r="BWH35" s="537"/>
      <c r="BWI35" s="537"/>
      <c r="BWJ35" s="537"/>
      <c r="BWK35" s="537"/>
      <c r="BWL35" s="537"/>
      <c r="BWM35" s="537"/>
      <c r="BWN35" s="537"/>
      <c r="BWO35" s="537"/>
      <c r="BWP35" s="537"/>
      <c r="BWQ35" s="537"/>
      <c r="BWR35" s="537"/>
      <c r="BWS35" s="537"/>
      <c r="BWT35" s="537"/>
      <c r="BWU35" s="537"/>
      <c r="BWV35" s="537"/>
      <c r="BWW35" s="537"/>
      <c r="BWX35" s="537"/>
      <c r="BWY35" s="537"/>
      <c r="BWZ35" s="537"/>
      <c r="BXA35" s="537"/>
      <c r="BXB35" s="537"/>
      <c r="BXC35" s="537"/>
      <c r="BXD35" s="537"/>
      <c r="BXE35" s="537"/>
      <c r="BXF35" s="537"/>
      <c r="BXG35" s="537"/>
      <c r="BXH35" s="537"/>
      <c r="BXI35" s="537"/>
      <c r="BXJ35" s="537"/>
      <c r="BXK35" s="537"/>
      <c r="BXL35" s="537"/>
      <c r="BXM35" s="537"/>
      <c r="BXN35" s="537"/>
      <c r="BXO35" s="537"/>
      <c r="BXP35" s="537"/>
      <c r="BXQ35" s="537"/>
      <c r="BXR35" s="537"/>
      <c r="BXS35" s="537"/>
      <c r="BXT35" s="537"/>
      <c r="BXU35" s="537"/>
      <c r="BXV35" s="537"/>
      <c r="BXW35" s="537"/>
      <c r="BXX35" s="537"/>
      <c r="BXY35" s="537"/>
      <c r="BXZ35" s="537"/>
      <c r="BYA35" s="537"/>
      <c r="BYB35" s="537"/>
      <c r="BYC35" s="537"/>
      <c r="BYD35" s="537"/>
      <c r="BYE35" s="537"/>
      <c r="BYF35" s="537"/>
      <c r="BYG35" s="537"/>
      <c r="BYH35" s="537"/>
      <c r="BYI35" s="537"/>
      <c r="BYJ35" s="537"/>
      <c r="BYK35" s="537"/>
      <c r="BYL35" s="537"/>
      <c r="BYM35" s="537"/>
      <c r="BYN35" s="537"/>
      <c r="BYO35" s="537"/>
      <c r="BYP35" s="537"/>
      <c r="BYQ35" s="537"/>
      <c r="BYR35" s="537"/>
      <c r="BYS35" s="537"/>
      <c r="BYT35" s="537"/>
      <c r="BYU35" s="537"/>
      <c r="BYV35" s="537"/>
      <c r="BYW35" s="537"/>
      <c r="BYX35" s="537"/>
      <c r="BYY35" s="537"/>
      <c r="BYZ35" s="537"/>
      <c r="BZA35" s="537"/>
      <c r="BZB35" s="537"/>
      <c r="BZC35" s="537"/>
      <c r="BZD35" s="537"/>
      <c r="BZE35" s="537"/>
      <c r="BZF35" s="537"/>
      <c r="BZG35" s="537"/>
      <c r="BZH35" s="537"/>
      <c r="BZI35" s="537"/>
      <c r="BZJ35" s="537"/>
      <c r="BZK35" s="537"/>
      <c r="BZL35" s="537"/>
      <c r="BZM35" s="537"/>
      <c r="BZN35" s="537"/>
      <c r="BZO35" s="537"/>
      <c r="BZP35" s="537"/>
      <c r="BZQ35" s="537"/>
      <c r="BZR35" s="537"/>
      <c r="BZS35" s="537"/>
      <c r="BZT35" s="537"/>
      <c r="BZU35" s="537"/>
      <c r="BZV35" s="537"/>
      <c r="BZW35" s="537"/>
      <c r="BZX35" s="537"/>
      <c r="BZY35" s="537"/>
      <c r="BZZ35" s="537"/>
      <c r="CAA35" s="537"/>
      <c r="CAB35" s="537"/>
      <c r="CAC35" s="537"/>
      <c r="CAD35" s="537"/>
      <c r="CAE35" s="537"/>
      <c r="CAF35" s="537"/>
      <c r="CAG35" s="537"/>
      <c r="CAH35" s="537"/>
      <c r="CAI35" s="537"/>
      <c r="CAJ35" s="537"/>
      <c r="CAK35" s="537"/>
      <c r="CAL35" s="537"/>
      <c r="CAM35" s="537"/>
      <c r="CAN35" s="537"/>
      <c r="CAO35" s="537"/>
      <c r="CAP35" s="537"/>
      <c r="CAQ35" s="537"/>
      <c r="CAR35" s="537"/>
      <c r="CAS35" s="537"/>
      <c r="CAT35" s="537"/>
      <c r="CAU35" s="537"/>
      <c r="CAV35" s="537"/>
      <c r="CAW35" s="537"/>
      <c r="CAX35" s="537"/>
      <c r="CAY35" s="537"/>
      <c r="CAZ35" s="537"/>
      <c r="CBA35" s="537"/>
      <c r="CBB35" s="537"/>
      <c r="CBC35" s="537"/>
      <c r="CBD35" s="537"/>
      <c r="CBE35" s="537"/>
      <c r="CBF35" s="537"/>
      <c r="CBG35" s="537"/>
      <c r="CBH35" s="537"/>
      <c r="CBI35" s="537"/>
      <c r="CBJ35" s="537"/>
      <c r="CBK35" s="537"/>
      <c r="CBL35" s="537"/>
      <c r="CBM35" s="537"/>
      <c r="CBN35" s="537"/>
      <c r="CBO35" s="537"/>
      <c r="CBP35" s="537"/>
      <c r="CBQ35" s="537"/>
      <c r="CBR35" s="537"/>
      <c r="CBS35" s="537"/>
      <c r="CBT35" s="537"/>
      <c r="CBU35" s="537"/>
      <c r="CBV35" s="537"/>
      <c r="CBW35" s="537"/>
      <c r="CBX35" s="537"/>
      <c r="CBY35" s="537"/>
      <c r="CBZ35" s="537"/>
      <c r="CCA35" s="537"/>
      <c r="CCB35" s="537"/>
      <c r="CCC35" s="537"/>
      <c r="CCD35" s="537"/>
      <c r="CCE35" s="537"/>
      <c r="CCF35" s="537"/>
      <c r="CCG35" s="537"/>
      <c r="CCH35" s="537"/>
      <c r="CCI35" s="537"/>
      <c r="CCJ35" s="537"/>
      <c r="CCK35" s="537"/>
      <c r="CCL35" s="537"/>
      <c r="CCM35" s="537"/>
      <c r="CCN35" s="537"/>
      <c r="CCO35" s="537"/>
      <c r="CCP35" s="537"/>
      <c r="CCQ35" s="537"/>
      <c r="CCR35" s="537"/>
      <c r="CCS35" s="537"/>
      <c r="CCT35" s="537"/>
      <c r="CCU35" s="537"/>
      <c r="CCV35" s="537"/>
      <c r="CCW35" s="537"/>
      <c r="CCX35" s="537"/>
      <c r="CCY35" s="537"/>
      <c r="CCZ35" s="537"/>
      <c r="CDA35" s="537"/>
      <c r="CDB35" s="537"/>
      <c r="CDC35" s="537"/>
      <c r="CDD35" s="537"/>
      <c r="CDE35" s="537"/>
      <c r="CDF35" s="537"/>
      <c r="CDG35" s="537"/>
      <c r="CDH35" s="537"/>
      <c r="CDI35" s="537"/>
      <c r="CDJ35" s="537"/>
      <c r="CDK35" s="537"/>
      <c r="CDL35" s="537"/>
      <c r="CDM35" s="537"/>
      <c r="CDN35" s="537"/>
      <c r="CDO35" s="537"/>
      <c r="CDP35" s="537"/>
      <c r="CDQ35" s="537"/>
      <c r="CDR35" s="537"/>
      <c r="CDS35" s="537"/>
      <c r="CDT35" s="537"/>
      <c r="CDU35" s="537"/>
      <c r="CDV35" s="537"/>
      <c r="CDW35" s="537"/>
      <c r="CDX35" s="537"/>
      <c r="CDY35" s="537"/>
      <c r="CDZ35" s="537"/>
      <c r="CEA35" s="537"/>
      <c r="CEB35" s="537"/>
      <c r="CEC35" s="537"/>
      <c r="CED35" s="537"/>
      <c r="CEE35" s="537"/>
      <c r="CEF35" s="537"/>
      <c r="CEG35" s="537"/>
      <c r="CEH35" s="537"/>
      <c r="CEI35" s="537"/>
      <c r="CEJ35" s="537"/>
      <c r="CEK35" s="537"/>
      <c r="CEL35" s="537"/>
      <c r="CEM35" s="537"/>
      <c r="CEN35" s="537"/>
      <c r="CEO35" s="537"/>
      <c r="CEP35" s="537"/>
      <c r="CEQ35" s="537"/>
      <c r="CER35" s="537"/>
      <c r="CES35" s="537"/>
      <c r="CET35" s="537"/>
      <c r="CEU35" s="537"/>
      <c r="CEV35" s="537"/>
      <c r="CEW35" s="537"/>
      <c r="CEX35" s="537"/>
      <c r="CEY35" s="537"/>
      <c r="CEZ35" s="537"/>
      <c r="CFA35" s="537"/>
      <c r="CFB35" s="537"/>
      <c r="CFC35" s="537"/>
      <c r="CFD35" s="537"/>
      <c r="CFE35" s="537"/>
      <c r="CFF35" s="537"/>
      <c r="CFG35" s="537"/>
      <c r="CFH35" s="537"/>
      <c r="CFI35" s="537"/>
      <c r="CFJ35" s="537"/>
      <c r="CFK35" s="537"/>
      <c r="CFL35" s="537"/>
      <c r="CFM35" s="537"/>
      <c r="CFN35" s="537"/>
      <c r="CFO35" s="537"/>
      <c r="CFP35" s="537"/>
      <c r="CFQ35" s="537"/>
      <c r="CFR35" s="537"/>
      <c r="CFS35" s="537"/>
      <c r="CFT35" s="537"/>
      <c r="CFU35" s="537"/>
      <c r="CFV35" s="537"/>
      <c r="CFW35" s="537"/>
      <c r="CFX35" s="537"/>
      <c r="CFY35" s="537"/>
      <c r="CFZ35" s="537"/>
      <c r="CGA35" s="537"/>
      <c r="CGB35" s="537"/>
      <c r="CGC35" s="537"/>
      <c r="CGD35" s="537"/>
      <c r="CGE35" s="537"/>
      <c r="CGF35" s="537"/>
      <c r="CGG35" s="537"/>
      <c r="CGH35" s="537"/>
      <c r="CGI35" s="537"/>
      <c r="CGJ35" s="537"/>
      <c r="CGK35" s="537"/>
      <c r="CGL35" s="537"/>
      <c r="CGM35" s="537"/>
      <c r="CGN35" s="537"/>
      <c r="CGO35" s="537"/>
      <c r="CGP35" s="537"/>
      <c r="CGQ35" s="537"/>
      <c r="CGR35" s="537"/>
      <c r="CGS35" s="537"/>
      <c r="CGT35" s="537"/>
      <c r="CGU35" s="537"/>
      <c r="CGV35" s="537"/>
      <c r="CGW35" s="537"/>
      <c r="CGX35" s="537"/>
      <c r="CGY35" s="537"/>
      <c r="CGZ35" s="537"/>
      <c r="CHA35" s="537"/>
      <c r="CHB35" s="537"/>
      <c r="CHC35" s="537"/>
      <c r="CHD35" s="537"/>
      <c r="CHE35" s="537"/>
      <c r="CHF35" s="537"/>
      <c r="CHG35" s="537"/>
      <c r="CHH35" s="537"/>
      <c r="CHI35" s="537"/>
      <c r="CHJ35" s="537"/>
      <c r="CHK35" s="537"/>
      <c r="CHL35" s="537"/>
      <c r="CHM35" s="537"/>
      <c r="CHN35" s="537"/>
      <c r="CHO35" s="537"/>
      <c r="CHP35" s="537"/>
      <c r="CHQ35" s="537"/>
      <c r="CHR35" s="537"/>
      <c r="CHS35" s="537"/>
      <c r="CHT35" s="537"/>
      <c r="CHU35" s="537"/>
      <c r="CHV35" s="537"/>
      <c r="CHW35" s="537"/>
      <c r="CHX35" s="537"/>
      <c r="CHY35" s="537"/>
      <c r="CHZ35" s="537"/>
      <c r="CIA35" s="537"/>
      <c r="CIB35" s="537"/>
      <c r="CIC35" s="537"/>
      <c r="CID35" s="537"/>
      <c r="CIE35" s="537"/>
      <c r="CIF35" s="537"/>
      <c r="CIG35" s="537"/>
      <c r="CIH35" s="537"/>
      <c r="CII35" s="537"/>
      <c r="CIJ35" s="537"/>
      <c r="CIK35" s="537"/>
      <c r="CIL35" s="537"/>
      <c r="CIM35" s="537"/>
      <c r="CIN35" s="537"/>
      <c r="CIO35" s="537"/>
      <c r="CIP35" s="537"/>
      <c r="CIQ35" s="537"/>
      <c r="CIR35" s="537"/>
      <c r="CIS35" s="537"/>
      <c r="CIT35" s="537"/>
      <c r="CIU35" s="537"/>
      <c r="CIV35" s="537"/>
      <c r="CIW35" s="537"/>
      <c r="CIX35" s="537"/>
      <c r="CIY35" s="537"/>
      <c r="CIZ35" s="537"/>
      <c r="CJA35" s="537"/>
      <c r="CJB35" s="537"/>
      <c r="CJC35" s="537"/>
      <c r="CJD35" s="537"/>
      <c r="CJE35" s="537"/>
      <c r="CJF35" s="537"/>
      <c r="CJG35" s="537"/>
      <c r="CJH35" s="537"/>
      <c r="CJI35" s="537"/>
      <c r="CJJ35" s="537"/>
      <c r="CJK35" s="537"/>
      <c r="CJL35" s="537"/>
      <c r="CJM35" s="537"/>
      <c r="CJN35" s="537"/>
      <c r="CJO35" s="537"/>
      <c r="CJP35" s="537"/>
      <c r="CJQ35" s="537"/>
      <c r="CJR35" s="537"/>
      <c r="CJS35" s="537"/>
      <c r="CJT35" s="537"/>
      <c r="CJU35" s="537"/>
      <c r="CJV35" s="537"/>
      <c r="CJW35" s="537"/>
      <c r="CJX35" s="537"/>
      <c r="CJY35" s="537"/>
      <c r="CJZ35" s="537"/>
      <c r="CKA35" s="537"/>
      <c r="CKB35" s="537"/>
      <c r="CKC35" s="537"/>
      <c r="CKD35" s="537"/>
      <c r="CKE35" s="537"/>
      <c r="CKF35" s="537"/>
      <c r="CKG35" s="537"/>
      <c r="CKH35" s="537"/>
      <c r="CKI35" s="537"/>
      <c r="CKJ35" s="537"/>
      <c r="CKK35" s="537"/>
      <c r="CKL35" s="537"/>
      <c r="CKM35" s="537"/>
      <c r="CKN35" s="537"/>
      <c r="CKO35" s="537"/>
      <c r="CKP35" s="537"/>
      <c r="CKQ35" s="537"/>
      <c r="CKR35" s="537"/>
      <c r="CKS35" s="537"/>
      <c r="CKT35" s="537"/>
      <c r="CKU35" s="537"/>
      <c r="CKV35" s="537"/>
      <c r="CKW35" s="537"/>
      <c r="CKX35" s="537"/>
      <c r="CKY35" s="537"/>
      <c r="CKZ35" s="537"/>
      <c r="CLA35" s="537"/>
      <c r="CLB35" s="537"/>
      <c r="CLC35" s="537"/>
      <c r="CLD35" s="537"/>
      <c r="CLE35" s="537"/>
      <c r="CLF35" s="537"/>
      <c r="CLG35" s="537"/>
      <c r="CLH35" s="537"/>
      <c r="CLI35" s="537"/>
      <c r="CLJ35" s="537"/>
      <c r="CLK35" s="537"/>
      <c r="CLL35" s="537"/>
      <c r="CLM35" s="537"/>
      <c r="CLN35" s="537"/>
      <c r="CLO35" s="537"/>
      <c r="CLP35" s="537"/>
      <c r="CLQ35" s="537"/>
      <c r="CLR35" s="537"/>
      <c r="CLS35" s="537"/>
      <c r="CLT35" s="537"/>
      <c r="CLU35" s="537"/>
      <c r="CLV35" s="537"/>
      <c r="CLW35" s="537"/>
      <c r="CLX35" s="537"/>
      <c r="CLY35" s="537"/>
      <c r="CLZ35" s="537"/>
      <c r="CMA35" s="537"/>
      <c r="CMB35" s="537"/>
      <c r="CMC35" s="537"/>
      <c r="CMD35" s="537"/>
      <c r="CME35" s="537"/>
      <c r="CMF35" s="537"/>
      <c r="CMG35" s="537"/>
      <c r="CMH35" s="537"/>
      <c r="CMI35" s="537"/>
      <c r="CMJ35" s="537"/>
      <c r="CMK35" s="537"/>
      <c r="CML35" s="537"/>
      <c r="CMM35" s="537"/>
      <c r="CMN35" s="537"/>
      <c r="CMO35" s="537"/>
      <c r="CMP35" s="537"/>
      <c r="CMQ35" s="537"/>
      <c r="CMR35" s="537"/>
      <c r="CMS35" s="537"/>
      <c r="CMT35" s="537"/>
      <c r="CMU35" s="537"/>
      <c r="CMV35" s="537"/>
      <c r="CMW35" s="537"/>
      <c r="CMX35" s="537"/>
      <c r="CMY35" s="537"/>
      <c r="CMZ35" s="537"/>
      <c r="CNA35" s="537"/>
      <c r="CNB35" s="537"/>
      <c r="CNC35" s="537"/>
      <c r="CND35" s="537"/>
      <c r="CNE35" s="537"/>
      <c r="CNF35" s="537"/>
      <c r="CNG35" s="537"/>
      <c r="CNH35" s="537"/>
      <c r="CNI35" s="537"/>
      <c r="CNJ35" s="537"/>
      <c r="CNK35" s="537"/>
      <c r="CNL35" s="537"/>
      <c r="CNM35" s="537"/>
      <c r="CNN35" s="537"/>
      <c r="CNO35" s="537"/>
      <c r="CNP35" s="537"/>
      <c r="CNQ35" s="537"/>
      <c r="CNR35" s="537"/>
      <c r="CNS35" s="537"/>
      <c r="CNT35" s="537"/>
      <c r="CNU35" s="537"/>
      <c r="CNV35" s="537"/>
      <c r="CNW35" s="537"/>
      <c r="CNX35" s="537"/>
      <c r="CNY35" s="537"/>
      <c r="CNZ35" s="537"/>
      <c r="COA35" s="537"/>
      <c r="COB35" s="537"/>
      <c r="COC35" s="537"/>
      <c r="COD35" s="537"/>
      <c r="COE35" s="537"/>
      <c r="COF35" s="537"/>
      <c r="COG35" s="537"/>
      <c r="COH35" s="537"/>
      <c r="COI35" s="537"/>
      <c r="COJ35" s="537"/>
      <c r="COK35" s="537"/>
      <c r="COL35" s="537"/>
      <c r="COM35" s="537"/>
      <c r="CON35" s="537"/>
      <c r="COO35" s="537"/>
      <c r="COP35" s="537"/>
      <c r="COQ35" s="537"/>
      <c r="COR35" s="537"/>
      <c r="COS35" s="537"/>
      <c r="COT35" s="537"/>
      <c r="COU35" s="537"/>
      <c r="COV35" s="537"/>
      <c r="COW35" s="537"/>
      <c r="COX35" s="537"/>
      <c r="COY35" s="537"/>
      <c r="COZ35" s="537"/>
      <c r="CPA35" s="537"/>
      <c r="CPB35" s="537"/>
      <c r="CPC35" s="537"/>
      <c r="CPD35" s="537"/>
      <c r="CPE35" s="537"/>
      <c r="CPF35" s="537"/>
      <c r="CPG35" s="537"/>
      <c r="CPH35" s="537"/>
      <c r="CPI35" s="537"/>
      <c r="CPJ35" s="537"/>
      <c r="CPK35" s="537"/>
      <c r="CPL35" s="537"/>
      <c r="CPM35" s="537"/>
      <c r="CPN35" s="537"/>
      <c r="CPO35" s="537"/>
      <c r="CPP35" s="537"/>
      <c r="CPQ35" s="537"/>
      <c r="CPR35" s="537"/>
      <c r="CPS35" s="537"/>
      <c r="CPT35" s="537"/>
      <c r="CPU35" s="537"/>
      <c r="CPV35" s="537"/>
      <c r="CPW35" s="537"/>
      <c r="CPX35" s="537"/>
      <c r="CPY35" s="537"/>
      <c r="CPZ35" s="537"/>
      <c r="CQA35" s="537"/>
      <c r="CQB35" s="537"/>
      <c r="CQC35" s="537"/>
      <c r="CQD35" s="537"/>
      <c r="CQE35" s="537"/>
      <c r="CQF35" s="537"/>
      <c r="CQG35" s="537"/>
      <c r="CQH35" s="537"/>
      <c r="CQI35" s="537"/>
      <c r="CQJ35" s="537"/>
      <c r="CQK35" s="537"/>
      <c r="CQL35" s="537"/>
      <c r="CQM35" s="537"/>
      <c r="CQN35" s="537"/>
      <c r="CQO35" s="537"/>
      <c r="CQP35" s="537"/>
      <c r="CQQ35" s="537"/>
      <c r="CQR35" s="537"/>
      <c r="CQS35" s="537"/>
      <c r="CQT35" s="537"/>
      <c r="CQU35" s="537"/>
      <c r="CQV35" s="537"/>
      <c r="CQW35" s="537"/>
      <c r="CQX35" s="537"/>
      <c r="CQY35" s="537"/>
      <c r="CQZ35" s="537"/>
      <c r="CRA35" s="537"/>
      <c r="CRB35" s="537"/>
      <c r="CRC35" s="537"/>
      <c r="CRD35" s="537"/>
      <c r="CRE35" s="537"/>
      <c r="CRF35" s="537"/>
      <c r="CRG35" s="537"/>
      <c r="CRH35" s="537"/>
      <c r="CRI35" s="537"/>
      <c r="CRJ35" s="537"/>
      <c r="CRK35" s="537"/>
      <c r="CRL35" s="537"/>
      <c r="CRM35" s="537"/>
      <c r="CRN35" s="537"/>
      <c r="CRO35" s="537"/>
      <c r="CRP35" s="537"/>
      <c r="CRQ35" s="537"/>
      <c r="CRR35" s="537"/>
      <c r="CRS35" s="537"/>
      <c r="CRT35" s="537"/>
      <c r="CRU35" s="537"/>
      <c r="CRV35" s="537"/>
      <c r="CRW35" s="537"/>
      <c r="CRX35" s="537"/>
      <c r="CRY35" s="537"/>
      <c r="CRZ35" s="537"/>
      <c r="CSA35" s="537"/>
      <c r="CSB35" s="537"/>
      <c r="CSC35" s="537"/>
      <c r="CSD35" s="537"/>
      <c r="CSE35" s="537"/>
      <c r="CSF35" s="537"/>
      <c r="CSG35" s="537"/>
      <c r="CSH35" s="537"/>
      <c r="CSI35" s="537"/>
      <c r="CSJ35" s="537"/>
      <c r="CSK35" s="537"/>
      <c r="CSL35" s="537"/>
      <c r="CSM35" s="537"/>
      <c r="CSN35" s="537"/>
      <c r="CSO35" s="537"/>
      <c r="CSP35" s="537"/>
      <c r="CSQ35" s="537"/>
      <c r="CSR35" s="537"/>
      <c r="CSS35" s="537"/>
      <c r="CST35" s="537"/>
      <c r="CSU35" s="537"/>
      <c r="CSV35" s="537"/>
      <c r="CSW35" s="537"/>
      <c r="CSX35" s="537"/>
      <c r="CSY35" s="537"/>
      <c r="CSZ35" s="537"/>
      <c r="CTA35" s="537"/>
      <c r="CTB35" s="537"/>
      <c r="CTC35" s="537"/>
      <c r="CTD35" s="537"/>
      <c r="CTE35" s="537"/>
      <c r="CTF35" s="537"/>
      <c r="CTG35" s="537"/>
      <c r="CTH35" s="537"/>
      <c r="CTI35" s="537"/>
      <c r="CTJ35" s="537"/>
      <c r="CTK35" s="537"/>
      <c r="CTL35" s="537"/>
      <c r="CTM35" s="537"/>
      <c r="CTN35" s="537"/>
      <c r="CTO35" s="537"/>
      <c r="CTP35" s="537"/>
      <c r="CTQ35" s="537"/>
      <c r="CTR35" s="537"/>
      <c r="CTS35" s="537"/>
      <c r="CTT35" s="537"/>
      <c r="CTU35" s="537"/>
      <c r="CTV35" s="537"/>
      <c r="CTW35" s="537"/>
      <c r="CTX35" s="537"/>
      <c r="CTY35" s="537"/>
      <c r="CTZ35" s="537"/>
      <c r="CUA35" s="537"/>
      <c r="CUB35" s="537"/>
      <c r="CUC35" s="537"/>
      <c r="CUD35" s="537"/>
      <c r="CUE35" s="537"/>
      <c r="CUF35" s="537"/>
      <c r="CUG35" s="537"/>
      <c r="CUH35" s="537"/>
      <c r="CUI35" s="537"/>
      <c r="CUJ35" s="537"/>
      <c r="CUK35" s="537"/>
      <c r="CUL35" s="537"/>
      <c r="CUM35" s="537"/>
      <c r="CUN35" s="537"/>
      <c r="CUO35" s="537"/>
      <c r="CUP35" s="537"/>
      <c r="CUQ35" s="537"/>
      <c r="CUR35" s="537"/>
      <c r="CUS35" s="537"/>
      <c r="CUT35" s="537"/>
      <c r="CUU35" s="537"/>
      <c r="CUV35" s="537"/>
      <c r="CUW35" s="537"/>
      <c r="CUX35" s="537"/>
      <c r="CUY35" s="537"/>
      <c r="CUZ35" s="537"/>
      <c r="CVA35" s="537"/>
      <c r="CVB35" s="537"/>
      <c r="CVC35" s="537"/>
      <c r="CVD35" s="537"/>
      <c r="CVE35" s="537"/>
      <c r="CVF35" s="537"/>
      <c r="CVG35" s="537"/>
      <c r="CVH35" s="537"/>
      <c r="CVI35" s="537"/>
      <c r="CVJ35" s="537"/>
      <c r="CVK35" s="537"/>
      <c r="CVL35" s="537"/>
      <c r="CVM35" s="537"/>
      <c r="CVN35" s="537"/>
      <c r="CVO35" s="537"/>
      <c r="CVP35" s="537"/>
      <c r="CVQ35" s="537"/>
      <c r="CVR35" s="537"/>
      <c r="CVS35" s="537"/>
      <c r="CVT35" s="537"/>
      <c r="CVU35" s="537"/>
      <c r="CVV35" s="537"/>
      <c r="CVW35" s="537"/>
      <c r="CVX35" s="537"/>
      <c r="CVY35" s="537"/>
      <c r="CVZ35" s="537"/>
      <c r="CWA35" s="537"/>
      <c r="CWB35" s="537"/>
      <c r="CWC35" s="537"/>
      <c r="CWD35" s="537"/>
      <c r="CWE35" s="537"/>
      <c r="CWF35" s="537"/>
      <c r="CWG35" s="537"/>
      <c r="CWH35" s="537"/>
      <c r="CWI35" s="537"/>
      <c r="CWJ35" s="537"/>
      <c r="CWK35" s="537"/>
      <c r="CWL35" s="537"/>
      <c r="CWM35" s="537"/>
      <c r="CWN35" s="537"/>
      <c r="CWO35" s="537"/>
      <c r="CWP35" s="537"/>
      <c r="CWQ35" s="537"/>
      <c r="CWR35" s="537"/>
      <c r="CWS35" s="537"/>
      <c r="CWT35" s="537"/>
      <c r="CWU35" s="537"/>
      <c r="CWV35" s="537"/>
      <c r="CWW35" s="537"/>
      <c r="CWX35" s="537"/>
      <c r="CWY35" s="537"/>
      <c r="CWZ35" s="537"/>
      <c r="CXA35" s="537"/>
      <c r="CXB35" s="537"/>
      <c r="CXC35" s="537"/>
      <c r="CXD35" s="537"/>
      <c r="CXE35" s="537"/>
      <c r="CXF35" s="537"/>
      <c r="CXG35" s="537"/>
      <c r="CXH35" s="537"/>
      <c r="CXI35" s="537"/>
      <c r="CXJ35" s="537"/>
      <c r="CXK35" s="537"/>
      <c r="CXL35" s="537"/>
      <c r="CXM35" s="537"/>
      <c r="CXN35" s="537"/>
      <c r="CXO35" s="537"/>
      <c r="CXP35" s="537"/>
      <c r="CXQ35" s="537"/>
      <c r="CXR35" s="537"/>
      <c r="CXS35" s="537"/>
      <c r="CXT35" s="537"/>
      <c r="CXU35" s="537"/>
      <c r="CXV35" s="537"/>
      <c r="CXW35" s="537"/>
      <c r="CXX35" s="537"/>
      <c r="CXY35" s="537"/>
      <c r="CXZ35" s="537"/>
      <c r="CYA35" s="537"/>
      <c r="CYB35" s="537"/>
      <c r="CYC35" s="537"/>
      <c r="CYD35" s="537"/>
      <c r="CYE35" s="537"/>
      <c r="CYF35" s="537"/>
      <c r="CYG35" s="537"/>
      <c r="CYH35" s="537"/>
      <c r="CYI35" s="537"/>
      <c r="CYJ35" s="537"/>
      <c r="CYK35" s="537"/>
      <c r="CYL35" s="537"/>
      <c r="CYM35" s="537"/>
      <c r="CYN35" s="537"/>
      <c r="CYO35" s="537"/>
      <c r="CYP35" s="537"/>
      <c r="CYQ35" s="537"/>
      <c r="CYR35" s="537"/>
      <c r="CYS35" s="537"/>
      <c r="CYT35" s="537"/>
      <c r="CYU35" s="537"/>
      <c r="CYV35" s="537"/>
      <c r="CYW35" s="537"/>
      <c r="CYX35" s="537"/>
      <c r="CYY35" s="537"/>
      <c r="CYZ35" s="537"/>
      <c r="CZA35" s="537"/>
      <c r="CZB35" s="537"/>
      <c r="CZC35" s="537"/>
      <c r="CZD35" s="537"/>
      <c r="CZE35" s="537"/>
      <c r="CZF35" s="537"/>
      <c r="CZG35" s="537"/>
      <c r="CZH35" s="537"/>
      <c r="CZI35" s="537"/>
      <c r="CZJ35" s="537"/>
      <c r="CZK35" s="537"/>
      <c r="CZL35" s="537"/>
      <c r="CZM35" s="537"/>
      <c r="CZN35" s="537"/>
      <c r="CZO35" s="537"/>
      <c r="CZP35" s="537"/>
      <c r="CZQ35" s="537"/>
      <c r="CZR35" s="537"/>
      <c r="CZS35" s="537"/>
      <c r="CZT35" s="537"/>
      <c r="CZU35" s="537"/>
      <c r="CZV35" s="537"/>
      <c r="CZW35" s="537"/>
      <c r="CZX35" s="537"/>
      <c r="CZY35" s="537"/>
      <c r="CZZ35" s="537"/>
      <c r="DAA35" s="537"/>
      <c r="DAB35" s="537"/>
      <c r="DAC35" s="537"/>
      <c r="DAD35" s="537"/>
      <c r="DAE35" s="537"/>
      <c r="DAF35" s="537"/>
      <c r="DAG35" s="537"/>
      <c r="DAH35" s="537"/>
      <c r="DAI35" s="537"/>
      <c r="DAJ35" s="537"/>
      <c r="DAK35" s="537"/>
      <c r="DAL35" s="537"/>
      <c r="DAM35" s="537"/>
      <c r="DAN35" s="537"/>
      <c r="DAO35" s="537"/>
      <c r="DAP35" s="537"/>
      <c r="DAQ35" s="537"/>
      <c r="DAR35" s="537"/>
      <c r="DAS35" s="537"/>
      <c r="DAT35" s="537"/>
      <c r="DAU35" s="537"/>
      <c r="DAV35" s="537"/>
      <c r="DAW35" s="537"/>
      <c r="DAX35" s="537"/>
      <c r="DAY35" s="537"/>
      <c r="DAZ35" s="537"/>
      <c r="DBA35" s="537"/>
      <c r="DBB35" s="537"/>
      <c r="DBC35" s="537"/>
      <c r="DBD35" s="537"/>
      <c r="DBE35" s="537"/>
      <c r="DBF35" s="537"/>
      <c r="DBG35" s="537"/>
      <c r="DBH35" s="537"/>
      <c r="DBI35" s="537"/>
      <c r="DBJ35" s="537"/>
      <c r="DBK35" s="537"/>
      <c r="DBL35" s="537"/>
      <c r="DBM35" s="537"/>
      <c r="DBN35" s="537"/>
      <c r="DBO35" s="537"/>
      <c r="DBP35" s="537"/>
      <c r="DBQ35" s="537"/>
      <c r="DBR35" s="537"/>
      <c r="DBS35" s="537"/>
      <c r="DBT35" s="537"/>
      <c r="DBU35" s="537"/>
      <c r="DBV35" s="537"/>
      <c r="DBW35" s="537"/>
      <c r="DBX35" s="537"/>
      <c r="DBY35" s="537"/>
      <c r="DBZ35" s="537"/>
      <c r="DCA35" s="537"/>
      <c r="DCB35" s="537"/>
      <c r="DCC35" s="537"/>
      <c r="DCD35" s="537"/>
      <c r="DCE35" s="537"/>
      <c r="DCF35" s="537"/>
      <c r="DCG35" s="537"/>
      <c r="DCH35" s="537"/>
      <c r="DCI35" s="537"/>
      <c r="DCJ35" s="537"/>
      <c r="DCK35" s="537"/>
      <c r="DCL35" s="537"/>
      <c r="DCM35" s="537"/>
      <c r="DCN35" s="537"/>
      <c r="DCO35" s="537"/>
      <c r="DCP35" s="537"/>
      <c r="DCQ35" s="537"/>
      <c r="DCR35" s="537"/>
      <c r="DCS35" s="537"/>
      <c r="DCT35" s="537"/>
      <c r="DCU35" s="537"/>
      <c r="DCV35" s="537"/>
      <c r="DCW35" s="537"/>
      <c r="DCX35" s="537"/>
      <c r="DCY35" s="537"/>
      <c r="DCZ35" s="537"/>
      <c r="DDA35" s="537"/>
      <c r="DDB35" s="537"/>
      <c r="DDC35" s="537"/>
      <c r="DDD35" s="537"/>
      <c r="DDE35" s="537"/>
      <c r="DDF35" s="537"/>
      <c r="DDG35" s="537"/>
      <c r="DDH35" s="537"/>
      <c r="DDI35" s="537"/>
      <c r="DDJ35" s="537"/>
      <c r="DDK35" s="537"/>
      <c r="DDL35" s="537"/>
      <c r="DDM35" s="537"/>
      <c r="DDN35" s="537"/>
      <c r="DDO35" s="537"/>
      <c r="DDP35" s="537"/>
      <c r="DDQ35" s="537"/>
      <c r="DDR35" s="537"/>
      <c r="DDS35" s="537"/>
      <c r="DDT35" s="537"/>
      <c r="DDU35" s="537"/>
      <c r="DDV35" s="537"/>
      <c r="DDW35" s="537"/>
      <c r="DDX35" s="537"/>
      <c r="DDY35" s="537"/>
      <c r="DDZ35" s="537"/>
      <c r="DEA35" s="537"/>
      <c r="DEB35" s="537"/>
      <c r="DEC35" s="537"/>
      <c r="DED35" s="537"/>
      <c r="DEE35" s="537"/>
      <c r="DEF35" s="537"/>
      <c r="DEG35" s="537"/>
      <c r="DEH35" s="537"/>
      <c r="DEI35" s="537"/>
      <c r="DEJ35" s="537"/>
      <c r="DEK35" s="537"/>
      <c r="DEL35" s="537"/>
      <c r="DEM35" s="537"/>
      <c r="DEN35" s="537"/>
      <c r="DEO35" s="537"/>
      <c r="DEP35" s="537"/>
      <c r="DEQ35" s="537"/>
      <c r="DER35" s="537"/>
      <c r="DES35" s="537"/>
      <c r="DET35" s="537"/>
      <c r="DEU35" s="537"/>
      <c r="DEV35" s="537"/>
      <c r="DEW35" s="537"/>
      <c r="DEX35" s="537"/>
      <c r="DEY35" s="537"/>
      <c r="DEZ35" s="537"/>
      <c r="DFA35" s="537"/>
      <c r="DFB35" s="537"/>
      <c r="DFC35" s="537"/>
      <c r="DFD35" s="537"/>
      <c r="DFE35" s="537"/>
      <c r="DFF35" s="537"/>
      <c r="DFG35" s="537"/>
      <c r="DFH35" s="537"/>
      <c r="DFI35" s="537"/>
      <c r="DFJ35" s="537"/>
      <c r="DFK35" s="537"/>
      <c r="DFL35" s="537"/>
      <c r="DFM35" s="537"/>
      <c r="DFN35" s="537"/>
      <c r="DFO35" s="537"/>
      <c r="DFP35" s="537"/>
      <c r="DFQ35" s="537"/>
      <c r="DFR35" s="537"/>
      <c r="DFS35" s="537"/>
      <c r="DFT35" s="537"/>
      <c r="DFU35" s="537"/>
      <c r="DFV35" s="537"/>
      <c r="DFW35" s="537"/>
      <c r="DFX35" s="537"/>
      <c r="DFY35" s="537"/>
      <c r="DFZ35" s="537"/>
      <c r="DGA35" s="537"/>
      <c r="DGB35" s="537"/>
      <c r="DGC35" s="537"/>
      <c r="DGD35" s="537"/>
      <c r="DGE35" s="537"/>
      <c r="DGF35" s="537"/>
      <c r="DGG35" s="537"/>
      <c r="DGH35" s="537"/>
      <c r="DGI35" s="537"/>
      <c r="DGJ35" s="537"/>
      <c r="DGK35" s="537"/>
      <c r="DGL35" s="537"/>
      <c r="DGM35" s="537"/>
      <c r="DGN35" s="537"/>
      <c r="DGO35" s="537"/>
      <c r="DGP35" s="537"/>
      <c r="DGQ35" s="537"/>
      <c r="DGR35" s="537"/>
      <c r="DGS35" s="537"/>
      <c r="DGT35" s="537"/>
      <c r="DGU35" s="537"/>
      <c r="DGV35" s="537"/>
      <c r="DGW35" s="537"/>
      <c r="DGX35" s="537"/>
      <c r="DGY35" s="537"/>
      <c r="DGZ35" s="537"/>
      <c r="DHA35" s="537"/>
      <c r="DHB35" s="537"/>
      <c r="DHC35" s="537"/>
      <c r="DHD35" s="537"/>
      <c r="DHE35" s="537"/>
      <c r="DHF35" s="537"/>
      <c r="DHG35" s="537"/>
      <c r="DHH35" s="537"/>
      <c r="DHI35" s="537"/>
      <c r="DHJ35" s="537"/>
      <c r="DHK35" s="537"/>
      <c r="DHL35" s="537"/>
      <c r="DHM35" s="537"/>
      <c r="DHN35" s="537"/>
      <c r="DHO35" s="537"/>
      <c r="DHP35" s="537"/>
      <c r="DHQ35" s="537"/>
      <c r="DHR35" s="537"/>
      <c r="DHS35" s="537"/>
      <c r="DHT35" s="537"/>
      <c r="DHU35" s="537"/>
      <c r="DHV35" s="537"/>
      <c r="DHW35" s="537"/>
      <c r="DHX35" s="537"/>
      <c r="DHY35" s="537"/>
      <c r="DHZ35" s="537"/>
      <c r="DIA35" s="537"/>
      <c r="DIB35" s="537"/>
      <c r="DIC35" s="537"/>
      <c r="DID35" s="537"/>
      <c r="DIE35" s="537"/>
      <c r="DIF35" s="537"/>
      <c r="DIG35" s="537"/>
      <c r="DIH35" s="537"/>
      <c r="DII35" s="537"/>
      <c r="DIJ35" s="537"/>
      <c r="DIK35" s="537"/>
      <c r="DIL35" s="537"/>
      <c r="DIM35" s="537"/>
      <c r="DIN35" s="537"/>
      <c r="DIO35" s="537"/>
      <c r="DIP35" s="537"/>
      <c r="DIQ35" s="537"/>
      <c r="DIR35" s="537"/>
      <c r="DIS35" s="537"/>
      <c r="DIT35" s="537"/>
      <c r="DIU35" s="537"/>
      <c r="DIV35" s="537"/>
      <c r="DIW35" s="537"/>
      <c r="DIX35" s="537"/>
      <c r="DIY35" s="537"/>
      <c r="DIZ35" s="537"/>
      <c r="DJA35" s="537"/>
      <c r="DJB35" s="537"/>
      <c r="DJC35" s="537"/>
      <c r="DJD35" s="537"/>
      <c r="DJE35" s="537"/>
      <c r="DJF35" s="537"/>
      <c r="DJG35" s="537"/>
      <c r="DJH35" s="537"/>
      <c r="DJI35" s="537"/>
      <c r="DJJ35" s="537"/>
      <c r="DJK35" s="537"/>
      <c r="DJL35" s="537"/>
      <c r="DJM35" s="537"/>
      <c r="DJN35" s="537"/>
      <c r="DJO35" s="537"/>
      <c r="DJP35" s="537"/>
      <c r="DJQ35" s="537"/>
      <c r="DJR35" s="537"/>
      <c r="DJS35" s="537"/>
      <c r="DJT35" s="537"/>
      <c r="DJU35" s="537"/>
      <c r="DJV35" s="537"/>
      <c r="DJW35" s="537"/>
      <c r="DJX35" s="537"/>
      <c r="DJY35" s="537"/>
      <c r="DJZ35" s="537"/>
      <c r="DKA35" s="537"/>
      <c r="DKB35" s="537"/>
      <c r="DKC35" s="537"/>
      <c r="DKD35" s="537"/>
      <c r="DKE35" s="537"/>
      <c r="DKF35" s="537"/>
      <c r="DKG35" s="537"/>
      <c r="DKH35" s="537"/>
      <c r="DKI35" s="537"/>
      <c r="DKJ35" s="537"/>
      <c r="DKK35" s="537"/>
      <c r="DKL35" s="537"/>
      <c r="DKM35" s="537"/>
      <c r="DKN35" s="537"/>
      <c r="DKO35" s="537"/>
      <c r="DKP35" s="537"/>
      <c r="DKQ35" s="537"/>
      <c r="DKR35" s="537"/>
      <c r="DKS35" s="537"/>
      <c r="DKT35" s="537"/>
      <c r="DKU35" s="537"/>
      <c r="DKV35" s="537"/>
      <c r="DKW35" s="537"/>
      <c r="DKX35" s="537"/>
      <c r="DKY35" s="537"/>
      <c r="DKZ35" s="537"/>
      <c r="DLA35" s="537"/>
      <c r="DLB35" s="537"/>
      <c r="DLC35" s="537"/>
      <c r="DLD35" s="537"/>
      <c r="DLE35" s="537"/>
      <c r="DLF35" s="537"/>
      <c r="DLG35" s="537"/>
      <c r="DLH35" s="537"/>
      <c r="DLI35" s="537"/>
      <c r="DLJ35" s="537"/>
      <c r="DLK35" s="537"/>
      <c r="DLL35" s="537"/>
      <c r="DLM35" s="537"/>
      <c r="DLN35" s="537"/>
      <c r="DLO35" s="537"/>
      <c r="DLP35" s="537"/>
      <c r="DLQ35" s="537"/>
      <c r="DLR35" s="537"/>
      <c r="DLS35" s="537"/>
      <c r="DLT35" s="537"/>
      <c r="DLU35" s="537"/>
      <c r="DLV35" s="537"/>
      <c r="DLW35" s="537"/>
      <c r="DLX35" s="537"/>
      <c r="DLY35" s="537"/>
      <c r="DLZ35" s="537"/>
      <c r="DMA35" s="537"/>
      <c r="DMB35" s="537"/>
      <c r="DMC35" s="537"/>
      <c r="DMD35" s="537"/>
      <c r="DME35" s="537"/>
      <c r="DMF35" s="537"/>
      <c r="DMG35" s="537"/>
      <c r="DMH35" s="537"/>
      <c r="DMI35" s="537"/>
      <c r="DMJ35" s="537"/>
      <c r="DMK35" s="537"/>
      <c r="DML35" s="537"/>
      <c r="DMM35" s="537"/>
      <c r="DMN35" s="537"/>
      <c r="DMO35" s="537"/>
      <c r="DMP35" s="537"/>
      <c r="DMQ35" s="537"/>
      <c r="DMR35" s="537"/>
      <c r="DMS35" s="537"/>
      <c r="DMT35" s="537"/>
      <c r="DMU35" s="537"/>
      <c r="DMV35" s="537"/>
      <c r="DMW35" s="537"/>
      <c r="DMX35" s="537"/>
      <c r="DMY35" s="537"/>
      <c r="DMZ35" s="537"/>
      <c r="DNA35" s="537"/>
      <c r="DNB35" s="537"/>
      <c r="DNC35" s="537"/>
      <c r="DND35" s="537"/>
      <c r="DNE35" s="537"/>
      <c r="DNF35" s="537"/>
      <c r="DNG35" s="537"/>
      <c r="DNH35" s="537"/>
      <c r="DNI35" s="537"/>
      <c r="DNJ35" s="537"/>
      <c r="DNK35" s="537"/>
      <c r="DNL35" s="537"/>
      <c r="DNM35" s="537"/>
      <c r="DNN35" s="537"/>
      <c r="DNO35" s="537"/>
      <c r="DNP35" s="537"/>
      <c r="DNQ35" s="537"/>
      <c r="DNR35" s="537"/>
      <c r="DNS35" s="537"/>
      <c r="DNT35" s="537"/>
      <c r="DNU35" s="537"/>
      <c r="DNV35" s="537"/>
      <c r="DNW35" s="537"/>
      <c r="DNX35" s="537"/>
      <c r="DNY35" s="537"/>
      <c r="DNZ35" s="537"/>
      <c r="DOA35" s="537"/>
      <c r="DOB35" s="537"/>
      <c r="DOC35" s="537"/>
      <c r="DOD35" s="537"/>
      <c r="DOE35" s="537"/>
      <c r="DOF35" s="537"/>
      <c r="DOG35" s="537"/>
      <c r="DOH35" s="537"/>
      <c r="DOI35" s="537"/>
      <c r="DOJ35" s="537"/>
      <c r="DOK35" s="537"/>
      <c r="DOL35" s="537"/>
      <c r="DOM35" s="537"/>
      <c r="DON35" s="537"/>
      <c r="DOO35" s="537"/>
      <c r="DOP35" s="537"/>
      <c r="DOQ35" s="537"/>
      <c r="DOR35" s="537"/>
      <c r="DOS35" s="537"/>
      <c r="DOT35" s="537"/>
      <c r="DOU35" s="537"/>
      <c r="DOV35" s="537"/>
      <c r="DOW35" s="537"/>
      <c r="DOX35" s="537"/>
      <c r="DOY35" s="537"/>
      <c r="DOZ35" s="537"/>
      <c r="DPA35" s="537"/>
      <c r="DPB35" s="537"/>
      <c r="DPC35" s="537"/>
      <c r="DPD35" s="537"/>
      <c r="DPE35" s="537"/>
      <c r="DPF35" s="537"/>
      <c r="DPG35" s="537"/>
      <c r="DPH35" s="537"/>
      <c r="DPI35" s="537"/>
      <c r="DPJ35" s="537"/>
      <c r="DPK35" s="537"/>
      <c r="DPL35" s="537"/>
      <c r="DPM35" s="537"/>
      <c r="DPN35" s="537"/>
      <c r="DPO35" s="537"/>
      <c r="DPP35" s="537"/>
      <c r="DPQ35" s="537"/>
      <c r="DPR35" s="537"/>
      <c r="DPS35" s="537"/>
      <c r="DPT35" s="537"/>
      <c r="DPU35" s="537"/>
      <c r="DPV35" s="537"/>
      <c r="DPW35" s="537"/>
      <c r="DPX35" s="537"/>
      <c r="DPY35" s="537"/>
      <c r="DPZ35" s="537"/>
      <c r="DQA35" s="537"/>
      <c r="DQB35" s="537"/>
      <c r="DQC35" s="537"/>
      <c r="DQD35" s="537"/>
      <c r="DQE35" s="537"/>
      <c r="DQF35" s="537"/>
      <c r="DQG35" s="537"/>
      <c r="DQH35" s="537"/>
      <c r="DQI35" s="537"/>
      <c r="DQJ35" s="537"/>
      <c r="DQK35" s="537"/>
      <c r="DQL35" s="537"/>
      <c r="DQM35" s="537"/>
      <c r="DQN35" s="537"/>
      <c r="DQO35" s="537"/>
      <c r="DQP35" s="537"/>
      <c r="DQQ35" s="537"/>
      <c r="DQR35" s="537"/>
      <c r="DQS35" s="537"/>
      <c r="DQT35" s="537"/>
      <c r="DQU35" s="537"/>
      <c r="DQV35" s="537"/>
      <c r="DQW35" s="537"/>
      <c r="DQX35" s="537"/>
      <c r="DQY35" s="537"/>
      <c r="DQZ35" s="537"/>
      <c r="DRA35" s="537"/>
      <c r="DRB35" s="537"/>
      <c r="DRC35" s="537"/>
      <c r="DRD35" s="537"/>
      <c r="DRE35" s="537"/>
      <c r="DRF35" s="537"/>
      <c r="DRG35" s="537"/>
      <c r="DRH35" s="537"/>
      <c r="DRI35" s="537"/>
      <c r="DRJ35" s="537"/>
      <c r="DRK35" s="537"/>
      <c r="DRL35" s="537"/>
      <c r="DRM35" s="537"/>
      <c r="DRN35" s="537"/>
      <c r="DRO35" s="537"/>
      <c r="DRP35" s="537"/>
      <c r="DRQ35" s="537"/>
      <c r="DRR35" s="537"/>
      <c r="DRS35" s="537"/>
      <c r="DRT35" s="537"/>
      <c r="DRU35" s="537"/>
      <c r="DRV35" s="537"/>
      <c r="DRW35" s="537"/>
      <c r="DRX35" s="537"/>
      <c r="DRY35" s="537"/>
      <c r="DRZ35" s="537"/>
      <c r="DSA35" s="537"/>
      <c r="DSB35" s="537"/>
      <c r="DSC35" s="537"/>
      <c r="DSD35" s="537"/>
      <c r="DSE35" s="537"/>
      <c r="DSF35" s="537"/>
      <c r="DSG35" s="537"/>
      <c r="DSH35" s="537"/>
      <c r="DSI35" s="537"/>
      <c r="DSJ35" s="537"/>
      <c r="DSK35" s="537"/>
      <c r="DSL35" s="537"/>
      <c r="DSM35" s="537"/>
      <c r="DSN35" s="537"/>
      <c r="DSO35" s="537"/>
      <c r="DSP35" s="537"/>
      <c r="DSQ35" s="537"/>
      <c r="DSR35" s="537"/>
      <c r="DSS35" s="537"/>
      <c r="DST35" s="537"/>
      <c r="DSU35" s="537"/>
      <c r="DSV35" s="537"/>
      <c r="DSW35" s="537"/>
      <c r="DSX35" s="537"/>
      <c r="DSY35" s="537"/>
      <c r="DSZ35" s="537"/>
      <c r="DTA35" s="537"/>
      <c r="DTB35" s="537"/>
      <c r="DTC35" s="537"/>
      <c r="DTD35" s="537"/>
      <c r="DTE35" s="537"/>
      <c r="DTF35" s="537"/>
      <c r="DTG35" s="537"/>
      <c r="DTH35" s="537"/>
      <c r="DTI35" s="537"/>
      <c r="DTJ35" s="537"/>
      <c r="DTK35" s="537"/>
      <c r="DTL35" s="537"/>
      <c r="DTM35" s="537"/>
      <c r="DTN35" s="537"/>
      <c r="DTO35" s="537"/>
      <c r="DTP35" s="537"/>
      <c r="DTQ35" s="537"/>
      <c r="DTR35" s="537"/>
      <c r="DTS35" s="537"/>
      <c r="DTT35" s="537"/>
      <c r="DTU35" s="537"/>
      <c r="DTV35" s="537"/>
      <c r="DTW35" s="537"/>
      <c r="DTX35" s="537"/>
      <c r="DTY35" s="537"/>
      <c r="DTZ35" s="537"/>
      <c r="DUA35" s="537"/>
      <c r="DUB35" s="537"/>
      <c r="DUC35" s="537"/>
      <c r="DUD35" s="537"/>
      <c r="DUE35" s="537"/>
      <c r="DUF35" s="537"/>
      <c r="DUG35" s="537"/>
      <c r="DUH35" s="537"/>
      <c r="DUI35" s="537"/>
      <c r="DUJ35" s="537"/>
      <c r="DUK35" s="537"/>
      <c r="DUL35" s="537"/>
      <c r="DUM35" s="537"/>
      <c r="DUN35" s="537"/>
      <c r="DUO35" s="537"/>
      <c r="DUP35" s="537"/>
      <c r="DUQ35" s="537"/>
      <c r="DUR35" s="537"/>
      <c r="DUS35" s="537"/>
      <c r="DUT35" s="537"/>
      <c r="DUU35" s="537"/>
      <c r="DUV35" s="537"/>
      <c r="DUW35" s="537"/>
      <c r="DUX35" s="537"/>
      <c r="DUY35" s="537"/>
      <c r="DUZ35" s="537"/>
      <c r="DVA35" s="537"/>
      <c r="DVB35" s="537"/>
      <c r="DVC35" s="537"/>
      <c r="DVD35" s="537"/>
      <c r="DVE35" s="537"/>
      <c r="DVF35" s="537"/>
      <c r="DVG35" s="537"/>
      <c r="DVH35" s="537"/>
      <c r="DVI35" s="537"/>
      <c r="DVJ35" s="537"/>
      <c r="DVK35" s="537"/>
      <c r="DVL35" s="537"/>
      <c r="DVM35" s="537"/>
      <c r="DVN35" s="537"/>
      <c r="DVO35" s="537"/>
      <c r="DVP35" s="537"/>
      <c r="DVQ35" s="537"/>
      <c r="DVR35" s="537"/>
      <c r="DVS35" s="537"/>
      <c r="DVT35" s="537"/>
      <c r="DVU35" s="537"/>
      <c r="DVV35" s="537"/>
      <c r="DVW35" s="537"/>
      <c r="DVX35" s="537"/>
      <c r="DVY35" s="537"/>
      <c r="DVZ35" s="537"/>
      <c r="DWA35" s="537"/>
      <c r="DWB35" s="537"/>
      <c r="DWC35" s="537"/>
      <c r="DWD35" s="537"/>
      <c r="DWE35" s="537"/>
      <c r="DWF35" s="537"/>
      <c r="DWG35" s="537"/>
      <c r="DWH35" s="537"/>
      <c r="DWI35" s="537"/>
      <c r="DWJ35" s="537"/>
      <c r="DWK35" s="537"/>
      <c r="DWL35" s="537"/>
      <c r="DWM35" s="537"/>
      <c r="DWN35" s="537"/>
      <c r="DWO35" s="537"/>
      <c r="DWP35" s="537"/>
      <c r="DWQ35" s="537"/>
      <c r="DWR35" s="537"/>
      <c r="DWS35" s="537"/>
      <c r="DWT35" s="537"/>
      <c r="DWU35" s="537"/>
      <c r="DWV35" s="537"/>
      <c r="DWW35" s="537"/>
      <c r="DWX35" s="537"/>
      <c r="DWY35" s="537"/>
      <c r="DWZ35" s="537"/>
      <c r="DXA35" s="537"/>
      <c r="DXB35" s="537"/>
      <c r="DXC35" s="537"/>
      <c r="DXD35" s="537"/>
      <c r="DXE35" s="537"/>
      <c r="DXF35" s="537"/>
      <c r="DXG35" s="537"/>
      <c r="DXH35" s="537"/>
      <c r="DXI35" s="537"/>
      <c r="DXJ35" s="537"/>
      <c r="DXK35" s="537"/>
      <c r="DXL35" s="537"/>
      <c r="DXM35" s="537"/>
      <c r="DXN35" s="537"/>
      <c r="DXO35" s="537"/>
      <c r="DXP35" s="537"/>
      <c r="DXQ35" s="537"/>
      <c r="DXR35" s="537"/>
      <c r="DXS35" s="537"/>
      <c r="DXT35" s="537"/>
      <c r="DXU35" s="537"/>
      <c r="DXV35" s="537"/>
      <c r="DXW35" s="537"/>
      <c r="DXX35" s="537"/>
      <c r="DXY35" s="537"/>
      <c r="DXZ35" s="537"/>
      <c r="DYA35" s="537"/>
      <c r="DYB35" s="537"/>
      <c r="DYC35" s="537"/>
      <c r="DYD35" s="537"/>
      <c r="DYE35" s="537"/>
      <c r="DYF35" s="537"/>
      <c r="DYG35" s="537"/>
      <c r="DYH35" s="537"/>
      <c r="DYI35" s="537"/>
      <c r="DYJ35" s="537"/>
      <c r="DYK35" s="537"/>
      <c r="DYL35" s="537"/>
      <c r="DYM35" s="537"/>
      <c r="DYN35" s="537"/>
      <c r="DYO35" s="537"/>
      <c r="DYP35" s="537"/>
      <c r="DYQ35" s="537"/>
      <c r="DYR35" s="537"/>
      <c r="DYS35" s="537"/>
      <c r="DYT35" s="537"/>
      <c r="DYU35" s="537"/>
      <c r="DYV35" s="537"/>
      <c r="DYW35" s="537"/>
      <c r="DYX35" s="537"/>
      <c r="DYY35" s="537"/>
      <c r="DYZ35" s="537"/>
      <c r="DZA35" s="537"/>
      <c r="DZB35" s="537"/>
      <c r="DZC35" s="537"/>
      <c r="DZD35" s="537"/>
      <c r="DZE35" s="537"/>
      <c r="DZF35" s="537"/>
      <c r="DZG35" s="537"/>
      <c r="DZH35" s="537"/>
      <c r="DZI35" s="537"/>
      <c r="DZJ35" s="537"/>
      <c r="DZK35" s="537"/>
      <c r="DZL35" s="537"/>
      <c r="DZM35" s="537"/>
      <c r="DZN35" s="537"/>
      <c r="DZO35" s="537"/>
      <c r="DZP35" s="537"/>
      <c r="DZQ35" s="537"/>
      <c r="DZR35" s="537"/>
      <c r="DZS35" s="537"/>
      <c r="DZT35" s="537"/>
      <c r="DZU35" s="537"/>
      <c r="DZV35" s="537"/>
      <c r="DZW35" s="537"/>
      <c r="DZX35" s="537"/>
      <c r="DZY35" s="537"/>
      <c r="DZZ35" s="537"/>
      <c r="EAA35" s="537"/>
      <c r="EAB35" s="537"/>
      <c r="EAC35" s="537"/>
      <c r="EAD35" s="537"/>
      <c r="EAE35" s="537"/>
      <c r="EAF35" s="537"/>
      <c r="EAG35" s="537"/>
      <c r="EAH35" s="537"/>
      <c r="EAI35" s="537"/>
      <c r="EAJ35" s="537"/>
      <c r="EAK35" s="537"/>
      <c r="EAL35" s="537"/>
      <c r="EAM35" s="537"/>
      <c r="EAN35" s="537"/>
      <c r="EAO35" s="537"/>
      <c r="EAP35" s="537"/>
      <c r="EAQ35" s="537"/>
      <c r="EAR35" s="537"/>
      <c r="EAS35" s="537"/>
      <c r="EAT35" s="537"/>
      <c r="EAU35" s="537"/>
      <c r="EAV35" s="537"/>
      <c r="EAW35" s="537"/>
      <c r="EAX35" s="537"/>
      <c r="EAY35" s="537"/>
      <c r="EAZ35" s="537"/>
      <c r="EBA35" s="537"/>
      <c r="EBB35" s="537"/>
      <c r="EBC35" s="537"/>
      <c r="EBD35" s="537"/>
      <c r="EBE35" s="537"/>
      <c r="EBF35" s="537"/>
      <c r="EBG35" s="537"/>
      <c r="EBH35" s="537"/>
      <c r="EBI35" s="537"/>
      <c r="EBJ35" s="537"/>
      <c r="EBK35" s="537"/>
      <c r="EBL35" s="537"/>
      <c r="EBM35" s="537"/>
      <c r="EBN35" s="537"/>
      <c r="EBO35" s="537"/>
      <c r="EBP35" s="537"/>
      <c r="EBQ35" s="537"/>
      <c r="EBR35" s="537"/>
      <c r="EBS35" s="537"/>
      <c r="EBT35" s="537"/>
      <c r="EBU35" s="537"/>
      <c r="EBV35" s="537"/>
      <c r="EBW35" s="537"/>
      <c r="EBX35" s="537"/>
      <c r="EBY35" s="537"/>
      <c r="EBZ35" s="537"/>
      <c r="ECA35" s="537"/>
      <c r="ECB35" s="537"/>
      <c r="ECC35" s="537"/>
      <c r="ECD35" s="537"/>
      <c r="ECE35" s="537"/>
      <c r="ECF35" s="537"/>
      <c r="ECG35" s="537"/>
      <c r="ECH35" s="537"/>
      <c r="ECI35" s="537"/>
      <c r="ECJ35" s="537"/>
      <c r="ECK35" s="537"/>
      <c r="ECL35" s="537"/>
      <c r="ECM35" s="537"/>
      <c r="ECN35" s="537"/>
      <c r="ECO35" s="537"/>
      <c r="ECP35" s="537"/>
      <c r="ECQ35" s="537"/>
      <c r="ECR35" s="537"/>
      <c r="ECS35" s="537"/>
      <c r="ECT35" s="537"/>
      <c r="ECU35" s="537"/>
      <c r="ECV35" s="537"/>
      <c r="ECW35" s="537"/>
      <c r="ECX35" s="537"/>
      <c r="ECY35" s="537"/>
      <c r="ECZ35" s="537"/>
      <c r="EDA35" s="537"/>
      <c r="EDB35" s="537"/>
      <c r="EDC35" s="537"/>
      <c r="EDD35" s="537"/>
      <c r="EDE35" s="537"/>
      <c r="EDF35" s="537"/>
      <c r="EDG35" s="537"/>
      <c r="EDH35" s="537"/>
      <c r="EDI35" s="537"/>
      <c r="EDJ35" s="537"/>
      <c r="EDK35" s="537"/>
      <c r="EDL35" s="537"/>
      <c r="EDM35" s="537"/>
      <c r="EDN35" s="537"/>
      <c r="EDO35" s="537"/>
      <c r="EDP35" s="537"/>
      <c r="EDQ35" s="537"/>
      <c r="EDR35" s="537"/>
      <c r="EDS35" s="537"/>
      <c r="EDT35" s="537"/>
      <c r="EDU35" s="537"/>
      <c r="EDV35" s="537"/>
      <c r="EDW35" s="537"/>
      <c r="EDX35" s="537"/>
      <c r="EDY35" s="537"/>
      <c r="EDZ35" s="537"/>
      <c r="EEA35" s="537"/>
      <c r="EEB35" s="537"/>
      <c r="EEC35" s="537"/>
      <c r="EED35" s="537"/>
      <c r="EEE35" s="537"/>
      <c r="EEF35" s="537"/>
      <c r="EEG35" s="537"/>
      <c r="EEH35" s="537"/>
      <c r="EEI35" s="537"/>
      <c r="EEJ35" s="537"/>
      <c r="EEK35" s="537"/>
      <c r="EEL35" s="537"/>
      <c r="EEM35" s="537"/>
      <c r="EEN35" s="537"/>
      <c r="EEO35" s="537"/>
      <c r="EEP35" s="537"/>
      <c r="EEQ35" s="537"/>
      <c r="EER35" s="537"/>
      <c r="EES35" s="537"/>
      <c r="EET35" s="537"/>
      <c r="EEU35" s="537"/>
      <c r="EEV35" s="537"/>
      <c r="EEW35" s="537"/>
      <c r="EEX35" s="537"/>
      <c r="EEY35" s="537"/>
      <c r="EEZ35" s="537"/>
      <c r="EFA35" s="537"/>
      <c r="EFB35" s="537"/>
      <c r="EFC35" s="537"/>
      <c r="EFD35" s="537"/>
      <c r="EFE35" s="537"/>
      <c r="EFF35" s="537"/>
      <c r="EFG35" s="537"/>
      <c r="EFH35" s="537"/>
      <c r="EFI35" s="537"/>
      <c r="EFJ35" s="537"/>
      <c r="EFK35" s="537"/>
      <c r="EFL35" s="537"/>
      <c r="EFM35" s="537"/>
      <c r="EFN35" s="537"/>
      <c r="EFO35" s="537"/>
      <c r="EFP35" s="537"/>
      <c r="EFQ35" s="537"/>
      <c r="EFR35" s="537"/>
      <c r="EFS35" s="537"/>
      <c r="EFT35" s="537"/>
      <c r="EFU35" s="537"/>
      <c r="EFV35" s="537"/>
      <c r="EFW35" s="537"/>
      <c r="EFX35" s="537"/>
      <c r="EFY35" s="537"/>
      <c r="EFZ35" s="537"/>
      <c r="EGA35" s="537"/>
      <c r="EGB35" s="537"/>
      <c r="EGC35" s="537"/>
      <c r="EGD35" s="537"/>
      <c r="EGE35" s="537"/>
      <c r="EGF35" s="537"/>
      <c r="EGG35" s="537"/>
      <c r="EGH35" s="537"/>
      <c r="EGI35" s="537"/>
      <c r="EGJ35" s="537"/>
      <c r="EGK35" s="537"/>
      <c r="EGL35" s="537"/>
      <c r="EGM35" s="537"/>
      <c r="EGN35" s="537"/>
      <c r="EGO35" s="537"/>
      <c r="EGP35" s="537"/>
      <c r="EGQ35" s="537"/>
      <c r="EGR35" s="537"/>
      <c r="EGS35" s="537"/>
      <c r="EGT35" s="537"/>
      <c r="EGU35" s="537"/>
      <c r="EGV35" s="537"/>
      <c r="EGW35" s="537"/>
      <c r="EGX35" s="537"/>
      <c r="EGY35" s="537"/>
      <c r="EGZ35" s="537"/>
      <c r="EHA35" s="537"/>
      <c r="EHB35" s="537"/>
      <c r="EHC35" s="537"/>
      <c r="EHD35" s="537"/>
      <c r="EHE35" s="537"/>
      <c r="EHF35" s="537"/>
      <c r="EHG35" s="537"/>
      <c r="EHH35" s="537"/>
      <c r="EHI35" s="537"/>
      <c r="EHJ35" s="537"/>
      <c r="EHK35" s="537"/>
      <c r="EHL35" s="537"/>
      <c r="EHM35" s="537"/>
      <c r="EHN35" s="537"/>
      <c r="EHO35" s="537"/>
      <c r="EHP35" s="537"/>
      <c r="EHQ35" s="537"/>
      <c r="EHR35" s="537"/>
      <c r="EHS35" s="537"/>
      <c r="EHT35" s="537"/>
      <c r="EHU35" s="537"/>
      <c r="EHV35" s="537"/>
      <c r="EHW35" s="537"/>
      <c r="EHX35" s="537"/>
      <c r="EHY35" s="537"/>
      <c r="EHZ35" s="537"/>
      <c r="EIA35" s="537"/>
      <c r="EIB35" s="537"/>
      <c r="EIC35" s="537"/>
      <c r="EID35" s="537"/>
      <c r="EIE35" s="537"/>
      <c r="EIF35" s="537"/>
      <c r="EIG35" s="537"/>
      <c r="EIH35" s="537"/>
      <c r="EII35" s="537"/>
      <c r="EIJ35" s="537"/>
      <c r="EIK35" s="537"/>
      <c r="EIL35" s="537"/>
      <c r="EIM35" s="537"/>
      <c r="EIN35" s="537"/>
      <c r="EIO35" s="537"/>
      <c r="EIP35" s="537"/>
      <c r="EIQ35" s="537"/>
      <c r="EIR35" s="537"/>
      <c r="EIS35" s="537"/>
      <c r="EIT35" s="537"/>
      <c r="EIU35" s="537"/>
      <c r="EIV35" s="537"/>
      <c r="EIW35" s="537"/>
      <c r="EIX35" s="537"/>
      <c r="EIY35" s="537"/>
      <c r="EIZ35" s="537"/>
      <c r="EJA35" s="537"/>
      <c r="EJB35" s="537"/>
      <c r="EJC35" s="537"/>
      <c r="EJD35" s="537"/>
      <c r="EJE35" s="537"/>
      <c r="EJF35" s="537"/>
      <c r="EJG35" s="537"/>
      <c r="EJH35" s="537"/>
      <c r="EJI35" s="537"/>
      <c r="EJJ35" s="537"/>
      <c r="EJK35" s="537"/>
      <c r="EJL35" s="537"/>
      <c r="EJM35" s="537"/>
      <c r="EJN35" s="537"/>
      <c r="EJO35" s="537"/>
      <c r="EJP35" s="537"/>
      <c r="EJQ35" s="537"/>
      <c r="EJR35" s="537"/>
      <c r="EJS35" s="537"/>
      <c r="EJT35" s="537"/>
      <c r="EJU35" s="537"/>
      <c r="EJV35" s="537"/>
      <c r="EJW35" s="537"/>
      <c r="EJX35" s="537"/>
      <c r="EJY35" s="537"/>
      <c r="EJZ35" s="537"/>
      <c r="EKA35" s="537"/>
      <c r="EKB35" s="537"/>
      <c r="EKC35" s="537"/>
      <c r="EKD35" s="537"/>
      <c r="EKE35" s="537"/>
      <c r="EKF35" s="537"/>
      <c r="EKG35" s="537"/>
      <c r="EKH35" s="537"/>
      <c r="EKI35" s="537"/>
      <c r="EKJ35" s="537"/>
      <c r="EKK35" s="537"/>
      <c r="EKL35" s="537"/>
      <c r="EKM35" s="537"/>
      <c r="EKN35" s="537"/>
      <c r="EKO35" s="537"/>
      <c r="EKP35" s="537"/>
      <c r="EKQ35" s="537"/>
      <c r="EKR35" s="537"/>
      <c r="EKS35" s="537"/>
      <c r="EKT35" s="537"/>
      <c r="EKU35" s="537"/>
      <c r="EKV35" s="537"/>
      <c r="EKW35" s="537"/>
      <c r="EKX35" s="537"/>
      <c r="EKY35" s="537"/>
      <c r="EKZ35" s="537"/>
      <c r="ELA35" s="537"/>
      <c r="ELB35" s="537"/>
      <c r="ELC35" s="537"/>
      <c r="ELD35" s="537"/>
      <c r="ELE35" s="537"/>
      <c r="ELF35" s="537"/>
      <c r="ELG35" s="537"/>
      <c r="ELH35" s="537"/>
      <c r="ELI35" s="537"/>
      <c r="ELJ35" s="537"/>
      <c r="ELK35" s="537"/>
      <c r="ELL35" s="537"/>
      <c r="ELM35" s="537"/>
      <c r="ELN35" s="537"/>
      <c r="ELO35" s="537"/>
      <c r="ELP35" s="537"/>
      <c r="ELQ35" s="537"/>
      <c r="ELR35" s="537"/>
      <c r="ELS35" s="537"/>
      <c r="ELT35" s="537"/>
      <c r="ELU35" s="537"/>
      <c r="ELV35" s="537"/>
      <c r="ELW35" s="537"/>
      <c r="ELX35" s="537"/>
      <c r="ELY35" s="537"/>
      <c r="ELZ35" s="537"/>
      <c r="EMA35" s="537"/>
      <c r="EMB35" s="537"/>
      <c r="EMC35" s="537"/>
      <c r="EMD35" s="537"/>
      <c r="EME35" s="537"/>
      <c r="EMF35" s="537"/>
      <c r="EMG35" s="537"/>
      <c r="EMH35" s="537"/>
      <c r="EMI35" s="537"/>
      <c r="EMJ35" s="537"/>
      <c r="EMK35" s="537"/>
      <c r="EML35" s="537"/>
      <c r="EMM35" s="537"/>
      <c r="EMN35" s="537"/>
      <c r="EMO35" s="537"/>
      <c r="EMP35" s="537"/>
      <c r="EMQ35" s="537"/>
      <c r="EMR35" s="537"/>
      <c r="EMS35" s="537"/>
      <c r="EMT35" s="537"/>
      <c r="EMU35" s="537"/>
      <c r="EMV35" s="537"/>
      <c r="EMW35" s="537"/>
      <c r="EMX35" s="537"/>
      <c r="EMY35" s="537"/>
      <c r="EMZ35" s="537"/>
      <c r="ENA35" s="537"/>
      <c r="ENB35" s="537"/>
      <c r="ENC35" s="537"/>
      <c r="END35" s="537"/>
      <c r="ENE35" s="537"/>
      <c r="ENF35" s="537"/>
      <c r="ENG35" s="537"/>
      <c r="ENH35" s="537"/>
      <c r="ENI35" s="537"/>
      <c r="ENJ35" s="537"/>
      <c r="ENK35" s="537"/>
      <c r="ENL35" s="537"/>
      <c r="ENM35" s="537"/>
      <c r="ENN35" s="537"/>
      <c r="ENO35" s="537"/>
      <c r="ENP35" s="537"/>
      <c r="ENQ35" s="537"/>
      <c r="ENR35" s="537"/>
      <c r="ENS35" s="537"/>
      <c r="ENT35" s="537"/>
      <c r="ENU35" s="537"/>
      <c r="ENV35" s="537"/>
      <c r="ENW35" s="537"/>
      <c r="ENX35" s="537"/>
      <c r="ENY35" s="537"/>
      <c r="ENZ35" s="537"/>
      <c r="EOA35" s="537"/>
      <c r="EOB35" s="537"/>
      <c r="EOC35" s="537"/>
      <c r="EOD35" s="537"/>
      <c r="EOE35" s="537"/>
      <c r="EOF35" s="537"/>
      <c r="EOG35" s="537"/>
      <c r="EOH35" s="537"/>
      <c r="EOI35" s="537"/>
      <c r="EOJ35" s="537"/>
      <c r="EOK35" s="537"/>
      <c r="EOL35" s="537"/>
      <c r="EOM35" s="537"/>
      <c r="EON35" s="537"/>
      <c r="EOO35" s="537"/>
      <c r="EOP35" s="537"/>
      <c r="EOQ35" s="537"/>
      <c r="EOR35" s="537"/>
      <c r="EOS35" s="537"/>
      <c r="EOT35" s="537"/>
      <c r="EOU35" s="537"/>
      <c r="EOV35" s="537"/>
      <c r="EOW35" s="537"/>
      <c r="EOX35" s="537"/>
      <c r="EOY35" s="537"/>
      <c r="EOZ35" s="537"/>
      <c r="EPA35" s="537"/>
      <c r="EPB35" s="537"/>
      <c r="EPC35" s="537"/>
      <c r="EPD35" s="537"/>
      <c r="EPE35" s="537"/>
      <c r="EPF35" s="537"/>
      <c r="EPG35" s="537"/>
      <c r="EPH35" s="537"/>
      <c r="EPI35" s="537"/>
      <c r="EPJ35" s="537"/>
      <c r="EPK35" s="537"/>
      <c r="EPL35" s="537"/>
      <c r="EPM35" s="537"/>
      <c r="EPN35" s="537"/>
      <c r="EPO35" s="537"/>
      <c r="EPP35" s="537"/>
      <c r="EPQ35" s="537"/>
      <c r="EPR35" s="537"/>
      <c r="EPS35" s="537"/>
      <c r="EPT35" s="537"/>
      <c r="EPU35" s="537"/>
      <c r="EPV35" s="537"/>
      <c r="EPW35" s="537"/>
      <c r="EPX35" s="537"/>
      <c r="EPY35" s="537"/>
      <c r="EPZ35" s="537"/>
      <c r="EQA35" s="537"/>
      <c r="EQB35" s="537"/>
      <c r="EQC35" s="537"/>
      <c r="EQD35" s="537"/>
      <c r="EQE35" s="537"/>
      <c r="EQF35" s="537"/>
      <c r="EQG35" s="537"/>
      <c r="EQH35" s="537"/>
      <c r="EQI35" s="537"/>
      <c r="EQJ35" s="537"/>
      <c r="EQK35" s="537"/>
      <c r="EQL35" s="537"/>
      <c r="EQM35" s="537"/>
      <c r="EQN35" s="537"/>
      <c r="EQO35" s="537"/>
      <c r="EQP35" s="537"/>
      <c r="EQQ35" s="537"/>
      <c r="EQR35" s="537"/>
      <c r="EQS35" s="537"/>
      <c r="EQT35" s="537"/>
      <c r="EQU35" s="537"/>
      <c r="EQV35" s="537"/>
      <c r="EQW35" s="537"/>
      <c r="EQX35" s="537"/>
      <c r="EQY35" s="537"/>
      <c r="EQZ35" s="537"/>
      <c r="ERA35" s="537"/>
      <c r="ERB35" s="537"/>
      <c r="ERC35" s="537"/>
      <c r="ERD35" s="537"/>
      <c r="ERE35" s="537"/>
      <c r="ERF35" s="537"/>
      <c r="ERG35" s="537"/>
      <c r="ERH35" s="537"/>
      <c r="ERI35" s="537"/>
      <c r="ERJ35" s="537"/>
      <c r="ERK35" s="537"/>
      <c r="ERL35" s="537"/>
      <c r="ERM35" s="537"/>
      <c r="ERN35" s="537"/>
      <c r="ERO35" s="537"/>
      <c r="ERP35" s="537"/>
      <c r="ERQ35" s="537"/>
      <c r="ERR35" s="537"/>
      <c r="ERS35" s="537"/>
      <c r="ERT35" s="537"/>
      <c r="ERU35" s="537"/>
      <c r="ERV35" s="537"/>
      <c r="ERW35" s="537"/>
      <c r="ERX35" s="537"/>
      <c r="ERY35" s="537"/>
      <c r="ERZ35" s="537"/>
      <c r="ESA35" s="537"/>
      <c r="ESB35" s="537"/>
      <c r="ESC35" s="537"/>
      <c r="ESD35" s="537"/>
      <c r="ESE35" s="537"/>
      <c r="ESF35" s="537"/>
      <c r="ESG35" s="537"/>
      <c r="ESH35" s="537"/>
      <c r="ESI35" s="537"/>
      <c r="ESJ35" s="537"/>
      <c r="ESK35" s="537"/>
      <c r="ESL35" s="537"/>
      <c r="ESM35" s="537"/>
      <c r="ESN35" s="537"/>
      <c r="ESO35" s="537"/>
      <c r="ESP35" s="537"/>
      <c r="ESQ35" s="537"/>
      <c r="ESR35" s="537"/>
      <c r="ESS35" s="537"/>
      <c r="EST35" s="537"/>
      <c r="ESU35" s="537"/>
      <c r="ESV35" s="537"/>
      <c r="ESW35" s="537"/>
      <c r="ESX35" s="537"/>
      <c r="ESY35" s="537"/>
      <c r="ESZ35" s="537"/>
      <c r="ETA35" s="537"/>
      <c r="ETB35" s="537"/>
      <c r="ETC35" s="537"/>
      <c r="ETD35" s="537"/>
      <c r="ETE35" s="537"/>
      <c r="ETF35" s="537"/>
      <c r="ETG35" s="537"/>
      <c r="ETH35" s="537"/>
      <c r="ETI35" s="537"/>
      <c r="ETJ35" s="537"/>
      <c r="ETK35" s="537"/>
      <c r="ETL35" s="537"/>
      <c r="ETM35" s="537"/>
      <c r="ETN35" s="537"/>
      <c r="ETO35" s="537"/>
      <c r="ETP35" s="537"/>
      <c r="ETQ35" s="537"/>
      <c r="ETR35" s="537"/>
      <c r="ETS35" s="537"/>
      <c r="ETT35" s="537"/>
      <c r="ETU35" s="537"/>
      <c r="ETV35" s="537"/>
      <c r="ETW35" s="537"/>
      <c r="ETX35" s="537"/>
      <c r="ETY35" s="537"/>
      <c r="ETZ35" s="537"/>
      <c r="EUA35" s="537"/>
      <c r="EUB35" s="537"/>
      <c r="EUC35" s="537"/>
      <c r="EUD35" s="537"/>
      <c r="EUE35" s="537"/>
      <c r="EUF35" s="537"/>
      <c r="EUG35" s="537"/>
      <c r="EUH35" s="537"/>
      <c r="EUI35" s="537"/>
      <c r="EUJ35" s="537"/>
      <c r="EUK35" s="537"/>
      <c r="EUL35" s="537"/>
      <c r="EUM35" s="537"/>
      <c r="EUN35" s="537"/>
      <c r="EUO35" s="537"/>
      <c r="EUP35" s="537"/>
      <c r="EUQ35" s="537"/>
      <c r="EUR35" s="537"/>
      <c r="EUS35" s="537"/>
      <c r="EUT35" s="537"/>
      <c r="EUU35" s="537"/>
      <c r="EUV35" s="537"/>
      <c r="EUW35" s="537"/>
      <c r="EUX35" s="537"/>
      <c r="EUY35" s="537"/>
      <c r="EUZ35" s="537"/>
      <c r="EVA35" s="537"/>
      <c r="EVB35" s="537"/>
      <c r="EVC35" s="537"/>
      <c r="EVD35" s="537"/>
      <c r="EVE35" s="537"/>
      <c r="EVF35" s="537"/>
      <c r="EVG35" s="537"/>
      <c r="EVH35" s="537"/>
      <c r="EVI35" s="537"/>
      <c r="EVJ35" s="537"/>
      <c r="EVK35" s="537"/>
      <c r="EVL35" s="537"/>
      <c r="EVM35" s="537"/>
      <c r="EVN35" s="537"/>
      <c r="EVO35" s="537"/>
      <c r="EVP35" s="537"/>
      <c r="EVQ35" s="537"/>
      <c r="EVR35" s="537"/>
      <c r="EVS35" s="537"/>
      <c r="EVT35" s="537"/>
      <c r="EVU35" s="537"/>
      <c r="EVV35" s="537"/>
      <c r="EVW35" s="537"/>
      <c r="EVX35" s="537"/>
      <c r="EVY35" s="537"/>
      <c r="EVZ35" s="537"/>
      <c r="EWA35" s="537"/>
      <c r="EWB35" s="537"/>
      <c r="EWC35" s="537"/>
      <c r="EWD35" s="537"/>
      <c r="EWE35" s="537"/>
      <c r="EWF35" s="537"/>
      <c r="EWG35" s="537"/>
      <c r="EWH35" s="537"/>
      <c r="EWI35" s="537"/>
      <c r="EWJ35" s="537"/>
      <c r="EWK35" s="537"/>
      <c r="EWL35" s="537"/>
      <c r="EWM35" s="537"/>
      <c r="EWN35" s="537"/>
      <c r="EWO35" s="537"/>
      <c r="EWP35" s="537"/>
      <c r="EWQ35" s="537"/>
      <c r="EWR35" s="537"/>
      <c r="EWS35" s="537"/>
      <c r="EWT35" s="537"/>
      <c r="EWU35" s="537"/>
      <c r="EWV35" s="537"/>
      <c r="EWW35" s="537"/>
      <c r="EWX35" s="537"/>
      <c r="EWY35" s="537"/>
      <c r="EWZ35" s="537"/>
      <c r="EXA35" s="537"/>
      <c r="EXB35" s="537"/>
      <c r="EXC35" s="537"/>
      <c r="EXD35" s="537"/>
      <c r="EXE35" s="537"/>
      <c r="EXF35" s="537"/>
      <c r="EXG35" s="537"/>
      <c r="EXH35" s="537"/>
      <c r="EXI35" s="537"/>
      <c r="EXJ35" s="537"/>
      <c r="EXK35" s="537"/>
      <c r="EXL35" s="537"/>
      <c r="EXM35" s="537"/>
      <c r="EXN35" s="537"/>
      <c r="EXO35" s="537"/>
      <c r="EXP35" s="537"/>
      <c r="EXQ35" s="537"/>
      <c r="EXR35" s="537"/>
      <c r="EXS35" s="537"/>
      <c r="EXT35" s="537"/>
      <c r="EXU35" s="537"/>
      <c r="EXV35" s="537"/>
      <c r="EXW35" s="537"/>
      <c r="EXX35" s="537"/>
      <c r="EXY35" s="537"/>
      <c r="EXZ35" s="537"/>
      <c r="EYA35" s="537"/>
      <c r="EYB35" s="537"/>
      <c r="EYC35" s="537"/>
      <c r="EYD35" s="537"/>
      <c r="EYE35" s="537"/>
      <c r="EYF35" s="537"/>
      <c r="EYG35" s="537"/>
      <c r="EYH35" s="537"/>
      <c r="EYI35" s="537"/>
      <c r="EYJ35" s="537"/>
      <c r="EYK35" s="537"/>
      <c r="EYL35" s="537"/>
      <c r="EYM35" s="537"/>
      <c r="EYN35" s="537"/>
      <c r="EYO35" s="537"/>
      <c r="EYP35" s="537"/>
      <c r="EYQ35" s="537"/>
      <c r="EYR35" s="537"/>
      <c r="EYS35" s="537"/>
      <c r="EYT35" s="537"/>
      <c r="EYU35" s="537"/>
      <c r="EYV35" s="537"/>
      <c r="EYW35" s="537"/>
      <c r="EYX35" s="537"/>
      <c r="EYY35" s="537"/>
      <c r="EYZ35" s="537"/>
      <c r="EZA35" s="537"/>
      <c r="EZB35" s="537"/>
      <c r="EZC35" s="537"/>
      <c r="EZD35" s="537"/>
      <c r="EZE35" s="537"/>
      <c r="EZF35" s="537"/>
      <c r="EZG35" s="537"/>
      <c r="EZH35" s="537"/>
      <c r="EZI35" s="537"/>
      <c r="EZJ35" s="537"/>
      <c r="EZK35" s="537"/>
      <c r="EZL35" s="537"/>
      <c r="EZM35" s="537"/>
      <c r="EZN35" s="537"/>
      <c r="EZO35" s="537"/>
      <c r="EZP35" s="537"/>
      <c r="EZQ35" s="537"/>
      <c r="EZR35" s="537"/>
      <c r="EZS35" s="537"/>
      <c r="EZT35" s="537"/>
      <c r="EZU35" s="537"/>
      <c r="EZV35" s="537"/>
      <c r="EZW35" s="537"/>
      <c r="EZX35" s="537"/>
      <c r="EZY35" s="537"/>
      <c r="EZZ35" s="537"/>
      <c r="FAA35" s="537"/>
      <c r="FAB35" s="537"/>
      <c r="FAC35" s="537"/>
      <c r="FAD35" s="537"/>
      <c r="FAE35" s="537"/>
      <c r="FAF35" s="537"/>
      <c r="FAG35" s="537"/>
      <c r="FAH35" s="537"/>
      <c r="FAI35" s="537"/>
      <c r="FAJ35" s="537"/>
      <c r="FAK35" s="537"/>
      <c r="FAL35" s="537"/>
      <c r="FAM35" s="537"/>
      <c r="FAN35" s="537"/>
      <c r="FAO35" s="537"/>
      <c r="FAP35" s="537"/>
      <c r="FAQ35" s="537"/>
      <c r="FAR35" s="537"/>
      <c r="FAS35" s="537"/>
      <c r="FAT35" s="537"/>
      <c r="FAU35" s="537"/>
      <c r="FAV35" s="537"/>
      <c r="FAW35" s="537"/>
      <c r="FAX35" s="537"/>
      <c r="FAY35" s="537"/>
      <c r="FAZ35" s="537"/>
      <c r="FBA35" s="537"/>
      <c r="FBB35" s="537"/>
      <c r="FBC35" s="537"/>
      <c r="FBD35" s="537"/>
      <c r="FBE35" s="537"/>
      <c r="FBF35" s="537"/>
      <c r="FBG35" s="537"/>
      <c r="FBH35" s="537"/>
      <c r="FBI35" s="537"/>
      <c r="FBJ35" s="537"/>
      <c r="FBK35" s="537"/>
      <c r="FBL35" s="537"/>
      <c r="FBM35" s="537"/>
      <c r="FBN35" s="537"/>
      <c r="FBO35" s="537"/>
      <c r="FBP35" s="537"/>
      <c r="FBQ35" s="537"/>
      <c r="FBR35" s="537"/>
      <c r="FBS35" s="537"/>
      <c r="FBT35" s="537"/>
      <c r="FBU35" s="537"/>
      <c r="FBV35" s="537"/>
      <c r="FBW35" s="537"/>
      <c r="FBX35" s="537"/>
      <c r="FBY35" s="537"/>
      <c r="FBZ35" s="537"/>
      <c r="FCA35" s="537"/>
      <c r="FCB35" s="537"/>
      <c r="FCC35" s="537"/>
      <c r="FCD35" s="537"/>
      <c r="FCE35" s="537"/>
      <c r="FCF35" s="537"/>
      <c r="FCG35" s="537"/>
      <c r="FCH35" s="537"/>
      <c r="FCI35" s="537"/>
      <c r="FCJ35" s="537"/>
      <c r="FCK35" s="537"/>
      <c r="FCL35" s="537"/>
      <c r="FCM35" s="537"/>
      <c r="FCN35" s="537"/>
      <c r="FCO35" s="537"/>
      <c r="FCP35" s="537"/>
      <c r="FCQ35" s="537"/>
      <c r="FCR35" s="537"/>
      <c r="FCS35" s="537"/>
      <c r="FCT35" s="537"/>
      <c r="FCU35" s="537"/>
      <c r="FCV35" s="537"/>
      <c r="FCW35" s="537"/>
      <c r="FCX35" s="537"/>
      <c r="FCY35" s="537"/>
      <c r="FCZ35" s="537"/>
      <c r="FDA35" s="537"/>
      <c r="FDB35" s="537"/>
      <c r="FDC35" s="537"/>
      <c r="FDD35" s="537"/>
      <c r="FDE35" s="537"/>
      <c r="FDF35" s="537"/>
      <c r="FDG35" s="537"/>
      <c r="FDH35" s="537"/>
      <c r="FDI35" s="537"/>
      <c r="FDJ35" s="537"/>
      <c r="FDK35" s="537"/>
      <c r="FDL35" s="537"/>
      <c r="FDM35" s="537"/>
      <c r="FDN35" s="537"/>
      <c r="FDO35" s="537"/>
      <c r="FDP35" s="537"/>
      <c r="FDQ35" s="537"/>
      <c r="FDR35" s="537"/>
      <c r="FDS35" s="537"/>
      <c r="FDT35" s="537"/>
      <c r="FDU35" s="537"/>
      <c r="FDV35" s="537"/>
      <c r="FDW35" s="537"/>
      <c r="FDX35" s="537"/>
      <c r="FDY35" s="537"/>
      <c r="FDZ35" s="537"/>
      <c r="FEA35" s="537"/>
      <c r="FEB35" s="537"/>
      <c r="FEC35" s="537"/>
      <c r="FED35" s="537"/>
      <c r="FEE35" s="537"/>
      <c r="FEF35" s="537"/>
      <c r="FEG35" s="537"/>
      <c r="FEH35" s="537"/>
      <c r="FEI35" s="537"/>
      <c r="FEJ35" s="537"/>
      <c r="FEK35" s="537"/>
      <c r="FEL35" s="537"/>
      <c r="FEM35" s="537"/>
      <c r="FEN35" s="537"/>
      <c r="FEO35" s="537"/>
      <c r="FEP35" s="537"/>
      <c r="FEQ35" s="537"/>
      <c r="FER35" s="537"/>
      <c r="FES35" s="537"/>
      <c r="FET35" s="537"/>
      <c r="FEU35" s="537"/>
      <c r="FEV35" s="537"/>
      <c r="FEW35" s="537"/>
      <c r="FEX35" s="537"/>
      <c r="FEY35" s="537"/>
      <c r="FEZ35" s="537"/>
      <c r="FFA35" s="537"/>
      <c r="FFB35" s="537"/>
      <c r="FFC35" s="537"/>
      <c r="FFD35" s="537"/>
      <c r="FFE35" s="537"/>
      <c r="FFF35" s="537"/>
      <c r="FFG35" s="537"/>
      <c r="FFH35" s="537"/>
      <c r="FFI35" s="537"/>
      <c r="FFJ35" s="537"/>
      <c r="FFK35" s="537"/>
      <c r="FFL35" s="537"/>
      <c r="FFM35" s="537"/>
      <c r="FFN35" s="537"/>
      <c r="FFO35" s="537"/>
      <c r="FFP35" s="537"/>
      <c r="FFQ35" s="537"/>
      <c r="FFR35" s="537"/>
      <c r="FFS35" s="537"/>
      <c r="FFT35" s="537"/>
      <c r="FFU35" s="537"/>
      <c r="FFV35" s="537"/>
      <c r="FFW35" s="537"/>
      <c r="FFX35" s="537"/>
      <c r="FFY35" s="537"/>
      <c r="FFZ35" s="537"/>
      <c r="FGA35" s="537"/>
      <c r="FGB35" s="537"/>
      <c r="FGC35" s="537"/>
      <c r="FGD35" s="537"/>
      <c r="FGE35" s="537"/>
      <c r="FGF35" s="537"/>
      <c r="FGG35" s="537"/>
      <c r="FGH35" s="537"/>
      <c r="FGI35" s="537"/>
      <c r="FGJ35" s="537"/>
      <c r="FGK35" s="537"/>
      <c r="FGL35" s="537"/>
      <c r="FGM35" s="537"/>
      <c r="FGN35" s="537"/>
      <c r="FGO35" s="537"/>
      <c r="FGP35" s="537"/>
      <c r="FGQ35" s="537"/>
      <c r="FGR35" s="537"/>
      <c r="FGS35" s="537"/>
      <c r="FGT35" s="537"/>
      <c r="FGU35" s="537"/>
      <c r="FGV35" s="537"/>
      <c r="FGW35" s="537"/>
      <c r="FGX35" s="537"/>
      <c r="FGY35" s="537"/>
      <c r="FGZ35" s="537"/>
      <c r="FHA35" s="537"/>
      <c r="FHB35" s="537"/>
      <c r="FHC35" s="537"/>
      <c r="FHD35" s="537"/>
      <c r="FHE35" s="537"/>
      <c r="FHF35" s="537"/>
      <c r="FHG35" s="537"/>
      <c r="FHH35" s="537"/>
      <c r="FHI35" s="537"/>
      <c r="FHJ35" s="537"/>
      <c r="FHK35" s="537"/>
      <c r="FHL35" s="537"/>
      <c r="FHM35" s="537"/>
      <c r="FHN35" s="537"/>
      <c r="FHO35" s="537"/>
      <c r="FHP35" s="537"/>
      <c r="FHQ35" s="537"/>
      <c r="FHR35" s="537"/>
      <c r="FHS35" s="537"/>
      <c r="FHT35" s="537"/>
      <c r="FHU35" s="537"/>
      <c r="FHV35" s="537"/>
      <c r="FHW35" s="537"/>
      <c r="FHX35" s="537"/>
      <c r="FHY35" s="537"/>
      <c r="FHZ35" s="537"/>
      <c r="FIA35" s="537"/>
      <c r="FIB35" s="537"/>
      <c r="FIC35" s="537"/>
      <c r="FID35" s="537"/>
      <c r="FIE35" s="537"/>
      <c r="FIF35" s="537"/>
      <c r="FIG35" s="537"/>
      <c r="FIH35" s="537"/>
      <c r="FII35" s="537"/>
      <c r="FIJ35" s="537"/>
      <c r="FIK35" s="537"/>
      <c r="FIL35" s="537"/>
      <c r="FIM35" s="537"/>
      <c r="FIN35" s="537"/>
      <c r="FIO35" s="537"/>
      <c r="FIP35" s="537"/>
      <c r="FIQ35" s="537"/>
      <c r="FIR35" s="537"/>
      <c r="FIS35" s="537"/>
      <c r="FIT35" s="537"/>
      <c r="FIU35" s="537"/>
      <c r="FIV35" s="537"/>
      <c r="FIW35" s="537"/>
      <c r="FIX35" s="537"/>
      <c r="FIY35" s="537"/>
      <c r="FIZ35" s="537"/>
      <c r="FJA35" s="537"/>
      <c r="FJB35" s="537"/>
      <c r="FJC35" s="537"/>
      <c r="FJD35" s="537"/>
      <c r="FJE35" s="537"/>
      <c r="FJF35" s="537"/>
      <c r="FJG35" s="537"/>
      <c r="FJH35" s="537"/>
      <c r="FJI35" s="537"/>
      <c r="FJJ35" s="537"/>
      <c r="FJK35" s="537"/>
      <c r="FJL35" s="537"/>
      <c r="FJM35" s="537"/>
      <c r="FJN35" s="537"/>
      <c r="FJO35" s="537"/>
      <c r="FJP35" s="537"/>
      <c r="FJQ35" s="537"/>
      <c r="FJR35" s="537"/>
      <c r="FJS35" s="537"/>
      <c r="FJT35" s="537"/>
      <c r="FJU35" s="537"/>
      <c r="FJV35" s="537"/>
      <c r="FJW35" s="537"/>
      <c r="FJX35" s="537"/>
      <c r="FJY35" s="537"/>
      <c r="FJZ35" s="537"/>
      <c r="FKA35" s="537"/>
      <c r="FKB35" s="537"/>
      <c r="FKC35" s="537"/>
      <c r="FKD35" s="537"/>
      <c r="FKE35" s="537"/>
      <c r="FKF35" s="537"/>
      <c r="FKG35" s="537"/>
      <c r="FKH35" s="537"/>
      <c r="FKI35" s="537"/>
      <c r="FKJ35" s="537"/>
      <c r="FKK35" s="537"/>
      <c r="FKL35" s="537"/>
      <c r="FKM35" s="537"/>
      <c r="FKN35" s="537"/>
      <c r="FKO35" s="537"/>
      <c r="FKP35" s="537"/>
      <c r="FKQ35" s="537"/>
      <c r="FKR35" s="537"/>
      <c r="FKS35" s="537"/>
      <c r="FKT35" s="537"/>
      <c r="FKU35" s="537"/>
      <c r="FKV35" s="537"/>
      <c r="FKW35" s="537"/>
      <c r="FKX35" s="537"/>
      <c r="FKY35" s="537"/>
      <c r="FKZ35" s="537"/>
      <c r="FLA35" s="537"/>
      <c r="FLB35" s="537"/>
      <c r="FLC35" s="537"/>
      <c r="FLD35" s="537"/>
      <c r="FLE35" s="537"/>
      <c r="FLF35" s="537"/>
      <c r="FLG35" s="537"/>
      <c r="FLH35" s="537"/>
      <c r="FLI35" s="537"/>
      <c r="FLJ35" s="537"/>
      <c r="FLK35" s="537"/>
      <c r="FLL35" s="537"/>
      <c r="FLM35" s="537"/>
      <c r="FLN35" s="537"/>
      <c r="FLO35" s="537"/>
      <c r="FLP35" s="537"/>
      <c r="FLQ35" s="537"/>
      <c r="FLR35" s="537"/>
      <c r="FLS35" s="537"/>
      <c r="FLT35" s="537"/>
      <c r="FLU35" s="537"/>
      <c r="FLV35" s="537"/>
      <c r="FLW35" s="537"/>
      <c r="FLX35" s="537"/>
      <c r="FLY35" s="537"/>
      <c r="FLZ35" s="537"/>
      <c r="FMA35" s="537"/>
      <c r="FMB35" s="537"/>
      <c r="FMC35" s="537"/>
      <c r="FMD35" s="537"/>
      <c r="FME35" s="537"/>
      <c r="FMF35" s="537"/>
      <c r="FMG35" s="537"/>
      <c r="FMH35" s="537"/>
      <c r="FMI35" s="537"/>
      <c r="FMJ35" s="537"/>
      <c r="FMK35" s="537"/>
      <c r="FML35" s="537"/>
      <c r="FMM35" s="537"/>
      <c r="FMN35" s="537"/>
      <c r="FMO35" s="537"/>
      <c r="FMP35" s="537"/>
      <c r="FMQ35" s="537"/>
      <c r="FMR35" s="537"/>
      <c r="FMS35" s="537"/>
      <c r="FMT35" s="537"/>
      <c r="FMU35" s="537"/>
      <c r="FMV35" s="537"/>
      <c r="FMW35" s="537"/>
      <c r="FMX35" s="537"/>
      <c r="FMY35" s="537"/>
      <c r="FMZ35" s="537"/>
      <c r="FNA35" s="537"/>
      <c r="FNB35" s="537"/>
      <c r="FNC35" s="537"/>
      <c r="FND35" s="537"/>
      <c r="FNE35" s="537"/>
      <c r="FNF35" s="537"/>
      <c r="FNG35" s="537"/>
      <c r="FNH35" s="537"/>
      <c r="FNI35" s="537"/>
      <c r="FNJ35" s="537"/>
      <c r="FNK35" s="537"/>
      <c r="FNL35" s="537"/>
      <c r="FNM35" s="537"/>
      <c r="FNN35" s="537"/>
      <c r="FNO35" s="537"/>
      <c r="FNP35" s="537"/>
      <c r="FNQ35" s="537"/>
      <c r="FNR35" s="537"/>
      <c r="FNS35" s="537"/>
      <c r="FNT35" s="537"/>
      <c r="FNU35" s="537"/>
      <c r="FNV35" s="537"/>
      <c r="FNW35" s="537"/>
      <c r="FNX35" s="537"/>
      <c r="FNY35" s="537"/>
      <c r="FNZ35" s="537"/>
      <c r="FOA35" s="537"/>
      <c r="FOB35" s="537"/>
      <c r="FOC35" s="537"/>
      <c r="FOD35" s="537"/>
      <c r="FOE35" s="537"/>
      <c r="FOF35" s="537"/>
      <c r="FOG35" s="537"/>
      <c r="FOH35" s="537"/>
      <c r="FOI35" s="537"/>
      <c r="FOJ35" s="537"/>
      <c r="FOK35" s="537"/>
      <c r="FOL35" s="537"/>
      <c r="FOM35" s="537"/>
      <c r="FON35" s="537"/>
      <c r="FOO35" s="537"/>
      <c r="FOP35" s="537"/>
      <c r="FOQ35" s="537"/>
      <c r="FOR35" s="537"/>
      <c r="FOS35" s="537"/>
      <c r="FOT35" s="537"/>
      <c r="FOU35" s="537"/>
      <c r="FOV35" s="537"/>
      <c r="FOW35" s="537"/>
      <c r="FOX35" s="537"/>
      <c r="FOY35" s="537"/>
      <c r="FOZ35" s="537"/>
      <c r="FPA35" s="537"/>
      <c r="FPB35" s="537"/>
      <c r="FPC35" s="537"/>
      <c r="FPD35" s="537"/>
      <c r="FPE35" s="537"/>
      <c r="FPF35" s="537"/>
      <c r="FPG35" s="537"/>
      <c r="FPH35" s="537"/>
      <c r="FPI35" s="537"/>
      <c r="FPJ35" s="537"/>
      <c r="FPK35" s="537"/>
      <c r="FPL35" s="537"/>
      <c r="FPM35" s="537"/>
      <c r="FPN35" s="537"/>
      <c r="FPO35" s="537"/>
      <c r="FPP35" s="537"/>
      <c r="FPQ35" s="537"/>
      <c r="FPR35" s="537"/>
      <c r="FPS35" s="537"/>
      <c r="FPT35" s="537"/>
      <c r="FPU35" s="537"/>
      <c r="FPV35" s="537"/>
      <c r="FPW35" s="537"/>
      <c r="FPX35" s="537"/>
      <c r="FPY35" s="537"/>
      <c r="FPZ35" s="537"/>
      <c r="FQA35" s="537"/>
      <c r="FQB35" s="537"/>
      <c r="FQC35" s="537"/>
      <c r="FQD35" s="537"/>
      <c r="FQE35" s="537"/>
      <c r="FQF35" s="537"/>
      <c r="FQG35" s="537"/>
      <c r="FQH35" s="537"/>
      <c r="FQI35" s="537"/>
      <c r="FQJ35" s="537"/>
      <c r="FQK35" s="537"/>
      <c r="FQL35" s="537"/>
      <c r="FQM35" s="537"/>
      <c r="FQN35" s="537"/>
      <c r="FQO35" s="537"/>
      <c r="FQP35" s="537"/>
      <c r="FQQ35" s="537"/>
      <c r="FQR35" s="537"/>
      <c r="FQS35" s="537"/>
      <c r="FQT35" s="537"/>
      <c r="FQU35" s="537"/>
      <c r="FQV35" s="537"/>
      <c r="FQW35" s="537"/>
      <c r="FQX35" s="537"/>
      <c r="FQY35" s="537"/>
      <c r="FQZ35" s="537"/>
      <c r="FRA35" s="537"/>
      <c r="FRB35" s="537"/>
      <c r="FRC35" s="537"/>
      <c r="FRD35" s="537"/>
      <c r="FRE35" s="537"/>
      <c r="FRF35" s="537"/>
      <c r="FRG35" s="537"/>
      <c r="FRH35" s="537"/>
      <c r="FRI35" s="537"/>
      <c r="FRJ35" s="537"/>
      <c r="FRK35" s="537"/>
      <c r="FRL35" s="537"/>
      <c r="FRM35" s="537"/>
      <c r="FRN35" s="537"/>
      <c r="FRO35" s="537"/>
      <c r="FRP35" s="537"/>
      <c r="FRQ35" s="537"/>
      <c r="FRR35" s="537"/>
      <c r="FRS35" s="537"/>
      <c r="FRT35" s="537"/>
      <c r="FRU35" s="537"/>
      <c r="FRV35" s="537"/>
      <c r="FRW35" s="537"/>
      <c r="FRX35" s="537"/>
      <c r="FRY35" s="537"/>
      <c r="FRZ35" s="537"/>
      <c r="FSA35" s="537"/>
      <c r="FSB35" s="537"/>
      <c r="FSC35" s="537"/>
      <c r="FSD35" s="537"/>
      <c r="FSE35" s="537"/>
      <c r="FSF35" s="537"/>
      <c r="FSG35" s="537"/>
      <c r="FSH35" s="537"/>
      <c r="FSI35" s="537"/>
      <c r="FSJ35" s="537"/>
      <c r="FSK35" s="537"/>
      <c r="FSL35" s="537"/>
      <c r="FSM35" s="537"/>
      <c r="FSN35" s="537"/>
      <c r="FSO35" s="537"/>
      <c r="FSP35" s="537"/>
      <c r="FSQ35" s="537"/>
      <c r="FSR35" s="537"/>
      <c r="FSS35" s="537"/>
      <c r="FST35" s="537"/>
      <c r="FSU35" s="537"/>
      <c r="FSV35" s="537"/>
      <c r="FSW35" s="537"/>
      <c r="FSX35" s="537"/>
      <c r="FSY35" s="537"/>
      <c r="FSZ35" s="537"/>
      <c r="FTA35" s="537"/>
      <c r="FTB35" s="537"/>
      <c r="FTC35" s="537"/>
      <c r="FTD35" s="537"/>
      <c r="FTE35" s="537"/>
      <c r="FTF35" s="537"/>
      <c r="FTG35" s="537"/>
      <c r="FTH35" s="537"/>
      <c r="FTI35" s="537"/>
      <c r="FTJ35" s="537"/>
      <c r="FTK35" s="537"/>
      <c r="FTL35" s="537"/>
      <c r="FTM35" s="537"/>
      <c r="FTN35" s="537"/>
      <c r="FTO35" s="537"/>
      <c r="FTP35" s="537"/>
      <c r="FTQ35" s="537"/>
      <c r="FTR35" s="537"/>
      <c r="FTS35" s="537"/>
      <c r="FTT35" s="537"/>
      <c r="FTU35" s="537"/>
      <c r="FTV35" s="537"/>
      <c r="FTW35" s="537"/>
      <c r="FTX35" s="537"/>
      <c r="FTY35" s="537"/>
      <c r="FTZ35" s="537"/>
      <c r="FUA35" s="537"/>
      <c r="FUB35" s="537"/>
      <c r="FUC35" s="537"/>
      <c r="FUD35" s="537"/>
      <c r="FUE35" s="537"/>
      <c r="FUF35" s="537"/>
      <c r="FUG35" s="537"/>
      <c r="FUH35" s="537"/>
      <c r="FUI35" s="537"/>
      <c r="FUJ35" s="537"/>
      <c r="FUK35" s="537"/>
      <c r="FUL35" s="537"/>
      <c r="FUM35" s="537"/>
      <c r="FUN35" s="537"/>
      <c r="FUO35" s="537"/>
      <c r="FUP35" s="537"/>
      <c r="FUQ35" s="537"/>
      <c r="FUR35" s="537"/>
      <c r="FUS35" s="537"/>
      <c r="FUT35" s="537"/>
      <c r="FUU35" s="537"/>
      <c r="FUV35" s="537"/>
      <c r="FUW35" s="537"/>
      <c r="FUX35" s="537"/>
      <c r="FUY35" s="537"/>
      <c r="FUZ35" s="537"/>
      <c r="FVA35" s="537"/>
      <c r="FVB35" s="537"/>
      <c r="FVC35" s="537"/>
      <c r="FVD35" s="537"/>
      <c r="FVE35" s="537"/>
      <c r="FVF35" s="537"/>
      <c r="FVG35" s="537"/>
      <c r="FVH35" s="537"/>
      <c r="FVI35" s="537"/>
      <c r="FVJ35" s="537"/>
      <c r="FVK35" s="537"/>
      <c r="FVL35" s="537"/>
      <c r="FVM35" s="537"/>
      <c r="FVN35" s="537"/>
      <c r="FVO35" s="537"/>
      <c r="FVP35" s="537"/>
      <c r="FVQ35" s="537"/>
      <c r="FVR35" s="537"/>
      <c r="FVS35" s="537"/>
      <c r="FVT35" s="537"/>
      <c r="FVU35" s="537"/>
      <c r="FVV35" s="537"/>
      <c r="FVW35" s="537"/>
      <c r="FVX35" s="537"/>
      <c r="FVY35" s="537"/>
      <c r="FVZ35" s="537"/>
      <c r="FWA35" s="537"/>
      <c r="FWB35" s="537"/>
      <c r="FWC35" s="537"/>
      <c r="FWD35" s="537"/>
      <c r="FWE35" s="537"/>
      <c r="FWF35" s="537"/>
      <c r="FWG35" s="537"/>
      <c r="FWH35" s="537"/>
      <c r="FWI35" s="537"/>
      <c r="FWJ35" s="537"/>
      <c r="FWK35" s="537"/>
      <c r="FWL35" s="537"/>
      <c r="FWM35" s="537"/>
      <c r="FWN35" s="537"/>
      <c r="FWO35" s="537"/>
      <c r="FWP35" s="537"/>
      <c r="FWQ35" s="537"/>
      <c r="FWR35" s="537"/>
      <c r="FWS35" s="537"/>
      <c r="FWT35" s="537"/>
      <c r="FWU35" s="537"/>
      <c r="FWV35" s="537"/>
      <c r="FWW35" s="537"/>
      <c r="FWX35" s="537"/>
      <c r="FWY35" s="537"/>
      <c r="FWZ35" s="537"/>
      <c r="FXA35" s="537"/>
      <c r="FXB35" s="537"/>
      <c r="FXC35" s="537"/>
      <c r="FXD35" s="537"/>
      <c r="FXE35" s="537"/>
      <c r="FXF35" s="537"/>
      <c r="FXG35" s="537"/>
      <c r="FXH35" s="537"/>
      <c r="FXI35" s="537"/>
      <c r="FXJ35" s="537"/>
      <c r="FXK35" s="537"/>
      <c r="FXL35" s="537"/>
      <c r="FXM35" s="537"/>
      <c r="FXN35" s="537"/>
      <c r="FXO35" s="537"/>
      <c r="FXP35" s="537"/>
      <c r="FXQ35" s="537"/>
      <c r="FXR35" s="537"/>
      <c r="FXS35" s="537"/>
      <c r="FXT35" s="537"/>
      <c r="FXU35" s="537"/>
      <c r="FXV35" s="537"/>
      <c r="FXW35" s="537"/>
      <c r="FXX35" s="537"/>
      <c r="FXY35" s="537"/>
      <c r="FXZ35" s="537"/>
      <c r="FYA35" s="537"/>
      <c r="FYB35" s="537"/>
      <c r="FYC35" s="537"/>
      <c r="FYD35" s="537"/>
      <c r="FYE35" s="537"/>
      <c r="FYF35" s="537"/>
      <c r="FYG35" s="537"/>
      <c r="FYH35" s="537"/>
      <c r="FYI35" s="537"/>
      <c r="FYJ35" s="537"/>
      <c r="FYK35" s="537"/>
      <c r="FYL35" s="537"/>
      <c r="FYM35" s="537"/>
      <c r="FYN35" s="537"/>
      <c r="FYO35" s="537"/>
      <c r="FYP35" s="537"/>
      <c r="FYQ35" s="537"/>
      <c r="FYR35" s="537"/>
      <c r="FYS35" s="537"/>
      <c r="FYT35" s="537"/>
      <c r="FYU35" s="537"/>
      <c r="FYV35" s="537"/>
      <c r="FYW35" s="537"/>
      <c r="FYX35" s="537"/>
      <c r="FYY35" s="537"/>
      <c r="FYZ35" s="537"/>
      <c r="FZA35" s="537"/>
      <c r="FZB35" s="537"/>
      <c r="FZC35" s="537"/>
      <c r="FZD35" s="537"/>
      <c r="FZE35" s="537"/>
      <c r="FZF35" s="537"/>
      <c r="FZG35" s="537"/>
      <c r="FZH35" s="537"/>
      <c r="FZI35" s="537"/>
      <c r="FZJ35" s="537"/>
      <c r="FZK35" s="537"/>
      <c r="FZL35" s="537"/>
      <c r="FZM35" s="537"/>
      <c r="FZN35" s="537"/>
      <c r="FZO35" s="537"/>
      <c r="FZP35" s="537"/>
      <c r="FZQ35" s="537"/>
      <c r="FZR35" s="537"/>
      <c r="FZS35" s="537"/>
      <c r="FZT35" s="537"/>
      <c r="FZU35" s="537"/>
      <c r="FZV35" s="537"/>
      <c r="FZW35" s="537"/>
      <c r="FZX35" s="537"/>
      <c r="FZY35" s="537"/>
      <c r="FZZ35" s="537"/>
      <c r="GAA35" s="537"/>
      <c r="GAB35" s="537"/>
      <c r="GAC35" s="537"/>
      <c r="GAD35" s="537"/>
      <c r="GAE35" s="537"/>
      <c r="GAF35" s="537"/>
      <c r="GAG35" s="537"/>
      <c r="GAH35" s="537"/>
      <c r="GAI35" s="537"/>
      <c r="GAJ35" s="537"/>
      <c r="GAK35" s="537"/>
      <c r="GAL35" s="537"/>
      <c r="GAM35" s="537"/>
      <c r="GAN35" s="537"/>
      <c r="GAO35" s="537"/>
      <c r="GAP35" s="537"/>
      <c r="GAQ35" s="537"/>
      <c r="GAR35" s="537"/>
      <c r="GAS35" s="537"/>
      <c r="GAT35" s="537"/>
      <c r="GAU35" s="537"/>
      <c r="GAV35" s="537"/>
      <c r="GAW35" s="537"/>
      <c r="GAX35" s="537"/>
      <c r="GAY35" s="537"/>
      <c r="GAZ35" s="537"/>
      <c r="GBA35" s="537"/>
      <c r="GBB35" s="537"/>
      <c r="GBC35" s="537"/>
      <c r="GBD35" s="537"/>
      <c r="GBE35" s="537"/>
      <c r="GBF35" s="537"/>
      <c r="GBG35" s="537"/>
      <c r="GBH35" s="537"/>
      <c r="GBI35" s="537"/>
      <c r="GBJ35" s="537"/>
      <c r="GBK35" s="537"/>
      <c r="GBL35" s="537"/>
      <c r="GBM35" s="537"/>
      <c r="GBN35" s="537"/>
      <c r="GBO35" s="537"/>
      <c r="GBP35" s="537"/>
      <c r="GBQ35" s="537"/>
      <c r="GBR35" s="537"/>
      <c r="GBS35" s="537"/>
      <c r="GBT35" s="537"/>
      <c r="GBU35" s="537"/>
      <c r="GBV35" s="537"/>
      <c r="GBW35" s="537"/>
      <c r="GBX35" s="537"/>
      <c r="GBY35" s="537"/>
      <c r="GBZ35" s="537"/>
      <c r="GCA35" s="537"/>
      <c r="GCB35" s="537"/>
      <c r="GCC35" s="537"/>
      <c r="GCD35" s="537"/>
      <c r="GCE35" s="537"/>
      <c r="GCF35" s="537"/>
      <c r="GCG35" s="537"/>
      <c r="GCH35" s="537"/>
      <c r="GCI35" s="537"/>
      <c r="GCJ35" s="537"/>
      <c r="GCK35" s="537"/>
      <c r="GCL35" s="537"/>
      <c r="GCM35" s="537"/>
      <c r="GCN35" s="537"/>
      <c r="GCO35" s="537"/>
      <c r="GCP35" s="537"/>
      <c r="GCQ35" s="537"/>
      <c r="GCR35" s="537"/>
      <c r="GCS35" s="537"/>
      <c r="GCT35" s="537"/>
      <c r="GCU35" s="537"/>
      <c r="GCV35" s="537"/>
      <c r="GCW35" s="537"/>
      <c r="GCX35" s="537"/>
      <c r="GCY35" s="537"/>
      <c r="GCZ35" s="537"/>
      <c r="GDA35" s="537"/>
      <c r="GDB35" s="537"/>
      <c r="GDC35" s="537"/>
      <c r="GDD35" s="537"/>
      <c r="GDE35" s="537"/>
      <c r="GDF35" s="537"/>
      <c r="GDG35" s="537"/>
      <c r="GDH35" s="537"/>
      <c r="GDI35" s="537"/>
      <c r="GDJ35" s="537"/>
      <c r="GDK35" s="537"/>
      <c r="GDL35" s="537"/>
      <c r="GDM35" s="537"/>
      <c r="GDN35" s="537"/>
      <c r="GDO35" s="537"/>
      <c r="GDP35" s="537"/>
      <c r="GDQ35" s="537"/>
      <c r="GDR35" s="537"/>
      <c r="GDS35" s="537"/>
      <c r="GDT35" s="537"/>
      <c r="GDU35" s="537"/>
      <c r="GDV35" s="537"/>
      <c r="GDW35" s="537"/>
      <c r="GDX35" s="537"/>
      <c r="GDY35" s="537"/>
      <c r="GDZ35" s="537"/>
      <c r="GEA35" s="537"/>
      <c r="GEB35" s="537"/>
      <c r="GEC35" s="537"/>
      <c r="GED35" s="537"/>
      <c r="GEE35" s="537"/>
      <c r="GEF35" s="537"/>
      <c r="GEG35" s="537"/>
      <c r="GEH35" s="537"/>
      <c r="GEI35" s="537"/>
      <c r="GEJ35" s="537"/>
      <c r="GEK35" s="537"/>
      <c r="GEL35" s="537"/>
      <c r="GEM35" s="537"/>
      <c r="GEN35" s="537"/>
      <c r="GEO35" s="537"/>
      <c r="GEP35" s="537"/>
      <c r="GEQ35" s="537"/>
      <c r="GER35" s="537"/>
      <c r="GES35" s="537"/>
      <c r="GET35" s="537"/>
      <c r="GEU35" s="537"/>
      <c r="GEV35" s="537"/>
      <c r="GEW35" s="537"/>
      <c r="GEX35" s="537"/>
      <c r="GEY35" s="537"/>
      <c r="GEZ35" s="537"/>
      <c r="GFA35" s="537"/>
      <c r="GFB35" s="537"/>
      <c r="GFC35" s="537"/>
      <c r="GFD35" s="537"/>
      <c r="GFE35" s="537"/>
      <c r="GFF35" s="537"/>
      <c r="GFG35" s="537"/>
      <c r="GFH35" s="537"/>
      <c r="GFI35" s="537"/>
      <c r="GFJ35" s="537"/>
      <c r="GFK35" s="537"/>
      <c r="GFL35" s="537"/>
      <c r="GFM35" s="537"/>
      <c r="GFN35" s="537"/>
      <c r="GFO35" s="537"/>
      <c r="GFP35" s="537"/>
      <c r="GFQ35" s="537"/>
      <c r="GFR35" s="537"/>
      <c r="GFS35" s="537"/>
      <c r="GFT35" s="537"/>
      <c r="GFU35" s="537"/>
      <c r="GFV35" s="537"/>
      <c r="GFW35" s="537"/>
      <c r="GFX35" s="537"/>
      <c r="GFY35" s="537"/>
      <c r="GFZ35" s="537"/>
      <c r="GGA35" s="537"/>
      <c r="GGB35" s="537"/>
      <c r="GGC35" s="537"/>
      <c r="GGD35" s="537"/>
      <c r="GGE35" s="537"/>
      <c r="GGF35" s="537"/>
      <c r="GGG35" s="537"/>
      <c r="GGH35" s="537"/>
      <c r="GGI35" s="537"/>
      <c r="GGJ35" s="537"/>
      <c r="GGK35" s="537"/>
      <c r="GGL35" s="537"/>
      <c r="GGM35" s="537"/>
      <c r="GGN35" s="537"/>
      <c r="GGO35" s="537"/>
      <c r="GGP35" s="537"/>
      <c r="GGQ35" s="537"/>
      <c r="GGR35" s="537"/>
      <c r="GGS35" s="537"/>
      <c r="GGT35" s="537"/>
      <c r="GGU35" s="537"/>
      <c r="GGV35" s="537"/>
      <c r="GGW35" s="537"/>
      <c r="GGX35" s="537"/>
      <c r="GGY35" s="537"/>
      <c r="GGZ35" s="537"/>
      <c r="GHA35" s="537"/>
      <c r="GHB35" s="537"/>
      <c r="GHC35" s="537"/>
      <c r="GHD35" s="537"/>
      <c r="GHE35" s="537"/>
      <c r="GHF35" s="537"/>
      <c r="GHG35" s="537"/>
      <c r="GHH35" s="537"/>
      <c r="GHI35" s="537"/>
      <c r="GHJ35" s="537"/>
      <c r="GHK35" s="537"/>
      <c r="GHL35" s="537"/>
      <c r="GHM35" s="537"/>
      <c r="GHN35" s="537"/>
      <c r="GHO35" s="537"/>
      <c r="GHP35" s="537"/>
      <c r="GHQ35" s="537"/>
      <c r="GHR35" s="537"/>
      <c r="GHS35" s="537"/>
      <c r="GHT35" s="537"/>
      <c r="GHU35" s="537"/>
      <c r="GHV35" s="537"/>
      <c r="GHW35" s="537"/>
      <c r="GHX35" s="537"/>
      <c r="GHY35" s="537"/>
      <c r="GHZ35" s="537"/>
      <c r="GIA35" s="537"/>
      <c r="GIB35" s="537"/>
      <c r="GIC35" s="537"/>
      <c r="GID35" s="537"/>
      <c r="GIE35" s="537"/>
      <c r="GIF35" s="537"/>
      <c r="GIG35" s="537"/>
      <c r="GIH35" s="537"/>
      <c r="GII35" s="537"/>
      <c r="GIJ35" s="537"/>
      <c r="GIK35" s="537"/>
      <c r="GIL35" s="537"/>
      <c r="GIM35" s="537"/>
      <c r="GIN35" s="537"/>
      <c r="GIO35" s="537"/>
      <c r="GIP35" s="537"/>
      <c r="GIQ35" s="537"/>
      <c r="GIR35" s="537"/>
      <c r="GIS35" s="537"/>
      <c r="GIT35" s="537"/>
      <c r="GIU35" s="537"/>
      <c r="GIV35" s="537"/>
      <c r="GIW35" s="537"/>
      <c r="GIX35" s="537"/>
      <c r="GIY35" s="537"/>
      <c r="GIZ35" s="537"/>
      <c r="GJA35" s="537"/>
      <c r="GJB35" s="537"/>
      <c r="GJC35" s="537"/>
      <c r="GJD35" s="537"/>
      <c r="GJE35" s="537"/>
      <c r="GJF35" s="537"/>
      <c r="GJG35" s="537"/>
      <c r="GJH35" s="537"/>
      <c r="GJI35" s="537"/>
      <c r="GJJ35" s="537"/>
      <c r="GJK35" s="537"/>
      <c r="GJL35" s="537"/>
      <c r="GJM35" s="537"/>
      <c r="GJN35" s="537"/>
      <c r="GJO35" s="537"/>
      <c r="GJP35" s="537"/>
      <c r="GJQ35" s="537"/>
      <c r="GJR35" s="537"/>
      <c r="GJS35" s="537"/>
      <c r="GJT35" s="537"/>
      <c r="GJU35" s="537"/>
      <c r="GJV35" s="537"/>
      <c r="GJW35" s="537"/>
      <c r="GJX35" s="537"/>
      <c r="GJY35" s="537"/>
      <c r="GJZ35" s="537"/>
      <c r="GKA35" s="537"/>
      <c r="GKB35" s="537"/>
      <c r="GKC35" s="537"/>
      <c r="GKD35" s="537"/>
      <c r="GKE35" s="537"/>
      <c r="GKF35" s="537"/>
      <c r="GKG35" s="537"/>
      <c r="GKH35" s="537"/>
      <c r="GKI35" s="537"/>
      <c r="GKJ35" s="537"/>
      <c r="GKK35" s="537"/>
      <c r="GKL35" s="537"/>
      <c r="GKM35" s="537"/>
      <c r="GKN35" s="537"/>
      <c r="GKO35" s="537"/>
      <c r="GKP35" s="537"/>
      <c r="GKQ35" s="537"/>
      <c r="GKR35" s="537"/>
      <c r="GKS35" s="537"/>
      <c r="GKT35" s="537"/>
      <c r="GKU35" s="537"/>
      <c r="GKV35" s="537"/>
      <c r="GKW35" s="537"/>
      <c r="GKX35" s="537"/>
      <c r="GKY35" s="537"/>
      <c r="GKZ35" s="537"/>
      <c r="GLA35" s="537"/>
      <c r="GLB35" s="537"/>
      <c r="GLC35" s="537"/>
      <c r="GLD35" s="537"/>
      <c r="GLE35" s="537"/>
      <c r="GLF35" s="537"/>
      <c r="GLG35" s="537"/>
      <c r="GLH35" s="537"/>
      <c r="GLI35" s="537"/>
      <c r="GLJ35" s="537"/>
      <c r="GLK35" s="537"/>
      <c r="GLL35" s="537"/>
      <c r="GLM35" s="537"/>
      <c r="GLN35" s="537"/>
      <c r="GLO35" s="537"/>
      <c r="GLP35" s="537"/>
      <c r="GLQ35" s="537"/>
      <c r="GLR35" s="537"/>
      <c r="GLS35" s="537"/>
      <c r="GLT35" s="537"/>
      <c r="GLU35" s="537"/>
      <c r="GLV35" s="537"/>
      <c r="GLW35" s="537"/>
      <c r="GLX35" s="537"/>
      <c r="GLY35" s="537"/>
      <c r="GLZ35" s="537"/>
      <c r="GMA35" s="537"/>
      <c r="GMB35" s="537"/>
      <c r="GMC35" s="537"/>
      <c r="GMD35" s="537"/>
      <c r="GME35" s="537"/>
      <c r="GMF35" s="537"/>
      <c r="GMG35" s="537"/>
      <c r="GMH35" s="537"/>
      <c r="GMI35" s="537"/>
      <c r="GMJ35" s="537"/>
      <c r="GMK35" s="537"/>
      <c r="GML35" s="537"/>
      <c r="GMM35" s="537"/>
      <c r="GMN35" s="537"/>
      <c r="GMO35" s="537"/>
      <c r="GMP35" s="537"/>
      <c r="GMQ35" s="537"/>
      <c r="GMR35" s="537"/>
      <c r="GMS35" s="537"/>
      <c r="GMT35" s="537"/>
      <c r="GMU35" s="537"/>
      <c r="GMV35" s="537"/>
      <c r="GMW35" s="537"/>
      <c r="GMX35" s="537"/>
      <c r="GMY35" s="537"/>
      <c r="GMZ35" s="537"/>
      <c r="GNA35" s="537"/>
      <c r="GNB35" s="537"/>
      <c r="GNC35" s="537"/>
      <c r="GND35" s="537"/>
      <c r="GNE35" s="537"/>
      <c r="GNF35" s="537"/>
      <c r="GNG35" s="537"/>
      <c r="GNH35" s="537"/>
      <c r="GNI35" s="537"/>
      <c r="GNJ35" s="537"/>
      <c r="GNK35" s="537"/>
      <c r="GNL35" s="537"/>
      <c r="GNM35" s="537"/>
      <c r="GNN35" s="537"/>
      <c r="GNO35" s="537"/>
      <c r="GNP35" s="537"/>
      <c r="GNQ35" s="537"/>
      <c r="GNR35" s="537"/>
      <c r="GNS35" s="537"/>
      <c r="GNT35" s="537"/>
      <c r="GNU35" s="537"/>
      <c r="GNV35" s="537"/>
      <c r="GNW35" s="537"/>
      <c r="GNX35" s="537"/>
      <c r="GNY35" s="537"/>
      <c r="GNZ35" s="537"/>
      <c r="GOA35" s="537"/>
      <c r="GOB35" s="537"/>
      <c r="GOC35" s="537"/>
      <c r="GOD35" s="537"/>
      <c r="GOE35" s="537"/>
      <c r="GOF35" s="537"/>
      <c r="GOG35" s="537"/>
      <c r="GOH35" s="537"/>
      <c r="GOI35" s="537"/>
      <c r="GOJ35" s="537"/>
      <c r="GOK35" s="537"/>
      <c r="GOL35" s="537"/>
      <c r="GOM35" s="537"/>
      <c r="GON35" s="537"/>
      <c r="GOO35" s="537"/>
      <c r="GOP35" s="537"/>
      <c r="GOQ35" s="537"/>
      <c r="GOR35" s="537"/>
      <c r="GOS35" s="537"/>
      <c r="GOT35" s="537"/>
      <c r="GOU35" s="537"/>
      <c r="GOV35" s="537"/>
      <c r="GOW35" s="537"/>
      <c r="GOX35" s="537"/>
      <c r="GOY35" s="537"/>
      <c r="GOZ35" s="537"/>
      <c r="GPA35" s="537"/>
      <c r="GPB35" s="537"/>
      <c r="GPC35" s="537"/>
      <c r="GPD35" s="537"/>
      <c r="GPE35" s="537"/>
      <c r="GPF35" s="537"/>
      <c r="GPG35" s="537"/>
      <c r="GPH35" s="537"/>
      <c r="GPI35" s="537"/>
      <c r="GPJ35" s="537"/>
      <c r="GPK35" s="537"/>
      <c r="GPL35" s="537"/>
      <c r="GPM35" s="537"/>
      <c r="GPN35" s="537"/>
      <c r="GPO35" s="537"/>
      <c r="GPP35" s="537"/>
      <c r="GPQ35" s="537"/>
      <c r="GPR35" s="537"/>
      <c r="GPS35" s="537"/>
      <c r="GPT35" s="537"/>
      <c r="GPU35" s="537"/>
      <c r="GPV35" s="537"/>
      <c r="GPW35" s="537"/>
      <c r="GPX35" s="537"/>
      <c r="GPY35" s="537"/>
      <c r="GPZ35" s="537"/>
      <c r="GQA35" s="537"/>
      <c r="GQB35" s="537"/>
      <c r="GQC35" s="537"/>
      <c r="GQD35" s="537"/>
      <c r="GQE35" s="537"/>
      <c r="GQF35" s="537"/>
      <c r="GQG35" s="537"/>
      <c r="GQH35" s="537"/>
      <c r="GQI35" s="537"/>
      <c r="GQJ35" s="537"/>
      <c r="GQK35" s="537"/>
      <c r="GQL35" s="537"/>
      <c r="GQM35" s="537"/>
      <c r="GQN35" s="537"/>
      <c r="GQO35" s="537"/>
      <c r="GQP35" s="537"/>
      <c r="GQQ35" s="537"/>
      <c r="GQR35" s="537"/>
      <c r="GQS35" s="537"/>
      <c r="GQT35" s="537"/>
      <c r="GQU35" s="537"/>
      <c r="GQV35" s="537"/>
      <c r="GQW35" s="537"/>
      <c r="GQX35" s="537"/>
      <c r="GQY35" s="537"/>
      <c r="GQZ35" s="537"/>
      <c r="GRA35" s="537"/>
      <c r="GRB35" s="537"/>
      <c r="GRC35" s="537"/>
      <c r="GRD35" s="537"/>
      <c r="GRE35" s="537"/>
      <c r="GRF35" s="537"/>
      <c r="GRG35" s="537"/>
      <c r="GRH35" s="537"/>
      <c r="GRI35" s="537"/>
      <c r="GRJ35" s="537"/>
      <c r="GRK35" s="537"/>
      <c r="GRL35" s="537"/>
      <c r="GRM35" s="537"/>
      <c r="GRN35" s="537"/>
      <c r="GRO35" s="537"/>
      <c r="GRP35" s="537"/>
      <c r="GRQ35" s="537"/>
      <c r="GRR35" s="537"/>
      <c r="GRS35" s="537"/>
      <c r="GRT35" s="537"/>
      <c r="GRU35" s="537"/>
      <c r="GRV35" s="537"/>
      <c r="GRW35" s="537"/>
      <c r="GRX35" s="537"/>
      <c r="GRY35" s="537"/>
      <c r="GRZ35" s="537"/>
      <c r="GSA35" s="537"/>
      <c r="GSB35" s="537"/>
      <c r="GSC35" s="537"/>
      <c r="GSD35" s="537"/>
      <c r="GSE35" s="537"/>
      <c r="GSF35" s="537"/>
      <c r="GSG35" s="537"/>
      <c r="GSH35" s="537"/>
      <c r="GSI35" s="537"/>
      <c r="GSJ35" s="537"/>
      <c r="GSK35" s="537"/>
      <c r="GSL35" s="537"/>
      <c r="GSM35" s="537"/>
      <c r="GSN35" s="537"/>
      <c r="GSO35" s="537"/>
      <c r="GSP35" s="537"/>
      <c r="GSQ35" s="537"/>
      <c r="GSR35" s="537"/>
      <c r="GSS35" s="537"/>
      <c r="GST35" s="537"/>
      <c r="GSU35" s="537"/>
      <c r="GSV35" s="537"/>
      <c r="GSW35" s="537"/>
      <c r="GSX35" s="537"/>
      <c r="GSY35" s="537"/>
      <c r="GSZ35" s="537"/>
      <c r="GTA35" s="537"/>
      <c r="GTB35" s="537"/>
      <c r="GTC35" s="537"/>
      <c r="GTD35" s="537"/>
      <c r="GTE35" s="537"/>
      <c r="GTF35" s="537"/>
      <c r="GTG35" s="537"/>
      <c r="GTH35" s="537"/>
      <c r="GTI35" s="537"/>
      <c r="GTJ35" s="537"/>
      <c r="GTK35" s="537"/>
      <c r="GTL35" s="537"/>
      <c r="GTM35" s="537"/>
      <c r="GTN35" s="537"/>
      <c r="GTO35" s="537"/>
      <c r="GTP35" s="537"/>
      <c r="GTQ35" s="537"/>
      <c r="GTR35" s="537"/>
      <c r="GTS35" s="537"/>
      <c r="GTT35" s="537"/>
      <c r="GTU35" s="537"/>
      <c r="GTV35" s="537"/>
      <c r="GTW35" s="537"/>
      <c r="GTX35" s="537"/>
      <c r="GTY35" s="537"/>
      <c r="GTZ35" s="537"/>
      <c r="GUA35" s="537"/>
      <c r="GUB35" s="537"/>
      <c r="GUC35" s="537"/>
      <c r="GUD35" s="537"/>
      <c r="GUE35" s="537"/>
      <c r="GUF35" s="537"/>
      <c r="GUG35" s="537"/>
      <c r="GUH35" s="537"/>
      <c r="GUI35" s="537"/>
      <c r="GUJ35" s="537"/>
      <c r="GUK35" s="537"/>
      <c r="GUL35" s="537"/>
      <c r="GUM35" s="537"/>
      <c r="GUN35" s="537"/>
      <c r="GUO35" s="537"/>
      <c r="GUP35" s="537"/>
      <c r="GUQ35" s="537"/>
      <c r="GUR35" s="537"/>
      <c r="GUS35" s="537"/>
      <c r="GUT35" s="537"/>
      <c r="GUU35" s="537"/>
      <c r="GUV35" s="537"/>
      <c r="GUW35" s="537"/>
      <c r="GUX35" s="537"/>
      <c r="GUY35" s="537"/>
      <c r="GUZ35" s="537"/>
      <c r="GVA35" s="537"/>
      <c r="GVB35" s="537"/>
      <c r="GVC35" s="537"/>
      <c r="GVD35" s="537"/>
      <c r="GVE35" s="537"/>
      <c r="GVF35" s="537"/>
      <c r="GVG35" s="537"/>
      <c r="GVH35" s="537"/>
      <c r="GVI35" s="537"/>
      <c r="GVJ35" s="537"/>
      <c r="GVK35" s="537"/>
      <c r="GVL35" s="537"/>
      <c r="GVM35" s="537"/>
      <c r="GVN35" s="537"/>
      <c r="GVO35" s="537"/>
      <c r="GVP35" s="537"/>
      <c r="GVQ35" s="537"/>
      <c r="GVR35" s="537"/>
      <c r="GVS35" s="537"/>
      <c r="GVT35" s="537"/>
      <c r="GVU35" s="537"/>
      <c r="GVV35" s="537"/>
      <c r="GVW35" s="537"/>
      <c r="GVX35" s="537"/>
      <c r="GVY35" s="537"/>
      <c r="GVZ35" s="537"/>
      <c r="GWA35" s="537"/>
      <c r="GWB35" s="537"/>
      <c r="GWC35" s="537"/>
      <c r="GWD35" s="537"/>
      <c r="GWE35" s="537"/>
      <c r="GWF35" s="537"/>
      <c r="GWG35" s="537"/>
      <c r="GWH35" s="537"/>
      <c r="GWI35" s="537"/>
      <c r="GWJ35" s="537"/>
      <c r="GWK35" s="537"/>
      <c r="GWL35" s="537"/>
      <c r="GWM35" s="537"/>
      <c r="GWN35" s="537"/>
      <c r="GWO35" s="537"/>
      <c r="GWP35" s="537"/>
      <c r="GWQ35" s="537"/>
      <c r="GWR35" s="537"/>
      <c r="GWS35" s="537"/>
      <c r="GWT35" s="537"/>
      <c r="GWU35" s="537"/>
      <c r="GWV35" s="537"/>
      <c r="GWW35" s="537"/>
      <c r="GWX35" s="537"/>
      <c r="GWY35" s="537"/>
      <c r="GWZ35" s="537"/>
      <c r="GXA35" s="537"/>
      <c r="GXB35" s="537"/>
      <c r="GXC35" s="537"/>
      <c r="GXD35" s="537"/>
      <c r="GXE35" s="537"/>
      <c r="GXF35" s="537"/>
      <c r="GXG35" s="537"/>
      <c r="GXH35" s="537"/>
      <c r="GXI35" s="537"/>
      <c r="GXJ35" s="537"/>
      <c r="GXK35" s="537"/>
      <c r="GXL35" s="537"/>
      <c r="GXM35" s="537"/>
      <c r="GXN35" s="537"/>
      <c r="GXO35" s="537"/>
      <c r="GXP35" s="537"/>
      <c r="GXQ35" s="537"/>
      <c r="GXR35" s="537"/>
      <c r="GXS35" s="537"/>
      <c r="GXT35" s="537"/>
      <c r="GXU35" s="537"/>
      <c r="GXV35" s="537"/>
      <c r="GXW35" s="537"/>
      <c r="GXX35" s="537"/>
      <c r="GXY35" s="537"/>
      <c r="GXZ35" s="537"/>
      <c r="GYA35" s="537"/>
      <c r="GYB35" s="537"/>
      <c r="GYC35" s="537"/>
      <c r="GYD35" s="537"/>
      <c r="GYE35" s="537"/>
      <c r="GYF35" s="537"/>
      <c r="GYG35" s="537"/>
      <c r="GYH35" s="537"/>
      <c r="GYI35" s="537"/>
      <c r="GYJ35" s="537"/>
      <c r="GYK35" s="537"/>
      <c r="GYL35" s="537"/>
      <c r="GYM35" s="537"/>
      <c r="GYN35" s="537"/>
      <c r="GYO35" s="537"/>
      <c r="GYP35" s="537"/>
      <c r="GYQ35" s="537"/>
      <c r="GYR35" s="537"/>
      <c r="GYS35" s="537"/>
      <c r="GYT35" s="537"/>
      <c r="GYU35" s="537"/>
      <c r="GYV35" s="537"/>
      <c r="GYW35" s="537"/>
      <c r="GYX35" s="537"/>
      <c r="GYY35" s="537"/>
      <c r="GYZ35" s="537"/>
      <c r="GZA35" s="537"/>
      <c r="GZB35" s="537"/>
      <c r="GZC35" s="537"/>
      <c r="GZD35" s="537"/>
      <c r="GZE35" s="537"/>
      <c r="GZF35" s="537"/>
      <c r="GZG35" s="537"/>
      <c r="GZH35" s="537"/>
      <c r="GZI35" s="537"/>
      <c r="GZJ35" s="537"/>
      <c r="GZK35" s="537"/>
      <c r="GZL35" s="537"/>
      <c r="GZM35" s="537"/>
      <c r="GZN35" s="537"/>
      <c r="GZO35" s="537"/>
      <c r="GZP35" s="537"/>
      <c r="GZQ35" s="537"/>
      <c r="GZR35" s="537"/>
      <c r="GZS35" s="537"/>
      <c r="GZT35" s="537"/>
      <c r="GZU35" s="537"/>
      <c r="GZV35" s="537"/>
      <c r="GZW35" s="537"/>
      <c r="GZX35" s="537"/>
      <c r="GZY35" s="537"/>
      <c r="GZZ35" s="537"/>
      <c r="HAA35" s="537"/>
      <c r="HAB35" s="537"/>
      <c r="HAC35" s="537"/>
      <c r="HAD35" s="537"/>
      <c r="HAE35" s="537"/>
      <c r="HAF35" s="537"/>
      <c r="HAG35" s="537"/>
      <c r="HAH35" s="537"/>
      <c r="HAI35" s="537"/>
      <c r="HAJ35" s="537"/>
      <c r="HAK35" s="537"/>
      <c r="HAL35" s="537"/>
      <c r="HAM35" s="537"/>
      <c r="HAN35" s="537"/>
      <c r="HAO35" s="537"/>
      <c r="HAP35" s="537"/>
      <c r="HAQ35" s="537"/>
      <c r="HAR35" s="537"/>
      <c r="HAS35" s="537"/>
      <c r="HAT35" s="537"/>
      <c r="HAU35" s="537"/>
      <c r="HAV35" s="537"/>
      <c r="HAW35" s="537"/>
      <c r="HAX35" s="537"/>
      <c r="HAY35" s="537"/>
      <c r="HAZ35" s="537"/>
      <c r="HBA35" s="537"/>
      <c r="HBB35" s="537"/>
      <c r="HBC35" s="537"/>
      <c r="HBD35" s="537"/>
      <c r="HBE35" s="537"/>
      <c r="HBF35" s="537"/>
      <c r="HBG35" s="537"/>
      <c r="HBH35" s="537"/>
      <c r="HBI35" s="537"/>
      <c r="HBJ35" s="537"/>
      <c r="HBK35" s="537"/>
      <c r="HBL35" s="537"/>
      <c r="HBM35" s="537"/>
      <c r="HBN35" s="537"/>
      <c r="HBO35" s="537"/>
      <c r="HBP35" s="537"/>
      <c r="HBQ35" s="537"/>
      <c r="HBR35" s="537"/>
      <c r="HBS35" s="537"/>
      <c r="HBT35" s="537"/>
      <c r="HBU35" s="537"/>
      <c r="HBV35" s="537"/>
      <c r="HBW35" s="537"/>
      <c r="HBX35" s="537"/>
      <c r="HBY35" s="537"/>
      <c r="HBZ35" s="537"/>
      <c r="HCA35" s="537"/>
      <c r="HCB35" s="537"/>
      <c r="HCC35" s="537"/>
      <c r="HCD35" s="537"/>
      <c r="HCE35" s="537"/>
      <c r="HCF35" s="537"/>
      <c r="HCG35" s="537"/>
      <c r="HCH35" s="537"/>
      <c r="HCI35" s="537"/>
      <c r="HCJ35" s="537"/>
      <c r="HCK35" s="537"/>
      <c r="HCL35" s="537"/>
      <c r="HCM35" s="537"/>
      <c r="HCN35" s="537"/>
      <c r="HCO35" s="537"/>
      <c r="HCP35" s="537"/>
      <c r="HCQ35" s="537"/>
      <c r="HCR35" s="537"/>
      <c r="HCS35" s="537"/>
      <c r="HCT35" s="537"/>
      <c r="HCU35" s="537"/>
      <c r="HCV35" s="537"/>
      <c r="HCW35" s="537"/>
      <c r="HCX35" s="537"/>
      <c r="HCY35" s="537"/>
      <c r="HCZ35" s="537"/>
      <c r="HDA35" s="537"/>
      <c r="HDB35" s="537"/>
      <c r="HDC35" s="537"/>
      <c r="HDD35" s="537"/>
      <c r="HDE35" s="537"/>
      <c r="HDF35" s="537"/>
      <c r="HDG35" s="537"/>
      <c r="HDH35" s="537"/>
      <c r="HDI35" s="537"/>
      <c r="HDJ35" s="537"/>
      <c r="HDK35" s="537"/>
      <c r="HDL35" s="537"/>
      <c r="HDM35" s="537"/>
      <c r="HDN35" s="537"/>
      <c r="HDO35" s="537"/>
      <c r="HDP35" s="537"/>
      <c r="HDQ35" s="537"/>
      <c r="HDR35" s="537"/>
      <c r="HDS35" s="537"/>
      <c r="HDT35" s="537"/>
      <c r="HDU35" s="537"/>
      <c r="HDV35" s="537"/>
      <c r="HDW35" s="537"/>
      <c r="HDX35" s="537"/>
      <c r="HDY35" s="537"/>
      <c r="HDZ35" s="537"/>
      <c r="HEA35" s="537"/>
      <c r="HEB35" s="537"/>
      <c r="HEC35" s="537"/>
      <c r="HED35" s="537"/>
      <c r="HEE35" s="537"/>
      <c r="HEF35" s="537"/>
      <c r="HEG35" s="537"/>
      <c r="HEH35" s="537"/>
      <c r="HEI35" s="537"/>
      <c r="HEJ35" s="537"/>
      <c r="HEK35" s="537"/>
      <c r="HEL35" s="537"/>
      <c r="HEM35" s="537"/>
      <c r="HEN35" s="537"/>
      <c r="HEO35" s="537"/>
      <c r="HEP35" s="537"/>
      <c r="HEQ35" s="537"/>
      <c r="HER35" s="537"/>
      <c r="HES35" s="537"/>
      <c r="HET35" s="537"/>
      <c r="HEU35" s="537"/>
      <c r="HEV35" s="537"/>
      <c r="HEW35" s="537"/>
      <c r="HEX35" s="537"/>
      <c r="HEY35" s="537"/>
      <c r="HEZ35" s="537"/>
      <c r="HFA35" s="537"/>
      <c r="HFB35" s="537"/>
      <c r="HFC35" s="537"/>
      <c r="HFD35" s="537"/>
      <c r="HFE35" s="537"/>
      <c r="HFF35" s="537"/>
      <c r="HFG35" s="537"/>
      <c r="HFH35" s="537"/>
      <c r="HFI35" s="537"/>
      <c r="HFJ35" s="537"/>
      <c r="HFK35" s="537"/>
      <c r="HFL35" s="537"/>
      <c r="HFM35" s="537"/>
      <c r="HFN35" s="537"/>
      <c r="HFO35" s="537"/>
      <c r="HFP35" s="537"/>
      <c r="HFQ35" s="537"/>
      <c r="HFR35" s="537"/>
      <c r="HFS35" s="537"/>
      <c r="HFT35" s="537"/>
      <c r="HFU35" s="537"/>
      <c r="HFV35" s="537"/>
      <c r="HFW35" s="537"/>
      <c r="HFX35" s="537"/>
      <c r="HFY35" s="537"/>
      <c r="HFZ35" s="537"/>
      <c r="HGA35" s="537"/>
      <c r="HGB35" s="537"/>
      <c r="HGC35" s="537"/>
      <c r="HGD35" s="537"/>
      <c r="HGE35" s="537"/>
      <c r="HGF35" s="537"/>
      <c r="HGG35" s="537"/>
      <c r="HGH35" s="537"/>
      <c r="HGI35" s="537"/>
      <c r="HGJ35" s="537"/>
      <c r="HGK35" s="537"/>
      <c r="HGL35" s="537"/>
      <c r="HGM35" s="537"/>
      <c r="HGN35" s="537"/>
      <c r="HGO35" s="537"/>
      <c r="HGP35" s="537"/>
      <c r="HGQ35" s="537"/>
      <c r="HGR35" s="537"/>
      <c r="HGS35" s="537"/>
      <c r="HGT35" s="537"/>
      <c r="HGU35" s="537"/>
      <c r="HGV35" s="537"/>
      <c r="HGW35" s="537"/>
      <c r="HGX35" s="537"/>
      <c r="HGY35" s="537"/>
      <c r="HGZ35" s="537"/>
      <c r="HHA35" s="537"/>
      <c r="HHB35" s="537"/>
      <c r="HHC35" s="537"/>
      <c r="HHD35" s="537"/>
      <c r="HHE35" s="537"/>
      <c r="HHF35" s="537"/>
      <c r="HHG35" s="537"/>
      <c r="HHH35" s="537"/>
      <c r="HHI35" s="537"/>
      <c r="HHJ35" s="537"/>
      <c r="HHK35" s="537"/>
      <c r="HHL35" s="537"/>
      <c r="HHM35" s="537"/>
      <c r="HHN35" s="537"/>
      <c r="HHO35" s="537"/>
      <c r="HHP35" s="537"/>
      <c r="HHQ35" s="537"/>
      <c r="HHR35" s="537"/>
      <c r="HHS35" s="537"/>
      <c r="HHT35" s="537"/>
      <c r="HHU35" s="537"/>
      <c r="HHV35" s="537"/>
      <c r="HHW35" s="537"/>
      <c r="HHX35" s="537"/>
      <c r="HHY35" s="537"/>
      <c r="HHZ35" s="537"/>
      <c r="HIA35" s="537"/>
      <c r="HIB35" s="537"/>
      <c r="HIC35" s="537"/>
      <c r="HID35" s="537"/>
      <c r="HIE35" s="537"/>
      <c r="HIF35" s="537"/>
      <c r="HIG35" s="537"/>
      <c r="HIH35" s="537"/>
      <c r="HII35" s="537"/>
      <c r="HIJ35" s="537"/>
      <c r="HIK35" s="537"/>
      <c r="HIL35" s="537"/>
      <c r="HIM35" s="537"/>
      <c r="HIN35" s="537"/>
      <c r="HIO35" s="537"/>
      <c r="HIP35" s="537"/>
      <c r="HIQ35" s="537"/>
      <c r="HIR35" s="537"/>
      <c r="HIS35" s="537"/>
      <c r="HIT35" s="537"/>
      <c r="HIU35" s="537"/>
      <c r="HIV35" s="537"/>
      <c r="HIW35" s="537"/>
      <c r="HIX35" s="537"/>
      <c r="HIY35" s="537"/>
      <c r="HIZ35" s="537"/>
      <c r="HJA35" s="537"/>
      <c r="HJB35" s="537"/>
      <c r="HJC35" s="537"/>
      <c r="HJD35" s="537"/>
      <c r="HJE35" s="537"/>
      <c r="HJF35" s="537"/>
      <c r="HJG35" s="537"/>
      <c r="HJH35" s="537"/>
      <c r="HJI35" s="537"/>
      <c r="HJJ35" s="537"/>
      <c r="HJK35" s="537"/>
      <c r="HJL35" s="537"/>
      <c r="HJM35" s="537"/>
      <c r="HJN35" s="537"/>
      <c r="HJO35" s="537"/>
      <c r="HJP35" s="537"/>
      <c r="HJQ35" s="537"/>
      <c r="HJR35" s="537"/>
      <c r="HJS35" s="537"/>
      <c r="HJT35" s="537"/>
      <c r="HJU35" s="537"/>
      <c r="HJV35" s="537"/>
      <c r="HJW35" s="537"/>
      <c r="HJX35" s="537"/>
      <c r="HJY35" s="537"/>
      <c r="HJZ35" s="537"/>
      <c r="HKA35" s="537"/>
      <c r="HKB35" s="537"/>
      <c r="HKC35" s="537"/>
      <c r="HKD35" s="537"/>
      <c r="HKE35" s="537"/>
      <c r="HKF35" s="537"/>
      <c r="HKG35" s="537"/>
      <c r="HKH35" s="537"/>
      <c r="HKI35" s="537"/>
      <c r="HKJ35" s="537"/>
      <c r="HKK35" s="537"/>
      <c r="HKL35" s="537"/>
      <c r="HKM35" s="537"/>
      <c r="HKN35" s="537"/>
      <c r="HKO35" s="537"/>
      <c r="HKP35" s="537"/>
      <c r="HKQ35" s="537"/>
      <c r="HKR35" s="537"/>
      <c r="HKS35" s="537"/>
      <c r="HKT35" s="537"/>
      <c r="HKU35" s="537"/>
      <c r="HKV35" s="537"/>
      <c r="HKW35" s="537"/>
      <c r="HKX35" s="537"/>
      <c r="HKY35" s="537"/>
      <c r="HKZ35" s="537"/>
      <c r="HLA35" s="537"/>
      <c r="HLB35" s="537"/>
      <c r="HLC35" s="537"/>
      <c r="HLD35" s="537"/>
      <c r="HLE35" s="537"/>
      <c r="HLF35" s="537"/>
      <c r="HLG35" s="537"/>
      <c r="HLH35" s="537"/>
      <c r="HLI35" s="537"/>
      <c r="HLJ35" s="537"/>
      <c r="HLK35" s="537"/>
      <c r="HLL35" s="537"/>
      <c r="HLM35" s="537"/>
      <c r="HLN35" s="537"/>
      <c r="HLO35" s="537"/>
      <c r="HLP35" s="537"/>
      <c r="HLQ35" s="537"/>
      <c r="HLR35" s="537"/>
      <c r="HLS35" s="537"/>
      <c r="HLT35" s="537"/>
      <c r="HLU35" s="537"/>
      <c r="HLV35" s="537"/>
      <c r="HLW35" s="537"/>
      <c r="HLX35" s="537"/>
      <c r="HLY35" s="537"/>
      <c r="HLZ35" s="537"/>
      <c r="HMA35" s="537"/>
      <c r="HMB35" s="537"/>
      <c r="HMC35" s="537"/>
      <c r="HMD35" s="537"/>
      <c r="HME35" s="537"/>
      <c r="HMF35" s="537"/>
      <c r="HMG35" s="537"/>
      <c r="HMH35" s="537"/>
      <c r="HMI35" s="537"/>
      <c r="HMJ35" s="537"/>
      <c r="HMK35" s="537"/>
      <c r="HML35" s="537"/>
      <c r="HMM35" s="537"/>
      <c r="HMN35" s="537"/>
      <c r="HMO35" s="537"/>
      <c r="HMP35" s="537"/>
      <c r="HMQ35" s="537"/>
      <c r="HMR35" s="537"/>
      <c r="HMS35" s="537"/>
      <c r="HMT35" s="537"/>
      <c r="HMU35" s="537"/>
      <c r="HMV35" s="537"/>
      <c r="HMW35" s="537"/>
      <c r="HMX35" s="537"/>
      <c r="HMY35" s="537"/>
      <c r="HMZ35" s="537"/>
      <c r="HNA35" s="537"/>
      <c r="HNB35" s="537"/>
      <c r="HNC35" s="537"/>
      <c r="HND35" s="537"/>
      <c r="HNE35" s="537"/>
      <c r="HNF35" s="537"/>
      <c r="HNG35" s="537"/>
      <c r="HNH35" s="537"/>
      <c r="HNI35" s="537"/>
      <c r="HNJ35" s="537"/>
      <c r="HNK35" s="537"/>
      <c r="HNL35" s="537"/>
      <c r="HNM35" s="537"/>
      <c r="HNN35" s="537"/>
      <c r="HNO35" s="537"/>
      <c r="HNP35" s="537"/>
      <c r="HNQ35" s="537"/>
      <c r="HNR35" s="537"/>
      <c r="HNS35" s="537"/>
      <c r="HNT35" s="537"/>
      <c r="HNU35" s="537"/>
      <c r="HNV35" s="537"/>
      <c r="HNW35" s="537"/>
      <c r="HNX35" s="537"/>
      <c r="HNY35" s="537"/>
      <c r="HNZ35" s="537"/>
      <c r="HOA35" s="537"/>
      <c r="HOB35" s="537"/>
      <c r="HOC35" s="537"/>
      <c r="HOD35" s="537"/>
      <c r="HOE35" s="537"/>
      <c r="HOF35" s="537"/>
      <c r="HOG35" s="537"/>
      <c r="HOH35" s="537"/>
      <c r="HOI35" s="537"/>
      <c r="HOJ35" s="537"/>
      <c r="HOK35" s="537"/>
      <c r="HOL35" s="537"/>
      <c r="HOM35" s="537"/>
      <c r="HON35" s="537"/>
      <c r="HOO35" s="537"/>
      <c r="HOP35" s="537"/>
      <c r="HOQ35" s="537"/>
      <c r="HOR35" s="537"/>
      <c r="HOS35" s="537"/>
      <c r="HOT35" s="537"/>
      <c r="HOU35" s="537"/>
      <c r="HOV35" s="537"/>
      <c r="HOW35" s="537"/>
      <c r="HOX35" s="537"/>
      <c r="HOY35" s="537"/>
      <c r="HOZ35" s="537"/>
      <c r="HPA35" s="537"/>
      <c r="HPB35" s="537"/>
      <c r="HPC35" s="537"/>
      <c r="HPD35" s="537"/>
      <c r="HPE35" s="537"/>
      <c r="HPF35" s="537"/>
      <c r="HPG35" s="537"/>
      <c r="HPH35" s="537"/>
      <c r="HPI35" s="537"/>
      <c r="HPJ35" s="537"/>
      <c r="HPK35" s="537"/>
      <c r="HPL35" s="537"/>
      <c r="HPM35" s="537"/>
      <c r="HPN35" s="537"/>
      <c r="HPO35" s="537"/>
      <c r="HPP35" s="537"/>
      <c r="HPQ35" s="537"/>
      <c r="HPR35" s="537"/>
      <c r="HPS35" s="537"/>
      <c r="HPT35" s="537"/>
      <c r="HPU35" s="537"/>
      <c r="HPV35" s="537"/>
      <c r="HPW35" s="537"/>
      <c r="HPX35" s="537"/>
      <c r="HPY35" s="537"/>
      <c r="HPZ35" s="537"/>
      <c r="HQA35" s="537"/>
      <c r="HQB35" s="537"/>
      <c r="HQC35" s="537"/>
      <c r="HQD35" s="537"/>
      <c r="HQE35" s="537"/>
      <c r="HQF35" s="537"/>
      <c r="HQG35" s="537"/>
      <c r="HQH35" s="537"/>
      <c r="HQI35" s="537"/>
      <c r="HQJ35" s="537"/>
      <c r="HQK35" s="537"/>
      <c r="HQL35" s="537"/>
      <c r="HQM35" s="537"/>
      <c r="HQN35" s="537"/>
      <c r="HQO35" s="537"/>
      <c r="HQP35" s="537"/>
      <c r="HQQ35" s="537"/>
      <c r="HQR35" s="537"/>
      <c r="HQS35" s="537"/>
      <c r="HQT35" s="537"/>
      <c r="HQU35" s="537"/>
      <c r="HQV35" s="537"/>
      <c r="HQW35" s="537"/>
      <c r="HQX35" s="537"/>
      <c r="HQY35" s="537"/>
      <c r="HQZ35" s="537"/>
      <c r="HRA35" s="537"/>
      <c r="HRB35" s="537"/>
      <c r="HRC35" s="537"/>
      <c r="HRD35" s="537"/>
      <c r="HRE35" s="537"/>
      <c r="HRF35" s="537"/>
      <c r="HRG35" s="537"/>
      <c r="HRH35" s="537"/>
      <c r="HRI35" s="537"/>
      <c r="HRJ35" s="537"/>
      <c r="HRK35" s="537"/>
      <c r="HRL35" s="537"/>
      <c r="HRM35" s="537"/>
      <c r="HRN35" s="537"/>
      <c r="HRO35" s="537"/>
      <c r="HRP35" s="537"/>
      <c r="HRQ35" s="537"/>
      <c r="HRR35" s="537"/>
      <c r="HRS35" s="537"/>
      <c r="HRT35" s="537"/>
      <c r="HRU35" s="537"/>
      <c r="HRV35" s="537"/>
      <c r="HRW35" s="537"/>
      <c r="HRX35" s="537"/>
      <c r="HRY35" s="537"/>
      <c r="HRZ35" s="537"/>
      <c r="HSA35" s="537"/>
      <c r="HSB35" s="537"/>
      <c r="HSC35" s="537"/>
      <c r="HSD35" s="537"/>
      <c r="HSE35" s="537"/>
      <c r="HSF35" s="537"/>
      <c r="HSG35" s="537"/>
      <c r="HSH35" s="537"/>
      <c r="HSI35" s="537"/>
      <c r="HSJ35" s="537"/>
      <c r="HSK35" s="537"/>
      <c r="HSL35" s="537"/>
      <c r="HSM35" s="537"/>
      <c r="HSN35" s="537"/>
      <c r="HSO35" s="537"/>
      <c r="HSP35" s="537"/>
      <c r="HSQ35" s="537"/>
      <c r="HSR35" s="537"/>
      <c r="HSS35" s="537"/>
      <c r="HST35" s="537"/>
      <c r="HSU35" s="537"/>
      <c r="HSV35" s="537"/>
      <c r="HSW35" s="537"/>
      <c r="HSX35" s="537"/>
      <c r="HSY35" s="537"/>
      <c r="HSZ35" s="537"/>
      <c r="HTA35" s="537"/>
      <c r="HTB35" s="537"/>
      <c r="HTC35" s="537"/>
      <c r="HTD35" s="537"/>
      <c r="HTE35" s="537"/>
      <c r="HTF35" s="537"/>
      <c r="HTG35" s="537"/>
      <c r="HTH35" s="537"/>
      <c r="HTI35" s="537"/>
      <c r="HTJ35" s="537"/>
      <c r="HTK35" s="537"/>
      <c r="HTL35" s="537"/>
      <c r="HTM35" s="537"/>
      <c r="HTN35" s="537"/>
      <c r="HTO35" s="537"/>
      <c r="HTP35" s="537"/>
      <c r="HTQ35" s="537"/>
      <c r="HTR35" s="537"/>
      <c r="HTS35" s="537"/>
      <c r="HTT35" s="537"/>
      <c r="HTU35" s="537"/>
      <c r="HTV35" s="537"/>
      <c r="HTW35" s="537"/>
      <c r="HTX35" s="537"/>
      <c r="HTY35" s="537"/>
      <c r="HTZ35" s="537"/>
      <c r="HUA35" s="537"/>
      <c r="HUB35" s="537"/>
      <c r="HUC35" s="537"/>
      <c r="HUD35" s="537"/>
      <c r="HUE35" s="537"/>
      <c r="HUF35" s="537"/>
      <c r="HUG35" s="537"/>
      <c r="HUH35" s="537"/>
      <c r="HUI35" s="537"/>
      <c r="HUJ35" s="537"/>
      <c r="HUK35" s="537"/>
      <c r="HUL35" s="537"/>
      <c r="HUM35" s="537"/>
      <c r="HUN35" s="537"/>
      <c r="HUO35" s="537"/>
      <c r="HUP35" s="537"/>
      <c r="HUQ35" s="537"/>
      <c r="HUR35" s="537"/>
      <c r="HUS35" s="537"/>
      <c r="HUT35" s="537"/>
      <c r="HUU35" s="537"/>
      <c r="HUV35" s="537"/>
      <c r="HUW35" s="537"/>
      <c r="HUX35" s="537"/>
      <c r="HUY35" s="537"/>
      <c r="HUZ35" s="537"/>
      <c r="HVA35" s="537"/>
      <c r="HVB35" s="537"/>
      <c r="HVC35" s="537"/>
      <c r="HVD35" s="537"/>
      <c r="HVE35" s="537"/>
      <c r="HVF35" s="537"/>
      <c r="HVG35" s="537"/>
      <c r="HVH35" s="537"/>
      <c r="HVI35" s="537"/>
      <c r="HVJ35" s="537"/>
      <c r="HVK35" s="537"/>
      <c r="HVL35" s="537"/>
      <c r="HVM35" s="537"/>
      <c r="HVN35" s="537"/>
      <c r="HVO35" s="537"/>
      <c r="HVP35" s="537"/>
      <c r="HVQ35" s="537"/>
      <c r="HVR35" s="537"/>
      <c r="HVS35" s="537"/>
      <c r="HVT35" s="537"/>
      <c r="HVU35" s="537"/>
      <c r="HVV35" s="537"/>
      <c r="HVW35" s="537"/>
      <c r="HVX35" s="537"/>
      <c r="HVY35" s="537"/>
      <c r="HVZ35" s="537"/>
      <c r="HWA35" s="537"/>
      <c r="HWB35" s="537"/>
      <c r="HWC35" s="537"/>
      <c r="HWD35" s="537"/>
      <c r="HWE35" s="537"/>
      <c r="HWF35" s="537"/>
      <c r="HWG35" s="537"/>
      <c r="HWH35" s="537"/>
      <c r="HWI35" s="537"/>
      <c r="HWJ35" s="537"/>
      <c r="HWK35" s="537"/>
      <c r="HWL35" s="537"/>
      <c r="HWM35" s="537"/>
      <c r="HWN35" s="537"/>
      <c r="HWO35" s="537"/>
      <c r="HWP35" s="537"/>
      <c r="HWQ35" s="537"/>
      <c r="HWR35" s="537"/>
      <c r="HWS35" s="537"/>
      <c r="HWT35" s="537"/>
      <c r="HWU35" s="537"/>
      <c r="HWV35" s="537"/>
      <c r="HWW35" s="537"/>
      <c r="HWX35" s="537"/>
      <c r="HWY35" s="537"/>
      <c r="HWZ35" s="537"/>
      <c r="HXA35" s="537"/>
      <c r="HXB35" s="537"/>
      <c r="HXC35" s="537"/>
      <c r="HXD35" s="537"/>
      <c r="HXE35" s="537"/>
      <c r="HXF35" s="537"/>
      <c r="HXG35" s="537"/>
      <c r="HXH35" s="537"/>
      <c r="HXI35" s="537"/>
      <c r="HXJ35" s="537"/>
      <c r="HXK35" s="537"/>
      <c r="HXL35" s="537"/>
      <c r="HXM35" s="537"/>
      <c r="HXN35" s="537"/>
      <c r="HXO35" s="537"/>
      <c r="HXP35" s="537"/>
      <c r="HXQ35" s="537"/>
      <c r="HXR35" s="537"/>
      <c r="HXS35" s="537"/>
      <c r="HXT35" s="537"/>
      <c r="HXU35" s="537"/>
      <c r="HXV35" s="537"/>
      <c r="HXW35" s="537"/>
      <c r="HXX35" s="537"/>
      <c r="HXY35" s="537"/>
      <c r="HXZ35" s="537"/>
      <c r="HYA35" s="537"/>
      <c r="HYB35" s="537"/>
      <c r="HYC35" s="537"/>
      <c r="HYD35" s="537"/>
      <c r="HYE35" s="537"/>
      <c r="HYF35" s="537"/>
      <c r="HYG35" s="537"/>
      <c r="HYH35" s="537"/>
      <c r="HYI35" s="537"/>
      <c r="HYJ35" s="537"/>
      <c r="HYK35" s="537"/>
      <c r="HYL35" s="537"/>
      <c r="HYM35" s="537"/>
      <c r="HYN35" s="537"/>
      <c r="HYO35" s="537"/>
      <c r="HYP35" s="537"/>
      <c r="HYQ35" s="537"/>
      <c r="HYR35" s="537"/>
      <c r="HYS35" s="537"/>
      <c r="HYT35" s="537"/>
      <c r="HYU35" s="537"/>
      <c r="HYV35" s="537"/>
      <c r="HYW35" s="537"/>
      <c r="HYX35" s="537"/>
      <c r="HYY35" s="537"/>
      <c r="HYZ35" s="537"/>
      <c r="HZA35" s="537"/>
      <c r="HZB35" s="537"/>
      <c r="HZC35" s="537"/>
      <c r="HZD35" s="537"/>
      <c r="HZE35" s="537"/>
      <c r="HZF35" s="537"/>
      <c r="HZG35" s="537"/>
      <c r="HZH35" s="537"/>
      <c r="HZI35" s="537"/>
      <c r="HZJ35" s="537"/>
      <c r="HZK35" s="537"/>
      <c r="HZL35" s="537"/>
      <c r="HZM35" s="537"/>
      <c r="HZN35" s="537"/>
      <c r="HZO35" s="537"/>
      <c r="HZP35" s="537"/>
      <c r="HZQ35" s="537"/>
      <c r="HZR35" s="537"/>
      <c r="HZS35" s="537"/>
      <c r="HZT35" s="537"/>
      <c r="HZU35" s="537"/>
      <c r="HZV35" s="537"/>
      <c r="HZW35" s="537"/>
      <c r="HZX35" s="537"/>
      <c r="HZY35" s="537"/>
      <c r="HZZ35" s="537"/>
      <c r="IAA35" s="537"/>
      <c r="IAB35" s="537"/>
      <c r="IAC35" s="537"/>
      <c r="IAD35" s="537"/>
      <c r="IAE35" s="537"/>
      <c r="IAF35" s="537"/>
      <c r="IAG35" s="537"/>
      <c r="IAH35" s="537"/>
      <c r="IAI35" s="537"/>
      <c r="IAJ35" s="537"/>
      <c r="IAK35" s="537"/>
      <c r="IAL35" s="537"/>
      <c r="IAM35" s="537"/>
      <c r="IAN35" s="537"/>
      <c r="IAO35" s="537"/>
      <c r="IAP35" s="537"/>
      <c r="IAQ35" s="537"/>
      <c r="IAR35" s="537"/>
      <c r="IAS35" s="537"/>
      <c r="IAT35" s="537"/>
      <c r="IAU35" s="537"/>
      <c r="IAV35" s="537"/>
      <c r="IAW35" s="537"/>
      <c r="IAX35" s="537"/>
      <c r="IAY35" s="537"/>
      <c r="IAZ35" s="537"/>
      <c r="IBA35" s="537"/>
      <c r="IBB35" s="537"/>
      <c r="IBC35" s="537"/>
      <c r="IBD35" s="537"/>
      <c r="IBE35" s="537"/>
      <c r="IBF35" s="537"/>
      <c r="IBG35" s="537"/>
      <c r="IBH35" s="537"/>
      <c r="IBI35" s="537"/>
      <c r="IBJ35" s="537"/>
      <c r="IBK35" s="537"/>
      <c r="IBL35" s="537"/>
      <c r="IBM35" s="537"/>
      <c r="IBN35" s="537"/>
      <c r="IBO35" s="537"/>
      <c r="IBP35" s="537"/>
      <c r="IBQ35" s="537"/>
      <c r="IBR35" s="537"/>
      <c r="IBS35" s="537"/>
      <c r="IBT35" s="537"/>
      <c r="IBU35" s="537"/>
      <c r="IBV35" s="537"/>
      <c r="IBW35" s="537"/>
      <c r="IBX35" s="537"/>
      <c r="IBY35" s="537"/>
      <c r="IBZ35" s="537"/>
      <c r="ICA35" s="537"/>
      <c r="ICB35" s="537"/>
      <c r="ICC35" s="537"/>
      <c r="ICD35" s="537"/>
      <c r="ICE35" s="537"/>
      <c r="ICF35" s="537"/>
      <c r="ICG35" s="537"/>
      <c r="ICH35" s="537"/>
      <c r="ICI35" s="537"/>
      <c r="ICJ35" s="537"/>
      <c r="ICK35" s="537"/>
      <c r="ICL35" s="537"/>
      <c r="ICM35" s="537"/>
      <c r="ICN35" s="537"/>
      <c r="ICO35" s="537"/>
      <c r="ICP35" s="537"/>
      <c r="ICQ35" s="537"/>
      <c r="ICR35" s="537"/>
      <c r="ICS35" s="537"/>
      <c r="ICT35" s="537"/>
      <c r="ICU35" s="537"/>
      <c r="ICV35" s="537"/>
      <c r="ICW35" s="537"/>
      <c r="ICX35" s="537"/>
      <c r="ICY35" s="537"/>
      <c r="ICZ35" s="537"/>
      <c r="IDA35" s="537"/>
      <c r="IDB35" s="537"/>
      <c r="IDC35" s="537"/>
      <c r="IDD35" s="537"/>
      <c r="IDE35" s="537"/>
      <c r="IDF35" s="537"/>
      <c r="IDG35" s="537"/>
      <c r="IDH35" s="537"/>
      <c r="IDI35" s="537"/>
      <c r="IDJ35" s="537"/>
      <c r="IDK35" s="537"/>
      <c r="IDL35" s="537"/>
      <c r="IDM35" s="537"/>
      <c r="IDN35" s="537"/>
      <c r="IDO35" s="537"/>
      <c r="IDP35" s="537"/>
      <c r="IDQ35" s="537"/>
      <c r="IDR35" s="537"/>
      <c r="IDS35" s="537"/>
      <c r="IDT35" s="537"/>
      <c r="IDU35" s="537"/>
      <c r="IDV35" s="537"/>
      <c r="IDW35" s="537"/>
      <c r="IDX35" s="537"/>
      <c r="IDY35" s="537"/>
      <c r="IDZ35" s="537"/>
      <c r="IEA35" s="537"/>
      <c r="IEB35" s="537"/>
      <c r="IEC35" s="537"/>
      <c r="IED35" s="537"/>
      <c r="IEE35" s="537"/>
      <c r="IEF35" s="537"/>
      <c r="IEG35" s="537"/>
      <c r="IEH35" s="537"/>
      <c r="IEI35" s="537"/>
      <c r="IEJ35" s="537"/>
      <c r="IEK35" s="537"/>
      <c r="IEL35" s="537"/>
      <c r="IEM35" s="537"/>
      <c r="IEN35" s="537"/>
      <c r="IEO35" s="537"/>
      <c r="IEP35" s="537"/>
      <c r="IEQ35" s="537"/>
      <c r="IER35" s="537"/>
      <c r="IES35" s="537"/>
      <c r="IET35" s="537"/>
      <c r="IEU35" s="537"/>
      <c r="IEV35" s="537"/>
      <c r="IEW35" s="537"/>
      <c r="IEX35" s="537"/>
      <c r="IEY35" s="537"/>
      <c r="IEZ35" s="537"/>
      <c r="IFA35" s="537"/>
      <c r="IFB35" s="537"/>
      <c r="IFC35" s="537"/>
      <c r="IFD35" s="537"/>
      <c r="IFE35" s="537"/>
      <c r="IFF35" s="537"/>
      <c r="IFG35" s="537"/>
      <c r="IFH35" s="537"/>
      <c r="IFI35" s="537"/>
      <c r="IFJ35" s="537"/>
      <c r="IFK35" s="537"/>
      <c r="IFL35" s="537"/>
      <c r="IFM35" s="537"/>
      <c r="IFN35" s="537"/>
      <c r="IFO35" s="537"/>
      <c r="IFP35" s="537"/>
      <c r="IFQ35" s="537"/>
      <c r="IFR35" s="537"/>
      <c r="IFS35" s="537"/>
      <c r="IFT35" s="537"/>
      <c r="IFU35" s="537"/>
      <c r="IFV35" s="537"/>
      <c r="IFW35" s="537"/>
      <c r="IFX35" s="537"/>
      <c r="IFY35" s="537"/>
      <c r="IFZ35" s="537"/>
      <c r="IGA35" s="537"/>
      <c r="IGB35" s="537"/>
      <c r="IGC35" s="537"/>
      <c r="IGD35" s="537"/>
      <c r="IGE35" s="537"/>
      <c r="IGF35" s="537"/>
      <c r="IGG35" s="537"/>
      <c r="IGH35" s="537"/>
      <c r="IGI35" s="537"/>
      <c r="IGJ35" s="537"/>
      <c r="IGK35" s="537"/>
      <c r="IGL35" s="537"/>
      <c r="IGM35" s="537"/>
      <c r="IGN35" s="537"/>
      <c r="IGO35" s="537"/>
      <c r="IGP35" s="537"/>
      <c r="IGQ35" s="537"/>
      <c r="IGR35" s="537"/>
      <c r="IGS35" s="537"/>
      <c r="IGT35" s="537"/>
      <c r="IGU35" s="537"/>
      <c r="IGV35" s="537"/>
      <c r="IGW35" s="537"/>
      <c r="IGX35" s="537"/>
      <c r="IGY35" s="537"/>
      <c r="IGZ35" s="537"/>
      <c r="IHA35" s="537"/>
      <c r="IHB35" s="537"/>
      <c r="IHC35" s="537"/>
      <c r="IHD35" s="537"/>
      <c r="IHE35" s="537"/>
      <c r="IHF35" s="537"/>
      <c r="IHG35" s="537"/>
      <c r="IHH35" s="537"/>
      <c r="IHI35" s="537"/>
      <c r="IHJ35" s="537"/>
      <c r="IHK35" s="537"/>
      <c r="IHL35" s="537"/>
      <c r="IHM35" s="537"/>
      <c r="IHN35" s="537"/>
      <c r="IHO35" s="537"/>
      <c r="IHP35" s="537"/>
      <c r="IHQ35" s="537"/>
      <c r="IHR35" s="537"/>
      <c r="IHS35" s="537"/>
      <c r="IHT35" s="537"/>
      <c r="IHU35" s="537"/>
      <c r="IHV35" s="537"/>
      <c r="IHW35" s="537"/>
      <c r="IHX35" s="537"/>
      <c r="IHY35" s="537"/>
      <c r="IHZ35" s="537"/>
      <c r="IIA35" s="537"/>
      <c r="IIB35" s="537"/>
      <c r="IIC35" s="537"/>
      <c r="IID35" s="537"/>
      <c r="IIE35" s="537"/>
      <c r="IIF35" s="537"/>
      <c r="IIG35" s="537"/>
      <c r="IIH35" s="537"/>
      <c r="III35" s="537"/>
      <c r="IIJ35" s="537"/>
      <c r="IIK35" s="537"/>
      <c r="IIL35" s="537"/>
      <c r="IIM35" s="537"/>
      <c r="IIN35" s="537"/>
      <c r="IIO35" s="537"/>
      <c r="IIP35" s="537"/>
      <c r="IIQ35" s="537"/>
      <c r="IIR35" s="537"/>
      <c r="IIS35" s="537"/>
      <c r="IIT35" s="537"/>
      <c r="IIU35" s="537"/>
      <c r="IIV35" s="537"/>
      <c r="IIW35" s="537"/>
      <c r="IIX35" s="537"/>
      <c r="IIY35" s="537"/>
      <c r="IIZ35" s="537"/>
      <c r="IJA35" s="537"/>
      <c r="IJB35" s="537"/>
      <c r="IJC35" s="537"/>
      <c r="IJD35" s="537"/>
      <c r="IJE35" s="537"/>
      <c r="IJF35" s="537"/>
      <c r="IJG35" s="537"/>
      <c r="IJH35" s="537"/>
      <c r="IJI35" s="537"/>
      <c r="IJJ35" s="537"/>
      <c r="IJK35" s="537"/>
      <c r="IJL35" s="537"/>
      <c r="IJM35" s="537"/>
      <c r="IJN35" s="537"/>
      <c r="IJO35" s="537"/>
      <c r="IJP35" s="537"/>
      <c r="IJQ35" s="537"/>
      <c r="IJR35" s="537"/>
      <c r="IJS35" s="537"/>
      <c r="IJT35" s="537"/>
      <c r="IJU35" s="537"/>
      <c r="IJV35" s="537"/>
      <c r="IJW35" s="537"/>
      <c r="IJX35" s="537"/>
      <c r="IJY35" s="537"/>
      <c r="IJZ35" s="537"/>
      <c r="IKA35" s="537"/>
      <c r="IKB35" s="537"/>
      <c r="IKC35" s="537"/>
      <c r="IKD35" s="537"/>
      <c r="IKE35" s="537"/>
      <c r="IKF35" s="537"/>
      <c r="IKG35" s="537"/>
      <c r="IKH35" s="537"/>
      <c r="IKI35" s="537"/>
      <c r="IKJ35" s="537"/>
      <c r="IKK35" s="537"/>
      <c r="IKL35" s="537"/>
      <c r="IKM35" s="537"/>
      <c r="IKN35" s="537"/>
      <c r="IKO35" s="537"/>
      <c r="IKP35" s="537"/>
      <c r="IKQ35" s="537"/>
      <c r="IKR35" s="537"/>
      <c r="IKS35" s="537"/>
      <c r="IKT35" s="537"/>
      <c r="IKU35" s="537"/>
      <c r="IKV35" s="537"/>
      <c r="IKW35" s="537"/>
      <c r="IKX35" s="537"/>
      <c r="IKY35" s="537"/>
      <c r="IKZ35" s="537"/>
      <c r="ILA35" s="537"/>
      <c r="ILB35" s="537"/>
      <c r="ILC35" s="537"/>
      <c r="ILD35" s="537"/>
      <c r="ILE35" s="537"/>
      <c r="ILF35" s="537"/>
      <c r="ILG35" s="537"/>
      <c r="ILH35" s="537"/>
      <c r="ILI35" s="537"/>
      <c r="ILJ35" s="537"/>
      <c r="ILK35" s="537"/>
      <c r="ILL35" s="537"/>
      <c r="ILM35" s="537"/>
      <c r="ILN35" s="537"/>
      <c r="ILO35" s="537"/>
      <c r="ILP35" s="537"/>
      <c r="ILQ35" s="537"/>
      <c r="ILR35" s="537"/>
      <c r="ILS35" s="537"/>
      <c r="ILT35" s="537"/>
      <c r="ILU35" s="537"/>
      <c r="ILV35" s="537"/>
      <c r="ILW35" s="537"/>
      <c r="ILX35" s="537"/>
      <c r="ILY35" s="537"/>
      <c r="ILZ35" s="537"/>
      <c r="IMA35" s="537"/>
      <c r="IMB35" s="537"/>
      <c r="IMC35" s="537"/>
      <c r="IMD35" s="537"/>
      <c r="IME35" s="537"/>
      <c r="IMF35" s="537"/>
      <c r="IMG35" s="537"/>
      <c r="IMH35" s="537"/>
      <c r="IMI35" s="537"/>
      <c r="IMJ35" s="537"/>
      <c r="IMK35" s="537"/>
      <c r="IML35" s="537"/>
      <c r="IMM35" s="537"/>
      <c r="IMN35" s="537"/>
      <c r="IMO35" s="537"/>
      <c r="IMP35" s="537"/>
      <c r="IMQ35" s="537"/>
      <c r="IMR35" s="537"/>
      <c r="IMS35" s="537"/>
      <c r="IMT35" s="537"/>
      <c r="IMU35" s="537"/>
      <c r="IMV35" s="537"/>
      <c r="IMW35" s="537"/>
      <c r="IMX35" s="537"/>
      <c r="IMY35" s="537"/>
      <c r="IMZ35" s="537"/>
      <c r="INA35" s="537"/>
      <c r="INB35" s="537"/>
      <c r="INC35" s="537"/>
      <c r="IND35" s="537"/>
      <c r="INE35" s="537"/>
      <c r="INF35" s="537"/>
      <c r="ING35" s="537"/>
      <c r="INH35" s="537"/>
      <c r="INI35" s="537"/>
      <c r="INJ35" s="537"/>
      <c r="INK35" s="537"/>
      <c r="INL35" s="537"/>
      <c r="INM35" s="537"/>
      <c r="INN35" s="537"/>
      <c r="INO35" s="537"/>
      <c r="INP35" s="537"/>
      <c r="INQ35" s="537"/>
      <c r="INR35" s="537"/>
      <c r="INS35" s="537"/>
      <c r="INT35" s="537"/>
      <c r="INU35" s="537"/>
      <c r="INV35" s="537"/>
      <c r="INW35" s="537"/>
      <c r="INX35" s="537"/>
      <c r="INY35" s="537"/>
      <c r="INZ35" s="537"/>
      <c r="IOA35" s="537"/>
      <c r="IOB35" s="537"/>
      <c r="IOC35" s="537"/>
      <c r="IOD35" s="537"/>
      <c r="IOE35" s="537"/>
      <c r="IOF35" s="537"/>
      <c r="IOG35" s="537"/>
      <c r="IOH35" s="537"/>
      <c r="IOI35" s="537"/>
      <c r="IOJ35" s="537"/>
      <c r="IOK35" s="537"/>
      <c r="IOL35" s="537"/>
      <c r="IOM35" s="537"/>
      <c r="ION35" s="537"/>
      <c r="IOO35" s="537"/>
      <c r="IOP35" s="537"/>
      <c r="IOQ35" s="537"/>
      <c r="IOR35" s="537"/>
      <c r="IOS35" s="537"/>
      <c r="IOT35" s="537"/>
      <c r="IOU35" s="537"/>
      <c r="IOV35" s="537"/>
      <c r="IOW35" s="537"/>
      <c r="IOX35" s="537"/>
      <c r="IOY35" s="537"/>
      <c r="IOZ35" s="537"/>
      <c r="IPA35" s="537"/>
      <c r="IPB35" s="537"/>
      <c r="IPC35" s="537"/>
      <c r="IPD35" s="537"/>
      <c r="IPE35" s="537"/>
      <c r="IPF35" s="537"/>
      <c r="IPG35" s="537"/>
      <c r="IPH35" s="537"/>
      <c r="IPI35" s="537"/>
      <c r="IPJ35" s="537"/>
      <c r="IPK35" s="537"/>
      <c r="IPL35" s="537"/>
      <c r="IPM35" s="537"/>
      <c r="IPN35" s="537"/>
      <c r="IPO35" s="537"/>
      <c r="IPP35" s="537"/>
      <c r="IPQ35" s="537"/>
      <c r="IPR35" s="537"/>
      <c r="IPS35" s="537"/>
      <c r="IPT35" s="537"/>
      <c r="IPU35" s="537"/>
      <c r="IPV35" s="537"/>
      <c r="IPW35" s="537"/>
      <c r="IPX35" s="537"/>
      <c r="IPY35" s="537"/>
      <c r="IPZ35" s="537"/>
      <c r="IQA35" s="537"/>
      <c r="IQB35" s="537"/>
      <c r="IQC35" s="537"/>
      <c r="IQD35" s="537"/>
      <c r="IQE35" s="537"/>
      <c r="IQF35" s="537"/>
      <c r="IQG35" s="537"/>
      <c r="IQH35" s="537"/>
      <c r="IQI35" s="537"/>
      <c r="IQJ35" s="537"/>
      <c r="IQK35" s="537"/>
      <c r="IQL35" s="537"/>
      <c r="IQM35" s="537"/>
      <c r="IQN35" s="537"/>
      <c r="IQO35" s="537"/>
      <c r="IQP35" s="537"/>
      <c r="IQQ35" s="537"/>
      <c r="IQR35" s="537"/>
      <c r="IQS35" s="537"/>
      <c r="IQT35" s="537"/>
      <c r="IQU35" s="537"/>
      <c r="IQV35" s="537"/>
      <c r="IQW35" s="537"/>
      <c r="IQX35" s="537"/>
      <c r="IQY35" s="537"/>
      <c r="IQZ35" s="537"/>
      <c r="IRA35" s="537"/>
      <c r="IRB35" s="537"/>
      <c r="IRC35" s="537"/>
      <c r="IRD35" s="537"/>
      <c r="IRE35" s="537"/>
      <c r="IRF35" s="537"/>
      <c r="IRG35" s="537"/>
      <c r="IRH35" s="537"/>
      <c r="IRI35" s="537"/>
      <c r="IRJ35" s="537"/>
      <c r="IRK35" s="537"/>
      <c r="IRL35" s="537"/>
      <c r="IRM35" s="537"/>
      <c r="IRN35" s="537"/>
      <c r="IRO35" s="537"/>
      <c r="IRP35" s="537"/>
      <c r="IRQ35" s="537"/>
      <c r="IRR35" s="537"/>
      <c r="IRS35" s="537"/>
      <c r="IRT35" s="537"/>
      <c r="IRU35" s="537"/>
      <c r="IRV35" s="537"/>
      <c r="IRW35" s="537"/>
      <c r="IRX35" s="537"/>
      <c r="IRY35" s="537"/>
      <c r="IRZ35" s="537"/>
      <c r="ISA35" s="537"/>
      <c r="ISB35" s="537"/>
      <c r="ISC35" s="537"/>
      <c r="ISD35" s="537"/>
      <c r="ISE35" s="537"/>
      <c r="ISF35" s="537"/>
      <c r="ISG35" s="537"/>
      <c r="ISH35" s="537"/>
      <c r="ISI35" s="537"/>
      <c r="ISJ35" s="537"/>
      <c r="ISK35" s="537"/>
      <c r="ISL35" s="537"/>
      <c r="ISM35" s="537"/>
      <c r="ISN35" s="537"/>
      <c r="ISO35" s="537"/>
      <c r="ISP35" s="537"/>
      <c r="ISQ35" s="537"/>
      <c r="ISR35" s="537"/>
      <c r="ISS35" s="537"/>
      <c r="IST35" s="537"/>
      <c r="ISU35" s="537"/>
      <c r="ISV35" s="537"/>
      <c r="ISW35" s="537"/>
      <c r="ISX35" s="537"/>
      <c r="ISY35" s="537"/>
      <c r="ISZ35" s="537"/>
      <c r="ITA35" s="537"/>
      <c r="ITB35" s="537"/>
      <c r="ITC35" s="537"/>
      <c r="ITD35" s="537"/>
      <c r="ITE35" s="537"/>
      <c r="ITF35" s="537"/>
      <c r="ITG35" s="537"/>
      <c r="ITH35" s="537"/>
      <c r="ITI35" s="537"/>
      <c r="ITJ35" s="537"/>
      <c r="ITK35" s="537"/>
      <c r="ITL35" s="537"/>
      <c r="ITM35" s="537"/>
      <c r="ITN35" s="537"/>
      <c r="ITO35" s="537"/>
      <c r="ITP35" s="537"/>
      <c r="ITQ35" s="537"/>
      <c r="ITR35" s="537"/>
      <c r="ITS35" s="537"/>
      <c r="ITT35" s="537"/>
      <c r="ITU35" s="537"/>
      <c r="ITV35" s="537"/>
      <c r="ITW35" s="537"/>
      <c r="ITX35" s="537"/>
      <c r="ITY35" s="537"/>
      <c r="ITZ35" s="537"/>
      <c r="IUA35" s="537"/>
      <c r="IUB35" s="537"/>
      <c r="IUC35" s="537"/>
      <c r="IUD35" s="537"/>
      <c r="IUE35" s="537"/>
      <c r="IUF35" s="537"/>
      <c r="IUG35" s="537"/>
      <c r="IUH35" s="537"/>
      <c r="IUI35" s="537"/>
      <c r="IUJ35" s="537"/>
      <c r="IUK35" s="537"/>
      <c r="IUL35" s="537"/>
      <c r="IUM35" s="537"/>
      <c r="IUN35" s="537"/>
      <c r="IUO35" s="537"/>
      <c r="IUP35" s="537"/>
      <c r="IUQ35" s="537"/>
      <c r="IUR35" s="537"/>
      <c r="IUS35" s="537"/>
      <c r="IUT35" s="537"/>
      <c r="IUU35" s="537"/>
      <c r="IUV35" s="537"/>
      <c r="IUW35" s="537"/>
      <c r="IUX35" s="537"/>
      <c r="IUY35" s="537"/>
      <c r="IUZ35" s="537"/>
      <c r="IVA35" s="537"/>
      <c r="IVB35" s="537"/>
      <c r="IVC35" s="537"/>
      <c r="IVD35" s="537"/>
      <c r="IVE35" s="537"/>
      <c r="IVF35" s="537"/>
      <c r="IVG35" s="537"/>
      <c r="IVH35" s="537"/>
      <c r="IVI35" s="537"/>
      <c r="IVJ35" s="537"/>
      <c r="IVK35" s="537"/>
      <c r="IVL35" s="537"/>
      <c r="IVM35" s="537"/>
      <c r="IVN35" s="537"/>
      <c r="IVO35" s="537"/>
      <c r="IVP35" s="537"/>
      <c r="IVQ35" s="537"/>
      <c r="IVR35" s="537"/>
      <c r="IVS35" s="537"/>
      <c r="IVT35" s="537"/>
      <c r="IVU35" s="537"/>
      <c r="IVV35" s="537"/>
      <c r="IVW35" s="537"/>
      <c r="IVX35" s="537"/>
      <c r="IVY35" s="537"/>
      <c r="IVZ35" s="537"/>
      <c r="IWA35" s="537"/>
      <c r="IWB35" s="537"/>
      <c r="IWC35" s="537"/>
      <c r="IWD35" s="537"/>
      <c r="IWE35" s="537"/>
      <c r="IWF35" s="537"/>
      <c r="IWG35" s="537"/>
      <c r="IWH35" s="537"/>
      <c r="IWI35" s="537"/>
      <c r="IWJ35" s="537"/>
      <c r="IWK35" s="537"/>
      <c r="IWL35" s="537"/>
      <c r="IWM35" s="537"/>
      <c r="IWN35" s="537"/>
      <c r="IWO35" s="537"/>
      <c r="IWP35" s="537"/>
      <c r="IWQ35" s="537"/>
      <c r="IWR35" s="537"/>
      <c r="IWS35" s="537"/>
      <c r="IWT35" s="537"/>
      <c r="IWU35" s="537"/>
      <c r="IWV35" s="537"/>
      <c r="IWW35" s="537"/>
      <c r="IWX35" s="537"/>
      <c r="IWY35" s="537"/>
      <c r="IWZ35" s="537"/>
      <c r="IXA35" s="537"/>
      <c r="IXB35" s="537"/>
      <c r="IXC35" s="537"/>
      <c r="IXD35" s="537"/>
      <c r="IXE35" s="537"/>
      <c r="IXF35" s="537"/>
      <c r="IXG35" s="537"/>
      <c r="IXH35" s="537"/>
      <c r="IXI35" s="537"/>
      <c r="IXJ35" s="537"/>
      <c r="IXK35" s="537"/>
      <c r="IXL35" s="537"/>
      <c r="IXM35" s="537"/>
      <c r="IXN35" s="537"/>
      <c r="IXO35" s="537"/>
      <c r="IXP35" s="537"/>
      <c r="IXQ35" s="537"/>
      <c r="IXR35" s="537"/>
      <c r="IXS35" s="537"/>
      <c r="IXT35" s="537"/>
      <c r="IXU35" s="537"/>
      <c r="IXV35" s="537"/>
      <c r="IXW35" s="537"/>
      <c r="IXX35" s="537"/>
      <c r="IXY35" s="537"/>
      <c r="IXZ35" s="537"/>
      <c r="IYA35" s="537"/>
      <c r="IYB35" s="537"/>
      <c r="IYC35" s="537"/>
      <c r="IYD35" s="537"/>
      <c r="IYE35" s="537"/>
      <c r="IYF35" s="537"/>
      <c r="IYG35" s="537"/>
      <c r="IYH35" s="537"/>
      <c r="IYI35" s="537"/>
      <c r="IYJ35" s="537"/>
      <c r="IYK35" s="537"/>
      <c r="IYL35" s="537"/>
      <c r="IYM35" s="537"/>
      <c r="IYN35" s="537"/>
      <c r="IYO35" s="537"/>
      <c r="IYP35" s="537"/>
      <c r="IYQ35" s="537"/>
      <c r="IYR35" s="537"/>
      <c r="IYS35" s="537"/>
      <c r="IYT35" s="537"/>
      <c r="IYU35" s="537"/>
      <c r="IYV35" s="537"/>
      <c r="IYW35" s="537"/>
      <c r="IYX35" s="537"/>
      <c r="IYY35" s="537"/>
      <c r="IYZ35" s="537"/>
      <c r="IZA35" s="537"/>
      <c r="IZB35" s="537"/>
      <c r="IZC35" s="537"/>
      <c r="IZD35" s="537"/>
      <c r="IZE35" s="537"/>
      <c r="IZF35" s="537"/>
      <c r="IZG35" s="537"/>
      <c r="IZH35" s="537"/>
      <c r="IZI35" s="537"/>
      <c r="IZJ35" s="537"/>
      <c r="IZK35" s="537"/>
      <c r="IZL35" s="537"/>
      <c r="IZM35" s="537"/>
      <c r="IZN35" s="537"/>
      <c r="IZO35" s="537"/>
      <c r="IZP35" s="537"/>
      <c r="IZQ35" s="537"/>
      <c r="IZR35" s="537"/>
      <c r="IZS35" s="537"/>
      <c r="IZT35" s="537"/>
      <c r="IZU35" s="537"/>
      <c r="IZV35" s="537"/>
      <c r="IZW35" s="537"/>
      <c r="IZX35" s="537"/>
      <c r="IZY35" s="537"/>
      <c r="IZZ35" s="537"/>
      <c r="JAA35" s="537"/>
      <c r="JAB35" s="537"/>
      <c r="JAC35" s="537"/>
      <c r="JAD35" s="537"/>
      <c r="JAE35" s="537"/>
      <c r="JAF35" s="537"/>
      <c r="JAG35" s="537"/>
      <c r="JAH35" s="537"/>
      <c r="JAI35" s="537"/>
      <c r="JAJ35" s="537"/>
      <c r="JAK35" s="537"/>
      <c r="JAL35" s="537"/>
      <c r="JAM35" s="537"/>
      <c r="JAN35" s="537"/>
      <c r="JAO35" s="537"/>
      <c r="JAP35" s="537"/>
      <c r="JAQ35" s="537"/>
      <c r="JAR35" s="537"/>
      <c r="JAS35" s="537"/>
      <c r="JAT35" s="537"/>
      <c r="JAU35" s="537"/>
      <c r="JAV35" s="537"/>
      <c r="JAW35" s="537"/>
      <c r="JAX35" s="537"/>
      <c r="JAY35" s="537"/>
      <c r="JAZ35" s="537"/>
      <c r="JBA35" s="537"/>
      <c r="JBB35" s="537"/>
      <c r="JBC35" s="537"/>
      <c r="JBD35" s="537"/>
      <c r="JBE35" s="537"/>
      <c r="JBF35" s="537"/>
      <c r="JBG35" s="537"/>
      <c r="JBH35" s="537"/>
      <c r="JBI35" s="537"/>
      <c r="JBJ35" s="537"/>
      <c r="JBK35" s="537"/>
      <c r="JBL35" s="537"/>
      <c r="JBM35" s="537"/>
      <c r="JBN35" s="537"/>
      <c r="JBO35" s="537"/>
      <c r="JBP35" s="537"/>
      <c r="JBQ35" s="537"/>
      <c r="JBR35" s="537"/>
      <c r="JBS35" s="537"/>
      <c r="JBT35" s="537"/>
      <c r="JBU35" s="537"/>
      <c r="JBV35" s="537"/>
      <c r="JBW35" s="537"/>
      <c r="JBX35" s="537"/>
      <c r="JBY35" s="537"/>
      <c r="JBZ35" s="537"/>
      <c r="JCA35" s="537"/>
      <c r="JCB35" s="537"/>
      <c r="JCC35" s="537"/>
      <c r="JCD35" s="537"/>
      <c r="JCE35" s="537"/>
      <c r="JCF35" s="537"/>
      <c r="JCG35" s="537"/>
      <c r="JCH35" s="537"/>
      <c r="JCI35" s="537"/>
      <c r="JCJ35" s="537"/>
      <c r="JCK35" s="537"/>
      <c r="JCL35" s="537"/>
      <c r="JCM35" s="537"/>
      <c r="JCN35" s="537"/>
      <c r="JCO35" s="537"/>
      <c r="JCP35" s="537"/>
      <c r="JCQ35" s="537"/>
      <c r="JCR35" s="537"/>
      <c r="JCS35" s="537"/>
      <c r="JCT35" s="537"/>
      <c r="JCU35" s="537"/>
      <c r="JCV35" s="537"/>
      <c r="JCW35" s="537"/>
      <c r="JCX35" s="537"/>
      <c r="JCY35" s="537"/>
      <c r="JCZ35" s="537"/>
      <c r="JDA35" s="537"/>
      <c r="JDB35" s="537"/>
      <c r="JDC35" s="537"/>
      <c r="JDD35" s="537"/>
      <c r="JDE35" s="537"/>
      <c r="JDF35" s="537"/>
      <c r="JDG35" s="537"/>
      <c r="JDH35" s="537"/>
      <c r="JDI35" s="537"/>
      <c r="JDJ35" s="537"/>
      <c r="JDK35" s="537"/>
      <c r="JDL35" s="537"/>
      <c r="JDM35" s="537"/>
      <c r="JDN35" s="537"/>
      <c r="JDO35" s="537"/>
      <c r="JDP35" s="537"/>
      <c r="JDQ35" s="537"/>
      <c r="JDR35" s="537"/>
      <c r="JDS35" s="537"/>
      <c r="JDT35" s="537"/>
      <c r="JDU35" s="537"/>
      <c r="JDV35" s="537"/>
      <c r="JDW35" s="537"/>
      <c r="JDX35" s="537"/>
      <c r="JDY35" s="537"/>
      <c r="JDZ35" s="537"/>
      <c r="JEA35" s="537"/>
      <c r="JEB35" s="537"/>
      <c r="JEC35" s="537"/>
      <c r="JED35" s="537"/>
      <c r="JEE35" s="537"/>
      <c r="JEF35" s="537"/>
      <c r="JEG35" s="537"/>
      <c r="JEH35" s="537"/>
      <c r="JEI35" s="537"/>
      <c r="JEJ35" s="537"/>
      <c r="JEK35" s="537"/>
      <c r="JEL35" s="537"/>
      <c r="JEM35" s="537"/>
      <c r="JEN35" s="537"/>
      <c r="JEO35" s="537"/>
      <c r="JEP35" s="537"/>
      <c r="JEQ35" s="537"/>
      <c r="JER35" s="537"/>
      <c r="JES35" s="537"/>
      <c r="JET35" s="537"/>
      <c r="JEU35" s="537"/>
      <c r="JEV35" s="537"/>
      <c r="JEW35" s="537"/>
      <c r="JEX35" s="537"/>
      <c r="JEY35" s="537"/>
      <c r="JEZ35" s="537"/>
      <c r="JFA35" s="537"/>
      <c r="JFB35" s="537"/>
      <c r="JFC35" s="537"/>
      <c r="JFD35" s="537"/>
      <c r="JFE35" s="537"/>
      <c r="JFF35" s="537"/>
      <c r="JFG35" s="537"/>
      <c r="JFH35" s="537"/>
      <c r="JFI35" s="537"/>
      <c r="JFJ35" s="537"/>
      <c r="JFK35" s="537"/>
      <c r="JFL35" s="537"/>
      <c r="JFM35" s="537"/>
      <c r="JFN35" s="537"/>
      <c r="JFO35" s="537"/>
      <c r="JFP35" s="537"/>
      <c r="JFQ35" s="537"/>
      <c r="JFR35" s="537"/>
      <c r="JFS35" s="537"/>
      <c r="JFT35" s="537"/>
      <c r="JFU35" s="537"/>
      <c r="JFV35" s="537"/>
      <c r="JFW35" s="537"/>
      <c r="JFX35" s="537"/>
      <c r="JFY35" s="537"/>
      <c r="JFZ35" s="537"/>
      <c r="JGA35" s="537"/>
      <c r="JGB35" s="537"/>
      <c r="JGC35" s="537"/>
      <c r="JGD35" s="537"/>
      <c r="JGE35" s="537"/>
      <c r="JGF35" s="537"/>
      <c r="JGG35" s="537"/>
      <c r="JGH35" s="537"/>
      <c r="JGI35" s="537"/>
      <c r="JGJ35" s="537"/>
      <c r="JGK35" s="537"/>
      <c r="JGL35" s="537"/>
      <c r="JGM35" s="537"/>
      <c r="JGN35" s="537"/>
      <c r="JGO35" s="537"/>
      <c r="JGP35" s="537"/>
      <c r="JGQ35" s="537"/>
      <c r="JGR35" s="537"/>
      <c r="JGS35" s="537"/>
      <c r="JGT35" s="537"/>
      <c r="JGU35" s="537"/>
      <c r="JGV35" s="537"/>
      <c r="JGW35" s="537"/>
      <c r="JGX35" s="537"/>
      <c r="JGY35" s="537"/>
      <c r="JGZ35" s="537"/>
      <c r="JHA35" s="537"/>
      <c r="JHB35" s="537"/>
      <c r="JHC35" s="537"/>
      <c r="JHD35" s="537"/>
      <c r="JHE35" s="537"/>
      <c r="JHF35" s="537"/>
      <c r="JHG35" s="537"/>
      <c r="JHH35" s="537"/>
      <c r="JHI35" s="537"/>
      <c r="JHJ35" s="537"/>
      <c r="JHK35" s="537"/>
      <c r="JHL35" s="537"/>
      <c r="JHM35" s="537"/>
      <c r="JHN35" s="537"/>
      <c r="JHO35" s="537"/>
      <c r="JHP35" s="537"/>
      <c r="JHQ35" s="537"/>
      <c r="JHR35" s="537"/>
      <c r="JHS35" s="537"/>
      <c r="JHT35" s="537"/>
      <c r="JHU35" s="537"/>
      <c r="JHV35" s="537"/>
      <c r="JHW35" s="537"/>
      <c r="JHX35" s="537"/>
      <c r="JHY35" s="537"/>
      <c r="JHZ35" s="537"/>
      <c r="JIA35" s="537"/>
      <c r="JIB35" s="537"/>
      <c r="JIC35" s="537"/>
      <c r="JID35" s="537"/>
      <c r="JIE35" s="537"/>
      <c r="JIF35" s="537"/>
      <c r="JIG35" s="537"/>
      <c r="JIH35" s="537"/>
      <c r="JII35" s="537"/>
      <c r="JIJ35" s="537"/>
      <c r="JIK35" s="537"/>
      <c r="JIL35" s="537"/>
      <c r="JIM35" s="537"/>
      <c r="JIN35" s="537"/>
      <c r="JIO35" s="537"/>
      <c r="JIP35" s="537"/>
      <c r="JIQ35" s="537"/>
      <c r="JIR35" s="537"/>
      <c r="JIS35" s="537"/>
      <c r="JIT35" s="537"/>
      <c r="JIU35" s="537"/>
      <c r="JIV35" s="537"/>
      <c r="JIW35" s="537"/>
      <c r="JIX35" s="537"/>
      <c r="JIY35" s="537"/>
      <c r="JIZ35" s="537"/>
      <c r="JJA35" s="537"/>
      <c r="JJB35" s="537"/>
      <c r="JJC35" s="537"/>
      <c r="JJD35" s="537"/>
      <c r="JJE35" s="537"/>
      <c r="JJF35" s="537"/>
      <c r="JJG35" s="537"/>
      <c r="JJH35" s="537"/>
      <c r="JJI35" s="537"/>
      <c r="JJJ35" s="537"/>
      <c r="JJK35" s="537"/>
      <c r="JJL35" s="537"/>
      <c r="JJM35" s="537"/>
      <c r="JJN35" s="537"/>
      <c r="JJO35" s="537"/>
      <c r="JJP35" s="537"/>
      <c r="JJQ35" s="537"/>
      <c r="JJR35" s="537"/>
      <c r="JJS35" s="537"/>
      <c r="JJT35" s="537"/>
      <c r="JJU35" s="537"/>
      <c r="JJV35" s="537"/>
      <c r="JJW35" s="537"/>
      <c r="JJX35" s="537"/>
      <c r="JJY35" s="537"/>
      <c r="JJZ35" s="537"/>
      <c r="JKA35" s="537"/>
      <c r="JKB35" s="537"/>
      <c r="JKC35" s="537"/>
      <c r="JKD35" s="537"/>
      <c r="JKE35" s="537"/>
      <c r="JKF35" s="537"/>
      <c r="JKG35" s="537"/>
      <c r="JKH35" s="537"/>
      <c r="JKI35" s="537"/>
      <c r="JKJ35" s="537"/>
      <c r="JKK35" s="537"/>
      <c r="JKL35" s="537"/>
      <c r="JKM35" s="537"/>
      <c r="JKN35" s="537"/>
      <c r="JKO35" s="537"/>
      <c r="JKP35" s="537"/>
      <c r="JKQ35" s="537"/>
      <c r="JKR35" s="537"/>
      <c r="JKS35" s="537"/>
      <c r="JKT35" s="537"/>
      <c r="JKU35" s="537"/>
      <c r="JKV35" s="537"/>
      <c r="JKW35" s="537"/>
      <c r="JKX35" s="537"/>
      <c r="JKY35" s="537"/>
      <c r="JKZ35" s="537"/>
      <c r="JLA35" s="537"/>
      <c r="JLB35" s="537"/>
      <c r="JLC35" s="537"/>
      <c r="JLD35" s="537"/>
      <c r="JLE35" s="537"/>
      <c r="JLF35" s="537"/>
      <c r="JLG35" s="537"/>
      <c r="JLH35" s="537"/>
      <c r="JLI35" s="537"/>
      <c r="JLJ35" s="537"/>
      <c r="JLK35" s="537"/>
      <c r="JLL35" s="537"/>
      <c r="JLM35" s="537"/>
      <c r="JLN35" s="537"/>
      <c r="JLO35" s="537"/>
      <c r="JLP35" s="537"/>
      <c r="JLQ35" s="537"/>
      <c r="JLR35" s="537"/>
      <c r="JLS35" s="537"/>
      <c r="JLT35" s="537"/>
      <c r="JLU35" s="537"/>
      <c r="JLV35" s="537"/>
      <c r="JLW35" s="537"/>
      <c r="JLX35" s="537"/>
      <c r="JLY35" s="537"/>
      <c r="JLZ35" s="537"/>
      <c r="JMA35" s="537"/>
      <c r="JMB35" s="537"/>
      <c r="JMC35" s="537"/>
      <c r="JMD35" s="537"/>
      <c r="JME35" s="537"/>
      <c r="JMF35" s="537"/>
      <c r="JMG35" s="537"/>
      <c r="JMH35" s="537"/>
      <c r="JMI35" s="537"/>
      <c r="JMJ35" s="537"/>
      <c r="JMK35" s="537"/>
      <c r="JML35" s="537"/>
      <c r="JMM35" s="537"/>
      <c r="JMN35" s="537"/>
      <c r="JMO35" s="537"/>
      <c r="JMP35" s="537"/>
      <c r="JMQ35" s="537"/>
      <c r="JMR35" s="537"/>
      <c r="JMS35" s="537"/>
      <c r="JMT35" s="537"/>
      <c r="JMU35" s="537"/>
      <c r="JMV35" s="537"/>
      <c r="JMW35" s="537"/>
      <c r="JMX35" s="537"/>
      <c r="JMY35" s="537"/>
      <c r="JMZ35" s="537"/>
      <c r="JNA35" s="537"/>
      <c r="JNB35" s="537"/>
      <c r="JNC35" s="537"/>
      <c r="JND35" s="537"/>
      <c r="JNE35" s="537"/>
      <c r="JNF35" s="537"/>
      <c r="JNG35" s="537"/>
      <c r="JNH35" s="537"/>
      <c r="JNI35" s="537"/>
      <c r="JNJ35" s="537"/>
      <c r="JNK35" s="537"/>
      <c r="JNL35" s="537"/>
      <c r="JNM35" s="537"/>
      <c r="JNN35" s="537"/>
      <c r="JNO35" s="537"/>
      <c r="JNP35" s="537"/>
      <c r="JNQ35" s="537"/>
      <c r="JNR35" s="537"/>
      <c r="JNS35" s="537"/>
      <c r="JNT35" s="537"/>
      <c r="JNU35" s="537"/>
      <c r="JNV35" s="537"/>
      <c r="JNW35" s="537"/>
      <c r="JNX35" s="537"/>
      <c r="JNY35" s="537"/>
      <c r="JNZ35" s="537"/>
      <c r="JOA35" s="537"/>
      <c r="JOB35" s="537"/>
      <c r="JOC35" s="537"/>
      <c r="JOD35" s="537"/>
      <c r="JOE35" s="537"/>
      <c r="JOF35" s="537"/>
      <c r="JOG35" s="537"/>
      <c r="JOH35" s="537"/>
      <c r="JOI35" s="537"/>
      <c r="JOJ35" s="537"/>
      <c r="JOK35" s="537"/>
      <c r="JOL35" s="537"/>
      <c r="JOM35" s="537"/>
      <c r="JON35" s="537"/>
      <c r="JOO35" s="537"/>
      <c r="JOP35" s="537"/>
      <c r="JOQ35" s="537"/>
      <c r="JOR35" s="537"/>
      <c r="JOS35" s="537"/>
      <c r="JOT35" s="537"/>
      <c r="JOU35" s="537"/>
      <c r="JOV35" s="537"/>
      <c r="JOW35" s="537"/>
      <c r="JOX35" s="537"/>
      <c r="JOY35" s="537"/>
      <c r="JOZ35" s="537"/>
      <c r="JPA35" s="537"/>
      <c r="JPB35" s="537"/>
      <c r="JPC35" s="537"/>
      <c r="JPD35" s="537"/>
      <c r="JPE35" s="537"/>
      <c r="JPF35" s="537"/>
      <c r="JPG35" s="537"/>
      <c r="JPH35" s="537"/>
      <c r="JPI35" s="537"/>
      <c r="JPJ35" s="537"/>
      <c r="JPK35" s="537"/>
      <c r="JPL35" s="537"/>
      <c r="JPM35" s="537"/>
      <c r="JPN35" s="537"/>
      <c r="JPO35" s="537"/>
      <c r="JPP35" s="537"/>
      <c r="JPQ35" s="537"/>
      <c r="JPR35" s="537"/>
      <c r="JPS35" s="537"/>
      <c r="JPT35" s="537"/>
      <c r="JPU35" s="537"/>
      <c r="JPV35" s="537"/>
      <c r="JPW35" s="537"/>
      <c r="JPX35" s="537"/>
      <c r="JPY35" s="537"/>
      <c r="JPZ35" s="537"/>
      <c r="JQA35" s="537"/>
      <c r="JQB35" s="537"/>
      <c r="JQC35" s="537"/>
      <c r="JQD35" s="537"/>
      <c r="JQE35" s="537"/>
      <c r="JQF35" s="537"/>
      <c r="JQG35" s="537"/>
      <c r="JQH35" s="537"/>
      <c r="JQI35" s="537"/>
      <c r="JQJ35" s="537"/>
      <c r="JQK35" s="537"/>
      <c r="JQL35" s="537"/>
      <c r="JQM35" s="537"/>
      <c r="JQN35" s="537"/>
      <c r="JQO35" s="537"/>
      <c r="JQP35" s="537"/>
      <c r="JQQ35" s="537"/>
      <c r="JQR35" s="537"/>
      <c r="JQS35" s="537"/>
      <c r="JQT35" s="537"/>
      <c r="JQU35" s="537"/>
      <c r="JQV35" s="537"/>
      <c r="JQW35" s="537"/>
      <c r="JQX35" s="537"/>
      <c r="JQY35" s="537"/>
      <c r="JQZ35" s="537"/>
      <c r="JRA35" s="537"/>
      <c r="JRB35" s="537"/>
      <c r="JRC35" s="537"/>
      <c r="JRD35" s="537"/>
      <c r="JRE35" s="537"/>
      <c r="JRF35" s="537"/>
      <c r="JRG35" s="537"/>
      <c r="JRH35" s="537"/>
      <c r="JRI35" s="537"/>
      <c r="JRJ35" s="537"/>
      <c r="JRK35" s="537"/>
      <c r="JRL35" s="537"/>
      <c r="JRM35" s="537"/>
      <c r="JRN35" s="537"/>
      <c r="JRO35" s="537"/>
      <c r="JRP35" s="537"/>
      <c r="JRQ35" s="537"/>
      <c r="JRR35" s="537"/>
      <c r="JRS35" s="537"/>
      <c r="JRT35" s="537"/>
      <c r="JRU35" s="537"/>
      <c r="JRV35" s="537"/>
      <c r="JRW35" s="537"/>
      <c r="JRX35" s="537"/>
      <c r="JRY35" s="537"/>
      <c r="JRZ35" s="537"/>
      <c r="JSA35" s="537"/>
      <c r="JSB35" s="537"/>
      <c r="JSC35" s="537"/>
      <c r="JSD35" s="537"/>
      <c r="JSE35" s="537"/>
      <c r="JSF35" s="537"/>
      <c r="JSG35" s="537"/>
      <c r="JSH35" s="537"/>
      <c r="JSI35" s="537"/>
      <c r="JSJ35" s="537"/>
      <c r="JSK35" s="537"/>
      <c r="JSL35" s="537"/>
      <c r="JSM35" s="537"/>
      <c r="JSN35" s="537"/>
      <c r="JSO35" s="537"/>
      <c r="JSP35" s="537"/>
      <c r="JSQ35" s="537"/>
      <c r="JSR35" s="537"/>
      <c r="JSS35" s="537"/>
      <c r="JST35" s="537"/>
      <c r="JSU35" s="537"/>
      <c r="JSV35" s="537"/>
      <c r="JSW35" s="537"/>
      <c r="JSX35" s="537"/>
      <c r="JSY35" s="537"/>
      <c r="JSZ35" s="537"/>
      <c r="JTA35" s="537"/>
      <c r="JTB35" s="537"/>
      <c r="JTC35" s="537"/>
      <c r="JTD35" s="537"/>
      <c r="JTE35" s="537"/>
      <c r="JTF35" s="537"/>
      <c r="JTG35" s="537"/>
      <c r="JTH35" s="537"/>
      <c r="JTI35" s="537"/>
      <c r="JTJ35" s="537"/>
      <c r="JTK35" s="537"/>
      <c r="JTL35" s="537"/>
      <c r="JTM35" s="537"/>
      <c r="JTN35" s="537"/>
      <c r="JTO35" s="537"/>
      <c r="JTP35" s="537"/>
      <c r="JTQ35" s="537"/>
      <c r="JTR35" s="537"/>
      <c r="JTS35" s="537"/>
      <c r="JTT35" s="537"/>
      <c r="JTU35" s="537"/>
      <c r="JTV35" s="537"/>
      <c r="JTW35" s="537"/>
      <c r="JTX35" s="537"/>
      <c r="JTY35" s="537"/>
      <c r="JTZ35" s="537"/>
      <c r="JUA35" s="537"/>
      <c r="JUB35" s="537"/>
      <c r="JUC35" s="537"/>
      <c r="JUD35" s="537"/>
      <c r="JUE35" s="537"/>
      <c r="JUF35" s="537"/>
      <c r="JUG35" s="537"/>
      <c r="JUH35" s="537"/>
      <c r="JUI35" s="537"/>
      <c r="JUJ35" s="537"/>
      <c r="JUK35" s="537"/>
      <c r="JUL35" s="537"/>
      <c r="JUM35" s="537"/>
      <c r="JUN35" s="537"/>
      <c r="JUO35" s="537"/>
      <c r="JUP35" s="537"/>
      <c r="JUQ35" s="537"/>
      <c r="JUR35" s="537"/>
      <c r="JUS35" s="537"/>
      <c r="JUT35" s="537"/>
      <c r="JUU35" s="537"/>
      <c r="JUV35" s="537"/>
      <c r="JUW35" s="537"/>
      <c r="JUX35" s="537"/>
      <c r="JUY35" s="537"/>
      <c r="JUZ35" s="537"/>
      <c r="JVA35" s="537"/>
      <c r="JVB35" s="537"/>
      <c r="JVC35" s="537"/>
      <c r="JVD35" s="537"/>
      <c r="JVE35" s="537"/>
      <c r="JVF35" s="537"/>
      <c r="JVG35" s="537"/>
      <c r="JVH35" s="537"/>
      <c r="JVI35" s="537"/>
      <c r="JVJ35" s="537"/>
      <c r="JVK35" s="537"/>
      <c r="JVL35" s="537"/>
      <c r="JVM35" s="537"/>
      <c r="JVN35" s="537"/>
      <c r="JVO35" s="537"/>
      <c r="JVP35" s="537"/>
      <c r="JVQ35" s="537"/>
      <c r="JVR35" s="537"/>
      <c r="JVS35" s="537"/>
      <c r="JVT35" s="537"/>
      <c r="JVU35" s="537"/>
      <c r="JVV35" s="537"/>
      <c r="JVW35" s="537"/>
      <c r="JVX35" s="537"/>
      <c r="JVY35" s="537"/>
      <c r="JVZ35" s="537"/>
      <c r="JWA35" s="537"/>
      <c r="JWB35" s="537"/>
      <c r="JWC35" s="537"/>
      <c r="JWD35" s="537"/>
      <c r="JWE35" s="537"/>
      <c r="JWF35" s="537"/>
      <c r="JWG35" s="537"/>
      <c r="JWH35" s="537"/>
      <c r="JWI35" s="537"/>
      <c r="JWJ35" s="537"/>
      <c r="JWK35" s="537"/>
      <c r="JWL35" s="537"/>
      <c r="JWM35" s="537"/>
      <c r="JWN35" s="537"/>
      <c r="JWO35" s="537"/>
      <c r="JWP35" s="537"/>
      <c r="JWQ35" s="537"/>
      <c r="JWR35" s="537"/>
      <c r="JWS35" s="537"/>
      <c r="JWT35" s="537"/>
      <c r="JWU35" s="537"/>
      <c r="JWV35" s="537"/>
      <c r="JWW35" s="537"/>
      <c r="JWX35" s="537"/>
      <c r="JWY35" s="537"/>
      <c r="JWZ35" s="537"/>
      <c r="JXA35" s="537"/>
      <c r="JXB35" s="537"/>
      <c r="JXC35" s="537"/>
      <c r="JXD35" s="537"/>
      <c r="JXE35" s="537"/>
      <c r="JXF35" s="537"/>
      <c r="JXG35" s="537"/>
      <c r="JXH35" s="537"/>
      <c r="JXI35" s="537"/>
      <c r="JXJ35" s="537"/>
      <c r="JXK35" s="537"/>
      <c r="JXL35" s="537"/>
      <c r="JXM35" s="537"/>
      <c r="JXN35" s="537"/>
      <c r="JXO35" s="537"/>
      <c r="JXP35" s="537"/>
      <c r="JXQ35" s="537"/>
      <c r="JXR35" s="537"/>
      <c r="JXS35" s="537"/>
      <c r="JXT35" s="537"/>
      <c r="JXU35" s="537"/>
      <c r="JXV35" s="537"/>
      <c r="JXW35" s="537"/>
      <c r="JXX35" s="537"/>
      <c r="JXY35" s="537"/>
      <c r="JXZ35" s="537"/>
      <c r="JYA35" s="537"/>
      <c r="JYB35" s="537"/>
      <c r="JYC35" s="537"/>
      <c r="JYD35" s="537"/>
      <c r="JYE35" s="537"/>
      <c r="JYF35" s="537"/>
      <c r="JYG35" s="537"/>
      <c r="JYH35" s="537"/>
      <c r="JYI35" s="537"/>
      <c r="JYJ35" s="537"/>
      <c r="JYK35" s="537"/>
      <c r="JYL35" s="537"/>
      <c r="JYM35" s="537"/>
      <c r="JYN35" s="537"/>
      <c r="JYO35" s="537"/>
      <c r="JYP35" s="537"/>
      <c r="JYQ35" s="537"/>
      <c r="JYR35" s="537"/>
      <c r="JYS35" s="537"/>
      <c r="JYT35" s="537"/>
      <c r="JYU35" s="537"/>
      <c r="JYV35" s="537"/>
      <c r="JYW35" s="537"/>
      <c r="JYX35" s="537"/>
      <c r="JYY35" s="537"/>
      <c r="JYZ35" s="537"/>
      <c r="JZA35" s="537"/>
      <c r="JZB35" s="537"/>
      <c r="JZC35" s="537"/>
      <c r="JZD35" s="537"/>
      <c r="JZE35" s="537"/>
      <c r="JZF35" s="537"/>
      <c r="JZG35" s="537"/>
      <c r="JZH35" s="537"/>
      <c r="JZI35" s="537"/>
      <c r="JZJ35" s="537"/>
      <c r="JZK35" s="537"/>
      <c r="JZL35" s="537"/>
      <c r="JZM35" s="537"/>
      <c r="JZN35" s="537"/>
      <c r="JZO35" s="537"/>
      <c r="JZP35" s="537"/>
      <c r="JZQ35" s="537"/>
      <c r="JZR35" s="537"/>
      <c r="JZS35" s="537"/>
      <c r="JZT35" s="537"/>
      <c r="JZU35" s="537"/>
      <c r="JZV35" s="537"/>
      <c r="JZW35" s="537"/>
      <c r="JZX35" s="537"/>
      <c r="JZY35" s="537"/>
      <c r="JZZ35" s="537"/>
      <c r="KAA35" s="537"/>
      <c r="KAB35" s="537"/>
      <c r="KAC35" s="537"/>
      <c r="KAD35" s="537"/>
      <c r="KAE35" s="537"/>
      <c r="KAF35" s="537"/>
      <c r="KAG35" s="537"/>
      <c r="KAH35" s="537"/>
      <c r="KAI35" s="537"/>
      <c r="KAJ35" s="537"/>
      <c r="KAK35" s="537"/>
      <c r="KAL35" s="537"/>
      <c r="KAM35" s="537"/>
      <c r="KAN35" s="537"/>
      <c r="KAO35" s="537"/>
      <c r="KAP35" s="537"/>
      <c r="KAQ35" s="537"/>
      <c r="KAR35" s="537"/>
      <c r="KAS35" s="537"/>
      <c r="KAT35" s="537"/>
      <c r="KAU35" s="537"/>
      <c r="KAV35" s="537"/>
      <c r="KAW35" s="537"/>
      <c r="KAX35" s="537"/>
      <c r="KAY35" s="537"/>
      <c r="KAZ35" s="537"/>
      <c r="KBA35" s="537"/>
      <c r="KBB35" s="537"/>
      <c r="KBC35" s="537"/>
      <c r="KBD35" s="537"/>
      <c r="KBE35" s="537"/>
      <c r="KBF35" s="537"/>
      <c r="KBG35" s="537"/>
      <c r="KBH35" s="537"/>
      <c r="KBI35" s="537"/>
      <c r="KBJ35" s="537"/>
      <c r="KBK35" s="537"/>
      <c r="KBL35" s="537"/>
      <c r="KBM35" s="537"/>
      <c r="KBN35" s="537"/>
      <c r="KBO35" s="537"/>
      <c r="KBP35" s="537"/>
      <c r="KBQ35" s="537"/>
      <c r="KBR35" s="537"/>
      <c r="KBS35" s="537"/>
      <c r="KBT35" s="537"/>
      <c r="KBU35" s="537"/>
      <c r="KBV35" s="537"/>
      <c r="KBW35" s="537"/>
      <c r="KBX35" s="537"/>
      <c r="KBY35" s="537"/>
      <c r="KBZ35" s="537"/>
      <c r="KCA35" s="537"/>
      <c r="KCB35" s="537"/>
      <c r="KCC35" s="537"/>
      <c r="KCD35" s="537"/>
      <c r="KCE35" s="537"/>
      <c r="KCF35" s="537"/>
      <c r="KCG35" s="537"/>
      <c r="KCH35" s="537"/>
      <c r="KCI35" s="537"/>
      <c r="KCJ35" s="537"/>
      <c r="KCK35" s="537"/>
      <c r="KCL35" s="537"/>
      <c r="KCM35" s="537"/>
      <c r="KCN35" s="537"/>
      <c r="KCO35" s="537"/>
      <c r="KCP35" s="537"/>
      <c r="KCQ35" s="537"/>
      <c r="KCR35" s="537"/>
      <c r="KCS35" s="537"/>
      <c r="KCT35" s="537"/>
      <c r="KCU35" s="537"/>
      <c r="KCV35" s="537"/>
      <c r="KCW35" s="537"/>
      <c r="KCX35" s="537"/>
      <c r="KCY35" s="537"/>
      <c r="KCZ35" s="537"/>
      <c r="KDA35" s="537"/>
      <c r="KDB35" s="537"/>
      <c r="KDC35" s="537"/>
      <c r="KDD35" s="537"/>
      <c r="KDE35" s="537"/>
      <c r="KDF35" s="537"/>
      <c r="KDG35" s="537"/>
      <c r="KDH35" s="537"/>
      <c r="KDI35" s="537"/>
      <c r="KDJ35" s="537"/>
      <c r="KDK35" s="537"/>
      <c r="KDL35" s="537"/>
      <c r="KDM35" s="537"/>
      <c r="KDN35" s="537"/>
      <c r="KDO35" s="537"/>
      <c r="KDP35" s="537"/>
      <c r="KDQ35" s="537"/>
      <c r="KDR35" s="537"/>
      <c r="KDS35" s="537"/>
      <c r="KDT35" s="537"/>
      <c r="KDU35" s="537"/>
      <c r="KDV35" s="537"/>
      <c r="KDW35" s="537"/>
      <c r="KDX35" s="537"/>
      <c r="KDY35" s="537"/>
      <c r="KDZ35" s="537"/>
      <c r="KEA35" s="537"/>
      <c r="KEB35" s="537"/>
      <c r="KEC35" s="537"/>
      <c r="KED35" s="537"/>
      <c r="KEE35" s="537"/>
      <c r="KEF35" s="537"/>
      <c r="KEG35" s="537"/>
      <c r="KEH35" s="537"/>
      <c r="KEI35" s="537"/>
      <c r="KEJ35" s="537"/>
      <c r="KEK35" s="537"/>
      <c r="KEL35" s="537"/>
      <c r="KEM35" s="537"/>
      <c r="KEN35" s="537"/>
      <c r="KEO35" s="537"/>
      <c r="KEP35" s="537"/>
      <c r="KEQ35" s="537"/>
      <c r="KER35" s="537"/>
      <c r="KES35" s="537"/>
      <c r="KET35" s="537"/>
      <c r="KEU35" s="537"/>
      <c r="KEV35" s="537"/>
      <c r="KEW35" s="537"/>
      <c r="KEX35" s="537"/>
      <c r="KEY35" s="537"/>
      <c r="KEZ35" s="537"/>
      <c r="KFA35" s="537"/>
      <c r="KFB35" s="537"/>
      <c r="KFC35" s="537"/>
      <c r="KFD35" s="537"/>
      <c r="KFE35" s="537"/>
      <c r="KFF35" s="537"/>
      <c r="KFG35" s="537"/>
      <c r="KFH35" s="537"/>
      <c r="KFI35" s="537"/>
      <c r="KFJ35" s="537"/>
      <c r="KFK35" s="537"/>
      <c r="KFL35" s="537"/>
      <c r="KFM35" s="537"/>
      <c r="KFN35" s="537"/>
      <c r="KFO35" s="537"/>
      <c r="KFP35" s="537"/>
      <c r="KFQ35" s="537"/>
      <c r="KFR35" s="537"/>
      <c r="KFS35" s="537"/>
      <c r="KFT35" s="537"/>
      <c r="KFU35" s="537"/>
      <c r="KFV35" s="537"/>
      <c r="KFW35" s="537"/>
      <c r="KFX35" s="537"/>
      <c r="KFY35" s="537"/>
      <c r="KFZ35" s="537"/>
      <c r="KGA35" s="537"/>
      <c r="KGB35" s="537"/>
      <c r="KGC35" s="537"/>
      <c r="KGD35" s="537"/>
      <c r="KGE35" s="537"/>
      <c r="KGF35" s="537"/>
      <c r="KGG35" s="537"/>
      <c r="KGH35" s="537"/>
      <c r="KGI35" s="537"/>
      <c r="KGJ35" s="537"/>
      <c r="KGK35" s="537"/>
      <c r="KGL35" s="537"/>
      <c r="KGM35" s="537"/>
      <c r="KGN35" s="537"/>
      <c r="KGO35" s="537"/>
      <c r="KGP35" s="537"/>
      <c r="KGQ35" s="537"/>
      <c r="KGR35" s="537"/>
      <c r="KGS35" s="537"/>
      <c r="KGT35" s="537"/>
      <c r="KGU35" s="537"/>
      <c r="KGV35" s="537"/>
      <c r="KGW35" s="537"/>
      <c r="KGX35" s="537"/>
      <c r="KGY35" s="537"/>
      <c r="KGZ35" s="537"/>
      <c r="KHA35" s="537"/>
      <c r="KHB35" s="537"/>
      <c r="KHC35" s="537"/>
      <c r="KHD35" s="537"/>
      <c r="KHE35" s="537"/>
      <c r="KHF35" s="537"/>
      <c r="KHG35" s="537"/>
      <c r="KHH35" s="537"/>
      <c r="KHI35" s="537"/>
      <c r="KHJ35" s="537"/>
      <c r="KHK35" s="537"/>
      <c r="KHL35" s="537"/>
      <c r="KHM35" s="537"/>
      <c r="KHN35" s="537"/>
      <c r="KHO35" s="537"/>
      <c r="KHP35" s="537"/>
      <c r="KHQ35" s="537"/>
      <c r="KHR35" s="537"/>
      <c r="KHS35" s="537"/>
      <c r="KHT35" s="537"/>
      <c r="KHU35" s="537"/>
      <c r="KHV35" s="537"/>
      <c r="KHW35" s="537"/>
      <c r="KHX35" s="537"/>
      <c r="KHY35" s="537"/>
      <c r="KHZ35" s="537"/>
      <c r="KIA35" s="537"/>
      <c r="KIB35" s="537"/>
      <c r="KIC35" s="537"/>
      <c r="KID35" s="537"/>
      <c r="KIE35" s="537"/>
      <c r="KIF35" s="537"/>
      <c r="KIG35" s="537"/>
      <c r="KIH35" s="537"/>
      <c r="KII35" s="537"/>
      <c r="KIJ35" s="537"/>
      <c r="KIK35" s="537"/>
      <c r="KIL35" s="537"/>
      <c r="KIM35" s="537"/>
      <c r="KIN35" s="537"/>
      <c r="KIO35" s="537"/>
      <c r="KIP35" s="537"/>
      <c r="KIQ35" s="537"/>
      <c r="KIR35" s="537"/>
      <c r="KIS35" s="537"/>
      <c r="KIT35" s="537"/>
      <c r="KIU35" s="537"/>
      <c r="KIV35" s="537"/>
      <c r="KIW35" s="537"/>
      <c r="KIX35" s="537"/>
      <c r="KIY35" s="537"/>
      <c r="KIZ35" s="537"/>
      <c r="KJA35" s="537"/>
      <c r="KJB35" s="537"/>
      <c r="KJC35" s="537"/>
      <c r="KJD35" s="537"/>
      <c r="KJE35" s="537"/>
      <c r="KJF35" s="537"/>
      <c r="KJG35" s="537"/>
      <c r="KJH35" s="537"/>
      <c r="KJI35" s="537"/>
      <c r="KJJ35" s="537"/>
      <c r="KJK35" s="537"/>
      <c r="KJL35" s="537"/>
      <c r="KJM35" s="537"/>
      <c r="KJN35" s="537"/>
      <c r="KJO35" s="537"/>
      <c r="KJP35" s="537"/>
      <c r="KJQ35" s="537"/>
      <c r="KJR35" s="537"/>
      <c r="KJS35" s="537"/>
      <c r="KJT35" s="537"/>
      <c r="KJU35" s="537"/>
      <c r="KJV35" s="537"/>
      <c r="KJW35" s="537"/>
      <c r="KJX35" s="537"/>
      <c r="KJY35" s="537"/>
      <c r="KJZ35" s="537"/>
      <c r="KKA35" s="537"/>
      <c r="KKB35" s="537"/>
      <c r="KKC35" s="537"/>
      <c r="KKD35" s="537"/>
      <c r="KKE35" s="537"/>
      <c r="KKF35" s="537"/>
      <c r="KKG35" s="537"/>
      <c r="KKH35" s="537"/>
      <c r="KKI35" s="537"/>
      <c r="KKJ35" s="537"/>
      <c r="KKK35" s="537"/>
      <c r="KKL35" s="537"/>
      <c r="KKM35" s="537"/>
      <c r="KKN35" s="537"/>
      <c r="KKO35" s="537"/>
      <c r="KKP35" s="537"/>
      <c r="KKQ35" s="537"/>
      <c r="KKR35" s="537"/>
      <c r="KKS35" s="537"/>
      <c r="KKT35" s="537"/>
      <c r="KKU35" s="537"/>
      <c r="KKV35" s="537"/>
      <c r="KKW35" s="537"/>
      <c r="KKX35" s="537"/>
      <c r="KKY35" s="537"/>
      <c r="KKZ35" s="537"/>
      <c r="KLA35" s="537"/>
      <c r="KLB35" s="537"/>
      <c r="KLC35" s="537"/>
      <c r="KLD35" s="537"/>
      <c r="KLE35" s="537"/>
      <c r="KLF35" s="537"/>
      <c r="KLG35" s="537"/>
      <c r="KLH35" s="537"/>
      <c r="KLI35" s="537"/>
      <c r="KLJ35" s="537"/>
      <c r="KLK35" s="537"/>
      <c r="KLL35" s="537"/>
      <c r="KLM35" s="537"/>
      <c r="KLN35" s="537"/>
      <c r="KLO35" s="537"/>
      <c r="KLP35" s="537"/>
      <c r="KLQ35" s="537"/>
      <c r="KLR35" s="537"/>
      <c r="KLS35" s="537"/>
      <c r="KLT35" s="537"/>
      <c r="KLU35" s="537"/>
      <c r="KLV35" s="537"/>
      <c r="KLW35" s="537"/>
      <c r="KLX35" s="537"/>
      <c r="KLY35" s="537"/>
      <c r="KLZ35" s="537"/>
      <c r="KMA35" s="537"/>
      <c r="KMB35" s="537"/>
      <c r="KMC35" s="537"/>
      <c r="KMD35" s="537"/>
      <c r="KME35" s="537"/>
      <c r="KMF35" s="537"/>
      <c r="KMG35" s="537"/>
      <c r="KMH35" s="537"/>
      <c r="KMI35" s="537"/>
      <c r="KMJ35" s="537"/>
      <c r="KMK35" s="537"/>
      <c r="KML35" s="537"/>
      <c r="KMM35" s="537"/>
      <c r="KMN35" s="537"/>
      <c r="KMO35" s="537"/>
      <c r="KMP35" s="537"/>
      <c r="KMQ35" s="537"/>
      <c r="KMR35" s="537"/>
      <c r="KMS35" s="537"/>
      <c r="KMT35" s="537"/>
      <c r="KMU35" s="537"/>
      <c r="KMV35" s="537"/>
      <c r="KMW35" s="537"/>
      <c r="KMX35" s="537"/>
      <c r="KMY35" s="537"/>
      <c r="KMZ35" s="537"/>
      <c r="KNA35" s="537"/>
      <c r="KNB35" s="537"/>
      <c r="KNC35" s="537"/>
      <c r="KND35" s="537"/>
      <c r="KNE35" s="537"/>
      <c r="KNF35" s="537"/>
      <c r="KNG35" s="537"/>
      <c r="KNH35" s="537"/>
      <c r="KNI35" s="537"/>
      <c r="KNJ35" s="537"/>
      <c r="KNK35" s="537"/>
      <c r="KNL35" s="537"/>
      <c r="KNM35" s="537"/>
      <c r="KNN35" s="537"/>
      <c r="KNO35" s="537"/>
      <c r="KNP35" s="537"/>
      <c r="KNQ35" s="537"/>
      <c r="KNR35" s="537"/>
      <c r="KNS35" s="537"/>
      <c r="KNT35" s="537"/>
      <c r="KNU35" s="537"/>
      <c r="KNV35" s="537"/>
      <c r="KNW35" s="537"/>
      <c r="KNX35" s="537"/>
      <c r="KNY35" s="537"/>
      <c r="KNZ35" s="537"/>
      <c r="KOA35" s="537"/>
      <c r="KOB35" s="537"/>
      <c r="KOC35" s="537"/>
      <c r="KOD35" s="537"/>
      <c r="KOE35" s="537"/>
      <c r="KOF35" s="537"/>
      <c r="KOG35" s="537"/>
      <c r="KOH35" s="537"/>
      <c r="KOI35" s="537"/>
      <c r="KOJ35" s="537"/>
      <c r="KOK35" s="537"/>
      <c r="KOL35" s="537"/>
      <c r="KOM35" s="537"/>
      <c r="KON35" s="537"/>
      <c r="KOO35" s="537"/>
      <c r="KOP35" s="537"/>
      <c r="KOQ35" s="537"/>
      <c r="KOR35" s="537"/>
      <c r="KOS35" s="537"/>
      <c r="KOT35" s="537"/>
      <c r="KOU35" s="537"/>
      <c r="KOV35" s="537"/>
      <c r="KOW35" s="537"/>
      <c r="KOX35" s="537"/>
      <c r="KOY35" s="537"/>
      <c r="KOZ35" s="537"/>
      <c r="KPA35" s="537"/>
      <c r="KPB35" s="537"/>
      <c r="KPC35" s="537"/>
      <c r="KPD35" s="537"/>
      <c r="KPE35" s="537"/>
      <c r="KPF35" s="537"/>
      <c r="KPG35" s="537"/>
      <c r="KPH35" s="537"/>
      <c r="KPI35" s="537"/>
      <c r="KPJ35" s="537"/>
      <c r="KPK35" s="537"/>
      <c r="KPL35" s="537"/>
      <c r="KPM35" s="537"/>
      <c r="KPN35" s="537"/>
      <c r="KPO35" s="537"/>
      <c r="KPP35" s="537"/>
      <c r="KPQ35" s="537"/>
      <c r="KPR35" s="537"/>
      <c r="KPS35" s="537"/>
      <c r="KPT35" s="537"/>
      <c r="KPU35" s="537"/>
      <c r="KPV35" s="537"/>
      <c r="KPW35" s="537"/>
      <c r="KPX35" s="537"/>
      <c r="KPY35" s="537"/>
      <c r="KPZ35" s="537"/>
      <c r="KQA35" s="537"/>
      <c r="KQB35" s="537"/>
      <c r="KQC35" s="537"/>
      <c r="KQD35" s="537"/>
      <c r="KQE35" s="537"/>
      <c r="KQF35" s="537"/>
      <c r="KQG35" s="537"/>
      <c r="KQH35" s="537"/>
      <c r="KQI35" s="537"/>
      <c r="KQJ35" s="537"/>
      <c r="KQK35" s="537"/>
      <c r="KQL35" s="537"/>
      <c r="KQM35" s="537"/>
      <c r="KQN35" s="537"/>
      <c r="KQO35" s="537"/>
      <c r="KQP35" s="537"/>
      <c r="KQQ35" s="537"/>
      <c r="KQR35" s="537"/>
      <c r="KQS35" s="537"/>
      <c r="KQT35" s="537"/>
      <c r="KQU35" s="537"/>
      <c r="KQV35" s="537"/>
      <c r="KQW35" s="537"/>
      <c r="KQX35" s="537"/>
      <c r="KQY35" s="537"/>
      <c r="KQZ35" s="537"/>
      <c r="KRA35" s="537"/>
      <c r="KRB35" s="537"/>
      <c r="KRC35" s="537"/>
      <c r="KRD35" s="537"/>
      <c r="KRE35" s="537"/>
      <c r="KRF35" s="537"/>
      <c r="KRG35" s="537"/>
      <c r="KRH35" s="537"/>
      <c r="KRI35" s="537"/>
      <c r="KRJ35" s="537"/>
      <c r="KRK35" s="537"/>
      <c r="KRL35" s="537"/>
      <c r="KRM35" s="537"/>
      <c r="KRN35" s="537"/>
      <c r="KRO35" s="537"/>
      <c r="KRP35" s="537"/>
      <c r="KRQ35" s="537"/>
      <c r="KRR35" s="537"/>
      <c r="KRS35" s="537"/>
      <c r="KRT35" s="537"/>
      <c r="KRU35" s="537"/>
      <c r="KRV35" s="537"/>
      <c r="KRW35" s="537"/>
      <c r="KRX35" s="537"/>
      <c r="KRY35" s="537"/>
      <c r="KRZ35" s="537"/>
      <c r="KSA35" s="537"/>
      <c r="KSB35" s="537"/>
      <c r="KSC35" s="537"/>
      <c r="KSD35" s="537"/>
      <c r="KSE35" s="537"/>
      <c r="KSF35" s="537"/>
      <c r="KSG35" s="537"/>
      <c r="KSH35" s="537"/>
      <c r="KSI35" s="537"/>
      <c r="KSJ35" s="537"/>
      <c r="KSK35" s="537"/>
      <c r="KSL35" s="537"/>
      <c r="KSM35" s="537"/>
      <c r="KSN35" s="537"/>
      <c r="KSO35" s="537"/>
      <c r="KSP35" s="537"/>
      <c r="KSQ35" s="537"/>
      <c r="KSR35" s="537"/>
      <c r="KSS35" s="537"/>
      <c r="KST35" s="537"/>
      <c r="KSU35" s="537"/>
      <c r="KSV35" s="537"/>
      <c r="KSW35" s="537"/>
      <c r="KSX35" s="537"/>
      <c r="KSY35" s="537"/>
      <c r="KSZ35" s="537"/>
      <c r="KTA35" s="537"/>
      <c r="KTB35" s="537"/>
      <c r="KTC35" s="537"/>
      <c r="KTD35" s="537"/>
      <c r="KTE35" s="537"/>
      <c r="KTF35" s="537"/>
      <c r="KTG35" s="537"/>
      <c r="KTH35" s="537"/>
      <c r="KTI35" s="537"/>
      <c r="KTJ35" s="537"/>
      <c r="KTK35" s="537"/>
      <c r="KTL35" s="537"/>
      <c r="KTM35" s="537"/>
      <c r="KTN35" s="537"/>
      <c r="KTO35" s="537"/>
      <c r="KTP35" s="537"/>
      <c r="KTQ35" s="537"/>
      <c r="KTR35" s="537"/>
      <c r="KTS35" s="537"/>
      <c r="KTT35" s="537"/>
      <c r="KTU35" s="537"/>
      <c r="KTV35" s="537"/>
      <c r="KTW35" s="537"/>
      <c r="KTX35" s="537"/>
      <c r="KTY35" s="537"/>
      <c r="KTZ35" s="537"/>
      <c r="KUA35" s="537"/>
      <c r="KUB35" s="537"/>
      <c r="KUC35" s="537"/>
      <c r="KUD35" s="537"/>
      <c r="KUE35" s="537"/>
      <c r="KUF35" s="537"/>
      <c r="KUG35" s="537"/>
      <c r="KUH35" s="537"/>
      <c r="KUI35" s="537"/>
      <c r="KUJ35" s="537"/>
      <c r="KUK35" s="537"/>
      <c r="KUL35" s="537"/>
      <c r="KUM35" s="537"/>
      <c r="KUN35" s="537"/>
      <c r="KUO35" s="537"/>
      <c r="KUP35" s="537"/>
      <c r="KUQ35" s="537"/>
      <c r="KUR35" s="537"/>
      <c r="KUS35" s="537"/>
      <c r="KUT35" s="537"/>
      <c r="KUU35" s="537"/>
      <c r="KUV35" s="537"/>
      <c r="KUW35" s="537"/>
      <c r="KUX35" s="537"/>
      <c r="KUY35" s="537"/>
      <c r="KUZ35" s="537"/>
      <c r="KVA35" s="537"/>
      <c r="KVB35" s="537"/>
      <c r="KVC35" s="537"/>
      <c r="KVD35" s="537"/>
      <c r="KVE35" s="537"/>
      <c r="KVF35" s="537"/>
      <c r="KVG35" s="537"/>
      <c r="KVH35" s="537"/>
      <c r="KVI35" s="537"/>
      <c r="KVJ35" s="537"/>
      <c r="KVK35" s="537"/>
      <c r="KVL35" s="537"/>
      <c r="KVM35" s="537"/>
      <c r="KVN35" s="537"/>
      <c r="KVO35" s="537"/>
      <c r="KVP35" s="537"/>
      <c r="KVQ35" s="537"/>
      <c r="KVR35" s="537"/>
      <c r="KVS35" s="537"/>
      <c r="KVT35" s="537"/>
      <c r="KVU35" s="537"/>
      <c r="KVV35" s="537"/>
      <c r="KVW35" s="537"/>
      <c r="KVX35" s="537"/>
      <c r="KVY35" s="537"/>
      <c r="KVZ35" s="537"/>
      <c r="KWA35" s="537"/>
      <c r="KWB35" s="537"/>
      <c r="KWC35" s="537"/>
      <c r="KWD35" s="537"/>
      <c r="KWE35" s="537"/>
      <c r="KWF35" s="537"/>
      <c r="KWG35" s="537"/>
      <c r="KWH35" s="537"/>
      <c r="KWI35" s="537"/>
      <c r="KWJ35" s="537"/>
      <c r="KWK35" s="537"/>
      <c r="KWL35" s="537"/>
      <c r="KWM35" s="537"/>
      <c r="KWN35" s="537"/>
      <c r="KWO35" s="537"/>
      <c r="KWP35" s="537"/>
      <c r="KWQ35" s="537"/>
      <c r="KWR35" s="537"/>
      <c r="KWS35" s="537"/>
      <c r="KWT35" s="537"/>
      <c r="KWU35" s="537"/>
      <c r="KWV35" s="537"/>
      <c r="KWW35" s="537"/>
      <c r="KWX35" s="537"/>
      <c r="KWY35" s="537"/>
      <c r="KWZ35" s="537"/>
      <c r="KXA35" s="537"/>
      <c r="KXB35" s="537"/>
      <c r="KXC35" s="537"/>
      <c r="KXD35" s="537"/>
      <c r="KXE35" s="537"/>
      <c r="KXF35" s="537"/>
      <c r="KXG35" s="537"/>
      <c r="KXH35" s="537"/>
      <c r="KXI35" s="537"/>
      <c r="KXJ35" s="537"/>
      <c r="KXK35" s="537"/>
      <c r="KXL35" s="537"/>
      <c r="KXM35" s="537"/>
      <c r="KXN35" s="537"/>
      <c r="KXO35" s="537"/>
      <c r="KXP35" s="537"/>
      <c r="KXQ35" s="537"/>
      <c r="KXR35" s="537"/>
      <c r="KXS35" s="537"/>
      <c r="KXT35" s="537"/>
      <c r="KXU35" s="537"/>
      <c r="KXV35" s="537"/>
      <c r="KXW35" s="537"/>
      <c r="KXX35" s="537"/>
      <c r="KXY35" s="537"/>
      <c r="KXZ35" s="537"/>
      <c r="KYA35" s="537"/>
      <c r="KYB35" s="537"/>
      <c r="KYC35" s="537"/>
      <c r="KYD35" s="537"/>
      <c r="KYE35" s="537"/>
      <c r="KYF35" s="537"/>
      <c r="KYG35" s="537"/>
      <c r="KYH35" s="537"/>
      <c r="KYI35" s="537"/>
      <c r="KYJ35" s="537"/>
      <c r="KYK35" s="537"/>
      <c r="KYL35" s="537"/>
      <c r="KYM35" s="537"/>
      <c r="KYN35" s="537"/>
      <c r="KYO35" s="537"/>
      <c r="KYP35" s="537"/>
      <c r="KYQ35" s="537"/>
      <c r="KYR35" s="537"/>
      <c r="KYS35" s="537"/>
      <c r="KYT35" s="537"/>
      <c r="KYU35" s="537"/>
      <c r="KYV35" s="537"/>
      <c r="KYW35" s="537"/>
      <c r="KYX35" s="537"/>
      <c r="KYY35" s="537"/>
      <c r="KYZ35" s="537"/>
      <c r="KZA35" s="537"/>
      <c r="KZB35" s="537"/>
      <c r="KZC35" s="537"/>
      <c r="KZD35" s="537"/>
      <c r="KZE35" s="537"/>
      <c r="KZF35" s="537"/>
      <c r="KZG35" s="537"/>
      <c r="KZH35" s="537"/>
      <c r="KZI35" s="537"/>
      <c r="KZJ35" s="537"/>
      <c r="KZK35" s="537"/>
      <c r="KZL35" s="537"/>
      <c r="KZM35" s="537"/>
      <c r="KZN35" s="537"/>
      <c r="KZO35" s="537"/>
      <c r="KZP35" s="537"/>
      <c r="KZQ35" s="537"/>
      <c r="KZR35" s="537"/>
      <c r="KZS35" s="537"/>
      <c r="KZT35" s="537"/>
      <c r="KZU35" s="537"/>
      <c r="KZV35" s="537"/>
      <c r="KZW35" s="537"/>
      <c r="KZX35" s="537"/>
      <c r="KZY35" s="537"/>
      <c r="KZZ35" s="537"/>
      <c r="LAA35" s="537"/>
      <c r="LAB35" s="537"/>
      <c r="LAC35" s="537"/>
      <c r="LAD35" s="537"/>
      <c r="LAE35" s="537"/>
      <c r="LAF35" s="537"/>
      <c r="LAG35" s="537"/>
      <c r="LAH35" s="537"/>
      <c r="LAI35" s="537"/>
      <c r="LAJ35" s="537"/>
      <c r="LAK35" s="537"/>
      <c r="LAL35" s="537"/>
      <c r="LAM35" s="537"/>
      <c r="LAN35" s="537"/>
      <c r="LAO35" s="537"/>
      <c r="LAP35" s="537"/>
      <c r="LAQ35" s="537"/>
      <c r="LAR35" s="537"/>
      <c r="LAS35" s="537"/>
      <c r="LAT35" s="537"/>
      <c r="LAU35" s="537"/>
      <c r="LAV35" s="537"/>
      <c r="LAW35" s="537"/>
      <c r="LAX35" s="537"/>
      <c r="LAY35" s="537"/>
      <c r="LAZ35" s="537"/>
      <c r="LBA35" s="537"/>
      <c r="LBB35" s="537"/>
      <c r="LBC35" s="537"/>
      <c r="LBD35" s="537"/>
      <c r="LBE35" s="537"/>
      <c r="LBF35" s="537"/>
      <c r="LBG35" s="537"/>
      <c r="LBH35" s="537"/>
      <c r="LBI35" s="537"/>
      <c r="LBJ35" s="537"/>
      <c r="LBK35" s="537"/>
      <c r="LBL35" s="537"/>
      <c r="LBM35" s="537"/>
      <c r="LBN35" s="537"/>
      <c r="LBO35" s="537"/>
      <c r="LBP35" s="537"/>
      <c r="LBQ35" s="537"/>
      <c r="LBR35" s="537"/>
      <c r="LBS35" s="537"/>
      <c r="LBT35" s="537"/>
      <c r="LBU35" s="537"/>
      <c r="LBV35" s="537"/>
      <c r="LBW35" s="537"/>
      <c r="LBX35" s="537"/>
      <c r="LBY35" s="537"/>
      <c r="LBZ35" s="537"/>
      <c r="LCA35" s="537"/>
      <c r="LCB35" s="537"/>
      <c r="LCC35" s="537"/>
      <c r="LCD35" s="537"/>
      <c r="LCE35" s="537"/>
      <c r="LCF35" s="537"/>
      <c r="LCG35" s="537"/>
      <c r="LCH35" s="537"/>
      <c r="LCI35" s="537"/>
      <c r="LCJ35" s="537"/>
      <c r="LCK35" s="537"/>
      <c r="LCL35" s="537"/>
      <c r="LCM35" s="537"/>
      <c r="LCN35" s="537"/>
      <c r="LCO35" s="537"/>
      <c r="LCP35" s="537"/>
      <c r="LCQ35" s="537"/>
      <c r="LCR35" s="537"/>
      <c r="LCS35" s="537"/>
      <c r="LCT35" s="537"/>
      <c r="LCU35" s="537"/>
      <c r="LCV35" s="537"/>
      <c r="LCW35" s="537"/>
      <c r="LCX35" s="537"/>
      <c r="LCY35" s="537"/>
      <c r="LCZ35" s="537"/>
      <c r="LDA35" s="537"/>
      <c r="LDB35" s="537"/>
      <c r="LDC35" s="537"/>
      <c r="LDD35" s="537"/>
      <c r="LDE35" s="537"/>
      <c r="LDF35" s="537"/>
      <c r="LDG35" s="537"/>
      <c r="LDH35" s="537"/>
      <c r="LDI35" s="537"/>
      <c r="LDJ35" s="537"/>
      <c r="LDK35" s="537"/>
      <c r="LDL35" s="537"/>
      <c r="LDM35" s="537"/>
      <c r="LDN35" s="537"/>
      <c r="LDO35" s="537"/>
      <c r="LDP35" s="537"/>
      <c r="LDQ35" s="537"/>
      <c r="LDR35" s="537"/>
      <c r="LDS35" s="537"/>
      <c r="LDT35" s="537"/>
      <c r="LDU35" s="537"/>
      <c r="LDV35" s="537"/>
      <c r="LDW35" s="537"/>
      <c r="LDX35" s="537"/>
      <c r="LDY35" s="537"/>
      <c r="LDZ35" s="537"/>
      <c r="LEA35" s="537"/>
      <c r="LEB35" s="537"/>
      <c r="LEC35" s="537"/>
      <c r="LED35" s="537"/>
      <c r="LEE35" s="537"/>
      <c r="LEF35" s="537"/>
      <c r="LEG35" s="537"/>
      <c r="LEH35" s="537"/>
      <c r="LEI35" s="537"/>
      <c r="LEJ35" s="537"/>
      <c r="LEK35" s="537"/>
      <c r="LEL35" s="537"/>
      <c r="LEM35" s="537"/>
      <c r="LEN35" s="537"/>
      <c r="LEO35" s="537"/>
      <c r="LEP35" s="537"/>
      <c r="LEQ35" s="537"/>
      <c r="LER35" s="537"/>
      <c r="LES35" s="537"/>
      <c r="LET35" s="537"/>
      <c r="LEU35" s="537"/>
      <c r="LEV35" s="537"/>
      <c r="LEW35" s="537"/>
      <c r="LEX35" s="537"/>
      <c r="LEY35" s="537"/>
      <c r="LEZ35" s="537"/>
      <c r="LFA35" s="537"/>
      <c r="LFB35" s="537"/>
      <c r="LFC35" s="537"/>
      <c r="LFD35" s="537"/>
      <c r="LFE35" s="537"/>
      <c r="LFF35" s="537"/>
      <c r="LFG35" s="537"/>
      <c r="LFH35" s="537"/>
      <c r="LFI35" s="537"/>
      <c r="LFJ35" s="537"/>
      <c r="LFK35" s="537"/>
      <c r="LFL35" s="537"/>
      <c r="LFM35" s="537"/>
      <c r="LFN35" s="537"/>
      <c r="LFO35" s="537"/>
      <c r="LFP35" s="537"/>
      <c r="LFQ35" s="537"/>
      <c r="LFR35" s="537"/>
      <c r="LFS35" s="537"/>
      <c r="LFT35" s="537"/>
      <c r="LFU35" s="537"/>
      <c r="LFV35" s="537"/>
      <c r="LFW35" s="537"/>
      <c r="LFX35" s="537"/>
      <c r="LFY35" s="537"/>
      <c r="LFZ35" s="537"/>
      <c r="LGA35" s="537"/>
      <c r="LGB35" s="537"/>
      <c r="LGC35" s="537"/>
      <c r="LGD35" s="537"/>
      <c r="LGE35" s="537"/>
      <c r="LGF35" s="537"/>
      <c r="LGG35" s="537"/>
      <c r="LGH35" s="537"/>
      <c r="LGI35" s="537"/>
      <c r="LGJ35" s="537"/>
      <c r="LGK35" s="537"/>
      <c r="LGL35" s="537"/>
      <c r="LGM35" s="537"/>
      <c r="LGN35" s="537"/>
      <c r="LGO35" s="537"/>
      <c r="LGP35" s="537"/>
      <c r="LGQ35" s="537"/>
      <c r="LGR35" s="537"/>
      <c r="LGS35" s="537"/>
      <c r="LGT35" s="537"/>
      <c r="LGU35" s="537"/>
      <c r="LGV35" s="537"/>
      <c r="LGW35" s="537"/>
      <c r="LGX35" s="537"/>
      <c r="LGY35" s="537"/>
      <c r="LGZ35" s="537"/>
      <c r="LHA35" s="537"/>
      <c r="LHB35" s="537"/>
      <c r="LHC35" s="537"/>
      <c r="LHD35" s="537"/>
      <c r="LHE35" s="537"/>
      <c r="LHF35" s="537"/>
      <c r="LHG35" s="537"/>
      <c r="LHH35" s="537"/>
      <c r="LHI35" s="537"/>
      <c r="LHJ35" s="537"/>
      <c r="LHK35" s="537"/>
      <c r="LHL35" s="537"/>
      <c r="LHM35" s="537"/>
      <c r="LHN35" s="537"/>
      <c r="LHO35" s="537"/>
      <c r="LHP35" s="537"/>
      <c r="LHQ35" s="537"/>
      <c r="LHR35" s="537"/>
      <c r="LHS35" s="537"/>
      <c r="LHT35" s="537"/>
      <c r="LHU35" s="537"/>
      <c r="LHV35" s="537"/>
      <c r="LHW35" s="537"/>
      <c r="LHX35" s="537"/>
      <c r="LHY35" s="537"/>
      <c r="LHZ35" s="537"/>
      <c r="LIA35" s="537"/>
      <c r="LIB35" s="537"/>
      <c r="LIC35" s="537"/>
      <c r="LID35" s="537"/>
      <c r="LIE35" s="537"/>
      <c r="LIF35" s="537"/>
      <c r="LIG35" s="537"/>
      <c r="LIH35" s="537"/>
      <c r="LII35" s="537"/>
      <c r="LIJ35" s="537"/>
      <c r="LIK35" s="537"/>
      <c r="LIL35" s="537"/>
      <c r="LIM35" s="537"/>
      <c r="LIN35" s="537"/>
      <c r="LIO35" s="537"/>
      <c r="LIP35" s="537"/>
      <c r="LIQ35" s="537"/>
      <c r="LIR35" s="537"/>
      <c r="LIS35" s="537"/>
      <c r="LIT35" s="537"/>
      <c r="LIU35" s="537"/>
      <c r="LIV35" s="537"/>
      <c r="LIW35" s="537"/>
      <c r="LIX35" s="537"/>
      <c r="LIY35" s="537"/>
      <c r="LIZ35" s="537"/>
      <c r="LJA35" s="537"/>
      <c r="LJB35" s="537"/>
      <c r="LJC35" s="537"/>
      <c r="LJD35" s="537"/>
      <c r="LJE35" s="537"/>
      <c r="LJF35" s="537"/>
      <c r="LJG35" s="537"/>
      <c r="LJH35" s="537"/>
      <c r="LJI35" s="537"/>
      <c r="LJJ35" s="537"/>
      <c r="LJK35" s="537"/>
      <c r="LJL35" s="537"/>
      <c r="LJM35" s="537"/>
      <c r="LJN35" s="537"/>
      <c r="LJO35" s="537"/>
      <c r="LJP35" s="537"/>
      <c r="LJQ35" s="537"/>
      <c r="LJR35" s="537"/>
      <c r="LJS35" s="537"/>
      <c r="LJT35" s="537"/>
      <c r="LJU35" s="537"/>
      <c r="LJV35" s="537"/>
      <c r="LJW35" s="537"/>
      <c r="LJX35" s="537"/>
      <c r="LJY35" s="537"/>
      <c r="LJZ35" s="537"/>
      <c r="LKA35" s="537"/>
      <c r="LKB35" s="537"/>
      <c r="LKC35" s="537"/>
      <c r="LKD35" s="537"/>
      <c r="LKE35" s="537"/>
      <c r="LKF35" s="537"/>
      <c r="LKG35" s="537"/>
      <c r="LKH35" s="537"/>
      <c r="LKI35" s="537"/>
      <c r="LKJ35" s="537"/>
      <c r="LKK35" s="537"/>
      <c r="LKL35" s="537"/>
      <c r="LKM35" s="537"/>
      <c r="LKN35" s="537"/>
      <c r="LKO35" s="537"/>
      <c r="LKP35" s="537"/>
      <c r="LKQ35" s="537"/>
      <c r="LKR35" s="537"/>
      <c r="LKS35" s="537"/>
      <c r="LKT35" s="537"/>
      <c r="LKU35" s="537"/>
      <c r="LKV35" s="537"/>
      <c r="LKW35" s="537"/>
      <c r="LKX35" s="537"/>
      <c r="LKY35" s="537"/>
      <c r="LKZ35" s="537"/>
      <c r="LLA35" s="537"/>
      <c r="LLB35" s="537"/>
      <c r="LLC35" s="537"/>
      <c r="LLD35" s="537"/>
      <c r="LLE35" s="537"/>
      <c r="LLF35" s="537"/>
      <c r="LLG35" s="537"/>
      <c r="LLH35" s="537"/>
      <c r="LLI35" s="537"/>
      <c r="LLJ35" s="537"/>
      <c r="LLK35" s="537"/>
      <c r="LLL35" s="537"/>
      <c r="LLM35" s="537"/>
      <c r="LLN35" s="537"/>
      <c r="LLO35" s="537"/>
      <c r="LLP35" s="537"/>
      <c r="LLQ35" s="537"/>
      <c r="LLR35" s="537"/>
      <c r="LLS35" s="537"/>
      <c r="LLT35" s="537"/>
      <c r="LLU35" s="537"/>
      <c r="LLV35" s="537"/>
      <c r="LLW35" s="537"/>
      <c r="LLX35" s="537"/>
      <c r="LLY35" s="537"/>
      <c r="LLZ35" s="537"/>
      <c r="LMA35" s="537"/>
      <c r="LMB35" s="537"/>
      <c r="LMC35" s="537"/>
      <c r="LMD35" s="537"/>
      <c r="LME35" s="537"/>
      <c r="LMF35" s="537"/>
      <c r="LMG35" s="537"/>
      <c r="LMH35" s="537"/>
      <c r="LMI35" s="537"/>
      <c r="LMJ35" s="537"/>
      <c r="LMK35" s="537"/>
      <c r="LML35" s="537"/>
      <c r="LMM35" s="537"/>
      <c r="LMN35" s="537"/>
      <c r="LMO35" s="537"/>
      <c r="LMP35" s="537"/>
      <c r="LMQ35" s="537"/>
      <c r="LMR35" s="537"/>
      <c r="LMS35" s="537"/>
      <c r="LMT35" s="537"/>
      <c r="LMU35" s="537"/>
      <c r="LMV35" s="537"/>
      <c r="LMW35" s="537"/>
      <c r="LMX35" s="537"/>
      <c r="LMY35" s="537"/>
      <c r="LMZ35" s="537"/>
      <c r="LNA35" s="537"/>
      <c r="LNB35" s="537"/>
      <c r="LNC35" s="537"/>
      <c r="LND35" s="537"/>
      <c r="LNE35" s="537"/>
      <c r="LNF35" s="537"/>
      <c r="LNG35" s="537"/>
      <c r="LNH35" s="537"/>
      <c r="LNI35" s="537"/>
      <c r="LNJ35" s="537"/>
      <c r="LNK35" s="537"/>
      <c r="LNL35" s="537"/>
      <c r="LNM35" s="537"/>
      <c r="LNN35" s="537"/>
      <c r="LNO35" s="537"/>
      <c r="LNP35" s="537"/>
      <c r="LNQ35" s="537"/>
      <c r="LNR35" s="537"/>
      <c r="LNS35" s="537"/>
      <c r="LNT35" s="537"/>
      <c r="LNU35" s="537"/>
      <c r="LNV35" s="537"/>
      <c r="LNW35" s="537"/>
      <c r="LNX35" s="537"/>
      <c r="LNY35" s="537"/>
      <c r="LNZ35" s="537"/>
      <c r="LOA35" s="537"/>
      <c r="LOB35" s="537"/>
      <c r="LOC35" s="537"/>
      <c r="LOD35" s="537"/>
      <c r="LOE35" s="537"/>
      <c r="LOF35" s="537"/>
      <c r="LOG35" s="537"/>
      <c r="LOH35" s="537"/>
      <c r="LOI35" s="537"/>
      <c r="LOJ35" s="537"/>
      <c r="LOK35" s="537"/>
      <c r="LOL35" s="537"/>
      <c r="LOM35" s="537"/>
      <c r="LON35" s="537"/>
      <c r="LOO35" s="537"/>
      <c r="LOP35" s="537"/>
      <c r="LOQ35" s="537"/>
      <c r="LOR35" s="537"/>
      <c r="LOS35" s="537"/>
      <c r="LOT35" s="537"/>
      <c r="LOU35" s="537"/>
      <c r="LOV35" s="537"/>
      <c r="LOW35" s="537"/>
      <c r="LOX35" s="537"/>
      <c r="LOY35" s="537"/>
      <c r="LOZ35" s="537"/>
      <c r="LPA35" s="537"/>
      <c r="LPB35" s="537"/>
      <c r="LPC35" s="537"/>
      <c r="LPD35" s="537"/>
      <c r="LPE35" s="537"/>
      <c r="LPF35" s="537"/>
      <c r="LPG35" s="537"/>
      <c r="LPH35" s="537"/>
      <c r="LPI35" s="537"/>
      <c r="LPJ35" s="537"/>
      <c r="LPK35" s="537"/>
      <c r="LPL35" s="537"/>
      <c r="LPM35" s="537"/>
      <c r="LPN35" s="537"/>
      <c r="LPO35" s="537"/>
      <c r="LPP35" s="537"/>
      <c r="LPQ35" s="537"/>
      <c r="LPR35" s="537"/>
      <c r="LPS35" s="537"/>
      <c r="LPT35" s="537"/>
      <c r="LPU35" s="537"/>
      <c r="LPV35" s="537"/>
      <c r="LPW35" s="537"/>
      <c r="LPX35" s="537"/>
      <c r="LPY35" s="537"/>
      <c r="LPZ35" s="537"/>
      <c r="LQA35" s="537"/>
      <c r="LQB35" s="537"/>
      <c r="LQC35" s="537"/>
      <c r="LQD35" s="537"/>
      <c r="LQE35" s="537"/>
      <c r="LQF35" s="537"/>
      <c r="LQG35" s="537"/>
      <c r="LQH35" s="537"/>
      <c r="LQI35" s="537"/>
      <c r="LQJ35" s="537"/>
      <c r="LQK35" s="537"/>
      <c r="LQL35" s="537"/>
      <c r="LQM35" s="537"/>
      <c r="LQN35" s="537"/>
      <c r="LQO35" s="537"/>
      <c r="LQP35" s="537"/>
      <c r="LQQ35" s="537"/>
      <c r="LQR35" s="537"/>
      <c r="LQS35" s="537"/>
      <c r="LQT35" s="537"/>
      <c r="LQU35" s="537"/>
      <c r="LQV35" s="537"/>
      <c r="LQW35" s="537"/>
      <c r="LQX35" s="537"/>
      <c r="LQY35" s="537"/>
      <c r="LQZ35" s="537"/>
      <c r="LRA35" s="537"/>
      <c r="LRB35" s="537"/>
      <c r="LRC35" s="537"/>
      <c r="LRD35" s="537"/>
      <c r="LRE35" s="537"/>
      <c r="LRF35" s="537"/>
      <c r="LRG35" s="537"/>
      <c r="LRH35" s="537"/>
      <c r="LRI35" s="537"/>
      <c r="LRJ35" s="537"/>
      <c r="LRK35" s="537"/>
      <c r="LRL35" s="537"/>
      <c r="LRM35" s="537"/>
      <c r="LRN35" s="537"/>
      <c r="LRO35" s="537"/>
      <c r="LRP35" s="537"/>
      <c r="LRQ35" s="537"/>
      <c r="LRR35" s="537"/>
      <c r="LRS35" s="537"/>
      <c r="LRT35" s="537"/>
      <c r="LRU35" s="537"/>
      <c r="LRV35" s="537"/>
      <c r="LRW35" s="537"/>
      <c r="LRX35" s="537"/>
      <c r="LRY35" s="537"/>
      <c r="LRZ35" s="537"/>
      <c r="LSA35" s="537"/>
      <c r="LSB35" s="537"/>
      <c r="LSC35" s="537"/>
      <c r="LSD35" s="537"/>
      <c r="LSE35" s="537"/>
      <c r="LSF35" s="537"/>
      <c r="LSG35" s="537"/>
      <c r="LSH35" s="537"/>
      <c r="LSI35" s="537"/>
      <c r="LSJ35" s="537"/>
      <c r="LSK35" s="537"/>
      <c r="LSL35" s="537"/>
      <c r="LSM35" s="537"/>
      <c r="LSN35" s="537"/>
      <c r="LSO35" s="537"/>
      <c r="LSP35" s="537"/>
      <c r="LSQ35" s="537"/>
      <c r="LSR35" s="537"/>
      <c r="LSS35" s="537"/>
      <c r="LST35" s="537"/>
      <c r="LSU35" s="537"/>
      <c r="LSV35" s="537"/>
      <c r="LSW35" s="537"/>
      <c r="LSX35" s="537"/>
      <c r="LSY35" s="537"/>
      <c r="LSZ35" s="537"/>
      <c r="LTA35" s="537"/>
      <c r="LTB35" s="537"/>
      <c r="LTC35" s="537"/>
      <c r="LTD35" s="537"/>
      <c r="LTE35" s="537"/>
      <c r="LTF35" s="537"/>
      <c r="LTG35" s="537"/>
      <c r="LTH35" s="537"/>
      <c r="LTI35" s="537"/>
      <c r="LTJ35" s="537"/>
      <c r="LTK35" s="537"/>
      <c r="LTL35" s="537"/>
      <c r="LTM35" s="537"/>
      <c r="LTN35" s="537"/>
      <c r="LTO35" s="537"/>
      <c r="LTP35" s="537"/>
      <c r="LTQ35" s="537"/>
      <c r="LTR35" s="537"/>
      <c r="LTS35" s="537"/>
      <c r="LTT35" s="537"/>
      <c r="LTU35" s="537"/>
      <c r="LTV35" s="537"/>
      <c r="LTW35" s="537"/>
      <c r="LTX35" s="537"/>
      <c r="LTY35" s="537"/>
      <c r="LTZ35" s="537"/>
      <c r="LUA35" s="537"/>
      <c r="LUB35" s="537"/>
      <c r="LUC35" s="537"/>
      <c r="LUD35" s="537"/>
      <c r="LUE35" s="537"/>
      <c r="LUF35" s="537"/>
      <c r="LUG35" s="537"/>
      <c r="LUH35" s="537"/>
      <c r="LUI35" s="537"/>
      <c r="LUJ35" s="537"/>
      <c r="LUK35" s="537"/>
      <c r="LUL35" s="537"/>
      <c r="LUM35" s="537"/>
      <c r="LUN35" s="537"/>
      <c r="LUO35" s="537"/>
      <c r="LUP35" s="537"/>
      <c r="LUQ35" s="537"/>
      <c r="LUR35" s="537"/>
      <c r="LUS35" s="537"/>
      <c r="LUT35" s="537"/>
      <c r="LUU35" s="537"/>
      <c r="LUV35" s="537"/>
      <c r="LUW35" s="537"/>
      <c r="LUX35" s="537"/>
      <c r="LUY35" s="537"/>
      <c r="LUZ35" s="537"/>
      <c r="LVA35" s="537"/>
      <c r="LVB35" s="537"/>
      <c r="LVC35" s="537"/>
      <c r="LVD35" s="537"/>
      <c r="LVE35" s="537"/>
      <c r="LVF35" s="537"/>
      <c r="LVG35" s="537"/>
      <c r="LVH35" s="537"/>
      <c r="LVI35" s="537"/>
      <c r="LVJ35" s="537"/>
      <c r="LVK35" s="537"/>
      <c r="LVL35" s="537"/>
      <c r="LVM35" s="537"/>
      <c r="LVN35" s="537"/>
      <c r="LVO35" s="537"/>
      <c r="LVP35" s="537"/>
      <c r="LVQ35" s="537"/>
      <c r="LVR35" s="537"/>
      <c r="LVS35" s="537"/>
      <c r="LVT35" s="537"/>
      <c r="LVU35" s="537"/>
      <c r="LVV35" s="537"/>
      <c r="LVW35" s="537"/>
      <c r="LVX35" s="537"/>
      <c r="LVY35" s="537"/>
      <c r="LVZ35" s="537"/>
      <c r="LWA35" s="537"/>
      <c r="LWB35" s="537"/>
      <c r="LWC35" s="537"/>
      <c r="LWD35" s="537"/>
      <c r="LWE35" s="537"/>
      <c r="LWF35" s="537"/>
      <c r="LWG35" s="537"/>
      <c r="LWH35" s="537"/>
      <c r="LWI35" s="537"/>
      <c r="LWJ35" s="537"/>
      <c r="LWK35" s="537"/>
      <c r="LWL35" s="537"/>
      <c r="LWM35" s="537"/>
      <c r="LWN35" s="537"/>
      <c r="LWO35" s="537"/>
      <c r="LWP35" s="537"/>
      <c r="LWQ35" s="537"/>
      <c r="LWR35" s="537"/>
      <c r="LWS35" s="537"/>
      <c r="LWT35" s="537"/>
      <c r="LWU35" s="537"/>
      <c r="LWV35" s="537"/>
      <c r="LWW35" s="537"/>
      <c r="LWX35" s="537"/>
      <c r="LWY35" s="537"/>
      <c r="LWZ35" s="537"/>
      <c r="LXA35" s="537"/>
      <c r="LXB35" s="537"/>
      <c r="LXC35" s="537"/>
      <c r="LXD35" s="537"/>
      <c r="LXE35" s="537"/>
      <c r="LXF35" s="537"/>
      <c r="LXG35" s="537"/>
      <c r="LXH35" s="537"/>
      <c r="LXI35" s="537"/>
      <c r="LXJ35" s="537"/>
      <c r="LXK35" s="537"/>
      <c r="LXL35" s="537"/>
      <c r="LXM35" s="537"/>
      <c r="LXN35" s="537"/>
      <c r="LXO35" s="537"/>
      <c r="LXP35" s="537"/>
      <c r="LXQ35" s="537"/>
      <c r="LXR35" s="537"/>
      <c r="LXS35" s="537"/>
      <c r="LXT35" s="537"/>
      <c r="LXU35" s="537"/>
      <c r="LXV35" s="537"/>
      <c r="LXW35" s="537"/>
      <c r="LXX35" s="537"/>
      <c r="LXY35" s="537"/>
      <c r="LXZ35" s="537"/>
      <c r="LYA35" s="537"/>
      <c r="LYB35" s="537"/>
      <c r="LYC35" s="537"/>
      <c r="LYD35" s="537"/>
      <c r="LYE35" s="537"/>
      <c r="LYF35" s="537"/>
      <c r="LYG35" s="537"/>
      <c r="LYH35" s="537"/>
      <c r="LYI35" s="537"/>
      <c r="LYJ35" s="537"/>
      <c r="LYK35" s="537"/>
      <c r="LYL35" s="537"/>
      <c r="LYM35" s="537"/>
      <c r="LYN35" s="537"/>
      <c r="LYO35" s="537"/>
      <c r="LYP35" s="537"/>
      <c r="LYQ35" s="537"/>
      <c r="LYR35" s="537"/>
      <c r="LYS35" s="537"/>
      <c r="LYT35" s="537"/>
      <c r="LYU35" s="537"/>
      <c r="LYV35" s="537"/>
      <c r="LYW35" s="537"/>
      <c r="LYX35" s="537"/>
      <c r="LYY35" s="537"/>
      <c r="LYZ35" s="537"/>
      <c r="LZA35" s="537"/>
      <c r="LZB35" s="537"/>
      <c r="LZC35" s="537"/>
      <c r="LZD35" s="537"/>
      <c r="LZE35" s="537"/>
      <c r="LZF35" s="537"/>
      <c r="LZG35" s="537"/>
      <c r="LZH35" s="537"/>
      <c r="LZI35" s="537"/>
      <c r="LZJ35" s="537"/>
      <c r="LZK35" s="537"/>
      <c r="LZL35" s="537"/>
      <c r="LZM35" s="537"/>
      <c r="LZN35" s="537"/>
      <c r="LZO35" s="537"/>
      <c r="LZP35" s="537"/>
      <c r="LZQ35" s="537"/>
      <c r="LZR35" s="537"/>
      <c r="LZS35" s="537"/>
      <c r="LZT35" s="537"/>
      <c r="LZU35" s="537"/>
      <c r="LZV35" s="537"/>
      <c r="LZW35" s="537"/>
      <c r="LZX35" s="537"/>
      <c r="LZY35" s="537"/>
      <c r="LZZ35" s="537"/>
      <c r="MAA35" s="537"/>
      <c r="MAB35" s="537"/>
      <c r="MAC35" s="537"/>
      <c r="MAD35" s="537"/>
      <c r="MAE35" s="537"/>
      <c r="MAF35" s="537"/>
      <c r="MAG35" s="537"/>
      <c r="MAH35" s="537"/>
      <c r="MAI35" s="537"/>
      <c r="MAJ35" s="537"/>
      <c r="MAK35" s="537"/>
      <c r="MAL35" s="537"/>
      <c r="MAM35" s="537"/>
      <c r="MAN35" s="537"/>
      <c r="MAO35" s="537"/>
      <c r="MAP35" s="537"/>
      <c r="MAQ35" s="537"/>
      <c r="MAR35" s="537"/>
      <c r="MAS35" s="537"/>
      <c r="MAT35" s="537"/>
      <c r="MAU35" s="537"/>
      <c r="MAV35" s="537"/>
      <c r="MAW35" s="537"/>
      <c r="MAX35" s="537"/>
      <c r="MAY35" s="537"/>
      <c r="MAZ35" s="537"/>
      <c r="MBA35" s="537"/>
      <c r="MBB35" s="537"/>
      <c r="MBC35" s="537"/>
      <c r="MBD35" s="537"/>
      <c r="MBE35" s="537"/>
      <c r="MBF35" s="537"/>
      <c r="MBG35" s="537"/>
      <c r="MBH35" s="537"/>
      <c r="MBI35" s="537"/>
      <c r="MBJ35" s="537"/>
      <c r="MBK35" s="537"/>
      <c r="MBL35" s="537"/>
      <c r="MBM35" s="537"/>
      <c r="MBN35" s="537"/>
      <c r="MBO35" s="537"/>
      <c r="MBP35" s="537"/>
      <c r="MBQ35" s="537"/>
      <c r="MBR35" s="537"/>
      <c r="MBS35" s="537"/>
      <c r="MBT35" s="537"/>
      <c r="MBU35" s="537"/>
      <c r="MBV35" s="537"/>
      <c r="MBW35" s="537"/>
      <c r="MBX35" s="537"/>
      <c r="MBY35" s="537"/>
      <c r="MBZ35" s="537"/>
      <c r="MCA35" s="537"/>
      <c r="MCB35" s="537"/>
      <c r="MCC35" s="537"/>
      <c r="MCD35" s="537"/>
      <c r="MCE35" s="537"/>
      <c r="MCF35" s="537"/>
      <c r="MCG35" s="537"/>
      <c r="MCH35" s="537"/>
      <c r="MCI35" s="537"/>
      <c r="MCJ35" s="537"/>
      <c r="MCK35" s="537"/>
      <c r="MCL35" s="537"/>
      <c r="MCM35" s="537"/>
      <c r="MCN35" s="537"/>
      <c r="MCO35" s="537"/>
      <c r="MCP35" s="537"/>
      <c r="MCQ35" s="537"/>
      <c r="MCR35" s="537"/>
      <c r="MCS35" s="537"/>
      <c r="MCT35" s="537"/>
      <c r="MCU35" s="537"/>
      <c r="MCV35" s="537"/>
      <c r="MCW35" s="537"/>
      <c r="MCX35" s="537"/>
      <c r="MCY35" s="537"/>
      <c r="MCZ35" s="537"/>
      <c r="MDA35" s="537"/>
      <c r="MDB35" s="537"/>
      <c r="MDC35" s="537"/>
      <c r="MDD35" s="537"/>
      <c r="MDE35" s="537"/>
      <c r="MDF35" s="537"/>
      <c r="MDG35" s="537"/>
      <c r="MDH35" s="537"/>
      <c r="MDI35" s="537"/>
      <c r="MDJ35" s="537"/>
      <c r="MDK35" s="537"/>
      <c r="MDL35" s="537"/>
      <c r="MDM35" s="537"/>
      <c r="MDN35" s="537"/>
      <c r="MDO35" s="537"/>
      <c r="MDP35" s="537"/>
      <c r="MDQ35" s="537"/>
      <c r="MDR35" s="537"/>
      <c r="MDS35" s="537"/>
      <c r="MDT35" s="537"/>
      <c r="MDU35" s="537"/>
      <c r="MDV35" s="537"/>
      <c r="MDW35" s="537"/>
      <c r="MDX35" s="537"/>
      <c r="MDY35" s="537"/>
      <c r="MDZ35" s="537"/>
      <c r="MEA35" s="537"/>
      <c r="MEB35" s="537"/>
      <c r="MEC35" s="537"/>
      <c r="MED35" s="537"/>
      <c r="MEE35" s="537"/>
      <c r="MEF35" s="537"/>
      <c r="MEG35" s="537"/>
      <c r="MEH35" s="537"/>
      <c r="MEI35" s="537"/>
      <c r="MEJ35" s="537"/>
      <c r="MEK35" s="537"/>
      <c r="MEL35" s="537"/>
      <c r="MEM35" s="537"/>
      <c r="MEN35" s="537"/>
      <c r="MEO35" s="537"/>
      <c r="MEP35" s="537"/>
      <c r="MEQ35" s="537"/>
      <c r="MER35" s="537"/>
      <c r="MES35" s="537"/>
      <c r="MET35" s="537"/>
      <c r="MEU35" s="537"/>
      <c r="MEV35" s="537"/>
      <c r="MEW35" s="537"/>
      <c r="MEX35" s="537"/>
      <c r="MEY35" s="537"/>
      <c r="MEZ35" s="537"/>
      <c r="MFA35" s="537"/>
      <c r="MFB35" s="537"/>
      <c r="MFC35" s="537"/>
      <c r="MFD35" s="537"/>
      <c r="MFE35" s="537"/>
      <c r="MFF35" s="537"/>
      <c r="MFG35" s="537"/>
      <c r="MFH35" s="537"/>
      <c r="MFI35" s="537"/>
      <c r="MFJ35" s="537"/>
      <c r="MFK35" s="537"/>
      <c r="MFL35" s="537"/>
      <c r="MFM35" s="537"/>
      <c r="MFN35" s="537"/>
      <c r="MFO35" s="537"/>
      <c r="MFP35" s="537"/>
      <c r="MFQ35" s="537"/>
      <c r="MFR35" s="537"/>
      <c r="MFS35" s="537"/>
      <c r="MFT35" s="537"/>
      <c r="MFU35" s="537"/>
      <c r="MFV35" s="537"/>
      <c r="MFW35" s="537"/>
      <c r="MFX35" s="537"/>
      <c r="MFY35" s="537"/>
      <c r="MFZ35" s="537"/>
      <c r="MGA35" s="537"/>
      <c r="MGB35" s="537"/>
      <c r="MGC35" s="537"/>
      <c r="MGD35" s="537"/>
      <c r="MGE35" s="537"/>
      <c r="MGF35" s="537"/>
      <c r="MGG35" s="537"/>
      <c r="MGH35" s="537"/>
      <c r="MGI35" s="537"/>
      <c r="MGJ35" s="537"/>
      <c r="MGK35" s="537"/>
      <c r="MGL35" s="537"/>
      <c r="MGM35" s="537"/>
      <c r="MGN35" s="537"/>
      <c r="MGO35" s="537"/>
      <c r="MGP35" s="537"/>
      <c r="MGQ35" s="537"/>
      <c r="MGR35" s="537"/>
      <c r="MGS35" s="537"/>
      <c r="MGT35" s="537"/>
      <c r="MGU35" s="537"/>
      <c r="MGV35" s="537"/>
      <c r="MGW35" s="537"/>
      <c r="MGX35" s="537"/>
      <c r="MGY35" s="537"/>
      <c r="MGZ35" s="537"/>
      <c r="MHA35" s="537"/>
      <c r="MHB35" s="537"/>
      <c r="MHC35" s="537"/>
      <c r="MHD35" s="537"/>
      <c r="MHE35" s="537"/>
      <c r="MHF35" s="537"/>
      <c r="MHG35" s="537"/>
      <c r="MHH35" s="537"/>
      <c r="MHI35" s="537"/>
      <c r="MHJ35" s="537"/>
      <c r="MHK35" s="537"/>
      <c r="MHL35" s="537"/>
      <c r="MHM35" s="537"/>
      <c r="MHN35" s="537"/>
      <c r="MHO35" s="537"/>
      <c r="MHP35" s="537"/>
      <c r="MHQ35" s="537"/>
      <c r="MHR35" s="537"/>
      <c r="MHS35" s="537"/>
      <c r="MHT35" s="537"/>
      <c r="MHU35" s="537"/>
      <c r="MHV35" s="537"/>
      <c r="MHW35" s="537"/>
      <c r="MHX35" s="537"/>
      <c r="MHY35" s="537"/>
      <c r="MHZ35" s="537"/>
      <c r="MIA35" s="537"/>
      <c r="MIB35" s="537"/>
      <c r="MIC35" s="537"/>
      <c r="MID35" s="537"/>
      <c r="MIE35" s="537"/>
      <c r="MIF35" s="537"/>
      <c r="MIG35" s="537"/>
      <c r="MIH35" s="537"/>
      <c r="MII35" s="537"/>
      <c r="MIJ35" s="537"/>
      <c r="MIK35" s="537"/>
      <c r="MIL35" s="537"/>
      <c r="MIM35" s="537"/>
      <c r="MIN35" s="537"/>
      <c r="MIO35" s="537"/>
      <c r="MIP35" s="537"/>
      <c r="MIQ35" s="537"/>
      <c r="MIR35" s="537"/>
      <c r="MIS35" s="537"/>
      <c r="MIT35" s="537"/>
      <c r="MIU35" s="537"/>
      <c r="MIV35" s="537"/>
      <c r="MIW35" s="537"/>
      <c r="MIX35" s="537"/>
      <c r="MIY35" s="537"/>
      <c r="MIZ35" s="537"/>
      <c r="MJA35" s="537"/>
      <c r="MJB35" s="537"/>
      <c r="MJC35" s="537"/>
      <c r="MJD35" s="537"/>
      <c r="MJE35" s="537"/>
      <c r="MJF35" s="537"/>
      <c r="MJG35" s="537"/>
      <c r="MJH35" s="537"/>
      <c r="MJI35" s="537"/>
      <c r="MJJ35" s="537"/>
      <c r="MJK35" s="537"/>
      <c r="MJL35" s="537"/>
      <c r="MJM35" s="537"/>
      <c r="MJN35" s="537"/>
      <c r="MJO35" s="537"/>
      <c r="MJP35" s="537"/>
      <c r="MJQ35" s="537"/>
      <c r="MJR35" s="537"/>
      <c r="MJS35" s="537"/>
      <c r="MJT35" s="537"/>
      <c r="MJU35" s="537"/>
      <c r="MJV35" s="537"/>
      <c r="MJW35" s="537"/>
      <c r="MJX35" s="537"/>
      <c r="MJY35" s="537"/>
      <c r="MJZ35" s="537"/>
      <c r="MKA35" s="537"/>
      <c r="MKB35" s="537"/>
      <c r="MKC35" s="537"/>
      <c r="MKD35" s="537"/>
      <c r="MKE35" s="537"/>
      <c r="MKF35" s="537"/>
      <c r="MKG35" s="537"/>
      <c r="MKH35" s="537"/>
      <c r="MKI35" s="537"/>
      <c r="MKJ35" s="537"/>
      <c r="MKK35" s="537"/>
      <c r="MKL35" s="537"/>
      <c r="MKM35" s="537"/>
      <c r="MKN35" s="537"/>
      <c r="MKO35" s="537"/>
      <c r="MKP35" s="537"/>
      <c r="MKQ35" s="537"/>
      <c r="MKR35" s="537"/>
      <c r="MKS35" s="537"/>
      <c r="MKT35" s="537"/>
      <c r="MKU35" s="537"/>
      <c r="MKV35" s="537"/>
      <c r="MKW35" s="537"/>
      <c r="MKX35" s="537"/>
      <c r="MKY35" s="537"/>
      <c r="MKZ35" s="537"/>
      <c r="MLA35" s="537"/>
      <c r="MLB35" s="537"/>
      <c r="MLC35" s="537"/>
      <c r="MLD35" s="537"/>
      <c r="MLE35" s="537"/>
      <c r="MLF35" s="537"/>
      <c r="MLG35" s="537"/>
      <c r="MLH35" s="537"/>
      <c r="MLI35" s="537"/>
      <c r="MLJ35" s="537"/>
      <c r="MLK35" s="537"/>
      <c r="MLL35" s="537"/>
      <c r="MLM35" s="537"/>
      <c r="MLN35" s="537"/>
      <c r="MLO35" s="537"/>
      <c r="MLP35" s="537"/>
      <c r="MLQ35" s="537"/>
      <c r="MLR35" s="537"/>
      <c r="MLS35" s="537"/>
      <c r="MLT35" s="537"/>
      <c r="MLU35" s="537"/>
      <c r="MLV35" s="537"/>
      <c r="MLW35" s="537"/>
      <c r="MLX35" s="537"/>
      <c r="MLY35" s="537"/>
      <c r="MLZ35" s="537"/>
      <c r="MMA35" s="537"/>
      <c r="MMB35" s="537"/>
      <c r="MMC35" s="537"/>
      <c r="MMD35" s="537"/>
      <c r="MME35" s="537"/>
      <c r="MMF35" s="537"/>
      <c r="MMG35" s="537"/>
      <c r="MMH35" s="537"/>
      <c r="MMI35" s="537"/>
      <c r="MMJ35" s="537"/>
      <c r="MMK35" s="537"/>
      <c r="MML35" s="537"/>
      <c r="MMM35" s="537"/>
      <c r="MMN35" s="537"/>
      <c r="MMO35" s="537"/>
      <c r="MMP35" s="537"/>
      <c r="MMQ35" s="537"/>
      <c r="MMR35" s="537"/>
      <c r="MMS35" s="537"/>
      <c r="MMT35" s="537"/>
      <c r="MMU35" s="537"/>
      <c r="MMV35" s="537"/>
      <c r="MMW35" s="537"/>
      <c r="MMX35" s="537"/>
      <c r="MMY35" s="537"/>
      <c r="MMZ35" s="537"/>
      <c r="MNA35" s="537"/>
      <c r="MNB35" s="537"/>
      <c r="MNC35" s="537"/>
      <c r="MND35" s="537"/>
      <c r="MNE35" s="537"/>
      <c r="MNF35" s="537"/>
      <c r="MNG35" s="537"/>
      <c r="MNH35" s="537"/>
      <c r="MNI35" s="537"/>
      <c r="MNJ35" s="537"/>
      <c r="MNK35" s="537"/>
      <c r="MNL35" s="537"/>
      <c r="MNM35" s="537"/>
      <c r="MNN35" s="537"/>
      <c r="MNO35" s="537"/>
      <c r="MNP35" s="537"/>
      <c r="MNQ35" s="537"/>
      <c r="MNR35" s="537"/>
      <c r="MNS35" s="537"/>
      <c r="MNT35" s="537"/>
      <c r="MNU35" s="537"/>
      <c r="MNV35" s="537"/>
      <c r="MNW35" s="537"/>
      <c r="MNX35" s="537"/>
      <c r="MNY35" s="537"/>
      <c r="MNZ35" s="537"/>
      <c r="MOA35" s="537"/>
      <c r="MOB35" s="537"/>
      <c r="MOC35" s="537"/>
      <c r="MOD35" s="537"/>
      <c r="MOE35" s="537"/>
      <c r="MOF35" s="537"/>
      <c r="MOG35" s="537"/>
      <c r="MOH35" s="537"/>
      <c r="MOI35" s="537"/>
      <c r="MOJ35" s="537"/>
      <c r="MOK35" s="537"/>
      <c r="MOL35" s="537"/>
      <c r="MOM35" s="537"/>
      <c r="MON35" s="537"/>
      <c r="MOO35" s="537"/>
      <c r="MOP35" s="537"/>
      <c r="MOQ35" s="537"/>
      <c r="MOR35" s="537"/>
      <c r="MOS35" s="537"/>
      <c r="MOT35" s="537"/>
      <c r="MOU35" s="537"/>
      <c r="MOV35" s="537"/>
      <c r="MOW35" s="537"/>
      <c r="MOX35" s="537"/>
      <c r="MOY35" s="537"/>
      <c r="MOZ35" s="537"/>
      <c r="MPA35" s="537"/>
      <c r="MPB35" s="537"/>
      <c r="MPC35" s="537"/>
      <c r="MPD35" s="537"/>
      <c r="MPE35" s="537"/>
      <c r="MPF35" s="537"/>
      <c r="MPG35" s="537"/>
      <c r="MPH35" s="537"/>
      <c r="MPI35" s="537"/>
      <c r="MPJ35" s="537"/>
      <c r="MPK35" s="537"/>
      <c r="MPL35" s="537"/>
      <c r="MPM35" s="537"/>
      <c r="MPN35" s="537"/>
      <c r="MPO35" s="537"/>
      <c r="MPP35" s="537"/>
      <c r="MPQ35" s="537"/>
      <c r="MPR35" s="537"/>
      <c r="MPS35" s="537"/>
      <c r="MPT35" s="537"/>
      <c r="MPU35" s="537"/>
      <c r="MPV35" s="537"/>
      <c r="MPW35" s="537"/>
      <c r="MPX35" s="537"/>
      <c r="MPY35" s="537"/>
      <c r="MPZ35" s="537"/>
      <c r="MQA35" s="537"/>
      <c r="MQB35" s="537"/>
      <c r="MQC35" s="537"/>
      <c r="MQD35" s="537"/>
      <c r="MQE35" s="537"/>
      <c r="MQF35" s="537"/>
      <c r="MQG35" s="537"/>
      <c r="MQH35" s="537"/>
      <c r="MQI35" s="537"/>
      <c r="MQJ35" s="537"/>
      <c r="MQK35" s="537"/>
      <c r="MQL35" s="537"/>
      <c r="MQM35" s="537"/>
      <c r="MQN35" s="537"/>
      <c r="MQO35" s="537"/>
      <c r="MQP35" s="537"/>
      <c r="MQQ35" s="537"/>
      <c r="MQR35" s="537"/>
      <c r="MQS35" s="537"/>
      <c r="MQT35" s="537"/>
      <c r="MQU35" s="537"/>
      <c r="MQV35" s="537"/>
      <c r="MQW35" s="537"/>
      <c r="MQX35" s="537"/>
      <c r="MQY35" s="537"/>
      <c r="MQZ35" s="537"/>
      <c r="MRA35" s="537"/>
      <c r="MRB35" s="537"/>
      <c r="MRC35" s="537"/>
      <c r="MRD35" s="537"/>
      <c r="MRE35" s="537"/>
      <c r="MRF35" s="537"/>
      <c r="MRG35" s="537"/>
      <c r="MRH35" s="537"/>
      <c r="MRI35" s="537"/>
      <c r="MRJ35" s="537"/>
      <c r="MRK35" s="537"/>
      <c r="MRL35" s="537"/>
      <c r="MRM35" s="537"/>
      <c r="MRN35" s="537"/>
      <c r="MRO35" s="537"/>
      <c r="MRP35" s="537"/>
      <c r="MRQ35" s="537"/>
      <c r="MRR35" s="537"/>
      <c r="MRS35" s="537"/>
      <c r="MRT35" s="537"/>
      <c r="MRU35" s="537"/>
      <c r="MRV35" s="537"/>
      <c r="MRW35" s="537"/>
      <c r="MRX35" s="537"/>
      <c r="MRY35" s="537"/>
      <c r="MRZ35" s="537"/>
      <c r="MSA35" s="537"/>
      <c r="MSB35" s="537"/>
      <c r="MSC35" s="537"/>
      <c r="MSD35" s="537"/>
      <c r="MSE35" s="537"/>
      <c r="MSF35" s="537"/>
      <c r="MSG35" s="537"/>
      <c r="MSH35" s="537"/>
      <c r="MSI35" s="537"/>
      <c r="MSJ35" s="537"/>
      <c r="MSK35" s="537"/>
      <c r="MSL35" s="537"/>
      <c r="MSM35" s="537"/>
      <c r="MSN35" s="537"/>
      <c r="MSO35" s="537"/>
      <c r="MSP35" s="537"/>
      <c r="MSQ35" s="537"/>
      <c r="MSR35" s="537"/>
      <c r="MSS35" s="537"/>
      <c r="MST35" s="537"/>
      <c r="MSU35" s="537"/>
      <c r="MSV35" s="537"/>
      <c r="MSW35" s="537"/>
      <c r="MSX35" s="537"/>
      <c r="MSY35" s="537"/>
      <c r="MSZ35" s="537"/>
      <c r="MTA35" s="537"/>
      <c r="MTB35" s="537"/>
      <c r="MTC35" s="537"/>
      <c r="MTD35" s="537"/>
      <c r="MTE35" s="537"/>
      <c r="MTF35" s="537"/>
      <c r="MTG35" s="537"/>
      <c r="MTH35" s="537"/>
      <c r="MTI35" s="537"/>
      <c r="MTJ35" s="537"/>
      <c r="MTK35" s="537"/>
      <c r="MTL35" s="537"/>
      <c r="MTM35" s="537"/>
      <c r="MTN35" s="537"/>
      <c r="MTO35" s="537"/>
      <c r="MTP35" s="537"/>
      <c r="MTQ35" s="537"/>
      <c r="MTR35" s="537"/>
      <c r="MTS35" s="537"/>
      <c r="MTT35" s="537"/>
      <c r="MTU35" s="537"/>
      <c r="MTV35" s="537"/>
      <c r="MTW35" s="537"/>
      <c r="MTX35" s="537"/>
      <c r="MTY35" s="537"/>
      <c r="MTZ35" s="537"/>
      <c r="MUA35" s="537"/>
      <c r="MUB35" s="537"/>
      <c r="MUC35" s="537"/>
      <c r="MUD35" s="537"/>
      <c r="MUE35" s="537"/>
      <c r="MUF35" s="537"/>
      <c r="MUG35" s="537"/>
      <c r="MUH35" s="537"/>
      <c r="MUI35" s="537"/>
      <c r="MUJ35" s="537"/>
      <c r="MUK35" s="537"/>
      <c r="MUL35" s="537"/>
      <c r="MUM35" s="537"/>
      <c r="MUN35" s="537"/>
      <c r="MUO35" s="537"/>
      <c r="MUP35" s="537"/>
      <c r="MUQ35" s="537"/>
      <c r="MUR35" s="537"/>
      <c r="MUS35" s="537"/>
      <c r="MUT35" s="537"/>
      <c r="MUU35" s="537"/>
      <c r="MUV35" s="537"/>
      <c r="MUW35" s="537"/>
      <c r="MUX35" s="537"/>
      <c r="MUY35" s="537"/>
      <c r="MUZ35" s="537"/>
      <c r="MVA35" s="537"/>
      <c r="MVB35" s="537"/>
      <c r="MVC35" s="537"/>
      <c r="MVD35" s="537"/>
      <c r="MVE35" s="537"/>
      <c r="MVF35" s="537"/>
      <c r="MVG35" s="537"/>
      <c r="MVH35" s="537"/>
      <c r="MVI35" s="537"/>
      <c r="MVJ35" s="537"/>
      <c r="MVK35" s="537"/>
      <c r="MVL35" s="537"/>
      <c r="MVM35" s="537"/>
      <c r="MVN35" s="537"/>
      <c r="MVO35" s="537"/>
      <c r="MVP35" s="537"/>
      <c r="MVQ35" s="537"/>
      <c r="MVR35" s="537"/>
      <c r="MVS35" s="537"/>
      <c r="MVT35" s="537"/>
      <c r="MVU35" s="537"/>
      <c r="MVV35" s="537"/>
      <c r="MVW35" s="537"/>
      <c r="MVX35" s="537"/>
      <c r="MVY35" s="537"/>
      <c r="MVZ35" s="537"/>
      <c r="MWA35" s="537"/>
      <c r="MWB35" s="537"/>
      <c r="MWC35" s="537"/>
      <c r="MWD35" s="537"/>
      <c r="MWE35" s="537"/>
      <c r="MWF35" s="537"/>
      <c r="MWG35" s="537"/>
      <c r="MWH35" s="537"/>
      <c r="MWI35" s="537"/>
      <c r="MWJ35" s="537"/>
      <c r="MWK35" s="537"/>
      <c r="MWL35" s="537"/>
      <c r="MWM35" s="537"/>
      <c r="MWN35" s="537"/>
      <c r="MWO35" s="537"/>
      <c r="MWP35" s="537"/>
      <c r="MWQ35" s="537"/>
      <c r="MWR35" s="537"/>
      <c r="MWS35" s="537"/>
      <c r="MWT35" s="537"/>
      <c r="MWU35" s="537"/>
      <c r="MWV35" s="537"/>
      <c r="MWW35" s="537"/>
      <c r="MWX35" s="537"/>
      <c r="MWY35" s="537"/>
      <c r="MWZ35" s="537"/>
      <c r="MXA35" s="537"/>
      <c r="MXB35" s="537"/>
      <c r="MXC35" s="537"/>
      <c r="MXD35" s="537"/>
      <c r="MXE35" s="537"/>
      <c r="MXF35" s="537"/>
      <c r="MXG35" s="537"/>
      <c r="MXH35" s="537"/>
      <c r="MXI35" s="537"/>
      <c r="MXJ35" s="537"/>
      <c r="MXK35" s="537"/>
      <c r="MXL35" s="537"/>
      <c r="MXM35" s="537"/>
      <c r="MXN35" s="537"/>
      <c r="MXO35" s="537"/>
      <c r="MXP35" s="537"/>
      <c r="MXQ35" s="537"/>
      <c r="MXR35" s="537"/>
      <c r="MXS35" s="537"/>
      <c r="MXT35" s="537"/>
      <c r="MXU35" s="537"/>
      <c r="MXV35" s="537"/>
      <c r="MXW35" s="537"/>
      <c r="MXX35" s="537"/>
      <c r="MXY35" s="537"/>
      <c r="MXZ35" s="537"/>
      <c r="MYA35" s="537"/>
      <c r="MYB35" s="537"/>
      <c r="MYC35" s="537"/>
      <c r="MYD35" s="537"/>
      <c r="MYE35" s="537"/>
      <c r="MYF35" s="537"/>
      <c r="MYG35" s="537"/>
      <c r="MYH35" s="537"/>
      <c r="MYI35" s="537"/>
      <c r="MYJ35" s="537"/>
      <c r="MYK35" s="537"/>
      <c r="MYL35" s="537"/>
      <c r="MYM35" s="537"/>
      <c r="MYN35" s="537"/>
      <c r="MYO35" s="537"/>
      <c r="MYP35" s="537"/>
      <c r="MYQ35" s="537"/>
      <c r="MYR35" s="537"/>
      <c r="MYS35" s="537"/>
      <c r="MYT35" s="537"/>
      <c r="MYU35" s="537"/>
      <c r="MYV35" s="537"/>
      <c r="MYW35" s="537"/>
      <c r="MYX35" s="537"/>
      <c r="MYY35" s="537"/>
      <c r="MYZ35" s="537"/>
      <c r="MZA35" s="537"/>
      <c r="MZB35" s="537"/>
      <c r="MZC35" s="537"/>
      <c r="MZD35" s="537"/>
      <c r="MZE35" s="537"/>
      <c r="MZF35" s="537"/>
      <c r="MZG35" s="537"/>
      <c r="MZH35" s="537"/>
      <c r="MZI35" s="537"/>
      <c r="MZJ35" s="537"/>
      <c r="MZK35" s="537"/>
      <c r="MZL35" s="537"/>
      <c r="MZM35" s="537"/>
      <c r="MZN35" s="537"/>
      <c r="MZO35" s="537"/>
      <c r="MZP35" s="537"/>
      <c r="MZQ35" s="537"/>
      <c r="MZR35" s="537"/>
      <c r="MZS35" s="537"/>
      <c r="MZT35" s="537"/>
      <c r="MZU35" s="537"/>
      <c r="MZV35" s="537"/>
      <c r="MZW35" s="537"/>
      <c r="MZX35" s="537"/>
      <c r="MZY35" s="537"/>
      <c r="MZZ35" s="537"/>
      <c r="NAA35" s="537"/>
      <c r="NAB35" s="537"/>
      <c r="NAC35" s="537"/>
      <c r="NAD35" s="537"/>
      <c r="NAE35" s="537"/>
      <c r="NAF35" s="537"/>
      <c r="NAG35" s="537"/>
      <c r="NAH35" s="537"/>
      <c r="NAI35" s="537"/>
      <c r="NAJ35" s="537"/>
      <c r="NAK35" s="537"/>
      <c r="NAL35" s="537"/>
      <c r="NAM35" s="537"/>
      <c r="NAN35" s="537"/>
      <c r="NAO35" s="537"/>
      <c r="NAP35" s="537"/>
      <c r="NAQ35" s="537"/>
      <c r="NAR35" s="537"/>
      <c r="NAS35" s="537"/>
      <c r="NAT35" s="537"/>
      <c r="NAU35" s="537"/>
      <c r="NAV35" s="537"/>
      <c r="NAW35" s="537"/>
      <c r="NAX35" s="537"/>
      <c r="NAY35" s="537"/>
      <c r="NAZ35" s="537"/>
      <c r="NBA35" s="537"/>
      <c r="NBB35" s="537"/>
      <c r="NBC35" s="537"/>
      <c r="NBD35" s="537"/>
      <c r="NBE35" s="537"/>
      <c r="NBF35" s="537"/>
      <c r="NBG35" s="537"/>
      <c r="NBH35" s="537"/>
      <c r="NBI35" s="537"/>
      <c r="NBJ35" s="537"/>
      <c r="NBK35" s="537"/>
      <c r="NBL35" s="537"/>
      <c r="NBM35" s="537"/>
      <c r="NBN35" s="537"/>
      <c r="NBO35" s="537"/>
      <c r="NBP35" s="537"/>
      <c r="NBQ35" s="537"/>
      <c r="NBR35" s="537"/>
      <c r="NBS35" s="537"/>
      <c r="NBT35" s="537"/>
      <c r="NBU35" s="537"/>
      <c r="NBV35" s="537"/>
      <c r="NBW35" s="537"/>
      <c r="NBX35" s="537"/>
      <c r="NBY35" s="537"/>
      <c r="NBZ35" s="537"/>
      <c r="NCA35" s="537"/>
      <c r="NCB35" s="537"/>
      <c r="NCC35" s="537"/>
      <c r="NCD35" s="537"/>
      <c r="NCE35" s="537"/>
      <c r="NCF35" s="537"/>
      <c r="NCG35" s="537"/>
      <c r="NCH35" s="537"/>
      <c r="NCI35" s="537"/>
      <c r="NCJ35" s="537"/>
      <c r="NCK35" s="537"/>
      <c r="NCL35" s="537"/>
      <c r="NCM35" s="537"/>
      <c r="NCN35" s="537"/>
      <c r="NCO35" s="537"/>
      <c r="NCP35" s="537"/>
      <c r="NCQ35" s="537"/>
      <c r="NCR35" s="537"/>
      <c r="NCS35" s="537"/>
      <c r="NCT35" s="537"/>
      <c r="NCU35" s="537"/>
      <c r="NCV35" s="537"/>
      <c r="NCW35" s="537"/>
      <c r="NCX35" s="537"/>
      <c r="NCY35" s="537"/>
      <c r="NCZ35" s="537"/>
      <c r="NDA35" s="537"/>
      <c r="NDB35" s="537"/>
      <c r="NDC35" s="537"/>
      <c r="NDD35" s="537"/>
      <c r="NDE35" s="537"/>
      <c r="NDF35" s="537"/>
      <c r="NDG35" s="537"/>
      <c r="NDH35" s="537"/>
      <c r="NDI35" s="537"/>
      <c r="NDJ35" s="537"/>
      <c r="NDK35" s="537"/>
      <c r="NDL35" s="537"/>
      <c r="NDM35" s="537"/>
      <c r="NDN35" s="537"/>
      <c r="NDO35" s="537"/>
      <c r="NDP35" s="537"/>
      <c r="NDQ35" s="537"/>
      <c r="NDR35" s="537"/>
      <c r="NDS35" s="537"/>
      <c r="NDT35" s="537"/>
      <c r="NDU35" s="537"/>
      <c r="NDV35" s="537"/>
      <c r="NDW35" s="537"/>
      <c r="NDX35" s="537"/>
      <c r="NDY35" s="537"/>
      <c r="NDZ35" s="537"/>
      <c r="NEA35" s="537"/>
      <c r="NEB35" s="537"/>
      <c r="NEC35" s="537"/>
      <c r="NED35" s="537"/>
      <c r="NEE35" s="537"/>
      <c r="NEF35" s="537"/>
      <c r="NEG35" s="537"/>
      <c r="NEH35" s="537"/>
      <c r="NEI35" s="537"/>
      <c r="NEJ35" s="537"/>
      <c r="NEK35" s="537"/>
      <c r="NEL35" s="537"/>
      <c r="NEM35" s="537"/>
      <c r="NEN35" s="537"/>
      <c r="NEO35" s="537"/>
      <c r="NEP35" s="537"/>
      <c r="NEQ35" s="537"/>
      <c r="NER35" s="537"/>
      <c r="NES35" s="537"/>
      <c r="NET35" s="537"/>
      <c r="NEU35" s="537"/>
      <c r="NEV35" s="537"/>
      <c r="NEW35" s="537"/>
      <c r="NEX35" s="537"/>
      <c r="NEY35" s="537"/>
      <c r="NEZ35" s="537"/>
      <c r="NFA35" s="537"/>
      <c r="NFB35" s="537"/>
      <c r="NFC35" s="537"/>
      <c r="NFD35" s="537"/>
      <c r="NFE35" s="537"/>
      <c r="NFF35" s="537"/>
      <c r="NFG35" s="537"/>
      <c r="NFH35" s="537"/>
      <c r="NFI35" s="537"/>
      <c r="NFJ35" s="537"/>
      <c r="NFK35" s="537"/>
      <c r="NFL35" s="537"/>
      <c r="NFM35" s="537"/>
      <c r="NFN35" s="537"/>
      <c r="NFO35" s="537"/>
      <c r="NFP35" s="537"/>
      <c r="NFQ35" s="537"/>
      <c r="NFR35" s="537"/>
      <c r="NFS35" s="537"/>
      <c r="NFT35" s="537"/>
      <c r="NFU35" s="537"/>
      <c r="NFV35" s="537"/>
      <c r="NFW35" s="537"/>
      <c r="NFX35" s="537"/>
      <c r="NFY35" s="537"/>
      <c r="NFZ35" s="537"/>
      <c r="NGA35" s="537"/>
      <c r="NGB35" s="537"/>
      <c r="NGC35" s="537"/>
      <c r="NGD35" s="537"/>
      <c r="NGE35" s="537"/>
      <c r="NGF35" s="537"/>
      <c r="NGG35" s="537"/>
      <c r="NGH35" s="537"/>
      <c r="NGI35" s="537"/>
      <c r="NGJ35" s="537"/>
      <c r="NGK35" s="537"/>
      <c r="NGL35" s="537"/>
      <c r="NGM35" s="537"/>
      <c r="NGN35" s="537"/>
      <c r="NGO35" s="537"/>
      <c r="NGP35" s="537"/>
      <c r="NGQ35" s="537"/>
      <c r="NGR35" s="537"/>
      <c r="NGS35" s="537"/>
      <c r="NGT35" s="537"/>
      <c r="NGU35" s="537"/>
      <c r="NGV35" s="537"/>
      <c r="NGW35" s="537"/>
      <c r="NGX35" s="537"/>
      <c r="NGY35" s="537"/>
      <c r="NGZ35" s="537"/>
      <c r="NHA35" s="537"/>
      <c r="NHB35" s="537"/>
      <c r="NHC35" s="537"/>
      <c r="NHD35" s="537"/>
      <c r="NHE35" s="537"/>
      <c r="NHF35" s="537"/>
      <c r="NHG35" s="537"/>
      <c r="NHH35" s="537"/>
      <c r="NHI35" s="537"/>
      <c r="NHJ35" s="537"/>
      <c r="NHK35" s="537"/>
      <c r="NHL35" s="537"/>
      <c r="NHM35" s="537"/>
      <c r="NHN35" s="537"/>
      <c r="NHO35" s="537"/>
      <c r="NHP35" s="537"/>
      <c r="NHQ35" s="537"/>
      <c r="NHR35" s="537"/>
      <c r="NHS35" s="537"/>
      <c r="NHT35" s="537"/>
      <c r="NHU35" s="537"/>
      <c r="NHV35" s="537"/>
      <c r="NHW35" s="537"/>
      <c r="NHX35" s="537"/>
      <c r="NHY35" s="537"/>
      <c r="NHZ35" s="537"/>
      <c r="NIA35" s="537"/>
      <c r="NIB35" s="537"/>
      <c r="NIC35" s="537"/>
      <c r="NID35" s="537"/>
      <c r="NIE35" s="537"/>
      <c r="NIF35" s="537"/>
      <c r="NIG35" s="537"/>
      <c r="NIH35" s="537"/>
      <c r="NII35" s="537"/>
      <c r="NIJ35" s="537"/>
      <c r="NIK35" s="537"/>
      <c r="NIL35" s="537"/>
      <c r="NIM35" s="537"/>
      <c r="NIN35" s="537"/>
      <c r="NIO35" s="537"/>
      <c r="NIP35" s="537"/>
      <c r="NIQ35" s="537"/>
      <c r="NIR35" s="537"/>
      <c r="NIS35" s="537"/>
      <c r="NIT35" s="537"/>
      <c r="NIU35" s="537"/>
      <c r="NIV35" s="537"/>
      <c r="NIW35" s="537"/>
      <c r="NIX35" s="537"/>
      <c r="NIY35" s="537"/>
      <c r="NIZ35" s="537"/>
      <c r="NJA35" s="537"/>
      <c r="NJB35" s="537"/>
      <c r="NJC35" s="537"/>
      <c r="NJD35" s="537"/>
      <c r="NJE35" s="537"/>
      <c r="NJF35" s="537"/>
      <c r="NJG35" s="537"/>
      <c r="NJH35" s="537"/>
      <c r="NJI35" s="537"/>
      <c r="NJJ35" s="537"/>
      <c r="NJK35" s="537"/>
      <c r="NJL35" s="537"/>
      <c r="NJM35" s="537"/>
      <c r="NJN35" s="537"/>
      <c r="NJO35" s="537"/>
      <c r="NJP35" s="537"/>
      <c r="NJQ35" s="537"/>
      <c r="NJR35" s="537"/>
      <c r="NJS35" s="537"/>
      <c r="NJT35" s="537"/>
      <c r="NJU35" s="537"/>
      <c r="NJV35" s="537"/>
      <c r="NJW35" s="537"/>
      <c r="NJX35" s="537"/>
      <c r="NJY35" s="537"/>
      <c r="NJZ35" s="537"/>
      <c r="NKA35" s="537"/>
      <c r="NKB35" s="537"/>
      <c r="NKC35" s="537"/>
      <c r="NKD35" s="537"/>
      <c r="NKE35" s="537"/>
      <c r="NKF35" s="537"/>
      <c r="NKG35" s="537"/>
      <c r="NKH35" s="537"/>
      <c r="NKI35" s="537"/>
      <c r="NKJ35" s="537"/>
      <c r="NKK35" s="537"/>
      <c r="NKL35" s="537"/>
      <c r="NKM35" s="537"/>
      <c r="NKN35" s="537"/>
      <c r="NKO35" s="537"/>
      <c r="NKP35" s="537"/>
      <c r="NKQ35" s="537"/>
      <c r="NKR35" s="537"/>
      <c r="NKS35" s="537"/>
      <c r="NKT35" s="537"/>
      <c r="NKU35" s="537"/>
      <c r="NKV35" s="537"/>
      <c r="NKW35" s="537"/>
      <c r="NKX35" s="537"/>
      <c r="NKY35" s="537"/>
      <c r="NKZ35" s="537"/>
      <c r="NLA35" s="537"/>
      <c r="NLB35" s="537"/>
      <c r="NLC35" s="537"/>
      <c r="NLD35" s="537"/>
      <c r="NLE35" s="537"/>
      <c r="NLF35" s="537"/>
      <c r="NLG35" s="537"/>
      <c r="NLH35" s="537"/>
      <c r="NLI35" s="537"/>
      <c r="NLJ35" s="537"/>
      <c r="NLK35" s="537"/>
      <c r="NLL35" s="537"/>
      <c r="NLM35" s="537"/>
      <c r="NLN35" s="537"/>
      <c r="NLO35" s="537"/>
      <c r="NLP35" s="537"/>
      <c r="NLQ35" s="537"/>
      <c r="NLR35" s="537"/>
      <c r="NLS35" s="537"/>
      <c r="NLT35" s="537"/>
      <c r="NLU35" s="537"/>
      <c r="NLV35" s="537"/>
      <c r="NLW35" s="537"/>
      <c r="NLX35" s="537"/>
      <c r="NLY35" s="537"/>
      <c r="NLZ35" s="537"/>
      <c r="NMA35" s="537"/>
      <c r="NMB35" s="537"/>
      <c r="NMC35" s="537"/>
      <c r="NMD35" s="537"/>
      <c r="NME35" s="537"/>
      <c r="NMF35" s="537"/>
      <c r="NMG35" s="537"/>
      <c r="NMH35" s="537"/>
      <c r="NMI35" s="537"/>
      <c r="NMJ35" s="537"/>
      <c r="NMK35" s="537"/>
      <c r="NML35" s="537"/>
      <c r="NMM35" s="537"/>
      <c r="NMN35" s="537"/>
      <c r="NMO35" s="537"/>
      <c r="NMP35" s="537"/>
      <c r="NMQ35" s="537"/>
      <c r="NMR35" s="537"/>
      <c r="NMS35" s="537"/>
      <c r="NMT35" s="537"/>
      <c r="NMU35" s="537"/>
      <c r="NMV35" s="537"/>
      <c r="NMW35" s="537"/>
      <c r="NMX35" s="537"/>
      <c r="NMY35" s="537"/>
      <c r="NMZ35" s="537"/>
      <c r="NNA35" s="537"/>
      <c r="NNB35" s="537"/>
      <c r="NNC35" s="537"/>
      <c r="NND35" s="537"/>
      <c r="NNE35" s="537"/>
      <c r="NNF35" s="537"/>
      <c r="NNG35" s="537"/>
      <c r="NNH35" s="537"/>
      <c r="NNI35" s="537"/>
      <c r="NNJ35" s="537"/>
      <c r="NNK35" s="537"/>
      <c r="NNL35" s="537"/>
      <c r="NNM35" s="537"/>
      <c r="NNN35" s="537"/>
      <c r="NNO35" s="537"/>
      <c r="NNP35" s="537"/>
      <c r="NNQ35" s="537"/>
      <c r="NNR35" s="537"/>
      <c r="NNS35" s="537"/>
      <c r="NNT35" s="537"/>
      <c r="NNU35" s="537"/>
      <c r="NNV35" s="537"/>
      <c r="NNW35" s="537"/>
      <c r="NNX35" s="537"/>
      <c r="NNY35" s="537"/>
      <c r="NNZ35" s="537"/>
      <c r="NOA35" s="537"/>
      <c r="NOB35" s="537"/>
      <c r="NOC35" s="537"/>
      <c r="NOD35" s="537"/>
      <c r="NOE35" s="537"/>
      <c r="NOF35" s="537"/>
      <c r="NOG35" s="537"/>
      <c r="NOH35" s="537"/>
      <c r="NOI35" s="537"/>
      <c r="NOJ35" s="537"/>
      <c r="NOK35" s="537"/>
      <c r="NOL35" s="537"/>
      <c r="NOM35" s="537"/>
      <c r="NON35" s="537"/>
      <c r="NOO35" s="537"/>
      <c r="NOP35" s="537"/>
      <c r="NOQ35" s="537"/>
      <c r="NOR35" s="537"/>
      <c r="NOS35" s="537"/>
      <c r="NOT35" s="537"/>
      <c r="NOU35" s="537"/>
      <c r="NOV35" s="537"/>
      <c r="NOW35" s="537"/>
      <c r="NOX35" s="537"/>
      <c r="NOY35" s="537"/>
      <c r="NOZ35" s="537"/>
      <c r="NPA35" s="537"/>
      <c r="NPB35" s="537"/>
      <c r="NPC35" s="537"/>
      <c r="NPD35" s="537"/>
      <c r="NPE35" s="537"/>
      <c r="NPF35" s="537"/>
      <c r="NPG35" s="537"/>
      <c r="NPH35" s="537"/>
      <c r="NPI35" s="537"/>
      <c r="NPJ35" s="537"/>
      <c r="NPK35" s="537"/>
      <c r="NPL35" s="537"/>
      <c r="NPM35" s="537"/>
      <c r="NPN35" s="537"/>
      <c r="NPO35" s="537"/>
      <c r="NPP35" s="537"/>
      <c r="NPQ35" s="537"/>
      <c r="NPR35" s="537"/>
      <c r="NPS35" s="537"/>
      <c r="NPT35" s="537"/>
      <c r="NPU35" s="537"/>
      <c r="NPV35" s="537"/>
      <c r="NPW35" s="537"/>
      <c r="NPX35" s="537"/>
      <c r="NPY35" s="537"/>
      <c r="NPZ35" s="537"/>
      <c r="NQA35" s="537"/>
      <c r="NQB35" s="537"/>
      <c r="NQC35" s="537"/>
      <c r="NQD35" s="537"/>
      <c r="NQE35" s="537"/>
      <c r="NQF35" s="537"/>
      <c r="NQG35" s="537"/>
      <c r="NQH35" s="537"/>
      <c r="NQI35" s="537"/>
      <c r="NQJ35" s="537"/>
      <c r="NQK35" s="537"/>
      <c r="NQL35" s="537"/>
      <c r="NQM35" s="537"/>
      <c r="NQN35" s="537"/>
      <c r="NQO35" s="537"/>
      <c r="NQP35" s="537"/>
      <c r="NQQ35" s="537"/>
      <c r="NQR35" s="537"/>
      <c r="NQS35" s="537"/>
      <c r="NQT35" s="537"/>
      <c r="NQU35" s="537"/>
      <c r="NQV35" s="537"/>
      <c r="NQW35" s="537"/>
      <c r="NQX35" s="537"/>
      <c r="NQY35" s="537"/>
      <c r="NQZ35" s="537"/>
      <c r="NRA35" s="537"/>
      <c r="NRB35" s="537"/>
      <c r="NRC35" s="537"/>
      <c r="NRD35" s="537"/>
      <c r="NRE35" s="537"/>
      <c r="NRF35" s="537"/>
      <c r="NRG35" s="537"/>
      <c r="NRH35" s="537"/>
      <c r="NRI35" s="537"/>
      <c r="NRJ35" s="537"/>
      <c r="NRK35" s="537"/>
      <c r="NRL35" s="537"/>
      <c r="NRM35" s="537"/>
      <c r="NRN35" s="537"/>
      <c r="NRO35" s="537"/>
      <c r="NRP35" s="537"/>
      <c r="NRQ35" s="537"/>
      <c r="NRR35" s="537"/>
      <c r="NRS35" s="537"/>
      <c r="NRT35" s="537"/>
      <c r="NRU35" s="537"/>
      <c r="NRV35" s="537"/>
      <c r="NRW35" s="537"/>
      <c r="NRX35" s="537"/>
      <c r="NRY35" s="537"/>
      <c r="NRZ35" s="537"/>
      <c r="NSA35" s="537"/>
      <c r="NSB35" s="537"/>
      <c r="NSC35" s="537"/>
      <c r="NSD35" s="537"/>
      <c r="NSE35" s="537"/>
      <c r="NSF35" s="537"/>
      <c r="NSG35" s="537"/>
      <c r="NSH35" s="537"/>
      <c r="NSI35" s="537"/>
      <c r="NSJ35" s="537"/>
      <c r="NSK35" s="537"/>
      <c r="NSL35" s="537"/>
      <c r="NSM35" s="537"/>
      <c r="NSN35" s="537"/>
      <c r="NSO35" s="537"/>
      <c r="NSP35" s="537"/>
      <c r="NSQ35" s="537"/>
      <c r="NSR35" s="537"/>
      <c r="NSS35" s="537"/>
      <c r="NST35" s="537"/>
      <c r="NSU35" s="537"/>
      <c r="NSV35" s="537"/>
      <c r="NSW35" s="537"/>
      <c r="NSX35" s="537"/>
      <c r="NSY35" s="537"/>
      <c r="NSZ35" s="537"/>
      <c r="NTA35" s="537"/>
      <c r="NTB35" s="537"/>
      <c r="NTC35" s="537"/>
      <c r="NTD35" s="537"/>
      <c r="NTE35" s="537"/>
      <c r="NTF35" s="537"/>
      <c r="NTG35" s="537"/>
      <c r="NTH35" s="537"/>
      <c r="NTI35" s="537"/>
      <c r="NTJ35" s="537"/>
      <c r="NTK35" s="537"/>
      <c r="NTL35" s="537"/>
      <c r="NTM35" s="537"/>
      <c r="NTN35" s="537"/>
      <c r="NTO35" s="537"/>
      <c r="NTP35" s="537"/>
      <c r="NTQ35" s="537"/>
      <c r="NTR35" s="537"/>
      <c r="NTS35" s="537"/>
      <c r="NTT35" s="537"/>
      <c r="NTU35" s="537"/>
      <c r="NTV35" s="537"/>
      <c r="NTW35" s="537"/>
      <c r="NTX35" s="537"/>
      <c r="NTY35" s="537"/>
      <c r="NTZ35" s="537"/>
      <c r="NUA35" s="537"/>
      <c r="NUB35" s="537"/>
      <c r="NUC35" s="537"/>
      <c r="NUD35" s="537"/>
      <c r="NUE35" s="537"/>
      <c r="NUF35" s="537"/>
      <c r="NUG35" s="537"/>
      <c r="NUH35" s="537"/>
      <c r="NUI35" s="537"/>
      <c r="NUJ35" s="537"/>
      <c r="NUK35" s="537"/>
      <c r="NUL35" s="537"/>
      <c r="NUM35" s="537"/>
      <c r="NUN35" s="537"/>
      <c r="NUO35" s="537"/>
      <c r="NUP35" s="537"/>
      <c r="NUQ35" s="537"/>
      <c r="NUR35" s="537"/>
      <c r="NUS35" s="537"/>
      <c r="NUT35" s="537"/>
      <c r="NUU35" s="537"/>
      <c r="NUV35" s="537"/>
      <c r="NUW35" s="537"/>
      <c r="NUX35" s="537"/>
      <c r="NUY35" s="537"/>
      <c r="NUZ35" s="537"/>
      <c r="NVA35" s="537"/>
      <c r="NVB35" s="537"/>
      <c r="NVC35" s="537"/>
      <c r="NVD35" s="537"/>
      <c r="NVE35" s="537"/>
      <c r="NVF35" s="537"/>
      <c r="NVG35" s="537"/>
      <c r="NVH35" s="537"/>
      <c r="NVI35" s="537"/>
      <c r="NVJ35" s="537"/>
      <c r="NVK35" s="537"/>
      <c r="NVL35" s="537"/>
      <c r="NVM35" s="537"/>
      <c r="NVN35" s="537"/>
      <c r="NVO35" s="537"/>
      <c r="NVP35" s="537"/>
      <c r="NVQ35" s="537"/>
      <c r="NVR35" s="537"/>
      <c r="NVS35" s="537"/>
      <c r="NVT35" s="537"/>
      <c r="NVU35" s="537"/>
      <c r="NVV35" s="537"/>
      <c r="NVW35" s="537"/>
      <c r="NVX35" s="537"/>
      <c r="NVY35" s="537"/>
      <c r="NVZ35" s="537"/>
      <c r="NWA35" s="537"/>
      <c r="NWB35" s="537"/>
      <c r="NWC35" s="537"/>
      <c r="NWD35" s="537"/>
      <c r="NWE35" s="537"/>
      <c r="NWF35" s="537"/>
      <c r="NWG35" s="537"/>
      <c r="NWH35" s="537"/>
      <c r="NWI35" s="537"/>
      <c r="NWJ35" s="537"/>
      <c r="NWK35" s="537"/>
      <c r="NWL35" s="537"/>
      <c r="NWM35" s="537"/>
      <c r="NWN35" s="537"/>
      <c r="NWO35" s="537"/>
      <c r="NWP35" s="537"/>
      <c r="NWQ35" s="537"/>
      <c r="NWR35" s="537"/>
      <c r="NWS35" s="537"/>
      <c r="NWT35" s="537"/>
      <c r="NWU35" s="537"/>
      <c r="NWV35" s="537"/>
      <c r="NWW35" s="537"/>
      <c r="NWX35" s="537"/>
      <c r="NWY35" s="537"/>
      <c r="NWZ35" s="537"/>
      <c r="NXA35" s="537"/>
      <c r="NXB35" s="537"/>
      <c r="NXC35" s="537"/>
      <c r="NXD35" s="537"/>
      <c r="NXE35" s="537"/>
      <c r="NXF35" s="537"/>
      <c r="NXG35" s="537"/>
      <c r="NXH35" s="537"/>
      <c r="NXI35" s="537"/>
      <c r="NXJ35" s="537"/>
      <c r="NXK35" s="537"/>
      <c r="NXL35" s="537"/>
      <c r="NXM35" s="537"/>
      <c r="NXN35" s="537"/>
      <c r="NXO35" s="537"/>
      <c r="NXP35" s="537"/>
      <c r="NXQ35" s="537"/>
      <c r="NXR35" s="537"/>
      <c r="NXS35" s="537"/>
      <c r="NXT35" s="537"/>
      <c r="NXU35" s="537"/>
      <c r="NXV35" s="537"/>
      <c r="NXW35" s="537"/>
      <c r="NXX35" s="537"/>
      <c r="NXY35" s="537"/>
      <c r="NXZ35" s="537"/>
      <c r="NYA35" s="537"/>
      <c r="NYB35" s="537"/>
      <c r="NYC35" s="537"/>
      <c r="NYD35" s="537"/>
      <c r="NYE35" s="537"/>
      <c r="NYF35" s="537"/>
      <c r="NYG35" s="537"/>
      <c r="NYH35" s="537"/>
      <c r="NYI35" s="537"/>
      <c r="NYJ35" s="537"/>
      <c r="NYK35" s="537"/>
      <c r="NYL35" s="537"/>
      <c r="NYM35" s="537"/>
      <c r="NYN35" s="537"/>
      <c r="NYO35" s="537"/>
      <c r="NYP35" s="537"/>
      <c r="NYQ35" s="537"/>
      <c r="NYR35" s="537"/>
      <c r="NYS35" s="537"/>
      <c r="NYT35" s="537"/>
      <c r="NYU35" s="537"/>
      <c r="NYV35" s="537"/>
      <c r="NYW35" s="537"/>
      <c r="NYX35" s="537"/>
      <c r="NYY35" s="537"/>
      <c r="NYZ35" s="537"/>
      <c r="NZA35" s="537"/>
      <c r="NZB35" s="537"/>
      <c r="NZC35" s="537"/>
      <c r="NZD35" s="537"/>
      <c r="NZE35" s="537"/>
      <c r="NZF35" s="537"/>
      <c r="NZG35" s="537"/>
      <c r="NZH35" s="537"/>
      <c r="NZI35" s="537"/>
      <c r="NZJ35" s="537"/>
      <c r="NZK35" s="537"/>
      <c r="NZL35" s="537"/>
      <c r="NZM35" s="537"/>
      <c r="NZN35" s="537"/>
      <c r="NZO35" s="537"/>
      <c r="NZP35" s="537"/>
      <c r="NZQ35" s="537"/>
      <c r="NZR35" s="537"/>
      <c r="NZS35" s="537"/>
      <c r="NZT35" s="537"/>
      <c r="NZU35" s="537"/>
      <c r="NZV35" s="537"/>
      <c r="NZW35" s="537"/>
      <c r="NZX35" s="537"/>
      <c r="NZY35" s="537"/>
      <c r="NZZ35" s="537"/>
      <c r="OAA35" s="537"/>
      <c r="OAB35" s="537"/>
      <c r="OAC35" s="537"/>
      <c r="OAD35" s="537"/>
      <c r="OAE35" s="537"/>
      <c r="OAF35" s="537"/>
      <c r="OAG35" s="537"/>
      <c r="OAH35" s="537"/>
      <c r="OAI35" s="537"/>
      <c r="OAJ35" s="537"/>
      <c r="OAK35" s="537"/>
      <c r="OAL35" s="537"/>
      <c r="OAM35" s="537"/>
      <c r="OAN35" s="537"/>
      <c r="OAO35" s="537"/>
      <c r="OAP35" s="537"/>
      <c r="OAQ35" s="537"/>
      <c r="OAR35" s="537"/>
      <c r="OAS35" s="537"/>
      <c r="OAT35" s="537"/>
      <c r="OAU35" s="537"/>
      <c r="OAV35" s="537"/>
      <c r="OAW35" s="537"/>
      <c r="OAX35" s="537"/>
      <c r="OAY35" s="537"/>
      <c r="OAZ35" s="537"/>
      <c r="OBA35" s="537"/>
      <c r="OBB35" s="537"/>
      <c r="OBC35" s="537"/>
      <c r="OBD35" s="537"/>
      <c r="OBE35" s="537"/>
      <c r="OBF35" s="537"/>
      <c r="OBG35" s="537"/>
      <c r="OBH35" s="537"/>
      <c r="OBI35" s="537"/>
      <c r="OBJ35" s="537"/>
      <c r="OBK35" s="537"/>
      <c r="OBL35" s="537"/>
      <c r="OBM35" s="537"/>
      <c r="OBN35" s="537"/>
      <c r="OBO35" s="537"/>
      <c r="OBP35" s="537"/>
      <c r="OBQ35" s="537"/>
      <c r="OBR35" s="537"/>
      <c r="OBS35" s="537"/>
      <c r="OBT35" s="537"/>
      <c r="OBU35" s="537"/>
      <c r="OBV35" s="537"/>
      <c r="OBW35" s="537"/>
      <c r="OBX35" s="537"/>
      <c r="OBY35" s="537"/>
      <c r="OBZ35" s="537"/>
      <c r="OCA35" s="537"/>
      <c r="OCB35" s="537"/>
      <c r="OCC35" s="537"/>
      <c r="OCD35" s="537"/>
      <c r="OCE35" s="537"/>
      <c r="OCF35" s="537"/>
      <c r="OCG35" s="537"/>
      <c r="OCH35" s="537"/>
      <c r="OCI35" s="537"/>
      <c r="OCJ35" s="537"/>
      <c r="OCK35" s="537"/>
      <c r="OCL35" s="537"/>
      <c r="OCM35" s="537"/>
      <c r="OCN35" s="537"/>
      <c r="OCO35" s="537"/>
      <c r="OCP35" s="537"/>
      <c r="OCQ35" s="537"/>
      <c r="OCR35" s="537"/>
      <c r="OCS35" s="537"/>
      <c r="OCT35" s="537"/>
      <c r="OCU35" s="537"/>
      <c r="OCV35" s="537"/>
      <c r="OCW35" s="537"/>
      <c r="OCX35" s="537"/>
      <c r="OCY35" s="537"/>
      <c r="OCZ35" s="537"/>
      <c r="ODA35" s="537"/>
      <c r="ODB35" s="537"/>
      <c r="ODC35" s="537"/>
      <c r="ODD35" s="537"/>
      <c r="ODE35" s="537"/>
      <c r="ODF35" s="537"/>
      <c r="ODG35" s="537"/>
      <c r="ODH35" s="537"/>
      <c r="ODI35" s="537"/>
      <c r="ODJ35" s="537"/>
      <c r="ODK35" s="537"/>
      <c r="ODL35" s="537"/>
      <c r="ODM35" s="537"/>
      <c r="ODN35" s="537"/>
      <c r="ODO35" s="537"/>
      <c r="ODP35" s="537"/>
      <c r="ODQ35" s="537"/>
      <c r="ODR35" s="537"/>
      <c r="ODS35" s="537"/>
      <c r="ODT35" s="537"/>
      <c r="ODU35" s="537"/>
      <c r="ODV35" s="537"/>
      <c r="ODW35" s="537"/>
      <c r="ODX35" s="537"/>
      <c r="ODY35" s="537"/>
      <c r="ODZ35" s="537"/>
      <c r="OEA35" s="537"/>
      <c r="OEB35" s="537"/>
      <c r="OEC35" s="537"/>
      <c r="OED35" s="537"/>
      <c r="OEE35" s="537"/>
      <c r="OEF35" s="537"/>
      <c r="OEG35" s="537"/>
      <c r="OEH35" s="537"/>
      <c r="OEI35" s="537"/>
      <c r="OEJ35" s="537"/>
      <c r="OEK35" s="537"/>
      <c r="OEL35" s="537"/>
      <c r="OEM35" s="537"/>
      <c r="OEN35" s="537"/>
      <c r="OEO35" s="537"/>
      <c r="OEP35" s="537"/>
      <c r="OEQ35" s="537"/>
      <c r="OER35" s="537"/>
      <c r="OES35" s="537"/>
      <c r="OET35" s="537"/>
      <c r="OEU35" s="537"/>
      <c r="OEV35" s="537"/>
      <c r="OEW35" s="537"/>
      <c r="OEX35" s="537"/>
      <c r="OEY35" s="537"/>
      <c r="OEZ35" s="537"/>
      <c r="OFA35" s="537"/>
      <c r="OFB35" s="537"/>
      <c r="OFC35" s="537"/>
      <c r="OFD35" s="537"/>
      <c r="OFE35" s="537"/>
      <c r="OFF35" s="537"/>
      <c r="OFG35" s="537"/>
      <c r="OFH35" s="537"/>
      <c r="OFI35" s="537"/>
      <c r="OFJ35" s="537"/>
      <c r="OFK35" s="537"/>
      <c r="OFL35" s="537"/>
      <c r="OFM35" s="537"/>
      <c r="OFN35" s="537"/>
      <c r="OFO35" s="537"/>
      <c r="OFP35" s="537"/>
      <c r="OFQ35" s="537"/>
      <c r="OFR35" s="537"/>
      <c r="OFS35" s="537"/>
      <c r="OFT35" s="537"/>
      <c r="OFU35" s="537"/>
      <c r="OFV35" s="537"/>
      <c r="OFW35" s="537"/>
      <c r="OFX35" s="537"/>
      <c r="OFY35" s="537"/>
      <c r="OFZ35" s="537"/>
      <c r="OGA35" s="537"/>
      <c r="OGB35" s="537"/>
      <c r="OGC35" s="537"/>
      <c r="OGD35" s="537"/>
      <c r="OGE35" s="537"/>
      <c r="OGF35" s="537"/>
      <c r="OGG35" s="537"/>
      <c r="OGH35" s="537"/>
      <c r="OGI35" s="537"/>
      <c r="OGJ35" s="537"/>
      <c r="OGK35" s="537"/>
      <c r="OGL35" s="537"/>
      <c r="OGM35" s="537"/>
      <c r="OGN35" s="537"/>
      <c r="OGO35" s="537"/>
      <c r="OGP35" s="537"/>
      <c r="OGQ35" s="537"/>
      <c r="OGR35" s="537"/>
      <c r="OGS35" s="537"/>
      <c r="OGT35" s="537"/>
      <c r="OGU35" s="537"/>
      <c r="OGV35" s="537"/>
      <c r="OGW35" s="537"/>
      <c r="OGX35" s="537"/>
      <c r="OGY35" s="537"/>
      <c r="OGZ35" s="537"/>
      <c r="OHA35" s="537"/>
      <c r="OHB35" s="537"/>
      <c r="OHC35" s="537"/>
      <c r="OHD35" s="537"/>
      <c r="OHE35" s="537"/>
      <c r="OHF35" s="537"/>
      <c r="OHG35" s="537"/>
      <c r="OHH35" s="537"/>
      <c r="OHI35" s="537"/>
      <c r="OHJ35" s="537"/>
      <c r="OHK35" s="537"/>
      <c r="OHL35" s="537"/>
      <c r="OHM35" s="537"/>
      <c r="OHN35" s="537"/>
      <c r="OHO35" s="537"/>
      <c r="OHP35" s="537"/>
      <c r="OHQ35" s="537"/>
      <c r="OHR35" s="537"/>
      <c r="OHS35" s="537"/>
      <c r="OHT35" s="537"/>
      <c r="OHU35" s="537"/>
      <c r="OHV35" s="537"/>
      <c r="OHW35" s="537"/>
      <c r="OHX35" s="537"/>
      <c r="OHY35" s="537"/>
      <c r="OHZ35" s="537"/>
      <c r="OIA35" s="537"/>
      <c r="OIB35" s="537"/>
      <c r="OIC35" s="537"/>
      <c r="OID35" s="537"/>
      <c r="OIE35" s="537"/>
      <c r="OIF35" s="537"/>
      <c r="OIG35" s="537"/>
      <c r="OIH35" s="537"/>
      <c r="OII35" s="537"/>
      <c r="OIJ35" s="537"/>
      <c r="OIK35" s="537"/>
      <c r="OIL35" s="537"/>
      <c r="OIM35" s="537"/>
      <c r="OIN35" s="537"/>
      <c r="OIO35" s="537"/>
      <c r="OIP35" s="537"/>
      <c r="OIQ35" s="537"/>
      <c r="OIR35" s="537"/>
      <c r="OIS35" s="537"/>
      <c r="OIT35" s="537"/>
      <c r="OIU35" s="537"/>
      <c r="OIV35" s="537"/>
      <c r="OIW35" s="537"/>
      <c r="OIX35" s="537"/>
      <c r="OIY35" s="537"/>
      <c r="OIZ35" s="537"/>
      <c r="OJA35" s="537"/>
      <c r="OJB35" s="537"/>
      <c r="OJC35" s="537"/>
      <c r="OJD35" s="537"/>
      <c r="OJE35" s="537"/>
      <c r="OJF35" s="537"/>
      <c r="OJG35" s="537"/>
      <c r="OJH35" s="537"/>
      <c r="OJI35" s="537"/>
      <c r="OJJ35" s="537"/>
      <c r="OJK35" s="537"/>
      <c r="OJL35" s="537"/>
      <c r="OJM35" s="537"/>
      <c r="OJN35" s="537"/>
      <c r="OJO35" s="537"/>
      <c r="OJP35" s="537"/>
      <c r="OJQ35" s="537"/>
      <c r="OJR35" s="537"/>
      <c r="OJS35" s="537"/>
      <c r="OJT35" s="537"/>
      <c r="OJU35" s="537"/>
      <c r="OJV35" s="537"/>
      <c r="OJW35" s="537"/>
      <c r="OJX35" s="537"/>
      <c r="OJY35" s="537"/>
      <c r="OJZ35" s="537"/>
      <c r="OKA35" s="537"/>
      <c r="OKB35" s="537"/>
      <c r="OKC35" s="537"/>
      <c r="OKD35" s="537"/>
      <c r="OKE35" s="537"/>
      <c r="OKF35" s="537"/>
      <c r="OKG35" s="537"/>
      <c r="OKH35" s="537"/>
      <c r="OKI35" s="537"/>
      <c r="OKJ35" s="537"/>
      <c r="OKK35" s="537"/>
      <c r="OKL35" s="537"/>
      <c r="OKM35" s="537"/>
      <c r="OKN35" s="537"/>
      <c r="OKO35" s="537"/>
      <c r="OKP35" s="537"/>
      <c r="OKQ35" s="537"/>
      <c r="OKR35" s="537"/>
      <c r="OKS35" s="537"/>
      <c r="OKT35" s="537"/>
      <c r="OKU35" s="537"/>
      <c r="OKV35" s="537"/>
      <c r="OKW35" s="537"/>
      <c r="OKX35" s="537"/>
      <c r="OKY35" s="537"/>
      <c r="OKZ35" s="537"/>
      <c r="OLA35" s="537"/>
      <c r="OLB35" s="537"/>
      <c r="OLC35" s="537"/>
      <c r="OLD35" s="537"/>
      <c r="OLE35" s="537"/>
      <c r="OLF35" s="537"/>
      <c r="OLG35" s="537"/>
      <c r="OLH35" s="537"/>
      <c r="OLI35" s="537"/>
      <c r="OLJ35" s="537"/>
      <c r="OLK35" s="537"/>
      <c r="OLL35" s="537"/>
      <c r="OLM35" s="537"/>
      <c r="OLN35" s="537"/>
      <c r="OLO35" s="537"/>
      <c r="OLP35" s="537"/>
      <c r="OLQ35" s="537"/>
      <c r="OLR35" s="537"/>
      <c r="OLS35" s="537"/>
      <c r="OLT35" s="537"/>
      <c r="OLU35" s="537"/>
      <c r="OLV35" s="537"/>
      <c r="OLW35" s="537"/>
      <c r="OLX35" s="537"/>
      <c r="OLY35" s="537"/>
      <c r="OLZ35" s="537"/>
      <c r="OMA35" s="537"/>
      <c r="OMB35" s="537"/>
      <c r="OMC35" s="537"/>
      <c r="OMD35" s="537"/>
      <c r="OME35" s="537"/>
      <c r="OMF35" s="537"/>
      <c r="OMG35" s="537"/>
      <c r="OMH35" s="537"/>
      <c r="OMI35" s="537"/>
      <c r="OMJ35" s="537"/>
      <c r="OMK35" s="537"/>
      <c r="OML35" s="537"/>
      <c r="OMM35" s="537"/>
      <c r="OMN35" s="537"/>
      <c r="OMO35" s="537"/>
      <c r="OMP35" s="537"/>
      <c r="OMQ35" s="537"/>
      <c r="OMR35" s="537"/>
      <c r="OMS35" s="537"/>
      <c r="OMT35" s="537"/>
      <c r="OMU35" s="537"/>
      <c r="OMV35" s="537"/>
      <c r="OMW35" s="537"/>
      <c r="OMX35" s="537"/>
      <c r="OMY35" s="537"/>
      <c r="OMZ35" s="537"/>
      <c r="ONA35" s="537"/>
      <c r="ONB35" s="537"/>
      <c r="ONC35" s="537"/>
      <c r="OND35" s="537"/>
      <c r="ONE35" s="537"/>
      <c r="ONF35" s="537"/>
      <c r="ONG35" s="537"/>
      <c r="ONH35" s="537"/>
      <c r="ONI35" s="537"/>
      <c r="ONJ35" s="537"/>
      <c r="ONK35" s="537"/>
      <c r="ONL35" s="537"/>
      <c r="ONM35" s="537"/>
      <c r="ONN35" s="537"/>
      <c r="ONO35" s="537"/>
      <c r="ONP35" s="537"/>
      <c r="ONQ35" s="537"/>
      <c r="ONR35" s="537"/>
      <c r="ONS35" s="537"/>
      <c r="ONT35" s="537"/>
      <c r="ONU35" s="537"/>
      <c r="ONV35" s="537"/>
      <c r="ONW35" s="537"/>
      <c r="ONX35" s="537"/>
      <c r="ONY35" s="537"/>
      <c r="ONZ35" s="537"/>
      <c r="OOA35" s="537"/>
      <c r="OOB35" s="537"/>
      <c r="OOC35" s="537"/>
      <c r="OOD35" s="537"/>
      <c r="OOE35" s="537"/>
      <c r="OOF35" s="537"/>
      <c r="OOG35" s="537"/>
      <c r="OOH35" s="537"/>
      <c r="OOI35" s="537"/>
      <c r="OOJ35" s="537"/>
      <c r="OOK35" s="537"/>
      <c r="OOL35" s="537"/>
      <c r="OOM35" s="537"/>
      <c r="OON35" s="537"/>
      <c r="OOO35" s="537"/>
      <c r="OOP35" s="537"/>
      <c r="OOQ35" s="537"/>
      <c r="OOR35" s="537"/>
      <c r="OOS35" s="537"/>
      <c r="OOT35" s="537"/>
      <c r="OOU35" s="537"/>
      <c r="OOV35" s="537"/>
      <c r="OOW35" s="537"/>
      <c r="OOX35" s="537"/>
      <c r="OOY35" s="537"/>
      <c r="OOZ35" s="537"/>
      <c r="OPA35" s="537"/>
      <c r="OPB35" s="537"/>
      <c r="OPC35" s="537"/>
      <c r="OPD35" s="537"/>
      <c r="OPE35" s="537"/>
      <c r="OPF35" s="537"/>
      <c r="OPG35" s="537"/>
      <c r="OPH35" s="537"/>
      <c r="OPI35" s="537"/>
      <c r="OPJ35" s="537"/>
      <c r="OPK35" s="537"/>
      <c r="OPL35" s="537"/>
      <c r="OPM35" s="537"/>
      <c r="OPN35" s="537"/>
      <c r="OPO35" s="537"/>
      <c r="OPP35" s="537"/>
      <c r="OPQ35" s="537"/>
      <c r="OPR35" s="537"/>
      <c r="OPS35" s="537"/>
      <c r="OPT35" s="537"/>
      <c r="OPU35" s="537"/>
      <c r="OPV35" s="537"/>
      <c r="OPW35" s="537"/>
      <c r="OPX35" s="537"/>
      <c r="OPY35" s="537"/>
      <c r="OPZ35" s="537"/>
      <c r="OQA35" s="537"/>
      <c r="OQB35" s="537"/>
      <c r="OQC35" s="537"/>
      <c r="OQD35" s="537"/>
      <c r="OQE35" s="537"/>
      <c r="OQF35" s="537"/>
      <c r="OQG35" s="537"/>
      <c r="OQH35" s="537"/>
      <c r="OQI35" s="537"/>
      <c r="OQJ35" s="537"/>
      <c r="OQK35" s="537"/>
      <c r="OQL35" s="537"/>
      <c r="OQM35" s="537"/>
      <c r="OQN35" s="537"/>
      <c r="OQO35" s="537"/>
      <c r="OQP35" s="537"/>
      <c r="OQQ35" s="537"/>
      <c r="OQR35" s="537"/>
      <c r="OQS35" s="537"/>
      <c r="OQT35" s="537"/>
      <c r="OQU35" s="537"/>
      <c r="OQV35" s="537"/>
      <c r="OQW35" s="537"/>
      <c r="OQX35" s="537"/>
      <c r="OQY35" s="537"/>
      <c r="OQZ35" s="537"/>
      <c r="ORA35" s="537"/>
      <c r="ORB35" s="537"/>
      <c r="ORC35" s="537"/>
      <c r="ORD35" s="537"/>
      <c r="ORE35" s="537"/>
      <c r="ORF35" s="537"/>
      <c r="ORG35" s="537"/>
      <c r="ORH35" s="537"/>
      <c r="ORI35" s="537"/>
      <c r="ORJ35" s="537"/>
      <c r="ORK35" s="537"/>
      <c r="ORL35" s="537"/>
      <c r="ORM35" s="537"/>
      <c r="ORN35" s="537"/>
      <c r="ORO35" s="537"/>
      <c r="ORP35" s="537"/>
      <c r="ORQ35" s="537"/>
      <c r="ORR35" s="537"/>
      <c r="ORS35" s="537"/>
      <c r="ORT35" s="537"/>
      <c r="ORU35" s="537"/>
      <c r="ORV35" s="537"/>
      <c r="ORW35" s="537"/>
      <c r="ORX35" s="537"/>
      <c r="ORY35" s="537"/>
      <c r="ORZ35" s="537"/>
      <c r="OSA35" s="537"/>
      <c r="OSB35" s="537"/>
      <c r="OSC35" s="537"/>
      <c r="OSD35" s="537"/>
      <c r="OSE35" s="537"/>
      <c r="OSF35" s="537"/>
      <c r="OSG35" s="537"/>
      <c r="OSH35" s="537"/>
      <c r="OSI35" s="537"/>
      <c r="OSJ35" s="537"/>
      <c r="OSK35" s="537"/>
      <c r="OSL35" s="537"/>
      <c r="OSM35" s="537"/>
      <c r="OSN35" s="537"/>
      <c r="OSO35" s="537"/>
      <c r="OSP35" s="537"/>
      <c r="OSQ35" s="537"/>
      <c r="OSR35" s="537"/>
      <c r="OSS35" s="537"/>
      <c r="OST35" s="537"/>
      <c r="OSU35" s="537"/>
      <c r="OSV35" s="537"/>
      <c r="OSW35" s="537"/>
      <c r="OSX35" s="537"/>
      <c r="OSY35" s="537"/>
      <c r="OSZ35" s="537"/>
      <c r="OTA35" s="537"/>
      <c r="OTB35" s="537"/>
      <c r="OTC35" s="537"/>
      <c r="OTD35" s="537"/>
      <c r="OTE35" s="537"/>
      <c r="OTF35" s="537"/>
      <c r="OTG35" s="537"/>
      <c r="OTH35" s="537"/>
      <c r="OTI35" s="537"/>
      <c r="OTJ35" s="537"/>
      <c r="OTK35" s="537"/>
      <c r="OTL35" s="537"/>
      <c r="OTM35" s="537"/>
      <c r="OTN35" s="537"/>
      <c r="OTO35" s="537"/>
      <c r="OTP35" s="537"/>
      <c r="OTQ35" s="537"/>
      <c r="OTR35" s="537"/>
      <c r="OTS35" s="537"/>
      <c r="OTT35" s="537"/>
      <c r="OTU35" s="537"/>
      <c r="OTV35" s="537"/>
      <c r="OTW35" s="537"/>
      <c r="OTX35" s="537"/>
      <c r="OTY35" s="537"/>
      <c r="OTZ35" s="537"/>
      <c r="OUA35" s="537"/>
      <c r="OUB35" s="537"/>
      <c r="OUC35" s="537"/>
      <c r="OUD35" s="537"/>
      <c r="OUE35" s="537"/>
      <c r="OUF35" s="537"/>
      <c r="OUG35" s="537"/>
      <c r="OUH35" s="537"/>
      <c r="OUI35" s="537"/>
      <c r="OUJ35" s="537"/>
      <c r="OUK35" s="537"/>
      <c r="OUL35" s="537"/>
      <c r="OUM35" s="537"/>
      <c r="OUN35" s="537"/>
      <c r="OUO35" s="537"/>
      <c r="OUP35" s="537"/>
      <c r="OUQ35" s="537"/>
      <c r="OUR35" s="537"/>
      <c r="OUS35" s="537"/>
      <c r="OUT35" s="537"/>
      <c r="OUU35" s="537"/>
      <c r="OUV35" s="537"/>
      <c r="OUW35" s="537"/>
      <c r="OUX35" s="537"/>
      <c r="OUY35" s="537"/>
      <c r="OUZ35" s="537"/>
      <c r="OVA35" s="537"/>
      <c r="OVB35" s="537"/>
      <c r="OVC35" s="537"/>
      <c r="OVD35" s="537"/>
      <c r="OVE35" s="537"/>
      <c r="OVF35" s="537"/>
      <c r="OVG35" s="537"/>
      <c r="OVH35" s="537"/>
      <c r="OVI35" s="537"/>
      <c r="OVJ35" s="537"/>
      <c r="OVK35" s="537"/>
      <c r="OVL35" s="537"/>
      <c r="OVM35" s="537"/>
      <c r="OVN35" s="537"/>
      <c r="OVO35" s="537"/>
      <c r="OVP35" s="537"/>
      <c r="OVQ35" s="537"/>
      <c r="OVR35" s="537"/>
      <c r="OVS35" s="537"/>
      <c r="OVT35" s="537"/>
      <c r="OVU35" s="537"/>
      <c r="OVV35" s="537"/>
      <c r="OVW35" s="537"/>
      <c r="OVX35" s="537"/>
      <c r="OVY35" s="537"/>
      <c r="OVZ35" s="537"/>
      <c r="OWA35" s="537"/>
      <c r="OWB35" s="537"/>
      <c r="OWC35" s="537"/>
      <c r="OWD35" s="537"/>
      <c r="OWE35" s="537"/>
      <c r="OWF35" s="537"/>
      <c r="OWG35" s="537"/>
      <c r="OWH35" s="537"/>
      <c r="OWI35" s="537"/>
      <c r="OWJ35" s="537"/>
      <c r="OWK35" s="537"/>
      <c r="OWL35" s="537"/>
      <c r="OWM35" s="537"/>
      <c r="OWN35" s="537"/>
      <c r="OWO35" s="537"/>
      <c r="OWP35" s="537"/>
      <c r="OWQ35" s="537"/>
      <c r="OWR35" s="537"/>
      <c r="OWS35" s="537"/>
      <c r="OWT35" s="537"/>
      <c r="OWU35" s="537"/>
      <c r="OWV35" s="537"/>
      <c r="OWW35" s="537"/>
      <c r="OWX35" s="537"/>
      <c r="OWY35" s="537"/>
      <c r="OWZ35" s="537"/>
      <c r="OXA35" s="537"/>
      <c r="OXB35" s="537"/>
      <c r="OXC35" s="537"/>
      <c r="OXD35" s="537"/>
      <c r="OXE35" s="537"/>
      <c r="OXF35" s="537"/>
      <c r="OXG35" s="537"/>
      <c r="OXH35" s="537"/>
      <c r="OXI35" s="537"/>
      <c r="OXJ35" s="537"/>
      <c r="OXK35" s="537"/>
      <c r="OXL35" s="537"/>
      <c r="OXM35" s="537"/>
      <c r="OXN35" s="537"/>
      <c r="OXO35" s="537"/>
      <c r="OXP35" s="537"/>
      <c r="OXQ35" s="537"/>
      <c r="OXR35" s="537"/>
      <c r="OXS35" s="537"/>
      <c r="OXT35" s="537"/>
      <c r="OXU35" s="537"/>
      <c r="OXV35" s="537"/>
      <c r="OXW35" s="537"/>
      <c r="OXX35" s="537"/>
      <c r="OXY35" s="537"/>
      <c r="OXZ35" s="537"/>
      <c r="OYA35" s="537"/>
      <c r="OYB35" s="537"/>
      <c r="OYC35" s="537"/>
      <c r="OYD35" s="537"/>
      <c r="OYE35" s="537"/>
      <c r="OYF35" s="537"/>
      <c r="OYG35" s="537"/>
      <c r="OYH35" s="537"/>
      <c r="OYI35" s="537"/>
      <c r="OYJ35" s="537"/>
      <c r="OYK35" s="537"/>
      <c r="OYL35" s="537"/>
      <c r="OYM35" s="537"/>
      <c r="OYN35" s="537"/>
      <c r="OYO35" s="537"/>
      <c r="OYP35" s="537"/>
      <c r="OYQ35" s="537"/>
      <c r="OYR35" s="537"/>
      <c r="OYS35" s="537"/>
      <c r="OYT35" s="537"/>
      <c r="OYU35" s="537"/>
      <c r="OYV35" s="537"/>
      <c r="OYW35" s="537"/>
      <c r="OYX35" s="537"/>
      <c r="OYY35" s="537"/>
      <c r="OYZ35" s="537"/>
      <c r="OZA35" s="537"/>
      <c r="OZB35" s="537"/>
      <c r="OZC35" s="537"/>
      <c r="OZD35" s="537"/>
      <c r="OZE35" s="537"/>
      <c r="OZF35" s="537"/>
      <c r="OZG35" s="537"/>
      <c r="OZH35" s="537"/>
      <c r="OZI35" s="537"/>
      <c r="OZJ35" s="537"/>
      <c r="OZK35" s="537"/>
      <c r="OZL35" s="537"/>
      <c r="OZM35" s="537"/>
      <c r="OZN35" s="537"/>
      <c r="OZO35" s="537"/>
      <c r="OZP35" s="537"/>
      <c r="OZQ35" s="537"/>
      <c r="OZR35" s="537"/>
      <c r="OZS35" s="537"/>
      <c r="OZT35" s="537"/>
      <c r="OZU35" s="537"/>
      <c r="OZV35" s="537"/>
      <c r="OZW35" s="537"/>
      <c r="OZX35" s="537"/>
      <c r="OZY35" s="537"/>
      <c r="OZZ35" s="537"/>
      <c r="PAA35" s="537"/>
      <c r="PAB35" s="537"/>
      <c r="PAC35" s="537"/>
      <c r="PAD35" s="537"/>
      <c r="PAE35" s="537"/>
      <c r="PAF35" s="537"/>
      <c r="PAG35" s="537"/>
      <c r="PAH35" s="537"/>
      <c r="PAI35" s="537"/>
      <c r="PAJ35" s="537"/>
      <c r="PAK35" s="537"/>
      <c r="PAL35" s="537"/>
      <c r="PAM35" s="537"/>
      <c r="PAN35" s="537"/>
      <c r="PAO35" s="537"/>
      <c r="PAP35" s="537"/>
      <c r="PAQ35" s="537"/>
      <c r="PAR35" s="537"/>
      <c r="PAS35" s="537"/>
      <c r="PAT35" s="537"/>
      <c r="PAU35" s="537"/>
      <c r="PAV35" s="537"/>
      <c r="PAW35" s="537"/>
      <c r="PAX35" s="537"/>
      <c r="PAY35" s="537"/>
      <c r="PAZ35" s="537"/>
      <c r="PBA35" s="537"/>
      <c r="PBB35" s="537"/>
      <c r="PBC35" s="537"/>
      <c r="PBD35" s="537"/>
      <c r="PBE35" s="537"/>
      <c r="PBF35" s="537"/>
      <c r="PBG35" s="537"/>
      <c r="PBH35" s="537"/>
      <c r="PBI35" s="537"/>
      <c r="PBJ35" s="537"/>
      <c r="PBK35" s="537"/>
      <c r="PBL35" s="537"/>
      <c r="PBM35" s="537"/>
      <c r="PBN35" s="537"/>
      <c r="PBO35" s="537"/>
      <c r="PBP35" s="537"/>
      <c r="PBQ35" s="537"/>
      <c r="PBR35" s="537"/>
      <c r="PBS35" s="537"/>
      <c r="PBT35" s="537"/>
      <c r="PBU35" s="537"/>
      <c r="PBV35" s="537"/>
      <c r="PBW35" s="537"/>
      <c r="PBX35" s="537"/>
      <c r="PBY35" s="537"/>
      <c r="PBZ35" s="537"/>
      <c r="PCA35" s="537"/>
      <c r="PCB35" s="537"/>
      <c r="PCC35" s="537"/>
      <c r="PCD35" s="537"/>
      <c r="PCE35" s="537"/>
      <c r="PCF35" s="537"/>
      <c r="PCG35" s="537"/>
      <c r="PCH35" s="537"/>
      <c r="PCI35" s="537"/>
      <c r="PCJ35" s="537"/>
      <c r="PCK35" s="537"/>
      <c r="PCL35" s="537"/>
      <c r="PCM35" s="537"/>
      <c r="PCN35" s="537"/>
      <c r="PCO35" s="537"/>
      <c r="PCP35" s="537"/>
      <c r="PCQ35" s="537"/>
      <c r="PCR35" s="537"/>
      <c r="PCS35" s="537"/>
      <c r="PCT35" s="537"/>
      <c r="PCU35" s="537"/>
      <c r="PCV35" s="537"/>
      <c r="PCW35" s="537"/>
      <c r="PCX35" s="537"/>
      <c r="PCY35" s="537"/>
      <c r="PCZ35" s="537"/>
      <c r="PDA35" s="537"/>
      <c r="PDB35" s="537"/>
      <c r="PDC35" s="537"/>
      <c r="PDD35" s="537"/>
      <c r="PDE35" s="537"/>
      <c r="PDF35" s="537"/>
      <c r="PDG35" s="537"/>
      <c r="PDH35" s="537"/>
      <c r="PDI35" s="537"/>
      <c r="PDJ35" s="537"/>
      <c r="PDK35" s="537"/>
      <c r="PDL35" s="537"/>
      <c r="PDM35" s="537"/>
      <c r="PDN35" s="537"/>
      <c r="PDO35" s="537"/>
      <c r="PDP35" s="537"/>
      <c r="PDQ35" s="537"/>
      <c r="PDR35" s="537"/>
      <c r="PDS35" s="537"/>
      <c r="PDT35" s="537"/>
      <c r="PDU35" s="537"/>
      <c r="PDV35" s="537"/>
      <c r="PDW35" s="537"/>
      <c r="PDX35" s="537"/>
      <c r="PDY35" s="537"/>
      <c r="PDZ35" s="537"/>
      <c r="PEA35" s="537"/>
      <c r="PEB35" s="537"/>
      <c r="PEC35" s="537"/>
      <c r="PED35" s="537"/>
      <c r="PEE35" s="537"/>
      <c r="PEF35" s="537"/>
      <c r="PEG35" s="537"/>
      <c r="PEH35" s="537"/>
      <c r="PEI35" s="537"/>
      <c r="PEJ35" s="537"/>
      <c r="PEK35" s="537"/>
      <c r="PEL35" s="537"/>
      <c r="PEM35" s="537"/>
      <c r="PEN35" s="537"/>
      <c r="PEO35" s="537"/>
      <c r="PEP35" s="537"/>
      <c r="PEQ35" s="537"/>
      <c r="PER35" s="537"/>
      <c r="PES35" s="537"/>
      <c r="PET35" s="537"/>
      <c r="PEU35" s="537"/>
      <c r="PEV35" s="537"/>
      <c r="PEW35" s="537"/>
      <c r="PEX35" s="537"/>
      <c r="PEY35" s="537"/>
      <c r="PEZ35" s="537"/>
      <c r="PFA35" s="537"/>
      <c r="PFB35" s="537"/>
      <c r="PFC35" s="537"/>
      <c r="PFD35" s="537"/>
      <c r="PFE35" s="537"/>
      <c r="PFF35" s="537"/>
      <c r="PFG35" s="537"/>
      <c r="PFH35" s="537"/>
      <c r="PFI35" s="537"/>
      <c r="PFJ35" s="537"/>
      <c r="PFK35" s="537"/>
      <c r="PFL35" s="537"/>
      <c r="PFM35" s="537"/>
      <c r="PFN35" s="537"/>
      <c r="PFO35" s="537"/>
      <c r="PFP35" s="537"/>
      <c r="PFQ35" s="537"/>
      <c r="PFR35" s="537"/>
      <c r="PFS35" s="537"/>
      <c r="PFT35" s="537"/>
      <c r="PFU35" s="537"/>
      <c r="PFV35" s="537"/>
      <c r="PFW35" s="537"/>
      <c r="PFX35" s="537"/>
      <c r="PFY35" s="537"/>
      <c r="PFZ35" s="537"/>
      <c r="PGA35" s="537"/>
      <c r="PGB35" s="537"/>
      <c r="PGC35" s="537"/>
      <c r="PGD35" s="537"/>
      <c r="PGE35" s="537"/>
      <c r="PGF35" s="537"/>
      <c r="PGG35" s="537"/>
      <c r="PGH35" s="537"/>
      <c r="PGI35" s="537"/>
      <c r="PGJ35" s="537"/>
      <c r="PGK35" s="537"/>
      <c r="PGL35" s="537"/>
      <c r="PGM35" s="537"/>
      <c r="PGN35" s="537"/>
      <c r="PGO35" s="537"/>
      <c r="PGP35" s="537"/>
      <c r="PGQ35" s="537"/>
      <c r="PGR35" s="537"/>
      <c r="PGS35" s="537"/>
      <c r="PGT35" s="537"/>
      <c r="PGU35" s="537"/>
      <c r="PGV35" s="537"/>
      <c r="PGW35" s="537"/>
      <c r="PGX35" s="537"/>
      <c r="PGY35" s="537"/>
      <c r="PGZ35" s="537"/>
      <c r="PHA35" s="537"/>
      <c r="PHB35" s="537"/>
      <c r="PHC35" s="537"/>
      <c r="PHD35" s="537"/>
      <c r="PHE35" s="537"/>
      <c r="PHF35" s="537"/>
      <c r="PHG35" s="537"/>
      <c r="PHH35" s="537"/>
      <c r="PHI35" s="537"/>
      <c r="PHJ35" s="537"/>
      <c r="PHK35" s="537"/>
      <c r="PHL35" s="537"/>
      <c r="PHM35" s="537"/>
      <c r="PHN35" s="537"/>
      <c r="PHO35" s="537"/>
      <c r="PHP35" s="537"/>
      <c r="PHQ35" s="537"/>
      <c r="PHR35" s="537"/>
      <c r="PHS35" s="537"/>
      <c r="PHT35" s="537"/>
      <c r="PHU35" s="537"/>
      <c r="PHV35" s="537"/>
      <c r="PHW35" s="537"/>
      <c r="PHX35" s="537"/>
      <c r="PHY35" s="537"/>
      <c r="PHZ35" s="537"/>
      <c r="PIA35" s="537"/>
      <c r="PIB35" s="537"/>
      <c r="PIC35" s="537"/>
      <c r="PID35" s="537"/>
      <c r="PIE35" s="537"/>
      <c r="PIF35" s="537"/>
      <c r="PIG35" s="537"/>
      <c r="PIH35" s="537"/>
      <c r="PII35" s="537"/>
      <c r="PIJ35" s="537"/>
      <c r="PIK35" s="537"/>
      <c r="PIL35" s="537"/>
      <c r="PIM35" s="537"/>
      <c r="PIN35" s="537"/>
      <c r="PIO35" s="537"/>
      <c r="PIP35" s="537"/>
      <c r="PIQ35" s="537"/>
      <c r="PIR35" s="537"/>
      <c r="PIS35" s="537"/>
      <c r="PIT35" s="537"/>
      <c r="PIU35" s="537"/>
      <c r="PIV35" s="537"/>
      <c r="PIW35" s="537"/>
      <c r="PIX35" s="537"/>
      <c r="PIY35" s="537"/>
      <c r="PIZ35" s="537"/>
      <c r="PJA35" s="537"/>
      <c r="PJB35" s="537"/>
      <c r="PJC35" s="537"/>
      <c r="PJD35" s="537"/>
      <c r="PJE35" s="537"/>
      <c r="PJF35" s="537"/>
      <c r="PJG35" s="537"/>
      <c r="PJH35" s="537"/>
      <c r="PJI35" s="537"/>
      <c r="PJJ35" s="537"/>
      <c r="PJK35" s="537"/>
      <c r="PJL35" s="537"/>
      <c r="PJM35" s="537"/>
      <c r="PJN35" s="537"/>
      <c r="PJO35" s="537"/>
      <c r="PJP35" s="537"/>
      <c r="PJQ35" s="537"/>
      <c r="PJR35" s="537"/>
      <c r="PJS35" s="537"/>
      <c r="PJT35" s="537"/>
      <c r="PJU35" s="537"/>
      <c r="PJV35" s="537"/>
      <c r="PJW35" s="537"/>
      <c r="PJX35" s="537"/>
      <c r="PJY35" s="537"/>
      <c r="PJZ35" s="537"/>
      <c r="PKA35" s="537"/>
      <c r="PKB35" s="537"/>
      <c r="PKC35" s="537"/>
      <c r="PKD35" s="537"/>
      <c r="PKE35" s="537"/>
      <c r="PKF35" s="537"/>
      <c r="PKG35" s="537"/>
      <c r="PKH35" s="537"/>
      <c r="PKI35" s="537"/>
      <c r="PKJ35" s="537"/>
      <c r="PKK35" s="537"/>
      <c r="PKL35" s="537"/>
      <c r="PKM35" s="537"/>
      <c r="PKN35" s="537"/>
      <c r="PKO35" s="537"/>
      <c r="PKP35" s="537"/>
      <c r="PKQ35" s="537"/>
      <c r="PKR35" s="537"/>
      <c r="PKS35" s="537"/>
      <c r="PKT35" s="537"/>
      <c r="PKU35" s="537"/>
      <c r="PKV35" s="537"/>
      <c r="PKW35" s="537"/>
      <c r="PKX35" s="537"/>
      <c r="PKY35" s="537"/>
      <c r="PKZ35" s="537"/>
      <c r="PLA35" s="537"/>
      <c r="PLB35" s="537"/>
      <c r="PLC35" s="537"/>
      <c r="PLD35" s="537"/>
      <c r="PLE35" s="537"/>
      <c r="PLF35" s="537"/>
      <c r="PLG35" s="537"/>
      <c r="PLH35" s="537"/>
      <c r="PLI35" s="537"/>
      <c r="PLJ35" s="537"/>
      <c r="PLK35" s="537"/>
      <c r="PLL35" s="537"/>
      <c r="PLM35" s="537"/>
      <c r="PLN35" s="537"/>
      <c r="PLO35" s="537"/>
      <c r="PLP35" s="537"/>
      <c r="PLQ35" s="537"/>
      <c r="PLR35" s="537"/>
      <c r="PLS35" s="537"/>
      <c r="PLT35" s="537"/>
      <c r="PLU35" s="537"/>
      <c r="PLV35" s="537"/>
      <c r="PLW35" s="537"/>
      <c r="PLX35" s="537"/>
      <c r="PLY35" s="537"/>
      <c r="PLZ35" s="537"/>
      <c r="PMA35" s="537"/>
      <c r="PMB35" s="537"/>
      <c r="PMC35" s="537"/>
      <c r="PMD35" s="537"/>
      <c r="PME35" s="537"/>
      <c r="PMF35" s="537"/>
      <c r="PMG35" s="537"/>
      <c r="PMH35" s="537"/>
      <c r="PMI35" s="537"/>
      <c r="PMJ35" s="537"/>
      <c r="PMK35" s="537"/>
      <c r="PML35" s="537"/>
      <c r="PMM35" s="537"/>
      <c r="PMN35" s="537"/>
      <c r="PMO35" s="537"/>
      <c r="PMP35" s="537"/>
      <c r="PMQ35" s="537"/>
      <c r="PMR35" s="537"/>
      <c r="PMS35" s="537"/>
      <c r="PMT35" s="537"/>
      <c r="PMU35" s="537"/>
      <c r="PMV35" s="537"/>
      <c r="PMW35" s="537"/>
      <c r="PMX35" s="537"/>
      <c r="PMY35" s="537"/>
      <c r="PMZ35" s="537"/>
      <c r="PNA35" s="537"/>
      <c r="PNB35" s="537"/>
      <c r="PNC35" s="537"/>
      <c r="PND35" s="537"/>
      <c r="PNE35" s="537"/>
      <c r="PNF35" s="537"/>
      <c r="PNG35" s="537"/>
      <c r="PNH35" s="537"/>
      <c r="PNI35" s="537"/>
      <c r="PNJ35" s="537"/>
      <c r="PNK35" s="537"/>
      <c r="PNL35" s="537"/>
      <c r="PNM35" s="537"/>
      <c r="PNN35" s="537"/>
      <c r="PNO35" s="537"/>
      <c r="PNP35" s="537"/>
      <c r="PNQ35" s="537"/>
      <c r="PNR35" s="537"/>
      <c r="PNS35" s="537"/>
      <c r="PNT35" s="537"/>
      <c r="PNU35" s="537"/>
      <c r="PNV35" s="537"/>
      <c r="PNW35" s="537"/>
      <c r="PNX35" s="537"/>
      <c r="PNY35" s="537"/>
      <c r="PNZ35" s="537"/>
      <c r="POA35" s="537"/>
      <c r="POB35" s="537"/>
      <c r="POC35" s="537"/>
      <c r="POD35" s="537"/>
      <c r="POE35" s="537"/>
      <c r="POF35" s="537"/>
      <c r="POG35" s="537"/>
      <c r="POH35" s="537"/>
      <c r="POI35" s="537"/>
      <c r="POJ35" s="537"/>
      <c r="POK35" s="537"/>
      <c r="POL35" s="537"/>
      <c r="POM35" s="537"/>
      <c r="PON35" s="537"/>
      <c r="POO35" s="537"/>
      <c r="POP35" s="537"/>
      <c r="POQ35" s="537"/>
      <c r="POR35" s="537"/>
      <c r="POS35" s="537"/>
      <c r="POT35" s="537"/>
      <c r="POU35" s="537"/>
      <c r="POV35" s="537"/>
      <c r="POW35" s="537"/>
      <c r="POX35" s="537"/>
      <c r="POY35" s="537"/>
      <c r="POZ35" s="537"/>
      <c r="PPA35" s="537"/>
      <c r="PPB35" s="537"/>
      <c r="PPC35" s="537"/>
      <c r="PPD35" s="537"/>
      <c r="PPE35" s="537"/>
      <c r="PPF35" s="537"/>
      <c r="PPG35" s="537"/>
      <c r="PPH35" s="537"/>
      <c r="PPI35" s="537"/>
      <c r="PPJ35" s="537"/>
      <c r="PPK35" s="537"/>
      <c r="PPL35" s="537"/>
      <c r="PPM35" s="537"/>
      <c r="PPN35" s="537"/>
      <c r="PPO35" s="537"/>
      <c r="PPP35" s="537"/>
      <c r="PPQ35" s="537"/>
      <c r="PPR35" s="537"/>
      <c r="PPS35" s="537"/>
      <c r="PPT35" s="537"/>
      <c r="PPU35" s="537"/>
      <c r="PPV35" s="537"/>
      <c r="PPW35" s="537"/>
      <c r="PPX35" s="537"/>
      <c r="PPY35" s="537"/>
      <c r="PPZ35" s="537"/>
      <c r="PQA35" s="537"/>
      <c r="PQB35" s="537"/>
      <c r="PQC35" s="537"/>
      <c r="PQD35" s="537"/>
      <c r="PQE35" s="537"/>
      <c r="PQF35" s="537"/>
      <c r="PQG35" s="537"/>
      <c r="PQH35" s="537"/>
      <c r="PQI35" s="537"/>
      <c r="PQJ35" s="537"/>
      <c r="PQK35" s="537"/>
      <c r="PQL35" s="537"/>
      <c r="PQM35" s="537"/>
      <c r="PQN35" s="537"/>
      <c r="PQO35" s="537"/>
      <c r="PQP35" s="537"/>
      <c r="PQQ35" s="537"/>
      <c r="PQR35" s="537"/>
      <c r="PQS35" s="537"/>
      <c r="PQT35" s="537"/>
      <c r="PQU35" s="537"/>
      <c r="PQV35" s="537"/>
      <c r="PQW35" s="537"/>
      <c r="PQX35" s="537"/>
      <c r="PQY35" s="537"/>
      <c r="PQZ35" s="537"/>
      <c r="PRA35" s="537"/>
      <c r="PRB35" s="537"/>
      <c r="PRC35" s="537"/>
      <c r="PRD35" s="537"/>
      <c r="PRE35" s="537"/>
      <c r="PRF35" s="537"/>
      <c r="PRG35" s="537"/>
      <c r="PRH35" s="537"/>
      <c r="PRI35" s="537"/>
      <c r="PRJ35" s="537"/>
      <c r="PRK35" s="537"/>
      <c r="PRL35" s="537"/>
      <c r="PRM35" s="537"/>
      <c r="PRN35" s="537"/>
      <c r="PRO35" s="537"/>
      <c r="PRP35" s="537"/>
      <c r="PRQ35" s="537"/>
      <c r="PRR35" s="537"/>
      <c r="PRS35" s="537"/>
      <c r="PRT35" s="537"/>
      <c r="PRU35" s="537"/>
      <c r="PRV35" s="537"/>
      <c r="PRW35" s="537"/>
      <c r="PRX35" s="537"/>
      <c r="PRY35" s="537"/>
      <c r="PRZ35" s="537"/>
      <c r="PSA35" s="537"/>
      <c r="PSB35" s="537"/>
      <c r="PSC35" s="537"/>
      <c r="PSD35" s="537"/>
      <c r="PSE35" s="537"/>
      <c r="PSF35" s="537"/>
      <c r="PSG35" s="537"/>
      <c r="PSH35" s="537"/>
      <c r="PSI35" s="537"/>
      <c r="PSJ35" s="537"/>
      <c r="PSK35" s="537"/>
      <c r="PSL35" s="537"/>
      <c r="PSM35" s="537"/>
      <c r="PSN35" s="537"/>
      <c r="PSO35" s="537"/>
      <c r="PSP35" s="537"/>
      <c r="PSQ35" s="537"/>
      <c r="PSR35" s="537"/>
      <c r="PSS35" s="537"/>
      <c r="PST35" s="537"/>
      <c r="PSU35" s="537"/>
      <c r="PSV35" s="537"/>
      <c r="PSW35" s="537"/>
      <c r="PSX35" s="537"/>
      <c r="PSY35" s="537"/>
      <c r="PSZ35" s="537"/>
      <c r="PTA35" s="537"/>
      <c r="PTB35" s="537"/>
      <c r="PTC35" s="537"/>
      <c r="PTD35" s="537"/>
      <c r="PTE35" s="537"/>
      <c r="PTF35" s="537"/>
      <c r="PTG35" s="537"/>
      <c r="PTH35" s="537"/>
      <c r="PTI35" s="537"/>
      <c r="PTJ35" s="537"/>
      <c r="PTK35" s="537"/>
      <c r="PTL35" s="537"/>
      <c r="PTM35" s="537"/>
      <c r="PTN35" s="537"/>
      <c r="PTO35" s="537"/>
      <c r="PTP35" s="537"/>
      <c r="PTQ35" s="537"/>
      <c r="PTR35" s="537"/>
      <c r="PTS35" s="537"/>
      <c r="PTT35" s="537"/>
      <c r="PTU35" s="537"/>
      <c r="PTV35" s="537"/>
      <c r="PTW35" s="537"/>
      <c r="PTX35" s="537"/>
      <c r="PTY35" s="537"/>
      <c r="PTZ35" s="537"/>
      <c r="PUA35" s="537"/>
      <c r="PUB35" s="537"/>
      <c r="PUC35" s="537"/>
      <c r="PUD35" s="537"/>
      <c r="PUE35" s="537"/>
      <c r="PUF35" s="537"/>
      <c r="PUG35" s="537"/>
      <c r="PUH35" s="537"/>
      <c r="PUI35" s="537"/>
      <c r="PUJ35" s="537"/>
      <c r="PUK35" s="537"/>
      <c r="PUL35" s="537"/>
      <c r="PUM35" s="537"/>
      <c r="PUN35" s="537"/>
      <c r="PUO35" s="537"/>
      <c r="PUP35" s="537"/>
      <c r="PUQ35" s="537"/>
      <c r="PUR35" s="537"/>
      <c r="PUS35" s="537"/>
      <c r="PUT35" s="537"/>
      <c r="PUU35" s="537"/>
      <c r="PUV35" s="537"/>
      <c r="PUW35" s="537"/>
      <c r="PUX35" s="537"/>
      <c r="PUY35" s="537"/>
      <c r="PUZ35" s="537"/>
      <c r="PVA35" s="537"/>
      <c r="PVB35" s="537"/>
      <c r="PVC35" s="537"/>
      <c r="PVD35" s="537"/>
      <c r="PVE35" s="537"/>
      <c r="PVF35" s="537"/>
      <c r="PVG35" s="537"/>
      <c r="PVH35" s="537"/>
      <c r="PVI35" s="537"/>
      <c r="PVJ35" s="537"/>
      <c r="PVK35" s="537"/>
      <c r="PVL35" s="537"/>
      <c r="PVM35" s="537"/>
      <c r="PVN35" s="537"/>
      <c r="PVO35" s="537"/>
      <c r="PVP35" s="537"/>
      <c r="PVQ35" s="537"/>
      <c r="PVR35" s="537"/>
      <c r="PVS35" s="537"/>
      <c r="PVT35" s="537"/>
      <c r="PVU35" s="537"/>
      <c r="PVV35" s="537"/>
      <c r="PVW35" s="537"/>
      <c r="PVX35" s="537"/>
      <c r="PVY35" s="537"/>
      <c r="PVZ35" s="537"/>
      <c r="PWA35" s="537"/>
      <c r="PWB35" s="537"/>
      <c r="PWC35" s="537"/>
      <c r="PWD35" s="537"/>
      <c r="PWE35" s="537"/>
      <c r="PWF35" s="537"/>
      <c r="PWG35" s="537"/>
      <c r="PWH35" s="537"/>
      <c r="PWI35" s="537"/>
      <c r="PWJ35" s="537"/>
      <c r="PWK35" s="537"/>
      <c r="PWL35" s="537"/>
      <c r="PWM35" s="537"/>
      <c r="PWN35" s="537"/>
      <c r="PWO35" s="537"/>
      <c r="PWP35" s="537"/>
      <c r="PWQ35" s="537"/>
      <c r="PWR35" s="537"/>
      <c r="PWS35" s="537"/>
      <c r="PWT35" s="537"/>
      <c r="PWU35" s="537"/>
      <c r="PWV35" s="537"/>
      <c r="PWW35" s="537"/>
      <c r="PWX35" s="537"/>
      <c r="PWY35" s="537"/>
      <c r="PWZ35" s="537"/>
      <c r="PXA35" s="537"/>
      <c r="PXB35" s="537"/>
      <c r="PXC35" s="537"/>
      <c r="PXD35" s="537"/>
      <c r="PXE35" s="537"/>
      <c r="PXF35" s="537"/>
      <c r="PXG35" s="537"/>
      <c r="PXH35" s="537"/>
      <c r="PXI35" s="537"/>
      <c r="PXJ35" s="537"/>
      <c r="PXK35" s="537"/>
      <c r="PXL35" s="537"/>
      <c r="PXM35" s="537"/>
      <c r="PXN35" s="537"/>
      <c r="PXO35" s="537"/>
      <c r="PXP35" s="537"/>
      <c r="PXQ35" s="537"/>
      <c r="PXR35" s="537"/>
      <c r="PXS35" s="537"/>
      <c r="PXT35" s="537"/>
      <c r="PXU35" s="537"/>
      <c r="PXV35" s="537"/>
      <c r="PXW35" s="537"/>
      <c r="PXX35" s="537"/>
      <c r="PXY35" s="537"/>
      <c r="PXZ35" s="537"/>
      <c r="PYA35" s="537"/>
      <c r="PYB35" s="537"/>
      <c r="PYC35" s="537"/>
      <c r="PYD35" s="537"/>
      <c r="PYE35" s="537"/>
      <c r="PYF35" s="537"/>
      <c r="PYG35" s="537"/>
      <c r="PYH35" s="537"/>
      <c r="PYI35" s="537"/>
      <c r="PYJ35" s="537"/>
      <c r="PYK35" s="537"/>
      <c r="PYL35" s="537"/>
      <c r="PYM35" s="537"/>
      <c r="PYN35" s="537"/>
      <c r="PYO35" s="537"/>
      <c r="PYP35" s="537"/>
      <c r="PYQ35" s="537"/>
      <c r="PYR35" s="537"/>
      <c r="PYS35" s="537"/>
      <c r="PYT35" s="537"/>
      <c r="PYU35" s="537"/>
      <c r="PYV35" s="537"/>
      <c r="PYW35" s="537"/>
      <c r="PYX35" s="537"/>
      <c r="PYY35" s="537"/>
      <c r="PYZ35" s="537"/>
      <c r="PZA35" s="537"/>
      <c r="PZB35" s="537"/>
      <c r="PZC35" s="537"/>
      <c r="PZD35" s="537"/>
      <c r="PZE35" s="537"/>
      <c r="PZF35" s="537"/>
      <c r="PZG35" s="537"/>
      <c r="PZH35" s="537"/>
      <c r="PZI35" s="537"/>
      <c r="PZJ35" s="537"/>
      <c r="PZK35" s="537"/>
      <c r="PZL35" s="537"/>
      <c r="PZM35" s="537"/>
      <c r="PZN35" s="537"/>
      <c r="PZO35" s="537"/>
      <c r="PZP35" s="537"/>
      <c r="PZQ35" s="537"/>
      <c r="PZR35" s="537"/>
      <c r="PZS35" s="537"/>
      <c r="PZT35" s="537"/>
      <c r="PZU35" s="537"/>
      <c r="PZV35" s="537"/>
      <c r="PZW35" s="537"/>
      <c r="PZX35" s="537"/>
      <c r="PZY35" s="537"/>
      <c r="PZZ35" s="537"/>
      <c r="QAA35" s="537"/>
      <c r="QAB35" s="537"/>
      <c r="QAC35" s="537"/>
      <c r="QAD35" s="537"/>
      <c r="QAE35" s="537"/>
      <c r="QAF35" s="537"/>
      <c r="QAG35" s="537"/>
      <c r="QAH35" s="537"/>
      <c r="QAI35" s="537"/>
      <c r="QAJ35" s="537"/>
      <c r="QAK35" s="537"/>
      <c r="QAL35" s="537"/>
      <c r="QAM35" s="537"/>
      <c r="QAN35" s="537"/>
      <c r="QAO35" s="537"/>
      <c r="QAP35" s="537"/>
      <c r="QAQ35" s="537"/>
      <c r="QAR35" s="537"/>
      <c r="QAS35" s="537"/>
      <c r="QAT35" s="537"/>
      <c r="QAU35" s="537"/>
      <c r="QAV35" s="537"/>
      <c r="QAW35" s="537"/>
      <c r="QAX35" s="537"/>
      <c r="QAY35" s="537"/>
      <c r="QAZ35" s="537"/>
      <c r="QBA35" s="537"/>
      <c r="QBB35" s="537"/>
      <c r="QBC35" s="537"/>
      <c r="QBD35" s="537"/>
      <c r="QBE35" s="537"/>
      <c r="QBF35" s="537"/>
      <c r="QBG35" s="537"/>
      <c r="QBH35" s="537"/>
      <c r="QBI35" s="537"/>
      <c r="QBJ35" s="537"/>
      <c r="QBK35" s="537"/>
      <c r="QBL35" s="537"/>
      <c r="QBM35" s="537"/>
      <c r="QBN35" s="537"/>
      <c r="QBO35" s="537"/>
      <c r="QBP35" s="537"/>
      <c r="QBQ35" s="537"/>
      <c r="QBR35" s="537"/>
      <c r="QBS35" s="537"/>
      <c r="QBT35" s="537"/>
      <c r="QBU35" s="537"/>
      <c r="QBV35" s="537"/>
      <c r="QBW35" s="537"/>
      <c r="QBX35" s="537"/>
      <c r="QBY35" s="537"/>
      <c r="QBZ35" s="537"/>
      <c r="QCA35" s="537"/>
      <c r="QCB35" s="537"/>
      <c r="QCC35" s="537"/>
      <c r="QCD35" s="537"/>
      <c r="QCE35" s="537"/>
      <c r="QCF35" s="537"/>
      <c r="QCG35" s="537"/>
      <c r="QCH35" s="537"/>
      <c r="QCI35" s="537"/>
      <c r="QCJ35" s="537"/>
      <c r="QCK35" s="537"/>
      <c r="QCL35" s="537"/>
      <c r="QCM35" s="537"/>
      <c r="QCN35" s="537"/>
      <c r="QCO35" s="537"/>
      <c r="QCP35" s="537"/>
      <c r="QCQ35" s="537"/>
      <c r="QCR35" s="537"/>
      <c r="QCS35" s="537"/>
      <c r="QCT35" s="537"/>
      <c r="QCU35" s="537"/>
      <c r="QCV35" s="537"/>
      <c r="QCW35" s="537"/>
      <c r="QCX35" s="537"/>
      <c r="QCY35" s="537"/>
      <c r="QCZ35" s="537"/>
      <c r="QDA35" s="537"/>
      <c r="QDB35" s="537"/>
      <c r="QDC35" s="537"/>
      <c r="QDD35" s="537"/>
      <c r="QDE35" s="537"/>
      <c r="QDF35" s="537"/>
      <c r="QDG35" s="537"/>
      <c r="QDH35" s="537"/>
      <c r="QDI35" s="537"/>
      <c r="QDJ35" s="537"/>
      <c r="QDK35" s="537"/>
      <c r="QDL35" s="537"/>
      <c r="QDM35" s="537"/>
      <c r="QDN35" s="537"/>
      <c r="QDO35" s="537"/>
      <c r="QDP35" s="537"/>
      <c r="QDQ35" s="537"/>
      <c r="QDR35" s="537"/>
      <c r="QDS35" s="537"/>
      <c r="QDT35" s="537"/>
      <c r="QDU35" s="537"/>
      <c r="QDV35" s="537"/>
      <c r="QDW35" s="537"/>
      <c r="QDX35" s="537"/>
      <c r="QDY35" s="537"/>
      <c r="QDZ35" s="537"/>
      <c r="QEA35" s="537"/>
      <c r="QEB35" s="537"/>
      <c r="QEC35" s="537"/>
      <c r="QED35" s="537"/>
      <c r="QEE35" s="537"/>
      <c r="QEF35" s="537"/>
      <c r="QEG35" s="537"/>
      <c r="QEH35" s="537"/>
      <c r="QEI35" s="537"/>
      <c r="QEJ35" s="537"/>
      <c r="QEK35" s="537"/>
      <c r="QEL35" s="537"/>
      <c r="QEM35" s="537"/>
      <c r="QEN35" s="537"/>
      <c r="QEO35" s="537"/>
      <c r="QEP35" s="537"/>
      <c r="QEQ35" s="537"/>
      <c r="QER35" s="537"/>
      <c r="QES35" s="537"/>
      <c r="QET35" s="537"/>
      <c r="QEU35" s="537"/>
      <c r="QEV35" s="537"/>
      <c r="QEW35" s="537"/>
      <c r="QEX35" s="537"/>
      <c r="QEY35" s="537"/>
      <c r="QEZ35" s="537"/>
      <c r="QFA35" s="537"/>
      <c r="QFB35" s="537"/>
      <c r="QFC35" s="537"/>
      <c r="QFD35" s="537"/>
      <c r="QFE35" s="537"/>
      <c r="QFF35" s="537"/>
      <c r="QFG35" s="537"/>
      <c r="QFH35" s="537"/>
      <c r="QFI35" s="537"/>
      <c r="QFJ35" s="537"/>
      <c r="QFK35" s="537"/>
      <c r="QFL35" s="537"/>
      <c r="QFM35" s="537"/>
      <c r="QFN35" s="537"/>
      <c r="QFO35" s="537"/>
      <c r="QFP35" s="537"/>
      <c r="QFQ35" s="537"/>
      <c r="QFR35" s="537"/>
      <c r="QFS35" s="537"/>
      <c r="QFT35" s="537"/>
      <c r="QFU35" s="537"/>
      <c r="QFV35" s="537"/>
      <c r="QFW35" s="537"/>
      <c r="QFX35" s="537"/>
      <c r="QFY35" s="537"/>
      <c r="QFZ35" s="537"/>
      <c r="QGA35" s="537"/>
      <c r="QGB35" s="537"/>
      <c r="QGC35" s="537"/>
      <c r="QGD35" s="537"/>
      <c r="QGE35" s="537"/>
      <c r="QGF35" s="537"/>
      <c r="QGG35" s="537"/>
      <c r="QGH35" s="537"/>
      <c r="QGI35" s="537"/>
      <c r="QGJ35" s="537"/>
      <c r="QGK35" s="537"/>
      <c r="QGL35" s="537"/>
      <c r="QGM35" s="537"/>
      <c r="QGN35" s="537"/>
      <c r="QGO35" s="537"/>
      <c r="QGP35" s="537"/>
      <c r="QGQ35" s="537"/>
      <c r="QGR35" s="537"/>
      <c r="QGS35" s="537"/>
      <c r="QGT35" s="537"/>
      <c r="QGU35" s="537"/>
      <c r="QGV35" s="537"/>
      <c r="QGW35" s="537"/>
      <c r="QGX35" s="537"/>
      <c r="QGY35" s="537"/>
      <c r="QGZ35" s="537"/>
      <c r="QHA35" s="537"/>
      <c r="QHB35" s="537"/>
      <c r="QHC35" s="537"/>
      <c r="QHD35" s="537"/>
      <c r="QHE35" s="537"/>
      <c r="QHF35" s="537"/>
      <c r="QHG35" s="537"/>
      <c r="QHH35" s="537"/>
      <c r="QHI35" s="537"/>
      <c r="QHJ35" s="537"/>
      <c r="QHK35" s="537"/>
      <c r="QHL35" s="537"/>
      <c r="QHM35" s="537"/>
      <c r="QHN35" s="537"/>
      <c r="QHO35" s="537"/>
      <c r="QHP35" s="537"/>
      <c r="QHQ35" s="537"/>
      <c r="QHR35" s="537"/>
      <c r="QHS35" s="537"/>
      <c r="QHT35" s="537"/>
      <c r="QHU35" s="537"/>
      <c r="QHV35" s="537"/>
      <c r="QHW35" s="537"/>
      <c r="QHX35" s="537"/>
      <c r="QHY35" s="537"/>
      <c r="QHZ35" s="537"/>
      <c r="QIA35" s="537"/>
      <c r="QIB35" s="537"/>
      <c r="QIC35" s="537"/>
      <c r="QID35" s="537"/>
      <c r="QIE35" s="537"/>
      <c r="QIF35" s="537"/>
      <c r="QIG35" s="537"/>
      <c r="QIH35" s="537"/>
      <c r="QII35" s="537"/>
      <c r="QIJ35" s="537"/>
      <c r="QIK35" s="537"/>
      <c r="QIL35" s="537"/>
      <c r="QIM35" s="537"/>
      <c r="QIN35" s="537"/>
      <c r="QIO35" s="537"/>
      <c r="QIP35" s="537"/>
      <c r="QIQ35" s="537"/>
      <c r="QIR35" s="537"/>
      <c r="QIS35" s="537"/>
      <c r="QIT35" s="537"/>
      <c r="QIU35" s="537"/>
      <c r="QIV35" s="537"/>
      <c r="QIW35" s="537"/>
      <c r="QIX35" s="537"/>
      <c r="QIY35" s="537"/>
      <c r="QIZ35" s="537"/>
      <c r="QJA35" s="537"/>
      <c r="QJB35" s="537"/>
      <c r="QJC35" s="537"/>
      <c r="QJD35" s="537"/>
      <c r="QJE35" s="537"/>
      <c r="QJF35" s="537"/>
      <c r="QJG35" s="537"/>
      <c r="QJH35" s="537"/>
      <c r="QJI35" s="537"/>
      <c r="QJJ35" s="537"/>
      <c r="QJK35" s="537"/>
      <c r="QJL35" s="537"/>
      <c r="QJM35" s="537"/>
      <c r="QJN35" s="537"/>
      <c r="QJO35" s="537"/>
      <c r="QJP35" s="537"/>
      <c r="QJQ35" s="537"/>
      <c r="QJR35" s="537"/>
      <c r="QJS35" s="537"/>
      <c r="QJT35" s="537"/>
      <c r="QJU35" s="537"/>
      <c r="QJV35" s="537"/>
      <c r="QJW35" s="537"/>
      <c r="QJX35" s="537"/>
      <c r="QJY35" s="537"/>
      <c r="QJZ35" s="537"/>
      <c r="QKA35" s="537"/>
      <c r="QKB35" s="537"/>
      <c r="QKC35" s="537"/>
      <c r="QKD35" s="537"/>
      <c r="QKE35" s="537"/>
      <c r="QKF35" s="537"/>
      <c r="QKG35" s="537"/>
      <c r="QKH35" s="537"/>
      <c r="QKI35" s="537"/>
      <c r="QKJ35" s="537"/>
      <c r="QKK35" s="537"/>
      <c r="QKL35" s="537"/>
      <c r="QKM35" s="537"/>
      <c r="QKN35" s="537"/>
      <c r="QKO35" s="537"/>
      <c r="QKP35" s="537"/>
      <c r="QKQ35" s="537"/>
      <c r="QKR35" s="537"/>
      <c r="QKS35" s="537"/>
      <c r="QKT35" s="537"/>
      <c r="QKU35" s="537"/>
      <c r="QKV35" s="537"/>
      <c r="QKW35" s="537"/>
      <c r="QKX35" s="537"/>
      <c r="QKY35" s="537"/>
      <c r="QKZ35" s="537"/>
      <c r="QLA35" s="537"/>
      <c r="QLB35" s="537"/>
      <c r="QLC35" s="537"/>
      <c r="QLD35" s="537"/>
      <c r="QLE35" s="537"/>
      <c r="QLF35" s="537"/>
      <c r="QLG35" s="537"/>
      <c r="QLH35" s="537"/>
      <c r="QLI35" s="537"/>
      <c r="QLJ35" s="537"/>
      <c r="QLK35" s="537"/>
      <c r="QLL35" s="537"/>
      <c r="QLM35" s="537"/>
      <c r="QLN35" s="537"/>
      <c r="QLO35" s="537"/>
      <c r="QLP35" s="537"/>
      <c r="QLQ35" s="537"/>
      <c r="QLR35" s="537"/>
      <c r="QLS35" s="537"/>
      <c r="QLT35" s="537"/>
      <c r="QLU35" s="537"/>
      <c r="QLV35" s="537"/>
      <c r="QLW35" s="537"/>
      <c r="QLX35" s="537"/>
      <c r="QLY35" s="537"/>
      <c r="QLZ35" s="537"/>
      <c r="QMA35" s="537"/>
      <c r="QMB35" s="537"/>
      <c r="QMC35" s="537"/>
      <c r="QMD35" s="537"/>
      <c r="QME35" s="537"/>
      <c r="QMF35" s="537"/>
      <c r="QMG35" s="537"/>
      <c r="QMH35" s="537"/>
      <c r="QMI35" s="537"/>
      <c r="QMJ35" s="537"/>
      <c r="QMK35" s="537"/>
      <c r="QML35" s="537"/>
      <c r="QMM35" s="537"/>
      <c r="QMN35" s="537"/>
      <c r="QMO35" s="537"/>
      <c r="QMP35" s="537"/>
      <c r="QMQ35" s="537"/>
      <c r="QMR35" s="537"/>
      <c r="QMS35" s="537"/>
      <c r="QMT35" s="537"/>
      <c r="QMU35" s="537"/>
      <c r="QMV35" s="537"/>
      <c r="QMW35" s="537"/>
      <c r="QMX35" s="537"/>
      <c r="QMY35" s="537"/>
      <c r="QMZ35" s="537"/>
      <c r="QNA35" s="537"/>
      <c r="QNB35" s="537"/>
      <c r="QNC35" s="537"/>
      <c r="QND35" s="537"/>
      <c r="QNE35" s="537"/>
      <c r="QNF35" s="537"/>
      <c r="QNG35" s="537"/>
      <c r="QNH35" s="537"/>
      <c r="QNI35" s="537"/>
      <c r="QNJ35" s="537"/>
      <c r="QNK35" s="537"/>
      <c r="QNL35" s="537"/>
      <c r="QNM35" s="537"/>
      <c r="QNN35" s="537"/>
      <c r="QNO35" s="537"/>
      <c r="QNP35" s="537"/>
      <c r="QNQ35" s="537"/>
      <c r="QNR35" s="537"/>
      <c r="QNS35" s="537"/>
      <c r="QNT35" s="537"/>
      <c r="QNU35" s="537"/>
      <c r="QNV35" s="537"/>
      <c r="QNW35" s="537"/>
      <c r="QNX35" s="537"/>
      <c r="QNY35" s="537"/>
      <c r="QNZ35" s="537"/>
      <c r="QOA35" s="537"/>
      <c r="QOB35" s="537"/>
      <c r="QOC35" s="537"/>
      <c r="QOD35" s="537"/>
      <c r="QOE35" s="537"/>
      <c r="QOF35" s="537"/>
      <c r="QOG35" s="537"/>
      <c r="QOH35" s="537"/>
      <c r="QOI35" s="537"/>
      <c r="QOJ35" s="537"/>
      <c r="QOK35" s="537"/>
      <c r="QOL35" s="537"/>
      <c r="QOM35" s="537"/>
      <c r="QON35" s="537"/>
      <c r="QOO35" s="537"/>
      <c r="QOP35" s="537"/>
      <c r="QOQ35" s="537"/>
      <c r="QOR35" s="537"/>
      <c r="QOS35" s="537"/>
      <c r="QOT35" s="537"/>
      <c r="QOU35" s="537"/>
      <c r="QOV35" s="537"/>
      <c r="QOW35" s="537"/>
      <c r="QOX35" s="537"/>
      <c r="QOY35" s="537"/>
      <c r="QOZ35" s="537"/>
      <c r="QPA35" s="537"/>
      <c r="QPB35" s="537"/>
      <c r="QPC35" s="537"/>
      <c r="QPD35" s="537"/>
      <c r="QPE35" s="537"/>
      <c r="QPF35" s="537"/>
      <c r="QPG35" s="537"/>
      <c r="QPH35" s="537"/>
      <c r="QPI35" s="537"/>
      <c r="QPJ35" s="537"/>
      <c r="QPK35" s="537"/>
      <c r="QPL35" s="537"/>
      <c r="QPM35" s="537"/>
      <c r="QPN35" s="537"/>
      <c r="QPO35" s="537"/>
      <c r="QPP35" s="537"/>
      <c r="QPQ35" s="537"/>
      <c r="QPR35" s="537"/>
      <c r="QPS35" s="537"/>
      <c r="QPT35" s="537"/>
      <c r="QPU35" s="537"/>
      <c r="QPV35" s="537"/>
      <c r="QPW35" s="537"/>
      <c r="QPX35" s="537"/>
      <c r="QPY35" s="537"/>
      <c r="QPZ35" s="537"/>
      <c r="QQA35" s="537"/>
      <c r="QQB35" s="537"/>
      <c r="QQC35" s="537"/>
      <c r="QQD35" s="537"/>
      <c r="QQE35" s="537"/>
      <c r="QQF35" s="537"/>
      <c r="QQG35" s="537"/>
      <c r="QQH35" s="537"/>
      <c r="QQI35" s="537"/>
      <c r="QQJ35" s="537"/>
      <c r="QQK35" s="537"/>
      <c r="QQL35" s="537"/>
      <c r="QQM35" s="537"/>
      <c r="QQN35" s="537"/>
      <c r="QQO35" s="537"/>
      <c r="QQP35" s="537"/>
      <c r="QQQ35" s="537"/>
      <c r="QQR35" s="537"/>
      <c r="QQS35" s="537"/>
      <c r="QQT35" s="537"/>
      <c r="QQU35" s="537"/>
      <c r="QQV35" s="537"/>
      <c r="QQW35" s="537"/>
      <c r="QQX35" s="537"/>
      <c r="QQY35" s="537"/>
      <c r="QQZ35" s="537"/>
      <c r="QRA35" s="537"/>
      <c r="QRB35" s="537"/>
      <c r="QRC35" s="537"/>
      <c r="QRD35" s="537"/>
      <c r="QRE35" s="537"/>
      <c r="QRF35" s="537"/>
      <c r="QRG35" s="537"/>
      <c r="QRH35" s="537"/>
      <c r="QRI35" s="537"/>
      <c r="QRJ35" s="537"/>
      <c r="QRK35" s="537"/>
      <c r="QRL35" s="537"/>
      <c r="QRM35" s="537"/>
      <c r="QRN35" s="537"/>
      <c r="QRO35" s="537"/>
      <c r="QRP35" s="537"/>
      <c r="QRQ35" s="537"/>
      <c r="QRR35" s="537"/>
      <c r="QRS35" s="537"/>
      <c r="QRT35" s="537"/>
      <c r="QRU35" s="537"/>
      <c r="QRV35" s="537"/>
      <c r="QRW35" s="537"/>
      <c r="QRX35" s="537"/>
      <c r="QRY35" s="537"/>
      <c r="QRZ35" s="537"/>
      <c r="QSA35" s="537"/>
      <c r="QSB35" s="537"/>
      <c r="QSC35" s="537"/>
      <c r="QSD35" s="537"/>
      <c r="QSE35" s="537"/>
      <c r="QSF35" s="537"/>
      <c r="QSG35" s="537"/>
      <c r="QSH35" s="537"/>
      <c r="QSI35" s="537"/>
      <c r="QSJ35" s="537"/>
      <c r="QSK35" s="537"/>
      <c r="QSL35" s="537"/>
      <c r="QSM35" s="537"/>
      <c r="QSN35" s="537"/>
      <c r="QSO35" s="537"/>
      <c r="QSP35" s="537"/>
      <c r="QSQ35" s="537"/>
      <c r="QSR35" s="537"/>
      <c r="QSS35" s="537"/>
      <c r="QST35" s="537"/>
      <c r="QSU35" s="537"/>
      <c r="QSV35" s="537"/>
      <c r="QSW35" s="537"/>
      <c r="QSX35" s="537"/>
      <c r="QSY35" s="537"/>
      <c r="QSZ35" s="537"/>
      <c r="QTA35" s="537"/>
      <c r="QTB35" s="537"/>
      <c r="QTC35" s="537"/>
      <c r="QTD35" s="537"/>
      <c r="QTE35" s="537"/>
      <c r="QTF35" s="537"/>
      <c r="QTG35" s="537"/>
      <c r="QTH35" s="537"/>
      <c r="QTI35" s="537"/>
      <c r="QTJ35" s="537"/>
      <c r="QTK35" s="537"/>
      <c r="QTL35" s="537"/>
      <c r="QTM35" s="537"/>
      <c r="QTN35" s="537"/>
      <c r="QTO35" s="537"/>
      <c r="QTP35" s="537"/>
      <c r="QTQ35" s="537"/>
      <c r="QTR35" s="537"/>
      <c r="QTS35" s="537"/>
      <c r="QTT35" s="537"/>
      <c r="QTU35" s="537"/>
      <c r="QTV35" s="537"/>
      <c r="QTW35" s="537"/>
      <c r="QTX35" s="537"/>
      <c r="QTY35" s="537"/>
      <c r="QTZ35" s="537"/>
      <c r="QUA35" s="537"/>
      <c r="QUB35" s="537"/>
      <c r="QUC35" s="537"/>
      <c r="QUD35" s="537"/>
      <c r="QUE35" s="537"/>
      <c r="QUF35" s="537"/>
      <c r="QUG35" s="537"/>
      <c r="QUH35" s="537"/>
      <c r="QUI35" s="537"/>
      <c r="QUJ35" s="537"/>
      <c r="QUK35" s="537"/>
      <c r="QUL35" s="537"/>
      <c r="QUM35" s="537"/>
      <c r="QUN35" s="537"/>
      <c r="QUO35" s="537"/>
      <c r="QUP35" s="537"/>
      <c r="QUQ35" s="537"/>
      <c r="QUR35" s="537"/>
      <c r="QUS35" s="537"/>
      <c r="QUT35" s="537"/>
      <c r="QUU35" s="537"/>
      <c r="QUV35" s="537"/>
      <c r="QUW35" s="537"/>
      <c r="QUX35" s="537"/>
      <c r="QUY35" s="537"/>
      <c r="QUZ35" s="537"/>
      <c r="QVA35" s="537"/>
      <c r="QVB35" s="537"/>
      <c r="QVC35" s="537"/>
      <c r="QVD35" s="537"/>
      <c r="QVE35" s="537"/>
      <c r="QVF35" s="537"/>
      <c r="QVG35" s="537"/>
      <c r="QVH35" s="537"/>
      <c r="QVI35" s="537"/>
      <c r="QVJ35" s="537"/>
      <c r="QVK35" s="537"/>
      <c r="QVL35" s="537"/>
      <c r="QVM35" s="537"/>
      <c r="QVN35" s="537"/>
      <c r="QVO35" s="537"/>
      <c r="QVP35" s="537"/>
      <c r="QVQ35" s="537"/>
      <c r="QVR35" s="537"/>
      <c r="QVS35" s="537"/>
      <c r="QVT35" s="537"/>
      <c r="QVU35" s="537"/>
      <c r="QVV35" s="537"/>
      <c r="QVW35" s="537"/>
      <c r="QVX35" s="537"/>
      <c r="QVY35" s="537"/>
      <c r="QVZ35" s="537"/>
      <c r="QWA35" s="537"/>
      <c r="QWB35" s="537"/>
      <c r="QWC35" s="537"/>
      <c r="QWD35" s="537"/>
      <c r="QWE35" s="537"/>
      <c r="QWF35" s="537"/>
      <c r="QWG35" s="537"/>
      <c r="QWH35" s="537"/>
      <c r="QWI35" s="537"/>
      <c r="QWJ35" s="537"/>
      <c r="QWK35" s="537"/>
      <c r="QWL35" s="537"/>
      <c r="QWM35" s="537"/>
      <c r="QWN35" s="537"/>
      <c r="QWO35" s="537"/>
      <c r="QWP35" s="537"/>
      <c r="QWQ35" s="537"/>
      <c r="QWR35" s="537"/>
      <c r="QWS35" s="537"/>
      <c r="QWT35" s="537"/>
      <c r="QWU35" s="537"/>
      <c r="QWV35" s="537"/>
      <c r="QWW35" s="537"/>
      <c r="QWX35" s="537"/>
      <c r="QWY35" s="537"/>
      <c r="QWZ35" s="537"/>
      <c r="QXA35" s="537"/>
      <c r="QXB35" s="537"/>
      <c r="QXC35" s="537"/>
      <c r="QXD35" s="537"/>
      <c r="QXE35" s="537"/>
      <c r="QXF35" s="537"/>
      <c r="QXG35" s="537"/>
      <c r="QXH35" s="537"/>
      <c r="QXI35" s="537"/>
      <c r="QXJ35" s="537"/>
      <c r="QXK35" s="537"/>
      <c r="QXL35" s="537"/>
      <c r="QXM35" s="537"/>
      <c r="QXN35" s="537"/>
      <c r="QXO35" s="537"/>
      <c r="QXP35" s="537"/>
      <c r="QXQ35" s="537"/>
      <c r="QXR35" s="537"/>
      <c r="QXS35" s="537"/>
      <c r="QXT35" s="537"/>
      <c r="QXU35" s="537"/>
      <c r="QXV35" s="537"/>
      <c r="QXW35" s="537"/>
      <c r="QXX35" s="537"/>
      <c r="QXY35" s="537"/>
      <c r="QXZ35" s="537"/>
      <c r="QYA35" s="537"/>
      <c r="QYB35" s="537"/>
      <c r="QYC35" s="537"/>
      <c r="QYD35" s="537"/>
      <c r="QYE35" s="537"/>
      <c r="QYF35" s="537"/>
      <c r="QYG35" s="537"/>
      <c r="QYH35" s="537"/>
      <c r="QYI35" s="537"/>
      <c r="QYJ35" s="537"/>
      <c r="QYK35" s="537"/>
      <c r="QYL35" s="537"/>
      <c r="QYM35" s="537"/>
      <c r="QYN35" s="537"/>
      <c r="QYO35" s="537"/>
      <c r="QYP35" s="537"/>
      <c r="QYQ35" s="537"/>
      <c r="QYR35" s="537"/>
      <c r="QYS35" s="537"/>
      <c r="QYT35" s="537"/>
      <c r="QYU35" s="537"/>
      <c r="QYV35" s="537"/>
      <c r="QYW35" s="537"/>
      <c r="QYX35" s="537"/>
      <c r="QYY35" s="537"/>
      <c r="QYZ35" s="537"/>
      <c r="QZA35" s="537"/>
      <c r="QZB35" s="537"/>
      <c r="QZC35" s="537"/>
      <c r="QZD35" s="537"/>
      <c r="QZE35" s="537"/>
      <c r="QZF35" s="537"/>
      <c r="QZG35" s="537"/>
      <c r="QZH35" s="537"/>
      <c r="QZI35" s="537"/>
      <c r="QZJ35" s="537"/>
      <c r="QZK35" s="537"/>
      <c r="QZL35" s="537"/>
      <c r="QZM35" s="537"/>
      <c r="QZN35" s="537"/>
      <c r="QZO35" s="537"/>
      <c r="QZP35" s="537"/>
      <c r="QZQ35" s="537"/>
      <c r="QZR35" s="537"/>
      <c r="QZS35" s="537"/>
      <c r="QZT35" s="537"/>
      <c r="QZU35" s="537"/>
      <c r="QZV35" s="537"/>
      <c r="QZW35" s="537"/>
      <c r="QZX35" s="537"/>
      <c r="QZY35" s="537"/>
      <c r="QZZ35" s="537"/>
      <c r="RAA35" s="537"/>
      <c r="RAB35" s="537"/>
      <c r="RAC35" s="537"/>
      <c r="RAD35" s="537"/>
      <c r="RAE35" s="537"/>
      <c r="RAF35" s="537"/>
      <c r="RAG35" s="537"/>
      <c r="RAH35" s="537"/>
      <c r="RAI35" s="537"/>
      <c r="RAJ35" s="537"/>
      <c r="RAK35" s="537"/>
      <c r="RAL35" s="537"/>
      <c r="RAM35" s="537"/>
      <c r="RAN35" s="537"/>
      <c r="RAO35" s="537"/>
      <c r="RAP35" s="537"/>
      <c r="RAQ35" s="537"/>
      <c r="RAR35" s="537"/>
      <c r="RAS35" s="537"/>
      <c r="RAT35" s="537"/>
      <c r="RAU35" s="537"/>
      <c r="RAV35" s="537"/>
      <c r="RAW35" s="537"/>
      <c r="RAX35" s="537"/>
      <c r="RAY35" s="537"/>
      <c r="RAZ35" s="537"/>
      <c r="RBA35" s="537"/>
      <c r="RBB35" s="537"/>
      <c r="RBC35" s="537"/>
      <c r="RBD35" s="537"/>
      <c r="RBE35" s="537"/>
      <c r="RBF35" s="537"/>
      <c r="RBG35" s="537"/>
      <c r="RBH35" s="537"/>
      <c r="RBI35" s="537"/>
      <c r="RBJ35" s="537"/>
      <c r="RBK35" s="537"/>
      <c r="RBL35" s="537"/>
      <c r="RBM35" s="537"/>
      <c r="RBN35" s="537"/>
      <c r="RBO35" s="537"/>
      <c r="RBP35" s="537"/>
      <c r="RBQ35" s="537"/>
      <c r="RBR35" s="537"/>
      <c r="RBS35" s="537"/>
      <c r="RBT35" s="537"/>
      <c r="RBU35" s="537"/>
      <c r="RBV35" s="537"/>
      <c r="RBW35" s="537"/>
      <c r="RBX35" s="537"/>
      <c r="RBY35" s="537"/>
      <c r="RBZ35" s="537"/>
      <c r="RCA35" s="537"/>
      <c r="RCB35" s="537"/>
      <c r="RCC35" s="537"/>
      <c r="RCD35" s="537"/>
      <c r="RCE35" s="537"/>
      <c r="RCF35" s="537"/>
      <c r="RCG35" s="537"/>
      <c r="RCH35" s="537"/>
      <c r="RCI35" s="537"/>
      <c r="RCJ35" s="537"/>
      <c r="RCK35" s="537"/>
      <c r="RCL35" s="537"/>
      <c r="RCM35" s="537"/>
      <c r="RCN35" s="537"/>
      <c r="RCO35" s="537"/>
      <c r="RCP35" s="537"/>
      <c r="RCQ35" s="537"/>
      <c r="RCR35" s="537"/>
      <c r="RCS35" s="537"/>
      <c r="RCT35" s="537"/>
      <c r="RCU35" s="537"/>
      <c r="RCV35" s="537"/>
      <c r="RCW35" s="537"/>
      <c r="RCX35" s="537"/>
      <c r="RCY35" s="537"/>
      <c r="RCZ35" s="537"/>
      <c r="RDA35" s="537"/>
      <c r="RDB35" s="537"/>
      <c r="RDC35" s="537"/>
      <c r="RDD35" s="537"/>
      <c r="RDE35" s="537"/>
      <c r="RDF35" s="537"/>
      <c r="RDG35" s="537"/>
      <c r="RDH35" s="537"/>
      <c r="RDI35" s="537"/>
      <c r="RDJ35" s="537"/>
      <c r="RDK35" s="537"/>
      <c r="RDL35" s="537"/>
      <c r="RDM35" s="537"/>
      <c r="RDN35" s="537"/>
      <c r="RDO35" s="537"/>
      <c r="RDP35" s="537"/>
      <c r="RDQ35" s="537"/>
      <c r="RDR35" s="537"/>
      <c r="RDS35" s="537"/>
      <c r="RDT35" s="537"/>
      <c r="RDU35" s="537"/>
      <c r="RDV35" s="537"/>
      <c r="RDW35" s="537"/>
      <c r="RDX35" s="537"/>
      <c r="RDY35" s="537"/>
      <c r="RDZ35" s="537"/>
      <c r="REA35" s="537"/>
      <c r="REB35" s="537"/>
      <c r="REC35" s="537"/>
      <c r="RED35" s="537"/>
      <c r="REE35" s="537"/>
      <c r="REF35" s="537"/>
      <c r="REG35" s="537"/>
      <c r="REH35" s="537"/>
      <c r="REI35" s="537"/>
      <c r="REJ35" s="537"/>
      <c r="REK35" s="537"/>
      <c r="REL35" s="537"/>
      <c r="REM35" s="537"/>
      <c r="REN35" s="537"/>
      <c r="REO35" s="537"/>
      <c r="REP35" s="537"/>
      <c r="REQ35" s="537"/>
      <c r="RER35" s="537"/>
      <c r="RES35" s="537"/>
      <c r="RET35" s="537"/>
      <c r="REU35" s="537"/>
      <c r="REV35" s="537"/>
      <c r="REW35" s="537"/>
      <c r="REX35" s="537"/>
      <c r="REY35" s="537"/>
      <c r="REZ35" s="537"/>
      <c r="RFA35" s="537"/>
      <c r="RFB35" s="537"/>
      <c r="RFC35" s="537"/>
      <c r="RFD35" s="537"/>
      <c r="RFE35" s="537"/>
      <c r="RFF35" s="537"/>
      <c r="RFG35" s="537"/>
      <c r="RFH35" s="537"/>
      <c r="RFI35" s="537"/>
      <c r="RFJ35" s="537"/>
      <c r="RFK35" s="537"/>
      <c r="RFL35" s="537"/>
      <c r="RFM35" s="537"/>
      <c r="RFN35" s="537"/>
      <c r="RFO35" s="537"/>
      <c r="RFP35" s="537"/>
      <c r="RFQ35" s="537"/>
      <c r="RFR35" s="537"/>
      <c r="RFS35" s="537"/>
      <c r="RFT35" s="537"/>
      <c r="RFU35" s="537"/>
      <c r="RFV35" s="537"/>
      <c r="RFW35" s="537"/>
      <c r="RFX35" s="537"/>
      <c r="RFY35" s="537"/>
      <c r="RFZ35" s="537"/>
      <c r="RGA35" s="537"/>
      <c r="RGB35" s="537"/>
      <c r="RGC35" s="537"/>
      <c r="RGD35" s="537"/>
      <c r="RGE35" s="537"/>
      <c r="RGF35" s="537"/>
      <c r="RGG35" s="537"/>
      <c r="RGH35" s="537"/>
      <c r="RGI35" s="537"/>
      <c r="RGJ35" s="537"/>
      <c r="RGK35" s="537"/>
      <c r="RGL35" s="537"/>
      <c r="RGM35" s="537"/>
      <c r="RGN35" s="537"/>
      <c r="RGO35" s="537"/>
      <c r="RGP35" s="537"/>
      <c r="RGQ35" s="537"/>
      <c r="RGR35" s="537"/>
      <c r="RGS35" s="537"/>
      <c r="RGT35" s="537"/>
      <c r="RGU35" s="537"/>
      <c r="RGV35" s="537"/>
      <c r="RGW35" s="537"/>
      <c r="RGX35" s="537"/>
      <c r="RGY35" s="537"/>
      <c r="RGZ35" s="537"/>
      <c r="RHA35" s="537"/>
      <c r="RHB35" s="537"/>
      <c r="RHC35" s="537"/>
      <c r="RHD35" s="537"/>
      <c r="RHE35" s="537"/>
      <c r="RHF35" s="537"/>
      <c r="RHG35" s="537"/>
      <c r="RHH35" s="537"/>
      <c r="RHI35" s="537"/>
      <c r="RHJ35" s="537"/>
      <c r="RHK35" s="537"/>
      <c r="RHL35" s="537"/>
      <c r="RHM35" s="537"/>
      <c r="RHN35" s="537"/>
      <c r="RHO35" s="537"/>
      <c r="RHP35" s="537"/>
      <c r="RHQ35" s="537"/>
      <c r="RHR35" s="537"/>
      <c r="RHS35" s="537"/>
      <c r="RHT35" s="537"/>
      <c r="RHU35" s="537"/>
      <c r="RHV35" s="537"/>
      <c r="RHW35" s="537"/>
      <c r="RHX35" s="537"/>
      <c r="RHY35" s="537"/>
      <c r="RHZ35" s="537"/>
      <c r="RIA35" s="537"/>
      <c r="RIB35" s="537"/>
      <c r="RIC35" s="537"/>
      <c r="RID35" s="537"/>
      <c r="RIE35" s="537"/>
      <c r="RIF35" s="537"/>
      <c r="RIG35" s="537"/>
      <c r="RIH35" s="537"/>
      <c r="RII35" s="537"/>
      <c r="RIJ35" s="537"/>
      <c r="RIK35" s="537"/>
      <c r="RIL35" s="537"/>
      <c r="RIM35" s="537"/>
      <c r="RIN35" s="537"/>
      <c r="RIO35" s="537"/>
      <c r="RIP35" s="537"/>
      <c r="RIQ35" s="537"/>
      <c r="RIR35" s="537"/>
      <c r="RIS35" s="537"/>
      <c r="RIT35" s="537"/>
      <c r="RIU35" s="537"/>
      <c r="RIV35" s="537"/>
      <c r="RIW35" s="537"/>
      <c r="RIX35" s="537"/>
      <c r="RIY35" s="537"/>
      <c r="RIZ35" s="537"/>
      <c r="RJA35" s="537"/>
      <c r="RJB35" s="537"/>
      <c r="RJC35" s="537"/>
      <c r="RJD35" s="537"/>
      <c r="RJE35" s="537"/>
      <c r="RJF35" s="537"/>
      <c r="RJG35" s="537"/>
      <c r="RJH35" s="537"/>
      <c r="RJI35" s="537"/>
      <c r="RJJ35" s="537"/>
      <c r="RJK35" s="537"/>
      <c r="RJL35" s="537"/>
      <c r="RJM35" s="537"/>
      <c r="RJN35" s="537"/>
      <c r="RJO35" s="537"/>
      <c r="RJP35" s="537"/>
      <c r="RJQ35" s="537"/>
      <c r="RJR35" s="537"/>
      <c r="RJS35" s="537"/>
      <c r="RJT35" s="537"/>
      <c r="RJU35" s="537"/>
      <c r="RJV35" s="537"/>
      <c r="RJW35" s="537"/>
      <c r="RJX35" s="537"/>
      <c r="RJY35" s="537"/>
      <c r="RJZ35" s="537"/>
      <c r="RKA35" s="537"/>
      <c r="RKB35" s="537"/>
      <c r="RKC35" s="537"/>
      <c r="RKD35" s="537"/>
      <c r="RKE35" s="537"/>
      <c r="RKF35" s="537"/>
      <c r="RKG35" s="537"/>
      <c r="RKH35" s="537"/>
      <c r="RKI35" s="537"/>
      <c r="RKJ35" s="537"/>
      <c r="RKK35" s="537"/>
      <c r="RKL35" s="537"/>
      <c r="RKM35" s="537"/>
      <c r="RKN35" s="537"/>
      <c r="RKO35" s="537"/>
      <c r="RKP35" s="537"/>
      <c r="RKQ35" s="537"/>
      <c r="RKR35" s="537"/>
      <c r="RKS35" s="537"/>
      <c r="RKT35" s="537"/>
      <c r="RKU35" s="537"/>
      <c r="RKV35" s="537"/>
      <c r="RKW35" s="537"/>
      <c r="RKX35" s="537"/>
      <c r="RKY35" s="537"/>
      <c r="RKZ35" s="537"/>
      <c r="RLA35" s="537"/>
      <c r="RLB35" s="537"/>
      <c r="RLC35" s="537"/>
      <c r="RLD35" s="537"/>
      <c r="RLE35" s="537"/>
      <c r="RLF35" s="537"/>
      <c r="RLG35" s="537"/>
      <c r="RLH35" s="537"/>
      <c r="RLI35" s="537"/>
      <c r="RLJ35" s="537"/>
      <c r="RLK35" s="537"/>
      <c r="RLL35" s="537"/>
      <c r="RLM35" s="537"/>
      <c r="RLN35" s="537"/>
      <c r="RLO35" s="537"/>
      <c r="RLP35" s="537"/>
      <c r="RLQ35" s="537"/>
      <c r="RLR35" s="537"/>
      <c r="RLS35" s="537"/>
      <c r="RLT35" s="537"/>
      <c r="RLU35" s="537"/>
      <c r="RLV35" s="537"/>
      <c r="RLW35" s="537"/>
      <c r="RLX35" s="537"/>
      <c r="RLY35" s="537"/>
      <c r="RLZ35" s="537"/>
      <c r="RMA35" s="537"/>
      <c r="RMB35" s="537"/>
      <c r="RMC35" s="537"/>
      <c r="RMD35" s="537"/>
      <c r="RME35" s="537"/>
      <c r="RMF35" s="537"/>
      <c r="RMG35" s="537"/>
      <c r="RMH35" s="537"/>
      <c r="RMI35" s="537"/>
      <c r="RMJ35" s="537"/>
      <c r="RMK35" s="537"/>
      <c r="RML35" s="537"/>
      <c r="RMM35" s="537"/>
      <c r="RMN35" s="537"/>
      <c r="RMO35" s="537"/>
      <c r="RMP35" s="537"/>
      <c r="RMQ35" s="537"/>
      <c r="RMR35" s="537"/>
      <c r="RMS35" s="537"/>
      <c r="RMT35" s="537"/>
      <c r="RMU35" s="537"/>
      <c r="RMV35" s="537"/>
      <c r="RMW35" s="537"/>
      <c r="RMX35" s="537"/>
      <c r="RMY35" s="537"/>
      <c r="RMZ35" s="537"/>
      <c r="RNA35" s="537"/>
      <c r="RNB35" s="537"/>
      <c r="RNC35" s="537"/>
      <c r="RND35" s="537"/>
      <c r="RNE35" s="537"/>
      <c r="RNF35" s="537"/>
      <c r="RNG35" s="537"/>
      <c r="RNH35" s="537"/>
      <c r="RNI35" s="537"/>
      <c r="RNJ35" s="537"/>
      <c r="RNK35" s="537"/>
      <c r="RNL35" s="537"/>
      <c r="RNM35" s="537"/>
      <c r="RNN35" s="537"/>
      <c r="RNO35" s="537"/>
      <c r="RNP35" s="537"/>
      <c r="RNQ35" s="537"/>
      <c r="RNR35" s="537"/>
      <c r="RNS35" s="537"/>
      <c r="RNT35" s="537"/>
      <c r="RNU35" s="537"/>
      <c r="RNV35" s="537"/>
      <c r="RNW35" s="537"/>
      <c r="RNX35" s="537"/>
      <c r="RNY35" s="537"/>
      <c r="RNZ35" s="537"/>
      <c r="ROA35" s="537"/>
      <c r="ROB35" s="537"/>
      <c r="ROC35" s="537"/>
      <c r="ROD35" s="537"/>
      <c r="ROE35" s="537"/>
      <c r="ROF35" s="537"/>
      <c r="ROG35" s="537"/>
      <c r="ROH35" s="537"/>
      <c r="ROI35" s="537"/>
      <c r="ROJ35" s="537"/>
      <c r="ROK35" s="537"/>
      <c r="ROL35" s="537"/>
      <c r="ROM35" s="537"/>
      <c r="RON35" s="537"/>
      <c r="ROO35" s="537"/>
      <c r="ROP35" s="537"/>
      <c r="ROQ35" s="537"/>
      <c r="ROR35" s="537"/>
      <c r="ROS35" s="537"/>
      <c r="ROT35" s="537"/>
      <c r="ROU35" s="537"/>
      <c r="ROV35" s="537"/>
      <c r="ROW35" s="537"/>
      <c r="ROX35" s="537"/>
      <c r="ROY35" s="537"/>
      <c r="ROZ35" s="537"/>
      <c r="RPA35" s="537"/>
      <c r="RPB35" s="537"/>
      <c r="RPC35" s="537"/>
      <c r="RPD35" s="537"/>
      <c r="RPE35" s="537"/>
      <c r="RPF35" s="537"/>
      <c r="RPG35" s="537"/>
      <c r="RPH35" s="537"/>
      <c r="RPI35" s="537"/>
      <c r="RPJ35" s="537"/>
      <c r="RPK35" s="537"/>
      <c r="RPL35" s="537"/>
      <c r="RPM35" s="537"/>
      <c r="RPN35" s="537"/>
      <c r="RPO35" s="537"/>
      <c r="RPP35" s="537"/>
      <c r="RPQ35" s="537"/>
      <c r="RPR35" s="537"/>
      <c r="RPS35" s="537"/>
      <c r="RPT35" s="537"/>
      <c r="RPU35" s="537"/>
      <c r="RPV35" s="537"/>
      <c r="RPW35" s="537"/>
      <c r="RPX35" s="537"/>
      <c r="RPY35" s="537"/>
      <c r="RPZ35" s="537"/>
      <c r="RQA35" s="537"/>
      <c r="RQB35" s="537"/>
      <c r="RQC35" s="537"/>
      <c r="RQD35" s="537"/>
      <c r="RQE35" s="537"/>
      <c r="RQF35" s="537"/>
      <c r="RQG35" s="537"/>
      <c r="RQH35" s="537"/>
      <c r="RQI35" s="537"/>
      <c r="RQJ35" s="537"/>
      <c r="RQK35" s="537"/>
      <c r="RQL35" s="537"/>
      <c r="RQM35" s="537"/>
      <c r="RQN35" s="537"/>
      <c r="RQO35" s="537"/>
      <c r="RQP35" s="537"/>
      <c r="RQQ35" s="537"/>
      <c r="RQR35" s="537"/>
      <c r="RQS35" s="537"/>
      <c r="RQT35" s="537"/>
      <c r="RQU35" s="537"/>
      <c r="RQV35" s="537"/>
      <c r="RQW35" s="537"/>
      <c r="RQX35" s="537"/>
      <c r="RQY35" s="537"/>
      <c r="RQZ35" s="537"/>
      <c r="RRA35" s="537"/>
      <c r="RRB35" s="537"/>
      <c r="RRC35" s="537"/>
      <c r="RRD35" s="537"/>
      <c r="RRE35" s="537"/>
      <c r="RRF35" s="537"/>
      <c r="RRG35" s="537"/>
      <c r="RRH35" s="537"/>
      <c r="RRI35" s="537"/>
      <c r="RRJ35" s="537"/>
      <c r="RRK35" s="537"/>
      <c r="RRL35" s="537"/>
      <c r="RRM35" s="537"/>
      <c r="RRN35" s="537"/>
      <c r="RRO35" s="537"/>
      <c r="RRP35" s="537"/>
      <c r="RRQ35" s="537"/>
      <c r="RRR35" s="537"/>
      <c r="RRS35" s="537"/>
      <c r="RRT35" s="537"/>
      <c r="RRU35" s="537"/>
      <c r="RRV35" s="537"/>
      <c r="RRW35" s="537"/>
      <c r="RRX35" s="537"/>
      <c r="RRY35" s="537"/>
      <c r="RRZ35" s="537"/>
      <c r="RSA35" s="537"/>
      <c r="RSB35" s="537"/>
      <c r="RSC35" s="537"/>
      <c r="RSD35" s="537"/>
      <c r="RSE35" s="537"/>
      <c r="RSF35" s="537"/>
      <c r="RSG35" s="537"/>
      <c r="RSH35" s="537"/>
      <c r="RSI35" s="537"/>
      <c r="RSJ35" s="537"/>
      <c r="RSK35" s="537"/>
      <c r="RSL35" s="537"/>
      <c r="RSM35" s="537"/>
      <c r="RSN35" s="537"/>
      <c r="RSO35" s="537"/>
      <c r="RSP35" s="537"/>
      <c r="RSQ35" s="537"/>
      <c r="RSR35" s="537"/>
      <c r="RSS35" s="537"/>
      <c r="RST35" s="537"/>
      <c r="RSU35" s="537"/>
      <c r="RSV35" s="537"/>
      <c r="RSW35" s="537"/>
      <c r="RSX35" s="537"/>
      <c r="RSY35" s="537"/>
      <c r="RSZ35" s="537"/>
      <c r="RTA35" s="537"/>
      <c r="RTB35" s="537"/>
      <c r="RTC35" s="537"/>
      <c r="RTD35" s="537"/>
      <c r="RTE35" s="537"/>
      <c r="RTF35" s="537"/>
      <c r="RTG35" s="537"/>
      <c r="RTH35" s="537"/>
      <c r="RTI35" s="537"/>
      <c r="RTJ35" s="537"/>
      <c r="RTK35" s="537"/>
      <c r="RTL35" s="537"/>
      <c r="RTM35" s="537"/>
      <c r="RTN35" s="537"/>
      <c r="RTO35" s="537"/>
      <c r="RTP35" s="537"/>
      <c r="RTQ35" s="537"/>
      <c r="RTR35" s="537"/>
      <c r="RTS35" s="537"/>
      <c r="RTT35" s="537"/>
      <c r="RTU35" s="537"/>
      <c r="RTV35" s="537"/>
      <c r="RTW35" s="537"/>
      <c r="RTX35" s="537"/>
      <c r="RTY35" s="537"/>
      <c r="RTZ35" s="537"/>
      <c r="RUA35" s="537"/>
      <c r="RUB35" s="537"/>
      <c r="RUC35" s="537"/>
      <c r="RUD35" s="537"/>
      <c r="RUE35" s="537"/>
      <c r="RUF35" s="537"/>
      <c r="RUG35" s="537"/>
      <c r="RUH35" s="537"/>
      <c r="RUI35" s="537"/>
      <c r="RUJ35" s="537"/>
      <c r="RUK35" s="537"/>
      <c r="RUL35" s="537"/>
      <c r="RUM35" s="537"/>
      <c r="RUN35" s="537"/>
      <c r="RUO35" s="537"/>
      <c r="RUP35" s="537"/>
      <c r="RUQ35" s="537"/>
      <c r="RUR35" s="537"/>
      <c r="RUS35" s="537"/>
      <c r="RUT35" s="537"/>
      <c r="RUU35" s="537"/>
      <c r="RUV35" s="537"/>
      <c r="RUW35" s="537"/>
      <c r="RUX35" s="537"/>
      <c r="RUY35" s="537"/>
      <c r="RUZ35" s="537"/>
      <c r="RVA35" s="537"/>
      <c r="RVB35" s="537"/>
      <c r="RVC35" s="537"/>
      <c r="RVD35" s="537"/>
      <c r="RVE35" s="537"/>
      <c r="RVF35" s="537"/>
      <c r="RVG35" s="537"/>
      <c r="RVH35" s="537"/>
      <c r="RVI35" s="537"/>
      <c r="RVJ35" s="537"/>
      <c r="RVK35" s="537"/>
      <c r="RVL35" s="537"/>
      <c r="RVM35" s="537"/>
      <c r="RVN35" s="537"/>
      <c r="RVO35" s="537"/>
      <c r="RVP35" s="537"/>
      <c r="RVQ35" s="537"/>
      <c r="RVR35" s="537"/>
      <c r="RVS35" s="537"/>
      <c r="RVT35" s="537"/>
      <c r="RVU35" s="537"/>
      <c r="RVV35" s="537"/>
      <c r="RVW35" s="537"/>
      <c r="RVX35" s="537"/>
      <c r="RVY35" s="537"/>
      <c r="RVZ35" s="537"/>
      <c r="RWA35" s="537"/>
      <c r="RWB35" s="537"/>
      <c r="RWC35" s="537"/>
      <c r="RWD35" s="537"/>
      <c r="RWE35" s="537"/>
      <c r="RWF35" s="537"/>
      <c r="RWG35" s="537"/>
      <c r="RWH35" s="537"/>
      <c r="RWI35" s="537"/>
      <c r="RWJ35" s="537"/>
      <c r="RWK35" s="537"/>
      <c r="RWL35" s="537"/>
      <c r="RWM35" s="537"/>
      <c r="RWN35" s="537"/>
      <c r="RWO35" s="537"/>
      <c r="RWP35" s="537"/>
      <c r="RWQ35" s="537"/>
      <c r="RWR35" s="537"/>
      <c r="RWS35" s="537"/>
      <c r="RWT35" s="537"/>
      <c r="RWU35" s="537"/>
      <c r="RWV35" s="537"/>
      <c r="RWW35" s="537"/>
      <c r="RWX35" s="537"/>
      <c r="RWY35" s="537"/>
      <c r="RWZ35" s="537"/>
      <c r="RXA35" s="537"/>
      <c r="RXB35" s="537"/>
      <c r="RXC35" s="537"/>
      <c r="RXD35" s="537"/>
      <c r="RXE35" s="537"/>
      <c r="RXF35" s="537"/>
      <c r="RXG35" s="537"/>
      <c r="RXH35" s="537"/>
      <c r="RXI35" s="537"/>
      <c r="RXJ35" s="537"/>
      <c r="RXK35" s="537"/>
      <c r="RXL35" s="537"/>
      <c r="RXM35" s="537"/>
      <c r="RXN35" s="537"/>
      <c r="RXO35" s="537"/>
      <c r="RXP35" s="537"/>
      <c r="RXQ35" s="537"/>
      <c r="RXR35" s="537"/>
      <c r="RXS35" s="537"/>
      <c r="RXT35" s="537"/>
      <c r="RXU35" s="537"/>
      <c r="RXV35" s="537"/>
      <c r="RXW35" s="537"/>
      <c r="RXX35" s="537"/>
      <c r="RXY35" s="537"/>
      <c r="RXZ35" s="537"/>
      <c r="RYA35" s="537"/>
      <c r="RYB35" s="537"/>
      <c r="RYC35" s="537"/>
      <c r="RYD35" s="537"/>
      <c r="RYE35" s="537"/>
      <c r="RYF35" s="537"/>
      <c r="RYG35" s="537"/>
      <c r="RYH35" s="537"/>
      <c r="RYI35" s="537"/>
      <c r="RYJ35" s="537"/>
      <c r="RYK35" s="537"/>
      <c r="RYL35" s="537"/>
      <c r="RYM35" s="537"/>
      <c r="RYN35" s="537"/>
      <c r="RYO35" s="537"/>
      <c r="RYP35" s="537"/>
      <c r="RYQ35" s="537"/>
      <c r="RYR35" s="537"/>
      <c r="RYS35" s="537"/>
      <c r="RYT35" s="537"/>
      <c r="RYU35" s="537"/>
      <c r="RYV35" s="537"/>
      <c r="RYW35" s="537"/>
      <c r="RYX35" s="537"/>
      <c r="RYY35" s="537"/>
      <c r="RYZ35" s="537"/>
      <c r="RZA35" s="537"/>
      <c r="RZB35" s="537"/>
      <c r="RZC35" s="537"/>
      <c r="RZD35" s="537"/>
      <c r="RZE35" s="537"/>
      <c r="RZF35" s="537"/>
      <c r="RZG35" s="537"/>
      <c r="RZH35" s="537"/>
      <c r="RZI35" s="537"/>
      <c r="RZJ35" s="537"/>
      <c r="RZK35" s="537"/>
      <c r="RZL35" s="537"/>
      <c r="RZM35" s="537"/>
      <c r="RZN35" s="537"/>
      <c r="RZO35" s="537"/>
      <c r="RZP35" s="537"/>
      <c r="RZQ35" s="537"/>
      <c r="RZR35" s="537"/>
      <c r="RZS35" s="537"/>
      <c r="RZT35" s="537"/>
      <c r="RZU35" s="537"/>
      <c r="RZV35" s="537"/>
      <c r="RZW35" s="537"/>
      <c r="RZX35" s="537"/>
      <c r="RZY35" s="537"/>
      <c r="RZZ35" s="537"/>
      <c r="SAA35" s="537"/>
      <c r="SAB35" s="537"/>
      <c r="SAC35" s="537"/>
      <c r="SAD35" s="537"/>
      <c r="SAE35" s="537"/>
      <c r="SAF35" s="537"/>
      <c r="SAG35" s="537"/>
      <c r="SAH35" s="537"/>
      <c r="SAI35" s="537"/>
      <c r="SAJ35" s="537"/>
      <c r="SAK35" s="537"/>
      <c r="SAL35" s="537"/>
      <c r="SAM35" s="537"/>
      <c r="SAN35" s="537"/>
      <c r="SAO35" s="537"/>
      <c r="SAP35" s="537"/>
      <c r="SAQ35" s="537"/>
      <c r="SAR35" s="537"/>
      <c r="SAS35" s="537"/>
      <c r="SAT35" s="537"/>
      <c r="SAU35" s="537"/>
      <c r="SAV35" s="537"/>
      <c r="SAW35" s="537"/>
      <c r="SAX35" s="537"/>
      <c r="SAY35" s="537"/>
      <c r="SAZ35" s="537"/>
      <c r="SBA35" s="537"/>
      <c r="SBB35" s="537"/>
      <c r="SBC35" s="537"/>
      <c r="SBD35" s="537"/>
      <c r="SBE35" s="537"/>
      <c r="SBF35" s="537"/>
      <c r="SBG35" s="537"/>
      <c r="SBH35" s="537"/>
      <c r="SBI35" s="537"/>
      <c r="SBJ35" s="537"/>
      <c r="SBK35" s="537"/>
      <c r="SBL35" s="537"/>
      <c r="SBM35" s="537"/>
      <c r="SBN35" s="537"/>
      <c r="SBO35" s="537"/>
      <c r="SBP35" s="537"/>
      <c r="SBQ35" s="537"/>
      <c r="SBR35" s="537"/>
      <c r="SBS35" s="537"/>
      <c r="SBT35" s="537"/>
      <c r="SBU35" s="537"/>
      <c r="SBV35" s="537"/>
      <c r="SBW35" s="537"/>
      <c r="SBX35" s="537"/>
      <c r="SBY35" s="537"/>
      <c r="SBZ35" s="537"/>
      <c r="SCA35" s="537"/>
      <c r="SCB35" s="537"/>
      <c r="SCC35" s="537"/>
      <c r="SCD35" s="537"/>
      <c r="SCE35" s="537"/>
      <c r="SCF35" s="537"/>
      <c r="SCG35" s="537"/>
      <c r="SCH35" s="537"/>
      <c r="SCI35" s="537"/>
      <c r="SCJ35" s="537"/>
      <c r="SCK35" s="537"/>
      <c r="SCL35" s="537"/>
      <c r="SCM35" s="537"/>
      <c r="SCN35" s="537"/>
      <c r="SCO35" s="537"/>
      <c r="SCP35" s="537"/>
      <c r="SCQ35" s="537"/>
      <c r="SCR35" s="537"/>
      <c r="SCS35" s="537"/>
      <c r="SCT35" s="537"/>
      <c r="SCU35" s="537"/>
      <c r="SCV35" s="537"/>
      <c r="SCW35" s="537"/>
      <c r="SCX35" s="537"/>
      <c r="SCY35" s="537"/>
      <c r="SCZ35" s="537"/>
      <c r="SDA35" s="537"/>
      <c r="SDB35" s="537"/>
      <c r="SDC35" s="537"/>
      <c r="SDD35" s="537"/>
      <c r="SDE35" s="537"/>
      <c r="SDF35" s="537"/>
      <c r="SDG35" s="537"/>
      <c r="SDH35" s="537"/>
      <c r="SDI35" s="537"/>
      <c r="SDJ35" s="537"/>
      <c r="SDK35" s="537"/>
      <c r="SDL35" s="537"/>
      <c r="SDM35" s="537"/>
      <c r="SDN35" s="537"/>
      <c r="SDO35" s="537"/>
      <c r="SDP35" s="537"/>
      <c r="SDQ35" s="537"/>
      <c r="SDR35" s="537"/>
      <c r="SDS35" s="537"/>
      <c r="SDT35" s="537"/>
      <c r="SDU35" s="537"/>
      <c r="SDV35" s="537"/>
      <c r="SDW35" s="537"/>
      <c r="SDX35" s="537"/>
      <c r="SDY35" s="537"/>
      <c r="SDZ35" s="537"/>
      <c r="SEA35" s="537"/>
      <c r="SEB35" s="537"/>
      <c r="SEC35" s="537"/>
      <c r="SED35" s="537"/>
      <c r="SEE35" s="537"/>
      <c r="SEF35" s="537"/>
      <c r="SEG35" s="537"/>
      <c r="SEH35" s="537"/>
      <c r="SEI35" s="537"/>
      <c r="SEJ35" s="537"/>
      <c r="SEK35" s="537"/>
      <c r="SEL35" s="537"/>
      <c r="SEM35" s="537"/>
      <c r="SEN35" s="537"/>
      <c r="SEO35" s="537"/>
      <c r="SEP35" s="537"/>
      <c r="SEQ35" s="537"/>
      <c r="SER35" s="537"/>
      <c r="SES35" s="537"/>
      <c r="SET35" s="537"/>
      <c r="SEU35" s="537"/>
      <c r="SEV35" s="537"/>
      <c r="SEW35" s="537"/>
      <c r="SEX35" s="537"/>
      <c r="SEY35" s="537"/>
      <c r="SEZ35" s="537"/>
      <c r="SFA35" s="537"/>
      <c r="SFB35" s="537"/>
      <c r="SFC35" s="537"/>
      <c r="SFD35" s="537"/>
      <c r="SFE35" s="537"/>
      <c r="SFF35" s="537"/>
      <c r="SFG35" s="537"/>
      <c r="SFH35" s="537"/>
      <c r="SFI35" s="537"/>
      <c r="SFJ35" s="537"/>
      <c r="SFK35" s="537"/>
      <c r="SFL35" s="537"/>
      <c r="SFM35" s="537"/>
      <c r="SFN35" s="537"/>
      <c r="SFO35" s="537"/>
      <c r="SFP35" s="537"/>
      <c r="SFQ35" s="537"/>
      <c r="SFR35" s="537"/>
      <c r="SFS35" s="537"/>
      <c r="SFT35" s="537"/>
      <c r="SFU35" s="537"/>
      <c r="SFV35" s="537"/>
      <c r="SFW35" s="537"/>
      <c r="SFX35" s="537"/>
      <c r="SFY35" s="537"/>
      <c r="SFZ35" s="537"/>
      <c r="SGA35" s="537"/>
      <c r="SGB35" s="537"/>
      <c r="SGC35" s="537"/>
      <c r="SGD35" s="537"/>
      <c r="SGE35" s="537"/>
      <c r="SGF35" s="537"/>
      <c r="SGG35" s="537"/>
      <c r="SGH35" s="537"/>
      <c r="SGI35" s="537"/>
      <c r="SGJ35" s="537"/>
      <c r="SGK35" s="537"/>
      <c r="SGL35" s="537"/>
      <c r="SGM35" s="537"/>
      <c r="SGN35" s="537"/>
      <c r="SGO35" s="537"/>
      <c r="SGP35" s="537"/>
      <c r="SGQ35" s="537"/>
      <c r="SGR35" s="537"/>
      <c r="SGS35" s="537"/>
      <c r="SGT35" s="537"/>
      <c r="SGU35" s="537"/>
      <c r="SGV35" s="537"/>
      <c r="SGW35" s="537"/>
      <c r="SGX35" s="537"/>
      <c r="SGY35" s="537"/>
      <c r="SGZ35" s="537"/>
      <c r="SHA35" s="537"/>
      <c r="SHB35" s="537"/>
      <c r="SHC35" s="537"/>
      <c r="SHD35" s="537"/>
      <c r="SHE35" s="537"/>
      <c r="SHF35" s="537"/>
      <c r="SHG35" s="537"/>
      <c r="SHH35" s="537"/>
      <c r="SHI35" s="537"/>
      <c r="SHJ35" s="537"/>
      <c r="SHK35" s="537"/>
      <c r="SHL35" s="537"/>
      <c r="SHM35" s="537"/>
      <c r="SHN35" s="537"/>
      <c r="SHO35" s="537"/>
      <c r="SHP35" s="537"/>
      <c r="SHQ35" s="537"/>
      <c r="SHR35" s="537"/>
      <c r="SHS35" s="537"/>
      <c r="SHT35" s="537"/>
      <c r="SHU35" s="537"/>
      <c r="SHV35" s="537"/>
      <c r="SHW35" s="537"/>
      <c r="SHX35" s="537"/>
      <c r="SHY35" s="537"/>
      <c r="SHZ35" s="537"/>
      <c r="SIA35" s="537"/>
      <c r="SIB35" s="537"/>
      <c r="SIC35" s="537"/>
      <c r="SID35" s="537"/>
      <c r="SIE35" s="537"/>
      <c r="SIF35" s="537"/>
      <c r="SIG35" s="537"/>
      <c r="SIH35" s="537"/>
      <c r="SII35" s="537"/>
      <c r="SIJ35" s="537"/>
      <c r="SIK35" s="537"/>
      <c r="SIL35" s="537"/>
      <c r="SIM35" s="537"/>
      <c r="SIN35" s="537"/>
      <c r="SIO35" s="537"/>
      <c r="SIP35" s="537"/>
      <c r="SIQ35" s="537"/>
      <c r="SIR35" s="537"/>
      <c r="SIS35" s="537"/>
      <c r="SIT35" s="537"/>
      <c r="SIU35" s="537"/>
      <c r="SIV35" s="537"/>
      <c r="SIW35" s="537"/>
      <c r="SIX35" s="537"/>
      <c r="SIY35" s="537"/>
      <c r="SIZ35" s="537"/>
      <c r="SJA35" s="537"/>
      <c r="SJB35" s="537"/>
      <c r="SJC35" s="537"/>
      <c r="SJD35" s="537"/>
      <c r="SJE35" s="537"/>
      <c r="SJF35" s="537"/>
      <c r="SJG35" s="537"/>
      <c r="SJH35" s="537"/>
      <c r="SJI35" s="537"/>
      <c r="SJJ35" s="537"/>
      <c r="SJK35" s="537"/>
      <c r="SJL35" s="537"/>
      <c r="SJM35" s="537"/>
      <c r="SJN35" s="537"/>
      <c r="SJO35" s="537"/>
      <c r="SJP35" s="537"/>
      <c r="SJQ35" s="537"/>
      <c r="SJR35" s="537"/>
      <c r="SJS35" s="537"/>
      <c r="SJT35" s="537"/>
      <c r="SJU35" s="537"/>
      <c r="SJV35" s="537"/>
      <c r="SJW35" s="537"/>
      <c r="SJX35" s="537"/>
      <c r="SJY35" s="537"/>
      <c r="SJZ35" s="537"/>
      <c r="SKA35" s="537"/>
      <c r="SKB35" s="537"/>
      <c r="SKC35" s="537"/>
      <c r="SKD35" s="537"/>
      <c r="SKE35" s="537"/>
      <c r="SKF35" s="537"/>
      <c r="SKG35" s="537"/>
      <c r="SKH35" s="537"/>
      <c r="SKI35" s="537"/>
      <c r="SKJ35" s="537"/>
      <c r="SKK35" s="537"/>
      <c r="SKL35" s="537"/>
      <c r="SKM35" s="537"/>
      <c r="SKN35" s="537"/>
      <c r="SKO35" s="537"/>
      <c r="SKP35" s="537"/>
      <c r="SKQ35" s="537"/>
      <c r="SKR35" s="537"/>
      <c r="SKS35" s="537"/>
      <c r="SKT35" s="537"/>
      <c r="SKU35" s="537"/>
      <c r="SKV35" s="537"/>
      <c r="SKW35" s="537"/>
      <c r="SKX35" s="537"/>
      <c r="SKY35" s="537"/>
      <c r="SKZ35" s="537"/>
      <c r="SLA35" s="537"/>
      <c r="SLB35" s="537"/>
      <c r="SLC35" s="537"/>
      <c r="SLD35" s="537"/>
      <c r="SLE35" s="537"/>
      <c r="SLF35" s="537"/>
      <c r="SLG35" s="537"/>
      <c r="SLH35" s="537"/>
      <c r="SLI35" s="537"/>
      <c r="SLJ35" s="537"/>
      <c r="SLK35" s="537"/>
      <c r="SLL35" s="537"/>
      <c r="SLM35" s="537"/>
      <c r="SLN35" s="537"/>
      <c r="SLO35" s="537"/>
      <c r="SLP35" s="537"/>
      <c r="SLQ35" s="537"/>
      <c r="SLR35" s="537"/>
      <c r="SLS35" s="537"/>
      <c r="SLT35" s="537"/>
      <c r="SLU35" s="537"/>
      <c r="SLV35" s="537"/>
      <c r="SLW35" s="537"/>
      <c r="SLX35" s="537"/>
      <c r="SLY35" s="537"/>
      <c r="SLZ35" s="537"/>
      <c r="SMA35" s="537"/>
      <c r="SMB35" s="537"/>
      <c r="SMC35" s="537"/>
      <c r="SMD35" s="537"/>
      <c r="SME35" s="537"/>
      <c r="SMF35" s="537"/>
      <c r="SMG35" s="537"/>
      <c r="SMH35" s="537"/>
      <c r="SMI35" s="537"/>
      <c r="SMJ35" s="537"/>
      <c r="SMK35" s="537"/>
      <c r="SML35" s="537"/>
      <c r="SMM35" s="537"/>
      <c r="SMN35" s="537"/>
      <c r="SMO35" s="537"/>
      <c r="SMP35" s="537"/>
      <c r="SMQ35" s="537"/>
      <c r="SMR35" s="537"/>
      <c r="SMS35" s="537"/>
      <c r="SMT35" s="537"/>
      <c r="SMU35" s="537"/>
      <c r="SMV35" s="537"/>
      <c r="SMW35" s="537"/>
      <c r="SMX35" s="537"/>
      <c r="SMY35" s="537"/>
      <c r="SMZ35" s="537"/>
      <c r="SNA35" s="537"/>
      <c r="SNB35" s="537"/>
      <c r="SNC35" s="537"/>
      <c r="SND35" s="537"/>
      <c r="SNE35" s="537"/>
      <c r="SNF35" s="537"/>
      <c r="SNG35" s="537"/>
      <c r="SNH35" s="537"/>
      <c r="SNI35" s="537"/>
      <c r="SNJ35" s="537"/>
      <c r="SNK35" s="537"/>
      <c r="SNL35" s="537"/>
      <c r="SNM35" s="537"/>
      <c r="SNN35" s="537"/>
      <c r="SNO35" s="537"/>
      <c r="SNP35" s="537"/>
      <c r="SNQ35" s="537"/>
      <c r="SNR35" s="537"/>
      <c r="SNS35" s="537"/>
      <c r="SNT35" s="537"/>
      <c r="SNU35" s="537"/>
      <c r="SNV35" s="537"/>
      <c r="SNW35" s="537"/>
      <c r="SNX35" s="537"/>
      <c r="SNY35" s="537"/>
      <c r="SNZ35" s="537"/>
      <c r="SOA35" s="537"/>
      <c r="SOB35" s="537"/>
      <c r="SOC35" s="537"/>
      <c r="SOD35" s="537"/>
      <c r="SOE35" s="537"/>
      <c r="SOF35" s="537"/>
      <c r="SOG35" s="537"/>
      <c r="SOH35" s="537"/>
      <c r="SOI35" s="537"/>
      <c r="SOJ35" s="537"/>
      <c r="SOK35" s="537"/>
      <c r="SOL35" s="537"/>
      <c r="SOM35" s="537"/>
      <c r="SON35" s="537"/>
      <c r="SOO35" s="537"/>
      <c r="SOP35" s="537"/>
      <c r="SOQ35" s="537"/>
      <c r="SOR35" s="537"/>
      <c r="SOS35" s="537"/>
      <c r="SOT35" s="537"/>
      <c r="SOU35" s="537"/>
      <c r="SOV35" s="537"/>
      <c r="SOW35" s="537"/>
      <c r="SOX35" s="537"/>
      <c r="SOY35" s="537"/>
      <c r="SOZ35" s="537"/>
      <c r="SPA35" s="537"/>
      <c r="SPB35" s="537"/>
      <c r="SPC35" s="537"/>
      <c r="SPD35" s="537"/>
      <c r="SPE35" s="537"/>
      <c r="SPF35" s="537"/>
      <c r="SPG35" s="537"/>
      <c r="SPH35" s="537"/>
      <c r="SPI35" s="537"/>
      <c r="SPJ35" s="537"/>
      <c r="SPK35" s="537"/>
      <c r="SPL35" s="537"/>
      <c r="SPM35" s="537"/>
      <c r="SPN35" s="537"/>
      <c r="SPO35" s="537"/>
      <c r="SPP35" s="537"/>
      <c r="SPQ35" s="537"/>
      <c r="SPR35" s="537"/>
      <c r="SPS35" s="537"/>
      <c r="SPT35" s="537"/>
      <c r="SPU35" s="537"/>
      <c r="SPV35" s="537"/>
      <c r="SPW35" s="537"/>
      <c r="SPX35" s="537"/>
      <c r="SPY35" s="537"/>
      <c r="SPZ35" s="537"/>
      <c r="SQA35" s="537"/>
      <c r="SQB35" s="537"/>
      <c r="SQC35" s="537"/>
      <c r="SQD35" s="537"/>
      <c r="SQE35" s="537"/>
      <c r="SQF35" s="537"/>
      <c r="SQG35" s="537"/>
      <c r="SQH35" s="537"/>
      <c r="SQI35" s="537"/>
      <c r="SQJ35" s="537"/>
      <c r="SQK35" s="537"/>
      <c r="SQL35" s="537"/>
      <c r="SQM35" s="537"/>
      <c r="SQN35" s="537"/>
      <c r="SQO35" s="537"/>
      <c r="SQP35" s="537"/>
      <c r="SQQ35" s="537"/>
      <c r="SQR35" s="537"/>
      <c r="SQS35" s="537"/>
      <c r="SQT35" s="537"/>
      <c r="SQU35" s="537"/>
      <c r="SQV35" s="537"/>
      <c r="SQW35" s="537"/>
      <c r="SQX35" s="537"/>
      <c r="SQY35" s="537"/>
      <c r="SQZ35" s="537"/>
      <c r="SRA35" s="537"/>
      <c r="SRB35" s="537"/>
      <c r="SRC35" s="537"/>
      <c r="SRD35" s="537"/>
      <c r="SRE35" s="537"/>
      <c r="SRF35" s="537"/>
      <c r="SRG35" s="537"/>
      <c r="SRH35" s="537"/>
      <c r="SRI35" s="537"/>
      <c r="SRJ35" s="537"/>
      <c r="SRK35" s="537"/>
      <c r="SRL35" s="537"/>
      <c r="SRM35" s="537"/>
      <c r="SRN35" s="537"/>
      <c r="SRO35" s="537"/>
      <c r="SRP35" s="537"/>
      <c r="SRQ35" s="537"/>
      <c r="SRR35" s="537"/>
      <c r="SRS35" s="537"/>
      <c r="SRT35" s="537"/>
      <c r="SRU35" s="537"/>
      <c r="SRV35" s="537"/>
      <c r="SRW35" s="537"/>
      <c r="SRX35" s="537"/>
      <c r="SRY35" s="537"/>
      <c r="SRZ35" s="537"/>
      <c r="SSA35" s="537"/>
      <c r="SSB35" s="537"/>
      <c r="SSC35" s="537"/>
      <c r="SSD35" s="537"/>
      <c r="SSE35" s="537"/>
      <c r="SSF35" s="537"/>
      <c r="SSG35" s="537"/>
      <c r="SSH35" s="537"/>
      <c r="SSI35" s="537"/>
      <c r="SSJ35" s="537"/>
      <c r="SSK35" s="537"/>
      <c r="SSL35" s="537"/>
      <c r="SSM35" s="537"/>
      <c r="SSN35" s="537"/>
      <c r="SSO35" s="537"/>
      <c r="SSP35" s="537"/>
      <c r="SSQ35" s="537"/>
      <c r="SSR35" s="537"/>
      <c r="SSS35" s="537"/>
      <c r="SST35" s="537"/>
      <c r="SSU35" s="537"/>
      <c r="SSV35" s="537"/>
      <c r="SSW35" s="537"/>
      <c r="SSX35" s="537"/>
      <c r="SSY35" s="537"/>
      <c r="SSZ35" s="537"/>
      <c r="STA35" s="537"/>
      <c r="STB35" s="537"/>
      <c r="STC35" s="537"/>
      <c r="STD35" s="537"/>
      <c r="STE35" s="537"/>
      <c r="STF35" s="537"/>
      <c r="STG35" s="537"/>
      <c r="STH35" s="537"/>
      <c r="STI35" s="537"/>
      <c r="STJ35" s="537"/>
      <c r="STK35" s="537"/>
      <c r="STL35" s="537"/>
      <c r="STM35" s="537"/>
      <c r="STN35" s="537"/>
      <c r="STO35" s="537"/>
      <c r="STP35" s="537"/>
      <c r="STQ35" s="537"/>
      <c r="STR35" s="537"/>
      <c r="STS35" s="537"/>
      <c r="STT35" s="537"/>
      <c r="STU35" s="537"/>
      <c r="STV35" s="537"/>
      <c r="STW35" s="537"/>
      <c r="STX35" s="537"/>
      <c r="STY35" s="537"/>
      <c r="STZ35" s="537"/>
      <c r="SUA35" s="537"/>
      <c r="SUB35" s="537"/>
      <c r="SUC35" s="537"/>
      <c r="SUD35" s="537"/>
      <c r="SUE35" s="537"/>
      <c r="SUF35" s="537"/>
      <c r="SUG35" s="537"/>
      <c r="SUH35" s="537"/>
      <c r="SUI35" s="537"/>
      <c r="SUJ35" s="537"/>
      <c r="SUK35" s="537"/>
      <c r="SUL35" s="537"/>
      <c r="SUM35" s="537"/>
      <c r="SUN35" s="537"/>
      <c r="SUO35" s="537"/>
      <c r="SUP35" s="537"/>
      <c r="SUQ35" s="537"/>
      <c r="SUR35" s="537"/>
      <c r="SUS35" s="537"/>
      <c r="SUT35" s="537"/>
      <c r="SUU35" s="537"/>
      <c r="SUV35" s="537"/>
      <c r="SUW35" s="537"/>
      <c r="SUX35" s="537"/>
      <c r="SUY35" s="537"/>
      <c r="SUZ35" s="537"/>
      <c r="SVA35" s="537"/>
      <c r="SVB35" s="537"/>
      <c r="SVC35" s="537"/>
      <c r="SVD35" s="537"/>
      <c r="SVE35" s="537"/>
      <c r="SVF35" s="537"/>
      <c r="SVG35" s="537"/>
      <c r="SVH35" s="537"/>
      <c r="SVI35" s="537"/>
      <c r="SVJ35" s="537"/>
      <c r="SVK35" s="537"/>
      <c r="SVL35" s="537"/>
      <c r="SVM35" s="537"/>
      <c r="SVN35" s="537"/>
      <c r="SVO35" s="537"/>
      <c r="SVP35" s="537"/>
      <c r="SVQ35" s="537"/>
      <c r="SVR35" s="537"/>
      <c r="SVS35" s="537"/>
      <c r="SVT35" s="537"/>
      <c r="SVU35" s="537"/>
      <c r="SVV35" s="537"/>
      <c r="SVW35" s="537"/>
      <c r="SVX35" s="537"/>
      <c r="SVY35" s="537"/>
      <c r="SVZ35" s="537"/>
      <c r="SWA35" s="537"/>
      <c r="SWB35" s="537"/>
      <c r="SWC35" s="537"/>
      <c r="SWD35" s="537"/>
      <c r="SWE35" s="537"/>
      <c r="SWF35" s="537"/>
      <c r="SWG35" s="537"/>
      <c r="SWH35" s="537"/>
      <c r="SWI35" s="537"/>
      <c r="SWJ35" s="537"/>
      <c r="SWK35" s="537"/>
      <c r="SWL35" s="537"/>
      <c r="SWM35" s="537"/>
      <c r="SWN35" s="537"/>
      <c r="SWO35" s="537"/>
      <c r="SWP35" s="537"/>
      <c r="SWQ35" s="537"/>
      <c r="SWR35" s="537"/>
      <c r="SWS35" s="537"/>
      <c r="SWT35" s="537"/>
      <c r="SWU35" s="537"/>
      <c r="SWV35" s="537"/>
      <c r="SWW35" s="537"/>
      <c r="SWX35" s="537"/>
      <c r="SWY35" s="537"/>
      <c r="SWZ35" s="537"/>
      <c r="SXA35" s="537"/>
      <c r="SXB35" s="537"/>
      <c r="SXC35" s="537"/>
      <c r="SXD35" s="537"/>
      <c r="SXE35" s="537"/>
      <c r="SXF35" s="537"/>
      <c r="SXG35" s="537"/>
      <c r="SXH35" s="537"/>
      <c r="SXI35" s="537"/>
      <c r="SXJ35" s="537"/>
      <c r="SXK35" s="537"/>
      <c r="SXL35" s="537"/>
      <c r="SXM35" s="537"/>
      <c r="SXN35" s="537"/>
      <c r="SXO35" s="537"/>
      <c r="SXP35" s="537"/>
      <c r="SXQ35" s="537"/>
      <c r="SXR35" s="537"/>
      <c r="SXS35" s="537"/>
      <c r="SXT35" s="537"/>
      <c r="SXU35" s="537"/>
      <c r="SXV35" s="537"/>
      <c r="SXW35" s="537"/>
      <c r="SXX35" s="537"/>
      <c r="SXY35" s="537"/>
      <c r="SXZ35" s="537"/>
      <c r="SYA35" s="537"/>
      <c r="SYB35" s="537"/>
      <c r="SYC35" s="537"/>
      <c r="SYD35" s="537"/>
      <c r="SYE35" s="537"/>
      <c r="SYF35" s="537"/>
      <c r="SYG35" s="537"/>
      <c r="SYH35" s="537"/>
      <c r="SYI35" s="537"/>
      <c r="SYJ35" s="537"/>
      <c r="SYK35" s="537"/>
      <c r="SYL35" s="537"/>
      <c r="SYM35" s="537"/>
      <c r="SYN35" s="537"/>
      <c r="SYO35" s="537"/>
      <c r="SYP35" s="537"/>
      <c r="SYQ35" s="537"/>
      <c r="SYR35" s="537"/>
      <c r="SYS35" s="537"/>
      <c r="SYT35" s="537"/>
      <c r="SYU35" s="537"/>
      <c r="SYV35" s="537"/>
      <c r="SYW35" s="537"/>
      <c r="SYX35" s="537"/>
      <c r="SYY35" s="537"/>
      <c r="SYZ35" s="537"/>
      <c r="SZA35" s="537"/>
      <c r="SZB35" s="537"/>
      <c r="SZC35" s="537"/>
      <c r="SZD35" s="537"/>
      <c r="SZE35" s="537"/>
      <c r="SZF35" s="537"/>
      <c r="SZG35" s="537"/>
      <c r="SZH35" s="537"/>
      <c r="SZI35" s="537"/>
      <c r="SZJ35" s="537"/>
      <c r="SZK35" s="537"/>
      <c r="SZL35" s="537"/>
      <c r="SZM35" s="537"/>
      <c r="SZN35" s="537"/>
      <c r="SZO35" s="537"/>
      <c r="SZP35" s="537"/>
      <c r="SZQ35" s="537"/>
      <c r="SZR35" s="537"/>
      <c r="SZS35" s="537"/>
      <c r="SZT35" s="537"/>
      <c r="SZU35" s="537"/>
      <c r="SZV35" s="537"/>
      <c r="SZW35" s="537"/>
      <c r="SZX35" s="537"/>
      <c r="SZY35" s="537"/>
      <c r="SZZ35" s="537"/>
      <c r="TAA35" s="537"/>
      <c r="TAB35" s="537"/>
      <c r="TAC35" s="537"/>
      <c r="TAD35" s="537"/>
      <c r="TAE35" s="537"/>
      <c r="TAF35" s="537"/>
      <c r="TAG35" s="537"/>
      <c r="TAH35" s="537"/>
      <c r="TAI35" s="537"/>
      <c r="TAJ35" s="537"/>
      <c r="TAK35" s="537"/>
      <c r="TAL35" s="537"/>
      <c r="TAM35" s="537"/>
      <c r="TAN35" s="537"/>
      <c r="TAO35" s="537"/>
      <c r="TAP35" s="537"/>
      <c r="TAQ35" s="537"/>
      <c r="TAR35" s="537"/>
      <c r="TAS35" s="537"/>
      <c r="TAT35" s="537"/>
      <c r="TAU35" s="537"/>
      <c r="TAV35" s="537"/>
      <c r="TAW35" s="537"/>
      <c r="TAX35" s="537"/>
      <c r="TAY35" s="537"/>
      <c r="TAZ35" s="537"/>
      <c r="TBA35" s="537"/>
      <c r="TBB35" s="537"/>
      <c r="TBC35" s="537"/>
      <c r="TBD35" s="537"/>
      <c r="TBE35" s="537"/>
      <c r="TBF35" s="537"/>
      <c r="TBG35" s="537"/>
      <c r="TBH35" s="537"/>
      <c r="TBI35" s="537"/>
      <c r="TBJ35" s="537"/>
      <c r="TBK35" s="537"/>
      <c r="TBL35" s="537"/>
      <c r="TBM35" s="537"/>
      <c r="TBN35" s="537"/>
      <c r="TBO35" s="537"/>
      <c r="TBP35" s="537"/>
      <c r="TBQ35" s="537"/>
      <c r="TBR35" s="537"/>
      <c r="TBS35" s="537"/>
      <c r="TBT35" s="537"/>
      <c r="TBU35" s="537"/>
      <c r="TBV35" s="537"/>
      <c r="TBW35" s="537"/>
      <c r="TBX35" s="537"/>
      <c r="TBY35" s="537"/>
      <c r="TBZ35" s="537"/>
      <c r="TCA35" s="537"/>
      <c r="TCB35" s="537"/>
      <c r="TCC35" s="537"/>
      <c r="TCD35" s="537"/>
      <c r="TCE35" s="537"/>
      <c r="TCF35" s="537"/>
      <c r="TCG35" s="537"/>
      <c r="TCH35" s="537"/>
      <c r="TCI35" s="537"/>
      <c r="TCJ35" s="537"/>
      <c r="TCK35" s="537"/>
      <c r="TCL35" s="537"/>
      <c r="TCM35" s="537"/>
      <c r="TCN35" s="537"/>
      <c r="TCO35" s="537"/>
      <c r="TCP35" s="537"/>
      <c r="TCQ35" s="537"/>
      <c r="TCR35" s="537"/>
      <c r="TCS35" s="537"/>
      <c r="TCT35" s="537"/>
      <c r="TCU35" s="537"/>
      <c r="TCV35" s="537"/>
      <c r="TCW35" s="537"/>
      <c r="TCX35" s="537"/>
      <c r="TCY35" s="537"/>
      <c r="TCZ35" s="537"/>
      <c r="TDA35" s="537"/>
      <c r="TDB35" s="537"/>
      <c r="TDC35" s="537"/>
      <c r="TDD35" s="537"/>
      <c r="TDE35" s="537"/>
      <c r="TDF35" s="537"/>
      <c r="TDG35" s="537"/>
      <c r="TDH35" s="537"/>
      <c r="TDI35" s="537"/>
      <c r="TDJ35" s="537"/>
      <c r="TDK35" s="537"/>
      <c r="TDL35" s="537"/>
      <c r="TDM35" s="537"/>
      <c r="TDN35" s="537"/>
      <c r="TDO35" s="537"/>
      <c r="TDP35" s="537"/>
      <c r="TDQ35" s="537"/>
      <c r="TDR35" s="537"/>
      <c r="TDS35" s="537"/>
      <c r="TDT35" s="537"/>
      <c r="TDU35" s="537"/>
      <c r="TDV35" s="537"/>
      <c r="TDW35" s="537"/>
      <c r="TDX35" s="537"/>
      <c r="TDY35" s="537"/>
      <c r="TDZ35" s="537"/>
      <c r="TEA35" s="537"/>
      <c r="TEB35" s="537"/>
      <c r="TEC35" s="537"/>
      <c r="TED35" s="537"/>
      <c r="TEE35" s="537"/>
      <c r="TEF35" s="537"/>
      <c r="TEG35" s="537"/>
      <c r="TEH35" s="537"/>
      <c r="TEI35" s="537"/>
      <c r="TEJ35" s="537"/>
      <c r="TEK35" s="537"/>
      <c r="TEL35" s="537"/>
      <c r="TEM35" s="537"/>
      <c r="TEN35" s="537"/>
      <c r="TEO35" s="537"/>
      <c r="TEP35" s="537"/>
      <c r="TEQ35" s="537"/>
      <c r="TER35" s="537"/>
      <c r="TES35" s="537"/>
      <c r="TET35" s="537"/>
      <c r="TEU35" s="537"/>
      <c r="TEV35" s="537"/>
      <c r="TEW35" s="537"/>
      <c r="TEX35" s="537"/>
      <c r="TEY35" s="537"/>
      <c r="TEZ35" s="537"/>
      <c r="TFA35" s="537"/>
      <c r="TFB35" s="537"/>
      <c r="TFC35" s="537"/>
      <c r="TFD35" s="537"/>
      <c r="TFE35" s="537"/>
      <c r="TFF35" s="537"/>
      <c r="TFG35" s="537"/>
      <c r="TFH35" s="537"/>
      <c r="TFI35" s="537"/>
      <c r="TFJ35" s="537"/>
      <c r="TFK35" s="537"/>
      <c r="TFL35" s="537"/>
      <c r="TFM35" s="537"/>
      <c r="TFN35" s="537"/>
      <c r="TFO35" s="537"/>
      <c r="TFP35" s="537"/>
      <c r="TFQ35" s="537"/>
      <c r="TFR35" s="537"/>
      <c r="TFS35" s="537"/>
      <c r="TFT35" s="537"/>
      <c r="TFU35" s="537"/>
      <c r="TFV35" s="537"/>
      <c r="TFW35" s="537"/>
      <c r="TFX35" s="537"/>
      <c r="TFY35" s="537"/>
      <c r="TFZ35" s="537"/>
      <c r="TGA35" s="537"/>
      <c r="TGB35" s="537"/>
      <c r="TGC35" s="537"/>
      <c r="TGD35" s="537"/>
      <c r="TGE35" s="537"/>
      <c r="TGF35" s="537"/>
      <c r="TGG35" s="537"/>
      <c r="TGH35" s="537"/>
      <c r="TGI35" s="537"/>
      <c r="TGJ35" s="537"/>
      <c r="TGK35" s="537"/>
      <c r="TGL35" s="537"/>
      <c r="TGM35" s="537"/>
      <c r="TGN35" s="537"/>
      <c r="TGO35" s="537"/>
      <c r="TGP35" s="537"/>
      <c r="TGQ35" s="537"/>
      <c r="TGR35" s="537"/>
      <c r="TGS35" s="537"/>
      <c r="TGT35" s="537"/>
      <c r="TGU35" s="537"/>
      <c r="TGV35" s="537"/>
      <c r="TGW35" s="537"/>
      <c r="TGX35" s="537"/>
      <c r="TGY35" s="537"/>
      <c r="TGZ35" s="537"/>
      <c r="THA35" s="537"/>
      <c r="THB35" s="537"/>
      <c r="THC35" s="537"/>
      <c r="THD35" s="537"/>
      <c r="THE35" s="537"/>
      <c r="THF35" s="537"/>
      <c r="THG35" s="537"/>
      <c r="THH35" s="537"/>
      <c r="THI35" s="537"/>
      <c r="THJ35" s="537"/>
      <c r="THK35" s="537"/>
      <c r="THL35" s="537"/>
      <c r="THM35" s="537"/>
      <c r="THN35" s="537"/>
      <c r="THO35" s="537"/>
      <c r="THP35" s="537"/>
      <c r="THQ35" s="537"/>
      <c r="THR35" s="537"/>
      <c r="THS35" s="537"/>
      <c r="THT35" s="537"/>
      <c r="THU35" s="537"/>
      <c r="THV35" s="537"/>
      <c r="THW35" s="537"/>
      <c r="THX35" s="537"/>
      <c r="THY35" s="537"/>
      <c r="THZ35" s="537"/>
      <c r="TIA35" s="537"/>
      <c r="TIB35" s="537"/>
      <c r="TIC35" s="537"/>
      <c r="TID35" s="537"/>
      <c r="TIE35" s="537"/>
      <c r="TIF35" s="537"/>
      <c r="TIG35" s="537"/>
      <c r="TIH35" s="537"/>
      <c r="TII35" s="537"/>
      <c r="TIJ35" s="537"/>
      <c r="TIK35" s="537"/>
      <c r="TIL35" s="537"/>
      <c r="TIM35" s="537"/>
      <c r="TIN35" s="537"/>
      <c r="TIO35" s="537"/>
      <c r="TIP35" s="537"/>
      <c r="TIQ35" s="537"/>
      <c r="TIR35" s="537"/>
      <c r="TIS35" s="537"/>
      <c r="TIT35" s="537"/>
      <c r="TIU35" s="537"/>
      <c r="TIV35" s="537"/>
      <c r="TIW35" s="537"/>
      <c r="TIX35" s="537"/>
      <c r="TIY35" s="537"/>
      <c r="TIZ35" s="537"/>
      <c r="TJA35" s="537"/>
      <c r="TJB35" s="537"/>
      <c r="TJC35" s="537"/>
      <c r="TJD35" s="537"/>
      <c r="TJE35" s="537"/>
      <c r="TJF35" s="537"/>
      <c r="TJG35" s="537"/>
      <c r="TJH35" s="537"/>
      <c r="TJI35" s="537"/>
      <c r="TJJ35" s="537"/>
      <c r="TJK35" s="537"/>
      <c r="TJL35" s="537"/>
      <c r="TJM35" s="537"/>
      <c r="TJN35" s="537"/>
      <c r="TJO35" s="537"/>
      <c r="TJP35" s="537"/>
      <c r="TJQ35" s="537"/>
      <c r="TJR35" s="537"/>
      <c r="TJS35" s="537"/>
      <c r="TJT35" s="537"/>
      <c r="TJU35" s="537"/>
      <c r="TJV35" s="537"/>
      <c r="TJW35" s="537"/>
      <c r="TJX35" s="537"/>
      <c r="TJY35" s="537"/>
      <c r="TJZ35" s="537"/>
      <c r="TKA35" s="537"/>
      <c r="TKB35" s="537"/>
      <c r="TKC35" s="537"/>
      <c r="TKD35" s="537"/>
      <c r="TKE35" s="537"/>
      <c r="TKF35" s="537"/>
      <c r="TKG35" s="537"/>
      <c r="TKH35" s="537"/>
      <c r="TKI35" s="537"/>
      <c r="TKJ35" s="537"/>
      <c r="TKK35" s="537"/>
      <c r="TKL35" s="537"/>
      <c r="TKM35" s="537"/>
      <c r="TKN35" s="537"/>
      <c r="TKO35" s="537"/>
      <c r="TKP35" s="537"/>
      <c r="TKQ35" s="537"/>
      <c r="TKR35" s="537"/>
      <c r="TKS35" s="537"/>
      <c r="TKT35" s="537"/>
      <c r="TKU35" s="537"/>
      <c r="TKV35" s="537"/>
      <c r="TKW35" s="537"/>
      <c r="TKX35" s="537"/>
      <c r="TKY35" s="537"/>
      <c r="TKZ35" s="537"/>
      <c r="TLA35" s="537"/>
      <c r="TLB35" s="537"/>
      <c r="TLC35" s="537"/>
      <c r="TLD35" s="537"/>
      <c r="TLE35" s="537"/>
      <c r="TLF35" s="537"/>
      <c r="TLG35" s="537"/>
      <c r="TLH35" s="537"/>
      <c r="TLI35" s="537"/>
      <c r="TLJ35" s="537"/>
      <c r="TLK35" s="537"/>
      <c r="TLL35" s="537"/>
      <c r="TLM35" s="537"/>
      <c r="TLN35" s="537"/>
      <c r="TLO35" s="537"/>
      <c r="TLP35" s="537"/>
      <c r="TLQ35" s="537"/>
      <c r="TLR35" s="537"/>
      <c r="TLS35" s="537"/>
      <c r="TLT35" s="537"/>
      <c r="TLU35" s="537"/>
      <c r="TLV35" s="537"/>
      <c r="TLW35" s="537"/>
      <c r="TLX35" s="537"/>
      <c r="TLY35" s="537"/>
      <c r="TLZ35" s="537"/>
      <c r="TMA35" s="537"/>
      <c r="TMB35" s="537"/>
      <c r="TMC35" s="537"/>
      <c r="TMD35" s="537"/>
      <c r="TME35" s="537"/>
      <c r="TMF35" s="537"/>
      <c r="TMG35" s="537"/>
      <c r="TMH35" s="537"/>
      <c r="TMI35" s="537"/>
      <c r="TMJ35" s="537"/>
      <c r="TMK35" s="537"/>
      <c r="TML35" s="537"/>
      <c r="TMM35" s="537"/>
      <c r="TMN35" s="537"/>
      <c r="TMO35" s="537"/>
      <c r="TMP35" s="537"/>
      <c r="TMQ35" s="537"/>
      <c r="TMR35" s="537"/>
      <c r="TMS35" s="537"/>
      <c r="TMT35" s="537"/>
      <c r="TMU35" s="537"/>
      <c r="TMV35" s="537"/>
      <c r="TMW35" s="537"/>
      <c r="TMX35" s="537"/>
      <c r="TMY35" s="537"/>
      <c r="TMZ35" s="537"/>
      <c r="TNA35" s="537"/>
      <c r="TNB35" s="537"/>
      <c r="TNC35" s="537"/>
      <c r="TND35" s="537"/>
      <c r="TNE35" s="537"/>
      <c r="TNF35" s="537"/>
      <c r="TNG35" s="537"/>
      <c r="TNH35" s="537"/>
      <c r="TNI35" s="537"/>
      <c r="TNJ35" s="537"/>
      <c r="TNK35" s="537"/>
      <c r="TNL35" s="537"/>
      <c r="TNM35" s="537"/>
      <c r="TNN35" s="537"/>
      <c r="TNO35" s="537"/>
      <c r="TNP35" s="537"/>
      <c r="TNQ35" s="537"/>
      <c r="TNR35" s="537"/>
      <c r="TNS35" s="537"/>
      <c r="TNT35" s="537"/>
      <c r="TNU35" s="537"/>
      <c r="TNV35" s="537"/>
      <c r="TNW35" s="537"/>
      <c r="TNX35" s="537"/>
      <c r="TNY35" s="537"/>
      <c r="TNZ35" s="537"/>
      <c r="TOA35" s="537"/>
      <c r="TOB35" s="537"/>
      <c r="TOC35" s="537"/>
      <c r="TOD35" s="537"/>
      <c r="TOE35" s="537"/>
      <c r="TOF35" s="537"/>
      <c r="TOG35" s="537"/>
      <c r="TOH35" s="537"/>
      <c r="TOI35" s="537"/>
      <c r="TOJ35" s="537"/>
      <c r="TOK35" s="537"/>
      <c r="TOL35" s="537"/>
      <c r="TOM35" s="537"/>
      <c r="TON35" s="537"/>
      <c r="TOO35" s="537"/>
      <c r="TOP35" s="537"/>
      <c r="TOQ35" s="537"/>
      <c r="TOR35" s="537"/>
      <c r="TOS35" s="537"/>
      <c r="TOT35" s="537"/>
      <c r="TOU35" s="537"/>
      <c r="TOV35" s="537"/>
      <c r="TOW35" s="537"/>
      <c r="TOX35" s="537"/>
      <c r="TOY35" s="537"/>
      <c r="TOZ35" s="537"/>
      <c r="TPA35" s="537"/>
      <c r="TPB35" s="537"/>
      <c r="TPC35" s="537"/>
      <c r="TPD35" s="537"/>
      <c r="TPE35" s="537"/>
      <c r="TPF35" s="537"/>
      <c r="TPG35" s="537"/>
      <c r="TPH35" s="537"/>
      <c r="TPI35" s="537"/>
      <c r="TPJ35" s="537"/>
      <c r="TPK35" s="537"/>
      <c r="TPL35" s="537"/>
      <c r="TPM35" s="537"/>
      <c r="TPN35" s="537"/>
      <c r="TPO35" s="537"/>
      <c r="TPP35" s="537"/>
      <c r="TPQ35" s="537"/>
      <c r="TPR35" s="537"/>
      <c r="TPS35" s="537"/>
      <c r="TPT35" s="537"/>
      <c r="TPU35" s="537"/>
      <c r="TPV35" s="537"/>
      <c r="TPW35" s="537"/>
      <c r="TPX35" s="537"/>
      <c r="TPY35" s="537"/>
      <c r="TPZ35" s="537"/>
      <c r="TQA35" s="537"/>
      <c r="TQB35" s="537"/>
      <c r="TQC35" s="537"/>
      <c r="TQD35" s="537"/>
      <c r="TQE35" s="537"/>
      <c r="TQF35" s="537"/>
      <c r="TQG35" s="537"/>
      <c r="TQH35" s="537"/>
      <c r="TQI35" s="537"/>
      <c r="TQJ35" s="537"/>
      <c r="TQK35" s="537"/>
      <c r="TQL35" s="537"/>
      <c r="TQM35" s="537"/>
      <c r="TQN35" s="537"/>
      <c r="TQO35" s="537"/>
      <c r="TQP35" s="537"/>
      <c r="TQQ35" s="537"/>
      <c r="TQR35" s="537"/>
      <c r="TQS35" s="537"/>
      <c r="TQT35" s="537"/>
      <c r="TQU35" s="537"/>
      <c r="TQV35" s="537"/>
      <c r="TQW35" s="537"/>
      <c r="TQX35" s="537"/>
      <c r="TQY35" s="537"/>
      <c r="TQZ35" s="537"/>
      <c r="TRA35" s="537"/>
      <c r="TRB35" s="537"/>
      <c r="TRC35" s="537"/>
      <c r="TRD35" s="537"/>
      <c r="TRE35" s="537"/>
      <c r="TRF35" s="537"/>
      <c r="TRG35" s="537"/>
      <c r="TRH35" s="537"/>
      <c r="TRI35" s="537"/>
      <c r="TRJ35" s="537"/>
      <c r="TRK35" s="537"/>
      <c r="TRL35" s="537"/>
      <c r="TRM35" s="537"/>
      <c r="TRN35" s="537"/>
      <c r="TRO35" s="537"/>
      <c r="TRP35" s="537"/>
      <c r="TRQ35" s="537"/>
      <c r="TRR35" s="537"/>
      <c r="TRS35" s="537"/>
      <c r="TRT35" s="537"/>
      <c r="TRU35" s="537"/>
      <c r="TRV35" s="537"/>
      <c r="TRW35" s="537"/>
      <c r="TRX35" s="537"/>
      <c r="TRY35" s="537"/>
      <c r="TRZ35" s="537"/>
      <c r="TSA35" s="537"/>
      <c r="TSB35" s="537"/>
      <c r="TSC35" s="537"/>
      <c r="TSD35" s="537"/>
      <c r="TSE35" s="537"/>
      <c r="TSF35" s="537"/>
      <c r="TSG35" s="537"/>
      <c r="TSH35" s="537"/>
      <c r="TSI35" s="537"/>
      <c r="TSJ35" s="537"/>
      <c r="TSK35" s="537"/>
      <c r="TSL35" s="537"/>
      <c r="TSM35" s="537"/>
      <c r="TSN35" s="537"/>
      <c r="TSO35" s="537"/>
      <c r="TSP35" s="537"/>
      <c r="TSQ35" s="537"/>
      <c r="TSR35" s="537"/>
      <c r="TSS35" s="537"/>
      <c r="TST35" s="537"/>
      <c r="TSU35" s="537"/>
      <c r="TSV35" s="537"/>
      <c r="TSW35" s="537"/>
      <c r="TSX35" s="537"/>
      <c r="TSY35" s="537"/>
      <c r="TSZ35" s="537"/>
      <c r="TTA35" s="537"/>
      <c r="TTB35" s="537"/>
      <c r="TTC35" s="537"/>
      <c r="TTD35" s="537"/>
      <c r="TTE35" s="537"/>
      <c r="TTF35" s="537"/>
      <c r="TTG35" s="537"/>
      <c r="TTH35" s="537"/>
      <c r="TTI35" s="537"/>
      <c r="TTJ35" s="537"/>
      <c r="TTK35" s="537"/>
      <c r="TTL35" s="537"/>
      <c r="TTM35" s="537"/>
      <c r="TTN35" s="537"/>
      <c r="TTO35" s="537"/>
      <c r="TTP35" s="537"/>
      <c r="TTQ35" s="537"/>
      <c r="TTR35" s="537"/>
      <c r="TTS35" s="537"/>
      <c r="TTT35" s="537"/>
      <c r="TTU35" s="537"/>
      <c r="TTV35" s="537"/>
      <c r="TTW35" s="537"/>
      <c r="TTX35" s="537"/>
      <c r="TTY35" s="537"/>
      <c r="TTZ35" s="537"/>
      <c r="TUA35" s="537"/>
      <c r="TUB35" s="537"/>
      <c r="TUC35" s="537"/>
      <c r="TUD35" s="537"/>
      <c r="TUE35" s="537"/>
      <c r="TUF35" s="537"/>
      <c r="TUG35" s="537"/>
      <c r="TUH35" s="537"/>
      <c r="TUI35" s="537"/>
      <c r="TUJ35" s="537"/>
      <c r="TUK35" s="537"/>
      <c r="TUL35" s="537"/>
      <c r="TUM35" s="537"/>
      <c r="TUN35" s="537"/>
      <c r="TUO35" s="537"/>
      <c r="TUP35" s="537"/>
      <c r="TUQ35" s="537"/>
      <c r="TUR35" s="537"/>
      <c r="TUS35" s="537"/>
      <c r="TUT35" s="537"/>
      <c r="TUU35" s="537"/>
      <c r="TUV35" s="537"/>
      <c r="TUW35" s="537"/>
      <c r="TUX35" s="537"/>
      <c r="TUY35" s="537"/>
      <c r="TUZ35" s="537"/>
      <c r="TVA35" s="537"/>
      <c r="TVB35" s="537"/>
      <c r="TVC35" s="537"/>
      <c r="TVD35" s="537"/>
      <c r="TVE35" s="537"/>
      <c r="TVF35" s="537"/>
      <c r="TVG35" s="537"/>
      <c r="TVH35" s="537"/>
      <c r="TVI35" s="537"/>
      <c r="TVJ35" s="537"/>
      <c r="TVK35" s="537"/>
      <c r="TVL35" s="537"/>
      <c r="TVM35" s="537"/>
      <c r="TVN35" s="537"/>
      <c r="TVO35" s="537"/>
      <c r="TVP35" s="537"/>
      <c r="TVQ35" s="537"/>
      <c r="TVR35" s="537"/>
      <c r="TVS35" s="537"/>
      <c r="TVT35" s="537"/>
      <c r="TVU35" s="537"/>
      <c r="TVV35" s="537"/>
      <c r="TVW35" s="537"/>
      <c r="TVX35" s="537"/>
      <c r="TVY35" s="537"/>
      <c r="TVZ35" s="537"/>
      <c r="TWA35" s="537"/>
      <c r="TWB35" s="537"/>
      <c r="TWC35" s="537"/>
      <c r="TWD35" s="537"/>
      <c r="TWE35" s="537"/>
      <c r="TWF35" s="537"/>
      <c r="TWG35" s="537"/>
      <c r="TWH35" s="537"/>
      <c r="TWI35" s="537"/>
      <c r="TWJ35" s="537"/>
      <c r="TWK35" s="537"/>
      <c r="TWL35" s="537"/>
      <c r="TWM35" s="537"/>
      <c r="TWN35" s="537"/>
      <c r="TWO35" s="537"/>
      <c r="TWP35" s="537"/>
      <c r="TWQ35" s="537"/>
      <c r="TWR35" s="537"/>
      <c r="TWS35" s="537"/>
      <c r="TWT35" s="537"/>
      <c r="TWU35" s="537"/>
      <c r="TWV35" s="537"/>
      <c r="TWW35" s="537"/>
      <c r="TWX35" s="537"/>
      <c r="TWY35" s="537"/>
      <c r="TWZ35" s="537"/>
      <c r="TXA35" s="537"/>
      <c r="TXB35" s="537"/>
      <c r="TXC35" s="537"/>
      <c r="TXD35" s="537"/>
      <c r="TXE35" s="537"/>
      <c r="TXF35" s="537"/>
      <c r="TXG35" s="537"/>
      <c r="TXH35" s="537"/>
      <c r="TXI35" s="537"/>
      <c r="TXJ35" s="537"/>
      <c r="TXK35" s="537"/>
      <c r="TXL35" s="537"/>
      <c r="TXM35" s="537"/>
      <c r="TXN35" s="537"/>
      <c r="TXO35" s="537"/>
      <c r="TXP35" s="537"/>
      <c r="TXQ35" s="537"/>
      <c r="TXR35" s="537"/>
      <c r="TXS35" s="537"/>
      <c r="TXT35" s="537"/>
      <c r="TXU35" s="537"/>
      <c r="TXV35" s="537"/>
      <c r="TXW35" s="537"/>
      <c r="TXX35" s="537"/>
      <c r="TXY35" s="537"/>
      <c r="TXZ35" s="537"/>
      <c r="TYA35" s="537"/>
      <c r="TYB35" s="537"/>
      <c r="TYC35" s="537"/>
      <c r="TYD35" s="537"/>
      <c r="TYE35" s="537"/>
      <c r="TYF35" s="537"/>
      <c r="TYG35" s="537"/>
      <c r="TYH35" s="537"/>
      <c r="TYI35" s="537"/>
      <c r="TYJ35" s="537"/>
      <c r="TYK35" s="537"/>
      <c r="TYL35" s="537"/>
      <c r="TYM35" s="537"/>
      <c r="TYN35" s="537"/>
      <c r="TYO35" s="537"/>
      <c r="TYP35" s="537"/>
      <c r="TYQ35" s="537"/>
      <c r="TYR35" s="537"/>
      <c r="TYS35" s="537"/>
      <c r="TYT35" s="537"/>
      <c r="TYU35" s="537"/>
      <c r="TYV35" s="537"/>
      <c r="TYW35" s="537"/>
      <c r="TYX35" s="537"/>
      <c r="TYY35" s="537"/>
      <c r="TYZ35" s="537"/>
      <c r="TZA35" s="537"/>
      <c r="TZB35" s="537"/>
      <c r="TZC35" s="537"/>
      <c r="TZD35" s="537"/>
      <c r="TZE35" s="537"/>
      <c r="TZF35" s="537"/>
      <c r="TZG35" s="537"/>
      <c r="TZH35" s="537"/>
      <c r="TZI35" s="537"/>
      <c r="TZJ35" s="537"/>
      <c r="TZK35" s="537"/>
      <c r="TZL35" s="537"/>
      <c r="TZM35" s="537"/>
      <c r="TZN35" s="537"/>
      <c r="TZO35" s="537"/>
      <c r="TZP35" s="537"/>
      <c r="TZQ35" s="537"/>
      <c r="TZR35" s="537"/>
      <c r="TZS35" s="537"/>
      <c r="TZT35" s="537"/>
      <c r="TZU35" s="537"/>
      <c r="TZV35" s="537"/>
      <c r="TZW35" s="537"/>
      <c r="TZX35" s="537"/>
      <c r="TZY35" s="537"/>
      <c r="TZZ35" s="537"/>
      <c r="UAA35" s="537"/>
      <c r="UAB35" s="537"/>
      <c r="UAC35" s="537"/>
      <c r="UAD35" s="537"/>
      <c r="UAE35" s="537"/>
      <c r="UAF35" s="537"/>
      <c r="UAG35" s="537"/>
      <c r="UAH35" s="537"/>
      <c r="UAI35" s="537"/>
      <c r="UAJ35" s="537"/>
      <c r="UAK35" s="537"/>
      <c r="UAL35" s="537"/>
      <c r="UAM35" s="537"/>
      <c r="UAN35" s="537"/>
      <c r="UAO35" s="537"/>
      <c r="UAP35" s="537"/>
      <c r="UAQ35" s="537"/>
      <c r="UAR35" s="537"/>
      <c r="UAS35" s="537"/>
      <c r="UAT35" s="537"/>
      <c r="UAU35" s="537"/>
      <c r="UAV35" s="537"/>
      <c r="UAW35" s="537"/>
      <c r="UAX35" s="537"/>
      <c r="UAY35" s="537"/>
      <c r="UAZ35" s="537"/>
      <c r="UBA35" s="537"/>
      <c r="UBB35" s="537"/>
      <c r="UBC35" s="537"/>
      <c r="UBD35" s="537"/>
      <c r="UBE35" s="537"/>
      <c r="UBF35" s="537"/>
      <c r="UBG35" s="537"/>
      <c r="UBH35" s="537"/>
      <c r="UBI35" s="537"/>
      <c r="UBJ35" s="537"/>
      <c r="UBK35" s="537"/>
      <c r="UBL35" s="537"/>
      <c r="UBM35" s="537"/>
      <c r="UBN35" s="537"/>
      <c r="UBO35" s="537"/>
      <c r="UBP35" s="537"/>
      <c r="UBQ35" s="537"/>
      <c r="UBR35" s="537"/>
      <c r="UBS35" s="537"/>
      <c r="UBT35" s="537"/>
      <c r="UBU35" s="537"/>
      <c r="UBV35" s="537"/>
      <c r="UBW35" s="537"/>
      <c r="UBX35" s="537"/>
      <c r="UBY35" s="537"/>
      <c r="UBZ35" s="537"/>
      <c r="UCA35" s="537"/>
      <c r="UCB35" s="537"/>
      <c r="UCC35" s="537"/>
      <c r="UCD35" s="537"/>
      <c r="UCE35" s="537"/>
      <c r="UCF35" s="537"/>
      <c r="UCG35" s="537"/>
      <c r="UCH35" s="537"/>
      <c r="UCI35" s="537"/>
      <c r="UCJ35" s="537"/>
      <c r="UCK35" s="537"/>
      <c r="UCL35" s="537"/>
      <c r="UCM35" s="537"/>
      <c r="UCN35" s="537"/>
      <c r="UCO35" s="537"/>
      <c r="UCP35" s="537"/>
      <c r="UCQ35" s="537"/>
      <c r="UCR35" s="537"/>
      <c r="UCS35" s="537"/>
      <c r="UCT35" s="537"/>
      <c r="UCU35" s="537"/>
      <c r="UCV35" s="537"/>
      <c r="UCW35" s="537"/>
      <c r="UCX35" s="537"/>
      <c r="UCY35" s="537"/>
      <c r="UCZ35" s="537"/>
      <c r="UDA35" s="537"/>
      <c r="UDB35" s="537"/>
      <c r="UDC35" s="537"/>
      <c r="UDD35" s="537"/>
      <c r="UDE35" s="537"/>
      <c r="UDF35" s="537"/>
      <c r="UDG35" s="537"/>
      <c r="UDH35" s="537"/>
      <c r="UDI35" s="537"/>
      <c r="UDJ35" s="537"/>
      <c r="UDK35" s="537"/>
      <c r="UDL35" s="537"/>
      <c r="UDM35" s="537"/>
      <c r="UDN35" s="537"/>
      <c r="UDO35" s="537"/>
      <c r="UDP35" s="537"/>
      <c r="UDQ35" s="537"/>
      <c r="UDR35" s="537"/>
      <c r="UDS35" s="537"/>
      <c r="UDT35" s="537"/>
      <c r="UDU35" s="537"/>
      <c r="UDV35" s="537"/>
      <c r="UDW35" s="537"/>
      <c r="UDX35" s="537"/>
      <c r="UDY35" s="537"/>
      <c r="UDZ35" s="537"/>
      <c r="UEA35" s="537"/>
      <c r="UEB35" s="537"/>
      <c r="UEC35" s="537"/>
      <c r="UED35" s="537"/>
      <c r="UEE35" s="537"/>
      <c r="UEF35" s="537"/>
      <c r="UEG35" s="537"/>
      <c r="UEH35" s="537"/>
      <c r="UEI35" s="537"/>
      <c r="UEJ35" s="537"/>
      <c r="UEK35" s="537"/>
      <c r="UEL35" s="537"/>
      <c r="UEM35" s="537"/>
      <c r="UEN35" s="537"/>
      <c r="UEO35" s="537"/>
      <c r="UEP35" s="537"/>
      <c r="UEQ35" s="537"/>
      <c r="UER35" s="537"/>
      <c r="UES35" s="537"/>
      <c r="UET35" s="537"/>
      <c r="UEU35" s="537"/>
      <c r="UEV35" s="537"/>
      <c r="UEW35" s="537"/>
      <c r="UEX35" s="537"/>
      <c r="UEY35" s="537"/>
      <c r="UEZ35" s="537"/>
      <c r="UFA35" s="537"/>
      <c r="UFB35" s="537"/>
      <c r="UFC35" s="537"/>
      <c r="UFD35" s="537"/>
      <c r="UFE35" s="537"/>
      <c r="UFF35" s="537"/>
      <c r="UFG35" s="537"/>
      <c r="UFH35" s="537"/>
      <c r="UFI35" s="537"/>
      <c r="UFJ35" s="537"/>
      <c r="UFK35" s="537"/>
      <c r="UFL35" s="537"/>
      <c r="UFM35" s="537"/>
      <c r="UFN35" s="537"/>
      <c r="UFO35" s="537"/>
      <c r="UFP35" s="537"/>
      <c r="UFQ35" s="537"/>
      <c r="UFR35" s="537"/>
      <c r="UFS35" s="537"/>
      <c r="UFT35" s="537"/>
      <c r="UFU35" s="537"/>
      <c r="UFV35" s="537"/>
      <c r="UFW35" s="537"/>
      <c r="UFX35" s="537"/>
      <c r="UFY35" s="537"/>
      <c r="UFZ35" s="537"/>
      <c r="UGA35" s="537"/>
      <c r="UGB35" s="537"/>
      <c r="UGC35" s="537"/>
      <c r="UGD35" s="537"/>
      <c r="UGE35" s="537"/>
      <c r="UGF35" s="537"/>
      <c r="UGG35" s="537"/>
      <c r="UGH35" s="537"/>
      <c r="UGI35" s="537"/>
      <c r="UGJ35" s="537"/>
      <c r="UGK35" s="537"/>
      <c r="UGL35" s="537"/>
      <c r="UGM35" s="537"/>
      <c r="UGN35" s="537"/>
      <c r="UGO35" s="537"/>
      <c r="UGP35" s="537"/>
      <c r="UGQ35" s="537"/>
      <c r="UGR35" s="537"/>
      <c r="UGS35" s="537"/>
      <c r="UGT35" s="537"/>
      <c r="UGU35" s="537"/>
      <c r="UGV35" s="537"/>
      <c r="UGW35" s="537"/>
      <c r="UGX35" s="537"/>
      <c r="UGY35" s="537"/>
      <c r="UGZ35" s="537"/>
      <c r="UHA35" s="537"/>
      <c r="UHB35" s="537"/>
      <c r="UHC35" s="537"/>
      <c r="UHD35" s="537"/>
      <c r="UHE35" s="537"/>
      <c r="UHF35" s="537"/>
      <c r="UHG35" s="537"/>
      <c r="UHH35" s="537"/>
      <c r="UHI35" s="537"/>
      <c r="UHJ35" s="537"/>
      <c r="UHK35" s="537"/>
      <c r="UHL35" s="537"/>
      <c r="UHM35" s="537"/>
      <c r="UHN35" s="537"/>
      <c r="UHO35" s="537"/>
      <c r="UHP35" s="537"/>
      <c r="UHQ35" s="537"/>
      <c r="UHR35" s="537"/>
      <c r="UHS35" s="537"/>
      <c r="UHT35" s="537"/>
      <c r="UHU35" s="537"/>
      <c r="UHV35" s="537"/>
      <c r="UHW35" s="537"/>
      <c r="UHX35" s="537"/>
      <c r="UHY35" s="537"/>
      <c r="UHZ35" s="537"/>
      <c r="UIA35" s="537"/>
      <c r="UIB35" s="537"/>
      <c r="UIC35" s="537"/>
      <c r="UID35" s="537"/>
      <c r="UIE35" s="537"/>
      <c r="UIF35" s="537"/>
      <c r="UIG35" s="537"/>
      <c r="UIH35" s="537"/>
      <c r="UII35" s="537"/>
      <c r="UIJ35" s="537"/>
      <c r="UIK35" s="537"/>
      <c r="UIL35" s="537"/>
      <c r="UIM35" s="537"/>
      <c r="UIN35" s="537"/>
      <c r="UIO35" s="537"/>
      <c r="UIP35" s="537"/>
      <c r="UIQ35" s="537"/>
      <c r="UIR35" s="537"/>
      <c r="UIS35" s="537"/>
      <c r="UIT35" s="537"/>
      <c r="UIU35" s="537"/>
      <c r="UIV35" s="537"/>
      <c r="UIW35" s="537"/>
      <c r="UIX35" s="537"/>
      <c r="UIY35" s="537"/>
      <c r="UIZ35" s="537"/>
      <c r="UJA35" s="537"/>
      <c r="UJB35" s="537"/>
      <c r="UJC35" s="537"/>
      <c r="UJD35" s="537"/>
      <c r="UJE35" s="537"/>
      <c r="UJF35" s="537"/>
      <c r="UJG35" s="537"/>
      <c r="UJH35" s="537"/>
      <c r="UJI35" s="537"/>
      <c r="UJJ35" s="537"/>
      <c r="UJK35" s="537"/>
      <c r="UJL35" s="537"/>
      <c r="UJM35" s="537"/>
      <c r="UJN35" s="537"/>
      <c r="UJO35" s="537"/>
      <c r="UJP35" s="537"/>
      <c r="UJQ35" s="537"/>
      <c r="UJR35" s="537"/>
      <c r="UJS35" s="537"/>
      <c r="UJT35" s="537"/>
      <c r="UJU35" s="537"/>
      <c r="UJV35" s="537"/>
      <c r="UJW35" s="537"/>
      <c r="UJX35" s="537"/>
      <c r="UJY35" s="537"/>
      <c r="UJZ35" s="537"/>
      <c r="UKA35" s="537"/>
      <c r="UKB35" s="537"/>
      <c r="UKC35" s="537"/>
      <c r="UKD35" s="537"/>
      <c r="UKE35" s="537"/>
      <c r="UKF35" s="537"/>
      <c r="UKG35" s="537"/>
      <c r="UKH35" s="537"/>
      <c r="UKI35" s="537"/>
      <c r="UKJ35" s="537"/>
      <c r="UKK35" s="537"/>
      <c r="UKL35" s="537"/>
      <c r="UKM35" s="537"/>
      <c r="UKN35" s="537"/>
      <c r="UKO35" s="537"/>
      <c r="UKP35" s="537"/>
      <c r="UKQ35" s="537"/>
      <c r="UKR35" s="537"/>
      <c r="UKS35" s="537"/>
      <c r="UKT35" s="537"/>
      <c r="UKU35" s="537"/>
      <c r="UKV35" s="537"/>
      <c r="UKW35" s="537"/>
      <c r="UKX35" s="537"/>
      <c r="UKY35" s="537"/>
      <c r="UKZ35" s="537"/>
      <c r="ULA35" s="537"/>
      <c r="ULB35" s="537"/>
      <c r="ULC35" s="537"/>
      <c r="ULD35" s="537"/>
      <c r="ULE35" s="537"/>
      <c r="ULF35" s="537"/>
      <c r="ULG35" s="537"/>
      <c r="ULH35" s="537"/>
      <c r="ULI35" s="537"/>
      <c r="ULJ35" s="537"/>
      <c r="ULK35" s="537"/>
      <c r="ULL35" s="537"/>
      <c r="ULM35" s="537"/>
      <c r="ULN35" s="537"/>
      <c r="ULO35" s="537"/>
      <c r="ULP35" s="537"/>
      <c r="ULQ35" s="537"/>
      <c r="ULR35" s="537"/>
      <c r="ULS35" s="537"/>
      <c r="ULT35" s="537"/>
      <c r="ULU35" s="537"/>
      <c r="ULV35" s="537"/>
      <c r="ULW35" s="537"/>
      <c r="ULX35" s="537"/>
      <c r="ULY35" s="537"/>
      <c r="ULZ35" s="537"/>
      <c r="UMA35" s="537"/>
      <c r="UMB35" s="537"/>
      <c r="UMC35" s="537"/>
      <c r="UMD35" s="537"/>
      <c r="UME35" s="537"/>
      <c r="UMF35" s="537"/>
      <c r="UMG35" s="537"/>
      <c r="UMH35" s="537"/>
      <c r="UMI35" s="537"/>
      <c r="UMJ35" s="537"/>
      <c r="UMK35" s="537"/>
      <c r="UML35" s="537"/>
      <c r="UMM35" s="537"/>
      <c r="UMN35" s="537"/>
      <c r="UMO35" s="537"/>
      <c r="UMP35" s="537"/>
      <c r="UMQ35" s="537"/>
      <c r="UMR35" s="537"/>
      <c r="UMS35" s="537"/>
      <c r="UMT35" s="537"/>
      <c r="UMU35" s="537"/>
      <c r="UMV35" s="537"/>
      <c r="UMW35" s="537"/>
      <c r="UMX35" s="537"/>
      <c r="UMY35" s="537"/>
      <c r="UMZ35" s="537"/>
      <c r="UNA35" s="537"/>
      <c r="UNB35" s="537"/>
      <c r="UNC35" s="537"/>
      <c r="UND35" s="537"/>
      <c r="UNE35" s="537"/>
      <c r="UNF35" s="537"/>
      <c r="UNG35" s="537"/>
      <c r="UNH35" s="537"/>
      <c r="UNI35" s="537"/>
      <c r="UNJ35" s="537"/>
      <c r="UNK35" s="537"/>
      <c r="UNL35" s="537"/>
      <c r="UNM35" s="537"/>
      <c r="UNN35" s="537"/>
      <c r="UNO35" s="537"/>
      <c r="UNP35" s="537"/>
      <c r="UNQ35" s="537"/>
      <c r="UNR35" s="537"/>
      <c r="UNS35" s="537"/>
      <c r="UNT35" s="537"/>
      <c r="UNU35" s="537"/>
      <c r="UNV35" s="537"/>
      <c r="UNW35" s="537"/>
      <c r="UNX35" s="537"/>
      <c r="UNY35" s="537"/>
      <c r="UNZ35" s="537"/>
      <c r="UOA35" s="537"/>
      <c r="UOB35" s="537"/>
      <c r="UOC35" s="537"/>
      <c r="UOD35" s="537"/>
      <c r="UOE35" s="537"/>
      <c r="UOF35" s="537"/>
      <c r="UOG35" s="537"/>
      <c r="UOH35" s="537"/>
      <c r="UOI35" s="537"/>
      <c r="UOJ35" s="537"/>
      <c r="UOK35" s="537"/>
      <c r="UOL35" s="537"/>
      <c r="UOM35" s="537"/>
      <c r="UON35" s="537"/>
      <c r="UOO35" s="537"/>
      <c r="UOP35" s="537"/>
      <c r="UOQ35" s="537"/>
      <c r="UOR35" s="537"/>
      <c r="UOS35" s="537"/>
      <c r="UOT35" s="537"/>
      <c r="UOU35" s="537"/>
      <c r="UOV35" s="537"/>
      <c r="UOW35" s="537"/>
      <c r="UOX35" s="537"/>
      <c r="UOY35" s="537"/>
      <c r="UOZ35" s="537"/>
      <c r="UPA35" s="537"/>
      <c r="UPB35" s="537"/>
      <c r="UPC35" s="537"/>
      <c r="UPD35" s="537"/>
      <c r="UPE35" s="537"/>
      <c r="UPF35" s="537"/>
      <c r="UPG35" s="537"/>
      <c r="UPH35" s="537"/>
      <c r="UPI35" s="537"/>
      <c r="UPJ35" s="537"/>
      <c r="UPK35" s="537"/>
      <c r="UPL35" s="537"/>
      <c r="UPM35" s="537"/>
      <c r="UPN35" s="537"/>
      <c r="UPO35" s="537"/>
      <c r="UPP35" s="537"/>
      <c r="UPQ35" s="537"/>
      <c r="UPR35" s="537"/>
      <c r="UPS35" s="537"/>
      <c r="UPT35" s="537"/>
      <c r="UPU35" s="537"/>
      <c r="UPV35" s="537"/>
      <c r="UPW35" s="537"/>
      <c r="UPX35" s="537"/>
      <c r="UPY35" s="537"/>
      <c r="UPZ35" s="537"/>
      <c r="UQA35" s="537"/>
      <c r="UQB35" s="537"/>
      <c r="UQC35" s="537"/>
      <c r="UQD35" s="537"/>
      <c r="UQE35" s="537"/>
      <c r="UQF35" s="537"/>
      <c r="UQG35" s="537"/>
      <c r="UQH35" s="537"/>
      <c r="UQI35" s="537"/>
      <c r="UQJ35" s="537"/>
      <c r="UQK35" s="537"/>
      <c r="UQL35" s="537"/>
      <c r="UQM35" s="537"/>
      <c r="UQN35" s="537"/>
      <c r="UQO35" s="537"/>
      <c r="UQP35" s="537"/>
      <c r="UQQ35" s="537"/>
      <c r="UQR35" s="537"/>
      <c r="UQS35" s="537"/>
      <c r="UQT35" s="537"/>
      <c r="UQU35" s="537"/>
      <c r="UQV35" s="537"/>
      <c r="UQW35" s="537"/>
      <c r="UQX35" s="537"/>
      <c r="UQY35" s="537"/>
      <c r="UQZ35" s="537"/>
      <c r="URA35" s="537"/>
      <c r="URB35" s="537"/>
      <c r="URC35" s="537"/>
      <c r="URD35" s="537"/>
      <c r="URE35" s="537"/>
      <c r="URF35" s="537"/>
      <c r="URG35" s="537"/>
      <c r="URH35" s="537"/>
      <c r="URI35" s="537"/>
      <c r="URJ35" s="537"/>
      <c r="URK35" s="537"/>
      <c r="URL35" s="537"/>
      <c r="URM35" s="537"/>
      <c r="URN35" s="537"/>
      <c r="URO35" s="537"/>
      <c r="URP35" s="537"/>
      <c r="URQ35" s="537"/>
      <c r="URR35" s="537"/>
      <c r="URS35" s="537"/>
      <c r="URT35" s="537"/>
      <c r="URU35" s="537"/>
      <c r="URV35" s="537"/>
      <c r="URW35" s="537"/>
      <c r="URX35" s="537"/>
      <c r="URY35" s="537"/>
      <c r="URZ35" s="537"/>
      <c r="USA35" s="537"/>
      <c r="USB35" s="537"/>
      <c r="USC35" s="537"/>
      <c r="USD35" s="537"/>
      <c r="USE35" s="537"/>
      <c r="USF35" s="537"/>
      <c r="USG35" s="537"/>
      <c r="USH35" s="537"/>
      <c r="USI35" s="537"/>
      <c r="USJ35" s="537"/>
      <c r="USK35" s="537"/>
      <c r="USL35" s="537"/>
      <c r="USM35" s="537"/>
      <c r="USN35" s="537"/>
      <c r="USO35" s="537"/>
      <c r="USP35" s="537"/>
      <c r="USQ35" s="537"/>
      <c r="USR35" s="537"/>
      <c r="USS35" s="537"/>
      <c r="UST35" s="537"/>
      <c r="USU35" s="537"/>
      <c r="USV35" s="537"/>
      <c r="USW35" s="537"/>
      <c r="USX35" s="537"/>
      <c r="USY35" s="537"/>
      <c r="USZ35" s="537"/>
      <c r="UTA35" s="537"/>
      <c r="UTB35" s="537"/>
      <c r="UTC35" s="537"/>
      <c r="UTD35" s="537"/>
      <c r="UTE35" s="537"/>
      <c r="UTF35" s="537"/>
      <c r="UTG35" s="537"/>
      <c r="UTH35" s="537"/>
      <c r="UTI35" s="537"/>
      <c r="UTJ35" s="537"/>
      <c r="UTK35" s="537"/>
      <c r="UTL35" s="537"/>
      <c r="UTM35" s="537"/>
      <c r="UTN35" s="537"/>
      <c r="UTO35" s="537"/>
      <c r="UTP35" s="537"/>
      <c r="UTQ35" s="537"/>
      <c r="UTR35" s="537"/>
      <c r="UTS35" s="537"/>
      <c r="UTT35" s="537"/>
      <c r="UTU35" s="537"/>
      <c r="UTV35" s="537"/>
      <c r="UTW35" s="537"/>
      <c r="UTX35" s="537"/>
      <c r="UTY35" s="537"/>
      <c r="UTZ35" s="537"/>
      <c r="UUA35" s="537"/>
      <c r="UUB35" s="537"/>
      <c r="UUC35" s="537"/>
      <c r="UUD35" s="537"/>
      <c r="UUE35" s="537"/>
      <c r="UUF35" s="537"/>
      <c r="UUG35" s="537"/>
      <c r="UUH35" s="537"/>
      <c r="UUI35" s="537"/>
      <c r="UUJ35" s="537"/>
      <c r="UUK35" s="537"/>
      <c r="UUL35" s="537"/>
      <c r="UUM35" s="537"/>
      <c r="UUN35" s="537"/>
      <c r="UUO35" s="537"/>
      <c r="UUP35" s="537"/>
      <c r="UUQ35" s="537"/>
      <c r="UUR35" s="537"/>
      <c r="UUS35" s="537"/>
      <c r="UUT35" s="537"/>
      <c r="UUU35" s="537"/>
      <c r="UUV35" s="537"/>
      <c r="UUW35" s="537"/>
      <c r="UUX35" s="537"/>
      <c r="UUY35" s="537"/>
      <c r="UUZ35" s="537"/>
      <c r="UVA35" s="537"/>
      <c r="UVB35" s="537"/>
      <c r="UVC35" s="537"/>
      <c r="UVD35" s="537"/>
      <c r="UVE35" s="537"/>
      <c r="UVF35" s="537"/>
      <c r="UVG35" s="537"/>
      <c r="UVH35" s="537"/>
      <c r="UVI35" s="537"/>
      <c r="UVJ35" s="537"/>
      <c r="UVK35" s="537"/>
      <c r="UVL35" s="537"/>
      <c r="UVM35" s="537"/>
      <c r="UVN35" s="537"/>
      <c r="UVO35" s="537"/>
      <c r="UVP35" s="537"/>
      <c r="UVQ35" s="537"/>
      <c r="UVR35" s="537"/>
      <c r="UVS35" s="537"/>
      <c r="UVT35" s="537"/>
      <c r="UVU35" s="537"/>
      <c r="UVV35" s="537"/>
      <c r="UVW35" s="537"/>
      <c r="UVX35" s="537"/>
      <c r="UVY35" s="537"/>
      <c r="UVZ35" s="537"/>
      <c r="UWA35" s="537"/>
      <c r="UWB35" s="537"/>
      <c r="UWC35" s="537"/>
      <c r="UWD35" s="537"/>
      <c r="UWE35" s="537"/>
      <c r="UWF35" s="537"/>
      <c r="UWG35" s="537"/>
      <c r="UWH35" s="537"/>
      <c r="UWI35" s="537"/>
      <c r="UWJ35" s="537"/>
      <c r="UWK35" s="537"/>
      <c r="UWL35" s="537"/>
      <c r="UWM35" s="537"/>
      <c r="UWN35" s="537"/>
      <c r="UWO35" s="537"/>
      <c r="UWP35" s="537"/>
      <c r="UWQ35" s="537"/>
      <c r="UWR35" s="537"/>
      <c r="UWS35" s="537"/>
      <c r="UWT35" s="537"/>
      <c r="UWU35" s="537"/>
      <c r="UWV35" s="537"/>
      <c r="UWW35" s="537"/>
      <c r="UWX35" s="537"/>
      <c r="UWY35" s="537"/>
      <c r="UWZ35" s="537"/>
      <c r="UXA35" s="537"/>
      <c r="UXB35" s="537"/>
      <c r="UXC35" s="537"/>
      <c r="UXD35" s="537"/>
      <c r="UXE35" s="537"/>
      <c r="UXF35" s="537"/>
      <c r="UXG35" s="537"/>
      <c r="UXH35" s="537"/>
      <c r="UXI35" s="537"/>
      <c r="UXJ35" s="537"/>
      <c r="UXK35" s="537"/>
      <c r="UXL35" s="537"/>
      <c r="UXM35" s="537"/>
      <c r="UXN35" s="537"/>
      <c r="UXO35" s="537"/>
      <c r="UXP35" s="537"/>
      <c r="UXQ35" s="537"/>
      <c r="UXR35" s="537"/>
      <c r="UXS35" s="537"/>
      <c r="UXT35" s="537"/>
      <c r="UXU35" s="537"/>
      <c r="UXV35" s="537"/>
      <c r="UXW35" s="537"/>
      <c r="UXX35" s="537"/>
      <c r="UXY35" s="537"/>
      <c r="UXZ35" s="537"/>
      <c r="UYA35" s="537"/>
      <c r="UYB35" s="537"/>
      <c r="UYC35" s="537"/>
      <c r="UYD35" s="537"/>
      <c r="UYE35" s="537"/>
      <c r="UYF35" s="537"/>
      <c r="UYG35" s="537"/>
      <c r="UYH35" s="537"/>
      <c r="UYI35" s="537"/>
      <c r="UYJ35" s="537"/>
      <c r="UYK35" s="537"/>
      <c r="UYL35" s="537"/>
      <c r="UYM35" s="537"/>
      <c r="UYN35" s="537"/>
      <c r="UYO35" s="537"/>
      <c r="UYP35" s="537"/>
      <c r="UYQ35" s="537"/>
      <c r="UYR35" s="537"/>
      <c r="UYS35" s="537"/>
      <c r="UYT35" s="537"/>
      <c r="UYU35" s="537"/>
      <c r="UYV35" s="537"/>
      <c r="UYW35" s="537"/>
      <c r="UYX35" s="537"/>
      <c r="UYY35" s="537"/>
      <c r="UYZ35" s="537"/>
      <c r="UZA35" s="537"/>
      <c r="UZB35" s="537"/>
      <c r="UZC35" s="537"/>
      <c r="UZD35" s="537"/>
      <c r="UZE35" s="537"/>
      <c r="UZF35" s="537"/>
      <c r="UZG35" s="537"/>
      <c r="UZH35" s="537"/>
      <c r="UZI35" s="537"/>
      <c r="UZJ35" s="537"/>
      <c r="UZK35" s="537"/>
      <c r="UZL35" s="537"/>
      <c r="UZM35" s="537"/>
      <c r="UZN35" s="537"/>
      <c r="UZO35" s="537"/>
      <c r="UZP35" s="537"/>
      <c r="UZQ35" s="537"/>
      <c r="UZR35" s="537"/>
      <c r="UZS35" s="537"/>
      <c r="UZT35" s="537"/>
      <c r="UZU35" s="537"/>
      <c r="UZV35" s="537"/>
      <c r="UZW35" s="537"/>
      <c r="UZX35" s="537"/>
      <c r="UZY35" s="537"/>
      <c r="UZZ35" s="537"/>
      <c r="VAA35" s="537"/>
      <c r="VAB35" s="537"/>
      <c r="VAC35" s="537"/>
      <c r="VAD35" s="537"/>
      <c r="VAE35" s="537"/>
      <c r="VAF35" s="537"/>
      <c r="VAG35" s="537"/>
      <c r="VAH35" s="537"/>
      <c r="VAI35" s="537"/>
      <c r="VAJ35" s="537"/>
      <c r="VAK35" s="537"/>
      <c r="VAL35" s="537"/>
      <c r="VAM35" s="537"/>
      <c r="VAN35" s="537"/>
      <c r="VAO35" s="537"/>
      <c r="VAP35" s="537"/>
      <c r="VAQ35" s="537"/>
      <c r="VAR35" s="537"/>
      <c r="VAS35" s="537"/>
      <c r="VAT35" s="537"/>
      <c r="VAU35" s="537"/>
      <c r="VAV35" s="537"/>
      <c r="VAW35" s="537"/>
      <c r="VAX35" s="537"/>
      <c r="VAY35" s="537"/>
      <c r="VAZ35" s="537"/>
      <c r="VBA35" s="537"/>
      <c r="VBB35" s="537"/>
      <c r="VBC35" s="537"/>
      <c r="VBD35" s="537"/>
      <c r="VBE35" s="537"/>
      <c r="VBF35" s="537"/>
      <c r="VBG35" s="537"/>
      <c r="VBH35" s="537"/>
      <c r="VBI35" s="537"/>
      <c r="VBJ35" s="537"/>
      <c r="VBK35" s="537"/>
      <c r="VBL35" s="537"/>
      <c r="VBM35" s="537"/>
      <c r="VBN35" s="537"/>
      <c r="VBO35" s="537"/>
      <c r="VBP35" s="537"/>
      <c r="VBQ35" s="537"/>
      <c r="VBR35" s="537"/>
      <c r="VBS35" s="537"/>
      <c r="VBT35" s="537"/>
      <c r="VBU35" s="537"/>
      <c r="VBV35" s="537"/>
      <c r="VBW35" s="537"/>
      <c r="VBX35" s="537"/>
      <c r="VBY35" s="537"/>
      <c r="VBZ35" s="537"/>
      <c r="VCA35" s="537"/>
      <c r="VCB35" s="537"/>
      <c r="VCC35" s="537"/>
      <c r="VCD35" s="537"/>
      <c r="VCE35" s="537"/>
      <c r="VCF35" s="537"/>
      <c r="VCG35" s="537"/>
      <c r="VCH35" s="537"/>
      <c r="VCI35" s="537"/>
      <c r="VCJ35" s="537"/>
      <c r="VCK35" s="537"/>
      <c r="VCL35" s="537"/>
      <c r="VCM35" s="537"/>
      <c r="VCN35" s="537"/>
      <c r="VCO35" s="537"/>
      <c r="VCP35" s="537"/>
      <c r="VCQ35" s="537"/>
      <c r="VCR35" s="537"/>
      <c r="VCS35" s="537"/>
      <c r="VCT35" s="537"/>
      <c r="VCU35" s="537"/>
      <c r="VCV35" s="537"/>
      <c r="VCW35" s="537"/>
      <c r="VCX35" s="537"/>
      <c r="VCY35" s="537"/>
      <c r="VCZ35" s="537"/>
      <c r="VDA35" s="537"/>
      <c r="VDB35" s="537"/>
      <c r="VDC35" s="537"/>
      <c r="VDD35" s="537"/>
      <c r="VDE35" s="537"/>
      <c r="VDF35" s="537"/>
      <c r="VDG35" s="537"/>
      <c r="VDH35" s="537"/>
      <c r="VDI35" s="537"/>
      <c r="VDJ35" s="537"/>
      <c r="VDK35" s="537"/>
      <c r="VDL35" s="537"/>
      <c r="VDM35" s="537"/>
      <c r="VDN35" s="537"/>
      <c r="VDO35" s="537"/>
      <c r="VDP35" s="537"/>
      <c r="VDQ35" s="537"/>
      <c r="VDR35" s="537"/>
      <c r="VDS35" s="537"/>
      <c r="VDT35" s="537"/>
      <c r="VDU35" s="537"/>
      <c r="VDV35" s="537"/>
      <c r="VDW35" s="537"/>
      <c r="VDX35" s="537"/>
      <c r="VDY35" s="537"/>
      <c r="VDZ35" s="537"/>
      <c r="VEA35" s="537"/>
      <c r="VEB35" s="537"/>
      <c r="VEC35" s="537"/>
      <c r="VED35" s="537"/>
      <c r="VEE35" s="537"/>
      <c r="VEF35" s="537"/>
      <c r="VEG35" s="537"/>
      <c r="VEH35" s="537"/>
      <c r="VEI35" s="537"/>
      <c r="VEJ35" s="537"/>
      <c r="VEK35" s="537"/>
      <c r="VEL35" s="537"/>
      <c r="VEM35" s="537"/>
      <c r="VEN35" s="537"/>
      <c r="VEO35" s="537"/>
      <c r="VEP35" s="537"/>
      <c r="VEQ35" s="537"/>
      <c r="VER35" s="537"/>
      <c r="VES35" s="537"/>
      <c r="VET35" s="537"/>
      <c r="VEU35" s="537"/>
      <c r="VEV35" s="537"/>
      <c r="VEW35" s="537"/>
      <c r="VEX35" s="537"/>
      <c r="VEY35" s="537"/>
      <c r="VEZ35" s="537"/>
      <c r="VFA35" s="537"/>
      <c r="VFB35" s="537"/>
      <c r="VFC35" s="537"/>
      <c r="VFD35" s="537"/>
      <c r="VFE35" s="537"/>
      <c r="VFF35" s="537"/>
      <c r="VFG35" s="537"/>
      <c r="VFH35" s="537"/>
      <c r="VFI35" s="537"/>
      <c r="VFJ35" s="537"/>
      <c r="VFK35" s="537"/>
      <c r="VFL35" s="537"/>
      <c r="VFM35" s="537"/>
      <c r="VFN35" s="537"/>
      <c r="VFO35" s="537"/>
      <c r="VFP35" s="537"/>
      <c r="VFQ35" s="537"/>
      <c r="VFR35" s="537"/>
      <c r="VFS35" s="537"/>
      <c r="VFT35" s="537"/>
      <c r="VFU35" s="537"/>
      <c r="VFV35" s="537"/>
      <c r="VFW35" s="537"/>
      <c r="VFX35" s="537"/>
      <c r="VFY35" s="537"/>
      <c r="VFZ35" s="537"/>
      <c r="VGA35" s="537"/>
      <c r="VGB35" s="537"/>
      <c r="VGC35" s="537"/>
      <c r="VGD35" s="537"/>
      <c r="VGE35" s="537"/>
      <c r="VGF35" s="537"/>
      <c r="VGG35" s="537"/>
      <c r="VGH35" s="537"/>
      <c r="VGI35" s="537"/>
      <c r="VGJ35" s="537"/>
      <c r="VGK35" s="537"/>
      <c r="VGL35" s="537"/>
      <c r="VGM35" s="537"/>
      <c r="VGN35" s="537"/>
      <c r="VGO35" s="537"/>
      <c r="VGP35" s="537"/>
      <c r="VGQ35" s="537"/>
      <c r="VGR35" s="537"/>
      <c r="VGS35" s="537"/>
      <c r="VGT35" s="537"/>
      <c r="VGU35" s="537"/>
      <c r="VGV35" s="537"/>
      <c r="VGW35" s="537"/>
      <c r="VGX35" s="537"/>
      <c r="VGY35" s="537"/>
      <c r="VGZ35" s="537"/>
      <c r="VHA35" s="537"/>
      <c r="VHB35" s="537"/>
      <c r="VHC35" s="537"/>
      <c r="VHD35" s="537"/>
      <c r="VHE35" s="537"/>
      <c r="VHF35" s="537"/>
      <c r="VHG35" s="537"/>
      <c r="VHH35" s="537"/>
      <c r="VHI35" s="537"/>
      <c r="VHJ35" s="537"/>
      <c r="VHK35" s="537"/>
      <c r="VHL35" s="537"/>
      <c r="VHM35" s="537"/>
      <c r="VHN35" s="537"/>
      <c r="VHO35" s="537"/>
      <c r="VHP35" s="537"/>
      <c r="VHQ35" s="537"/>
      <c r="VHR35" s="537"/>
      <c r="VHS35" s="537"/>
      <c r="VHT35" s="537"/>
      <c r="VHU35" s="537"/>
      <c r="VHV35" s="537"/>
      <c r="VHW35" s="537"/>
      <c r="VHX35" s="537"/>
      <c r="VHY35" s="537"/>
      <c r="VHZ35" s="537"/>
      <c r="VIA35" s="537"/>
      <c r="VIB35" s="537"/>
      <c r="VIC35" s="537"/>
      <c r="VID35" s="537"/>
      <c r="VIE35" s="537"/>
      <c r="VIF35" s="537"/>
      <c r="VIG35" s="537"/>
      <c r="VIH35" s="537"/>
      <c r="VII35" s="537"/>
      <c r="VIJ35" s="537"/>
      <c r="VIK35" s="537"/>
      <c r="VIL35" s="537"/>
      <c r="VIM35" s="537"/>
      <c r="VIN35" s="537"/>
      <c r="VIO35" s="537"/>
      <c r="VIP35" s="537"/>
      <c r="VIQ35" s="537"/>
      <c r="VIR35" s="537"/>
      <c r="VIS35" s="537"/>
      <c r="VIT35" s="537"/>
      <c r="VIU35" s="537"/>
      <c r="VIV35" s="537"/>
      <c r="VIW35" s="537"/>
      <c r="VIX35" s="537"/>
      <c r="VIY35" s="537"/>
      <c r="VIZ35" s="537"/>
      <c r="VJA35" s="537"/>
      <c r="VJB35" s="537"/>
      <c r="VJC35" s="537"/>
      <c r="VJD35" s="537"/>
      <c r="VJE35" s="537"/>
      <c r="VJF35" s="537"/>
      <c r="VJG35" s="537"/>
      <c r="VJH35" s="537"/>
      <c r="VJI35" s="537"/>
      <c r="VJJ35" s="537"/>
      <c r="VJK35" s="537"/>
      <c r="VJL35" s="537"/>
      <c r="VJM35" s="537"/>
      <c r="VJN35" s="537"/>
      <c r="VJO35" s="537"/>
      <c r="VJP35" s="537"/>
      <c r="VJQ35" s="537"/>
      <c r="VJR35" s="537"/>
      <c r="VJS35" s="537"/>
      <c r="VJT35" s="537"/>
      <c r="VJU35" s="537"/>
      <c r="VJV35" s="537"/>
      <c r="VJW35" s="537"/>
      <c r="VJX35" s="537"/>
      <c r="VJY35" s="537"/>
      <c r="VJZ35" s="537"/>
      <c r="VKA35" s="537"/>
      <c r="VKB35" s="537"/>
      <c r="VKC35" s="537"/>
      <c r="VKD35" s="537"/>
      <c r="VKE35" s="537"/>
      <c r="VKF35" s="537"/>
      <c r="VKG35" s="537"/>
      <c r="VKH35" s="537"/>
      <c r="VKI35" s="537"/>
      <c r="VKJ35" s="537"/>
      <c r="VKK35" s="537"/>
      <c r="VKL35" s="537"/>
      <c r="VKM35" s="537"/>
      <c r="VKN35" s="537"/>
      <c r="VKO35" s="537"/>
      <c r="VKP35" s="537"/>
      <c r="VKQ35" s="537"/>
      <c r="VKR35" s="537"/>
      <c r="VKS35" s="537"/>
      <c r="VKT35" s="537"/>
      <c r="VKU35" s="537"/>
      <c r="VKV35" s="537"/>
      <c r="VKW35" s="537"/>
      <c r="VKX35" s="537"/>
      <c r="VKY35" s="537"/>
      <c r="VKZ35" s="537"/>
      <c r="VLA35" s="537"/>
      <c r="VLB35" s="537"/>
      <c r="VLC35" s="537"/>
      <c r="VLD35" s="537"/>
      <c r="VLE35" s="537"/>
      <c r="VLF35" s="537"/>
      <c r="VLG35" s="537"/>
      <c r="VLH35" s="537"/>
      <c r="VLI35" s="537"/>
      <c r="VLJ35" s="537"/>
      <c r="VLK35" s="537"/>
      <c r="VLL35" s="537"/>
      <c r="VLM35" s="537"/>
      <c r="VLN35" s="537"/>
      <c r="VLO35" s="537"/>
      <c r="VLP35" s="537"/>
      <c r="VLQ35" s="537"/>
      <c r="VLR35" s="537"/>
      <c r="VLS35" s="537"/>
      <c r="VLT35" s="537"/>
      <c r="VLU35" s="537"/>
      <c r="VLV35" s="537"/>
      <c r="VLW35" s="537"/>
      <c r="VLX35" s="537"/>
      <c r="VLY35" s="537"/>
      <c r="VLZ35" s="537"/>
      <c r="VMA35" s="537"/>
      <c r="VMB35" s="537"/>
      <c r="VMC35" s="537"/>
      <c r="VMD35" s="537"/>
      <c r="VME35" s="537"/>
      <c r="VMF35" s="537"/>
      <c r="VMG35" s="537"/>
      <c r="VMH35" s="537"/>
      <c r="VMI35" s="537"/>
      <c r="VMJ35" s="537"/>
      <c r="VMK35" s="537"/>
      <c r="VML35" s="537"/>
      <c r="VMM35" s="537"/>
      <c r="VMN35" s="537"/>
      <c r="VMO35" s="537"/>
      <c r="VMP35" s="537"/>
      <c r="VMQ35" s="537"/>
      <c r="VMR35" s="537"/>
      <c r="VMS35" s="537"/>
      <c r="VMT35" s="537"/>
      <c r="VMU35" s="537"/>
      <c r="VMV35" s="537"/>
      <c r="VMW35" s="537"/>
      <c r="VMX35" s="537"/>
      <c r="VMY35" s="537"/>
      <c r="VMZ35" s="537"/>
      <c r="VNA35" s="537"/>
      <c r="VNB35" s="537"/>
      <c r="VNC35" s="537"/>
      <c r="VND35" s="537"/>
      <c r="VNE35" s="537"/>
      <c r="VNF35" s="537"/>
      <c r="VNG35" s="537"/>
      <c r="VNH35" s="537"/>
      <c r="VNI35" s="537"/>
      <c r="VNJ35" s="537"/>
      <c r="VNK35" s="537"/>
      <c r="VNL35" s="537"/>
      <c r="VNM35" s="537"/>
      <c r="VNN35" s="537"/>
      <c r="VNO35" s="537"/>
      <c r="VNP35" s="537"/>
      <c r="VNQ35" s="537"/>
      <c r="VNR35" s="537"/>
      <c r="VNS35" s="537"/>
      <c r="VNT35" s="537"/>
      <c r="VNU35" s="537"/>
      <c r="VNV35" s="537"/>
      <c r="VNW35" s="537"/>
      <c r="VNX35" s="537"/>
      <c r="VNY35" s="537"/>
      <c r="VNZ35" s="537"/>
      <c r="VOA35" s="537"/>
      <c r="VOB35" s="537"/>
      <c r="VOC35" s="537"/>
      <c r="VOD35" s="537"/>
      <c r="VOE35" s="537"/>
      <c r="VOF35" s="537"/>
      <c r="VOG35" s="537"/>
      <c r="VOH35" s="537"/>
      <c r="VOI35" s="537"/>
      <c r="VOJ35" s="537"/>
      <c r="VOK35" s="537"/>
      <c r="VOL35" s="537"/>
      <c r="VOM35" s="537"/>
      <c r="VON35" s="537"/>
      <c r="VOO35" s="537"/>
      <c r="VOP35" s="537"/>
      <c r="VOQ35" s="537"/>
      <c r="VOR35" s="537"/>
      <c r="VOS35" s="537"/>
      <c r="VOT35" s="537"/>
      <c r="VOU35" s="537"/>
      <c r="VOV35" s="537"/>
      <c r="VOW35" s="537"/>
      <c r="VOX35" s="537"/>
      <c r="VOY35" s="537"/>
      <c r="VOZ35" s="537"/>
      <c r="VPA35" s="537"/>
      <c r="VPB35" s="537"/>
      <c r="VPC35" s="537"/>
      <c r="VPD35" s="537"/>
      <c r="VPE35" s="537"/>
      <c r="VPF35" s="537"/>
      <c r="VPG35" s="537"/>
      <c r="VPH35" s="537"/>
      <c r="VPI35" s="537"/>
      <c r="VPJ35" s="537"/>
      <c r="VPK35" s="537"/>
      <c r="VPL35" s="537"/>
      <c r="VPM35" s="537"/>
      <c r="VPN35" s="537"/>
      <c r="VPO35" s="537"/>
      <c r="VPP35" s="537"/>
      <c r="VPQ35" s="537"/>
      <c r="VPR35" s="537"/>
      <c r="VPS35" s="537"/>
      <c r="VPT35" s="537"/>
      <c r="VPU35" s="537"/>
      <c r="VPV35" s="537"/>
      <c r="VPW35" s="537"/>
      <c r="VPX35" s="537"/>
      <c r="VPY35" s="537"/>
      <c r="VPZ35" s="537"/>
      <c r="VQA35" s="537"/>
      <c r="VQB35" s="537"/>
      <c r="VQC35" s="537"/>
      <c r="VQD35" s="537"/>
      <c r="VQE35" s="537"/>
      <c r="VQF35" s="537"/>
      <c r="VQG35" s="537"/>
      <c r="VQH35" s="537"/>
      <c r="VQI35" s="537"/>
      <c r="VQJ35" s="537"/>
      <c r="VQK35" s="537"/>
      <c r="VQL35" s="537"/>
      <c r="VQM35" s="537"/>
      <c r="VQN35" s="537"/>
      <c r="VQO35" s="537"/>
      <c r="VQP35" s="537"/>
      <c r="VQQ35" s="537"/>
      <c r="VQR35" s="537"/>
      <c r="VQS35" s="537"/>
      <c r="VQT35" s="537"/>
      <c r="VQU35" s="537"/>
      <c r="VQV35" s="537"/>
      <c r="VQW35" s="537"/>
      <c r="VQX35" s="537"/>
      <c r="VQY35" s="537"/>
      <c r="VQZ35" s="537"/>
      <c r="VRA35" s="537"/>
      <c r="VRB35" s="537"/>
      <c r="VRC35" s="537"/>
      <c r="VRD35" s="537"/>
      <c r="VRE35" s="537"/>
      <c r="VRF35" s="537"/>
      <c r="VRG35" s="537"/>
      <c r="VRH35" s="537"/>
      <c r="VRI35" s="537"/>
      <c r="VRJ35" s="537"/>
      <c r="VRK35" s="537"/>
      <c r="VRL35" s="537"/>
      <c r="VRM35" s="537"/>
      <c r="VRN35" s="537"/>
      <c r="VRO35" s="537"/>
      <c r="VRP35" s="537"/>
      <c r="VRQ35" s="537"/>
      <c r="VRR35" s="537"/>
      <c r="VRS35" s="537"/>
      <c r="VRT35" s="537"/>
      <c r="VRU35" s="537"/>
      <c r="VRV35" s="537"/>
      <c r="VRW35" s="537"/>
      <c r="VRX35" s="537"/>
      <c r="VRY35" s="537"/>
      <c r="VRZ35" s="537"/>
      <c r="VSA35" s="537"/>
      <c r="VSB35" s="537"/>
      <c r="VSC35" s="537"/>
      <c r="VSD35" s="537"/>
      <c r="VSE35" s="537"/>
      <c r="VSF35" s="537"/>
      <c r="VSG35" s="537"/>
      <c r="VSH35" s="537"/>
      <c r="VSI35" s="537"/>
      <c r="VSJ35" s="537"/>
      <c r="VSK35" s="537"/>
      <c r="VSL35" s="537"/>
      <c r="VSM35" s="537"/>
      <c r="VSN35" s="537"/>
      <c r="VSO35" s="537"/>
      <c r="VSP35" s="537"/>
      <c r="VSQ35" s="537"/>
      <c r="VSR35" s="537"/>
      <c r="VSS35" s="537"/>
      <c r="VST35" s="537"/>
      <c r="VSU35" s="537"/>
      <c r="VSV35" s="537"/>
      <c r="VSW35" s="537"/>
      <c r="VSX35" s="537"/>
      <c r="VSY35" s="537"/>
      <c r="VSZ35" s="537"/>
      <c r="VTA35" s="537"/>
      <c r="VTB35" s="537"/>
      <c r="VTC35" s="537"/>
      <c r="VTD35" s="537"/>
      <c r="VTE35" s="537"/>
      <c r="VTF35" s="537"/>
      <c r="VTG35" s="537"/>
      <c r="VTH35" s="537"/>
      <c r="VTI35" s="537"/>
      <c r="VTJ35" s="537"/>
      <c r="VTK35" s="537"/>
      <c r="VTL35" s="537"/>
      <c r="VTM35" s="537"/>
      <c r="VTN35" s="537"/>
      <c r="VTO35" s="537"/>
      <c r="VTP35" s="537"/>
      <c r="VTQ35" s="537"/>
      <c r="VTR35" s="537"/>
      <c r="VTS35" s="537"/>
      <c r="VTT35" s="537"/>
      <c r="VTU35" s="537"/>
      <c r="VTV35" s="537"/>
      <c r="VTW35" s="537"/>
      <c r="VTX35" s="537"/>
      <c r="VTY35" s="537"/>
      <c r="VTZ35" s="537"/>
      <c r="VUA35" s="537"/>
      <c r="VUB35" s="537"/>
      <c r="VUC35" s="537"/>
      <c r="VUD35" s="537"/>
      <c r="VUE35" s="537"/>
      <c r="VUF35" s="537"/>
      <c r="VUG35" s="537"/>
      <c r="VUH35" s="537"/>
      <c r="VUI35" s="537"/>
      <c r="VUJ35" s="537"/>
      <c r="VUK35" s="537"/>
      <c r="VUL35" s="537"/>
      <c r="VUM35" s="537"/>
      <c r="VUN35" s="537"/>
      <c r="VUO35" s="537"/>
      <c r="VUP35" s="537"/>
      <c r="VUQ35" s="537"/>
      <c r="VUR35" s="537"/>
      <c r="VUS35" s="537"/>
      <c r="VUT35" s="537"/>
      <c r="VUU35" s="537"/>
      <c r="VUV35" s="537"/>
      <c r="VUW35" s="537"/>
      <c r="VUX35" s="537"/>
      <c r="VUY35" s="537"/>
      <c r="VUZ35" s="537"/>
      <c r="VVA35" s="537"/>
      <c r="VVB35" s="537"/>
      <c r="VVC35" s="537"/>
      <c r="VVD35" s="537"/>
      <c r="VVE35" s="537"/>
      <c r="VVF35" s="537"/>
      <c r="VVG35" s="537"/>
      <c r="VVH35" s="537"/>
      <c r="VVI35" s="537"/>
      <c r="VVJ35" s="537"/>
      <c r="VVK35" s="537"/>
      <c r="VVL35" s="537"/>
      <c r="VVM35" s="537"/>
      <c r="VVN35" s="537"/>
      <c r="VVO35" s="537"/>
      <c r="VVP35" s="537"/>
      <c r="VVQ35" s="537"/>
      <c r="VVR35" s="537"/>
      <c r="VVS35" s="537"/>
      <c r="VVT35" s="537"/>
      <c r="VVU35" s="537"/>
      <c r="VVV35" s="537"/>
      <c r="VVW35" s="537"/>
      <c r="VVX35" s="537"/>
      <c r="VVY35" s="537"/>
      <c r="VVZ35" s="537"/>
      <c r="VWA35" s="537"/>
      <c r="VWB35" s="537"/>
      <c r="VWC35" s="537"/>
      <c r="VWD35" s="537"/>
      <c r="VWE35" s="537"/>
      <c r="VWF35" s="537"/>
      <c r="VWG35" s="537"/>
      <c r="VWH35" s="537"/>
      <c r="VWI35" s="537"/>
      <c r="VWJ35" s="537"/>
      <c r="VWK35" s="537"/>
      <c r="VWL35" s="537"/>
      <c r="VWM35" s="537"/>
      <c r="VWN35" s="537"/>
      <c r="VWO35" s="537"/>
      <c r="VWP35" s="537"/>
      <c r="VWQ35" s="537"/>
      <c r="VWR35" s="537"/>
      <c r="VWS35" s="537"/>
      <c r="VWT35" s="537"/>
      <c r="VWU35" s="537"/>
      <c r="VWV35" s="537"/>
      <c r="VWW35" s="537"/>
      <c r="VWX35" s="537"/>
      <c r="VWY35" s="537"/>
      <c r="VWZ35" s="537"/>
      <c r="VXA35" s="537"/>
      <c r="VXB35" s="537"/>
      <c r="VXC35" s="537"/>
      <c r="VXD35" s="537"/>
      <c r="VXE35" s="537"/>
      <c r="VXF35" s="537"/>
      <c r="VXG35" s="537"/>
      <c r="VXH35" s="537"/>
      <c r="VXI35" s="537"/>
      <c r="VXJ35" s="537"/>
      <c r="VXK35" s="537"/>
      <c r="VXL35" s="537"/>
      <c r="VXM35" s="537"/>
      <c r="VXN35" s="537"/>
      <c r="VXO35" s="537"/>
      <c r="VXP35" s="537"/>
      <c r="VXQ35" s="537"/>
      <c r="VXR35" s="537"/>
      <c r="VXS35" s="537"/>
      <c r="VXT35" s="537"/>
      <c r="VXU35" s="537"/>
      <c r="VXV35" s="537"/>
      <c r="VXW35" s="537"/>
      <c r="VXX35" s="537"/>
      <c r="VXY35" s="537"/>
      <c r="VXZ35" s="537"/>
      <c r="VYA35" s="537"/>
      <c r="VYB35" s="537"/>
      <c r="VYC35" s="537"/>
      <c r="VYD35" s="537"/>
      <c r="VYE35" s="537"/>
      <c r="VYF35" s="537"/>
      <c r="VYG35" s="537"/>
      <c r="VYH35" s="537"/>
      <c r="VYI35" s="537"/>
      <c r="VYJ35" s="537"/>
      <c r="VYK35" s="537"/>
      <c r="VYL35" s="537"/>
      <c r="VYM35" s="537"/>
      <c r="VYN35" s="537"/>
      <c r="VYO35" s="537"/>
      <c r="VYP35" s="537"/>
      <c r="VYQ35" s="537"/>
      <c r="VYR35" s="537"/>
      <c r="VYS35" s="537"/>
      <c r="VYT35" s="537"/>
      <c r="VYU35" s="537"/>
      <c r="VYV35" s="537"/>
      <c r="VYW35" s="537"/>
      <c r="VYX35" s="537"/>
      <c r="VYY35" s="537"/>
      <c r="VYZ35" s="537"/>
      <c r="VZA35" s="537"/>
      <c r="VZB35" s="537"/>
      <c r="VZC35" s="537"/>
      <c r="VZD35" s="537"/>
      <c r="VZE35" s="537"/>
      <c r="VZF35" s="537"/>
      <c r="VZG35" s="537"/>
      <c r="VZH35" s="537"/>
      <c r="VZI35" s="537"/>
      <c r="VZJ35" s="537"/>
      <c r="VZK35" s="537"/>
      <c r="VZL35" s="537"/>
      <c r="VZM35" s="537"/>
      <c r="VZN35" s="537"/>
      <c r="VZO35" s="537"/>
      <c r="VZP35" s="537"/>
      <c r="VZQ35" s="537"/>
      <c r="VZR35" s="537"/>
      <c r="VZS35" s="537"/>
      <c r="VZT35" s="537"/>
      <c r="VZU35" s="537"/>
      <c r="VZV35" s="537"/>
      <c r="VZW35" s="537"/>
      <c r="VZX35" s="537"/>
      <c r="VZY35" s="537"/>
      <c r="VZZ35" s="537"/>
      <c r="WAA35" s="537"/>
      <c r="WAB35" s="537"/>
      <c r="WAC35" s="537"/>
      <c r="WAD35" s="537"/>
      <c r="WAE35" s="537"/>
      <c r="WAF35" s="537"/>
      <c r="WAG35" s="537"/>
      <c r="WAH35" s="537"/>
      <c r="WAI35" s="537"/>
      <c r="WAJ35" s="537"/>
      <c r="WAK35" s="537"/>
      <c r="WAL35" s="537"/>
      <c r="WAM35" s="537"/>
      <c r="WAN35" s="537"/>
      <c r="WAO35" s="537"/>
      <c r="WAP35" s="537"/>
      <c r="WAQ35" s="537"/>
      <c r="WAR35" s="537"/>
      <c r="WAS35" s="537"/>
      <c r="WAT35" s="537"/>
      <c r="WAU35" s="537"/>
      <c r="WAV35" s="537"/>
      <c r="WAW35" s="537"/>
      <c r="WAX35" s="537"/>
      <c r="WAY35" s="537"/>
      <c r="WAZ35" s="537"/>
      <c r="WBA35" s="537"/>
      <c r="WBB35" s="537"/>
      <c r="WBC35" s="537"/>
      <c r="WBD35" s="537"/>
      <c r="WBE35" s="537"/>
      <c r="WBF35" s="537"/>
      <c r="WBG35" s="537"/>
      <c r="WBH35" s="537"/>
      <c r="WBI35" s="537"/>
      <c r="WBJ35" s="537"/>
      <c r="WBK35" s="537"/>
      <c r="WBL35" s="537"/>
      <c r="WBM35" s="537"/>
      <c r="WBN35" s="537"/>
      <c r="WBO35" s="537"/>
      <c r="WBP35" s="537"/>
      <c r="WBQ35" s="537"/>
      <c r="WBR35" s="537"/>
      <c r="WBS35" s="537"/>
      <c r="WBT35" s="537"/>
      <c r="WBU35" s="537"/>
      <c r="WBV35" s="537"/>
      <c r="WBW35" s="537"/>
      <c r="WBX35" s="537"/>
      <c r="WBY35" s="537"/>
      <c r="WBZ35" s="537"/>
      <c r="WCA35" s="537"/>
      <c r="WCB35" s="537"/>
      <c r="WCC35" s="537"/>
      <c r="WCD35" s="537"/>
      <c r="WCE35" s="537"/>
      <c r="WCF35" s="537"/>
      <c r="WCG35" s="537"/>
      <c r="WCH35" s="537"/>
      <c r="WCI35" s="537"/>
      <c r="WCJ35" s="537"/>
      <c r="WCK35" s="537"/>
      <c r="WCL35" s="537"/>
      <c r="WCM35" s="537"/>
      <c r="WCN35" s="537"/>
      <c r="WCO35" s="537"/>
      <c r="WCP35" s="537"/>
      <c r="WCQ35" s="537"/>
      <c r="WCR35" s="537"/>
      <c r="WCS35" s="537"/>
      <c r="WCT35" s="537"/>
      <c r="WCU35" s="537"/>
      <c r="WCV35" s="537"/>
      <c r="WCW35" s="537"/>
      <c r="WCX35" s="537"/>
      <c r="WCY35" s="537"/>
      <c r="WCZ35" s="537"/>
      <c r="WDA35" s="537"/>
      <c r="WDB35" s="537"/>
      <c r="WDC35" s="537"/>
      <c r="WDD35" s="537"/>
      <c r="WDE35" s="537"/>
      <c r="WDF35" s="537"/>
      <c r="WDG35" s="537"/>
      <c r="WDH35" s="537"/>
      <c r="WDI35" s="537"/>
      <c r="WDJ35" s="537"/>
      <c r="WDK35" s="537"/>
      <c r="WDL35" s="537"/>
      <c r="WDM35" s="537"/>
      <c r="WDN35" s="537"/>
      <c r="WDO35" s="537"/>
      <c r="WDP35" s="537"/>
      <c r="WDQ35" s="537"/>
      <c r="WDR35" s="537"/>
      <c r="WDS35" s="537"/>
      <c r="WDT35" s="537"/>
      <c r="WDU35" s="537"/>
      <c r="WDV35" s="537"/>
      <c r="WDW35" s="537"/>
      <c r="WDX35" s="537"/>
      <c r="WDY35" s="537"/>
      <c r="WDZ35" s="537"/>
      <c r="WEA35" s="537"/>
      <c r="WEB35" s="537"/>
      <c r="WEC35" s="537"/>
      <c r="WED35" s="537"/>
      <c r="WEE35" s="537"/>
      <c r="WEF35" s="537"/>
      <c r="WEG35" s="537"/>
      <c r="WEH35" s="537"/>
      <c r="WEI35" s="537"/>
      <c r="WEJ35" s="537"/>
      <c r="WEK35" s="537"/>
      <c r="WEL35" s="537"/>
      <c r="WEM35" s="537"/>
      <c r="WEN35" s="537"/>
      <c r="WEO35" s="537"/>
      <c r="WEP35" s="537"/>
      <c r="WEQ35" s="537"/>
      <c r="WER35" s="537"/>
      <c r="WES35" s="537"/>
      <c r="WET35" s="537"/>
      <c r="WEU35" s="537"/>
      <c r="WEV35" s="537"/>
      <c r="WEW35" s="537"/>
      <c r="WEX35" s="537"/>
      <c r="WEY35" s="537"/>
      <c r="WEZ35" s="537"/>
      <c r="WFA35" s="537"/>
      <c r="WFB35" s="537"/>
      <c r="WFC35" s="537"/>
      <c r="WFD35" s="537"/>
      <c r="WFE35" s="537"/>
      <c r="WFF35" s="537"/>
      <c r="WFG35" s="537"/>
      <c r="WFH35" s="537"/>
      <c r="WFI35" s="537"/>
      <c r="WFJ35" s="537"/>
      <c r="WFK35" s="537"/>
      <c r="WFL35" s="537"/>
      <c r="WFM35" s="537"/>
      <c r="WFN35" s="537"/>
      <c r="WFO35" s="537"/>
      <c r="WFP35" s="537"/>
      <c r="WFQ35" s="537"/>
      <c r="WFR35" s="537"/>
      <c r="WFS35" s="537"/>
      <c r="WFT35" s="537"/>
      <c r="WFU35" s="537"/>
      <c r="WFV35" s="537"/>
      <c r="WFW35" s="537"/>
      <c r="WFX35" s="537"/>
      <c r="WFY35" s="537"/>
      <c r="WFZ35" s="537"/>
      <c r="WGA35" s="537"/>
      <c r="WGB35" s="537"/>
      <c r="WGC35" s="537"/>
      <c r="WGD35" s="537"/>
      <c r="WGE35" s="537"/>
      <c r="WGF35" s="537"/>
      <c r="WGG35" s="537"/>
      <c r="WGH35" s="537"/>
      <c r="WGI35" s="537"/>
      <c r="WGJ35" s="537"/>
      <c r="WGK35" s="537"/>
      <c r="WGL35" s="537"/>
      <c r="WGM35" s="537"/>
      <c r="WGN35" s="537"/>
      <c r="WGO35" s="537"/>
      <c r="WGP35" s="537"/>
      <c r="WGQ35" s="537"/>
      <c r="WGR35" s="537"/>
      <c r="WGS35" s="537"/>
      <c r="WGT35" s="537"/>
      <c r="WGU35" s="537"/>
      <c r="WGV35" s="537"/>
      <c r="WGW35" s="537"/>
      <c r="WGX35" s="537"/>
      <c r="WGY35" s="537"/>
      <c r="WGZ35" s="537"/>
      <c r="WHA35" s="537"/>
      <c r="WHB35" s="537"/>
      <c r="WHC35" s="537"/>
      <c r="WHD35" s="537"/>
      <c r="WHE35" s="537"/>
      <c r="WHF35" s="537"/>
      <c r="WHG35" s="537"/>
      <c r="WHH35" s="537"/>
      <c r="WHI35" s="537"/>
      <c r="WHJ35" s="537"/>
      <c r="WHK35" s="537"/>
      <c r="WHL35" s="537"/>
      <c r="WHM35" s="537"/>
      <c r="WHN35" s="537"/>
      <c r="WHO35" s="537"/>
      <c r="WHP35" s="537"/>
      <c r="WHQ35" s="537"/>
      <c r="WHR35" s="537"/>
      <c r="WHS35" s="537"/>
      <c r="WHT35" s="537"/>
      <c r="WHU35" s="537"/>
      <c r="WHV35" s="537"/>
      <c r="WHW35" s="537"/>
      <c r="WHX35" s="537"/>
      <c r="WHY35" s="537"/>
      <c r="WHZ35" s="537"/>
      <c r="WIA35" s="537"/>
      <c r="WIB35" s="537"/>
      <c r="WIC35" s="537"/>
      <c r="WID35" s="537"/>
      <c r="WIE35" s="537"/>
      <c r="WIF35" s="537"/>
      <c r="WIG35" s="537"/>
      <c r="WIH35" s="537"/>
      <c r="WII35" s="537"/>
      <c r="WIJ35" s="537"/>
      <c r="WIK35" s="537"/>
      <c r="WIL35" s="537"/>
      <c r="WIM35" s="537"/>
      <c r="WIN35" s="537"/>
      <c r="WIO35" s="537"/>
      <c r="WIP35" s="537"/>
      <c r="WIQ35" s="537"/>
      <c r="WIR35" s="537"/>
      <c r="WIS35" s="537"/>
      <c r="WIT35" s="537"/>
      <c r="WIU35" s="537"/>
      <c r="WIV35" s="537"/>
      <c r="WIW35" s="537"/>
      <c r="WIX35" s="537"/>
      <c r="WIY35" s="537"/>
      <c r="WIZ35" s="537"/>
      <c r="WJA35" s="537"/>
      <c r="WJB35" s="537"/>
      <c r="WJC35" s="537"/>
      <c r="WJD35" s="537"/>
      <c r="WJE35" s="537"/>
      <c r="WJF35" s="537"/>
      <c r="WJG35" s="537"/>
      <c r="WJH35" s="537"/>
      <c r="WJI35" s="537"/>
      <c r="WJJ35" s="537"/>
      <c r="WJK35" s="537"/>
      <c r="WJL35" s="537"/>
      <c r="WJM35" s="537"/>
      <c r="WJN35" s="537"/>
      <c r="WJO35" s="537"/>
      <c r="WJP35" s="537"/>
      <c r="WJQ35" s="537"/>
      <c r="WJR35" s="537"/>
      <c r="WJS35" s="537"/>
      <c r="WJT35" s="537"/>
      <c r="WJU35" s="537"/>
      <c r="WJV35" s="537"/>
      <c r="WJW35" s="537"/>
      <c r="WJX35" s="537"/>
      <c r="WJY35" s="537"/>
      <c r="WJZ35" s="537"/>
      <c r="WKA35" s="537"/>
      <c r="WKB35" s="537"/>
      <c r="WKC35" s="537"/>
      <c r="WKD35" s="537"/>
      <c r="WKE35" s="537"/>
      <c r="WKF35" s="537"/>
      <c r="WKG35" s="537"/>
      <c r="WKH35" s="537"/>
      <c r="WKI35" s="537"/>
      <c r="WKJ35" s="537"/>
      <c r="WKK35" s="537"/>
      <c r="WKL35" s="537"/>
      <c r="WKM35" s="537"/>
      <c r="WKN35" s="537"/>
      <c r="WKO35" s="537"/>
      <c r="WKP35" s="537"/>
      <c r="WKQ35" s="537"/>
      <c r="WKR35" s="537"/>
      <c r="WKS35" s="537"/>
      <c r="WKT35" s="537"/>
      <c r="WKU35" s="537"/>
      <c r="WKV35" s="537"/>
      <c r="WKW35" s="537"/>
      <c r="WKX35" s="537"/>
      <c r="WKY35" s="537"/>
      <c r="WKZ35" s="537"/>
      <c r="WLA35" s="537"/>
      <c r="WLB35" s="537"/>
      <c r="WLC35" s="537"/>
      <c r="WLD35" s="537"/>
      <c r="WLE35" s="537"/>
      <c r="WLF35" s="537"/>
      <c r="WLG35" s="537"/>
      <c r="WLH35" s="537"/>
      <c r="WLI35" s="537"/>
      <c r="WLJ35" s="537"/>
      <c r="WLK35" s="537"/>
      <c r="WLL35" s="537"/>
      <c r="WLM35" s="537"/>
      <c r="WLN35" s="537"/>
      <c r="WLO35" s="537"/>
      <c r="WLP35" s="537"/>
      <c r="WLQ35" s="537"/>
      <c r="WLR35" s="537"/>
      <c r="WLS35" s="537"/>
      <c r="WLT35" s="537"/>
      <c r="WLU35" s="537"/>
      <c r="WLV35" s="537"/>
      <c r="WLW35" s="537"/>
      <c r="WLX35" s="537"/>
      <c r="WLY35" s="537"/>
      <c r="WLZ35" s="537"/>
      <c r="WMA35" s="537"/>
      <c r="WMB35" s="537"/>
      <c r="WMC35" s="537"/>
      <c r="WMD35" s="537"/>
      <c r="WME35" s="537"/>
      <c r="WMF35" s="537"/>
      <c r="WMG35" s="537"/>
      <c r="WMH35" s="537"/>
      <c r="WMI35" s="537"/>
      <c r="WMJ35" s="537"/>
      <c r="WMK35" s="537"/>
      <c r="WML35" s="537"/>
      <c r="WMM35" s="537"/>
      <c r="WMN35" s="537"/>
      <c r="WMO35" s="537"/>
      <c r="WMP35" s="537"/>
      <c r="WMQ35" s="537"/>
      <c r="WMR35" s="537"/>
      <c r="WMS35" s="537"/>
      <c r="WMT35" s="537"/>
      <c r="WMU35" s="537"/>
      <c r="WMV35" s="537"/>
      <c r="WMW35" s="537"/>
      <c r="WMX35" s="537"/>
      <c r="WMY35" s="537"/>
      <c r="WMZ35" s="537"/>
      <c r="WNA35" s="537"/>
      <c r="WNB35" s="537"/>
      <c r="WNC35" s="537"/>
      <c r="WND35" s="537"/>
      <c r="WNE35" s="537"/>
      <c r="WNF35" s="537"/>
      <c r="WNG35" s="537"/>
      <c r="WNH35" s="537"/>
      <c r="WNI35" s="537"/>
      <c r="WNJ35" s="537"/>
      <c r="WNK35" s="537"/>
      <c r="WNL35" s="537"/>
      <c r="WNM35" s="537"/>
      <c r="WNN35" s="537"/>
      <c r="WNO35" s="537"/>
      <c r="WNP35" s="537"/>
      <c r="WNQ35" s="537"/>
      <c r="WNR35" s="537"/>
      <c r="WNS35" s="537"/>
      <c r="WNT35" s="537"/>
      <c r="WNU35" s="537"/>
      <c r="WNV35" s="537"/>
      <c r="WNW35" s="537"/>
      <c r="WNX35" s="537"/>
      <c r="WNY35" s="537"/>
      <c r="WNZ35" s="537"/>
      <c r="WOA35" s="537"/>
      <c r="WOB35" s="537"/>
      <c r="WOC35" s="537"/>
      <c r="WOD35" s="537"/>
      <c r="WOE35" s="537"/>
      <c r="WOF35" s="537"/>
      <c r="WOG35" s="537"/>
      <c r="WOH35" s="537"/>
      <c r="WOI35" s="537"/>
      <c r="WOJ35" s="537"/>
      <c r="WOK35" s="537"/>
      <c r="WOL35" s="537"/>
      <c r="WOM35" s="537"/>
      <c r="WON35" s="537"/>
      <c r="WOO35" s="537"/>
      <c r="WOP35" s="537"/>
      <c r="WOQ35" s="537"/>
      <c r="WOR35" s="537"/>
      <c r="WOS35" s="537"/>
      <c r="WOT35" s="537"/>
      <c r="WOU35" s="537"/>
      <c r="WOV35" s="537"/>
      <c r="WOW35" s="537"/>
      <c r="WOX35" s="537"/>
      <c r="WOY35" s="537"/>
      <c r="WOZ35" s="537"/>
      <c r="WPA35" s="537"/>
      <c r="WPB35" s="537"/>
      <c r="WPC35" s="537"/>
      <c r="WPD35" s="537"/>
      <c r="WPE35" s="537"/>
      <c r="WPF35" s="537"/>
      <c r="WPG35" s="537"/>
      <c r="WPH35" s="537"/>
      <c r="WPI35" s="537"/>
      <c r="WPJ35" s="537"/>
      <c r="WPK35" s="537"/>
      <c r="WPL35" s="537"/>
      <c r="WPM35" s="537"/>
      <c r="WPN35" s="537"/>
      <c r="WPO35" s="537"/>
      <c r="WPP35" s="537"/>
      <c r="WPQ35" s="537"/>
      <c r="WPR35" s="537"/>
      <c r="WPS35" s="537"/>
      <c r="WPT35" s="537"/>
      <c r="WPU35" s="537"/>
      <c r="WPV35" s="537"/>
      <c r="WPW35" s="537"/>
      <c r="WPX35" s="537"/>
      <c r="WPY35" s="537"/>
      <c r="WPZ35" s="537"/>
      <c r="WQA35" s="537"/>
      <c r="WQB35" s="537"/>
      <c r="WQC35" s="537"/>
      <c r="WQD35" s="537"/>
      <c r="WQE35" s="537"/>
      <c r="WQF35" s="537"/>
      <c r="WQG35" s="537"/>
      <c r="WQH35" s="537"/>
      <c r="WQI35" s="537"/>
      <c r="WQJ35" s="537"/>
      <c r="WQK35" s="537"/>
      <c r="WQL35" s="537"/>
      <c r="WQM35" s="537"/>
      <c r="WQN35" s="537"/>
      <c r="WQO35" s="537"/>
      <c r="WQP35" s="537"/>
      <c r="WQQ35" s="537"/>
      <c r="WQR35" s="537"/>
      <c r="WQS35" s="537"/>
      <c r="WQT35" s="537"/>
      <c r="WQU35" s="537"/>
      <c r="WQV35" s="537"/>
      <c r="WQW35" s="537"/>
      <c r="WQX35" s="537"/>
      <c r="WQY35" s="537"/>
      <c r="WQZ35" s="537"/>
      <c r="WRA35" s="537"/>
      <c r="WRB35" s="537"/>
      <c r="WRC35" s="537"/>
      <c r="WRD35" s="537"/>
      <c r="WRE35" s="537"/>
      <c r="WRF35" s="537"/>
      <c r="WRG35" s="537"/>
      <c r="WRH35" s="537"/>
      <c r="WRI35" s="537"/>
      <c r="WRJ35" s="537"/>
      <c r="WRK35" s="537"/>
      <c r="WRL35" s="537"/>
      <c r="WRM35" s="537"/>
      <c r="WRN35" s="537"/>
      <c r="WRO35" s="537"/>
      <c r="WRP35" s="537"/>
      <c r="WRQ35" s="537"/>
      <c r="WRR35" s="537"/>
      <c r="WRS35" s="537"/>
      <c r="WRT35" s="537"/>
      <c r="WRU35" s="537"/>
      <c r="WRV35" s="537"/>
      <c r="WRW35" s="537"/>
      <c r="WRX35" s="537"/>
      <c r="WRY35" s="537"/>
      <c r="WRZ35" s="537"/>
      <c r="WSA35" s="537"/>
      <c r="WSB35" s="537"/>
      <c r="WSC35" s="537"/>
      <c r="WSD35" s="537"/>
      <c r="WSE35" s="537"/>
      <c r="WSF35" s="537"/>
      <c r="WSG35" s="537"/>
      <c r="WSH35" s="537"/>
      <c r="WSI35" s="537"/>
      <c r="WSJ35" s="537"/>
      <c r="WSK35" s="537"/>
      <c r="WSL35" s="537"/>
      <c r="WSM35" s="537"/>
      <c r="WSN35" s="537"/>
      <c r="WSO35" s="537"/>
      <c r="WSP35" s="537"/>
      <c r="WSQ35" s="537"/>
      <c r="WSR35" s="537"/>
      <c r="WSS35" s="537"/>
      <c r="WST35" s="537"/>
      <c r="WSU35" s="537"/>
      <c r="WSV35" s="537"/>
      <c r="WSW35" s="537"/>
      <c r="WSX35" s="537"/>
      <c r="WSY35" s="537"/>
      <c r="WSZ35" s="537"/>
      <c r="WTA35" s="537"/>
      <c r="WTB35" s="537"/>
      <c r="WTC35" s="537"/>
      <c r="WTD35" s="537"/>
      <c r="WTE35" s="537"/>
      <c r="WTF35" s="537"/>
      <c r="WTG35" s="537"/>
      <c r="WTH35" s="537"/>
      <c r="WTI35" s="537"/>
      <c r="WTJ35" s="537"/>
      <c r="WTK35" s="537"/>
      <c r="WTL35" s="537"/>
      <c r="WTM35" s="537"/>
      <c r="WTN35" s="537"/>
      <c r="WTO35" s="537"/>
      <c r="WTP35" s="537"/>
      <c r="WTQ35" s="537"/>
      <c r="WTR35" s="537"/>
      <c r="WTS35" s="537"/>
      <c r="WTT35" s="537"/>
      <c r="WTU35" s="537"/>
      <c r="WTV35" s="537"/>
      <c r="WTW35" s="537"/>
      <c r="WTX35" s="537"/>
      <c r="WTY35" s="537"/>
      <c r="WTZ35" s="537"/>
      <c r="WUA35" s="537"/>
      <c r="WUB35" s="537"/>
      <c r="WUC35" s="537"/>
      <c r="WUD35" s="537"/>
      <c r="WUE35" s="537"/>
      <c r="WUF35" s="537"/>
      <c r="WUG35" s="537"/>
      <c r="WUH35" s="537"/>
      <c r="WUI35" s="537"/>
      <c r="WUJ35" s="537"/>
      <c r="WUK35" s="537"/>
      <c r="WUL35" s="537"/>
      <c r="WUM35" s="537"/>
      <c r="WUN35" s="537"/>
      <c r="WUO35" s="537"/>
      <c r="WUP35" s="537"/>
      <c r="WUQ35" s="537"/>
      <c r="WUR35" s="537"/>
      <c r="WUS35" s="537"/>
      <c r="WUT35" s="537"/>
      <c r="WUU35" s="537"/>
      <c r="WUV35" s="537"/>
      <c r="WUW35" s="537"/>
      <c r="WUX35" s="537"/>
      <c r="WUY35" s="537"/>
      <c r="WUZ35" s="537"/>
      <c r="WVA35" s="537"/>
      <c r="WVB35" s="537"/>
      <c r="WVC35" s="537"/>
      <c r="WVD35" s="537"/>
      <c r="WVE35" s="537"/>
      <c r="WVF35" s="537"/>
      <c r="WVG35" s="537"/>
      <c r="WVH35" s="537"/>
      <c r="WVI35" s="537"/>
      <c r="WVJ35" s="537"/>
      <c r="WVK35" s="537"/>
      <c r="WVL35" s="537"/>
      <c r="WVM35" s="537"/>
      <c r="WVN35" s="537"/>
      <c r="WVO35" s="537"/>
      <c r="WVP35" s="537"/>
      <c r="WVQ35" s="537"/>
      <c r="WVR35" s="537"/>
      <c r="WVS35" s="537"/>
      <c r="WVT35" s="537"/>
      <c r="WVU35" s="537"/>
      <c r="WVV35" s="537"/>
      <c r="WVW35" s="537"/>
      <c r="WVX35" s="537"/>
      <c r="WVY35" s="537"/>
      <c r="WVZ35" s="537"/>
      <c r="WWA35" s="537"/>
      <c r="WWB35" s="537"/>
      <c r="WWC35" s="537"/>
      <c r="WWD35" s="537"/>
      <c r="WWE35" s="537"/>
      <c r="WWF35" s="537"/>
      <c r="WWG35" s="537"/>
      <c r="WWH35" s="537"/>
      <c r="WWI35" s="537"/>
      <c r="WWJ35" s="537"/>
      <c r="WWK35" s="537"/>
      <c r="WWL35" s="537"/>
      <c r="WWM35" s="537"/>
      <c r="WWN35" s="537"/>
      <c r="WWO35" s="537"/>
      <c r="WWP35" s="537"/>
      <c r="WWQ35" s="537"/>
      <c r="WWR35" s="537"/>
      <c r="WWS35" s="537"/>
      <c r="WWT35" s="537"/>
      <c r="WWU35" s="537"/>
      <c r="WWV35" s="537"/>
      <c r="WWW35" s="537"/>
      <c r="WWX35" s="537"/>
      <c r="WWY35" s="537"/>
      <c r="WWZ35" s="537"/>
      <c r="WXA35" s="537"/>
      <c r="WXB35" s="537"/>
      <c r="WXC35" s="537"/>
      <c r="WXD35" s="537"/>
      <c r="WXE35" s="537"/>
      <c r="WXF35" s="537"/>
      <c r="WXG35" s="537"/>
      <c r="WXH35" s="537"/>
      <c r="WXI35" s="537"/>
      <c r="WXJ35" s="537"/>
      <c r="WXK35" s="537"/>
      <c r="WXL35" s="537"/>
      <c r="WXM35" s="537"/>
      <c r="WXN35" s="537"/>
      <c r="WXO35" s="537"/>
      <c r="WXP35" s="537"/>
      <c r="WXQ35" s="537"/>
      <c r="WXR35" s="537"/>
      <c r="WXS35" s="537"/>
      <c r="WXT35" s="537"/>
      <c r="WXU35" s="537"/>
      <c r="WXV35" s="537"/>
      <c r="WXW35" s="537"/>
      <c r="WXX35" s="537"/>
      <c r="WXY35" s="537"/>
      <c r="WXZ35" s="537"/>
      <c r="WYA35" s="537"/>
      <c r="WYB35" s="537"/>
      <c r="WYC35" s="537"/>
      <c r="WYD35" s="537"/>
      <c r="WYE35" s="537"/>
      <c r="WYF35" s="537"/>
      <c r="WYG35" s="537"/>
      <c r="WYH35" s="537"/>
      <c r="WYI35" s="537"/>
      <c r="WYJ35" s="537"/>
      <c r="WYK35" s="537"/>
      <c r="WYL35" s="537"/>
      <c r="WYM35" s="537"/>
      <c r="WYN35" s="537"/>
      <c r="WYO35" s="537"/>
      <c r="WYP35" s="537"/>
      <c r="WYQ35" s="537"/>
      <c r="WYR35" s="537"/>
      <c r="WYS35" s="537"/>
      <c r="WYT35" s="537"/>
      <c r="WYU35" s="537"/>
      <c r="WYV35" s="537"/>
      <c r="WYW35" s="537"/>
      <c r="WYX35" s="537"/>
      <c r="WYY35" s="537"/>
      <c r="WYZ35" s="537"/>
      <c r="WZA35" s="537"/>
      <c r="WZB35" s="537"/>
      <c r="WZC35" s="537"/>
      <c r="WZD35" s="537"/>
      <c r="WZE35" s="537"/>
      <c r="WZF35" s="537"/>
      <c r="WZG35" s="537"/>
      <c r="WZH35" s="537"/>
      <c r="WZI35" s="537"/>
      <c r="WZJ35" s="537"/>
      <c r="WZK35" s="537"/>
      <c r="WZL35" s="537"/>
      <c r="WZM35" s="537"/>
      <c r="WZN35" s="537"/>
      <c r="WZO35" s="537"/>
      <c r="WZP35" s="537"/>
      <c r="WZQ35" s="537"/>
      <c r="WZR35" s="537"/>
      <c r="WZS35" s="537"/>
      <c r="WZT35" s="537"/>
      <c r="WZU35" s="537"/>
      <c r="WZV35" s="537"/>
      <c r="WZW35" s="537"/>
      <c r="WZX35" s="537"/>
      <c r="WZY35" s="537"/>
      <c r="WZZ35" s="537"/>
      <c r="XAA35" s="537"/>
      <c r="XAB35" s="537"/>
      <c r="XAC35" s="537"/>
      <c r="XAD35" s="537"/>
      <c r="XAE35" s="537"/>
      <c r="XAF35" s="537"/>
      <c r="XAG35" s="537"/>
      <c r="XAH35" s="537"/>
      <c r="XAI35" s="537"/>
      <c r="XAJ35" s="537"/>
      <c r="XAK35" s="537"/>
      <c r="XAL35" s="537"/>
      <c r="XAM35" s="537"/>
      <c r="XAN35" s="537"/>
      <c r="XAO35" s="537"/>
      <c r="XAP35" s="537"/>
      <c r="XAQ35" s="537"/>
      <c r="XAR35" s="537"/>
      <c r="XAS35" s="537"/>
      <c r="XAT35" s="537"/>
      <c r="XAU35" s="537"/>
      <c r="XAV35" s="537"/>
      <c r="XAW35" s="537"/>
      <c r="XAX35" s="537"/>
      <c r="XAY35" s="537"/>
      <c r="XAZ35" s="537"/>
      <c r="XBA35" s="537"/>
      <c r="XBB35" s="537"/>
      <c r="XBC35" s="537"/>
      <c r="XBD35" s="537"/>
      <c r="XBE35" s="537"/>
      <c r="XBF35" s="537"/>
      <c r="XBG35" s="537"/>
      <c r="XBH35" s="537"/>
      <c r="XBI35" s="537"/>
      <c r="XBJ35" s="537"/>
      <c r="XBK35" s="537"/>
      <c r="XBL35" s="537"/>
      <c r="XBM35" s="537"/>
      <c r="XBN35" s="537"/>
      <c r="XBO35" s="537"/>
      <c r="XBP35" s="537"/>
      <c r="XBQ35" s="537"/>
      <c r="XBR35" s="537"/>
      <c r="XBS35" s="537"/>
      <c r="XBT35" s="537"/>
      <c r="XBU35" s="537"/>
      <c r="XBV35" s="537"/>
      <c r="XBW35" s="537"/>
      <c r="XBX35" s="537"/>
      <c r="XBY35" s="537"/>
      <c r="XBZ35" s="537"/>
      <c r="XCA35" s="537"/>
      <c r="XCB35" s="537"/>
      <c r="XCC35" s="537"/>
      <c r="XCD35" s="537"/>
      <c r="XCE35" s="537"/>
      <c r="XCF35" s="537"/>
      <c r="XCG35" s="537"/>
      <c r="XCH35" s="537"/>
      <c r="XCI35" s="537"/>
      <c r="XCJ35" s="537"/>
      <c r="XCK35" s="537"/>
      <c r="XCL35" s="537"/>
      <c r="XCM35" s="537"/>
      <c r="XCN35" s="537"/>
      <c r="XCO35" s="537"/>
      <c r="XCP35" s="537"/>
      <c r="XCQ35" s="537"/>
      <c r="XCR35" s="537"/>
      <c r="XCS35" s="537"/>
      <c r="XCT35" s="537"/>
      <c r="XCU35" s="537"/>
      <c r="XCV35" s="537"/>
      <c r="XCW35" s="537"/>
      <c r="XCX35" s="537"/>
      <c r="XCY35" s="537"/>
      <c r="XCZ35" s="537"/>
      <c r="XDA35" s="537"/>
      <c r="XDB35" s="537"/>
      <c r="XDC35" s="537"/>
      <c r="XDD35" s="537"/>
      <c r="XDE35" s="537"/>
      <c r="XDF35" s="537"/>
      <c r="XDG35" s="537"/>
      <c r="XDH35" s="537"/>
      <c r="XDI35" s="537"/>
      <c r="XDJ35" s="537"/>
      <c r="XDK35" s="537"/>
      <c r="XDL35" s="537"/>
      <c r="XDM35" s="537"/>
      <c r="XDN35" s="537"/>
      <c r="XDO35" s="537"/>
      <c r="XDP35" s="537"/>
      <c r="XDQ35" s="537"/>
      <c r="XDR35" s="537"/>
      <c r="XDS35" s="537"/>
      <c r="XDT35" s="537"/>
      <c r="XDU35" s="537"/>
      <c r="XDV35" s="537"/>
      <c r="XDW35" s="537"/>
      <c r="XDX35" s="537"/>
      <c r="XDY35" s="537"/>
      <c r="XDZ35" s="537"/>
      <c r="XEA35" s="537"/>
      <c r="XEB35" s="537"/>
      <c r="XEC35" s="537"/>
      <c r="XED35" s="537"/>
      <c r="XEE35" s="537"/>
      <c r="XEF35" s="537"/>
      <c r="XEG35" s="537"/>
      <c r="XEH35" s="537"/>
      <c r="XEI35" s="537"/>
      <c r="XEJ35" s="537"/>
      <c r="XEK35" s="537"/>
      <c r="XEL35" s="537"/>
      <c r="XEM35" s="537"/>
      <c r="XEN35" s="537"/>
      <c r="XEO35" s="537"/>
      <c r="XEP35" s="537"/>
      <c r="XEQ35" s="537"/>
      <c r="XER35" s="537"/>
      <c r="XES35" s="537"/>
      <c r="XET35" s="537"/>
      <c r="XEU35" s="537"/>
      <c r="XEV35" s="537"/>
      <c r="XEW35" s="537"/>
      <c r="XEX35" s="537"/>
      <c r="XEY35" s="537"/>
    </row>
    <row r="36" spans="2:16379" s="546" customFormat="1" ht="21" customHeight="1" x14ac:dyDescent="0.25">
      <c r="B36" s="594" t="s">
        <v>1033</v>
      </c>
      <c r="C36" s="595" t="s">
        <v>1034</v>
      </c>
      <c r="D36" s="596"/>
      <c r="E36" s="596"/>
      <c r="F36" s="597"/>
      <c r="G36" s="598" t="s">
        <v>1038</v>
      </c>
      <c r="H36" s="594"/>
      <c r="I36" s="548">
        <f>SUM(I7,I35)</f>
        <v>123097127</v>
      </c>
      <c r="J36" s="548">
        <f>SUM(J7,J35)</f>
        <v>141215675</v>
      </c>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c r="IT36" s="537"/>
      <c r="IU36" s="537"/>
      <c r="IV36" s="537"/>
      <c r="IW36" s="537"/>
      <c r="IX36" s="537"/>
      <c r="IY36" s="537"/>
      <c r="IZ36" s="537"/>
      <c r="JA36" s="537"/>
      <c r="JB36" s="537"/>
      <c r="JC36" s="537"/>
      <c r="JD36" s="537"/>
      <c r="JE36" s="537"/>
      <c r="JF36" s="537"/>
      <c r="JG36" s="537"/>
      <c r="JH36" s="537"/>
      <c r="JI36" s="537"/>
      <c r="JJ36" s="537"/>
      <c r="JK36" s="537"/>
      <c r="JL36" s="537"/>
      <c r="JM36" s="537"/>
      <c r="JN36" s="537"/>
      <c r="JO36" s="537"/>
      <c r="JP36" s="537"/>
      <c r="JQ36" s="537"/>
      <c r="JR36" s="537"/>
      <c r="JS36" s="537"/>
      <c r="JT36" s="537"/>
      <c r="JU36" s="537"/>
      <c r="JV36" s="537"/>
      <c r="JW36" s="537"/>
      <c r="JX36" s="537"/>
      <c r="JY36" s="537"/>
      <c r="JZ36" s="537"/>
      <c r="KA36" s="537"/>
      <c r="KB36" s="537"/>
      <c r="KC36" s="537"/>
      <c r="KD36" s="537"/>
      <c r="KE36" s="537"/>
      <c r="KF36" s="537"/>
      <c r="KG36" s="537"/>
      <c r="KH36" s="537"/>
      <c r="KI36" s="537"/>
      <c r="KJ36" s="537"/>
      <c r="KK36" s="537"/>
      <c r="KL36" s="537"/>
      <c r="KM36" s="537"/>
      <c r="KN36" s="537"/>
      <c r="KO36" s="537"/>
      <c r="KP36" s="537"/>
      <c r="KQ36" s="537"/>
      <c r="KR36" s="537"/>
      <c r="KS36" s="537"/>
      <c r="KT36" s="537"/>
      <c r="KU36" s="537"/>
      <c r="KV36" s="537"/>
      <c r="KW36" s="537"/>
      <c r="KX36" s="537"/>
      <c r="KY36" s="537"/>
      <c r="KZ36" s="537"/>
      <c r="LA36" s="537"/>
      <c r="LB36" s="537"/>
      <c r="LC36" s="537"/>
      <c r="LD36" s="537"/>
      <c r="LE36" s="537"/>
      <c r="LF36" s="537"/>
      <c r="LG36" s="537"/>
      <c r="LH36" s="537"/>
      <c r="LI36" s="537"/>
      <c r="LJ36" s="537"/>
      <c r="LK36" s="537"/>
      <c r="LL36" s="537"/>
      <c r="LM36" s="537"/>
      <c r="LN36" s="537"/>
      <c r="LO36" s="537"/>
      <c r="LP36" s="537"/>
      <c r="LQ36" s="537"/>
      <c r="LR36" s="537"/>
      <c r="LS36" s="537"/>
      <c r="LT36" s="537"/>
      <c r="LU36" s="537"/>
      <c r="LV36" s="537"/>
      <c r="LW36" s="537"/>
      <c r="LX36" s="537"/>
      <c r="LY36" s="537"/>
      <c r="LZ36" s="537"/>
      <c r="MA36" s="537"/>
      <c r="MB36" s="537"/>
      <c r="MC36" s="537"/>
      <c r="MD36" s="537"/>
      <c r="ME36" s="537"/>
      <c r="MF36" s="537"/>
      <c r="MG36" s="537"/>
      <c r="MH36" s="537"/>
      <c r="MI36" s="537"/>
      <c r="MJ36" s="537"/>
      <c r="MK36" s="537"/>
      <c r="ML36" s="537"/>
      <c r="MM36" s="537"/>
      <c r="MN36" s="537"/>
      <c r="MO36" s="537"/>
      <c r="MP36" s="537"/>
      <c r="MQ36" s="537"/>
      <c r="MR36" s="537"/>
      <c r="MS36" s="537"/>
      <c r="MT36" s="537"/>
      <c r="MU36" s="537"/>
      <c r="MV36" s="537"/>
      <c r="MW36" s="537"/>
      <c r="MX36" s="537"/>
      <c r="MY36" s="537"/>
      <c r="MZ36" s="537"/>
      <c r="NA36" s="537"/>
      <c r="NB36" s="537"/>
      <c r="NC36" s="537"/>
      <c r="ND36" s="537"/>
      <c r="NE36" s="537"/>
      <c r="NF36" s="537"/>
      <c r="NG36" s="537"/>
      <c r="NH36" s="537"/>
      <c r="NI36" s="537"/>
      <c r="NJ36" s="537"/>
      <c r="NK36" s="537"/>
      <c r="NL36" s="537"/>
      <c r="NM36" s="537"/>
      <c r="NN36" s="537"/>
      <c r="NO36" s="537"/>
      <c r="NP36" s="537"/>
      <c r="NQ36" s="537"/>
      <c r="NR36" s="537"/>
      <c r="NS36" s="537"/>
      <c r="NT36" s="537"/>
      <c r="NU36" s="537"/>
      <c r="NV36" s="537"/>
      <c r="NW36" s="537"/>
      <c r="NX36" s="537"/>
      <c r="NY36" s="537"/>
      <c r="NZ36" s="537"/>
      <c r="OA36" s="537"/>
      <c r="OB36" s="537"/>
      <c r="OC36" s="537"/>
      <c r="OD36" s="537"/>
      <c r="OE36" s="537"/>
      <c r="OF36" s="537"/>
      <c r="OG36" s="537"/>
      <c r="OH36" s="537"/>
      <c r="OI36" s="537"/>
      <c r="OJ36" s="537"/>
      <c r="OK36" s="537"/>
      <c r="OL36" s="537"/>
      <c r="OM36" s="537"/>
      <c r="ON36" s="537"/>
      <c r="OO36" s="537"/>
      <c r="OP36" s="537"/>
      <c r="OQ36" s="537"/>
      <c r="OR36" s="537"/>
      <c r="OS36" s="537"/>
      <c r="OT36" s="537"/>
      <c r="OU36" s="537"/>
      <c r="OV36" s="537"/>
      <c r="OW36" s="537"/>
      <c r="OX36" s="537"/>
      <c r="OY36" s="537"/>
      <c r="OZ36" s="537"/>
      <c r="PA36" s="537"/>
      <c r="PB36" s="537"/>
      <c r="PC36" s="537"/>
      <c r="PD36" s="537"/>
      <c r="PE36" s="537"/>
      <c r="PF36" s="537"/>
      <c r="PG36" s="537"/>
      <c r="PH36" s="537"/>
      <c r="PI36" s="537"/>
      <c r="PJ36" s="537"/>
      <c r="PK36" s="537"/>
      <c r="PL36" s="537"/>
      <c r="PM36" s="537"/>
      <c r="PN36" s="537"/>
      <c r="PO36" s="537"/>
      <c r="PP36" s="537"/>
      <c r="PQ36" s="537"/>
      <c r="PR36" s="537"/>
      <c r="PS36" s="537"/>
      <c r="PT36" s="537"/>
      <c r="PU36" s="537"/>
      <c r="PV36" s="537"/>
      <c r="PW36" s="537"/>
      <c r="PX36" s="537"/>
      <c r="PY36" s="537"/>
      <c r="PZ36" s="537"/>
      <c r="QA36" s="537"/>
      <c r="QB36" s="537"/>
      <c r="QC36" s="537"/>
      <c r="QD36" s="537"/>
      <c r="QE36" s="537"/>
      <c r="QF36" s="537"/>
      <c r="QG36" s="537"/>
      <c r="QH36" s="537"/>
      <c r="QI36" s="537"/>
      <c r="QJ36" s="537"/>
      <c r="QK36" s="537"/>
      <c r="QL36" s="537"/>
      <c r="QM36" s="537"/>
      <c r="QN36" s="537"/>
      <c r="QO36" s="537"/>
      <c r="QP36" s="537"/>
      <c r="QQ36" s="537"/>
      <c r="QR36" s="537"/>
      <c r="QS36" s="537"/>
      <c r="QT36" s="537"/>
      <c r="QU36" s="537"/>
      <c r="QV36" s="537"/>
      <c r="QW36" s="537"/>
      <c r="QX36" s="537"/>
      <c r="QY36" s="537"/>
      <c r="QZ36" s="537"/>
      <c r="RA36" s="537"/>
      <c r="RB36" s="537"/>
      <c r="RC36" s="537"/>
      <c r="RD36" s="537"/>
      <c r="RE36" s="537"/>
      <c r="RF36" s="537"/>
      <c r="RG36" s="537"/>
      <c r="RH36" s="537"/>
      <c r="RI36" s="537"/>
      <c r="RJ36" s="537"/>
      <c r="RK36" s="537"/>
      <c r="RL36" s="537"/>
      <c r="RM36" s="537"/>
      <c r="RN36" s="537"/>
      <c r="RO36" s="537"/>
      <c r="RP36" s="537"/>
      <c r="RQ36" s="537"/>
      <c r="RR36" s="537"/>
      <c r="RS36" s="537"/>
      <c r="RT36" s="537"/>
      <c r="RU36" s="537"/>
      <c r="RV36" s="537"/>
      <c r="RW36" s="537"/>
      <c r="RX36" s="537"/>
      <c r="RY36" s="537"/>
      <c r="RZ36" s="537"/>
      <c r="SA36" s="537"/>
      <c r="SB36" s="537"/>
      <c r="SC36" s="537"/>
      <c r="SD36" s="537"/>
      <c r="SE36" s="537"/>
      <c r="SF36" s="537"/>
      <c r="SG36" s="537"/>
      <c r="SH36" s="537"/>
      <c r="SI36" s="537"/>
      <c r="SJ36" s="537"/>
      <c r="SK36" s="537"/>
      <c r="SL36" s="537"/>
      <c r="SM36" s="537"/>
      <c r="SN36" s="537"/>
      <c r="SO36" s="537"/>
      <c r="SP36" s="537"/>
      <c r="SQ36" s="537"/>
      <c r="SR36" s="537"/>
      <c r="SS36" s="537"/>
      <c r="ST36" s="537"/>
      <c r="SU36" s="537"/>
      <c r="SV36" s="537"/>
      <c r="SW36" s="537"/>
      <c r="SX36" s="537"/>
      <c r="SY36" s="537"/>
      <c r="SZ36" s="537"/>
      <c r="TA36" s="537"/>
      <c r="TB36" s="537"/>
      <c r="TC36" s="537"/>
      <c r="TD36" s="537"/>
      <c r="TE36" s="537"/>
      <c r="TF36" s="537"/>
      <c r="TG36" s="537"/>
      <c r="TH36" s="537"/>
      <c r="TI36" s="537"/>
      <c r="TJ36" s="537"/>
      <c r="TK36" s="537"/>
      <c r="TL36" s="537"/>
      <c r="TM36" s="537"/>
      <c r="TN36" s="537"/>
      <c r="TO36" s="537"/>
      <c r="TP36" s="537"/>
      <c r="TQ36" s="537"/>
      <c r="TR36" s="537"/>
      <c r="TS36" s="537"/>
      <c r="TT36" s="537"/>
      <c r="TU36" s="537"/>
      <c r="TV36" s="537"/>
      <c r="TW36" s="537"/>
      <c r="TX36" s="537"/>
      <c r="TY36" s="537"/>
      <c r="TZ36" s="537"/>
      <c r="UA36" s="537"/>
      <c r="UB36" s="537"/>
      <c r="UC36" s="537"/>
      <c r="UD36" s="537"/>
      <c r="UE36" s="537"/>
      <c r="UF36" s="537"/>
      <c r="UG36" s="537"/>
      <c r="UH36" s="537"/>
      <c r="UI36" s="537"/>
      <c r="UJ36" s="537"/>
      <c r="UK36" s="537"/>
      <c r="UL36" s="537"/>
      <c r="UM36" s="537"/>
      <c r="UN36" s="537"/>
      <c r="UO36" s="537"/>
      <c r="UP36" s="537"/>
      <c r="UQ36" s="537"/>
      <c r="UR36" s="537"/>
      <c r="US36" s="537"/>
      <c r="UT36" s="537"/>
      <c r="UU36" s="537"/>
      <c r="UV36" s="537"/>
      <c r="UW36" s="537"/>
      <c r="UX36" s="537"/>
      <c r="UY36" s="537"/>
      <c r="UZ36" s="537"/>
      <c r="VA36" s="537"/>
      <c r="VB36" s="537"/>
      <c r="VC36" s="537"/>
      <c r="VD36" s="537"/>
      <c r="VE36" s="537"/>
      <c r="VF36" s="537"/>
      <c r="VG36" s="537"/>
      <c r="VH36" s="537"/>
      <c r="VI36" s="537"/>
      <c r="VJ36" s="537"/>
      <c r="VK36" s="537"/>
      <c r="VL36" s="537"/>
      <c r="VM36" s="537"/>
      <c r="VN36" s="537"/>
      <c r="VO36" s="537"/>
      <c r="VP36" s="537"/>
      <c r="VQ36" s="537"/>
      <c r="VR36" s="537"/>
      <c r="VS36" s="537"/>
      <c r="VT36" s="537"/>
      <c r="VU36" s="537"/>
      <c r="VV36" s="537"/>
      <c r="VW36" s="537"/>
      <c r="VX36" s="537"/>
      <c r="VY36" s="537"/>
      <c r="VZ36" s="537"/>
      <c r="WA36" s="537"/>
      <c r="WB36" s="537"/>
      <c r="WC36" s="537"/>
      <c r="WD36" s="537"/>
      <c r="WE36" s="537"/>
      <c r="WF36" s="537"/>
      <c r="WG36" s="537"/>
      <c r="WH36" s="537"/>
      <c r="WI36" s="537"/>
      <c r="WJ36" s="537"/>
      <c r="WK36" s="537"/>
      <c r="WL36" s="537"/>
      <c r="WM36" s="537"/>
      <c r="WN36" s="537"/>
      <c r="WO36" s="537"/>
      <c r="WP36" s="537"/>
      <c r="WQ36" s="537"/>
      <c r="WR36" s="537"/>
      <c r="WS36" s="537"/>
      <c r="WT36" s="537"/>
      <c r="WU36" s="537"/>
      <c r="WV36" s="537"/>
      <c r="WW36" s="537"/>
      <c r="WX36" s="537"/>
      <c r="WY36" s="537"/>
      <c r="WZ36" s="537"/>
      <c r="XA36" s="537"/>
      <c r="XB36" s="537"/>
      <c r="XC36" s="537"/>
      <c r="XD36" s="537"/>
      <c r="XE36" s="537"/>
      <c r="XF36" s="537"/>
      <c r="XG36" s="537"/>
      <c r="XH36" s="537"/>
      <c r="XI36" s="537"/>
      <c r="XJ36" s="537"/>
      <c r="XK36" s="537"/>
      <c r="XL36" s="537"/>
      <c r="XM36" s="537"/>
      <c r="XN36" s="537"/>
      <c r="XO36" s="537"/>
      <c r="XP36" s="537"/>
      <c r="XQ36" s="537"/>
      <c r="XR36" s="537"/>
      <c r="XS36" s="537"/>
      <c r="XT36" s="537"/>
      <c r="XU36" s="537"/>
      <c r="XV36" s="537"/>
      <c r="XW36" s="537"/>
      <c r="XX36" s="537"/>
      <c r="XY36" s="537"/>
      <c r="XZ36" s="537"/>
      <c r="YA36" s="537"/>
      <c r="YB36" s="537"/>
      <c r="YC36" s="537"/>
      <c r="YD36" s="537"/>
      <c r="YE36" s="537"/>
      <c r="YF36" s="537"/>
      <c r="YG36" s="537"/>
      <c r="YH36" s="537"/>
      <c r="YI36" s="537"/>
      <c r="YJ36" s="537"/>
      <c r="YK36" s="537"/>
      <c r="YL36" s="537"/>
      <c r="YM36" s="537"/>
      <c r="YN36" s="537"/>
      <c r="YO36" s="537"/>
      <c r="YP36" s="537"/>
      <c r="YQ36" s="537"/>
      <c r="YR36" s="537"/>
      <c r="YS36" s="537"/>
      <c r="YT36" s="537"/>
      <c r="YU36" s="537"/>
      <c r="YV36" s="537"/>
      <c r="YW36" s="537"/>
      <c r="YX36" s="537"/>
      <c r="YY36" s="537"/>
      <c r="YZ36" s="537"/>
      <c r="ZA36" s="537"/>
      <c r="ZB36" s="537"/>
      <c r="ZC36" s="537"/>
      <c r="ZD36" s="537"/>
      <c r="ZE36" s="537"/>
      <c r="ZF36" s="537"/>
      <c r="ZG36" s="537"/>
      <c r="ZH36" s="537"/>
      <c r="ZI36" s="537"/>
      <c r="ZJ36" s="537"/>
      <c r="ZK36" s="537"/>
      <c r="ZL36" s="537"/>
      <c r="ZM36" s="537"/>
      <c r="ZN36" s="537"/>
      <c r="ZO36" s="537"/>
      <c r="ZP36" s="537"/>
      <c r="ZQ36" s="537"/>
      <c r="ZR36" s="537"/>
      <c r="ZS36" s="537"/>
      <c r="ZT36" s="537"/>
      <c r="ZU36" s="537"/>
      <c r="ZV36" s="537"/>
      <c r="ZW36" s="537"/>
      <c r="ZX36" s="537"/>
      <c r="ZY36" s="537"/>
      <c r="ZZ36" s="537"/>
      <c r="AAA36" s="537"/>
      <c r="AAB36" s="537"/>
      <c r="AAC36" s="537"/>
      <c r="AAD36" s="537"/>
      <c r="AAE36" s="537"/>
      <c r="AAF36" s="537"/>
      <c r="AAG36" s="537"/>
      <c r="AAH36" s="537"/>
      <c r="AAI36" s="537"/>
      <c r="AAJ36" s="537"/>
      <c r="AAK36" s="537"/>
      <c r="AAL36" s="537"/>
      <c r="AAM36" s="537"/>
      <c r="AAN36" s="537"/>
      <c r="AAO36" s="537"/>
      <c r="AAP36" s="537"/>
      <c r="AAQ36" s="537"/>
      <c r="AAR36" s="537"/>
      <c r="AAS36" s="537"/>
      <c r="AAT36" s="537"/>
      <c r="AAU36" s="537"/>
      <c r="AAV36" s="537"/>
      <c r="AAW36" s="537"/>
      <c r="AAX36" s="537"/>
      <c r="AAY36" s="537"/>
      <c r="AAZ36" s="537"/>
      <c r="ABA36" s="537"/>
      <c r="ABB36" s="537"/>
      <c r="ABC36" s="537"/>
      <c r="ABD36" s="537"/>
      <c r="ABE36" s="537"/>
      <c r="ABF36" s="537"/>
      <c r="ABG36" s="537"/>
      <c r="ABH36" s="537"/>
      <c r="ABI36" s="537"/>
      <c r="ABJ36" s="537"/>
      <c r="ABK36" s="537"/>
      <c r="ABL36" s="537"/>
      <c r="ABM36" s="537"/>
      <c r="ABN36" s="537"/>
      <c r="ABO36" s="537"/>
      <c r="ABP36" s="537"/>
      <c r="ABQ36" s="537"/>
      <c r="ABR36" s="537"/>
      <c r="ABS36" s="537"/>
      <c r="ABT36" s="537"/>
      <c r="ABU36" s="537"/>
      <c r="ABV36" s="537"/>
      <c r="ABW36" s="537"/>
      <c r="ABX36" s="537"/>
      <c r="ABY36" s="537"/>
      <c r="ABZ36" s="537"/>
      <c r="ACA36" s="537"/>
      <c r="ACB36" s="537"/>
      <c r="ACC36" s="537"/>
      <c r="ACD36" s="537"/>
      <c r="ACE36" s="537"/>
      <c r="ACF36" s="537"/>
      <c r="ACG36" s="537"/>
      <c r="ACH36" s="537"/>
      <c r="ACI36" s="537"/>
      <c r="ACJ36" s="537"/>
      <c r="ACK36" s="537"/>
      <c r="ACL36" s="537"/>
      <c r="ACM36" s="537"/>
      <c r="ACN36" s="537"/>
      <c r="ACO36" s="537"/>
      <c r="ACP36" s="537"/>
      <c r="ACQ36" s="537"/>
      <c r="ACR36" s="537"/>
      <c r="ACS36" s="537"/>
      <c r="ACT36" s="537"/>
      <c r="ACU36" s="537"/>
      <c r="ACV36" s="537"/>
      <c r="ACW36" s="537"/>
      <c r="ACX36" s="537"/>
      <c r="ACY36" s="537"/>
      <c r="ACZ36" s="537"/>
      <c r="ADA36" s="537"/>
      <c r="ADB36" s="537"/>
      <c r="ADC36" s="537"/>
      <c r="ADD36" s="537"/>
      <c r="ADE36" s="537"/>
      <c r="ADF36" s="537"/>
      <c r="ADG36" s="537"/>
      <c r="ADH36" s="537"/>
      <c r="ADI36" s="537"/>
      <c r="ADJ36" s="537"/>
      <c r="ADK36" s="537"/>
      <c r="ADL36" s="537"/>
      <c r="ADM36" s="537"/>
      <c r="ADN36" s="537"/>
      <c r="ADO36" s="537"/>
      <c r="ADP36" s="537"/>
      <c r="ADQ36" s="537"/>
      <c r="ADR36" s="537"/>
      <c r="ADS36" s="537"/>
      <c r="ADT36" s="537"/>
      <c r="ADU36" s="537"/>
      <c r="ADV36" s="537"/>
      <c r="ADW36" s="537"/>
      <c r="ADX36" s="537"/>
      <c r="ADY36" s="537"/>
      <c r="ADZ36" s="537"/>
      <c r="AEA36" s="537"/>
      <c r="AEB36" s="537"/>
      <c r="AEC36" s="537"/>
      <c r="AED36" s="537"/>
      <c r="AEE36" s="537"/>
      <c r="AEF36" s="537"/>
      <c r="AEG36" s="537"/>
      <c r="AEH36" s="537"/>
      <c r="AEI36" s="537"/>
      <c r="AEJ36" s="537"/>
      <c r="AEK36" s="537"/>
      <c r="AEL36" s="537"/>
      <c r="AEM36" s="537"/>
      <c r="AEN36" s="537"/>
      <c r="AEO36" s="537"/>
      <c r="AEP36" s="537"/>
      <c r="AEQ36" s="537"/>
      <c r="AER36" s="537"/>
      <c r="AES36" s="537"/>
      <c r="AET36" s="537"/>
      <c r="AEU36" s="537"/>
      <c r="AEV36" s="537"/>
      <c r="AEW36" s="537"/>
      <c r="AEX36" s="537"/>
      <c r="AEY36" s="537"/>
      <c r="AEZ36" s="537"/>
      <c r="AFA36" s="537"/>
      <c r="AFB36" s="537"/>
      <c r="AFC36" s="537"/>
      <c r="AFD36" s="537"/>
      <c r="AFE36" s="537"/>
      <c r="AFF36" s="537"/>
      <c r="AFG36" s="537"/>
      <c r="AFH36" s="537"/>
      <c r="AFI36" s="537"/>
      <c r="AFJ36" s="537"/>
      <c r="AFK36" s="537"/>
      <c r="AFL36" s="537"/>
      <c r="AFM36" s="537"/>
      <c r="AFN36" s="537"/>
      <c r="AFO36" s="537"/>
      <c r="AFP36" s="537"/>
      <c r="AFQ36" s="537"/>
      <c r="AFR36" s="537"/>
      <c r="AFS36" s="537"/>
      <c r="AFT36" s="537"/>
      <c r="AFU36" s="537"/>
      <c r="AFV36" s="537"/>
      <c r="AFW36" s="537"/>
      <c r="AFX36" s="537"/>
      <c r="AFY36" s="537"/>
      <c r="AFZ36" s="537"/>
      <c r="AGA36" s="537"/>
      <c r="AGB36" s="537"/>
      <c r="AGC36" s="537"/>
      <c r="AGD36" s="537"/>
      <c r="AGE36" s="537"/>
      <c r="AGF36" s="537"/>
      <c r="AGG36" s="537"/>
      <c r="AGH36" s="537"/>
      <c r="AGI36" s="537"/>
      <c r="AGJ36" s="537"/>
      <c r="AGK36" s="537"/>
      <c r="AGL36" s="537"/>
      <c r="AGM36" s="537"/>
      <c r="AGN36" s="537"/>
      <c r="AGO36" s="537"/>
      <c r="AGP36" s="537"/>
      <c r="AGQ36" s="537"/>
      <c r="AGR36" s="537"/>
      <c r="AGS36" s="537"/>
      <c r="AGT36" s="537"/>
      <c r="AGU36" s="537"/>
      <c r="AGV36" s="537"/>
      <c r="AGW36" s="537"/>
      <c r="AGX36" s="537"/>
      <c r="AGY36" s="537"/>
      <c r="AGZ36" s="537"/>
      <c r="AHA36" s="537"/>
      <c r="AHB36" s="537"/>
      <c r="AHC36" s="537"/>
      <c r="AHD36" s="537"/>
      <c r="AHE36" s="537"/>
      <c r="AHF36" s="537"/>
      <c r="AHG36" s="537"/>
      <c r="AHH36" s="537"/>
      <c r="AHI36" s="537"/>
      <c r="AHJ36" s="537"/>
      <c r="AHK36" s="537"/>
      <c r="AHL36" s="537"/>
      <c r="AHM36" s="537"/>
      <c r="AHN36" s="537"/>
      <c r="AHO36" s="537"/>
      <c r="AHP36" s="537"/>
      <c r="AHQ36" s="537"/>
      <c r="AHR36" s="537"/>
      <c r="AHS36" s="537"/>
      <c r="AHT36" s="537"/>
      <c r="AHU36" s="537"/>
      <c r="AHV36" s="537"/>
      <c r="AHW36" s="537"/>
      <c r="AHX36" s="537"/>
      <c r="AHY36" s="537"/>
      <c r="AHZ36" s="537"/>
      <c r="AIA36" s="537"/>
      <c r="AIB36" s="537"/>
      <c r="AIC36" s="537"/>
      <c r="AID36" s="537"/>
      <c r="AIE36" s="537"/>
      <c r="AIF36" s="537"/>
      <c r="AIG36" s="537"/>
      <c r="AIH36" s="537"/>
      <c r="AII36" s="537"/>
      <c r="AIJ36" s="537"/>
      <c r="AIK36" s="537"/>
      <c r="AIL36" s="537"/>
      <c r="AIM36" s="537"/>
      <c r="AIN36" s="537"/>
      <c r="AIO36" s="537"/>
      <c r="AIP36" s="537"/>
      <c r="AIQ36" s="537"/>
      <c r="AIR36" s="537"/>
      <c r="AIS36" s="537"/>
      <c r="AIT36" s="537"/>
      <c r="AIU36" s="537"/>
      <c r="AIV36" s="537"/>
      <c r="AIW36" s="537"/>
      <c r="AIX36" s="537"/>
      <c r="AIY36" s="537"/>
      <c r="AIZ36" s="537"/>
      <c r="AJA36" s="537"/>
      <c r="AJB36" s="537"/>
      <c r="AJC36" s="537"/>
      <c r="AJD36" s="537"/>
      <c r="AJE36" s="537"/>
      <c r="AJF36" s="537"/>
      <c r="AJG36" s="537"/>
      <c r="AJH36" s="537"/>
      <c r="AJI36" s="537"/>
      <c r="AJJ36" s="537"/>
      <c r="AJK36" s="537"/>
      <c r="AJL36" s="537"/>
      <c r="AJM36" s="537"/>
      <c r="AJN36" s="537"/>
      <c r="AJO36" s="537"/>
      <c r="AJP36" s="537"/>
      <c r="AJQ36" s="537"/>
      <c r="AJR36" s="537"/>
      <c r="AJS36" s="537"/>
      <c r="AJT36" s="537"/>
      <c r="AJU36" s="537"/>
      <c r="AJV36" s="537"/>
      <c r="AJW36" s="537"/>
      <c r="AJX36" s="537"/>
      <c r="AJY36" s="537"/>
      <c r="AJZ36" s="537"/>
      <c r="AKA36" s="537"/>
      <c r="AKB36" s="537"/>
      <c r="AKC36" s="537"/>
      <c r="AKD36" s="537"/>
      <c r="AKE36" s="537"/>
      <c r="AKF36" s="537"/>
      <c r="AKG36" s="537"/>
      <c r="AKH36" s="537"/>
      <c r="AKI36" s="537"/>
      <c r="AKJ36" s="537"/>
      <c r="AKK36" s="537"/>
      <c r="AKL36" s="537"/>
      <c r="AKM36" s="537"/>
      <c r="AKN36" s="537"/>
      <c r="AKO36" s="537"/>
      <c r="AKP36" s="537"/>
      <c r="AKQ36" s="537"/>
      <c r="AKR36" s="537"/>
      <c r="AKS36" s="537"/>
      <c r="AKT36" s="537"/>
      <c r="AKU36" s="537"/>
      <c r="AKV36" s="537"/>
      <c r="AKW36" s="537"/>
      <c r="AKX36" s="537"/>
      <c r="AKY36" s="537"/>
      <c r="AKZ36" s="537"/>
      <c r="ALA36" s="537"/>
      <c r="ALB36" s="537"/>
      <c r="ALC36" s="537"/>
      <c r="ALD36" s="537"/>
      <c r="ALE36" s="537"/>
      <c r="ALF36" s="537"/>
      <c r="ALG36" s="537"/>
      <c r="ALH36" s="537"/>
      <c r="ALI36" s="537"/>
      <c r="ALJ36" s="537"/>
      <c r="ALK36" s="537"/>
      <c r="ALL36" s="537"/>
      <c r="ALM36" s="537"/>
      <c r="ALN36" s="537"/>
      <c r="ALO36" s="537"/>
      <c r="ALP36" s="537"/>
      <c r="ALQ36" s="537"/>
      <c r="ALR36" s="537"/>
      <c r="ALS36" s="537"/>
      <c r="ALT36" s="537"/>
      <c r="ALU36" s="537"/>
      <c r="ALV36" s="537"/>
      <c r="ALW36" s="537"/>
      <c r="ALX36" s="537"/>
      <c r="ALY36" s="537"/>
      <c r="ALZ36" s="537"/>
      <c r="AMA36" s="537"/>
      <c r="AMB36" s="537"/>
      <c r="AMC36" s="537"/>
      <c r="AMD36" s="537"/>
      <c r="AME36" s="537"/>
      <c r="AMF36" s="537"/>
      <c r="AMG36" s="537"/>
      <c r="AMH36" s="537"/>
      <c r="AMI36" s="537"/>
      <c r="AMJ36" s="537"/>
      <c r="AMK36" s="537"/>
      <c r="AML36" s="537"/>
      <c r="AMM36" s="537"/>
      <c r="AMN36" s="537"/>
      <c r="AMO36" s="537"/>
      <c r="AMP36" s="537"/>
      <c r="AMQ36" s="537"/>
      <c r="AMR36" s="537"/>
      <c r="AMS36" s="537"/>
      <c r="AMT36" s="537"/>
      <c r="AMU36" s="537"/>
      <c r="AMV36" s="537"/>
      <c r="AMW36" s="537"/>
      <c r="AMX36" s="537"/>
      <c r="AMY36" s="537"/>
      <c r="AMZ36" s="537"/>
      <c r="ANA36" s="537"/>
      <c r="ANB36" s="537"/>
      <c r="ANC36" s="537"/>
      <c r="AND36" s="537"/>
      <c r="ANE36" s="537"/>
      <c r="ANF36" s="537"/>
      <c r="ANG36" s="537"/>
      <c r="ANH36" s="537"/>
      <c r="ANI36" s="537"/>
      <c r="ANJ36" s="537"/>
      <c r="ANK36" s="537"/>
      <c r="ANL36" s="537"/>
      <c r="ANM36" s="537"/>
      <c r="ANN36" s="537"/>
      <c r="ANO36" s="537"/>
      <c r="ANP36" s="537"/>
      <c r="ANQ36" s="537"/>
      <c r="ANR36" s="537"/>
      <c r="ANS36" s="537"/>
      <c r="ANT36" s="537"/>
      <c r="ANU36" s="537"/>
      <c r="ANV36" s="537"/>
      <c r="ANW36" s="537"/>
      <c r="ANX36" s="537"/>
      <c r="ANY36" s="537"/>
      <c r="ANZ36" s="537"/>
      <c r="AOA36" s="537"/>
      <c r="AOB36" s="537"/>
      <c r="AOC36" s="537"/>
      <c r="AOD36" s="537"/>
      <c r="AOE36" s="537"/>
      <c r="AOF36" s="537"/>
      <c r="AOG36" s="537"/>
      <c r="AOH36" s="537"/>
      <c r="AOI36" s="537"/>
      <c r="AOJ36" s="537"/>
      <c r="AOK36" s="537"/>
      <c r="AOL36" s="537"/>
      <c r="AOM36" s="537"/>
      <c r="AON36" s="537"/>
      <c r="AOO36" s="537"/>
      <c r="AOP36" s="537"/>
      <c r="AOQ36" s="537"/>
      <c r="AOR36" s="537"/>
      <c r="AOS36" s="537"/>
      <c r="AOT36" s="537"/>
      <c r="AOU36" s="537"/>
      <c r="AOV36" s="537"/>
      <c r="AOW36" s="537"/>
      <c r="AOX36" s="537"/>
      <c r="AOY36" s="537"/>
      <c r="AOZ36" s="537"/>
      <c r="APA36" s="537"/>
      <c r="APB36" s="537"/>
      <c r="APC36" s="537"/>
      <c r="APD36" s="537"/>
      <c r="APE36" s="537"/>
      <c r="APF36" s="537"/>
      <c r="APG36" s="537"/>
      <c r="APH36" s="537"/>
      <c r="API36" s="537"/>
      <c r="APJ36" s="537"/>
      <c r="APK36" s="537"/>
      <c r="APL36" s="537"/>
      <c r="APM36" s="537"/>
      <c r="APN36" s="537"/>
      <c r="APO36" s="537"/>
      <c r="APP36" s="537"/>
      <c r="APQ36" s="537"/>
      <c r="APR36" s="537"/>
      <c r="APS36" s="537"/>
      <c r="APT36" s="537"/>
      <c r="APU36" s="537"/>
      <c r="APV36" s="537"/>
      <c r="APW36" s="537"/>
      <c r="APX36" s="537"/>
      <c r="APY36" s="537"/>
      <c r="APZ36" s="537"/>
      <c r="AQA36" s="537"/>
      <c r="AQB36" s="537"/>
      <c r="AQC36" s="537"/>
      <c r="AQD36" s="537"/>
      <c r="AQE36" s="537"/>
      <c r="AQF36" s="537"/>
      <c r="AQG36" s="537"/>
      <c r="AQH36" s="537"/>
      <c r="AQI36" s="537"/>
      <c r="AQJ36" s="537"/>
      <c r="AQK36" s="537"/>
      <c r="AQL36" s="537"/>
      <c r="AQM36" s="537"/>
      <c r="AQN36" s="537"/>
      <c r="AQO36" s="537"/>
      <c r="AQP36" s="537"/>
      <c r="AQQ36" s="537"/>
      <c r="AQR36" s="537"/>
      <c r="AQS36" s="537"/>
      <c r="AQT36" s="537"/>
      <c r="AQU36" s="537"/>
      <c r="AQV36" s="537"/>
      <c r="AQW36" s="537"/>
      <c r="AQX36" s="537"/>
      <c r="AQY36" s="537"/>
      <c r="AQZ36" s="537"/>
      <c r="ARA36" s="537"/>
      <c r="ARB36" s="537"/>
      <c r="ARC36" s="537"/>
      <c r="ARD36" s="537"/>
      <c r="ARE36" s="537"/>
      <c r="ARF36" s="537"/>
      <c r="ARG36" s="537"/>
      <c r="ARH36" s="537"/>
      <c r="ARI36" s="537"/>
      <c r="ARJ36" s="537"/>
      <c r="ARK36" s="537"/>
      <c r="ARL36" s="537"/>
      <c r="ARM36" s="537"/>
      <c r="ARN36" s="537"/>
      <c r="ARO36" s="537"/>
      <c r="ARP36" s="537"/>
      <c r="ARQ36" s="537"/>
      <c r="ARR36" s="537"/>
      <c r="ARS36" s="537"/>
      <c r="ART36" s="537"/>
      <c r="ARU36" s="537"/>
      <c r="ARV36" s="537"/>
      <c r="ARW36" s="537"/>
      <c r="ARX36" s="537"/>
      <c r="ARY36" s="537"/>
      <c r="ARZ36" s="537"/>
      <c r="ASA36" s="537"/>
      <c r="ASB36" s="537"/>
      <c r="ASC36" s="537"/>
      <c r="ASD36" s="537"/>
      <c r="ASE36" s="537"/>
      <c r="ASF36" s="537"/>
      <c r="ASG36" s="537"/>
      <c r="ASH36" s="537"/>
      <c r="ASI36" s="537"/>
      <c r="ASJ36" s="537"/>
      <c r="ASK36" s="537"/>
      <c r="ASL36" s="537"/>
      <c r="ASM36" s="537"/>
      <c r="ASN36" s="537"/>
      <c r="ASO36" s="537"/>
      <c r="ASP36" s="537"/>
      <c r="ASQ36" s="537"/>
      <c r="ASR36" s="537"/>
      <c r="ASS36" s="537"/>
      <c r="AST36" s="537"/>
      <c r="ASU36" s="537"/>
      <c r="ASV36" s="537"/>
      <c r="ASW36" s="537"/>
      <c r="ASX36" s="537"/>
      <c r="ASY36" s="537"/>
      <c r="ASZ36" s="537"/>
      <c r="ATA36" s="537"/>
      <c r="ATB36" s="537"/>
      <c r="ATC36" s="537"/>
      <c r="ATD36" s="537"/>
      <c r="ATE36" s="537"/>
      <c r="ATF36" s="537"/>
      <c r="ATG36" s="537"/>
      <c r="ATH36" s="537"/>
      <c r="ATI36" s="537"/>
      <c r="ATJ36" s="537"/>
      <c r="ATK36" s="537"/>
      <c r="ATL36" s="537"/>
      <c r="ATM36" s="537"/>
      <c r="ATN36" s="537"/>
      <c r="ATO36" s="537"/>
      <c r="ATP36" s="537"/>
      <c r="ATQ36" s="537"/>
      <c r="ATR36" s="537"/>
      <c r="ATS36" s="537"/>
      <c r="ATT36" s="537"/>
      <c r="ATU36" s="537"/>
      <c r="ATV36" s="537"/>
      <c r="ATW36" s="537"/>
      <c r="ATX36" s="537"/>
      <c r="ATY36" s="537"/>
      <c r="ATZ36" s="537"/>
      <c r="AUA36" s="537"/>
      <c r="AUB36" s="537"/>
      <c r="AUC36" s="537"/>
      <c r="AUD36" s="537"/>
      <c r="AUE36" s="537"/>
      <c r="AUF36" s="537"/>
      <c r="AUG36" s="537"/>
      <c r="AUH36" s="537"/>
      <c r="AUI36" s="537"/>
      <c r="AUJ36" s="537"/>
      <c r="AUK36" s="537"/>
      <c r="AUL36" s="537"/>
      <c r="AUM36" s="537"/>
      <c r="AUN36" s="537"/>
      <c r="AUO36" s="537"/>
      <c r="AUP36" s="537"/>
      <c r="AUQ36" s="537"/>
      <c r="AUR36" s="537"/>
      <c r="AUS36" s="537"/>
      <c r="AUT36" s="537"/>
      <c r="AUU36" s="537"/>
      <c r="AUV36" s="537"/>
      <c r="AUW36" s="537"/>
      <c r="AUX36" s="537"/>
      <c r="AUY36" s="537"/>
      <c r="AUZ36" s="537"/>
      <c r="AVA36" s="537"/>
      <c r="AVB36" s="537"/>
      <c r="AVC36" s="537"/>
      <c r="AVD36" s="537"/>
      <c r="AVE36" s="537"/>
      <c r="AVF36" s="537"/>
      <c r="AVG36" s="537"/>
      <c r="AVH36" s="537"/>
      <c r="AVI36" s="537"/>
      <c r="AVJ36" s="537"/>
      <c r="AVK36" s="537"/>
      <c r="AVL36" s="537"/>
      <c r="AVM36" s="537"/>
      <c r="AVN36" s="537"/>
      <c r="AVO36" s="537"/>
      <c r="AVP36" s="537"/>
      <c r="AVQ36" s="537"/>
      <c r="AVR36" s="537"/>
      <c r="AVS36" s="537"/>
      <c r="AVT36" s="537"/>
      <c r="AVU36" s="537"/>
      <c r="AVV36" s="537"/>
      <c r="AVW36" s="537"/>
      <c r="AVX36" s="537"/>
      <c r="AVY36" s="537"/>
      <c r="AVZ36" s="537"/>
      <c r="AWA36" s="537"/>
      <c r="AWB36" s="537"/>
      <c r="AWC36" s="537"/>
      <c r="AWD36" s="537"/>
      <c r="AWE36" s="537"/>
      <c r="AWF36" s="537"/>
      <c r="AWG36" s="537"/>
      <c r="AWH36" s="537"/>
      <c r="AWI36" s="537"/>
      <c r="AWJ36" s="537"/>
      <c r="AWK36" s="537"/>
      <c r="AWL36" s="537"/>
      <c r="AWM36" s="537"/>
      <c r="AWN36" s="537"/>
      <c r="AWO36" s="537"/>
      <c r="AWP36" s="537"/>
      <c r="AWQ36" s="537"/>
      <c r="AWR36" s="537"/>
      <c r="AWS36" s="537"/>
      <c r="AWT36" s="537"/>
      <c r="AWU36" s="537"/>
      <c r="AWV36" s="537"/>
      <c r="AWW36" s="537"/>
      <c r="AWX36" s="537"/>
      <c r="AWY36" s="537"/>
      <c r="AWZ36" s="537"/>
      <c r="AXA36" s="537"/>
      <c r="AXB36" s="537"/>
      <c r="AXC36" s="537"/>
      <c r="AXD36" s="537"/>
      <c r="AXE36" s="537"/>
      <c r="AXF36" s="537"/>
      <c r="AXG36" s="537"/>
      <c r="AXH36" s="537"/>
      <c r="AXI36" s="537"/>
      <c r="AXJ36" s="537"/>
      <c r="AXK36" s="537"/>
      <c r="AXL36" s="537"/>
      <c r="AXM36" s="537"/>
      <c r="AXN36" s="537"/>
      <c r="AXO36" s="537"/>
      <c r="AXP36" s="537"/>
      <c r="AXQ36" s="537"/>
      <c r="AXR36" s="537"/>
      <c r="AXS36" s="537"/>
      <c r="AXT36" s="537"/>
      <c r="AXU36" s="537"/>
      <c r="AXV36" s="537"/>
      <c r="AXW36" s="537"/>
      <c r="AXX36" s="537"/>
      <c r="AXY36" s="537"/>
      <c r="AXZ36" s="537"/>
      <c r="AYA36" s="537"/>
      <c r="AYB36" s="537"/>
      <c r="AYC36" s="537"/>
      <c r="AYD36" s="537"/>
      <c r="AYE36" s="537"/>
      <c r="AYF36" s="537"/>
      <c r="AYG36" s="537"/>
      <c r="AYH36" s="537"/>
      <c r="AYI36" s="537"/>
      <c r="AYJ36" s="537"/>
      <c r="AYK36" s="537"/>
      <c r="AYL36" s="537"/>
      <c r="AYM36" s="537"/>
      <c r="AYN36" s="537"/>
      <c r="AYO36" s="537"/>
      <c r="AYP36" s="537"/>
      <c r="AYQ36" s="537"/>
      <c r="AYR36" s="537"/>
      <c r="AYS36" s="537"/>
      <c r="AYT36" s="537"/>
      <c r="AYU36" s="537"/>
      <c r="AYV36" s="537"/>
      <c r="AYW36" s="537"/>
      <c r="AYX36" s="537"/>
      <c r="AYY36" s="537"/>
      <c r="AYZ36" s="537"/>
      <c r="AZA36" s="537"/>
      <c r="AZB36" s="537"/>
      <c r="AZC36" s="537"/>
      <c r="AZD36" s="537"/>
      <c r="AZE36" s="537"/>
      <c r="AZF36" s="537"/>
      <c r="AZG36" s="537"/>
      <c r="AZH36" s="537"/>
      <c r="AZI36" s="537"/>
      <c r="AZJ36" s="537"/>
      <c r="AZK36" s="537"/>
      <c r="AZL36" s="537"/>
      <c r="AZM36" s="537"/>
      <c r="AZN36" s="537"/>
      <c r="AZO36" s="537"/>
      <c r="AZP36" s="537"/>
      <c r="AZQ36" s="537"/>
      <c r="AZR36" s="537"/>
      <c r="AZS36" s="537"/>
      <c r="AZT36" s="537"/>
      <c r="AZU36" s="537"/>
      <c r="AZV36" s="537"/>
      <c r="AZW36" s="537"/>
      <c r="AZX36" s="537"/>
      <c r="AZY36" s="537"/>
      <c r="AZZ36" s="537"/>
      <c r="BAA36" s="537"/>
      <c r="BAB36" s="537"/>
      <c r="BAC36" s="537"/>
      <c r="BAD36" s="537"/>
      <c r="BAE36" s="537"/>
      <c r="BAF36" s="537"/>
      <c r="BAG36" s="537"/>
      <c r="BAH36" s="537"/>
      <c r="BAI36" s="537"/>
      <c r="BAJ36" s="537"/>
      <c r="BAK36" s="537"/>
      <c r="BAL36" s="537"/>
      <c r="BAM36" s="537"/>
      <c r="BAN36" s="537"/>
      <c r="BAO36" s="537"/>
      <c r="BAP36" s="537"/>
      <c r="BAQ36" s="537"/>
      <c r="BAR36" s="537"/>
      <c r="BAS36" s="537"/>
      <c r="BAT36" s="537"/>
      <c r="BAU36" s="537"/>
      <c r="BAV36" s="537"/>
      <c r="BAW36" s="537"/>
      <c r="BAX36" s="537"/>
      <c r="BAY36" s="537"/>
      <c r="BAZ36" s="537"/>
      <c r="BBA36" s="537"/>
      <c r="BBB36" s="537"/>
      <c r="BBC36" s="537"/>
      <c r="BBD36" s="537"/>
      <c r="BBE36" s="537"/>
      <c r="BBF36" s="537"/>
      <c r="BBG36" s="537"/>
      <c r="BBH36" s="537"/>
      <c r="BBI36" s="537"/>
      <c r="BBJ36" s="537"/>
      <c r="BBK36" s="537"/>
      <c r="BBL36" s="537"/>
      <c r="BBM36" s="537"/>
      <c r="BBN36" s="537"/>
      <c r="BBO36" s="537"/>
      <c r="BBP36" s="537"/>
      <c r="BBQ36" s="537"/>
      <c r="BBR36" s="537"/>
      <c r="BBS36" s="537"/>
      <c r="BBT36" s="537"/>
      <c r="BBU36" s="537"/>
      <c r="BBV36" s="537"/>
      <c r="BBW36" s="537"/>
      <c r="BBX36" s="537"/>
      <c r="BBY36" s="537"/>
      <c r="BBZ36" s="537"/>
      <c r="BCA36" s="537"/>
      <c r="BCB36" s="537"/>
      <c r="BCC36" s="537"/>
      <c r="BCD36" s="537"/>
      <c r="BCE36" s="537"/>
      <c r="BCF36" s="537"/>
      <c r="BCG36" s="537"/>
      <c r="BCH36" s="537"/>
      <c r="BCI36" s="537"/>
      <c r="BCJ36" s="537"/>
      <c r="BCK36" s="537"/>
      <c r="BCL36" s="537"/>
      <c r="BCM36" s="537"/>
      <c r="BCN36" s="537"/>
      <c r="BCO36" s="537"/>
      <c r="BCP36" s="537"/>
      <c r="BCQ36" s="537"/>
      <c r="BCR36" s="537"/>
      <c r="BCS36" s="537"/>
      <c r="BCT36" s="537"/>
      <c r="BCU36" s="537"/>
      <c r="BCV36" s="537"/>
      <c r="BCW36" s="537"/>
      <c r="BCX36" s="537"/>
      <c r="BCY36" s="537"/>
      <c r="BCZ36" s="537"/>
      <c r="BDA36" s="537"/>
      <c r="BDB36" s="537"/>
      <c r="BDC36" s="537"/>
      <c r="BDD36" s="537"/>
      <c r="BDE36" s="537"/>
      <c r="BDF36" s="537"/>
      <c r="BDG36" s="537"/>
      <c r="BDH36" s="537"/>
      <c r="BDI36" s="537"/>
      <c r="BDJ36" s="537"/>
      <c r="BDK36" s="537"/>
      <c r="BDL36" s="537"/>
      <c r="BDM36" s="537"/>
      <c r="BDN36" s="537"/>
      <c r="BDO36" s="537"/>
      <c r="BDP36" s="537"/>
      <c r="BDQ36" s="537"/>
      <c r="BDR36" s="537"/>
      <c r="BDS36" s="537"/>
      <c r="BDT36" s="537"/>
      <c r="BDU36" s="537"/>
      <c r="BDV36" s="537"/>
      <c r="BDW36" s="537"/>
      <c r="BDX36" s="537"/>
      <c r="BDY36" s="537"/>
      <c r="BDZ36" s="537"/>
      <c r="BEA36" s="537"/>
      <c r="BEB36" s="537"/>
      <c r="BEC36" s="537"/>
      <c r="BED36" s="537"/>
      <c r="BEE36" s="537"/>
      <c r="BEF36" s="537"/>
      <c r="BEG36" s="537"/>
      <c r="BEH36" s="537"/>
      <c r="BEI36" s="537"/>
      <c r="BEJ36" s="537"/>
      <c r="BEK36" s="537"/>
      <c r="BEL36" s="537"/>
      <c r="BEM36" s="537"/>
      <c r="BEN36" s="537"/>
      <c r="BEO36" s="537"/>
      <c r="BEP36" s="537"/>
      <c r="BEQ36" s="537"/>
      <c r="BER36" s="537"/>
      <c r="BES36" s="537"/>
      <c r="BET36" s="537"/>
      <c r="BEU36" s="537"/>
      <c r="BEV36" s="537"/>
      <c r="BEW36" s="537"/>
      <c r="BEX36" s="537"/>
      <c r="BEY36" s="537"/>
      <c r="BEZ36" s="537"/>
      <c r="BFA36" s="537"/>
      <c r="BFB36" s="537"/>
      <c r="BFC36" s="537"/>
      <c r="BFD36" s="537"/>
      <c r="BFE36" s="537"/>
      <c r="BFF36" s="537"/>
      <c r="BFG36" s="537"/>
      <c r="BFH36" s="537"/>
      <c r="BFI36" s="537"/>
      <c r="BFJ36" s="537"/>
      <c r="BFK36" s="537"/>
      <c r="BFL36" s="537"/>
      <c r="BFM36" s="537"/>
      <c r="BFN36" s="537"/>
      <c r="BFO36" s="537"/>
      <c r="BFP36" s="537"/>
      <c r="BFQ36" s="537"/>
      <c r="BFR36" s="537"/>
      <c r="BFS36" s="537"/>
      <c r="BFT36" s="537"/>
      <c r="BFU36" s="537"/>
      <c r="BFV36" s="537"/>
      <c r="BFW36" s="537"/>
      <c r="BFX36" s="537"/>
      <c r="BFY36" s="537"/>
      <c r="BFZ36" s="537"/>
      <c r="BGA36" s="537"/>
      <c r="BGB36" s="537"/>
      <c r="BGC36" s="537"/>
      <c r="BGD36" s="537"/>
      <c r="BGE36" s="537"/>
      <c r="BGF36" s="537"/>
      <c r="BGG36" s="537"/>
      <c r="BGH36" s="537"/>
      <c r="BGI36" s="537"/>
      <c r="BGJ36" s="537"/>
      <c r="BGK36" s="537"/>
      <c r="BGL36" s="537"/>
      <c r="BGM36" s="537"/>
      <c r="BGN36" s="537"/>
      <c r="BGO36" s="537"/>
      <c r="BGP36" s="537"/>
      <c r="BGQ36" s="537"/>
      <c r="BGR36" s="537"/>
      <c r="BGS36" s="537"/>
      <c r="BGT36" s="537"/>
      <c r="BGU36" s="537"/>
      <c r="BGV36" s="537"/>
      <c r="BGW36" s="537"/>
      <c r="BGX36" s="537"/>
      <c r="BGY36" s="537"/>
      <c r="BGZ36" s="537"/>
      <c r="BHA36" s="537"/>
      <c r="BHB36" s="537"/>
      <c r="BHC36" s="537"/>
      <c r="BHD36" s="537"/>
      <c r="BHE36" s="537"/>
      <c r="BHF36" s="537"/>
      <c r="BHG36" s="537"/>
      <c r="BHH36" s="537"/>
      <c r="BHI36" s="537"/>
      <c r="BHJ36" s="537"/>
      <c r="BHK36" s="537"/>
      <c r="BHL36" s="537"/>
      <c r="BHM36" s="537"/>
      <c r="BHN36" s="537"/>
      <c r="BHO36" s="537"/>
      <c r="BHP36" s="537"/>
      <c r="BHQ36" s="537"/>
      <c r="BHR36" s="537"/>
      <c r="BHS36" s="537"/>
      <c r="BHT36" s="537"/>
      <c r="BHU36" s="537"/>
      <c r="BHV36" s="537"/>
      <c r="BHW36" s="537"/>
      <c r="BHX36" s="537"/>
      <c r="BHY36" s="537"/>
      <c r="BHZ36" s="537"/>
      <c r="BIA36" s="537"/>
      <c r="BIB36" s="537"/>
      <c r="BIC36" s="537"/>
      <c r="BID36" s="537"/>
      <c r="BIE36" s="537"/>
      <c r="BIF36" s="537"/>
      <c r="BIG36" s="537"/>
      <c r="BIH36" s="537"/>
      <c r="BII36" s="537"/>
      <c r="BIJ36" s="537"/>
      <c r="BIK36" s="537"/>
      <c r="BIL36" s="537"/>
      <c r="BIM36" s="537"/>
      <c r="BIN36" s="537"/>
      <c r="BIO36" s="537"/>
      <c r="BIP36" s="537"/>
      <c r="BIQ36" s="537"/>
      <c r="BIR36" s="537"/>
      <c r="BIS36" s="537"/>
      <c r="BIT36" s="537"/>
      <c r="BIU36" s="537"/>
      <c r="BIV36" s="537"/>
      <c r="BIW36" s="537"/>
      <c r="BIX36" s="537"/>
      <c r="BIY36" s="537"/>
      <c r="BIZ36" s="537"/>
      <c r="BJA36" s="537"/>
      <c r="BJB36" s="537"/>
      <c r="BJC36" s="537"/>
      <c r="BJD36" s="537"/>
      <c r="BJE36" s="537"/>
      <c r="BJF36" s="537"/>
      <c r="BJG36" s="537"/>
      <c r="BJH36" s="537"/>
      <c r="BJI36" s="537"/>
      <c r="BJJ36" s="537"/>
      <c r="BJK36" s="537"/>
      <c r="BJL36" s="537"/>
      <c r="BJM36" s="537"/>
      <c r="BJN36" s="537"/>
      <c r="BJO36" s="537"/>
      <c r="BJP36" s="537"/>
      <c r="BJQ36" s="537"/>
      <c r="BJR36" s="537"/>
      <c r="BJS36" s="537"/>
      <c r="BJT36" s="537"/>
      <c r="BJU36" s="537"/>
      <c r="BJV36" s="537"/>
      <c r="BJW36" s="537"/>
      <c r="BJX36" s="537"/>
      <c r="BJY36" s="537"/>
      <c r="BJZ36" s="537"/>
      <c r="BKA36" s="537"/>
      <c r="BKB36" s="537"/>
      <c r="BKC36" s="537"/>
      <c r="BKD36" s="537"/>
      <c r="BKE36" s="537"/>
      <c r="BKF36" s="537"/>
      <c r="BKG36" s="537"/>
      <c r="BKH36" s="537"/>
      <c r="BKI36" s="537"/>
      <c r="BKJ36" s="537"/>
      <c r="BKK36" s="537"/>
      <c r="BKL36" s="537"/>
      <c r="BKM36" s="537"/>
      <c r="BKN36" s="537"/>
      <c r="BKO36" s="537"/>
      <c r="BKP36" s="537"/>
      <c r="BKQ36" s="537"/>
      <c r="BKR36" s="537"/>
      <c r="BKS36" s="537"/>
      <c r="BKT36" s="537"/>
      <c r="BKU36" s="537"/>
      <c r="BKV36" s="537"/>
      <c r="BKW36" s="537"/>
      <c r="BKX36" s="537"/>
      <c r="BKY36" s="537"/>
      <c r="BKZ36" s="537"/>
      <c r="BLA36" s="537"/>
      <c r="BLB36" s="537"/>
      <c r="BLC36" s="537"/>
      <c r="BLD36" s="537"/>
      <c r="BLE36" s="537"/>
      <c r="BLF36" s="537"/>
      <c r="BLG36" s="537"/>
      <c r="BLH36" s="537"/>
      <c r="BLI36" s="537"/>
      <c r="BLJ36" s="537"/>
      <c r="BLK36" s="537"/>
      <c r="BLL36" s="537"/>
      <c r="BLM36" s="537"/>
      <c r="BLN36" s="537"/>
      <c r="BLO36" s="537"/>
      <c r="BLP36" s="537"/>
      <c r="BLQ36" s="537"/>
      <c r="BLR36" s="537"/>
      <c r="BLS36" s="537"/>
      <c r="BLT36" s="537"/>
      <c r="BLU36" s="537"/>
      <c r="BLV36" s="537"/>
      <c r="BLW36" s="537"/>
      <c r="BLX36" s="537"/>
      <c r="BLY36" s="537"/>
      <c r="BLZ36" s="537"/>
      <c r="BMA36" s="537"/>
      <c r="BMB36" s="537"/>
      <c r="BMC36" s="537"/>
      <c r="BMD36" s="537"/>
      <c r="BME36" s="537"/>
      <c r="BMF36" s="537"/>
      <c r="BMG36" s="537"/>
      <c r="BMH36" s="537"/>
      <c r="BMI36" s="537"/>
      <c r="BMJ36" s="537"/>
      <c r="BMK36" s="537"/>
      <c r="BML36" s="537"/>
      <c r="BMM36" s="537"/>
      <c r="BMN36" s="537"/>
      <c r="BMO36" s="537"/>
      <c r="BMP36" s="537"/>
      <c r="BMQ36" s="537"/>
      <c r="BMR36" s="537"/>
      <c r="BMS36" s="537"/>
      <c r="BMT36" s="537"/>
      <c r="BMU36" s="537"/>
      <c r="BMV36" s="537"/>
      <c r="BMW36" s="537"/>
      <c r="BMX36" s="537"/>
      <c r="BMY36" s="537"/>
      <c r="BMZ36" s="537"/>
      <c r="BNA36" s="537"/>
      <c r="BNB36" s="537"/>
      <c r="BNC36" s="537"/>
      <c r="BND36" s="537"/>
      <c r="BNE36" s="537"/>
      <c r="BNF36" s="537"/>
      <c r="BNG36" s="537"/>
      <c r="BNH36" s="537"/>
      <c r="BNI36" s="537"/>
      <c r="BNJ36" s="537"/>
      <c r="BNK36" s="537"/>
      <c r="BNL36" s="537"/>
      <c r="BNM36" s="537"/>
      <c r="BNN36" s="537"/>
      <c r="BNO36" s="537"/>
      <c r="BNP36" s="537"/>
      <c r="BNQ36" s="537"/>
      <c r="BNR36" s="537"/>
      <c r="BNS36" s="537"/>
      <c r="BNT36" s="537"/>
      <c r="BNU36" s="537"/>
      <c r="BNV36" s="537"/>
      <c r="BNW36" s="537"/>
      <c r="BNX36" s="537"/>
      <c r="BNY36" s="537"/>
      <c r="BNZ36" s="537"/>
      <c r="BOA36" s="537"/>
      <c r="BOB36" s="537"/>
      <c r="BOC36" s="537"/>
      <c r="BOD36" s="537"/>
      <c r="BOE36" s="537"/>
      <c r="BOF36" s="537"/>
      <c r="BOG36" s="537"/>
      <c r="BOH36" s="537"/>
      <c r="BOI36" s="537"/>
      <c r="BOJ36" s="537"/>
      <c r="BOK36" s="537"/>
      <c r="BOL36" s="537"/>
      <c r="BOM36" s="537"/>
      <c r="BON36" s="537"/>
      <c r="BOO36" s="537"/>
      <c r="BOP36" s="537"/>
      <c r="BOQ36" s="537"/>
      <c r="BOR36" s="537"/>
      <c r="BOS36" s="537"/>
      <c r="BOT36" s="537"/>
      <c r="BOU36" s="537"/>
      <c r="BOV36" s="537"/>
      <c r="BOW36" s="537"/>
      <c r="BOX36" s="537"/>
      <c r="BOY36" s="537"/>
      <c r="BOZ36" s="537"/>
      <c r="BPA36" s="537"/>
      <c r="BPB36" s="537"/>
      <c r="BPC36" s="537"/>
      <c r="BPD36" s="537"/>
      <c r="BPE36" s="537"/>
      <c r="BPF36" s="537"/>
      <c r="BPG36" s="537"/>
      <c r="BPH36" s="537"/>
      <c r="BPI36" s="537"/>
      <c r="BPJ36" s="537"/>
      <c r="BPK36" s="537"/>
      <c r="BPL36" s="537"/>
      <c r="BPM36" s="537"/>
      <c r="BPN36" s="537"/>
      <c r="BPO36" s="537"/>
      <c r="BPP36" s="537"/>
      <c r="BPQ36" s="537"/>
      <c r="BPR36" s="537"/>
      <c r="BPS36" s="537"/>
      <c r="BPT36" s="537"/>
      <c r="BPU36" s="537"/>
      <c r="BPV36" s="537"/>
      <c r="BPW36" s="537"/>
      <c r="BPX36" s="537"/>
      <c r="BPY36" s="537"/>
      <c r="BPZ36" s="537"/>
      <c r="BQA36" s="537"/>
      <c r="BQB36" s="537"/>
      <c r="BQC36" s="537"/>
      <c r="BQD36" s="537"/>
      <c r="BQE36" s="537"/>
      <c r="BQF36" s="537"/>
      <c r="BQG36" s="537"/>
      <c r="BQH36" s="537"/>
      <c r="BQI36" s="537"/>
      <c r="BQJ36" s="537"/>
      <c r="BQK36" s="537"/>
      <c r="BQL36" s="537"/>
      <c r="BQM36" s="537"/>
      <c r="BQN36" s="537"/>
      <c r="BQO36" s="537"/>
      <c r="BQP36" s="537"/>
      <c r="BQQ36" s="537"/>
      <c r="BQR36" s="537"/>
      <c r="BQS36" s="537"/>
      <c r="BQT36" s="537"/>
      <c r="BQU36" s="537"/>
      <c r="BQV36" s="537"/>
      <c r="BQW36" s="537"/>
      <c r="BQX36" s="537"/>
      <c r="BQY36" s="537"/>
      <c r="BQZ36" s="537"/>
      <c r="BRA36" s="537"/>
      <c r="BRB36" s="537"/>
      <c r="BRC36" s="537"/>
      <c r="BRD36" s="537"/>
      <c r="BRE36" s="537"/>
      <c r="BRF36" s="537"/>
      <c r="BRG36" s="537"/>
      <c r="BRH36" s="537"/>
      <c r="BRI36" s="537"/>
      <c r="BRJ36" s="537"/>
      <c r="BRK36" s="537"/>
      <c r="BRL36" s="537"/>
      <c r="BRM36" s="537"/>
      <c r="BRN36" s="537"/>
      <c r="BRO36" s="537"/>
      <c r="BRP36" s="537"/>
      <c r="BRQ36" s="537"/>
      <c r="BRR36" s="537"/>
      <c r="BRS36" s="537"/>
      <c r="BRT36" s="537"/>
      <c r="BRU36" s="537"/>
      <c r="BRV36" s="537"/>
      <c r="BRW36" s="537"/>
      <c r="BRX36" s="537"/>
      <c r="BRY36" s="537"/>
      <c r="BRZ36" s="537"/>
      <c r="BSA36" s="537"/>
      <c r="BSB36" s="537"/>
      <c r="BSC36" s="537"/>
      <c r="BSD36" s="537"/>
      <c r="BSE36" s="537"/>
      <c r="BSF36" s="537"/>
      <c r="BSG36" s="537"/>
      <c r="BSH36" s="537"/>
      <c r="BSI36" s="537"/>
      <c r="BSJ36" s="537"/>
      <c r="BSK36" s="537"/>
      <c r="BSL36" s="537"/>
      <c r="BSM36" s="537"/>
      <c r="BSN36" s="537"/>
      <c r="BSO36" s="537"/>
      <c r="BSP36" s="537"/>
      <c r="BSQ36" s="537"/>
      <c r="BSR36" s="537"/>
      <c r="BSS36" s="537"/>
      <c r="BST36" s="537"/>
      <c r="BSU36" s="537"/>
      <c r="BSV36" s="537"/>
      <c r="BSW36" s="537"/>
      <c r="BSX36" s="537"/>
      <c r="BSY36" s="537"/>
      <c r="BSZ36" s="537"/>
      <c r="BTA36" s="537"/>
      <c r="BTB36" s="537"/>
      <c r="BTC36" s="537"/>
      <c r="BTD36" s="537"/>
      <c r="BTE36" s="537"/>
      <c r="BTF36" s="537"/>
      <c r="BTG36" s="537"/>
      <c r="BTH36" s="537"/>
      <c r="BTI36" s="537"/>
      <c r="BTJ36" s="537"/>
      <c r="BTK36" s="537"/>
      <c r="BTL36" s="537"/>
      <c r="BTM36" s="537"/>
      <c r="BTN36" s="537"/>
      <c r="BTO36" s="537"/>
      <c r="BTP36" s="537"/>
      <c r="BTQ36" s="537"/>
      <c r="BTR36" s="537"/>
      <c r="BTS36" s="537"/>
      <c r="BTT36" s="537"/>
      <c r="BTU36" s="537"/>
      <c r="BTV36" s="537"/>
      <c r="BTW36" s="537"/>
      <c r="BTX36" s="537"/>
      <c r="BTY36" s="537"/>
      <c r="BTZ36" s="537"/>
      <c r="BUA36" s="537"/>
      <c r="BUB36" s="537"/>
      <c r="BUC36" s="537"/>
      <c r="BUD36" s="537"/>
      <c r="BUE36" s="537"/>
      <c r="BUF36" s="537"/>
      <c r="BUG36" s="537"/>
      <c r="BUH36" s="537"/>
      <c r="BUI36" s="537"/>
      <c r="BUJ36" s="537"/>
      <c r="BUK36" s="537"/>
      <c r="BUL36" s="537"/>
      <c r="BUM36" s="537"/>
      <c r="BUN36" s="537"/>
      <c r="BUO36" s="537"/>
      <c r="BUP36" s="537"/>
      <c r="BUQ36" s="537"/>
      <c r="BUR36" s="537"/>
      <c r="BUS36" s="537"/>
      <c r="BUT36" s="537"/>
      <c r="BUU36" s="537"/>
      <c r="BUV36" s="537"/>
      <c r="BUW36" s="537"/>
      <c r="BUX36" s="537"/>
      <c r="BUY36" s="537"/>
      <c r="BUZ36" s="537"/>
      <c r="BVA36" s="537"/>
      <c r="BVB36" s="537"/>
      <c r="BVC36" s="537"/>
      <c r="BVD36" s="537"/>
      <c r="BVE36" s="537"/>
      <c r="BVF36" s="537"/>
      <c r="BVG36" s="537"/>
      <c r="BVH36" s="537"/>
      <c r="BVI36" s="537"/>
      <c r="BVJ36" s="537"/>
      <c r="BVK36" s="537"/>
      <c r="BVL36" s="537"/>
      <c r="BVM36" s="537"/>
      <c r="BVN36" s="537"/>
      <c r="BVO36" s="537"/>
      <c r="BVP36" s="537"/>
      <c r="BVQ36" s="537"/>
      <c r="BVR36" s="537"/>
      <c r="BVS36" s="537"/>
      <c r="BVT36" s="537"/>
      <c r="BVU36" s="537"/>
      <c r="BVV36" s="537"/>
      <c r="BVW36" s="537"/>
      <c r="BVX36" s="537"/>
      <c r="BVY36" s="537"/>
      <c r="BVZ36" s="537"/>
      <c r="BWA36" s="537"/>
      <c r="BWB36" s="537"/>
      <c r="BWC36" s="537"/>
      <c r="BWD36" s="537"/>
      <c r="BWE36" s="537"/>
      <c r="BWF36" s="537"/>
      <c r="BWG36" s="537"/>
      <c r="BWH36" s="537"/>
      <c r="BWI36" s="537"/>
      <c r="BWJ36" s="537"/>
      <c r="BWK36" s="537"/>
      <c r="BWL36" s="537"/>
      <c r="BWM36" s="537"/>
      <c r="BWN36" s="537"/>
      <c r="BWO36" s="537"/>
      <c r="BWP36" s="537"/>
      <c r="BWQ36" s="537"/>
      <c r="BWR36" s="537"/>
      <c r="BWS36" s="537"/>
      <c r="BWT36" s="537"/>
      <c r="BWU36" s="537"/>
      <c r="BWV36" s="537"/>
      <c r="BWW36" s="537"/>
      <c r="BWX36" s="537"/>
      <c r="BWY36" s="537"/>
      <c r="BWZ36" s="537"/>
      <c r="BXA36" s="537"/>
      <c r="BXB36" s="537"/>
      <c r="BXC36" s="537"/>
      <c r="BXD36" s="537"/>
      <c r="BXE36" s="537"/>
      <c r="BXF36" s="537"/>
      <c r="BXG36" s="537"/>
      <c r="BXH36" s="537"/>
      <c r="BXI36" s="537"/>
      <c r="BXJ36" s="537"/>
      <c r="BXK36" s="537"/>
      <c r="BXL36" s="537"/>
      <c r="BXM36" s="537"/>
      <c r="BXN36" s="537"/>
      <c r="BXO36" s="537"/>
      <c r="BXP36" s="537"/>
      <c r="BXQ36" s="537"/>
      <c r="BXR36" s="537"/>
      <c r="BXS36" s="537"/>
      <c r="BXT36" s="537"/>
      <c r="BXU36" s="537"/>
      <c r="BXV36" s="537"/>
      <c r="BXW36" s="537"/>
      <c r="BXX36" s="537"/>
      <c r="BXY36" s="537"/>
      <c r="BXZ36" s="537"/>
      <c r="BYA36" s="537"/>
      <c r="BYB36" s="537"/>
      <c r="BYC36" s="537"/>
      <c r="BYD36" s="537"/>
      <c r="BYE36" s="537"/>
      <c r="BYF36" s="537"/>
      <c r="BYG36" s="537"/>
      <c r="BYH36" s="537"/>
      <c r="BYI36" s="537"/>
      <c r="BYJ36" s="537"/>
      <c r="BYK36" s="537"/>
      <c r="BYL36" s="537"/>
      <c r="BYM36" s="537"/>
      <c r="BYN36" s="537"/>
      <c r="BYO36" s="537"/>
      <c r="BYP36" s="537"/>
      <c r="BYQ36" s="537"/>
      <c r="BYR36" s="537"/>
      <c r="BYS36" s="537"/>
      <c r="BYT36" s="537"/>
      <c r="BYU36" s="537"/>
      <c r="BYV36" s="537"/>
      <c r="BYW36" s="537"/>
      <c r="BYX36" s="537"/>
      <c r="BYY36" s="537"/>
      <c r="BYZ36" s="537"/>
      <c r="BZA36" s="537"/>
      <c r="BZB36" s="537"/>
      <c r="BZC36" s="537"/>
      <c r="BZD36" s="537"/>
      <c r="BZE36" s="537"/>
      <c r="BZF36" s="537"/>
      <c r="BZG36" s="537"/>
      <c r="BZH36" s="537"/>
      <c r="BZI36" s="537"/>
      <c r="BZJ36" s="537"/>
      <c r="BZK36" s="537"/>
      <c r="BZL36" s="537"/>
      <c r="BZM36" s="537"/>
      <c r="BZN36" s="537"/>
      <c r="BZO36" s="537"/>
      <c r="BZP36" s="537"/>
      <c r="BZQ36" s="537"/>
      <c r="BZR36" s="537"/>
      <c r="BZS36" s="537"/>
      <c r="BZT36" s="537"/>
      <c r="BZU36" s="537"/>
      <c r="BZV36" s="537"/>
      <c r="BZW36" s="537"/>
      <c r="BZX36" s="537"/>
      <c r="BZY36" s="537"/>
      <c r="BZZ36" s="537"/>
      <c r="CAA36" s="537"/>
      <c r="CAB36" s="537"/>
      <c r="CAC36" s="537"/>
      <c r="CAD36" s="537"/>
      <c r="CAE36" s="537"/>
      <c r="CAF36" s="537"/>
      <c r="CAG36" s="537"/>
      <c r="CAH36" s="537"/>
      <c r="CAI36" s="537"/>
      <c r="CAJ36" s="537"/>
      <c r="CAK36" s="537"/>
      <c r="CAL36" s="537"/>
      <c r="CAM36" s="537"/>
      <c r="CAN36" s="537"/>
      <c r="CAO36" s="537"/>
      <c r="CAP36" s="537"/>
      <c r="CAQ36" s="537"/>
      <c r="CAR36" s="537"/>
      <c r="CAS36" s="537"/>
      <c r="CAT36" s="537"/>
      <c r="CAU36" s="537"/>
      <c r="CAV36" s="537"/>
      <c r="CAW36" s="537"/>
      <c r="CAX36" s="537"/>
      <c r="CAY36" s="537"/>
      <c r="CAZ36" s="537"/>
      <c r="CBA36" s="537"/>
      <c r="CBB36" s="537"/>
      <c r="CBC36" s="537"/>
      <c r="CBD36" s="537"/>
      <c r="CBE36" s="537"/>
      <c r="CBF36" s="537"/>
      <c r="CBG36" s="537"/>
      <c r="CBH36" s="537"/>
      <c r="CBI36" s="537"/>
      <c r="CBJ36" s="537"/>
      <c r="CBK36" s="537"/>
      <c r="CBL36" s="537"/>
      <c r="CBM36" s="537"/>
      <c r="CBN36" s="537"/>
      <c r="CBO36" s="537"/>
      <c r="CBP36" s="537"/>
      <c r="CBQ36" s="537"/>
      <c r="CBR36" s="537"/>
      <c r="CBS36" s="537"/>
      <c r="CBT36" s="537"/>
      <c r="CBU36" s="537"/>
      <c r="CBV36" s="537"/>
      <c r="CBW36" s="537"/>
      <c r="CBX36" s="537"/>
      <c r="CBY36" s="537"/>
      <c r="CBZ36" s="537"/>
      <c r="CCA36" s="537"/>
      <c r="CCB36" s="537"/>
      <c r="CCC36" s="537"/>
      <c r="CCD36" s="537"/>
      <c r="CCE36" s="537"/>
      <c r="CCF36" s="537"/>
      <c r="CCG36" s="537"/>
      <c r="CCH36" s="537"/>
      <c r="CCI36" s="537"/>
      <c r="CCJ36" s="537"/>
      <c r="CCK36" s="537"/>
      <c r="CCL36" s="537"/>
      <c r="CCM36" s="537"/>
      <c r="CCN36" s="537"/>
      <c r="CCO36" s="537"/>
      <c r="CCP36" s="537"/>
      <c r="CCQ36" s="537"/>
      <c r="CCR36" s="537"/>
      <c r="CCS36" s="537"/>
      <c r="CCT36" s="537"/>
      <c r="CCU36" s="537"/>
      <c r="CCV36" s="537"/>
      <c r="CCW36" s="537"/>
      <c r="CCX36" s="537"/>
      <c r="CCY36" s="537"/>
      <c r="CCZ36" s="537"/>
      <c r="CDA36" s="537"/>
      <c r="CDB36" s="537"/>
      <c r="CDC36" s="537"/>
      <c r="CDD36" s="537"/>
      <c r="CDE36" s="537"/>
      <c r="CDF36" s="537"/>
      <c r="CDG36" s="537"/>
      <c r="CDH36" s="537"/>
      <c r="CDI36" s="537"/>
      <c r="CDJ36" s="537"/>
      <c r="CDK36" s="537"/>
      <c r="CDL36" s="537"/>
      <c r="CDM36" s="537"/>
      <c r="CDN36" s="537"/>
      <c r="CDO36" s="537"/>
      <c r="CDP36" s="537"/>
      <c r="CDQ36" s="537"/>
      <c r="CDR36" s="537"/>
      <c r="CDS36" s="537"/>
      <c r="CDT36" s="537"/>
      <c r="CDU36" s="537"/>
      <c r="CDV36" s="537"/>
      <c r="CDW36" s="537"/>
      <c r="CDX36" s="537"/>
      <c r="CDY36" s="537"/>
      <c r="CDZ36" s="537"/>
      <c r="CEA36" s="537"/>
      <c r="CEB36" s="537"/>
      <c r="CEC36" s="537"/>
      <c r="CED36" s="537"/>
      <c r="CEE36" s="537"/>
      <c r="CEF36" s="537"/>
      <c r="CEG36" s="537"/>
      <c r="CEH36" s="537"/>
      <c r="CEI36" s="537"/>
      <c r="CEJ36" s="537"/>
      <c r="CEK36" s="537"/>
      <c r="CEL36" s="537"/>
      <c r="CEM36" s="537"/>
      <c r="CEN36" s="537"/>
      <c r="CEO36" s="537"/>
      <c r="CEP36" s="537"/>
      <c r="CEQ36" s="537"/>
      <c r="CER36" s="537"/>
      <c r="CES36" s="537"/>
      <c r="CET36" s="537"/>
      <c r="CEU36" s="537"/>
      <c r="CEV36" s="537"/>
      <c r="CEW36" s="537"/>
      <c r="CEX36" s="537"/>
      <c r="CEY36" s="537"/>
      <c r="CEZ36" s="537"/>
      <c r="CFA36" s="537"/>
      <c r="CFB36" s="537"/>
      <c r="CFC36" s="537"/>
      <c r="CFD36" s="537"/>
      <c r="CFE36" s="537"/>
      <c r="CFF36" s="537"/>
      <c r="CFG36" s="537"/>
      <c r="CFH36" s="537"/>
      <c r="CFI36" s="537"/>
      <c r="CFJ36" s="537"/>
      <c r="CFK36" s="537"/>
      <c r="CFL36" s="537"/>
      <c r="CFM36" s="537"/>
      <c r="CFN36" s="537"/>
      <c r="CFO36" s="537"/>
      <c r="CFP36" s="537"/>
      <c r="CFQ36" s="537"/>
      <c r="CFR36" s="537"/>
      <c r="CFS36" s="537"/>
      <c r="CFT36" s="537"/>
      <c r="CFU36" s="537"/>
      <c r="CFV36" s="537"/>
      <c r="CFW36" s="537"/>
      <c r="CFX36" s="537"/>
      <c r="CFY36" s="537"/>
      <c r="CFZ36" s="537"/>
      <c r="CGA36" s="537"/>
      <c r="CGB36" s="537"/>
      <c r="CGC36" s="537"/>
      <c r="CGD36" s="537"/>
      <c r="CGE36" s="537"/>
      <c r="CGF36" s="537"/>
      <c r="CGG36" s="537"/>
      <c r="CGH36" s="537"/>
      <c r="CGI36" s="537"/>
      <c r="CGJ36" s="537"/>
      <c r="CGK36" s="537"/>
      <c r="CGL36" s="537"/>
      <c r="CGM36" s="537"/>
      <c r="CGN36" s="537"/>
      <c r="CGO36" s="537"/>
      <c r="CGP36" s="537"/>
      <c r="CGQ36" s="537"/>
      <c r="CGR36" s="537"/>
      <c r="CGS36" s="537"/>
      <c r="CGT36" s="537"/>
      <c r="CGU36" s="537"/>
      <c r="CGV36" s="537"/>
      <c r="CGW36" s="537"/>
      <c r="CGX36" s="537"/>
      <c r="CGY36" s="537"/>
      <c r="CGZ36" s="537"/>
      <c r="CHA36" s="537"/>
      <c r="CHB36" s="537"/>
      <c r="CHC36" s="537"/>
      <c r="CHD36" s="537"/>
      <c r="CHE36" s="537"/>
      <c r="CHF36" s="537"/>
      <c r="CHG36" s="537"/>
      <c r="CHH36" s="537"/>
      <c r="CHI36" s="537"/>
      <c r="CHJ36" s="537"/>
      <c r="CHK36" s="537"/>
      <c r="CHL36" s="537"/>
      <c r="CHM36" s="537"/>
      <c r="CHN36" s="537"/>
      <c r="CHO36" s="537"/>
      <c r="CHP36" s="537"/>
      <c r="CHQ36" s="537"/>
      <c r="CHR36" s="537"/>
      <c r="CHS36" s="537"/>
      <c r="CHT36" s="537"/>
      <c r="CHU36" s="537"/>
      <c r="CHV36" s="537"/>
      <c r="CHW36" s="537"/>
      <c r="CHX36" s="537"/>
      <c r="CHY36" s="537"/>
      <c r="CHZ36" s="537"/>
      <c r="CIA36" s="537"/>
      <c r="CIB36" s="537"/>
      <c r="CIC36" s="537"/>
      <c r="CID36" s="537"/>
      <c r="CIE36" s="537"/>
      <c r="CIF36" s="537"/>
      <c r="CIG36" s="537"/>
      <c r="CIH36" s="537"/>
      <c r="CII36" s="537"/>
      <c r="CIJ36" s="537"/>
      <c r="CIK36" s="537"/>
      <c r="CIL36" s="537"/>
      <c r="CIM36" s="537"/>
      <c r="CIN36" s="537"/>
      <c r="CIO36" s="537"/>
      <c r="CIP36" s="537"/>
      <c r="CIQ36" s="537"/>
      <c r="CIR36" s="537"/>
      <c r="CIS36" s="537"/>
      <c r="CIT36" s="537"/>
      <c r="CIU36" s="537"/>
      <c r="CIV36" s="537"/>
      <c r="CIW36" s="537"/>
      <c r="CIX36" s="537"/>
      <c r="CIY36" s="537"/>
      <c r="CIZ36" s="537"/>
      <c r="CJA36" s="537"/>
      <c r="CJB36" s="537"/>
      <c r="CJC36" s="537"/>
      <c r="CJD36" s="537"/>
      <c r="CJE36" s="537"/>
      <c r="CJF36" s="537"/>
      <c r="CJG36" s="537"/>
      <c r="CJH36" s="537"/>
      <c r="CJI36" s="537"/>
      <c r="CJJ36" s="537"/>
      <c r="CJK36" s="537"/>
      <c r="CJL36" s="537"/>
      <c r="CJM36" s="537"/>
      <c r="CJN36" s="537"/>
      <c r="CJO36" s="537"/>
      <c r="CJP36" s="537"/>
      <c r="CJQ36" s="537"/>
      <c r="CJR36" s="537"/>
      <c r="CJS36" s="537"/>
      <c r="CJT36" s="537"/>
      <c r="CJU36" s="537"/>
      <c r="CJV36" s="537"/>
      <c r="CJW36" s="537"/>
      <c r="CJX36" s="537"/>
      <c r="CJY36" s="537"/>
      <c r="CJZ36" s="537"/>
      <c r="CKA36" s="537"/>
      <c r="CKB36" s="537"/>
      <c r="CKC36" s="537"/>
      <c r="CKD36" s="537"/>
      <c r="CKE36" s="537"/>
      <c r="CKF36" s="537"/>
      <c r="CKG36" s="537"/>
      <c r="CKH36" s="537"/>
      <c r="CKI36" s="537"/>
      <c r="CKJ36" s="537"/>
      <c r="CKK36" s="537"/>
      <c r="CKL36" s="537"/>
      <c r="CKM36" s="537"/>
      <c r="CKN36" s="537"/>
      <c r="CKO36" s="537"/>
      <c r="CKP36" s="537"/>
      <c r="CKQ36" s="537"/>
      <c r="CKR36" s="537"/>
      <c r="CKS36" s="537"/>
      <c r="CKT36" s="537"/>
      <c r="CKU36" s="537"/>
      <c r="CKV36" s="537"/>
      <c r="CKW36" s="537"/>
      <c r="CKX36" s="537"/>
      <c r="CKY36" s="537"/>
      <c r="CKZ36" s="537"/>
      <c r="CLA36" s="537"/>
      <c r="CLB36" s="537"/>
      <c r="CLC36" s="537"/>
      <c r="CLD36" s="537"/>
      <c r="CLE36" s="537"/>
      <c r="CLF36" s="537"/>
      <c r="CLG36" s="537"/>
      <c r="CLH36" s="537"/>
      <c r="CLI36" s="537"/>
      <c r="CLJ36" s="537"/>
      <c r="CLK36" s="537"/>
      <c r="CLL36" s="537"/>
      <c r="CLM36" s="537"/>
      <c r="CLN36" s="537"/>
      <c r="CLO36" s="537"/>
      <c r="CLP36" s="537"/>
      <c r="CLQ36" s="537"/>
      <c r="CLR36" s="537"/>
      <c r="CLS36" s="537"/>
      <c r="CLT36" s="537"/>
      <c r="CLU36" s="537"/>
      <c r="CLV36" s="537"/>
      <c r="CLW36" s="537"/>
      <c r="CLX36" s="537"/>
      <c r="CLY36" s="537"/>
      <c r="CLZ36" s="537"/>
      <c r="CMA36" s="537"/>
      <c r="CMB36" s="537"/>
      <c r="CMC36" s="537"/>
      <c r="CMD36" s="537"/>
      <c r="CME36" s="537"/>
      <c r="CMF36" s="537"/>
      <c r="CMG36" s="537"/>
      <c r="CMH36" s="537"/>
      <c r="CMI36" s="537"/>
      <c r="CMJ36" s="537"/>
      <c r="CMK36" s="537"/>
      <c r="CML36" s="537"/>
      <c r="CMM36" s="537"/>
      <c r="CMN36" s="537"/>
      <c r="CMO36" s="537"/>
      <c r="CMP36" s="537"/>
      <c r="CMQ36" s="537"/>
      <c r="CMR36" s="537"/>
      <c r="CMS36" s="537"/>
      <c r="CMT36" s="537"/>
      <c r="CMU36" s="537"/>
      <c r="CMV36" s="537"/>
      <c r="CMW36" s="537"/>
      <c r="CMX36" s="537"/>
      <c r="CMY36" s="537"/>
      <c r="CMZ36" s="537"/>
      <c r="CNA36" s="537"/>
      <c r="CNB36" s="537"/>
      <c r="CNC36" s="537"/>
      <c r="CND36" s="537"/>
      <c r="CNE36" s="537"/>
      <c r="CNF36" s="537"/>
      <c r="CNG36" s="537"/>
      <c r="CNH36" s="537"/>
      <c r="CNI36" s="537"/>
      <c r="CNJ36" s="537"/>
      <c r="CNK36" s="537"/>
      <c r="CNL36" s="537"/>
      <c r="CNM36" s="537"/>
      <c r="CNN36" s="537"/>
      <c r="CNO36" s="537"/>
      <c r="CNP36" s="537"/>
      <c r="CNQ36" s="537"/>
      <c r="CNR36" s="537"/>
      <c r="CNS36" s="537"/>
      <c r="CNT36" s="537"/>
      <c r="CNU36" s="537"/>
      <c r="CNV36" s="537"/>
      <c r="CNW36" s="537"/>
      <c r="CNX36" s="537"/>
      <c r="CNY36" s="537"/>
      <c r="CNZ36" s="537"/>
      <c r="COA36" s="537"/>
      <c r="COB36" s="537"/>
      <c r="COC36" s="537"/>
      <c r="COD36" s="537"/>
      <c r="COE36" s="537"/>
      <c r="COF36" s="537"/>
      <c r="COG36" s="537"/>
      <c r="COH36" s="537"/>
      <c r="COI36" s="537"/>
      <c r="COJ36" s="537"/>
      <c r="COK36" s="537"/>
      <c r="COL36" s="537"/>
      <c r="COM36" s="537"/>
      <c r="CON36" s="537"/>
      <c r="COO36" s="537"/>
      <c r="COP36" s="537"/>
      <c r="COQ36" s="537"/>
      <c r="COR36" s="537"/>
      <c r="COS36" s="537"/>
      <c r="COT36" s="537"/>
      <c r="COU36" s="537"/>
      <c r="COV36" s="537"/>
      <c r="COW36" s="537"/>
      <c r="COX36" s="537"/>
      <c r="COY36" s="537"/>
      <c r="COZ36" s="537"/>
      <c r="CPA36" s="537"/>
      <c r="CPB36" s="537"/>
      <c r="CPC36" s="537"/>
      <c r="CPD36" s="537"/>
      <c r="CPE36" s="537"/>
      <c r="CPF36" s="537"/>
      <c r="CPG36" s="537"/>
      <c r="CPH36" s="537"/>
      <c r="CPI36" s="537"/>
      <c r="CPJ36" s="537"/>
      <c r="CPK36" s="537"/>
      <c r="CPL36" s="537"/>
      <c r="CPM36" s="537"/>
      <c r="CPN36" s="537"/>
      <c r="CPO36" s="537"/>
      <c r="CPP36" s="537"/>
      <c r="CPQ36" s="537"/>
      <c r="CPR36" s="537"/>
      <c r="CPS36" s="537"/>
      <c r="CPT36" s="537"/>
      <c r="CPU36" s="537"/>
      <c r="CPV36" s="537"/>
      <c r="CPW36" s="537"/>
      <c r="CPX36" s="537"/>
      <c r="CPY36" s="537"/>
      <c r="CPZ36" s="537"/>
      <c r="CQA36" s="537"/>
      <c r="CQB36" s="537"/>
      <c r="CQC36" s="537"/>
      <c r="CQD36" s="537"/>
      <c r="CQE36" s="537"/>
      <c r="CQF36" s="537"/>
      <c r="CQG36" s="537"/>
      <c r="CQH36" s="537"/>
      <c r="CQI36" s="537"/>
      <c r="CQJ36" s="537"/>
      <c r="CQK36" s="537"/>
      <c r="CQL36" s="537"/>
      <c r="CQM36" s="537"/>
      <c r="CQN36" s="537"/>
      <c r="CQO36" s="537"/>
      <c r="CQP36" s="537"/>
      <c r="CQQ36" s="537"/>
      <c r="CQR36" s="537"/>
      <c r="CQS36" s="537"/>
      <c r="CQT36" s="537"/>
      <c r="CQU36" s="537"/>
      <c r="CQV36" s="537"/>
      <c r="CQW36" s="537"/>
      <c r="CQX36" s="537"/>
      <c r="CQY36" s="537"/>
      <c r="CQZ36" s="537"/>
      <c r="CRA36" s="537"/>
      <c r="CRB36" s="537"/>
      <c r="CRC36" s="537"/>
      <c r="CRD36" s="537"/>
      <c r="CRE36" s="537"/>
      <c r="CRF36" s="537"/>
      <c r="CRG36" s="537"/>
      <c r="CRH36" s="537"/>
      <c r="CRI36" s="537"/>
      <c r="CRJ36" s="537"/>
      <c r="CRK36" s="537"/>
      <c r="CRL36" s="537"/>
      <c r="CRM36" s="537"/>
      <c r="CRN36" s="537"/>
      <c r="CRO36" s="537"/>
      <c r="CRP36" s="537"/>
      <c r="CRQ36" s="537"/>
      <c r="CRR36" s="537"/>
      <c r="CRS36" s="537"/>
      <c r="CRT36" s="537"/>
      <c r="CRU36" s="537"/>
      <c r="CRV36" s="537"/>
      <c r="CRW36" s="537"/>
      <c r="CRX36" s="537"/>
      <c r="CRY36" s="537"/>
      <c r="CRZ36" s="537"/>
      <c r="CSA36" s="537"/>
      <c r="CSB36" s="537"/>
      <c r="CSC36" s="537"/>
      <c r="CSD36" s="537"/>
      <c r="CSE36" s="537"/>
      <c r="CSF36" s="537"/>
      <c r="CSG36" s="537"/>
      <c r="CSH36" s="537"/>
      <c r="CSI36" s="537"/>
      <c r="CSJ36" s="537"/>
      <c r="CSK36" s="537"/>
      <c r="CSL36" s="537"/>
      <c r="CSM36" s="537"/>
      <c r="CSN36" s="537"/>
      <c r="CSO36" s="537"/>
      <c r="CSP36" s="537"/>
      <c r="CSQ36" s="537"/>
      <c r="CSR36" s="537"/>
      <c r="CSS36" s="537"/>
      <c r="CST36" s="537"/>
      <c r="CSU36" s="537"/>
      <c r="CSV36" s="537"/>
      <c r="CSW36" s="537"/>
      <c r="CSX36" s="537"/>
      <c r="CSY36" s="537"/>
      <c r="CSZ36" s="537"/>
      <c r="CTA36" s="537"/>
      <c r="CTB36" s="537"/>
      <c r="CTC36" s="537"/>
      <c r="CTD36" s="537"/>
      <c r="CTE36" s="537"/>
      <c r="CTF36" s="537"/>
      <c r="CTG36" s="537"/>
      <c r="CTH36" s="537"/>
      <c r="CTI36" s="537"/>
      <c r="CTJ36" s="537"/>
      <c r="CTK36" s="537"/>
      <c r="CTL36" s="537"/>
      <c r="CTM36" s="537"/>
      <c r="CTN36" s="537"/>
      <c r="CTO36" s="537"/>
      <c r="CTP36" s="537"/>
      <c r="CTQ36" s="537"/>
      <c r="CTR36" s="537"/>
      <c r="CTS36" s="537"/>
      <c r="CTT36" s="537"/>
      <c r="CTU36" s="537"/>
      <c r="CTV36" s="537"/>
      <c r="CTW36" s="537"/>
      <c r="CTX36" s="537"/>
      <c r="CTY36" s="537"/>
      <c r="CTZ36" s="537"/>
      <c r="CUA36" s="537"/>
      <c r="CUB36" s="537"/>
      <c r="CUC36" s="537"/>
      <c r="CUD36" s="537"/>
      <c r="CUE36" s="537"/>
      <c r="CUF36" s="537"/>
      <c r="CUG36" s="537"/>
      <c r="CUH36" s="537"/>
      <c r="CUI36" s="537"/>
      <c r="CUJ36" s="537"/>
      <c r="CUK36" s="537"/>
      <c r="CUL36" s="537"/>
      <c r="CUM36" s="537"/>
      <c r="CUN36" s="537"/>
      <c r="CUO36" s="537"/>
      <c r="CUP36" s="537"/>
      <c r="CUQ36" s="537"/>
      <c r="CUR36" s="537"/>
      <c r="CUS36" s="537"/>
      <c r="CUT36" s="537"/>
      <c r="CUU36" s="537"/>
      <c r="CUV36" s="537"/>
      <c r="CUW36" s="537"/>
      <c r="CUX36" s="537"/>
      <c r="CUY36" s="537"/>
      <c r="CUZ36" s="537"/>
      <c r="CVA36" s="537"/>
      <c r="CVB36" s="537"/>
      <c r="CVC36" s="537"/>
      <c r="CVD36" s="537"/>
      <c r="CVE36" s="537"/>
      <c r="CVF36" s="537"/>
      <c r="CVG36" s="537"/>
      <c r="CVH36" s="537"/>
      <c r="CVI36" s="537"/>
      <c r="CVJ36" s="537"/>
      <c r="CVK36" s="537"/>
      <c r="CVL36" s="537"/>
      <c r="CVM36" s="537"/>
      <c r="CVN36" s="537"/>
      <c r="CVO36" s="537"/>
      <c r="CVP36" s="537"/>
      <c r="CVQ36" s="537"/>
      <c r="CVR36" s="537"/>
      <c r="CVS36" s="537"/>
      <c r="CVT36" s="537"/>
      <c r="CVU36" s="537"/>
      <c r="CVV36" s="537"/>
      <c r="CVW36" s="537"/>
      <c r="CVX36" s="537"/>
      <c r="CVY36" s="537"/>
      <c r="CVZ36" s="537"/>
      <c r="CWA36" s="537"/>
      <c r="CWB36" s="537"/>
      <c r="CWC36" s="537"/>
      <c r="CWD36" s="537"/>
      <c r="CWE36" s="537"/>
      <c r="CWF36" s="537"/>
      <c r="CWG36" s="537"/>
      <c r="CWH36" s="537"/>
      <c r="CWI36" s="537"/>
      <c r="CWJ36" s="537"/>
      <c r="CWK36" s="537"/>
      <c r="CWL36" s="537"/>
      <c r="CWM36" s="537"/>
      <c r="CWN36" s="537"/>
      <c r="CWO36" s="537"/>
      <c r="CWP36" s="537"/>
      <c r="CWQ36" s="537"/>
      <c r="CWR36" s="537"/>
      <c r="CWS36" s="537"/>
      <c r="CWT36" s="537"/>
      <c r="CWU36" s="537"/>
      <c r="CWV36" s="537"/>
      <c r="CWW36" s="537"/>
      <c r="CWX36" s="537"/>
      <c r="CWY36" s="537"/>
      <c r="CWZ36" s="537"/>
      <c r="CXA36" s="537"/>
      <c r="CXB36" s="537"/>
      <c r="CXC36" s="537"/>
      <c r="CXD36" s="537"/>
      <c r="CXE36" s="537"/>
      <c r="CXF36" s="537"/>
      <c r="CXG36" s="537"/>
      <c r="CXH36" s="537"/>
      <c r="CXI36" s="537"/>
      <c r="CXJ36" s="537"/>
      <c r="CXK36" s="537"/>
      <c r="CXL36" s="537"/>
      <c r="CXM36" s="537"/>
      <c r="CXN36" s="537"/>
      <c r="CXO36" s="537"/>
      <c r="CXP36" s="537"/>
      <c r="CXQ36" s="537"/>
      <c r="CXR36" s="537"/>
      <c r="CXS36" s="537"/>
      <c r="CXT36" s="537"/>
      <c r="CXU36" s="537"/>
      <c r="CXV36" s="537"/>
      <c r="CXW36" s="537"/>
      <c r="CXX36" s="537"/>
      <c r="CXY36" s="537"/>
      <c r="CXZ36" s="537"/>
      <c r="CYA36" s="537"/>
      <c r="CYB36" s="537"/>
      <c r="CYC36" s="537"/>
      <c r="CYD36" s="537"/>
      <c r="CYE36" s="537"/>
      <c r="CYF36" s="537"/>
      <c r="CYG36" s="537"/>
      <c r="CYH36" s="537"/>
      <c r="CYI36" s="537"/>
      <c r="CYJ36" s="537"/>
      <c r="CYK36" s="537"/>
      <c r="CYL36" s="537"/>
      <c r="CYM36" s="537"/>
      <c r="CYN36" s="537"/>
      <c r="CYO36" s="537"/>
      <c r="CYP36" s="537"/>
      <c r="CYQ36" s="537"/>
      <c r="CYR36" s="537"/>
      <c r="CYS36" s="537"/>
      <c r="CYT36" s="537"/>
      <c r="CYU36" s="537"/>
      <c r="CYV36" s="537"/>
      <c r="CYW36" s="537"/>
      <c r="CYX36" s="537"/>
      <c r="CYY36" s="537"/>
      <c r="CYZ36" s="537"/>
      <c r="CZA36" s="537"/>
      <c r="CZB36" s="537"/>
      <c r="CZC36" s="537"/>
      <c r="CZD36" s="537"/>
      <c r="CZE36" s="537"/>
      <c r="CZF36" s="537"/>
      <c r="CZG36" s="537"/>
      <c r="CZH36" s="537"/>
      <c r="CZI36" s="537"/>
      <c r="CZJ36" s="537"/>
      <c r="CZK36" s="537"/>
      <c r="CZL36" s="537"/>
      <c r="CZM36" s="537"/>
      <c r="CZN36" s="537"/>
      <c r="CZO36" s="537"/>
      <c r="CZP36" s="537"/>
      <c r="CZQ36" s="537"/>
      <c r="CZR36" s="537"/>
      <c r="CZS36" s="537"/>
      <c r="CZT36" s="537"/>
      <c r="CZU36" s="537"/>
      <c r="CZV36" s="537"/>
      <c r="CZW36" s="537"/>
      <c r="CZX36" s="537"/>
      <c r="CZY36" s="537"/>
      <c r="CZZ36" s="537"/>
      <c r="DAA36" s="537"/>
      <c r="DAB36" s="537"/>
      <c r="DAC36" s="537"/>
      <c r="DAD36" s="537"/>
      <c r="DAE36" s="537"/>
      <c r="DAF36" s="537"/>
      <c r="DAG36" s="537"/>
      <c r="DAH36" s="537"/>
      <c r="DAI36" s="537"/>
      <c r="DAJ36" s="537"/>
      <c r="DAK36" s="537"/>
      <c r="DAL36" s="537"/>
      <c r="DAM36" s="537"/>
      <c r="DAN36" s="537"/>
      <c r="DAO36" s="537"/>
      <c r="DAP36" s="537"/>
      <c r="DAQ36" s="537"/>
      <c r="DAR36" s="537"/>
      <c r="DAS36" s="537"/>
      <c r="DAT36" s="537"/>
      <c r="DAU36" s="537"/>
      <c r="DAV36" s="537"/>
      <c r="DAW36" s="537"/>
      <c r="DAX36" s="537"/>
      <c r="DAY36" s="537"/>
      <c r="DAZ36" s="537"/>
      <c r="DBA36" s="537"/>
      <c r="DBB36" s="537"/>
      <c r="DBC36" s="537"/>
      <c r="DBD36" s="537"/>
      <c r="DBE36" s="537"/>
      <c r="DBF36" s="537"/>
      <c r="DBG36" s="537"/>
      <c r="DBH36" s="537"/>
      <c r="DBI36" s="537"/>
      <c r="DBJ36" s="537"/>
      <c r="DBK36" s="537"/>
      <c r="DBL36" s="537"/>
      <c r="DBM36" s="537"/>
      <c r="DBN36" s="537"/>
      <c r="DBO36" s="537"/>
      <c r="DBP36" s="537"/>
      <c r="DBQ36" s="537"/>
      <c r="DBR36" s="537"/>
      <c r="DBS36" s="537"/>
      <c r="DBT36" s="537"/>
      <c r="DBU36" s="537"/>
      <c r="DBV36" s="537"/>
      <c r="DBW36" s="537"/>
      <c r="DBX36" s="537"/>
      <c r="DBY36" s="537"/>
      <c r="DBZ36" s="537"/>
      <c r="DCA36" s="537"/>
      <c r="DCB36" s="537"/>
      <c r="DCC36" s="537"/>
      <c r="DCD36" s="537"/>
      <c r="DCE36" s="537"/>
      <c r="DCF36" s="537"/>
      <c r="DCG36" s="537"/>
      <c r="DCH36" s="537"/>
      <c r="DCI36" s="537"/>
      <c r="DCJ36" s="537"/>
      <c r="DCK36" s="537"/>
      <c r="DCL36" s="537"/>
      <c r="DCM36" s="537"/>
      <c r="DCN36" s="537"/>
      <c r="DCO36" s="537"/>
      <c r="DCP36" s="537"/>
      <c r="DCQ36" s="537"/>
      <c r="DCR36" s="537"/>
      <c r="DCS36" s="537"/>
      <c r="DCT36" s="537"/>
      <c r="DCU36" s="537"/>
      <c r="DCV36" s="537"/>
      <c r="DCW36" s="537"/>
      <c r="DCX36" s="537"/>
      <c r="DCY36" s="537"/>
      <c r="DCZ36" s="537"/>
      <c r="DDA36" s="537"/>
      <c r="DDB36" s="537"/>
      <c r="DDC36" s="537"/>
      <c r="DDD36" s="537"/>
      <c r="DDE36" s="537"/>
      <c r="DDF36" s="537"/>
      <c r="DDG36" s="537"/>
      <c r="DDH36" s="537"/>
      <c r="DDI36" s="537"/>
      <c r="DDJ36" s="537"/>
      <c r="DDK36" s="537"/>
      <c r="DDL36" s="537"/>
      <c r="DDM36" s="537"/>
      <c r="DDN36" s="537"/>
      <c r="DDO36" s="537"/>
      <c r="DDP36" s="537"/>
      <c r="DDQ36" s="537"/>
      <c r="DDR36" s="537"/>
      <c r="DDS36" s="537"/>
      <c r="DDT36" s="537"/>
      <c r="DDU36" s="537"/>
      <c r="DDV36" s="537"/>
      <c r="DDW36" s="537"/>
      <c r="DDX36" s="537"/>
      <c r="DDY36" s="537"/>
      <c r="DDZ36" s="537"/>
      <c r="DEA36" s="537"/>
      <c r="DEB36" s="537"/>
      <c r="DEC36" s="537"/>
      <c r="DED36" s="537"/>
      <c r="DEE36" s="537"/>
      <c r="DEF36" s="537"/>
      <c r="DEG36" s="537"/>
      <c r="DEH36" s="537"/>
      <c r="DEI36" s="537"/>
      <c r="DEJ36" s="537"/>
      <c r="DEK36" s="537"/>
      <c r="DEL36" s="537"/>
      <c r="DEM36" s="537"/>
      <c r="DEN36" s="537"/>
      <c r="DEO36" s="537"/>
      <c r="DEP36" s="537"/>
      <c r="DEQ36" s="537"/>
      <c r="DER36" s="537"/>
      <c r="DES36" s="537"/>
      <c r="DET36" s="537"/>
      <c r="DEU36" s="537"/>
      <c r="DEV36" s="537"/>
      <c r="DEW36" s="537"/>
      <c r="DEX36" s="537"/>
      <c r="DEY36" s="537"/>
      <c r="DEZ36" s="537"/>
      <c r="DFA36" s="537"/>
      <c r="DFB36" s="537"/>
      <c r="DFC36" s="537"/>
      <c r="DFD36" s="537"/>
      <c r="DFE36" s="537"/>
      <c r="DFF36" s="537"/>
      <c r="DFG36" s="537"/>
      <c r="DFH36" s="537"/>
      <c r="DFI36" s="537"/>
      <c r="DFJ36" s="537"/>
      <c r="DFK36" s="537"/>
      <c r="DFL36" s="537"/>
      <c r="DFM36" s="537"/>
      <c r="DFN36" s="537"/>
      <c r="DFO36" s="537"/>
      <c r="DFP36" s="537"/>
      <c r="DFQ36" s="537"/>
      <c r="DFR36" s="537"/>
      <c r="DFS36" s="537"/>
      <c r="DFT36" s="537"/>
      <c r="DFU36" s="537"/>
      <c r="DFV36" s="537"/>
      <c r="DFW36" s="537"/>
      <c r="DFX36" s="537"/>
      <c r="DFY36" s="537"/>
      <c r="DFZ36" s="537"/>
      <c r="DGA36" s="537"/>
      <c r="DGB36" s="537"/>
      <c r="DGC36" s="537"/>
      <c r="DGD36" s="537"/>
      <c r="DGE36" s="537"/>
      <c r="DGF36" s="537"/>
      <c r="DGG36" s="537"/>
      <c r="DGH36" s="537"/>
      <c r="DGI36" s="537"/>
      <c r="DGJ36" s="537"/>
      <c r="DGK36" s="537"/>
      <c r="DGL36" s="537"/>
      <c r="DGM36" s="537"/>
      <c r="DGN36" s="537"/>
      <c r="DGO36" s="537"/>
      <c r="DGP36" s="537"/>
      <c r="DGQ36" s="537"/>
      <c r="DGR36" s="537"/>
      <c r="DGS36" s="537"/>
      <c r="DGT36" s="537"/>
      <c r="DGU36" s="537"/>
      <c r="DGV36" s="537"/>
      <c r="DGW36" s="537"/>
      <c r="DGX36" s="537"/>
      <c r="DGY36" s="537"/>
      <c r="DGZ36" s="537"/>
      <c r="DHA36" s="537"/>
      <c r="DHB36" s="537"/>
      <c r="DHC36" s="537"/>
      <c r="DHD36" s="537"/>
      <c r="DHE36" s="537"/>
      <c r="DHF36" s="537"/>
      <c r="DHG36" s="537"/>
      <c r="DHH36" s="537"/>
      <c r="DHI36" s="537"/>
      <c r="DHJ36" s="537"/>
      <c r="DHK36" s="537"/>
      <c r="DHL36" s="537"/>
      <c r="DHM36" s="537"/>
      <c r="DHN36" s="537"/>
      <c r="DHO36" s="537"/>
      <c r="DHP36" s="537"/>
      <c r="DHQ36" s="537"/>
      <c r="DHR36" s="537"/>
      <c r="DHS36" s="537"/>
      <c r="DHT36" s="537"/>
      <c r="DHU36" s="537"/>
      <c r="DHV36" s="537"/>
      <c r="DHW36" s="537"/>
      <c r="DHX36" s="537"/>
      <c r="DHY36" s="537"/>
      <c r="DHZ36" s="537"/>
      <c r="DIA36" s="537"/>
      <c r="DIB36" s="537"/>
      <c r="DIC36" s="537"/>
      <c r="DID36" s="537"/>
      <c r="DIE36" s="537"/>
      <c r="DIF36" s="537"/>
      <c r="DIG36" s="537"/>
      <c r="DIH36" s="537"/>
      <c r="DII36" s="537"/>
      <c r="DIJ36" s="537"/>
      <c r="DIK36" s="537"/>
      <c r="DIL36" s="537"/>
      <c r="DIM36" s="537"/>
      <c r="DIN36" s="537"/>
      <c r="DIO36" s="537"/>
      <c r="DIP36" s="537"/>
      <c r="DIQ36" s="537"/>
      <c r="DIR36" s="537"/>
      <c r="DIS36" s="537"/>
      <c r="DIT36" s="537"/>
      <c r="DIU36" s="537"/>
      <c r="DIV36" s="537"/>
      <c r="DIW36" s="537"/>
      <c r="DIX36" s="537"/>
      <c r="DIY36" s="537"/>
      <c r="DIZ36" s="537"/>
      <c r="DJA36" s="537"/>
      <c r="DJB36" s="537"/>
      <c r="DJC36" s="537"/>
      <c r="DJD36" s="537"/>
      <c r="DJE36" s="537"/>
      <c r="DJF36" s="537"/>
      <c r="DJG36" s="537"/>
      <c r="DJH36" s="537"/>
      <c r="DJI36" s="537"/>
      <c r="DJJ36" s="537"/>
      <c r="DJK36" s="537"/>
      <c r="DJL36" s="537"/>
      <c r="DJM36" s="537"/>
      <c r="DJN36" s="537"/>
      <c r="DJO36" s="537"/>
      <c r="DJP36" s="537"/>
      <c r="DJQ36" s="537"/>
      <c r="DJR36" s="537"/>
      <c r="DJS36" s="537"/>
      <c r="DJT36" s="537"/>
      <c r="DJU36" s="537"/>
      <c r="DJV36" s="537"/>
      <c r="DJW36" s="537"/>
      <c r="DJX36" s="537"/>
      <c r="DJY36" s="537"/>
      <c r="DJZ36" s="537"/>
      <c r="DKA36" s="537"/>
      <c r="DKB36" s="537"/>
      <c r="DKC36" s="537"/>
      <c r="DKD36" s="537"/>
      <c r="DKE36" s="537"/>
      <c r="DKF36" s="537"/>
      <c r="DKG36" s="537"/>
      <c r="DKH36" s="537"/>
      <c r="DKI36" s="537"/>
      <c r="DKJ36" s="537"/>
      <c r="DKK36" s="537"/>
      <c r="DKL36" s="537"/>
      <c r="DKM36" s="537"/>
      <c r="DKN36" s="537"/>
      <c r="DKO36" s="537"/>
      <c r="DKP36" s="537"/>
      <c r="DKQ36" s="537"/>
      <c r="DKR36" s="537"/>
      <c r="DKS36" s="537"/>
      <c r="DKT36" s="537"/>
      <c r="DKU36" s="537"/>
      <c r="DKV36" s="537"/>
      <c r="DKW36" s="537"/>
      <c r="DKX36" s="537"/>
      <c r="DKY36" s="537"/>
      <c r="DKZ36" s="537"/>
      <c r="DLA36" s="537"/>
      <c r="DLB36" s="537"/>
      <c r="DLC36" s="537"/>
      <c r="DLD36" s="537"/>
      <c r="DLE36" s="537"/>
      <c r="DLF36" s="537"/>
      <c r="DLG36" s="537"/>
      <c r="DLH36" s="537"/>
      <c r="DLI36" s="537"/>
      <c r="DLJ36" s="537"/>
      <c r="DLK36" s="537"/>
      <c r="DLL36" s="537"/>
      <c r="DLM36" s="537"/>
      <c r="DLN36" s="537"/>
      <c r="DLO36" s="537"/>
      <c r="DLP36" s="537"/>
      <c r="DLQ36" s="537"/>
      <c r="DLR36" s="537"/>
      <c r="DLS36" s="537"/>
      <c r="DLT36" s="537"/>
      <c r="DLU36" s="537"/>
      <c r="DLV36" s="537"/>
      <c r="DLW36" s="537"/>
      <c r="DLX36" s="537"/>
      <c r="DLY36" s="537"/>
      <c r="DLZ36" s="537"/>
      <c r="DMA36" s="537"/>
      <c r="DMB36" s="537"/>
      <c r="DMC36" s="537"/>
      <c r="DMD36" s="537"/>
      <c r="DME36" s="537"/>
      <c r="DMF36" s="537"/>
      <c r="DMG36" s="537"/>
      <c r="DMH36" s="537"/>
      <c r="DMI36" s="537"/>
      <c r="DMJ36" s="537"/>
      <c r="DMK36" s="537"/>
      <c r="DML36" s="537"/>
      <c r="DMM36" s="537"/>
      <c r="DMN36" s="537"/>
      <c r="DMO36" s="537"/>
      <c r="DMP36" s="537"/>
      <c r="DMQ36" s="537"/>
      <c r="DMR36" s="537"/>
      <c r="DMS36" s="537"/>
      <c r="DMT36" s="537"/>
      <c r="DMU36" s="537"/>
      <c r="DMV36" s="537"/>
      <c r="DMW36" s="537"/>
      <c r="DMX36" s="537"/>
      <c r="DMY36" s="537"/>
      <c r="DMZ36" s="537"/>
      <c r="DNA36" s="537"/>
      <c r="DNB36" s="537"/>
      <c r="DNC36" s="537"/>
      <c r="DND36" s="537"/>
      <c r="DNE36" s="537"/>
      <c r="DNF36" s="537"/>
      <c r="DNG36" s="537"/>
      <c r="DNH36" s="537"/>
      <c r="DNI36" s="537"/>
      <c r="DNJ36" s="537"/>
      <c r="DNK36" s="537"/>
      <c r="DNL36" s="537"/>
      <c r="DNM36" s="537"/>
      <c r="DNN36" s="537"/>
      <c r="DNO36" s="537"/>
      <c r="DNP36" s="537"/>
      <c r="DNQ36" s="537"/>
      <c r="DNR36" s="537"/>
      <c r="DNS36" s="537"/>
      <c r="DNT36" s="537"/>
      <c r="DNU36" s="537"/>
      <c r="DNV36" s="537"/>
      <c r="DNW36" s="537"/>
      <c r="DNX36" s="537"/>
      <c r="DNY36" s="537"/>
      <c r="DNZ36" s="537"/>
      <c r="DOA36" s="537"/>
      <c r="DOB36" s="537"/>
      <c r="DOC36" s="537"/>
      <c r="DOD36" s="537"/>
      <c r="DOE36" s="537"/>
      <c r="DOF36" s="537"/>
      <c r="DOG36" s="537"/>
      <c r="DOH36" s="537"/>
      <c r="DOI36" s="537"/>
      <c r="DOJ36" s="537"/>
      <c r="DOK36" s="537"/>
      <c r="DOL36" s="537"/>
      <c r="DOM36" s="537"/>
      <c r="DON36" s="537"/>
      <c r="DOO36" s="537"/>
      <c r="DOP36" s="537"/>
      <c r="DOQ36" s="537"/>
      <c r="DOR36" s="537"/>
      <c r="DOS36" s="537"/>
      <c r="DOT36" s="537"/>
      <c r="DOU36" s="537"/>
      <c r="DOV36" s="537"/>
      <c r="DOW36" s="537"/>
      <c r="DOX36" s="537"/>
      <c r="DOY36" s="537"/>
      <c r="DOZ36" s="537"/>
      <c r="DPA36" s="537"/>
      <c r="DPB36" s="537"/>
      <c r="DPC36" s="537"/>
      <c r="DPD36" s="537"/>
      <c r="DPE36" s="537"/>
      <c r="DPF36" s="537"/>
      <c r="DPG36" s="537"/>
      <c r="DPH36" s="537"/>
      <c r="DPI36" s="537"/>
      <c r="DPJ36" s="537"/>
      <c r="DPK36" s="537"/>
      <c r="DPL36" s="537"/>
      <c r="DPM36" s="537"/>
      <c r="DPN36" s="537"/>
      <c r="DPO36" s="537"/>
      <c r="DPP36" s="537"/>
      <c r="DPQ36" s="537"/>
      <c r="DPR36" s="537"/>
      <c r="DPS36" s="537"/>
      <c r="DPT36" s="537"/>
      <c r="DPU36" s="537"/>
      <c r="DPV36" s="537"/>
      <c r="DPW36" s="537"/>
      <c r="DPX36" s="537"/>
      <c r="DPY36" s="537"/>
      <c r="DPZ36" s="537"/>
      <c r="DQA36" s="537"/>
      <c r="DQB36" s="537"/>
      <c r="DQC36" s="537"/>
      <c r="DQD36" s="537"/>
      <c r="DQE36" s="537"/>
      <c r="DQF36" s="537"/>
      <c r="DQG36" s="537"/>
      <c r="DQH36" s="537"/>
      <c r="DQI36" s="537"/>
      <c r="DQJ36" s="537"/>
      <c r="DQK36" s="537"/>
      <c r="DQL36" s="537"/>
      <c r="DQM36" s="537"/>
      <c r="DQN36" s="537"/>
      <c r="DQO36" s="537"/>
      <c r="DQP36" s="537"/>
      <c r="DQQ36" s="537"/>
      <c r="DQR36" s="537"/>
      <c r="DQS36" s="537"/>
      <c r="DQT36" s="537"/>
      <c r="DQU36" s="537"/>
      <c r="DQV36" s="537"/>
      <c r="DQW36" s="537"/>
      <c r="DQX36" s="537"/>
      <c r="DQY36" s="537"/>
      <c r="DQZ36" s="537"/>
      <c r="DRA36" s="537"/>
      <c r="DRB36" s="537"/>
      <c r="DRC36" s="537"/>
      <c r="DRD36" s="537"/>
      <c r="DRE36" s="537"/>
      <c r="DRF36" s="537"/>
      <c r="DRG36" s="537"/>
      <c r="DRH36" s="537"/>
      <c r="DRI36" s="537"/>
      <c r="DRJ36" s="537"/>
      <c r="DRK36" s="537"/>
      <c r="DRL36" s="537"/>
      <c r="DRM36" s="537"/>
      <c r="DRN36" s="537"/>
      <c r="DRO36" s="537"/>
      <c r="DRP36" s="537"/>
      <c r="DRQ36" s="537"/>
      <c r="DRR36" s="537"/>
      <c r="DRS36" s="537"/>
      <c r="DRT36" s="537"/>
      <c r="DRU36" s="537"/>
      <c r="DRV36" s="537"/>
      <c r="DRW36" s="537"/>
      <c r="DRX36" s="537"/>
      <c r="DRY36" s="537"/>
      <c r="DRZ36" s="537"/>
      <c r="DSA36" s="537"/>
      <c r="DSB36" s="537"/>
      <c r="DSC36" s="537"/>
      <c r="DSD36" s="537"/>
      <c r="DSE36" s="537"/>
      <c r="DSF36" s="537"/>
      <c r="DSG36" s="537"/>
      <c r="DSH36" s="537"/>
      <c r="DSI36" s="537"/>
      <c r="DSJ36" s="537"/>
      <c r="DSK36" s="537"/>
      <c r="DSL36" s="537"/>
      <c r="DSM36" s="537"/>
      <c r="DSN36" s="537"/>
      <c r="DSO36" s="537"/>
      <c r="DSP36" s="537"/>
      <c r="DSQ36" s="537"/>
      <c r="DSR36" s="537"/>
      <c r="DSS36" s="537"/>
      <c r="DST36" s="537"/>
      <c r="DSU36" s="537"/>
      <c r="DSV36" s="537"/>
      <c r="DSW36" s="537"/>
      <c r="DSX36" s="537"/>
      <c r="DSY36" s="537"/>
      <c r="DSZ36" s="537"/>
      <c r="DTA36" s="537"/>
      <c r="DTB36" s="537"/>
      <c r="DTC36" s="537"/>
      <c r="DTD36" s="537"/>
      <c r="DTE36" s="537"/>
      <c r="DTF36" s="537"/>
      <c r="DTG36" s="537"/>
      <c r="DTH36" s="537"/>
      <c r="DTI36" s="537"/>
      <c r="DTJ36" s="537"/>
      <c r="DTK36" s="537"/>
      <c r="DTL36" s="537"/>
      <c r="DTM36" s="537"/>
      <c r="DTN36" s="537"/>
      <c r="DTO36" s="537"/>
      <c r="DTP36" s="537"/>
      <c r="DTQ36" s="537"/>
      <c r="DTR36" s="537"/>
      <c r="DTS36" s="537"/>
      <c r="DTT36" s="537"/>
      <c r="DTU36" s="537"/>
      <c r="DTV36" s="537"/>
      <c r="DTW36" s="537"/>
      <c r="DTX36" s="537"/>
      <c r="DTY36" s="537"/>
      <c r="DTZ36" s="537"/>
      <c r="DUA36" s="537"/>
      <c r="DUB36" s="537"/>
      <c r="DUC36" s="537"/>
      <c r="DUD36" s="537"/>
      <c r="DUE36" s="537"/>
      <c r="DUF36" s="537"/>
      <c r="DUG36" s="537"/>
      <c r="DUH36" s="537"/>
      <c r="DUI36" s="537"/>
      <c r="DUJ36" s="537"/>
      <c r="DUK36" s="537"/>
      <c r="DUL36" s="537"/>
      <c r="DUM36" s="537"/>
      <c r="DUN36" s="537"/>
      <c r="DUO36" s="537"/>
      <c r="DUP36" s="537"/>
      <c r="DUQ36" s="537"/>
      <c r="DUR36" s="537"/>
      <c r="DUS36" s="537"/>
      <c r="DUT36" s="537"/>
      <c r="DUU36" s="537"/>
      <c r="DUV36" s="537"/>
      <c r="DUW36" s="537"/>
      <c r="DUX36" s="537"/>
      <c r="DUY36" s="537"/>
      <c r="DUZ36" s="537"/>
      <c r="DVA36" s="537"/>
      <c r="DVB36" s="537"/>
      <c r="DVC36" s="537"/>
      <c r="DVD36" s="537"/>
      <c r="DVE36" s="537"/>
      <c r="DVF36" s="537"/>
      <c r="DVG36" s="537"/>
      <c r="DVH36" s="537"/>
      <c r="DVI36" s="537"/>
      <c r="DVJ36" s="537"/>
      <c r="DVK36" s="537"/>
      <c r="DVL36" s="537"/>
      <c r="DVM36" s="537"/>
      <c r="DVN36" s="537"/>
      <c r="DVO36" s="537"/>
      <c r="DVP36" s="537"/>
      <c r="DVQ36" s="537"/>
      <c r="DVR36" s="537"/>
      <c r="DVS36" s="537"/>
      <c r="DVT36" s="537"/>
      <c r="DVU36" s="537"/>
      <c r="DVV36" s="537"/>
      <c r="DVW36" s="537"/>
      <c r="DVX36" s="537"/>
      <c r="DVY36" s="537"/>
      <c r="DVZ36" s="537"/>
      <c r="DWA36" s="537"/>
      <c r="DWB36" s="537"/>
      <c r="DWC36" s="537"/>
      <c r="DWD36" s="537"/>
      <c r="DWE36" s="537"/>
      <c r="DWF36" s="537"/>
      <c r="DWG36" s="537"/>
      <c r="DWH36" s="537"/>
      <c r="DWI36" s="537"/>
      <c r="DWJ36" s="537"/>
      <c r="DWK36" s="537"/>
      <c r="DWL36" s="537"/>
      <c r="DWM36" s="537"/>
      <c r="DWN36" s="537"/>
      <c r="DWO36" s="537"/>
      <c r="DWP36" s="537"/>
      <c r="DWQ36" s="537"/>
      <c r="DWR36" s="537"/>
      <c r="DWS36" s="537"/>
      <c r="DWT36" s="537"/>
      <c r="DWU36" s="537"/>
      <c r="DWV36" s="537"/>
      <c r="DWW36" s="537"/>
      <c r="DWX36" s="537"/>
      <c r="DWY36" s="537"/>
      <c r="DWZ36" s="537"/>
      <c r="DXA36" s="537"/>
      <c r="DXB36" s="537"/>
      <c r="DXC36" s="537"/>
      <c r="DXD36" s="537"/>
      <c r="DXE36" s="537"/>
      <c r="DXF36" s="537"/>
      <c r="DXG36" s="537"/>
      <c r="DXH36" s="537"/>
      <c r="DXI36" s="537"/>
      <c r="DXJ36" s="537"/>
      <c r="DXK36" s="537"/>
      <c r="DXL36" s="537"/>
      <c r="DXM36" s="537"/>
      <c r="DXN36" s="537"/>
      <c r="DXO36" s="537"/>
      <c r="DXP36" s="537"/>
      <c r="DXQ36" s="537"/>
      <c r="DXR36" s="537"/>
      <c r="DXS36" s="537"/>
      <c r="DXT36" s="537"/>
      <c r="DXU36" s="537"/>
      <c r="DXV36" s="537"/>
      <c r="DXW36" s="537"/>
      <c r="DXX36" s="537"/>
      <c r="DXY36" s="537"/>
      <c r="DXZ36" s="537"/>
      <c r="DYA36" s="537"/>
      <c r="DYB36" s="537"/>
      <c r="DYC36" s="537"/>
      <c r="DYD36" s="537"/>
      <c r="DYE36" s="537"/>
      <c r="DYF36" s="537"/>
      <c r="DYG36" s="537"/>
      <c r="DYH36" s="537"/>
      <c r="DYI36" s="537"/>
      <c r="DYJ36" s="537"/>
      <c r="DYK36" s="537"/>
      <c r="DYL36" s="537"/>
      <c r="DYM36" s="537"/>
      <c r="DYN36" s="537"/>
      <c r="DYO36" s="537"/>
      <c r="DYP36" s="537"/>
      <c r="DYQ36" s="537"/>
      <c r="DYR36" s="537"/>
      <c r="DYS36" s="537"/>
      <c r="DYT36" s="537"/>
      <c r="DYU36" s="537"/>
      <c r="DYV36" s="537"/>
      <c r="DYW36" s="537"/>
      <c r="DYX36" s="537"/>
      <c r="DYY36" s="537"/>
      <c r="DYZ36" s="537"/>
      <c r="DZA36" s="537"/>
      <c r="DZB36" s="537"/>
      <c r="DZC36" s="537"/>
      <c r="DZD36" s="537"/>
      <c r="DZE36" s="537"/>
      <c r="DZF36" s="537"/>
      <c r="DZG36" s="537"/>
      <c r="DZH36" s="537"/>
      <c r="DZI36" s="537"/>
      <c r="DZJ36" s="537"/>
      <c r="DZK36" s="537"/>
      <c r="DZL36" s="537"/>
      <c r="DZM36" s="537"/>
      <c r="DZN36" s="537"/>
      <c r="DZO36" s="537"/>
      <c r="DZP36" s="537"/>
      <c r="DZQ36" s="537"/>
      <c r="DZR36" s="537"/>
      <c r="DZS36" s="537"/>
      <c r="DZT36" s="537"/>
      <c r="DZU36" s="537"/>
      <c r="DZV36" s="537"/>
      <c r="DZW36" s="537"/>
      <c r="DZX36" s="537"/>
      <c r="DZY36" s="537"/>
      <c r="DZZ36" s="537"/>
      <c r="EAA36" s="537"/>
      <c r="EAB36" s="537"/>
      <c r="EAC36" s="537"/>
      <c r="EAD36" s="537"/>
      <c r="EAE36" s="537"/>
      <c r="EAF36" s="537"/>
      <c r="EAG36" s="537"/>
      <c r="EAH36" s="537"/>
      <c r="EAI36" s="537"/>
      <c r="EAJ36" s="537"/>
      <c r="EAK36" s="537"/>
      <c r="EAL36" s="537"/>
      <c r="EAM36" s="537"/>
      <c r="EAN36" s="537"/>
      <c r="EAO36" s="537"/>
      <c r="EAP36" s="537"/>
      <c r="EAQ36" s="537"/>
      <c r="EAR36" s="537"/>
      <c r="EAS36" s="537"/>
      <c r="EAT36" s="537"/>
      <c r="EAU36" s="537"/>
      <c r="EAV36" s="537"/>
      <c r="EAW36" s="537"/>
      <c r="EAX36" s="537"/>
      <c r="EAY36" s="537"/>
      <c r="EAZ36" s="537"/>
      <c r="EBA36" s="537"/>
      <c r="EBB36" s="537"/>
      <c r="EBC36" s="537"/>
      <c r="EBD36" s="537"/>
      <c r="EBE36" s="537"/>
      <c r="EBF36" s="537"/>
      <c r="EBG36" s="537"/>
      <c r="EBH36" s="537"/>
      <c r="EBI36" s="537"/>
      <c r="EBJ36" s="537"/>
      <c r="EBK36" s="537"/>
      <c r="EBL36" s="537"/>
      <c r="EBM36" s="537"/>
      <c r="EBN36" s="537"/>
      <c r="EBO36" s="537"/>
      <c r="EBP36" s="537"/>
      <c r="EBQ36" s="537"/>
      <c r="EBR36" s="537"/>
      <c r="EBS36" s="537"/>
      <c r="EBT36" s="537"/>
      <c r="EBU36" s="537"/>
      <c r="EBV36" s="537"/>
      <c r="EBW36" s="537"/>
      <c r="EBX36" s="537"/>
      <c r="EBY36" s="537"/>
      <c r="EBZ36" s="537"/>
      <c r="ECA36" s="537"/>
      <c r="ECB36" s="537"/>
      <c r="ECC36" s="537"/>
      <c r="ECD36" s="537"/>
      <c r="ECE36" s="537"/>
      <c r="ECF36" s="537"/>
      <c r="ECG36" s="537"/>
      <c r="ECH36" s="537"/>
      <c r="ECI36" s="537"/>
      <c r="ECJ36" s="537"/>
      <c r="ECK36" s="537"/>
      <c r="ECL36" s="537"/>
      <c r="ECM36" s="537"/>
      <c r="ECN36" s="537"/>
      <c r="ECO36" s="537"/>
      <c r="ECP36" s="537"/>
      <c r="ECQ36" s="537"/>
      <c r="ECR36" s="537"/>
      <c r="ECS36" s="537"/>
      <c r="ECT36" s="537"/>
      <c r="ECU36" s="537"/>
      <c r="ECV36" s="537"/>
      <c r="ECW36" s="537"/>
      <c r="ECX36" s="537"/>
      <c r="ECY36" s="537"/>
      <c r="ECZ36" s="537"/>
      <c r="EDA36" s="537"/>
      <c r="EDB36" s="537"/>
      <c r="EDC36" s="537"/>
      <c r="EDD36" s="537"/>
      <c r="EDE36" s="537"/>
      <c r="EDF36" s="537"/>
      <c r="EDG36" s="537"/>
      <c r="EDH36" s="537"/>
      <c r="EDI36" s="537"/>
      <c r="EDJ36" s="537"/>
      <c r="EDK36" s="537"/>
      <c r="EDL36" s="537"/>
      <c r="EDM36" s="537"/>
      <c r="EDN36" s="537"/>
      <c r="EDO36" s="537"/>
      <c r="EDP36" s="537"/>
      <c r="EDQ36" s="537"/>
      <c r="EDR36" s="537"/>
      <c r="EDS36" s="537"/>
      <c r="EDT36" s="537"/>
      <c r="EDU36" s="537"/>
      <c r="EDV36" s="537"/>
      <c r="EDW36" s="537"/>
      <c r="EDX36" s="537"/>
      <c r="EDY36" s="537"/>
      <c r="EDZ36" s="537"/>
      <c r="EEA36" s="537"/>
      <c r="EEB36" s="537"/>
      <c r="EEC36" s="537"/>
      <c r="EED36" s="537"/>
      <c r="EEE36" s="537"/>
      <c r="EEF36" s="537"/>
      <c r="EEG36" s="537"/>
      <c r="EEH36" s="537"/>
      <c r="EEI36" s="537"/>
      <c r="EEJ36" s="537"/>
      <c r="EEK36" s="537"/>
      <c r="EEL36" s="537"/>
      <c r="EEM36" s="537"/>
      <c r="EEN36" s="537"/>
      <c r="EEO36" s="537"/>
      <c r="EEP36" s="537"/>
      <c r="EEQ36" s="537"/>
      <c r="EER36" s="537"/>
      <c r="EES36" s="537"/>
      <c r="EET36" s="537"/>
      <c r="EEU36" s="537"/>
      <c r="EEV36" s="537"/>
      <c r="EEW36" s="537"/>
      <c r="EEX36" s="537"/>
      <c r="EEY36" s="537"/>
      <c r="EEZ36" s="537"/>
      <c r="EFA36" s="537"/>
      <c r="EFB36" s="537"/>
      <c r="EFC36" s="537"/>
      <c r="EFD36" s="537"/>
      <c r="EFE36" s="537"/>
      <c r="EFF36" s="537"/>
      <c r="EFG36" s="537"/>
      <c r="EFH36" s="537"/>
      <c r="EFI36" s="537"/>
      <c r="EFJ36" s="537"/>
      <c r="EFK36" s="537"/>
      <c r="EFL36" s="537"/>
      <c r="EFM36" s="537"/>
      <c r="EFN36" s="537"/>
      <c r="EFO36" s="537"/>
      <c r="EFP36" s="537"/>
      <c r="EFQ36" s="537"/>
      <c r="EFR36" s="537"/>
      <c r="EFS36" s="537"/>
      <c r="EFT36" s="537"/>
      <c r="EFU36" s="537"/>
      <c r="EFV36" s="537"/>
      <c r="EFW36" s="537"/>
      <c r="EFX36" s="537"/>
      <c r="EFY36" s="537"/>
      <c r="EFZ36" s="537"/>
      <c r="EGA36" s="537"/>
      <c r="EGB36" s="537"/>
      <c r="EGC36" s="537"/>
      <c r="EGD36" s="537"/>
      <c r="EGE36" s="537"/>
      <c r="EGF36" s="537"/>
      <c r="EGG36" s="537"/>
      <c r="EGH36" s="537"/>
      <c r="EGI36" s="537"/>
      <c r="EGJ36" s="537"/>
      <c r="EGK36" s="537"/>
      <c r="EGL36" s="537"/>
      <c r="EGM36" s="537"/>
      <c r="EGN36" s="537"/>
      <c r="EGO36" s="537"/>
      <c r="EGP36" s="537"/>
      <c r="EGQ36" s="537"/>
      <c r="EGR36" s="537"/>
      <c r="EGS36" s="537"/>
      <c r="EGT36" s="537"/>
      <c r="EGU36" s="537"/>
      <c r="EGV36" s="537"/>
      <c r="EGW36" s="537"/>
      <c r="EGX36" s="537"/>
      <c r="EGY36" s="537"/>
      <c r="EGZ36" s="537"/>
      <c r="EHA36" s="537"/>
      <c r="EHB36" s="537"/>
      <c r="EHC36" s="537"/>
      <c r="EHD36" s="537"/>
      <c r="EHE36" s="537"/>
      <c r="EHF36" s="537"/>
      <c r="EHG36" s="537"/>
      <c r="EHH36" s="537"/>
      <c r="EHI36" s="537"/>
      <c r="EHJ36" s="537"/>
      <c r="EHK36" s="537"/>
      <c r="EHL36" s="537"/>
      <c r="EHM36" s="537"/>
      <c r="EHN36" s="537"/>
      <c r="EHO36" s="537"/>
      <c r="EHP36" s="537"/>
      <c r="EHQ36" s="537"/>
      <c r="EHR36" s="537"/>
      <c r="EHS36" s="537"/>
      <c r="EHT36" s="537"/>
      <c r="EHU36" s="537"/>
      <c r="EHV36" s="537"/>
      <c r="EHW36" s="537"/>
      <c r="EHX36" s="537"/>
      <c r="EHY36" s="537"/>
      <c r="EHZ36" s="537"/>
      <c r="EIA36" s="537"/>
      <c r="EIB36" s="537"/>
      <c r="EIC36" s="537"/>
      <c r="EID36" s="537"/>
      <c r="EIE36" s="537"/>
      <c r="EIF36" s="537"/>
      <c r="EIG36" s="537"/>
      <c r="EIH36" s="537"/>
      <c r="EII36" s="537"/>
      <c r="EIJ36" s="537"/>
      <c r="EIK36" s="537"/>
      <c r="EIL36" s="537"/>
      <c r="EIM36" s="537"/>
      <c r="EIN36" s="537"/>
      <c r="EIO36" s="537"/>
      <c r="EIP36" s="537"/>
      <c r="EIQ36" s="537"/>
      <c r="EIR36" s="537"/>
      <c r="EIS36" s="537"/>
      <c r="EIT36" s="537"/>
      <c r="EIU36" s="537"/>
      <c r="EIV36" s="537"/>
      <c r="EIW36" s="537"/>
      <c r="EIX36" s="537"/>
      <c r="EIY36" s="537"/>
      <c r="EIZ36" s="537"/>
      <c r="EJA36" s="537"/>
      <c r="EJB36" s="537"/>
      <c r="EJC36" s="537"/>
      <c r="EJD36" s="537"/>
      <c r="EJE36" s="537"/>
      <c r="EJF36" s="537"/>
      <c r="EJG36" s="537"/>
      <c r="EJH36" s="537"/>
      <c r="EJI36" s="537"/>
      <c r="EJJ36" s="537"/>
      <c r="EJK36" s="537"/>
      <c r="EJL36" s="537"/>
      <c r="EJM36" s="537"/>
      <c r="EJN36" s="537"/>
      <c r="EJO36" s="537"/>
      <c r="EJP36" s="537"/>
      <c r="EJQ36" s="537"/>
      <c r="EJR36" s="537"/>
      <c r="EJS36" s="537"/>
      <c r="EJT36" s="537"/>
      <c r="EJU36" s="537"/>
      <c r="EJV36" s="537"/>
      <c r="EJW36" s="537"/>
      <c r="EJX36" s="537"/>
      <c r="EJY36" s="537"/>
      <c r="EJZ36" s="537"/>
      <c r="EKA36" s="537"/>
      <c r="EKB36" s="537"/>
      <c r="EKC36" s="537"/>
      <c r="EKD36" s="537"/>
      <c r="EKE36" s="537"/>
      <c r="EKF36" s="537"/>
      <c r="EKG36" s="537"/>
      <c r="EKH36" s="537"/>
      <c r="EKI36" s="537"/>
      <c r="EKJ36" s="537"/>
      <c r="EKK36" s="537"/>
      <c r="EKL36" s="537"/>
      <c r="EKM36" s="537"/>
      <c r="EKN36" s="537"/>
      <c r="EKO36" s="537"/>
      <c r="EKP36" s="537"/>
      <c r="EKQ36" s="537"/>
      <c r="EKR36" s="537"/>
      <c r="EKS36" s="537"/>
      <c r="EKT36" s="537"/>
      <c r="EKU36" s="537"/>
      <c r="EKV36" s="537"/>
      <c r="EKW36" s="537"/>
      <c r="EKX36" s="537"/>
      <c r="EKY36" s="537"/>
      <c r="EKZ36" s="537"/>
      <c r="ELA36" s="537"/>
      <c r="ELB36" s="537"/>
      <c r="ELC36" s="537"/>
      <c r="ELD36" s="537"/>
      <c r="ELE36" s="537"/>
      <c r="ELF36" s="537"/>
      <c r="ELG36" s="537"/>
      <c r="ELH36" s="537"/>
      <c r="ELI36" s="537"/>
      <c r="ELJ36" s="537"/>
      <c r="ELK36" s="537"/>
      <c r="ELL36" s="537"/>
      <c r="ELM36" s="537"/>
      <c r="ELN36" s="537"/>
      <c r="ELO36" s="537"/>
      <c r="ELP36" s="537"/>
      <c r="ELQ36" s="537"/>
      <c r="ELR36" s="537"/>
      <c r="ELS36" s="537"/>
      <c r="ELT36" s="537"/>
      <c r="ELU36" s="537"/>
      <c r="ELV36" s="537"/>
      <c r="ELW36" s="537"/>
      <c r="ELX36" s="537"/>
      <c r="ELY36" s="537"/>
      <c r="ELZ36" s="537"/>
      <c r="EMA36" s="537"/>
      <c r="EMB36" s="537"/>
      <c r="EMC36" s="537"/>
      <c r="EMD36" s="537"/>
      <c r="EME36" s="537"/>
      <c r="EMF36" s="537"/>
      <c r="EMG36" s="537"/>
      <c r="EMH36" s="537"/>
      <c r="EMI36" s="537"/>
      <c r="EMJ36" s="537"/>
      <c r="EMK36" s="537"/>
      <c r="EML36" s="537"/>
      <c r="EMM36" s="537"/>
      <c r="EMN36" s="537"/>
      <c r="EMO36" s="537"/>
      <c r="EMP36" s="537"/>
      <c r="EMQ36" s="537"/>
      <c r="EMR36" s="537"/>
      <c r="EMS36" s="537"/>
      <c r="EMT36" s="537"/>
      <c r="EMU36" s="537"/>
      <c r="EMV36" s="537"/>
      <c r="EMW36" s="537"/>
      <c r="EMX36" s="537"/>
      <c r="EMY36" s="537"/>
      <c r="EMZ36" s="537"/>
      <c r="ENA36" s="537"/>
      <c r="ENB36" s="537"/>
      <c r="ENC36" s="537"/>
      <c r="END36" s="537"/>
      <c r="ENE36" s="537"/>
      <c r="ENF36" s="537"/>
      <c r="ENG36" s="537"/>
      <c r="ENH36" s="537"/>
      <c r="ENI36" s="537"/>
      <c r="ENJ36" s="537"/>
      <c r="ENK36" s="537"/>
      <c r="ENL36" s="537"/>
      <c r="ENM36" s="537"/>
      <c r="ENN36" s="537"/>
      <c r="ENO36" s="537"/>
      <c r="ENP36" s="537"/>
      <c r="ENQ36" s="537"/>
      <c r="ENR36" s="537"/>
      <c r="ENS36" s="537"/>
      <c r="ENT36" s="537"/>
      <c r="ENU36" s="537"/>
      <c r="ENV36" s="537"/>
      <c r="ENW36" s="537"/>
      <c r="ENX36" s="537"/>
      <c r="ENY36" s="537"/>
      <c r="ENZ36" s="537"/>
      <c r="EOA36" s="537"/>
      <c r="EOB36" s="537"/>
      <c r="EOC36" s="537"/>
      <c r="EOD36" s="537"/>
      <c r="EOE36" s="537"/>
      <c r="EOF36" s="537"/>
      <c r="EOG36" s="537"/>
      <c r="EOH36" s="537"/>
      <c r="EOI36" s="537"/>
      <c r="EOJ36" s="537"/>
      <c r="EOK36" s="537"/>
      <c r="EOL36" s="537"/>
      <c r="EOM36" s="537"/>
      <c r="EON36" s="537"/>
      <c r="EOO36" s="537"/>
      <c r="EOP36" s="537"/>
      <c r="EOQ36" s="537"/>
      <c r="EOR36" s="537"/>
      <c r="EOS36" s="537"/>
      <c r="EOT36" s="537"/>
      <c r="EOU36" s="537"/>
      <c r="EOV36" s="537"/>
      <c r="EOW36" s="537"/>
      <c r="EOX36" s="537"/>
      <c r="EOY36" s="537"/>
      <c r="EOZ36" s="537"/>
      <c r="EPA36" s="537"/>
      <c r="EPB36" s="537"/>
      <c r="EPC36" s="537"/>
      <c r="EPD36" s="537"/>
      <c r="EPE36" s="537"/>
      <c r="EPF36" s="537"/>
      <c r="EPG36" s="537"/>
      <c r="EPH36" s="537"/>
      <c r="EPI36" s="537"/>
      <c r="EPJ36" s="537"/>
      <c r="EPK36" s="537"/>
      <c r="EPL36" s="537"/>
      <c r="EPM36" s="537"/>
      <c r="EPN36" s="537"/>
      <c r="EPO36" s="537"/>
      <c r="EPP36" s="537"/>
      <c r="EPQ36" s="537"/>
      <c r="EPR36" s="537"/>
      <c r="EPS36" s="537"/>
      <c r="EPT36" s="537"/>
      <c r="EPU36" s="537"/>
      <c r="EPV36" s="537"/>
      <c r="EPW36" s="537"/>
      <c r="EPX36" s="537"/>
      <c r="EPY36" s="537"/>
      <c r="EPZ36" s="537"/>
      <c r="EQA36" s="537"/>
      <c r="EQB36" s="537"/>
      <c r="EQC36" s="537"/>
      <c r="EQD36" s="537"/>
      <c r="EQE36" s="537"/>
      <c r="EQF36" s="537"/>
      <c r="EQG36" s="537"/>
      <c r="EQH36" s="537"/>
      <c r="EQI36" s="537"/>
      <c r="EQJ36" s="537"/>
      <c r="EQK36" s="537"/>
      <c r="EQL36" s="537"/>
      <c r="EQM36" s="537"/>
      <c r="EQN36" s="537"/>
      <c r="EQO36" s="537"/>
      <c r="EQP36" s="537"/>
      <c r="EQQ36" s="537"/>
      <c r="EQR36" s="537"/>
      <c r="EQS36" s="537"/>
      <c r="EQT36" s="537"/>
      <c r="EQU36" s="537"/>
      <c r="EQV36" s="537"/>
      <c r="EQW36" s="537"/>
      <c r="EQX36" s="537"/>
      <c r="EQY36" s="537"/>
      <c r="EQZ36" s="537"/>
      <c r="ERA36" s="537"/>
      <c r="ERB36" s="537"/>
      <c r="ERC36" s="537"/>
      <c r="ERD36" s="537"/>
      <c r="ERE36" s="537"/>
      <c r="ERF36" s="537"/>
      <c r="ERG36" s="537"/>
      <c r="ERH36" s="537"/>
      <c r="ERI36" s="537"/>
      <c r="ERJ36" s="537"/>
      <c r="ERK36" s="537"/>
      <c r="ERL36" s="537"/>
      <c r="ERM36" s="537"/>
      <c r="ERN36" s="537"/>
      <c r="ERO36" s="537"/>
      <c r="ERP36" s="537"/>
      <c r="ERQ36" s="537"/>
      <c r="ERR36" s="537"/>
      <c r="ERS36" s="537"/>
      <c r="ERT36" s="537"/>
      <c r="ERU36" s="537"/>
      <c r="ERV36" s="537"/>
      <c r="ERW36" s="537"/>
      <c r="ERX36" s="537"/>
      <c r="ERY36" s="537"/>
      <c r="ERZ36" s="537"/>
      <c r="ESA36" s="537"/>
      <c r="ESB36" s="537"/>
      <c r="ESC36" s="537"/>
      <c r="ESD36" s="537"/>
      <c r="ESE36" s="537"/>
      <c r="ESF36" s="537"/>
      <c r="ESG36" s="537"/>
      <c r="ESH36" s="537"/>
      <c r="ESI36" s="537"/>
      <c r="ESJ36" s="537"/>
      <c r="ESK36" s="537"/>
      <c r="ESL36" s="537"/>
      <c r="ESM36" s="537"/>
      <c r="ESN36" s="537"/>
      <c r="ESO36" s="537"/>
      <c r="ESP36" s="537"/>
      <c r="ESQ36" s="537"/>
      <c r="ESR36" s="537"/>
      <c r="ESS36" s="537"/>
      <c r="EST36" s="537"/>
      <c r="ESU36" s="537"/>
      <c r="ESV36" s="537"/>
      <c r="ESW36" s="537"/>
      <c r="ESX36" s="537"/>
      <c r="ESY36" s="537"/>
      <c r="ESZ36" s="537"/>
      <c r="ETA36" s="537"/>
      <c r="ETB36" s="537"/>
      <c r="ETC36" s="537"/>
      <c r="ETD36" s="537"/>
      <c r="ETE36" s="537"/>
      <c r="ETF36" s="537"/>
      <c r="ETG36" s="537"/>
      <c r="ETH36" s="537"/>
      <c r="ETI36" s="537"/>
      <c r="ETJ36" s="537"/>
      <c r="ETK36" s="537"/>
      <c r="ETL36" s="537"/>
      <c r="ETM36" s="537"/>
      <c r="ETN36" s="537"/>
      <c r="ETO36" s="537"/>
      <c r="ETP36" s="537"/>
      <c r="ETQ36" s="537"/>
      <c r="ETR36" s="537"/>
      <c r="ETS36" s="537"/>
      <c r="ETT36" s="537"/>
      <c r="ETU36" s="537"/>
      <c r="ETV36" s="537"/>
      <c r="ETW36" s="537"/>
      <c r="ETX36" s="537"/>
      <c r="ETY36" s="537"/>
      <c r="ETZ36" s="537"/>
      <c r="EUA36" s="537"/>
      <c r="EUB36" s="537"/>
      <c r="EUC36" s="537"/>
      <c r="EUD36" s="537"/>
      <c r="EUE36" s="537"/>
      <c r="EUF36" s="537"/>
      <c r="EUG36" s="537"/>
      <c r="EUH36" s="537"/>
      <c r="EUI36" s="537"/>
      <c r="EUJ36" s="537"/>
      <c r="EUK36" s="537"/>
      <c r="EUL36" s="537"/>
      <c r="EUM36" s="537"/>
      <c r="EUN36" s="537"/>
      <c r="EUO36" s="537"/>
      <c r="EUP36" s="537"/>
      <c r="EUQ36" s="537"/>
      <c r="EUR36" s="537"/>
      <c r="EUS36" s="537"/>
      <c r="EUT36" s="537"/>
      <c r="EUU36" s="537"/>
      <c r="EUV36" s="537"/>
      <c r="EUW36" s="537"/>
      <c r="EUX36" s="537"/>
      <c r="EUY36" s="537"/>
      <c r="EUZ36" s="537"/>
      <c r="EVA36" s="537"/>
      <c r="EVB36" s="537"/>
      <c r="EVC36" s="537"/>
      <c r="EVD36" s="537"/>
      <c r="EVE36" s="537"/>
      <c r="EVF36" s="537"/>
      <c r="EVG36" s="537"/>
      <c r="EVH36" s="537"/>
      <c r="EVI36" s="537"/>
      <c r="EVJ36" s="537"/>
      <c r="EVK36" s="537"/>
      <c r="EVL36" s="537"/>
      <c r="EVM36" s="537"/>
      <c r="EVN36" s="537"/>
      <c r="EVO36" s="537"/>
      <c r="EVP36" s="537"/>
      <c r="EVQ36" s="537"/>
      <c r="EVR36" s="537"/>
      <c r="EVS36" s="537"/>
      <c r="EVT36" s="537"/>
      <c r="EVU36" s="537"/>
      <c r="EVV36" s="537"/>
      <c r="EVW36" s="537"/>
      <c r="EVX36" s="537"/>
      <c r="EVY36" s="537"/>
      <c r="EVZ36" s="537"/>
      <c r="EWA36" s="537"/>
      <c r="EWB36" s="537"/>
      <c r="EWC36" s="537"/>
      <c r="EWD36" s="537"/>
      <c r="EWE36" s="537"/>
      <c r="EWF36" s="537"/>
      <c r="EWG36" s="537"/>
      <c r="EWH36" s="537"/>
      <c r="EWI36" s="537"/>
      <c r="EWJ36" s="537"/>
      <c r="EWK36" s="537"/>
      <c r="EWL36" s="537"/>
      <c r="EWM36" s="537"/>
      <c r="EWN36" s="537"/>
      <c r="EWO36" s="537"/>
      <c r="EWP36" s="537"/>
      <c r="EWQ36" s="537"/>
      <c r="EWR36" s="537"/>
      <c r="EWS36" s="537"/>
      <c r="EWT36" s="537"/>
      <c r="EWU36" s="537"/>
      <c r="EWV36" s="537"/>
      <c r="EWW36" s="537"/>
      <c r="EWX36" s="537"/>
      <c r="EWY36" s="537"/>
      <c r="EWZ36" s="537"/>
      <c r="EXA36" s="537"/>
      <c r="EXB36" s="537"/>
      <c r="EXC36" s="537"/>
      <c r="EXD36" s="537"/>
      <c r="EXE36" s="537"/>
      <c r="EXF36" s="537"/>
      <c r="EXG36" s="537"/>
      <c r="EXH36" s="537"/>
      <c r="EXI36" s="537"/>
      <c r="EXJ36" s="537"/>
      <c r="EXK36" s="537"/>
      <c r="EXL36" s="537"/>
      <c r="EXM36" s="537"/>
      <c r="EXN36" s="537"/>
      <c r="EXO36" s="537"/>
      <c r="EXP36" s="537"/>
      <c r="EXQ36" s="537"/>
      <c r="EXR36" s="537"/>
      <c r="EXS36" s="537"/>
      <c r="EXT36" s="537"/>
      <c r="EXU36" s="537"/>
      <c r="EXV36" s="537"/>
      <c r="EXW36" s="537"/>
      <c r="EXX36" s="537"/>
      <c r="EXY36" s="537"/>
      <c r="EXZ36" s="537"/>
      <c r="EYA36" s="537"/>
      <c r="EYB36" s="537"/>
      <c r="EYC36" s="537"/>
      <c r="EYD36" s="537"/>
      <c r="EYE36" s="537"/>
      <c r="EYF36" s="537"/>
      <c r="EYG36" s="537"/>
      <c r="EYH36" s="537"/>
      <c r="EYI36" s="537"/>
      <c r="EYJ36" s="537"/>
      <c r="EYK36" s="537"/>
      <c r="EYL36" s="537"/>
      <c r="EYM36" s="537"/>
      <c r="EYN36" s="537"/>
      <c r="EYO36" s="537"/>
      <c r="EYP36" s="537"/>
      <c r="EYQ36" s="537"/>
      <c r="EYR36" s="537"/>
      <c r="EYS36" s="537"/>
      <c r="EYT36" s="537"/>
      <c r="EYU36" s="537"/>
      <c r="EYV36" s="537"/>
      <c r="EYW36" s="537"/>
      <c r="EYX36" s="537"/>
      <c r="EYY36" s="537"/>
      <c r="EYZ36" s="537"/>
      <c r="EZA36" s="537"/>
      <c r="EZB36" s="537"/>
      <c r="EZC36" s="537"/>
      <c r="EZD36" s="537"/>
      <c r="EZE36" s="537"/>
      <c r="EZF36" s="537"/>
      <c r="EZG36" s="537"/>
      <c r="EZH36" s="537"/>
      <c r="EZI36" s="537"/>
      <c r="EZJ36" s="537"/>
      <c r="EZK36" s="537"/>
      <c r="EZL36" s="537"/>
      <c r="EZM36" s="537"/>
      <c r="EZN36" s="537"/>
      <c r="EZO36" s="537"/>
      <c r="EZP36" s="537"/>
      <c r="EZQ36" s="537"/>
      <c r="EZR36" s="537"/>
      <c r="EZS36" s="537"/>
      <c r="EZT36" s="537"/>
      <c r="EZU36" s="537"/>
      <c r="EZV36" s="537"/>
      <c r="EZW36" s="537"/>
      <c r="EZX36" s="537"/>
      <c r="EZY36" s="537"/>
      <c r="EZZ36" s="537"/>
      <c r="FAA36" s="537"/>
      <c r="FAB36" s="537"/>
      <c r="FAC36" s="537"/>
      <c r="FAD36" s="537"/>
      <c r="FAE36" s="537"/>
      <c r="FAF36" s="537"/>
      <c r="FAG36" s="537"/>
      <c r="FAH36" s="537"/>
      <c r="FAI36" s="537"/>
      <c r="FAJ36" s="537"/>
      <c r="FAK36" s="537"/>
      <c r="FAL36" s="537"/>
      <c r="FAM36" s="537"/>
      <c r="FAN36" s="537"/>
      <c r="FAO36" s="537"/>
      <c r="FAP36" s="537"/>
      <c r="FAQ36" s="537"/>
      <c r="FAR36" s="537"/>
      <c r="FAS36" s="537"/>
      <c r="FAT36" s="537"/>
      <c r="FAU36" s="537"/>
      <c r="FAV36" s="537"/>
      <c r="FAW36" s="537"/>
      <c r="FAX36" s="537"/>
      <c r="FAY36" s="537"/>
      <c r="FAZ36" s="537"/>
      <c r="FBA36" s="537"/>
      <c r="FBB36" s="537"/>
      <c r="FBC36" s="537"/>
      <c r="FBD36" s="537"/>
      <c r="FBE36" s="537"/>
      <c r="FBF36" s="537"/>
      <c r="FBG36" s="537"/>
      <c r="FBH36" s="537"/>
      <c r="FBI36" s="537"/>
      <c r="FBJ36" s="537"/>
      <c r="FBK36" s="537"/>
      <c r="FBL36" s="537"/>
      <c r="FBM36" s="537"/>
      <c r="FBN36" s="537"/>
      <c r="FBO36" s="537"/>
      <c r="FBP36" s="537"/>
      <c r="FBQ36" s="537"/>
      <c r="FBR36" s="537"/>
      <c r="FBS36" s="537"/>
      <c r="FBT36" s="537"/>
      <c r="FBU36" s="537"/>
      <c r="FBV36" s="537"/>
      <c r="FBW36" s="537"/>
      <c r="FBX36" s="537"/>
      <c r="FBY36" s="537"/>
      <c r="FBZ36" s="537"/>
      <c r="FCA36" s="537"/>
      <c r="FCB36" s="537"/>
      <c r="FCC36" s="537"/>
      <c r="FCD36" s="537"/>
      <c r="FCE36" s="537"/>
      <c r="FCF36" s="537"/>
      <c r="FCG36" s="537"/>
      <c r="FCH36" s="537"/>
      <c r="FCI36" s="537"/>
      <c r="FCJ36" s="537"/>
      <c r="FCK36" s="537"/>
      <c r="FCL36" s="537"/>
      <c r="FCM36" s="537"/>
      <c r="FCN36" s="537"/>
      <c r="FCO36" s="537"/>
      <c r="FCP36" s="537"/>
      <c r="FCQ36" s="537"/>
      <c r="FCR36" s="537"/>
      <c r="FCS36" s="537"/>
      <c r="FCT36" s="537"/>
      <c r="FCU36" s="537"/>
      <c r="FCV36" s="537"/>
      <c r="FCW36" s="537"/>
      <c r="FCX36" s="537"/>
      <c r="FCY36" s="537"/>
      <c r="FCZ36" s="537"/>
      <c r="FDA36" s="537"/>
      <c r="FDB36" s="537"/>
      <c r="FDC36" s="537"/>
      <c r="FDD36" s="537"/>
      <c r="FDE36" s="537"/>
      <c r="FDF36" s="537"/>
      <c r="FDG36" s="537"/>
      <c r="FDH36" s="537"/>
      <c r="FDI36" s="537"/>
      <c r="FDJ36" s="537"/>
      <c r="FDK36" s="537"/>
      <c r="FDL36" s="537"/>
      <c r="FDM36" s="537"/>
      <c r="FDN36" s="537"/>
      <c r="FDO36" s="537"/>
      <c r="FDP36" s="537"/>
      <c r="FDQ36" s="537"/>
      <c r="FDR36" s="537"/>
      <c r="FDS36" s="537"/>
      <c r="FDT36" s="537"/>
      <c r="FDU36" s="537"/>
      <c r="FDV36" s="537"/>
      <c r="FDW36" s="537"/>
      <c r="FDX36" s="537"/>
      <c r="FDY36" s="537"/>
      <c r="FDZ36" s="537"/>
      <c r="FEA36" s="537"/>
      <c r="FEB36" s="537"/>
      <c r="FEC36" s="537"/>
      <c r="FED36" s="537"/>
      <c r="FEE36" s="537"/>
      <c r="FEF36" s="537"/>
      <c r="FEG36" s="537"/>
      <c r="FEH36" s="537"/>
      <c r="FEI36" s="537"/>
      <c r="FEJ36" s="537"/>
      <c r="FEK36" s="537"/>
      <c r="FEL36" s="537"/>
      <c r="FEM36" s="537"/>
      <c r="FEN36" s="537"/>
      <c r="FEO36" s="537"/>
      <c r="FEP36" s="537"/>
      <c r="FEQ36" s="537"/>
      <c r="FER36" s="537"/>
      <c r="FES36" s="537"/>
      <c r="FET36" s="537"/>
      <c r="FEU36" s="537"/>
      <c r="FEV36" s="537"/>
      <c r="FEW36" s="537"/>
      <c r="FEX36" s="537"/>
      <c r="FEY36" s="537"/>
      <c r="FEZ36" s="537"/>
      <c r="FFA36" s="537"/>
      <c r="FFB36" s="537"/>
      <c r="FFC36" s="537"/>
      <c r="FFD36" s="537"/>
      <c r="FFE36" s="537"/>
      <c r="FFF36" s="537"/>
      <c r="FFG36" s="537"/>
      <c r="FFH36" s="537"/>
      <c r="FFI36" s="537"/>
      <c r="FFJ36" s="537"/>
      <c r="FFK36" s="537"/>
      <c r="FFL36" s="537"/>
      <c r="FFM36" s="537"/>
      <c r="FFN36" s="537"/>
      <c r="FFO36" s="537"/>
      <c r="FFP36" s="537"/>
      <c r="FFQ36" s="537"/>
      <c r="FFR36" s="537"/>
      <c r="FFS36" s="537"/>
      <c r="FFT36" s="537"/>
      <c r="FFU36" s="537"/>
      <c r="FFV36" s="537"/>
      <c r="FFW36" s="537"/>
      <c r="FFX36" s="537"/>
      <c r="FFY36" s="537"/>
      <c r="FFZ36" s="537"/>
      <c r="FGA36" s="537"/>
      <c r="FGB36" s="537"/>
      <c r="FGC36" s="537"/>
      <c r="FGD36" s="537"/>
      <c r="FGE36" s="537"/>
      <c r="FGF36" s="537"/>
      <c r="FGG36" s="537"/>
      <c r="FGH36" s="537"/>
      <c r="FGI36" s="537"/>
      <c r="FGJ36" s="537"/>
      <c r="FGK36" s="537"/>
      <c r="FGL36" s="537"/>
      <c r="FGM36" s="537"/>
      <c r="FGN36" s="537"/>
      <c r="FGO36" s="537"/>
      <c r="FGP36" s="537"/>
      <c r="FGQ36" s="537"/>
      <c r="FGR36" s="537"/>
      <c r="FGS36" s="537"/>
      <c r="FGT36" s="537"/>
      <c r="FGU36" s="537"/>
      <c r="FGV36" s="537"/>
      <c r="FGW36" s="537"/>
      <c r="FGX36" s="537"/>
      <c r="FGY36" s="537"/>
      <c r="FGZ36" s="537"/>
      <c r="FHA36" s="537"/>
      <c r="FHB36" s="537"/>
      <c r="FHC36" s="537"/>
      <c r="FHD36" s="537"/>
      <c r="FHE36" s="537"/>
      <c r="FHF36" s="537"/>
      <c r="FHG36" s="537"/>
      <c r="FHH36" s="537"/>
      <c r="FHI36" s="537"/>
      <c r="FHJ36" s="537"/>
      <c r="FHK36" s="537"/>
      <c r="FHL36" s="537"/>
      <c r="FHM36" s="537"/>
      <c r="FHN36" s="537"/>
      <c r="FHO36" s="537"/>
      <c r="FHP36" s="537"/>
      <c r="FHQ36" s="537"/>
      <c r="FHR36" s="537"/>
      <c r="FHS36" s="537"/>
      <c r="FHT36" s="537"/>
      <c r="FHU36" s="537"/>
      <c r="FHV36" s="537"/>
      <c r="FHW36" s="537"/>
      <c r="FHX36" s="537"/>
      <c r="FHY36" s="537"/>
      <c r="FHZ36" s="537"/>
      <c r="FIA36" s="537"/>
      <c r="FIB36" s="537"/>
      <c r="FIC36" s="537"/>
      <c r="FID36" s="537"/>
      <c r="FIE36" s="537"/>
      <c r="FIF36" s="537"/>
      <c r="FIG36" s="537"/>
      <c r="FIH36" s="537"/>
      <c r="FII36" s="537"/>
      <c r="FIJ36" s="537"/>
      <c r="FIK36" s="537"/>
      <c r="FIL36" s="537"/>
      <c r="FIM36" s="537"/>
      <c r="FIN36" s="537"/>
      <c r="FIO36" s="537"/>
      <c r="FIP36" s="537"/>
      <c r="FIQ36" s="537"/>
      <c r="FIR36" s="537"/>
      <c r="FIS36" s="537"/>
      <c r="FIT36" s="537"/>
      <c r="FIU36" s="537"/>
      <c r="FIV36" s="537"/>
      <c r="FIW36" s="537"/>
      <c r="FIX36" s="537"/>
      <c r="FIY36" s="537"/>
      <c r="FIZ36" s="537"/>
      <c r="FJA36" s="537"/>
      <c r="FJB36" s="537"/>
      <c r="FJC36" s="537"/>
      <c r="FJD36" s="537"/>
      <c r="FJE36" s="537"/>
      <c r="FJF36" s="537"/>
      <c r="FJG36" s="537"/>
      <c r="FJH36" s="537"/>
      <c r="FJI36" s="537"/>
      <c r="FJJ36" s="537"/>
      <c r="FJK36" s="537"/>
      <c r="FJL36" s="537"/>
      <c r="FJM36" s="537"/>
      <c r="FJN36" s="537"/>
      <c r="FJO36" s="537"/>
      <c r="FJP36" s="537"/>
      <c r="FJQ36" s="537"/>
      <c r="FJR36" s="537"/>
      <c r="FJS36" s="537"/>
      <c r="FJT36" s="537"/>
      <c r="FJU36" s="537"/>
      <c r="FJV36" s="537"/>
      <c r="FJW36" s="537"/>
      <c r="FJX36" s="537"/>
      <c r="FJY36" s="537"/>
      <c r="FJZ36" s="537"/>
      <c r="FKA36" s="537"/>
      <c r="FKB36" s="537"/>
      <c r="FKC36" s="537"/>
      <c r="FKD36" s="537"/>
      <c r="FKE36" s="537"/>
      <c r="FKF36" s="537"/>
      <c r="FKG36" s="537"/>
      <c r="FKH36" s="537"/>
      <c r="FKI36" s="537"/>
      <c r="FKJ36" s="537"/>
      <c r="FKK36" s="537"/>
      <c r="FKL36" s="537"/>
      <c r="FKM36" s="537"/>
      <c r="FKN36" s="537"/>
      <c r="FKO36" s="537"/>
      <c r="FKP36" s="537"/>
      <c r="FKQ36" s="537"/>
      <c r="FKR36" s="537"/>
      <c r="FKS36" s="537"/>
      <c r="FKT36" s="537"/>
      <c r="FKU36" s="537"/>
      <c r="FKV36" s="537"/>
      <c r="FKW36" s="537"/>
      <c r="FKX36" s="537"/>
      <c r="FKY36" s="537"/>
      <c r="FKZ36" s="537"/>
      <c r="FLA36" s="537"/>
      <c r="FLB36" s="537"/>
      <c r="FLC36" s="537"/>
      <c r="FLD36" s="537"/>
      <c r="FLE36" s="537"/>
      <c r="FLF36" s="537"/>
      <c r="FLG36" s="537"/>
      <c r="FLH36" s="537"/>
      <c r="FLI36" s="537"/>
      <c r="FLJ36" s="537"/>
      <c r="FLK36" s="537"/>
      <c r="FLL36" s="537"/>
      <c r="FLM36" s="537"/>
      <c r="FLN36" s="537"/>
      <c r="FLO36" s="537"/>
      <c r="FLP36" s="537"/>
      <c r="FLQ36" s="537"/>
      <c r="FLR36" s="537"/>
      <c r="FLS36" s="537"/>
      <c r="FLT36" s="537"/>
      <c r="FLU36" s="537"/>
      <c r="FLV36" s="537"/>
      <c r="FLW36" s="537"/>
      <c r="FLX36" s="537"/>
      <c r="FLY36" s="537"/>
      <c r="FLZ36" s="537"/>
      <c r="FMA36" s="537"/>
      <c r="FMB36" s="537"/>
      <c r="FMC36" s="537"/>
      <c r="FMD36" s="537"/>
      <c r="FME36" s="537"/>
      <c r="FMF36" s="537"/>
      <c r="FMG36" s="537"/>
      <c r="FMH36" s="537"/>
      <c r="FMI36" s="537"/>
      <c r="FMJ36" s="537"/>
      <c r="FMK36" s="537"/>
      <c r="FML36" s="537"/>
      <c r="FMM36" s="537"/>
      <c r="FMN36" s="537"/>
      <c r="FMO36" s="537"/>
      <c r="FMP36" s="537"/>
      <c r="FMQ36" s="537"/>
      <c r="FMR36" s="537"/>
      <c r="FMS36" s="537"/>
      <c r="FMT36" s="537"/>
      <c r="FMU36" s="537"/>
      <c r="FMV36" s="537"/>
      <c r="FMW36" s="537"/>
      <c r="FMX36" s="537"/>
      <c r="FMY36" s="537"/>
      <c r="FMZ36" s="537"/>
      <c r="FNA36" s="537"/>
      <c r="FNB36" s="537"/>
      <c r="FNC36" s="537"/>
      <c r="FND36" s="537"/>
      <c r="FNE36" s="537"/>
      <c r="FNF36" s="537"/>
      <c r="FNG36" s="537"/>
      <c r="FNH36" s="537"/>
      <c r="FNI36" s="537"/>
      <c r="FNJ36" s="537"/>
      <c r="FNK36" s="537"/>
      <c r="FNL36" s="537"/>
      <c r="FNM36" s="537"/>
      <c r="FNN36" s="537"/>
      <c r="FNO36" s="537"/>
      <c r="FNP36" s="537"/>
      <c r="FNQ36" s="537"/>
      <c r="FNR36" s="537"/>
      <c r="FNS36" s="537"/>
      <c r="FNT36" s="537"/>
      <c r="FNU36" s="537"/>
      <c r="FNV36" s="537"/>
      <c r="FNW36" s="537"/>
      <c r="FNX36" s="537"/>
      <c r="FNY36" s="537"/>
      <c r="FNZ36" s="537"/>
      <c r="FOA36" s="537"/>
      <c r="FOB36" s="537"/>
      <c r="FOC36" s="537"/>
      <c r="FOD36" s="537"/>
      <c r="FOE36" s="537"/>
      <c r="FOF36" s="537"/>
      <c r="FOG36" s="537"/>
      <c r="FOH36" s="537"/>
      <c r="FOI36" s="537"/>
      <c r="FOJ36" s="537"/>
      <c r="FOK36" s="537"/>
      <c r="FOL36" s="537"/>
      <c r="FOM36" s="537"/>
      <c r="FON36" s="537"/>
      <c r="FOO36" s="537"/>
      <c r="FOP36" s="537"/>
      <c r="FOQ36" s="537"/>
      <c r="FOR36" s="537"/>
      <c r="FOS36" s="537"/>
      <c r="FOT36" s="537"/>
      <c r="FOU36" s="537"/>
      <c r="FOV36" s="537"/>
      <c r="FOW36" s="537"/>
      <c r="FOX36" s="537"/>
      <c r="FOY36" s="537"/>
      <c r="FOZ36" s="537"/>
      <c r="FPA36" s="537"/>
      <c r="FPB36" s="537"/>
      <c r="FPC36" s="537"/>
      <c r="FPD36" s="537"/>
      <c r="FPE36" s="537"/>
      <c r="FPF36" s="537"/>
      <c r="FPG36" s="537"/>
      <c r="FPH36" s="537"/>
      <c r="FPI36" s="537"/>
      <c r="FPJ36" s="537"/>
      <c r="FPK36" s="537"/>
      <c r="FPL36" s="537"/>
      <c r="FPM36" s="537"/>
      <c r="FPN36" s="537"/>
      <c r="FPO36" s="537"/>
      <c r="FPP36" s="537"/>
      <c r="FPQ36" s="537"/>
      <c r="FPR36" s="537"/>
      <c r="FPS36" s="537"/>
      <c r="FPT36" s="537"/>
      <c r="FPU36" s="537"/>
      <c r="FPV36" s="537"/>
      <c r="FPW36" s="537"/>
      <c r="FPX36" s="537"/>
      <c r="FPY36" s="537"/>
      <c r="FPZ36" s="537"/>
      <c r="FQA36" s="537"/>
      <c r="FQB36" s="537"/>
      <c r="FQC36" s="537"/>
      <c r="FQD36" s="537"/>
      <c r="FQE36" s="537"/>
      <c r="FQF36" s="537"/>
      <c r="FQG36" s="537"/>
      <c r="FQH36" s="537"/>
      <c r="FQI36" s="537"/>
      <c r="FQJ36" s="537"/>
      <c r="FQK36" s="537"/>
      <c r="FQL36" s="537"/>
      <c r="FQM36" s="537"/>
      <c r="FQN36" s="537"/>
      <c r="FQO36" s="537"/>
      <c r="FQP36" s="537"/>
      <c r="FQQ36" s="537"/>
      <c r="FQR36" s="537"/>
      <c r="FQS36" s="537"/>
      <c r="FQT36" s="537"/>
      <c r="FQU36" s="537"/>
      <c r="FQV36" s="537"/>
      <c r="FQW36" s="537"/>
      <c r="FQX36" s="537"/>
      <c r="FQY36" s="537"/>
      <c r="FQZ36" s="537"/>
      <c r="FRA36" s="537"/>
      <c r="FRB36" s="537"/>
      <c r="FRC36" s="537"/>
      <c r="FRD36" s="537"/>
      <c r="FRE36" s="537"/>
      <c r="FRF36" s="537"/>
      <c r="FRG36" s="537"/>
      <c r="FRH36" s="537"/>
      <c r="FRI36" s="537"/>
      <c r="FRJ36" s="537"/>
      <c r="FRK36" s="537"/>
      <c r="FRL36" s="537"/>
      <c r="FRM36" s="537"/>
      <c r="FRN36" s="537"/>
      <c r="FRO36" s="537"/>
      <c r="FRP36" s="537"/>
      <c r="FRQ36" s="537"/>
      <c r="FRR36" s="537"/>
      <c r="FRS36" s="537"/>
      <c r="FRT36" s="537"/>
      <c r="FRU36" s="537"/>
      <c r="FRV36" s="537"/>
      <c r="FRW36" s="537"/>
      <c r="FRX36" s="537"/>
      <c r="FRY36" s="537"/>
      <c r="FRZ36" s="537"/>
      <c r="FSA36" s="537"/>
      <c r="FSB36" s="537"/>
      <c r="FSC36" s="537"/>
      <c r="FSD36" s="537"/>
      <c r="FSE36" s="537"/>
      <c r="FSF36" s="537"/>
      <c r="FSG36" s="537"/>
      <c r="FSH36" s="537"/>
      <c r="FSI36" s="537"/>
      <c r="FSJ36" s="537"/>
      <c r="FSK36" s="537"/>
      <c r="FSL36" s="537"/>
      <c r="FSM36" s="537"/>
      <c r="FSN36" s="537"/>
      <c r="FSO36" s="537"/>
      <c r="FSP36" s="537"/>
      <c r="FSQ36" s="537"/>
      <c r="FSR36" s="537"/>
      <c r="FSS36" s="537"/>
      <c r="FST36" s="537"/>
      <c r="FSU36" s="537"/>
      <c r="FSV36" s="537"/>
      <c r="FSW36" s="537"/>
      <c r="FSX36" s="537"/>
      <c r="FSY36" s="537"/>
      <c r="FSZ36" s="537"/>
      <c r="FTA36" s="537"/>
      <c r="FTB36" s="537"/>
      <c r="FTC36" s="537"/>
      <c r="FTD36" s="537"/>
      <c r="FTE36" s="537"/>
      <c r="FTF36" s="537"/>
      <c r="FTG36" s="537"/>
      <c r="FTH36" s="537"/>
      <c r="FTI36" s="537"/>
      <c r="FTJ36" s="537"/>
      <c r="FTK36" s="537"/>
      <c r="FTL36" s="537"/>
      <c r="FTM36" s="537"/>
      <c r="FTN36" s="537"/>
      <c r="FTO36" s="537"/>
      <c r="FTP36" s="537"/>
      <c r="FTQ36" s="537"/>
      <c r="FTR36" s="537"/>
      <c r="FTS36" s="537"/>
      <c r="FTT36" s="537"/>
      <c r="FTU36" s="537"/>
      <c r="FTV36" s="537"/>
      <c r="FTW36" s="537"/>
      <c r="FTX36" s="537"/>
      <c r="FTY36" s="537"/>
      <c r="FTZ36" s="537"/>
      <c r="FUA36" s="537"/>
      <c r="FUB36" s="537"/>
      <c r="FUC36" s="537"/>
      <c r="FUD36" s="537"/>
      <c r="FUE36" s="537"/>
      <c r="FUF36" s="537"/>
      <c r="FUG36" s="537"/>
      <c r="FUH36" s="537"/>
      <c r="FUI36" s="537"/>
      <c r="FUJ36" s="537"/>
      <c r="FUK36" s="537"/>
      <c r="FUL36" s="537"/>
      <c r="FUM36" s="537"/>
      <c r="FUN36" s="537"/>
      <c r="FUO36" s="537"/>
      <c r="FUP36" s="537"/>
      <c r="FUQ36" s="537"/>
      <c r="FUR36" s="537"/>
      <c r="FUS36" s="537"/>
      <c r="FUT36" s="537"/>
      <c r="FUU36" s="537"/>
      <c r="FUV36" s="537"/>
      <c r="FUW36" s="537"/>
      <c r="FUX36" s="537"/>
      <c r="FUY36" s="537"/>
      <c r="FUZ36" s="537"/>
      <c r="FVA36" s="537"/>
      <c r="FVB36" s="537"/>
      <c r="FVC36" s="537"/>
      <c r="FVD36" s="537"/>
      <c r="FVE36" s="537"/>
      <c r="FVF36" s="537"/>
      <c r="FVG36" s="537"/>
      <c r="FVH36" s="537"/>
      <c r="FVI36" s="537"/>
      <c r="FVJ36" s="537"/>
      <c r="FVK36" s="537"/>
      <c r="FVL36" s="537"/>
      <c r="FVM36" s="537"/>
      <c r="FVN36" s="537"/>
      <c r="FVO36" s="537"/>
      <c r="FVP36" s="537"/>
      <c r="FVQ36" s="537"/>
      <c r="FVR36" s="537"/>
      <c r="FVS36" s="537"/>
      <c r="FVT36" s="537"/>
      <c r="FVU36" s="537"/>
      <c r="FVV36" s="537"/>
      <c r="FVW36" s="537"/>
      <c r="FVX36" s="537"/>
      <c r="FVY36" s="537"/>
      <c r="FVZ36" s="537"/>
      <c r="FWA36" s="537"/>
      <c r="FWB36" s="537"/>
      <c r="FWC36" s="537"/>
      <c r="FWD36" s="537"/>
      <c r="FWE36" s="537"/>
      <c r="FWF36" s="537"/>
      <c r="FWG36" s="537"/>
      <c r="FWH36" s="537"/>
      <c r="FWI36" s="537"/>
      <c r="FWJ36" s="537"/>
      <c r="FWK36" s="537"/>
      <c r="FWL36" s="537"/>
      <c r="FWM36" s="537"/>
      <c r="FWN36" s="537"/>
      <c r="FWO36" s="537"/>
      <c r="FWP36" s="537"/>
      <c r="FWQ36" s="537"/>
      <c r="FWR36" s="537"/>
      <c r="FWS36" s="537"/>
      <c r="FWT36" s="537"/>
      <c r="FWU36" s="537"/>
      <c r="FWV36" s="537"/>
      <c r="FWW36" s="537"/>
      <c r="FWX36" s="537"/>
      <c r="FWY36" s="537"/>
      <c r="FWZ36" s="537"/>
      <c r="FXA36" s="537"/>
      <c r="FXB36" s="537"/>
      <c r="FXC36" s="537"/>
      <c r="FXD36" s="537"/>
      <c r="FXE36" s="537"/>
      <c r="FXF36" s="537"/>
      <c r="FXG36" s="537"/>
      <c r="FXH36" s="537"/>
      <c r="FXI36" s="537"/>
      <c r="FXJ36" s="537"/>
      <c r="FXK36" s="537"/>
      <c r="FXL36" s="537"/>
      <c r="FXM36" s="537"/>
      <c r="FXN36" s="537"/>
      <c r="FXO36" s="537"/>
      <c r="FXP36" s="537"/>
      <c r="FXQ36" s="537"/>
      <c r="FXR36" s="537"/>
      <c r="FXS36" s="537"/>
      <c r="FXT36" s="537"/>
      <c r="FXU36" s="537"/>
      <c r="FXV36" s="537"/>
      <c r="FXW36" s="537"/>
      <c r="FXX36" s="537"/>
      <c r="FXY36" s="537"/>
      <c r="FXZ36" s="537"/>
      <c r="FYA36" s="537"/>
      <c r="FYB36" s="537"/>
      <c r="FYC36" s="537"/>
      <c r="FYD36" s="537"/>
      <c r="FYE36" s="537"/>
      <c r="FYF36" s="537"/>
      <c r="FYG36" s="537"/>
      <c r="FYH36" s="537"/>
      <c r="FYI36" s="537"/>
      <c r="FYJ36" s="537"/>
      <c r="FYK36" s="537"/>
      <c r="FYL36" s="537"/>
      <c r="FYM36" s="537"/>
      <c r="FYN36" s="537"/>
      <c r="FYO36" s="537"/>
      <c r="FYP36" s="537"/>
      <c r="FYQ36" s="537"/>
      <c r="FYR36" s="537"/>
      <c r="FYS36" s="537"/>
      <c r="FYT36" s="537"/>
      <c r="FYU36" s="537"/>
      <c r="FYV36" s="537"/>
      <c r="FYW36" s="537"/>
      <c r="FYX36" s="537"/>
      <c r="FYY36" s="537"/>
      <c r="FYZ36" s="537"/>
      <c r="FZA36" s="537"/>
      <c r="FZB36" s="537"/>
      <c r="FZC36" s="537"/>
      <c r="FZD36" s="537"/>
      <c r="FZE36" s="537"/>
      <c r="FZF36" s="537"/>
      <c r="FZG36" s="537"/>
      <c r="FZH36" s="537"/>
      <c r="FZI36" s="537"/>
      <c r="FZJ36" s="537"/>
      <c r="FZK36" s="537"/>
      <c r="FZL36" s="537"/>
      <c r="FZM36" s="537"/>
      <c r="FZN36" s="537"/>
      <c r="FZO36" s="537"/>
      <c r="FZP36" s="537"/>
      <c r="FZQ36" s="537"/>
      <c r="FZR36" s="537"/>
      <c r="FZS36" s="537"/>
      <c r="FZT36" s="537"/>
      <c r="FZU36" s="537"/>
      <c r="FZV36" s="537"/>
      <c r="FZW36" s="537"/>
      <c r="FZX36" s="537"/>
      <c r="FZY36" s="537"/>
      <c r="FZZ36" s="537"/>
      <c r="GAA36" s="537"/>
      <c r="GAB36" s="537"/>
      <c r="GAC36" s="537"/>
      <c r="GAD36" s="537"/>
      <c r="GAE36" s="537"/>
      <c r="GAF36" s="537"/>
      <c r="GAG36" s="537"/>
      <c r="GAH36" s="537"/>
      <c r="GAI36" s="537"/>
      <c r="GAJ36" s="537"/>
      <c r="GAK36" s="537"/>
      <c r="GAL36" s="537"/>
      <c r="GAM36" s="537"/>
      <c r="GAN36" s="537"/>
      <c r="GAO36" s="537"/>
      <c r="GAP36" s="537"/>
      <c r="GAQ36" s="537"/>
      <c r="GAR36" s="537"/>
      <c r="GAS36" s="537"/>
      <c r="GAT36" s="537"/>
      <c r="GAU36" s="537"/>
      <c r="GAV36" s="537"/>
      <c r="GAW36" s="537"/>
      <c r="GAX36" s="537"/>
      <c r="GAY36" s="537"/>
      <c r="GAZ36" s="537"/>
      <c r="GBA36" s="537"/>
      <c r="GBB36" s="537"/>
      <c r="GBC36" s="537"/>
      <c r="GBD36" s="537"/>
      <c r="GBE36" s="537"/>
      <c r="GBF36" s="537"/>
      <c r="GBG36" s="537"/>
      <c r="GBH36" s="537"/>
      <c r="GBI36" s="537"/>
      <c r="GBJ36" s="537"/>
      <c r="GBK36" s="537"/>
      <c r="GBL36" s="537"/>
      <c r="GBM36" s="537"/>
      <c r="GBN36" s="537"/>
      <c r="GBO36" s="537"/>
      <c r="GBP36" s="537"/>
      <c r="GBQ36" s="537"/>
      <c r="GBR36" s="537"/>
      <c r="GBS36" s="537"/>
      <c r="GBT36" s="537"/>
      <c r="GBU36" s="537"/>
      <c r="GBV36" s="537"/>
      <c r="GBW36" s="537"/>
      <c r="GBX36" s="537"/>
      <c r="GBY36" s="537"/>
      <c r="GBZ36" s="537"/>
      <c r="GCA36" s="537"/>
      <c r="GCB36" s="537"/>
      <c r="GCC36" s="537"/>
      <c r="GCD36" s="537"/>
      <c r="GCE36" s="537"/>
      <c r="GCF36" s="537"/>
      <c r="GCG36" s="537"/>
      <c r="GCH36" s="537"/>
      <c r="GCI36" s="537"/>
      <c r="GCJ36" s="537"/>
      <c r="GCK36" s="537"/>
      <c r="GCL36" s="537"/>
      <c r="GCM36" s="537"/>
      <c r="GCN36" s="537"/>
      <c r="GCO36" s="537"/>
      <c r="GCP36" s="537"/>
      <c r="GCQ36" s="537"/>
      <c r="GCR36" s="537"/>
      <c r="GCS36" s="537"/>
      <c r="GCT36" s="537"/>
      <c r="GCU36" s="537"/>
      <c r="GCV36" s="537"/>
      <c r="GCW36" s="537"/>
      <c r="GCX36" s="537"/>
      <c r="GCY36" s="537"/>
      <c r="GCZ36" s="537"/>
      <c r="GDA36" s="537"/>
      <c r="GDB36" s="537"/>
      <c r="GDC36" s="537"/>
      <c r="GDD36" s="537"/>
      <c r="GDE36" s="537"/>
      <c r="GDF36" s="537"/>
      <c r="GDG36" s="537"/>
      <c r="GDH36" s="537"/>
      <c r="GDI36" s="537"/>
      <c r="GDJ36" s="537"/>
      <c r="GDK36" s="537"/>
      <c r="GDL36" s="537"/>
      <c r="GDM36" s="537"/>
      <c r="GDN36" s="537"/>
      <c r="GDO36" s="537"/>
      <c r="GDP36" s="537"/>
      <c r="GDQ36" s="537"/>
      <c r="GDR36" s="537"/>
      <c r="GDS36" s="537"/>
      <c r="GDT36" s="537"/>
      <c r="GDU36" s="537"/>
      <c r="GDV36" s="537"/>
      <c r="GDW36" s="537"/>
      <c r="GDX36" s="537"/>
      <c r="GDY36" s="537"/>
      <c r="GDZ36" s="537"/>
      <c r="GEA36" s="537"/>
      <c r="GEB36" s="537"/>
      <c r="GEC36" s="537"/>
      <c r="GED36" s="537"/>
      <c r="GEE36" s="537"/>
      <c r="GEF36" s="537"/>
      <c r="GEG36" s="537"/>
      <c r="GEH36" s="537"/>
      <c r="GEI36" s="537"/>
      <c r="GEJ36" s="537"/>
      <c r="GEK36" s="537"/>
      <c r="GEL36" s="537"/>
      <c r="GEM36" s="537"/>
      <c r="GEN36" s="537"/>
      <c r="GEO36" s="537"/>
      <c r="GEP36" s="537"/>
      <c r="GEQ36" s="537"/>
      <c r="GER36" s="537"/>
      <c r="GES36" s="537"/>
      <c r="GET36" s="537"/>
      <c r="GEU36" s="537"/>
      <c r="GEV36" s="537"/>
      <c r="GEW36" s="537"/>
      <c r="GEX36" s="537"/>
      <c r="GEY36" s="537"/>
      <c r="GEZ36" s="537"/>
      <c r="GFA36" s="537"/>
      <c r="GFB36" s="537"/>
      <c r="GFC36" s="537"/>
      <c r="GFD36" s="537"/>
      <c r="GFE36" s="537"/>
      <c r="GFF36" s="537"/>
      <c r="GFG36" s="537"/>
      <c r="GFH36" s="537"/>
      <c r="GFI36" s="537"/>
      <c r="GFJ36" s="537"/>
      <c r="GFK36" s="537"/>
      <c r="GFL36" s="537"/>
      <c r="GFM36" s="537"/>
      <c r="GFN36" s="537"/>
      <c r="GFO36" s="537"/>
      <c r="GFP36" s="537"/>
      <c r="GFQ36" s="537"/>
      <c r="GFR36" s="537"/>
      <c r="GFS36" s="537"/>
      <c r="GFT36" s="537"/>
      <c r="GFU36" s="537"/>
      <c r="GFV36" s="537"/>
      <c r="GFW36" s="537"/>
      <c r="GFX36" s="537"/>
      <c r="GFY36" s="537"/>
      <c r="GFZ36" s="537"/>
      <c r="GGA36" s="537"/>
      <c r="GGB36" s="537"/>
      <c r="GGC36" s="537"/>
      <c r="GGD36" s="537"/>
      <c r="GGE36" s="537"/>
      <c r="GGF36" s="537"/>
      <c r="GGG36" s="537"/>
      <c r="GGH36" s="537"/>
      <c r="GGI36" s="537"/>
      <c r="GGJ36" s="537"/>
      <c r="GGK36" s="537"/>
      <c r="GGL36" s="537"/>
      <c r="GGM36" s="537"/>
      <c r="GGN36" s="537"/>
      <c r="GGO36" s="537"/>
      <c r="GGP36" s="537"/>
      <c r="GGQ36" s="537"/>
      <c r="GGR36" s="537"/>
      <c r="GGS36" s="537"/>
      <c r="GGT36" s="537"/>
      <c r="GGU36" s="537"/>
      <c r="GGV36" s="537"/>
      <c r="GGW36" s="537"/>
      <c r="GGX36" s="537"/>
      <c r="GGY36" s="537"/>
      <c r="GGZ36" s="537"/>
      <c r="GHA36" s="537"/>
      <c r="GHB36" s="537"/>
      <c r="GHC36" s="537"/>
      <c r="GHD36" s="537"/>
      <c r="GHE36" s="537"/>
      <c r="GHF36" s="537"/>
      <c r="GHG36" s="537"/>
      <c r="GHH36" s="537"/>
      <c r="GHI36" s="537"/>
      <c r="GHJ36" s="537"/>
      <c r="GHK36" s="537"/>
      <c r="GHL36" s="537"/>
      <c r="GHM36" s="537"/>
      <c r="GHN36" s="537"/>
      <c r="GHO36" s="537"/>
      <c r="GHP36" s="537"/>
      <c r="GHQ36" s="537"/>
      <c r="GHR36" s="537"/>
      <c r="GHS36" s="537"/>
      <c r="GHT36" s="537"/>
      <c r="GHU36" s="537"/>
      <c r="GHV36" s="537"/>
      <c r="GHW36" s="537"/>
      <c r="GHX36" s="537"/>
      <c r="GHY36" s="537"/>
      <c r="GHZ36" s="537"/>
      <c r="GIA36" s="537"/>
      <c r="GIB36" s="537"/>
      <c r="GIC36" s="537"/>
      <c r="GID36" s="537"/>
      <c r="GIE36" s="537"/>
      <c r="GIF36" s="537"/>
      <c r="GIG36" s="537"/>
      <c r="GIH36" s="537"/>
      <c r="GII36" s="537"/>
      <c r="GIJ36" s="537"/>
      <c r="GIK36" s="537"/>
      <c r="GIL36" s="537"/>
      <c r="GIM36" s="537"/>
      <c r="GIN36" s="537"/>
      <c r="GIO36" s="537"/>
      <c r="GIP36" s="537"/>
      <c r="GIQ36" s="537"/>
      <c r="GIR36" s="537"/>
      <c r="GIS36" s="537"/>
      <c r="GIT36" s="537"/>
      <c r="GIU36" s="537"/>
      <c r="GIV36" s="537"/>
      <c r="GIW36" s="537"/>
      <c r="GIX36" s="537"/>
      <c r="GIY36" s="537"/>
      <c r="GIZ36" s="537"/>
      <c r="GJA36" s="537"/>
      <c r="GJB36" s="537"/>
      <c r="GJC36" s="537"/>
      <c r="GJD36" s="537"/>
      <c r="GJE36" s="537"/>
      <c r="GJF36" s="537"/>
      <c r="GJG36" s="537"/>
      <c r="GJH36" s="537"/>
      <c r="GJI36" s="537"/>
      <c r="GJJ36" s="537"/>
      <c r="GJK36" s="537"/>
      <c r="GJL36" s="537"/>
      <c r="GJM36" s="537"/>
      <c r="GJN36" s="537"/>
      <c r="GJO36" s="537"/>
      <c r="GJP36" s="537"/>
      <c r="GJQ36" s="537"/>
      <c r="GJR36" s="537"/>
      <c r="GJS36" s="537"/>
      <c r="GJT36" s="537"/>
      <c r="GJU36" s="537"/>
      <c r="GJV36" s="537"/>
      <c r="GJW36" s="537"/>
      <c r="GJX36" s="537"/>
      <c r="GJY36" s="537"/>
      <c r="GJZ36" s="537"/>
      <c r="GKA36" s="537"/>
      <c r="GKB36" s="537"/>
      <c r="GKC36" s="537"/>
      <c r="GKD36" s="537"/>
      <c r="GKE36" s="537"/>
      <c r="GKF36" s="537"/>
      <c r="GKG36" s="537"/>
      <c r="GKH36" s="537"/>
      <c r="GKI36" s="537"/>
      <c r="GKJ36" s="537"/>
      <c r="GKK36" s="537"/>
      <c r="GKL36" s="537"/>
      <c r="GKM36" s="537"/>
      <c r="GKN36" s="537"/>
      <c r="GKO36" s="537"/>
      <c r="GKP36" s="537"/>
      <c r="GKQ36" s="537"/>
      <c r="GKR36" s="537"/>
      <c r="GKS36" s="537"/>
      <c r="GKT36" s="537"/>
      <c r="GKU36" s="537"/>
      <c r="GKV36" s="537"/>
      <c r="GKW36" s="537"/>
      <c r="GKX36" s="537"/>
      <c r="GKY36" s="537"/>
      <c r="GKZ36" s="537"/>
      <c r="GLA36" s="537"/>
      <c r="GLB36" s="537"/>
      <c r="GLC36" s="537"/>
      <c r="GLD36" s="537"/>
      <c r="GLE36" s="537"/>
      <c r="GLF36" s="537"/>
      <c r="GLG36" s="537"/>
      <c r="GLH36" s="537"/>
      <c r="GLI36" s="537"/>
      <c r="GLJ36" s="537"/>
      <c r="GLK36" s="537"/>
      <c r="GLL36" s="537"/>
      <c r="GLM36" s="537"/>
      <c r="GLN36" s="537"/>
      <c r="GLO36" s="537"/>
      <c r="GLP36" s="537"/>
      <c r="GLQ36" s="537"/>
      <c r="GLR36" s="537"/>
      <c r="GLS36" s="537"/>
      <c r="GLT36" s="537"/>
      <c r="GLU36" s="537"/>
      <c r="GLV36" s="537"/>
      <c r="GLW36" s="537"/>
      <c r="GLX36" s="537"/>
      <c r="GLY36" s="537"/>
      <c r="GLZ36" s="537"/>
      <c r="GMA36" s="537"/>
      <c r="GMB36" s="537"/>
      <c r="GMC36" s="537"/>
      <c r="GMD36" s="537"/>
      <c r="GME36" s="537"/>
      <c r="GMF36" s="537"/>
      <c r="GMG36" s="537"/>
      <c r="GMH36" s="537"/>
      <c r="GMI36" s="537"/>
      <c r="GMJ36" s="537"/>
      <c r="GMK36" s="537"/>
      <c r="GML36" s="537"/>
      <c r="GMM36" s="537"/>
      <c r="GMN36" s="537"/>
      <c r="GMO36" s="537"/>
      <c r="GMP36" s="537"/>
      <c r="GMQ36" s="537"/>
      <c r="GMR36" s="537"/>
      <c r="GMS36" s="537"/>
      <c r="GMT36" s="537"/>
      <c r="GMU36" s="537"/>
      <c r="GMV36" s="537"/>
      <c r="GMW36" s="537"/>
      <c r="GMX36" s="537"/>
      <c r="GMY36" s="537"/>
      <c r="GMZ36" s="537"/>
      <c r="GNA36" s="537"/>
      <c r="GNB36" s="537"/>
      <c r="GNC36" s="537"/>
      <c r="GND36" s="537"/>
      <c r="GNE36" s="537"/>
      <c r="GNF36" s="537"/>
      <c r="GNG36" s="537"/>
      <c r="GNH36" s="537"/>
      <c r="GNI36" s="537"/>
      <c r="GNJ36" s="537"/>
      <c r="GNK36" s="537"/>
      <c r="GNL36" s="537"/>
      <c r="GNM36" s="537"/>
      <c r="GNN36" s="537"/>
      <c r="GNO36" s="537"/>
      <c r="GNP36" s="537"/>
      <c r="GNQ36" s="537"/>
      <c r="GNR36" s="537"/>
      <c r="GNS36" s="537"/>
      <c r="GNT36" s="537"/>
      <c r="GNU36" s="537"/>
      <c r="GNV36" s="537"/>
      <c r="GNW36" s="537"/>
      <c r="GNX36" s="537"/>
      <c r="GNY36" s="537"/>
      <c r="GNZ36" s="537"/>
      <c r="GOA36" s="537"/>
      <c r="GOB36" s="537"/>
      <c r="GOC36" s="537"/>
      <c r="GOD36" s="537"/>
      <c r="GOE36" s="537"/>
      <c r="GOF36" s="537"/>
      <c r="GOG36" s="537"/>
      <c r="GOH36" s="537"/>
      <c r="GOI36" s="537"/>
      <c r="GOJ36" s="537"/>
      <c r="GOK36" s="537"/>
      <c r="GOL36" s="537"/>
      <c r="GOM36" s="537"/>
      <c r="GON36" s="537"/>
      <c r="GOO36" s="537"/>
      <c r="GOP36" s="537"/>
      <c r="GOQ36" s="537"/>
      <c r="GOR36" s="537"/>
      <c r="GOS36" s="537"/>
      <c r="GOT36" s="537"/>
      <c r="GOU36" s="537"/>
      <c r="GOV36" s="537"/>
      <c r="GOW36" s="537"/>
      <c r="GOX36" s="537"/>
      <c r="GOY36" s="537"/>
      <c r="GOZ36" s="537"/>
      <c r="GPA36" s="537"/>
      <c r="GPB36" s="537"/>
      <c r="GPC36" s="537"/>
      <c r="GPD36" s="537"/>
      <c r="GPE36" s="537"/>
      <c r="GPF36" s="537"/>
      <c r="GPG36" s="537"/>
      <c r="GPH36" s="537"/>
      <c r="GPI36" s="537"/>
      <c r="GPJ36" s="537"/>
      <c r="GPK36" s="537"/>
      <c r="GPL36" s="537"/>
      <c r="GPM36" s="537"/>
      <c r="GPN36" s="537"/>
      <c r="GPO36" s="537"/>
      <c r="GPP36" s="537"/>
      <c r="GPQ36" s="537"/>
      <c r="GPR36" s="537"/>
      <c r="GPS36" s="537"/>
      <c r="GPT36" s="537"/>
      <c r="GPU36" s="537"/>
      <c r="GPV36" s="537"/>
      <c r="GPW36" s="537"/>
      <c r="GPX36" s="537"/>
      <c r="GPY36" s="537"/>
      <c r="GPZ36" s="537"/>
      <c r="GQA36" s="537"/>
      <c r="GQB36" s="537"/>
      <c r="GQC36" s="537"/>
      <c r="GQD36" s="537"/>
      <c r="GQE36" s="537"/>
      <c r="GQF36" s="537"/>
      <c r="GQG36" s="537"/>
      <c r="GQH36" s="537"/>
      <c r="GQI36" s="537"/>
      <c r="GQJ36" s="537"/>
      <c r="GQK36" s="537"/>
      <c r="GQL36" s="537"/>
      <c r="GQM36" s="537"/>
      <c r="GQN36" s="537"/>
      <c r="GQO36" s="537"/>
      <c r="GQP36" s="537"/>
      <c r="GQQ36" s="537"/>
      <c r="GQR36" s="537"/>
      <c r="GQS36" s="537"/>
      <c r="GQT36" s="537"/>
      <c r="GQU36" s="537"/>
      <c r="GQV36" s="537"/>
      <c r="GQW36" s="537"/>
      <c r="GQX36" s="537"/>
      <c r="GQY36" s="537"/>
      <c r="GQZ36" s="537"/>
      <c r="GRA36" s="537"/>
      <c r="GRB36" s="537"/>
      <c r="GRC36" s="537"/>
      <c r="GRD36" s="537"/>
      <c r="GRE36" s="537"/>
      <c r="GRF36" s="537"/>
      <c r="GRG36" s="537"/>
      <c r="GRH36" s="537"/>
      <c r="GRI36" s="537"/>
      <c r="GRJ36" s="537"/>
      <c r="GRK36" s="537"/>
      <c r="GRL36" s="537"/>
      <c r="GRM36" s="537"/>
      <c r="GRN36" s="537"/>
      <c r="GRO36" s="537"/>
      <c r="GRP36" s="537"/>
      <c r="GRQ36" s="537"/>
      <c r="GRR36" s="537"/>
      <c r="GRS36" s="537"/>
      <c r="GRT36" s="537"/>
      <c r="GRU36" s="537"/>
      <c r="GRV36" s="537"/>
      <c r="GRW36" s="537"/>
      <c r="GRX36" s="537"/>
      <c r="GRY36" s="537"/>
      <c r="GRZ36" s="537"/>
      <c r="GSA36" s="537"/>
      <c r="GSB36" s="537"/>
      <c r="GSC36" s="537"/>
      <c r="GSD36" s="537"/>
      <c r="GSE36" s="537"/>
      <c r="GSF36" s="537"/>
      <c r="GSG36" s="537"/>
      <c r="GSH36" s="537"/>
      <c r="GSI36" s="537"/>
      <c r="GSJ36" s="537"/>
      <c r="GSK36" s="537"/>
      <c r="GSL36" s="537"/>
      <c r="GSM36" s="537"/>
      <c r="GSN36" s="537"/>
      <c r="GSO36" s="537"/>
      <c r="GSP36" s="537"/>
      <c r="GSQ36" s="537"/>
      <c r="GSR36" s="537"/>
      <c r="GSS36" s="537"/>
      <c r="GST36" s="537"/>
      <c r="GSU36" s="537"/>
      <c r="GSV36" s="537"/>
      <c r="GSW36" s="537"/>
      <c r="GSX36" s="537"/>
      <c r="GSY36" s="537"/>
      <c r="GSZ36" s="537"/>
      <c r="GTA36" s="537"/>
      <c r="GTB36" s="537"/>
      <c r="GTC36" s="537"/>
      <c r="GTD36" s="537"/>
      <c r="GTE36" s="537"/>
      <c r="GTF36" s="537"/>
      <c r="GTG36" s="537"/>
      <c r="GTH36" s="537"/>
      <c r="GTI36" s="537"/>
      <c r="GTJ36" s="537"/>
      <c r="GTK36" s="537"/>
      <c r="GTL36" s="537"/>
      <c r="GTM36" s="537"/>
      <c r="GTN36" s="537"/>
      <c r="GTO36" s="537"/>
      <c r="GTP36" s="537"/>
      <c r="GTQ36" s="537"/>
      <c r="GTR36" s="537"/>
      <c r="GTS36" s="537"/>
      <c r="GTT36" s="537"/>
      <c r="GTU36" s="537"/>
      <c r="GTV36" s="537"/>
      <c r="GTW36" s="537"/>
      <c r="GTX36" s="537"/>
      <c r="GTY36" s="537"/>
      <c r="GTZ36" s="537"/>
      <c r="GUA36" s="537"/>
      <c r="GUB36" s="537"/>
      <c r="GUC36" s="537"/>
      <c r="GUD36" s="537"/>
      <c r="GUE36" s="537"/>
      <c r="GUF36" s="537"/>
      <c r="GUG36" s="537"/>
      <c r="GUH36" s="537"/>
      <c r="GUI36" s="537"/>
      <c r="GUJ36" s="537"/>
      <c r="GUK36" s="537"/>
      <c r="GUL36" s="537"/>
      <c r="GUM36" s="537"/>
      <c r="GUN36" s="537"/>
      <c r="GUO36" s="537"/>
      <c r="GUP36" s="537"/>
      <c r="GUQ36" s="537"/>
      <c r="GUR36" s="537"/>
      <c r="GUS36" s="537"/>
      <c r="GUT36" s="537"/>
      <c r="GUU36" s="537"/>
      <c r="GUV36" s="537"/>
      <c r="GUW36" s="537"/>
      <c r="GUX36" s="537"/>
      <c r="GUY36" s="537"/>
      <c r="GUZ36" s="537"/>
      <c r="GVA36" s="537"/>
      <c r="GVB36" s="537"/>
      <c r="GVC36" s="537"/>
      <c r="GVD36" s="537"/>
      <c r="GVE36" s="537"/>
      <c r="GVF36" s="537"/>
      <c r="GVG36" s="537"/>
      <c r="GVH36" s="537"/>
      <c r="GVI36" s="537"/>
      <c r="GVJ36" s="537"/>
      <c r="GVK36" s="537"/>
      <c r="GVL36" s="537"/>
      <c r="GVM36" s="537"/>
      <c r="GVN36" s="537"/>
      <c r="GVO36" s="537"/>
      <c r="GVP36" s="537"/>
      <c r="GVQ36" s="537"/>
      <c r="GVR36" s="537"/>
      <c r="GVS36" s="537"/>
      <c r="GVT36" s="537"/>
      <c r="GVU36" s="537"/>
      <c r="GVV36" s="537"/>
      <c r="GVW36" s="537"/>
      <c r="GVX36" s="537"/>
      <c r="GVY36" s="537"/>
      <c r="GVZ36" s="537"/>
      <c r="GWA36" s="537"/>
      <c r="GWB36" s="537"/>
      <c r="GWC36" s="537"/>
      <c r="GWD36" s="537"/>
      <c r="GWE36" s="537"/>
      <c r="GWF36" s="537"/>
      <c r="GWG36" s="537"/>
      <c r="GWH36" s="537"/>
      <c r="GWI36" s="537"/>
      <c r="GWJ36" s="537"/>
      <c r="GWK36" s="537"/>
      <c r="GWL36" s="537"/>
      <c r="GWM36" s="537"/>
      <c r="GWN36" s="537"/>
      <c r="GWO36" s="537"/>
      <c r="GWP36" s="537"/>
      <c r="GWQ36" s="537"/>
      <c r="GWR36" s="537"/>
      <c r="GWS36" s="537"/>
      <c r="GWT36" s="537"/>
      <c r="GWU36" s="537"/>
      <c r="GWV36" s="537"/>
      <c r="GWW36" s="537"/>
      <c r="GWX36" s="537"/>
      <c r="GWY36" s="537"/>
      <c r="GWZ36" s="537"/>
      <c r="GXA36" s="537"/>
      <c r="GXB36" s="537"/>
      <c r="GXC36" s="537"/>
      <c r="GXD36" s="537"/>
      <c r="GXE36" s="537"/>
      <c r="GXF36" s="537"/>
      <c r="GXG36" s="537"/>
      <c r="GXH36" s="537"/>
      <c r="GXI36" s="537"/>
      <c r="GXJ36" s="537"/>
      <c r="GXK36" s="537"/>
      <c r="GXL36" s="537"/>
      <c r="GXM36" s="537"/>
      <c r="GXN36" s="537"/>
      <c r="GXO36" s="537"/>
      <c r="GXP36" s="537"/>
      <c r="GXQ36" s="537"/>
      <c r="GXR36" s="537"/>
      <c r="GXS36" s="537"/>
      <c r="GXT36" s="537"/>
      <c r="GXU36" s="537"/>
      <c r="GXV36" s="537"/>
      <c r="GXW36" s="537"/>
      <c r="GXX36" s="537"/>
      <c r="GXY36" s="537"/>
      <c r="GXZ36" s="537"/>
      <c r="GYA36" s="537"/>
      <c r="GYB36" s="537"/>
      <c r="GYC36" s="537"/>
      <c r="GYD36" s="537"/>
      <c r="GYE36" s="537"/>
      <c r="GYF36" s="537"/>
      <c r="GYG36" s="537"/>
      <c r="GYH36" s="537"/>
      <c r="GYI36" s="537"/>
      <c r="GYJ36" s="537"/>
      <c r="GYK36" s="537"/>
      <c r="GYL36" s="537"/>
      <c r="GYM36" s="537"/>
      <c r="GYN36" s="537"/>
      <c r="GYO36" s="537"/>
      <c r="GYP36" s="537"/>
      <c r="GYQ36" s="537"/>
      <c r="GYR36" s="537"/>
      <c r="GYS36" s="537"/>
      <c r="GYT36" s="537"/>
      <c r="GYU36" s="537"/>
      <c r="GYV36" s="537"/>
      <c r="GYW36" s="537"/>
      <c r="GYX36" s="537"/>
      <c r="GYY36" s="537"/>
      <c r="GYZ36" s="537"/>
      <c r="GZA36" s="537"/>
      <c r="GZB36" s="537"/>
      <c r="GZC36" s="537"/>
      <c r="GZD36" s="537"/>
      <c r="GZE36" s="537"/>
      <c r="GZF36" s="537"/>
      <c r="GZG36" s="537"/>
      <c r="GZH36" s="537"/>
      <c r="GZI36" s="537"/>
      <c r="GZJ36" s="537"/>
      <c r="GZK36" s="537"/>
      <c r="GZL36" s="537"/>
      <c r="GZM36" s="537"/>
      <c r="GZN36" s="537"/>
      <c r="GZO36" s="537"/>
      <c r="GZP36" s="537"/>
      <c r="GZQ36" s="537"/>
      <c r="GZR36" s="537"/>
      <c r="GZS36" s="537"/>
      <c r="GZT36" s="537"/>
      <c r="GZU36" s="537"/>
      <c r="GZV36" s="537"/>
      <c r="GZW36" s="537"/>
      <c r="GZX36" s="537"/>
      <c r="GZY36" s="537"/>
      <c r="GZZ36" s="537"/>
      <c r="HAA36" s="537"/>
      <c r="HAB36" s="537"/>
      <c r="HAC36" s="537"/>
      <c r="HAD36" s="537"/>
      <c r="HAE36" s="537"/>
      <c r="HAF36" s="537"/>
      <c r="HAG36" s="537"/>
      <c r="HAH36" s="537"/>
      <c r="HAI36" s="537"/>
      <c r="HAJ36" s="537"/>
      <c r="HAK36" s="537"/>
      <c r="HAL36" s="537"/>
      <c r="HAM36" s="537"/>
      <c r="HAN36" s="537"/>
      <c r="HAO36" s="537"/>
      <c r="HAP36" s="537"/>
      <c r="HAQ36" s="537"/>
      <c r="HAR36" s="537"/>
      <c r="HAS36" s="537"/>
      <c r="HAT36" s="537"/>
      <c r="HAU36" s="537"/>
      <c r="HAV36" s="537"/>
      <c r="HAW36" s="537"/>
      <c r="HAX36" s="537"/>
      <c r="HAY36" s="537"/>
      <c r="HAZ36" s="537"/>
      <c r="HBA36" s="537"/>
      <c r="HBB36" s="537"/>
      <c r="HBC36" s="537"/>
      <c r="HBD36" s="537"/>
      <c r="HBE36" s="537"/>
      <c r="HBF36" s="537"/>
      <c r="HBG36" s="537"/>
      <c r="HBH36" s="537"/>
      <c r="HBI36" s="537"/>
      <c r="HBJ36" s="537"/>
      <c r="HBK36" s="537"/>
      <c r="HBL36" s="537"/>
      <c r="HBM36" s="537"/>
      <c r="HBN36" s="537"/>
      <c r="HBO36" s="537"/>
      <c r="HBP36" s="537"/>
      <c r="HBQ36" s="537"/>
      <c r="HBR36" s="537"/>
      <c r="HBS36" s="537"/>
      <c r="HBT36" s="537"/>
      <c r="HBU36" s="537"/>
      <c r="HBV36" s="537"/>
      <c r="HBW36" s="537"/>
      <c r="HBX36" s="537"/>
      <c r="HBY36" s="537"/>
      <c r="HBZ36" s="537"/>
      <c r="HCA36" s="537"/>
      <c r="HCB36" s="537"/>
      <c r="HCC36" s="537"/>
      <c r="HCD36" s="537"/>
      <c r="HCE36" s="537"/>
      <c r="HCF36" s="537"/>
      <c r="HCG36" s="537"/>
      <c r="HCH36" s="537"/>
      <c r="HCI36" s="537"/>
      <c r="HCJ36" s="537"/>
      <c r="HCK36" s="537"/>
      <c r="HCL36" s="537"/>
      <c r="HCM36" s="537"/>
      <c r="HCN36" s="537"/>
      <c r="HCO36" s="537"/>
      <c r="HCP36" s="537"/>
      <c r="HCQ36" s="537"/>
      <c r="HCR36" s="537"/>
      <c r="HCS36" s="537"/>
      <c r="HCT36" s="537"/>
      <c r="HCU36" s="537"/>
      <c r="HCV36" s="537"/>
      <c r="HCW36" s="537"/>
      <c r="HCX36" s="537"/>
      <c r="HCY36" s="537"/>
      <c r="HCZ36" s="537"/>
      <c r="HDA36" s="537"/>
      <c r="HDB36" s="537"/>
      <c r="HDC36" s="537"/>
      <c r="HDD36" s="537"/>
      <c r="HDE36" s="537"/>
      <c r="HDF36" s="537"/>
      <c r="HDG36" s="537"/>
      <c r="HDH36" s="537"/>
      <c r="HDI36" s="537"/>
      <c r="HDJ36" s="537"/>
      <c r="HDK36" s="537"/>
      <c r="HDL36" s="537"/>
      <c r="HDM36" s="537"/>
      <c r="HDN36" s="537"/>
      <c r="HDO36" s="537"/>
      <c r="HDP36" s="537"/>
      <c r="HDQ36" s="537"/>
      <c r="HDR36" s="537"/>
      <c r="HDS36" s="537"/>
      <c r="HDT36" s="537"/>
      <c r="HDU36" s="537"/>
      <c r="HDV36" s="537"/>
      <c r="HDW36" s="537"/>
      <c r="HDX36" s="537"/>
      <c r="HDY36" s="537"/>
      <c r="HDZ36" s="537"/>
      <c r="HEA36" s="537"/>
      <c r="HEB36" s="537"/>
      <c r="HEC36" s="537"/>
      <c r="HED36" s="537"/>
      <c r="HEE36" s="537"/>
      <c r="HEF36" s="537"/>
      <c r="HEG36" s="537"/>
      <c r="HEH36" s="537"/>
      <c r="HEI36" s="537"/>
      <c r="HEJ36" s="537"/>
      <c r="HEK36" s="537"/>
      <c r="HEL36" s="537"/>
      <c r="HEM36" s="537"/>
      <c r="HEN36" s="537"/>
      <c r="HEO36" s="537"/>
      <c r="HEP36" s="537"/>
      <c r="HEQ36" s="537"/>
      <c r="HER36" s="537"/>
      <c r="HES36" s="537"/>
      <c r="HET36" s="537"/>
      <c r="HEU36" s="537"/>
      <c r="HEV36" s="537"/>
      <c r="HEW36" s="537"/>
      <c r="HEX36" s="537"/>
      <c r="HEY36" s="537"/>
      <c r="HEZ36" s="537"/>
      <c r="HFA36" s="537"/>
      <c r="HFB36" s="537"/>
      <c r="HFC36" s="537"/>
      <c r="HFD36" s="537"/>
      <c r="HFE36" s="537"/>
      <c r="HFF36" s="537"/>
      <c r="HFG36" s="537"/>
      <c r="HFH36" s="537"/>
      <c r="HFI36" s="537"/>
      <c r="HFJ36" s="537"/>
      <c r="HFK36" s="537"/>
      <c r="HFL36" s="537"/>
      <c r="HFM36" s="537"/>
      <c r="HFN36" s="537"/>
      <c r="HFO36" s="537"/>
      <c r="HFP36" s="537"/>
      <c r="HFQ36" s="537"/>
      <c r="HFR36" s="537"/>
      <c r="HFS36" s="537"/>
      <c r="HFT36" s="537"/>
      <c r="HFU36" s="537"/>
      <c r="HFV36" s="537"/>
      <c r="HFW36" s="537"/>
      <c r="HFX36" s="537"/>
      <c r="HFY36" s="537"/>
      <c r="HFZ36" s="537"/>
      <c r="HGA36" s="537"/>
      <c r="HGB36" s="537"/>
      <c r="HGC36" s="537"/>
      <c r="HGD36" s="537"/>
      <c r="HGE36" s="537"/>
      <c r="HGF36" s="537"/>
      <c r="HGG36" s="537"/>
      <c r="HGH36" s="537"/>
      <c r="HGI36" s="537"/>
      <c r="HGJ36" s="537"/>
      <c r="HGK36" s="537"/>
      <c r="HGL36" s="537"/>
      <c r="HGM36" s="537"/>
      <c r="HGN36" s="537"/>
      <c r="HGO36" s="537"/>
      <c r="HGP36" s="537"/>
      <c r="HGQ36" s="537"/>
      <c r="HGR36" s="537"/>
      <c r="HGS36" s="537"/>
      <c r="HGT36" s="537"/>
      <c r="HGU36" s="537"/>
      <c r="HGV36" s="537"/>
      <c r="HGW36" s="537"/>
      <c r="HGX36" s="537"/>
      <c r="HGY36" s="537"/>
      <c r="HGZ36" s="537"/>
      <c r="HHA36" s="537"/>
      <c r="HHB36" s="537"/>
      <c r="HHC36" s="537"/>
      <c r="HHD36" s="537"/>
      <c r="HHE36" s="537"/>
      <c r="HHF36" s="537"/>
      <c r="HHG36" s="537"/>
      <c r="HHH36" s="537"/>
      <c r="HHI36" s="537"/>
      <c r="HHJ36" s="537"/>
      <c r="HHK36" s="537"/>
      <c r="HHL36" s="537"/>
      <c r="HHM36" s="537"/>
      <c r="HHN36" s="537"/>
      <c r="HHO36" s="537"/>
      <c r="HHP36" s="537"/>
      <c r="HHQ36" s="537"/>
      <c r="HHR36" s="537"/>
      <c r="HHS36" s="537"/>
      <c r="HHT36" s="537"/>
      <c r="HHU36" s="537"/>
      <c r="HHV36" s="537"/>
      <c r="HHW36" s="537"/>
      <c r="HHX36" s="537"/>
      <c r="HHY36" s="537"/>
      <c r="HHZ36" s="537"/>
      <c r="HIA36" s="537"/>
      <c r="HIB36" s="537"/>
      <c r="HIC36" s="537"/>
      <c r="HID36" s="537"/>
      <c r="HIE36" s="537"/>
      <c r="HIF36" s="537"/>
      <c r="HIG36" s="537"/>
      <c r="HIH36" s="537"/>
      <c r="HII36" s="537"/>
      <c r="HIJ36" s="537"/>
      <c r="HIK36" s="537"/>
      <c r="HIL36" s="537"/>
      <c r="HIM36" s="537"/>
      <c r="HIN36" s="537"/>
      <c r="HIO36" s="537"/>
      <c r="HIP36" s="537"/>
      <c r="HIQ36" s="537"/>
      <c r="HIR36" s="537"/>
      <c r="HIS36" s="537"/>
      <c r="HIT36" s="537"/>
      <c r="HIU36" s="537"/>
      <c r="HIV36" s="537"/>
      <c r="HIW36" s="537"/>
      <c r="HIX36" s="537"/>
      <c r="HIY36" s="537"/>
      <c r="HIZ36" s="537"/>
      <c r="HJA36" s="537"/>
      <c r="HJB36" s="537"/>
      <c r="HJC36" s="537"/>
      <c r="HJD36" s="537"/>
      <c r="HJE36" s="537"/>
      <c r="HJF36" s="537"/>
      <c r="HJG36" s="537"/>
      <c r="HJH36" s="537"/>
      <c r="HJI36" s="537"/>
      <c r="HJJ36" s="537"/>
      <c r="HJK36" s="537"/>
      <c r="HJL36" s="537"/>
      <c r="HJM36" s="537"/>
      <c r="HJN36" s="537"/>
      <c r="HJO36" s="537"/>
      <c r="HJP36" s="537"/>
      <c r="HJQ36" s="537"/>
      <c r="HJR36" s="537"/>
      <c r="HJS36" s="537"/>
      <c r="HJT36" s="537"/>
      <c r="HJU36" s="537"/>
      <c r="HJV36" s="537"/>
      <c r="HJW36" s="537"/>
      <c r="HJX36" s="537"/>
      <c r="HJY36" s="537"/>
      <c r="HJZ36" s="537"/>
      <c r="HKA36" s="537"/>
      <c r="HKB36" s="537"/>
      <c r="HKC36" s="537"/>
      <c r="HKD36" s="537"/>
      <c r="HKE36" s="537"/>
      <c r="HKF36" s="537"/>
      <c r="HKG36" s="537"/>
      <c r="HKH36" s="537"/>
      <c r="HKI36" s="537"/>
      <c r="HKJ36" s="537"/>
      <c r="HKK36" s="537"/>
      <c r="HKL36" s="537"/>
      <c r="HKM36" s="537"/>
      <c r="HKN36" s="537"/>
      <c r="HKO36" s="537"/>
      <c r="HKP36" s="537"/>
      <c r="HKQ36" s="537"/>
      <c r="HKR36" s="537"/>
      <c r="HKS36" s="537"/>
      <c r="HKT36" s="537"/>
      <c r="HKU36" s="537"/>
      <c r="HKV36" s="537"/>
      <c r="HKW36" s="537"/>
      <c r="HKX36" s="537"/>
      <c r="HKY36" s="537"/>
      <c r="HKZ36" s="537"/>
      <c r="HLA36" s="537"/>
      <c r="HLB36" s="537"/>
      <c r="HLC36" s="537"/>
      <c r="HLD36" s="537"/>
      <c r="HLE36" s="537"/>
      <c r="HLF36" s="537"/>
      <c r="HLG36" s="537"/>
      <c r="HLH36" s="537"/>
      <c r="HLI36" s="537"/>
      <c r="HLJ36" s="537"/>
      <c r="HLK36" s="537"/>
      <c r="HLL36" s="537"/>
      <c r="HLM36" s="537"/>
      <c r="HLN36" s="537"/>
      <c r="HLO36" s="537"/>
      <c r="HLP36" s="537"/>
      <c r="HLQ36" s="537"/>
      <c r="HLR36" s="537"/>
      <c r="HLS36" s="537"/>
      <c r="HLT36" s="537"/>
      <c r="HLU36" s="537"/>
      <c r="HLV36" s="537"/>
      <c r="HLW36" s="537"/>
      <c r="HLX36" s="537"/>
      <c r="HLY36" s="537"/>
      <c r="HLZ36" s="537"/>
      <c r="HMA36" s="537"/>
      <c r="HMB36" s="537"/>
      <c r="HMC36" s="537"/>
      <c r="HMD36" s="537"/>
      <c r="HME36" s="537"/>
      <c r="HMF36" s="537"/>
      <c r="HMG36" s="537"/>
      <c r="HMH36" s="537"/>
      <c r="HMI36" s="537"/>
      <c r="HMJ36" s="537"/>
      <c r="HMK36" s="537"/>
      <c r="HML36" s="537"/>
      <c r="HMM36" s="537"/>
      <c r="HMN36" s="537"/>
      <c r="HMO36" s="537"/>
      <c r="HMP36" s="537"/>
      <c r="HMQ36" s="537"/>
      <c r="HMR36" s="537"/>
      <c r="HMS36" s="537"/>
      <c r="HMT36" s="537"/>
      <c r="HMU36" s="537"/>
      <c r="HMV36" s="537"/>
      <c r="HMW36" s="537"/>
      <c r="HMX36" s="537"/>
      <c r="HMY36" s="537"/>
      <c r="HMZ36" s="537"/>
      <c r="HNA36" s="537"/>
      <c r="HNB36" s="537"/>
      <c r="HNC36" s="537"/>
      <c r="HND36" s="537"/>
      <c r="HNE36" s="537"/>
      <c r="HNF36" s="537"/>
      <c r="HNG36" s="537"/>
      <c r="HNH36" s="537"/>
      <c r="HNI36" s="537"/>
      <c r="HNJ36" s="537"/>
      <c r="HNK36" s="537"/>
      <c r="HNL36" s="537"/>
      <c r="HNM36" s="537"/>
      <c r="HNN36" s="537"/>
      <c r="HNO36" s="537"/>
      <c r="HNP36" s="537"/>
      <c r="HNQ36" s="537"/>
      <c r="HNR36" s="537"/>
      <c r="HNS36" s="537"/>
      <c r="HNT36" s="537"/>
      <c r="HNU36" s="537"/>
      <c r="HNV36" s="537"/>
      <c r="HNW36" s="537"/>
      <c r="HNX36" s="537"/>
      <c r="HNY36" s="537"/>
      <c r="HNZ36" s="537"/>
      <c r="HOA36" s="537"/>
      <c r="HOB36" s="537"/>
      <c r="HOC36" s="537"/>
      <c r="HOD36" s="537"/>
      <c r="HOE36" s="537"/>
      <c r="HOF36" s="537"/>
      <c r="HOG36" s="537"/>
      <c r="HOH36" s="537"/>
      <c r="HOI36" s="537"/>
      <c r="HOJ36" s="537"/>
      <c r="HOK36" s="537"/>
      <c r="HOL36" s="537"/>
      <c r="HOM36" s="537"/>
      <c r="HON36" s="537"/>
      <c r="HOO36" s="537"/>
      <c r="HOP36" s="537"/>
      <c r="HOQ36" s="537"/>
      <c r="HOR36" s="537"/>
      <c r="HOS36" s="537"/>
      <c r="HOT36" s="537"/>
      <c r="HOU36" s="537"/>
      <c r="HOV36" s="537"/>
      <c r="HOW36" s="537"/>
      <c r="HOX36" s="537"/>
      <c r="HOY36" s="537"/>
      <c r="HOZ36" s="537"/>
      <c r="HPA36" s="537"/>
      <c r="HPB36" s="537"/>
      <c r="HPC36" s="537"/>
      <c r="HPD36" s="537"/>
      <c r="HPE36" s="537"/>
      <c r="HPF36" s="537"/>
      <c r="HPG36" s="537"/>
      <c r="HPH36" s="537"/>
      <c r="HPI36" s="537"/>
      <c r="HPJ36" s="537"/>
      <c r="HPK36" s="537"/>
      <c r="HPL36" s="537"/>
      <c r="HPM36" s="537"/>
      <c r="HPN36" s="537"/>
      <c r="HPO36" s="537"/>
      <c r="HPP36" s="537"/>
      <c r="HPQ36" s="537"/>
      <c r="HPR36" s="537"/>
      <c r="HPS36" s="537"/>
      <c r="HPT36" s="537"/>
      <c r="HPU36" s="537"/>
      <c r="HPV36" s="537"/>
      <c r="HPW36" s="537"/>
      <c r="HPX36" s="537"/>
      <c r="HPY36" s="537"/>
      <c r="HPZ36" s="537"/>
      <c r="HQA36" s="537"/>
      <c r="HQB36" s="537"/>
      <c r="HQC36" s="537"/>
      <c r="HQD36" s="537"/>
      <c r="HQE36" s="537"/>
      <c r="HQF36" s="537"/>
      <c r="HQG36" s="537"/>
      <c r="HQH36" s="537"/>
      <c r="HQI36" s="537"/>
      <c r="HQJ36" s="537"/>
      <c r="HQK36" s="537"/>
      <c r="HQL36" s="537"/>
      <c r="HQM36" s="537"/>
      <c r="HQN36" s="537"/>
      <c r="HQO36" s="537"/>
      <c r="HQP36" s="537"/>
      <c r="HQQ36" s="537"/>
      <c r="HQR36" s="537"/>
      <c r="HQS36" s="537"/>
      <c r="HQT36" s="537"/>
      <c r="HQU36" s="537"/>
      <c r="HQV36" s="537"/>
      <c r="HQW36" s="537"/>
      <c r="HQX36" s="537"/>
      <c r="HQY36" s="537"/>
      <c r="HQZ36" s="537"/>
      <c r="HRA36" s="537"/>
      <c r="HRB36" s="537"/>
      <c r="HRC36" s="537"/>
      <c r="HRD36" s="537"/>
      <c r="HRE36" s="537"/>
      <c r="HRF36" s="537"/>
      <c r="HRG36" s="537"/>
      <c r="HRH36" s="537"/>
      <c r="HRI36" s="537"/>
      <c r="HRJ36" s="537"/>
      <c r="HRK36" s="537"/>
      <c r="HRL36" s="537"/>
      <c r="HRM36" s="537"/>
      <c r="HRN36" s="537"/>
      <c r="HRO36" s="537"/>
      <c r="HRP36" s="537"/>
      <c r="HRQ36" s="537"/>
      <c r="HRR36" s="537"/>
      <c r="HRS36" s="537"/>
      <c r="HRT36" s="537"/>
      <c r="HRU36" s="537"/>
      <c r="HRV36" s="537"/>
      <c r="HRW36" s="537"/>
      <c r="HRX36" s="537"/>
      <c r="HRY36" s="537"/>
      <c r="HRZ36" s="537"/>
      <c r="HSA36" s="537"/>
      <c r="HSB36" s="537"/>
      <c r="HSC36" s="537"/>
      <c r="HSD36" s="537"/>
      <c r="HSE36" s="537"/>
      <c r="HSF36" s="537"/>
      <c r="HSG36" s="537"/>
      <c r="HSH36" s="537"/>
      <c r="HSI36" s="537"/>
      <c r="HSJ36" s="537"/>
      <c r="HSK36" s="537"/>
      <c r="HSL36" s="537"/>
      <c r="HSM36" s="537"/>
      <c r="HSN36" s="537"/>
      <c r="HSO36" s="537"/>
      <c r="HSP36" s="537"/>
      <c r="HSQ36" s="537"/>
      <c r="HSR36" s="537"/>
      <c r="HSS36" s="537"/>
      <c r="HST36" s="537"/>
      <c r="HSU36" s="537"/>
      <c r="HSV36" s="537"/>
      <c r="HSW36" s="537"/>
      <c r="HSX36" s="537"/>
      <c r="HSY36" s="537"/>
      <c r="HSZ36" s="537"/>
      <c r="HTA36" s="537"/>
      <c r="HTB36" s="537"/>
      <c r="HTC36" s="537"/>
      <c r="HTD36" s="537"/>
      <c r="HTE36" s="537"/>
      <c r="HTF36" s="537"/>
      <c r="HTG36" s="537"/>
      <c r="HTH36" s="537"/>
      <c r="HTI36" s="537"/>
      <c r="HTJ36" s="537"/>
      <c r="HTK36" s="537"/>
      <c r="HTL36" s="537"/>
      <c r="HTM36" s="537"/>
      <c r="HTN36" s="537"/>
      <c r="HTO36" s="537"/>
      <c r="HTP36" s="537"/>
      <c r="HTQ36" s="537"/>
      <c r="HTR36" s="537"/>
      <c r="HTS36" s="537"/>
      <c r="HTT36" s="537"/>
      <c r="HTU36" s="537"/>
      <c r="HTV36" s="537"/>
      <c r="HTW36" s="537"/>
      <c r="HTX36" s="537"/>
      <c r="HTY36" s="537"/>
      <c r="HTZ36" s="537"/>
      <c r="HUA36" s="537"/>
      <c r="HUB36" s="537"/>
      <c r="HUC36" s="537"/>
      <c r="HUD36" s="537"/>
      <c r="HUE36" s="537"/>
      <c r="HUF36" s="537"/>
      <c r="HUG36" s="537"/>
      <c r="HUH36" s="537"/>
      <c r="HUI36" s="537"/>
      <c r="HUJ36" s="537"/>
      <c r="HUK36" s="537"/>
      <c r="HUL36" s="537"/>
      <c r="HUM36" s="537"/>
      <c r="HUN36" s="537"/>
      <c r="HUO36" s="537"/>
      <c r="HUP36" s="537"/>
      <c r="HUQ36" s="537"/>
      <c r="HUR36" s="537"/>
      <c r="HUS36" s="537"/>
      <c r="HUT36" s="537"/>
      <c r="HUU36" s="537"/>
      <c r="HUV36" s="537"/>
      <c r="HUW36" s="537"/>
      <c r="HUX36" s="537"/>
      <c r="HUY36" s="537"/>
      <c r="HUZ36" s="537"/>
      <c r="HVA36" s="537"/>
      <c r="HVB36" s="537"/>
      <c r="HVC36" s="537"/>
      <c r="HVD36" s="537"/>
      <c r="HVE36" s="537"/>
      <c r="HVF36" s="537"/>
      <c r="HVG36" s="537"/>
      <c r="HVH36" s="537"/>
      <c r="HVI36" s="537"/>
      <c r="HVJ36" s="537"/>
      <c r="HVK36" s="537"/>
      <c r="HVL36" s="537"/>
      <c r="HVM36" s="537"/>
      <c r="HVN36" s="537"/>
      <c r="HVO36" s="537"/>
      <c r="HVP36" s="537"/>
      <c r="HVQ36" s="537"/>
      <c r="HVR36" s="537"/>
      <c r="HVS36" s="537"/>
      <c r="HVT36" s="537"/>
      <c r="HVU36" s="537"/>
      <c r="HVV36" s="537"/>
      <c r="HVW36" s="537"/>
      <c r="HVX36" s="537"/>
      <c r="HVY36" s="537"/>
      <c r="HVZ36" s="537"/>
      <c r="HWA36" s="537"/>
      <c r="HWB36" s="537"/>
      <c r="HWC36" s="537"/>
      <c r="HWD36" s="537"/>
      <c r="HWE36" s="537"/>
      <c r="HWF36" s="537"/>
      <c r="HWG36" s="537"/>
      <c r="HWH36" s="537"/>
      <c r="HWI36" s="537"/>
      <c r="HWJ36" s="537"/>
      <c r="HWK36" s="537"/>
      <c r="HWL36" s="537"/>
      <c r="HWM36" s="537"/>
      <c r="HWN36" s="537"/>
      <c r="HWO36" s="537"/>
      <c r="HWP36" s="537"/>
      <c r="HWQ36" s="537"/>
      <c r="HWR36" s="537"/>
      <c r="HWS36" s="537"/>
      <c r="HWT36" s="537"/>
      <c r="HWU36" s="537"/>
      <c r="HWV36" s="537"/>
      <c r="HWW36" s="537"/>
      <c r="HWX36" s="537"/>
      <c r="HWY36" s="537"/>
      <c r="HWZ36" s="537"/>
      <c r="HXA36" s="537"/>
      <c r="HXB36" s="537"/>
      <c r="HXC36" s="537"/>
      <c r="HXD36" s="537"/>
      <c r="HXE36" s="537"/>
      <c r="HXF36" s="537"/>
      <c r="HXG36" s="537"/>
      <c r="HXH36" s="537"/>
      <c r="HXI36" s="537"/>
      <c r="HXJ36" s="537"/>
      <c r="HXK36" s="537"/>
      <c r="HXL36" s="537"/>
      <c r="HXM36" s="537"/>
      <c r="HXN36" s="537"/>
      <c r="HXO36" s="537"/>
      <c r="HXP36" s="537"/>
      <c r="HXQ36" s="537"/>
      <c r="HXR36" s="537"/>
      <c r="HXS36" s="537"/>
      <c r="HXT36" s="537"/>
      <c r="HXU36" s="537"/>
      <c r="HXV36" s="537"/>
      <c r="HXW36" s="537"/>
      <c r="HXX36" s="537"/>
      <c r="HXY36" s="537"/>
      <c r="HXZ36" s="537"/>
      <c r="HYA36" s="537"/>
      <c r="HYB36" s="537"/>
      <c r="HYC36" s="537"/>
      <c r="HYD36" s="537"/>
      <c r="HYE36" s="537"/>
      <c r="HYF36" s="537"/>
      <c r="HYG36" s="537"/>
      <c r="HYH36" s="537"/>
      <c r="HYI36" s="537"/>
      <c r="HYJ36" s="537"/>
      <c r="HYK36" s="537"/>
      <c r="HYL36" s="537"/>
      <c r="HYM36" s="537"/>
      <c r="HYN36" s="537"/>
      <c r="HYO36" s="537"/>
      <c r="HYP36" s="537"/>
      <c r="HYQ36" s="537"/>
      <c r="HYR36" s="537"/>
      <c r="HYS36" s="537"/>
      <c r="HYT36" s="537"/>
      <c r="HYU36" s="537"/>
      <c r="HYV36" s="537"/>
      <c r="HYW36" s="537"/>
      <c r="HYX36" s="537"/>
      <c r="HYY36" s="537"/>
      <c r="HYZ36" s="537"/>
      <c r="HZA36" s="537"/>
      <c r="HZB36" s="537"/>
      <c r="HZC36" s="537"/>
      <c r="HZD36" s="537"/>
      <c r="HZE36" s="537"/>
      <c r="HZF36" s="537"/>
      <c r="HZG36" s="537"/>
      <c r="HZH36" s="537"/>
      <c r="HZI36" s="537"/>
      <c r="HZJ36" s="537"/>
      <c r="HZK36" s="537"/>
      <c r="HZL36" s="537"/>
      <c r="HZM36" s="537"/>
      <c r="HZN36" s="537"/>
      <c r="HZO36" s="537"/>
      <c r="HZP36" s="537"/>
      <c r="HZQ36" s="537"/>
      <c r="HZR36" s="537"/>
      <c r="HZS36" s="537"/>
      <c r="HZT36" s="537"/>
      <c r="HZU36" s="537"/>
      <c r="HZV36" s="537"/>
      <c r="HZW36" s="537"/>
      <c r="HZX36" s="537"/>
      <c r="HZY36" s="537"/>
      <c r="HZZ36" s="537"/>
      <c r="IAA36" s="537"/>
      <c r="IAB36" s="537"/>
      <c r="IAC36" s="537"/>
      <c r="IAD36" s="537"/>
      <c r="IAE36" s="537"/>
      <c r="IAF36" s="537"/>
      <c r="IAG36" s="537"/>
      <c r="IAH36" s="537"/>
      <c r="IAI36" s="537"/>
      <c r="IAJ36" s="537"/>
      <c r="IAK36" s="537"/>
      <c r="IAL36" s="537"/>
      <c r="IAM36" s="537"/>
      <c r="IAN36" s="537"/>
      <c r="IAO36" s="537"/>
      <c r="IAP36" s="537"/>
      <c r="IAQ36" s="537"/>
      <c r="IAR36" s="537"/>
      <c r="IAS36" s="537"/>
      <c r="IAT36" s="537"/>
      <c r="IAU36" s="537"/>
      <c r="IAV36" s="537"/>
      <c r="IAW36" s="537"/>
      <c r="IAX36" s="537"/>
      <c r="IAY36" s="537"/>
      <c r="IAZ36" s="537"/>
      <c r="IBA36" s="537"/>
      <c r="IBB36" s="537"/>
      <c r="IBC36" s="537"/>
      <c r="IBD36" s="537"/>
      <c r="IBE36" s="537"/>
      <c r="IBF36" s="537"/>
      <c r="IBG36" s="537"/>
      <c r="IBH36" s="537"/>
      <c r="IBI36" s="537"/>
      <c r="IBJ36" s="537"/>
      <c r="IBK36" s="537"/>
      <c r="IBL36" s="537"/>
      <c r="IBM36" s="537"/>
      <c r="IBN36" s="537"/>
      <c r="IBO36" s="537"/>
      <c r="IBP36" s="537"/>
      <c r="IBQ36" s="537"/>
      <c r="IBR36" s="537"/>
      <c r="IBS36" s="537"/>
      <c r="IBT36" s="537"/>
      <c r="IBU36" s="537"/>
      <c r="IBV36" s="537"/>
      <c r="IBW36" s="537"/>
      <c r="IBX36" s="537"/>
      <c r="IBY36" s="537"/>
      <c r="IBZ36" s="537"/>
      <c r="ICA36" s="537"/>
      <c r="ICB36" s="537"/>
      <c r="ICC36" s="537"/>
      <c r="ICD36" s="537"/>
      <c r="ICE36" s="537"/>
      <c r="ICF36" s="537"/>
      <c r="ICG36" s="537"/>
      <c r="ICH36" s="537"/>
      <c r="ICI36" s="537"/>
      <c r="ICJ36" s="537"/>
      <c r="ICK36" s="537"/>
      <c r="ICL36" s="537"/>
      <c r="ICM36" s="537"/>
      <c r="ICN36" s="537"/>
      <c r="ICO36" s="537"/>
      <c r="ICP36" s="537"/>
      <c r="ICQ36" s="537"/>
      <c r="ICR36" s="537"/>
      <c r="ICS36" s="537"/>
      <c r="ICT36" s="537"/>
      <c r="ICU36" s="537"/>
      <c r="ICV36" s="537"/>
      <c r="ICW36" s="537"/>
      <c r="ICX36" s="537"/>
      <c r="ICY36" s="537"/>
      <c r="ICZ36" s="537"/>
      <c r="IDA36" s="537"/>
      <c r="IDB36" s="537"/>
      <c r="IDC36" s="537"/>
      <c r="IDD36" s="537"/>
      <c r="IDE36" s="537"/>
      <c r="IDF36" s="537"/>
      <c r="IDG36" s="537"/>
      <c r="IDH36" s="537"/>
      <c r="IDI36" s="537"/>
      <c r="IDJ36" s="537"/>
      <c r="IDK36" s="537"/>
      <c r="IDL36" s="537"/>
      <c r="IDM36" s="537"/>
      <c r="IDN36" s="537"/>
      <c r="IDO36" s="537"/>
      <c r="IDP36" s="537"/>
      <c r="IDQ36" s="537"/>
      <c r="IDR36" s="537"/>
      <c r="IDS36" s="537"/>
      <c r="IDT36" s="537"/>
      <c r="IDU36" s="537"/>
      <c r="IDV36" s="537"/>
      <c r="IDW36" s="537"/>
      <c r="IDX36" s="537"/>
      <c r="IDY36" s="537"/>
      <c r="IDZ36" s="537"/>
      <c r="IEA36" s="537"/>
      <c r="IEB36" s="537"/>
      <c r="IEC36" s="537"/>
      <c r="IED36" s="537"/>
      <c r="IEE36" s="537"/>
      <c r="IEF36" s="537"/>
      <c r="IEG36" s="537"/>
      <c r="IEH36" s="537"/>
      <c r="IEI36" s="537"/>
      <c r="IEJ36" s="537"/>
      <c r="IEK36" s="537"/>
      <c r="IEL36" s="537"/>
      <c r="IEM36" s="537"/>
      <c r="IEN36" s="537"/>
      <c r="IEO36" s="537"/>
      <c r="IEP36" s="537"/>
      <c r="IEQ36" s="537"/>
      <c r="IER36" s="537"/>
      <c r="IES36" s="537"/>
      <c r="IET36" s="537"/>
      <c r="IEU36" s="537"/>
      <c r="IEV36" s="537"/>
      <c r="IEW36" s="537"/>
      <c r="IEX36" s="537"/>
      <c r="IEY36" s="537"/>
      <c r="IEZ36" s="537"/>
      <c r="IFA36" s="537"/>
      <c r="IFB36" s="537"/>
      <c r="IFC36" s="537"/>
      <c r="IFD36" s="537"/>
      <c r="IFE36" s="537"/>
      <c r="IFF36" s="537"/>
      <c r="IFG36" s="537"/>
      <c r="IFH36" s="537"/>
      <c r="IFI36" s="537"/>
      <c r="IFJ36" s="537"/>
      <c r="IFK36" s="537"/>
      <c r="IFL36" s="537"/>
      <c r="IFM36" s="537"/>
      <c r="IFN36" s="537"/>
      <c r="IFO36" s="537"/>
      <c r="IFP36" s="537"/>
      <c r="IFQ36" s="537"/>
      <c r="IFR36" s="537"/>
      <c r="IFS36" s="537"/>
      <c r="IFT36" s="537"/>
      <c r="IFU36" s="537"/>
      <c r="IFV36" s="537"/>
      <c r="IFW36" s="537"/>
      <c r="IFX36" s="537"/>
      <c r="IFY36" s="537"/>
      <c r="IFZ36" s="537"/>
      <c r="IGA36" s="537"/>
      <c r="IGB36" s="537"/>
      <c r="IGC36" s="537"/>
      <c r="IGD36" s="537"/>
      <c r="IGE36" s="537"/>
      <c r="IGF36" s="537"/>
      <c r="IGG36" s="537"/>
      <c r="IGH36" s="537"/>
      <c r="IGI36" s="537"/>
      <c r="IGJ36" s="537"/>
      <c r="IGK36" s="537"/>
      <c r="IGL36" s="537"/>
      <c r="IGM36" s="537"/>
      <c r="IGN36" s="537"/>
      <c r="IGO36" s="537"/>
      <c r="IGP36" s="537"/>
      <c r="IGQ36" s="537"/>
      <c r="IGR36" s="537"/>
      <c r="IGS36" s="537"/>
      <c r="IGT36" s="537"/>
      <c r="IGU36" s="537"/>
      <c r="IGV36" s="537"/>
      <c r="IGW36" s="537"/>
      <c r="IGX36" s="537"/>
      <c r="IGY36" s="537"/>
      <c r="IGZ36" s="537"/>
      <c r="IHA36" s="537"/>
      <c r="IHB36" s="537"/>
      <c r="IHC36" s="537"/>
      <c r="IHD36" s="537"/>
      <c r="IHE36" s="537"/>
      <c r="IHF36" s="537"/>
      <c r="IHG36" s="537"/>
      <c r="IHH36" s="537"/>
      <c r="IHI36" s="537"/>
      <c r="IHJ36" s="537"/>
      <c r="IHK36" s="537"/>
      <c r="IHL36" s="537"/>
      <c r="IHM36" s="537"/>
      <c r="IHN36" s="537"/>
      <c r="IHO36" s="537"/>
      <c r="IHP36" s="537"/>
      <c r="IHQ36" s="537"/>
      <c r="IHR36" s="537"/>
      <c r="IHS36" s="537"/>
      <c r="IHT36" s="537"/>
      <c r="IHU36" s="537"/>
      <c r="IHV36" s="537"/>
      <c r="IHW36" s="537"/>
      <c r="IHX36" s="537"/>
      <c r="IHY36" s="537"/>
      <c r="IHZ36" s="537"/>
      <c r="IIA36" s="537"/>
      <c r="IIB36" s="537"/>
      <c r="IIC36" s="537"/>
      <c r="IID36" s="537"/>
      <c r="IIE36" s="537"/>
      <c r="IIF36" s="537"/>
      <c r="IIG36" s="537"/>
      <c r="IIH36" s="537"/>
      <c r="III36" s="537"/>
      <c r="IIJ36" s="537"/>
      <c r="IIK36" s="537"/>
      <c r="IIL36" s="537"/>
      <c r="IIM36" s="537"/>
      <c r="IIN36" s="537"/>
      <c r="IIO36" s="537"/>
      <c r="IIP36" s="537"/>
      <c r="IIQ36" s="537"/>
      <c r="IIR36" s="537"/>
      <c r="IIS36" s="537"/>
      <c r="IIT36" s="537"/>
      <c r="IIU36" s="537"/>
      <c r="IIV36" s="537"/>
      <c r="IIW36" s="537"/>
      <c r="IIX36" s="537"/>
      <c r="IIY36" s="537"/>
      <c r="IIZ36" s="537"/>
      <c r="IJA36" s="537"/>
      <c r="IJB36" s="537"/>
      <c r="IJC36" s="537"/>
      <c r="IJD36" s="537"/>
      <c r="IJE36" s="537"/>
      <c r="IJF36" s="537"/>
      <c r="IJG36" s="537"/>
      <c r="IJH36" s="537"/>
      <c r="IJI36" s="537"/>
      <c r="IJJ36" s="537"/>
      <c r="IJK36" s="537"/>
      <c r="IJL36" s="537"/>
      <c r="IJM36" s="537"/>
      <c r="IJN36" s="537"/>
      <c r="IJO36" s="537"/>
      <c r="IJP36" s="537"/>
      <c r="IJQ36" s="537"/>
      <c r="IJR36" s="537"/>
      <c r="IJS36" s="537"/>
      <c r="IJT36" s="537"/>
      <c r="IJU36" s="537"/>
      <c r="IJV36" s="537"/>
      <c r="IJW36" s="537"/>
      <c r="IJX36" s="537"/>
      <c r="IJY36" s="537"/>
      <c r="IJZ36" s="537"/>
      <c r="IKA36" s="537"/>
      <c r="IKB36" s="537"/>
      <c r="IKC36" s="537"/>
      <c r="IKD36" s="537"/>
      <c r="IKE36" s="537"/>
      <c r="IKF36" s="537"/>
      <c r="IKG36" s="537"/>
      <c r="IKH36" s="537"/>
      <c r="IKI36" s="537"/>
      <c r="IKJ36" s="537"/>
      <c r="IKK36" s="537"/>
      <c r="IKL36" s="537"/>
      <c r="IKM36" s="537"/>
      <c r="IKN36" s="537"/>
      <c r="IKO36" s="537"/>
      <c r="IKP36" s="537"/>
      <c r="IKQ36" s="537"/>
      <c r="IKR36" s="537"/>
      <c r="IKS36" s="537"/>
      <c r="IKT36" s="537"/>
      <c r="IKU36" s="537"/>
      <c r="IKV36" s="537"/>
      <c r="IKW36" s="537"/>
      <c r="IKX36" s="537"/>
      <c r="IKY36" s="537"/>
      <c r="IKZ36" s="537"/>
      <c r="ILA36" s="537"/>
      <c r="ILB36" s="537"/>
      <c r="ILC36" s="537"/>
      <c r="ILD36" s="537"/>
      <c r="ILE36" s="537"/>
      <c r="ILF36" s="537"/>
      <c r="ILG36" s="537"/>
      <c r="ILH36" s="537"/>
      <c r="ILI36" s="537"/>
      <c r="ILJ36" s="537"/>
      <c r="ILK36" s="537"/>
      <c r="ILL36" s="537"/>
      <c r="ILM36" s="537"/>
      <c r="ILN36" s="537"/>
      <c r="ILO36" s="537"/>
      <c r="ILP36" s="537"/>
      <c r="ILQ36" s="537"/>
      <c r="ILR36" s="537"/>
      <c r="ILS36" s="537"/>
      <c r="ILT36" s="537"/>
      <c r="ILU36" s="537"/>
      <c r="ILV36" s="537"/>
      <c r="ILW36" s="537"/>
      <c r="ILX36" s="537"/>
      <c r="ILY36" s="537"/>
      <c r="ILZ36" s="537"/>
      <c r="IMA36" s="537"/>
      <c r="IMB36" s="537"/>
      <c r="IMC36" s="537"/>
      <c r="IMD36" s="537"/>
      <c r="IME36" s="537"/>
      <c r="IMF36" s="537"/>
      <c r="IMG36" s="537"/>
      <c r="IMH36" s="537"/>
      <c r="IMI36" s="537"/>
      <c r="IMJ36" s="537"/>
      <c r="IMK36" s="537"/>
      <c r="IML36" s="537"/>
      <c r="IMM36" s="537"/>
      <c r="IMN36" s="537"/>
      <c r="IMO36" s="537"/>
      <c r="IMP36" s="537"/>
      <c r="IMQ36" s="537"/>
      <c r="IMR36" s="537"/>
      <c r="IMS36" s="537"/>
      <c r="IMT36" s="537"/>
      <c r="IMU36" s="537"/>
      <c r="IMV36" s="537"/>
      <c r="IMW36" s="537"/>
      <c r="IMX36" s="537"/>
      <c r="IMY36" s="537"/>
      <c r="IMZ36" s="537"/>
      <c r="INA36" s="537"/>
      <c r="INB36" s="537"/>
      <c r="INC36" s="537"/>
      <c r="IND36" s="537"/>
      <c r="INE36" s="537"/>
      <c r="INF36" s="537"/>
      <c r="ING36" s="537"/>
      <c r="INH36" s="537"/>
      <c r="INI36" s="537"/>
      <c r="INJ36" s="537"/>
      <c r="INK36" s="537"/>
      <c r="INL36" s="537"/>
      <c r="INM36" s="537"/>
      <c r="INN36" s="537"/>
      <c r="INO36" s="537"/>
      <c r="INP36" s="537"/>
      <c r="INQ36" s="537"/>
      <c r="INR36" s="537"/>
      <c r="INS36" s="537"/>
      <c r="INT36" s="537"/>
      <c r="INU36" s="537"/>
      <c r="INV36" s="537"/>
      <c r="INW36" s="537"/>
      <c r="INX36" s="537"/>
      <c r="INY36" s="537"/>
      <c r="INZ36" s="537"/>
      <c r="IOA36" s="537"/>
      <c r="IOB36" s="537"/>
      <c r="IOC36" s="537"/>
      <c r="IOD36" s="537"/>
      <c r="IOE36" s="537"/>
      <c r="IOF36" s="537"/>
      <c r="IOG36" s="537"/>
      <c r="IOH36" s="537"/>
      <c r="IOI36" s="537"/>
      <c r="IOJ36" s="537"/>
      <c r="IOK36" s="537"/>
      <c r="IOL36" s="537"/>
      <c r="IOM36" s="537"/>
      <c r="ION36" s="537"/>
      <c r="IOO36" s="537"/>
      <c r="IOP36" s="537"/>
      <c r="IOQ36" s="537"/>
      <c r="IOR36" s="537"/>
      <c r="IOS36" s="537"/>
      <c r="IOT36" s="537"/>
      <c r="IOU36" s="537"/>
      <c r="IOV36" s="537"/>
      <c r="IOW36" s="537"/>
      <c r="IOX36" s="537"/>
      <c r="IOY36" s="537"/>
      <c r="IOZ36" s="537"/>
      <c r="IPA36" s="537"/>
      <c r="IPB36" s="537"/>
      <c r="IPC36" s="537"/>
      <c r="IPD36" s="537"/>
      <c r="IPE36" s="537"/>
      <c r="IPF36" s="537"/>
      <c r="IPG36" s="537"/>
      <c r="IPH36" s="537"/>
      <c r="IPI36" s="537"/>
      <c r="IPJ36" s="537"/>
      <c r="IPK36" s="537"/>
      <c r="IPL36" s="537"/>
      <c r="IPM36" s="537"/>
      <c r="IPN36" s="537"/>
      <c r="IPO36" s="537"/>
      <c r="IPP36" s="537"/>
      <c r="IPQ36" s="537"/>
      <c r="IPR36" s="537"/>
      <c r="IPS36" s="537"/>
      <c r="IPT36" s="537"/>
      <c r="IPU36" s="537"/>
      <c r="IPV36" s="537"/>
      <c r="IPW36" s="537"/>
      <c r="IPX36" s="537"/>
      <c r="IPY36" s="537"/>
      <c r="IPZ36" s="537"/>
      <c r="IQA36" s="537"/>
      <c r="IQB36" s="537"/>
      <c r="IQC36" s="537"/>
      <c r="IQD36" s="537"/>
      <c r="IQE36" s="537"/>
      <c r="IQF36" s="537"/>
      <c r="IQG36" s="537"/>
      <c r="IQH36" s="537"/>
      <c r="IQI36" s="537"/>
      <c r="IQJ36" s="537"/>
      <c r="IQK36" s="537"/>
      <c r="IQL36" s="537"/>
      <c r="IQM36" s="537"/>
      <c r="IQN36" s="537"/>
      <c r="IQO36" s="537"/>
      <c r="IQP36" s="537"/>
      <c r="IQQ36" s="537"/>
      <c r="IQR36" s="537"/>
      <c r="IQS36" s="537"/>
      <c r="IQT36" s="537"/>
      <c r="IQU36" s="537"/>
      <c r="IQV36" s="537"/>
      <c r="IQW36" s="537"/>
      <c r="IQX36" s="537"/>
      <c r="IQY36" s="537"/>
      <c r="IQZ36" s="537"/>
      <c r="IRA36" s="537"/>
      <c r="IRB36" s="537"/>
      <c r="IRC36" s="537"/>
      <c r="IRD36" s="537"/>
      <c r="IRE36" s="537"/>
      <c r="IRF36" s="537"/>
      <c r="IRG36" s="537"/>
      <c r="IRH36" s="537"/>
      <c r="IRI36" s="537"/>
      <c r="IRJ36" s="537"/>
      <c r="IRK36" s="537"/>
      <c r="IRL36" s="537"/>
      <c r="IRM36" s="537"/>
      <c r="IRN36" s="537"/>
      <c r="IRO36" s="537"/>
      <c r="IRP36" s="537"/>
      <c r="IRQ36" s="537"/>
      <c r="IRR36" s="537"/>
      <c r="IRS36" s="537"/>
      <c r="IRT36" s="537"/>
      <c r="IRU36" s="537"/>
      <c r="IRV36" s="537"/>
      <c r="IRW36" s="537"/>
      <c r="IRX36" s="537"/>
      <c r="IRY36" s="537"/>
      <c r="IRZ36" s="537"/>
      <c r="ISA36" s="537"/>
      <c r="ISB36" s="537"/>
      <c r="ISC36" s="537"/>
      <c r="ISD36" s="537"/>
      <c r="ISE36" s="537"/>
      <c r="ISF36" s="537"/>
      <c r="ISG36" s="537"/>
      <c r="ISH36" s="537"/>
      <c r="ISI36" s="537"/>
      <c r="ISJ36" s="537"/>
      <c r="ISK36" s="537"/>
      <c r="ISL36" s="537"/>
      <c r="ISM36" s="537"/>
      <c r="ISN36" s="537"/>
      <c r="ISO36" s="537"/>
      <c r="ISP36" s="537"/>
      <c r="ISQ36" s="537"/>
      <c r="ISR36" s="537"/>
      <c r="ISS36" s="537"/>
      <c r="IST36" s="537"/>
      <c r="ISU36" s="537"/>
      <c r="ISV36" s="537"/>
      <c r="ISW36" s="537"/>
      <c r="ISX36" s="537"/>
      <c r="ISY36" s="537"/>
      <c r="ISZ36" s="537"/>
      <c r="ITA36" s="537"/>
      <c r="ITB36" s="537"/>
      <c r="ITC36" s="537"/>
      <c r="ITD36" s="537"/>
      <c r="ITE36" s="537"/>
      <c r="ITF36" s="537"/>
      <c r="ITG36" s="537"/>
      <c r="ITH36" s="537"/>
      <c r="ITI36" s="537"/>
      <c r="ITJ36" s="537"/>
      <c r="ITK36" s="537"/>
      <c r="ITL36" s="537"/>
      <c r="ITM36" s="537"/>
      <c r="ITN36" s="537"/>
      <c r="ITO36" s="537"/>
      <c r="ITP36" s="537"/>
      <c r="ITQ36" s="537"/>
      <c r="ITR36" s="537"/>
      <c r="ITS36" s="537"/>
      <c r="ITT36" s="537"/>
      <c r="ITU36" s="537"/>
      <c r="ITV36" s="537"/>
      <c r="ITW36" s="537"/>
      <c r="ITX36" s="537"/>
      <c r="ITY36" s="537"/>
      <c r="ITZ36" s="537"/>
      <c r="IUA36" s="537"/>
      <c r="IUB36" s="537"/>
      <c r="IUC36" s="537"/>
      <c r="IUD36" s="537"/>
      <c r="IUE36" s="537"/>
      <c r="IUF36" s="537"/>
      <c r="IUG36" s="537"/>
      <c r="IUH36" s="537"/>
      <c r="IUI36" s="537"/>
      <c r="IUJ36" s="537"/>
      <c r="IUK36" s="537"/>
      <c r="IUL36" s="537"/>
      <c r="IUM36" s="537"/>
      <c r="IUN36" s="537"/>
      <c r="IUO36" s="537"/>
      <c r="IUP36" s="537"/>
      <c r="IUQ36" s="537"/>
      <c r="IUR36" s="537"/>
      <c r="IUS36" s="537"/>
      <c r="IUT36" s="537"/>
      <c r="IUU36" s="537"/>
      <c r="IUV36" s="537"/>
      <c r="IUW36" s="537"/>
      <c r="IUX36" s="537"/>
      <c r="IUY36" s="537"/>
      <c r="IUZ36" s="537"/>
      <c r="IVA36" s="537"/>
      <c r="IVB36" s="537"/>
      <c r="IVC36" s="537"/>
      <c r="IVD36" s="537"/>
      <c r="IVE36" s="537"/>
      <c r="IVF36" s="537"/>
      <c r="IVG36" s="537"/>
      <c r="IVH36" s="537"/>
      <c r="IVI36" s="537"/>
      <c r="IVJ36" s="537"/>
      <c r="IVK36" s="537"/>
      <c r="IVL36" s="537"/>
      <c r="IVM36" s="537"/>
      <c r="IVN36" s="537"/>
      <c r="IVO36" s="537"/>
      <c r="IVP36" s="537"/>
      <c r="IVQ36" s="537"/>
      <c r="IVR36" s="537"/>
      <c r="IVS36" s="537"/>
      <c r="IVT36" s="537"/>
      <c r="IVU36" s="537"/>
      <c r="IVV36" s="537"/>
      <c r="IVW36" s="537"/>
      <c r="IVX36" s="537"/>
      <c r="IVY36" s="537"/>
      <c r="IVZ36" s="537"/>
      <c r="IWA36" s="537"/>
      <c r="IWB36" s="537"/>
      <c r="IWC36" s="537"/>
      <c r="IWD36" s="537"/>
      <c r="IWE36" s="537"/>
      <c r="IWF36" s="537"/>
      <c r="IWG36" s="537"/>
      <c r="IWH36" s="537"/>
      <c r="IWI36" s="537"/>
      <c r="IWJ36" s="537"/>
      <c r="IWK36" s="537"/>
      <c r="IWL36" s="537"/>
      <c r="IWM36" s="537"/>
      <c r="IWN36" s="537"/>
      <c r="IWO36" s="537"/>
      <c r="IWP36" s="537"/>
      <c r="IWQ36" s="537"/>
      <c r="IWR36" s="537"/>
      <c r="IWS36" s="537"/>
      <c r="IWT36" s="537"/>
      <c r="IWU36" s="537"/>
      <c r="IWV36" s="537"/>
      <c r="IWW36" s="537"/>
      <c r="IWX36" s="537"/>
      <c r="IWY36" s="537"/>
      <c r="IWZ36" s="537"/>
      <c r="IXA36" s="537"/>
      <c r="IXB36" s="537"/>
      <c r="IXC36" s="537"/>
      <c r="IXD36" s="537"/>
      <c r="IXE36" s="537"/>
      <c r="IXF36" s="537"/>
      <c r="IXG36" s="537"/>
      <c r="IXH36" s="537"/>
      <c r="IXI36" s="537"/>
      <c r="IXJ36" s="537"/>
      <c r="IXK36" s="537"/>
      <c r="IXL36" s="537"/>
      <c r="IXM36" s="537"/>
      <c r="IXN36" s="537"/>
      <c r="IXO36" s="537"/>
      <c r="IXP36" s="537"/>
      <c r="IXQ36" s="537"/>
      <c r="IXR36" s="537"/>
      <c r="IXS36" s="537"/>
      <c r="IXT36" s="537"/>
      <c r="IXU36" s="537"/>
      <c r="IXV36" s="537"/>
      <c r="IXW36" s="537"/>
      <c r="IXX36" s="537"/>
      <c r="IXY36" s="537"/>
      <c r="IXZ36" s="537"/>
      <c r="IYA36" s="537"/>
      <c r="IYB36" s="537"/>
      <c r="IYC36" s="537"/>
      <c r="IYD36" s="537"/>
      <c r="IYE36" s="537"/>
      <c r="IYF36" s="537"/>
      <c r="IYG36" s="537"/>
      <c r="IYH36" s="537"/>
      <c r="IYI36" s="537"/>
      <c r="IYJ36" s="537"/>
      <c r="IYK36" s="537"/>
      <c r="IYL36" s="537"/>
      <c r="IYM36" s="537"/>
      <c r="IYN36" s="537"/>
      <c r="IYO36" s="537"/>
      <c r="IYP36" s="537"/>
      <c r="IYQ36" s="537"/>
      <c r="IYR36" s="537"/>
      <c r="IYS36" s="537"/>
      <c r="IYT36" s="537"/>
      <c r="IYU36" s="537"/>
      <c r="IYV36" s="537"/>
      <c r="IYW36" s="537"/>
      <c r="IYX36" s="537"/>
      <c r="IYY36" s="537"/>
      <c r="IYZ36" s="537"/>
      <c r="IZA36" s="537"/>
      <c r="IZB36" s="537"/>
      <c r="IZC36" s="537"/>
      <c r="IZD36" s="537"/>
      <c r="IZE36" s="537"/>
      <c r="IZF36" s="537"/>
      <c r="IZG36" s="537"/>
      <c r="IZH36" s="537"/>
      <c r="IZI36" s="537"/>
      <c r="IZJ36" s="537"/>
      <c r="IZK36" s="537"/>
      <c r="IZL36" s="537"/>
      <c r="IZM36" s="537"/>
      <c r="IZN36" s="537"/>
      <c r="IZO36" s="537"/>
      <c r="IZP36" s="537"/>
      <c r="IZQ36" s="537"/>
      <c r="IZR36" s="537"/>
      <c r="IZS36" s="537"/>
      <c r="IZT36" s="537"/>
      <c r="IZU36" s="537"/>
      <c r="IZV36" s="537"/>
      <c r="IZW36" s="537"/>
      <c r="IZX36" s="537"/>
      <c r="IZY36" s="537"/>
      <c r="IZZ36" s="537"/>
      <c r="JAA36" s="537"/>
      <c r="JAB36" s="537"/>
      <c r="JAC36" s="537"/>
      <c r="JAD36" s="537"/>
      <c r="JAE36" s="537"/>
      <c r="JAF36" s="537"/>
      <c r="JAG36" s="537"/>
      <c r="JAH36" s="537"/>
      <c r="JAI36" s="537"/>
      <c r="JAJ36" s="537"/>
      <c r="JAK36" s="537"/>
      <c r="JAL36" s="537"/>
      <c r="JAM36" s="537"/>
      <c r="JAN36" s="537"/>
      <c r="JAO36" s="537"/>
      <c r="JAP36" s="537"/>
      <c r="JAQ36" s="537"/>
      <c r="JAR36" s="537"/>
      <c r="JAS36" s="537"/>
      <c r="JAT36" s="537"/>
      <c r="JAU36" s="537"/>
      <c r="JAV36" s="537"/>
      <c r="JAW36" s="537"/>
      <c r="JAX36" s="537"/>
      <c r="JAY36" s="537"/>
      <c r="JAZ36" s="537"/>
      <c r="JBA36" s="537"/>
      <c r="JBB36" s="537"/>
      <c r="JBC36" s="537"/>
      <c r="JBD36" s="537"/>
      <c r="JBE36" s="537"/>
      <c r="JBF36" s="537"/>
      <c r="JBG36" s="537"/>
      <c r="JBH36" s="537"/>
      <c r="JBI36" s="537"/>
      <c r="JBJ36" s="537"/>
      <c r="JBK36" s="537"/>
      <c r="JBL36" s="537"/>
      <c r="JBM36" s="537"/>
      <c r="JBN36" s="537"/>
      <c r="JBO36" s="537"/>
      <c r="JBP36" s="537"/>
      <c r="JBQ36" s="537"/>
      <c r="JBR36" s="537"/>
      <c r="JBS36" s="537"/>
      <c r="JBT36" s="537"/>
      <c r="JBU36" s="537"/>
      <c r="JBV36" s="537"/>
      <c r="JBW36" s="537"/>
      <c r="JBX36" s="537"/>
      <c r="JBY36" s="537"/>
      <c r="JBZ36" s="537"/>
      <c r="JCA36" s="537"/>
      <c r="JCB36" s="537"/>
      <c r="JCC36" s="537"/>
      <c r="JCD36" s="537"/>
      <c r="JCE36" s="537"/>
      <c r="JCF36" s="537"/>
      <c r="JCG36" s="537"/>
      <c r="JCH36" s="537"/>
      <c r="JCI36" s="537"/>
      <c r="JCJ36" s="537"/>
      <c r="JCK36" s="537"/>
      <c r="JCL36" s="537"/>
      <c r="JCM36" s="537"/>
      <c r="JCN36" s="537"/>
      <c r="JCO36" s="537"/>
      <c r="JCP36" s="537"/>
      <c r="JCQ36" s="537"/>
      <c r="JCR36" s="537"/>
      <c r="JCS36" s="537"/>
      <c r="JCT36" s="537"/>
      <c r="JCU36" s="537"/>
      <c r="JCV36" s="537"/>
      <c r="JCW36" s="537"/>
      <c r="JCX36" s="537"/>
      <c r="JCY36" s="537"/>
      <c r="JCZ36" s="537"/>
      <c r="JDA36" s="537"/>
      <c r="JDB36" s="537"/>
      <c r="JDC36" s="537"/>
      <c r="JDD36" s="537"/>
      <c r="JDE36" s="537"/>
      <c r="JDF36" s="537"/>
      <c r="JDG36" s="537"/>
      <c r="JDH36" s="537"/>
      <c r="JDI36" s="537"/>
      <c r="JDJ36" s="537"/>
      <c r="JDK36" s="537"/>
      <c r="JDL36" s="537"/>
      <c r="JDM36" s="537"/>
      <c r="JDN36" s="537"/>
      <c r="JDO36" s="537"/>
      <c r="JDP36" s="537"/>
      <c r="JDQ36" s="537"/>
      <c r="JDR36" s="537"/>
      <c r="JDS36" s="537"/>
      <c r="JDT36" s="537"/>
      <c r="JDU36" s="537"/>
      <c r="JDV36" s="537"/>
      <c r="JDW36" s="537"/>
      <c r="JDX36" s="537"/>
      <c r="JDY36" s="537"/>
      <c r="JDZ36" s="537"/>
      <c r="JEA36" s="537"/>
      <c r="JEB36" s="537"/>
      <c r="JEC36" s="537"/>
      <c r="JED36" s="537"/>
      <c r="JEE36" s="537"/>
      <c r="JEF36" s="537"/>
      <c r="JEG36" s="537"/>
      <c r="JEH36" s="537"/>
      <c r="JEI36" s="537"/>
      <c r="JEJ36" s="537"/>
      <c r="JEK36" s="537"/>
      <c r="JEL36" s="537"/>
      <c r="JEM36" s="537"/>
      <c r="JEN36" s="537"/>
      <c r="JEO36" s="537"/>
      <c r="JEP36" s="537"/>
      <c r="JEQ36" s="537"/>
      <c r="JER36" s="537"/>
      <c r="JES36" s="537"/>
      <c r="JET36" s="537"/>
      <c r="JEU36" s="537"/>
      <c r="JEV36" s="537"/>
      <c r="JEW36" s="537"/>
      <c r="JEX36" s="537"/>
      <c r="JEY36" s="537"/>
      <c r="JEZ36" s="537"/>
      <c r="JFA36" s="537"/>
      <c r="JFB36" s="537"/>
      <c r="JFC36" s="537"/>
      <c r="JFD36" s="537"/>
      <c r="JFE36" s="537"/>
      <c r="JFF36" s="537"/>
      <c r="JFG36" s="537"/>
      <c r="JFH36" s="537"/>
      <c r="JFI36" s="537"/>
      <c r="JFJ36" s="537"/>
      <c r="JFK36" s="537"/>
      <c r="JFL36" s="537"/>
      <c r="JFM36" s="537"/>
      <c r="JFN36" s="537"/>
      <c r="JFO36" s="537"/>
      <c r="JFP36" s="537"/>
      <c r="JFQ36" s="537"/>
      <c r="JFR36" s="537"/>
      <c r="JFS36" s="537"/>
      <c r="JFT36" s="537"/>
      <c r="JFU36" s="537"/>
      <c r="JFV36" s="537"/>
      <c r="JFW36" s="537"/>
      <c r="JFX36" s="537"/>
      <c r="JFY36" s="537"/>
      <c r="JFZ36" s="537"/>
      <c r="JGA36" s="537"/>
      <c r="JGB36" s="537"/>
      <c r="JGC36" s="537"/>
      <c r="JGD36" s="537"/>
      <c r="JGE36" s="537"/>
      <c r="JGF36" s="537"/>
      <c r="JGG36" s="537"/>
      <c r="JGH36" s="537"/>
      <c r="JGI36" s="537"/>
      <c r="JGJ36" s="537"/>
      <c r="JGK36" s="537"/>
      <c r="JGL36" s="537"/>
      <c r="JGM36" s="537"/>
      <c r="JGN36" s="537"/>
      <c r="JGO36" s="537"/>
      <c r="JGP36" s="537"/>
      <c r="JGQ36" s="537"/>
      <c r="JGR36" s="537"/>
      <c r="JGS36" s="537"/>
      <c r="JGT36" s="537"/>
      <c r="JGU36" s="537"/>
      <c r="JGV36" s="537"/>
      <c r="JGW36" s="537"/>
      <c r="JGX36" s="537"/>
      <c r="JGY36" s="537"/>
      <c r="JGZ36" s="537"/>
      <c r="JHA36" s="537"/>
      <c r="JHB36" s="537"/>
      <c r="JHC36" s="537"/>
      <c r="JHD36" s="537"/>
      <c r="JHE36" s="537"/>
      <c r="JHF36" s="537"/>
      <c r="JHG36" s="537"/>
      <c r="JHH36" s="537"/>
      <c r="JHI36" s="537"/>
      <c r="JHJ36" s="537"/>
      <c r="JHK36" s="537"/>
      <c r="JHL36" s="537"/>
      <c r="JHM36" s="537"/>
      <c r="JHN36" s="537"/>
      <c r="JHO36" s="537"/>
      <c r="JHP36" s="537"/>
      <c r="JHQ36" s="537"/>
      <c r="JHR36" s="537"/>
      <c r="JHS36" s="537"/>
      <c r="JHT36" s="537"/>
      <c r="JHU36" s="537"/>
      <c r="JHV36" s="537"/>
      <c r="JHW36" s="537"/>
      <c r="JHX36" s="537"/>
      <c r="JHY36" s="537"/>
      <c r="JHZ36" s="537"/>
      <c r="JIA36" s="537"/>
      <c r="JIB36" s="537"/>
      <c r="JIC36" s="537"/>
      <c r="JID36" s="537"/>
      <c r="JIE36" s="537"/>
      <c r="JIF36" s="537"/>
      <c r="JIG36" s="537"/>
      <c r="JIH36" s="537"/>
      <c r="JII36" s="537"/>
      <c r="JIJ36" s="537"/>
      <c r="JIK36" s="537"/>
      <c r="JIL36" s="537"/>
      <c r="JIM36" s="537"/>
      <c r="JIN36" s="537"/>
      <c r="JIO36" s="537"/>
      <c r="JIP36" s="537"/>
      <c r="JIQ36" s="537"/>
      <c r="JIR36" s="537"/>
      <c r="JIS36" s="537"/>
      <c r="JIT36" s="537"/>
      <c r="JIU36" s="537"/>
      <c r="JIV36" s="537"/>
      <c r="JIW36" s="537"/>
      <c r="JIX36" s="537"/>
      <c r="JIY36" s="537"/>
      <c r="JIZ36" s="537"/>
      <c r="JJA36" s="537"/>
      <c r="JJB36" s="537"/>
      <c r="JJC36" s="537"/>
      <c r="JJD36" s="537"/>
      <c r="JJE36" s="537"/>
      <c r="JJF36" s="537"/>
      <c r="JJG36" s="537"/>
      <c r="JJH36" s="537"/>
      <c r="JJI36" s="537"/>
      <c r="JJJ36" s="537"/>
      <c r="JJK36" s="537"/>
      <c r="JJL36" s="537"/>
      <c r="JJM36" s="537"/>
      <c r="JJN36" s="537"/>
      <c r="JJO36" s="537"/>
      <c r="JJP36" s="537"/>
      <c r="JJQ36" s="537"/>
      <c r="JJR36" s="537"/>
      <c r="JJS36" s="537"/>
      <c r="JJT36" s="537"/>
      <c r="JJU36" s="537"/>
      <c r="JJV36" s="537"/>
      <c r="JJW36" s="537"/>
      <c r="JJX36" s="537"/>
      <c r="JJY36" s="537"/>
      <c r="JJZ36" s="537"/>
      <c r="JKA36" s="537"/>
      <c r="JKB36" s="537"/>
      <c r="JKC36" s="537"/>
      <c r="JKD36" s="537"/>
      <c r="JKE36" s="537"/>
      <c r="JKF36" s="537"/>
      <c r="JKG36" s="537"/>
      <c r="JKH36" s="537"/>
      <c r="JKI36" s="537"/>
      <c r="JKJ36" s="537"/>
      <c r="JKK36" s="537"/>
      <c r="JKL36" s="537"/>
      <c r="JKM36" s="537"/>
      <c r="JKN36" s="537"/>
      <c r="JKO36" s="537"/>
      <c r="JKP36" s="537"/>
      <c r="JKQ36" s="537"/>
      <c r="JKR36" s="537"/>
      <c r="JKS36" s="537"/>
      <c r="JKT36" s="537"/>
      <c r="JKU36" s="537"/>
      <c r="JKV36" s="537"/>
      <c r="JKW36" s="537"/>
      <c r="JKX36" s="537"/>
      <c r="JKY36" s="537"/>
      <c r="JKZ36" s="537"/>
      <c r="JLA36" s="537"/>
      <c r="JLB36" s="537"/>
      <c r="JLC36" s="537"/>
      <c r="JLD36" s="537"/>
      <c r="JLE36" s="537"/>
      <c r="JLF36" s="537"/>
      <c r="JLG36" s="537"/>
      <c r="JLH36" s="537"/>
      <c r="JLI36" s="537"/>
      <c r="JLJ36" s="537"/>
      <c r="JLK36" s="537"/>
      <c r="JLL36" s="537"/>
      <c r="JLM36" s="537"/>
      <c r="JLN36" s="537"/>
      <c r="JLO36" s="537"/>
      <c r="JLP36" s="537"/>
      <c r="JLQ36" s="537"/>
      <c r="JLR36" s="537"/>
      <c r="JLS36" s="537"/>
      <c r="JLT36" s="537"/>
      <c r="JLU36" s="537"/>
      <c r="JLV36" s="537"/>
      <c r="JLW36" s="537"/>
      <c r="JLX36" s="537"/>
      <c r="JLY36" s="537"/>
      <c r="JLZ36" s="537"/>
      <c r="JMA36" s="537"/>
      <c r="JMB36" s="537"/>
      <c r="JMC36" s="537"/>
      <c r="JMD36" s="537"/>
      <c r="JME36" s="537"/>
      <c r="JMF36" s="537"/>
      <c r="JMG36" s="537"/>
      <c r="JMH36" s="537"/>
      <c r="JMI36" s="537"/>
      <c r="JMJ36" s="537"/>
      <c r="JMK36" s="537"/>
      <c r="JML36" s="537"/>
      <c r="JMM36" s="537"/>
      <c r="JMN36" s="537"/>
      <c r="JMO36" s="537"/>
      <c r="JMP36" s="537"/>
      <c r="JMQ36" s="537"/>
      <c r="JMR36" s="537"/>
      <c r="JMS36" s="537"/>
      <c r="JMT36" s="537"/>
      <c r="JMU36" s="537"/>
      <c r="JMV36" s="537"/>
      <c r="JMW36" s="537"/>
      <c r="JMX36" s="537"/>
      <c r="JMY36" s="537"/>
      <c r="JMZ36" s="537"/>
      <c r="JNA36" s="537"/>
      <c r="JNB36" s="537"/>
      <c r="JNC36" s="537"/>
      <c r="JND36" s="537"/>
      <c r="JNE36" s="537"/>
      <c r="JNF36" s="537"/>
      <c r="JNG36" s="537"/>
      <c r="JNH36" s="537"/>
      <c r="JNI36" s="537"/>
      <c r="JNJ36" s="537"/>
      <c r="JNK36" s="537"/>
      <c r="JNL36" s="537"/>
      <c r="JNM36" s="537"/>
      <c r="JNN36" s="537"/>
      <c r="JNO36" s="537"/>
      <c r="JNP36" s="537"/>
      <c r="JNQ36" s="537"/>
      <c r="JNR36" s="537"/>
      <c r="JNS36" s="537"/>
      <c r="JNT36" s="537"/>
      <c r="JNU36" s="537"/>
      <c r="JNV36" s="537"/>
      <c r="JNW36" s="537"/>
      <c r="JNX36" s="537"/>
      <c r="JNY36" s="537"/>
      <c r="JNZ36" s="537"/>
      <c r="JOA36" s="537"/>
      <c r="JOB36" s="537"/>
      <c r="JOC36" s="537"/>
      <c r="JOD36" s="537"/>
      <c r="JOE36" s="537"/>
      <c r="JOF36" s="537"/>
      <c r="JOG36" s="537"/>
      <c r="JOH36" s="537"/>
      <c r="JOI36" s="537"/>
      <c r="JOJ36" s="537"/>
      <c r="JOK36" s="537"/>
      <c r="JOL36" s="537"/>
      <c r="JOM36" s="537"/>
      <c r="JON36" s="537"/>
      <c r="JOO36" s="537"/>
      <c r="JOP36" s="537"/>
      <c r="JOQ36" s="537"/>
      <c r="JOR36" s="537"/>
      <c r="JOS36" s="537"/>
      <c r="JOT36" s="537"/>
      <c r="JOU36" s="537"/>
      <c r="JOV36" s="537"/>
      <c r="JOW36" s="537"/>
      <c r="JOX36" s="537"/>
      <c r="JOY36" s="537"/>
      <c r="JOZ36" s="537"/>
      <c r="JPA36" s="537"/>
      <c r="JPB36" s="537"/>
      <c r="JPC36" s="537"/>
      <c r="JPD36" s="537"/>
      <c r="JPE36" s="537"/>
      <c r="JPF36" s="537"/>
      <c r="JPG36" s="537"/>
      <c r="JPH36" s="537"/>
      <c r="JPI36" s="537"/>
      <c r="JPJ36" s="537"/>
      <c r="JPK36" s="537"/>
      <c r="JPL36" s="537"/>
      <c r="JPM36" s="537"/>
      <c r="JPN36" s="537"/>
      <c r="JPO36" s="537"/>
      <c r="JPP36" s="537"/>
      <c r="JPQ36" s="537"/>
      <c r="JPR36" s="537"/>
      <c r="JPS36" s="537"/>
      <c r="JPT36" s="537"/>
      <c r="JPU36" s="537"/>
      <c r="JPV36" s="537"/>
      <c r="JPW36" s="537"/>
      <c r="JPX36" s="537"/>
      <c r="JPY36" s="537"/>
      <c r="JPZ36" s="537"/>
      <c r="JQA36" s="537"/>
      <c r="JQB36" s="537"/>
      <c r="JQC36" s="537"/>
      <c r="JQD36" s="537"/>
      <c r="JQE36" s="537"/>
      <c r="JQF36" s="537"/>
      <c r="JQG36" s="537"/>
      <c r="JQH36" s="537"/>
      <c r="JQI36" s="537"/>
      <c r="JQJ36" s="537"/>
      <c r="JQK36" s="537"/>
      <c r="JQL36" s="537"/>
      <c r="JQM36" s="537"/>
      <c r="JQN36" s="537"/>
      <c r="JQO36" s="537"/>
      <c r="JQP36" s="537"/>
      <c r="JQQ36" s="537"/>
      <c r="JQR36" s="537"/>
      <c r="JQS36" s="537"/>
      <c r="JQT36" s="537"/>
      <c r="JQU36" s="537"/>
      <c r="JQV36" s="537"/>
      <c r="JQW36" s="537"/>
      <c r="JQX36" s="537"/>
      <c r="JQY36" s="537"/>
      <c r="JQZ36" s="537"/>
      <c r="JRA36" s="537"/>
      <c r="JRB36" s="537"/>
      <c r="JRC36" s="537"/>
      <c r="JRD36" s="537"/>
      <c r="JRE36" s="537"/>
      <c r="JRF36" s="537"/>
      <c r="JRG36" s="537"/>
      <c r="JRH36" s="537"/>
      <c r="JRI36" s="537"/>
      <c r="JRJ36" s="537"/>
      <c r="JRK36" s="537"/>
      <c r="JRL36" s="537"/>
      <c r="JRM36" s="537"/>
      <c r="JRN36" s="537"/>
      <c r="JRO36" s="537"/>
      <c r="JRP36" s="537"/>
      <c r="JRQ36" s="537"/>
      <c r="JRR36" s="537"/>
      <c r="JRS36" s="537"/>
      <c r="JRT36" s="537"/>
      <c r="JRU36" s="537"/>
      <c r="JRV36" s="537"/>
      <c r="JRW36" s="537"/>
      <c r="JRX36" s="537"/>
      <c r="JRY36" s="537"/>
      <c r="JRZ36" s="537"/>
      <c r="JSA36" s="537"/>
      <c r="JSB36" s="537"/>
      <c r="JSC36" s="537"/>
      <c r="JSD36" s="537"/>
      <c r="JSE36" s="537"/>
      <c r="JSF36" s="537"/>
      <c r="JSG36" s="537"/>
      <c r="JSH36" s="537"/>
      <c r="JSI36" s="537"/>
      <c r="JSJ36" s="537"/>
      <c r="JSK36" s="537"/>
      <c r="JSL36" s="537"/>
      <c r="JSM36" s="537"/>
      <c r="JSN36" s="537"/>
      <c r="JSO36" s="537"/>
      <c r="JSP36" s="537"/>
      <c r="JSQ36" s="537"/>
      <c r="JSR36" s="537"/>
      <c r="JSS36" s="537"/>
      <c r="JST36" s="537"/>
      <c r="JSU36" s="537"/>
      <c r="JSV36" s="537"/>
      <c r="JSW36" s="537"/>
      <c r="JSX36" s="537"/>
      <c r="JSY36" s="537"/>
      <c r="JSZ36" s="537"/>
      <c r="JTA36" s="537"/>
      <c r="JTB36" s="537"/>
      <c r="JTC36" s="537"/>
      <c r="JTD36" s="537"/>
      <c r="JTE36" s="537"/>
      <c r="JTF36" s="537"/>
      <c r="JTG36" s="537"/>
      <c r="JTH36" s="537"/>
      <c r="JTI36" s="537"/>
      <c r="JTJ36" s="537"/>
      <c r="JTK36" s="537"/>
      <c r="JTL36" s="537"/>
      <c r="JTM36" s="537"/>
      <c r="JTN36" s="537"/>
      <c r="JTO36" s="537"/>
      <c r="JTP36" s="537"/>
      <c r="JTQ36" s="537"/>
      <c r="JTR36" s="537"/>
      <c r="JTS36" s="537"/>
      <c r="JTT36" s="537"/>
      <c r="JTU36" s="537"/>
      <c r="JTV36" s="537"/>
      <c r="JTW36" s="537"/>
      <c r="JTX36" s="537"/>
      <c r="JTY36" s="537"/>
      <c r="JTZ36" s="537"/>
      <c r="JUA36" s="537"/>
      <c r="JUB36" s="537"/>
      <c r="JUC36" s="537"/>
      <c r="JUD36" s="537"/>
      <c r="JUE36" s="537"/>
      <c r="JUF36" s="537"/>
      <c r="JUG36" s="537"/>
      <c r="JUH36" s="537"/>
      <c r="JUI36" s="537"/>
      <c r="JUJ36" s="537"/>
      <c r="JUK36" s="537"/>
      <c r="JUL36" s="537"/>
      <c r="JUM36" s="537"/>
      <c r="JUN36" s="537"/>
      <c r="JUO36" s="537"/>
      <c r="JUP36" s="537"/>
      <c r="JUQ36" s="537"/>
      <c r="JUR36" s="537"/>
      <c r="JUS36" s="537"/>
      <c r="JUT36" s="537"/>
      <c r="JUU36" s="537"/>
      <c r="JUV36" s="537"/>
      <c r="JUW36" s="537"/>
      <c r="JUX36" s="537"/>
      <c r="JUY36" s="537"/>
      <c r="JUZ36" s="537"/>
      <c r="JVA36" s="537"/>
      <c r="JVB36" s="537"/>
      <c r="JVC36" s="537"/>
      <c r="JVD36" s="537"/>
      <c r="JVE36" s="537"/>
      <c r="JVF36" s="537"/>
      <c r="JVG36" s="537"/>
      <c r="JVH36" s="537"/>
      <c r="JVI36" s="537"/>
      <c r="JVJ36" s="537"/>
      <c r="JVK36" s="537"/>
      <c r="JVL36" s="537"/>
      <c r="JVM36" s="537"/>
      <c r="JVN36" s="537"/>
      <c r="JVO36" s="537"/>
      <c r="JVP36" s="537"/>
      <c r="JVQ36" s="537"/>
      <c r="JVR36" s="537"/>
      <c r="JVS36" s="537"/>
      <c r="JVT36" s="537"/>
      <c r="JVU36" s="537"/>
      <c r="JVV36" s="537"/>
      <c r="JVW36" s="537"/>
      <c r="JVX36" s="537"/>
      <c r="JVY36" s="537"/>
      <c r="JVZ36" s="537"/>
      <c r="JWA36" s="537"/>
      <c r="JWB36" s="537"/>
      <c r="JWC36" s="537"/>
      <c r="JWD36" s="537"/>
      <c r="JWE36" s="537"/>
      <c r="JWF36" s="537"/>
      <c r="JWG36" s="537"/>
      <c r="JWH36" s="537"/>
      <c r="JWI36" s="537"/>
      <c r="JWJ36" s="537"/>
      <c r="JWK36" s="537"/>
      <c r="JWL36" s="537"/>
      <c r="JWM36" s="537"/>
      <c r="JWN36" s="537"/>
      <c r="JWO36" s="537"/>
      <c r="JWP36" s="537"/>
      <c r="JWQ36" s="537"/>
      <c r="JWR36" s="537"/>
      <c r="JWS36" s="537"/>
      <c r="JWT36" s="537"/>
      <c r="JWU36" s="537"/>
      <c r="JWV36" s="537"/>
      <c r="JWW36" s="537"/>
      <c r="JWX36" s="537"/>
      <c r="JWY36" s="537"/>
      <c r="JWZ36" s="537"/>
      <c r="JXA36" s="537"/>
      <c r="JXB36" s="537"/>
      <c r="JXC36" s="537"/>
      <c r="JXD36" s="537"/>
      <c r="JXE36" s="537"/>
      <c r="JXF36" s="537"/>
      <c r="JXG36" s="537"/>
      <c r="JXH36" s="537"/>
      <c r="JXI36" s="537"/>
      <c r="JXJ36" s="537"/>
      <c r="JXK36" s="537"/>
      <c r="JXL36" s="537"/>
      <c r="JXM36" s="537"/>
      <c r="JXN36" s="537"/>
      <c r="JXO36" s="537"/>
      <c r="JXP36" s="537"/>
      <c r="JXQ36" s="537"/>
      <c r="JXR36" s="537"/>
      <c r="JXS36" s="537"/>
      <c r="JXT36" s="537"/>
      <c r="JXU36" s="537"/>
      <c r="JXV36" s="537"/>
      <c r="JXW36" s="537"/>
      <c r="JXX36" s="537"/>
      <c r="JXY36" s="537"/>
      <c r="JXZ36" s="537"/>
      <c r="JYA36" s="537"/>
      <c r="JYB36" s="537"/>
      <c r="JYC36" s="537"/>
      <c r="JYD36" s="537"/>
      <c r="JYE36" s="537"/>
      <c r="JYF36" s="537"/>
      <c r="JYG36" s="537"/>
      <c r="JYH36" s="537"/>
      <c r="JYI36" s="537"/>
      <c r="JYJ36" s="537"/>
      <c r="JYK36" s="537"/>
      <c r="JYL36" s="537"/>
      <c r="JYM36" s="537"/>
      <c r="JYN36" s="537"/>
      <c r="JYO36" s="537"/>
      <c r="JYP36" s="537"/>
      <c r="JYQ36" s="537"/>
      <c r="JYR36" s="537"/>
      <c r="JYS36" s="537"/>
      <c r="JYT36" s="537"/>
      <c r="JYU36" s="537"/>
      <c r="JYV36" s="537"/>
      <c r="JYW36" s="537"/>
      <c r="JYX36" s="537"/>
      <c r="JYY36" s="537"/>
      <c r="JYZ36" s="537"/>
      <c r="JZA36" s="537"/>
      <c r="JZB36" s="537"/>
      <c r="JZC36" s="537"/>
      <c r="JZD36" s="537"/>
      <c r="JZE36" s="537"/>
      <c r="JZF36" s="537"/>
      <c r="JZG36" s="537"/>
      <c r="JZH36" s="537"/>
      <c r="JZI36" s="537"/>
      <c r="JZJ36" s="537"/>
      <c r="JZK36" s="537"/>
      <c r="JZL36" s="537"/>
      <c r="JZM36" s="537"/>
      <c r="JZN36" s="537"/>
      <c r="JZO36" s="537"/>
      <c r="JZP36" s="537"/>
      <c r="JZQ36" s="537"/>
      <c r="JZR36" s="537"/>
      <c r="JZS36" s="537"/>
      <c r="JZT36" s="537"/>
      <c r="JZU36" s="537"/>
      <c r="JZV36" s="537"/>
      <c r="JZW36" s="537"/>
      <c r="JZX36" s="537"/>
      <c r="JZY36" s="537"/>
      <c r="JZZ36" s="537"/>
      <c r="KAA36" s="537"/>
      <c r="KAB36" s="537"/>
      <c r="KAC36" s="537"/>
      <c r="KAD36" s="537"/>
      <c r="KAE36" s="537"/>
      <c r="KAF36" s="537"/>
      <c r="KAG36" s="537"/>
      <c r="KAH36" s="537"/>
      <c r="KAI36" s="537"/>
      <c r="KAJ36" s="537"/>
      <c r="KAK36" s="537"/>
      <c r="KAL36" s="537"/>
      <c r="KAM36" s="537"/>
      <c r="KAN36" s="537"/>
      <c r="KAO36" s="537"/>
      <c r="KAP36" s="537"/>
      <c r="KAQ36" s="537"/>
      <c r="KAR36" s="537"/>
      <c r="KAS36" s="537"/>
      <c r="KAT36" s="537"/>
      <c r="KAU36" s="537"/>
      <c r="KAV36" s="537"/>
      <c r="KAW36" s="537"/>
      <c r="KAX36" s="537"/>
      <c r="KAY36" s="537"/>
      <c r="KAZ36" s="537"/>
      <c r="KBA36" s="537"/>
      <c r="KBB36" s="537"/>
      <c r="KBC36" s="537"/>
      <c r="KBD36" s="537"/>
      <c r="KBE36" s="537"/>
      <c r="KBF36" s="537"/>
      <c r="KBG36" s="537"/>
      <c r="KBH36" s="537"/>
      <c r="KBI36" s="537"/>
      <c r="KBJ36" s="537"/>
      <c r="KBK36" s="537"/>
      <c r="KBL36" s="537"/>
      <c r="KBM36" s="537"/>
      <c r="KBN36" s="537"/>
      <c r="KBO36" s="537"/>
      <c r="KBP36" s="537"/>
      <c r="KBQ36" s="537"/>
      <c r="KBR36" s="537"/>
      <c r="KBS36" s="537"/>
      <c r="KBT36" s="537"/>
      <c r="KBU36" s="537"/>
      <c r="KBV36" s="537"/>
      <c r="KBW36" s="537"/>
      <c r="KBX36" s="537"/>
      <c r="KBY36" s="537"/>
      <c r="KBZ36" s="537"/>
      <c r="KCA36" s="537"/>
      <c r="KCB36" s="537"/>
      <c r="KCC36" s="537"/>
      <c r="KCD36" s="537"/>
      <c r="KCE36" s="537"/>
      <c r="KCF36" s="537"/>
      <c r="KCG36" s="537"/>
      <c r="KCH36" s="537"/>
      <c r="KCI36" s="537"/>
      <c r="KCJ36" s="537"/>
      <c r="KCK36" s="537"/>
      <c r="KCL36" s="537"/>
      <c r="KCM36" s="537"/>
      <c r="KCN36" s="537"/>
      <c r="KCO36" s="537"/>
      <c r="KCP36" s="537"/>
      <c r="KCQ36" s="537"/>
      <c r="KCR36" s="537"/>
      <c r="KCS36" s="537"/>
      <c r="KCT36" s="537"/>
      <c r="KCU36" s="537"/>
      <c r="KCV36" s="537"/>
      <c r="KCW36" s="537"/>
      <c r="KCX36" s="537"/>
      <c r="KCY36" s="537"/>
      <c r="KCZ36" s="537"/>
      <c r="KDA36" s="537"/>
      <c r="KDB36" s="537"/>
      <c r="KDC36" s="537"/>
      <c r="KDD36" s="537"/>
      <c r="KDE36" s="537"/>
      <c r="KDF36" s="537"/>
      <c r="KDG36" s="537"/>
      <c r="KDH36" s="537"/>
      <c r="KDI36" s="537"/>
      <c r="KDJ36" s="537"/>
      <c r="KDK36" s="537"/>
      <c r="KDL36" s="537"/>
      <c r="KDM36" s="537"/>
      <c r="KDN36" s="537"/>
      <c r="KDO36" s="537"/>
      <c r="KDP36" s="537"/>
      <c r="KDQ36" s="537"/>
      <c r="KDR36" s="537"/>
      <c r="KDS36" s="537"/>
      <c r="KDT36" s="537"/>
      <c r="KDU36" s="537"/>
      <c r="KDV36" s="537"/>
      <c r="KDW36" s="537"/>
      <c r="KDX36" s="537"/>
      <c r="KDY36" s="537"/>
      <c r="KDZ36" s="537"/>
      <c r="KEA36" s="537"/>
      <c r="KEB36" s="537"/>
      <c r="KEC36" s="537"/>
      <c r="KED36" s="537"/>
      <c r="KEE36" s="537"/>
      <c r="KEF36" s="537"/>
      <c r="KEG36" s="537"/>
      <c r="KEH36" s="537"/>
      <c r="KEI36" s="537"/>
      <c r="KEJ36" s="537"/>
      <c r="KEK36" s="537"/>
      <c r="KEL36" s="537"/>
      <c r="KEM36" s="537"/>
      <c r="KEN36" s="537"/>
      <c r="KEO36" s="537"/>
      <c r="KEP36" s="537"/>
      <c r="KEQ36" s="537"/>
      <c r="KER36" s="537"/>
      <c r="KES36" s="537"/>
      <c r="KET36" s="537"/>
      <c r="KEU36" s="537"/>
      <c r="KEV36" s="537"/>
      <c r="KEW36" s="537"/>
      <c r="KEX36" s="537"/>
      <c r="KEY36" s="537"/>
      <c r="KEZ36" s="537"/>
      <c r="KFA36" s="537"/>
      <c r="KFB36" s="537"/>
      <c r="KFC36" s="537"/>
      <c r="KFD36" s="537"/>
      <c r="KFE36" s="537"/>
      <c r="KFF36" s="537"/>
      <c r="KFG36" s="537"/>
      <c r="KFH36" s="537"/>
      <c r="KFI36" s="537"/>
      <c r="KFJ36" s="537"/>
      <c r="KFK36" s="537"/>
      <c r="KFL36" s="537"/>
      <c r="KFM36" s="537"/>
      <c r="KFN36" s="537"/>
      <c r="KFO36" s="537"/>
      <c r="KFP36" s="537"/>
      <c r="KFQ36" s="537"/>
      <c r="KFR36" s="537"/>
      <c r="KFS36" s="537"/>
      <c r="KFT36" s="537"/>
      <c r="KFU36" s="537"/>
      <c r="KFV36" s="537"/>
      <c r="KFW36" s="537"/>
      <c r="KFX36" s="537"/>
      <c r="KFY36" s="537"/>
      <c r="KFZ36" s="537"/>
      <c r="KGA36" s="537"/>
      <c r="KGB36" s="537"/>
      <c r="KGC36" s="537"/>
      <c r="KGD36" s="537"/>
      <c r="KGE36" s="537"/>
      <c r="KGF36" s="537"/>
      <c r="KGG36" s="537"/>
      <c r="KGH36" s="537"/>
      <c r="KGI36" s="537"/>
      <c r="KGJ36" s="537"/>
      <c r="KGK36" s="537"/>
      <c r="KGL36" s="537"/>
      <c r="KGM36" s="537"/>
      <c r="KGN36" s="537"/>
      <c r="KGO36" s="537"/>
      <c r="KGP36" s="537"/>
      <c r="KGQ36" s="537"/>
      <c r="KGR36" s="537"/>
      <c r="KGS36" s="537"/>
      <c r="KGT36" s="537"/>
      <c r="KGU36" s="537"/>
      <c r="KGV36" s="537"/>
      <c r="KGW36" s="537"/>
      <c r="KGX36" s="537"/>
      <c r="KGY36" s="537"/>
      <c r="KGZ36" s="537"/>
      <c r="KHA36" s="537"/>
      <c r="KHB36" s="537"/>
      <c r="KHC36" s="537"/>
      <c r="KHD36" s="537"/>
      <c r="KHE36" s="537"/>
      <c r="KHF36" s="537"/>
      <c r="KHG36" s="537"/>
      <c r="KHH36" s="537"/>
      <c r="KHI36" s="537"/>
      <c r="KHJ36" s="537"/>
      <c r="KHK36" s="537"/>
      <c r="KHL36" s="537"/>
      <c r="KHM36" s="537"/>
      <c r="KHN36" s="537"/>
      <c r="KHO36" s="537"/>
      <c r="KHP36" s="537"/>
      <c r="KHQ36" s="537"/>
      <c r="KHR36" s="537"/>
      <c r="KHS36" s="537"/>
      <c r="KHT36" s="537"/>
      <c r="KHU36" s="537"/>
      <c r="KHV36" s="537"/>
      <c r="KHW36" s="537"/>
      <c r="KHX36" s="537"/>
      <c r="KHY36" s="537"/>
      <c r="KHZ36" s="537"/>
      <c r="KIA36" s="537"/>
      <c r="KIB36" s="537"/>
      <c r="KIC36" s="537"/>
      <c r="KID36" s="537"/>
      <c r="KIE36" s="537"/>
      <c r="KIF36" s="537"/>
      <c r="KIG36" s="537"/>
      <c r="KIH36" s="537"/>
      <c r="KII36" s="537"/>
      <c r="KIJ36" s="537"/>
      <c r="KIK36" s="537"/>
      <c r="KIL36" s="537"/>
      <c r="KIM36" s="537"/>
      <c r="KIN36" s="537"/>
      <c r="KIO36" s="537"/>
      <c r="KIP36" s="537"/>
      <c r="KIQ36" s="537"/>
      <c r="KIR36" s="537"/>
      <c r="KIS36" s="537"/>
      <c r="KIT36" s="537"/>
      <c r="KIU36" s="537"/>
      <c r="KIV36" s="537"/>
      <c r="KIW36" s="537"/>
      <c r="KIX36" s="537"/>
      <c r="KIY36" s="537"/>
      <c r="KIZ36" s="537"/>
      <c r="KJA36" s="537"/>
      <c r="KJB36" s="537"/>
      <c r="KJC36" s="537"/>
      <c r="KJD36" s="537"/>
      <c r="KJE36" s="537"/>
      <c r="KJF36" s="537"/>
      <c r="KJG36" s="537"/>
      <c r="KJH36" s="537"/>
      <c r="KJI36" s="537"/>
      <c r="KJJ36" s="537"/>
      <c r="KJK36" s="537"/>
      <c r="KJL36" s="537"/>
      <c r="KJM36" s="537"/>
      <c r="KJN36" s="537"/>
      <c r="KJO36" s="537"/>
      <c r="KJP36" s="537"/>
      <c r="KJQ36" s="537"/>
      <c r="KJR36" s="537"/>
      <c r="KJS36" s="537"/>
      <c r="KJT36" s="537"/>
      <c r="KJU36" s="537"/>
      <c r="KJV36" s="537"/>
      <c r="KJW36" s="537"/>
      <c r="KJX36" s="537"/>
      <c r="KJY36" s="537"/>
      <c r="KJZ36" s="537"/>
      <c r="KKA36" s="537"/>
      <c r="KKB36" s="537"/>
      <c r="KKC36" s="537"/>
      <c r="KKD36" s="537"/>
      <c r="KKE36" s="537"/>
      <c r="KKF36" s="537"/>
      <c r="KKG36" s="537"/>
      <c r="KKH36" s="537"/>
      <c r="KKI36" s="537"/>
      <c r="KKJ36" s="537"/>
      <c r="KKK36" s="537"/>
      <c r="KKL36" s="537"/>
      <c r="KKM36" s="537"/>
      <c r="KKN36" s="537"/>
      <c r="KKO36" s="537"/>
      <c r="KKP36" s="537"/>
      <c r="KKQ36" s="537"/>
      <c r="KKR36" s="537"/>
      <c r="KKS36" s="537"/>
      <c r="KKT36" s="537"/>
      <c r="KKU36" s="537"/>
      <c r="KKV36" s="537"/>
      <c r="KKW36" s="537"/>
      <c r="KKX36" s="537"/>
      <c r="KKY36" s="537"/>
      <c r="KKZ36" s="537"/>
      <c r="KLA36" s="537"/>
      <c r="KLB36" s="537"/>
      <c r="KLC36" s="537"/>
      <c r="KLD36" s="537"/>
      <c r="KLE36" s="537"/>
      <c r="KLF36" s="537"/>
      <c r="KLG36" s="537"/>
      <c r="KLH36" s="537"/>
      <c r="KLI36" s="537"/>
      <c r="KLJ36" s="537"/>
      <c r="KLK36" s="537"/>
      <c r="KLL36" s="537"/>
      <c r="KLM36" s="537"/>
      <c r="KLN36" s="537"/>
      <c r="KLO36" s="537"/>
      <c r="KLP36" s="537"/>
      <c r="KLQ36" s="537"/>
      <c r="KLR36" s="537"/>
      <c r="KLS36" s="537"/>
      <c r="KLT36" s="537"/>
      <c r="KLU36" s="537"/>
      <c r="KLV36" s="537"/>
      <c r="KLW36" s="537"/>
      <c r="KLX36" s="537"/>
      <c r="KLY36" s="537"/>
      <c r="KLZ36" s="537"/>
      <c r="KMA36" s="537"/>
      <c r="KMB36" s="537"/>
      <c r="KMC36" s="537"/>
      <c r="KMD36" s="537"/>
      <c r="KME36" s="537"/>
      <c r="KMF36" s="537"/>
      <c r="KMG36" s="537"/>
      <c r="KMH36" s="537"/>
      <c r="KMI36" s="537"/>
      <c r="KMJ36" s="537"/>
      <c r="KMK36" s="537"/>
      <c r="KML36" s="537"/>
      <c r="KMM36" s="537"/>
      <c r="KMN36" s="537"/>
      <c r="KMO36" s="537"/>
      <c r="KMP36" s="537"/>
      <c r="KMQ36" s="537"/>
      <c r="KMR36" s="537"/>
      <c r="KMS36" s="537"/>
      <c r="KMT36" s="537"/>
      <c r="KMU36" s="537"/>
      <c r="KMV36" s="537"/>
      <c r="KMW36" s="537"/>
      <c r="KMX36" s="537"/>
      <c r="KMY36" s="537"/>
      <c r="KMZ36" s="537"/>
      <c r="KNA36" s="537"/>
      <c r="KNB36" s="537"/>
      <c r="KNC36" s="537"/>
      <c r="KND36" s="537"/>
      <c r="KNE36" s="537"/>
      <c r="KNF36" s="537"/>
      <c r="KNG36" s="537"/>
      <c r="KNH36" s="537"/>
      <c r="KNI36" s="537"/>
      <c r="KNJ36" s="537"/>
      <c r="KNK36" s="537"/>
      <c r="KNL36" s="537"/>
      <c r="KNM36" s="537"/>
      <c r="KNN36" s="537"/>
      <c r="KNO36" s="537"/>
      <c r="KNP36" s="537"/>
      <c r="KNQ36" s="537"/>
      <c r="KNR36" s="537"/>
      <c r="KNS36" s="537"/>
      <c r="KNT36" s="537"/>
      <c r="KNU36" s="537"/>
      <c r="KNV36" s="537"/>
      <c r="KNW36" s="537"/>
      <c r="KNX36" s="537"/>
      <c r="KNY36" s="537"/>
      <c r="KNZ36" s="537"/>
      <c r="KOA36" s="537"/>
      <c r="KOB36" s="537"/>
      <c r="KOC36" s="537"/>
      <c r="KOD36" s="537"/>
      <c r="KOE36" s="537"/>
      <c r="KOF36" s="537"/>
      <c r="KOG36" s="537"/>
      <c r="KOH36" s="537"/>
      <c r="KOI36" s="537"/>
      <c r="KOJ36" s="537"/>
      <c r="KOK36" s="537"/>
      <c r="KOL36" s="537"/>
      <c r="KOM36" s="537"/>
      <c r="KON36" s="537"/>
      <c r="KOO36" s="537"/>
      <c r="KOP36" s="537"/>
      <c r="KOQ36" s="537"/>
      <c r="KOR36" s="537"/>
      <c r="KOS36" s="537"/>
      <c r="KOT36" s="537"/>
      <c r="KOU36" s="537"/>
      <c r="KOV36" s="537"/>
      <c r="KOW36" s="537"/>
      <c r="KOX36" s="537"/>
      <c r="KOY36" s="537"/>
      <c r="KOZ36" s="537"/>
      <c r="KPA36" s="537"/>
      <c r="KPB36" s="537"/>
      <c r="KPC36" s="537"/>
      <c r="KPD36" s="537"/>
      <c r="KPE36" s="537"/>
      <c r="KPF36" s="537"/>
      <c r="KPG36" s="537"/>
      <c r="KPH36" s="537"/>
      <c r="KPI36" s="537"/>
      <c r="KPJ36" s="537"/>
      <c r="KPK36" s="537"/>
      <c r="KPL36" s="537"/>
      <c r="KPM36" s="537"/>
      <c r="KPN36" s="537"/>
      <c r="KPO36" s="537"/>
      <c r="KPP36" s="537"/>
      <c r="KPQ36" s="537"/>
      <c r="KPR36" s="537"/>
      <c r="KPS36" s="537"/>
      <c r="KPT36" s="537"/>
      <c r="KPU36" s="537"/>
      <c r="KPV36" s="537"/>
      <c r="KPW36" s="537"/>
      <c r="KPX36" s="537"/>
      <c r="KPY36" s="537"/>
      <c r="KPZ36" s="537"/>
      <c r="KQA36" s="537"/>
      <c r="KQB36" s="537"/>
      <c r="KQC36" s="537"/>
      <c r="KQD36" s="537"/>
      <c r="KQE36" s="537"/>
      <c r="KQF36" s="537"/>
      <c r="KQG36" s="537"/>
      <c r="KQH36" s="537"/>
      <c r="KQI36" s="537"/>
      <c r="KQJ36" s="537"/>
      <c r="KQK36" s="537"/>
      <c r="KQL36" s="537"/>
      <c r="KQM36" s="537"/>
      <c r="KQN36" s="537"/>
      <c r="KQO36" s="537"/>
      <c r="KQP36" s="537"/>
      <c r="KQQ36" s="537"/>
      <c r="KQR36" s="537"/>
      <c r="KQS36" s="537"/>
      <c r="KQT36" s="537"/>
      <c r="KQU36" s="537"/>
      <c r="KQV36" s="537"/>
      <c r="KQW36" s="537"/>
      <c r="KQX36" s="537"/>
      <c r="KQY36" s="537"/>
      <c r="KQZ36" s="537"/>
      <c r="KRA36" s="537"/>
      <c r="KRB36" s="537"/>
      <c r="KRC36" s="537"/>
      <c r="KRD36" s="537"/>
      <c r="KRE36" s="537"/>
      <c r="KRF36" s="537"/>
      <c r="KRG36" s="537"/>
      <c r="KRH36" s="537"/>
      <c r="KRI36" s="537"/>
      <c r="KRJ36" s="537"/>
      <c r="KRK36" s="537"/>
      <c r="KRL36" s="537"/>
      <c r="KRM36" s="537"/>
      <c r="KRN36" s="537"/>
      <c r="KRO36" s="537"/>
      <c r="KRP36" s="537"/>
      <c r="KRQ36" s="537"/>
      <c r="KRR36" s="537"/>
      <c r="KRS36" s="537"/>
      <c r="KRT36" s="537"/>
      <c r="KRU36" s="537"/>
      <c r="KRV36" s="537"/>
      <c r="KRW36" s="537"/>
      <c r="KRX36" s="537"/>
      <c r="KRY36" s="537"/>
      <c r="KRZ36" s="537"/>
      <c r="KSA36" s="537"/>
      <c r="KSB36" s="537"/>
      <c r="KSC36" s="537"/>
      <c r="KSD36" s="537"/>
      <c r="KSE36" s="537"/>
      <c r="KSF36" s="537"/>
      <c r="KSG36" s="537"/>
      <c r="KSH36" s="537"/>
      <c r="KSI36" s="537"/>
      <c r="KSJ36" s="537"/>
      <c r="KSK36" s="537"/>
      <c r="KSL36" s="537"/>
      <c r="KSM36" s="537"/>
      <c r="KSN36" s="537"/>
      <c r="KSO36" s="537"/>
      <c r="KSP36" s="537"/>
      <c r="KSQ36" s="537"/>
      <c r="KSR36" s="537"/>
      <c r="KSS36" s="537"/>
      <c r="KST36" s="537"/>
      <c r="KSU36" s="537"/>
      <c r="KSV36" s="537"/>
      <c r="KSW36" s="537"/>
      <c r="KSX36" s="537"/>
      <c r="KSY36" s="537"/>
      <c r="KSZ36" s="537"/>
      <c r="KTA36" s="537"/>
      <c r="KTB36" s="537"/>
      <c r="KTC36" s="537"/>
      <c r="KTD36" s="537"/>
      <c r="KTE36" s="537"/>
      <c r="KTF36" s="537"/>
      <c r="KTG36" s="537"/>
      <c r="KTH36" s="537"/>
      <c r="KTI36" s="537"/>
      <c r="KTJ36" s="537"/>
      <c r="KTK36" s="537"/>
      <c r="KTL36" s="537"/>
      <c r="KTM36" s="537"/>
      <c r="KTN36" s="537"/>
      <c r="KTO36" s="537"/>
      <c r="KTP36" s="537"/>
      <c r="KTQ36" s="537"/>
      <c r="KTR36" s="537"/>
      <c r="KTS36" s="537"/>
      <c r="KTT36" s="537"/>
      <c r="KTU36" s="537"/>
      <c r="KTV36" s="537"/>
      <c r="KTW36" s="537"/>
      <c r="KTX36" s="537"/>
      <c r="KTY36" s="537"/>
      <c r="KTZ36" s="537"/>
      <c r="KUA36" s="537"/>
      <c r="KUB36" s="537"/>
      <c r="KUC36" s="537"/>
      <c r="KUD36" s="537"/>
      <c r="KUE36" s="537"/>
      <c r="KUF36" s="537"/>
      <c r="KUG36" s="537"/>
      <c r="KUH36" s="537"/>
      <c r="KUI36" s="537"/>
      <c r="KUJ36" s="537"/>
      <c r="KUK36" s="537"/>
      <c r="KUL36" s="537"/>
      <c r="KUM36" s="537"/>
      <c r="KUN36" s="537"/>
      <c r="KUO36" s="537"/>
      <c r="KUP36" s="537"/>
      <c r="KUQ36" s="537"/>
      <c r="KUR36" s="537"/>
      <c r="KUS36" s="537"/>
      <c r="KUT36" s="537"/>
      <c r="KUU36" s="537"/>
      <c r="KUV36" s="537"/>
      <c r="KUW36" s="537"/>
      <c r="KUX36" s="537"/>
      <c r="KUY36" s="537"/>
      <c r="KUZ36" s="537"/>
      <c r="KVA36" s="537"/>
      <c r="KVB36" s="537"/>
      <c r="KVC36" s="537"/>
      <c r="KVD36" s="537"/>
      <c r="KVE36" s="537"/>
      <c r="KVF36" s="537"/>
      <c r="KVG36" s="537"/>
      <c r="KVH36" s="537"/>
      <c r="KVI36" s="537"/>
      <c r="KVJ36" s="537"/>
      <c r="KVK36" s="537"/>
      <c r="KVL36" s="537"/>
      <c r="KVM36" s="537"/>
      <c r="KVN36" s="537"/>
      <c r="KVO36" s="537"/>
      <c r="KVP36" s="537"/>
      <c r="KVQ36" s="537"/>
      <c r="KVR36" s="537"/>
      <c r="KVS36" s="537"/>
      <c r="KVT36" s="537"/>
      <c r="KVU36" s="537"/>
      <c r="KVV36" s="537"/>
      <c r="KVW36" s="537"/>
      <c r="KVX36" s="537"/>
      <c r="KVY36" s="537"/>
      <c r="KVZ36" s="537"/>
      <c r="KWA36" s="537"/>
      <c r="KWB36" s="537"/>
      <c r="KWC36" s="537"/>
      <c r="KWD36" s="537"/>
      <c r="KWE36" s="537"/>
      <c r="KWF36" s="537"/>
      <c r="KWG36" s="537"/>
      <c r="KWH36" s="537"/>
      <c r="KWI36" s="537"/>
      <c r="KWJ36" s="537"/>
      <c r="KWK36" s="537"/>
      <c r="KWL36" s="537"/>
      <c r="KWM36" s="537"/>
      <c r="KWN36" s="537"/>
      <c r="KWO36" s="537"/>
      <c r="KWP36" s="537"/>
      <c r="KWQ36" s="537"/>
      <c r="KWR36" s="537"/>
      <c r="KWS36" s="537"/>
      <c r="KWT36" s="537"/>
      <c r="KWU36" s="537"/>
      <c r="KWV36" s="537"/>
      <c r="KWW36" s="537"/>
      <c r="KWX36" s="537"/>
      <c r="KWY36" s="537"/>
      <c r="KWZ36" s="537"/>
      <c r="KXA36" s="537"/>
      <c r="KXB36" s="537"/>
      <c r="KXC36" s="537"/>
      <c r="KXD36" s="537"/>
      <c r="KXE36" s="537"/>
      <c r="KXF36" s="537"/>
      <c r="KXG36" s="537"/>
      <c r="KXH36" s="537"/>
      <c r="KXI36" s="537"/>
      <c r="KXJ36" s="537"/>
      <c r="KXK36" s="537"/>
      <c r="KXL36" s="537"/>
      <c r="KXM36" s="537"/>
      <c r="KXN36" s="537"/>
      <c r="KXO36" s="537"/>
      <c r="KXP36" s="537"/>
      <c r="KXQ36" s="537"/>
      <c r="KXR36" s="537"/>
      <c r="KXS36" s="537"/>
      <c r="KXT36" s="537"/>
      <c r="KXU36" s="537"/>
      <c r="KXV36" s="537"/>
      <c r="KXW36" s="537"/>
      <c r="KXX36" s="537"/>
      <c r="KXY36" s="537"/>
      <c r="KXZ36" s="537"/>
      <c r="KYA36" s="537"/>
      <c r="KYB36" s="537"/>
      <c r="KYC36" s="537"/>
      <c r="KYD36" s="537"/>
      <c r="KYE36" s="537"/>
      <c r="KYF36" s="537"/>
      <c r="KYG36" s="537"/>
      <c r="KYH36" s="537"/>
      <c r="KYI36" s="537"/>
      <c r="KYJ36" s="537"/>
      <c r="KYK36" s="537"/>
      <c r="KYL36" s="537"/>
      <c r="KYM36" s="537"/>
      <c r="KYN36" s="537"/>
      <c r="KYO36" s="537"/>
      <c r="KYP36" s="537"/>
      <c r="KYQ36" s="537"/>
      <c r="KYR36" s="537"/>
      <c r="KYS36" s="537"/>
      <c r="KYT36" s="537"/>
      <c r="KYU36" s="537"/>
      <c r="KYV36" s="537"/>
      <c r="KYW36" s="537"/>
      <c r="KYX36" s="537"/>
      <c r="KYY36" s="537"/>
      <c r="KYZ36" s="537"/>
      <c r="KZA36" s="537"/>
      <c r="KZB36" s="537"/>
      <c r="KZC36" s="537"/>
      <c r="KZD36" s="537"/>
      <c r="KZE36" s="537"/>
      <c r="KZF36" s="537"/>
      <c r="KZG36" s="537"/>
      <c r="KZH36" s="537"/>
      <c r="KZI36" s="537"/>
      <c r="KZJ36" s="537"/>
      <c r="KZK36" s="537"/>
      <c r="KZL36" s="537"/>
      <c r="KZM36" s="537"/>
      <c r="KZN36" s="537"/>
      <c r="KZO36" s="537"/>
      <c r="KZP36" s="537"/>
      <c r="KZQ36" s="537"/>
      <c r="KZR36" s="537"/>
      <c r="KZS36" s="537"/>
      <c r="KZT36" s="537"/>
      <c r="KZU36" s="537"/>
      <c r="KZV36" s="537"/>
      <c r="KZW36" s="537"/>
      <c r="KZX36" s="537"/>
      <c r="KZY36" s="537"/>
      <c r="KZZ36" s="537"/>
      <c r="LAA36" s="537"/>
      <c r="LAB36" s="537"/>
      <c r="LAC36" s="537"/>
      <c r="LAD36" s="537"/>
      <c r="LAE36" s="537"/>
      <c r="LAF36" s="537"/>
      <c r="LAG36" s="537"/>
      <c r="LAH36" s="537"/>
      <c r="LAI36" s="537"/>
      <c r="LAJ36" s="537"/>
      <c r="LAK36" s="537"/>
      <c r="LAL36" s="537"/>
      <c r="LAM36" s="537"/>
      <c r="LAN36" s="537"/>
      <c r="LAO36" s="537"/>
      <c r="LAP36" s="537"/>
      <c r="LAQ36" s="537"/>
      <c r="LAR36" s="537"/>
      <c r="LAS36" s="537"/>
      <c r="LAT36" s="537"/>
      <c r="LAU36" s="537"/>
      <c r="LAV36" s="537"/>
      <c r="LAW36" s="537"/>
      <c r="LAX36" s="537"/>
      <c r="LAY36" s="537"/>
      <c r="LAZ36" s="537"/>
      <c r="LBA36" s="537"/>
      <c r="LBB36" s="537"/>
      <c r="LBC36" s="537"/>
      <c r="LBD36" s="537"/>
      <c r="LBE36" s="537"/>
      <c r="LBF36" s="537"/>
      <c r="LBG36" s="537"/>
      <c r="LBH36" s="537"/>
      <c r="LBI36" s="537"/>
      <c r="LBJ36" s="537"/>
      <c r="LBK36" s="537"/>
      <c r="LBL36" s="537"/>
      <c r="LBM36" s="537"/>
      <c r="LBN36" s="537"/>
      <c r="LBO36" s="537"/>
      <c r="LBP36" s="537"/>
      <c r="LBQ36" s="537"/>
      <c r="LBR36" s="537"/>
      <c r="LBS36" s="537"/>
      <c r="LBT36" s="537"/>
      <c r="LBU36" s="537"/>
      <c r="LBV36" s="537"/>
      <c r="LBW36" s="537"/>
      <c r="LBX36" s="537"/>
      <c r="LBY36" s="537"/>
      <c r="LBZ36" s="537"/>
      <c r="LCA36" s="537"/>
      <c r="LCB36" s="537"/>
      <c r="LCC36" s="537"/>
      <c r="LCD36" s="537"/>
      <c r="LCE36" s="537"/>
      <c r="LCF36" s="537"/>
      <c r="LCG36" s="537"/>
      <c r="LCH36" s="537"/>
      <c r="LCI36" s="537"/>
      <c r="LCJ36" s="537"/>
      <c r="LCK36" s="537"/>
      <c r="LCL36" s="537"/>
      <c r="LCM36" s="537"/>
      <c r="LCN36" s="537"/>
      <c r="LCO36" s="537"/>
      <c r="LCP36" s="537"/>
      <c r="LCQ36" s="537"/>
      <c r="LCR36" s="537"/>
      <c r="LCS36" s="537"/>
      <c r="LCT36" s="537"/>
      <c r="LCU36" s="537"/>
      <c r="LCV36" s="537"/>
      <c r="LCW36" s="537"/>
      <c r="LCX36" s="537"/>
      <c r="LCY36" s="537"/>
      <c r="LCZ36" s="537"/>
      <c r="LDA36" s="537"/>
      <c r="LDB36" s="537"/>
      <c r="LDC36" s="537"/>
      <c r="LDD36" s="537"/>
      <c r="LDE36" s="537"/>
      <c r="LDF36" s="537"/>
      <c r="LDG36" s="537"/>
      <c r="LDH36" s="537"/>
      <c r="LDI36" s="537"/>
      <c r="LDJ36" s="537"/>
      <c r="LDK36" s="537"/>
      <c r="LDL36" s="537"/>
      <c r="LDM36" s="537"/>
      <c r="LDN36" s="537"/>
      <c r="LDO36" s="537"/>
      <c r="LDP36" s="537"/>
      <c r="LDQ36" s="537"/>
      <c r="LDR36" s="537"/>
      <c r="LDS36" s="537"/>
      <c r="LDT36" s="537"/>
      <c r="LDU36" s="537"/>
      <c r="LDV36" s="537"/>
      <c r="LDW36" s="537"/>
      <c r="LDX36" s="537"/>
      <c r="LDY36" s="537"/>
      <c r="LDZ36" s="537"/>
      <c r="LEA36" s="537"/>
      <c r="LEB36" s="537"/>
      <c r="LEC36" s="537"/>
      <c r="LED36" s="537"/>
      <c r="LEE36" s="537"/>
      <c r="LEF36" s="537"/>
      <c r="LEG36" s="537"/>
      <c r="LEH36" s="537"/>
      <c r="LEI36" s="537"/>
      <c r="LEJ36" s="537"/>
      <c r="LEK36" s="537"/>
      <c r="LEL36" s="537"/>
      <c r="LEM36" s="537"/>
      <c r="LEN36" s="537"/>
      <c r="LEO36" s="537"/>
      <c r="LEP36" s="537"/>
      <c r="LEQ36" s="537"/>
      <c r="LER36" s="537"/>
      <c r="LES36" s="537"/>
      <c r="LET36" s="537"/>
      <c r="LEU36" s="537"/>
      <c r="LEV36" s="537"/>
      <c r="LEW36" s="537"/>
      <c r="LEX36" s="537"/>
      <c r="LEY36" s="537"/>
      <c r="LEZ36" s="537"/>
      <c r="LFA36" s="537"/>
      <c r="LFB36" s="537"/>
      <c r="LFC36" s="537"/>
      <c r="LFD36" s="537"/>
      <c r="LFE36" s="537"/>
      <c r="LFF36" s="537"/>
      <c r="LFG36" s="537"/>
      <c r="LFH36" s="537"/>
      <c r="LFI36" s="537"/>
      <c r="LFJ36" s="537"/>
      <c r="LFK36" s="537"/>
      <c r="LFL36" s="537"/>
      <c r="LFM36" s="537"/>
      <c r="LFN36" s="537"/>
      <c r="LFO36" s="537"/>
      <c r="LFP36" s="537"/>
      <c r="LFQ36" s="537"/>
      <c r="LFR36" s="537"/>
      <c r="LFS36" s="537"/>
      <c r="LFT36" s="537"/>
      <c r="LFU36" s="537"/>
      <c r="LFV36" s="537"/>
      <c r="LFW36" s="537"/>
      <c r="LFX36" s="537"/>
      <c r="LFY36" s="537"/>
      <c r="LFZ36" s="537"/>
      <c r="LGA36" s="537"/>
      <c r="LGB36" s="537"/>
      <c r="LGC36" s="537"/>
      <c r="LGD36" s="537"/>
      <c r="LGE36" s="537"/>
      <c r="LGF36" s="537"/>
      <c r="LGG36" s="537"/>
      <c r="LGH36" s="537"/>
      <c r="LGI36" s="537"/>
      <c r="LGJ36" s="537"/>
      <c r="LGK36" s="537"/>
      <c r="LGL36" s="537"/>
      <c r="LGM36" s="537"/>
      <c r="LGN36" s="537"/>
      <c r="LGO36" s="537"/>
      <c r="LGP36" s="537"/>
      <c r="LGQ36" s="537"/>
      <c r="LGR36" s="537"/>
      <c r="LGS36" s="537"/>
      <c r="LGT36" s="537"/>
      <c r="LGU36" s="537"/>
      <c r="LGV36" s="537"/>
      <c r="LGW36" s="537"/>
      <c r="LGX36" s="537"/>
      <c r="LGY36" s="537"/>
      <c r="LGZ36" s="537"/>
      <c r="LHA36" s="537"/>
      <c r="LHB36" s="537"/>
      <c r="LHC36" s="537"/>
      <c r="LHD36" s="537"/>
      <c r="LHE36" s="537"/>
      <c r="LHF36" s="537"/>
      <c r="LHG36" s="537"/>
      <c r="LHH36" s="537"/>
      <c r="LHI36" s="537"/>
      <c r="LHJ36" s="537"/>
      <c r="LHK36" s="537"/>
      <c r="LHL36" s="537"/>
      <c r="LHM36" s="537"/>
      <c r="LHN36" s="537"/>
      <c r="LHO36" s="537"/>
      <c r="LHP36" s="537"/>
      <c r="LHQ36" s="537"/>
      <c r="LHR36" s="537"/>
      <c r="LHS36" s="537"/>
      <c r="LHT36" s="537"/>
      <c r="LHU36" s="537"/>
      <c r="LHV36" s="537"/>
      <c r="LHW36" s="537"/>
      <c r="LHX36" s="537"/>
      <c r="LHY36" s="537"/>
      <c r="LHZ36" s="537"/>
      <c r="LIA36" s="537"/>
      <c r="LIB36" s="537"/>
      <c r="LIC36" s="537"/>
      <c r="LID36" s="537"/>
      <c r="LIE36" s="537"/>
      <c r="LIF36" s="537"/>
      <c r="LIG36" s="537"/>
      <c r="LIH36" s="537"/>
      <c r="LII36" s="537"/>
      <c r="LIJ36" s="537"/>
      <c r="LIK36" s="537"/>
      <c r="LIL36" s="537"/>
      <c r="LIM36" s="537"/>
      <c r="LIN36" s="537"/>
      <c r="LIO36" s="537"/>
      <c r="LIP36" s="537"/>
      <c r="LIQ36" s="537"/>
      <c r="LIR36" s="537"/>
      <c r="LIS36" s="537"/>
      <c r="LIT36" s="537"/>
      <c r="LIU36" s="537"/>
      <c r="LIV36" s="537"/>
      <c r="LIW36" s="537"/>
      <c r="LIX36" s="537"/>
      <c r="LIY36" s="537"/>
      <c r="LIZ36" s="537"/>
      <c r="LJA36" s="537"/>
      <c r="LJB36" s="537"/>
      <c r="LJC36" s="537"/>
      <c r="LJD36" s="537"/>
      <c r="LJE36" s="537"/>
      <c r="LJF36" s="537"/>
      <c r="LJG36" s="537"/>
      <c r="LJH36" s="537"/>
      <c r="LJI36" s="537"/>
      <c r="LJJ36" s="537"/>
      <c r="LJK36" s="537"/>
      <c r="LJL36" s="537"/>
      <c r="LJM36" s="537"/>
      <c r="LJN36" s="537"/>
      <c r="LJO36" s="537"/>
      <c r="LJP36" s="537"/>
      <c r="LJQ36" s="537"/>
      <c r="LJR36" s="537"/>
      <c r="LJS36" s="537"/>
      <c r="LJT36" s="537"/>
      <c r="LJU36" s="537"/>
      <c r="LJV36" s="537"/>
      <c r="LJW36" s="537"/>
      <c r="LJX36" s="537"/>
      <c r="LJY36" s="537"/>
      <c r="LJZ36" s="537"/>
      <c r="LKA36" s="537"/>
      <c r="LKB36" s="537"/>
      <c r="LKC36" s="537"/>
      <c r="LKD36" s="537"/>
      <c r="LKE36" s="537"/>
      <c r="LKF36" s="537"/>
      <c r="LKG36" s="537"/>
      <c r="LKH36" s="537"/>
      <c r="LKI36" s="537"/>
      <c r="LKJ36" s="537"/>
      <c r="LKK36" s="537"/>
      <c r="LKL36" s="537"/>
      <c r="LKM36" s="537"/>
      <c r="LKN36" s="537"/>
      <c r="LKO36" s="537"/>
      <c r="LKP36" s="537"/>
      <c r="LKQ36" s="537"/>
      <c r="LKR36" s="537"/>
      <c r="LKS36" s="537"/>
      <c r="LKT36" s="537"/>
      <c r="LKU36" s="537"/>
      <c r="LKV36" s="537"/>
      <c r="LKW36" s="537"/>
      <c r="LKX36" s="537"/>
      <c r="LKY36" s="537"/>
      <c r="LKZ36" s="537"/>
      <c r="LLA36" s="537"/>
      <c r="LLB36" s="537"/>
      <c r="LLC36" s="537"/>
      <c r="LLD36" s="537"/>
      <c r="LLE36" s="537"/>
      <c r="LLF36" s="537"/>
      <c r="LLG36" s="537"/>
      <c r="LLH36" s="537"/>
      <c r="LLI36" s="537"/>
      <c r="LLJ36" s="537"/>
      <c r="LLK36" s="537"/>
      <c r="LLL36" s="537"/>
      <c r="LLM36" s="537"/>
      <c r="LLN36" s="537"/>
      <c r="LLO36" s="537"/>
      <c r="LLP36" s="537"/>
      <c r="LLQ36" s="537"/>
      <c r="LLR36" s="537"/>
      <c r="LLS36" s="537"/>
      <c r="LLT36" s="537"/>
      <c r="LLU36" s="537"/>
      <c r="LLV36" s="537"/>
      <c r="LLW36" s="537"/>
      <c r="LLX36" s="537"/>
      <c r="LLY36" s="537"/>
      <c r="LLZ36" s="537"/>
      <c r="LMA36" s="537"/>
      <c r="LMB36" s="537"/>
      <c r="LMC36" s="537"/>
      <c r="LMD36" s="537"/>
      <c r="LME36" s="537"/>
      <c r="LMF36" s="537"/>
      <c r="LMG36" s="537"/>
      <c r="LMH36" s="537"/>
      <c r="LMI36" s="537"/>
      <c r="LMJ36" s="537"/>
      <c r="LMK36" s="537"/>
      <c r="LML36" s="537"/>
      <c r="LMM36" s="537"/>
      <c r="LMN36" s="537"/>
      <c r="LMO36" s="537"/>
      <c r="LMP36" s="537"/>
      <c r="LMQ36" s="537"/>
      <c r="LMR36" s="537"/>
      <c r="LMS36" s="537"/>
      <c r="LMT36" s="537"/>
      <c r="LMU36" s="537"/>
      <c r="LMV36" s="537"/>
      <c r="LMW36" s="537"/>
      <c r="LMX36" s="537"/>
      <c r="LMY36" s="537"/>
      <c r="LMZ36" s="537"/>
      <c r="LNA36" s="537"/>
      <c r="LNB36" s="537"/>
      <c r="LNC36" s="537"/>
      <c r="LND36" s="537"/>
      <c r="LNE36" s="537"/>
      <c r="LNF36" s="537"/>
      <c r="LNG36" s="537"/>
      <c r="LNH36" s="537"/>
      <c r="LNI36" s="537"/>
      <c r="LNJ36" s="537"/>
      <c r="LNK36" s="537"/>
      <c r="LNL36" s="537"/>
      <c r="LNM36" s="537"/>
      <c r="LNN36" s="537"/>
      <c r="LNO36" s="537"/>
      <c r="LNP36" s="537"/>
      <c r="LNQ36" s="537"/>
      <c r="LNR36" s="537"/>
      <c r="LNS36" s="537"/>
      <c r="LNT36" s="537"/>
      <c r="LNU36" s="537"/>
      <c r="LNV36" s="537"/>
      <c r="LNW36" s="537"/>
      <c r="LNX36" s="537"/>
      <c r="LNY36" s="537"/>
      <c r="LNZ36" s="537"/>
      <c r="LOA36" s="537"/>
      <c r="LOB36" s="537"/>
      <c r="LOC36" s="537"/>
      <c r="LOD36" s="537"/>
      <c r="LOE36" s="537"/>
      <c r="LOF36" s="537"/>
      <c r="LOG36" s="537"/>
      <c r="LOH36" s="537"/>
      <c r="LOI36" s="537"/>
      <c r="LOJ36" s="537"/>
      <c r="LOK36" s="537"/>
      <c r="LOL36" s="537"/>
      <c r="LOM36" s="537"/>
      <c r="LON36" s="537"/>
      <c r="LOO36" s="537"/>
      <c r="LOP36" s="537"/>
      <c r="LOQ36" s="537"/>
      <c r="LOR36" s="537"/>
      <c r="LOS36" s="537"/>
      <c r="LOT36" s="537"/>
      <c r="LOU36" s="537"/>
      <c r="LOV36" s="537"/>
      <c r="LOW36" s="537"/>
      <c r="LOX36" s="537"/>
      <c r="LOY36" s="537"/>
      <c r="LOZ36" s="537"/>
      <c r="LPA36" s="537"/>
      <c r="LPB36" s="537"/>
      <c r="LPC36" s="537"/>
      <c r="LPD36" s="537"/>
      <c r="LPE36" s="537"/>
      <c r="LPF36" s="537"/>
      <c r="LPG36" s="537"/>
      <c r="LPH36" s="537"/>
      <c r="LPI36" s="537"/>
      <c r="LPJ36" s="537"/>
      <c r="LPK36" s="537"/>
      <c r="LPL36" s="537"/>
      <c r="LPM36" s="537"/>
      <c r="LPN36" s="537"/>
      <c r="LPO36" s="537"/>
      <c r="LPP36" s="537"/>
      <c r="LPQ36" s="537"/>
      <c r="LPR36" s="537"/>
      <c r="LPS36" s="537"/>
      <c r="LPT36" s="537"/>
      <c r="LPU36" s="537"/>
      <c r="LPV36" s="537"/>
      <c r="LPW36" s="537"/>
      <c r="LPX36" s="537"/>
      <c r="LPY36" s="537"/>
      <c r="LPZ36" s="537"/>
      <c r="LQA36" s="537"/>
      <c r="LQB36" s="537"/>
      <c r="LQC36" s="537"/>
      <c r="LQD36" s="537"/>
      <c r="LQE36" s="537"/>
      <c r="LQF36" s="537"/>
      <c r="LQG36" s="537"/>
      <c r="LQH36" s="537"/>
      <c r="LQI36" s="537"/>
      <c r="LQJ36" s="537"/>
      <c r="LQK36" s="537"/>
      <c r="LQL36" s="537"/>
      <c r="LQM36" s="537"/>
      <c r="LQN36" s="537"/>
      <c r="LQO36" s="537"/>
      <c r="LQP36" s="537"/>
      <c r="LQQ36" s="537"/>
      <c r="LQR36" s="537"/>
      <c r="LQS36" s="537"/>
      <c r="LQT36" s="537"/>
      <c r="LQU36" s="537"/>
      <c r="LQV36" s="537"/>
      <c r="LQW36" s="537"/>
      <c r="LQX36" s="537"/>
      <c r="LQY36" s="537"/>
      <c r="LQZ36" s="537"/>
      <c r="LRA36" s="537"/>
      <c r="LRB36" s="537"/>
      <c r="LRC36" s="537"/>
      <c r="LRD36" s="537"/>
      <c r="LRE36" s="537"/>
      <c r="LRF36" s="537"/>
      <c r="LRG36" s="537"/>
      <c r="LRH36" s="537"/>
      <c r="LRI36" s="537"/>
      <c r="LRJ36" s="537"/>
      <c r="LRK36" s="537"/>
      <c r="LRL36" s="537"/>
      <c r="LRM36" s="537"/>
      <c r="LRN36" s="537"/>
      <c r="LRO36" s="537"/>
      <c r="LRP36" s="537"/>
      <c r="LRQ36" s="537"/>
      <c r="LRR36" s="537"/>
      <c r="LRS36" s="537"/>
      <c r="LRT36" s="537"/>
      <c r="LRU36" s="537"/>
      <c r="LRV36" s="537"/>
      <c r="LRW36" s="537"/>
      <c r="LRX36" s="537"/>
      <c r="LRY36" s="537"/>
      <c r="LRZ36" s="537"/>
      <c r="LSA36" s="537"/>
      <c r="LSB36" s="537"/>
      <c r="LSC36" s="537"/>
      <c r="LSD36" s="537"/>
      <c r="LSE36" s="537"/>
      <c r="LSF36" s="537"/>
      <c r="LSG36" s="537"/>
      <c r="LSH36" s="537"/>
      <c r="LSI36" s="537"/>
      <c r="LSJ36" s="537"/>
      <c r="LSK36" s="537"/>
      <c r="LSL36" s="537"/>
      <c r="LSM36" s="537"/>
      <c r="LSN36" s="537"/>
      <c r="LSO36" s="537"/>
      <c r="LSP36" s="537"/>
      <c r="LSQ36" s="537"/>
      <c r="LSR36" s="537"/>
      <c r="LSS36" s="537"/>
      <c r="LST36" s="537"/>
      <c r="LSU36" s="537"/>
      <c r="LSV36" s="537"/>
      <c r="LSW36" s="537"/>
      <c r="LSX36" s="537"/>
      <c r="LSY36" s="537"/>
      <c r="LSZ36" s="537"/>
      <c r="LTA36" s="537"/>
      <c r="LTB36" s="537"/>
      <c r="LTC36" s="537"/>
      <c r="LTD36" s="537"/>
      <c r="LTE36" s="537"/>
      <c r="LTF36" s="537"/>
      <c r="LTG36" s="537"/>
      <c r="LTH36" s="537"/>
      <c r="LTI36" s="537"/>
      <c r="LTJ36" s="537"/>
      <c r="LTK36" s="537"/>
      <c r="LTL36" s="537"/>
      <c r="LTM36" s="537"/>
      <c r="LTN36" s="537"/>
      <c r="LTO36" s="537"/>
      <c r="LTP36" s="537"/>
      <c r="LTQ36" s="537"/>
      <c r="LTR36" s="537"/>
      <c r="LTS36" s="537"/>
      <c r="LTT36" s="537"/>
      <c r="LTU36" s="537"/>
      <c r="LTV36" s="537"/>
      <c r="LTW36" s="537"/>
      <c r="LTX36" s="537"/>
      <c r="LTY36" s="537"/>
      <c r="LTZ36" s="537"/>
      <c r="LUA36" s="537"/>
      <c r="LUB36" s="537"/>
      <c r="LUC36" s="537"/>
      <c r="LUD36" s="537"/>
      <c r="LUE36" s="537"/>
      <c r="LUF36" s="537"/>
      <c r="LUG36" s="537"/>
      <c r="LUH36" s="537"/>
      <c r="LUI36" s="537"/>
      <c r="LUJ36" s="537"/>
      <c r="LUK36" s="537"/>
      <c r="LUL36" s="537"/>
      <c r="LUM36" s="537"/>
      <c r="LUN36" s="537"/>
      <c r="LUO36" s="537"/>
      <c r="LUP36" s="537"/>
      <c r="LUQ36" s="537"/>
      <c r="LUR36" s="537"/>
      <c r="LUS36" s="537"/>
      <c r="LUT36" s="537"/>
      <c r="LUU36" s="537"/>
      <c r="LUV36" s="537"/>
      <c r="LUW36" s="537"/>
      <c r="LUX36" s="537"/>
      <c r="LUY36" s="537"/>
      <c r="LUZ36" s="537"/>
      <c r="LVA36" s="537"/>
      <c r="LVB36" s="537"/>
      <c r="LVC36" s="537"/>
      <c r="LVD36" s="537"/>
      <c r="LVE36" s="537"/>
      <c r="LVF36" s="537"/>
      <c r="LVG36" s="537"/>
      <c r="LVH36" s="537"/>
      <c r="LVI36" s="537"/>
      <c r="LVJ36" s="537"/>
      <c r="LVK36" s="537"/>
      <c r="LVL36" s="537"/>
      <c r="LVM36" s="537"/>
      <c r="LVN36" s="537"/>
      <c r="LVO36" s="537"/>
      <c r="LVP36" s="537"/>
      <c r="LVQ36" s="537"/>
      <c r="LVR36" s="537"/>
      <c r="LVS36" s="537"/>
      <c r="LVT36" s="537"/>
      <c r="LVU36" s="537"/>
      <c r="LVV36" s="537"/>
      <c r="LVW36" s="537"/>
      <c r="LVX36" s="537"/>
      <c r="LVY36" s="537"/>
      <c r="LVZ36" s="537"/>
      <c r="LWA36" s="537"/>
      <c r="LWB36" s="537"/>
      <c r="LWC36" s="537"/>
      <c r="LWD36" s="537"/>
      <c r="LWE36" s="537"/>
      <c r="LWF36" s="537"/>
      <c r="LWG36" s="537"/>
      <c r="LWH36" s="537"/>
      <c r="LWI36" s="537"/>
      <c r="LWJ36" s="537"/>
      <c r="LWK36" s="537"/>
      <c r="LWL36" s="537"/>
      <c r="LWM36" s="537"/>
      <c r="LWN36" s="537"/>
      <c r="LWO36" s="537"/>
      <c r="LWP36" s="537"/>
      <c r="LWQ36" s="537"/>
      <c r="LWR36" s="537"/>
      <c r="LWS36" s="537"/>
      <c r="LWT36" s="537"/>
      <c r="LWU36" s="537"/>
      <c r="LWV36" s="537"/>
      <c r="LWW36" s="537"/>
      <c r="LWX36" s="537"/>
      <c r="LWY36" s="537"/>
      <c r="LWZ36" s="537"/>
      <c r="LXA36" s="537"/>
      <c r="LXB36" s="537"/>
      <c r="LXC36" s="537"/>
      <c r="LXD36" s="537"/>
      <c r="LXE36" s="537"/>
      <c r="LXF36" s="537"/>
      <c r="LXG36" s="537"/>
      <c r="LXH36" s="537"/>
      <c r="LXI36" s="537"/>
      <c r="LXJ36" s="537"/>
      <c r="LXK36" s="537"/>
      <c r="LXL36" s="537"/>
      <c r="LXM36" s="537"/>
      <c r="LXN36" s="537"/>
      <c r="LXO36" s="537"/>
      <c r="LXP36" s="537"/>
      <c r="LXQ36" s="537"/>
      <c r="LXR36" s="537"/>
      <c r="LXS36" s="537"/>
      <c r="LXT36" s="537"/>
      <c r="LXU36" s="537"/>
      <c r="LXV36" s="537"/>
      <c r="LXW36" s="537"/>
      <c r="LXX36" s="537"/>
      <c r="LXY36" s="537"/>
      <c r="LXZ36" s="537"/>
      <c r="LYA36" s="537"/>
      <c r="LYB36" s="537"/>
      <c r="LYC36" s="537"/>
      <c r="LYD36" s="537"/>
      <c r="LYE36" s="537"/>
      <c r="LYF36" s="537"/>
      <c r="LYG36" s="537"/>
      <c r="LYH36" s="537"/>
      <c r="LYI36" s="537"/>
      <c r="LYJ36" s="537"/>
      <c r="LYK36" s="537"/>
      <c r="LYL36" s="537"/>
      <c r="LYM36" s="537"/>
      <c r="LYN36" s="537"/>
      <c r="LYO36" s="537"/>
      <c r="LYP36" s="537"/>
      <c r="LYQ36" s="537"/>
      <c r="LYR36" s="537"/>
      <c r="LYS36" s="537"/>
      <c r="LYT36" s="537"/>
      <c r="LYU36" s="537"/>
      <c r="LYV36" s="537"/>
      <c r="LYW36" s="537"/>
      <c r="LYX36" s="537"/>
      <c r="LYY36" s="537"/>
      <c r="LYZ36" s="537"/>
      <c r="LZA36" s="537"/>
      <c r="LZB36" s="537"/>
      <c r="LZC36" s="537"/>
      <c r="LZD36" s="537"/>
      <c r="LZE36" s="537"/>
      <c r="LZF36" s="537"/>
      <c r="LZG36" s="537"/>
      <c r="LZH36" s="537"/>
      <c r="LZI36" s="537"/>
      <c r="LZJ36" s="537"/>
      <c r="LZK36" s="537"/>
      <c r="LZL36" s="537"/>
      <c r="LZM36" s="537"/>
      <c r="LZN36" s="537"/>
      <c r="LZO36" s="537"/>
      <c r="LZP36" s="537"/>
      <c r="LZQ36" s="537"/>
      <c r="LZR36" s="537"/>
      <c r="LZS36" s="537"/>
      <c r="LZT36" s="537"/>
      <c r="LZU36" s="537"/>
      <c r="LZV36" s="537"/>
      <c r="LZW36" s="537"/>
      <c r="LZX36" s="537"/>
      <c r="LZY36" s="537"/>
      <c r="LZZ36" s="537"/>
      <c r="MAA36" s="537"/>
      <c r="MAB36" s="537"/>
      <c r="MAC36" s="537"/>
      <c r="MAD36" s="537"/>
      <c r="MAE36" s="537"/>
      <c r="MAF36" s="537"/>
      <c r="MAG36" s="537"/>
      <c r="MAH36" s="537"/>
      <c r="MAI36" s="537"/>
      <c r="MAJ36" s="537"/>
      <c r="MAK36" s="537"/>
      <c r="MAL36" s="537"/>
      <c r="MAM36" s="537"/>
      <c r="MAN36" s="537"/>
      <c r="MAO36" s="537"/>
      <c r="MAP36" s="537"/>
      <c r="MAQ36" s="537"/>
      <c r="MAR36" s="537"/>
      <c r="MAS36" s="537"/>
      <c r="MAT36" s="537"/>
      <c r="MAU36" s="537"/>
      <c r="MAV36" s="537"/>
      <c r="MAW36" s="537"/>
      <c r="MAX36" s="537"/>
      <c r="MAY36" s="537"/>
      <c r="MAZ36" s="537"/>
      <c r="MBA36" s="537"/>
      <c r="MBB36" s="537"/>
      <c r="MBC36" s="537"/>
      <c r="MBD36" s="537"/>
      <c r="MBE36" s="537"/>
      <c r="MBF36" s="537"/>
      <c r="MBG36" s="537"/>
      <c r="MBH36" s="537"/>
      <c r="MBI36" s="537"/>
      <c r="MBJ36" s="537"/>
      <c r="MBK36" s="537"/>
      <c r="MBL36" s="537"/>
      <c r="MBM36" s="537"/>
      <c r="MBN36" s="537"/>
      <c r="MBO36" s="537"/>
      <c r="MBP36" s="537"/>
      <c r="MBQ36" s="537"/>
      <c r="MBR36" s="537"/>
      <c r="MBS36" s="537"/>
      <c r="MBT36" s="537"/>
      <c r="MBU36" s="537"/>
      <c r="MBV36" s="537"/>
      <c r="MBW36" s="537"/>
      <c r="MBX36" s="537"/>
      <c r="MBY36" s="537"/>
      <c r="MBZ36" s="537"/>
      <c r="MCA36" s="537"/>
      <c r="MCB36" s="537"/>
      <c r="MCC36" s="537"/>
      <c r="MCD36" s="537"/>
      <c r="MCE36" s="537"/>
      <c r="MCF36" s="537"/>
      <c r="MCG36" s="537"/>
      <c r="MCH36" s="537"/>
      <c r="MCI36" s="537"/>
      <c r="MCJ36" s="537"/>
      <c r="MCK36" s="537"/>
      <c r="MCL36" s="537"/>
      <c r="MCM36" s="537"/>
      <c r="MCN36" s="537"/>
      <c r="MCO36" s="537"/>
      <c r="MCP36" s="537"/>
      <c r="MCQ36" s="537"/>
      <c r="MCR36" s="537"/>
      <c r="MCS36" s="537"/>
      <c r="MCT36" s="537"/>
      <c r="MCU36" s="537"/>
      <c r="MCV36" s="537"/>
      <c r="MCW36" s="537"/>
      <c r="MCX36" s="537"/>
      <c r="MCY36" s="537"/>
      <c r="MCZ36" s="537"/>
      <c r="MDA36" s="537"/>
      <c r="MDB36" s="537"/>
      <c r="MDC36" s="537"/>
      <c r="MDD36" s="537"/>
      <c r="MDE36" s="537"/>
      <c r="MDF36" s="537"/>
      <c r="MDG36" s="537"/>
      <c r="MDH36" s="537"/>
      <c r="MDI36" s="537"/>
      <c r="MDJ36" s="537"/>
      <c r="MDK36" s="537"/>
      <c r="MDL36" s="537"/>
      <c r="MDM36" s="537"/>
      <c r="MDN36" s="537"/>
      <c r="MDO36" s="537"/>
      <c r="MDP36" s="537"/>
      <c r="MDQ36" s="537"/>
      <c r="MDR36" s="537"/>
      <c r="MDS36" s="537"/>
      <c r="MDT36" s="537"/>
      <c r="MDU36" s="537"/>
      <c r="MDV36" s="537"/>
      <c r="MDW36" s="537"/>
      <c r="MDX36" s="537"/>
      <c r="MDY36" s="537"/>
      <c r="MDZ36" s="537"/>
      <c r="MEA36" s="537"/>
      <c r="MEB36" s="537"/>
      <c r="MEC36" s="537"/>
      <c r="MED36" s="537"/>
      <c r="MEE36" s="537"/>
      <c r="MEF36" s="537"/>
      <c r="MEG36" s="537"/>
      <c r="MEH36" s="537"/>
      <c r="MEI36" s="537"/>
      <c r="MEJ36" s="537"/>
      <c r="MEK36" s="537"/>
      <c r="MEL36" s="537"/>
      <c r="MEM36" s="537"/>
      <c r="MEN36" s="537"/>
      <c r="MEO36" s="537"/>
      <c r="MEP36" s="537"/>
      <c r="MEQ36" s="537"/>
      <c r="MER36" s="537"/>
      <c r="MES36" s="537"/>
      <c r="MET36" s="537"/>
      <c r="MEU36" s="537"/>
      <c r="MEV36" s="537"/>
      <c r="MEW36" s="537"/>
      <c r="MEX36" s="537"/>
      <c r="MEY36" s="537"/>
      <c r="MEZ36" s="537"/>
      <c r="MFA36" s="537"/>
      <c r="MFB36" s="537"/>
      <c r="MFC36" s="537"/>
      <c r="MFD36" s="537"/>
      <c r="MFE36" s="537"/>
      <c r="MFF36" s="537"/>
      <c r="MFG36" s="537"/>
      <c r="MFH36" s="537"/>
      <c r="MFI36" s="537"/>
      <c r="MFJ36" s="537"/>
      <c r="MFK36" s="537"/>
      <c r="MFL36" s="537"/>
      <c r="MFM36" s="537"/>
      <c r="MFN36" s="537"/>
      <c r="MFO36" s="537"/>
      <c r="MFP36" s="537"/>
      <c r="MFQ36" s="537"/>
      <c r="MFR36" s="537"/>
      <c r="MFS36" s="537"/>
      <c r="MFT36" s="537"/>
      <c r="MFU36" s="537"/>
      <c r="MFV36" s="537"/>
      <c r="MFW36" s="537"/>
      <c r="MFX36" s="537"/>
      <c r="MFY36" s="537"/>
      <c r="MFZ36" s="537"/>
      <c r="MGA36" s="537"/>
      <c r="MGB36" s="537"/>
      <c r="MGC36" s="537"/>
      <c r="MGD36" s="537"/>
      <c r="MGE36" s="537"/>
      <c r="MGF36" s="537"/>
      <c r="MGG36" s="537"/>
      <c r="MGH36" s="537"/>
      <c r="MGI36" s="537"/>
      <c r="MGJ36" s="537"/>
      <c r="MGK36" s="537"/>
      <c r="MGL36" s="537"/>
      <c r="MGM36" s="537"/>
      <c r="MGN36" s="537"/>
      <c r="MGO36" s="537"/>
      <c r="MGP36" s="537"/>
      <c r="MGQ36" s="537"/>
      <c r="MGR36" s="537"/>
      <c r="MGS36" s="537"/>
      <c r="MGT36" s="537"/>
      <c r="MGU36" s="537"/>
      <c r="MGV36" s="537"/>
      <c r="MGW36" s="537"/>
      <c r="MGX36" s="537"/>
      <c r="MGY36" s="537"/>
      <c r="MGZ36" s="537"/>
      <c r="MHA36" s="537"/>
      <c r="MHB36" s="537"/>
      <c r="MHC36" s="537"/>
      <c r="MHD36" s="537"/>
      <c r="MHE36" s="537"/>
      <c r="MHF36" s="537"/>
      <c r="MHG36" s="537"/>
      <c r="MHH36" s="537"/>
      <c r="MHI36" s="537"/>
      <c r="MHJ36" s="537"/>
      <c r="MHK36" s="537"/>
      <c r="MHL36" s="537"/>
      <c r="MHM36" s="537"/>
      <c r="MHN36" s="537"/>
      <c r="MHO36" s="537"/>
      <c r="MHP36" s="537"/>
      <c r="MHQ36" s="537"/>
      <c r="MHR36" s="537"/>
      <c r="MHS36" s="537"/>
      <c r="MHT36" s="537"/>
      <c r="MHU36" s="537"/>
      <c r="MHV36" s="537"/>
      <c r="MHW36" s="537"/>
      <c r="MHX36" s="537"/>
      <c r="MHY36" s="537"/>
      <c r="MHZ36" s="537"/>
      <c r="MIA36" s="537"/>
      <c r="MIB36" s="537"/>
      <c r="MIC36" s="537"/>
      <c r="MID36" s="537"/>
      <c r="MIE36" s="537"/>
      <c r="MIF36" s="537"/>
      <c r="MIG36" s="537"/>
      <c r="MIH36" s="537"/>
      <c r="MII36" s="537"/>
      <c r="MIJ36" s="537"/>
      <c r="MIK36" s="537"/>
      <c r="MIL36" s="537"/>
      <c r="MIM36" s="537"/>
      <c r="MIN36" s="537"/>
      <c r="MIO36" s="537"/>
      <c r="MIP36" s="537"/>
      <c r="MIQ36" s="537"/>
      <c r="MIR36" s="537"/>
      <c r="MIS36" s="537"/>
      <c r="MIT36" s="537"/>
      <c r="MIU36" s="537"/>
      <c r="MIV36" s="537"/>
      <c r="MIW36" s="537"/>
      <c r="MIX36" s="537"/>
      <c r="MIY36" s="537"/>
      <c r="MIZ36" s="537"/>
      <c r="MJA36" s="537"/>
      <c r="MJB36" s="537"/>
      <c r="MJC36" s="537"/>
      <c r="MJD36" s="537"/>
      <c r="MJE36" s="537"/>
      <c r="MJF36" s="537"/>
      <c r="MJG36" s="537"/>
      <c r="MJH36" s="537"/>
      <c r="MJI36" s="537"/>
      <c r="MJJ36" s="537"/>
      <c r="MJK36" s="537"/>
      <c r="MJL36" s="537"/>
      <c r="MJM36" s="537"/>
      <c r="MJN36" s="537"/>
      <c r="MJO36" s="537"/>
      <c r="MJP36" s="537"/>
      <c r="MJQ36" s="537"/>
      <c r="MJR36" s="537"/>
      <c r="MJS36" s="537"/>
      <c r="MJT36" s="537"/>
      <c r="MJU36" s="537"/>
      <c r="MJV36" s="537"/>
      <c r="MJW36" s="537"/>
      <c r="MJX36" s="537"/>
      <c r="MJY36" s="537"/>
      <c r="MJZ36" s="537"/>
      <c r="MKA36" s="537"/>
      <c r="MKB36" s="537"/>
      <c r="MKC36" s="537"/>
      <c r="MKD36" s="537"/>
      <c r="MKE36" s="537"/>
      <c r="MKF36" s="537"/>
      <c r="MKG36" s="537"/>
      <c r="MKH36" s="537"/>
      <c r="MKI36" s="537"/>
      <c r="MKJ36" s="537"/>
      <c r="MKK36" s="537"/>
      <c r="MKL36" s="537"/>
      <c r="MKM36" s="537"/>
      <c r="MKN36" s="537"/>
      <c r="MKO36" s="537"/>
      <c r="MKP36" s="537"/>
      <c r="MKQ36" s="537"/>
      <c r="MKR36" s="537"/>
      <c r="MKS36" s="537"/>
      <c r="MKT36" s="537"/>
      <c r="MKU36" s="537"/>
      <c r="MKV36" s="537"/>
      <c r="MKW36" s="537"/>
      <c r="MKX36" s="537"/>
      <c r="MKY36" s="537"/>
      <c r="MKZ36" s="537"/>
      <c r="MLA36" s="537"/>
      <c r="MLB36" s="537"/>
      <c r="MLC36" s="537"/>
      <c r="MLD36" s="537"/>
      <c r="MLE36" s="537"/>
      <c r="MLF36" s="537"/>
      <c r="MLG36" s="537"/>
      <c r="MLH36" s="537"/>
      <c r="MLI36" s="537"/>
      <c r="MLJ36" s="537"/>
      <c r="MLK36" s="537"/>
      <c r="MLL36" s="537"/>
      <c r="MLM36" s="537"/>
      <c r="MLN36" s="537"/>
      <c r="MLO36" s="537"/>
      <c r="MLP36" s="537"/>
      <c r="MLQ36" s="537"/>
      <c r="MLR36" s="537"/>
      <c r="MLS36" s="537"/>
      <c r="MLT36" s="537"/>
      <c r="MLU36" s="537"/>
      <c r="MLV36" s="537"/>
      <c r="MLW36" s="537"/>
      <c r="MLX36" s="537"/>
      <c r="MLY36" s="537"/>
      <c r="MLZ36" s="537"/>
      <c r="MMA36" s="537"/>
      <c r="MMB36" s="537"/>
      <c r="MMC36" s="537"/>
      <c r="MMD36" s="537"/>
      <c r="MME36" s="537"/>
      <c r="MMF36" s="537"/>
      <c r="MMG36" s="537"/>
      <c r="MMH36" s="537"/>
      <c r="MMI36" s="537"/>
      <c r="MMJ36" s="537"/>
      <c r="MMK36" s="537"/>
      <c r="MML36" s="537"/>
      <c r="MMM36" s="537"/>
      <c r="MMN36" s="537"/>
      <c r="MMO36" s="537"/>
      <c r="MMP36" s="537"/>
      <c r="MMQ36" s="537"/>
      <c r="MMR36" s="537"/>
      <c r="MMS36" s="537"/>
      <c r="MMT36" s="537"/>
      <c r="MMU36" s="537"/>
      <c r="MMV36" s="537"/>
      <c r="MMW36" s="537"/>
      <c r="MMX36" s="537"/>
      <c r="MMY36" s="537"/>
      <c r="MMZ36" s="537"/>
      <c r="MNA36" s="537"/>
      <c r="MNB36" s="537"/>
      <c r="MNC36" s="537"/>
      <c r="MND36" s="537"/>
      <c r="MNE36" s="537"/>
      <c r="MNF36" s="537"/>
      <c r="MNG36" s="537"/>
      <c r="MNH36" s="537"/>
      <c r="MNI36" s="537"/>
      <c r="MNJ36" s="537"/>
      <c r="MNK36" s="537"/>
      <c r="MNL36" s="537"/>
      <c r="MNM36" s="537"/>
      <c r="MNN36" s="537"/>
      <c r="MNO36" s="537"/>
      <c r="MNP36" s="537"/>
      <c r="MNQ36" s="537"/>
      <c r="MNR36" s="537"/>
      <c r="MNS36" s="537"/>
      <c r="MNT36" s="537"/>
      <c r="MNU36" s="537"/>
      <c r="MNV36" s="537"/>
      <c r="MNW36" s="537"/>
      <c r="MNX36" s="537"/>
      <c r="MNY36" s="537"/>
      <c r="MNZ36" s="537"/>
      <c r="MOA36" s="537"/>
      <c r="MOB36" s="537"/>
      <c r="MOC36" s="537"/>
      <c r="MOD36" s="537"/>
      <c r="MOE36" s="537"/>
      <c r="MOF36" s="537"/>
      <c r="MOG36" s="537"/>
      <c r="MOH36" s="537"/>
      <c r="MOI36" s="537"/>
      <c r="MOJ36" s="537"/>
      <c r="MOK36" s="537"/>
      <c r="MOL36" s="537"/>
      <c r="MOM36" s="537"/>
      <c r="MON36" s="537"/>
      <c r="MOO36" s="537"/>
      <c r="MOP36" s="537"/>
      <c r="MOQ36" s="537"/>
      <c r="MOR36" s="537"/>
      <c r="MOS36" s="537"/>
      <c r="MOT36" s="537"/>
      <c r="MOU36" s="537"/>
      <c r="MOV36" s="537"/>
      <c r="MOW36" s="537"/>
      <c r="MOX36" s="537"/>
      <c r="MOY36" s="537"/>
      <c r="MOZ36" s="537"/>
      <c r="MPA36" s="537"/>
      <c r="MPB36" s="537"/>
      <c r="MPC36" s="537"/>
      <c r="MPD36" s="537"/>
      <c r="MPE36" s="537"/>
      <c r="MPF36" s="537"/>
      <c r="MPG36" s="537"/>
      <c r="MPH36" s="537"/>
      <c r="MPI36" s="537"/>
      <c r="MPJ36" s="537"/>
      <c r="MPK36" s="537"/>
      <c r="MPL36" s="537"/>
      <c r="MPM36" s="537"/>
      <c r="MPN36" s="537"/>
      <c r="MPO36" s="537"/>
      <c r="MPP36" s="537"/>
      <c r="MPQ36" s="537"/>
      <c r="MPR36" s="537"/>
      <c r="MPS36" s="537"/>
      <c r="MPT36" s="537"/>
      <c r="MPU36" s="537"/>
      <c r="MPV36" s="537"/>
      <c r="MPW36" s="537"/>
      <c r="MPX36" s="537"/>
      <c r="MPY36" s="537"/>
      <c r="MPZ36" s="537"/>
      <c r="MQA36" s="537"/>
      <c r="MQB36" s="537"/>
      <c r="MQC36" s="537"/>
      <c r="MQD36" s="537"/>
      <c r="MQE36" s="537"/>
      <c r="MQF36" s="537"/>
      <c r="MQG36" s="537"/>
      <c r="MQH36" s="537"/>
      <c r="MQI36" s="537"/>
      <c r="MQJ36" s="537"/>
      <c r="MQK36" s="537"/>
      <c r="MQL36" s="537"/>
      <c r="MQM36" s="537"/>
      <c r="MQN36" s="537"/>
      <c r="MQO36" s="537"/>
      <c r="MQP36" s="537"/>
      <c r="MQQ36" s="537"/>
      <c r="MQR36" s="537"/>
      <c r="MQS36" s="537"/>
      <c r="MQT36" s="537"/>
      <c r="MQU36" s="537"/>
      <c r="MQV36" s="537"/>
      <c r="MQW36" s="537"/>
      <c r="MQX36" s="537"/>
      <c r="MQY36" s="537"/>
      <c r="MQZ36" s="537"/>
      <c r="MRA36" s="537"/>
      <c r="MRB36" s="537"/>
      <c r="MRC36" s="537"/>
      <c r="MRD36" s="537"/>
      <c r="MRE36" s="537"/>
      <c r="MRF36" s="537"/>
      <c r="MRG36" s="537"/>
      <c r="MRH36" s="537"/>
      <c r="MRI36" s="537"/>
      <c r="MRJ36" s="537"/>
      <c r="MRK36" s="537"/>
      <c r="MRL36" s="537"/>
      <c r="MRM36" s="537"/>
      <c r="MRN36" s="537"/>
      <c r="MRO36" s="537"/>
      <c r="MRP36" s="537"/>
      <c r="MRQ36" s="537"/>
      <c r="MRR36" s="537"/>
      <c r="MRS36" s="537"/>
      <c r="MRT36" s="537"/>
      <c r="MRU36" s="537"/>
      <c r="MRV36" s="537"/>
      <c r="MRW36" s="537"/>
      <c r="MRX36" s="537"/>
      <c r="MRY36" s="537"/>
      <c r="MRZ36" s="537"/>
      <c r="MSA36" s="537"/>
      <c r="MSB36" s="537"/>
      <c r="MSC36" s="537"/>
      <c r="MSD36" s="537"/>
      <c r="MSE36" s="537"/>
      <c r="MSF36" s="537"/>
      <c r="MSG36" s="537"/>
      <c r="MSH36" s="537"/>
      <c r="MSI36" s="537"/>
      <c r="MSJ36" s="537"/>
      <c r="MSK36" s="537"/>
      <c r="MSL36" s="537"/>
      <c r="MSM36" s="537"/>
      <c r="MSN36" s="537"/>
      <c r="MSO36" s="537"/>
      <c r="MSP36" s="537"/>
      <c r="MSQ36" s="537"/>
      <c r="MSR36" s="537"/>
      <c r="MSS36" s="537"/>
      <c r="MST36" s="537"/>
      <c r="MSU36" s="537"/>
      <c r="MSV36" s="537"/>
      <c r="MSW36" s="537"/>
      <c r="MSX36" s="537"/>
      <c r="MSY36" s="537"/>
      <c r="MSZ36" s="537"/>
      <c r="MTA36" s="537"/>
      <c r="MTB36" s="537"/>
      <c r="MTC36" s="537"/>
      <c r="MTD36" s="537"/>
      <c r="MTE36" s="537"/>
      <c r="MTF36" s="537"/>
      <c r="MTG36" s="537"/>
      <c r="MTH36" s="537"/>
      <c r="MTI36" s="537"/>
      <c r="MTJ36" s="537"/>
      <c r="MTK36" s="537"/>
      <c r="MTL36" s="537"/>
      <c r="MTM36" s="537"/>
      <c r="MTN36" s="537"/>
      <c r="MTO36" s="537"/>
      <c r="MTP36" s="537"/>
      <c r="MTQ36" s="537"/>
      <c r="MTR36" s="537"/>
      <c r="MTS36" s="537"/>
      <c r="MTT36" s="537"/>
      <c r="MTU36" s="537"/>
      <c r="MTV36" s="537"/>
      <c r="MTW36" s="537"/>
      <c r="MTX36" s="537"/>
      <c r="MTY36" s="537"/>
      <c r="MTZ36" s="537"/>
      <c r="MUA36" s="537"/>
      <c r="MUB36" s="537"/>
      <c r="MUC36" s="537"/>
      <c r="MUD36" s="537"/>
      <c r="MUE36" s="537"/>
      <c r="MUF36" s="537"/>
      <c r="MUG36" s="537"/>
      <c r="MUH36" s="537"/>
      <c r="MUI36" s="537"/>
      <c r="MUJ36" s="537"/>
      <c r="MUK36" s="537"/>
      <c r="MUL36" s="537"/>
      <c r="MUM36" s="537"/>
      <c r="MUN36" s="537"/>
      <c r="MUO36" s="537"/>
      <c r="MUP36" s="537"/>
      <c r="MUQ36" s="537"/>
      <c r="MUR36" s="537"/>
      <c r="MUS36" s="537"/>
      <c r="MUT36" s="537"/>
      <c r="MUU36" s="537"/>
      <c r="MUV36" s="537"/>
      <c r="MUW36" s="537"/>
      <c r="MUX36" s="537"/>
      <c r="MUY36" s="537"/>
      <c r="MUZ36" s="537"/>
      <c r="MVA36" s="537"/>
      <c r="MVB36" s="537"/>
      <c r="MVC36" s="537"/>
      <c r="MVD36" s="537"/>
      <c r="MVE36" s="537"/>
      <c r="MVF36" s="537"/>
      <c r="MVG36" s="537"/>
      <c r="MVH36" s="537"/>
      <c r="MVI36" s="537"/>
      <c r="MVJ36" s="537"/>
      <c r="MVK36" s="537"/>
      <c r="MVL36" s="537"/>
      <c r="MVM36" s="537"/>
      <c r="MVN36" s="537"/>
      <c r="MVO36" s="537"/>
      <c r="MVP36" s="537"/>
      <c r="MVQ36" s="537"/>
      <c r="MVR36" s="537"/>
      <c r="MVS36" s="537"/>
      <c r="MVT36" s="537"/>
      <c r="MVU36" s="537"/>
      <c r="MVV36" s="537"/>
      <c r="MVW36" s="537"/>
      <c r="MVX36" s="537"/>
      <c r="MVY36" s="537"/>
      <c r="MVZ36" s="537"/>
      <c r="MWA36" s="537"/>
      <c r="MWB36" s="537"/>
      <c r="MWC36" s="537"/>
      <c r="MWD36" s="537"/>
      <c r="MWE36" s="537"/>
      <c r="MWF36" s="537"/>
      <c r="MWG36" s="537"/>
      <c r="MWH36" s="537"/>
      <c r="MWI36" s="537"/>
      <c r="MWJ36" s="537"/>
      <c r="MWK36" s="537"/>
      <c r="MWL36" s="537"/>
      <c r="MWM36" s="537"/>
      <c r="MWN36" s="537"/>
      <c r="MWO36" s="537"/>
      <c r="MWP36" s="537"/>
      <c r="MWQ36" s="537"/>
      <c r="MWR36" s="537"/>
      <c r="MWS36" s="537"/>
      <c r="MWT36" s="537"/>
      <c r="MWU36" s="537"/>
      <c r="MWV36" s="537"/>
      <c r="MWW36" s="537"/>
      <c r="MWX36" s="537"/>
      <c r="MWY36" s="537"/>
      <c r="MWZ36" s="537"/>
      <c r="MXA36" s="537"/>
      <c r="MXB36" s="537"/>
      <c r="MXC36" s="537"/>
      <c r="MXD36" s="537"/>
      <c r="MXE36" s="537"/>
      <c r="MXF36" s="537"/>
      <c r="MXG36" s="537"/>
      <c r="MXH36" s="537"/>
      <c r="MXI36" s="537"/>
      <c r="MXJ36" s="537"/>
      <c r="MXK36" s="537"/>
      <c r="MXL36" s="537"/>
      <c r="MXM36" s="537"/>
      <c r="MXN36" s="537"/>
      <c r="MXO36" s="537"/>
      <c r="MXP36" s="537"/>
      <c r="MXQ36" s="537"/>
      <c r="MXR36" s="537"/>
      <c r="MXS36" s="537"/>
      <c r="MXT36" s="537"/>
      <c r="MXU36" s="537"/>
      <c r="MXV36" s="537"/>
      <c r="MXW36" s="537"/>
      <c r="MXX36" s="537"/>
      <c r="MXY36" s="537"/>
      <c r="MXZ36" s="537"/>
      <c r="MYA36" s="537"/>
      <c r="MYB36" s="537"/>
      <c r="MYC36" s="537"/>
      <c r="MYD36" s="537"/>
      <c r="MYE36" s="537"/>
      <c r="MYF36" s="537"/>
      <c r="MYG36" s="537"/>
      <c r="MYH36" s="537"/>
      <c r="MYI36" s="537"/>
      <c r="MYJ36" s="537"/>
      <c r="MYK36" s="537"/>
      <c r="MYL36" s="537"/>
      <c r="MYM36" s="537"/>
      <c r="MYN36" s="537"/>
      <c r="MYO36" s="537"/>
      <c r="MYP36" s="537"/>
      <c r="MYQ36" s="537"/>
      <c r="MYR36" s="537"/>
      <c r="MYS36" s="537"/>
      <c r="MYT36" s="537"/>
      <c r="MYU36" s="537"/>
      <c r="MYV36" s="537"/>
      <c r="MYW36" s="537"/>
      <c r="MYX36" s="537"/>
      <c r="MYY36" s="537"/>
      <c r="MYZ36" s="537"/>
      <c r="MZA36" s="537"/>
      <c r="MZB36" s="537"/>
      <c r="MZC36" s="537"/>
      <c r="MZD36" s="537"/>
      <c r="MZE36" s="537"/>
      <c r="MZF36" s="537"/>
      <c r="MZG36" s="537"/>
      <c r="MZH36" s="537"/>
      <c r="MZI36" s="537"/>
      <c r="MZJ36" s="537"/>
      <c r="MZK36" s="537"/>
      <c r="MZL36" s="537"/>
      <c r="MZM36" s="537"/>
      <c r="MZN36" s="537"/>
      <c r="MZO36" s="537"/>
      <c r="MZP36" s="537"/>
      <c r="MZQ36" s="537"/>
      <c r="MZR36" s="537"/>
      <c r="MZS36" s="537"/>
      <c r="MZT36" s="537"/>
      <c r="MZU36" s="537"/>
      <c r="MZV36" s="537"/>
      <c r="MZW36" s="537"/>
      <c r="MZX36" s="537"/>
      <c r="MZY36" s="537"/>
      <c r="MZZ36" s="537"/>
      <c r="NAA36" s="537"/>
      <c r="NAB36" s="537"/>
      <c r="NAC36" s="537"/>
      <c r="NAD36" s="537"/>
      <c r="NAE36" s="537"/>
      <c r="NAF36" s="537"/>
      <c r="NAG36" s="537"/>
      <c r="NAH36" s="537"/>
      <c r="NAI36" s="537"/>
      <c r="NAJ36" s="537"/>
      <c r="NAK36" s="537"/>
      <c r="NAL36" s="537"/>
      <c r="NAM36" s="537"/>
      <c r="NAN36" s="537"/>
      <c r="NAO36" s="537"/>
      <c r="NAP36" s="537"/>
      <c r="NAQ36" s="537"/>
      <c r="NAR36" s="537"/>
      <c r="NAS36" s="537"/>
      <c r="NAT36" s="537"/>
      <c r="NAU36" s="537"/>
      <c r="NAV36" s="537"/>
      <c r="NAW36" s="537"/>
      <c r="NAX36" s="537"/>
      <c r="NAY36" s="537"/>
      <c r="NAZ36" s="537"/>
      <c r="NBA36" s="537"/>
      <c r="NBB36" s="537"/>
      <c r="NBC36" s="537"/>
      <c r="NBD36" s="537"/>
      <c r="NBE36" s="537"/>
      <c r="NBF36" s="537"/>
      <c r="NBG36" s="537"/>
      <c r="NBH36" s="537"/>
      <c r="NBI36" s="537"/>
      <c r="NBJ36" s="537"/>
      <c r="NBK36" s="537"/>
      <c r="NBL36" s="537"/>
      <c r="NBM36" s="537"/>
      <c r="NBN36" s="537"/>
      <c r="NBO36" s="537"/>
      <c r="NBP36" s="537"/>
      <c r="NBQ36" s="537"/>
      <c r="NBR36" s="537"/>
      <c r="NBS36" s="537"/>
      <c r="NBT36" s="537"/>
      <c r="NBU36" s="537"/>
      <c r="NBV36" s="537"/>
      <c r="NBW36" s="537"/>
      <c r="NBX36" s="537"/>
      <c r="NBY36" s="537"/>
      <c r="NBZ36" s="537"/>
      <c r="NCA36" s="537"/>
      <c r="NCB36" s="537"/>
      <c r="NCC36" s="537"/>
      <c r="NCD36" s="537"/>
      <c r="NCE36" s="537"/>
      <c r="NCF36" s="537"/>
      <c r="NCG36" s="537"/>
      <c r="NCH36" s="537"/>
      <c r="NCI36" s="537"/>
      <c r="NCJ36" s="537"/>
      <c r="NCK36" s="537"/>
      <c r="NCL36" s="537"/>
      <c r="NCM36" s="537"/>
      <c r="NCN36" s="537"/>
      <c r="NCO36" s="537"/>
      <c r="NCP36" s="537"/>
      <c r="NCQ36" s="537"/>
      <c r="NCR36" s="537"/>
      <c r="NCS36" s="537"/>
      <c r="NCT36" s="537"/>
      <c r="NCU36" s="537"/>
      <c r="NCV36" s="537"/>
      <c r="NCW36" s="537"/>
      <c r="NCX36" s="537"/>
      <c r="NCY36" s="537"/>
      <c r="NCZ36" s="537"/>
      <c r="NDA36" s="537"/>
      <c r="NDB36" s="537"/>
      <c r="NDC36" s="537"/>
      <c r="NDD36" s="537"/>
      <c r="NDE36" s="537"/>
      <c r="NDF36" s="537"/>
      <c r="NDG36" s="537"/>
      <c r="NDH36" s="537"/>
      <c r="NDI36" s="537"/>
      <c r="NDJ36" s="537"/>
      <c r="NDK36" s="537"/>
      <c r="NDL36" s="537"/>
      <c r="NDM36" s="537"/>
      <c r="NDN36" s="537"/>
      <c r="NDO36" s="537"/>
      <c r="NDP36" s="537"/>
      <c r="NDQ36" s="537"/>
      <c r="NDR36" s="537"/>
      <c r="NDS36" s="537"/>
      <c r="NDT36" s="537"/>
      <c r="NDU36" s="537"/>
      <c r="NDV36" s="537"/>
      <c r="NDW36" s="537"/>
      <c r="NDX36" s="537"/>
      <c r="NDY36" s="537"/>
      <c r="NDZ36" s="537"/>
      <c r="NEA36" s="537"/>
      <c r="NEB36" s="537"/>
      <c r="NEC36" s="537"/>
      <c r="NED36" s="537"/>
      <c r="NEE36" s="537"/>
      <c r="NEF36" s="537"/>
      <c r="NEG36" s="537"/>
      <c r="NEH36" s="537"/>
      <c r="NEI36" s="537"/>
      <c r="NEJ36" s="537"/>
      <c r="NEK36" s="537"/>
      <c r="NEL36" s="537"/>
      <c r="NEM36" s="537"/>
      <c r="NEN36" s="537"/>
      <c r="NEO36" s="537"/>
      <c r="NEP36" s="537"/>
      <c r="NEQ36" s="537"/>
      <c r="NER36" s="537"/>
      <c r="NES36" s="537"/>
      <c r="NET36" s="537"/>
      <c r="NEU36" s="537"/>
      <c r="NEV36" s="537"/>
      <c r="NEW36" s="537"/>
      <c r="NEX36" s="537"/>
      <c r="NEY36" s="537"/>
      <c r="NEZ36" s="537"/>
      <c r="NFA36" s="537"/>
      <c r="NFB36" s="537"/>
      <c r="NFC36" s="537"/>
      <c r="NFD36" s="537"/>
      <c r="NFE36" s="537"/>
      <c r="NFF36" s="537"/>
      <c r="NFG36" s="537"/>
      <c r="NFH36" s="537"/>
      <c r="NFI36" s="537"/>
      <c r="NFJ36" s="537"/>
      <c r="NFK36" s="537"/>
      <c r="NFL36" s="537"/>
      <c r="NFM36" s="537"/>
      <c r="NFN36" s="537"/>
      <c r="NFO36" s="537"/>
      <c r="NFP36" s="537"/>
      <c r="NFQ36" s="537"/>
      <c r="NFR36" s="537"/>
      <c r="NFS36" s="537"/>
      <c r="NFT36" s="537"/>
      <c r="NFU36" s="537"/>
      <c r="NFV36" s="537"/>
      <c r="NFW36" s="537"/>
      <c r="NFX36" s="537"/>
      <c r="NFY36" s="537"/>
      <c r="NFZ36" s="537"/>
      <c r="NGA36" s="537"/>
      <c r="NGB36" s="537"/>
      <c r="NGC36" s="537"/>
      <c r="NGD36" s="537"/>
      <c r="NGE36" s="537"/>
      <c r="NGF36" s="537"/>
      <c r="NGG36" s="537"/>
      <c r="NGH36" s="537"/>
      <c r="NGI36" s="537"/>
      <c r="NGJ36" s="537"/>
      <c r="NGK36" s="537"/>
      <c r="NGL36" s="537"/>
      <c r="NGM36" s="537"/>
      <c r="NGN36" s="537"/>
      <c r="NGO36" s="537"/>
      <c r="NGP36" s="537"/>
      <c r="NGQ36" s="537"/>
      <c r="NGR36" s="537"/>
      <c r="NGS36" s="537"/>
      <c r="NGT36" s="537"/>
      <c r="NGU36" s="537"/>
      <c r="NGV36" s="537"/>
      <c r="NGW36" s="537"/>
      <c r="NGX36" s="537"/>
      <c r="NGY36" s="537"/>
      <c r="NGZ36" s="537"/>
      <c r="NHA36" s="537"/>
      <c r="NHB36" s="537"/>
      <c r="NHC36" s="537"/>
      <c r="NHD36" s="537"/>
      <c r="NHE36" s="537"/>
      <c r="NHF36" s="537"/>
      <c r="NHG36" s="537"/>
      <c r="NHH36" s="537"/>
      <c r="NHI36" s="537"/>
      <c r="NHJ36" s="537"/>
      <c r="NHK36" s="537"/>
      <c r="NHL36" s="537"/>
      <c r="NHM36" s="537"/>
      <c r="NHN36" s="537"/>
      <c r="NHO36" s="537"/>
      <c r="NHP36" s="537"/>
      <c r="NHQ36" s="537"/>
      <c r="NHR36" s="537"/>
      <c r="NHS36" s="537"/>
      <c r="NHT36" s="537"/>
      <c r="NHU36" s="537"/>
      <c r="NHV36" s="537"/>
      <c r="NHW36" s="537"/>
      <c r="NHX36" s="537"/>
      <c r="NHY36" s="537"/>
      <c r="NHZ36" s="537"/>
      <c r="NIA36" s="537"/>
      <c r="NIB36" s="537"/>
      <c r="NIC36" s="537"/>
      <c r="NID36" s="537"/>
      <c r="NIE36" s="537"/>
      <c r="NIF36" s="537"/>
      <c r="NIG36" s="537"/>
      <c r="NIH36" s="537"/>
      <c r="NII36" s="537"/>
      <c r="NIJ36" s="537"/>
      <c r="NIK36" s="537"/>
      <c r="NIL36" s="537"/>
      <c r="NIM36" s="537"/>
      <c r="NIN36" s="537"/>
      <c r="NIO36" s="537"/>
      <c r="NIP36" s="537"/>
      <c r="NIQ36" s="537"/>
      <c r="NIR36" s="537"/>
      <c r="NIS36" s="537"/>
      <c r="NIT36" s="537"/>
      <c r="NIU36" s="537"/>
      <c r="NIV36" s="537"/>
      <c r="NIW36" s="537"/>
      <c r="NIX36" s="537"/>
      <c r="NIY36" s="537"/>
      <c r="NIZ36" s="537"/>
      <c r="NJA36" s="537"/>
      <c r="NJB36" s="537"/>
      <c r="NJC36" s="537"/>
      <c r="NJD36" s="537"/>
      <c r="NJE36" s="537"/>
      <c r="NJF36" s="537"/>
      <c r="NJG36" s="537"/>
      <c r="NJH36" s="537"/>
      <c r="NJI36" s="537"/>
      <c r="NJJ36" s="537"/>
      <c r="NJK36" s="537"/>
      <c r="NJL36" s="537"/>
      <c r="NJM36" s="537"/>
      <c r="NJN36" s="537"/>
      <c r="NJO36" s="537"/>
      <c r="NJP36" s="537"/>
      <c r="NJQ36" s="537"/>
      <c r="NJR36" s="537"/>
      <c r="NJS36" s="537"/>
      <c r="NJT36" s="537"/>
      <c r="NJU36" s="537"/>
      <c r="NJV36" s="537"/>
      <c r="NJW36" s="537"/>
      <c r="NJX36" s="537"/>
      <c r="NJY36" s="537"/>
      <c r="NJZ36" s="537"/>
      <c r="NKA36" s="537"/>
      <c r="NKB36" s="537"/>
      <c r="NKC36" s="537"/>
      <c r="NKD36" s="537"/>
      <c r="NKE36" s="537"/>
      <c r="NKF36" s="537"/>
      <c r="NKG36" s="537"/>
      <c r="NKH36" s="537"/>
      <c r="NKI36" s="537"/>
      <c r="NKJ36" s="537"/>
      <c r="NKK36" s="537"/>
      <c r="NKL36" s="537"/>
      <c r="NKM36" s="537"/>
      <c r="NKN36" s="537"/>
      <c r="NKO36" s="537"/>
      <c r="NKP36" s="537"/>
      <c r="NKQ36" s="537"/>
      <c r="NKR36" s="537"/>
      <c r="NKS36" s="537"/>
      <c r="NKT36" s="537"/>
      <c r="NKU36" s="537"/>
      <c r="NKV36" s="537"/>
      <c r="NKW36" s="537"/>
      <c r="NKX36" s="537"/>
      <c r="NKY36" s="537"/>
      <c r="NKZ36" s="537"/>
      <c r="NLA36" s="537"/>
      <c r="NLB36" s="537"/>
      <c r="NLC36" s="537"/>
      <c r="NLD36" s="537"/>
      <c r="NLE36" s="537"/>
      <c r="NLF36" s="537"/>
      <c r="NLG36" s="537"/>
      <c r="NLH36" s="537"/>
      <c r="NLI36" s="537"/>
      <c r="NLJ36" s="537"/>
      <c r="NLK36" s="537"/>
      <c r="NLL36" s="537"/>
      <c r="NLM36" s="537"/>
      <c r="NLN36" s="537"/>
      <c r="NLO36" s="537"/>
      <c r="NLP36" s="537"/>
      <c r="NLQ36" s="537"/>
      <c r="NLR36" s="537"/>
      <c r="NLS36" s="537"/>
      <c r="NLT36" s="537"/>
      <c r="NLU36" s="537"/>
      <c r="NLV36" s="537"/>
      <c r="NLW36" s="537"/>
      <c r="NLX36" s="537"/>
      <c r="NLY36" s="537"/>
      <c r="NLZ36" s="537"/>
      <c r="NMA36" s="537"/>
      <c r="NMB36" s="537"/>
      <c r="NMC36" s="537"/>
      <c r="NMD36" s="537"/>
      <c r="NME36" s="537"/>
      <c r="NMF36" s="537"/>
      <c r="NMG36" s="537"/>
      <c r="NMH36" s="537"/>
      <c r="NMI36" s="537"/>
      <c r="NMJ36" s="537"/>
      <c r="NMK36" s="537"/>
      <c r="NML36" s="537"/>
      <c r="NMM36" s="537"/>
      <c r="NMN36" s="537"/>
      <c r="NMO36" s="537"/>
      <c r="NMP36" s="537"/>
      <c r="NMQ36" s="537"/>
      <c r="NMR36" s="537"/>
      <c r="NMS36" s="537"/>
      <c r="NMT36" s="537"/>
      <c r="NMU36" s="537"/>
      <c r="NMV36" s="537"/>
      <c r="NMW36" s="537"/>
      <c r="NMX36" s="537"/>
      <c r="NMY36" s="537"/>
      <c r="NMZ36" s="537"/>
      <c r="NNA36" s="537"/>
      <c r="NNB36" s="537"/>
      <c r="NNC36" s="537"/>
      <c r="NND36" s="537"/>
      <c r="NNE36" s="537"/>
      <c r="NNF36" s="537"/>
      <c r="NNG36" s="537"/>
      <c r="NNH36" s="537"/>
      <c r="NNI36" s="537"/>
      <c r="NNJ36" s="537"/>
      <c r="NNK36" s="537"/>
      <c r="NNL36" s="537"/>
      <c r="NNM36" s="537"/>
      <c r="NNN36" s="537"/>
      <c r="NNO36" s="537"/>
      <c r="NNP36" s="537"/>
      <c r="NNQ36" s="537"/>
      <c r="NNR36" s="537"/>
      <c r="NNS36" s="537"/>
      <c r="NNT36" s="537"/>
      <c r="NNU36" s="537"/>
      <c r="NNV36" s="537"/>
      <c r="NNW36" s="537"/>
      <c r="NNX36" s="537"/>
      <c r="NNY36" s="537"/>
      <c r="NNZ36" s="537"/>
      <c r="NOA36" s="537"/>
      <c r="NOB36" s="537"/>
      <c r="NOC36" s="537"/>
      <c r="NOD36" s="537"/>
      <c r="NOE36" s="537"/>
      <c r="NOF36" s="537"/>
      <c r="NOG36" s="537"/>
      <c r="NOH36" s="537"/>
      <c r="NOI36" s="537"/>
      <c r="NOJ36" s="537"/>
      <c r="NOK36" s="537"/>
      <c r="NOL36" s="537"/>
      <c r="NOM36" s="537"/>
      <c r="NON36" s="537"/>
      <c r="NOO36" s="537"/>
      <c r="NOP36" s="537"/>
      <c r="NOQ36" s="537"/>
      <c r="NOR36" s="537"/>
      <c r="NOS36" s="537"/>
      <c r="NOT36" s="537"/>
      <c r="NOU36" s="537"/>
      <c r="NOV36" s="537"/>
      <c r="NOW36" s="537"/>
      <c r="NOX36" s="537"/>
      <c r="NOY36" s="537"/>
      <c r="NOZ36" s="537"/>
      <c r="NPA36" s="537"/>
      <c r="NPB36" s="537"/>
      <c r="NPC36" s="537"/>
      <c r="NPD36" s="537"/>
      <c r="NPE36" s="537"/>
      <c r="NPF36" s="537"/>
      <c r="NPG36" s="537"/>
      <c r="NPH36" s="537"/>
      <c r="NPI36" s="537"/>
      <c r="NPJ36" s="537"/>
      <c r="NPK36" s="537"/>
      <c r="NPL36" s="537"/>
      <c r="NPM36" s="537"/>
      <c r="NPN36" s="537"/>
      <c r="NPO36" s="537"/>
      <c r="NPP36" s="537"/>
      <c r="NPQ36" s="537"/>
      <c r="NPR36" s="537"/>
      <c r="NPS36" s="537"/>
      <c r="NPT36" s="537"/>
      <c r="NPU36" s="537"/>
      <c r="NPV36" s="537"/>
      <c r="NPW36" s="537"/>
      <c r="NPX36" s="537"/>
      <c r="NPY36" s="537"/>
      <c r="NPZ36" s="537"/>
      <c r="NQA36" s="537"/>
      <c r="NQB36" s="537"/>
      <c r="NQC36" s="537"/>
      <c r="NQD36" s="537"/>
      <c r="NQE36" s="537"/>
      <c r="NQF36" s="537"/>
      <c r="NQG36" s="537"/>
      <c r="NQH36" s="537"/>
      <c r="NQI36" s="537"/>
      <c r="NQJ36" s="537"/>
      <c r="NQK36" s="537"/>
      <c r="NQL36" s="537"/>
      <c r="NQM36" s="537"/>
      <c r="NQN36" s="537"/>
      <c r="NQO36" s="537"/>
      <c r="NQP36" s="537"/>
      <c r="NQQ36" s="537"/>
      <c r="NQR36" s="537"/>
      <c r="NQS36" s="537"/>
      <c r="NQT36" s="537"/>
      <c r="NQU36" s="537"/>
      <c r="NQV36" s="537"/>
      <c r="NQW36" s="537"/>
      <c r="NQX36" s="537"/>
      <c r="NQY36" s="537"/>
      <c r="NQZ36" s="537"/>
      <c r="NRA36" s="537"/>
      <c r="NRB36" s="537"/>
      <c r="NRC36" s="537"/>
      <c r="NRD36" s="537"/>
      <c r="NRE36" s="537"/>
      <c r="NRF36" s="537"/>
      <c r="NRG36" s="537"/>
      <c r="NRH36" s="537"/>
      <c r="NRI36" s="537"/>
      <c r="NRJ36" s="537"/>
      <c r="NRK36" s="537"/>
      <c r="NRL36" s="537"/>
      <c r="NRM36" s="537"/>
      <c r="NRN36" s="537"/>
      <c r="NRO36" s="537"/>
      <c r="NRP36" s="537"/>
      <c r="NRQ36" s="537"/>
      <c r="NRR36" s="537"/>
      <c r="NRS36" s="537"/>
      <c r="NRT36" s="537"/>
      <c r="NRU36" s="537"/>
      <c r="NRV36" s="537"/>
      <c r="NRW36" s="537"/>
      <c r="NRX36" s="537"/>
      <c r="NRY36" s="537"/>
      <c r="NRZ36" s="537"/>
      <c r="NSA36" s="537"/>
      <c r="NSB36" s="537"/>
      <c r="NSC36" s="537"/>
      <c r="NSD36" s="537"/>
      <c r="NSE36" s="537"/>
      <c r="NSF36" s="537"/>
      <c r="NSG36" s="537"/>
      <c r="NSH36" s="537"/>
      <c r="NSI36" s="537"/>
      <c r="NSJ36" s="537"/>
      <c r="NSK36" s="537"/>
      <c r="NSL36" s="537"/>
      <c r="NSM36" s="537"/>
      <c r="NSN36" s="537"/>
      <c r="NSO36" s="537"/>
      <c r="NSP36" s="537"/>
      <c r="NSQ36" s="537"/>
      <c r="NSR36" s="537"/>
      <c r="NSS36" s="537"/>
      <c r="NST36" s="537"/>
      <c r="NSU36" s="537"/>
      <c r="NSV36" s="537"/>
      <c r="NSW36" s="537"/>
      <c r="NSX36" s="537"/>
      <c r="NSY36" s="537"/>
      <c r="NSZ36" s="537"/>
      <c r="NTA36" s="537"/>
      <c r="NTB36" s="537"/>
      <c r="NTC36" s="537"/>
      <c r="NTD36" s="537"/>
      <c r="NTE36" s="537"/>
      <c r="NTF36" s="537"/>
      <c r="NTG36" s="537"/>
      <c r="NTH36" s="537"/>
      <c r="NTI36" s="537"/>
      <c r="NTJ36" s="537"/>
      <c r="NTK36" s="537"/>
      <c r="NTL36" s="537"/>
      <c r="NTM36" s="537"/>
      <c r="NTN36" s="537"/>
      <c r="NTO36" s="537"/>
      <c r="NTP36" s="537"/>
      <c r="NTQ36" s="537"/>
      <c r="NTR36" s="537"/>
      <c r="NTS36" s="537"/>
      <c r="NTT36" s="537"/>
      <c r="NTU36" s="537"/>
      <c r="NTV36" s="537"/>
      <c r="NTW36" s="537"/>
      <c r="NTX36" s="537"/>
      <c r="NTY36" s="537"/>
      <c r="NTZ36" s="537"/>
      <c r="NUA36" s="537"/>
      <c r="NUB36" s="537"/>
      <c r="NUC36" s="537"/>
      <c r="NUD36" s="537"/>
      <c r="NUE36" s="537"/>
      <c r="NUF36" s="537"/>
      <c r="NUG36" s="537"/>
      <c r="NUH36" s="537"/>
      <c r="NUI36" s="537"/>
      <c r="NUJ36" s="537"/>
      <c r="NUK36" s="537"/>
      <c r="NUL36" s="537"/>
      <c r="NUM36" s="537"/>
      <c r="NUN36" s="537"/>
      <c r="NUO36" s="537"/>
      <c r="NUP36" s="537"/>
      <c r="NUQ36" s="537"/>
      <c r="NUR36" s="537"/>
      <c r="NUS36" s="537"/>
      <c r="NUT36" s="537"/>
      <c r="NUU36" s="537"/>
      <c r="NUV36" s="537"/>
      <c r="NUW36" s="537"/>
      <c r="NUX36" s="537"/>
      <c r="NUY36" s="537"/>
      <c r="NUZ36" s="537"/>
      <c r="NVA36" s="537"/>
      <c r="NVB36" s="537"/>
      <c r="NVC36" s="537"/>
      <c r="NVD36" s="537"/>
      <c r="NVE36" s="537"/>
      <c r="NVF36" s="537"/>
      <c r="NVG36" s="537"/>
      <c r="NVH36" s="537"/>
      <c r="NVI36" s="537"/>
      <c r="NVJ36" s="537"/>
      <c r="NVK36" s="537"/>
      <c r="NVL36" s="537"/>
      <c r="NVM36" s="537"/>
      <c r="NVN36" s="537"/>
      <c r="NVO36" s="537"/>
      <c r="NVP36" s="537"/>
      <c r="NVQ36" s="537"/>
      <c r="NVR36" s="537"/>
      <c r="NVS36" s="537"/>
      <c r="NVT36" s="537"/>
      <c r="NVU36" s="537"/>
      <c r="NVV36" s="537"/>
      <c r="NVW36" s="537"/>
      <c r="NVX36" s="537"/>
      <c r="NVY36" s="537"/>
      <c r="NVZ36" s="537"/>
      <c r="NWA36" s="537"/>
      <c r="NWB36" s="537"/>
      <c r="NWC36" s="537"/>
      <c r="NWD36" s="537"/>
      <c r="NWE36" s="537"/>
      <c r="NWF36" s="537"/>
      <c r="NWG36" s="537"/>
      <c r="NWH36" s="537"/>
      <c r="NWI36" s="537"/>
      <c r="NWJ36" s="537"/>
      <c r="NWK36" s="537"/>
      <c r="NWL36" s="537"/>
      <c r="NWM36" s="537"/>
      <c r="NWN36" s="537"/>
      <c r="NWO36" s="537"/>
      <c r="NWP36" s="537"/>
      <c r="NWQ36" s="537"/>
      <c r="NWR36" s="537"/>
      <c r="NWS36" s="537"/>
      <c r="NWT36" s="537"/>
      <c r="NWU36" s="537"/>
      <c r="NWV36" s="537"/>
      <c r="NWW36" s="537"/>
      <c r="NWX36" s="537"/>
      <c r="NWY36" s="537"/>
      <c r="NWZ36" s="537"/>
      <c r="NXA36" s="537"/>
      <c r="NXB36" s="537"/>
      <c r="NXC36" s="537"/>
      <c r="NXD36" s="537"/>
      <c r="NXE36" s="537"/>
      <c r="NXF36" s="537"/>
      <c r="NXG36" s="537"/>
      <c r="NXH36" s="537"/>
      <c r="NXI36" s="537"/>
      <c r="NXJ36" s="537"/>
      <c r="NXK36" s="537"/>
      <c r="NXL36" s="537"/>
      <c r="NXM36" s="537"/>
      <c r="NXN36" s="537"/>
      <c r="NXO36" s="537"/>
      <c r="NXP36" s="537"/>
      <c r="NXQ36" s="537"/>
      <c r="NXR36" s="537"/>
      <c r="NXS36" s="537"/>
      <c r="NXT36" s="537"/>
      <c r="NXU36" s="537"/>
      <c r="NXV36" s="537"/>
      <c r="NXW36" s="537"/>
      <c r="NXX36" s="537"/>
      <c r="NXY36" s="537"/>
      <c r="NXZ36" s="537"/>
      <c r="NYA36" s="537"/>
      <c r="NYB36" s="537"/>
      <c r="NYC36" s="537"/>
      <c r="NYD36" s="537"/>
      <c r="NYE36" s="537"/>
      <c r="NYF36" s="537"/>
      <c r="NYG36" s="537"/>
      <c r="NYH36" s="537"/>
      <c r="NYI36" s="537"/>
      <c r="NYJ36" s="537"/>
      <c r="NYK36" s="537"/>
      <c r="NYL36" s="537"/>
      <c r="NYM36" s="537"/>
      <c r="NYN36" s="537"/>
      <c r="NYO36" s="537"/>
      <c r="NYP36" s="537"/>
      <c r="NYQ36" s="537"/>
      <c r="NYR36" s="537"/>
      <c r="NYS36" s="537"/>
      <c r="NYT36" s="537"/>
      <c r="NYU36" s="537"/>
      <c r="NYV36" s="537"/>
      <c r="NYW36" s="537"/>
      <c r="NYX36" s="537"/>
      <c r="NYY36" s="537"/>
      <c r="NYZ36" s="537"/>
      <c r="NZA36" s="537"/>
      <c r="NZB36" s="537"/>
      <c r="NZC36" s="537"/>
      <c r="NZD36" s="537"/>
      <c r="NZE36" s="537"/>
      <c r="NZF36" s="537"/>
      <c r="NZG36" s="537"/>
      <c r="NZH36" s="537"/>
      <c r="NZI36" s="537"/>
      <c r="NZJ36" s="537"/>
      <c r="NZK36" s="537"/>
      <c r="NZL36" s="537"/>
      <c r="NZM36" s="537"/>
      <c r="NZN36" s="537"/>
      <c r="NZO36" s="537"/>
      <c r="NZP36" s="537"/>
      <c r="NZQ36" s="537"/>
      <c r="NZR36" s="537"/>
      <c r="NZS36" s="537"/>
      <c r="NZT36" s="537"/>
      <c r="NZU36" s="537"/>
      <c r="NZV36" s="537"/>
      <c r="NZW36" s="537"/>
      <c r="NZX36" s="537"/>
      <c r="NZY36" s="537"/>
      <c r="NZZ36" s="537"/>
      <c r="OAA36" s="537"/>
      <c r="OAB36" s="537"/>
      <c r="OAC36" s="537"/>
      <c r="OAD36" s="537"/>
      <c r="OAE36" s="537"/>
      <c r="OAF36" s="537"/>
      <c r="OAG36" s="537"/>
      <c r="OAH36" s="537"/>
      <c r="OAI36" s="537"/>
      <c r="OAJ36" s="537"/>
      <c r="OAK36" s="537"/>
      <c r="OAL36" s="537"/>
      <c r="OAM36" s="537"/>
      <c r="OAN36" s="537"/>
      <c r="OAO36" s="537"/>
      <c r="OAP36" s="537"/>
      <c r="OAQ36" s="537"/>
      <c r="OAR36" s="537"/>
      <c r="OAS36" s="537"/>
      <c r="OAT36" s="537"/>
      <c r="OAU36" s="537"/>
      <c r="OAV36" s="537"/>
      <c r="OAW36" s="537"/>
      <c r="OAX36" s="537"/>
      <c r="OAY36" s="537"/>
      <c r="OAZ36" s="537"/>
      <c r="OBA36" s="537"/>
      <c r="OBB36" s="537"/>
      <c r="OBC36" s="537"/>
      <c r="OBD36" s="537"/>
      <c r="OBE36" s="537"/>
      <c r="OBF36" s="537"/>
      <c r="OBG36" s="537"/>
      <c r="OBH36" s="537"/>
      <c r="OBI36" s="537"/>
      <c r="OBJ36" s="537"/>
      <c r="OBK36" s="537"/>
      <c r="OBL36" s="537"/>
      <c r="OBM36" s="537"/>
      <c r="OBN36" s="537"/>
      <c r="OBO36" s="537"/>
      <c r="OBP36" s="537"/>
      <c r="OBQ36" s="537"/>
      <c r="OBR36" s="537"/>
      <c r="OBS36" s="537"/>
      <c r="OBT36" s="537"/>
      <c r="OBU36" s="537"/>
      <c r="OBV36" s="537"/>
      <c r="OBW36" s="537"/>
      <c r="OBX36" s="537"/>
      <c r="OBY36" s="537"/>
      <c r="OBZ36" s="537"/>
      <c r="OCA36" s="537"/>
      <c r="OCB36" s="537"/>
      <c r="OCC36" s="537"/>
      <c r="OCD36" s="537"/>
      <c r="OCE36" s="537"/>
      <c r="OCF36" s="537"/>
      <c r="OCG36" s="537"/>
      <c r="OCH36" s="537"/>
      <c r="OCI36" s="537"/>
      <c r="OCJ36" s="537"/>
      <c r="OCK36" s="537"/>
      <c r="OCL36" s="537"/>
      <c r="OCM36" s="537"/>
      <c r="OCN36" s="537"/>
      <c r="OCO36" s="537"/>
      <c r="OCP36" s="537"/>
      <c r="OCQ36" s="537"/>
      <c r="OCR36" s="537"/>
      <c r="OCS36" s="537"/>
      <c r="OCT36" s="537"/>
      <c r="OCU36" s="537"/>
      <c r="OCV36" s="537"/>
      <c r="OCW36" s="537"/>
      <c r="OCX36" s="537"/>
      <c r="OCY36" s="537"/>
      <c r="OCZ36" s="537"/>
      <c r="ODA36" s="537"/>
      <c r="ODB36" s="537"/>
      <c r="ODC36" s="537"/>
      <c r="ODD36" s="537"/>
      <c r="ODE36" s="537"/>
      <c r="ODF36" s="537"/>
      <c r="ODG36" s="537"/>
      <c r="ODH36" s="537"/>
      <c r="ODI36" s="537"/>
      <c r="ODJ36" s="537"/>
      <c r="ODK36" s="537"/>
      <c r="ODL36" s="537"/>
      <c r="ODM36" s="537"/>
      <c r="ODN36" s="537"/>
      <c r="ODO36" s="537"/>
      <c r="ODP36" s="537"/>
      <c r="ODQ36" s="537"/>
      <c r="ODR36" s="537"/>
      <c r="ODS36" s="537"/>
      <c r="ODT36" s="537"/>
      <c r="ODU36" s="537"/>
      <c r="ODV36" s="537"/>
      <c r="ODW36" s="537"/>
      <c r="ODX36" s="537"/>
      <c r="ODY36" s="537"/>
      <c r="ODZ36" s="537"/>
      <c r="OEA36" s="537"/>
      <c r="OEB36" s="537"/>
      <c r="OEC36" s="537"/>
      <c r="OED36" s="537"/>
      <c r="OEE36" s="537"/>
      <c r="OEF36" s="537"/>
      <c r="OEG36" s="537"/>
      <c r="OEH36" s="537"/>
      <c r="OEI36" s="537"/>
      <c r="OEJ36" s="537"/>
      <c r="OEK36" s="537"/>
      <c r="OEL36" s="537"/>
      <c r="OEM36" s="537"/>
      <c r="OEN36" s="537"/>
      <c r="OEO36" s="537"/>
      <c r="OEP36" s="537"/>
      <c r="OEQ36" s="537"/>
      <c r="OER36" s="537"/>
      <c r="OES36" s="537"/>
      <c r="OET36" s="537"/>
      <c r="OEU36" s="537"/>
      <c r="OEV36" s="537"/>
      <c r="OEW36" s="537"/>
      <c r="OEX36" s="537"/>
      <c r="OEY36" s="537"/>
      <c r="OEZ36" s="537"/>
      <c r="OFA36" s="537"/>
      <c r="OFB36" s="537"/>
      <c r="OFC36" s="537"/>
      <c r="OFD36" s="537"/>
      <c r="OFE36" s="537"/>
      <c r="OFF36" s="537"/>
      <c r="OFG36" s="537"/>
      <c r="OFH36" s="537"/>
      <c r="OFI36" s="537"/>
      <c r="OFJ36" s="537"/>
      <c r="OFK36" s="537"/>
      <c r="OFL36" s="537"/>
      <c r="OFM36" s="537"/>
      <c r="OFN36" s="537"/>
      <c r="OFO36" s="537"/>
      <c r="OFP36" s="537"/>
      <c r="OFQ36" s="537"/>
      <c r="OFR36" s="537"/>
      <c r="OFS36" s="537"/>
      <c r="OFT36" s="537"/>
      <c r="OFU36" s="537"/>
      <c r="OFV36" s="537"/>
      <c r="OFW36" s="537"/>
      <c r="OFX36" s="537"/>
      <c r="OFY36" s="537"/>
      <c r="OFZ36" s="537"/>
      <c r="OGA36" s="537"/>
      <c r="OGB36" s="537"/>
      <c r="OGC36" s="537"/>
      <c r="OGD36" s="537"/>
      <c r="OGE36" s="537"/>
      <c r="OGF36" s="537"/>
      <c r="OGG36" s="537"/>
      <c r="OGH36" s="537"/>
      <c r="OGI36" s="537"/>
      <c r="OGJ36" s="537"/>
      <c r="OGK36" s="537"/>
      <c r="OGL36" s="537"/>
      <c r="OGM36" s="537"/>
      <c r="OGN36" s="537"/>
      <c r="OGO36" s="537"/>
      <c r="OGP36" s="537"/>
      <c r="OGQ36" s="537"/>
      <c r="OGR36" s="537"/>
      <c r="OGS36" s="537"/>
      <c r="OGT36" s="537"/>
      <c r="OGU36" s="537"/>
      <c r="OGV36" s="537"/>
      <c r="OGW36" s="537"/>
      <c r="OGX36" s="537"/>
      <c r="OGY36" s="537"/>
      <c r="OGZ36" s="537"/>
      <c r="OHA36" s="537"/>
      <c r="OHB36" s="537"/>
      <c r="OHC36" s="537"/>
      <c r="OHD36" s="537"/>
      <c r="OHE36" s="537"/>
      <c r="OHF36" s="537"/>
      <c r="OHG36" s="537"/>
      <c r="OHH36" s="537"/>
      <c r="OHI36" s="537"/>
      <c r="OHJ36" s="537"/>
      <c r="OHK36" s="537"/>
      <c r="OHL36" s="537"/>
      <c r="OHM36" s="537"/>
      <c r="OHN36" s="537"/>
      <c r="OHO36" s="537"/>
      <c r="OHP36" s="537"/>
      <c r="OHQ36" s="537"/>
      <c r="OHR36" s="537"/>
      <c r="OHS36" s="537"/>
      <c r="OHT36" s="537"/>
      <c r="OHU36" s="537"/>
      <c r="OHV36" s="537"/>
      <c r="OHW36" s="537"/>
      <c r="OHX36" s="537"/>
      <c r="OHY36" s="537"/>
      <c r="OHZ36" s="537"/>
      <c r="OIA36" s="537"/>
      <c r="OIB36" s="537"/>
      <c r="OIC36" s="537"/>
      <c r="OID36" s="537"/>
      <c r="OIE36" s="537"/>
      <c r="OIF36" s="537"/>
      <c r="OIG36" s="537"/>
      <c r="OIH36" s="537"/>
      <c r="OII36" s="537"/>
      <c r="OIJ36" s="537"/>
      <c r="OIK36" s="537"/>
      <c r="OIL36" s="537"/>
      <c r="OIM36" s="537"/>
      <c r="OIN36" s="537"/>
      <c r="OIO36" s="537"/>
      <c r="OIP36" s="537"/>
      <c r="OIQ36" s="537"/>
      <c r="OIR36" s="537"/>
      <c r="OIS36" s="537"/>
      <c r="OIT36" s="537"/>
      <c r="OIU36" s="537"/>
      <c r="OIV36" s="537"/>
      <c r="OIW36" s="537"/>
      <c r="OIX36" s="537"/>
      <c r="OIY36" s="537"/>
      <c r="OIZ36" s="537"/>
      <c r="OJA36" s="537"/>
      <c r="OJB36" s="537"/>
      <c r="OJC36" s="537"/>
      <c r="OJD36" s="537"/>
      <c r="OJE36" s="537"/>
      <c r="OJF36" s="537"/>
      <c r="OJG36" s="537"/>
      <c r="OJH36" s="537"/>
      <c r="OJI36" s="537"/>
      <c r="OJJ36" s="537"/>
      <c r="OJK36" s="537"/>
      <c r="OJL36" s="537"/>
      <c r="OJM36" s="537"/>
      <c r="OJN36" s="537"/>
      <c r="OJO36" s="537"/>
      <c r="OJP36" s="537"/>
      <c r="OJQ36" s="537"/>
      <c r="OJR36" s="537"/>
      <c r="OJS36" s="537"/>
      <c r="OJT36" s="537"/>
      <c r="OJU36" s="537"/>
      <c r="OJV36" s="537"/>
      <c r="OJW36" s="537"/>
      <c r="OJX36" s="537"/>
      <c r="OJY36" s="537"/>
      <c r="OJZ36" s="537"/>
      <c r="OKA36" s="537"/>
      <c r="OKB36" s="537"/>
      <c r="OKC36" s="537"/>
      <c r="OKD36" s="537"/>
      <c r="OKE36" s="537"/>
      <c r="OKF36" s="537"/>
      <c r="OKG36" s="537"/>
      <c r="OKH36" s="537"/>
      <c r="OKI36" s="537"/>
      <c r="OKJ36" s="537"/>
      <c r="OKK36" s="537"/>
      <c r="OKL36" s="537"/>
      <c r="OKM36" s="537"/>
      <c r="OKN36" s="537"/>
      <c r="OKO36" s="537"/>
      <c r="OKP36" s="537"/>
      <c r="OKQ36" s="537"/>
      <c r="OKR36" s="537"/>
      <c r="OKS36" s="537"/>
      <c r="OKT36" s="537"/>
      <c r="OKU36" s="537"/>
      <c r="OKV36" s="537"/>
      <c r="OKW36" s="537"/>
      <c r="OKX36" s="537"/>
      <c r="OKY36" s="537"/>
      <c r="OKZ36" s="537"/>
      <c r="OLA36" s="537"/>
      <c r="OLB36" s="537"/>
      <c r="OLC36" s="537"/>
      <c r="OLD36" s="537"/>
      <c r="OLE36" s="537"/>
      <c r="OLF36" s="537"/>
      <c r="OLG36" s="537"/>
      <c r="OLH36" s="537"/>
      <c r="OLI36" s="537"/>
      <c r="OLJ36" s="537"/>
      <c r="OLK36" s="537"/>
      <c r="OLL36" s="537"/>
      <c r="OLM36" s="537"/>
      <c r="OLN36" s="537"/>
      <c r="OLO36" s="537"/>
      <c r="OLP36" s="537"/>
      <c r="OLQ36" s="537"/>
      <c r="OLR36" s="537"/>
      <c r="OLS36" s="537"/>
      <c r="OLT36" s="537"/>
      <c r="OLU36" s="537"/>
      <c r="OLV36" s="537"/>
      <c r="OLW36" s="537"/>
      <c r="OLX36" s="537"/>
      <c r="OLY36" s="537"/>
      <c r="OLZ36" s="537"/>
      <c r="OMA36" s="537"/>
      <c r="OMB36" s="537"/>
      <c r="OMC36" s="537"/>
      <c r="OMD36" s="537"/>
      <c r="OME36" s="537"/>
      <c r="OMF36" s="537"/>
      <c r="OMG36" s="537"/>
      <c r="OMH36" s="537"/>
      <c r="OMI36" s="537"/>
      <c r="OMJ36" s="537"/>
      <c r="OMK36" s="537"/>
      <c r="OML36" s="537"/>
      <c r="OMM36" s="537"/>
      <c r="OMN36" s="537"/>
      <c r="OMO36" s="537"/>
      <c r="OMP36" s="537"/>
      <c r="OMQ36" s="537"/>
      <c r="OMR36" s="537"/>
      <c r="OMS36" s="537"/>
      <c r="OMT36" s="537"/>
      <c r="OMU36" s="537"/>
      <c r="OMV36" s="537"/>
      <c r="OMW36" s="537"/>
      <c r="OMX36" s="537"/>
      <c r="OMY36" s="537"/>
      <c r="OMZ36" s="537"/>
      <c r="ONA36" s="537"/>
      <c r="ONB36" s="537"/>
      <c r="ONC36" s="537"/>
      <c r="OND36" s="537"/>
      <c r="ONE36" s="537"/>
      <c r="ONF36" s="537"/>
      <c r="ONG36" s="537"/>
      <c r="ONH36" s="537"/>
      <c r="ONI36" s="537"/>
      <c r="ONJ36" s="537"/>
      <c r="ONK36" s="537"/>
      <c r="ONL36" s="537"/>
      <c r="ONM36" s="537"/>
      <c r="ONN36" s="537"/>
      <c r="ONO36" s="537"/>
      <c r="ONP36" s="537"/>
      <c r="ONQ36" s="537"/>
      <c r="ONR36" s="537"/>
      <c r="ONS36" s="537"/>
      <c r="ONT36" s="537"/>
      <c r="ONU36" s="537"/>
      <c r="ONV36" s="537"/>
      <c r="ONW36" s="537"/>
      <c r="ONX36" s="537"/>
      <c r="ONY36" s="537"/>
      <c r="ONZ36" s="537"/>
      <c r="OOA36" s="537"/>
      <c r="OOB36" s="537"/>
      <c r="OOC36" s="537"/>
      <c r="OOD36" s="537"/>
      <c r="OOE36" s="537"/>
      <c r="OOF36" s="537"/>
      <c r="OOG36" s="537"/>
      <c r="OOH36" s="537"/>
      <c r="OOI36" s="537"/>
      <c r="OOJ36" s="537"/>
      <c r="OOK36" s="537"/>
      <c r="OOL36" s="537"/>
      <c r="OOM36" s="537"/>
      <c r="OON36" s="537"/>
      <c r="OOO36" s="537"/>
      <c r="OOP36" s="537"/>
      <c r="OOQ36" s="537"/>
      <c r="OOR36" s="537"/>
      <c r="OOS36" s="537"/>
      <c r="OOT36" s="537"/>
      <c r="OOU36" s="537"/>
      <c r="OOV36" s="537"/>
      <c r="OOW36" s="537"/>
      <c r="OOX36" s="537"/>
      <c r="OOY36" s="537"/>
      <c r="OOZ36" s="537"/>
      <c r="OPA36" s="537"/>
      <c r="OPB36" s="537"/>
      <c r="OPC36" s="537"/>
      <c r="OPD36" s="537"/>
      <c r="OPE36" s="537"/>
      <c r="OPF36" s="537"/>
      <c r="OPG36" s="537"/>
      <c r="OPH36" s="537"/>
      <c r="OPI36" s="537"/>
      <c r="OPJ36" s="537"/>
      <c r="OPK36" s="537"/>
      <c r="OPL36" s="537"/>
      <c r="OPM36" s="537"/>
      <c r="OPN36" s="537"/>
      <c r="OPO36" s="537"/>
      <c r="OPP36" s="537"/>
      <c r="OPQ36" s="537"/>
      <c r="OPR36" s="537"/>
      <c r="OPS36" s="537"/>
      <c r="OPT36" s="537"/>
      <c r="OPU36" s="537"/>
      <c r="OPV36" s="537"/>
      <c r="OPW36" s="537"/>
      <c r="OPX36" s="537"/>
      <c r="OPY36" s="537"/>
      <c r="OPZ36" s="537"/>
      <c r="OQA36" s="537"/>
      <c r="OQB36" s="537"/>
      <c r="OQC36" s="537"/>
      <c r="OQD36" s="537"/>
      <c r="OQE36" s="537"/>
      <c r="OQF36" s="537"/>
      <c r="OQG36" s="537"/>
      <c r="OQH36" s="537"/>
      <c r="OQI36" s="537"/>
      <c r="OQJ36" s="537"/>
      <c r="OQK36" s="537"/>
      <c r="OQL36" s="537"/>
      <c r="OQM36" s="537"/>
      <c r="OQN36" s="537"/>
      <c r="OQO36" s="537"/>
      <c r="OQP36" s="537"/>
      <c r="OQQ36" s="537"/>
      <c r="OQR36" s="537"/>
      <c r="OQS36" s="537"/>
      <c r="OQT36" s="537"/>
      <c r="OQU36" s="537"/>
      <c r="OQV36" s="537"/>
      <c r="OQW36" s="537"/>
      <c r="OQX36" s="537"/>
      <c r="OQY36" s="537"/>
      <c r="OQZ36" s="537"/>
      <c r="ORA36" s="537"/>
      <c r="ORB36" s="537"/>
      <c r="ORC36" s="537"/>
      <c r="ORD36" s="537"/>
      <c r="ORE36" s="537"/>
      <c r="ORF36" s="537"/>
      <c r="ORG36" s="537"/>
      <c r="ORH36" s="537"/>
      <c r="ORI36" s="537"/>
      <c r="ORJ36" s="537"/>
      <c r="ORK36" s="537"/>
      <c r="ORL36" s="537"/>
      <c r="ORM36" s="537"/>
      <c r="ORN36" s="537"/>
      <c r="ORO36" s="537"/>
      <c r="ORP36" s="537"/>
      <c r="ORQ36" s="537"/>
      <c r="ORR36" s="537"/>
      <c r="ORS36" s="537"/>
      <c r="ORT36" s="537"/>
      <c r="ORU36" s="537"/>
      <c r="ORV36" s="537"/>
      <c r="ORW36" s="537"/>
      <c r="ORX36" s="537"/>
      <c r="ORY36" s="537"/>
      <c r="ORZ36" s="537"/>
      <c r="OSA36" s="537"/>
      <c r="OSB36" s="537"/>
      <c r="OSC36" s="537"/>
      <c r="OSD36" s="537"/>
      <c r="OSE36" s="537"/>
      <c r="OSF36" s="537"/>
      <c r="OSG36" s="537"/>
      <c r="OSH36" s="537"/>
      <c r="OSI36" s="537"/>
      <c r="OSJ36" s="537"/>
      <c r="OSK36" s="537"/>
      <c r="OSL36" s="537"/>
      <c r="OSM36" s="537"/>
      <c r="OSN36" s="537"/>
      <c r="OSO36" s="537"/>
      <c r="OSP36" s="537"/>
      <c r="OSQ36" s="537"/>
      <c r="OSR36" s="537"/>
      <c r="OSS36" s="537"/>
      <c r="OST36" s="537"/>
      <c r="OSU36" s="537"/>
      <c r="OSV36" s="537"/>
      <c r="OSW36" s="537"/>
      <c r="OSX36" s="537"/>
      <c r="OSY36" s="537"/>
      <c r="OSZ36" s="537"/>
      <c r="OTA36" s="537"/>
      <c r="OTB36" s="537"/>
      <c r="OTC36" s="537"/>
      <c r="OTD36" s="537"/>
      <c r="OTE36" s="537"/>
      <c r="OTF36" s="537"/>
      <c r="OTG36" s="537"/>
      <c r="OTH36" s="537"/>
      <c r="OTI36" s="537"/>
      <c r="OTJ36" s="537"/>
      <c r="OTK36" s="537"/>
      <c r="OTL36" s="537"/>
      <c r="OTM36" s="537"/>
      <c r="OTN36" s="537"/>
      <c r="OTO36" s="537"/>
      <c r="OTP36" s="537"/>
      <c r="OTQ36" s="537"/>
      <c r="OTR36" s="537"/>
      <c r="OTS36" s="537"/>
      <c r="OTT36" s="537"/>
      <c r="OTU36" s="537"/>
      <c r="OTV36" s="537"/>
      <c r="OTW36" s="537"/>
      <c r="OTX36" s="537"/>
      <c r="OTY36" s="537"/>
      <c r="OTZ36" s="537"/>
      <c r="OUA36" s="537"/>
      <c r="OUB36" s="537"/>
      <c r="OUC36" s="537"/>
      <c r="OUD36" s="537"/>
      <c r="OUE36" s="537"/>
      <c r="OUF36" s="537"/>
      <c r="OUG36" s="537"/>
      <c r="OUH36" s="537"/>
      <c r="OUI36" s="537"/>
      <c r="OUJ36" s="537"/>
      <c r="OUK36" s="537"/>
      <c r="OUL36" s="537"/>
      <c r="OUM36" s="537"/>
      <c r="OUN36" s="537"/>
      <c r="OUO36" s="537"/>
      <c r="OUP36" s="537"/>
      <c r="OUQ36" s="537"/>
      <c r="OUR36" s="537"/>
      <c r="OUS36" s="537"/>
      <c r="OUT36" s="537"/>
      <c r="OUU36" s="537"/>
      <c r="OUV36" s="537"/>
      <c r="OUW36" s="537"/>
      <c r="OUX36" s="537"/>
      <c r="OUY36" s="537"/>
      <c r="OUZ36" s="537"/>
      <c r="OVA36" s="537"/>
      <c r="OVB36" s="537"/>
      <c r="OVC36" s="537"/>
      <c r="OVD36" s="537"/>
      <c r="OVE36" s="537"/>
      <c r="OVF36" s="537"/>
      <c r="OVG36" s="537"/>
      <c r="OVH36" s="537"/>
      <c r="OVI36" s="537"/>
      <c r="OVJ36" s="537"/>
      <c r="OVK36" s="537"/>
      <c r="OVL36" s="537"/>
      <c r="OVM36" s="537"/>
      <c r="OVN36" s="537"/>
      <c r="OVO36" s="537"/>
      <c r="OVP36" s="537"/>
      <c r="OVQ36" s="537"/>
      <c r="OVR36" s="537"/>
      <c r="OVS36" s="537"/>
      <c r="OVT36" s="537"/>
      <c r="OVU36" s="537"/>
      <c r="OVV36" s="537"/>
      <c r="OVW36" s="537"/>
      <c r="OVX36" s="537"/>
      <c r="OVY36" s="537"/>
      <c r="OVZ36" s="537"/>
      <c r="OWA36" s="537"/>
      <c r="OWB36" s="537"/>
      <c r="OWC36" s="537"/>
      <c r="OWD36" s="537"/>
      <c r="OWE36" s="537"/>
      <c r="OWF36" s="537"/>
      <c r="OWG36" s="537"/>
      <c r="OWH36" s="537"/>
      <c r="OWI36" s="537"/>
      <c r="OWJ36" s="537"/>
      <c r="OWK36" s="537"/>
      <c r="OWL36" s="537"/>
      <c r="OWM36" s="537"/>
      <c r="OWN36" s="537"/>
      <c r="OWO36" s="537"/>
      <c r="OWP36" s="537"/>
      <c r="OWQ36" s="537"/>
      <c r="OWR36" s="537"/>
      <c r="OWS36" s="537"/>
      <c r="OWT36" s="537"/>
      <c r="OWU36" s="537"/>
      <c r="OWV36" s="537"/>
      <c r="OWW36" s="537"/>
      <c r="OWX36" s="537"/>
      <c r="OWY36" s="537"/>
      <c r="OWZ36" s="537"/>
      <c r="OXA36" s="537"/>
      <c r="OXB36" s="537"/>
      <c r="OXC36" s="537"/>
      <c r="OXD36" s="537"/>
      <c r="OXE36" s="537"/>
      <c r="OXF36" s="537"/>
      <c r="OXG36" s="537"/>
      <c r="OXH36" s="537"/>
      <c r="OXI36" s="537"/>
      <c r="OXJ36" s="537"/>
      <c r="OXK36" s="537"/>
      <c r="OXL36" s="537"/>
      <c r="OXM36" s="537"/>
      <c r="OXN36" s="537"/>
      <c r="OXO36" s="537"/>
      <c r="OXP36" s="537"/>
      <c r="OXQ36" s="537"/>
      <c r="OXR36" s="537"/>
      <c r="OXS36" s="537"/>
      <c r="OXT36" s="537"/>
      <c r="OXU36" s="537"/>
      <c r="OXV36" s="537"/>
      <c r="OXW36" s="537"/>
      <c r="OXX36" s="537"/>
      <c r="OXY36" s="537"/>
      <c r="OXZ36" s="537"/>
      <c r="OYA36" s="537"/>
      <c r="OYB36" s="537"/>
      <c r="OYC36" s="537"/>
      <c r="OYD36" s="537"/>
      <c r="OYE36" s="537"/>
      <c r="OYF36" s="537"/>
      <c r="OYG36" s="537"/>
      <c r="OYH36" s="537"/>
      <c r="OYI36" s="537"/>
      <c r="OYJ36" s="537"/>
      <c r="OYK36" s="537"/>
      <c r="OYL36" s="537"/>
      <c r="OYM36" s="537"/>
      <c r="OYN36" s="537"/>
      <c r="OYO36" s="537"/>
      <c r="OYP36" s="537"/>
      <c r="OYQ36" s="537"/>
      <c r="OYR36" s="537"/>
      <c r="OYS36" s="537"/>
      <c r="OYT36" s="537"/>
      <c r="OYU36" s="537"/>
      <c r="OYV36" s="537"/>
      <c r="OYW36" s="537"/>
      <c r="OYX36" s="537"/>
      <c r="OYY36" s="537"/>
      <c r="OYZ36" s="537"/>
      <c r="OZA36" s="537"/>
      <c r="OZB36" s="537"/>
      <c r="OZC36" s="537"/>
      <c r="OZD36" s="537"/>
      <c r="OZE36" s="537"/>
      <c r="OZF36" s="537"/>
      <c r="OZG36" s="537"/>
      <c r="OZH36" s="537"/>
      <c r="OZI36" s="537"/>
      <c r="OZJ36" s="537"/>
      <c r="OZK36" s="537"/>
      <c r="OZL36" s="537"/>
      <c r="OZM36" s="537"/>
      <c r="OZN36" s="537"/>
      <c r="OZO36" s="537"/>
      <c r="OZP36" s="537"/>
      <c r="OZQ36" s="537"/>
      <c r="OZR36" s="537"/>
      <c r="OZS36" s="537"/>
      <c r="OZT36" s="537"/>
      <c r="OZU36" s="537"/>
      <c r="OZV36" s="537"/>
      <c r="OZW36" s="537"/>
      <c r="OZX36" s="537"/>
      <c r="OZY36" s="537"/>
      <c r="OZZ36" s="537"/>
      <c r="PAA36" s="537"/>
      <c r="PAB36" s="537"/>
      <c r="PAC36" s="537"/>
      <c r="PAD36" s="537"/>
      <c r="PAE36" s="537"/>
      <c r="PAF36" s="537"/>
      <c r="PAG36" s="537"/>
      <c r="PAH36" s="537"/>
      <c r="PAI36" s="537"/>
      <c r="PAJ36" s="537"/>
      <c r="PAK36" s="537"/>
      <c r="PAL36" s="537"/>
      <c r="PAM36" s="537"/>
      <c r="PAN36" s="537"/>
      <c r="PAO36" s="537"/>
      <c r="PAP36" s="537"/>
      <c r="PAQ36" s="537"/>
      <c r="PAR36" s="537"/>
      <c r="PAS36" s="537"/>
      <c r="PAT36" s="537"/>
      <c r="PAU36" s="537"/>
      <c r="PAV36" s="537"/>
      <c r="PAW36" s="537"/>
      <c r="PAX36" s="537"/>
      <c r="PAY36" s="537"/>
      <c r="PAZ36" s="537"/>
      <c r="PBA36" s="537"/>
      <c r="PBB36" s="537"/>
      <c r="PBC36" s="537"/>
      <c r="PBD36" s="537"/>
      <c r="PBE36" s="537"/>
      <c r="PBF36" s="537"/>
      <c r="PBG36" s="537"/>
      <c r="PBH36" s="537"/>
      <c r="PBI36" s="537"/>
      <c r="PBJ36" s="537"/>
      <c r="PBK36" s="537"/>
      <c r="PBL36" s="537"/>
      <c r="PBM36" s="537"/>
      <c r="PBN36" s="537"/>
      <c r="PBO36" s="537"/>
      <c r="PBP36" s="537"/>
      <c r="PBQ36" s="537"/>
      <c r="PBR36" s="537"/>
      <c r="PBS36" s="537"/>
      <c r="PBT36" s="537"/>
      <c r="PBU36" s="537"/>
      <c r="PBV36" s="537"/>
      <c r="PBW36" s="537"/>
      <c r="PBX36" s="537"/>
      <c r="PBY36" s="537"/>
      <c r="PBZ36" s="537"/>
      <c r="PCA36" s="537"/>
      <c r="PCB36" s="537"/>
      <c r="PCC36" s="537"/>
      <c r="PCD36" s="537"/>
      <c r="PCE36" s="537"/>
      <c r="PCF36" s="537"/>
      <c r="PCG36" s="537"/>
      <c r="PCH36" s="537"/>
      <c r="PCI36" s="537"/>
      <c r="PCJ36" s="537"/>
      <c r="PCK36" s="537"/>
      <c r="PCL36" s="537"/>
      <c r="PCM36" s="537"/>
      <c r="PCN36" s="537"/>
      <c r="PCO36" s="537"/>
      <c r="PCP36" s="537"/>
      <c r="PCQ36" s="537"/>
      <c r="PCR36" s="537"/>
      <c r="PCS36" s="537"/>
      <c r="PCT36" s="537"/>
      <c r="PCU36" s="537"/>
      <c r="PCV36" s="537"/>
      <c r="PCW36" s="537"/>
      <c r="PCX36" s="537"/>
      <c r="PCY36" s="537"/>
      <c r="PCZ36" s="537"/>
      <c r="PDA36" s="537"/>
      <c r="PDB36" s="537"/>
      <c r="PDC36" s="537"/>
      <c r="PDD36" s="537"/>
      <c r="PDE36" s="537"/>
      <c r="PDF36" s="537"/>
      <c r="PDG36" s="537"/>
      <c r="PDH36" s="537"/>
      <c r="PDI36" s="537"/>
      <c r="PDJ36" s="537"/>
      <c r="PDK36" s="537"/>
      <c r="PDL36" s="537"/>
      <c r="PDM36" s="537"/>
      <c r="PDN36" s="537"/>
      <c r="PDO36" s="537"/>
      <c r="PDP36" s="537"/>
      <c r="PDQ36" s="537"/>
      <c r="PDR36" s="537"/>
      <c r="PDS36" s="537"/>
      <c r="PDT36" s="537"/>
      <c r="PDU36" s="537"/>
      <c r="PDV36" s="537"/>
      <c r="PDW36" s="537"/>
      <c r="PDX36" s="537"/>
      <c r="PDY36" s="537"/>
      <c r="PDZ36" s="537"/>
      <c r="PEA36" s="537"/>
      <c r="PEB36" s="537"/>
      <c r="PEC36" s="537"/>
      <c r="PED36" s="537"/>
      <c r="PEE36" s="537"/>
      <c r="PEF36" s="537"/>
      <c r="PEG36" s="537"/>
      <c r="PEH36" s="537"/>
      <c r="PEI36" s="537"/>
      <c r="PEJ36" s="537"/>
      <c r="PEK36" s="537"/>
      <c r="PEL36" s="537"/>
      <c r="PEM36" s="537"/>
      <c r="PEN36" s="537"/>
      <c r="PEO36" s="537"/>
      <c r="PEP36" s="537"/>
      <c r="PEQ36" s="537"/>
      <c r="PER36" s="537"/>
      <c r="PES36" s="537"/>
      <c r="PET36" s="537"/>
      <c r="PEU36" s="537"/>
      <c r="PEV36" s="537"/>
      <c r="PEW36" s="537"/>
      <c r="PEX36" s="537"/>
      <c r="PEY36" s="537"/>
      <c r="PEZ36" s="537"/>
      <c r="PFA36" s="537"/>
      <c r="PFB36" s="537"/>
      <c r="PFC36" s="537"/>
      <c r="PFD36" s="537"/>
      <c r="PFE36" s="537"/>
      <c r="PFF36" s="537"/>
      <c r="PFG36" s="537"/>
      <c r="PFH36" s="537"/>
      <c r="PFI36" s="537"/>
      <c r="PFJ36" s="537"/>
      <c r="PFK36" s="537"/>
      <c r="PFL36" s="537"/>
      <c r="PFM36" s="537"/>
      <c r="PFN36" s="537"/>
      <c r="PFO36" s="537"/>
      <c r="PFP36" s="537"/>
      <c r="PFQ36" s="537"/>
      <c r="PFR36" s="537"/>
      <c r="PFS36" s="537"/>
      <c r="PFT36" s="537"/>
      <c r="PFU36" s="537"/>
      <c r="PFV36" s="537"/>
      <c r="PFW36" s="537"/>
      <c r="PFX36" s="537"/>
      <c r="PFY36" s="537"/>
      <c r="PFZ36" s="537"/>
      <c r="PGA36" s="537"/>
      <c r="PGB36" s="537"/>
      <c r="PGC36" s="537"/>
      <c r="PGD36" s="537"/>
      <c r="PGE36" s="537"/>
      <c r="PGF36" s="537"/>
      <c r="PGG36" s="537"/>
      <c r="PGH36" s="537"/>
      <c r="PGI36" s="537"/>
      <c r="PGJ36" s="537"/>
      <c r="PGK36" s="537"/>
      <c r="PGL36" s="537"/>
      <c r="PGM36" s="537"/>
      <c r="PGN36" s="537"/>
      <c r="PGO36" s="537"/>
      <c r="PGP36" s="537"/>
      <c r="PGQ36" s="537"/>
      <c r="PGR36" s="537"/>
      <c r="PGS36" s="537"/>
      <c r="PGT36" s="537"/>
      <c r="PGU36" s="537"/>
      <c r="PGV36" s="537"/>
      <c r="PGW36" s="537"/>
      <c r="PGX36" s="537"/>
      <c r="PGY36" s="537"/>
      <c r="PGZ36" s="537"/>
      <c r="PHA36" s="537"/>
      <c r="PHB36" s="537"/>
      <c r="PHC36" s="537"/>
      <c r="PHD36" s="537"/>
      <c r="PHE36" s="537"/>
      <c r="PHF36" s="537"/>
      <c r="PHG36" s="537"/>
      <c r="PHH36" s="537"/>
      <c r="PHI36" s="537"/>
      <c r="PHJ36" s="537"/>
      <c r="PHK36" s="537"/>
      <c r="PHL36" s="537"/>
      <c r="PHM36" s="537"/>
      <c r="PHN36" s="537"/>
      <c r="PHO36" s="537"/>
      <c r="PHP36" s="537"/>
      <c r="PHQ36" s="537"/>
      <c r="PHR36" s="537"/>
      <c r="PHS36" s="537"/>
      <c r="PHT36" s="537"/>
      <c r="PHU36" s="537"/>
      <c r="PHV36" s="537"/>
      <c r="PHW36" s="537"/>
      <c r="PHX36" s="537"/>
      <c r="PHY36" s="537"/>
      <c r="PHZ36" s="537"/>
      <c r="PIA36" s="537"/>
      <c r="PIB36" s="537"/>
      <c r="PIC36" s="537"/>
      <c r="PID36" s="537"/>
      <c r="PIE36" s="537"/>
      <c r="PIF36" s="537"/>
      <c r="PIG36" s="537"/>
      <c r="PIH36" s="537"/>
      <c r="PII36" s="537"/>
      <c r="PIJ36" s="537"/>
      <c r="PIK36" s="537"/>
      <c r="PIL36" s="537"/>
      <c r="PIM36" s="537"/>
      <c r="PIN36" s="537"/>
      <c r="PIO36" s="537"/>
      <c r="PIP36" s="537"/>
      <c r="PIQ36" s="537"/>
      <c r="PIR36" s="537"/>
      <c r="PIS36" s="537"/>
      <c r="PIT36" s="537"/>
      <c r="PIU36" s="537"/>
      <c r="PIV36" s="537"/>
      <c r="PIW36" s="537"/>
      <c r="PIX36" s="537"/>
      <c r="PIY36" s="537"/>
      <c r="PIZ36" s="537"/>
      <c r="PJA36" s="537"/>
      <c r="PJB36" s="537"/>
      <c r="PJC36" s="537"/>
      <c r="PJD36" s="537"/>
      <c r="PJE36" s="537"/>
      <c r="PJF36" s="537"/>
      <c r="PJG36" s="537"/>
      <c r="PJH36" s="537"/>
      <c r="PJI36" s="537"/>
      <c r="PJJ36" s="537"/>
      <c r="PJK36" s="537"/>
      <c r="PJL36" s="537"/>
      <c r="PJM36" s="537"/>
      <c r="PJN36" s="537"/>
      <c r="PJO36" s="537"/>
      <c r="PJP36" s="537"/>
      <c r="PJQ36" s="537"/>
      <c r="PJR36" s="537"/>
      <c r="PJS36" s="537"/>
      <c r="PJT36" s="537"/>
      <c r="PJU36" s="537"/>
      <c r="PJV36" s="537"/>
      <c r="PJW36" s="537"/>
      <c r="PJX36" s="537"/>
      <c r="PJY36" s="537"/>
      <c r="PJZ36" s="537"/>
      <c r="PKA36" s="537"/>
      <c r="PKB36" s="537"/>
      <c r="PKC36" s="537"/>
      <c r="PKD36" s="537"/>
      <c r="PKE36" s="537"/>
      <c r="PKF36" s="537"/>
      <c r="PKG36" s="537"/>
      <c r="PKH36" s="537"/>
      <c r="PKI36" s="537"/>
      <c r="PKJ36" s="537"/>
      <c r="PKK36" s="537"/>
      <c r="PKL36" s="537"/>
      <c r="PKM36" s="537"/>
      <c r="PKN36" s="537"/>
      <c r="PKO36" s="537"/>
      <c r="PKP36" s="537"/>
      <c r="PKQ36" s="537"/>
      <c r="PKR36" s="537"/>
      <c r="PKS36" s="537"/>
      <c r="PKT36" s="537"/>
      <c r="PKU36" s="537"/>
      <c r="PKV36" s="537"/>
      <c r="PKW36" s="537"/>
      <c r="PKX36" s="537"/>
      <c r="PKY36" s="537"/>
      <c r="PKZ36" s="537"/>
      <c r="PLA36" s="537"/>
      <c r="PLB36" s="537"/>
      <c r="PLC36" s="537"/>
      <c r="PLD36" s="537"/>
      <c r="PLE36" s="537"/>
      <c r="PLF36" s="537"/>
      <c r="PLG36" s="537"/>
      <c r="PLH36" s="537"/>
      <c r="PLI36" s="537"/>
      <c r="PLJ36" s="537"/>
      <c r="PLK36" s="537"/>
      <c r="PLL36" s="537"/>
      <c r="PLM36" s="537"/>
      <c r="PLN36" s="537"/>
      <c r="PLO36" s="537"/>
      <c r="PLP36" s="537"/>
      <c r="PLQ36" s="537"/>
      <c r="PLR36" s="537"/>
      <c r="PLS36" s="537"/>
      <c r="PLT36" s="537"/>
      <c r="PLU36" s="537"/>
      <c r="PLV36" s="537"/>
      <c r="PLW36" s="537"/>
      <c r="PLX36" s="537"/>
      <c r="PLY36" s="537"/>
      <c r="PLZ36" s="537"/>
      <c r="PMA36" s="537"/>
      <c r="PMB36" s="537"/>
      <c r="PMC36" s="537"/>
      <c r="PMD36" s="537"/>
      <c r="PME36" s="537"/>
      <c r="PMF36" s="537"/>
      <c r="PMG36" s="537"/>
      <c r="PMH36" s="537"/>
      <c r="PMI36" s="537"/>
      <c r="PMJ36" s="537"/>
      <c r="PMK36" s="537"/>
      <c r="PML36" s="537"/>
      <c r="PMM36" s="537"/>
      <c r="PMN36" s="537"/>
      <c r="PMO36" s="537"/>
      <c r="PMP36" s="537"/>
      <c r="PMQ36" s="537"/>
      <c r="PMR36" s="537"/>
      <c r="PMS36" s="537"/>
      <c r="PMT36" s="537"/>
      <c r="PMU36" s="537"/>
      <c r="PMV36" s="537"/>
      <c r="PMW36" s="537"/>
      <c r="PMX36" s="537"/>
      <c r="PMY36" s="537"/>
      <c r="PMZ36" s="537"/>
      <c r="PNA36" s="537"/>
      <c r="PNB36" s="537"/>
      <c r="PNC36" s="537"/>
      <c r="PND36" s="537"/>
      <c r="PNE36" s="537"/>
      <c r="PNF36" s="537"/>
      <c r="PNG36" s="537"/>
      <c r="PNH36" s="537"/>
      <c r="PNI36" s="537"/>
      <c r="PNJ36" s="537"/>
      <c r="PNK36" s="537"/>
      <c r="PNL36" s="537"/>
      <c r="PNM36" s="537"/>
      <c r="PNN36" s="537"/>
      <c r="PNO36" s="537"/>
      <c r="PNP36" s="537"/>
      <c r="PNQ36" s="537"/>
      <c r="PNR36" s="537"/>
      <c r="PNS36" s="537"/>
      <c r="PNT36" s="537"/>
      <c r="PNU36" s="537"/>
      <c r="PNV36" s="537"/>
      <c r="PNW36" s="537"/>
      <c r="PNX36" s="537"/>
      <c r="PNY36" s="537"/>
      <c r="PNZ36" s="537"/>
      <c r="POA36" s="537"/>
      <c r="POB36" s="537"/>
      <c r="POC36" s="537"/>
      <c r="POD36" s="537"/>
      <c r="POE36" s="537"/>
      <c r="POF36" s="537"/>
      <c r="POG36" s="537"/>
      <c r="POH36" s="537"/>
      <c r="POI36" s="537"/>
      <c r="POJ36" s="537"/>
      <c r="POK36" s="537"/>
      <c r="POL36" s="537"/>
      <c r="POM36" s="537"/>
      <c r="PON36" s="537"/>
      <c r="POO36" s="537"/>
      <c r="POP36" s="537"/>
      <c r="POQ36" s="537"/>
      <c r="POR36" s="537"/>
      <c r="POS36" s="537"/>
      <c r="POT36" s="537"/>
      <c r="POU36" s="537"/>
      <c r="POV36" s="537"/>
      <c r="POW36" s="537"/>
      <c r="POX36" s="537"/>
      <c r="POY36" s="537"/>
      <c r="POZ36" s="537"/>
      <c r="PPA36" s="537"/>
      <c r="PPB36" s="537"/>
      <c r="PPC36" s="537"/>
      <c r="PPD36" s="537"/>
      <c r="PPE36" s="537"/>
      <c r="PPF36" s="537"/>
      <c r="PPG36" s="537"/>
      <c r="PPH36" s="537"/>
      <c r="PPI36" s="537"/>
      <c r="PPJ36" s="537"/>
      <c r="PPK36" s="537"/>
      <c r="PPL36" s="537"/>
      <c r="PPM36" s="537"/>
      <c r="PPN36" s="537"/>
      <c r="PPO36" s="537"/>
      <c r="PPP36" s="537"/>
      <c r="PPQ36" s="537"/>
      <c r="PPR36" s="537"/>
      <c r="PPS36" s="537"/>
      <c r="PPT36" s="537"/>
      <c r="PPU36" s="537"/>
      <c r="PPV36" s="537"/>
      <c r="PPW36" s="537"/>
      <c r="PPX36" s="537"/>
      <c r="PPY36" s="537"/>
      <c r="PPZ36" s="537"/>
      <c r="PQA36" s="537"/>
      <c r="PQB36" s="537"/>
      <c r="PQC36" s="537"/>
      <c r="PQD36" s="537"/>
      <c r="PQE36" s="537"/>
      <c r="PQF36" s="537"/>
      <c r="PQG36" s="537"/>
      <c r="PQH36" s="537"/>
      <c r="PQI36" s="537"/>
      <c r="PQJ36" s="537"/>
      <c r="PQK36" s="537"/>
      <c r="PQL36" s="537"/>
      <c r="PQM36" s="537"/>
      <c r="PQN36" s="537"/>
      <c r="PQO36" s="537"/>
      <c r="PQP36" s="537"/>
      <c r="PQQ36" s="537"/>
      <c r="PQR36" s="537"/>
      <c r="PQS36" s="537"/>
      <c r="PQT36" s="537"/>
      <c r="PQU36" s="537"/>
      <c r="PQV36" s="537"/>
      <c r="PQW36" s="537"/>
      <c r="PQX36" s="537"/>
      <c r="PQY36" s="537"/>
      <c r="PQZ36" s="537"/>
      <c r="PRA36" s="537"/>
      <c r="PRB36" s="537"/>
      <c r="PRC36" s="537"/>
      <c r="PRD36" s="537"/>
      <c r="PRE36" s="537"/>
      <c r="PRF36" s="537"/>
      <c r="PRG36" s="537"/>
      <c r="PRH36" s="537"/>
      <c r="PRI36" s="537"/>
      <c r="PRJ36" s="537"/>
      <c r="PRK36" s="537"/>
      <c r="PRL36" s="537"/>
      <c r="PRM36" s="537"/>
      <c r="PRN36" s="537"/>
      <c r="PRO36" s="537"/>
      <c r="PRP36" s="537"/>
      <c r="PRQ36" s="537"/>
      <c r="PRR36" s="537"/>
      <c r="PRS36" s="537"/>
      <c r="PRT36" s="537"/>
      <c r="PRU36" s="537"/>
      <c r="PRV36" s="537"/>
      <c r="PRW36" s="537"/>
      <c r="PRX36" s="537"/>
      <c r="PRY36" s="537"/>
      <c r="PRZ36" s="537"/>
      <c r="PSA36" s="537"/>
      <c r="PSB36" s="537"/>
      <c r="PSC36" s="537"/>
      <c r="PSD36" s="537"/>
      <c r="PSE36" s="537"/>
      <c r="PSF36" s="537"/>
      <c r="PSG36" s="537"/>
      <c r="PSH36" s="537"/>
      <c r="PSI36" s="537"/>
      <c r="PSJ36" s="537"/>
      <c r="PSK36" s="537"/>
      <c r="PSL36" s="537"/>
      <c r="PSM36" s="537"/>
      <c r="PSN36" s="537"/>
      <c r="PSO36" s="537"/>
      <c r="PSP36" s="537"/>
      <c r="PSQ36" s="537"/>
      <c r="PSR36" s="537"/>
      <c r="PSS36" s="537"/>
      <c r="PST36" s="537"/>
      <c r="PSU36" s="537"/>
      <c r="PSV36" s="537"/>
      <c r="PSW36" s="537"/>
      <c r="PSX36" s="537"/>
      <c r="PSY36" s="537"/>
      <c r="PSZ36" s="537"/>
      <c r="PTA36" s="537"/>
      <c r="PTB36" s="537"/>
      <c r="PTC36" s="537"/>
      <c r="PTD36" s="537"/>
      <c r="PTE36" s="537"/>
      <c r="PTF36" s="537"/>
      <c r="PTG36" s="537"/>
      <c r="PTH36" s="537"/>
      <c r="PTI36" s="537"/>
      <c r="PTJ36" s="537"/>
      <c r="PTK36" s="537"/>
      <c r="PTL36" s="537"/>
      <c r="PTM36" s="537"/>
      <c r="PTN36" s="537"/>
      <c r="PTO36" s="537"/>
      <c r="PTP36" s="537"/>
      <c r="PTQ36" s="537"/>
      <c r="PTR36" s="537"/>
      <c r="PTS36" s="537"/>
      <c r="PTT36" s="537"/>
      <c r="PTU36" s="537"/>
      <c r="PTV36" s="537"/>
      <c r="PTW36" s="537"/>
      <c r="PTX36" s="537"/>
      <c r="PTY36" s="537"/>
      <c r="PTZ36" s="537"/>
      <c r="PUA36" s="537"/>
      <c r="PUB36" s="537"/>
      <c r="PUC36" s="537"/>
      <c r="PUD36" s="537"/>
      <c r="PUE36" s="537"/>
      <c r="PUF36" s="537"/>
      <c r="PUG36" s="537"/>
      <c r="PUH36" s="537"/>
      <c r="PUI36" s="537"/>
      <c r="PUJ36" s="537"/>
      <c r="PUK36" s="537"/>
      <c r="PUL36" s="537"/>
      <c r="PUM36" s="537"/>
      <c r="PUN36" s="537"/>
      <c r="PUO36" s="537"/>
      <c r="PUP36" s="537"/>
      <c r="PUQ36" s="537"/>
      <c r="PUR36" s="537"/>
      <c r="PUS36" s="537"/>
      <c r="PUT36" s="537"/>
      <c r="PUU36" s="537"/>
      <c r="PUV36" s="537"/>
      <c r="PUW36" s="537"/>
      <c r="PUX36" s="537"/>
      <c r="PUY36" s="537"/>
      <c r="PUZ36" s="537"/>
      <c r="PVA36" s="537"/>
      <c r="PVB36" s="537"/>
      <c r="PVC36" s="537"/>
      <c r="PVD36" s="537"/>
      <c r="PVE36" s="537"/>
      <c r="PVF36" s="537"/>
      <c r="PVG36" s="537"/>
      <c r="PVH36" s="537"/>
      <c r="PVI36" s="537"/>
      <c r="PVJ36" s="537"/>
      <c r="PVK36" s="537"/>
      <c r="PVL36" s="537"/>
      <c r="PVM36" s="537"/>
      <c r="PVN36" s="537"/>
      <c r="PVO36" s="537"/>
      <c r="PVP36" s="537"/>
      <c r="PVQ36" s="537"/>
      <c r="PVR36" s="537"/>
      <c r="PVS36" s="537"/>
      <c r="PVT36" s="537"/>
      <c r="PVU36" s="537"/>
      <c r="PVV36" s="537"/>
      <c r="PVW36" s="537"/>
      <c r="PVX36" s="537"/>
      <c r="PVY36" s="537"/>
      <c r="PVZ36" s="537"/>
      <c r="PWA36" s="537"/>
      <c r="PWB36" s="537"/>
      <c r="PWC36" s="537"/>
      <c r="PWD36" s="537"/>
      <c r="PWE36" s="537"/>
      <c r="PWF36" s="537"/>
      <c r="PWG36" s="537"/>
      <c r="PWH36" s="537"/>
      <c r="PWI36" s="537"/>
      <c r="PWJ36" s="537"/>
      <c r="PWK36" s="537"/>
      <c r="PWL36" s="537"/>
      <c r="PWM36" s="537"/>
      <c r="PWN36" s="537"/>
      <c r="PWO36" s="537"/>
      <c r="PWP36" s="537"/>
      <c r="PWQ36" s="537"/>
      <c r="PWR36" s="537"/>
      <c r="PWS36" s="537"/>
      <c r="PWT36" s="537"/>
      <c r="PWU36" s="537"/>
      <c r="PWV36" s="537"/>
      <c r="PWW36" s="537"/>
      <c r="PWX36" s="537"/>
      <c r="PWY36" s="537"/>
      <c r="PWZ36" s="537"/>
      <c r="PXA36" s="537"/>
      <c r="PXB36" s="537"/>
      <c r="PXC36" s="537"/>
      <c r="PXD36" s="537"/>
      <c r="PXE36" s="537"/>
      <c r="PXF36" s="537"/>
      <c r="PXG36" s="537"/>
      <c r="PXH36" s="537"/>
      <c r="PXI36" s="537"/>
      <c r="PXJ36" s="537"/>
      <c r="PXK36" s="537"/>
      <c r="PXL36" s="537"/>
      <c r="PXM36" s="537"/>
      <c r="PXN36" s="537"/>
      <c r="PXO36" s="537"/>
      <c r="PXP36" s="537"/>
      <c r="PXQ36" s="537"/>
      <c r="PXR36" s="537"/>
      <c r="PXS36" s="537"/>
      <c r="PXT36" s="537"/>
      <c r="PXU36" s="537"/>
      <c r="PXV36" s="537"/>
      <c r="PXW36" s="537"/>
      <c r="PXX36" s="537"/>
      <c r="PXY36" s="537"/>
      <c r="PXZ36" s="537"/>
      <c r="PYA36" s="537"/>
      <c r="PYB36" s="537"/>
      <c r="PYC36" s="537"/>
      <c r="PYD36" s="537"/>
      <c r="PYE36" s="537"/>
      <c r="PYF36" s="537"/>
      <c r="PYG36" s="537"/>
      <c r="PYH36" s="537"/>
      <c r="PYI36" s="537"/>
      <c r="PYJ36" s="537"/>
      <c r="PYK36" s="537"/>
      <c r="PYL36" s="537"/>
      <c r="PYM36" s="537"/>
      <c r="PYN36" s="537"/>
      <c r="PYO36" s="537"/>
      <c r="PYP36" s="537"/>
      <c r="PYQ36" s="537"/>
      <c r="PYR36" s="537"/>
      <c r="PYS36" s="537"/>
      <c r="PYT36" s="537"/>
      <c r="PYU36" s="537"/>
      <c r="PYV36" s="537"/>
      <c r="PYW36" s="537"/>
      <c r="PYX36" s="537"/>
      <c r="PYY36" s="537"/>
      <c r="PYZ36" s="537"/>
      <c r="PZA36" s="537"/>
      <c r="PZB36" s="537"/>
      <c r="PZC36" s="537"/>
      <c r="PZD36" s="537"/>
      <c r="PZE36" s="537"/>
      <c r="PZF36" s="537"/>
      <c r="PZG36" s="537"/>
      <c r="PZH36" s="537"/>
      <c r="PZI36" s="537"/>
      <c r="PZJ36" s="537"/>
      <c r="PZK36" s="537"/>
      <c r="PZL36" s="537"/>
      <c r="PZM36" s="537"/>
      <c r="PZN36" s="537"/>
      <c r="PZO36" s="537"/>
      <c r="PZP36" s="537"/>
      <c r="PZQ36" s="537"/>
      <c r="PZR36" s="537"/>
      <c r="PZS36" s="537"/>
      <c r="PZT36" s="537"/>
      <c r="PZU36" s="537"/>
      <c r="PZV36" s="537"/>
      <c r="PZW36" s="537"/>
      <c r="PZX36" s="537"/>
      <c r="PZY36" s="537"/>
      <c r="PZZ36" s="537"/>
      <c r="QAA36" s="537"/>
      <c r="QAB36" s="537"/>
      <c r="QAC36" s="537"/>
      <c r="QAD36" s="537"/>
      <c r="QAE36" s="537"/>
      <c r="QAF36" s="537"/>
      <c r="QAG36" s="537"/>
      <c r="QAH36" s="537"/>
      <c r="QAI36" s="537"/>
      <c r="QAJ36" s="537"/>
      <c r="QAK36" s="537"/>
      <c r="QAL36" s="537"/>
      <c r="QAM36" s="537"/>
      <c r="QAN36" s="537"/>
      <c r="QAO36" s="537"/>
      <c r="QAP36" s="537"/>
      <c r="QAQ36" s="537"/>
      <c r="QAR36" s="537"/>
      <c r="QAS36" s="537"/>
      <c r="QAT36" s="537"/>
      <c r="QAU36" s="537"/>
      <c r="QAV36" s="537"/>
      <c r="QAW36" s="537"/>
      <c r="QAX36" s="537"/>
      <c r="QAY36" s="537"/>
      <c r="QAZ36" s="537"/>
      <c r="QBA36" s="537"/>
      <c r="QBB36" s="537"/>
      <c r="QBC36" s="537"/>
      <c r="QBD36" s="537"/>
      <c r="QBE36" s="537"/>
      <c r="QBF36" s="537"/>
      <c r="QBG36" s="537"/>
      <c r="QBH36" s="537"/>
      <c r="QBI36" s="537"/>
      <c r="QBJ36" s="537"/>
      <c r="QBK36" s="537"/>
      <c r="QBL36" s="537"/>
      <c r="QBM36" s="537"/>
      <c r="QBN36" s="537"/>
      <c r="QBO36" s="537"/>
      <c r="QBP36" s="537"/>
      <c r="QBQ36" s="537"/>
      <c r="QBR36" s="537"/>
      <c r="QBS36" s="537"/>
      <c r="QBT36" s="537"/>
      <c r="QBU36" s="537"/>
      <c r="QBV36" s="537"/>
      <c r="QBW36" s="537"/>
      <c r="QBX36" s="537"/>
      <c r="QBY36" s="537"/>
      <c r="QBZ36" s="537"/>
      <c r="QCA36" s="537"/>
      <c r="QCB36" s="537"/>
      <c r="QCC36" s="537"/>
      <c r="QCD36" s="537"/>
      <c r="QCE36" s="537"/>
      <c r="QCF36" s="537"/>
      <c r="QCG36" s="537"/>
      <c r="QCH36" s="537"/>
      <c r="QCI36" s="537"/>
      <c r="QCJ36" s="537"/>
      <c r="QCK36" s="537"/>
      <c r="QCL36" s="537"/>
      <c r="QCM36" s="537"/>
      <c r="QCN36" s="537"/>
      <c r="QCO36" s="537"/>
      <c r="QCP36" s="537"/>
      <c r="QCQ36" s="537"/>
      <c r="QCR36" s="537"/>
      <c r="QCS36" s="537"/>
      <c r="QCT36" s="537"/>
      <c r="QCU36" s="537"/>
      <c r="QCV36" s="537"/>
      <c r="QCW36" s="537"/>
      <c r="QCX36" s="537"/>
      <c r="QCY36" s="537"/>
      <c r="QCZ36" s="537"/>
      <c r="QDA36" s="537"/>
      <c r="QDB36" s="537"/>
      <c r="QDC36" s="537"/>
      <c r="QDD36" s="537"/>
      <c r="QDE36" s="537"/>
      <c r="QDF36" s="537"/>
      <c r="QDG36" s="537"/>
      <c r="QDH36" s="537"/>
      <c r="QDI36" s="537"/>
      <c r="QDJ36" s="537"/>
      <c r="QDK36" s="537"/>
      <c r="QDL36" s="537"/>
      <c r="QDM36" s="537"/>
      <c r="QDN36" s="537"/>
      <c r="QDO36" s="537"/>
      <c r="QDP36" s="537"/>
      <c r="QDQ36" s="537"/>
      <c r="QDR36" s="537"/>
      <c r="QDS36" s="537"/>
      <c r="QDT36" s="537"/>
      <c r="QDU36" s="537"/>
      <c r="QDV36" s="537"/>
      <c r="QDW36" s="537"/>
      <c r="QDX36" s="537"/>
      <c r="QDY36" s="537"/>
      <c r="QDZ36" s="537"/>
      <c r="QEA36" s="537"/>
      <c r="QEB36" s="537"/>
      <c r="QEC36" s="537"/>
      <c r="QED36" s="537"/>
      <c r="QEE36" s="537"/>
      <c r="QEF36" s="537"/>
      <c r="QEG36" s="537"/>
      <c r="QEH36" s="537"/>
      <c r="QEI36" s="537"/>
      <c r="QEJ36" s="537"/>
      <c r="QEK36" s="537"/>
      <c r="QEL36" s="537"/>
      <c r="QEM36" s="537"/>
      <c r="QEN36" s="537"/>
      <c r="QEO36" s="537"/>
      <c r="QEP36" s="537"/>
      <c r="QEQ36" s="537"/>
      <c r="QER36" s="537"/>
      <c r="QES36" s="537"/>
      <c r="QET36" s="537"/>
      <c r="QEU36" s="537"/>
      <c r="QEV36" s="537"/>
      <c r="QEW36" s="537"/>
      <c r="QEX36" s="537"/>
      <c r="QEY36" s="537"/>
      <c r="QEZ36" s="537"/>
      <c r="QFA36" s="537"/>
      <c r="QFB36" s="537"/>
      <c r="QFC36" s="537"/>
      <c r="QFD36" s="537"/>
      <c r="QFE36" s="537"/>
      <c r="QFF36" s="537"/>
      <c r="QFG36" s="537"/>
      <c r="QFH36" s="537"/>
      <c r="QFI36" s="537"/>
      <c r="QFJ36" s="537"/>
      <c r="QFK36" s="537"/>
      <c r="QFL36" s="537"/>
      <c r="QFM36" s="537"/>
      <c r="QFN36" s="537"/>
      <c r="QFO36" s="537"/>
      <c r="QFP36" s="537"/>
      <c r="QFQ36" s="537"/>
      <c r="QFR36" s="537"/>
      <c r="QFS36" s="537"/>
      <c r="QFT36" s="537"/>
      <c r="QFU36" s="537"/>
      <c r="QFV36" s="537"/>
      <c r="QFW36" s="537"/>
      <c r="QFX36" s="537"/>
      <c r="QFY36" s="537"/>
      <c r="QFZ36" s="537"/>
      <c r="QGA36" s="537"/>
      <c r="QGB36" s="537"/>
      <c r="QGC36" s="537"/>
      <c r="QGD36" s="537"/>
      <c r="QGE36" s="537"/>
      <c r="QGF36" s="537"/>
      <c r="QGG36" s="537"/>
      <c r="QGH36" s="537"/>
      <c r="QGI36" s="537"/>
      <c r="QGJ36" s="537"/>
      <c r="QGK36" s="537"/>
      <c r="QGL36" s="537"/>
      <c r="QGM36" s="537"/>
      <c r="QGN36" s="537"/>
      <c r="QGO36" s="537"/>
      <c r="QGP36" s="537"/>
      <c r="QGQ36" s="537"/>
      <c r="QGR36" s="537"/>
      <c r="QGS36" s="537"/>
      <c r="QGT36" s="537"/>
      <c r="QGU36" s="537"/>
      <c r="QGV36" s="537"/>
      <c r="QGW36" s="537"/>
      <c r="QGX36" s="537"/>
      <c r="QGY36" s="537"/>
      <c r="QGZ36" s="537"/>
      <c r="QHA36" s="537"/>
      <c r="QHB36" s="537"/>
      <c r="QHC36" s="537"/>
      <c r="QHD36" s="537"/>
      <c r="QHE36" s="537"/>
      <c r="QHF36" s="537"/>
      <c r="QHG36" s="537"/>
      <c r="QHH36" s="537"/>
      <c r="QHI36" s="537"/>
      <c r="QHJ36" s="537"/>
      <c r="QHK36" s="537"/>
      <c r="QHL36" s="537"/>
      <c r="QHM36" s="537"/>
      <c r="QHN36" s="537"/>
      <c r="QHO36" s="537"/>
      <c r="QHP36" s="537"/>
      <c r="QHQ36" s="537"/>
      <c r="QHR36" s="537"/>
      <c r="QHS36" s="537"/>
      <c r="QHT36" s="537"/>
      <c r="QHU36" s="537"/>
      <c r="QHV36" s="537"/>
      <c r="QHW36" s="537"/>
      <c r="QHX36" s="537"/>
      <c r="QHY36" s="537"/>
      <c r="QHZ36" s="537"/>
      <c r="QIA36" s="537"/>
      <c r="QIB36" s="537"/>
      <c r="QIC36" s="537"/>
      <c r="QID36" s="537"/>
      <c r="QIE36" s="537"/>
      <c r="QIF36" s="537"/>
      <c r="QIG36" s="537"/>
      <c r="QIH36" s="537"/>
      <c r="QII36" s="537"/>
      <c r="QIJ36" s="537"/>
      <c r="QIK36" s="537"/>
      <c r="QIL36" s="537"/>
      <c r="QIM36" s="537"/>
      <c r="QIN36" s="537"/>
      <c r="QIO36" s="537"/>
      <c r="QIP36" s="537"/>
      <c r="QIQ36" s="537"/>
      <c r="QIR36" s="537"/>
      <c r="QIS36" s="537"/>
      <c r="QIT36" s="537"/>
      <c r="QIU36" s="537"/>
      <c r="QIV36" s="537"/>
      <c r="QIW36" s="537"/>
      <c r="QIX36" s="537"/>
      <c r="QIY36" s="537"/>
      <c r="QIZ36" s="537"/>
      <c r="QJA36" s="537"/>
      <c r="QJB36" s="537"/>
      <c r="QJC36" s="537"/>
      <c r="QJD36" s="537"/>
      <c r="QJE36" s="537"/>
      <c r="QJF36" s="537"/>
      <c r="QJG36" s="537"/>
      <c r="QJH36" s="537"/>
      <c r="QJI36" s="537"/>
      <c r="QJJ36" s="537"/>
      <c r="QJK36" s="537"/>
      <c r="QJL36" s="537"/>
      <c r="QJM36" s="537"/>
      <c r="QJN36" s="537"/>
      <c r="QJO36" s="537"/>
      <c r="QJP36" s="537"/>
      <c r="QJQ36" s="537"/>
      <c r="QJR36" s="537"/>
      <c r="QJS36" s="537"/>
      <c r="QJT36" s="537"/>
      <c r="QJU36" s="537"/>
      <c r="QJV36" s="537"/>
      <c r="QJW36" s="537"/>
      <c r="QJX36" s="537"/>
      <c r="QJY36" s="537"/>
      <c r="QJZ36" s="537"/>
      <c r="QKA36" s="537"/>
      <c r="QKB36" s="537"/>
      <c r="QKC36" s="537"/>
      <c r="QKD36" s="537"/>
      <c r="QKE36" s="537"/>
      <c r="QKF36" s="537"/>
      <c r="QKG36" s="537"/>
      <c r="QKH36" s="537"/>
      <c r="QKI36" s="537"/>
      <c r="QKJ36" s="537"/>
      <c r="QKK36" s="537"/>
      <c r="QKL36" s="537"/>
      <c r="QKM36" s="537"/>
      <c r="QKN36" s="537"/>
      <c r="QKO36" s="537"/>
      <c r="QKP36" s="537"/>
      <c r="QKQ36" s="537"/>
      <c r="QKR36" s="537"/>
      <c r="QKS36" s="537"/>
      <c r="QKT36" s="537"/>
      <c r="QKU36" s="537"/>
      <c r="QKV36" s="537"/>
      <c r="QKW36" s="537"/>
      <c r="QKX36" s="537"/>
      <c r="QKY36" s="537"/>
      <c r="QKZ36" s="537"/>
      <c r="QLA36" s="537"/>
      <c r="QLB36" s="537"/>
      <c r="QLC36" s="537"/>
      <c r="QLD36" s="537"/>
      <c r="QLE36" s="537"/>
      <c r="QLF36" s="537"/>
      <c r="QLG36" s="537"/>
      <c r="QLH36" s="537"/>
      <c r="QLI36" s="537"/>
      <c r="QLJ36" s="537"/>
      <c r="QLK36" s="537"/>
      <c r="QLL36" s="537"/>
      <c r="QLM36" s="537"/>
      <c r="QLN36" s="537"/>
      <c r="QLO36" s="537"/>
      <c r="QLP36" s="537"/>
      <c r="QLQ36" s="537"/>
      <c r="QLR36" s="537"/>
      <c r="QLS36" s="537"/>
      <c r="QLT36" s="537"/>
      <c r="QLU36" s="537"/>
      <c r="QLV36" s="537"/>
      <c r="QLW36" s="537"/>
      <c r="QLX36" s="537"/>
      <c r="QLY36" s="537"/>
      <c r="QLZ36" s="537"/>
      <c r="QMA36" s="537"/>
      <c r="QMB36" s="537"/>
      <c r="QMC36" s="537"/>
      <c r="QMD36" s="537"/>
      <c r="QME36" s="537"/>
      <c r="QMF36" s="537"/>
      <c r="QMG36" s="537"/>
      <c r="QMH36" s="537"/>
      <c r="QMI36" s="537"/>
      <c r="QMJ36" s="537"/>
      <c r="QMK36" s="537"/>
      <c r="QML36" s="537"/>
      <c r="QMM36" s="537"/>
      <c r="QMN36" s="537"/>
      <c r="QMO36" s="537"/>
      <c r="QMP36" s="537"/>
      <c r="QMQ36" s="537"/>
      <c r="QMR36" s="537"/>
      <c r="QMS36" s="537"/>
      <c r="QMT36" s="537"/>
      <c r="QMU36" s="537"/>
      <c r="QMV36" s="537"/>
      <c r="QMW36" s="537"/>
      <c r="QMX36" s="537"/>
      <c r="QMY36" s="537"/>
      <c r="QMZ36" s="537"/>
      <c r="QNA36" s="537"/>
      <c r="QNB36" s="537"/>
      <c r="QNC36" s="537"/>
      <c r="QND36" s="537"/>
      <c r="QNE36" s="537"/>
      <c r="QNF36" s="537"/>
      <c r="QNG36" s="537"/>
      <c r="QNH36" s="537"/>
      <c r="QNI36" s="537"/>
      <c r="QNJ36" s="537"/>
      <c r="QNK36" s="537"/>
      <c r="QNL36" s="537"/>
      <c r="QNM36" s="537"/>
      <c r="QNN36" s="537"/>
      <c r="QNO36" s="537"/>
      <c r="QNP36" s="537"/>
      <c r="QNQ36" s="537"/>
      <c r="QNR36" s="537"/>
      <c r="QNS36" s="537"/>
      <c r="QNT36" s="537"/>
      <c r="QNU36" s="537"/>
      <c r="QNV36" s="537"/>
      <c r="QNW36" s="537"/>
      <c r="QNX36" s="537"/>
      <c r="QNY36" s="537"/>
      <c r="QNZ36" s="537"/>
      <c r="QOA36" s="537"/>
      <c r="QOB36" s="537"/>
      <c r="QOC36" s="537"/>
      <c r="QOD36" s="537"/>
      <c r="QOE36" s="537"/>
      <c r="QOF36" s="537"/>
      <c r="QOG36" s="537"/>
      <c r="QOH36" s="537"/>
      <c r="QOI36" s="537"/>
      <c r="QOJ36" s="537"/>
      <c r="QOK36" s="537"/>
      <c r="QOL36" s="537"/>
      <c r="QOM36" s="537"/>
      <c r="QON36" s="537"/>
      <c r="QOO36" s="537"/>
      <c r="QOP36" s="537"/>
      <c r="QOQ36" s="537"/>
      <c r="QOR36" s="537"/>
      <c r="QOS36" s="537"/>
      <c r="QOT36" s="537"/>
      <c r="QOU36" s="537"/>
      <c r="QOV36" s="537"/>
      <c r="QOW36" s="537"/>
      <c r="QOX36" s="537"/>
      <c r="QOY36" s="537"/>
      <c r="QOZ36" s="537"/>
      <c r="QPA36" s="537"/>
      <c r="QPB36" s="537"/>
      <c r="QPC36" s="537"/>
      <c r="QPD36" s="537"/>
      <c r="QPE36" s="537"/>
      <c r="QPF36" s="537"/>
      <c r="QPG36" s="537"/>
      <c r="QPH36" s="537"/>
      <c r="QPI36" s="537"/>
      <c r="QPJ36" s="537"/>
      <c r="QPK36" s="537"/>
      <c r="QPL36" s="537"/>
      <c r="QPM36" s="537"/>
      <c r="QPN36" s="537"/>
      <c r="QPO36" s="537"/>
      <c r="QPP36" s="537"/>
      <c r="QPQ36" s="537"/>
      <c r="QPR36" s="537"/>
      <c r="QPS36" s="537"/>
      <c r="QPT36" s="537"/>
      <c r="QPU36" s="537"/>
      <c r="QPV36" s="537"/>
      <c r="QPW36" s="537"/>
      <c r="QPX36" s="537"/>
      <c r="QPY36" s="537"/>
      <c r="QPZ36" s="537"/>
      <c r="QQA36" s="537"/>
      <c r="QQB36" s="537"/>
      <c r="QQC36" s="537"/>
      <c r="QQD36" s="537"/>
      <c r="QQE36" s="537"/>
      <c r="QQF36" s="537"/>
      <c r="QQG36" s="537"/>
      <c r="QQH36" s="537"/>
      <c r="QQI36" s="537"/>
      <c r="QQJ36" s="537"/>
      <c r="QQK36" s="537"/>
      <c r="QQL36" s="537"/>
      <c r="QQM36" s="537"/>
      <c r="QQN36" s="537"/>
      <c r="QQO36" s="537"/>
      <c r="QQP36" s="537"/>
      <c r="QQQ36" s="537"/>
      <c r="QQR36" s="537"/>
      <c r="QQS36" s="537"/>
      <c r="QQT36" s="537"/>
      <c r="QQU36" s="537"/>
      <c r="QQV36" s="537"/>
      <c r="QQW36" s="537"/>
      <c r="QQX36" s="537"/>
      <c r="QQY36" s="537"/>
      <c r="QQZ36" s="537"/>
      <c r="QRA36" s="537"/>
      <c r="QRB36" s="537"/>
      <c r="QRC36" s="537"/>
      <c r="QRD36" s="537"/>
      <c r="QRE36" s="537"/>
      <c r="QRF36" s="537"/>
      <c r="QRG36" s="537"/>
      <c r="QRH36" s="537"/>
      <c r="QRI36" s="537"/>
      <c r="QRJ36" s="537"/>
      <c r="QRK36" s="537"/>
      <c r="QRL36" s="537"/>
      <c r="QRM36" s="537"/>
      <c r="QRN36" s="537"/>
      <c r="QRO36" s="537"/>
      <c r="QRP36" s="537"/>
      <c r="QRQ36" s="537"/>
      <c r="QRR36" s="537"/>
      <c r="QRS36" s="537"/>
      <c r="QRT36" s="537"/>
      <c r="QRU36" s="537"/>
      <c r="QRV36" s="537"/>
      <c r="QRW36" s="537"/>
      <c r="QRX36" s="537"/>
      <c r="QRY36" s="537"/>
      <c r="QRZ36" s="537"/>
      <c r="QSA36" s="537"/>
      <c r="QSB36" s="537"/>
      <c r="QSC36" s="537"/>
      <c r="QSD36" s="537"/>
      <c r="QSE36" s="537"/>
      <c r="QSF36" s="537"/>
      <c r="QSG36" s="537"/>
      <c r="QSH36" s="537"/>
      <c r="QSI36" s="537"/>
      <c r="QSJ36" s="537"/>
      <c r="QSK36" s="537"/>
      <c r="QSL36" s="537"/>
      <c r="QSM36" s="537"/>
      <c r="QSN36" s="537"/>
      <c r="QSO36" s="537"/>
      <c r="QSP36" s="537"/>
      <c r="QSQ36" s="537"/>
      <c r="QSR36" s="537"/>
      <c r="QSS36" s="537"/>
      <c r="QST36" s="537"/>
      <c r="QSU36" s="537"/>
      <c r="QSV36" s="537"/>
      <c r="QSW36" s="537"/>
      <c r="QSX36" s="537"/>
      <c r="QSY36" s="537"/>
      <c r="QSZ36" s="537"/>
      <c r="QTA36" s="537"/>
      <c r="QTB36" s="537"/>
      <c r="QTC36" s="537"/>
      <c r="QTD36" s="537"/>
      <c r="QTE36" s="537"/>
      <c r="QTF36" s="537"/>
      <c r="QTG36" s="537"/>
      <c r="QTH36" s="537"/>
      <c r="QTI36" s="537"/>
      <c r="QTJ36" s="537"/>
      <c r="QTK36" s="537"/>
      <c r="QTL36" s="537"/>
      <c r="QTM36" s="537"/>
      <c r="QTN36" s="537"/>
      <c r="QTO36" s="537"/>
      <c r="QTP36" s="537"/>
      <c r="QTQ36" s="537"/>
      <c r="QTR36" s="537"/>
      <c r="QTS36" s="537"/>
      <c r="QTT36" s="537"/>
      <c r="QTU36" s="537"/>
      <c r="QTV36" s="537"/>
      <c r="QTW36" s="537"/>
      <c r="QTX36" s="537"/>
      <c r="QTY36" s="537"/>
      <c r="QTZ36" s="537"/>
      <c r="QUA36" s="537"/>
      <c r="QUB36" s="537"/>
      <c r="QUC36" s="537"/>
      <c r="QUD36" s="537"/>
      <c r="QUE36" s="537"/>
      <c r="QUF36" s="537"/>
      <c r="QUG36" s="537"/>
      <c r="QUH36" s="537"/>
      <c r="QUI36" s="537"/>
      <c r="QUJ36" s="537"/>
      <c r="QUK36" s="537"/>
      <c r="QUL36" s="537"/>
      <c r="QUM36" s="537"/>
      <c r="QUN36" s="537"/>
      <c r="QUO36" s="537"/>
      <c r="QUP36" s="537"/>
      <c r="QUQ36" s="537"/>
      <c r="QUR36" s="537"/>
      <c r="QUS36" s="537"/>
      <c r="QUT36" s="537"/>
      <c r="QUU36" s="537"/>
      <c r="QUV36" s="537"/>
      <c r="QUW36" s="537"/>
      <c r="QUX36" s="537"/>
      <c r="QUY36" s="537"/>
      <c r="QUZ36" s="537"/>
      <c r="QVA36" s="537"/>
      <c r="QVB36" s="537"/>
      <c r="QVC36" s="537"/>
      <c r="QVD36" s="537"/>
      <c r="QVE36" s="537"/>
      <c r="QVF36" s="537"/>
      <c r="QVG36" s="537"/>
      <c r="QVH36" s="537"/>
      <c r="QVI36" s="537"/>
      <c r="QVJ36" s="537"/>
      <c r="QVK36" s="537"/>
      <c r="QVL36" s="537"/>
      <c r="QVM36" s="537"/>
      <c r="QVN36" s="537"/>
      <c r="QVO36" s="537"/>
      <c r="QVP36" s="537"/>
      <c r="QVQ36" s="537"/>
      <c r="QVR36" s="537"/>
      <c r="QVS36" s="537"/>
      <c r="QVT36" s="537"/>
      <c r="QVU36" s="537"/>
      <c r="QVV36" s="537"/>
      <c r="QVW36" s="537"/>
      <c r="QVX36" s="537"/>
      <c r="QVY36" s="537"/>
      <c r="QVZ36" s="537"/>
      <c r="QWA36" s="537"/>
      <c r="QWB36" s="537"/>
      <c r="QWC36" s="537"/>
      <c r="QWD36" s="537"/>
      <c r="QWE36" s="537"/>
      <c r="QWF36" s="537"/>
      <c r="QWG36" s="537"/>
      <c r="QWH36" s="537"/>
      <c r="QWI36" s="537"/>
      <c r="QWJ36" s="537"/>
      <c r="QWK36" s="537"/>
      <c r="QWL36" s="537"/>
      <c r="QWM36" s="537"/>
      <c r="QWN36" s="537"/>
      <c r="QWO36" s="537"/>
      <c r="QWP36" s="537"/>
      <c r="QWQ36" s="537"/>
      <c r="QWR36" s="537"/>
      <c r="QWS36" s="537"/>
      <c r="QWT36" s="537"/>
      <c r="QWU36" s="537"/>
      <c r="QWV36" s="537"/>
      <c r="QWW36" s="537"/>
      <c r="QWX36" s="537"/>
      <c r="QWY36" s="537"/>
      <c r="QWZ36" s="537"/>
      <c r="QXA36" s="537"/>
      <c r="QXB36" s="537"/>
      <c r="QXC36" s="537"/>
      <c r="QXD36" s="537"/>
      <c r="QXE36" s="537"/>
      <c r="QXF36" s="537"/>
      <c r="QXG36" s="537"/>
      <c r="QXH36" s="537"/>
      <c r="QXI36" s="537"/>
      <c r="QXJ36" s="537"/>
      <c r="QXK36" s="537"/>
      <c r="QXL36" s="537"/>
      <c r="QXM36" s="537"/>
      <c r="QXN36" s="537"/>
      <c r="QXO36" s="537"/>
      <c r="QXP36" s="537"/>
      <c r="QXQ36" s="537"/>
      <c r="QXR36" s="537"/>
      <c r="QXS36" s="537"/>
      <c r="QXT36" s="537"/>
      <c r="QXU36" s="537"/>
      <c r="QXV36" s="537"/>
      <c r="QXW36" s="537"/>
      <c r="QXX36" s="537"/>
      <c r="QXY36" s="537"/>
      <c r="QXZ36" s="537"/>
      <c r="QYA36" s="537"/>
      <c r="QYB36" s="537"/>
      <c r="QYC36" s="537"/>
      <c r="QYD36" s="537"/>
      <c r="QYE36" s="537"/>
      <c r="QYF36" s="537"/>
      <c r="QYG36" s="537"/>
      <c r="QYH36" s="537"/>
      <c r="QYI36" s="537"/>
      <c r="QYJ36" s="537"/>
      <c r="QYK36" s="537"/>
      <c r="QYL36" s="537"/>
      <c r="QYM36" s="537"/>
      <c r="QYN36" s="537"/>
      <c r="QYO36" s="537"/>
      <c r="QYP36" s="537"/>
      <c r="QYQ36" s="537"/>
      <c r="QYR36" s="537"/>
      <c r="QYS36" s="537"/>
      <c r="QYT36" s="537"/>
      <c r="QYU36" s="537"/>
      <c r="QYV36" s="537"/>
      <c r="QYW36" s="537"/>
      <c r="QYX36" s="537"/>
      <c r="QYY36" s="537"/>
      <c r="QYZ36" s="537"/>
      <c r="QZA36" s="537"/>
      <c r="QZB36" s="537"/>
      <c r="QZC36" s="537"/>
      <c r="QZD36" s="537"/>
      <c r="QZE36" s="537"/>
      <c r="QZF36" s="537"/>
      <c r="QZG36" s="537"/>
      <c r="QZH36" s="537"/>
      <c r="QZI36" s="537"/>
      <c r="QZJ36" s="537"/>
      <c r="QZK36" s="537"/>
      <c r="QZL36" s="537"/>
      <c r="QZM36" s="537"/>
      <c r="QZN36" s="537"/>
      <c r="QZO36" s="537"/>
      <c r="QZP36" s="537"/>
      <c r="QZQ36" s="537"/>
      <c r="QZR36" s="537"/>
      <c r="QZS36" s="537"/>
      <c r="QZT36" s="537"/>
      <c r="QZU36" s="537"/>
      <c r="QZV36" s="537"/>
      <c r="QZW36" s="537"/>
      <c r="QZX36" s="537"/>
      <c r="QZY36" s="537"/>
      <c r="QZZ36" s="537"/>
      <c r="RAA36" s="537"/>
      <c r="RAB36" s="537"/>
      <c r="RAC36" s="537"/>
      <c r="RAD36" s="537"/>
      <c r="RAE36" s="537"/>
      <c r="RAF36" s="537"/>
      <c r="RAG36" s="537"/>
      <c r="RAH36" s="537"/>
      <c r="RAI36" s="537"/>
      <c r="RAJ36" s="537"/>
      <c r="RAK36" s="537"/>
      <c r="RAL36" s="537"/>
      <c r="RAM36" s="537"/>
      <c r="RAN36" s="537"/>
      <c r="RAO36" s="537"/>
      <c r="RAP36" s="537"/>
      <c r="RAQ36" s="537"/>
      <c r="RAR36" s="537"/>
      <c r="RAS36" s="537"/>
      <c r="RAT36" s="537"/>
      <c r="RAU36" s="537"/>
      <c r="RAV36" s="537"/>
      <c r="RAW36" s="537"/>
      <c r="RAX36" s="537"/>
      <c r="RAY36" s="537"/>
      <c r="RAZ36" s="537"/>
      <c r="RBA36" s="537"/>
      <c r="RBB36" s="537"/>
      <c r="RBC36" s="537"/>
      <c r="RBD36" s="537"/>
      <c r="RBE36" s="537"/>
      <c r="RBF36" s="537"/>
      <c r="RBG36" s="537"/>
      <c r="RBH36" s="537"/>
      <c r="RBI36" s="537"/>
      <c r="RBJ36" s="537"/>
      <c r="RBK36" s="537"/>
      <c r="RBL36" s="537"/>
      <c r="RBM36" s="537"/>
      <c r="RBN36" s="537"/>
      <c r="RBO36" s="537"/>
      <c r="RBP36" s="537"/>
      <c r="RBQ36" s="537"/>
      <c r="RBR36" s="537"/>
      <c r="RBS36" s="537"/>
      <c r="RBT36" s="537"/>
      <c r="RBU36" s="537"/>
      <c r="RBV36" s="537"/>
      <c r="RBW36" s="537"/>
      <c r="RBX36" s="537"/>
      <c r="RBY36" s="537"/>
      <c r="RBZ36" s="537"/>
      <c r="RCA36" s="537"/>
      <c r="RCB36" s="537"/>
      <c r="RCC36" s="537"/>
      <c r="RCD36" s="537"/>
      <c r="RCE36" s="537"/>
      <c r="RCF36" s="537"/>
      <c r="RCG36" s="537"/>
      <c r="RCH36" s="537"/>
      <c r="RCI36" s="537"/>
      <c r="RCJ36" s="537"/>
      <c r="RCK36" s="537"/>
      <c r="RCL36" s="537"/>
      <c r="RCM36" s="537"/>
      <c r="RCN36" s="537"/>
      <c r="RCO36" s="537"/>
      <c r="RCP36" s="537"/>
      <c r="RCQ36" s="537"/>
      <c r="RCR36" s="537"/>
      <c r="RCS36" s="537"/>
      <c r="RCT36" s="537"/>
      <c r="RCU36" s="537"/>
      <c r="RCV36" s="537"/>
      <c r="RCW36" s="537"/>
      <c r="RCX36" s="537"/>
      <c r="RCY36" s="537"/>
      <c r="RCZ36" s="537"/>
      <c r="RDA36" s="537"/>
      <c r="RDB36" s="537"/>
      <c r="RDC36" s="537"/>
      <c r="RDD36" s="537"/>
      <c r="RDE36" s="537"/>
      <c r="RDF36" s="537"/>
      <c r="RDG36" s="537"/>
      <c r="RDH36" s="537"/>
      <c r="RDI36" s="537"/>
      <c r="RDJ36" s="537"/>
      <c r="RDK36" s="537"/>
      <c r="RDL36" s="537"/>
      <c r="RDM36" s="537"/>
      <c r="RDN36" s="537"/>
      <c r="RDO36" s="537"/>
      <c r="RDP36" s="537"/>
      <c r="RDQ36" s="537"/>
      <c r="RDR36" s="537"/>
      <c r="RDS36" s="537"/>
      <c r="RDT36" s="537"/>
      <c r="RDU36" s="537"/>
      <c r="RDV36" s="537"/>
      <c r="RDW36" s="537"/>
      <c r="RDX36" s="537"/>
      <c r="RDY36" s="537"/>
      <c r="RDZ36" s="537"/>
      <c r="REA36" s="537"/>
      <c r="REB36" s="537"/>
      <c r="REC36" s="537"/>
      <c r="RED36" s="537"/>
      <c r="REE36" s="537"/>
      <c r="REF36" s="537"/>
      <c r="REG36" s="537"/>
      <c r="REH36" s="537"/>
      <c r="REI36" s="537"/>
      <c r="REJ36" s="537"/>
      <c r="REK36" s="537"/>
      <c r="REL36" s="537"/>
      <c r="REM36" s="537"/>
      <c r="REN36" s="537"/>
      <c r="REO36" s="537"/>
      <c r="REP36" s="537"/>
      <c r="REQ36" s="537"/>
      <c r="RER36" s="537"/>
      <c r="RES36" s="537"/>
      <c r="RET36" s="537"/>
      <c r="REU36" s="537"/>
      <c r="REV36" s="537"/>
      <c r="REW36" s="537"/>
      <c r="REX36" s="537"/>
      <c r="REY36" s="537"/>
      <c r="REZ36" s="537"/>
      <c r="RFA36" s="537"/>
      <c r="RFB36" s="537"/>
      <c r="RFC36" s="537"/>
      <c r="RFD36" s="537"/>
      <c r="RFE36" s="537"/>
      <c r="RFF36" s="537"/>
      <c r="RFG36" s="537"/>
      <c r="RFH36" s="537"/>
      <c r="RFI36" s="537"/>
      <c r="RFJ36" s="537"/>
      <c r="RFK36" s="537"/>
      <c r="RFL36" s="537"/>
      <c r="RFM36" s="537"/>
      <c r="RFN36" s="537"/>
      <c r="RFO36" s="537"/>
      <c r="RFP36" s="537"/>
      <c r="RFQ36" s="537"/>
      <c r="RFR36" s="537"/>
      <c r="RFS36" s="537"/>
      <c r="RFT36" s="537"/>
      <c r="RFU36" s="537"/>
      <c r="RFV36" s="537"/>
      <c r="RFW36" s="537"/>
      <c r="RFX36" s="537"/>
      <c r="RFY36" s="537"/>
      <c r="RFZ36" s="537"/>
      <c r="RGA36" s="537"/>
      <c r="RGB36" s="537"/>
      <c r="RGC36" s="537"/>
      <c r="RGD36" s="537"/>
      <c r="RGE36" s="537"/>
      <c r="RGF36" s="537"/>
      <c r="RGG36" s="537"/>
      <c r="RGH36" s="537"/>
      <c r="RGI36" s="537"/>
      <c r="RGJ36" s="537"/>
      <c r="RGK36" s="537"/>
      <c r="RGL36" s="537"/>
      <c r="RGM36" s="537"/>
      <c r="RGN36" s="537"/>
      <c r="RGO36" s="537"/>
      <c r="RGP36" s="537"/>
      <c r="RGQ36" s="537"/>
      <c r="RGR36" s="537"/>
      <c r="RGS36" s="537"/>
      <c r="RGT36" s="537"/>
      <c r="RGU36" s="537"/>
      <c r="RGV36" s="537"/>
      <c r="RGW36" s="537"/>
      <c r="RGX36" s="537"/>
      <c r="RGY36" s="537"/>
      <c r="RGZ36" s="537"/>
      <c r="RHA36" s="537"/>
      <c r="RHB36" s="537"/>
      <c r="RHC36" s="537"/>
      <c r="RHD36" s="537"/>
      <c r="RHE36" s="537"/>
      <c r="RHF36" s="537"/>
      <c r="RHG36" s="537"/>
      <c r="RHH36" s="537"/>
      <c r="RHI36" s="537"/>
      <c r="RHJ36" s="537"/>
      <c r="RHK36" s="537"/>
      <c r="RHL36" s="537"/>
      <c r="RHM36" s="537"/>
      <c r="RHN36" s="537"/>
      <c r="RHO36" s="537"/>
      <c r="RHP36" s="537"/>
      <c r="RHQ36" s="537"/>
      <c r="RHR36" s="537"/>
      <c r="RHS36" s="537"/>
      <c r="RHT36" s="537"/>
      <c r="RHU36" s="537"/>
      <c r="RHV36" s="537"/>
      <c r="RHW36" s="537"/>
      <c r="RHX36" s="537"/>
      <c r="RHY36" s="537"/>
      <c r="RHZ36" s="537"/>
      <c r="RIA36" s="537"/>
      <c r="RIB36" s="537"/>
      <c r="RIC36" s="537"/>
      <c r="RID36" s="537"/>
      <c r="RIE36" s="537"/>
      <c r="RIF36" s="537"/>
      <c r="RIG36" s="537"/>
      <c r="RIH36" s="537"/>
      <c r="RII36" s="537"/>
      <c r="RIJ36" s="537"/>
      <c r="RIK36" s="537"/>
      <c r="RIL36" s="537"/>
      <c r="RIM36" s="537"/>
      <c r="RIN36" s="537"/>
      <c r="RIO36" s="537"/>
      <c r="RIP36" s="537"/>
      <c r="RIQ36" s="537"/>
      <c r="RIR36" s="537"/>
      <c r="RIS36" s="537"/>
      <c r="RIT36" s="537"/>
      <c r="RIU36" s="537"/>
      <c r="RIV36" s="537"/>
      <c r="RIW36" s="537"/>
      <c r="RIX36" s="537"/>
      <c r="RIY36" s="537"/>
      <c r="RIZ36" s="537"/>
      <c r="RJA36" s="537"/>
      <c r="RJB36" s="537"/>
      <c r="RJC36" s="537"/>
      <c r="RJD36" s="537"/>
      <c r="RJE36" s="537"/>
      <c r="RJF36" s="537"/>
      <c r="RJG36" s="537"/>
      <c r="RJH36" s="537"/>
      <c r="RJI36" s="537"/>
      <c r="RJJ36" s="537"/>
      <c r="RJK36" s="537"/>
      <c r="RJL36" s="537"/>
      <c r="RJM36" s="537"/>
      <c r="RJN36" s="537"/>
      <c r="RJO36" s="537"/>
      <c r="RJP36" s="537"/>
      <c r="RJQ36" s="537"/>
      <c r="RJR36" s="537"/>
      <c r="RJS36" s="537"/>
      <c r="RJT36" s="537"/>
      <c r="RJU36" s="537"/>
      <c r="RJV36" s="537"/>
      <c r="RJW36" s="537"/>
      <c r="RJX36" s="537"/>
      <c r="RJY36" s="537"/>
      <c r="RJZ36" s="537"/>
      <c r="RKA36" s="537"/>
      <c r="RKB36" s="537"/>
      <c r="RKC36" s="537"/>
      <c r="RKD36" s="537"/>
      <c r="RKE36" s="537"/>
      <c r="RKF36" s="537"/>
      <c r="RKG36" s="537"/>
      <c r="RKH36" s="537"/>
      <c r="RKI36" s="537"/>
      <c r="RKJ36" s="537"/>
      <c r="RKK36" s="537"/>
      <c r="RKL36" s="537"/>
      <c r="RKM36" s="537"/>
      <c r="RKN36" s="537"/>
      <c r="RKO36" s="537"/>
      <c r="RKP36" s="537"/>
      <c r="RKQ36" s="537"/>
      <c r="RKR36" s="537"/>
      <c r="RKS36" s="537"/>
      <c r="RKT36" s="537"/>
      <c r="RKU36" s="537"/>
      <c r="RKV36" s="537"/>
      <c r="RKW36" s="537"/>
      <c r="RKX36" s="537"/>
      <c r="RKY36" s="537"/>
      <c r="RKZ36" s="537"/>
      <c r="RLA36" s="537"/>
      <c r="RLB36" s="537"/>
      <c r="RLC36" s="537"/>
      <c r="RLD36" s="537"/>
      <c r="RLE36" s="537"/>
      <c r="RLF36" s="537"/>
      <c r="RLG36" s="537"/>
      <c r="RLH36" s="537"/>
      <c r="RLI36" s="537"/>
      <c r="RLJ36" s="537"/>
      <c r="RLK36" s="537"/>
      <c r="RLL36" s="537"/>
      <c r="RLM36" s="537"/>
      <c r="RLN36" s="537"/>
      <c r="RLO36" s="537"/>
      <c r="RLP36" s="537"/>
      <c r="RLQ36" s="537"/>
      <c r="RLR36" s="537"/>
      <c r="RLS36" s="537"/>
      <c r="RLT36" s="537"/>
      <c r="RLU36" s="537"/>
      <c r="RLV36" s="537"/>
      <c r="RLW36" s="537"/>
      <c r="RLX36" s="537"/>
      <c r="RLY36" s="537"/>
      <c r="RLZ36" s="537"/>
      <c r="RMA36" s="537"/>
      <c r="RMB36" s="537"/>
      <c r="RMC36" s="537"/>
      <c r="RMD36" s="537"/>
      <c r="RME36" s="537"/>
      <c r="RMF36" s="537"/>
      <c r="RMG36" s="537"/>
      <c r="RMH36" s="537"/>
      <c r="RMI36" s="537"/>
      <c r="RMJ36" s="537"/>
      <c r="RMK36" s="537"/>
      <c r="RML36" s="537"/>
      <c r="RMM36" s="537"/>
      <c r="RMN36" s="537"/>
      <c r="RMO36" s="537"/>
      <c r="RMP36" s="537"/>
      <c r="RMQ36" s="537"/>
      <c r="RMR36" s="537"/>
      <c r="RMS36" s="537"/>
      <c r="RMT36" s="537"/>
      <c r="RMU36" s="537"/>
      <c r="RMV36" s="537"/>
      <c r="RMW36" s="537"/>
      <c r="RMX36" s="537"/>
      <c r="RMY36" s="537"/>
      <c r="RMZ36" s="537"/>
      <c r="RNA36" s="537"/>
      <c r="RNB36" s="537"/>
      <c r="RNC36" s="537"/>
      <c r="RND36" s="537"/>
      <c r="RNE36" s="537"/>
      <c r="RNF36" s="537"/>
      <c r="RNG36" s="537"/>
      <c r="RNH36" s="537"/>
      <c r="RNI36" s="537"/>
      <c r="RNJ36" s="537"/>
      <c r="RNK36" s="537"/>
      <c r="RNL36" s="537"/>
      <c r="RNM36" s="537"/>
      <c r="RNN36" s="537"/>
      <c r="RNO36" s="537"/>
      <c r="RNP36" s="537"/>
      <c r="RNQ36" s="537"/>
      <c r="RNR36" s="537"/>
      <c r="RNS36" s="537"/>
      <c r="RNT36" s="537"/>
      <c r="RNU36" s="537"/>
      <c r="RNV36" s="537"/>
      <c r="RNW36" s="537"/>
      <c r="RNX36" s="537"/>
      <c r="RNY36" s="537"/>
      <c r="RNZ36" s="537"/>
      <c r="ROA36" s="537"/>
      <c r="ROB36" s="537"/>
      <c r="ROC36" s="537"/>
      <c r="ROD36" s="537"/>
      <c r="ROE36" s="537"/>
      <c r="ROF36" s="537"/>
      <c r="ROG36" s="537"/>
      <c r="ROH36" s="537"/>
      <c r="ROI36" s="537"/>
      <c r="ROJ36" s="537"/>
      <c r="ROK36" s="537"/>
      <c r="ROL36" s="537"/>
      <c r="ROM36" s="537"/>
      <c r="RON36" s="537"/>
      <c r="ROO36" s="537"/>
      <c r="ROP36" s="537"/>
      <c r="ROQ36" s="537"/>
      <c r="ROR36" s="537"/>
      <c r="ROS36" s="537"/>
      <c r="ROT36" s="537"/>
      <c r="ROU36" s="537"/>
      <c r="ROV36" s="537"/>
      <c r="ROW36" s="537"/>
      <c r="ROX36" s="537"/>
      <c r="ROY36" s="537"/>
      <c r="ROZ36" s="537"/>
      <c r="RPA36" s="537"/>
      <c r="RPB36" s="537"/>
      <c r="RPC36" s="537"/>
      <c r="RPD36" s="537"/>
      <c r="RPE36" s="537"/>
      <c r="RPF36" s="537"/>
      <c r="RPG36" s="537"/>
      <c r="RPH36" s="537"/>
      <c r="RPI36" s="537"/>
      <c r="RPJ36" s="537"/>
      <c r="RPK36" s="537"/>
      <c r="RPL36" s="537"/>
      <c r="RPM36" s="537"/>
      <c r="RPN36" s="537"/>
      <c r="RPO36" s="537"/>
      <c r="RPP36" s="537"/>
      <c r="RPQ36" s="537"/>
      <c r="RPR36" s="537"/>
      <c r="RPS36" s="537"/>
      <c r="RPT36" s="537"/>
      <c r="RPU36" s="537"/>
      <c r="RPV36" s="537"/>
      <c r="RPW36" s="537"/>
      <c r="RPX36" s="537"/>
      <c r="RPY36" s="537"/>
      <c r="RPZ36" s="537"/>
      <c r="RQA36" s="537"/>
      <c r="RQB36" s="537"/>
      <c r="RQC36" s="537"/>
      <c r="RQD36" s="537"/>
      <c r="RQE36" s="537"/>
      <c r="RQF36" s="537"/>
      <c r="RQG36" s="537"/>
      <c r="RQH36" s="537"/>
      <c r="RQI36" s="537"/>
      <c r="RQJ36" s="537"/>
      <c r="RQK36" s="537"/>
      <c r="RQL36" s="537"/>
      <c r="RQM36" s="537"/>
      <c r="RQN36" s="537"/>
      <c r="RQO36" s="537"/>
      <c r="RQP36" s="537"/>
      <c r="RQQ36" s="537"/>
      <c r="RQR36" s="537"/>
      <c r="RQS36" s="537"/>
      <c r="RQT36" s="537"/>
      <c r="RQU36" s="537"/>
      <c r="RQV36" s="537"/>
      <c r="RQW36" s="537"/>
      <c r="RQX36" s="537"/>
      <c r="RQY36" s="537"/>
      <c r="RQZ36" s="537"/>
      <c r="RRA36" s="537"/>
      <c r="RRB36" s="537"/>
      <c r="RRC36" s="537"/>
      <c r="RRD36" s="537"/>
      <c r="RRE36" s="537"/>
      <c r="RRF36" s="537"/>
      <c r="RRG36" s="537"/>
      <c r="RRH36" s="537"/>
      <c r="RRI36" s="537"/>
      <c r="RRJ36" s="537"/>
      <c r="RRK36" s="537"/>
      <c r="RRL36" s="537"/>
      <c r="RRM36" s="537"/>
      <c r="RRN36" s="537"/>
      <c r="RRO36" s="537"/>
      <c r="RRP36" s="537"/>
      <c r="RRQ36" s="537"/>
      <c r="RRR36" s="537"/>
      <c r="RRS36" s="537"/>
      <c r="RRT36" s="537"/>
      <c r="RRU36" s="537"/>
      <c r="RRV36" s="537"/>
      <c r="RRW36" s="537"/>
      <c r="RRX36" s="537"/>
      <c r="RRY36" s="537"/>
      <c r="RRZ36" s="537"/>
      <c r="RSA36" s="537"/>
      <c r="RSB36" s="537"/>
      <c r="RSC36" s="537"/>
      <c r="RSD36" s="537"/>
      <c r="RSE36" s="537"/>
      <c r="RSF36" s="537"/>
      <c r="RSG36" s="537"/>
      <c r="RSH36" s="537"/>
      <c r="RSI36" s="537"/>
      <c r="RSJ36" s="537"/>
      <c r="RSK36" s="537"/>
      <c r="RSL36" s="537"/>
      <c r="RSM36" s="537"/>
      <c r="RSN36" s="537"/>
      <c r="RSO36" s="537"/>
      <c r="RSP36" s="537"/>
      <c r="RSQ36" s="537"/>
      <c r="RSR36" s="537"/>
      <c r="RSS36" s="537"/>
      <c r="RST36" s="537"/>
      <c r="RSU36" s="537"/>
      <c r="RSV36" s="537"/>
      <c r="RSW36" s="537"/>
      <c r="RSX36" s="537"/>
      <c r="RSY36" s="537"/>
      <c r="RSZ36" s="537"/>
      <c r="RTA36" s="537"/>
      <c r="RTB36" s="537"/>
      <c r="RTC36" s="537"/>
      <c r="RTD36" s="537"/>
      <c r="RTE36" s="537"/>
      <c r="RTF36" s="537"/>
      <c r="RTG36" s="537"/>
      <c r="RTH36" s="537"/>
      <c r="RTI36" s="537"/>
      <c r="RTJ36" s="537"/>
      <c r="RTK36" s="537"/>
      <c r="RTL36" s="537"/>
      <c r="RTM36" s="537"/>
      <c r="RTN36" s="537"/>
      <c r="RTO36" s="537"/>
      <c r="RTP36" s="537"/>
      <c r="RTQ36" s="537"/>
      <c r="RTR36" s="537"/>
      <c r="RTS36" s="537"/>
      <c r="RTT36" s="537"/>
      <c r="RTU36" s="537"/>
      <c r="RTV36" s="537"/>
      <c r="RTW36" s="537"/>
      <c r="RTX36" s="537"/>
      <c r="RTY36" s="537"/>
      <c r="RTZ36" s="537"/>
      <c r="RUA36" s="537"/>
      <c r="RUB36" s="537"/>
      <c r="RUC36" s="537"/>
      <c r="RUD36" s="537"/>
      <c r="RUE36" s="537"/>
      <c r="RUF36" s="537"/>
      <c r="RUG36" s="537"/>
      <c r="RUH36" s="537"/>
      <c r="RUI36" s="537"/>
      <c r="RUJ36" s="537"/>
      <c r="RUK36" s="537"/>
      <c r="RUL36" s="537"/>
      <c r="RUM36" s="537"/>
      <c r="RUN36" s="537"/>
      <c r="RUO36" s="537"/>
      <c r="RUP36" s="537"/>
      <c r="RUQ36" s="537"/>
      <c r="RUR36" s="537"/>
      <c r="RUS36" s="537"/>
      <c r="RUT36" s="537"/>
      <c r="RUU36" s="537"/>
      <c r="RUV36" s="537"/>
      <c r="RUW36" s="537"/>
      <c r="RUX36" s="537"/>
      <c r="RUY36" s="537"/>
      <c r="RUZ36" s="537"/>
      <c r="RVA36" s="537"/>
      <c r="RVB36" s="537"/>
      <c r="RVC36" s="537"/>
      <c r="RVD36" s="537"/>
      <c r="RVE36" s="537"/>
      <c r="RVF36" s="537"/>
      <c r="RVG36" s="537"/>
      <c r="RVH36" s="537"/>
      <c r="RVI36" s="537"/>
      <c r="RVJ36" s="537"/>
      <c r="RVK36" s="537"/>
      <c r="RVL36" s="537"/>
      <c r="RVM36" s="537"/>
      <c r="RVN36" s="537"/>
      <c r="RVO36" s="537"/>
      <c r="RVP36" s="537"/>
      <c r="RVQ36" s="537"/>
      <c r="RVR36" s="537"/>
      <c r="RVS36" s="537"/>
      <c r="RVT36" s="537"/>
      <c r="RVU36" s="537"/>
      <c r="RVV36" s="537"/>
      <c r="RVW36" s="537"/>
      <c r="RVX36" s="537"/>
      <c r="RVY36" s="537"/>
      <c r="RVZ36" s="537"/>
      <c r="RWA36" s="537"/>
      <c r="RWB36" s="537"/>
      <c r="RWC36" s="537"/>
      <c r="RWD36" s="537"/>
      <c r="RWE36" s="537"/>
      <c r="RWF36" s="537"/>
      <c r="RWG36" s="537"/>
      <c r="RWH36" s="537"/>
      <c r="RWI36" s="537"/>
      <c r="RWJ36" s="537"/>
      <c r="RWK36" s="537"/>
      <c r="RWL36" s="537"/>
      <c r="RWM36" s="537"/>
      <c r="RWN36" s="537"/>
      <c r="RWO36" s="537"/>
      <c r="RWP36" s="537"/>
      <c r="RWQ36" s="537"/>
      <c r="RWR36" s="537"/>
      <c r="RWS36" s="537"/>
      <c r="RWT36" s="537"/>
      <c r="RWU36" s="537"/>
      <c r="RWV36" s="537"/>
      <c r="RWW36" s="537"/>
      <c r="RWX36" s="537"/>
      <c r="RWY36" s="537"/>
      <c r="RWZ36" s="537"/>
      <c r="RXA36" s="537"/>
      <c r="RXB36" s="537"/>
      <c r="RXC36" s="537"/>
      <c r="RXD36" s="537"/>
      <c r="RXE36" s="537"/>
      <c r="RXF36" s="537"/>
      <c r="RXG36" s="537"/>
      <c r="RXH36" s="537"/>
      <c r="RXI36" s="537"/>
      <c r="RXJ36" s="537"/>
      <c r="RXK36" s="537"/>
      <c r="RXL36" s="537"/>
      <c r="RXM36" s="537"/>
      <c r="RXN36" s="537"/>
      <c r="RXO36" s="537"/>
      <c r="RXP36" s="537"/>
      <c r="RXQ36" s="537"/>
      <c r="RXR36" s="537"/>
      <c r="RXS36" s="537"/>
      <c r="RXT36" s="537"/>
      <c r="RXU36" s="537"/>
      <c r="RXV36" s="537"/>
      <c r="RXW36" s="537"/>
      <c r="RXX36" s="537"/>
      <c r="RXY36" s="537"/>
      <c r="RXZ36" s="537"/>
      <c r="RYA36" s="537"/>
      <c r="RYB36" s="537"/>
      <c r="RYC36" s="537"/>
      <c r="RYD36" s="537"/>
      <c r="RYE36" s="537"/>
      <c r="RYF36" s="537"/>
      <c r="RYG36" s="537"/>
      <c r="RYH36" s="537"/>
      <c r="RYI36" s="537"/>
      <c r="RYJ36" s="537"/>
      <c r="RYK36" s="537"/>
      <c r="RYL36" s="537"/>
      <c r="RYM36" s="537"/>
      <c r="RYN36" s="537"/>
      <c r="RYO36" s="537"/>
      <c r="RYP36" s="537"/>
      <c r="RYQ36" s="537"/>
      <c r="RYR36" s="537"/>
      <c r="RYS36" s="537"/>
      <c r="RYT36" s="537"/>
      <c r="RYU36" s="537"/>
      <c r="RYV36" s="537"/>
      <c r="RYW36" s="537"/>
      <c r="RYX36" s="537"/>
      <c r="RYY36" s="537"/>
      <c r="RYZ36" s="537"/>
      <c r="RZA36" s="537"/>
      <c r="RZB36" s="537"/>
      <c r="RZC36" s="537"/>
      <c r="RZD36" s="537"/>
      <c r="RZE36" s="537"/>
      <c r="RZF36" s="537"/>
      <c r="RZG36" s="537"/>
      <c r="RZH36" s="537"/>
      <c r="RZI36" s="537"/>
      <c r="RZJ36" s="537"/>
      <c r="RZK36" s="537"/>
      <c r="RZL36" s="537"/>
      <c r="RZM36" s="537"/>
      <c r="RZN36" s="537"/>
      <c r="RZO36" s="537"/>
      <c r="RZP36" s="537"/>
      <c r="RZQ36" s="537"/>
      <c r="RZR36" s="537"/>
      <c r="RZS36" s="537"/>
      <c r="RZT36" s="537"/>
      <c r="RZU36" s="537"/>
      <c r="RZV36" s="537"/>
      <c r="RZW36" s="537"/>
      <c r="RZX36" s="537"/>
      <c r="RZY36" s="537"/>
      <c r="RZZ36" s="537"/>
      <c r="SAA36" s="537"/>
      <c r="SAB36" s="537"/>
      <c r="SAC36" s="537"/>
      <c r="SAD36" s="537"/>
      <c r="SAE36" s="537"/>
      <c r="SAF36" s="537"/>
      <c r="SAG36" s="537"/>
      <c r="SAH36" s="537"/>
      <c r="SAI36" s="537"/>
      <c r="SAJ36" s="537"/>
      <c r="SAK36" s="537"/>
      <c r="SAL36" s="537"/>
      <c r="SAM36" s="537"/>
      <c r="SAN36" s="537"/>
      <c r="SAO36" s="537"/>
      <c r="SAP36" s="537"/>
      <c r="SAQ36" s="537"/>
      <c r="SAR36" s="537"/>
      <c r="SAS36" s="537"/>
      <c r="SAT36" s="537"/>
      <c r="SAU36" s="537"/>
      <c r="SAV36" s="537"/>
      <c r="SAW36" s="537"/>
      <c r="SAX36" s="537"/>
      <c r="SAY36" s="537"/>
      <c r="SAZ36" s="537"/>
      <c r="SBA36" s="537"/>
      <c r="SBB36" s="537"/>
      <c r="SBC36" s="537"/>
      <c r="SBD36" s="537"/>
      <c r="SBE36" s="537"/>
      <c r="SBF36" s="537"/>
      <c r="SBG36" s="537"/>
      <c r="SBH36" s="537"/>
      <c r="SBI36" s="537"/>
      <c r="SBJ36" s="537"/>
      <c r="SBK36" s="537"/>
      <c r="SBL36" s="537"/>
      <c r="SBM36" s="537"/>
      <c r="SBN36" s="537"/>
      <c r="SBO36" s="537"/>
      <c r="SBP36" s="537"/>
      <c r="SBQ36" s="537"/>
      <c r="SBR36" s="537"/>
      <c r="SBS36" s="537"/>
      <c r="SBT36" s="537"/>
      <c r="SBU36" s="537"/>
      <c r="SBV36" s="537"/>
      <c r="SBW36" s="537"/>
      <c r="SBX36" s="537"/>
      <c r="SBY36" s="537"/>
      <c r="SBZ36" s="537"/>
      <c r="SCA36" s="537"/>
      <c r="SCB36" s="537"/>
      <c r="SCC36" s="537"/>
      <c r="SCD36" s="537"/>
      <c r="SCE36" s="537"/>
      <c r="SCF36" s="537"/>
      <c r="SCG36" s="537"/>
      <c r="SCH36" s="537"/>
      <c r="SCI36" s="537"/>
      <c r="SCJ36" s="537"/>
      <c r="SCK36" s="537"/>
      <c r="SCL36" s="537"/>
      <c r="SCM36" s="537"/>
      <c r="SCN36" s="537"/>
      <c r="SCO36" s="537"/>
      <c r="SCP36" s="537"/>
      <c r="SCQ36" s="537"/>
      <c r="SCR36" s="537"/>
      <c r="SCS36" s="537"/>
      <c r="SCT36" s="537"/>
      <c r="SCU36" s="537"/>
      <c r="SCV36" s="537"/>
      <c r="SCW36" s="537"/>
      <c r="SCX36" s="537"/>
      <c r="SCY36" s="537"/>
      <c r="SCZ36" s="537"/>
      <c r="SDA36" s="537"/>
      <c r="SDB36" s="537"/>
      <c r="SDC36" s="537"/>
      <c r="SDD36" s="537"/>
      <c r="SDE36" s="537"/>
      <c r="SDF36" s="537"/>
      <c r="SDG36" s="537"/>
      <c r="SDH36" s="537"/>
      <c r="SDI36" s="537"/>
      <c r="SDJ36" s="537"/>
      <c r="SDK36" s="537"/>
      <c r="SDL36" s="537"/>
      <c r="SDM36" s="537"/>
      <c r="SDN36" s="537"/>
      <c r="SDO36" s="537"/>
      <c r="SDP36" s="537"/>
      <c r="SDQ36" s="537"/>
      <c r="SDR36" s="537"/>
      <c r="SDS36" s="537"/>
      <c r="SDT36" s="537"/>
      <c r="SDU36" s="537"/>
      <c r="SDV36" s="537"/>
      <c r="SDW36" s="537"/>
      <c r="SDX36" s="537"/>
      <c r="SDY36" s="537"/>
      <c r="SDZ36" s="537"/>
      <c r="SEA36" s="537"/>
      <c r="SEB36" s="537"/>
      <c r="SEC36" s="537"/>
      <c r="SED36" s="537"/>
      <c r="SEE36" s="537"/>
      <c r="SEF36" s="537"/>
      <c r="SEG36" s="537"/>
      <c r="SEH36" s="537"/>
      <c r="SEI36" s="537"/>
      <c r="SEJ36" s="537"/>
      <c r="SEK36" s="537"/>
      <c r="SEL36" s="537"/>
      <c r="SEM36" s="537"/>
      <c r="SEN36" s="537"/>
      <c r="SEO36" s="537"/>
      <c r="SEP36" s="537"/>
      <c r="SEQ36" s="537"/>
      <c r="SER36" s="537"/>
      <c r="SES36" s="537"/>
      <c r="SET36" s="537"/>
      <c r="SEU36" s="537"/>
      <c r="SEV36" s="537"/>
      <c r="SEW36" s="537"/>
      <c r="SEX36" s="537"/>
      <c r="SEY36" s="537"/>
      <c r="SEZ36" s="537"/>
      <c r="SFA36" s="537"/>
      <c r="SFB36" s="537"/>
      <c r="SFC36" s="537"/>
      <c r="SFD36" s="537"/>
      <c r="SFE36" s="537"/>
      <c r="SFF36" s="537"/>
      <c r="SFG36" s="537"/>
      <c r="SFH36" s="537"/>
      <c r="SFI36" s="537"/>
      <c r="SFJ36" s="537"/>
      <c r="SFK36" s="537"/>
      <c r="SFL36" s="537"/>
      <c r="SFM36" s="537"/>
      <c r="SFN36" s="537"/>
      <c r="SFO36" s="537"/>
      <c r="SFP36" s="537"/>
      <c r="SFQ36" s="537"/>
      <c r="SFR36" s="537"/>
      <c r="SFS36" s="537"/>
      <c r="SFT36" s="537"/>
      <c r="SFU36" s="537"/>
      <c r="SFV36" s="537"/>
      <c r="SFW36" s="537"/>
      <c r="SFX36" s="537"/>
      <c r="SFY36" s="537"/>
      <c r="SFZ36" s="537"/>
      <c r="SGA36" s="537"/>
      <c r="SGB36" s="537"/>
      <c r="SGC36" s="537"/>
      <c r="SGD36" s="537"/>
      <c r="SGE36" s="537"/>
      <c r="SGF36" s="537"/>
      <c r="SGG36" s="537"/>
      <c r="SGH36" s="537"/>
      <c r="SGI36" s="537"/>
      <c r="SGJ36" s="537"/>
      <c r="SGK36" s="537"/>
      <c r="SGL36" s="537"/>
      <c r="SGM36" s="537"/>
      <c r="SGN36" s="537"/>
      <c r="SGO36" s="537"/>
      <c r="SGP36" s="537"/>
      <c r="SGQ36" s="537"/>
      <c r="SGR36" s="537"/>
      <c r="SGS36" s="537"/>
      <c r="SGT36" s="537"/>
      <c r="SGU36" s="537"/>
      <c r="SGV36" s="537"/>
      <c r="SGW36" s="537"/>
      <c r="SGX36" s="537"/>
      <c r="SGY36" s="537"/>
      <c r="SGZ36" s="537"/>
      <c r="SHA36" s="537"/>
      <c r="SHB36" s="537"/>
      <c r="SHC36" s="537"/>
      <c r="SHD36" s="537"/>
      <c r="SHE36" s="537"/>
      <c r="SHF36" s="537"/>
      <c r="SHG36" s="537"/>
      <c r="SHH36" s="537"/>
      <c r="SHI36" s="537"/>
      <c r="SHJ36" s="537"/>
      <c r="SHK36" s="537"/>
      <c r="SHL36" s="537"/>
      <c r="SHM36" s="537"/>
      <c r="SHN36" s="537"/>
      <c r="SHO36" s="537"/>
      <c r="SHP36" s="537"/>
      <c r="SHQ36" s="537"/>
      <c r="SHR36" s="537"/>
      <c r="SHS36" s="537"/>
      <c r="SHT36" s="537"/>
      <c r="SHU36" s="537"/>
      <c r="SHV36" s="537"/>
      <c r="SHW36" s="537"/>
      <c r="SHX36" s="537"/>
      <c r="SHY36" s="537"/>
      <c r="SHZ36" s="537"/>
      <c r="SIA36" s="537"/>
      <c r="SIB36" s="537"/>
      <c r="SIC36" s="537"/>
      <c r="SID36" s="537"/>
      <c r="SIE36" s="537"/>
      <c r="SIF36" s="537"/>
      <c r="SIG36" s="537"/>
      <c r="SIH36" s="537"/>
      <c r="SII36" s="537"/>
      <c r="SIJ36" s="537"/>
      <c r="SIK36" s="537"/>
      <c r="SIL36" s="537"/>
      <c r="SIM36" s="537"/>
      <c r="SIN36" s="537"/>
      <c r="SIO36" s="537"/>
      <c r="SIP36" s="537"/>
      <c r="SIQ36" s="537"/>
      <c r="SIR36" s="537"/>
      <c r="SIS36" s="537"/>
      <c r="SIT36" s="537"/>
      <c r="SIU36" s="537"/>
      <c r="SIV36" s="537"/>
      <c r="SIW36" s="537"/>
      <c r="SIX36" s="537"/>
      <c r="SIY36" s="537"/>
      <c r="SIZ36" s="537"/>
      <c r="SJA36" s="537"/>
      <c r="SJB36" s="537"/>
      <c r="SJC36" s="537"/>
      <c r="SJD36" s="537"/>
      <c r="SJE36" s="537"/>
      <c r="SJF36" s="537"/>
      <c r="SJG36" s="537"/>
      <c r="SJH36" s="537"/>
      <c r="SJI36" s="537"/>
      <c r="SJJ36" s="537"/>
      <c r="SJK36" s="537"/>
      <c r="SJL36" s="537"/>
      <c r="SJM36" s="537"/>
      <c r="SJN36" s="537"/>
      <c r="SJO36" s="537"/>
      <c r="SJP36" s="537"/>
      <c r="SJQ36" s="537"/>
      <c r="SJR36" s="537"/>
      <c r="SJS36" s="537"/>
      <c r="SJT36" s="537"/>
      <c r="SJU36" s="537"/>
      <c r="SJV36" s="537"/>
      <c r="SJW36" s="537"/>
      <c r="SJX36" s="537"/>
      <c r="SJY36" s="537"/>
      <c r="SJZ36" s="537"/>
      <c r="SKA36" s="537"/>
      <c r="SKB36" s="537"/>
      <c r="SKC36" s="537"/>
      <c r="SKD36" s="537"/>
      <c r="SKE36" s="537"/>
      <c r="SKF36" s="537"/>
      <c r="SKG36" s="537"/>
      <c r="SKH36" s="537"/>
      <c r="SKI36" s="537"/>
      <c r="SKJ36" s="537"/>
      <c r="SKK36" s="537"/>
      <c r="SKL36" s="537"/>
      <c r="SKM36" s="537"/>
      <c r="SKN36" s="537"/>
      <c r="SKO36" s="537"/>
      <c r="SKP36" s="537"/>
      <c r="SKQ36" s="537"/>
      <c r="SKR36" s="537"/>
      <c r="SKS36" s="537"/>
      <c r="SKT36" s="537"/>
      <c r="SKU36" s="537"/>
      <c r="SKV36" s="537"/>
      <c r="SKW36" s="537"/>
      <c r="SKX36" s="537"/>
      <c r="SKY36" s="537"/>
      <c r="SKZ36" s="537"/>
      <c r="SLA36" s="537"/>
      <c r="SLB36" s="537"/>
      <c r="SLC36" s="537"/>
      <c r="SLD36" s="537"/>
      <c r="SLE36" s="537"/>
      <c r="SLF36" s="537"/>
      <c r="SLG36" s="537"/>
      <c r="SLH36" s="537"/>
      <c r="SLI36" s="537"/>
      <c r="SLJ36" s="537"/>
      <c r="SLK36" s="537"/>
      <c r="SLL36" s="537"/>
      <c r="SLM36" s="537"/>
      <c r="SLN36" s="537"/>
      <c r="SLO36" s="537"/>
      <c r="SLP36" s="537"/>
      <c r="SLQ36" s="537"/>
      <c r="SLR36" s="537"/>
      <c r="SLS36" s="537"/>
      <c r="SLT36" s="537"/>
      <c r="SLU36" s="537"/>
      <c r="SLV36" s="537"/>
      <c r="SLW36" s="537"/>
      <c r="SLX36" s="537"/>
      <c r="SLY36" s="537"/>
      <c r="SLZ36" s="537"/>
      <c r="SMA36" s="537"/>
      <c r="SMB36" s="537"/>
      <c r="SMC36" s="537"/>
      <c r="SMD36" s="537"/>
      <c r="SME36" s="537"/>
      <c r="SMF36" s="537"/>
      <c r="SMG36" s="537"/>
      <c r="SMH36" s="537"/>
      <c r="SMI36" s="537"/>
      <c r="SMJ36" s="537"/>
      <c r="SMK36" s="537"/>
      <c r="SML36" s="537"/>
      <c r="SMM36" s="537"/>
      <c r="SMN36" s="537"/>
      <c r="SMO36" s="537"/>
      <c r="SMP36" s="537"/>
      <c r="SMQ36" s="537"/>
      <c r="SMR36" s="537"/>
      <c r="SMS36" s="537"/>
      <c r="SMT36" s="537"/>
      <c r="SMU36" s="537"/>
      <c r="SMV36" s="537"/>
      <c r="SMW36" s="537"/>
      <c r="SMX36" s="537"/>
      <c r="SMY36" s="537"/>
      <c r="SMZ36" s="537"/>
      <c r="SNA36" s="537"/>
      <c r="SNB36" s="537"/>
      <c r="SNC36" s="537"/>
      <c r="SND36" s="537"/>
      <c r="SNE36" s="537"/>
      <c r="SNF36" s="537"/>
      <c r="SNG36" s="537"/>
      <c r="SNH36" s="537"/>
      <c r="SNI36" s="537"/>
      <c r="SNJ36" s="537"/>
      <c r="SNK36" s="537"/>
      <c r="SNL36" s="537"/>
      <c r="SNM36" s="537"/>
      <c r="SNN36" s="537"/>
      <c r="SNO36" s="537"/>
      <c r="SNP36" s="537"/>
      <c r="SNQ36" s="537"/>
      <c r="SNR36" s="537"/>
      <c r="SNS36" s="537"/>
      <c r="SNT36" s="537"/>
      <c r="SNU36" s="537"/>
      <c r="SNV36" s="537"/>
      <c r="SNW36" s="537"/>
      <c r="SNX36" s="537"/>
      <c r="SNY36" s="537"/>
      <c r="SNZ36" s="537"/>
      <c r="SOA36" s="537"/>
      <c r="SOB36" s="537"/>
      <c r="SOC36" s="537"/>
      <c r="SOD36" s="537"/>
      <c r="SOE36" s="537"/>
      <c r="SOF36" s="537"/>
      <c r="SOG36" s="537"/>
      <c r="SOH36" s="537"/>
      <c r="SOI36" s="537"/>
      <c r="SOJ36" s="537"/>
      <c r="SOK36" s="537"/>
      <c r="SOL36" s="537"/>
      <c r="SOM36" s="537"/>
      <c r="SON36" s="537"/>
      <c r="SOO36" s="537"/>
      <c r="SOP36" s="537"/>
      <c r="SOQ36" s="537"/>
      <c r="SOR36" s="537"/>
      <c r="SOS36" s="537"/>
      <c r="SOT36" s="537"/>
      <c r="SOU36" s="537"/>
      <c r="SOV36" s="537"/>
      <c r="SOW36" s="537"/>
      <c r="SOX36" s="537"/>
      <c r="SOY36" s="537"/>
      <c r="SOZ36" s="537"/>
      <c r="SPA36" s="537"/>
      <c r="SPB36" s="537"/>
      <c r="SPC36" s="537"/>
      <c r="SPD36" s="537"/>
      <c r="SPE36" s="537"/>
      <c r="SPF36" s="537"/>
      <c r="SPG36" s="537"/>
      <c r="SPH36" s="537"/>
      <c r="SPI36" s="537"/>
      <c r="SPJ36" s="537"/>
      <c r="SPK36" s="537"/>
      <c r="SPL36" s="537"/>
      <c r="SPM36" s="537"/>
      <c r="SPN36" s="537"/>
      <c r="SPO36" s="537"/>
      <c r="SPP36" s="537"/>
      <c r="SPQ36" s="537"/>
      <c r="SPR36" s="537"/>
      <c r="SPS36" s="537"/>
      <c r="SPT36" s="537"/>
      <c r="SPU36" s="537"/>
      <c r="SPV36" s="537"/>
      <c r="SPW36" s="537"/>
      <c r="SPX36" s="537"/>
      <c r="SPY36" s="537"/>
      <c r="SPZ36" s="537"/>
      <c r="SQA36" s="537"/>
      <c r="SQB36" s="537"/>
      <c r="SQC36" s="537"/>
      <c r="SQD36" s="537"/>
      <c r="SQE36" s="537"/>
      <c r="SQF36" s="537"/>
      <c r="SQG36" s="537"/>
      <c r="SQH36" s="537"/>
      <c r="SQI36" s="537"/>
      <c r="SQJ36" s="537"/>
      <c r="SQK36" s="537"/>
      <c r="SQL36" s="537"/>
      <c r="SQM36" s="537"/>
      <c r="SQN36" s="537"/>
      <c r="SQO36" s="537"/>
      <c r="SQP36" s="537"/>
      <c r="SQQ36" s="537"/>
      <c r="SQR36" s="537"/>
      <c r="SQS36" s="537"/>
      <c r="SQT36" s="537"/>
      <c r="SQU36" s="537"/>
      <c r="SQV36" s="537"/>
      <c r="SQW36" s="537"/>
      <c r="SQX36" s="537"/>
      <c r="SQY36" s="537"/>
      <c r="SQZ36" s="537"/>
      <c r="SRA36" s="537"/>
      <c r="SRB36" s="537"/>
      <c r="SRC36" s="537"/>
      <c r="SRD36" s="537"/>
      <c r="SRE36" s="537"/>
      <c r="SRF36" s="537"/>
      <c r="SRG36" s="537"/>
      <c r="SRH36" s="537"/>
      <c r="SRI36" s="537"/>
      <c r="SRJ36" s="537"/>
      <c r="SRK36" s="537"/>
      <c r="SRL36" s="537"/>
      <c r="SRM36" s="537"/>
      <c r="SRN36" s="537"/>
      <c r="SRO36" s="537"/>
      <c r="SRP36" s="537"/>
      <c r="SRQ36" s="537"/>
      <c r="SRR36" s="537"/>
      <c r="SRS36" s="537"/>
      <c r="SRT36" s="537"/>
      <c r="SRU36" s="537"/>
      <c r="SRV36" s="537"/>
      <c r="SRW36" s="537"/>
      <c r="SRX36" s="537"/>
      <c r="SRY36" s="537"/>
      <c r="SRZ36" s="537"/>
      <c r="SSA36" s="537"/>
      <c r="SSB36" s="537"/>
      <c r="SSC36" s="537"/>
      <c r="SSD36" s="537"/>
      <c r="SSE36" s="537"/>
      <c r="SSF36" s="537"/>
      <c r="SSG36" s="537"/>
      <c r="SSH36" s="537"/>
      <c r="SSI36" s="537"/>
      <c r="SSJ36" s="537"/>
      <c r="SSK36" s="537"/>
      <c r="SSL36" s="537"/>
      <c r="SSM36" s="537"/>
      <c r="SSN36" s="537"/>
      <c r="SSO36" s="537"/>
      <c r="SSP36" s="537"/>
      <c r="SSQ36" s="537"/>
      <c r="SSR36" s="537"/>
      <c r="SSS36" s="537"/>
      <c r="SST36" s="537"/>
      <c r="SSU36" s="537"/>
      <c r="SSV36" s="537"/>
      <c r="SSW36" s="537"/>
      <c r="SSX36" s="537"/>
      <c r="SSY36" s="537"/>
      <c r="SSZ36" s="537"/>
      <c r="STA36" s="537"/>
      <c r="STB36" s="537"/>
      <c r="STC36" s="537"/>
      <c r="STD36" s="537"/>
      <c r="STE36" s="537"/>
      <c r="STF36" s="537"/>
      <c r="STG36" s="537"/>
      <c r="STH36" s="537"/>
      <c r="STI36" s="537"/>
      <c r="STJ36" s="537"/>
      <c r="STK36" s="537"/>
      <c r="STL36" s="537"/>
      <c r="STM36" s="537"/>
      <c r="STN36" s="537"/>
      <c r="STO36" s="537"/>
      <c r="STP36" s="537"/>
      <c r="STQ36" s="537"/>
      <c r="STR36" s="537"/>
      <c r="STS36" s="537"/>
      <c r="STT36" s="537"/>
      <c r="STU36" s="537"/>
      <c r="STV36" s="537"/>
      <c r="STW36" s="537"/>
      <c r="STX36" s="537"/>
      <c r="STY36" s="537"/>
      <c r="STZ36" s="537"/>
      <c r="SUA36" s="537"/>
      <c r="SUB36" s="537"/>
      <c r="SUC36" s="537"/>
      <c r="SUD36" s="537"/>
      <c r="SUE36" s="537"/>
      <c r="SUF36" s="537"/>
      <c r="SUG36" s="537"/>
      <c r="SUH36" s="537"/>
      <c r="SUI36" s="537"/>
      <c r="SUJ36" s="537"/>
      <c r="SUK36" s="537"/>
      <c r="SUL36" s="537"/>
      <c r="SUM36" s="537"/>
      <c r="SUN36" s="537"/>
      <c r="SUO36" s="537"/>
      <c r="SUP36" s="537"/>
      <c r="SUQ36" s="537"/>
      <c r="SUR36" s="537"/>
      <c r="SUS36" s="537"/>
      <c r="SUT36" s="537"/>
      <c r="SUU36" s="537"/>
      <c r="SUV36" s="537"/>
      <c r="SUW36" s="537"/>
      <c r="SUX36" s="537"/>
      <c r="SUY36" s="537"/>
      <c r="SUZ36" s="537"/>
      <c r="SVA36" s="537"/>
      <c r="SVB36" s="537"/>
      <c r="SVC36" s="537"/>
      <c r="SVD36" s="537"/>
      <c r="SVE36" s="537"/>
      <c r="SVF36" s="537"/>
      <c r="SVG36" s="537"/>
      <c r="SVH36" s="537"/>
      <c r="SVI36" s="537"/>
      <c r="SVJ36" s="537"/>
      <c r="SVK36" s="537"/>
      <c r="SVL36" s="537"/>
      <c r="SVM36" s="537"/>
      <c r="SVN36" s="537"/>
      <c r="SVO36" s="537"/>
      <c r="SVP36" s="537"/>
      <c r="SVQ36" s="537"/>
      <c r="SVR36" s="537"/>
      <c r="SVS36" s="537"/>
      <c r="SVT36" s="537"/>
      <c r="SVU36" s="537"/>
      <c r="SVV36" s="537"/>
      <c r="SVW36" s="537"/>
      <c r="SVX36" s="537"/>
      <c r="SVY36" s="537"/>
      <c r="SVZ36" s="537"/>
      <c r="SWA36" s="537"/>
      <c r="SWB36" s="537"/>
      <c r="SWC36" s="537"/>
      <c r="SWD36" s="537"/>
      <c r="SWE36" s="537"/>
      <c r="SWF36" s="537"/>
      <c r="SWG36" s="537"/>
      <c r="SWH36" s="537"/>
      <c r="SWI36" s="537"/>
      <c r="SWJ36" s="537"/>
      <c r="SWK36" s="537"/>
      <c r="SWL36" s="537"/>
      <c r="SWM36" s="537"/>
      <c r="SWN36" s="537"/>
      <c r="SWO36" s="537"/>
      <c r="SWP36" s="537"/>
      <c r="SWQ36" s="537"/>
      <c r="SWR36" s="537"/>
      <c r="SWS36" s="537"/>
      <c r="SWT36" s="537"/>
      <c r="SWU36" s="537"/>
      <c r="SWV36" s="537"/>
      <c r="SWW36" s="537"/>
      <c r="SWX36" s="537"/>
      <c r="SWY36" s="537"/>
      <c r="SWZ36" s="537"/>
      <c r="SXA36" s="537"/>
      <c r="SXB36" s="537"/>
      <c r="SXC36" s="537"/>
      <c r="SXD36" s="537"/>
      <c r="SXE36" s="537"/>
      <c r="SXF36" s="537"/>
      <c r="SXG36" s="537"/>
      <c r="SXH36" s="537"/>
      <c r="SXI36" s="537"/>
      <c r="SXJ36" s="537"/>
      <c r="SXK36" s="537"/>
      <c r="SXL36" s="537"/>
      <c r="SXM36" s="537"/>
      <c r="SXN36" s="537"/>
      <c r="SXO36" s="537"/>
      <c r="SXP36" s="537"/>
      <c r="SXQ36" s="537"/>
      <c r="SXR36" s="537"/>
      <c r="SXS36" s="537"/>
      <c r="SXT36" s="537"/>
      <c r="SXU36" s="537"/>
      <c r="SXV36" s="537"/>
      <c r="SXW36" s="537"/>
      <c r="SXX36" s="537"/>
      <c r="SXY36" s="537"/>
      <c r="SXZ36" s="537"/>
      <c r="SYA36" s="537"/>
      <c r="SYB36" s="537"/>
      <c r="SYC36" s="537"/>
      <c r="SYD36" s="537"/>
      <c r="SYE36" s="537"/>
      <c r="SYF36" s="537"/>
      <c r="SYG36" s="537"/>
      <c r="SYH36" s="537"/>
      <c r="SYI36" s="537"/>
      <c r="SYJ36" s="537"/>
      <c r="SYK36" s="537"/>
      <c r="SYL36" s="537"/>
      <c r="SYM36" s="537"/>
      <c r="SYN36" s="537"/>
      <c r="SYO36" s="537"/>
      <c r="SYP36" s="537"/>
      <c r="SYQ36" s="537"/>
      <c r="SYR36" s="537"/>
      <c r="SYS36" s="537"/>
      <c r="SYT36" s="537"/>
      <c r="SYU36" s="537"/>
      <c r="SYV36" s="537"/>
      <c r="SYW36" s="537"/>
      <c r="SYX36" s="537"/>
      <c r="SYY36" s="537"/>
      <c r="SYZ36" s="537"/>
      <c r="SZA36" s="537"/>
      <c r="SZB36" s="537"/>
      <c r="SZC36" s="537"/>
      <c r="SZD36" s="537"/>
      <c r="SZE36" s="537"/>
      <c r="SZF36" s="537"/>
      <c r="SZG36" s="537"/>
      <c r="SZH36" s="537"/>
      <c r="SZI36" s="537"/>
      <c r="SZJ36" s="537"/>
      <c r="SZK36" s="537"/>
      <c r="SZL36" s="537"/>
      <c r="SZM36" s="537"/>
      <c r="SZN36" s="537"/>
      <c r="SZO36" s="537"/>
      <c r="SZP36" s="537"/>
      <c r="SZQ36" s="537"/>
      <c r="SZR36" s="537"/>
      <c r="SZS36" s="537"/>
      <c r="SZT36" s="537"/>
      <c r="SZU36" s="537"/>
      <c r="SZV36" s="537"/>
      <c r="SZW36" s="537"/>
      <c r="SZX36" s="537"/>
      <c r="SZY36" s="537"/>
      <c r="SZZ36" s="537"/>
      <c r="TAA36" s="537"/>
      <c r="TAB36" s="537"/>
      <c r="TAC36" s="537"/>
      <c r="TAD36" s="537"/>
      <c r="TAE36" s="537"/>
      <c r="TAF36" s="537"/>
      <c r="TAG36" s="537"/>
      <c r="TAH36" s="537"/>
      <c r="TAI36" s="537"/>
      <c r="TAJ36" s="537"/>
      <c r="TAK36" s="537"/>
      <c r="TAL36" s="537"/>
      <c r="TAM36" s="537"/>
      <c r="TAN36" s="537"/>
      <c r="TAO36" s="537"/>
      <c r="TAP36" s="537"/>
      <c r="TAQ36" s="537"/>
      <c r="TAR36" s="537"/>
      <c r="TAS36" s="537"/>
      <c r="TAT36" s="537"/>
      <c r="TAU36" s="537"/>
      <c r="TAV36" s="537"/>
      <c r="TAW36" s="537"/>
      <c r="TAX36" s="537"/>
      <c r="TAY36" s="537"/>
      <c r="TAZ36" s="537"/>
      <c r="TBA36" s="537"/>
      <c r="TBB36" s="537"/>
      <c r="TBC36" s="537"/>
      <c r="TBD36" s="537"/>
      <c r="TBE36" s="537"/>
      <c r="TBF36" s="537"/>
      <c r="TBG36" s="537"/>
      <c r="TBH36" s="537"/>
      <c r="TBI36" s="537"/>
      <c r="TBJ36" s="537"/>
      <c r="TBK36" s="537"/>
      <c r="TBL36" s="537"/>
      <c r="TBM36" s="537"/>
      <c r="TBN36" s="537"/>
      <c r="TBO36" s="537"/>
      <c r="TBP36" s="537"/>
      <c r="TBQ36" s="537"/>
      <c r="TBR36" s="537"/>
      <c r="TBS36" s="537"/>
      <c r="TBT36" s="537"/>
      <c r="TBU36" s="537"/>
      <c r="TBV36" s="537"/>
      <c r="TBW36" s="537"/>
      <c r="TBX36" s="537"/>
      <c r="TBY36" s="537"/>
      <c r="TBZ36" s="537"/>
      <c r="TCA36" s="537"/>
      <c r="TCB36" s="537"/>
      <c r="TCC36" s="537"/>
      <c r="TCD36" s="537"/>
      <c r="TCE36" s="537"/>
      <c r="TCF36" s="537"/>
      <c r="TCG36" s="537"/>
      <c r="TCH36" s="537"/>
      <c r="TCI36" s="537"/>
      <c r="TCJ36" s="537"/>
      <c r="TCK36" s="537"/>
      <c r="TCL36" s="537"/>
      <c r="TCM36" s="537"/>
      <c r="TCN36" s="537"/>
      <c r="TCO36" s="537"/>
      <c r="TCP36" s="537"/>
      <c r="TCQ36" s="537"/>
      <c r="TCR36" s="537"/>
      <c r="TCS36" s="537"/>
      <c r="TCT36" s="537"/>
      <c r="TCU36" s="537"/>
      <c r="TCV36" s="537"/>
      <c r="TCW36" s="537"/>
      <c r="TCX36" s="537"/>
      <c r="TCY36" s="537"/>
      <c r="TCZ36" s="537"/>
      <c r="TDA36" s="537"/>
      <c r="TDB36" s="537"/>
      <c r="TDC36" s="537"/>
      <c r="TDD36" s="537"/>
      <c r="TDE36" s="537"/>
      <c r="TDF36" s="537"/>
      <c r="TDG36" s="537"/>
      <c r="TDH36" s="537"/>
      <c r="TDI36" s="537"/>
      <c r="TDJ36" s="537"/>
      <c r="TDK36" s="537"/>
      <c r="TDL36" s="537"/>
      <c r="TDM36" s="537"/>
      <c r="TDN36" s="537"/>
      <c r="TDO36" s="537"/>
      <c r="TDP36" s="537"/>
      <c r="TDQ36" s="537"/>
      <c r="TDR36" s="537"/>
      <c r="TDS36" s="537"/>
      <c r="TDT36" s="537"/>
      <c r="TDU36" s="537"/>
      <c r="TDV36" s="537"/>
      <c r="TDW36" s="537"/>
      <c r="TDX36" s="537"/>
      <c r="TDY36" s="537"/>
      <c r="TDZ36" s="537"/>
      <c r="TEA36" s="537"/>
      <c r="TEB36" s="537"/>
      <c r="TEC36" s="537"/>
      <c r="TED36" s="537"/>
      <c r="TEE36" s="537"/>
      <c r="TEF36" s="537"/>
      <c r="TEG36" s="537"/>
      <c r="TEH36" s="537"/>
      <c r="TEI36" s="537"/>
      <c r="TEJ36" s="537"/>
      <c r="TEK36" s="537"/>
      <c r="TEL36" s="537"/>
      <c r="TEM36" s="537"/>
      <c r="TEN36" s="537"/>
      <c r="TEO36" s="537"/>
      <c r="TEP36" s="537"/>
      <c r="TEQ36" s="537"/>
      <c r="TER36" s="537"/>
      <c r="TES36" s="537"/>
      <c r="TET36" s="537"/>
      <c r="TEU36" s="537"/>
      <c r="TEV36" s="537"/>
      <c r="TEW36" s="537"/>
      <c r="TEX36" s="537"/>
      <c r="TEY36" s="537"/>
      <c r="TEZ36" s="537"/>
      <c r="TFA36" s="537"/>
      <c r="TFB36" s="537"/>
      <c r="TFC36" s="537"/>
      <c r="TFD36" s="537"/>
      <c r="TFE36" s="537"/>
      <c r="TFF36" s="537"/>
      <c r="TFG36" s="537"/>
      <c r="TFH36" s="537"/>
      <c r="TFI36" s="537"/>
      <c r="TFJ36" s="537"/>
      <c r="TFK36" s="537"/>
      <c r="TFL36" s="537"/>
      <c r="TFM36" s="537"/>
      <c r="TFN36" s="537"/>
      <c r="TFO36" s="537"/>
      <c r="TFP36" s="537"/>
      <c r="TFQ36" s="537"/>
      <c r="TFR36" s="537"/>
      <c r="TFS36" s="537"/>
      <c r="TFT36" s="537"/>
      <c r="TFU36" s="537"/>
      <c r="TFV36" s="537"/>
      <c r="TFW36" s="537"/>
      <c r="TFX36" s="537"/>
      <c r="TFY36" s="537"/>
      <c r="TFZ36" s="537"/>
      <c r="TGA36" s="537"/>
      <c r="TGB36" s="537"/>
      <c r="TGC36" s="537"/>
      <c r="TGD36" s="537"/>
      <c r="TGE36" s="537"/>
      <c r="TGF36" s="537"/>
      <c r="TGG36" s="537"/>
      <c r="TGH36" s="537"/>
      <c r="TGI36" s="537"/>
      <c r="TGJ36" s="537"/>
      <c r="TGK36" s="537"/>
      <c r="TGL36" s="537"/>
      <c r="TGM36" s="537"/>
      <c r="TGN36" s="537"/>
      <c r="TGO36" s="537"/>
      <c r="TGP36" s="537"/>
      <c r="TGQ36" s="537"/>
      <c r="TGR36" s="537"/>
      <c r="TGS36" s="537"/>
      <c r="TGT36" s="537"/>
      <c r="TGU36" s="537"/>
      <c r="TGV36" s="537"/>
      <c r="TGW36" s="537"/>
      <c r="TGX36" s="537"/>
      <c r="TGY36" s="537"/>
      <c r="TGZ36" s="537"/>
      <c r="THA36" s="537"/>
      <c r="THB36" s="537"/>
      <c r="THC36" s="537"/>
      <c r="THD36" s="537"/>
      <c r="THE36" s="537"/>
      <c r="THF36" s="537"/>
      <c r="THG36" s="537"/>
      <c r="THH36" s="537"/>
      <c r="THI36" s="537"/>
      <c r="THJ36" s="537"/>
      <c r="THK36" s="537"/>
      <c r="THL36" s="537"/>
      <c r="THM36" s="537"/>
      <c r="THN36" s="537"/>
      <c r="THO36" s="537"/>
      <c r="THP36" s="537"/>
      <c r="THQ36" s="537"/>
      <c r="THR36" s="537"/>
      <c r="THS36" s="537"/>
      <c r="THT36" s="537"/>
      <c r="THU36" s="537"/>
      <c r="THV36" s="537"/>
      <c r="THW36" s="537"/>
      <c r="THX36" s="537"/>
      <c r="THY36" s="537"/>
      <c r="THZ36" s="537"/>
      <c r="TIA36" s="537"/>
      <c r="TIB36" s="537"/>
      <c r="TIC36" s="537"/>
      <c r="TID36" s="537"/>
      <c r="TIE36" s="537"/>
      <c r="TIF36" s="537"/>
      <c r="TIG36" s="537"/>
      <c r="TIH36" s="537"/>
      <c r="TII36" s="537"/>
      <c r="TIJ36" s="537"/>
      <c r="TIK36" s="537"/>
      <c r="TIL36" s="537"/>
      <c r="TIM36" s="537"/>
      <c r="TIN36" s="537"/>
      <c r="TIO36" s="537"/>
      <c r="TIP36" s="537"/>
      <c r="TIQ36" s="537"/>
      <c r="TIR36" s="537"/>
      <c r="TIS36" s="537"/>
      <c r="TIT36" s="537"/>
      <c r="TIU36" s="537"/>
      <c r="TIV36" s="537"/>
      <c r="TIW36" s="537"/>
      <c r="TIX36" s="537"/>
      <c r="TIY36" s="537"/>
      <c r="TIZ36" s="537"/>
      <c r="TJA36" s="537"/>
      <c r="TJB36" s="537"/>
      <c r="TJC36" s="537"/>
      <c r="TJD36" s="537"/>
      <c r="TJE36" s="537"/>
      <c r="TJF36" s="537"/>
      <c r="TJG36" s="537"/>
      <c r="TJH36" s="537"/>
      <c r="TJI36" s="537"/>
      <c r="TJJ36" s="537"/>
      <c r="TJK36" s="537"/>
      <c r="TJL36" s="537"/>
      <c r="TJM36" s="537"/>
      <c r="TJN36" s="537"/>
      <c r="TJO36" s="537"/>
      <c r="TJP36" s="537"/>
      <c r="TJQ36" s="537"/>
      <c r="TJR36" s="537"/>
      <c r="TJS36" s="537"/>
      <c r="TJT36" s="537"/>
      <c r="TJU36" s="537"/>
      <c r="TJV36" s="537"/>
      <c r="TJW36" s="537"/>
      <c r="TJX36" s="537"/>
      <c r="TJY36" s="537"/>
      <c r="TJZ36" s="537"/>
      <c r="TKA36" s="537"/>
      <c r="TKB36" s="537"/>
      <c r="TKC36" s="537"/>
      <c r="TKD36" s="537"/>
      <c r="TKE36" s="537"/>
      <c r="TKF36" s="537"/>
      <c r="TKG36" s="537"/>
      <c r="TKH36" s="537"/>
      <c r="TKI36" s="537"/>
      <c r="TKJ36" s="537"/>
      <c r="TKK36" s="537"/>
      <c r="TKL36" s="537"/>
      <c r="TKM36" s="537"/>
      <c r="TKN36" s="537"/>
      <c r="TKO36" s="537"/>
      <c r="TKP36" s="537"/>
      <c r="TKQ36" s="537"/>
      <c r="TKR36" s="537"/>
      <c r="TKS36" s="537"/>
      <c r="TKT36" s="537"/>
      <c r="TKU36" s="537"/>
      <c r="TKV36" s="537"/>
      <c r="TKW36" s="537"/>
      <c r="TKX36" s="537"/>
      <c r="TKY36" s="537"/>
      <c r="TKZ36" s="537"/>
      <c r="TLA36" s="537"/>
      <c r="TLB36" s="537"/>
      <c r="TLC36" s="537"/>
      <c r="TLD36" s="537"/>
      <c r="TLE36" s="537"/>
      <c r="TLF36" s="537"/>
      <c r="TLG36" s="537"/>
      <c r="TLH36" s="537"/>
      <c r="TLI36" s="537"/>
      <c r="TLJ36" s="537"/>
      <c r="TLK36" s="537"/>
      <c r="TLL36" s="537"/>
      <c r="TLM36" s="537"/>
      <c r="TLN36" s="537"/>
      <c r="TLO36" s="537"/>
      <c r="TLP36" s="537"/>
      <c r="TLQ36" s="537"/>
      <c r="TLR36" s="537"/>
      <c r="TLS36" s="537"/>
      <c r="TLT36" s="537"/>
      <c r="TLU36" s="537"/>
      <c r="TLV36" s="537"/>
      <c r="TLW36" s="537"/>
      <c r="TLX36" s="537"/>
      <c r="TLY36" s="537"/>
      <c r="TLZ36" s="537"/>
      <c r="TMA36" s="537"/>
      <c r="TMB36" s="537"/>
      <c r="TMC36" s="537"/>
      <c r="TMD36" s="537"/>
      <c r="TME36" s="537"/>
      <c r="TMF36" s="537"/>
      <c r="TMG36" s="537"/>
      <c r="TMH36" s="537"/>
      <c r="TMI36" s="537"/>
      <c r="TMJ36" s="537"/>
      <c r="TMK36" s="537"/>
      <c r="TML36" s="537"/>
      <c r="TMM36" s="537"/>
      <c r="TMN36" s="537"/>
      <c r="TMO36" s="537"/>
      <c r="TMP36" s="537"/>
      <c r="TMQ36" s="537"/>
      <c r="TMR36" s="537"/>
      <c r="TMS36" s="537"/>
      <c r="TMT36" s="537"/>
      <c r="TMU36" s="537"/>
      <c r="TMV36" s="537"/>
      <c r="TMW36" s="537"/>
      <c r="TMX36" s="537"/>
      <c r="TMY36" s="537"/>
      <c r="TMZ36" s="537"/>
      <c r="TNA36" s="537"/>
      <c r="TNB36" s="537"/>
      <c r="TNC36" s="537"/>
      <c r="TND36" s="537"/>
      <c r="TNE36" s="537"/>
      <c r="TNF36" s="537"/>
      <c r="TNG36" s="537"/>
      <c r="TNH36" s="537"/>
      <c r="TNI36" s="537"/>
      <c r="TNJ36" s="537"/>
      <c r="TNK36" s="537"/>
      <c r="TNL36" s="537"/>
      <c r="TNM36" s="537"/>
      <c r="TNN36" s="537"/>
      <c r="TNO36" s="537"/>
      <c r="TNP36" s="537"/>
      <c r="TNQ36" s="537"/>
      <c r="TNR36" s="537"/>
      <c r="TNS36" s="537"/>
      <c r="TNT36" s="537"/>
      <c r="TNU36" s="537"/>
      <c r="TNV36" s="537"/>
      <c r="TNW36" s="537"/>
      <c r="TNX36" s="537"/>
      <c r="TNY36" s="537"/>
      <c r="TNZ36" s="537"/>
      <c r="TOA36" s="537"/>
      <c r="TOB36" s="537"/>
      <c r="TOC36" s="537"/>
      <c r="TOD36" s="537"/>
      <c r="TOE36" s="537"/>
      <c r="TOF36" s="537"/>
      <c r="TOG36" s="537"/>
      <c r="TOH36" s="537"/>
      <c r="TOI36" s="537"/>
      <c r="TOJ36" s="537"/>
      <c r="TOK36" s="537"/>
      <c r="TOL36" s="537"/>
      <c r="TOM36" s="537"/>
      <c r="TON36" s="537"/>
      <c r="TOO36" s="537"/>
      <c r="TOP36" s="537"/>
      <c r="TOQ36" s="537"/>
      <c r="TOR36" s="537"/>
      <c r="TOS36" s="537"/>
      <c r="TOT36" s="537"/>
      <c r="TOU36" s="537"/>
      <c r="TOV36" s="537"/>
      <c r="TOW36" s="537"/>
      <c r="TOX36" s="537"/>
      <c r="TOY36" s="537"/>
      <c r="TOZ36" s="537"/>
      <c r="TPA36" s="537"/>
      <c r="TPB36" s="537"/>
      <c r="TPC36" s="537"/>
      <c r="TPD36" s="537"/>
      <c r="TPE36" s="537"/>
      <c r="TPF36" s="537"/>
      <c r="TPG36" s="537"/>
      <c r="TPH36" s="537"/>
      <c r="TPI36" s="537"/>
      <c r="TPJ36" s="537"/>
      <c r="TPK36" s="537"/>
      <c r="TPL36" s="537"/>
      <c r="TPM36" s="537"/>
      <c r="TPN36" s="537"/>
      <c r="TPO36" s="537"/>
      <c r="TPP36" s="537"/>
      <c r="TPQ36" s="537"/>
      <c r="TPR36" s="537"/>
      <c r="TPS36" s="537"/>
      <c r="TPT36" s="537"/>
      <c r="TPU36" s="537"/>
      <c r="TPV36" s="537"/>
      <c r="TPW36" s="537"/>
      <c r="TPX36" s="537"/>
      <c r="TPY36" s="537"/>
      <c r="TPZ36" s="537"/>
      <c r="TQA36" s="537"/>
      <c r="TQB36" s="537"/>
      <c r="TQC36" s="537"/>
      <c r="TQD36" s="537"/>
      <c r="TQE36" s="537"/>
      <c r="TQF36" s="537"/>
      <c r="TQG36" s="537"/>
      <c r="TQH36" s="537"/>
      <c r="TQI36" s="537"/>
      <c r="TQJ36" s="537"/>
      <c r="TQK36" s="537"/>
      <c r="TQL36" s="537"/>
      <c r="TQM36" s="537"/>
      <c r="TQN36" s="537"/>
      <c r="TQO36" s="537"/>
      <c r="TQP36" s="537"/>
      <c r="TQQ36" s="537"/>
      <c r="TQR36" s="537"/>
      <c r="TQS36" s="537"/>
      <c r="TQT36" s="537"/>
      <c r="TQU36" s="537"/>
      <c r="TQV36" s="537"/>
      <c r="TQW36" s="537"/>
      <c r="TQX36" s="537"/>
      <c r="TQY36" s="537"/>
      <c r="TQZ36" s="537"/>
      <c r="TRA36" s="537"/>
      <c r="TRB36" s="537"/>
      <c r="TRC36" s="537"/>
      <c r="TRD36" s="537"/>
      <c r="TRE36" s="537"/>
      <c r="TRF36" s="537"/>
      <c r="TRG36" s="537"/>
      <c r="TRH36" s="537"/>
      <c r="TRI36" s="537"/>
      <c r="TRJ36" s="537"/>
      <c r="TRK36" s="537"/>
      <c r="TRL36" s="537"/>
      <c r="TRM36" s="537"/>
      <c r="TRN36" s="537"/>
      <c r="TRO36" s="537"/>
      <c r="TRP36" s="537"/>
      <c r="TRQ36" s="537"/>
      <c r="TRR36" s="537"/>
      <c r="TRS36" s="537"/>
      <c r="TRT36" s="537"/>
      <c r="TRU36" s="537"/>
      <c r="TRV36" s="537"/>
      <c r="TRW36" s="537"/>
      <c r="TRX36" s="537"/>
      <c r="TRY36" s="537"/>
      <c r="TRZ36" s="537"/>
      <c r="TSA36" s="537"/>
      <c r="TSB36" s="537"/>
      <c r="TSC36" s="537"/>
      <c r="TSD36" s="537"/>
      <c r="TSE36" s="537"/>
      <c r="TSF36" s="537"/>
      <c r="TSG36" s="537"/>
      <c r="TSH36" s="537"/>
      <c r="TSI36" s="537"/>
      <c r="TSJ36" s="537"/>
      <c r="TSK36" s="537"/>
      <c r="TSL36" s="537"/>
      <c r="TSM36" s="537"/>
      <c r="TSN36" s="537"/>
      <c r="TSO36" s="537"/>
      <c r="TSP36" s="537"/>
      <c r="TSQ36" s="537"/>
      <c r="TSR36" s="537"/>
      <c r="TSS36" s="537"/>
      <c r="TST36" s="537"/>
      <c r="TSU36" s="537"/>
      <c r="TSV36" s="537"/>
      <c r="TSW36" s="537"/>
      <c r="TSX36" s="537"/>
      <c r="TSY36" s="537"/>
      <c r="TSZ36" s="537"/>
      <c r="TTA36" s="537"/>
      <c r="TTB36" s="537"/>
      <c r="TTC36" s="537"/>
      <c r="TTD36" s="537"/>
      <c r="TTE36" s="537"/>
      <c r="TTF36" s="537"/>
      <c r="TTG36" s="537"/>
      <c r="TTH36" s="537"/>
      <c r="TTI36" s="537"/>
      <c r="TTJ36" s="537"/>
      <c r="TTK36" s="537"/>
      <c r="TTL36" s="537"/>
      <c r="TTM36" s="537"/>
      <c r="TTN36" s="537"/>
      <c r="TTO36" s="537"/>
      <c r="TTP36" s="537"/>
      <c r="TTQ36" s="537"/>
      <c r="TTR36" s="537"/>
      <c r="TTS36" s="537"/>
      <c r="TTT36" s="537"/>
      <c r="TTU36" s="537"/>
      <c r="TTV36" s="537"/>
      <c r="TTW36" s="537"/>
      <c r="TTX36" s="537"/>
      <c r="TTY36" s="537"/>
      <c r="TTZ36" s="537"/>
      <c r="TUA36" s="537"/>
      <c r="TUB36" s="537"/>
      <c r="TUC36" s="537"/>
      <c r="TUD36" s="537"/>
      <c r="TUE36" s="537"/>
      <c r="TUF36" s="537"/>
      <c r="TUG36" s="537"/>
      <c r="TUH36" s="537"/>
      <c r="TUI36" s="537"/>
      <c r="TUJ36" s="537"/>
      <c r="TUK36" s="537"/>
      <c r="TUL36" s="537"/>
      <c r="TUM36" s="537"/>
      <c r="TUN36" s="537"/>
      <c r="TUO36" s="537"/>
      <c r="TUP36" s="537"/>
      <c r="TUQ36" s="537"/>
      <c r="TUR36" s="537"/>
      <c r="TUS36" s="537"/>
      <c r="TUT36" s="537"/>
      <c r="TUU36" s="537"/>
      <c r="TUV36" s="537"/>
      <c r="TUW36" s="537"/>
      <c r="TUX36" s="537"/>
      <c r="TUY36" s="537"/>
      <c r="TUZ36" s="537"/>
      <c r="TVA36" s="537"/>
      <c r="TVB36" s="537"/>
      <c r="TVC36" s="537"/>
      <c r="TVD36" s="537"/>
      <c r="TVE36" s="537"/>
      <c r="TVF36" s="537"/>
      <c r="TVG36" s="537"/>
      <c r="TVH36" s="537"/>
      <c r="TVI36" s="537"/>
      <c r="TVJ36" s="537"/>
      <c r="TVK36" s="537"/>
      <c r="TVL36" s="537"/>
      <c r="TVM36" s="537"/>
      <c r="TVN36" s="537"/>
      <c r="TVO36" s="537"/>
      <c r="TVP36" s="537"/>
      <c r="TVQ36" s="537"/>
      <c r="TVR36" s="537"/>
      <c r="TVS36" s="537"/>
      <c r="TVT36" s="537"/>
      <c r="TVU36" s="537"/>
      <c r="TVV36" s="537"/>
      <c r="TVW36" s="537"/>
      <c r="TVX36" s="537"/>
      <c r="TVY36" s="537"/>
      <c r="TVZ36" s="537"/>
      <c r="TWA36" s="537"/>
      <c r="TWB36" s="537"/>
      <c r="TWC36" s="537"/>
      <c r="TWD36" s="537"/>
      <c r="TWE36" s="537"/>
      <c r="TWF36" s="537"/>
      <c r="TWG36" s="537"/>
      <c r="TWH36" s="537"/>
      <c r="TWI36" s="537"/>
      <c r="TWJ36" s="537"/>
      <c r="TWK36" s="537"/>
      <c r="TWL36" s="537"/>
      <c r="TWM36" s="537"/>
      <c r="TWN36" s="537"/>
      <c r="TWO36" s="537"/>
      <c r="TWP36" s="537"/>
      <c r="TWQ36" s="537"/>
      <c r="TWR36" s="537"/>
      <c r="TWS36" s="537"/>
      <c r="TWT36" s="537"/>
      <c r="TWU36" s="537"/>
      <c r="TWV36" s="537"/>
      <c r="TWW36" s="537"/>
      <c r="TWX36" s="537"/>
      <c r="TWY36" s="537"/>
      <c r="TWZ36" s="537"/>
      <c r="TXA36" s="537"/>
      <c r="TXB36" s="537"/>
      <c r="TXC36" s="537"/>
      <c r="TXD36" s="537"/>
      <c r="TXE36" s="537"/>
      <c r="TXF36" s="537"/>
      <c r="TXG36" s="537"/>
      <c r="TXH36" s="537"/>
      <c r="TXI36" s="537"/>
      <c r="TXJ36" s="537"/>
      <c r="TXK36" s="537"/>
      <c r="TXL36" s="537"/>
      <c r="TXM36" s="537"/>
      <c r="TXN36" s="537"/>
      <c r="TXO36" s="537"/>
      <c r="TXP36" s="537"/>
      <c r="TXQ36" s="537"/>
      <c r="TXR36" s="537"/>
      <c r="TXS36" s="537"/>
      <c r="TXT36" s="537"/>
      <c r="TXU36" s="537"/>
      <c r="TXV36" s="537"/>
      <c r="TXW36" s="537"/>
      <c r="TXX36" s="537"/>
      <c r="TXY36" s="537"/>
      <c r="TXZ36" s="537"/>
      <c r="TYA36" s="537"/>
      <c r="TYB36" s="537"/>
      <c r="TYC36" s="537"/>
      <c r="TYD36" s="537"/>
      <c r="TYE36" s="537"/>
      <c r="TYF36" s="537"/>
      <c r="TYG36" s="537"/>
      <c r="TYH36" s="537"/>
      <c r="TYI36" s="537"/>
      <c r="TYJ36" s="537"/>
      <c r="TYK36" s="537"/>
      <c r="TYL36" s="537"/>
      <c r="TYM36" s="537"/>
      <c r="TYN36" s="537"/>
      <c r="TYO36" s="537"/>
      <c r="TYP36" s="537"/>
      <c r="TYQ36" s="537"/>
      <c r="TYR36" s="537"/>
      <c r="TYS36" s="537"/>
      <c r="TYT36" s="537"/>
      <c r="TYU36" s="537"/>
      <c r="TYV36" s="537"/>
      <c r="TYW36" s="537"/>
      <c r="TYX36" s="537"/>
      <c r="TYY36" s="537"/>
      <c r="TYZ36" s="537"/>
      <c r="TZA36" s="537"/>
      <c r="TZB36" s="537"/>
      <c r="TZC36" s="537"/>
      <c r="TZD36" s="537"/>
      <c r="TZE36" s="537"/>
      <c r="TZF36" s="537"/>
      <c r="TZG36" s="537"/>
      <c r="TZH36" s="537"/>
      <c r="TZI36" s="537"/>
      <c r="TZJ36" s="537"/>
      <c r="TZK36" s="537"/>
      <c r="TZL36" s="537"/>
      <c r="TZM36" s="537"/>
      <c r="TZN36" s="537"/>
      <c r="TZO36" s="537"/>
      <c r="TZP36" s="537"/>
      <c r="TZQ36" s="537"/>
      <c r="TZR36" s="537"/>
      <c r="TZS36" s="537"/>
      <c r="TZT36" s="537"/>
      <c r="TZU36" s="537"/>
      <c r="TZV36" s="537"/>
      <c r="TZW36" s="537"/>
      <c r="TZX36" s="537"/>
      <c r="TZY36" s="537"/>
      <c r="TZZ36" s="537"/>
      <c r="UAA36" s="537"/>
      <c r="UAB36" s="537"/>
      <c r="UAC36" s="537"/>
      <c r="UAD36" s="537"/>
      <c r="UAE36" s="537"/>
      <c r="UAF36" s="537"/>
      <c r="UAG36" s="537"/>
      <c r="UAH36" s="537"/>
      <c r="UAI36" s="537"/>
      <c r="UAJ36" s="537"/>
      <c r="UAK36" s="537"/>
      <c r="UAL36" s="537"/>
      <c r="UAM36" s="537"/>
      <c r="UAN36" s="537"/>
      <c r="UAO36" s="537"/>
      <c r="UAP36" s="537"/>
      <c r="UAQ36" s="537"/>
      <c r="UAR36" s="537"/>
      <c r="UAS36" s="537"/>
      <c r="UAT36" s="537"/>
      <c r="UAU36" s="537"/>
      <c r="UAV36" s="537"/>
      <c r="UAW36" s="537"/>
      <c r="UAX36" s="537"/>
      <c r="UAY36" s="537"/>
      <c r="UAZ36" s="537"/>
      <c r="UBA36" s="537"/>
      <c r="UBB36" s="537"/>
      <c r="UBC36" s="537"/>
      <c r="UBD36" s="537"/>
      <c r="UBE36" s="537"/>
      <c r="UBF36" s="537"/>
      <c r="UBG36" s="537"/>
      <c r="UBH36" s="537"/>
      <c r="UBI36" s="537"/>
      <c r="UBJ36" s="537"/>
      <c r="UBK36" s="537"/>
      <c r="UBL36" s="537"/>
      <c r="UBM36" s="537"/>
      <c r="UBN36" s="537"/>
      <c r="UBO36" s="537"/>
      <c r="UBP36" s="537"/>
      <c r="UBQ36" s="537"/>
      <c r="UBR36" s="537"/>
      <c r="UBS36" s="537"/>
      <c r="UBT36" s="537"/>
      <c r="UBU36" s="537"/>
      <c r="UBV36" s="537"/>
      <c r="UBW36" s="537"/>
      <c r="UBX36" s="537"/>
      <c r="UBY36" s="537"/>
      <c r="UBZ36" s="537"/>
      <c r="UCA36" s="537"/>
      <c r="UCB36" s="537"/>
      <c r="UCC36" s="537"/>
      <c r="UCD36" s="537"/>
      <c r="UCE36" s="537"/>
      <c r="UCF36" s="537"/>
      <c r="UCG36" s="537"/>
      <c r="UCH36" s="537"/>
      <c r="UCI36" s="537"/>
      <c r="UCJ36" s="537"/>
      <c r="UCK36" s="537"/>
      <c r="UCL36" s="537"/>
      <c r="UCM36" s="537"/>
      <c r="UCN36" s="537"/>
      <c r="UCO36" s="537"/>
      <c r="UCP36" s="537"/>
      <c r="UCQ36" s="537"/>
      <c r="UCR36" s="537"/>
      <c r="UCS36" s="537"/>
      <c r="UCT36" s="537"/>
      <c r="UCU36" s="537"/>
      <c r="UCV36" s="537"/>
      <c r="UCW36" s="537"/>
      <c r="UCX36" s="537"/>
      <c r="UCY36" s="537"/>
      <c r="UCZ36" s="537"/>
      <c r="UDA36" s="537"/>
      <c r="UDB36" s="537"/>
      <c r="UDC36" s="537"/>
      <c r="UDD36" s="537"/>
      <c r="UDE36" s="537"/>
      <c r="UDF36" s="537"/>
      <c r="UDG36" s="537"/>
      <c r="UDH36" s="537"/>
      <c r="UDI36" s="537"/>
      <c r="UDJ36" s="537"/>
      <c r="UDK36" s="537"/>
      <c r="UDL36" s="537"/>
      <c r="UDM36" s="537"/>
      <c r="UDN36" s="537"/>
      <c r="UDO36" s="537"/>
      <c r="UDP36" s="537"/>
      <c r="UDQ36" s="537"/>
      <c r="UDR36" s="537"/>
      <c r="UDS36" s="537"/>
      <c r="UDT36" s="537"/>
      <c r="UDU36" s="537"/>
      <c r="UDV36" s="537"/>
      <c r="UDW36" s="537"/>
      <c r="UDX36" s="537"/>
      <c r="UDY36" s="537"/>
      <c r="UDZ36" s="537"/>
      <c r="UEA36" s="537"/>
      <c r="UEB36" s="537"/>
      <c r="UEC36" s="537"/>
      <c r="UED36" s="537"/>
      <c r="UEE36" s="537"/>
      <c r="UEF36" s="537"/>
      <c r="UEG36" s="537"/>
      <c r="UEH36" s="537"/>
      <c r="UEI36" s="537"/>
      <c r="UEJ36" s="537"/>
      <c r="UEK36" s="537"/>
      <c r="UEL36" s="537"/>
      <c r="UEM36" s="537"/>
      <c r="UEN36" s="537"/>
      <c r="UEO36" s="537"/>
      <c r="UEP36" s="537"/>
      <c r="UEQ36" s="537"/>
      <c r="UER36" s="537"/>
      <c r="UES36" s="537"/>
      <c r="UET36" s="537"/>
      <c r="UEU36" s="537"/>
      <c r="UEV36" s="537"/>
      <c r="UEW36" s="537"/>
      <c r="UEX36" s="537"/>
      <c r="UEY36" s="537"/>
      <c r="UEZ36" s="537"/>
      <c r="UFA36" s="537"/>
      <c r="UFB36" s="537"/>
      <c r="UFC36" s="537"/>
      <c r="UFD36" s="537"/>
      <c r="UFE36" s="537"/>
      <c r="UFF36" s="537"/>
      <c r="UFG36" s="537"/>
      <c r="UFH36" s="537"/>
      <c r="UFI36" s="537"/>
      <c r="UFJ36" s="537"/>
      <c r="UFK36" s="537"/>
      <c r="UFL36" s="537"/>
      <c r="UFM36" s="537"/>
      <c r="UFN36" s="537"/>
      <c r="UFO36" s="537"/>
      <c r="UFP36" s="537"/>
      <c r="UFQ36" s="537"/>
      <c r="UFR36" s="537"/>
      <c r="UFS36" s="537"/>
      <c r="UFT36" s="537"/>
      <c r="UFU36" s="537"/>
      <c r="UFV36" s="537"/>
      <c r="UFW36" s="537"/>
      <c r="UFX36" s="537"/>
      <c r="UFY36" s="537"/>
      <c r="UFZ36" s="537"/>
      <c r="UGA36" s="537"/>
      <c r="UGB36" s="537"/>
      <c r="UGC36" s="537"/>
      <c r="UGD36" s="537"/>
      <c r="UGE36" s="537"/>
      <c r="UGF36" s="537"/>
      <c r="UGG36" s="537"/>
      <c r="UGH36" s="537"/>
      <c r="UGI36" s="537"/>
      <c r="UGJ36" s="537"/>
      <c r="UGK36" s="537"/>
      <c r="UGL36" s="537"/>
      <c r="UGM36" s="537"/>
      <c r="UGN36" s="537"/>
      <c r="UGO36" s="537"/>
      <c r="UGP36" s="537"/>
      <c r="UGQ36" s="537"/>
      <c r="UGR36" s="537"/>
      <c r="UGS36" s="537"/>
      <c r="UGT36" s="537"/>
      <c r="UGU36" s="537"/>
      <c r="UGV36" s="537"/>
      <c r="UGW36" s="537"/>
      <c r="UGX36" s="537"/>
      <c r="UGY36" s="537"/>
      <c r="UGZ36" s="537"/>
      <c r="UHA36" s="537"/>
      <c r="UHB36" s="537"/>
      <c r="UHC36" s="537"/>
      <c r="UHD36" s="537"/>
      <c r="UHE36" s="537"/>
      <c r="UHF36" s="537"/>
      <c r="UHG36" s="537"/>
      <c r="UHH36" s="537"/>
      <c r="UHI36" s="537"/>
      <c r="UHJ36" s="537"/>
      <c r="UHK36" s="537"/>
      <c r="UHL36" s="537"/>
      <c r="UHM36" s="537"/>
      <c r="UHN36" s="537"/>
      <c r="UHO36" s="537"/>
      <c r="UHP36" s="537"/>
      <c r="UHQ36" s="537"/>
      <c r="UHR36" s="537"/>
      <c r="UHS36" s="537"/>
      <c r="UHT36" s="537"/>
      <c r="UHU36" s="537"/>
      <c r="UHV36" s="537"/>
      <c r="UHW36" s="537"/>
      <c r="UHX36" s="537"/>
      <c r="UHY36" s="537"/>
      <c r="UHZ36" s="537"/>
      <c r="UIA36" s="537"/>
      <c r="UIB36" s="537"/>
      <c r="UIC36" s="537"/>
      <c r="UID36" s="537"/>
      <c r="UIE36" s="537"/>
      <c r="UIF36" s="537"/>
      <c r="UIG36" s="537"/>
      <c r="UIH36" s="537"/>
      <c r="UII36" s="537"/>
      <c r="UIJ36" s="537"/>
      <c r="UIK36" s="537"/>
      <c r="UIL36" s="537"/>
      <c r="UIM36" s="537"/>
      <c r="UIN36" s="537"/>
      <c r="UIO36" s="537"/>
      <c r="UIP36" s="537"/>
      <c r="UIQ36" s="537"/>
      <c r="UIR36" s="537"/>
      <c r="UIS36" s="537"/>
      <c r="UIT36" s="537"/>
      <c r="UIU36" s="537"/>
      <c r="UIV36" s="537"/>
      <c r="UIW36" s="537"/>
      <c r="UIX36" s="537"/>
      <c r="UIY36" s="537"/>
      <c r="UIZ36" s="537"/>
      <c r="UJA36" s="537"/>
      <c r="UJB36" s="537"/>
      <c r="UJC36" s="537"/>
      <c r="UJD36" s="537"/>
      <c r="UJE36" s="537"/>
      <c r="UJF36" s="537"/>
      <c r="UJG36" s="537"/>
      <c r="UJH36" s="537"/>
      <c r="UJI36" s="537"/>
      <c r="UJJ36" s="537"/>
      <c r="UJK36" s="537"/>
      <c r="UJL36" s="537"/>
      <c r="UJM36" s="537"/>
      <c r="UJN36" s="537"/>
      <c r="UJO36" s="537"/>
      <c r="UJP36" s="537"/>
      <c r="UJQ36" s="537"/>
      <c r="UJR36" s="537"/>
      <c r="UJS36" s="537"/>
      <c r="UJT36" s="537"/>
      <c r="UJU36" s="537"/>
      <c r="UJV36" s="537"/>
      <c r="UJW36" s="537"/>
      <c r="UJX36" s="537"/>
      <c r="UJY36" s="537"/>
      <c r="UJZ36" s="537"/>
      <c r="UKA36" s="537"/>
      <c r="UKB36" s="537"/>
      <c r="UKC36" s="537"/>
      <c r="UKD36" s="537"/>
      <c r="UKE36" s="537"/>
      <c r="UKF36" s="537"/>
      <c r="UKG36" s="537"/>
      <c r="UKH36" s="537"/>
      <c r="UKI36" s="537"/>
      <c r="UKJ36" s="537"/>
      <c r="UKK36" s="537"/>
      <c r="UKL36" s="537"/>
      <c r="UKM36" s="537"/>
      <c r="UKN36" s="537"/>
      <c r="UKO36" s="537"/>
      <c r="UKP36" s="537"/>
      <c r="UKQ36" s="537"/>
      <c r="UKR36" s="537"/>
      <c r="UKS36" s="537"/>
      <c r="UKT36" s="537"/>
      <c r="UKU36" s="537"/>
      <c r="UKV36" s="537"/>
      <c r="UKW36" s="537"/>
      <c r="UKX36" s="537"/>
      <c r="UKY36" s="537"/>
      <c r="UKZ36" s="537"/>
      <c r="ULA36" s="537"/>
      <c r="ULB36" s="537"/>
      <c r="ULC36" s="537"/>
      <c r="ULD36" s="537"/>
      <c r="ULE36" s="537"/>
      <c r="ULF36" s="537"/>
      <c r="ULG36" s="537"/>
      <c r="ULH36" s="537"/>
      <c r="ULI36" s="537"/>
      <c r="ULJ36" s="537"/>
      <c r="ULK36" s="537"/>
      <c r="ULL36" s="537"/>
      <c r="ULM36" s="537"/>
      <c r="ULN36" s="537"/>
      <c r="ULO36" s="537"/>
      <c r="ULP36" s="537"/>
      <c r="ULQ36" s="537"/>
      <c r="ULR36" s="537"/>
      <c r="ULS36" s="537"/>
      <c r="ULT36" s="537"/>
      <c r="ULU36" s="537"/>
      <c r="ULV36" s="537"/>
      <c r="ULW36" s="537"/>
      <c r="ULX36" s="537"/>
      <c r="ULY36" s="537"/>
      <c r="ULZ36" s="537"/>
      <c r="UMA36" s="537"/>
      <c r="UMB36" s="537"/>
      <c r="UMC36" s="537"/>
      <c r="UMD36" s="537"/>
      <c r="UME36" s="537"/>
      <c r="UMF36" s="537"/>
      <c r="UMG36" s="537"/>
      <c r="UMH36" s="537"/>
      <c r="UMI36" s="537"/>
      <c r="UMJ36" s="537"/>
      <c r="UMK36" s="537"/>
      <c r="UML36" s="537"/>
      <c r="UMM36" s="537"/>
      <c r="UMN36" s="537"/>
      <c r="UMO36" s="537"/>
      <c r="UMP36" s="537"/>
      <c r="UMQ36" s="537"/>
      <c r="UMR36" s="537"/>
      <c r="UMS36" s="537"/>
      <c r="UMT36" s="537"/>
      <c r="UMU36" s="537"/>
      <c r="UMV36" s="537"/>
      <c r="UMW36" s="537"/>
      <c r="UMX36" s="537"/>
      <c r="UMY36" s="537"/>
      <c r="UMZ36" s="537"/>
      <c r="UNA36" s="537"/>
      <c r="UNB36" s="537"/>
      <c r="UNC36" s="537"/>
      <c r="UND36" s="537"/>
      <c r="UNE36" s="537"/>
      <c r="UNF36" s="537"/>
      <c r="UNG36" s="537"/>
      <c r="UNH36" s="537"/>
      <c r="UNI36" s="537"/>
      <c r="UNJ36" s="537"/>
      <c r="UNK36" s="537"/>
      <c r="UNL36" s="537"/>
      <c r="UNM36" s="537"/>
      <c r="UNN36" s="537"/>
      <c r="UNO36" s="537"/>
      <c r="UNP36" s="537"/>
      <c r="UNQ36" s="537"/>
      <c r="UNR36" s="537"/>
      <c r="UNS36" s="537"/>
      <c r="UNT36" s="537"/>
      <c r="UNU36" s="537"/>
      <c r="UNV36" s="537"/>
      <c r="UNW36" s="537"/>
      <c r="UNX36" s="537"/>
      <c r="UNY36" s="537"/>
      <c r="UNZ36" s="537"/>
      <c r="UOA36" s="537"/>
      <c r="UOB36" s="537"/>
      <c r="UOC36" s="537"/>
      <c r="UOD36" s="537"/>
      <c r="UOE36" s="537"/>
      <c r="UOF36" s="537"/>
      <c r="UOG36" s="537"/>
      <c r="UOH36" s="537"/>
      <c r="UOI36" s="537"/>
      <c r="UOJ36" s="537"/>
      <c r="UOK36" s="537"/>
      <c r="UOL36" s="537"/>
      <c r="UOM36" s="537"/>
      <c r="UON36" s="537"/>
      <c r="UOO36" s="537"/>
      <c r="UOP36" s="537"/>
      <c r="UOQ36" s="537"/>
      <c r="UOR36" s="537"/>
      <c r="UOS36" s="537"/>
      <c r="UOT36" s="537"/>
      <c r="UOU36" s="537"/>
      <c r="UOV36" s="537"/>
      <c r="UOW36" s="537"/>
      <c r="UOX36" s="537"/>
      <c r="UOY36" s="537"/>
      <c r="UOZ36" s="537"/>
      <c r="UPA36" s="537"/>
      <c r="UPB36" s="537"/>
      <c r="UPC36" s="537"/>
      <c r="UPD36" s="537"/>
      <c r="UPE36" s="537"/>
      <c r="UPF36" s="537"/>
      <c r="UPG36" s="537"/>
      <c r="UPH36" s="537"/>
      <c r="UPI36" s="537"/>
      <c r="UPJ36" s="537"/>
      <c r="UPK36" s="537"/>
      <c r="UPL36" s="537"/>
      <c r="UPM36" s="537"/>
      <c r="UPN36" s="537"/>
      <c r="UPO36" s="537"/>
      <c r="UPP36" s="537"/>
      <c r="UPQ36" s="537"/>
      <c r="UPR36" s="537"/>
      <c r="UPS36" s="537"/>
      <c r="UPT36" s="537"/>
      <c r="UPU36" s="537"/>
      <c r="UPV36" s="537"/>
      <c r="UPW36" s="537"/>
      <c r="UPX36" s="537"/>
      <c r="UPY36" s="537"/>
      <c r="UPZ36" s="537"/>
      <c r="UQA36" s="537"/>
      <c r="UQB36" s="537"/>
      <c r="UQC36" s="537"/>
      <c r="UQD36" s="537"/>
      <c r="UQE36" s="537"/>
      <c r="UQF36" s="537"/>
      <c r="UQG36" s="537"/>
      <c r="UQH36" s="537"/>
      <c r="UQI36" s="537"/>
      <c r="UQJ36" s="537"/>
      <c r="UQK36" s="537"/>
      <c r="UQL36" s="537"/>
      <c r="UQM36" s="537"/>
      <c r="UQN36" s="537"/>
      <c r="UQO36" s="537"/>
      <c r="UQP36" s="537"/>
      <c r="UQQ36" s="537"/>
      <c r="UQR36" s="537"/>
      <c r="UQS36" s="537"/>
      <c r="UQT36" s="537"/>
      <c r="UQU36" s="537"/>
      <c r="UQV36" s="537"/>
      <c r="UQW36" s="537"/>
      <c r="UQX36" s="537"/>
      <c r="UQY36" s="537"/>
      <c r="UQZ36" s="537"/>
      <c r="URA36" s="537"/>
      <c r="URB36" s="537"/>
      <c r="URC36" s="537"/>
      <c r="URD36" s="537"/>
      <c r="URE36" s="537"/>
      <c r="URF36" s="537"/>
      <c r="URG36" s="537"/>
      <c r="URH36" s="537"/>
      <c r="URI36" s="537"/>
      <c r="URJ36" s="537"/>
      <c r="URK36" s="537"/>
      <c r="URL36" s="537"/>
      <c r="URM36" s="537"/>
      <c r="URN36" s="537"/>
      <c r="URO36" s="537"/>
      <c r="URP36" s="537"/>
      <c r="URQ36" s="537"/>
      <c r="URR36" s="537"/>
      <c r="URS36" s="537"/>
      <c r="URT36" s="537"/>
      <c r="URU36" s="537"/>
      <c r="URV36" s="537"/>
      <c r="URW36" s="537"/>
      <c r="URX36" s="537"/>
      <c r="URY36" s="537"/>
      <c r="URZ36" s="537"/>
      <c r="USA36" s="537"/>
      <c r="USB36" s="537"/>
      <c r="USC36" s="537"/>
      <c r="USD36" s="537"/>
      <c r="USE36" s="537"/>
      <c r="USF36" s="537"/>
      <c r="USG36" s="537"/>
      <c r="USH36" s="537"/>
      <c r="USI36" s="537"/>
      <c r="USJ36" s="537"/>
      <c r="USK36" s="537"/>
      <c r="USL36" s="537"/>
      <c r="USM36" s="537"/>
      <c r="USN36" s="537"/>
      <c r="USO36" s="537"/>
      <c r="USP36" s="537"/>
      <c r="USQ36" s="537"/>
      <c r="USR36" s="537"/>
      <c r="USS36" s="537"/>
      <c r="UST36" s="537"/>
      <c r="USU36" s="537"/>
      <c r="USV36" s="537"/>
      <c r="USW36" s="537"/>
      <c r="USX36" s="537"/>
      <c r="USY36" s="537"/>
      <c r="USZ36" s="537"/>
      <c r="UTA36" s="537"/>
      <c r="UTB36" s="537"/>
      <c r="UTC36" s="537"/>
      <c r="UTD36" s="537"/>
      <c r="UTE36" s="537"/>
      <c r="UTF36" s="537"/>
      <c r="UTG36" s="537"/>
      <c r="UTH36" s="537"/>
      <c r="UTI36" s="537"/>
      <c r="UTJ36" s="537"/>
      <c r="UTK36" s="537"/>
      <c r="UTL36" s="537"/>
      <c r="UTM36" s="537"/>
      <c r="UTN36" s="537"/>
      <c r="UTO36" s="537"/>
      <c r="UTP36" s="537"/>
      <c r="UTQ36" s="537"/>
      <c r="UTR36" s="537"/>
      <c r="UTS36" s="537"/>
      <c r="UTT36" s="537"/>
      <c r="UTU36" s="537"/>
      <c r="UTV36" s="537"/>
      <c r="UTW36" s="537"/>
      <c r="UTX36" s="537"/>
      <c r="UTY36" s="537"/>
      <c r="UTZ36" s="537"/>
      <c r="UUA36" s="537"/>
      <c r="UUB36" s="537"/>
      <c r="UUC36" s="537"/>
      <c r="UUD36" s="537"/>
      <c r="UUE36" s="537"/>
      <c r="UUF36" s="537"/>
      <c r="UUG36" s="537"/>
      <c r="UUH36" s="537"/>
      <c r="UUI36" s="537"/>
      <c r="UUJ36" s="537"/>
      <c r="UUK36" s="537"/>
      <c r="UUL36" s="537"/>
      <c r="UUM36" s="537"/>
      <c r="UUN36" s="537"/>
      <c r="UUO36" s="537"/>
      <c r="UUP36" s="537"/>
      <c r="UUQ36" s="537"/>
      <c r="UUR36" s="537"/>
      <c r="UUS36" s="537"/>
      <c r="UUT36" s="537"/>
      <c r="UUU36" s="537"/>
      <c r="UUV36" s="537"/>
      <c r="UUW36" s="537"/>
      <c r="UUX36" s="537"/>
      <c r="UUY36" s="537"/>
      <c r="UUZ36" s="537"/>
      <c r="UVA36" s="537"/>
      <c r="UVB36" s="537"/>
      <c r="UVC36" s="537"/>
      <c r="UVD36" s="537"/>
      <c r="UVE36" s="537"/>
      <c r="UVF36" s="537"/>
      <c r="UVG36" s="537"/>
      <c r="UVH36" s="537"/>
      <c r="UVI36" s="537"/>
      <c r="UVJ36" s="537"/>
      <c r="UVK36" s="537"/>
      <c r="UVL36" s="537"/>
      <c r="UVM36" s="537"/>
      <c r="UVN36" s="537"/>
      <c r="UVO36" s="537"/>
      <c r="UVP36" s="537"/>
      <c r="UVQ36" s="537"/>
      <c r="UVR36" s="537"/>
      <c r="UVS36" s="537"/>
      <c r="UVT36" s="537"/>
      <c r="UVU36" s="537"/>
      <c r="UVV36" s="537"/>
      <c r="UVW36" s="537"/>
      <c r="UVX36" s="537"/>
      <c r="UVY36" s="537"/>
      <c r="UVZ36" s="537"/>
      <c r="UWA36" s="537"/>
      <c r="UWB36" s="537"/>
      <c r="UWC36" s="537"/>
      <c r="UWD36" s="537"/>
      <c r="UWE36" s="537"/>
      <c r="UWF36" s="537"/>
      <c r="UWG36" s="537"/>
      <c r="UWH36" s="537"/>
      <c r="UWI36" s="537"/>
      <c r="UWJ36" s="537"/>
      <c r="UWK36" s="537"/>
      <c r="UWL36" s="537"/>
      <c r="UWM36" s="537"/>
      <c r="UWN36" s="537"/>
      <c r="UWO36" s="537"/>
      <c r="UWP36" s="537"/>
      <c r="UWQ36" s="537"/>
      <c r="UWR36" s="537"/>
      <c r="UWS36" s="537"/>
      <c r="UWT36" s="537"/>
      <c r="UWU36" s="537"/>
      <c r="UWV36" s="537"/>
      <c r="UWW36" s="537"/>
      <c r="UWX36" s="537"/>
      <c r="UWY36" s="537"/>
      <c r="UWZ36" s="537"/>
      <c r="UXA36" s="537"/>
      <c r="UXB36" s="537"/>
      <c r="UXC36" s="537"/>
      <c r="UXD36" s="537"/>
      <c r="UXE36" s="537"/>
      <c r="UXF36" s="537"/>
      <c r="UXG36" s="537"/>
      <c r="UXH36" s="537"/>
      <c r="UXI36" s="537"/>
      <c r="UXJ36" s="537"/>
      <c r="UXK36" s="537"/>
      <c r="UXL36" s="537"/>
      <c r="UXM36" s="537"/>
      <c r="UXN36" s="537"/>
      <c r="UXO36" s="537"/>
      <c r="UXP36" s="537"/>
      <c r="UXQ36" s="537"/>
      <c r="UXR36" s="537"/>
      <c r="UXS36" s="537"/>
      <c r="UXT36" s="537"/>
      <c r="UXU36" s="537"/>
      <c r="UXV36" s="537"/>
      <c r="UXW36" s="537"/>
      <c r="UXX36" s="537"/>
      <c r="UXY36" s="537"/>
      <c r="UXZ36" s="537"/>
      <c r="UYA36" s="537"/>
      <c r="UYB36" s="537"/>
      <c r="UYC36" s="537"/>
      <c r="UYD36" s="537"/>
      <c r="UYE36" s="537"/>
      <c r="UYF36" s="537"/>
      <c r="UYG36" s="537"/>
      <c r="UYH36" s="537"/>
      <c r="UYI36" s="537"/>
      <c r="UYJ36" s="537"/>
      <c r="UYK36" s="537"/>
      <c r="UYL36" s="537"/>
      <c r="UYM36" s="537"/>
      <c r="UYN36" s="537"/>
      <c r="UYO36" s="537"/>
      <c r="UYP36" s="537"/>
      <c r="UYQ36" s="537"/>
      <c r="UYR36" s="537"/>
      <c r="UYS36" s="537"/>
      <c r="UYT36" s="537"/>
      <c r="UYU36" s="537"/>
      <c r="UYV36" s="537"/>
      <c r="UYW36" s="537"/>
      <c r="UYX36" s="537"/>
      <c r="UYY36" s="537"/>
      <c r="UYZ36" s="537"/>
      <c r="UZA36" s="537"/>
      <c r="UZB36" s="537"/>
      <c r="UZC36" s="537"/>
      <c r="UZD36" s="537"/>
      <c r="UZE36" s="537"/>
      <c r="UZF36" s="537"/>
      <c r="UZG36" s="537"/>
      <c r="UZH36" s="537"/>
      <c r="UZI36" s="537"/>
      <c r="UZJ36" s="537"/>
      <c r="UZK36" s="537"/>
      <c r="UZL36" s="537"/>
      <c r="UZM36" s="537"/>
      <c r="UZN36" s="537"/>
      <c r="UZO36" s="537"/>
      <c r="UZP36" s="537"/>
      <c r="UZQ36" s="537"/>
      <c r="UZR36" s="537"/>
      <c r="UZS36" s="537"/>
      <c r="UZT36" s="537"/>
      <c r="UZU36" s="537"/>
      <c r="UZV36" s="537"/>
      <c r="UZW36" s="537"/>
      <c r="UZX36" s="537"/>
      <c r="UZY36" s="537"/>
      <c r="UZZ36" s="537"/>
      <c r="VAA36" s="537"/>
      <c r="VAB36" s="537"/>
      <c r="VAC36" s="537"/>
      <c r="VAD36" s="537"/>
      <c r="VAE36" s="537"/>
      <c r="VAF36" s="537"/>
      <c r="VAG36" s="537"/>
      <c r="VAH36" s="537"/>
      <c r="VAI36" s="537"/>
      <c r="VAJ36" s="537"/>
      <c r="VAK36" s="537"/>
      <c r="VAL36" s="537"/>
      <c r="VAM36" s="537"/>
      <c r="VAN36" s="537"/>
      <c r="VAO36" s="537"/>
      <c r="VAP36" s="537"/>
      <c r="VAQ36" s="537"/>
      <c r="VAR36" s="537"/>
      <c r="VAS36" s="537"/>
      <c r="VAT36" s="537"/>
      <c r="VAU36" s="537"/>
      <c r="VAV36" s="537"/>
      <c r="VAW36" s="537"/>
      <c r="VAX36" s="537"/>
      <c r="VAY36" s="537"/>
      <c r="VAZ36" s="537"/>
      <c r="VBA36" s="537"/>
      <c r="VBB36" s="537"/>
      <c r="VBC36" s="537"/>
      <c r="VBD36" s="537"/>
      <c r="VBE36" s="537"/>
      <c r="VBF36" s="537"/>
      <c r="VBG36" s="537"/>
      <c r="VBH36" s="537"/>
      <c r="VBI36" s="537"/>
      <c r="VBJ36" s="537"/>
      <c r="VBK36" s="537"/>
      <c r="VBL36" s="537"/>
      <c r="VBM36" s="537"/>
      <c r="VBN36" s="537"/>
      <c r="VBO36" s="537"/>
      <c r="VBP36" s="537"/>
      <c r="VBQ36" s="537"/>
      <c r="VBR36" s="537"/>
      <c r="VBS36" s="537"/>
      <c r="VBT36" s="537"/>
      <c r="VBU36" s="537"/>
      <c r="VBV36" s="537"/>
      <c r="VBW36" s="537"/>
      <c r="VBX36" s="537"/>
      <c r="VBY36" s="537"/>
      <c r="VBZ36" s="537"/>
      <c r="VCA36" s="537"/>
      <c r="VCB36" s="537"/>
      <c r="VCC36" s="537"/>
      <c r="VCD36" s="537"/>
      <c r="VCE36" s="537"/>
      <c r="VCF36" s="537"/>
      <c r="VCG36" s="537"/>
      <c r="VCH36" s="537"/>
      <c r="VCI36" s="537"/>
      <c r="VCJ36" s="537"/>
      <c r="VCK36" s="537"/>
      <c r="VCL36" s="537"/>
      <c r="VCM36" s="537"/>
      <c r="VCN36" s="537"/>
      <c r="VCO36" s="537"/>
      <c r="VCP36" s="537"/>
      <c r="VCQ36" s="537"/>
      <c r="VCR36" s="537"/>
      <c r="VCS36" s="537"/>
      <c r="VCT36" s="537"/>
      <c r="VCU36" s="537"/>
      <c r="VCV36" s="537"/>
      <c r="VCW36" s="537"/>
      <c r="VCX36" s="537"/>
      <c r="VCY36" s="537"/>
      <c r="VCZ36" s="537"/>
      <c r="VDA36" s="537"/>
      <c r="VDB36" s="537"/>
      <c r="VDC36" s="537"/>
      <c r="VDD36" s="537"/>
      <c r="VDE36" s="537"/>
      <c r="VDF36" s="537"/>
      <c r="VDG36" s="537"/>
      <c r="VDH36" s="537"/>
      <c r="VDI36" s="537"/>
      <c r="VDJ36" s="537"/>
      <c r="VDK36" s="537"/>
      <c r="VDL36" s="537"/>
      <c r="VDM36" s="537"/>
      <c r="VDN36" s="537"/>
      <c r="VDO36" s="537"/>
      <c r="VDP36" s="537"/>
      <c r="VDQ36" s="537"/>
      <c r="VDR36" s="537"/>
      <c r="VDS36" s="537"/>
      <c r="VDT36" s="537"/>
      <c r="VDU36" s="537"/>
      <c r="VDV36" s="537"/>
      <c r="VDW36" s="537"/>
      <c r="VDX36" s="537"/>
      <c r="VDY36" s="537"/>
      <c r="VDZ36" s="537"/>
      <c r="VEA36" s="537"/>
      <c r="VEB36" s="537"/>
      <c r="VEC36" s="537"/>
      <c r="VED36" s="537"/>
      <c r="VEE36" s="537"/>
      <c r="VEF36" s="537"/>
      <c r="VEG36" s="537"/>
      <c r="VEH36" s="537"/>
      <c r="VEI36" s="537"/>
      <c r="VEJ36" s="537"/>
      <c r="VEK36" s="537"/>
      <c r="VEL36" s="537"/>
      <c r="VEM36" s="537"/>
      <c r="VEN36" s="537"/>
      <c r="VEO36" s="537"/>
      <c r="VEP36" s="537"/>
      <c r="VEQ36" s="537"/>
      <c r="VER36" s="537"/>
      <c r="VES36" s="537"/>
      <c r="VET36" s="537"/>
      <c r="VEU36" s="537"/>
      <c r="VEV36" s="537"/>
      <c r="VEW36" s="537"/>
      <c r="VEX36" s="537"/>
      <c r="VEY36" s="537"/>
      <c r="VEZ36" s="537"/>
      <c r="VFA36" s="537"/>
      <c r="VFB36" s="537"/>
      <c r="VFC36" s="537"/>
      <c r="VFD36" s="537"/>
      <c r="VFE36" s="537"/>
      <c r="VFF36" s="537"/>
      <c r="VFG36" s="537"/>
      <c r="VFH36" s="537"/>
      <c r="VFI36" s="537"/>
      <c r="VFJ36" s="537"/>
      <c r="VFK36" s="537"/>
      <c r="VFL36" s="537"/>
      <c r="VFM36" s="537"/>
      <c r="VFN36" s="537"/>
      <c r="VFO36" s="537"/>
      <c r="VFP36" s="537"/>
      <c r="VFQ36" s="537"/>
      <c r="VFR36" s="537"/>
      <c r="VFS36" s="537"/>
      <c r="VFT36" s="537"/>
      <c r="VFU36" s="537"/>
      <c r="VFV36" s="537"/>
      <c r="VFW36" s="537"/>
      <c r="VFX36" s="537"/>
      <c r="VFY36" s="537"/>
      <c r="VFZ36" s="537"/>
      <c r="VGA36" s="537"/>
      <c r="VGB36" s="537"/>
      <c r="VGC36" s="537"/>
      <c r="VGD36" s="537"/>
      <c r="VGE36" s="537"/>
      <c r="VGF36" s="537"/>
      <c r="VGG36" s="537"/>
      <c r="VGH36" s="537"/>
      <c r="VGI36" s="537"/>
      <c r="VGJ36" s="537"/>
      <c r="VGK36" s="537"/>
      <c r="VGL36" s="537"/>
      <c r="VGM36" s="537"/>
      <c r="VGN36" s="537"/>
      <c r="VGO36" s="537"/>
      <c r="VGP36" s="537"/>
      <c r="VGQ36" s="537"/>
      <c r="VGR36" s="537"/>
      <c r="VGS36" s="537"/>
      <c r="VGT36" s="537"/>
      <c r="VGU36" s="537"/>
      <c r="VGV36" s="537"/>
      <c r="VGW36" s="537"/>
      <c r="VGX36" s="537"/>
      <c r="VGY36" s="537"/>
      <c r="VGZ36" s="537"/>
      <c r="VHA36" s="537"/>
      <c r="VHB36" s="537"/>
      <c r="VHC36" s="537"/>
      <c r="VHD36" s="537"/>
      <c r="VHE36" s="537"/>
      <c r="VHF36" s="537"/>
      <c r="VHG36" s="537"/>
      <c r="VHH36" s="537"/>
      <c r="VHI36" s="537"/>
      <c r="VHJ36" s="537"/>
      <c r="VHK36" s="537"/>
      <c r="VHL36" s="537"/>
      <c r="VHM36" s="537"/>
      <c r="VHN36" s="537"/>
      <c r="VHO36" s="537"/>
      <c r="VHP36" s="537"/>
      <c r="VHQ36" s="537"/>
      <c r="VHR36" s="537"/>
      <c r="VHS36" s="537"/>
      <c r="VHT36" s="537"/>
      <c r="VHU36" s="537"/>
      <c r="VHV36" s="537"/>
      <c r="VHW36" s="537"/>
      <c r="VHX36" s="537"/>
      <c r="VHY36" s="537"/>
      <c r="VHZ36" s="537"/>
      <c r="VIA36" s="537"/>
      <c r="VIB36" s="537"/>
      <c r="VIC36" s="537"/>
      <c r="VID36" s="537"/>
      <c r="VIE36" s="537"/>
      <c r="VIF36" s="537"/>
      <c r="VIG36" s="537"/>
      <c r="VIH36" s="537"/>
      <c r="VII36" s="537"/>
      <c r="VIJ36" s="537"/>
      <c r="VIK36" s="537"/>
      <c r="VIL36" s="537"/>
      <c r="VIM36" s="537"/>
      <c r="VIN36" s="537"/>
      <c r="VIO36" s="537"/>
      <c r="VIP36" s="537"/>
      <c r="VIQ36" s="537"/>
      <c r="VIR36" s="537"/>
      <c r="VIS36" s="537"/>
      <c r="VIT36" s="537"/>
      <c r="VIU36" s="537"/>
      <c r="VIV36" s="537"/>
      <c r="VIW36" s="537"/>
      <c r="VIX36" s="537"/>
      <c r="VIY36" s="537"/>
      <c r="VIZ36" s="537"/>
      <c r="VJA36" s="537"/>
      <c r="VJB36" s="537"/>
      <c r="VJC36" s="537"/>
      <c r="VJD36" s="537"/>
      <c r="VJE36" s="537"/>
      <c r="VJF36" s="537"/>
      <c r="VJG36" s="537"/>
      <c r="VJH36" s="537"/>
      <c r="VJI36" s="537"/>
      <c r="VJJ36" s="537"/>
      <c r="VJK36" s="537"/>
      <c r="VJL36" s="537"/>
      <c r="VJM36" s="537"/>
      <c r="VJN36" s="537"/>
      <c r="VJO36" s="537"/>
      <c r="VJP36" s="537"/>
      <c r="VJQ36" s="537"/>
      <c r="VJR36" s="537"/>
      <c r="VJS36" s="537"/>
      <c r="VJT36" s="537"/>
      <c r="VJU36" s="537"/>
      <c r="VJV36" s="537"/>
      <c r="VJW36" s="537"/>
      <c r="VJX36" s="537"/>
      <c r="VJY36" s="537"/>
      <c r="VJZ36" s="537"/>
      <c r="VKA36" s="537"/>
      <c r="VKB36" s="537"/>
      <c r="VKC36" s="537"/>
      <c r="VKD36" s="537"/>
      <c r="VKE36" s="537"/>
      <c r="VKF36" s="537"/>
      <c r="VKG36" s="537"/>
      <c r="VKH36" s="537"/>
      <c r="VKI36" s="537"/>
      <c r="VKJ36" s="537"/>
      <c r="VKK36" s="537"/>
      <c r="VKL36" s="537"/>
      <c r="VKM36" s="537"/>
      <c r="VKN36" s="537"/>
      <c r="VKO36" s="537"/>
      <c r="VKP36" s="537"/>
      <c r="VKQ36" s="537"/>
      <c r="VKR36" s="537"/>
      <c r="VKS36" s="537"/>
      <c r="VKT36" s="537"/>
      <c r="VKU36" s="537"/>
      <c r="VKV36" s="537"/>
      <c r="VKW36" s="537"/>
      <c r="VKX36" s="537"/>
      <c r="VKY36" s="537"/>
      <c r="VKZ36" s="537"/>
      <c r="VLA36" s="537"/>
      <c r="VLB36" s="537"/>
      <c r="VLC36" s="537"/>
      <c r="VLD36" s="537"/>
      <c r="VLE36" s="537"/>
      <c r="VLF36" s="537"/>
      <c r="VLG36" s="537"/>
      <c r="VLH36" s="537"/>
      <c r="VLI36" s="537"/>
      <c r="VLJ36" s="537"/>
      <c r="VLK36" s="537"/>
      <c r="VLL36" s="537"/>
      <c r="VLM36" s="537"/>
      <c r="VLN36" s="537"/>
      <c r="VLO36" s="537"/>
      <c r="VLP36" s="537"/>
      <c r="VLQ36" s="537"/>
      <c r="VLR36" s="537"/>
      <c r="VLS36" s="537"/>
      <c r="VLT36" s="537"/>
      <c r="VLU36" s="537"/>
      <c r="VLV36" s="537"/>
      <c r="VLW36" s="537"/>
      <c r="VLX36" s="537"/>
      <c r="VLY36" s="537"/>
      <c r="VLZ36" s="537"/>
      <c r="VMA36" s="537"/>
      <c r="VMB36" s="537"/>
      <c r="VMC36" s="537"/>
      <c r="VMD36" s="537"/>
      <c r="VME36" s="537"/>
      <c r="VMF36" s="537"/>
      <c r="VMG36" s="537"/>
      <c r="VMH36" s="537"/>
      <c r="VMI36" s="537"/>
      <c r="VMJ36" s="537"/>
      <c r="VMK36" s="537"/>
      <c r="VML36" s="537"/>
      <c r="VMM36" s="537"/>
      <c r="VMN36" s="537"/>
      <c r="VMO36" s="537"/>
      <c r="VMP36" s="537"/>
      <c r="VMQ36" s="537"/>
      <c r="VMR36" s="537"/>
      <c r="VMS36" s="537"/>
      <c r="VMT36" s="537"/>
      <c r="VMU36" s="537"/>
      <c r="VMV36" s="537"/>
      <c r="VMW36" s="537"/>
      <c r="VMX36" s="537"/>
      <c r="VMY36" s="537"/>
      <c r="VMZ36" s="537"/>
      <c r="VNA36" s="537"/>
      <c r="VNB36" s="537"/>
      <c r="VNC36" s="537"/>
      <c r="VND36" s="537"/>
      <c r="VNE36" s="537"/>
      <c r="VNF36" s="537"/>
      <c r="VNG36" s="537"/>
      <c r="VNH36" s="537"/>
      <c r="VNI36" s="537"/>
      <c r="VNJ36" s="537"/>
      <c r="VNK36" s="537"/>
      <c r="VNL36" s="537"/>
      <c r="VNM36" s="537"/>
      <c r="VNN36" s="537"/>
      <c r="VNO36" s="537"/>
      <c r="VNP36" s="537"/>
      <c r="VNQ36" s="537"/>
      <c r="VNR36" s="537"/>
      <c r="VNS36" s="537"/>
      <c r="VNT36" s="537"/>
      <c r="VNU36" s="537"/>
      <c r="VNV36" s="537"/>
      <c r="VNW36" s="537"/>
      <c r="VNX36" s="537"/>
      <c r="VNY36" s="537"/>
      <c r="VNZ36" s="537"/>
      <c r="VOA36" s="537"/>
      <c r="VOB36" s="537"/>
      <c r="VOC36" s="537"/>
      <c r="VOD36" s="537"/>
      <c r="VOE36" s="537"/>
      <c r="VOF36" s="537"/>
      <c r="VOG36" s="537"/>
      <c r="VOH36" s="537"/>
      <c r="VOI36" s="537"/>
      <c r="VOJ36" s="537"/>
      <c r="VOK36" s="537"/>
      <c r="VOL36" s="537"/>
      <c r="VOM36" s="537"/>
      <c r="VON36" s="537"/>
      <c r="VOO36" s="537"/>
      <c r="VOP36" s="537"/>
      <c r="VOQ36" s="537"/>
      <c r="VOR36" s="537"/>
      <c r="VOS36" s="537"/>
      <c r="VOT36" s="537"/>
      <c r="VOU36" s="537"/>
      <c r="VOV36" s="537"/>
      <c r="VOW36" s="537"/>
      <c r="VOX36" s="537"/>
      <c r="VOY36" s="537"/>
      <c r="VOZ36" s="537"/>
      <c r="VPA36" s="537"/>
      <c r="VPB36" s="537"/>
      <c r="VPC36" s="537"/>
      <c r="VPD36" s="537"/>
      <c r="VPE36" s="537"/>
      <c r="VPF36" s="537"/>
      <c r="VPG36" s="537"/>
      <c r="VPH36" s="537"/>
      <c r="VPI36" s="537"/>
      <c r="VPJ36" s="537"/>
      <c r="VPK36" s="537"/>
      <c r="VPL36" s="537"/>
      <c r="VPM36" s="537"/>
      <c r="VPN36" s="537"/>
      <c r="VPO36" s="537"/>
      <c r="VPP36" s="537"/>
      <c r="VPQ36" s="537"/>
      <c r="VPR36" s="537"/>
      <c r="VPS36" s="537"/>
      <c r="VPT36" s="537"/>
      <c r="VPU36" s="537"/>
      <c r="VPV36" s="537"/>
      <c r="VPW36" s="537"/>
      <c r="VPX36" s="537"/>
      <c r="VPY36" s="537"/>
      <c r="VPZ36" s="537"/>
      <c r="VQA36" s="537"/>
      <c r="VQB36" s="537"/>
      <c r="VQC36" s="537"/>
      <c r="VQD36" s="537"/>
      <c r="VQE36" s="537"/>
      <c r="VQF36" s="537"/>
      <c r="VQG36" s="537"/>
      <c r="VQH36" s="537"/>
      <c r="VQI36" s="537"/>
      <c r="VQJ36" s="537"/>
      <c r="VQK36" s="537"/>
      <c r="VQL36" s="537"/>
      <c r="VQM36" s="537"/>
      <c r="VQN36" s="537"/>
      <c r="VQO36" s="537"/>
      <c r="VQP36" s="537"/>
      <c r="VQQ36" s="537"/>
      <c r="VQR36" s="537"/>
      <c r="VQS36" s="537"/>
      <c r="VQT36" s="537"/>
      <c r="VQU36" s="537"/>
      <c r="VQV36" s="537"/>
      <c r="VQW36" s="537"/>
      <c r="VQX36" s="537"/>
      <c r="VQY36" s="537"/>
      <c r="VQZ36" s="537"/>
      <c r="VRA36" s="537"/>
      <c r="VRB36" s="537"/>
      <c r="VRC36" s="537"/>
      <c r="VRD36" s="537"/>
      <c r="VRE36" s="537"/>
      <c r="VRF36" s="537"/>
      <c r="VRG36" s="537"/>
      <c r="VRH36" s="537"/>
      <c r="VRI36" s="537"/>
      <c r="VRJ36" s="537"/>
      <c r="VRK36" s="537"/>
      <c r="VRL36" s="537"/>
      <c r="VRM36" s="537"/>
      <c r="VRN36" s="537"/>
      <c r="VRO36" s="537"/>
      <c r="VRP36" s="537"/>
      <c r="VRQ36" s="537"/>
      <c r="VRR36" s="537"/>
      <c r="VRS36" s="537"/>
      <c r="VRT36" s="537"/>
      <c r="VRU36" s="537"/>
      <c r="VRV36" s="537"/>
      <c r="VRW36" s="537"/>
      <c r="VRX36" s="537"/>
      <c r="VRY36" s="537"/>
      <c r="VRZ36" s="537"/>
      <c r="VSA36" s="537"/>
      <c r="VSB36" s="537"/>
      <c r="VSC36" s="537"/>
      <c r="VSD36" s="537"/>
      <c r="VSE36" s="537"/>
      <c r="VSF36" s="537"/>
      <c r="VSG36" s="537"/>
      <c r="VSH36" s="537"/>
      <c r="VSI36" s="537"/>
      <c r="VSJ36" s="537"/>
      <c r="VSK36" s="537"/>
      <c r="VSL36" s="537"/>
      <c r="VSM36" s="537"/>
      <c r="VSN36" s="537"/>
      <c r="VSO36" s="537"/>
      <c r="VSP36" s="537"/>
      <c r="VSQ36" s="537"/>
      <c r="VSR36" s="537"/>
      <c r="VSS36" s="537"/>
      <c r="VST36" s="537"/>
      <c r="VSU36" s="537"/>
      <c r="VSV36" s="537"/>
      <c r="VSW36" s="537"/>
      <c r="VSX36" s="537"/>
      <c r="VSY36" s="537"/>
      <c r="VSZ36" s="537"/>
      <c r="VTA36" s="537"/>
      <c r="VTB36" s="537"/>
      <c r="VTC36" s="537"/>
      <c r="VTD36" s="537"/>
      <c r="VTE36" s="537"/>
      <c r="VTF36" s="537"/>
      <c r="VTG36" s="537"/>
      <c r="VTH36" s="537"/>
      <c r="VTI36" s="537"/>
      <c r="VTJ36" s="537"/>
      <c r="VTK36" s="537"/>
      <c r="VTL36" s="537"/>
      <c r="VTM36" s="537"/>
      <c r="VTN36" s="537"/>
      <c r="VTO36" s="537"/>
      <c r="VTP36" s="537"/>
      <c r="VTQ36" s="537"/>
      <c r="VTR36" s="537"/>
      <c r="VTS36" s="537"/>
      <c r="VTT36" s="537"/>
      <c r="VTU36" s="537"/>
      <c r="VTV36" s="537"/>
      <c r="VTW36" s="537"/>
      <c r="VTX36" s="537"/>
      <c r="VTY36" s="537"/>
      <c r="VTZ36" s="537"/>
      <c r="VUA36" s="537"/>
      <c r="VUB36" s="537"/>
      <c r="VUC36" s="537"/>
      <c r="VUD36" s="537"/>
      <c r="VUE36" s="537"/>
      <c r="VUF36" s="537"/>
      <c r="VUG36" s="537"/>
      <c r="VUH36" s="537"/>
      <c r="VUI36" s="537"/>
      <c r="VUJ36" s="537"/>
      <c r="VUK36" s="537"/>
      <c r="VUL36" s="537"/>
      <c r="VUM36" s="537"/>
      <c r="VUN36" s="537"/>
      <c r="VUO36" s="537"/>
      <c r="VUP36" s="537"/>
      <c r="VUQ36" s="537"/>
      <c r="VUR36" s="537"/>
      <c r="VUS36" s="537"/>
      <c r="VUT36" s="537"/>
      <c r="VUU36" s="537"/>
      <c r="VUV36" s="537"/>
      <c r="VUW36" s="537"/>
      <c r="VUX36" s="537"/>
      <c r="VUY36" s="537"/>
      <c r="VUZ36" s="537"/>
      <c r="VVA36" s="537"/>
      <c r="VVB36" s="537"/>
      <c r="VVC36" s="537"/>
      <c r="VVD36" s="537"/>
      <c r="VVE36" s="537"/>
      <c r="VVF36" s="537"/>
      <c r="VVG36" s="537"/>
      <c r="VVH36" s="537"/>
      <c r="VVI36" s="537"/>
      <c r="VVJ36" s="537"/>
      <c r="VVK36" s="537"/>
      <c r="VVL36" s="537"/>
      <c r="VVM36" s="537"/>
      <c r="VVN36" s="537"/>
      <c r="VVO36" s="537"/>
      <c r="VVP36" s="537"/>
      <c r="VVQ36" s="537"/>
      <c r="VVR36" s="537"/>
      <c r="VVS36" s="537"/>
      <c r="VVT36" s="537"/>
      <c r="VVU36" s="537"/>
      <c r="VVV36" s="537"/>
      <c r="VVW36" s="537"/>
      <c r="VVX36" s="537"/>
      <c r="VVY36" s="537"/>
      <c r="VVZ36" s="537"/>
      <c r="VWA36" s="537"/>
      <c r="VWB36" s="537"/>
      <c r="VWC36" s="537"/>
      <c r="VWD36" s="537"/>
      <c r="VWE36" s="537"/>
      <c r="VWF36" s="537"/>
      <c r="VWG36" s="537"/>
      <c r="VWH36" s="537"/>
      <c r="VWI36" s="537"/>
      <c r="VWJ36" s="537"/>
      <c r="VWK36" s="537"/>
      <c r="VWL36" s="537"/>
      <c r="VWM36" s="537"/>
      <c r="VWN36" s="537"/>
      <c r="VWO36" s="537"/>
      <c r="VWP36" s="537"/>
      <c r="VWQ36" s="537"/>
      <c r="VWR36" s="537"/>
      <c r="VWS36" s="537"/>
      <c r="VWT36" s="537"/>
      <c r="VWU36" s="537"/>
      <c r="VWV36" s="537"/>
      <c r="VWW36" s="537"/>
      <c r="VWX36" s="537"/>
      <c r="VWY36" s="537"/>
      <c r="VWZ36" s="537"/>
      <c r="VXA36" s="537"/>
      <c r="VXB36" s="537"/>
      <c r="VXC36" s="537"/>
      <c r="VXD36" s="537"/>
      <c r="VXE36" s="537"/>
      <c r="VXF36" s="537"/>
      <c r="VXG36" s="537"/>
      <c r="VXH36" s="537"/>
      <c r="VXI36" s="537"/>
      <c r="VXJ36" s="537"/>
      <c r="VXK36" s="537"/>
      <c r="VXL36" s="537"/>
      <c r="VXM36" s="537"/>
      <c r="VXN36" s="537"/>
      <c r="VXO36" s="537"/>
      <c r="VXP36" s="537"/>
      <c r="VXQ36" s="537"/>
      <c r="VXR36" s="537"/>
      <c r="VXS36" s="537"/>
      <c r="VXT36" s="537"/>
      <c r="VXU36" s="537"/>
      <c r="VXV36" s="537"/>
      <c r="VXW36" s="537"/>
      <c r="VXX36" s="537"/>
      <c r="VXY36" s="537"/>
      <c r="VXZ36" s="537"/>
      <c r="VYA36" s="537"/>
      <c r="VYB36" s="537"/>
      <c r="VYC36" s="537"/>
      <c r="VYD36" s="537"/>
      <c r="VYE36" s="537"/>
      <c r="VYF36" s="537"/>
      <c r="VYG36" s="537"/>
      <c r="VYH36" s="537"/>
      <c r="VYI36" s="537"/>
      <c r="VYJ36" s="537"/>
      <c r="VYK36" s="537"/>
      <c r="VYL36" s="537"/>
      <c r="VYM36" s="537"/>
      <c r="VYN36" s="537"/>
      <c r="VYO36" s="537"/>
      <c r="VYP36" s="537"/>
      <c r="VYQ36" s="537"/>
      <c r="VYR36" s="537"/>
      <c r="VYS36" s="537"/>
      <c r="VYT36" s="537"/>
      <c r="VYU36" s="537"/>
      <c r="VYV36" s="537"/>
      <c r="VYW36" s="537"/>
      <c r="VYX36" s="537"/>
      <c r="VYY36" s="537"/>
      <c r="VYZ36" s="537"/>
      <c r="VZA36" s="537"/>
      <c r="VZB36" s="537"/>
      <c r="VZC36" s="537"/>
      <c r="VZD36" s="537"/>
      <c r="VZE36" s="537"/>
      <c r="VZF36" s="537"/>
      <c r="VZG36" s="537"/>
      <c r="VZH36" s="537"/>
      <c r="VZI36" s="537"/>
      <c r="VZJ36" s="537"/>
      <c r="VZK36" s="537"/>
      <c r="VZL36" s="537"/>
      <c r="VZM36" s="537"/>
      <c r="VZN36" s="537"/>
      <c r="VZO36" s="537"/>
      <c r="VZP36" s="537"/>
      <c r="VZQ36" s="537"/>
      <c r="VZR36" s="537"/>
      <c r="VZS36" s="537"/>
      <c r="VZT36" s="537"/>
      <c r="VZU36" s="537"/>
      <c r="VZV36" s="537"/>
      <c r="VZW36" s="537"/>
      <c r="VZX36" s="537"/>
      <c r="VZY36" s="537"/>
      <c r="VZZ36" s="537"/>
      <c r="WAA36" s="537"/>
      <c r="WAB36" s="537"/>
      <c r="WAC36" s="537"/>
      <c r="WAD36" s="537"/>
      <c r="WAE36" s="537"/>
      <c r="WAF36" s="537"/>
      <c r="WAG36" s="537"/>
      <c r="WAH36" s="537"/>
      <c r="WAI36" s="537"/>
      <c r="WAJ36" s="537"/>
      <c r="WAK36" s="537"/>
      <c r="WAL36" s="537"/>
      <c r="WAM36" s="537"/>
      <c r="WAN36" s="537"/>
      <c r="WAO36" s="537"/>
      <c r="WAP36" s="537"/>
      <c r="WAQ36" s="537"/>
      <c r="WAR36" s="537"/>
      <c r="WAS36" s="537"/>
      <c r="WAT36" s="537"/>
      <c r="WAU36" s="537"/>
      <c r="WAV36" s="537"/>
      <c r="WAW36" s="537"/>
      <c r="WAX36" s="537"/>
      <c r="WAY36" s="537"/>
      <c r="WAZ36" s="537"/>
      <c r="WBA36" s="537"/>
      <c r="WBB36" s="537"/>
      <c r="WBC36" s="537"/>
      <c r="WBD36" s="537"/>
      <c r="WBE36" s="537"/>
      <c r="WBF36" s="537"/>
      <c r="WBG36" s="537"/>
      <c r="WBH36" s="537"/>
      <c r="WBI36" s="537"/>
      <c r="WBJ36" s="537"/>
      <c r="WBK36" s="537"/>
      <c r="WBL36" s="537"/>
      <c r="WBM36" s="537"/>
      <c r="WBN36" s="537"/>
      <c r="WBO36" s="537"/>
      <c r="WBP36" s="537"/>
      <c r="WBQ36" s="537"/>
      <c r="WBR36" s="537"/>
      <c r="WBS36" s="537"/>
      <c r="WBT36" s="537"/>
      <c r="WBU36" s="537"/>
      <c r="WBV36" s="537"/>
      <c r="WBW36" s="537"/>
      <c r="WBX36" s="537"/>
      <c r="WBY36" s="537"/>
      <c r="WBZ36" s="537"/>
      <c r="WCA36" s="537"/>
      <c r="WCB36" s="537"/>
      <c r="WCC36" s="537"/>
      <c r="WCD36" s="537"/>
      <c r="WCE36" s="537"/>
      <c r="WCF36" s="537"/>
      <c r="WCG36" s="537"/>
      <c r="WCH36" s="537"/>
      <c r="WCI36" s="537"/>
      <c r="WCJ36" s="537"/>
      <c r="WCK36" s="537"/>
      <c r="WCL36" s="537"/>
      <c r="WCM36" s="537"/>
      <c r="WCN36" s="537"/>
      <c r="WCO36" s="537"/>
      <c r="WCP36" s="537"/>
      <c r="WCQ36" s="537"/>
      <c r="WCR36" s="537"/>
      <c r="WCS36" s="537"/>
      <c r="WCT36" s="537"/>
      <c r="WCU36" s="537"/>
      <c r="WCV36" s="537"/>
      <c r="WCW36" s="537"/>
      <c r="WCX36" s="537"/>
      <c r="WCY36" s="537"/>
      <c r="WCZ36" s="537"/>
      <c r="WDA36" s="537"/>
      <c r="WDB36" s="537"/>
      <c r="WDC36" s="537"/>
      <c r="WDD36" s="537"/>
      <c r="WDE36" s="537"/>
      <c r="WDF36" s="537"/>
      <c r="WDG36" s="537"/>
      <c r="WDH36" s="537"/>
      <c r="WDI36" s="537"/>
      <c r="WDJ36" s="537"/>
      <c r="WDK36" s="537"/>
      <c r="WDL36" s="537"/>
      <c r="WDM36" s="537"/>
      <c r="WDN36" s="537"/>
      <c r="WDO36" s="537"/>
      <c r="WDP36" s="537"/>
      <c r="WDQ36" s="537"/>
      <c r="WDR36" s="537"/>
      <c r="WDS36" s="537"/>
      <c r="WDT36" s="537"/>
      <c r="WDU36" s="537"/>
      <c r="WDV36" s="537"/>
      <c r="WDW36" s="537"/>
      <c r="WDX36" s="537"/>
      <c r="WDY36" s="537"/>
      <c r="WDZ36" s="537"/>
      <c r="WEA36" s="537"/>
      <c r="WEB36" s="537"/>
      <c r="WEC36" s="537"/>
      <c r="WED36" s="537"/>
      <c r="WEE36" s="537"/>
      <c r="WEF36" s="537"/>
      <c r="WEG36" s="537"/>
      <c r="WEH36" s="537"/>
      <c r="WEI36" s="537"/>
      <c r="WEJ36" s="537"/>
      <c r="WEK36" s="537"/>
      <c r="WEL36" s="537"/>
      <c r="WEM36" s="537"/>
      <c r="WEN36" s="537"/>
      <c r="WEO36" s="537"/>
      <c r="WEP36" s="537"/>
      <c r="WEQ36" s="537"/>
      <c r="WER36" s="537"/>
      <c r="WES36" s="537"/>
      <c r="WET36" s="537"/>
      <c r="WEU36" s="537"/>
      <c r="WEV36" s="537"/>
      <c r="WEW36" s="537"/>
      <c r="WEX36" s="537"/>
      <c r="WEY36" s="537"/>
      <c r="WEZ36" s="537"/>
      <c r="WFA36" s="537"/>
      <c r="WFB36" s="537"/>
      <c r="WFC36" s="537"/>
      <c r="WFD36" s="537"/>
      <c r="WFE36" s="537"/>
      <c r="WFF36" s="537"/>
      <c r="WFG36" s="537"/>
      <c r="WFH36" s="537"/>
      <c r="WFI36" s="537"/>
      <c r="WFJ36" s="537"/>
      <c r="WFK36" s="537"/>
      <c r="WFL36" s="537"/>
      <c r="WFM36" s="537"/>
      <c r="WFN36" s="537"/>
      <c r="WFO36" s="537"/>
      <c r="WFP36" s="537"/>
      <c r="WFQ36" s="537"/>
      <c r="WFR36" s="537"/>
      <c r="WFS36" s="537"/>
      <c r="WFT36" s="537"/>
      <c r="WFU36" s="537"/>
      <c r="WFV36" s="537"/>
      <c r="WFW36" s="537"/>
      <c r="WFX36" s="537"/>
      <c r="WFY36" s="537"/>
      <c r="WFZ36" s="537"/>
      <c r="WGA36" s="537"/>
      <c r="WGB36" s="537"/>
      <c r="WGC36" s="537"/>
      <c r="WGD36" s="537"/>
      <c r="WGE36" s="537"/>
      <c r="WGF36" s="537"/>
      <c r="WGG36" s="537"/>
      <c r="WGH36" s="537"/>
      <c r="WGI36" s="537"/>
      <c r="WGJ36" s="537"/>
      <c r="WGK36" s="537"/>
      <c r="WGL36" s="537"/>
      <c r="WGM36" s="537"/>
      <c r="WGN36" s="537"/>
      <c r="WGO36" s="537"/>
      <c r="WGP36" s="537"/>
      <c r="WGQ36" s="537"/>
      <c r="WGR36" s="537"/>
      <c r="WGS36" s="537"/>
      <c r="WGT36" s="537"/>
      <c r="WGU36" s="537"/>
      <c r="WGV36" s="537"/>
      <c r="WGW36" s="537"/>
      <c r="WGX36" s="537"/>
      <c r="WGY36" s="537"/>
      <c r="WGZ36" s="537"/>
      <c r="WHA36" s="537"/>
      <c r="WHB36" s="537"/>
      <c r="WHC36" s="537"/>
      <c r="WHD36" s="537"/>
      <c r="WHE36" s="537"/>
      <c r="WHF36" s="537"/>
      <c r="WHG36" s="537"/>
      <c r="WHH36" s="537"/>
      <c r="WHI36" s="537"/>
      <c r="WHJ36" s="537"/>
      <c r="WHK36" s="537"/>
      <c r="WHL36" s="537"/>
      <c r="WHM36" s="537"/>
      <c r="WHN36" s="537"/>
      <c r="WHO36" s="537"/>
      <c r="WHP36" s="537"/>
      <c r="WHQ36" s="537"/>
      <c r="WHR36" s="537"/>
      <c r="WHS36" s="537"/>
      <c r="WHT36" s="537"/>
      <c r="WHU36" s="537"/>
      <c r="WHV36" s="537"/>
      <c r="WHW36" s="537"/>
      <c r="WHX36" s="537"/>
      <c r="WHY36" s="537"/>
      <c r="WHZ36" s="537"/>
      <c r="WIA36" s="537"/>
      <c r="WIB36" s="537"/>
      <c r="WIC36" s="537"/>
      <c r="WID36" s="537"/>
      <c r="WIE36" s="537"/>
      <c r="WIF36" s="537"/>
      <c r="WIG36" s="537"/>
      <c r="WIH36" s="537"/>
      <c r="WII36" s="537"/>
      <c r="WIJ36" s="537"/>
      <c r="WIK36" s="537"/>
      <c r="WIL36" s="537"/>
      <c r="WIM36" s="537"/>
      <c r="WIN36" s="537"/>
      <c r="WIO36" s="537"/>
      <c r="WIP36" s="537"/>
      <c r="WIQ36" s="537"/>
      <c r="WIR36" s="537"/>
      <c r="WIS36" s="537"/>
      <c r="WIT36" s="537"/>
      <c r="WIU36" s="537"/>
      <c r="WIV36" s="537"/>
      <c r="WIW36" s="537"/>
      <c r="WIX36" s="537"/>
      <c r="WIY36" s="537"/>
      <c r="WIZ36" s="537"/>
      <c r="WJA36" s="537"/>
      <c r="WJB36" s="537"/>
      <c r="WJC36" s="537"/>
      <c r="WJD36" s="537"/>
      <c r="WJE36" s="537"/>
      <c r="WJF36" s="537"/>
      <c r="WJG36" s="537"/>
      <c r="WJH36" s="537"/>
      <c r="WJI36" s="537"/>
      <c r="WJJ36" s="537"/>
      <c r="WJK36" s="537"/>
      <c r="WJL36" s="537"/>
      <c r="WJM36" s="537"/>
      <c r="WJN36" s="537"/>
      <c r="WJO36" s="537"/>
      <c r="WJP36" s="537"/>
      <c r="WJQ36" s="537"/>
      <c r="WJR36" s="537"/>
      <c r="WJS36" s="537"/>
      <c r="WJT36" s="537"/>
      <c r="WJU36" s="537"/>
      <c r="WJV36" s="537"/>
      <c r="WJW36" s="537"/>
      <c r="WJX36" s="537"/>
      <c r="WJY36" s="537"/>
      <c r="WJZ36" s="537"/>
      <c r="WKA36" s="537"/>
      <c r="WKB36" s="537"/>
      <c r="WKC36" s="537"/>
      <c r="WKD36" s="537"/>
      <c r="WKE36" s="537"/>
      <c r="WKF36" s="537"/>
      <c r="WKG36" s="537"/>
      <c r="WKH36" s="537"/>
      <c r="WKI36" s="537"/>
      <c r="WKJ36" s="537"/>
      <c r="WKK36" s="537"/>
      <c r="WKL36" s="537"/>
      <c r="WKM36" s="537"/>
      <c r="WKN36" s="537"/>
      <c r="WKO36" s="537"/>
      <c r="WKP36" s="537"/>
      <c r="WKQ36" s="537"/>
      <c r="WKR36" s="537"/>
      <c r="WKS36" s="537"/>
      <c r="WKT36" s="537"/>
      <c r="WKU36" s="537"/>
      <c r="WKV36" s="537"/>
      <c r="WKW36" s="537"/>
      <c r="WKX36" s="537"/>
      <c r="WKY36" s="537"/>
      <c r="WKZ36" s="537"/>
      <c r="WLA36" s="537"/>
      <c r="WLB36" s="537"/>
      <c r="WLC36" s="537"/>
      <c r="WLD36" s="537"/>
      <c r="WLE36" s="537"/>
      <c r="WLF36" s="537"/>
      <c r="WLG36" s="537"/>
      <c r="WLH36" s="537"/>
      <c r="WLI36" s="537"/>
      <c r="WLJ36" s="537"/>
      <c r="WLK36" s="537"/>
      <c r="WLL36" s="537"/>
      <c r="WLM36" s="537"/>
      <c r="WLN36" s="537"/>
      <c r="WLO36" s="537"/>
      <c r="WLP36" s="537"/>
      <c r="WLQ36" s="537"/>
      <c r="WLR36" s="537"/>
      <c r="WLS36" s="537"/>
      <c r="WLT36" s="537"/>
      <c r="WLU36" s="537"/>
      <c r="WLV36" s="537"/>
      <c r="WLW36" s="537"/>
      <c r="WLX36" s="537"/>
      <c r="WLY36" s="537"/>
      <c r="WLZ36" s="537"/>
      <c r="WMA36" s="537"/>
      <c r="WMB36" s="537"/>
      <c r="WMC36" s="537"/>
      <c r="WMD36" s="537"/>
      <c r="WME36" s="537"/>
      <c r="WMF36" s="537"/>
      <c r="WMG36" s="537"/>
      <c r="WMH36" s="537"/>
      <c r="WMI36" s="537"/>
      <c r="WMJ36" s="537"/>
      <c r="WMK36" s="537"/>
      <c r="WML36" s="537"/>
      <c r="WMM36" s="537"/>
      <c r="WMN36" s="537"/>
      <c r="WMO36" s="537"/>
      <c r="WMP36" s="537"/>
      <c r="WMQ36" s="537"/>
      <c r="WMR36" s="537"/>
      <c r="WMS36" s="537"/>
      <c r="WMT36" s="537"/>
      <c r="WMU36" s="537"/>
      <c r="WMV36" s="537"/>
      <c r="WMW36" s="537"/>
      <c r="WMX36" s="537"/>
      <c r="WMY36" s="537"/>
      <c r="WMZ36" s="537"/>
      <c r="WNA36" s="537"/>
      <c r="WNB36" s="537"/>
      <c r="WNC36" s="537"/>
      <c r="WND36" s="537"/>
      <c r="WNE36" s="537"/>
      <c r="WNF36" s="537"/>
      <c r="WNG36" s="537"/>
      <c r="WNH36" s="537"/>
      <c r="WNI36" s="537"/>
      <c r="WNJ36" s="537"/>
      <c r="WNK36" s="537"/>
      <c r="WNL36" s="537"/>
      <c r="WNM36" s="537"/>
      <c r="WNN36" s="537"/>
      <c r="WNO36" s="537"/>
      <c r="WNP36" s="537"/>
      <c r="WNQ36" s="537"/>
      <c r="WNR36" s="537"/>
      <c r="WNS36" s="537"/>
      <c r="WNT36" s="537"/>
      <c r="WNU36" s="537"/>
      <c r="WNV36" s="537"/>
      <c r="WNW36" s="537"/>
      <c r="WNX36" s="537"/>
      <c r="WNY36" s="537"/>
      <c r="WNZ36" s="537"/>
      <c r="WOA36" s="537"/>
      <c r="WOB36" s="537"/>
      <c r="WOC36" s="537"/>
      <c r="WOD36" s="537"/>
      <c r="WOE36" s="537"/>
      <c r="WOF36" s="537"/>
      <c r="WOG36" s="537"/>
      <c r="WOH36" s="537"/>
      <c r="WOI36" s="537"/>
      <c r="WOJ36" s="537"/>
      <c r="WOK36" s="537"/>
      <c r="WOL36" s="537"/>
      <c r="WOM36" s="537"/>
      <c r="WON36" s="537"/>
      <c r="WOO36" s="537"/>
      <c r="WOP36" s="537"/>
      <c r="WOQ36" s="537"/>
      <c r="WOR36" s="537"/>
      <c r="WOS36" s="537"/>
      <c r="WOT36" s="537"/>
      <c r="WOU36" s="537"/>
      <c r="WOV36" s="537"/>
      <c r="WOW36" s="537"/>
      <c r="WOX36" s="537"/>
      <c r="WOY36" s="537"/>
      <c r="WOZ36" s="537"/>
      <c r="WPA36" s="537"/>
      <c r="WPB36" s="537"/>
      <c r="WPC36" s="537"/>
      <c r="WPD36" s="537"/>
      <c r="WPE36" s="537"/>
      <c r="WPF36" s="537"/>
      <c r="WPG36" s="537"/>
      <c r="WPH36" s="537"/>
      <c r="WPI36" s="537"/>
      <c r="WPJ36" s="537"/>
      <c r="WPK36" s="537"/>
      <c r="WPL36" s="537"/>
      <c r="WPM36" s="537"/>
      <c r="WPN36" s="537"/>
      <c r="WPO36" s="537"/>
      <c r="WPP36" s="537"/>
      <c r="WPQ36" s="537"/>
      <c r="WPR36" s="537"/>
      <c r="WPS36" s="537"/>
      <c r="WPT36" s="537"/>
      <c r="WPU36" s="537"/>
      <c r="WPV36" s="537"/>
      <c r="WPW36" s="537"/>
      <c r="WPX36" s="537"/>
      <c r="WPY36" s="537"/>
      <c r="WPZ36" s="537"/>
      <c r="WQA36" s="537"/>
      <c r="WQB36" s="537"/>
      <c r="WQC36" s="537"/>
      <c r="WQD36" s="537"/>
      <c r="WQE36" s="537"/>
      <c r="WQF36" s="537"/>
      <c r="WQG36" s="537"/>
      <c r="WQH36" s="537"/>
      <c r="WQI36" s="537"/>
      <c r="WQJ36" s="537"/>
      <c r="WQK36" s="537"/>
      <c r="WQL36" s="537"/>
      <c r="WQM36" s="537"/>
      <c r="WQN36" s="537"/>
      <c r="WQO36" s="537"/>
      <c r="WQP36" s="537"/>
      <c r="WQQ36" s="537"/>
      <c r="WQR36" s="537"/>
      <c r="WQS36" s="537"/>
      <c r="WQT36" s="537"/>
      <c r="WQU36" s="537"/>
      <c r="WQV36" s="537"/>
      <c r="WQW36" s="537"/>
      <c r="WQX36" s="537"/>
      <c r="WQY36" s="537"/>
      <c r="WQZ36" s="537"/>
      <c r="WRA36" s="537"/>
      <c r="WRB36" s="537"/>
      <c r="WRC36" s="537"/>
      <c r="WRD36" s="537"/>
      <c r="WRE36" s="537"/>
      <c r="WRF36" s="537"/>
      <c r="WRG36" s="537"/>
      <c r="WRH36" s="537"/>
      <c r="WRI36" s="537"/>
      <c r="WRJ36" s="537"/>
      <c r="WRK36" s="537"/>
      <c r="WRL36" s="537"/>
      <c r="WRM36" s="537"/>
      <c r="WRN36" s="537"/>
      <c r="WRO36" s="537"/>
      <c r="WRP36" s="537"/>
      <c r="WRQ36" s="537"/>
      <c r="WRR36" s="537"/>
      <c r="WRS36" s="537"/>
      <c r="WRT36" s="537"/>
      <c r="WRU36" s="537"/>
      <c r="WRV36" s="537"/>
      <c r="WRW36" s="537"/>
      <c r="WRX36" s="537"/>
      <c r="WRY36" s="537"/>
      <c r="WRZ36" s="537"/>
      <c r="WSA36" s="537"/>
      <c r="WSB36" s="537"/>
      <c r="WSC36" s="537"/>
      <c r="WSD36" s="537"/>
      <c r="WSE36" s="537"/>
      <c r="WSF36" s="537"/>
      <c r="WSG36" s="537"/>
      <c r="WSH36" s="537"/>
      <c r="WSI36" s="537"/>
      <c r="WSJ36" s="537"/>
      <c r="WSK36" s="537"/>
      <c r="WSL36" s="537"/>
      <c r="WSM36" s="537"/>
      <c r="WSN36" s="537"/>
      <c r="WSO36" s="537"/>
      <c r="WSP36" s="537"/>
      <c r="WSQ36" s="537"/>
      <c r="WSR36" s="537"/>
      <c r="WSS36" s="537"/>
      <c r="WST36" s="537"/>
      <c r="WSU36" s="537"/>
      <c r="WSV36" s="537"/>
      <c r="WSW36" s="537"/>
      <c r="WSX36" s="537"/>
      <c r="WSY36" s="537"/>
      <c r="WSZ36" s="537"/>
      <c r="WTA36" s="537"/>
      <c r="WTB36" s="537"/>
      <c r="WTC36" s="537"/>
      <c r="WTD36" s="537"/>
      <c r="WTE36" s="537"/>
      <c r="WTF36" s="537"/>
      <c r="WTG36" s="537"/>
      <c r="WTH36" s="537"/>
      <c r="WTI36" s="537"/>
      <c r="WTJ36" s="537"/>
      <c r="WTK36" s="537"/>
      <c r="WTL36" s="537"/>
      <c r="WTM36" s="537"/>
      <c r="WTN36" s="537"/>
      <c r="WTO36" s="537"/>
      <c r="WTP36" s="537"/>
      <c r="WTQ36" s="537"/>
      <c r="WTR36" s="537"/>
      <c r="WTS36" s="537"/>
      <c r="WTT36" s="537"/>
      <c r="WTU36" s="537"/>
      <c r="WTV36" s="537"/>
      <c r="WTW36" s="537"/>
      <c r="WTX36" s="537"/>
      <c r="WTY36" s="537"/>
      <c r="WTZ36" s="537"/>
      <c r="WUA36" s="537"/>
      <c r="WUB36" s="537"/>
      <c r="WUC36" s="537"/>
      <c r="WUD36" s="537"/>
      <c r="WUE36" s="537"/>
      <c r="WUF36" s="537"/>
      <c r="WUG36" s="537"/>
      <c r="WUH36" s="537"/>
      <c r="WUI36" s="537"/>
      <c r="WUJ36" s="537"/>
      <c r="WUK36" s="537"/>
      <c r="WUL36" s="537"/>
      <c r="WUM36" s="537"/>
      <c r="WUN36" s="537"/>
      <c r="WUO36" s="537"/>
      <c r="WUP36" s="537"/>
      <c r="WUQ36" s="537"/>
      <c r="WUR36" s="537"/>
      <c r="WUS36" s="537"/>
      <c r="WUT36" s="537"/>
      <c r="WUU36" s="537"/>
      <c r="WUV36" s="537"/>
      <c r="WUW36" s="537"/>
      <c r="WUX36" s="537"/>
      <c r="WUY36" s="537"/>
      <c r="WUZ36" s="537"/>
      <c r="WVA36" s="537"/>
      <c r="WVB36" s="537"/>
      <c r="WVC36" s="537"/>
      <c r="WVD36" s="537"/>
      <c r="WVE36" s="537"/>
      <c r="WVF36" s="537"/>
      <c r="WVG36" s="537"/>
      <c r="WVH36" s="537"/>
      <c r="WVI36" s="537"/>
      <c r="WVJ36" s="537"/>
      <c r="WVK36" s="537"/>
      <c r="WVL36" s="537"/>
      <c r="WVM36" s="537"/>
      <c r="WVN36" s="537"/>
      <c r="WVO36" s="537"/>
      <c r="WVP36" s="537"/>
      <c r="WVQ36" s="537"/>
      <c r="WVR36" s="537"/>
      <c r="WVS36" s="537"/>
      <c r="WVT36" s="537"/>
      <c r="WVU36" s="537"/>
      <c r="WVV36" s="537"/>
      <c r="WVW36" s="537"/>
      <c r="WVX36" s="537"/>
      <c r="WVY36" s="537"/>
      <c r="WVZ36" s="537"/>
      <c r="WWA36" s="537"/>
      <c r="WWB36" s="537"/>
      <c r="WWC36" s="537"/>
      <c r="WWD36" s="537"/>
      <c r="WWE36" s="537"/>
      <c r="WWF36" s="537"/>
      <c r="WWG36" s="537"/>
      <c r="WWH36" s="537"/>
      <c r="WWI36" s="537"/>
      <c r="WWJ36" s="537"/>
      <c r="WWK36" s="537"/>
      <c r="WWL36" s="537"/>
      <c r="WWM36" s="537"/>
      <c r="WWN36" s="537"/>
      <c r="WWO36" s="537"/>
      <c r="WWP36" s="537"/>
      <c r="WWQ36" s="537"/>
      <c r="WWR36" s="537"/>
      <c r="WWS36" s="537"/>
      <c r="WWT36" s="537"/>
      <c r="WWU36" s="537"/>
      <c r="WWV36" s="537"/>
      <c r="WWW36" s="537"/>
      <c r="WWX36" s="537"/>
      <c r="WWY36" s="537"/>
      <c r="WWZ36" s="537"/>
      <c r="WXA36" s="537"/>
      <c r="WXB36" s="537"/>
      <c r="WXC36" s="537"/>
      <c r="WXD36" s="537"/>
      <c r="WXE36" s="537"/>
      <c r="WXF36" s="537"/>
      <c r="WXG36" s="537"/>
      <c r="WXH36" s="537"/>
      <c r="WXI36" s="537"/>
      <c r="WXJ36" s="537"/>
      <c r="WXK36" s="537"/>
      <c r="WXL36" s="537"/>
      <c r="WXM36" s="537"/>
      <c r="WXN36" s="537"/>
      <c r="WXO36" s="537"/>
      <c r="WXP36" s="537"/>
      <c r="WXQ36" s="537"/>
      <c r="WXR36" s="537"/>
      <c r="WXS36" s="537"/>
      <c r="WXT36" s="537"/>
      <c r="WXU36" s="537"/>
      <c r="WXV36" s="537"/>
      <c r="WXW36" s="537"/>
      <c r="WXX36" s="537"/>
      <c r="WXY36" s="537"/>
      <c r="WXZ36" s="537"/>
      <c r="WYA36" s="537"/>
      <c r="WYB36" s="537"/>
      <c r="WYC36" s="537"/>
      <c r="WYD36" s="537"/>
      <c r="WYE36" s="537"/>
      <c r="WYF36" s="537"/>
      <c r="WYG36" s="537"/>
      <c r="WYH36" s="537"/>
      <c r="WYI36" s="537"/>
      <c r="WYJ36" s="537"/>
      <c r="WYK36" s="537"/>
      <c r="WYL36" s="537"/>
      <c r="WYM36" s="537"/>
      <c r="WYN36" s="537"/>
      <c r="WYO36" s="537"/>
      <c r="WYP36" s="537"/>
      <c r="WYQ36" s="537"/>
      <c r="WYR36" s="537"/>
      <c r="WYS36" s="537"/>
      <c r="WYT36" s="537"/>
      <c r="WYU36" s="537"/>
      <c r="WYV36" s="537"/>
      <c r="WYW36" s="537"/>
      <c r="WYX36" s="537"/>
      <c r="WYY36" s="537"/>
      <c r="WYZ36" s="537"/>
      <c r="WZA36" s="537"/>
      <c r="WZB36" s="537"/>
      <c r="WZC36" s="537"/>
      <c r="WZD36" s="537"/>
      <c r="WZE36" s="537"/>
      <c r="WZF36" s="537"/>
      <c r="WZG36" s="537"/>
      <c r="WZH36" s="537"/>
      <c r="WZI36" s="537"/>
      <c r="WZJ36" s="537"/>
      <c r="WZK36" s="537"/>
      <c r="WZL36" s="537"/>
      <c r="WZM36" s="537"/>
      <c r="WZN36" s="537"/>
      <c r="WZO36" s="537"/>
      <c r="WZP36" s="537"/>
      <c r="WZQ36" s="537"/>
      <c r="WZR36" s="537"/>
      <c r="WZS36" s="537"/>
      <c r="WZT36" s="537"/>
      <c r="WZU36" s="537"/>
      <c r="WZV36" s="537"/>
      <c r="WZW36" s="537"/>
      <c r="WZX36" s="537"/>
      <c r="WZY36" s="537"/>
      <c r="WZZ36" s="537"/>
      <c r="XAA36" s="537"/>
      <c r="XAB36" s="537"/>
      <c r="XAC36" s="537"/>
      <c r="XAD36" s="537"/>
      <c r="XAE36" s="537"/>
      <c r="XAF36" s="537"/>
      <c r="XAG36" s="537"/>
      <c r="XAH36" s="537"/>
      <c r="XAI36" s="537"/>
      <c r="XAJ36" s="537"/>
      <c r="XAK36" s="537"/>
      <c r="XAL36" s="537"/>
      <c r="XAM36" s="537"/>
      <c r="XAN36" s="537"/>
      <c r="XAO36" s="537"/>
      <c r="XAP36" s="537"/>
      <c r="XAQ36" s="537"/>
      <c r="XAR36" s="537"/>
      <c r="XAS36" s="537"/>
      <c r="XAT36" s="537"/>
      <c r="XAU36" s="537"/>
      <c r="XAV36" s="537"/>
      <c r="XAW36" s="537"/>
      <c r="XAX36" s="537"/>
      <c r="XAY36" s="537"/>
      <c r="XAZ36" s="537"/>
      <c r="XBA36" s="537"/>
      <c r="XBB36" s="537"/>
      <c r="XBC36" s="537"/>
      <c r="XBD36" s="537"/>
      <c r="XBE36" s="537"/>
      <c r="XBF36" s="537"/>
      <c r="XBG36" s="537"/>
      <c r="XBH36" s="537"/>
      <c r="XBI36" s="537"/>
      <c r="XBJ36" s="537"/>
      <c r="XBK36" s="537"/>
      <c r="XBL36" s="537"/>
      <c r="XBM36" s="537"/>
      <c r="XBN36" s="537"/>
      <c r="XBO36" s="537"/>
      <c r="XBP36" s="537"/>
      <c r="XBQ36" s="537"/>
      <c r="XBR36" s="537"/>
      <c r="XBS36" s="537"/>
      <c r="XBT36" s="537"/>
      <c r="XBU36" s="537"/>
      <c r="XBV36" s="537"/>
      <c r="XBW36" s="537"/>
      <c r="XBX36" s="537"/>
      <c r="XBY36" s="537"/>
      <c r="XBZ36" s="537"/>
      <c r="XCA36" s="537"/>
      <c r="XCB36" s="537"/>
      <c r="XCC36" s="537"/>
      <c r="XCD36" s="537"/>
      <c r="XCE36" s="537"/>
      <c r="XCF36" s="537"/>
      <c r="XCG36" s="537"/>
      <c r="XCH36" s="537"/>
      <c r="XCI36" s="537"/>
      <c r="XCJ36" s="537"/>
      <c r="XCK36" s="537"/>
      <c r="XCL36" s="537"/>
      <c r="XCM36" s="537"/>
      <c r="XCN36" s="537"/>
      <c r="XCO36" s="537"/>
      <c r="XCP36" s="537"/>
      <c r="XCQ36" s="537"/>
      <c r="XCR36" s="537"/>
      <c r="XCS36" s="537"/>
      <c r="XCT36" s="537"/>
      <c r="XCU36" s="537"/>
      <c r="XCV36" s="537"/>
      <c r="XCW36" s="537"/>
      <c r="XCX36" s="537"/>
      <c r="XCY36" s="537"/>
      <c r="XCZ36" s="537"/>
      <c r="XDA36" s="537"/>
      <c r="XDB36" s="537"/>
      <c r="XDC36" s="537"/>
      <c r="XDD36" s="537"/>
      <c r="XDE36" s="537"/>
      <c r="XDF36" s="537"/>
      <c r="XDG36" s="537"/>
      <c r="XDH36" s="537"/>
      <c r="XDI36" s="537"/>
      <c r="XDJ36" s="537"/>
      <c r="XDK36" s="537"/>
      <c r="XDL36" s="537"/>
      <c r="XDM36" s="537"/>
      <c r="XDN36" s="537"/>
      <c r="XDO36" s="537"/>
      <c r="XDP36" s="537"/>
      <c r="XDQ36" s="537"/>
      <c r="XDR36" s="537"/>
      <c r="XDS36" s="537"/>
      <c r="XDT36" s="537"/>
      <c r="XDU36" s="537"/>
      <c r="XDV36" s="537"/>
      <c r="XDW36" s="537"/>
      <c r="XDX36" s="537"/>
      <c r="XDY36" s="537"/>
      <c r="XDZ36" s="537"/>
      <c r="XEA36" s="537"/>
      <c r="XEB36" s="537"/>
      <c r="XEC36" s="537"/>
      <c r="XED36" s="537"/>
      <c r="XEE36" s="537"/>
      <c r="XEF36" s="537"/>
      <c r="XEG36" s="537"/>
      <c r="XEH36" s="537"/>
      <c r="XEI36" s="537"/>
      <c r="XEJ36" s="537"/>
      <c r="XEK36" s="537"/>
      <c r="XEL36" s="537"/>
      <c r="XEM36" s="537"/>
      <c r="XEN36" s="537"/>
      <c r="XEO36" s="537"/>
      <c r="XEP36" s="537"/>
      <c r="XEQ36" s="537"/>
      <c r="XER36" s="537"/>
      <c r="XES36" s="537"/>
      <c r="XET36" s="537"/>
      <c r="XEU36" s="537"/>
      <c r="XEV36" s="537"/>
      <c r="XEW36" s="537"/>
      <c r="XEX36" s="537"/>
      <c r="XEY36" s="537"/>
    </row>
    <row r="37" spans="2:16379" x14ac:dyDescent="0.25">
      <c r="B37" s="2055"/>
      <c r="C37" s="599" t="s">
        <v>1035</v>
      </c>
      <c r="D37" s="600"/>
      <c r="E37" s="600"/>
      <c r="F37" s="601"/>
      <c r="G37" s="602"/>
      <c r="H37" s="602"/>
      <c r="I37" s="603"/>
      <c r="J37" s="604"/>
    </row>
    <row r="38" spans="2:16379" ht="14.25" customHeight="1" x14ac:dyDescent="0.25">
      <c r="B38" s="2055"/>
      <c r="C38" s="605"/>
      <c r="D38" s="563"/>
      <c r="E38" s="606"/>
      <c r="F38" s="607"/>
      <c r="G38" s="608"/>
      <c r="H38" s="608"/>
      <c r="I38" s="609"/>
      <c r="J38" s="610"/>
    </row>
    <row r="39" spans="2:16379" ht="47.25" customHeight="1" x14ac:dyDescent="0.25">
      <c r="B39" s="2046" t="s">
        <v>1717</v>
      </c>
      <c r="C39" s="2047"/>
      <c r="D39" s="2047"/>
      <c r="E39" s="2047"/>
      <c r="F39" s="2047"/>
      <c r="G39" s="2047"/>
      <c r="H39" s="2047"/>
      <c r="I39" s="2047"/>
      <c r="J39" s="2047"/>
      <c r="K39" s="933"/>
    </row>
    <row r="40" spans="2:16379" ht="17.25" customHeight="1" x14ac:dyDescent="0.25">
      <c r="B40" s="611"/>
      <c r="C40" s="932"/>
      <c r="D40" s="612"/>
      <c r="E40" s="612"/>
      <c r="F40" s="612"/>
      <c r="G40" s="611"/>
      <c r="H40" s="611"/>
      <c r="I40" s="613"/>
      <c r="J40" s="614"/>
    </row>
    <row r="41" spans="2:16379" ht="11.25" customHeight="1" x14ac:dyDescent="0.25">
      <c r="B41" s="611"/>
      <c r="C41" s="612"/>
      <c r="D41" s="615" t="s">
        <v>1349</v>
      </c>
      <c r="E41" s="615"/>
      <c r="F41" s="615"/>
      <c r="H41" s="611"/>
      <c r="I41" s="613"/>
      <c r="J41" s="614"/>
    </row>
    <row r="42" spans="2:16379" x14ac:dyDescent="0.25">
      <c r="B42" s="611"/>
      <c r="C42" s="612"/>
      <c r="D42" s="616"/>
      <c r="E42" s="615" t="s">
        <v>596</v>
      </c>
      <c r="F42" s="617">
        <f>+I36-E38</f>
        <v>123097127</v>
      </c>
      <c r="H42" s="611"/>
      <c r="I42" s="613"/>
      <c r="J42" s="614"/>
    </row>
    <row r="43" spans="2:16379" x14ac:dyDescent="0.25">
      <c r="B43" s="611"/>
      <c r="C43" s="612"/>
      <c r="D43" s="616"/>
      <c r="E43" s="615" t="s">
        <v>597</v>
      </c>
      <c r="F43" s="617">
        <f>+J36-F38</f>
        <v>141215675</v>
      </c>
      <c r="H43" s="611"/>
      <c r="I43" s="613"/>
      <c r="J43" s="614"/>
    </row>
    <row r="44" spans="2:16379" x14ac:dyDescent="0.25">
      <c r="B44" s="611"/>
      <c r="C44" s="612"/>
      <c r="D44" s="612"/>
      <c r="E44" s="612"/>
      <c r="F44" s="612"/>
      <c r="G44" s="611"/>
      <c r="H44" s="611"/>
      <c r="I44" s="613"/>
      <c r="J44" s="614"/>
    </row>
    <row r="45" spans="2:16379" x14ac:dyDescent="0.25">
      <c r="B45" s="611"/>
      <c r="C45" s="612"/>
      <c r="D45" s="612"/>
      <c r="E45" s="612"/>
      <c r="F45" s="612"/>
      <c r="G45" s="611"/>
      <c r="H45" s="611"/>
      <c r="I45" s="613"/>
      <c r="J45" s="614"/>
    </row>
    <row r="46" spans="2:16379" x14ac:dyDescent="0.25">
      <c r="B46" s="611"/>
      <c r="C46" s="612"/>
      <c r="D46" s="612"/>
      <c r="E46" s="612"/>
      <c r="F46" s="612"/>
      <c r="G46" s="611"/>
      <c r="H46" s="611"/>
      <c r="I46" s="613"/>
      <c r="J46" s="614"/>
    </row>
    <row r="47" spans="2:16379" x14ac:dyDescent="0.25">
      <c r="B47" s="611"/>
      <c r="C47" s="612"/>
      <c r="D47" s="612"/>
      <c r="E47" s="612"/>
      <c r="F47" s="612"/>
      <c r="G47" s="611"/>
      <c r="H47" s="611"/>
      <c r="I47" s="613"/>
      <c r="J47" s="614"/>
    </row>
    <row r="48" spans="2:16379" x14ac:dyDescent="0.25">
      <c r="B48" s="611"/>
      <c r="C48" s="612"/>
      <c r="D48" s="612"/>
      <c r="E48" s="612"/>
      <c r="F48" s="612"/>
      <c r="G48" s="611"/>
      <c r="H48" s="611"/>
      <c r="I48" s="613"/>
      <c r="J48" s="614"/>
    </row>
    <row r="49" spans="2:10" x14ac:dyDescent="0.25">
      <c r="B49" s="611"/>
      <c r="C49" s="612"/>
      <c r="D49" s="612"/>
      <c r="E49" s="612"/>
      <c r="F49" s="612"/>
      <c r="G49" s="611"/>
      <c r="H49" s="611"/>
      <c r="I49" s="613"/>
      <c r="J49" s="614"/>
    </row>
    <row r="50" spans="2:10" x14ac:dyDescent="0.25">
      <c r="B50" s="611"/>
      <c r="C50" s="612"/>
      <c r="D50" s="612"/>
      <c r="E50" s="612"/>
      <c r="F50" s="612"/>
      <c r="G50" s="611"/>
      <c r="H50" s="611"/>
      <c r="I50" s="613"/>
      <c r="J50" s="614"/>
    </row>
    <row r="51" spans="2:10" x14ac:dyDescent="0.25">
      <c r="B51" s="611"/>
      <c r="C51" s="612"/>
      <c r="D51" s="612"/>
      <c r="E51" s="612"/>
      <c r="F51" s="612"/>
      <c r="G51" s="611"/>
      <c r="H51" s="611"/>
      <c r="I51" s="613"/>
      <c r="J51" s="614"/>
    </row>
    <row r="52" spans="2:10" hidden="1" x14ac:dyDescent="0.25"/>
    <row r="53" spans="2:10" hidden="1" x14ac:dyDescent="0.25"/>
    <row r="54" spans="2:10" hidden="1" x14ac:dyDescent="0.25"/>
  </sheetData>
  <sheetProtection algorithmName="SHA-512" hashValue="bKkDKZvv536xG7yUEaeMR8nBGOEhH2eSyChAqW0Qx9+WjdSqA5gOCVzB9zfcxzMA7TAx1apOkIEUsjH5TCZNlg==" saltValue="ud09Yxs2kiS3ChhCbE1M3g==" spinCount="100000" sheet="1" formatCells="0" formatColumns="0" formatRows="0" pivotTables="0"/>
  <mergeCells count="23">
    <mergeCell ref="C33:F33"/>
    <mergeCell ref="B39:J39"/>
    <mergeCell ref="G14:J15"/>
    <mergeCell ref="C16:F16"/>
    <mergeCell ref="C20:F20"/>
    <mergeCell ref="C34:F34"/>
    <mergeCell ref="B14:B15"/>
    <mergeCell ref="B37:B38"/>
    <mergeCell ref="C28:F28"/>
    <mergeCell ref="C23:F23"/>
    <mergeCell ref="C14:F14"/>
    <mergeCell ref="C22:F22"/>
    <mergeCell ref="C7:F7"/>
    <mergeCell ref="C12:D12"/>
    <mergeCell ref="B1:J1"/>
    <mergeCell ref="H3:I3"/>
    <mergeCell ref="H4:I4"/>
    <mergeCell ref="C5:F5"/>
    <mergeCell ref="C6:G6"/>
    <mergeCell ref="D4:F4"/>
    <mergeCell ref="D3:G3"/>
    <mergeCell ref="C8:F8"/>
    <mergeCell ref="C11:D11"/>
  </mergeCells>
  <conditionalFormatting sqref="D42:E43">
    <cfRule type="iconSet" priority="1">
      <iconSet iconSet="3Symbols2">
        <cfvo type="percent" val="0"/>
        <cfvo type="percent" val="33"/>
        <cfvo type="percent" val="67"/>
      </iconSet>
    </cfRule>
  </conditionalFormatting>
  <conditionalFormatting sqref="D41:F41">
    <cfRule type="iconSet" priority="3">
      <iconSet iconSet="3Symbols2">
        <cfvo type="percent" val="0"/>
        <cfvo type="percent" val="33"/>
        <cfvo type="percent" val="67"/>
      </iconSet>
    </cfRule>
  </conditionalFormatting>
  <pageMargins left="0.27559055118110237" right="0.19685039370078741" top="0.19685039370078741" bottom="0" header="0.19685039370078741" footer="0"/>
  <pageSetup paperSize="9" scale="84" orientation="portrait" r:id="rId1"/>
  <extLst>
    <ext xmlns:x14="http://schemas.microsoft.com/office/spreadsheetml/2009/9/main" uri="{78C0D931-6437-407d-A8EE-F0AAD7539E65}">
      <x14:conditionalFormattings>
        <x14:conditionalFormatting xmlns:xm="http://schemas.microsoft.com/office/excel/2006/main">
          <x14:cfRule type="iconSet" priority="4" id="{D404E113-7AE3-421C-92C6-5BA40ACA85A2}">
            <x14:iconSet custom="1">
              <x14:cfvo type="percent">
                <xm:f>0</xm:f>
              </x14:cfvo>
              <x14:cfvo type="percent">
                <xm:f>0</xm:f>
              </x14:cfvo>
              <x14:cfvo type="percent">
                <xm:f>1</xm:f>
              </x14:cfvo>
              <x14:cfIcon iconSet="3TrafficLights1" iconId="0"/>
              <x14:cfIcon iconSet="3TrafficLights1" iconId="2"/>
              <x14:cfIcon iconSet="4RedToBlack" iconId="3"/>
            </x14:iconSet>
          </x14:cfRule>
          <xm:sqref>F43</xm:sqref>
        </x14:conditionalFormatting>
        <x14:conditionalFormatting xmlns:xm="http://schemas.microsoft.com/office/excel/2006/main">
          <x14:cfRule type="iconSet" priority="2" id="{C0D55C2C-1D64-487F-B945-CD4D04F45930}">
            <x14:iconSet custom="1">
              <x14:cfvo type="percent">
                <xm:f>0</xm:f>
              </x14:cfvo>
              <x14:cfvo type="percent">
                <xm:f>0</xm:f>
              </x14:cfvo>
              <x14:cfvo type="percent">
                <xm:f>1</xm:f>
              </x14:cfvo>
              <x14:cfIcon iconSet="3TrafficLights1" iconId="0"/>
              <x14:cfIcon iconSet="3TrafficLights1" iconId="2"/>
              <x14:cfIcon iconSet="4RedToBlack" iconId="3"/>
            </x14:iconSet>
          </x14:cfRule>
          <xm:sqref>F42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43C6E5"/>
    <pageSetUpPr fitToPage="1"/>
  </sheetPr>
  <dimension ref="A1:M73"/>
  <sheetViews>
    <sheetView topLeftCell="B20" zoomScaleNormal="100" workbookViewId="0">
      <selection activeCell="H36" sqref="H36"/>
    </sheetView>
  </sheetViews>
  <sheetFormatPr baseColWidth="10" defaultColWidth="0" defaultRowHeight="15" zeroHeight="1" x14ac:dyDescent="0.25"/>
  <cols>
    <col min="1" max="1" width="11.42578125" style="50" customWidth="1"/>
    <col min="2" max="3" width="11.42578125" style="84" customWidth="1"/>
    <col min="4" max="4" width="24.5703125" style="81" customWidth="1"/>
    <col min="5" max="5" width="25" style="81" customWidth="1"/>
    <col min="6" max="6" width="6.42578125" style="81" customWidth="1"/>
    <col min="7" max="7" width="16.140625" style="81" customWidth="1"/>
    <col min="8" max="8" width="14.42578125" style="81" customWidth="1"/>
    <col min="9" max="9" width="17.7109375" style="81" customWidth="1"/>
    <col min="10" max="10" width="14.7109375" style="81" customWidth="1"/>
    <col min="11" max="13" width="11.42578125" style="84" customWidth="1"/>
    <col min="14" max="16384" width="11.42578125" style="50" hidden="1"/>
  </cols>
  <sheetData>
    <row r="1" spans="4:10" ht="28.5" customHeight="1" x14ac:dyDescent="0.25">
      <c r="D1" s="2065" t="s">
        <v>0</v>
      </c>
      <c r="E1" s="2066"/>
      <c r="F1" s="2066"/>
      <c r="G1" s="2066"/>
      <c r="H1" s="2066"/>
      <c r="I1" s="2066"/>
      <c r="J1" s="2067"/>
    </row>
    <row r="2" spans="4:10" x14ac:dyDescent="0.25"/>
    <row r="3" spans="4:10" ht="22.5" customHeight="1" x14ac:dyDescent="0.25">
      <c r="D3" s="33" t="s">
        <v>42</v>
      </c>
      <c r="E3" s="2077" t="str">
        <f>INFORMATIONS!B10</f>
        <v>SAM CONSEILS</v>
      </c>
      <c r="F3" s="2077"/>
      <c r="G3" s="2077"/>
      <c r="H3" s="2077"/>
      <c r="I3" s="34" t="s">
        <v>52</v>
      </c>
      <c r="J3" s="35">
        <f>INFORMATIONS!D31</f>
        <v>43465</v>
      </c>
    </row>
    <row r="4" spans="4:10" ht="19.5" customHeight="1" x14ac:dyDescent="0.25">
      <c r="D4" s="36" t="s">
        <v>43</v>
      </c>
      <c r="E4" s="287" t="str">
        <f>INFORMATIONS!B24</f>
        <v>00084404X</v>
      </c>
      <c r="F4" s="37"/>
      <c r="G4" s="37"/>
      <c r="H4" s="37"/>
      <c r="I4" s="38" t="s">
        <v>44</v>
      </c>
      <c r="J4" s="39">
        <f>INFORMATIONS!F34</f>
        <v>12</v>
      </c>
    </row>
    <row r="5" spans="4:10" x14ac:dyDescent="0.25"/>
    <row r="6" spans="4:10" x14ac:dyDescent="0.25">
      <c r="D6" s="2073" t="s">
        <v>1</v>
      </c>
      <c r="E6" s="2074"/>
      <c r="F6" s="2068" t="s">
        <v>2</v>
      </c>
      <c r="G6" s="2068" t="s">
        <v>3</v>
      </c>
      <c r="H6" s="2070" t="s">
        <v>4</v>
      </c>
      <c r="I6" s="2071"/>
      <c r="J6" s="2072"/>
    </row>
    <row r="7" spans="4:10" x14ac:dyDescent="0.25">
      <c r="D7" s="2075"/>
      <c r="E7" s="2076"/>
      <c r="F7" s="2069"/>
      <c r="G7" s="2069"/>
      <c r="H7" s="4" t="s">
        <v>5</v>
      </c>
      <c r="I7" s="4" t="s">
        <v>6</v>
      </c>
      <c r="J7" s="4" t="s">
        <v>7</v>
      </c>
    </row>
    <row r="8" spans="4:10" ht="21" customHeight="1" x14ac:dyDescent="0.25">
      <c r="D8" s="9" t="s">
        <v>8</v>
      </c>
      <c r="E8" s="14"/>
      <c r="F8" s="5"/>
      <c r="G8" s="7"/>
      <c r="H8" s="7"/>
      <c r="I8" s="7"/>
      <c r="J8" s="7"/>
    </row>
    <row r="9" spans="4:10" ht="21" customHeight="1" x14ac:dyDescent="0.25">
      <c r="D9" s="10" t="s">
        <v>9</v>
      </c>
      <c r="E9" s="15"/>
      <c r="F9" s="143"/>
      <c r="G9" s="144"/>
      <c r="H9" s="144"/>
      <c r="I9" s="144"/>
      <c r="J9" s="144"/>
    </row>
    <row r="10" spans="4:10" ht="21" customHeight="1" x14ac:dyDescent="0.25">
      <c r="D10" s="10" t="s">
        <v>10</v>
      </c>
      <c r="E10" s="15"/>
      <c r="F10" s="143"/>
      <c r="G10" s="144"/>
      <c r="H10" s="144"/>
      <c r="I10" s="144"/>
      <c r="J10" s="144"/>
    </row>
    <row r="11" spans="4:10" ht="21" customHeight="1" x14ac:dyDescent="0.25">
      <c r="D11" s="10" t="s">
        <v>11</v>
      </c>
      <c r="E11" s="15"/>
      <c r="F11" s="143"/>
      <c r="G11" s="144"/>
      <c r="H11" s="144"/>
      <c r="I11" s="144"/>
      <c r="J11" s="144"/>
    </row>
    <row r="12" spans="4:10" ht="21" customHeight="1" x14ac:dyDescent="0.25">
      <c r="D12" s="10" t="s">
        <v>12</v>
      </c>
      <c r="E12" s="15"/>
      <c r="F12" s="143"/>
      <c r="G12" s="144"/>
      <c r="H12" s="144"/>
      <c r="I12" s="144"/>
      <c r="J12" s="144"/>
    </row>
    <row r="13" spans="4:10" ht="21" customHeight="1" x14ac:dyDescent="0.25">
      <c r="D13" s="11" t="s">
        <v>19</v>
      </c>
      <c r="E13" s="16"/>
      <c r="F13" s="6"/>
      <c r="G13" s="8">
        <f>SUM(G9:G12)</f>
        <v>0</v>
      </c>
      <c r="H13" s="8">
        <f>SUM(H9:H12)</f>
        <v>0</v>
      </c>
      <c r="I13" s="8">
        <f>SUM(I9:I12)</f>
        <v>0</v>
      </c>
      <c r="J13" s="8">
        <f>SUM(J9:J12)</f>
        <v>0</v>
      </c>
    </row>
    <row r="14" spans="4:10" ht="21" customHeight="1" x14ac:dyDescent="0.25">
      <c r="D14" s="12" t="s">
        <v>13</v>
      </c>
      <c r="E14" s="17"/>
      <c r="F14" s="5"/>
      <c r="G14" s="7"/>
      <c r="H14" s="7"/>
      <c r="I14" s="7"/>
      <c r="J14" s="7"/>
    </row>
    <row r="15" spans="4:10" ht="21" customHeight="1" x14ac:dyDescent="0.25">
      <c r="D15" s="10" t="s">
        <v>14</v>
      </c>
      <c r="E15" s="15"/>
      <c r="F15" s="145"/>
      <c r="G15" s="144"/>
      <c r="H15" s="146"/>
      <c r="I15" s="146"/>
      <c r="J15" s="146"/>
    </row>
    <row r="16" spans="4:10" ht="21" customHeight="1" x14ac:dyDescent="0.25">
      <c r="D16" s="10" t="s">
        <v>15</v>
      </c>
      <c r="E16" s="15"/>
      <c r="F16" s="145"/>
      <c r="G16" s="144"/>
      <c r="H16" s="146"/>
      <c r="I16" s="146"/>
      <c r="J16" s="146"/>
    </row>
    <row r="17" spans="4:10" ht="21" customHeight="1" x14ac:dyDescent="0.25">
      <c r="D17" s="10" t="s">
        <v>16</v>
      </c>
      <c r="E17" s="15"/>
      <c r="F17" s="145"/>
      <c r="G17" s="144"/>
      <c r="H17" s="146"/>
      <c r="I17" s="146"/>
      <c r="J17" s="146"/>
    </row>
    <row r="18" spans="4:10" ht="21" customHeight="1" x14ac:dyDescent="0.25">
      <c r="D18" s="10" t="s">
        <v>17</v>
      </c>
      <c r="E18" s="15"/>
      <c r="F18" s="145"/>
      <c r="G18" s="144"/>
      <c r="H18" s="146"/>
      <c r="I18" s="146"/>
      <c r="J18" s="146"/>
    </row>
    <row r="19" spans="4:10" ht="21" customHeight="1" x14ac:dyDescent="0.25">
      <c r="D19" s="11" t="s">
        <v>18</v>
      </c>
      <c r="E19" s="16"/>
      <c r="F19" s="6"/>
      <c r="G19" s="8">
        <f>SUM(G15:G18)</f>
        <v>0</v>
      </c>
      <c r="H19" s="8">
        <f>SUM(H15:H18)</f>
        <v>0</v>
      </c>
      <c r="I19" s="8">
        <f>SUM(I15:I18)</f>
        <v>0</v>
      </c>
      <c r="J19" s="8">
        <f>SUM(J15:J18)</f>
        <v>0</v>
      </c>
    </row>
    <row r="20" spans="4:10" ht="21" customHeight="1" x14ac:dyDescent="0.25">
      <c r="D20" s="12" t="s">
        <v>20</v>
      </c>
      <c r="E20" s="17"/>
      <c r="F20" s="5"/>
      <c r="G20" s="7"/>
      <c r="H20" s="7"/>
      <c r="I20" s="7"/>
      <c r="J20" s="7"/>
    </row>
    <row r="21" spans="4:10" ht="21" customHeight="1" x14ac:dyDescent="0.25">
      <c r="D21" s="10" t="s">
        <v>21</v>
      </c>
      <c r="E21" s="15"/>
      <c r="F21" s="145"/>
      <c r="G21" s="144"/>
      <c r="H21" s="146"/>
      <c r="I21" s="146"/>
      <c r="J21" s="146"/>
    </row>
    <row r="22" spans="4:10" ht="21" customHeight="1" x14ac:dyDescent="0.25">
      <c r="D22" s="10" t="s">
        <v>22</v>
      </c>
      <c r="E22" s="15"/>
      <c r="F22" s="145"/>
      <c r="G22" s="144"/>
      <c r="H22" s="146"/>
      <c r="I22" s="146"/>
      <c r="J22" s="146"/>
    </row>
    <row r="23" spans="4:10" ht="21" customHeight="1" x14ac:dyDescent="0.25">
      <c r="D23" s="10" t="s">
        <v>23</v>
      </c>
      <c r="E23" s="15"/>
      <c r="F23" s="145"/>
      <c r="G23" s="144"/>
      <c r="H23" s="146"/>
      <c r="I23" s="146"/>
      <c r="J23" s="146"/>
    </row>
    <row r="24" spans="4:10" ht="21" customHeight="1" x14ac:dyDescent="0.25">
      <c r="D24" s="10" t="s">
        <v>24</v>
      </c>
      <c r="E24" s="15"/>
      <c r="F24" s="145"/>
      <c r="G24" s="144"/>
      <c r="H24" s="146"/>
      <c r="I24" s="146"/>
      <c r="J24" s="146"/>
    </row>
    <row r="25" spans="4:10" ht="21" customHeight="1" x14ac:dyDescent="0.25">
      <c r="D25" s="79" t="s">
        <v>25</v>
      </c>
      <c r="E25" s="80"/>
      <c r="F25" s="145"/>
      <c r="G25" s="144"/>
      <c r="H25" s="146"/>
      <c r="I25" s="146"/>
      <c r="J25" s="146"/>
    </row>
    <row r="26" spans="4:10" ht="21" customHeight="1" x14ac:dyDescent="0.25">
      <c r="D26" s="10" t="s">
        <v>26</v>
      </c>
      <c r="E26" s="15"/>
      <c r="F26" s="145"/>
      <c r="G26" s="144"/>
      <c r="H26" s="146"/>
      <c r="I26" s="146"/>
      <c r="J26" s="146"/>
    </row>
    <row r="27" spans="4:10" ht="21" customHeight="1" x14ac:dyDescent="0.25">
      <c r="D27" s="10" t="s">
        <v>27</v>
      </c>
      <c r="E27" s="15"/>
      <c r="F27" s="145"/>
      <c r="G27" s="144"/>
      <c r="H27" s="146"/>
      <c r="I27" s="146"/>
      <c r="J27" s="146"/>
    </row>
    <row r="28" spans="4:10" ht="21" customHeight="1" x14ac:dyDescent="0.25">
      <c r="D28" s="10" t="s">
        <v>28</v>
      </c>
      <c r="E28" s="15"/>
      <c r="F28" s="145"/>
      <c r="G28" s="144"/>
      <c r="H28" s="146"/>
      <c r="I28" s="146"/>
      <c r="J28" s="146"/>
    </row>
    <row r="29" spans="4:10" ht="21" customHeight="1" x14ac:dyDescent="0.25">
      <c r="D29" s="11" t="s">
        <v>29</v>
      </c>
      <c r="E29" s="16"/>
      <c r="F29" s="6"/>
      <c r="G29" s="8">
        <f>SUM(G21:G28)</f>
        <v>0</v>
      </c>
      <c r="H29" s="8">
        <f>SUM(H21:H28)</f>
        <v>0</v>
      </c>
      <c r="I29" s="8">
        <f>SUM(I21:I28)</f>
        <v>0</v>
      </c>
      <c r="J29" s="8">
        <f>SUM(J21:J28)</f>
        <v>0</v>
      </c>
    </row>
    <row r="30" spans="4:10" ht="21" customHeight="1" x14ac:dyDescent="0.25">
      <c r="D30" s="11" t="s">
        <v>30</v>
      </c>
      <c r="E30" s="16"/>
      <c r="F30" s="6"/>
      <c r="G30" s="8">
        <f>G13+G19+G29</f>
        <v>0</v>
      </c>
      <c r="H30" s="8">
        <f>H13+H19+H29</f>
        <v>0</v>
      </c>
      <c r="I30" s="8">
        <f>I13+I19+I29</f>
        <v>0</v>
      </c>
      <c r="J30" s="8">
        <f>J13+J19+J29</f>
        <v>0</v>
      </c>
    </row>
    <row r="31" spans="4:10" ht="33.75" customHeight="1" x14ac:dyDescent="0.25">
      <c r="D31" s="13" t="s">
        <v>31</v>
      </c>
      <c r="E31" s="18"/>
      <c r="F31" s="1"/>
      <c r="G31" s="1"/>
      <c r="H31" s="1"/>
      <c r="I31" s="3" t="s">
        <v>32</v>
      </c>
      <c r="J31" s="3" t="s">
        <v>33</v>
      </c>
    </row>
    <row r="32" spans="4:10" ht="21" customHeight="1" x14ac:dyDescent="0.25">
      <c r="D32" s="10" t="s">
        <v>34</v>
      </c>
      <c r="E32" s="15"/>
      <c r="F32" s="145"/>
      <c r="G32" s="146"/>
      <c r="H32" s="146"/>
      <c r="I32" s="146"/>
      <c r="J32" s="146"/>
    </row>
    <row r="33" spans="4:10" ht="21" customHeight="1" x14ac:dyDescent="0.25">
      <c r="D33" s="10" t="s">
        <v>35</v>
      </c>
      <c r="E33" s="15"/>
      <c r="F33" s="145"/>
      <c r="G33" s="146"/>
      <c r="H33" s="146"/>
      <c r="I33" s="146"/>
      <c r="J33" s="146"/>
    </row>
    <row r="34" spans="4:10" ht="21" customHeight="1" x14ac:dyDescent="0.25">
      <c r="D34" s="10" t="s">
        <v>36</v>
      </c>
      <c r="E34" s="15"/>
      <c r="F34" s="145"/>
      <c r="G34" s="146"/>
      <c r="H34" s="146"/>
      <c r="I34" s="146"/>
      <c r="J34" s="146"/>
    </row>
    <row r="35" spans="4:10" ht="21" customHeight="1" x14ac:dyDescent="0.25">
      <c r="D35" s="10" t="s">
        <v>37</v>
      </c>
      <c r="E35" s="15"/>
      <c r="F35" s="145"/>
      <c r="G35" s="146"/>
      <c r="H35" s="146"/>
      <c r="I35" s="146"/>
      <c r="J35" s="146"/>
    </row>
    <row r="36" spans="4:10" ht="21" customHeight="1" x14ac:dyDescent="0.25">
      <c r="D36" s="10" t="s">
        <v>38</v>
      </c>
      <c r="E36" s="15"/>
      <c r="F36" s="145"/>
      <c r="G36" s="146"/>
      <c r="H36" s="146"/>
      <c r="I36" s="146"/>
      <c r="J36" s="146"/>
    </row>
    <row r="37" spans="4:10" ht="21" customHeight="1" x14ac:dyDescent="0.25">
      <c r="D37" s="10" t="s">
        <v>39</v>
      </c>
      <c r="E37" s="15"/>
      <c r="F37" s="145"/>
      <c r="G37" s="146"/>
      <c r="H37" s="146"/>
      <c r="I37" s="146"/>
      <c r="J37" s="146"/>
    </row>
    <row r="38" spans="4:10" ht="21" customHeight="1" x14ac:dyDescent="0.25">
      <c r="D38" s="10" t="s">
        <v>40</v>
      </c>
      <c r="E38" s="15"/>
      <c r="F38" s="145"/>
      <c r="G38" s="146"/>
      <c r="H38" s="146"/>
      <c r="I38" s="146"/>
      <c r="J38" s="146"/>
    </row>
    <row r="39" spans="4:10" ht="21" customHeight="1" x14ac:dyDescent="0.25">
      <c r="D39" s="11" t="s">
        <v>41</v>
      </c>
      <c r="E39" s="16"/>
      <c r="F39" s="6"/>
      <c r="G39" s="8">
        <f>SUM(G32:G38)</f>
        <v>0</v>
      </c>
      <c r="H39" s="8">
        <f>SUM(H32:H38)</f>
        <v>0</v>
      </c>
      <c r="I39" s="8">
        <f>SUM(I32:I38)</f>
        <v>0</v>
      </c>
      <c r="J39" s="8">
        <f>SUM(J32:J38)</f>
        <v>0</v>
      </c>
    </row>
    <row r="40" spans="4:10" ht="21" customHeight="1" x14ac:dyDescent="0.25">
      <c r="D40" s="109"/>
      <c r="E40" s="109"/>
      <c r="F40" s="110"/>
      <c r="G40" s="111"/>
      <c r="H40" s="111"/>
      <c r="I40" s="111"/>
      <c r="J40" s="111"/>
    </row>
    <row r="41" spans="4:10" ht="15" customHeight="1" x14ac:dyDescent="0.25">
      <c r="D41" s="147" t="s">
        <v>1263</v>
      </c>
      <c r="E41" s="148"/>
      <c r="F41" s="148"/>
      <c r="G41" s="148"/>
      <c r="H41" s="148"/>
      <c r="I41" s="148"/>
      <c r="J41" s="150"/>
    </row>
    <row r="42" spans="4:10" x14ac:dyDescent="0.25">
      <c r="D42" s="2059"/>
      <c r="E42" s="2060"/>
      <c r="F42" s="2060"/>
      <c r="G42" s="2060"/>
      <c r="H42" s="2060"/>
      <c r="I42" s="2060"/>
      <c r="J42" s="2061"/>
    </row>
    <row r="43" spans="4:10" x14ac:dyDescent="0.25">
      <c r="D43" s="2059"/>
      <c r="E43" s="2060"/>
      <c r="F43" s="2060"/>
      <c r="G43" s="2060"/>
      <c r="H43" s="2060"/>
      <c r="I43" s="2060"/>
      <c r="J43" s="2061"/>
    </row>
    <row r="44" spans="4:10" x14ac:dyDescent="0.25">
      <c r="D44" s="2059"/>
      <c r="E44" s="2060"/>
      <c r="F44" s="2060"/>
      <c r="G44" s="2060"/>
      <c r="H44" s="2060"/>
      <c r="I44" s="2060"/>
      <c r="J44" s="2061"/>
    </row>
    <row r="45" spans="4:10" s="84" customFormat="1" x14ac:dyDescent="0.25">
      <c r="D45" s="2059"/>
      <c r="E45" s="2060"/>
      <c r="F45" s="2060"/>
      <c r="G45" s="2060"/>
      <c r="H45" s="2060"/>
      <c r="I45" s="2060"/>
      <c r="J45" s="2061"/>
    </row>
    <row r="46" spans="4:10" s="84" customFormat="1" x14ac:dyDescent="0.25">
      <c r="D46" s="2059"/>
      <c r="E46" s="2060"/>
      <c r="F46" s="2060"/>
      <c r="G46" s="2060"/>
      <c r="H46" s="2060"/>
      <c r="I46" s="2060"/>
      <c r="J46" s="2061"/>
    </row>
    <row r="47" spans="4:10" s="84" customFormat="1" x14ac:dyDescent="0.25">
      <c r="D47" s="2062"/>
      <c r="E47" s="2063"/>
      <c r="F47" s="2063"/>
      <c r="G47" s="2063"/>
      <c r="H47" s="2063"/>
      <c r="I47" s="2063"/>
      <c r="J47" s="2064"/>
    </row>
    <row r="48" spans="4:10" s="84" customFormat="1" x14ac:dyDescent="0.25">
      <c r="D48" s="149"/>
      <c r="E48" s="149"/>
      <c r="F48" s="149"/>
      <c r="G48" s="149"/>
      <c r="H48" s="149"/>
      <c r="I48" s="149"/>
      <c r="J48" s="149"/>
    </row>
    <row r="49" spans="4:10" s="84" customFormat="1" x14ac:dyDescent="0.25">
      <c r="D49" s="149"/>
      <c r="E49" s="149"/>
      <c r="F49" s="149"/>
      <c r="G49" s="149"/>
      <c r="H49" s="149"/>
      <c r="I49" s="149"/>
      <c r="J49" s="149"/>
    </row>
    <row r="50" spans="4:10" s="84" customFormat="1" x14ac:dyDescent="0.25">
      <c r="D50" s="149"/>
      <c r="E50" s="149"/>
      <c r="F50" s="149"/>
      <c r="G50" s="149"/>
      <c r="H50" s="149"/>
      <c r="I50" s="149"/>
      <c r="J50" s="149"/>
    </row>
    <row r="51" spans="4:10" s="84" customFormat="1" x14ac:dyDescent="0.25">
      <c r="D51" s="104"/>
      <c r="E51" s="104"/>
      <c r="F51" s="104"/>
      <c r="G51" s="104"/>
      <c r="H51" s="104"/>
      <c r="I51" s="104"/>
      <c r="J51" s="149"/>
    </row>
    <row r="52" spans="4:10" s="84" customFormat="1" x14ac:dyDescent="0.25">
      <c r="D52" s="104"/>
      <c r="E52" s="104"/>
      <c r="F52" s="104"/>
      <c r="G52" s="104"/>
      <c r="H52" s="104"/>
      <c r="I52" s="104"/>
      <c r="J52" s="149"/>
    </row>
    <row r="53" spans="4:10" s="84" customFormat="1" x14ac:dyDescent="0.25">
      <c r="D53" s="104"/>
      <c r="E53" s="104"/>
      <c r="F53" s="104"/>
      <c r="G53" s="104"/>
      <c r="H53" s="104"/>
      <c r="I53" s="104"/>
      <c r="J53" s="104"/>
    </row>
    <row r="54" spans="4:10" s="84" customFormat="1" x14ac:dyDescent="0.25">
      <c r="D54" s="104"/>
      <c r="E54" s="104"/>
      <c r="F54" s="104"/>
      <c r="G54" s="104"/>
      <c r="H54" s="104"/>
      <c r="I54" s="104"/>
      <c r="J54" s="104"/>
    </row>
    <row r="55" spans="4:10" s="84" customFormat="1" x14ac:dyDescent="0.25">
      <c r="D55" s="104"/>
      <c r="E55" s="104"/>
      <c r="F55" s="104"/>
      <c r="G55" s="104"/>
      <c r="H55" s="104"/>
      <c r="I55" s="104"/>
      <c r="J55" s="104"/>
    </row>
    <row r="56" spans="4:10" s="84" customFormat="1" x14ac:dyDescent="0.25">
      <c r="D56" s="104"/>
      <c r="E56" s="104"/>
      <c r="F56" s="104"/>
      <c r="G56" s="104"/>
      <c r="H56" s="104"/>
      <c r="I56" s="104"/>
      <c r="J56" s="104"/>
    </row>
    <row r="57" spans="4:10" s="84" customFormat="1" x14ac:dyDescent="0.25">
      <c r="D57" s="104"/>
      <c r="E57" s="104"/>
      <c r="F57" s="104"/>
      <c r="G57" s="104"/>
      <c r="H57" s="104"/>
      <c r="I57" s="104"/>
      <c r="J57" s="104"/>
    </row>
    <row r="58" spans="4:10" s="84" customFormat="1" x14ac:dyDescent="0.25">
      <c r="D58" s="104"/>
      <c r="E58" s="104"/>
      <c r="F58" s="104"/>
      <c r="G58" s="104"/>
      <c r="H58" s="104"/>
      <c r="I58" s="104"/>
      <c r="J58" s="104"/>
    </row>
    <row r="59" spans="4:10" x14ac:dyDescent="0.25"/>
    <row r="60" spans="4:10" x14ac:dyDescent="0.25"/>
    <row r="61" spans="4:10" x14ac:dyDescent="0.25"/>
    <row r="62" spans="4:10" x14ac:dyDescent="0.25"/>
    <row r="63" spans="4:10" x14ac:dyDescent="0.25"/>
    <row r="64" spans="4:10" x14ac:dyDescent="0.25"/>
    <row r="65" x14ac:dyDescent="0.25"/>
    <row r="66" x14ac:dyDescent="0.25"/>
    <row r="67" x14ac:dyDescent="0.25"/>
    <row r="68" x14ac:dyDescent="0.25"/>
    <row r="69" x14ac:dyDescent="0.25"/>
    <row r="70" x14ac:dyDescent="0.25"/>
    <row r="71" x14ac:dyDescent="0.25"/>
    <row r="72" x14ac:dyDescent="0.25"/>
    <row r="73" x14ac:dyDescent="0.25"/>
  </sheetData>
  <sheetProtection pivotTables="0"/>
  <protectedRanges>
    <protectedRange sqref="D41" name="Plage2"/>
    <protectedRange sqref="F32:J38 F9:J12 F15:J18 F21:J28" name="Plage1"/>
  </protectedRanges>
  <mergeCells count="7">
    <mergeCell ref="D42:J47"/>
    <mergeCell ref="D1:J1"/>
    <mergeCell ref="F6:F7"/>
    <mergeCell ref="G6:G7"/>
    <mergeCell ref="H6:J6"/>
    <mergeCell ref="D6:E7"/>
    <mergeCell ref="E3:H3"/>
  </mergeCells>
  <printOptions horizontalCentered="1"/>
  <pageMargins left="0.19685039370078741" right="0" top="0.39370078740157483" bottom="0" header="0" footer="0"/>
  <pageSetup paperSize="9" scale="8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43C6E5"/>
  </sheetPr>
  <dimension ref="A1:N75"/>
  <sheetViews>
    <sheetView topLeftCell="A34" zoomScaleNormal="100" workbookViewId="0">
      <selection activeCell="E31" sqref="E31:K40"/>
    </sheetView>
  </sheetViews>
  <sheetFormatPr baseColWidth="10" defaultColWidth="0" defaultRowHeight="15" zeroHeight="1" x14ac:dyDescent="0.25"/>
  <cols>
    <col min="1" max="4" width="11.42578125" style="82" customWidth="1"/>
    <col min="5" max="5" width="25.42578125" customWidth="1"/>
    <col min="6" max="6" width="11.42578125" customWidth="1"/>
    <col min="7" max="7" width="14.5703125" customWidth="1"/>
    <col min="8" max="9" width="11.42578125" customWidth="1"/>
    <col min="10" max="10" width="17.85546875" customWidth="1"/>
    <col min="11" max="11" width="11.42578125" customWidth="1"/>
    <col min="12" max="14" width="11.42578125" style="82" customWidth="1"/>
    <col min="15" max="16384" width="11.42578125" hidden="1"/>
  </cols>
  <sheetData>
    <row r="1" spans="5:11" ht="28.5" customHeight="1" x14ac:dyDescent="0.25">
      <c r="E1" s="2065" t="s">
        <v>53</v>
      </c>
      <c r="F1" s="2066"/>
      <c r="G1" s="2066"/>
      <c r="H1" s="2066"/>
      <c r="I1" s="2066"/>
      <c r="J1" s="2066"/>
      <c r="K1" s="2067"/>
    </row>
    <row r="2" spans="5:11" x14ac:dyDescent="0.25">
      <c r="E2" s="2"/>
      <c r="F2" s="2"/>
      <c r="G2" s="2"/>
      <c r="H2" s="2"/>
      <c r="I2" s="2"/>
      <c r="J2" s="2"/>
      <c r="K2" s="2"/>
    </row>
    <row r="3" spans="5:11" ht="35.25" customHeight="1" x14ac:dyDescent="0.25">
      <c r="E3" s="151" t="s">
        <v>42</v>
      </c>
      <c r="F3" s="2090" t="str">
        <f>INFORMATIONS!B10</f>
        <v>SAM CONSEILS</v>
      </c>
      <c r="G3" s="2090"/>
      <c r="H3" s="2090"/>
      <c r="I3" s="2090"/>
      <c r="J3" s="152" t="s">
        <v>52</v>
      </c>
      <c r="K3" s="153">
        <f>INFORMATIONS!D31</f>
        <v>43465</v>
      </c>
    </row>
    <row r="4" spans="5:11" ht="19.5" customHeight="1" x14ac:dyDescent="0.25">
      <c r="E4" s="36" t="s">
        <v>43</v>
      </c>
      <c r="F4" s="287" t="str">
        <f>INFORMATIONS!B24</f>
        <v>00084404X</v>
      </c>
      <c r="G4" s="37"/>
      <c r="H4" s="37"/>
      <c r="I4" s="37"/>
      <c r="J4" s="38" t="s">
        <v>44</v>
      </c>
      <c r="K4" s="39">
        <f>INFORMATIONS!F34</f>
        <v>12</v>
      </c>
    </row>
    <row r="5" spans="5:11" x14ac:dyDescent="0.25"/>
    <row r="6" spans="5:11" ht="15.75" x14ac:dyDescent="0.25">
      <c r="E6" s="2091" t="s">
        <v>54</v>
      </c>
      <c r="F6" s="2092"/>
      <c r="G6" s="2092"/>
      <c r="H6" s="2092"/>
      <c r="I6" s="2092"/>
      <c r="J6" s="2092"/>
      <c r="K6" s="2093"/>
    </row>
    <row r="7" spans="5:11" ht="18" customHeight="1" x14ac:dyDescent="0.25">
      <c r="E7" s="2095" t="s">
        <v>1360</v>
      </c>
      <c r="F7" s="2096"/>
      <c r="G7" s="2096"/>
      <c r="H7" s="2096"/>
      <c r="I7" s="2096"/>
      <c r="J7" s="2096"/>
      <c r="K7" s="2097"/>
    </row>
    <row r="8" spans="5:11" ht="18" customHeight="1" x14ac:dyDescent="0.25">
      <c r="E8" s="2098"/>
      <c r="F8" s="2099"/>
      <c r="G8" s="2099"/>
      <c r="H8" s="2099"/>
      <c r="I8" s="2099"/>
      <c r="J8" s="2099"/>
      <c r="K8" s="2100"/>
    </row>
    <row r="9" spans="5:11" ht="18" customHeight="1" x14ac:dyDescent="0.25">
      <c r="E9" s="2098"/>
      <c r="F9" s="2099"/>
      <c r="G9" s="2099"/>
      <c r="H9" s="2099"/>
      <c r="I9" s="2099"/>
      <c r="J9" s="2099"/>
      <c r="K9" s="2100"/>
    </row>
    <row r="10" spans="5:11" ht="18" customHeight="1" x14ac:dyDescent="0.25">
      <c r="E10" s="2098"/>
      <c r="F10" s="2099"/>
      <c r="G10" s="2099"/>
      <c r="H10" s="2099"/>
      <c r="I10" s="2099"/>
      <c r="J10" s="2099"/>
      <c r="K10" s="2100"/>
    </row>
    <row r="11" spans="5:11" ht="18" customHeight="1" x14ac:dyDescent="0.25">
      <c r="E11" s="2098"/>
      <c r="F11" s="2099"/>
      <c r="G11" s="2099"/>
      <c r="H11" s="2099"/>
      <c r="I11" s="2099"/>
      <c r="J11" s="2099"/>
      <c r="K11" s="2100"/>
    </row>
    <row r="12" spans="5:11" ht="18" customHeight="1" x14ac:dyDescent="0.25">
      <c r="E12" s="2098"/>
      <c r="F12" s="2099"/>
      <c r="G12" s="2099"/>
      <c r="H12" s="2099"/>
      <c r="I12" s="2099"/>
      <c r="J12" s="2099"/>
      <c r="K12" s="2100"/>
    </row>
    <row r="13" spans="5:11" ht="18" customHeight="1" x14ac:dyDescent="0.25">
      <c r="E13" s="2098"/>
      <c r="F13" s="2099"/>
      <c r="G13" s="2099"/>
      <c r="H13" s="2099"/>
      <c r="I13" s="2099"/>
      <c r="J13" s="2099"/>
      <c r="K13" s="2100"/>
    </row>
    <row r="14" spans="5:11" ht="18" customHeight="1" x14ac:dyDescent="0.25">
      <c r="E14" s="2098"/>
      <c r="F14" s="2099"/>
      <c r="G14" s="2099"/>
      <c r="H14" s="2099"/>
      <c r="I14" s="2099"/>
      <c r="J14" s="2099"/>
      <c r="K14" s="2100"/>
    </row>
    <row r="15" spans="5:11" ht="18" customHeight="1" x14ac:dyDescent="0.25">
      <c r="E15" s="2098"/>
      <c r="F15" s="2099"/>
      <c r="G15" s="2099"/>
      <c r="H15" s="2099"/>
      <c r="I15" s="2099"/>
      <c r="J15" s="2099"/>
      <c r="K15" s="2100"/>
    </row>
    <row r="16" spans="5:11" x14ac:dyDescent="0.25">
      <c r="E16" s="2098"/>
      <c r="F16" s="2099"/>
      <c r="G16" s="2099"/>
      <c r="H16" s="2099"/>
      <c r="I16" s="2099"/>
      <c r="J16" s="2099"/>
      <c r="K16" s="2100"/>
    </row>
    <row r="17" spans="5:11" x14ac:dyDescent="0.25">
      <c r="E17" s="2098"/>
      <c r="F17" s="2099"/>
      <c r="G17" s="2099"/>
      <c r="H17" s="2099"/>
      <c r="I17" s="2099"/>
      <c r="J17" s="2099"/>
      <c r="K17" s="2100"/>
    </row>
    <row r="18" spans="5:11" x14ac:dyDescent="0.25">
      <c r="E18" s="2101"/>
      <c r="F18" s="2102"/>
      <c r="G18" s="2102"/>
      <c r="H18" s="2102"/>
      <c r="I18" s="2102"/>
      <c r="J18" s="2102"/>
      <c r="K18" s="2103"/>
    </row>
    <row r="19" spans="5:11" ht="15.75" x14ac:dyDescent="0.25">
      <c r="E19" s="2091" t="s">
        <v>55</v>
      </c>
      <c r="F19" s="2092"/>
      <c r="G19" s="2092"/>
      <c r="H19" s="2092"/>
      <c r="I19" s="2092"/>
      <c r="J19" s="2092"/>
      <c r="K19" s="2093"/>
    </row>
    <row r="20" spans="5:11" ht="18" customHeight="1" x14ac:dyDescent="0.25">
      <c r="E20" s="2095" t="s">
        <v>1361</v>
      </c>
      <c r="F20" s="2104"/>
      <c r="G20" s="2104"/>
      <c r="H20" s="2104"/>
      <c r="I20" s="2104"/>
      <c r="J20" s="2104"/>
      <c r="K20" s="2105"/>
    </row>
    <row r="21" spans="5:11" ht="18" customHeight="1" x14ac:dyDescent="0.25">
      <c r="E21" s="2106"/>
      <c r="F21" s="2107"/>
      <c r="G21" s="2107"/>
      <c r="H21" s="2107"/>
      <c r="I21" s="2107"/>
      <c r="J21" s="2107"/>
      <c r="K21" s="2108"/>
    </row>
    <row r="22" spans="5:11" ht="18" customHeight="1" x14ac:dyDescent="0.25">
      <c r="E22" s="2106"/>
      <c r="F22" s="2107"/>
      <c r="G22" s="2107"/>
      <c r="H22" s="2107"/>
      <c r="I22" s="2107"/>
      <c r="J22" s="2107"/>
      <c r="K22" s="2108"/>
    </row>
    <row r="23" spans="5:11" ht="18" customHeight="1" x14ac:dyDescent="0.25">
      <c r="E23" s="2106"/>
      <c r="F23" s="2107"/>
      <c r="G23" s="2107"/>
      <c r="H23" s="2107"/>
      <c r="I23" s="2107"/>
      <c r="J23" s="2107"/>
      <c r="K23" s="2108"/>
    </row>
    <row r="24" spans="5:11" ht="18" customHeight="1" x14ac:dyDescent="0.25">
      <c r="E24" s="2106"/>
      <c r="F24" s="2107"/>
      <c r="G24" s="2107"/>
      <c r="H24" s="2107"/>
      <c r="I24" s="2107"/>
      <c r="J24" s="2107"/>
      <c r="K24" s="2108"/>
    </row>
    <row r="25" spans="5:11" ht="18" customHeight="1" x14ac:dyDescent="0.25">
      <c r="E25" s="2106"/>
      <c r="F25" s="2107"/>
      <c r="G25" s="2107"/>
      <c r="H25" s="2107"/>
      <c r="I25" s="2107"/>
      <c r="J25" s="2107"/>
      <c r="K25" s="2108"/>
    </row>
    <row r="26" spans="5:11" ht="18" customHeight="1" x14ac:dyDescent="0.25">
      <c r="E26" s="2106"/>
      <c r="F26" s="2107"/>
      <c r="G26" s="2107"/>
      <c r="H26" s="2107"/>
      <c r="I26" s="2107"/>
      <c r="J26" s="2107"/>
      <c r="K26" s="2108"/>
    </row>
    <row r="27" spans="5:11" x14ac:dyDescent="0.25">
      <c r="E27" s="2106"/>
      <c r="F27" s="2107"/>
      <c r="G27" s="2107"/>
      <c r="H27" s="2107"/>
      <c r="I27" s="2107"/>
      <c r="J27" s="2107"/>
      <c r="K27" s="2108"/>
    </row>
    <row r="28" spans="5:11" x14ac:dyDescent="0.25">
      <c r="E28" s="2106"/>
      <c r="F28" s="2107"/>
      <c r="G28" s="2107"/>
      <c r="H28" s="2107"/>
      <c r="I28" s="2107"/>
      <c r="J28" s="2107"/>
      <c r="K28" s="2108"/>
    </row>
    <row r="29" spans="5:11" x14ac:dyDescent="0.25">
      <c r="E29" s="2109"/>
      <c r="F29" s="2110"/>
      <c r="G29" s="2110"/>
      <c r="H29" s="2110"/>
      <c r="I29" s="2110"/>
      <c r="J29" s="2110"/>
      <c r="K29" s="2111"/>
    </row>
    <row r="30" spans="5:11" ht="15.75" x14ac:dyDescent="0.25">
      <c r="E30" s="2094" t="s">
        <v>56</v>
      </c>
      <c r="F30" s="2094"/>
      <c r="G30" s="2094"/>
      <c r="H30" s="2094"/>
      <c r="I30" s="2094"/>
      <c r="J30" s="2094"/>
      <c r="K30" s="2094"/>
    </row>
    <row r="31" spans="5:11" ht="18" customHeight="1" x14ac:dyDescent="0.25">
      <c r="E31" s="2095" t="s">
        <v>1362</v>
      </c>
      <c r="F31" s="2104"/>
      <c r="G31" s="2104"/>
      <c r="H31" s="2104"/>
      <c r="I31" s="2104"/>
      <c r="J31" s="2104"/>
      <c r="K31" s="2104"/>
    </row>
    <row r="32" spans="5:11" ht="18" customHeight="1" x14ac:dyDescent="0.25">
      <c r="E32" s="2106"/>
      <c r="F32" s="2107"/>
      <c r="G32" s="2107"/>
      <c r="H32" s="2107"/>
      <c r="I32" s="2107"/>
      <c r="J32" s="2107"/>
      <c r="K32" s="2107"/>
    </row>
    <row r="33" spans="5:11" ht="18" customHeight="1" x14ac:dyDescent="0.25">
      <c r="E33" s="2106"/>
      <c r="F33" s="2107"/>
      <c r="G33" s="2107"/>
      <c r="H33" s="2107"/>
      <c r="I33" s="2107"/>
      <c r="J33" s="2107"/>
      <c r="K33" s="2107"/>
    </row>
    <row r="34" spans="5:11" ht="18" customHeight="1" x14ac:dyDescent="0.25">
      <c r="E34" s="2106"/>
      <c r="F34" s="2107"/>
      <c r="G34" s="2107"/>
      <c r="H34" s="2107"/>
      <c r="I34" s="2107"/>
      <c r="J34" s="2107"/>
      <c r="K34" s="2107"/>
    </row>
    <row r="35" spans="5:11" ht="18" customHeight="1" x14ac:dyDescent="0.25">
      <c r="E35" s="2106"/>
      <c r="F35" s="2107"/>
      <c r="G35" s="2107"/>
      <c r="H35" s="2107"/>
      <c r="I35" s="2107"/>
      <c r="J35" s="2107"/>
      <c r="K35" s="2107"/>
    </row>
    <row r="36" spans="5:11" ht="18" customHeight="1" x14ac:dyDescent="0.25">
      <c r="E36" s="2106"/>
      <c r="F36" s="2107"/>
      <c r="G36" s="2107"/>
      <c r="H36" s="2107"/>
      <c r="I36" s="2107"/>
      <c r="J36" s="2107"/>
      <c r="K36" s="2107"/>
    </row>
    <row r="37" spans="5:11" ht="18" customHeight="1" x14ac:dyDescent="0.25">
      <c r="E37" s="2106"/>
      <c r="F37" s="2107"/>
      <c r="G37" s="2107"/>
      <c r="H37" s="2107"/>
      <c r="I37" s="2107"/>
      <c r="J37" s="2107"/>
      <c r="K37" s="2107"/>
    </row>
    <row r="38" spans="5:11" x14ac:dyDescent="0.25">
      <c r="E38" s="2106"/>
      <c r="F38" s="2107"/>
      <c r="G38" s="2107"/>
      <c r="H38" s="2107"/>
      <c r="I38" s="2107"/>
      <c r="J38" s="2107"/>
      <c r="K38" s="2107"/>
    </row>
    <row r="39" spans="5:11" x14ac:dyDescent="0.25">
      <c r="E39" s="2106"/>
      <c r="F39" s="2107"/>
      <c r="G39" s="2107"/>
      <c r="H39" s="2107"/>
      <c r="I39" s="2107"/>
      <c r="J39" s="2107"/>
      <c r="K39" s="2107"/>
    </row>
    <row r="40" spans="5:11" x14ac:dyDescent="0.25">
      <c r="E40" s="2109"/>
      <c r="F40" s="2110"/>
      <c r="G40" s="2110"/>
      <c r="H40" s="2110"/>
      <c r="I40" s="2110"/>
      <c r="J40" s="2110"/>
      <c r="K40" s="2110"/>
    </row>
    <row r="41" spans="5:11" ht="39.75" customHeight="1" x14ac:dyDescent="0.25">
      <c r="E41" s="2087" t="s">
        <v>57</v>
      </c>
      <c r="F41" s="2088"/>
      <c r="G41" s="2088"/>
      <c r="H41" s="2088"/>
      <c r="I41" s="2088"/>
      <c r="J41" s="2088"/>
      <c r="K41" s="2089"/>
    </row>
    <row r="42" spans="5:11" x14ac:dyDescent="0.25">
      <c r="E42" s="2078"/>
      <c r="F42" s="2079"/>
      <c r="G42" s="2079"/>
      <c r="H42" s="2079"/>
      <c r="I42" s="2079"/>
      <c r="J42" s="2079"/>
      <c r="K42" s="2080"/>
    </row>
    <row r="43" spans="5:11" x14ac:dyDescent="0.25">
      <c r="E43" s="2081"/>
      <c r="F43" s="2082"/>
      <c r="G43" s="2082"/>
      <c r="H43" s="2082"/>
      <c r="I43" s="2082"/>
      <c r="J43" s="2082"/>
      <c r="K43" s="2083"/>
    </row>
    <row r="44" spans="5:11" x14ac:dyDescent="0.25">
      <c r="E44" s="2081"/>
      <c r="F44" s="2082"/>
      <c r="G44" s="2082"/>
      <c r="H44" s="2082"/>
      <c r="I44" s="2082"/>
      <c r="J44" s="2082"/>
      <c r="K44" s="2083"/>
    </row>
    <row r="45" spans="5:11" x14ac:dyDescent="0.25">
      <c r="E45" s="2081"/>
      <c r="F45" s="2082"/>
      <c r="G45" s="2082"/>
      <c r="H45" s="2082"/>
      <c r="I45" s="2082"/>
      <c r="J45" s="2082"/>
      <c r="K45" s="2083"/>
    </row>
    <row r="46" spans="5:11" x14ac:dyDescent="0.25">
      <c r="E46" s="2081"/>
      <c r="F46" s="2082"/>
      <c r="G46" s="2082"/>
      <c r="H46" s="2082"/>
      <c r="I46" s="2082"/>
      <c r="J46" s="2082"/>
      <c r="K46" s="2083"/>
    </row>
    <row r="47" spans="5:11" x14ac:dyDescent="0.25">
      <c r="E47" s="2081"/>
      <c r="F47" s="2082"/>
      <c r="G47" s="2082"/>
      <c r="H47" s="2082"/>
      <c r="I47" s="2082"/>
      <c r="J47" s="2082"/>
      <c r="K47" s="2083"/>
    </row>
    <row r="48" spans="5:11" x14ac:dyDescent="0.25">
      <c r="E48" s="2081"/>
      <c r="F48" s="2082"/>
      <c r="G48" s="2082"/>
      <c r="H48" s="2082"/>
      <c r="I48" s="2082"/>
      <c r="J48" s="2082"/>
      <c r="K48" s="2083"/>
    </row>
    <row r="49" spans="5:11" x14ac:dyDescent="0.25">
      <c r="E49" s="2084"/>
      <c r="F49" s="2085"/>
      <c r="G49" s="2085"/>
      <c r="H49" s="2085"/>
      <c r="I49" s="2085"/>
      <c r="J49" s="2085"/>
      <c r="K49" s="2086"/>
    </row>
    <row r="50" spans="5:11" s="82" customFormat="1" x14ac:dyDescent="0.25"/>
    <row r="51" spans="5:11" s="82" customFormat="1" x14ac:dyDescent="0.25"/>
    <row r="52" spans="5:11" s="82" customFormat="1" x14ac:dyDescent="0.25"/>
    <row r="53" spans="5:11" s="82" customFormat="1" x14ac:dyDescent="0.25"/>
    <row r="54" spans="5:11" s="82" customFormat="1" x14ac:dyDescent="0.25"/>
    <row r="55" spans="5:11" s="82" customFormat="1" x14ac:dyDescent="0.25"/>
    <row r="56" spans="5:11" s="82" customFormat="1" x14ac:dyDescent="0.25"/>
    <row r="57" spans="5:11" s="82" customFormat="1" x14ac:dyDescent="0.25"/>
    <row r="58" spans="5:11" s="82" customFormat="1" x14ac:dyDescent="0.25"/>
    <row r="59" spans="5:11" s="82" customFormat="1" x14ac:dyDescent="0.25"/>
    <row r="60" spans="5:11" s="82" customFormat="1" x14ac:dyDescent="0.25"/>
    <row r="61" spans="5:11" s="82" customFormat="1" x14ac:dyDescent="0.25"/>
    <row r="62" spans="5:11" s="82" customFormat="1" x14ac:dyDescent="0.25"/>
    <row r="63" spans="5:11" s="82" customFormat="1" x14ac:dyDescent="0.25"/>
    <row r="64" spans="5:11" s="82" customFormat="1" x14ac:dyDescent="0.25"/>
    <row r="65" s="82" customFormat="1" x14ac:dyDescent="0.25"/>
    <row r="66" s="82" customFormat="1" x14ac:dyDescent="0.25"/>
    <row r="67" s="82" customFormat="1" x14ac:dyDescent="0.25"/>
    <row r="68" s="82" customFormat="1" x14ac:dyDescent="0.25"/>
    <row r="69" s="82" customFormat="1" x14ac:dyDescent="0.25"/>
    <row r="70" s="82" customFormat="1" x14ac:dyDescent="0.25"/>
    <row r="71" s="82" customFormat="1" x14ac:dyDescent="0.25"/>
    <row r="72" s="82" customFormat="1" x14ac:dyDescent="0.25"/>
    <row r="73" x14ac:dyDescent="0.25"/>
    <row r="74" x14ac:dyDescent="0.25"/>
    <row r="75" x14ac:dyDescent="0.25"/>
  </sheetData>
  <sheetProtection pivotTables="0"/>
  <protectedRanges>
    <protectedRange sqref="E7:K18 E20:K28 K29 K29 E29:J29 E31:K40 K40 K40 E45:K49 E42:K44" name="Plage1"/>
  </protectedRanges>
  <mergeCells count="10">
    <mergeCell ref="E42:K49"/>
    <mergeCell ref="E41:K41"/>
    <mergeCell ref="E1:K1"/>
    <mergeCell ref="F3:I3"/>
    <mergeCell ref="E6:K6"/>
    <mergeCell ref="E19:K19"/>
    <mergeCell ref="E30:K30"/>
    <mergeCell ref="E7:K18"/>
    <mergeCell ref="E20:K29"/>
    <mergeCell ref="E31:K40"/>
  </mergeCells>
  <printOptions horizontalCentered="1"/>
  <pageMargins left="0" right="0" top="0.19685039370078741" bottom="0" header="0.23" footer="0"/>
  <pageSetup paperSize="9" scale="95" orientation="portrait" r:id="rId1"/>
  <rowBreaks count="1" manualBreakCount="1">
    <brk id="49" min="4" max="10" man="1"/>
  </rowBreaks>
  <colBreaks count="1" manualBreakCount="1">
    <brk id="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autoPageBreaks="0"/>
  </sheetPr>
  <dimension ref="A3:F50"/>
  <sheetViews>
    <sheetView showFormulas="1" showGridLines="0" showZeros="0" showOutlineSymbols="0" view="pageBreakPreview" zoomScaleNormal="100" zoomScaleSheetLayoutView="100" workbookViewId="0">
      <selection activeCell="H36" sqref="H36"/>
    </sheetView>
  </sheetViews>
  <sheetFormatPr baseColWidth="10" defaultRowHeight="10.5" x14ac:dyDescent="0.15"/>
  <cols>
    <col min="1" max="1" width="2.140625" style="967" customWidth="1"/>
    <col min="2" max="2" width="29.140625" style="968" customWidth="1"/>
    <col min="3" max="3" width="6.28515625" style="967" customWidth="1"/>
    <col min="4" max="4" width="2.28515625" style="967" customWidth="1"/>
    <col min="5" max="5" width="43.140625" style="967" customWidth="1"/>
    <col min="6" max="6" width="7.140625" style="967" customWidth="1"/>
    <col min="7" max="16384" width="11.42578125" style="967"/>
  </cols>
  <sheetData>
    <row r="3" spans="1:6" ht="30" customHeight="1" thickBot="1" x14ac:dyDescent="0.2"/>
    <row r="4" spans="1:6" ht="16.5" customHeight="1" x14ac:dyDescent="0.15">
      <c r="A4" s="969" t="s">
        <v>1722</v>
      </c>
      <c r="B4" s="1360" t="s">
        <v>1723</v>
      </c>
      <c r="C4" s="1362" t="s">
        <v>1724</v>
      </c>
      <c r="D4" s="969" t="s">
        <v>1722</v>
      </c>
      <c r="E4" s="1360" t="s">
        <v>1723</v>
      </c>
      <c r="F4" s="1361" t="s">
        <v>1724</v>
      </c>
    </row>
    <row r="5" spans="1:6" ht="15" customHeight="1" x14ac:dyDescent="0.15">
      <c r="A5" s="970">
        <v>1</v>
      </c>
      <c r="B5" s="971" t="s">
        <v>4632</v>
      </c>
      <c r="C5" s="1359" t="s">
        <v>1828</v>
      </c>
      <c r="D5" s="972">
        <v>46</v>
      </c>
      <c r="E5" s="971" t="s">
        <v>1764</v>
      </c>
      <c r="F5" s="973" t="s">
        <v>1765</v>
      </c>
    </row>
    <row r="6" spans="1:6" ht="15" customHeight="1" x14ac:dyDescent="0.15">
      <c r="A6" s="970">
        <v>2</v>
      </c>
      <c r="B6" s="971" t="s">
        <v>4630</v>
      </c>
      <c r="C6" s="1359" t="s">
        <v>1822</v>
      </c>
      <c r="D6" s="972">
        <v>47</v>
      </c>
      <c r="E6" s="971" t="s">
        <v>1768</v>
      </c>
      <c r="F6" s="973" t="s">
        <v>1769</v>
      </c>
    </row>
    <row r="7" spans="1:6" ht="15" customHeight="1" x14ac:dyDescent="0.15">
      <c r="A7" s="970">
        <v>3</v>
      </c>
      <c r="B7" s="971" t="s">
        <v>4631</v>
      </c>
      <c r="C7" s="1359" t="s">
        <v>1823</v>
      </c>
      <c r="D7" s="972">
        <v>48</v>
      </c>
      <c r="E7" s="971" t="s">
        <v>956</v>
      </c>
      <c r="F7" s="973" t="s">
        <v>1772</v>
      </c>
    </row>
    <row r="8" spans="1:6" ht="15" customHeight="1" x14ac:dyDescent="0.15">
      <c r="A8" s="970">
        <v>4</v>
      </c>
      <c r="B8" s="971" t="s">
        <v>1825</v>
      </c>
      <c r="C8" s="1359" t="s">
        <v>1728</v>
      </c>
      <c r="D8" s="972">
        <v>49</v>
      </c>
      <c r="E8" s="971" t="s">
        <v>957</v>
      </c>
      <c r="F8" s="973" t="s">
        <v>1775</v>
      </c>
    </row>
    <row r="9" spans="1:6" ht="15" customHeight="1" x14ac:dyDescent="0.15">
      <c r="A9" s="970">
        <v>5</v>
      </c>
      <c r="B9" s="971" t="s">
        <v>1826</v>
      </c>
      <c r="C9" s="1359" t="s">
        <v>1731</v>
      </c>
      <c r="D9" s="972">
        <v>50</v>
      </c>
      <c r="E9" s="971" t="s">
        <v>958</v>
      </c>
      <c r="F9" s="973" t="s">
        <v>1778</v>
      </c>
    </row>
    <row r="10" spans="1:6" ht="15" customHeight="1" x14ac:dyDescent="0.15">
      <c r="A10" s="970">
        <v>6</v>
      </c>
      <c r="B10" s="971" t="s">
        <v>1824</v>
      </c>
      <c r="C10" s="1359" t="s">
        <v>1725</v>
      </c>
      <c r="D10" s="972">
        <v>51</v>
      </c>
      <c r="E10" s="971" t="s">
        <v>959</v>
      </c>
      <c r="F10" s="973" t="s">
        <v>1781</v>
      </c>
    </row>
    <row r="11" spans="1:6" ht="15" customHeight="1" x14ac:dyDescent="0.15">
      <c r="A11" s="970">
        <v>7</v>
      </c>
      <c r="B11" s="971" t="s">
        <v>4633</v>
      </c>
      <c r="C11" s="1359" t="s">
        <v>1734</v>
      </c>
      <c r="D11" s="972">
        <v>52</v>
      </c>
      <c r="E11" s="971" t="s">
        <v>961</v>
      </c>
      <c r="F11" s="973" t="s">
        <v>1784</v>
      </c>
    </row>
    <row r="12" spans="1:6" ht="15" customHeight="1" x14ac:dyDescent="0.15">
      <c r="A12" s="970">
        <v>8</v>
      </c>
      <c r="B12" s="971" t="s">
        <v>4634</v>
      </c>
      <c r="C12" s="1359" t="s">
        <v>1827</v>
      </c>
      <c r="D12" s="972">
        <v>53</v>
      </c>
      <c r="E12" s="971" t="s">
        <v>1787</v>
      </c>
      <c r="F12" s="973" t="s">
        <v>1788</v>
      </c>
    </row>
    <row r="13" spans="1:6" ht="15" customHeight="1" x14ac:dyDescent="0.15">
      <c r="A13" s="970">
        <v>9</v>
      </c>
      <c r="B13" s="971" t="s">
        <v>1820</v>
      </c>
      <c r="C13" s="1359" t="s">
        <v>1821</v>
      </c>
      <c r="D13" s="972">
        <v>54</v>
      </c>
      <c r="E13" s="971" t="s">
        <v>1791</v>
      </c>
      <c r="F13" s="973" t="s">
        <v>1792</v>
      </c>
    </row>
    <row r="14" spans="1:6" ht="15" customHeight="1" x14ac:dyDescent="0.15">
      <c r="A14" s="970">
        <v>10</v>
      </c>
      <c r="B14" s="971" t="s">
        <v>1737</v>
      </c>
      <c r="C14" s="1359" t="s">
        <v>1738</v>
      </c>
      <c r="D14" s="972">
        <v>55</v>
      </c>
      <c r="E14" s="971" t="s">
        <v>1795</v>
      </c>
      <c r="F14" s="973" t="s">
        <v>1796</v>
      </c>
    </row>
    <row r="15" spans="1:6" ht="15" customHeight="1" x14ac:dyDescent="0.15">
      <c r="A15" s="970">
        <v>11</v>
      </c>
      <c r="B15" s="971" t="s">
        <v>1741</v>
      </c>
      <c r="C15" s="1359" t="s">
        <v>1742</v>
      </c>
      <c r="D15" s="972">
        <v>56</v>
      </c>
      <c r="E15" s="971" t="s">
        <v>1799</v>
      </c>
      <c r="F15" s="973" t="s">
        <v>1800</v>
      </c>
    </row>
    <row r="16" spans="1:6" ht="15" customHeight="1" x14ac:dyDescent="0.15">
      <c r="A16" s="970">
        <v>12</v>
      </c>
      <c r="B16" s="971" t="s">
        <v>1744</v>
      </c>
      <c r="C16" s="1359" t="s">
        <v>1745</v>
      </c>
      <c r="D16" s="972">
        <v>57</v>
      </c>
      <c r="E16" s="971" t="s">
        <v>1803</v>
      </c>
      <c r="F16" s="973" t="s">
        <v>1804</v>
      </c>
    </row>
    <row r="17" spans="1:6" ht="15" customHeight="1" x14ac:dyDescent="0.15">
      <c r="A17" s="970">
        <v>13</v>
      </c>
      <c r="B17" s="971" t="s">
        <v>1748</v>
      </c>
      <c r="C17" s="1359" t="s">
        <v>1749</v>
      </c>
      <c r="D17" s="972">
        <v>58</v>
      </c>
      <c r="E17" s="971" t="s">
        <v>1807</v>
      </c>
      <c r="F17" s="973" t="s">
        <v>1808</v>
      </c>
    </row>
    <row r="18" spans="1:6" ht="15" customHeight="1" x14ac:dyDescent="0.15">
      <c r="A18" s="970">
        <v>14</v>
      </c>
      <c r="B18" s="971" t="s">
        <v>1752</v>
      </c>
      <c r="C18" s="1359" t="s">
        <v>1753</v>
      </c>
      <c r="D18" s="972">
        <v>59</v>
      </c>
      <c r="E18" s="971" t="s">
        <v>1810</v>
      </c>
      <c r="F18" s="973" t="s">
        <v>1811</v>
      </c>
    </row>
    <row r="19" spans="1:6" ht="15" customHeight="1" x14ac:dyDescent="0.15">
      <c r="A19" s="970">
        <v>15</v>
      </c>
      <c r="B19" s="971" t="s">
        <v>1098</v>
      </c>
      <c r="C19" s="1359" t="s">
        <v>1830</v>
      </c>
      <c r="D19" s="972">
        <v>60</v>
      </c>
      <c r="E19" s="971" t="s">
        <v>1813</v>
      </c>
      <c r="F19" s="973" t="s">
        <v>1814</v>
      </c>
    </row>
    <row r="20" spans="1:6" ht="15" customHeight="1" x14ac:dyDescent="0.15">
      <c r="A20" s="970">
        <v>16</v>
      </c>
      <c r="B20" s="971" t="s">
        <v>1099</v>
      </c>
      <c r="C20" s="1359" t="s">
        <v>1761</v>
      </c>
      <c r="D20" s="972">
        <v>61</v>
      </c>
      <c r="E20" s="971" t="s">
        <v>1816</v>
      </c>
      <c r="F20" s="973" t="s">
        <v>1817</v>
      </c>
    </row>
    <row r="21" spans="1:6" ht="15" customHeight="1" x14ac:dyDescent="0.15">
      <c r="A21" s="970">
        <v>17</v>
      </c>
      <c r="B21" s="971" t="s">
        <v>1766</v>
      </c>
      <c r="C21" s="1359" t="s">
        <v>1767</v>
      </c>
      <c r="D21" s="972">
        <v>62</v>
      </c>
      <c r="E21" s="971" t="s">
        <v>4595</v>
      </c>
      <c r="F21" s="973" t="s">
        <v>4596</v>
      </c>
    </row>
    <row r="22" spans="1:6" ht="15" customHeight="1" x14ac:dyDescent="0.15">
      <c r="A22" s="970">
        <v>18</v>
      </c>
      <c r="B22" s="971" t="s">
        <v>1770</v>
      </c>
      <c r="C22" s="1359" t="s">
        <v>1771</v>
      </c>
      <c r="D22" s="972">
        <v>63</v>
      </c>
      <c r="E22" s="971" t="s">
        <v>3982</v>
      </c>
      <c r="F22" s="973" t="s">
        <v>4597</v>
      </c>
    </row>
    <row r="23" spans="1:6" ht="15" customHeight="1" x14ac:dyDescent="0.15">
      <c r="A23" s="970">
        <v>19</v>
      </c>
      <c r="B23" s="971" t="s">
        <v>1773</v>
      </c>
      <c r="C23" s="1359" t="s">
        <v>1774</v>
      </c>
      <c r="D23" s="972">
        <v>64</v>
      </c>
      <c r="E23" s="1354" t="s">
        <v>4034</v>
      </c>
      <c r="F23" s="1357" t="s">
        <v>4598</v>
      </c>
    </row>
    <row r="24" spans="1:6" ht="15" customHeight="1" x14ac:dyDescent="0.15">
      <c r="A24" s="970">
        <v>20</v>
      </c>
      <c r="B24" s="971" t="s">
        <v>1776</v>
      </c>
      <c r="C24" s="1359" t="s">
        <v>1777</v>
      </c>
      <c r="D24" s="972">
        <v>65</v>
      </c>
      <c r="E24" s="1354" t="s">
        <v>4034</v>
      </c>
      <c r="F24" s="973" t="s">
        <v>4599</v>
      </c>
    </row>
    <row r="25" spans="1:6" ht="15" customHeight="1" x14ac:dyDescent="0.15">
      <c r="A25" s="970">
        <v>21</v>
      </c>
      <c r="B25" s="971" t="s">
        <v>1779</v>
      </c>
      <c r="C25" s="1359" t="s">
        <v>1780</v>
      </c>
      <c r="D25" s="972">
        <v>66</v>
      </c>
      <c r="E25" s="1354" t="s">
        <v>4034</v>
      </c>
      <c r="F25" s="973" t="s">
        <v>4600</v>
      </c>
    </row>
    <row r="26" spans="1:6" ht="15" customHeight="1" x14ac:dyDescent="0.15">
      <c r="A26" s="970">
        <v>22</v>
      </c>
      <c r="B26" s="971" t="s">
        <v>1782</v>
      </c>
      <c r="C26" s="1359" t="s">
        <v>1783</v>
      </c>
      <c r="D26" s="972">
        <v>67</v>
      </c>
      <c r="E26" s="1354" t="s">
        <v>4240</v>
      </c>
      <c r="F26" s="973" t="s">
        <v>4601</v>
      </c>
    </row>
    <row r="27" spans="1:6" ht="15" customHeight="1" x14ac:dyDescent="0.15">
      <c r="A27" s="970">
        <v>23</v>
      </c>
      <c r="B27" s="971" t="s">
        <v>1785</v>
      </c>
      <c r="C27" s="1359" t="s">
        <v>1786</v>
      </c>
      <c r="D27" s="972">
        <v>68</v>
      </c>
      <c r="E27" s="1354" t="s">
        <v>4246</v>
      </c>
      <c r="F27" s="973" t="s">
        <v>4602</v>
      </c>
    </row>
    <row r="28" spans="1:6" ht="15" customHeight="1" x14ac:dyDescent="0.15">
      <c r="A28" s="970">
        <v>24</v>
      </c>
      <c r="B28" s="971" t="s">
        <v>1789</v>
      </c>
      <c r="C28" s="1359" t="s">
        <v>1790</v>
      </c>
      <c r="D28" s="972">
        <v>69</v>
      </c>
      <c r="E28" s="1354" t="s">
        <v>1288</v>
      </c>
      <c r="F28" s="973" t="s">
        <v>4603</v>
      </c>
    </row>
    <row r="29" spans="1:6" ht="15" customHeight="1" x14ac:dyDescent="0.15">
      <c r="A29" s="970">
        <v>25</v>
      </c>
      <c r="B29" s="971" t="s">
        <v>1793</v>
      </c>
      <c r="C29" s="1359" t="s">
        <v>1794</v>
      </c>
      <c r="D29" s="972">
        <v>70</v>
      </c>
      <c r="E29" s="1354" t="s">
        <v>3996</v>
      </c>
      <c r="F29" s="973" t="s">
        <v>4604</v>
      </c>
    </row>
    <row r="30" spans="1:6" ht="15" customHeight="1" x14ac:dyDescent="0.15">
      <c r="A30" s="970">
        <v>26</v>
      </c>
      <c r="B30" s="971" t="s">
        <v>1797</v>
      </c>
      <c r="C30" s="1359" t="s">
        <v>1798</v>
      </c>
      <c r="D30" s="972">
        <v>71</v>
      </c>
      <c r="E30" s="1354" t="s">
        <v>4294</v>
      </c>
      <c r="F30" s="973" t="s">
        <v>4605</v>
      </c>
    </row>
    <row r="31" spans="1:6" ht="15" customHeight="1" x14ac:dyDescent="0.15">
      <c r="A31" s="970">
        <v>27</v>
      </c>
      <c r="B31" s="971" t="s">
        <v>1801</v>
      </c>
      <c r="C31" s="1359" t="s">
        <v>1802</v>
      </c>
      <c r="D31" s="972">
        <v>72</v>
      </c>
      <c r="E31" s="1354" t="s">
        <v>4000</v>
      </c>
      <c r="F31" s="973" t="s">
        <v>4606</v>
      </c>
    </row>
    <row r="32" spans="1:6" ht="15" customHeight="1" x14ac:dyDescent="0.15">
      <c r="A32" s="970">
        <v>28</v>
      </c>
      <c r="B32" s="971" t="s">
        <v>1805</v>
      </c>
      <c r="C32" s="1359" t="s">
        <v>1806</v>
      </c>
      <c r="D32" s="972">
        <v>73</v>
      </c>
      <c r="E32" s="1354" t="s">
        <v>4617</v>
      </c>
      <c r="F32" s="973" t="s">
        <v>4607</v>
      </c>
    </row>
    <row r="33" spans="1:6" ht="15" customHeight="1" x14ac:dyDescent="0.15">
      <c r="A33" s="970">
        <v>29</v>
      </c>
      <c r="B33" s="971" t="s">
        <v>896</v>
      </c>
      <c r="C33" s="1359" t="s">
        <v>1809</v>
      </c>
      <c r="D33" s="972">
        <v>74</v>
      </c>
      <c r="E33" s="1354" t="s">
        <v>4336</v>
      </c>
      <c r="F33" s="973" t="s">
        <v>4608</v>
      </c>
    </row>
    <row r="34" spans="1:6" ht="15" customHeight="1" x14ac:dyDescent="0.15">
      <c r="A34" s="970">
        <v>30</v>
      </c>
      <c r="B34" s="971" t="s">
        <v>898</v>
      </c>
      <c r="C34" s="1359" t="s">
        <v>1812</v>
      </c>
      <c r="D34" s="972">
        <v>75</v>
      </c>
      <c r="E34" s="1354" t="s">
        <v>4006</v>
      </c>
      <c r="F34" s="973" t="s">
        <v>4609</v>
      </c>
    </row>
    <row r="35" spans="1:6" ht="15" customHeight="1" x14ac:dyDescent="0.15">
      <c r="A35" s="970">
        <v>31</v>
      </c>
      <c r="B35" s="971" t="s">
        <v>899</v>
      </c>
      <c r="C35" s="1359" t="s">
        <v>1815</v>
      </c>
      <c r="D35" s="972">
        <v>76</v>
      </c>
      <c r="E35" s="1355" t="s">
        <v>4355</v>
      </c>
      <c r="F35" s="973" t="s">
        <v>4610</v>
      </c>
    </row>
    <row r="36" spans="1:6" ht="15" customHeight="1" x14ac:dyDescent="0.15">
      <c r="A36" s="970">
        <v>32</v>
      </c>
      <c r="B36" s="971" t="s">
        <v>1818</v>
      </c>
      <c r="C36" s="1359" t="s">
        <v>1819</v>
      </c>
      <c r="D36" s="972">
        <v>77</v>
      </c>
      <c r="E36" s="1356" t="s">
        <v>4363</v>
      </c>
      <c r="F36" s="973" t="s">
        <v>4611</v>
      </c>
    </row>
    <row r="37" spans="1:6" ht="15" customHeight="1" x14ac:dyDescent="0.15">
      <c r="A37" s="970">
        <v>33</v>
      </c>
      <c r="B37" s="971" t="s">
        <v>1726</v>
      </c>
      <c r="C37" s="1359" t="s">
        <v>1727</v>
      </c>
      <c r="D37" s="972">
        <v>78</v>
      </c>
      <c r="E37" s="1354" t="s">
        <v>4367</v>
      </c>
      <c r="F37" s="973" t="s">
        <v>4612</v>
      </c>
    </row>
    <row r="38" spans="1:6" ht="15" customHeight="1" x14ac:dyDescent="0.15">
      <c r="A38" s="970">
        <v>34</v>
      </c>
      <c r="B38" s="971" t="s">
        <v>1729</v>
      </c>
      <c r="C38" s="1359" t="s">
        <v>1730</v>
      </c>
      <c r="D38" s="972">
        <v>79</v>
      </c>
      <c r="E38" s="1354" t="s">
        <v>4375</v>
      </c>
      <c r="F38" s="973" t="s">
        <v>4613</v>
      </c>
    </row>
    <row r="39" spans="1:6" ht="15" customHeight="1" x14ac:dyDescent="0.15">
      <c r="A39" s="970">
        <v>35</v>
      </c>
      <c r="B39" s="971" t="s">
        <v>1732</v>
      </c>
      <c r="C39" s="1359" t="s">
        <v>1733</v>
      </c>
      <c r="D39" s="972">
        <v>80</v>
      </c>
      <c r="E39" s="1354" t="s">
        <v>4381</v>
      </c>
      <c r="F39" s="973" t="s">
        <v>4614</v>
      </c>
    </row>
    <row r="40" spans="1:6" ht="15" customHeight="1" x14ac:dyDescent="0.15">
      <c r="A40" s="970">
        <v>36</v>
      </c>
      <c r="B40" s="971" t="s">
        <v>1735</v>
      </c>
      <c r="C40" s="1359" t="s">
        <v>1736</v>
      </c>
      <c r="D40" s="972">
        <v>81</v>
      </c>
      <c r="E40" s="1354" t="s">
        <v>4383</v>
      </c>
      <c r="F40" s="973" t="s">
        <v>4615</v>
      </c>
    </row>
    <row r="41" spans="1:6" ht="15" customHeight="1" x14ac:dyDescent="0.15">
      <c r="A41" s="970">
        <v>37</v>
      </c>
      <c r="B41" s="971" t="s">
        <v>1739</v>
      </c>
      <c r="C41" s="1359" t="s">
        <v>1740</v>
      </c>
      <c r="D41" s="972">
        <v>82</v>
      </c>
      <c r="E41" s="1354" t="s">
        <v>4020</v>
      </c>
      <c r="F41" s="973" t="s">
        <v>4616</v>
      </c>
    </row>
    <row r="42" spans="1:6" ht="15" customHeight="1" x14ac:dyDescent="0.15">
      <c r="A42" s="970">
        <v>38</v>
      </c>
      <c r="B42" s="971" t="s">
        <v>8</v>
      </c>
      <c r="C42" s="1359" t="s">
        <v>1743</v>
      </c>
      <c r="D42" s="972">
        <v>83</v>
      </c>
      <c r="E42" s="1354" t="s">
        <v>1264</v>
      </c>
      <c r="F42" s="973" t="s">
        <v>4618</v>
      </c>
    </row>
    <row r="43" spans="1:6" ht="15" customHeight="1" x14ac:dyDescent="0.15">
      <c r="A43" s="970">
        <v>39</v>
      </c>
      <c r="B43" s="971" t="s">
        <v>1746</v>
      </c>
      <c r="C43" s="1359" t="s">
        <v>1747</v>
      </c>
      <c r="D43" s="972">
        <v>84</v>
      </c>
      <c r="E43" s="1355" t="s">
        <v>4628</v>
      </c>
      <c r="F43" s="1357" t="s">
        <v>4629</v>
      </c>
    </row>
    <row r="44" spans="1:6" ht="15" customHeight="1" x14ac:dyDescent="0.15">
      <c r="A44" s="970">
        <v>40</v>
      </c>
      <c r="B44" s="971" t="s">
        <v>1750</v>
      </c>
      <c r="C44" s="1359" t="s">
        <v>1751</v>
      </c>
      <c r="D44" s="972">
        <v>85</v>
      </c>
      <c r="E44" s="1354" t="s">
        <v>4622</v>
      </c>
      <c r="F44" s="973" t="s">
        <v>4619</v>
      </c>
    </row>
    <row r="45" spans="1:6" ht="15" customHeight="1" x14ac:dyDescent="0.15">
      <c r="A45" s="970">
        <v>41</v>
      </c>
      <c r="B45" s="971" t="s">
        <v>1754</v>
      </c>
      <c r="C45" s="1359" t="s">
        <v>1755</v>
      </c>
      <c r="D45" s="972">
        <v>86</v>
      </c>
      <c r="E45" s="1354" t="s">
        <v>1271</v>
      </c>
      <c r="F45" s="973" t="s">
        <v>4620</v>
      </c>
    </row>
    <row r="46" spans="1:6" ht="15" customHeight="1" x14ac:dyDescent="0.15">
      <c r="A46" s="970">
        <v>42</v>
      </c>
      <c r="B46" s="971" t="s">
        <v>925</v>
      </c>
      <c r="C46" s="1359" t="s">
        <v>1756</v>
      </c>
      <c r="D46" s="972">
        <v>87</v>
      </c>
      <c r="E46" s="1355" t="s">
        <v>4621</v>
      </c>
      <c r="F46" s="973" t="s">
        <v>4623</v>
      </c>
    </row>
    <row r="47" spans="1:6" ht="15" customHeight="1" x14ac:dyDescent="0.15">
      <c r="A47" s="970">
        <v>43</v>
      </c>
      <c r="B47" s="971" t="s">
        <v>1757</v>
      </c>
      <c r="C47" s="1359" t="s">
        <v>1758</v>
      </c>
      <c r="D47" s="972">
        <v>88</v>
      </c>
      <c r="E47" s="1354" t="s">
        <v>4455</v>
      </c>
      <c r="F47" s="973" t="s">
        <v>4624</v>
      </c>
    </row>
    <row r="48" spans="1:6" ht="15" customHeight="1" x14ac:dyDescent="0.15">
      <c r="A48" s="970">
        <v>44</v>
      </c>
      <c r="B48" s="971" t="s">
        <v>1759</v>
      </c>
      <c r="C48" s="1359" t="s">
        <v>1760</v>
      </c>
      <c r="D48" s="972">
        <v>89</v>
      </c>
      <c r="E48" s="1355" t="s">
        <v>4625</v>
      </c>
      <c r="F48" s="1358" t="s">
        <v>4626</v>
      </c>
    </row>
    <row r="49" spans="1:6" ht="15" customHeight="1" x14ac:dyDescent="0.15">
      <c r="A49" s="970">
        <v>45</v>
      </c>
      <c r="B49" s="971" t="s">
        <v>1762</v>
      </c>
      <c r="C49" s="1359" t="s">
        <v>1763</v>
      </c>
      <c r="D49" s="972">
        <v>90</v>
      </c>
      <c r="E49" s="1355" t="s">
        <v>4457</v>
      </c>
      <c r="F49" s="1358" t="s">
        <v>4627</v>
      </c>
    </row>
    <row r="50" spans="1:6" ht="18.75" customHeight="1" x14ac:dyDescent="0.3">
      <c r="A50" s="1733" t="s">
        <v>1829</v>
      </c>
      <c r="B50" s="1734"/>
      <c r="C50" s="1734"/>
      <c r="D50" s="1734"/>
      <c r="E50" s="1734"/>
      <c r="F50" s="1734"/>
    </row>
  </sheetData>
  <sheetProtection selectLockedCells="1" pivotTables="0" selectUnlockedCells="1"/>
  <mergeCells count="1">
    <mergeCell ref="A50:F50"/>
  </mergeCells>
  <printOptions horizontalCentered="1" verticalCentered="1"/>
  <pageMargins left="0.19685039370078741" right="0.19685039370078741" top="0.19685039370078741" bottom="0.19685039370078741" header="0" footer="0"/>
  <pageSetup paperSize="9" scale="76" orientation="landscape" horizontalDpi="180" verticalDpi="18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43C6E5"/>
  </sheetPr>
  <dimension ref="A1:M54"/>
  <sheetViews>
    <sheetView zoomScaleNormal="100" workbookViewId="0">
      <selection activeCell="C30" sqref="C30:K41"/>
    </sheetView>
  </sheetViews>
  <sheetFormatPr baseColWidth="10" defaultColWidth="0" defaultRowHeight="15" zeroHeight="1" x14ac:dyDescent="0.25"/>
  <cols>
    <col min="1" max="2" width="11.42578125" style="300" customWidth="1"/>
    <col min="3" max="3" width="25.140625" style="345" customWidth="1"/>
    <col min="4" max="4" width="24.42578125" style="345" customWidth="1"/>
    <col min="5" max="5" width="14.140625" style="345" customWidth="1"/>
    <col min="6" max="11" width="14" style="345" customWidth="1"/>
    <col min="12" max="13" width="11.42578125" style="300" customWidth="1"/>
    <col min="14" max="16384" width="11.42578125" style="345" hidden="1"/>
  </cols>
  <sheetData>
    <row r="1" spans="1:13" ht="28.5" customHeight="1" x14ac:dyDescent="0.25">
      <c r="C1" s="2115" t="s">
        <v>85</v>
      </c>
      <c r="D1" s="2115"/>
      <c r="E1" s="2115"/>
      <c r="F1" s="2115"/>
      <c r="G1" s="2115"/>
      <c r="H1" s="2115"/>
      <c r="I1" s="2115"/>
      <c r="J1" s="2115"/>
      <c r="K1" s="2115"/>
    </row>
    <row r="2" spans="1:13" x14ac:dyDescent="0.25">
      <c r="C2" s="388"/>
      <c r="D2" s="388"/>
      <c r="E2" s="388"/>
      <c r="F2" s="388"/>
      <c r="G2" s="388"/>
      <c r="H2" s="388"/>
      <c r="I2" s="388"/>
    </row>
    <row r="3" spans="1:13" ht="22.5" customHeight="1" x14ac:dyDescent="0.25">
      <c r="C3" s="629" t="s">
        <v>42</v>
      </c>
      <c r="D3" s="2112" t="str">
        <f>INFORMATIONS!B10</f>
        <v>SAM CONSEILS</v>
      </c>
      <c r="E3" s="2112"/>
      <c r="F3" s="2112"/>
      <c r="G3" s="2112"/>
      <c r="H3" s="630"/>
      <c r="I3" s="2113" t="s">
        <v>52</v>
      </c>
      <c r="J3" s="2113"/>
      <c r="K3" s="631">
        <f>INFORMATIONS!D31</f>
        <v>43465</v>
      </c>
    </row>
    <row r="4" spans="1:13" ht="19.5" customHeight="1" x14ac:dyDescent="0.25">
      <c r="C4" s="632" t="s">
        <v>43</v>
      </c>
      <c r="D4" s="633" t="str">
        <f>INFORMATIONS!B24</f>
        <v>00084404X</v>
      </c>
      <c r="E4" s="634"/>
      <c r="F4" s="634"/>
      <c r="G4" s="634"/>
      <c r="H4" s="635"/>
      <c r="I4" s="2114" t="s">
        <v>44</v>
      </c>
      <c r="J4" s="2114"/>
      <c r="K4" s="636">
        <f>INFORMATIONS!F34</f>
        <v>12</v>
      </c>
    </row>
    <row r="5" spans="1:13" x14ac:dyDescent="0.25"/>
    <row r="6" spans="1:13" ht="44.25" customHeight="1" x14ac:dyDescent="0.25">
      <c r="C6" s="2116" t="s">
        <v>97</v>
      </c>
      <c r="D6" s="2117"/>
      <c r="E6" s="2118" t="s">
        <v>59</v>
      </c>
      <c r="F6" s="2118" t="s">
        <v>60</v>
      </c>
      <c r="G6" s="2118" t="s">
        <v>61</v>
      </c>
      <c r="H6" s="2118" t="s">
        <v>62</v>
      </c>
      <c r="I6" s="2118" t="s">
        <v>63</v>
      </c>
      <c r="J6" s="2118" t="s">
        <v>64</v>
      </c>
      <c r="K6" s="2118" t="s">
        <v>65</v>
      </c>
    </row>
    <row r="7" spans="1:13" x14ac:dyDescent="0.25">
      <c r="C7" s="637" t="s">
        <v>96</v>
      </c>
      <c r="D7" s="638"/>
      <c r="E7" s="2119"/>
      <c r="F7" s="2119"/>
      <c r="G7" s="2119"/>
      <c r="H7" s="2119"/>
      <c r="I7" s="2119"/>
      <c r="J7" s="2119"/>
      <c r="K7" s="2119"/>
    </row>
    <row r="8" spans="1:13" s="422" customFormat="1" ht="21" customHeight="1" x14ac:dyDescent="0.25">
      <c r="A8" s="412"/>
      <c r="B8" s="412"/>
      <c r="C8" s="595" t="s">
        <v>66</v>
      </c>
      <c r="D8" s="597"/>
      <c r="E8" s="639">
        <f>SUM(E9:E12)</f>
        <v>2650000</v>
      </c>
      <c r="F8" s="639">
        <f t="shared" ref="F8:G8" si="0">SUM(F9:F12)</f>
        <v>2000000</v>
      </c>
      <c r="G8" s="639">
        <f t="shared" si="0"/>
        <v>0</v>
      </c>
      <c r="H8" s="639">
        <f>SUM(H9:H12)</f>
        <v>0</v>
      </c>
      <c r="I8" s="639">
        <f>SUM(I9:I12)</f>
        <v>0</v>
      </c>
      <c r="J8" s="639">
        <f>SUM(J9:J12)</f>
        <v>0</v>
      </c>
      <c r="K8" s="639">
        <f>SUM(K9:K12)</f>
        <v>4650000</v>
      </c>
      <c r="L8" s="412"/>
      <c r="M8" s="412"/>
    </row>
    <row r="9" spans="1:13" ht="21" customHeight="1" x14ac:dyDescent="0.25">
      <c r="C9" s="423" t="s">
        <v>67</v>
      </c>
      <c r="D9" s="425"/>
      <c r="E9" s="640">
        <f>SUMPRODUCT(((LEFT(BalanceN!$A$4:$A$9999,3)="211")+(LEFT(BalanceN!$A$4:$A$9999,4)="2181")+(LEFT(BalanceN!$A$4:$A$9999,4)="2191"))*BalanceN!$C$4:$C$9999)</f>
        <v>0</v>
      </c>
      <c r="F9" s="640">
        <f>SUMPRODUCT(((LEFT(BalanceN!$A$4:$A$9999,3)="211")+(LEFT(BalanceN!$A$4:$A$9999,4)="2181")+(LEFT(BalanceN!$A$4:$A$9999,4)="2191"))*BalanceN!$E$4:$E$9999)-G9-H9</f>
        <v>0</v>
      </c>
      <c r="G9" s="646"/>
      <c r="H9" s="646"/>
      <c r="I9" s="640">
        <f>SUMPRODUCT(((LEFT(BalanceN!$A$4:$A$9999,3)="211")+(LEFT(BalanceN!$A$4:$A$9999,4)="2181")+(LEFT(BalanceN!$A$4:$A$9999,4)="2191"))*BalanceN!$F$4:$F$9999)-J9</f>
        <v>0</v>
      </c>
      <c r="J9" s="646"/>
      <c r="K9" s="640">
        <f>E9+F9+G9+H9-I9-J9</f>
        <v>0</v>
      </c>
    </row>
    <row r="10" spans="1:13" ht="21" customHeight="1" x14ac:dyDescent="0.25">
      <c r="C10" s="423" t="s">
        <v>68</v>
      </c>
      <c r="D10" s="425"/>
      <c r="E10" s="640">
        <f>SUMPRODUCT(((LEFT(BalanceN!$A$4:$A$9999,3)="212")+(LEFT(BalanceN!$A$4:$A$9999,3)="213")+(LEFT(BalanceN!$A$4:$A$9999,3)="214")+(LEFT(BalanceN!$A$4:$A$9999,4)="2193"))*BalanceN!$C$4:$C$9999)</f>
        <v>1050000</v>
      </c>
      <c r="F10" s="640">
        <f>SUMPRODUCT(((LEFT(BalanceN!$A$4:$A$9999,3)="212")+(LEFT(BalanceN!$A$4:$A$9999,3)="213")+(LEFT(BalanceN!$A$4:$A$9999,3)="214")+(LEFT(BalanceN!$A$4:$A$9999,4)="2193"))*BalanceN!$E$4:$E$9999)-G10-H10</f>
        <v>2000000</v>
      </c>
      <c r="G10" s="646"/>
      <c r="H10" s="646"/>
      <c r="I10" s="640">
        <f>SUMPRODUCT(((LEFT(BalanceN!$A$4:$A$9999,3)="212")+(LEFT(BalanceN!$A$4:$A$9999,3)="213")+(LEFT(BalanceN!$A$4:$A$9999,3)="214")+(LEFT(BalanceN!$A$4:$A$9999,4)="2193"))*BalanceN!$F$4:$F$9999)-J10</f>
        <v>0</v>
      </c>
      <c r="J10" s="646"/>
      <c r="K10" s="640">
        <f t="shared" ref="K10:K12" si="1">E10+F10+G10+H10-I10-J10</f>
        <v>3050000</v>
      </c>
    </row>
    <row r="11" spans="1:13" ht="21" customHeight="1" x14ac:dyDescent="0.25">
      <c r="C11" s="423" t="s">
        <v>99</v>
      </c>
      <c r="D11" s="425"/>
      <c r="E11" s="640">
        <f>SUMPRODUCT(((LEFT(BalanceN!$A$4:$A$9999,3)="215")+(LEFT(BalanceN!$A$4:$A$9999,3)="216"))*BalanceN!$C$4:$C$9999)</f>
        <v>1600000</v>
      </c>
      <c r="F11" s="640">
        <f>SUMPRODUCT(((LEFT(BalanceN!$A$4:$A$9999,3)="215")+(LEFT(BalanceN!$A$4:$A$9999,3)="216"))*BalanceN!$E$4:$E$9999)-G11-H11</f>
        <v>0</v>
      </c>
      <c r="G11" s="646"/>
      <c r="H11" s="646"/>
      <c r="I11" s="640">
        <f>SUMPRODUCT(((LEFT(BalanceN!$A$4:$A$9999,3)="215")+(LEFT(BalanceN!$A$4:$A$9999,3)="216"))*BalanceN!$F$4:$F$9999)-J11</f>
        <v>0</v>
      </c>
      <c r="J11" s="646"/>
      <c r="K11" s="640">
        <f t="shared" si="1"/>
        <v>1600000</v>
      </c>
    </row>
    <row r="12" spans="1:13" ht="21" customHeight="1" x14ac:dyDescent="0.25">
      <c r="C12" s="423" t="s">
        <v>69</v>
      </c>
      <c r="D12" s="425"/>
      <c r="E12" s="640">
        <f>SUMPRODUCT(((LEFT(BalanceN!$A$4:$A$9999,3)="217")+(LEFT(BalanceN!$A$4:$A$9999,3)="218")+(LEFT(BalanceN!$A$4:$A$9999,4)="2198")-(LEFT(BalanceN!$A$4:$A$9999,4)="2181"))*BalanceN!$C$4:$C$9999)</f>
        <v>0</v>
      </c>
      <c r="F12" s="640">
        <f>SUMPRODUCT(((LEFT(BalanceN!$A$4:$A$9999,3)="217")+(LEFT(BalanceN!$A$4:$A$9999,3)="218")+(LEFT(BalanceN!$A$4:$A$9999,4)="2198")-(LEFT(BalanceN!$A$4:$A$9999,4)="2181"))*BalanceN!$E$4:$E$9999)-G12-H12</f>
        <v>0</v>
      </c>
      <c r="G12" s="646"/>
      <c r="H12" s="646"/>
      <c r="I12" s="640">
        <f>SUMPRODUCT(((LEFT(BalanceN!$A$4:$A$9999,3)="217")+(LEFT(BalanceN!$A$4:$A$9999,3)="218")+(LEFT(BalanceN!$A$4:$A$9999,4)="2198")-(LEFT(BalanceN!$A$4:$A$9999,4)="2181"))*BalanceN!$F$4:$F$9999)-J12</f>
        <v>0</v>
      </c>
      <c r="J12" s="646"/>
      <c r="K12" s="640">
        <f t="shared" si="1"/>
        <v>0</v>
      </c>
    </row>
    <row r="13" spans="1:13" s="422" customFormat="1" ht="21" customHeight="1" x14ac:dyDescent="0.25">
      <c r="A13" s="412"/>
      <c r="B13" s="412"/>
      <c r="C13" s="595" t="s">
        <v>70</v>
      </c>
      <c r="D13" s="597"/>
      <c r="E13" s="639">
        <f>SUM(E14:E20)</f>
        <v>551435323</v>
      </c>
      <c r="F13" s="639">
        <f t="shared" ref="F13:K13" si="2">SUM(F14:F20)</f>
        <v>463468000</v>
      </c>
      <c r="G13" s="639">
        <f>SUM(G14:G20)</f>
        <v>0</v>
      </c>
      <c r="H13" s="639">
        <f t="shared" si="2"/>
        <v>43500000</v>
      </c>
      <c r="I13" s="639">
        <f>SUM(I14:I20)</f>
        <v>45992979</v>
      </c>
      <c r="J13" s="639">
        <f t="shared" si="2"/>
        <v>0</v>
      </c>
      <c r="K13" s="639">
        <f t="shared" si="2"/>
        <v>1012410344</v>
      </c>
      <c r="L13" s="412"/>
      <c r="M13" s="412"/>
    </row>
    <row r="14" spans="1:13" ht="21" customHeight="1" x14ac:dyDescent="0.25">
      <c r="C14" s="423" t="s">
        <v>71</v>
      </c>
      <c r="D14" s="425"/>
      <c r="E14" s="640">
        <f>SUMPRODUCT(((LEFT(BalanceN!$A$4:$A$9999,2)="22")-(LEFT(BalanceN!$A$4:$A$9999,4)="2281"))*BalanceN!$C$4:$C$9999)</f>
        <v>35173950</v>
      </c>
      <c r="F14" s="640">
        <f>SUMPRODUCT(((LEFT(BalanceN!$A$4:$A$9999,2)="22"))*BalanceN!$E$4:$E$9999)-G14-H14</f>
        <v>0</v>
      </c>
      <c r="G14" s="647"/>
      <c r="H14" s="647">
        <v>3500000</v>
      </c>
      <c r="I14" s="640">
        <f>SUMPRODUCT(((LEFT(BalanceN!$A$4:$A$9999,2)="22"))*BalanceN!$F$4:$F$9999)-J14</f>
        <v>0</v>
      </c>
      <c r="J14" s="647"/>
      <c r="K14" s="640">
        <f>E14+F14+G14+H14-I14-J14</f>
        <v>38673950</v>
      </c>
    </row>
    <row r="15" spans="1:13" ht="21" customHeight="1" x14ac:dyDescent="0.25">
      <c r="C15" s="423" t="s">
        <v>72</v>
      </c>
      <c r="D15" s="425"/>
      <c r="E15" s="640">
        <f>SUMPRODUCT(((LEFT(BalanceN!$A$4:$A$9999,4)="2281"))*BalanceN!$C$4:$C$9999)</f>
        <v>0</v>
      </c>
      <c r="F15" s="640">
        <f>SUMPRODUCT(((LEFT(BalanceN!$A$4:$A$9999,4)="2281"))*BalanceN!$E$4:$E$9999)-G15-H15</f>
        <v>0</v>
      </c>
      <c r="G15" s="647"/>
      <c r="H15" s="647"/>
      <c r="I15" s="640">
        <f>SUMPRODUCT(((LEFT(BalanceN!$A$4:$A$9999,4)="2281"))*BalanceN!$F$4:$F$9999)-J15</f>
        <v>0</v>
      </c>
      <c r="J15" s="647"/>
      <c r="K15" s="640">
        <f t="shared" ref="K15:K26" si="3">E15+F15+G15+H15-I15-J15</f>
        <v>0</v>
      </c>
    </row>
    <row r="16" spans="1:13" ht="21" customHeight="1" x14ac:dyDescent="0.25">
      <c r="C16" s="423" t="s">
        <v>73</v>
      </c>
      <c r="D16" s="425"/>
      <c r="E16" s="640">
        <f>SUMPRODUCT(((LEFT(BalanceN!$A$4:$A$9999,3)="231")+(LEFT(BalanceN!$A$4:$A$9999,3)="232")+(LEFT(BalanceN!$A$4:$A$9999,3)="233")+(LEFT(BalanceN!$A$4:$A$9999,3)="237")+(LEFT(BalanceN!$A$4:$A$9999,4)="2391")-(LEFT(BalanceN!$A$4:$A$9999,4)="2315")-(LEFT(BalanceN!$A$4:$A$9999,4)="2325"))*BalanceN!$C$4:$C$9999)</f>
        <v>286411100</v>
      </c>
      <c r="F16" s="640">
        <f>SUMPRODUCT(((LEFT(BalanceN!$A$4:$A$9999,3)="231")+(LEFT(BalanceN!$A$4:$A$9999,3)="232")+(LEFT(BalanceN!$A$4:$A$9999,3)="233")+(LEFT(BalanceN!$A$4:$A$9999,3)="237")+(LEFT(BalanceN!$A$4:$A$9999,4)="2391"))*BalanceN!$E$4:$E$9999)-G16-H16</f>
        <v>430000000</v>
      </c>
      <c r="G16" s="647"/>
      <c r="H16" s="647">
        <v>25000000</v>
      </c>
      <c r="I16" s="640">
        <f>SUMPRODUCT(((LEFT(BalanceN!$A$4:$A$9999,3)="231")+(LEFT(BalanceN!$A$4:$A$9999,3)="232")+(LEFT(BalanceN!$A$4:$A$9999,3)="233")+(LEFT(BalanceN!$A$4:$A$9999,3)="237")+(LEFT(BalanceN!$A$4:$A$9999,4)="2391"))*BalanceN!$F$4:$F$9999)-J16</f>
        <v>0</v>
      </c>
      <c r="J16" s="647"/>
      <c r="K16" s="640">
        <f t="shared" si="3"/>
        <v>741411100</v>
      </c>
    </row>
    <row r="17" spans="1:13" ht="21" customHeight="1" x14ac:dyDescent="0.25">
      <c r="C17" s="423" t="s">
        <v>74</v>
      </c>
      <c r="D17" s="425"/>
      <c r="E17" s="640">
        <f>SUMPRODUCT(((LEFT(BalanceN!$A$4:$A$9999,4)="2315")+(LEFT(BalanceN!$A$4:$A$9999,4)="2325"))*BalanceN!$C$4:$C$9999)</f>
        <v>0</v>
      </c>
      <c r="F17" s="640">
        <f>SUMPRODUCT(((LEFT(BalanceN!$A$4:$A$9999,4)="2315")+(LEFT(BalanceN!$A$4:$A$9999,4)="2325"))*BalanceN!$E$4:$E$9999)-G17-H17</f>
        <v>0</v>
      </c>
      <c r="G17" s="647"/>
      <c r="H17" s="647"/>
      <c r="I17" s="640">
        <f>SUMPRODUCT(((LEFT(BalanceN!$A$4:$A$9999,4)="2315")+(LEFT(BalanceN!$A$4:$A$9999,4)="2325"))*BalanceN!$F$4:$F$9999)-J17</f>
        <v>0</v>
      </c>
      <c r="J17" s="647"/>
      <c r="K17" s="640">
        <f t="shared" si="3"/>
        <v>0</v>
      </c>
    </row>
    <row r="18" spans="1:13" ht="21" customHeight="1" x14ac:dyDescent="0.25">
      <c r="C18" s="423" t="s">
        <v>75</v>
      </c>
      <c r="D18" s="425"/>
      <c r="E18" s="640">
        <f>SUMPRODUCT(((LEFT(BalanceN!$A$4:$A$9999,3)="234")+(LEFT(BalanceN!$A$4:$A$9999,3)="235")+(LEFT(BalanceN!$A$4:$A$9999,3)="238")+(LEFT(BalanceN!$A$4:$A$9999,4)="2392")+(LEFT(BalanceN!$A$4:$A$9999,4)="2393"))*BalanceN!$C$4:$C$9999)</f>
        <v>71328267</v>
      </c>
      <c r="F18" s="640">
        <f>SUMPRODUCT(((LEFT(BalanceN!$A$4:$A$9999,3)="234")+(LEFT(BalanceN!$A$4:$A$9999,3)="235")+(LEFT(BalanceN!$A$4:$A$9999,3)="238")+(LEFT(BalanceN!$A$4:$A$9999,4)="2392")+(LEFT(BalanceN!$A$4:$A$9999,4)="2393"))*BalanceN!$E$4:$E$9999)-G18-H18</f>
        <v>0</v>
      </c>
      <c r="G18" s="647"/>
      <c r="H18" s="647">
        <v>2000000</v>
      </c>
      <c r="I18" s="640">
        <f>SUMPRODUCT(((LEFT(BalanceN!$A$4:$A$9999,3)="234")+(LEFT(BalanceN!$A$4:$A$9999,3)="235")+(LEFT(BalanceN!$A$4:$A$9999,3)="238")+(LEFT(BalanceN!$A$4:$A$9999,4)="2392")+(LEFT(BalanceN!$A$4:$A$9999,4)="2393"))*BalanceN!$F$4:$F$9999)-J18</f>
        <v>0</v>
      </c>
      <c r="J18" s="647"/>
      <c r="K18" s="640">
        <f t="shared" si="3"/>
        <v>73328267</v>
      </c>
    </row>
    <row r="19" spans="1:13" ht="21" customHeight="1" x14ac:dyDescent="0.25">
      <c r="C19" s="423" t="s">
        <v>76</v>
      </c>
      <c r="D19" s="425"/>
      <c r="E19" s="640">
        <f>SUMPRODUCT(((LEFT(BalanceN!$A$4:$A$9999,2)="24")-(LEFT(BalanceN!$A$4:$A$9999,3)="245")-(LEFT(BalanceN!$A$4:$A$9999,4)="2495"))*BalanceN!$C$4:$C$9999)</f>
        <v>104472006</v>
      </c>
      <c r="F19" s="640">
        <f>SUMPRODUCT(((LEFT(BalanceN!$A$4:$A$9999,2)="24")-(LEFT(BalanceN!$A$4:$A$9999,3)="245")-(LEFT(BalanceN!$A$4:$A$9999,4)="2495"))*BalanceN!$E$4:$E$9999)-G19-H19</f>
        <v>21468000</v>
      </c>
      <c r="G19" s="647"/>
      <c r="H19" s="647">
        <v>3000000</v>
      </c>
      <c r="I19" s="640">
        <f>SUMPRODUCT(((LEFT(BalanceN!$A$4:$A$9999,2)="24")-(LEFT(BalanceN!$A$4:$A$9999,3)="245")-(LEFT(BalanceN!$A$4:$A$9999,4)="2495"))*BalanceN!$F$4:$F$9999)-J19</f>
        <v>45992979</v>
      </c>
      <c r="J19" s="647"/>
      <c r="K19" s="640">
        <f t="shared" si="3"/>
        <v>82947027</v>
      </c>
    </row>
    <row r="20" spans="1:13" ht="21" customHeight="1" x14ac:dyDescent="0.25">
      <c r="C20" s="423" t="s">
        <v>77</v>
      </c>
      <c r="D20" s="425"/>
      <c r="E20" s="640">
        <f>SUMPRODUCT(((LEFT(BalanceN!$A$4:$A$9999,3)="245")+(LEFT(BalanceN!$A$4:$A$9999,4)="2495"))*BalanceN!$C$4:$C$9999)</f>
        <v>54050000</v>
      </c>
      <c r="F20" s="640">
        <f>SUMPRODUCT(((LEFT(BalanceN!$A$4:$A$9999,3)="245")+(LEFT(BalanceN!$A$4:$A$9999,4)="2495"))*BalanceN!$E$4:$E$9999)-G20-H20</f>
        <v>12000000</v>
      </c>
      <c r="G20" s="647"/>
      <c r="H20" s="647">
        <v>10000000</v>
      </c>
      <c r="I20" s="640">
        <f>SUMPRODUCT(((LEFT(BalanceN!$A$4:$A$9999,3)="245")+(LEFT(BalanceN!$A$4:$A$9999,4)="2495"))*BalanceN!$F$4:$F$9999)-J20</f>
        <v>0</v>
      </c>
      <c r="J20" s="647"/>
      <c r="K20" s="640">
        <f t="shared" si="3"/>
        <v>76050000</v>
      </c>
    </row>
    <row r="21" spans="1:13" s="422" customFormat="1" ht="31.5" customHeight="1" x14ac:dyDescent="0.25">
      <c r="A21" s="412"/>
      <c r="B21" s="412"/>
      <c r="C21" s="2121" t="s">
        <v>78</v>
      </c>
      <c r="D21" s="2122"/>
      <c r="E21" s="642">
        <f>SUM(E22:E23)</f>
        <v>0</v>
      </c>
      <c r="F21" s="642">
        <f t="shared" ref="F21:K21" si="4">SUM(F22:F23)</f>
        <v>25000000</v>
      </c>
      <c r="G21" s="642">
        <f>SUM(G22:G23)</f>
        <v>0</v>
      </c>
      <c r="H21" s="642">
        <f t="shared" si="4"/>
        <v>0</v>
      </c>
      <c r="I21" s="642">
        <f t="shared" si="4"/>
        <v>5000000</v>
      </c>
      <c r="J21" s="642">
        <f t="shared" si="4"/>
        <v>0</v>
      </c>
      <c r="K21" s="642">
        <f t="shared" si="4"/>
        <v>20000000</v>
      </c>
      <c r="L21" s="412"/>
      <c r="M21" s="412"/>
    </row>
    <row r="22" spans="1:13" ht="21" customHeight="1" x14ac:dyDescent="0.25">
      <c r="C22" s="423" t="s">
        <v>79</v>
      </c>
      <c r="D22" s="425"/>
      <c r="E22" s="640">
        <f>SUMPRODUCT(((LEFT(BalanceN!$A$4:$A$9999,3)="251"))*BalanceN!$C$4:$C$9999)</f>
        <v>0</v>
      </c>
      <c r="F22" s="640">
        <f>SUMPRODUCT(((LEFT(BalanceN!$A$4:$A$9999,3)="251"))*BalanceN!$E$4:$E$9999)-G22-H22</f>
        <v>0</v>
      </c>
      <c r="G22" s="647"/>
      <c r="H22" s="647"/>
      <c r="I22" s="640">
        <f>SUMPRODUCT(((LEFT(BalanceN!$A$4:$A$9999,3)="251"))*BalanceN!$F$4:$F$9999)-J22</f>
        <v>0</v>
      </c>
      <c r="J22" s="647"/>
      <c r="K22" s="640">
        <f t="shared" si="3"/>
        <v>0</v>
      </c>
    </row>
    <row r="23" spans="1:13" ht="21" customHeight="1" x14ac:dyDescent="0.25">
      <c r="C23" s="423" t="s">
        <v>80</v>
      </c>
      <c r="D23" s="425"/>
      <c r="E23" s="640">
        <f>SUMPRODUCT(((LEFT(BalanceN!$A$4:$A$9999,3)="252"))*BalanceN!$C$4:$C$9999)</f>
        <v>0</v>
      </c>
      <c r="F23" s="640">
        <f>SUMPRODUCT(((LEFT(BalanceN!$A$4:$A$9999,3)="252"))*BalanceN!$E$4:$E$9999)-G23-H23</f>
        <v>25000000</v>
      </c>
      <c r="G23" s="647"/>
      <c r="H23" s="647"/>
      <c r="I23" s="640">
        <f>SUMPRODUCT(((LEFT(BalanceN!$A$4:$A$9999,3)="252"))*BalanceN!$F$4:$F$9999)-J23</f>
        <v>5000000</v>
      </c>
      <c r="J23" s="647"/>
      <c r="K23" s="640">
        <f>E23+F23+G23+H23-I23-J23</f>
        <v>20000000</v>
      </c>
    </row>
    <row r="24" spans="1:13" s="422" customFormat="1" ht="21" customHeight="1" x14ac:dyDescent="0.25">
      <c r="A24" s="412"/>
      <c r="B24" s="412"/>
      <c r="C24" s="595" t="s">
        <v>81</v>
      </c>
      <c r="D24" s="597"/>
      <c r="E24" s="639">
        <f>SUM(E25:E26)</f>
        <v>4548658</v>
      </c>
      <c r="F24" s="639">
        <f t="shared" ref="F24:K24" si="5">SUM(F25:F26)</f>
        <v>601175</v>
      </c>
      <c r="G24" s="639">
        <f t="shared" si="5"/>
        <v>0</v>
      </c>
      <c r="H24" s="639">
        <f t="shared" si="5"/>
        <v>0</v>
      </c>
      <c r="I24" s="639">
        <f t="shared" si="5"/>
        <v>730043</v>
      </c>
      <c r="J24" s="639">
        <f t="shared" si="5"/>
        <v>0</v>
      </c>
      <c r="K24" s="639">
        <f t="shared" si="5"/>
        <v>4419790</v>
      </c>
      <c r="L24" s="412"/>
      <c r="M24" s="412"/>
    </row>
    <row r="25" spans="1:13" ht="21" customHeight="1" x14ac:dyDescent="0.25">
      <c r="C25" s="423" t="s">
        <v>82</v>
      </c>
      <c r="D25" s="425"/>
      <c r="E25" s="640">
        <f>SUMPRODUCT(((LEFT(BalanceN!$A$4:$A$9999,2)="26"))*BalanceN!$C$4:$C$9999)</f>
        <v>0</v>
      </c>
      <c r="F25" s="640">
        <f>SUMPRODUCT(((LEFT(BalanceN!$A$4:$A$9999,2)="26"))*BalanceN!$E$4:$E$9999)-G25-H25</f>
        <v>0</v>
      </c>
      <c r="G25" s="647"/>
      <c r="H25" s="647"/>
      <c r="I25" s="640">
        <f>SUMPRODUCT(((LEFT(BalanceN!$A$4:$A$9999,2)="26"))*BalanceN!$F$4:$F$9999)-J25</f>
        <v>0</v>
      </c>
      <c r="J25" s="647"/>
      <c r="K25" s="640">
        <f t="shared" si="3"/>
        <v>0</v>
      </c>
    </row>
    <row r="26" spans="1:13" ht="21" customHeight="1" x14ac:dyDescent="0.25">
      <c r="C26" s="423" t="s">
        <v>83</v>
      </c>
      <c r="D26" s="425"/>
      <c r="E26" s="640">
        <f>SUMPRODUCT(((LEFT(BalanceN!$A$4:$A$9999,2)="27"))*BalanceN!$C$4:$C$9999)</f>
        <v>4548658</v>
      </c>
      <c r="F26" s="640">
        <f>SUMPRODUCT(((LEFT(BalanceN!$A$4:$A$9999,2)="27"))*BalanceN!$E$4:$E$9999)-G26-H26</f>
        <v>601175</v>
      </c>
      <c r="G26" s="647"/>
      <c r="H26" s="647"/>
      <c r="I26" s="640">
        <f>SUMPRODUCT(((LEFT(BalanceN!$A$4:$A$9999,2)="27"))*BalanceN!$F$4:$F$9999)-J26</f>
        <v>730043</v>
      </c>
      <c r="J26" s="647"/>
      <c r="K26" s="640">
        <f t="shared" si="3"/>
        <v>4419790</v>
      </c>
    </row>
    <row r="27" spans="1:13" s="422" customFormat="1" ht="21" customHeight="1" x14ac:dyDescent="0.25">
      <c r="A27" s="412"/>
      <c r="B27" s="412"/>
      <c r="C27" s="595" t="s">
        <v>84</v>
      </c>
      <c r="D27" s="597"/>
      <c r="E27" s="639">
        <f>+E8+E13+E21+E24</f>
        <v>558633981</v>
      </c>
      <c r="F27" s="639">
        <f t="shared" ref="F27:K27" si="6">+F8+F13+F21+F24</f>
        <v>491069175</v>
      </c>
      <c r="G27" s="639">
        <f t="shared" si="6"/>
        <v>0</v>
      </c>
      <c r="H27" s="639">
        <f t="shared" si="6"/>
        <v>43500000</v>
      </c>
      <c r="I27" s="639">
        <f t="shared" si="6"/>
        <v>51723022</v>
      </c>
      <c r="J27" s="639">
        <f t="shared" si="6"/>
        <v>0</v>
      </c>
      <c r="K27" s="639">
        <f t="shared" si="6"/>
        <v>1041480134</v>
      </c>
      <c r="L27" s="412"/>
      <c r="M27" s="412"/>
    </row>
    <row r="28" spans="1:13" s="422" customFormat="1" ht="21" customHeight="1" x14ac:dyDescent="0.25">
      <c r="A28" s="412"/>
      <c r="B28" s="412"/>
      <c r="C28" s="643"/>
      <c r="D28" s="643"/>
      <c r="E28" s="644"/>
      <c r="F28" s="644"/>
      <c r="G28" s="644"/>
      <c r="H28" s="644"/>
      <c r="I28" s="644"/>
      <c r="J28" s="644"/>
      <c r="K28" s="644"/>
      <c r="L28" s="412"/>
      <c r="M28" s="412"/>
    </row>
    <row r="29" spans="1:13" x14ac:dyDescent="0.25">
      <c r="C29" s="645" t="s">
        <v>1263</v>
      </c>
    </row>
    <row r="30" spans="1:13" x14ac:dyDescent="0.25">
      <c r="C30" s="2120"/>
      <c r="D30" s="2120"/>
      <c r="E30" s="2120"/>
      <c r="F30" s="2120"/>
      <c r="G30" s="2120"/>
      <c r="H30" s="2120"/>
      <c r="I30" s="2120"/>
      <c r="J30" s="2120"/>
      <c r="K30" s="2120"/>
    </row>
    <row r="31" spans="1:13" x14ac:dyDescent="0.25">
      <c r="C31" s="2120"/>
      <c r="D31" s="2120"/>
      <c r="E31" s="2120"/>
      <c r="F31" s="2120"/>
      <c r="G31" s="2120"/>
      <c r="H31" s="2120"/>
      <c r="I31" s="2120"/>
      <c r="J31" s="2120"/>
      <c r="K31" s="2120"/>
    </row>
    <row r="32" spans="1:13" x14ac:dyDescent="0.25">
      <c r="C32" s="2120"/>
      <c r="D32" s="2120"/>
      <c r="E32" s="2120"/>
      <c r="F32" s="2120"/>
      <c r="G32" s="2120"/>
      <c r="H32" s="2120"/>
      <c r="I32" s="2120"/>
      <c r="J32" s="2120"/>
      <c r="K32" s="2120"/>
    </row>
    <row r="33" spans="3:11" x14ac:dyDescent="0.25">
      <c r="C33" s="2120"/>
      <c r="D33" s="2120"/>
      <c r="E33" s="2120"/>
      <c r="F33" s="2120"/>
      <c r="G33" s="2120"/>
      <c r="H33" s="2120"/>
      <c r="I33" s="2120"/>
      <c r="J33" s="2120"/>
      <c r="K33" s="2120"/>
    </row>
    <row r="34" spans="3:11" x14ac:dyDescent="0.25">
      <c r="C34" s="2120"/>
      <c r="D34" s="2120"/>
      <c r="E34" s="2120"/>
      <c r="F34" s="2120"/>
      <c r="G34" s="2120"/>
      <c r="H34" s="2120"/>
      <c r="I34" s="2120"/>
      <c r="J34" s="2120"/>
      <c r="K34" s="2120"/>
    </row>
    <row r="35" spans="3:11" x14ac:dyDescent="0.25">
      <c r="C35" s="2120"/>
      <c r="D35" s="2120"/>
      <c r="E35" s="2120"/>
      <c r="F35" s="2120"/>
      <c r="G35" s="2120"/>
      <c r="H35" s="2120"/>
      <c r="I35" s="2120"/>
      <c r="J35" s="2120"/>
      <c r="K35" s="2120"/>
    </row>
    <row r="36" spans="3:11" x14ac:dyDescent="0.25">
      <c r="C36" s="2120"/>
      <c r="D36" s="2120"/>
      <c r="E36" s="2120"/>
      <c r="F36" s="2120"/>
      <c r="G36" s="2120"/>
      <c r="H36" s="2120"/>
      <c r="I36" s="2120"/>
      <c r="J36" s="2120"/>
      <c r="K36" s="2120"/>
    </row>
    <row r="37" spans="3:11" x14ac:dyDescent="0.25">
      <c r="C37" s="2120"/>
      <c r="D37" s="2120"/>
      <c r="E37" s="2120"/>
      <c r="F37" s="2120"/>
      <c r="G37" s="2120"/>
      <c r="H37" s="2120"/>
      <c r="I37" s="2120"/>
      <c r="J37" s="2120"/>
      <c r="K37" s="2120"/>
    </row>
    <row r="38" spans="3:11" x14ac:dyDescent="0.25">
      <c r="C38" s="2120"/>
      <c r="D38" s="2120"/>
      <c r="E38" s="2120"/>
      <c r="F38" s="2120"/>
      <c r="G38" s="2120"/>
      <c r="H38" s="2120"/>
      <c r="I38" s="2120"/>
      <c r="J38" s="2120"/>
      <c r="K38" s="2120"/>
    </row>
    <row r="39" spans="3:11" x14ac:dyDescent="0.25">
      <c r="C39" s="2120"/>
      <c r="D39" s="2120"/>
      <c r="E39" s="2120"/>
      <c r="F39" s="2120"/>
      <c r="G39" s="2120"/>
      <c r="H39" s="2120"/>
      <c r="I39" s="2120"/>
      <c r="J39" s="2120"/>
      <c r="K39" s="2120"/>
    </row>
    <row r="40" spans="3:11" x14ac:dyDescent="0.25">
      <c r="C40" s="2120"/>
      <c r="D40" s="2120"/>
      <c r="E40" s="2120"/>
      <c r="F40" s="2120"/>
      <c r="G40" s="2120"/>
      <c r="H40" s="2120"/>
      <c r="I40" s="2120"/>
      <c r="J40" s="2120"/>
      <c r="K40" s="2120"/>
    </row>
    <row r="41" spans="3:11" x14ac:dyDescent="0.25">
      <c r="C41" s="2120"/>
      <c r="D41" s="2120"/>
      <c r="E41" s="2120"/>
      <c r="F41" s="2120"/>
      <c r="G41" s="2120"/>
      <c r="H41" s="2120"/>
      <c r="I41" s="2120"/>
      <c r="J41" s="2120"/>
      <c r="K41" s="2120"/>
    </row>
    <row r="42" spans="3:11" x14ac:dyDescent="0.25"/>
    <row r="43" spans="3:11" x14ac:dyDescent="0.25"/>
    <row r="44" spans="3:11" x14ac:dyDescent="0.25"/>
    <row r="45" spans="3:11" x14ac:dyDescent="0.25"/>
    <row r="46" spans="3:11" x14ac:dyDescent="0.25"/>
    <row r="47" spans="3:11" x14ac:dyDescent="0.25"/>
    <row r="48" spans="3:11" x14ac:dyDescent="0.25"/>
    <row r="49" x14ac:dyDescent="0.25"/>
    <row r="50" x14ac:dyDescent="0.25"/>
    <row r="51" x14ac:dyDescent="0.25"/>
    <row r="52" x14ac:dyDescent="0.25"/>
    <row r="53" x14ac:dyDescent="0.25"/>
    <row r="54" x14ac:dyDescent="0.25"/>
  </sheetData>
  <sheetProtection algorithmName="SHA-512" hashValue="fRe1D6MUpuN7Flp1ntOfYKl72I9FW6J770Oec46tPmuicHOsEkXy0yMbHpMisjklH36xqC15VQvzTt8I/zUlzQ==" saltValue="LKn0CiZ1EulCA2aDUENkrQ==" spinCount="100000" sheet="1" formatCells="0" formatColumns="0" formatRows="0" pivotTables="0"/>
  <protectedRanges>
    <protectedRange sqref="C38:K41 F9:J12 G14:H20 G22:H23 J22:J23 G25:H26 J25:J26 J14:J20 C29:K37" name="Plage1"/>
  </protectedRanges>
  <mergeCells count="14">
    <mergeCell ref="C30:K41"/>
    <mergeCell ref="C21:D21"/>
    <mergeCell ref="E6:E7"/>
    <mergeCell ref="F6:F7"/>
    <mergeCell ref="G6:G7"/>
    <mergeCell ref="H6:H7"/>
    <mergeCell ref="I6:I7"/>
    <mergeCell ref="D3:G3"/>
    <mergeCell ref="I3:J3"/>
    <mergeCell ref="I4:J4"/>
    <mergeCell ref="C1:K1"/>
    <mergeCell ref="C6:D6"/>
    <mergeCell ref="J6:J7"/>
    <mergeCell ref="K6:K7"/>
  </mergeCells>
  <printOptions horizontalCentered="1"/>
  <pageMargins left="0" right="0.11811023622047245" top="0" bottom="0.35433070866141736" header="0.31496062992125984" footer="0.31496062992125984"/>
  <pageSetup paperSize="9" scale="7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43C6E5"/>
  </sheetPr>
  <dimension ref="A1:M63"/>
  <sheetViews>
    <sheetView zoomScaleNormal="100" workbookViewId="0">
      <selection activeCell="B21" sqref="B21:K43"/>
    </sheetView>
  </sheetViews>
  <sheetFormatPr baseColWidth="10" defaultColWidth="0" defaultRowHeight="15" zeroHeight="1" x14ac:dyDescent="0.25"/>
  <cols>
    <col min="1" max="1" width="11.42578125" style="300" customWidth="1"/>
    <col min="2" max="2" width="25.140625" style="345" customWidth="1"/>
    <col min="3" max="3" width="17.85546875" style="345" customWidth="1"/>
    <col min="4" max="4" width="14.140625" style="345" customWidth="1"/>
    <col min="5" max="10" width="14" style="345" customWidth="1"/>
    <col min="11" max="11" width="14.140625" style="345" customWidth="1"/>
    <col min="12" max="13" width="11.42578125" style="300" customWidth="1"/>
    <col min="14" max="16384" width="11.42578125" style="345" hidden="1"/>
  </cols>
  <sheetData>
    <row r="1" spans="2:11" ht="28.5" customHeight="1" x14ac:dyDescent="0.25">
      <c r="B1" s="2124" t="s">
        <v>86</v>
      </c>
      <c r="C1" s="2125"/>
      <c r="D1" s="2125"/>
      <c r="E1" s="2125"/>
      <c r="F1" s="2125"/>
      <c r="G1" s="2125"/>
      <c r="H1" s="2125"/>
      <c r="I1" s="2125"/>
      <c r="J1" s="2125"/>
      <c r="K1" s="2126"/>
    </row>
    <row r="2" spans="2:11" x14ac:dyDescent="0.25">
      <c r="B2" s="388"/>
      <c r="C2" s="388"/>
      <c r="D2" s="388"/>
      <c r="E2" s="388"/>
      <c r="F2" s="388"/>
      <c r="G2" s="388"/>
      <c r="H2" s="388"/>
    </row>
    <row r="3" spans="2:11" ht="22.5" customHeight="1" x14ac:dyDescent="0.25">
      <c r="B3" s="629" t="s">
        <v>42</v>
      </c>
      <c r="C3" s="2112" t="str">
        <f>INFORMATIONS!B10</f>
        <v>SAM CONSEILS</v>
      </c>
      <c r="D3" s="2112"/>
      <c r="E3" s="2112"/>
      <c r="F3" s="2112"/>
      <c r="G3" s="630"/>
      <c r="H3" s="630"/>
      <c r="I3" s="2127" t="s">
        <v>52</v>
      </c>
      <c r="J3" s="2127"/>
      <c r="K3" s="631">
        <f>INFORMATIONS!D31</f>
        <v>43465</v>
      </c>
    </row>
    <row r="4" spans="2:11" ht="19.5" customHeight="1" x14ac:dyDescent="0.25">
      <c r="B4" s="632" t="s">
        <v>43</v>
      </c>
      <c r="C4" s="633" t="str">
        <f>INFORMATIONS!B24</f>
        <v>00084404X</v>
      </c>
      <c r="D4" s="634"/>
      <c r="E4" s="634"/>
      <c r="F4" s="634"/>
      <c r="G4" s="635"/>
      <c r="H4" s="635"/>
      <c r="I4" s="2128" t="s">
        <v>44</v>
      </c>
      <c r="J4" s="2128"/>
      <c r="K4" s="648">
        <f>INFORMATIONS!F34</f>
        <v>12</v>
      </c>
    </row>
    <row r="5" spans="2:11" x14ac:dyDescent="0.25"/>
    <row r="6" spans="2:11" ht="24.75" customHeight="1" x14ac:dyDescent="0.25">
      <c r="B6" s="2116" t="s">
        <v>58</v>
      </c>
      <c r="C6" s="2117"/>
      <c r="D6" s="2132" t="s">
        <v>87</v>
      </c>
      <c r="E6" s="649" t="s">
        <v>88</v>
      </c>
      <c r="F6" s="2129" t="s">
        <v>94</v>
      </c>
      <c r="G6" s="2130"/>
      <c r="H6" s="2130"/>
      <c r="I6" s="2131" t="s">
        <v>93</v>
      </c>
      <c r="J6" s="2130"/>
      <c r="K6" s="650" t="s">
        <v>95</v>
      </c>
    </row>
    <row r="7" spans="2:11" ht="58.5" customHeight="1" x14ac:dyDescent="0.25">
      <c r="B7" s="651" t="s">
        <v>96</v>
      </c>
      <c r="C7" s="652"/>
      <c r="D7" s="2133"/>
      <c r="E7" s="649" t="s">
        <v>59</v>
      </c>
      <c r="F7" s="590" t="s">
        <v>89</v>
      </c>
      <c r="G7" s="590" t="s">
        <v>64</v>
      </c>
      <c r="H7" s="653" t="s">
        <v>90</v>
      </c>
      <c r="I7" s="649" t="s">
        <v>91</v>
      </c>
      <c r="J7" s="653" t="s">
        <v>64</v>
      </c>
      <c r="K7" s="649" t="s">
        <v>92</v>
      </c>
    </row>
    <row r="8" spans="2:11" ht="21" customHeight="1" x14ac:dyDescent="0.25">
      <c r="B8" s="423" t="s">
        <v>98</v>
      </c>
      <c r="C8" s="425"/>
      <c r="D8" s="654"/>
      <c r="E8" s="640">
        <f>SUMPRODUCT(((LEFT(BalanceN!$A$4:$A$9999,4)="2128")+(LEFT(BalanceN!$A$4:$A$9999,3)="2133"))*BalanceN!$C$4:$C$9999)</f>
        <v>0</v>
      </c>
      <c r="F8" s="640">
        <f>SUMPRODUCT(((LEFT(BalanceN!$A$4:$A$9999,4)="2128")+(LEFT(BalanceN!$A$4:$A$9999,3)="2133"))*BalanceN!$E$4:$E$9999)-G8-H8</f>
        <v>0</v>
      </c>
      <c r="G8" s="146"/>
      <c r="H8" s="154"/>
      <c r="I8" s="640">
        <f>SUMPRODUCT(((LEFT(BalanceN!$A$4:$A$9999,4)="2128")+(LEFT(BalanceN!$A$4:$A$9999,3)="2133"))*BalanceN!$H$4:$H$9999)-J8</f>
        <v>0</v>
      </c>
      <c r="J8" s="154"/>
      <c r="K8" s="655">
        <f>E8+F8+G8+H8-I8-J8</f>
        <v>0</v>
      </c>
    </row>
    <row r="9" spans="2:11" ht="21" customHeight="1" x14ac:dyDescent="0.25">
      <c r="B9" s="423" t="s">
        <v>99</v>
      </c>
      <c r="C9" s="425"/>
      <c r="D9" s="654"/>
      <c r="E9" s="640">
        <f>SUMPRODUCT(((LEFT(BalanceN!$A$4:$A$9999,4)="2152"))*BalanceN!$C$4:$C$9999)</f>
        <v>0</v>
      </c>
      <c r="F9" s="640">
        <f>SUMPRODUCT(((LEFT(BalanceN!$A$4:$A$9999,4)="2152"))*BalanceN!$E$4:$E$9999)-G9-H9</f>
        <v>0</v>
      </c>
      <c r="G9" s="146"/>
      <c r="H9" s="154"/>
      <c r="I9" s="640">
        <f>SUMPRODUCT(((LEFT(BalanceN!$A$4:$A$9999,4)="2152"))*BalanceN!$H$4:$H$9999)-J9</f>
        <v>0</v>
      </c>
      <c r="J9" s="154"/>
      <c r="K9" s="655">
        <f>E9+F9+G9+H9-I9-J9</f>
        <v>0</v>
      </c>
    </row>
    <row r="10" spans="2:11" ht="21" customHeight="1" x14ac:dyDescent="0.25">
      <c r="B10" s="423" t="s">
        <v>69</v>
      </c>
      <c r="C10" s="425"/>
      <c r="D10" s="654"/>
      <c r="E10" s="640">
        <f>SUMPRODUCT(((LEFT(BalanceN!$A$4:$A$9999,4)="2189"))*BalanceN!$C$4:$C$9999)</f>
        <v>0</v>
      </c>
      <c r="F10" s="640">
        <f>SUMPRODUCT(((LEFT(BalanceN!$A$4:$A$9999,4)="2189"))*BalanceN!$E$4:$E$9999)-G10-H10</f>
        <v>0</v>
      </c>
      <c r="G10" s="146"/>
      <c r="H10" s="154"/>
      <c r="I10" s="640">
        <f>SUMPRODUCT(((LEFT(BalanceN!$A$4:$A$9999,4)="2189"))*BalanceN!$H$4:$H$9999)-J10</f>
        <v>0</v>
      </c>
      <c r="J10" s="154"/>
      <c r="K10" s="655">
        <f>E10+F10+G10+H10-I10-J10</f>
        <v>0</v>
      </c>
    </row>
    <row r="11" spans="2:11" ht="35.25" customHeight="1" x14ac:dyDescent="0.25">
      <c r="B11" s="2121" t="s">
        <v>100</v>
      </c>
      <c r="C11" s="2122"/>
      <c r="D11" s="656"/>
      <c r="E11" s="657">
        <f t="shared" ref="E11:J11" si="0">SUM(E8:E10)</f>
        <v>0</v>
      </c>
      <c r="F11" s="658">
        <f>SUM(F8:F10)</f>
        <v>0</v>
      </c>
      <c r="G11" s="658">
        <f t="shared" si="0"/>
        <v>0</v>
      </c>
      <c r="H11" s="656">
        <f t="shared" si="0"/>
        <v>0</v>
      </c>
      <c r="I11" s="657">
        <f>SUM(I8:I10)</f>
        <v>0</v>
      </c>
      <c r="J11" s="656">
        <f t="shared" si="0"/>
        <v>0</v>
      </c>
      <c r="K11" s="657">
        <f>SUM(K8:K10)</f>
        <v>0</v>
      </c>
    </row>
    <row r="12" spans="2:11" ht="21" customHeight="1" x14ac:dyDescent="0.25">
      <c r="B12" s="423" t="s">
        <v>101</v>
      </c>
      <c r="C12" s="425"/>
      <c r="D12" s="640"/>
      <c r="E12" s="640">
        <f>SUMPRODUCT(((LEFT(BalanceN!$A$4:$A$9999,4)="2286"))*BalanceN!$C$4:$C$9999)</f>
        <v>0</v>
      </c>
      <c r="F12" s="640">
        <f>SUMPRODUCT(((LEFT(BalanceN!$A$4:$A$9999,4)="2286"))*BalanceN!$E$4:$E$9999)-G12-H12</f>
        <v>0</v>
      </c>
      <c r="G12" s="146"/>
      <c r="H12" s="154"/>
      <c r="I12" s="640">
        <f>SUMPRODUCT(((LEFT(BalanceN!$A$4:$A$9999,4)="2286"))*BalanceN!$H$4:$H$9999)-J12</f>
        <v>0</v>
      </c>
      <c r="J12" s="154"/>
      <c r="K12" s="655">
        <f>E12+F12+G12+H12-I12-J12</f>
        <v>0</v>
      </c>
    </row>
    <row r="13" spans="2:11" ht="21" customHeight="1" x14ac:dyDescent="0.25">
      <c r="B13" s="423" t="s">
        <v>102</v>
      </c>
      <c r="C13" s="425"/>
      <c r="D13" s="640"/>
      <c r="E13" s="640">
        <f>SUMPRODUCT(((LEFT(BalanceN!$A$4:$A$9999,4)="2316")+(LEFT(BalanceN!$A$4:$A$9999,4)="2326"))*BalanceN!$C$4:$C$9999)</f>
        <v>0</v>
      </c>
      <c r="F13" s="640">
        <f>SUMPRODUCT(((LEFT(BalanceN!$A$4:$A$9999,4)="2316")+(LEFT(BalanceN!$A$4:$A$9999,4)="2326"))*BalanceN!$E$4:$E$9999)-G13-H13</f>
        <v>0</v>
      </c>
      <c r="G13" s="146"/>
      <c r="H13" s="154"/>
      <c r="I13" s="640">
        <f>SUMPRODUCT(((LEFT(BalanceN!$A$4:$A$9999,4)="2316")+(LEFT(BalanceN!$A$4:$A$9999,4)="2326"))*BalanceN!$H$4:$H$9999)-J13</f>
        <v>0</v>
      </c>
      <c r="J13" s="154"/>
      <c r="K13" s="655">
        <f t="shared" ref="K13:K16" si="1">E13+F13+G13+H13-I13-J13</f>
        <v>0</v>
      </c>
    </row>
    <row r="14" spans="2:11" ht="21" customHeight="1" x14ac:dyDescent="0.25">
      <c r="B14" s="423" t="s">
        <v>75</v>
      </c>
      <c r="C14" s="425"/>
      <c r="D14" s="640"/>
      <c r="E14" s="640">
        <f>SUMPRODUCT(((LEFT(BalanceN!$A$4:$A$9999,4)="2346")+(LEFT(BalanceN!$A$4:$A$9999,4)="2359")+(LEFT(BalanceN!$A$4:$A$9999,4)="2382"))*BalanceN!$C$4:$C$9999)</f>
        <v>0</v>
      </c>
      <c r="F14" s="640">
        <f>SUMPRODUCT(((LEFT(BalanceN!$A$4:$A$9999,4)="2346")+(LEFT(BalanceN!$A$4:$A$9999,4)="2359")+(LEFT(BalanceN!$A$4:$A$9999,4)="2382"))*BalanceN!$E$4:$E$9999)-G14-H14</f>
        <v>0</v>
      </c>
      <c r="G14" s="146"/>
      <c r="H14" s="154"/>
      <c r="I14" s="640">
        <f>SUMPRODUCT(((LEFT(BalanceN!$A$4:$A$9999,4)="2346")+(LEFT(BalanceN!$A$4:$A$9999,4)="2359")+(LEFT(BalanceN!$A$4:$A$9999,4)="2382"))*BalanceN!$H$4:$H$9999)-J14</f>
        <v>0</v>
      </c>
      <c r="J14" s="154"/>
      <c r="K14" s="655">
        <f t="shared" si="1"/>
        <v>0</v>
      </c>
    </row>
    <row r="15" spans="2:11" ht="21" customHeight="1" x14ac:dyDescent="0.25">
      <c r="B15" s="423" t="s">
        <v>76</v>
      </c>
      <c r="C15" s="425"/>
      <c r="D15" s="640"/>
      <c r="E15" s="640">
        <f>SUMPRODUCT(((LEFT(BalanceN!$A$4:$A$9999,4)="2416")+(LEFT(BalanceN!$A$4:$A$9999,4)="2426")+(LEFT(BalanceN!$A$4:$A$9999,4)="2446"))*BalanceN!$C$4:$C$9999)</f>
        <v>0</v>
      </c>
      <c r="F15" s="640">
        <f>SUMPRODUCT(((LEFT(BalanceN!$A$4:$A$9999,4)="2416")+(LEFT(BalanceN!$A$4:$A$9999,4)="2426")+(LEFT(BalanceN!$A$4:$A$9999,4)="2446"))*BalanceN!$E$4:$E$9999)-G15-H15</f>
        <v>0</v>
      </c>
      <c r="G15" s="146"/>
      <c r="H15" s="154"/>
      <c r="I15" s="640">
        <f>SUMPRODUCT(((LEFT(BalanceN!$A$4:$A$9999,4)="2416")+(LEFT(BalanceN!$A$4:$A$9999,4)="2426")+(LEFT(BalanceN!$A$4:$A$9999,4)="2446"))*BalanceN!$H$4:$H$9999)-J15</f>
        <v>0</v>
      </c>
      <c r="J15" s="154"/>
      <c r="K15" s="655">
        <f t="shared" si="1"/>
        <v>0</v>
      </c>
    </row>
    <row r="16" spans="2:11" ht="21" customHeight="1" x14ac:dyDescent="0.25">
      <c r="B16" s="423" t="s">
        <v>77</v>
      </c>
      <c r="C16" s="425"/>
      <c r="D16" s="640"/>
      <c r="E16" s="640">
        <f>SUMPRODUCT(((LEFT(BalanceN!$A$4:$A$9999,3)="2456"))*BalanceN!$C$4:$C$9999)</f>
        <v>0</v>
      </c>
      <c r="F16" s="640">
        <f>SUMPRODUCT(((LEFT(BalanceN!$A$4:$A$9999,3)="2456"))*BalanceN!$E$4:$E$9999)-G16-H16</f>
        <v>0</v>
      </c>
      <c r="G16" s="146"/>
      <c r="H16" s="154"/>
      <c r="I16" s="640">
        <f>SUMPRODUCT(((LEFT(BalanceN!$A$4:$A$9999,3)="2456"))*BalanceN!$H$4:$H$9999)-J16</f>
        <v>0</v>
      </c>
      <c r="J16" s="154"/>
      <c r="K16" s="655">
        <f t="shared" si="1"/>
        <v>0</v>
      </c>
    </row>
    <row r="17" spans="1:13" ht="32.25" customHeight="1" x14ac:dyDescent="0.25">
      <c r="B17" s="2121" t="s">
        <v>103</v>
      </c>
      <c r="C17" s="2122"/>
      <c r="D17" s="656"/>
      <c r="E17" s="659">
        <f>SUM(E12:E16)</f>
        <v>0</v>
      </c>
      <c r="F17" s="658">
        <f>SUM(F12:F16)</f>
        <v>0</v>
      </c>
      <c r="G17" s="658">
        <f t="shared" ref="G17:K17" si="2">SUM(G12:G16)</f>
        <v>0</v>
      </c>
      <c r="H17" s="660">
        <f t="shared" si="2"/>
        <v>0</v>
      </c>
      <c r="I17" s="657">
        <f>SUM(I12:I16)</f>
        <v>0</v>
      </c>
      <c r="J17" s="660">
        <f t="shared" si="2"/>
        <v>0</v>
      </c>
      <c r="K17" s="657">
        <f t="shared" si="2"/>
        <v>0</v>
      </c>
    </row>
    <row r="18" spans="1:13" s="422" customFormat="1" ht="21" customHeight="1" x14ac:dyDescent="0.25">
      <c r="A18" s="412"/>
      <c r="B18" s="595" t="s">
        <v>84</v>
      </c>
      <c r="C18" s="597"/>
      <c r="D18" s="661">
        <f>+D11+D17</f>
        <v>0</v>
      </c>
      <c r="E18" s="662">
        <f t="shared" ref="E18:K18" si="3">+E11+E17</f>
        <v>0</v>
      </c>
      <c r="F18" s="639">
        <f>+F11+F17</f>
        <v>0</v>
      </c>
      <c r="G18" s="639">
        <f t="shared" si="3"/>
        <v>0</v>
      </c>
      <c r="H18" s="661">
        <f t="shared" si="3"/>
        <v>0</v>
      </c>
      <c r="I18" s="662">
        <f>+I11+I17</f>
        <v>0</v>
      </c>
      <c r="J18" s="661">
        <f t="shared" si="3"/>
        <v>0</v>
      </c>
      <c r="K18" s="661">
        <f t="shared" si="3"/>
        <v>0</v>
      </c>
      <c r="L18" s="412"/>
      <c r="M18" s="412"/>
    </row>
    <row r="19" spans="1:13" x14ac:dyDescent="0.25"/>
    <row r="20" spans="1:13" x14ac:dyDescent="0.25">
      <c r="B20" s="645" t="s">
        <v>1263</v>
      </c>
    </row>
    <row r="21" spans="1:13" x14ac:dyDescent="0.25">
      <c r="B21" s="2123"/>
      <c r="C21" s="2123"/>
      <c r="D21" s="2123"/>
      <c r="E21" s="2123"/>
      <c r="F21" s="2123"/>
      <c r="G21" s="2123"/>
      <c r="H21" s="2123"/>
      <c r="I21" s="2123"/>
      <c r="J21" s="2123"/>
      <c r="K21" s="2123"/>
    </row>
    <row r="22" spans="1:13" x14ac:dyDescent="0.25">
      <c r="B22" s="2123"/>
      <c r="C22" s="2123"/>
      <c r="D22" s="2123"/>
      <c r="E22" s="2123"/>
      <c r="F22" s="2123"/>
      <c r="G22" s="2123"/>
      <c r="H22" s="2123"/>
      <c r="I22" s="2123"/>
      <c r="J22" s="2123"/>
      <c r="K22" s="2123"/>
    </row>
    <row r="23" spans="1:13" x14ac:dyDescent="0.25">
      <c r="B23" s="2123"/>
      <c r="C23" s="2123"/>
      <c r="D23" s="2123"/>
      <c r="E23" s="2123"/>
      <c r="F23" s="2123"/>
      <c r="G23" s="2123"/>
      <c r="H23" s="2123"/>
      <c r="I23" s="2123"/>
      <c r="J23" s="2123"/>
      <c r="K23" s="2123"/>
    </row>
    <row r="24" spans="1:13" x14ac:dyDescent="0.25">
      <c r="B24" s="2123"/>
      <c r="C24" s="2123"/>
      <c r="D24" s="2123"/>
      <c r="E24" s="2123"/>
      <c r="F24" s="2123"/>
      <c r="G24" s="2123"/>
      <c r="H24" s="2123"/>
      <c r="I24" s="2123"/>
      <c r="J24" s="2123"/>
      <c r="K24" s="2123"/>
    </row>
    <row r="25" spans="1:13" x14ac:dyDescent="0.25">
      <c r="B25" s="2123"/>
      <c r="C25" s="2123"/>
      <c r="D25" s="2123"/>
      <c r="E25" s="2123"/>
      <c r="F25" s="2123"/>
      <c r="G25" s="2123"/>
      <c r="H25" s="2123"/>
      <c r="I25" s="2123"/>
      <c r="J25" s="2123"/>
      <c r="K25" s="2123"/>
    </row>
    <row r="26" spans="1:13" x14ac:dyDescent="0.25">
      <c r="B26" s="2123"/>
      <c r="C26" s="2123"/>
      <c r="D26" s="2123"/>
      <c r="E26" s="2123"/>
      <c r="F26" s="2123"/>
      <c r="G26" s="2123"/>
      <c r="H26" s="2123"/>
      <c r="I26" s="2123"/>
      <c r="J26" s="2123"/>
      <c r="K26" s="2123"/>
    </row>
    <row r="27" spans="1:13" x14ac:dyDescent="0.25">
      <c r="B27" s="2123"/>
      <c r="C27" s="2123"/>
      <c r="D27" s="2123"/>
      <c r="E27" s="2123"/>
      <c r="F27" s="2123"/>
      <c r="G27" s="2123"/>
      <c r="H27" s="2123"/>
      <c r="I27" s="2123"/>
      <c r="J27" s="2123"/>
      <c r="K27" s="2123"/>
    </row>
    <row r="28" spans="1:13" x14ac:dyDescent="0.25">
      <c r="B28" s="2123"/>
      <c r="C28" s="2123"/>
      <c r="D28" s="2123"/>
      <c r="E28" s="2123"/>
      <c r="F28" s="2123"/>
      <c r="G28" s="2123"/>
      <c r="H28" s="2123"/>
      <c r="I28" s="2123"/>
      <c r="J28" s="2123"/>
      <c r="K28" s="2123"/>
    </row>
    <row r="29" spans="1:13" x14ac:dyDescent="0.25">
      <c r="B29" s="2123"/>
      <c r="C29" s="2123"/>
      <c r="D29" s="2123"/>
      <c r="E29" s="2123"/>
      <c r="F29" s="2123"/>
      <c r="G29" s="2123"/>
      <c r="H29" s="2123"/>
      <c r="I29" s="2123"/>
      <c r="J29" s="2123"/>
      <c r="K29" s="2123"/>
    </row>
    <row r="30" spans="1:13" x14ac:dyDescent="0.25">
      <c r="B30" s="2123"/>
      <c r="C30" s="2123"/>
      <c r="D30" s="2123"/>
      <c r="E30" s="2123"/>
      <c r="F30" s="2123"/>
      <c r="G30" s="2123"/>
      <c r="H30" s="2123"/>
      <c r="I30" s="2123"/>
      <c r="J30" s="2123"/>
      <c r="K30" s="2123"/>
    </row>
    <row r="31" spans="1:13" x14ac:dyDescent="0.25">
      <c r="B31" s="2123"/>
      <c r="C31" s="2123"/>
      <c r="D31" s="2123"/>
      <c r="E31" s="2123"/>
      <c r="F31" s="2123"/>
      <c r="G31" s="2123"/>
      <c r="H31" s="2123"/>
      <c r="I31" s="2123"/>
      <c r="J31" s="2123"/>
      <c r="K31" s="2123"/>
    </row>
    <row r="32" spans="1:13" x14ac:dyDescent="0.25">
      <c r="B32" s="2123"/>
      <c r="C32" s="2123"/>
      <c r="D32" s="2123"/>
      <c r="E32" s="2123"/>
      <c r="F32" s="2123"/>
      <c r="G32" s="2123"/>
      <c r="H32" s="2123"/>
      <c r="I32" s="2123"/>
      <c r="J32" s="2123"/>
      <c r="K32" s="2123"/>
    </row>
    <row r="33" spans="2:11" x14ac:dyDescent="0.25">
      <c r="B33" s="2123"/>
      <c r="C33" s="2123"/>
      <c r="D33" s="2123"/>
      <c r="E33" s="2123"/>
      <c r="F33" s="2123"/>
      <c r="G33" s="2123"/>
      <c r="H33" s="2123"/>
      <c r="I33" s="2123"/>
      <c r="J33" s="2123"/>
      <c r="K33" s="2123"/>
    </row>
    <row r="34" spans="2:11" x14ac:dyDescent="0.25">
      <c r="B34" s="2123"/>
      <c r="C34" s="2123"/>
      <c r="D34" s="2123"/>
      <c r="E34" s="2123"/>
      <c r="F34" s="2123"/>
      <c r="G34" s="2123"/>
      <c r="H34" s="2123"/>
      <c r="I34" s="2123"/>
      <c r="J34" s="2123"/>
      <c r="K34" s="2123"/>
    </row>
    <row r="35" spans="2:11" x14ac:dyDescent="0.25">
      <c r="B35" s="2123"/>
      <c r="C35" s="2123"/>
      <c r="D35" s="2123"/>
      <c r="E35" s="2123"/>
      <c r="F35" s="2123"/>
      <c r="G35" s="2123"/>
      <c r="H35" s="2123"/>
      <c r="I35" s="2123"/>
      <c r="J35" s="2123"/>
      <c r="K35" s="2123"/>
    </row>
    <row r="36" spans="2:11" x14ac:dyDescent="0.25">
      <c r="B36" s="2123"/>
      <c r="C36" s="2123"/>
      <c r="D36" s="2123"/>
      <c r="E36" s="2123"/>
      <c r="F36" s="2123"/>
      <c r="G36" s="2123"/>
      <c r="H36" s="2123"/>
      <c r="I36" s="2123"/>
      <c r="J36" s="2123"/>
      <c r="K36" s="2123"/>
    </row>
    <row r="37" spans="2:11" x14ac:dyDescent="0.25">
      <c r="B37" s="2123"/>
      <c r="C37" s="2123"/>
      <c r="D37" s="2123"/>
      <c r="E37" s="2123"/>
      <c r="F37" s="2123"/>
      <c r="G37" s="2123"/>
      <c r="H37" s="2123"/>
      <c r="I37" s="2123"/>
      <c r="J37" s="2123"/>
      <c r="K37" s="2123"/>
    </row>
    <row r="38" spans="2:11" x14ac:dyDescent="0.25">
      <c r="B38" s="2123"/>
      <c r="C38" s="2123"/>
      <c r="D38" s="2123"/>
      <c r="E38" s="2123"/>
      <c r="F38" s="2123"/>
      <c r="G38" s="2123"/>
      <c r="H38" s="2123"/>
      <c r="I38" s="2123"/>
      <c r="J38" s="2123"/>
      <c r="K38" s="2123"/>
    </row>
    <row r="39" spans="2:11" x14ac:dyDescent="0.25">
      <c r="B39" s="2123"/>
      <c r="C39" s="2123"/>
      <c r="D39" s="2123"/>
      <c r="E39" s="2123"/>
      <c r="F39" s="2123"/>
      <c r="G39" s="2123"/>
      <c r="H39" s="2123"/>
      <c r="I39" s="2123"/>
      <c r="J39" s="2123"/>
      <c r="K39" s="2123"/>
    </row>
    <row r="40" spans="2:11" x14ac:dyDescent="0.25">
      <c r="B40" s="2123"/>
      <c r="C40" s="2123"/>
      <c r="D40" s="2123"/>
      <c r="E40" s="2123"/>
      <c r="F40" s="2123"/>
      <c r="G40" s="2123"/>
      <c r="H40" s="2123"/>
      <c r="I40" s="2123"/>
      <c r="J40" s="2123"/>
      <c r="K40" s="2123"/>
    </row>
    <row r="41" spans="2:11" x14ac:dyDescent="0.25">
      <c r="B41" s="2123"/>
      <c r="C41" s="2123"/>
      <c r="D41" s="2123"/>
      <c r="E41" s="2123"/>
      <c r="F41" s="2123"/>
      <c r="G41" s="2123"/>
      <c r="H41" s="2123"/>
      <c r="I41" s="2123"/>
      <c r="J41" s="2123"/>
      <c r="K41" s="2123"/>
    </row>
    <row r="42" spans="2:11" x14ac:dyDescent="0.25">
      <c r="B42" s="2123"/>
      <c r="C42" s="2123"/>
      <c r="D42" s="2123"/>
      <c r="E42" s="2123"/>
      <c r="F42" s="2123"/>
      <c r="G42" s="2123"/>
      <c r="H42" s="2123"/>
      <c r="I42" s="2123"/>
      <c r="J42" s="2123"/>
      <c r="K42" s="2123"/>
    </row>
    <row r="43" spans="2:11" x14ac:dyDescent="0.25">
      <c r="B43" s="2123"/>
      <c r="C43" s="2123"/>
      <c r="D43" s="2123"/>
      <c r="E43" s="2123"/>
      <c r="F43" s="2123"/>
      <c r="G43" s="2123"/>
      <c r="H43" s="2123"/>
      <c r="I43" s="2123"/>
      <c r="J43" s="2123"/>
      <c r="K43" s="2123"/>
    </row>
    <row r="44" spans="2:11" x14ac:dyDescent="0.25"/>
    <row r="45" spans="2:11" s="300" customFormat="1" x14ac:dyDescent="0.25"/>
    <row r="46" spans="2:11" s="300" customFormat="1" x14ac:dyDescent="0.25"/>
    <row r="47" spans="2:11" s="300" customFormat="1" x14ac:dyDescent="0.25"/>
    <row r="48" spans="2:11" s="300" customFormat="1" x14ac:dyDescent="0.25"/>
    <row r="49" s="300" customFormat="1" x14ac:dyDescent="0.25"/>
    <row r="50" s="300" customFormat="1" x14ac:dyDescent="0.25"/>
    <row r="51" s="300" customFormat="1" x14ac:dyDescent="0.25"/>
    <row r="52" s="300" customFormat="1" x14ac:dyDescent="0.25"/>
    <row r="53" s="300" customFormat="1" x14ac:dyDescent="0.25"/>
    <row r="54" s="300" customFormat="1" x14ac:dyDescent="0.25"/>
    <row r="55" s="300" customFormat="1" x14ac:dyDescent="0.25"/>
    <row r="56" s="300" customFormat="1" x14ac:dyDescent="0.25"/>
    <row r="57" s="300" customFormat="1" x14ac:dyDescent="0.25"/>
    <row r="58" s="300" customFormat="1" x14ac:dyDescent="0.25"/>
    <row r="59" s="300" customFormat="1" x14ac:dyDescent="0.25"/>
    <row r="60" s="300" customFormat="1" x14ac:dyDescent="0.25"/>
    <row r="61" s="300" customFormat="1" x14ac:dyDescent="0.25"/>
    <row r="62" s="300" customFormat="1" x14ac:dyDescent="0.25"/>
    <row r="63" s="300" customFormat="1" x14ac:dyDescent="0.25"/>
  </sheetData>
  <sheetProtection algorithmName="SHA-512" hashValue="2fZmwQqxNzAUowaFuc+2lDWP1YHuwUEOOsbntLFJ9rrTOMkbGJSJQxa2/r7c2zT7xmkzd43yQbK8nnq3RTrgFA==" saltValue="aRNJbWqzK2YPqM70QVKWkQ==" spinCount="100000" sheet="1" formatCells="0" formatColumns="0" formatRows="0" pivotTables="0"/>
  <protectedRanges>
    <protectedRange sqref="D8:D10 B19:K31 G8:H10 G12:H16 J8:J10 J12:J16" name="Plage1"/>
  </protectedRanges>
  <mergeCells count="11">
    <mergeCell ref="B21:K43"/>
    <mergeCell ref="B11:C11"/>
    <mergeCell ref="B17:C17"/>
    <mergeCell ref="B1:K1"/>
    <mergeCell ref="I3:J3"/>
    <mergeCell ref="I4:J4"/>
    <mergeCell ref="C3:F3"/>
    <mergeCell ref="B6:C6"/>
    <mergeCell ref="F6:H6"/>
    <mergeCell ref="I6:J6"/>
    <mergeCell ref="D6:D7"/>
  </mergeCells>
  <printOptions horizontalCentered="1"/>
  <pageMargins left="0" right="0.11811023622047245" top="0" bottom="0.35433070866141736" header="0.31496062992125984" footer="0.31496062992125984"/>
  <pageSetup paperSize="9" scale="90" firstPageNumber="1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43C6E5"/>
  </sheetPr>
  <dimension ref="A1:L52"/>
  <sheetViews>
    <sheetView topLeftCell="A3" zoomScaleNormal="100" workbookViewId="0">
      <selection activeCell="H36" sqref="H36"/>
    </sheetView>
  </sheetViews>
  <sheetFormatPr baseColWidth="10" defaultColWidth="0" defaultRowHeight="15" zeroHeight="1" x14ac:dyDescent="0.25"/>
  <cols>
    <col min="1" max="3" width="11.42578125" style="537" customWidth="1"/>
    <col min="4" max="4" width="25.140625" style="301" customWidth="1"/>
    <col min="5" max="5" width="24.42578125" style="301" customWidth="1"/>
    <col min="6" max="6" width="18.140625" style="301" customWidth="1"/>
    <col min="7" max="7" width="17.85546875" style="301" customWidth="1"/>
    <col min="8" max="8" width="24.140625" style="301" customWidth="1"/>
    <col min="9" max="9" width="17" style="301" customWidth="1"/>
    <col min="10" max="12" width="11.42578125" style="537" customWidth="1"/>
    <col min="13" max="16384" width="11.42578125" style="301" hidden="1"/>
  </cols>
  <sheetData>
    <row r="1" spans="1:12" ht="28.5" customHeight="1" x14ac:dyDescent="0.25">
      <c r="D1" s="2135" t="s">
        <v>104</v>
      </c>
      <c r="E1" s="2136"/>
      <c r="F1" s="2136"/>
      <c r="G1" s="2136"/>
      <c r="H1" s="2136"/>
      <c r="I1" s="2137"/>
    </row>
    <row r="2" spans="1:12" x14ac:dyDescent="0.25">
      <c r="D2" s="663"/>
      <c r="E2" s="663"/>
      <c r="F2" s="663"/>
      <c r="G2" s="663"/>
      <c r="H2" s="663"/>
      <c r="I2" s="663"/>
    </row>
    <row r="3" spans="1:12" ht="22.5" customHeight="1" x14ac:dyDescent="0.25">
      <c r="D3" s="629" t="s">
        <v>42</v>
      </c>
      <c r="E3" s="664" t="str">
        <f>INFORMATIONS!B10</f>
        <v>SAM CONSEILS</v>
      </c>
      <c r="F3" s="664"/>
      <c r="G3" s="664"/>
      <c r="H3" s="665" t="s">
        <v>52</v>
      </c>
      <c r="I3" s="631">
        <f>INFORMATIONS!D31</f>
        <v>43465</v>
      </c>
    </row>
    <row r="4" spans="1:12" ht="19.5" customHeight="1" x14ac:dyDescent="0.25">
      <c r="D4" s="632" t="s">
        <v>43</v>
      </c>
      <c r="E4" s="633" t="str">
        <f>INFORMATIONS!B24</f>
        <v>00084404X</v>
      </c>
      <c r="F4" s="634"/>
      <c r="G4" s="634"/>
      <c r="H4" s="666" t="s">
        <v>44</v>
      </c>
      <c r="I4" s="667">
        <f>INFORMATIONS!F34</f>
        <v>12</v>
      </c>
    </row>
    <row r="5" spans="1:12" x14ac:dyDescent="0.25"/>
    <row r="6" spans="1:12" x14ac:dyDescent="0.25">
      <c r="F6" s="668" t="s">
        <v>108</v>
      </c>
      <c r="G6" s="668" t="s">
        <v>109</v>
      </c>
      <c r="H6" s="668" t="s">
        <v>111</v>
      </c>
      <c r="I6" s="668" t="s">
        <v>95</v>
      </c>
    </row>
    <row r="7" spans="1:12" ht="44.25" customHeight="1" x14ac:dyDescent="0.25">
      <c r="D7" s="2116" t="s">
        <v>97</v>
      </c>
      <c r="E7" s="2117"/>
      <c r="F7" s="2138" t="s">
        <v>107</v>
      </c>
      <c r="G7" s="2138" t="s">
        <v>110</v>
      </c>
      <c r="H7" s="2138" t="s">
        <v>112</v>
      </c>
      <c r="I7" s="2138" t="s">
        <v>113</v>
      </c>
    </row>
    <row r="8" spans="1:12" x14ac:dyDescent="0.25">
      <c r="D8" s="2141" t="s">
        <v>96</v>
      </c>
      <c r="E8" s="2142"/>
      <c r="F8" s="2119"/>
      <c r="G8" s="2119"/>
      <c r="H8" s="2119"/>
      <c r="I8" s="2119"/>
    </row>
    <row r="9" spans="1:12" ht="21" customHeight="1" x14ac:dyDescent="0.25">
      <c r="D9" s="669" t="s">
        <v>67</v>
      </c>
      <c r="E9" s="670"/>
      <c r="F9" s="427">
        <f>SUMPRODUCT(((LEFT(BalanceN!$A$4:$A$9999,4)="2811")+(LEFT(BalanceN!$A$4:$A$9999,5)="28181"))*BalanceN!$D$4:$D$9999)</f>
        <v>0</v>
      </c>
      <c r="G9" s="427">
        <f>SUMPRODUCT(((LEFT(BalanceN!$A$4:$A$9999,4)="2811")+(LEFT(BalanceN!$A$4:$A$9999,5)="28181"))*BalanceN!$F$4:$F$9999)</f>
        <v>0</v>
      </c>
      <c r="H9" s="427">
        <f>SUMPRODUCT(((LEFT(BalanceN!$A$4:$A$9999,4)="2811")+(LEFT(BalanceN!$A$4:$A$9999,5)="28181"))*BalanceN!$E$4:$E$9999)</f>
        <v>0</v>
      </c>
      <c r="I9" s="671">
        <f>F9+G9-H9</f>
        <v>0</v>
      </c>
    </row>
    <row r="10" spans="1:12" ht="21" customHeight="1" x14ac:dyDescent="0.25">
      <c r="D10" s="669" t="s">
        <v>68</v>
      </c>
      <c r="E10" s="670"/>
      <c r="F10" s="427">
        <f>SUMPRODUCT(((LEFT(BalanceN!$A$4:$A$9999,4)="2812")+(LEFT(BalanceN!$A$4:$A$9999,4)="2813")+(LEFT(BalanceN!$A$4:$A$9999,4)="2814"))*BalanceN!$D$4:$D$9999)</f>
        <v>0</v>
      </c>
      <c r="G10" s="427">
        <f>SUMPRODUCT(((LEFT(BalanceN!$A$4:$A$9999,4)="2812")+(LEFT(BalanceN!$A$4:$A$9999,4)="2813")+(LEFT(BalanceN!$A$4:$A$9999,4)="2814"))*BalanceN!$F$4:$F$9999)</f>
        <v>0</v>
      </c>
      <c r="H10" s="427">
        <f>SUMPRODUCT(((LEFT(BalanceN!$A$4:$A$9999,4)="2812")+(LEFT(BalanceN!$A$4:$A$9999,4)="2813")+(LEFT(BalanceN!$A$4:$A$9999,4)="2814"))*BalanceN!$E$4:$E$9999)</f>
        <v>0</v>
      </c>
      <c r="I10" s="671">
        <f t="shared" ref="I10:I12" si="0">F10+G10-H10</f>
        <v>0</v>
      </c>
    </row>
    <row r="11" spans="1:12" ht="21" customHeight="1" x14ac:dyDescent="0.25">
      <c r="D11" s="669" t="s">
        <v>99</v>
      </c>
      <c r="E11" s="670"/>
      <c r="F11" s="427">
        <f>SUMPRODUCT(((LEFT(BalanceN!$A$4:$A$9999,4)="2815")+(LEFT(BalanceN!$A$4:$A$9999,4)="2816"))*BalanceN!$D$4:$D$9999)</f>
        <v>0</v>
      </c>
      <c r="G11" s="427">
        <f>SUMPRODUCT(((LEFT(BalanceN!$A$4:$A$9999,4)="2815")+(LEFT(BalanceN!$A$4:$A$9999,4)="2816"))*BalanceN!$F$4:$F$9999)</f>
        <v>0</v>
      </c>
      <c r="H11" s="427">
        <f>SUMPRODUCT(((LEFT(BalanceN!$A$4:$A$9999,4)="2815")+(LEFT(BalanceN!$A$4:$A$9999,4)="2816"))*BalanceN!$E$4:$E$9999)</f>
        <v>0</v>
      </c>
      <c r="I11" s="671">
        <f t="shared" si="0"/>
        <v>0</v>
      </c>
    </row>
    <row r="12" spans="1:12" ht="21" customHeight="1" x14ac:dyDescent="0.25">
      <c r="D12" s="669" t="s">
        <v>69</v>
      </c>
      <c r="E12" s="670"/>
      <c r="F12" s="427">
        <f>SUMPRODUCT(((LEFT(BalanceN!$A$4:$A$9999,4)="2817")+(LEFT(BalanceN!$A$4:$A$9999,4)="2818")-(LEFT(BalanceN!$A$4:$A$9999,5)="28181"))*BalanceN!$D$4:$D$9999)</f>
        <v>0</v>
      </c>
      <c r="G12" s="427">
        <f>SUMPRODUCT(((LEFT(BalanceN!$A$4:$A$9999,4)="2817")+(LEFT(BalanceN!$A$4:$A$9999,4)="2818")-(LEFT(BalanceN!$A$4:$A$9999,5)="28181"))*BalanceN!$F$4:$F$9999)</f>
        <v>0</v>
      </c>
      <c r="H12" s="427">
        <f>SUMPRODUCT(((LEFT(BalanceN!$A$4:$A$9999,4)="2817")+(LEFT(BalanceN!$A$4:$A$9999,4)="2818")-(LEFT(BalanceN!$A$4:$A$9999,5)="28181"))*BalanceN!$E$4:$E$9999)</f>
        <v>0</v>
      </c>
      <c r="I12" s="671">
        <f t="shared" si="0"/>
        <v>0</v>
      </c>
    </row>
    <row r="13" spans="1:12" s="672" customFormat="1" ht="21" customHeight="1" x14ac:dyDescent="0.25">
      <c r="A13" s="546"/>
      <c r="B13" s="546"/>
      <c r="C13" s="546"/>
      <c r="D13" s="595" t="s">
        <v>105</v>
      </c>
      <c r="E13" s="597"/>
      <c r="F13" s="639">
        <f>SUM(F9:F12)</f>
        <v>0</v>
      </c>
      <c r="G13" s="639">
        <f>SUM(G9:G12)</f>
        <v>0</v>
      </c>
      <c r="H13" s="639">
        <f>SUM(H9:H12)</f>
        <v>0</v>
      </c>
      <c r="I13" s="639">
        <f>SUM(I9:I12)</f>
        <v>0</v>
      </c>
      <c r="J13" s="546"/>
      <c r="K13" s="546"/>
      <c r="L13" s="546"/>
    </row>
    <row r="14" spans="1:12" ht="21" customHeight="1" x14ac:dyDescent="0.25">
      <c r="D14" s="2139" t="s">
        <v>116</v>
      </c>
      <c r="E14" s="2140"/>
      <c r="F14" s="427">
        <f>SUMPRODUCT(((LEFT(BalanceN!$A$4:$A$9999,3)="282"))*BalanceN!$D$4:$D$9999)</f>
        <v>0</v>
      </c>
      <c r="G14" s="427">
        <f>SUMPRODUCT(((LEFT(BalanceN!$A$4:$A$9999,3)="282"))*BalanceN!$F$4:$F$9999)</f>
        <v>0</v>
      </c>
      <c r="H14" s="427">
        <f>SUMPRODUCT(((LEFT(BalanceN!$A$4:$A$9999,3)="282"))*BalanceN!$E$4:$E$9999)</f>
        <v>0</v>
      </c>
      <c r="I14" s="671">
        <f>F14+G14-H14</f>
        <v>0</v>
      </c>
    </row>
    <row r="15" spans="1:12" ht="21" customHeight="1" x14ac:dyDescent="0.25">
      <c r="D15" s="2139" t="s">
        <v>102</v>
      </c>
      <c r="E15" s="2140"/>
      <c r="F15" s="427">
        <f>SUMPRODUCT(((LEFT(BalanceN!$A$4:$A$9999,4)="2831")+(LEFT(BalanceN!$A$4:$A$9999,4)="2832")+(LEFT(BalanceN!$A$4:$A$9999,4)="2833")+(LEFT(BalanceN!$A$4:$A$9999,4)="2837"))*BalanceN!$D$4:$D$9999)</f>
        <v>150313959</v>
      </c>
      <c r="G15" s="427">
        <f>SUMPRODUCT(((LEFT(BalanceN!$A$4:$A$9999,4)="2831")+(LEFT(BalanceN!$A$4:$A$9999,4)="2832")+(LEFT(BalanceN!$A$4:$A$9999,4)="2833")+(LEFT(BalanceN!$A$4:$A$9999,4)="2837"))*BalanceN!$F$4:$F$9999)</f>
        <v>9734682</v>
      </c>
      <c r="H15" s="427">
        <f>SUMPRODUCT(((LEFT(BalanceN!$A$4:$A$9999,4)="2831")+(LEFT(BalanceN!$A$4:$A$9999,4)="2832")+(LEFT(BalanceN!$A$4:$A$9999,4)="2833")+(LEFT(BalanceN!$A$4:$A$9999,4)="2837"))*BalanceN!$E$4:$E$9999)</f>
        <v>0</v>
      </c>
      <c r="I15" s="671">
        <f t="shared" ref="I15:I18" si="1">F15+G15-H15</f>
        <v>160048641</v>
      </c>
    </row>
    <row r="16" spans="1:12" ht="21" customHeight="1" x14ac:dyDescent="0.25">
      <c r="D16" s="669" t="s">
        <v>75</v>
      </c>
      <c r="E16" s="670"/>
      <c r="F16" s="427">
        <f>SUMPRODUCT(((LEFT(BalanceN!$A$4:$A$9999,4)="2834")+(LEFT(BalanceN!$A$4:$A$9999,4)="2835")+(LEFT(BalanceN!$A$4:$A$9999,4)="2838"))*BalanceN!$D$4:$D$9999)</f>
        <v>71328267</v>
      </c>
      <c r="G16" s="427">
        <f>SUMPRODUCT(((LEFT(BalanceN!$A$4:$A$9999,4)="2834")+(LEFT(BalanceN!$A$4:$A$9999,4)="2835")+(LEFT(BalanceN!$A$4:$A$9999,4)="2838"))*BalanceN!$F$4:$F$9999)</f>
        <v>0</v>
      </c>
      <c r="H16" s="427">
        <f>SUMPRODUCT(((LEFT(BalanceN!$A$4:$A$9999,4)="2834")+(LEFT(BalanceN!$A$4:$A$9999,4)="2835")+(LEFT(BalanceN!$A$4:$A$9999,4)="2838"))*BalanceN!$E$4:$E$9999)</f>
        <v>0</v>
      </c>
      <c r="I16" s="671">
        <f t="shared" si="1"/>
        <v>71328267</v>
      </c>
    </row>
    <row r="17" spans="1:12" ht="21" customHeight="1" x14ac:dyDescent="0.25">
      <c r="D17" s="669" t="s">
        <v>76</v>
      </c>
      <c r="E17" s="670"/>
      <c r="F17" s="427">
        <f>SUMPRODUCT(((LEFT(BalanceN!$A$4:$A$9999,3)="284")-(LEFT(BalanceN!$A$4:$A$9999,4)="2845"))*BalanceN!$D$4:$D$9999)</f>
        <v>72385970</v>
      </c>
      <c r="G17" s="427">
        <f>SUMPRODUCT(((LEFT(BalanceN!$A$4:$A$9999,3)="284")-(LEFT(BalanceN!$A$4:$A$9999,4)="2845"))*BalanceN!$F$4:$F$9999)</f>
        <v>9147462</v>
      </c>
      <c r="H17" s="427">
        <f>SUMPRODUCT(((LEFT(BalanceN!$A$4:$A$9999,3)="284")-(LEFT(BalanceN!$A$4:$A$9999,4)="2845"))*BalanceN!$E$4:$E$9999)</f>
        <v>45992979</v>
      </c>
      <c r="I17" s="671">
        <f t="shared" si="1"/>
        <v>35540453</v>
      </c>
    </row>
    <row r="18" spans="1:12" ht="21" customHeight="1" x14ac:dyDescent="0.25">
      <c r="D18" s="2139" t="s">
        <v>77</v>
      </c>
      <c r="E18" s="2140"/>
      <c r="F18" s="427">
        <f>SUMPRODUCT(((LEFT(BalanceN!$A$4:$A$9999,4)="2845"))*BalanceN!$D$4:$D$9999)</f>
        <v>53862500</v>
      </c>
      <c r="G18" s="427">
        <f>SUMPRODUCT(((LEFT(BalanceN!$A$4:$A$9999,4)="2845"))*BalanceN!$F$4:$F$9999)</f>
        <v>377500</v>
      </c>
      <c r="H18" s="427">
        <f>SUMPRODUCT(((LEFT(BalanceN!$A$4:$A$9999,4)="2845"))*BalanceN!$E$4:$E$9999)</f>
        <v>0</v>
      </c>
      <c r="I18" s="671">
        <f t="shared" si="1"/>
        <v>54240000</v>
      </c>
    </row>
    <row r="19" spans="1:12" s="672" customFormat="1" ht="31.5" customHeight="1" x14ac:dyDescent="0.25">
      <c r="A19" s="546"/>
      <c r="B19" s="546"/>
      <c r="C19" s="546"/>
      <c r="D19" s="2121" t="s">
        <v>106</v>
      </c>
      <c r="E19" s="2122"/>
      <c r="F19" s="639">
        <f>SUM(F14:F18)</f>
        <v>347890696</v>
      </c>
      <c r="G19" s="673">
        <f>SUM(G14:G18)</f>
        <v>19259644</v>
      </c>
      <c r="H19" s="639">
        <f>SUM(H14:H18)</f>
        <v>45992979</v>
      </c>
      <c r="I19" s="639">
        <f>SUM(I14:I18)</f>
        <v>321157361</v>
      </c>
      <c r="J19" s="546"/>
      <c r="K19" s="546"/>
      <c r="L19" s="546"/>
    </row>
    <row r="20" spans="1:12" s="672" customFormat="1" ht="21" customHeight="1" x14ac:dyDescent="0.25">
      <c r="A20" s="546"/>
      <c r="B20" s="546"/>
      <c r="C20" s="546"/>
      <c r="D20" s="595" t="s">
        <v>84</v>
      </c>
      <c r="E20" s="597"/>
      <c r="F20" s="639">
        <f>F13+F19</f>
        <v>347890696</v>
      </c>
      <c r="G20" s="673">
        <f>G13+G19</f>
        <v>19259644</v>
      </c>
      <c r="H20" s="639">
        <f>H13+H19</f>
        <v>45992979</v>
      </c>
      <c r="I20" s="639">
        <f>I13+I19</f>
        <v>321157361</v>
      </c>
      <c r="J20" s="546"/>
      <c r="K20" s="546"/>
      <c r="L20" s="546"/>
    </row>
    <row r="21" spans="1:12" s="672" customFormat="1" ht="18" customHeight="1" x14ac:dyDescent="0.25">
      <c r="A21" s="546"/>
      <c r="B21" s="546"/>
      <c r="C21" s="546"/>
      <c r="D21" s="674"/>
      <c r="E21" s="674"/>
      <c r="F21" s="675"/>
      <c r="G21" s="675"/>
      <c r="H21" s="675"/>
      <c r="I21" s="675"/>
      <c r="J21" s="546"/>
      <c r="K21" s="546"/>
      <c r="L21" s="546"/>
    </row>
    <row r="22" spans="1:12" x14ac:dyDescent="0.25">
      <c r="D22" s="645" t="s">
        <v>1263</v>
      </c>
      <c r="E22" s="345"/>
      <c r="F22" s="345"/>
      <c r="G22" s="345"/>
      <c r="H22" s="345"/>
      <c r="I22" s="345"/>
    </row>
    <row r="23" spans="1:12" ht="15" customHeight="1" x14ac:dyDescent="0.25">
      <c r="D23" s="2134"/>
      <c r="E23" s="2134"/>
      <c r="F23" s="2134"/>
      <c r="G23" s="2134"/>
      <c r="H23" s="2134"/>
      <c r="I23" s="2134"/>
    </row>
    <row r="24" spans="1:12" ht="15" customHeight="1" x14ac:dyDescent="0.25">
      <c r="D24" s="203"/>
      <c r="E24" s="203"/>
      <c r="F24" s="203"/>
      <c r="G24" s="203"/>
      <c r="H24" s="203"/>
      <c r="I24" s="203"/>
    </row>
    <row r="25" spans="1:12" ht="15" customHeight="1" x14ac:dyDescent="0.25">
      <c r="D25" s="203"/>
      <c r="E25" s="203"/>
      <c r="F25" s="203"/>
      <c r="G25" s="203"/>
      <c r="H25" s="203"/>
      <c r="I25" s="203"/>
    </row>
    <row r="26" spans="1:12" ht="15" customHeight="1" x14ac:dyDescent="0.25">
      <c r="D26" s="203"/>
      <c r="E26" s="203"/>
      <c r="F26" s="203"/>
      <c r="G26" s="203"/>
      <c r="H26" s="203"/>
      <c r="I26" s="203"/>
    </row>
    <row r="27" spans="1:12" s="537" customFormat="1" ht="15" customHeight="1" x14ac:dyDescent="0.25">
      <c r="D27" s="203"/>
      <c r="E27" s="203"/>
      <c r="F27" s="203"/>
      <c r="G27" s="203"/>
      <c r="H27" s="203"/>
      <c r="I27" s="203"/>
    </row>
    <row r="28" spans="1:12" ht="15" customHeight="1" x14ac:dyDescent="0.25">
      <c r="D28" s="203"/>
      <c r="E28" s="203"/>
      <c r="F28" s="203"/>
      <c r="G28" s="203"/>
      <c r="H28" s="203"/>
      <c r="I28" s="203"/>
    </row>
    <row r="29" spans="1:12" ht="15" customHeight="1" x14ac:dyDescent="0.25">
      <c r="D29" s="203"/>
      <c r="E29" s="203"/>
      <c r="F29" s="203"/>
      <c r="G29" s="203"/>
      <c r="H29" s="203"/>
      <c r="I29" s="203"/>
    </row>
    <row r="30" spans="1:12" ht="15" customHeight="1" x14ac:dyDescent="0.25">
      <c r="D30" s="203"/>
      <c r="E30" s="203"/>
      <c r="F30" s="203"/>
      <c r="G30" s="203"/>
      <c r="H30" s="203"/>
      <c r="I30" s="203"/>
    </row>
    <row r="31" spans="1:12" s="537" customFormat="1" x14ac:dyDescent="0.25"/>
    <row r="32" spans="1:12" s="537" customFormat="1" x14ac:dyDescent="0.25"/>
    <row r="33" s="537" customFormat="1" x14ac:dyDescent="0.25"/>
    <row r="34" s="537" customFormat="1" x14ac:dyDescent="0.25"/>
    <row r="35" s="537" customFormat="1" x14ac:dyDescent="0.25"/>
    <row r="36" s="537" customFormat="1" x14ac:dyDescent="0.25"/>
    <row r="37" s="537" customFormat="1" x14ac:dyDescent="0.25"/>
    <row r="38" s="537" customFormat="1" x14ac:dyDescent="0.25"/>
    <row r="39" s="537" customFormat="1" x14ac:dyDescent="0.25"/>
    <row r="40" s="537" customFormat="1" x14ac:dyDescent="0.25"/>
    <row r="41" s="537" customFormat="1" x14ac:dyDescent="0.25"/>
    <row r="42" s="537" customFormat="1" x14ac:dyDescent="0.25"/>
    <row r="43" s="537" customFormat="1" x14ac:dyDescent="0.25"/>
    <row r="44" s="537" customFormat="1" x14ac:dyDescent="0.25"/>
    <row r="45" s="537" customFormat="1" x14ac:dyDescent="0.25"/>
    <row r="46" s="537" customFormat="1" x14ac:dyDescent="0.25"/>
    <row r="47" s="537" customFormat="1" x14ac:dyDescent="0.25"/>
    <row r="48" s="537" customFormat="1" x14ac:dyDescent="0.25"/>
    <row r="49" s="537" customFormat="1" x14ac:dyDescent="0.25"/>
    <row r="50" s="537" customFormat="1" x14ac:dyDescent="0.25"/>
    <row r="51" s="537" customFormat="1" x14ac:dyDescent="0.25"/>
    <row r="52" s="537" customFormat="1" x14ac:dyDescent="0.25"/>
  </sheetData>
  <sheetProtection algorithmName="SHA-512" hashValue="XsBBkvTf9olAtMBUbvaGPK0iFrCWwSyxzCtZz5cQ9hByHQjMstl79gSngExg9xohnZOG41sXekiG4k4Dl1Y58Q==" saltValue="JwbXbMyUwhWWlXl5bXiN5w==" spinCount="100000" sheet="1" formatCells="0" formatColumns="0" formatRows="0" pivotTables="0"/>
  <mergeCells count="12">
    <mergeCell ref="D23:I23"/>
    <mergeCell ref="D19:E19"/>
    <mergeCell ref="D1:I1"/>
    <mergeCell ref="D7:E7"/>
    <mergeCell ref="F7:F8"/>
    <mergeCell ref="G7:G8"/>
    <mergeCell ref="H7:H8"/>
    <mergeCell ref="I7:I8"/>
    <mergeCell ref="D14:E14"/>
    <mergeCell ref="D15:E15"/>
    <mergeCell ref="D18:E18"/>
    <mergeCell ref="D8:E8"/>
  </mergeCells>
  <printOptions horizontalCentered="1"/>
  <pageMargins left="0" right="0.11811023622047245" top="0" bottom="0.35433070866141736" header="0.31496062992125984" footer="0.31496062992125984"/>
  <pageSetup paperSize="9" scale="97" orientation="landscape" r:id="rId1"/>
  <rowBreaks count="1" manualBreakCount="1">
    <brk id="30" min="3"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43C6E5"/>
  </sheetPr>
  <dimension ref="A1:M53"/>
  <sheetViews>
    <sheetView topLeftCell="A7" zoomScaleNormal="100" workbookViewId="0">
      <selection activeCell="H36" sqref="H36"/>
    </sheetView>
  </sheetViews>
  <sheetFormatPr baseColWidth="10" defaultColWidth="0" defaultRowHeight="15" zeroHeight="1" x14ac:dyDescent="0.25"/>
  <cols>
    <col min="1" max="1" width="8.7109375" style="537" customWidth="1"/>
    <col min="2" max="2" width="8.5703125" style="537" customWidth="1"/>
    <col min="3" max="3" width="11.42578125" style="537" customWidth="1"/>
    <col min="4" max="4" width="25.140625" style="676" customWidth="1"/>
    <col min="5" max="5" width="28.5703125" style="676" customWidth="1"/>
    <col min="6" max="6" width="14.140625" style="681" customWidth="1"/>
    <col min="7" max="7" width="17.5703125" style="681" customWidth="1"/>
    <col min="8" max="10" width="14" style="681" customWidth="1"/>
    <col min="11" max="13" width="11.42578125" style="537" customWidth="1"/>
    <col min="14" max="16384" width="11.42578125" style="676" hidden="1"/>
  </cols>
  <sheetData>
    <row r="1" spans="1:13" ht="28.5" customHeight="1" x14ac:dyDescent="0.25">
      <c r="D1" s="2135" t="s">
        <v>114</v>
      </c>
      <c r="E1" s="2136"/>
      <c r="F1" s="2136"/>
      <c r="G1" s="2136"/>
      <c r="H1" s="2136"/>
      <c r="I1" s="2136"/>
      <c r="J1" s="2137"/>
    </row>
    <row r="2" spans="1:13" x14ac:dyDescent="0.25">
      <c r="D2" s="472"/>
      <c r="E2" s="472"/>
      <c r="F2" s="677"/>
      <c r="G2" s="677"/>
      <c r="H2" s="677"/>
      <c r="I2" s="677"/>
      <c r="J2" s="677"/>
    </row>
    <row r="3" spans="1:13" ht="22.5" customHeight="1" x14ac:dyDescent="0.25">
      <c r="D3" s="629" t="s">
        <v>42</v>
      </c>
      <c r="E3" s="664" t="str">
        <f>INFORMATIONS!B10</f>
        <v>SAM CONSEILS</v>
      </c>
      <c r="F3" s="678"/>
      <c r="G3" s="678"/>
      <c r="H3" s="2146" t="s">
        <v>52</v>
      </c>
      <c r="I3" s="2146"/>
      <c r="J3" s="631">
        <f>INFORMATIONS!D31</f>
        <v>43465</v>
      </c>
    </row>
    <row r="4" spans="1:13" ht="19.5" customHeight="1" x14ac:dyDescent="0.25">
      <c r="D4" s="632" t="s">
        <v>43</v>
      </c>
      <c r="E4" s="633" t="str">
        <f>INFORMATIONS!B24</f>
        <v>00084404X</v>
      </c>
      <c r="F4" s="679"/>
      <c r="G4" s="679"/>
      <c r="H4" s="2147" t="s">
        <v>44</v>
      </c>
      <c r="I4" s="2147"/>
      <c r="J4" s="680">
        <f>INFORMATIONS!F34</f>
        <v>12</v>
      </c>
    </row>
    <row r="5" spans="1:13" x14ac:dyDescent="0.25"/>
    <row r="6" spans="1:13" ht="44.25" customHeight="1" x14ac:dyDescent="0.25">
      <c r="D6" s="2116" t="s">
        <v>97</v>
      </c>
      <c r="E6" s="2117"/>
      <c r="F6" s="682" t="s">
        <v>118</v>
      </c>
      <c r="G6" s="682" t="s">
        <v>119</v>
      </c>
      <c r="H6" s="682" t="s">
        <v>120</v>
      </c>
      <c r="I6" s="682" t="s">
        <v>122</v>
      </c>
      <c r="J6" s="682" t="s">
        <v>124</v>
      </c>
    </row>
    <row r="7" spans="1:13" x14ac:dyDescent="0.25">
      <c r="D7" s="637" t="s">
        <v>96</v>
      </c>
      <c r="E7" s="638"/>
      <c r="F7" s="682" t="s">
        <v>88</v>
      </c>
      <c r="G7" s="682" t="s">
        <v>109</v>
      </c>
      <c r="H7" s="682" t="s">
        <v>121</v>
      </c>
      <c r="I7" s="682" t="s">
        <v>123</v>
      </c>
      <c r="J7" s="682" t="s">
        <v>125</v>
      </c>
    </row>
    <row r="8" spans="1:13" ht="21" customHeight="1" x14ac:dyDescent="0.25">
      <c r="D8" s="504" t="s">
        <v>67</v>
      </c>
      <c r="E8" s="510"/>
      <c r="F8" s="683">
        <f>IF(I8=0,0,SUMPRODUCT(((LEFT(BalanceN!$A$4:$A$9999,3)="211")+(LEFT(BalanceN!$A$4:$A$9999,4)="2181")+(LEFT(BalanceN!$A$4:$A$9999,4)="2191"))*BalanceN!$F$4:$F$9999))</f>
        <v>0</v>
      </c>
      <c r="G8" s="427">
        <f>IF(I8=0,0,SUMPRODUCT(((LEFT(BalanceN!$A$4:$A$9999,4)="2811")+(LEFT(BalanceN!$A$4:$A$9999,5)="28181"))*BalanceN!$E$4:$E$9999))</f>
        <v>0</v>
      </c>
      <c r="H8" s="427">
        <f>+F8-G8</f>
        <v>0</v>
      </c>
      <c r="I8" s="225"/>
      <c r="J8" s="427">
        <f>I8-H8</f>
        <v>0</v>
      </c>
    </row>
    <row r="9" spans="1:13" ht="21" customHeight="1" x14ac:dyDescent="0.25">
      <c r="D9" s="504" t="s">
        <v>68</v>
      </c>
      <c r="E9" s="510"/>
      <c r="F9" s="683">
        <f>IF(I9=0,0,SUMPRODUCT(((LEFT(BalanceN!$A$4:$A$9999,3)="212")+(LEFT(BalanceN!$A$4:$A$9999,3)="213")+(LEFT(BalanceN!$A$4:$A$9999,3)="214")+(LEFT(BalanceN!$A$4:$A$9999,4)="2193"))*BalanceN!$F$4:$F$9999))</f>
        <v>0</v>
      </c>
      <c r="G9" s="427">
        <f>IF(I9=0,0,SUMPRODUCT(((LEFT(BalanceN!$A$4:$A$9999,4)="2812")+(LEFT(BalanceN!$A$4:$A$9999,4)="2813")+(LEFT(BalanceN!$A$4:$A$9999,4)="2814"))*BalanceN!$E$4:$E$9999))</f>
        <v>0</v>
      </c>
      <c r="H9" s="427">
        <f t="shared" ref="H9:H10" si="0">+F9-G9</f>
        <v>0</v>
      </c>
      <c r="I9" s="225"/>
      <c r="J9" s="427">
        <f t="shared" ref="J9:J10" si="1">I9-H9</f>
        <v>0</v>
      </c>
    </row>
    <row r="10" spans="1:13" ht="21" customHeight="1" x14ac:dyDescent="0.25">
      <c r="D10" s="504" t="s">
        <v>69</v>
      </c>
      <c r="E10" s="510"/>
      <c r="F10" s="683">
        <f>IF(I10=0,0,SUMPRODUCT(((LEFT(BalanceN!$A$4:$A$9999,3)="217")+(LEFT(BalanceN!$A$4:$A$9999,3)="218")+(LEFT(BalanceN!$A$4:$A$9999,4)="2198")-(LEFT(BalanceN!$A$4:$A$9999,4)="2181"))*BalanceN!$F$4:$F$9999))</f>
        <v>0</v>
      </c>
      <c r="G10" s="427">
        <f>IF(I10=0,0,SUMPRODUCT(((LEFT(BalanceN!$A$4:$A$9999,4)="2817")+(LEFT(BalanceN!$A$4:$A$9999,4)="2818")-(LEFT(BalanceN!$A$4:$A$9999,5)="28181"))*BalanceN!$E$4:$E$9999))</f>
        <v>0</v>
      </c>
      <c r="H10" s="427">
        <f t="shared" si="0"/>
        <v>0</v>
      </c>
      <c r="I10" s="225"/>
      <c r="J10" s="427">
        <f t="shared" si="1"/>
        <v>0</v>
      </c>
    </row>
    <row r="11" spans="1:13" s="685" customFormat="1" ht="21.75" customHeight="1" x14ac:dyDescent="0.25">
      <c r="A11" s="546"/>
      <c r="B11" s="546"/>
      <c r="C11" s="546"/>
      <c r="D11" s="2121" t="s">
        <v>115</v>
      </c>
      <c r="E11" s="2122"/>
      <c r="F11" s="684">
        <f>SUM(F8:F10)</f>
        <v>0</v>
      </c>
      <c r="G11" s="684">
        <f>SUM(G8:G10)</f>
        <v>0</v>
      </c>
      <c r="H11" s="684">
        <f>SUM(H8:H10)</f>
        <v>0</v>
      </c>
      <c r="I11" s="684">
        <f>SUM(I8:I10)</f>
        <v>0</v>
      </c>
      <c r="J11" s="684">
        <f>SUM(J8:J10)</f>
        <v>0</v>
      </c>
      <c r="K11" s="546"/>
      <c r="L11" s="546"/>
      <c r="M11" s="546"/>
    </row>
    <row r="12" spans="1:13" ht="21" customHeight="1" x14ac:dyDescent="0.25">
      <c r="D12" s="504" t="s">
        <v>116</v>
      </c>
      <c r="E12" s="510"/>
      <c r="F12" s="683">
        <f>IF(I12=0,0,SUMPRODUCT(((LEFT(BalanceN!$A$4:$A$9999,2)="22"))*BalanceN!$F$4:$F$9999))</f>
        <v>0</v>
      </c>
      <c r="G12" s="427">
        <f>IF(I12=0,0,SUMPRODUCT(((LEFT(BalanceN!$A$4:$A$9999,3)="282"))*BalanceN!$E$4:$E$9999))</f>
        <v>0</v>
      </c>
      <c r="H12" s="427">
        <f>F12-G12</f>
        <v>0</v>
      </c>
      <c r="I12" s="225"/>
      <c r="J12" s="427">
        <f>I12-H12</f>
        <v>0</v>
      </c>
    </row>
    <row r="13" spans="1:13" ht="21" customHeight="1" x14ac:dyDescent="0.25">
      <c r="D13" s="504" t="s">
        <v>102</v>
      </c>
      <c r="E13" s="510"/>
      <c r="F13" s="683">
        <f>IF(I13=0,0,SUMPRODUCT(((LEFT(BalanceN!$A$4:$A$9999,3)="231")+(LEFT(BalanceN!$A$4:$A$9999,3)="232")+(LEFT(BalanceN!$A$4:$A$9999,3)="233")+(LEFT(BalanceN!$A$4:$A$9999,3)="237")+(LEFT(BalanceN!$A$4:$A$9999,4)="2391"))*BalanceN!$F$4:$F$9999))</f>
        <v>0</v>
      </c>
      <c r="G13" s="427">
        <f>IF(I13=0,0,SUMPRODUCT(((LEFT(BalanceN!$A$4:$A$9999,4)="2831")+(LEFT(BalanceN!$A$4:$A$9999,4)="2832")+(LEFT(BalanceN!$A$4:$A$9999,4)="2833")+(LEFT(BalanceN!$A$4:$A$9999,4)="2837"))*BalanceN!$E$4:$E$9999))</f>
        <v>0</v>
      </c>
      <c r="H13" s="427">
        <f t="shared" ref="H13:H16" si="2">F13-G13</f>
        <v>0</v>
      </c>
      <c r="I13" s="225"/>
      <c r="J13" s="427">
        <f t="shared" ref="J13:J16" si="3">I13-H13</f>
        <v>0</v>
      </c>
    </row>
    <row r="14" spans="1:13" ht="21" customHeight="1" x14ac:dyDescent="0.25">
      <c r="D14" s="504" t="s">
        <v>75</v>
      </c>
      <c r="E14" s="510"/>
      <c r="F14" s="683">
        <f>IF(I14=0,0,SUMPRODUCT(((LEFT(BalanceN!$A$4:$A$9999,3)="234")+(LEFT(BalanceN!$A$4:$A$9999,3)="235")+(LEFT(BalanceN!$A$4:$A$9999,3)="238")+(LEFT(BalanceN!$A$4:$A$9999,4)="2392")+(LEFT(BalanceN!$A$4:$A$9999,4)="2393"))*BalanceN!$F$4:$F$9999))</f>
        <v>0</v>
      </c>
      <c r="G14" s="427">
        <f>IF(I14=0,0,SUMPRODUCT(((LEFT(BalanceN!$A$4:$A$9999,4)="2834")+(LEFT(BalanceN!$A$4:$A$9999,4)="2835")+(LEFT(BalanceN!$A$4:$A$9999,4)="2838"))*BalanceN!$E$4:$E$9999))</f>
        <v>0</v>
      </c>
      <c r="H14" s="427">
        <f t="shared" si="2"/>
        <v>0</v>
      </c>
      <c r="I14" s="225"/>
      <c r="J14" s="427">
        <f t="shared" si="3"/>
        <v>0</v>
      </c>
    </row>
    <row r="15" spans="1:13" ht="21" customHeight="1" x14ac:dyDescent="0.25">
      <c r="D15" s="504" t="s">
        <v>76</v>
      </c>
      <c r="E15" s="510"/>
      <c r="F15" s="686">
        <f>IF(I15=0,0,SUMPRODUCT(((LEFT(BalanceN!$A$4:$A$9999,2)="24")-(LEFT(BalanceN!$A$4:$A$9999,3)="245")-(LEFT(BalanceN!$A$4:$A$9999,4)="2495"))*BalanceN!$F$4:$F$9999))</f>
        <v>45992979</v>
      </c>
      <c r="G15" s="427">
        <f>IF(I15=0,0,SUMPRODUCT(((LEFT(BalanceN!$A$4:$A$9999,3)="284")-(LEFT(BalanceN!$A$4:$A$9999,4)="2845"))*BalanceN!$E$4:$E$9999))</f>
        <v>45992979</v>
      </c>
      <c r="H15" s="427">
        <f t="shared" si="2"/>
        <v>0</v>
      </c>
      <c r="I15" s="226">
        <v>127119</v>
      </c>
      <c r="J15" s="427">
        <f t="shared" si="3"/>
        <v>127119</v>
      </c>
    </row>
    <row r="16" spans="1:13" ht="21" customHeight="1" x14ac:dyDescent="0.25">
      <c r="D16" s="504" t="s">
        <v>77</v>
      </c>
      <c r="E16" s="510"/>
      <c r="F16" s="683">
        <f>IF(I16=0,0,SUMPRODUCT(((LEFT(BalanceN!$A$4:$A$9999,3)="245")+(LEFT(BalanceN!$A$4:$A$9999,4)="2495"))*BalanceN!$F$4:$F$9999))</f>
        <v>0</v>
      </c>
      <c r="G16" s="427">
        <f>IF(I16=0,0,SUMPRODUCT(((LEFT(BalanceN!$A$4:$A$9999,4)="2845"))*BalanceN!$E$4:$E$9999))</f>
        <v>0</v>
      </c>
      <c r="H16" s="427">
        <f t="shared" si="2"/>
        <v>0</v>
      </c>
      <c r="I16" s="225"/>
      <c r="J16" s="427">
        <f t="shared" si="3"/>
        <v>0</v>
      </c>
    </row>
    <row r="17" spans="1:13" s="685" customFormat="1" ht="21.75" customHeight="1" x14ac:dyDescent="0.25">
      <c r="A17" s="546"/>
      <c r="B17" s="546"/>
      <c r="C17" s="546"/>
      <c r="D17" s="2121" t="s">
        <v>103</v>
      </c>
      <c r="E17" s="2122"/>
      <c r="F17" s="684">
        <f>SUM(F12:F16)</f>
        <v>45992979</v>
      </c>
      <c r="G17" s="684">
        <f>SUM(G12:G16)</f>
        <v>45992979</v>
      </c>
      <c r="H17" s="684">
        <f>SUM(H12:H16)</f>
        <v>0</v>
      </c>
      <c r="I17" s="684">
        <f>SUM(I12:I16)</f>
        <v>127119</v>
      </c>
      <c r="J17" s="684">
        <f>SUM(J12:J16)</f>
        <v>127119</v>
      </c>
      <c r="K17" s="546"/>
      <c r="L17" s="546"/>
      <c r="M17" s="546"/>
    </row>
    <row r="18" spans="1:13" ht="21" customHeight="1" x14ac:dyDescent="0.25">
      <c r="D18" s="504" t="s">
        <v>82</v>
      </c>
      <c r="E18" s="510"/>
      <c r="F18" s="683">
        <f>IF(I18=0,0,SUMPRODUCT(((LEFT(BalanceN!$A$4:$A$9999,2)="26"))*BalanceN!$F$4:$F$9999))</f>
        <v>0</v>
      </c>
      <c r="G18" s="683"/>
      <c r="H18" s="683">
        <f>F18-G18</f>
        <v>0</v>
      </c>
      <c r="I18" s="225"/>
      <c r="J18" s="427">
        <f>I18-H18</f>
        <v>0</v>
      </c>
    </row>
    <row r="19" spans="1:13" ht="21" customHeight="1" x14ac:dyDescent="0.25">
      <c r="D19" s="504" t="s">
        <v>83</v>
      </c>
      <c r="E19" s="510"/>
      <c r="F19" s="683">
        <f>IF(I19=0,0,SUMPRODUCT(((LEFT(BalanceN!$A$4:$A$9999,2)="27"))*BalanceN!$F$4:$F$9999))</f>
        <v>0</v>
      </c>
      <c r="G19" s="683"/>
      <c r="H19" s="683">
        <f>F19-G19</f>
        <v>0</v>
      </c>
      <c r="I19" s="225"/>
      <c r="J19" s="427">
        <f>I19-H19</f>
        <v>0</v>
      </c>
    </row>
    <row r="20" spans="1:13" ht="21" customHeight="1" x14ac:dyDescent="0.25">
      <c r="D20" s="595" t="s">
        <v>117</v>
      </c>
      <c r="E20" s="597"/>
      <c r="F20" s="684">
        <f>SUM(F18:F19)</f>
        <v>0</v>
      </c>
      <c r="G20" s="684">
        <f t="shared" ref="G20:I20" si="4">SUM(G18:G19)</f>
        <v>0</v>
      </c>
      <c r="H20" s="684">
        <f t="shared" si="4"/>
        <v>0</v>
      </c>
      <c r="I20" s="684">
        <f t="shared" si="4"/>
        <v>0</v>
      </c>
      <c r="J20" s="684">
        <f>SUM(J18:J19)</f>
        <v>0</v>
      </c>
    </row>
    <row r="21" spans="1:13" s="685" customFormat="1" ht="21" customHeight="1" x14ac:dyDescent="0.25">
      <c r="A21" s="546"/>
      <c r="B21" s="546"/>
      <c r="C21" s="546"/>
      <c r="D21" s="2144" t="s">
        <v>84</v>
      </c>
      <c r="E21" s="2145"/>
      <c r="F21" s="684">
        <f>F11+F17+F20</f>
        <v>45992979</v>
      </c>
      <c r="G21" s="684">
        <f>G11+G17+G20</f>
        <v>45992979</v>
      </c>
      <c r="H21" s="684">
        <f>H11+H17+H20</f>
        <v>0</v>
      </c>
      <c r="I21" s="684">
        <f>I11+I17+I20</f>
        <v>127119</v>
      </c>
      <c r="J21" s="684">
        <f>J11+J17+J20</f>
        <v>127119</v>
      </c>
      <c r="K21" s="546"/>
      <c r="L21" s="546"/>
      <c r="M21" s="546"/>
    </row>
    <row r="22" spans="1:13" x14ac:dyDescent="0.25">
      <c r="D22" s="685" t="s">
        <v>1263</v>
      </c>
    </row>
    <row r="23" spans="1:13" x14ac:dyDescent="0.25">
      <c r="D23" s="2143"/>
      <c r="E23" s="2143"/>
      <c r="F23" s="2143"/>
      <c r="G23" s="2143"/>
      <c r="H23" s="2143"/>
      <c r="I23" s="2143"/>
      <c r="J23" s="2143"/>
    </row>
    <row r="24" spans="1:13" x14ac:dyDescent="0.25">
      <c r="D24" s="2143"/>
      <c r="E24" s="2143"/>
      <c r="F24" s="2143"/>
      <c r="G24" s="2143"/>
      <c r="H24" s="2143"/>
      <c r="I24" s="2143"/>
      <c r="J24" s="2143"/>
    </row>
    <row r="25" spans="1:13" x14ac:dyDescent="0.25">
      <c r="D25" s="2143"/>
      <c r="E25" s="2143"/>
      <c r="F25" s="2143"/>
      <c r="G25" s="2143"/>
      <c r="H25" s="2143"/>
      <c r="I25" s="2143"/>
      <c r="J25" s="2143"/>
    </row>
    <row r="26" spans="1:13" x14ac:dyDescent="0.25">
      <c r="D26" s="2143"/>
      <c r="E26" s="2143"/>
      <c r="F26" s="2143"/>
      <c r="G26" s="2143"/>
      <c r="H26" s="2143"/>
      <c r="I26" s="2143"/>
      <c r="J26" s="2143"/>
    </row>
    <row r="27" spans="1:13" x14ac:dyDescent="0.25">
      <c r="D27" s="2143"/>
      <c r="E27" s="2143"/>
      <c r="F27" s="2143"/>
      <c r="G27" s="2143"/>
      <c r="H27" s="2143"/>
      <c r="I27" s="2143"/>
      <c r="J27" s="2143"/>
    </row>
    <row r="28" spans="1:13" x14ac:dyDescent="0.25">
      <c r="D28" s="2143"/>
      <c r="E28" s="2143"/>
      <c r="F28" s="2143"/>
      <c r="G28" s="2143"/>
      <c r="H28" s="2143"/>
      <c r="I28" s="2143"/>
      <c r="J28" s="2143"/>
    </row>
    <row r="29" spans="1:13" x14ac:dyDescent="0.25">
      <c r="D29" s="2143"/>
      <c r="E29" s="2143"/>
      <c r="F29" s="2143"/>
      <c r="G29" s="2143"/>
      <c r="H29" s="2143"/>
      <c r="I29" s="2143"/>
      <c r="J29" s="2143"/>
    </row>
    <row r="30" spans="1:13" x14ac:dyDescent="0.25">
      <c r="D30" s="2143"/>
      <c r="E30" s="2143"/>
      <c r="F30" s="2143"/>
      <c r="G30" s="2143"/>
      <c r="H30" s="2143"/>
      <c r="I30" s="2143"/>
      <c r="J30" s="2143"/>
    </row>
    <row r="31" spans="1:13" s="537" customFormat="1" x14ac:dyDescent="0.25">
      <c r="F31" s="687"/>
      <c r="G31" s="687"/>
      <c r="H31" s="687"/>
      <c r="I31" s="687"/>
      <c r="J31" s="687"/>
    </row>
    <row r="32" spans="1:13" s="537" customFormat="1" x14ac:dyDescent="0.25">
      <c r="F32" s="687"/>
      <c r="G32" s="687"/>
      <c r="H32" s="687"/>
      <c r="I32" s="687"/>
      <c r="J32" s="687"/>
    </row>
    <row r="33" spans="6:10" s="537" customFormat="1" x14ac:dyDescent="0.25">
      <c r="F33" s="687"/>
      <c r="G33" s="687"/>
      <c r="H33" s="687"/>
      <c r="I33" s="687"/>
      <c r="J33" s="687"/>
    </row>
    <row r="34" spans="6:10" s="537" customFormat="1" x14ac:dyDescent="0.25">
      <c r="F34" s="687"/>
      <c r="G34" s="687"/>
      <c r="H34" s="687"/>
      <c r="I34" s="687"/>
      <c r="J34" s="687"/>
    </row>
    <row r="35" spans="6:10" s="537" customFormat="1" x14ac:dyDescent="0.25">
      <c r="F35" s="687"/>
      <c r="G35" s="687"/>
      <c r="H35" s="687"/>
      <c r="I35" s="687"/>
      <c r="J35" s="687"/>
    </row>
    <row r="36" spans="6:10" s="537" customFormat="1" x14ac:dyDescent="0.25">
      <c r="F36" s="687"/>
      <c r="G36" s="687"/>
      <c r="H36" s="687"/>
      <c r="I36" s="687"/>
      <c r="J36" s="687"/>
    </row>
    <row r="37" spans="6:10" s="537" customFormat="1" x14ac:dyDescent="0.25">
      <c r="F37" s="687"/>
      <c r="G37" s="687"/>
      <c r="H37" s="687"/>
      <c r="I37" s="687"/>
      <c r="J37" s="687"/>
    </row>
    <row r="38" spans="6:10" s="537" customFormat="1" x14ac:dyDescent="0.25">
      <c r="F38" s="687"/>
      <c r="G38" s="687"/>
      <c r="H38" s="687"/>
      <c r="I38" s="687"/>
      <c r="J38" s="687"/>
    </row>
    <row r="39" spans="6:10" s="537" customFormat="1" x14ac:dyDescent="0.25">
      <c r="F39" s="687"/>
      <c r="G39" s="687"/>
      <c r="H39" s="687"/>
      <c r="I39" s="687"/>
      <c r="J39" s="687"/>
    </row>
    <row r="40" spans="6:10" s="537" customFormat="1" x14ac:dyDescent="0.25">
      <c r="F40" s="687"/>
      <c r="G40" s="687"/>
      <c r="H40" s="687"/>
      <c r="I40" s="687"/>
      <c r="J40" s="687"/>
    </row>
    <row r="41" spans="6:10" s="537" customFormat="1" x14ac:dyDescent="0.25">
      <c r="F41" s="687"/>
      <c r="G41" s="687"/>
      <c r="H41" s="687"/>
      <c r="I41" s="687"/>
      <c r="J41" s="687"/>
    </row>
    <row r="42" spans="6:10" s="537" customFormat="1" x14ac:dyDescent="0.25">
      <c r="F42" s="687"/>
      <c r="G42" s="687"/>
      <c r="H42" s="687"/>
      <c r="I42" s="687"/>
      <c r="J42" s="687"/>
    </row>
    <row r="43" spans="6:10" s="537" customFormat="1" x14ac:dyDescent="0.25">
      <c r="F43" s="687"/>
      <c r="G43" s="687"/>
      <c r="H43" s="687"/>
      <c r="I43" s="687"/>
      <c r="J43" s="687"/>
    </row>
    <row r="44" spans="6:10" s="537" customFormat="1" x14ac:dyDescent="0.25">
      <c r="F44" s="687"/>
      <c r="G44" s="687"/>
      <c r="H44" s="687"/>
      <c r="I44" s="687"/>
      <c r="J44" s="687"/>
    </row>
    <row r="45" spans="6:10" s="537" customFormat="1" x14ac:dyDescent="0.25">
      <c r="F45" s="687"/>
      <c r="G45" s="687"/>
      <c r="H45" s="687"/>
      <c r="I45" s="687"/>
      <c r="J45" s="687"/>
    </row>
    <row r="46" spans="6:10" s="537" customFormat="1" x14ac:dyDescent="0.25">
      <c r="F46" s="687"/>
      <c r="G46" s="687"/>
      <c r="H46" s="687"/>
      <c r="I46" s="687"/>
      <c r="J46" s="687"/>
    </row>
    <row r="47" spans="6:10" s="537" customFormat="1" x14ac:dyDescent="0.25">
      <c r="F47" s="687"/>
      <c r="G47" s="687"/>
      <c r="H47" s="687"/>
      <c r="I47" s="687"/>
      <c r="J47" s="687"/>
    </row>
    <row r="48" spans="6:10" s="537" customFormat="1" x14ac:dyDescent="0.25">
      <c r="F48" s="687"/>
      <c r="G48" s="687"/>
      <c r="H48" s="687"/>
      <c r="I48" s="687"/>
      <c r="J48" s="687"/>
    </row>
    <row r="49" spans="6:10" s="537" customFormat="1" x14ac:dyDescent="0.25">
      <c r="F49" s="687"/>
      <c r="G49" s="687"/>
      <c r="H49" s="687"/>
      <c r="I49" s="687"/>
      <c r="J49" s="687"/>
    </row>
    <row r="50" spans="6:10" s="537" customFormat="1" x14ac:dyDescent="0.25">
      <c r="F50" s="687"/>
      <c r="G50" s="687"/>
      <c r="H50" s="687"/>
      <c r="I50" s="687"/>
      <c r="J50" s="687"/>
    </row>
    <row r="51" spans="6:10" s="537" customFormat="1" x14ac:dyDescent="0.25">
      <c r="F51" s="687"/>
      <c r="G51" s="687"/>
      <c r="H51" s="687"/>
      <c r="I51" s="687"/>
      <c r="J51" s="687"/>
    </row>
    <row r="52" spans="6:10" s="537" customFormat="1" x14ac:dyDescent="0.25">
      <c r="F52" s="687"/>
      <c r="G52" s="687"/>
      <c r="H52" s="687"/>
      <c r="I52" s="687"/>
      <c r="J52" s="687"/>
    </row>
    <row r="53" spans="6:10" s="537" customFormat="1" x14ac:dyDescent="0.25">
      <c r="F53" s="687"/>
      <c r="G53" s="687"/>
      <c r="H53" s="687"/>
      <c r="I53" s="687"/>
      <c r="J53" s="687"/>
    </row>
  </sheetData>
  <sheetProtection algorithmName="SHA-512" hashValue="Tq1aCJ31XcvCEeSY+t3+N/5prk1USsPKFmLSTK5ccdisQw+BLJon2HtldlEFyAji4v03PN/9LAvHRxVlo0hNNA==" saltValue="uPwaNHKADGApxfk4BVQvGg==" spinCount="100000" sheet="1" formatCells="0" formatColumns="0" formatRows="0" pivotTables="0"/>
  <mergeCells count="8">
    <mergeCell ref="D23:J30"/>
    <mergeCell ref="D17:E17"/>
    <mergeCell ref="D11:E11"/>
    <mergeCell ref="D21:E21"/>
    <mergeCell ref="D1:J1"/>
    <mergeCell ref="H3:I3"/>
    <mergeCell ref="H4:I4"/>
    <mergeCell ref="D6:E6"/>
  </mergeCells>
  <printOptions horizontalCentered="1"/>
  <pageMargins left="0" right="0.11811023622047245" top="0" bottom="0.35433070866141736" header="0.31496062992125984" footer="0.31496062992125984"/>
  <pageSetup paperSize="9" scale="9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43C6E5"/>
  </sheetPr>
  <dimension ref="A1:N65"/>
  <sheetViews>
    <sheetView topLeftCell="A10" zoomScaleNormal="100" workbookViewId="0">
      <selection activeCell="E31" sqref="E31:H41"/>
    </sheetView>
  </sheetViews>
  <sheetFormatPr baseColWidth="10" defaultColWidth="0" defaultRowHeight="15" zeroHeight="1" x14ac:dyDescent="0.25"/>
  <cols>
    <col min="1" max="1" width="9" style="537" customWidth="1"/>
    <col min="2" max="2" width="9.42578125" style="537" customWidth="1"/>
    <col min="3" max="3" width="9.5703125" style="537" customWidth="1"/>
    <col min="4" max="4" width="11.42578125" style="537" customWidth="1"/>
    <col min="5" max="5" width="31.140625" style="301" customWidth="1"/>
    <col min="6" max="6" width="23.42578125" style="301" customWidth="1"/>
    <col min="7" max="7" width="28" style="301" customWidth="1"/>
    <col min="8" max="8" width="31.140625" style="301" customWidth="1"/>
    <col min="9" max="12" width="11.42578125" style="537" customWidth="1"/>
    <col min="13" max="14" width="0" style="301" hidden="1" customWidth="1"/>
    <col min="15" max="16384" width="11.42578125" style="301" hidden="1"/>
  </cols>
  <sheetData>
    <row r="1" spans="5:8" ht="28.5" customHeight="1" x14ac:dyDescent="0.25">
      <c r="E1" s="2135" t="s">
        <v>126</v>
      </c>
      <c r="F1" s="2136"/>
      <c r="G1" s="2136"/>
      <c r="H1" s="2137"/>
    </row>
    <row r="2" spans="5:8" x14ac:dyDescent="0.25">
      <c r="E2" s="688"/>
      <c r="F2" s="688"/>
      <c r="G2" s="688"/>
      <c r="H2" s="689"/>
    </row>
    <row r="3" spans="5:8" ht="22.5" customHeight="1" x14ac:dyDescent="0.25">
      <c r="E3" s="629" t="s">
        <v>42</v>
      </c>
      <c r="F3" s="664" t="str">
        <f>INFORMATIONS!B10</f>
        <v>SAM CONSEILS</v>
      </c>
      <c r="G3" s="690" t="s">
        <v>52</v>
      </c>
      <c r="H3" s="691">
        <f>INFORMATIONS!D31</f>
        <v>43465</v>
      </c>
    </row>
    <row r="4" spans="5:8" ht="19.5" customHeight="1" x14ac:dyDescent="0.25">
      <c r="E4" s="632" t="s">
        <v>43</v>
      </c>
      <c r="F4" s="633" t="str">
        <f>INFORMATIONS!B24</f>
        <v>00084404X</v>
      </c>
      <c r="G4" s="690" t="s">
        <v>44</v>
      </c>
      <c r="H4" s="692">
        <f>INFORMATIONS!F34</f>
        <v>12</v>
      </c>
    </row>
    <row r="5" spans="5:8" x14ac:dyDescent="0.25">
      <c r="E5" s="693"/>
      <c r="F5" s="693"/>
      <c r="G5" s="693"/>
      <c r="H5" s="694"/>
    </row>
    <row r="6" spans="5:8" x14ac:dyDescent="0.25">
      <c r="E6" s="2155" t="s">
        <v>127</v>
      </c>
      <c r="F6" s="2156"/>
      <c r="G6" s="2155" t="s">
        <v>128</v>
      </c>
      <c r="H6" s="2157"/>
    </row>
    <row r="7" spans="5:8" ht="15.75" x14ac:dyDescent="0.25">
      <c r="E7" s="156"/>
      <c r="F7" s="157"/>
      <c r="G7" s="2160"/>
      <c r="H7" s="2161"/>
    </row>
    <row r="8" spans="5:8" ht="15.75" x14ac:dyDescent="0.25">
      <c r="E8" s="158"/>
      <c r="F8" s="159"/>
      <c r="G8" s="281"/>
      <c r="H8" s="282"/>
    </row>
    <row r="9" spans="5:8" ht="15.75" x14ac:dyDescent="0.25">
      <c r="E9" s="158"/>
      <c r="F9" s="159"/>
      <c r="G9" s="281"/>
      <c r="H9" s="282"/>
    </row>
    <row r="10" spans="5:8" ht="15.75" x14ac:dyDescent="0.25">
      <c r="E10" s="158"/>
      <c r="F10" s="159"/>
      <c r="G10" s="281"/>
      <c r="H10" s="282"/>
    </row>
    <row r="11" spans="5:8" ht="15.75" x14ac:dyDescent="0.25">
      <c r="E11" s="158"/>
      <c r="F11" s="159"/>
      <c r="G11" s="2162"/>
      <c r="H11" s="2163"/>
    </row>
    <row r="12" spans="5:8" ht="15.75" x14ac:dyDescent="0.25">
      <c r="E12" s="160"/>
      <c r="F12" s="161"/>
      <c r="G12" s="2164"/>
      <c r="H12" s="2165"/>
    </row>
    <row r="13" spans="5:8" ht="44.25" customHeight="1" x14ac:dyDescent="0.25">
      <c r="E13" s="2158" t="s">
        <v>129</v>
      </c>
      <c r="F13" s="2159"/>
      <c r="G13" s="695" t="s">
        <v>130</v>
      </c>
      <c r="H13" s="696" t="s">
        <v>134</v>
      </c>
    </row>
    <row r="14" spans="5:8" x14ac:dyDescent="0.25">
      <c r="E14" s="669" t="s">
        <v>116</v>
      </c>
      <c r="F14" s="697"/>
      <c r="G14" s="705">
        <f>IF(H14=0,0,'NOTE 3A'!E14)</f>
        <v>35173950</v>
      </c>
      <c r="H14" s="705">
        <f>'NOTE 3A'!H14</f>
        <v>3500000</v>
      </c>
    </row>
    <row r="15" spans="5:8" x14ac:dyDescent="0.25">
      <c r="E15" s="669" t="s">
        <v>102</v>
      </c>
      <c r="F15" s="697"/>
      <c r="G15" s="705">
        <f>IF(H15=0,0,'NOTE 3A'!E16)</f>
        <v>286411100</v>
      </c>
      <c r="H15" s="705">
        <f>'NOTE 3A'!H16</f>
        <v>25000000</v>
      </c>
    </row>
    <row r="16" spans="5:8" x14ac:dyDescent="0.25">
      <c r="E16" s="669" t="s">
        <v>75</v>
      </c>
      <c r="F16" s="697"/>
      <c r="G16" s="705">
        <f>IF(H16=0,0,'NOTE 3A'!E18)</f>
        <v>71328267</v>
      </c>
      <c r="H16" s="705">
        <f>'NOTE 3A'!H18</f>
        <v>2000000</v>
      </c>
    </row>
    <row r="17" spans="5:8" x14ac:dyDescent="0.25">
      <c r="E17" s="669" t="s">
        <v>76</v>
      </c>
      <c r="F17" s="697"/>
      <c r="G17" s="705">
        <f>IF(H17=0,0,'NOTE 3A'!E19)</f>
        <v>104472006</v>
      </c>
      <c r="H17" s="705">
        <f>'NOTE 3A'!H19</f>
        <v>3000000</v>
      </c>
    </row>
    <row r="18" spans="5:8" x14ac:dyDescent="0.25">
      <c r="E18" s="669" t="s">
        <v>77</v>
      </c>
      <c r="F18" s="697"/>
      <c r="G18" s="705">
        <f>IF(H18=0,0,'NOTE 3A'!E20)</f>
        <v>54050000</v>
      </c>
      <c r="H18" s="705">
        <f>'NOTE 3A'!H20</f>
        <v>10000000</v>
      </c>
    </row>
    <row r="19" spans="5:8" x14ac:dyDescent="0.25">
      <c r="E19" s="2144" t="s">
        <v>135</v>
      </c>
      <c r="F19" s="2154"/>
      <c r="G19" s="2154"/>
      <c r="H19" s="698">
        <f>H14</f>
        <v>3500000</v>
      </c>
    </row>
    <row r="20" spans="5:8" x14ac:dyDescent="0.25">
      <c r="E20" s="2144" t="s">
        <v>136</v>
      </c>
      <c r="F20" s="2154"/>
      <c r="G20" s="2154"/>
      <c r="H20" s="706">
        <f>SUM(H15:H18)</f>
        <v>40000000</v>
      </c>
    </row>
    <row r="21" spans="5:8" x14ac:dyDescent="0.25">
      <c r="E21" s="699" t="s">
        <v>131</v>
      </c>
      <c r="F21" s="700"/>
      <c r="G21" s="700"/>
      <c r="H21" s="701"/>
    </row>
    <row r="22" spans="5:8" ht="15.75" customHeight="1" x14ac:dyDescent="0.25">
      <c r="E22" s="2148"/>
      <c r="F22" s="2149"/>
      <c r="G22" s="2149"/>
      <c r="H22" s="2150"/>
    </row>
    <row r="23" spans="5:8" ht="15.75" customHeight="1" x14ac:dyDescent="0.25">
      <c r="E23" s="2148"/>
      <c r="F23" s="2149"/>
      <c r="G23" s="2149"/>
      <c r="H23" s="2150"/>
    </row>
    <row r="24" spans="5:8" ht="15.75" customHeight="1" x14ac:dyDescent="0.25">
      <c r="E24" s="2148"/>
      <c r="F24" s="2149"/>
      <c r="G24" s="2149"/>
      <c r="H24" s="2150"/>
    </row>
    <row r="25" spans="5:8" ht="15.75" customHeight="1" x14ac:dyDescent="0.25">
      <c r="E25" s="2148"/>
      <c r="F25" s="2149"/>
      <c r="G25" s="2149"/>
      <c r="H25" s="2150"/>
    </row>
    <row r="26" spans="5:8" ht="15.75" customHeight="1" x14ac:dyDescent="0.25">
      <c r="E26" s="2148"/>
      <c r="F26" s="2149"/>
      <c r="G26" s="2149"/>
      <c r="H26" s="2150"/>
    </row>
    <row r="27" spans="5:8" ht="15.75" customHeight="1" x14ac:dyDescent="0.25">
      <c r="E27" s="2148"/>
      <c r="F27" s="2149"/>
      <c r="G27" s="2149"/>
      <c r="H27" s="2150"/>
    </row>
    <row r="28" spans="5:8" ht="15.75" customHeight="1" x14ac:dyDescent="0.25">
      <c r="E28" s="2148"/>
      <c r="F28" s="2149"/>
      <c r="G28" s="2149"/>
      <c r="H28" s="2150"/>
    </row>
    <row r="29" spans="5:8" ht="15.75" customHeight="1" x14ac:dyDescent="0.25">
      <c r="E29" s="2151"/>
      <c r="F29" s="2152"/>
      <c r="G29" s="2152"/>
      <c r="H29" s="2153"/>
    </row>
    <row r="30" spans="5:8" x14ac:dyDescent="0.25">
      <c r="E30" s="699" t="s">
        <v>132</v>
      </c>
      <c r="F30" s="700"/>
      <c r="G30" s="700"/>
      <c r="H30" s="701"/>
    </row>
    <row r="31" spans="5:8" ht="15.75" customHeight="1" x14ac:dyDescent="0.25">
      <c r="E31" s="2148"/>
      <c r="F31" s="2149"/>
      <c r="G31" s="2149"/>
      <c r="H31" s="2150"/>
    </row>
    <row r="32" spans="5:8" ht="15.75" customHeight="1" x14ac:dyDescent="0.25">
      <c r="E32" s="2148"/>
      <c r="F32" s="2149"/>
      <c r="G32" s="2149"/>
      <c r="H32" s="2150"/>
    </row>
    <row r="33" spans="5:8" ht="15.75" customHeight="1" x14ac:dyDescent="0.25">
      <c r="E33" s="2148"/>
      <c r="F33" s="2149"/>
      <c r="G33" s="2149"/>
      <c r="H33" s="2150"/>
    </row>
    <row r="34" spans="5:8" ht="15.75" customHeight="1" x14ac:dyDescent="0.25">
      <c r="E34" s="2148"/>
      <c r="F34" s="2149"/>
      <c r="G34" s="2149"/>
      <c r="H34" s="2150"/>
    </row>
    <row r="35" spans="5:8" ht="15.75" customHeight="1" x14ac:dyDescent="0.25">
      <c r="E35" s="2148"/>
      <c r="F35" s="2149"/>
      <c r="G35" s="2149"/>
      <c r="H35" s="2150"/>
    </row>
    <row r="36" spans="5:8" ht="15.75" customHeight="1" x14ac:dyDescent="0.25">
      <c r="E36" s="2148"/>
      <c r="F36" s="2149"/>
      <c r="G36" s="2149"/>
      <c r="H36" s="2150"/>
    </row>
    <row r="37" spans="5:8" ht="15.75" customHeight="1" x14ac:dyDescent="0.25">
      <c r="E37" s="2148"/>
      <c r="F37" s="2149"/>
      <c r="G37" s="2149"/>
      <c r="H37" s="2150"/>
    </row>
    <row r="38" spans="5:8" ht="15.75" customHeight="1" x14ac:dyDescent="0.25">
      <c r="E38" s="2148"/>
      <c r="F38" s="2149"/>
      <c r="G38" s="2149"/>
      <c r="H38" s="2150"/>
    </row>
    <row r="39" spans="5:8" ht="15.75" customHeight="1" x14ac:dyDescent="0.25">
      <c r="E39" s="2148"/>
      <c r="F39" s="2149"/>
      <c r="G39" s="2149"/>
      <c r="H39" s="2150"/>
    </row>
    <row r="40" spans="5:8" ht="15.75" customHeight="1" x14ac:dyDescent="0.25">
      <c r="E40" s="2148"/>
      <c r="F40" s="2149"/>
      <c r="G40" s="2149"/>
      <c r="H40" s="2150"/>
    </row>
    <row r="41" spans="5:8" ht="15.75" customHeight="1" x14ac:dyDescent="0.25">
      <c r="E41" s="2151"/>
      <c r="F41" s="2152"/>
      <c r="G41" s="2152"/>
      <c r="H41" s="2153"/>
    </row>
    <row r="42" spans="5:8" ht="22.5" customHeight="1" x14ac:dyDescent="0.25">
      <c r="E42" s="702" t="s">
        <v>133</v>
      </c>
      <c r="F42" s="703"/>
      <c r="G42" s="703"/>
      <c r="H42" s="704"/>
    </row>
    <row r="43" spans="5:8" s="537" customFormat="1" x14ac:dyDescent="0.25"/>
    <row r="44" spans="5:8" s="537" customFormat="1" x14ac:dyDescent="0.25"/>
    <row r="45" spans="5:8" s="537" customFormat="1" x14ac:dyDescent="0.25"/>
    <row r="46" spans="5:8" s="537" customFormat="1" x14ac:dyDescent="0.25"/>
    <row r="47" spans="5:8" s="537" customFormat="1" x14ac:dyDescent="0.25"/>
    <row r="48" spans="5:8" s="537" customFormat="1" x14ac:dyDescent="0.25"/>
    <row r="49" s="537" customFormat="1" x14ac:dyDescent="0.25"/>
    <row r="50" s="537" customFormat="1" x14ac:dyDescent="0.25"/>
    <row r="51" s="537" customFormat="1" x14ac:dyDescent="0.25"/>
    <row r="52" s="537" customFormat="1" x14ac:dyDescent="0.25"/>
    <row r="53" s="537" customFormat="1" x14ac:dyDescent="0.25"/>
    <row r="54" s="537" customFormat="1" x14ac:dyDescent="0.25"/>
    <row r="55" s="537" customFormat="1" x14ac:dyDescent="0.25"/>
    <row r="56" s="537" customFormat="1" x14ac:dyDescent="0.25"/>
    <row r="57" s="537" customFormat="1" x14ac:dyDescent="0.25"/>
    <row r="58" s="537" customFormat="1" x14ac:dyDescent="0.25"/>
    <row r="59" s="537" customFormat="1" x14ac:dyDescent="0.25"/>
    <row r="60" s="537" customFormat="1" x14ac:dyDescent="0.25"/>
    <row r="61" s="537" customFormat="1" x14ac:dyDescent="0.25"/>
    <row r="62" s="537" customFormat="1" x14ac:dyDescent="0.25"/>
    <row r="63" s="537" customFormat="1" x14ac:dyDescent="0.25"/>
    <row r="64" s="537" customFormat="1" x14ac:dyDescent="0.25"/>
    <row r="65" s="537" customFormat="1" x14ac:dyDescent="0.25"/>
  </sheetData>
  <sheetProtection algorithmName="SHA-512" hashValue="+54m8Hvfu/tUozG7MQULFW1teoF56vxfwIHzl1LdzE7LKh5KIl7MKFMD5XTJoWxNh/xhhlXJYJsWKzGntyW16w==" saltValue="9KvoG5Lq9NeI5dvYBAzPig==" spinCount="100000" sheet="1" formatCells="0" formatColumns="0" formatRows="0" pivotTables="0"/>
  <mergeCells count="11">
    <mergeCell ref="E22:H29"/>
    <mergeCell ref="E31:H41"/>
    <mergeCell ref="E19:G19"/>
    <mergeCell ref="E20:G20"/>
    <mergeCell ref="E1:H1"/>
    <mergeCell ref="E6:F6"/>
    <mergeCell ref="G6:H6"/>
    <mergeCell ref="E13:F13"/>
    <mergeCell ref="G7:H7"/>
    <mergeCell ref="G11:H11"/>
    <mergeCell ref="G12:H12"/>
  </mergeCells>
  <printOptions horizontalCentered="1"/>
  <pageMargins left="0.19685039370078741" right="0.11811023622047245" top="0" bottom="0.35433070866141736" header="0.31496062992125984" footer="0.31496062992125984"/>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43C6E5"/>
  </sheetPr>
  <dimension ref="A1:N75"/>
  <sheetViews>
    <sheetView topLeftCell="A16" zoomScaleNormal="100" workbookViewId="0">
      <selection activeCell="D32" sqref="D32:K43"/>
    </sheetView>
  </sheetViews>
  <sheetFormatPr baseColWidth="10" defaultColWidth="0" defaultRowHeight="15" zeroHeight="1" x14ac:dyDescent="0.25"/>
  <cols>
    <col min="1" max="1" width="9.7109375" style="537" customWidth="1"/>
    <col min="2" max="3" width="11.42578125" style="537" customWidth="1"/>
    <col min="4" max="4" width="25" style="345" customWidth="1"/>
    <col min="5" max="5" width="14.28515625" style="345" customWidth="1"/>
    <col min="6" max="6" width="14.140625" style="345" customWidth="1"/>
    <col min="7" max="7" width="14.42578125" style="345" customWidth="1"/>
    <col min="8" max="8" width="16" style="345" customWidth="1"/>
    <col min="9" max="10" width="14" style="345" customWidth="1"/>
    <col min="11" max="11" width="14.140625" style="345" customWidth="1"/>
    <col min="12" max="12" width="10.28515625" style="537" customWidth="1"/>
    <col min="13" max="14" width="11.42578125" style="537" customWidth="1"/>
    <col min="15" max="16384" width="11.42578125" style="345" hidden="1"/>
  </cols>
  <sheetData>
    <row r="1" spans="1:14" ht="28.5" customHeight="1" x14ac:dyDescent="0.25">
      <c r="D1" s="2135" t="s">
        <v>137</v>
      </c>
      <c r="E1" s="2136"/>
      <c r="F1" s="2136"/>
      <c r="G1" s="2136"/>
      <c r="H1" s="2136"/>
      <c r="I1" s="2136"/>
      <c r="J1" s="2136"/>
      <c r="K1" s="2137"/>
    </row>
    <row r="2" spans="1:14" x14ac:dyDescent="0.25">
      <c r="D2" s="388"/>
      <c r="E2" s="388"/>
      <c r="F2" s="388"/>
      <c r="G2" s="388"/>
      <c r="H2" s="388"/>
      <c r="I2" s="388"/>
      <c r="J2" s="388"/>
    </row>
    <row r="3" spans="1:14" ht="22.5" customHeight="1" x14ac:dyDescent="0.25">
      <c r="D3" s="629" t="s">
        <v>42</v>
      </c>
      <c r="E3" s="664" t="str">
        <f>INFORMATIONS!B10</f>
        <v>SAM CONSEILS</v>
      </c>
      <c r="F3" s="664"/>
      <c r="G3" s="664"/>
      <c r="H3" s="630"/>
      <c r="I3" s="2127" t="s">
        <v>52</v>
      </c>
      <c r="J3" s="2127"/>
      <c r="K3" s="631">
        <f>INFORMATIONS!D31</f>
        <v>43465</v>
      </c>
    </row>
    <row r="4" spans="1:14" ht="19.5" customHeight="1" x14ac:dyDescent="0.25">
      <c r="D4" s="632" t="s">
        <v>43</v>
      </c>
      <c r="E4" s="633" t="str">
        <f>INFORMATIONS!B24</f>
        <v>00084404X</v>
      </c>
      <c r="F4" s="634"/>
      <c r="G4" s="634"/>
      <c r="H4" s="635"/>
      <c r="I4" s="2128" t="s">
        <v>44</v>
      </c>
      <c r="J4" s="2128"/>
      <c r="K4" s="667">
        <f>INFORMATIONS!F34</f>
        <v>12</v>
      </c>
    </row>
    <row r="5" spans="1:14" x14ac:dyDescent="0.25"/>
    <row r="6" spans="1:14" ht="65.25" customHeight="1" x14ac:dyDescent="0.25">
      <c r="D6" s="2116" t="s">
        <v>138</v>
      </c>
      <c r="E6" s="2117"/>
      <c r="F6" s="590" t="s">
        <v>139</v>
      </c>
      <c r="G6" s="590" t="s">
        <v>140</v>
      </c>
      <c r="H6" s="590" t="s">
        <v>141</v>
      </c>
      <c r="I6" s="590" t="s">
        <v>142</v>
      </c>
      <c r="J6" s="590" t="s">
        <v>143</v>
      </c>
      <c r="K6" s="590" t="s">
        <v>144</v>
      </c>
    </row>
    <row r="7" spans="1:14" ht="21" customHeight="1" x14ac:dyDescent="0.25">
      <c r="D7" s="423" t="s">
        <v>82</v>
      </c>
      <c r="E7" s="425"/>
      <c r="F7" s="640">
        <f>SUMPRODUCT(((LEFT(BalanceN!$A$4:$A$9999,2)="26"))*BalanceN!$G$4:$G$9999)</f>
        <v>0</v>
      </c>
      <c r="G7" s="640">
        <f>SUMPRODUCT(((LEFT(BalanceN!$A$4:$A$9999,2)="26"))*BalanceN!$C$4:$C$9999)</f>
        <v>0</v>
      </c>
      <c r="H7" s="707" t="str">
        <f>IF(G7=0,"-",(F7-G7)/G7)</f>
        <v>-</v>
      </c>
      <c r="I7" s="155"/>
      <c r="J7" s="155"/>
      <c r="K7" s="640">
        <f>F7-I7-J7</f>
        <v>0</v>
      </c>
    </row>
    <row r="8" spans="1:14" ht="21" customHeight="1" x14ac:dyDescent="0.25">
      <c r="D8" s="423" t="s">
        <v>145</v>
      </c>
      <c r="E8" s="425"/>
      <c r="F8" s="640">
        <f>SUMPRODUCT(((LEFT(BalanceN!$A$4:$A$9999,3)="271"))*BalanceN!$G$4:$G$9999)</f>
        <v>0</v>
      </c>
      <c r="G8" s="640">
        <f>SUMPRODUCT(((LEFT(BalanceN!$A$4:$A$9999,3)="271"))*BalanceN!$C$4:$C$9999)</f>
        <v>0</v>
      </c>
      <c r="H8" s="707" t="str">
        <f t="shared" ref="H8:H19" si="0">IF(G8=0,"-",(F8-G8)/G8)</f>
        <v>-</v>
      </c>
      <c r="I8" s="155"/>
      <c r="J8" s="155"/>
      <c r="K8" s="640">
        <f t="shared" ref="K8:K15" si="1">F8-I8-J8</f>
        <v>0</v>
      </c>
    </row>
    <row r="9" spans="1:14" ht="21" customHeight="1" x14ac:dyDescent="0.25">
      <c r="D9" s="423" t="s">
        <v>146</v>
      </c>
      <c r="E9" s="425"/>
      <c r="F9" s="640">
        <f>SUMPRODUCT(((LEFT(BalanceN!$A$4:$A$9999,3)="272"))*BalanceN!$G$4:$G$9999)</f>
        <v>1927000</v>
      </c>
      <c r="G9" s="640">
        <f>SUMPRODUCT(((LEFT(BalanceN!$A$4:$A$9999,3)="272"))*BalanceN!$C$4:$C$9999)</f>
        <v>1927000</v>
      </c>
      <c r="H9" s="708">
        <f t="shared" si="0"/>
        <v>0</v>
      </c>
      <c r="I9" s="155">
        <v>500000</v>
      </c>
      <c r="J9" s="155">
        <v>200000</v>
      </c>
      <c r="K9" s="640">
        <f t="shared" si="1"/>
        <v>1227000</v>
      </c>
    </row>
    <row r="10" spans="1:14" ht="21" customHeight="1" x14ac:dyDescent="0.25">
      <c r="D10" s="423" t="s">
        <v>147</v>
      </c>
      <c r="E10" s="425"/>
      <c r="F10" s="640">
        <f>SUMPRODUCT(((LEFT(BalanceN!$A$4:$A$9999,3)="273"))*BalanceN!$G$4:$G$9999)</f>
        <v>0</v>
      </c>
      <c r="G10" s="640">
        <f>SUMPRODUCT(((LEFT(BalanceN!$A$4:$A$9999,3)="273"))*BalanceN!$C$4:$C$9999)</f>
        <v>0</v>
      </c>
      <c r="H10" s="708" t="str">
        <f t="shared" si="0"/>
        <v>-</v>
      </c>
      <c r="I10" s="155"/>
      <c r="J10" s="155"/>
      <c r="K10" s="640">
        <f t="shared" si="1"/>
        <v>0</v>
      </c>
    </row>
    <row r="11" spans="1:14" ht="21" customHeight="1" x14ac:dyDescent="0.25">
      <c r="D11" s="423" t="s">
        <v>148</v>
      </c>
      <c r="E11" s="425"/>
      <c r="F11" s="640">
        <f>SUMPRODUCT(((LEFT(BalanceN!$A$4:$A$9999,3)="274"))*BalanceN!$G$4:$G$9999)</f>
        <v>0</v>
      </c>
      <c r="G11" s="640">
        <f>SUMPRODUCT(((LEFT(BalanceN!$A$4:$A$9999,3)="274"))*BalanceN!$C$4:$C$9999)</f>
        <v>0</v>
      </c>
      <c r="H11" s="708" t="str">
        <f t="shared" si="0"/>
        <v>-</v>
      </c>
      <c r="I11" s="155"/>
      <c r="J11" s="155"/>
      <c r="K11" s="640">
        <f t="shared" si="1"/>
        <v>0</v>
      </c>
    </row>
    <row r="12" spans="1:14" ht="21" customHeight="1" x14ac:dyDescent="0.25">
      <c r="D12" s="423" t="s">
        <v>149</v>
      </c>
      <c r="E12" s="425"/>
      <c r="F12" s="640">
        <f>SUMPRODUCT(((LEFT(BalanceN!$A$4:$A$9999,3)="275"))*BalanceN!$G$4:$G$9999)</f>
        <v>2492790</v>
      </c>
      <c r="G12" s="640">
        <f>SUMPRODUCT(((LEFT(BalanceN!$A$4:$A$9999,3)="275"))*BalanceN!$C$4:$C$9999)</f>
        <v>2621658</v>
      </c>
      <c r="H12" s="708">
        <f t="shared" si="0"/>
        <v>-4.91551529604548E-2</v>
      </c>
      <c r="I12" s="155"/>
      <c r="J12" s="155"/>
      <c r="K12" s="640">
        <f t="shared" si="1"/>
        <v>2492790</v>
      </c>
    </row>
    <row r="13" spans="1:14" ht="21" customHeight="1" x14ac:dyDescent="0.25">
      <c r="D13" s="423" t="s">
        <v>150</v>
      </c>
      <c r="E13" s="425"/>
      <c r="F13" s="640">
        <f>SUMPRODUCT(((LEFT(BalanceN!$A$4:$A$9999,3)="276"))*BalanceN!$G$4:$G$9999)</f>
        <v>0</v>
      </c>
      <c r="G13" s="640">
        <f>SUMPRODUCT(((LEFT(BalanceN!$A$4:$A$9999,3)="276"))*BalanceN!$C$4:$C$9999)</f>
        <v>0</v>
      </c>
      <c r="H13" s="708" t="str">
        <f t="shared" si="0"/>
        <v>-</v>
      </c>
      <c r="I13" s="155"/>
      <c r="J13" s="155"/>
      <c r="K13" s="640">
        <f t="shared" si="1"/>
        <v>0</v>
      </c>
    </row>
    <row r="14" spans="1:14" ht="21" customHeight="1" x14ac:dyDescent="0.25">
      <c r="D14" s="423" t="s">
        <v>1050</v>
      </c>
      <c r="E14" s="425"/>
      <c r="F14" s="640">
        <f>SUMPRODUCT(((LEFT(BalanceN!$A$4:$A$9999,3)="277"))*BalanceN!$G$4:$G$9999)</f>
        <v>0</v>
      </c>
      <c r="G14" s="640">
        <f>SUMPRODUCT(((LEFT(BalanceN!$A$4:$A$9999,3)="277"))*BalanceN!$C$4:$C$9999)</f>
        <v>0</v>
      </c>
      <c r="H14" s="708" t="str">
        <f t="shared" si="0"/>
        <v>-</v>
      </c>
      <c r="I14" s="155"/>
      <c r="J14" s="155"/>
      <c r="K14" s="640">
        <f t="shared" si="1"/>
        <v>0</v>
      </c>
    </row>
    <row r="15" spans="1:14" ht="21" customHeight="1" x14ac:dyDescent="0.25">
      <c r="D15" s="423" t="s">
        <v>1051</v>
      </c>
      <c r="E15" s="425"/>
      <c r="F15" s="640">
        <f>SUMPRODUCT(((LEFT(BalanceN!$A$4:$A$9999,3)="278"))*BalanceN!$G$4:$G$9999)</f>
        <v>0</v>
      </c>
      <c r="G15" s="640">
        <f>SUMPRODUCT(((LEFT(BalanceN!$A$4:$A$9999,3)="278"))*BalanceN!$C$4:$C$9999)</f>
        <v>0</v>
      </c>
      <c r="H15" s="708" t="str">
        <f t="shared" si="0"/>
        <v>-</v>
      </c>
      <c r="I15" s="155"/>
      <c r="J15" s="155"/>
      <c r="K15" s="640">
        <f t="shared" si="1"/>
        <v>0</v>
      </c>
    </row>
    <row r="16" spans="1:14" s="422" customFormat="1" ht="21.75" customHeight="1" x14ac:dyDescent="0.25">
      <c r="A16" s="546"/>
      <c r="B16" s="546"/>
      <c r="C16" s="546"/>
      <c r="D16" s="2121" t="s">
        <v>151</v>
      </c>
      <c r="E16" s="2122"/>
      <c r="F16" s="639">
        <f>SUM(F7:F15)</f>
        <v>4419790</v>
      </c>
      <c r="G16" s="639">
        <f>SUM(G7:G15)</f>
        <v>4548658</v>
      </c>
      <c r="H16" s="709"/>
      <c r="I16" s="639">
        <f>SUM(I7:I15)</f>
        <v>500000</v>
      </c>
      <c r="J16" s="639">
        <f>SUM(J7:J15)</f>
        <v>200000</v>
      </c>
      <c r="K16" s="639">
        <f>SUM(K7:K15)</f>
        <v>3719790</v>
      </c>
      <c r="L16" s="546"/>
      <c r="M16" s="546"/>
      <c r="N16" s="546"/>
    </row>
    <row r="17" spans="1:14" ht="21" customHeight="1" x14ac:dyDescent="0.25">
      <c r="D17" s="423" t="s">
        <v>152</v>
      </c>
      <c r="E17" s="425"/>
      <c r="F17" s="427">
        <f>SUMPRODUCT(((LEFT(BalanceN!$A$4:$A$9999,3)="296"))*BalanceN!$D$4:$D$9999)</f>
        <v>0</v>
      </c>
      <c r="G17" s="427">
        <f>SUMPRODUCT(((LEFT(BalanceN!$A$4:$A$9999,3)="296"))*BalanceN!$H$4:$H$9999)</f>
        <v>0</v>
      </c>
      <c r="H17" s="708" t="str">
        <f t="shared" si="0"/>
        <v>-</v>
      </c>
      <c r="I17" s="155">
        <f>F17</f>
        <v>0</v>
      </c>
      <c r="J17" s="155"/>
      <c r="K17" s="640">
        <f>F17-I17-J17</f>
        <v>0</v>
      </c>
      <c r="L17" s="710"/>
    </row>
    <row r="18" spans="1:14" ht="21" customHeight="1" x14ac:dyDescent="0.25">
      <c r="D18" s="423" t="s">
        <v>153</v>
      </c>
      <c r="E18" s="425"/>
      <c r="F18" s="427">
        <f>SUMPRODUCT(((LEFT(BalanceN!$A$4:$A$9999,3)="297"))*BalanceN!$D$4:$D$9999)</f>
        <v>0</v>
      </c>
      <c r="G18" s="427">
        <f>SUMPRODUCT(((LEFT(BalanceN!$A$4:$A$9999,3)="297"))*BalanceN!$H$4:$H$9999)</f>
        <v>0</v>
      </c>
      <c r="H18" s="708" t="str">
        <f t="shared" si="0"/>
        <v>-</v>
      </c>
      <c r="I18" s="155">
        <f>F18</f>
        <v>0</v>
      </c>
      <c r="J18" s="155"/>
      <c r="K18" s="640">
        <f>F18-I18-J18</f>
        <v>0</v>
      </c>
    </row>
    <row r="19" spans="1:14" ht="21" customHeight="1" x14ac:dyDescent="0.25">
      <c r="D19" s="595" t="s">
        <v>155</v>
      </c>
      <c r="E19" s="711"/>
      <c r="F19" s="658">
        <f>SUM(F17:F18)</f>
        <v>0</v>
      </c>
      <c r="G19" s="658">
        <f>SUM(G17:G18)</f>
        <v>0</v>
      </c>
      <c r="H19" s="709" t="str">
        <f t="shared" si="0"/>
        <v>-</v>
      </c>
      <c r="I19" s="658">
        <f>SUM(I17:I18)</f>
        <v>0</v>
      </c>
      <c r="J19" s="658">
        <f>SUM(J17:J18)</f>
        <v>0</v>
      </c>
      <c r="K19" s="658">
        <f>SUM(K17:K18)</f>
        <v>0</v>
      </c>
    </row>
    <row r="20" spans="1:14" s="422" customFormat="1" ht="21" customHeight="1" x14ac:dyDescent="0.25">
      <c r="A20" s="546"/>
      <c r="B20" s="546"/>
      <c r="C20" s="546"/>
      <c r="D20" s="2144" t="s">
        <v>154</v>
      </c>
      <c r="E20" s="2145"/>
      <c r="F20" s="639">
        <f>F16-F19</f>
        <v>4419790</v>
      </c>
      <c r="G20" s="639">
        <f>G16-G19</f>
        <v>4548658</v>
      </c>
      <c r="H20" s="709"/>
      <c r="I20" s="639">
        <f>I16-I19</f>
        <v>500000</v>
      </c>
      <c r="J20" s="639">
        <f>J16-J19</f>
        <v>200000</v>
      </c>
      <c r="K20" s="639">
        <f>K16-K19</f>
        <v>3719790</v>
      </c>
      <c r="L20" s="546"/>
      <c r="M20" s="546"/>
      <c r="N20" s="546"/>
    </row>
    <row r="21" spans="1:14" x14ac:dyDescent="0.25"/>
    <row r="22" spans="1:14" ht="15.75" x14ac:dyDescent="0.25">
      <c r="D22" s="2171" t="s">
        <v>156</v>
      </c>
      <c r="E22" s="2171"/>
      <c r="F22" s="2171"/>
      <c r="G22" s="2171"/>
      <c r="H22" s="2171"/>
      <c r="I22" s="2171"/>
      <c r="J22" s="2171"/>
      <c r="K22" s="2171"/>
    </row>
    <row r="23" spans="1:14" ht="49.5" customHeight="1" x14ac:dyDescent="0.25">
      <c r="D23" s="2172" t="s">
        <v>157</v>
      </c>
      <c r="E23" s="2172"/>
      <c r="F23" s="2169" t="s">
        <v>158</v>
      </c>
      <c r="G23" s="2170"/>
      <c r="H23" s="696" t="s">
        <v>159</v>
      </c>
      <c r="I23" s="696" t="s">
        <v>160</v>
      </c>
      <c r="J23" s="696" t="s">
        <v>161</v>
      </c>
      <c r="K23" s="696" t="s">
        <v>162</v>
      </c>
    </row>
    <row r="24" spans="1:14" x14ac:dyDescent="0.25">
      <c r="D24" s="2167"/>
      <c r="E24" s="2168"/>
      <c r="F24" s="135"/>
      <c r="G24" s="135"/>
      <c r="H24" s="135"/>
      <c r="I24" s="135"/>
      <c r="J24" s="135"/>
      <c r="K24" s="135"/>
    </row>
    <row r="25" spans="1:14" x14ac:dyDescent="0.25">
      <c r="D25" s="2167"/>
      <c r="E25" s="2168"/>
      <c r="F25" s="135"/>
      <c r="G25" s="135"/>
      <c r="H25" s="135"/>
      <c r="I25" s="135"/>
      <c r="J25" s="135"/>
      <c r="K25" s="135"/>
    </row>
    <row r="26" spans="1:14" x14ac:dyDescent="0.25">
      <c r="D26" s="2167"/>
      <c r="E26" s="2168"/>
      <c r="F26" s="135"/>
      <c r="G26" s="135"/>
      <c r="H26" s="135"/>
      <c r="I26" s="135"/>
      <c r="J26" s="135"/>
      <c r="K26" s="135"/>
    </row>
    <row r="27" spans="1:14" x14ac:dyDescent="0.25">
      <c r="D27" s="2167"/>
      <c r="E27" s="2168"/>
      <c r="F27" s="135"/>
      <c r="G27" s="135"/>
      <c r="H27" s="135"/>
      <c r="I27" s="135"/>
      <c r="J27" s="135"/>
      <c r="K27" s="135"/>
    </row>
    <row r="28" spans="1:14" x14ac:dyDescent="0.25">
      <c r="D28" s="2167"/>
      <c r="E28" s="2168"/>
      <c r="F28" s="135"/>
      <c r="G28" s="135"/>
      <c r="H28" s="135"/>
      <c r="I28" s="135"/>
      <c r="J28" s="135"/>
      <c r="K28" s="135"/>
    </row>
    <row r="29" spans="1:14" x14ac:dyDescent="0.25">
      <c r="D29" s="120"/>
      <c r="E29" s="120"/>
      <c r="F29" s="120"/>
      <c r="G29" s="120"/>
      <c r="H29" s="120"/>
      <c r="I29" s="120"/>
      <c r="J29" s="120"/>
      <c r="K29" s="120"/>
    </row>
    <row r="30" spans="1:14" x14ac:dyDescent="0.25">
      <c r="D30" s="120"/>
      <c r="E30" s="120"/>
      <c r="F30" s="120"/>
      <c r="G30" s="120"/>
      <c r="H30" s="120"/>
      <c r="I30" s="120"/>
      <c r="J30" s="120"/>
      <c r="K30" s="120"/>
    </row>
    <row r="31" spans="1:14" x14ac:dyDescent="0.25">
      <c r="D31" s="628" t="s">
        <v>1348</v>
      </c>
      <c r="E31" s="120"/>
      <c r="F31" s="120"/>
      <c r="G31" s="120"/>
      <c r="H31" s="120"/>
      <c r="I31" s="120"/>
      <c r="J31" s="120"/>
      <c r="K31" s="120"/>
    </row>
    <row r="32" spans="1:14" x14ac:dyDescent="0.25">
      <c r="D32" s="2166"/>
      <c r="E32" s="2166"/>
      <c r="F32" s="2166"/>
      <c r="G32" s="2166"/>
      <c r="H32" s="2166"/>
      <c r="I32" s="2166"/>
      <c r="J32" s="2166"/>
      <c r="K32" s="2166"/>
    </row>
    <row r="33" spans="4:11" x14ac:dyDescent="0.25">
      <c r="D33" s="2166"/>
      <c r="E33" s="2166"/>
      <c r="F33" s="2166"/>
      <c r="G33" s="2166"/>
      <c r="H33" s="2166"/>
      <c r="I33" s="2166"/>
      <c r="J33" s="2166"/>
      <c r="K33" s="2166"/>
    </row>
    <row r="34" spans="4:11" x14ac:dyDescent="0.25">
      <c r="D34" s="2166"/>
      <c r="E34" s="2166"/>
      <c r="F34" s="2166"/>
      <c r="G34" s="2166"/>
      <c r="H34" s="2166"/>
      <c r="I34" s="2166"/>
      <c r="J34" s="2166"/>
      <c r="K34" s="2166"/>
    </row>
    <row r="35" spans="4:11" x14ac:dyDescent="0.25">
      <c r="D35" s="2166"/>
      <c r="E35" s="2166"/>
      <c r="F35" s="2166"/>
      <c r="G35" s="2166"/>
      <c r="H35" s="2166"/>
      <c r="I35" s="2166"/>
      <c r="J35" s="2166"/>
      <c r="K35" s="2166"/>
    </row>
    <row r="36" spans="4:11" x14ac:dyDescent="0.25">
      <c r="D36" s="2166"/>
      <c r="E36" s="2166"/>
      <c r="F36" s="2166"/>
      <c r="G36" s="2166"/>
      <c r="H36" s="2166"/>
      <c r="I36" s="2166"/>
      <c r="J36" s="2166"/>
      <c r="K36" s="2166"/>
    </row>
    <row r="37" spans="4:11" x14ac:dyDescent="0.25">
      <c r="D37" s="2166"/>
      <c r="E37" s="2166"/>
      <c r="F37" s="2166"/>
      <c r="G37" s="2166"/>
      <c r="H37" s="2166"/>
      <c r="I37" s="2166"/>
      <c r="J37" s="2166"/>
      <c r="K37" s="2166"/>
    </row>
    <row r="38" spans="4:11" x14ac:dyDescent="0.25">
      <c r="D38" s="2166"/>
      <c r="E38" s="2166"/>
      <c r="F38" s="2166"/>
      <c r="G38" s="2166"/>
      <c r="H38" s="2166"/>
      <c r="I38" s="2166"/>
      <c r="J38" s="2166"/>
      <c r="K38" s="2166"/>
    </row>
    <row r="39" spans="4:11" x14ac:dyDescent="0.25">
      <c r="D39" s="2166"/>
      <c r="E39" s="2166"/>
      <c r="F39" s="2166"/>
      <c r="G39" s="2166"/>
      <c r="H39" s="2166"/>
      <c r="I39" s="2166"/>
      <c r="J39" s="2166"/>
      <c r="K39" s="2166"/>
    </row>
    <row r="40" spans="4:11" x14ac:dyDescent="0.25">
      <c r="D40" s="2166"/>
      <c r="E40" s="2166"/>
      <c r="F40" s="2166"/>
      <c r="G40" s="2166"/>
      <c r="H40" s="2166"/>
      <c r="I40" s="2166"/>
      <c r="J40" s="2166"/>
      <c r="K40" s="2166"/>
    </row>
    <row r="41" spans="4:11" x14ac:dyDescent="0.25">
      <c r="D41" s="2166"/>
      <c r="E41" s="2166"/>
      <c r="F41" s="2166"/>
      <c r="G41" s="2166"/>
      <c r="H41" s="2166"/>
      <c r="I41" s="2166"/>
      <c r="J41" s="2166"/>
      <c r="K41" s="2166"/>
    </row>
    <row r="42" spans="4:11" x14ac:dyDescent="0.25">
      <c r="D42" s="2166"/>
      <c r="E42" s="2166"/>
      <c r="F42" s="2166"/>
      <c r="G42" s="2166"/>
      <c r="H42" s="2166"/>
      <c r="I42" s="2166"/>
      <c r="J42" s="2166"/>
      <c r="K42" s="2166"/>
    </row>
    <row r="43" spans="4:11" x14ac:dyDescent="0.25">
      <c r="D43" s="2166"/>
      <c r="E43" s="2166"/>
      <c r="F43" s="2166"/>
      <c r="G43" s="2166"/>
      <c r="H43" s="2166"/>
      <c r="I43" s="2166"/>
      <c r="J43" s="2166"/>
      <c r="K43" s="2166"/>
    </row>
    <row r="44" spans="4:11" s="537" customFormat="1" x14ac:dyDescent="0.25"/>
    <row r="45" spans="4:11" s="537" customFormat="1" x14ac:dyDescent="0.25"/>
    <row r="46" spans="4:11" s="537" customFormat="1" x14ac:dyDescent="0.25"/>
    <row r="47" spans="4:11" s="537" customFormat="1" x14ac:dyDescent="0.25"/>
    <row r="48" spans="4:11" s="537" customFormat="1" x14ac:dyDescent="0.25"/>
    <row r="49" s="537" customFormat="1" x14ac:dyDescent="0.25"/>
    <row r="50" s="537" customFormat="1" x14ac:dyDescent="0.25"/>
    <row r="51" s="537" customFormat="1" x14ac:dyDescent="0.25"/>
    <row r="52" s="537" customFormat="1" x14ac:dyDescent="0.25"/>
    <row r="53" s="537" customFormat="1" x14ac:dyDescent="0.25"/>
    <row r="54" s="537" customFormat="1" x14ac:dyDescent="0.25"/>
    <row r="55" s="537" customFormat="1" x14ac:dyDescent="0.25"/>
    <row r="56" s="537" customFormat="1" x14ac:dyDescent="0.25"/>
    <row r="57" s="537" customFormat="1" x14ac:dyDescent="0.25"/>
    <row r="58" s="537" customFormat="1" x14ac:dyDescent="0.25"/>
    <row r="59" s="537" customFormat="1" x14ac:dyDescent="0.25"/>
    <row r="60" s="537" customFormat="1" x14ac:dyDescent="0.25"/>
    <row r="61" s="537" customFormat="1" x14ac:dyDescent="0.25"/>
    <row r="62" s="537" customFormat="1" x14ac:dyDescent="0.25"/>
    <row r="63" s="537" customFormat="1" x14ac:dyDescent="0.25"/>
    <row r="64" s="537" customFormat="1" x14ac:dyDescent="0.25"/>
    <row r="65" s="537" customFormat="1" x14ac:dyDescent="0.25"/>
    <row r="66" s="537" customFormat="1" x14ac:dyDescent="0.25"/>
    <row r="67" s="537" customFormat="1" x14ac:dyDescent="0.25"/>
    <row r="68" x14ac:dyDescent="0.25"/>
    <row r="69" x14ac:dyDescent="0.25"/>
    <row r="70" x14ac:dyDescent="0.25"/>
    <row r="71" x14ac:dyDescent="0.25"/>
    <row r="72" x14ac:dyDescent="0.25"/>
    <row r="73" x14ac:dyDescent="0.25"/>
    <row r="74" x14ac:dyDescent="0.25"/>
    <row r="75" x14ac:dyDescent="0.25"/>
  </sheetData>
  <sheetProtection algorithmName="SHA-512" hashValue="QDIpoyXruJ3agdl5HCsYEIfXts5OAe6xgnlLJOBqMcBqIyUnwPR8+uXmwFGjlAXfm0OSfYfZJiVyAev8aPvGmg==" saltValue="dIhGufjMMSnTcDChwf9JHg==" spinCount="100000" sheet="1" formatCells="0" formatColumns="0" formatRows="0" pivotTables="0"/>
  <mergeCells count="15">
    <mergeCell ref="D32:K43"/>
    <mergeCell ref="D27:E27"/>
    <mergeCell ref="D28:E28"/>
    <mergeCell ref="F23:G23"/>
    <mergeCell ref="D1:K1"/>
    <mergeCell ref="I3:J3"/>
    <mergeCell ref="I4:J4"/>
    <mergeCell ref="D20:E20"/>
    <mergeCell ref="D22:K22"/>
    <mergeCell ref="D23:E23"/>
    <mergeCell ref="D24:E24"/>
    <mergeCell ref="D25:E25"/>
    <mergeCell ref="D26:E26"/>
    <mergeCell ref="D6:E6"/>
    <mergeCell ref="D16:E16"/>
  </mergeCells>
  <printOptions horizontalCentered="1"/>
  <pageMargins left="0" right="0.11811023622047245" top="0" bottom="0.35433070866141736" header="0.31496062992125984" footer="0.31496062992125984"/>
  <pageSetup paperSize="9" scale="6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43C6E5"/>
  </sheetPr>
  <dimension ref="A1:M59"/>
  <sheetViews>
    <sheetView zoomScaleNormal="100" workbookViewId="0">
      <selection activeCell="E32" sqref="E32:I36"/>
    </sheetView>
  </sheetViews>
  <sheetFormatPr baseColWidth="10" defaultColWidth="0" defaultRowHeight="15" zeroHeight="1" x14ac:dyDescent="0.25"/>
  <cols>
    <col min="1" max="4" width="11.42578125" style="537" customWidth="1"/>
    <col min="5" max="5" width="29.42578125" style="676" customWidth="1"/>
    <col min="6" max="6" width="21.28515625" style="676" customWidth="1"/>
    <col min="7" max="7" width="17.28515625" style="676" customWidth="1"/>
    <col min="8" max="8" width="18.140625" style="676" customWidth="1"/>
    <col min="9" max="9" width="14" style="676" customWidth="1"/>
    <col min="10" max="13" width="11.42578125" style="537" customWidth="1"/>
    <col min="14" max="16384" width="11.42578125" style="676" hidden="1"/>
  </cols>
  <sheetData>
    <row r="1" spans="1:13" ht="28.5" customHeight="1" x14ac:dyDescent="0.25">
      <c r="E1" s="2135" t="s">
        <v>163</v>
      </c>
      <c r="F1" s="2136"/>
      <c r="G1" s="2136"/>
      <c r="H1" s="2136"/>
      <c r="I1" s="2137"/>
    </row>
    <row r="2" spans="1:13" x14ac:dyDescent="0.25">
      <c r="E2" s="472"/>
      <c r="F2" s="472"/>
      <c r="G2" s="472"/>
      <c r="H2" s="472"/>
      <c r="I2" s="472"/>
    </row>
    <row r="3" spans="1:13" ht="32.25" customHeight="1" x14ac:dyDescent="0.25">
      <c r="E3" s="712" t="s">
        <v>1350</v>
      </c>
      <c r="F3" s="2185" t="str">
        <f>INFORMATIONS!B10</f>
        <v>SAM CONSEILS</v>
      </c>
      <c r="G3" s="2185"/>
      <c r="H3" s="713" t="s">
        <v>52</v>
      </c>
      <c r="I3" s="714">
        <f>INFORMATIONS!D31</f>
        <v>43465</v>
      </c>
    </row>
    <row r="4" spans="1:13" ht="19.5" customHeight="1" x14ac:dyDescent="0.25">
      <c r="E4" s="632" t="s">
        <v>43</v>
      </c>
      <c r="F4" s="633" t="str">
        <f>INFORMATIONS!B24</f>
        <v>00084404X</v>
      </c>
      <c r="G4" s="634"/>
      <c r="H4" s="666" t="s">
        <v>44</v>
      </c>
      <c r="I4" s="636">
        <f>INFORMATIONS!F34</f>
        <v>12</v>
      </c>
    </row>
    <row r="5" spans="1:13" x14ac:dyDescent="0.25"/>
    <row r="6" spans="1:13" ht="39.75" customHeight="1" x14ac:dyDescent="0.25">
      <c r="E6" s="2178" t="s">
        <v>138</v>
      </c>
      <c r="F6" s="2179"/>
      <c r="G6" s="715" t="s">
        <v>139</v>
      </c>
      <c r="H6" s="715" t="s">
        <v>140</v>
      </c>
      <c r="I6" s="715" t="s">
        <v>141</v>
      </c>
    </row>
    <row r="7" spans="1:13" ht="21" customHeight="1" x14ac:dyDescent="0.25">
      <c r="E7" s="504" t="s">
        <v>164</v>
      </c>
      <c r="F7" s="510"/>
      <c r="G7" s="716">
        <f>SUMPRODUCT(((LEFT(BalanceN!$A$4:$A$9999,3)="485"))*BalanceN!$G$4:$G$9999)</f>
        <v>140000</v>
      </c>
      <c r="H7" s="716">
        <f>SUMPRODUCT(((LEFT(BalanceN!$A$4:$A$9999,3)="485"))*BalanceN!$C$4:$C$9999)</f>
        <v>380000</v>
      </c>
      <c r="I7" s="717">
        <f>IF(H7=0,"-",(G7-H7)/H7)</f>
        <v>-0.63157894736842102</v>
      </c>
    </row>
    <row r="8" spans="1:13" ht="21" customHeight="1" x14ac:dyDescent="0.25">
      <c r="E8" s="504" t="s">
        <v>165</v>
      </c>
      <c r="F8" s="510"/>
      <c r="G8" s="716">
        <f>SUMPRODUCT(((LEFT(BalanceN!$A$4:$A$9999,3)="488"))*BalanceN!$G$4:$G$9999)</f>
        <v>2000000</v>
      </c>
      <c r="H8" s="716">
        <f>SUMPRODUCT(((LEFT(BalanceN!$A$4:$A$9999,3)="488"))*BalanceN!$C$4:$C$9999)</f>
        <v>0</v>
      </c>
      <c r="I8" s="717" t="str">
        <f>IF(H8=0,"-",(G8-H8)/H8)</f>
        <v>-</v>
      </c>
    </row>
    <row r="9" spans="1:13" s="685" customFormat="1" ht="21.75" customHeight="1" x14ac:dyDescent="0.25">
      <c r="A9" s="546"/>
      <c r="B9" s="546"/>
      <c r="C9" s="546"/>
      <c r="D9" s="546"/>
      <c r="E9" s="2180" t="s">
        <v>151</v>
      </c>
      <c r="F9" s="2181"/>
      <c r="G9" s="718">
        <f>SUM(G7:G8)</f>
        <v>2140000</v>
      </c>
      <c r="H9" s="718">
        <f>SUM(H7:H8)</f>
        <v>380000</v>
      </c>
      <c r="I9" s="719">
        <f>IF(H9=0,"-",(G9-H9)/H9)</f>
        <v>4.6315789473684212</v>
      </c>
      <c r="J9" s="546"/>
      <c r="K9" s="546"/>
      <c r="L9" s="546"/>
      <c r="M9" s="546"/>
    </row>
    <row r="10" spans="1:13" ht="21" customHeight="1" x14ac:dyDescent="0.25">
      <c r="E10" s="504" t="s">
        <v>166</v>
      </c>
      <c r="F10" s="510"/>
      <c r="G10" s="716">
        <f>SUMPRODUCT(((LEFT(BalanceN!$A$4:$A$9999,3)="498"))*BalanceN!$H$4:$H$9999)</f>
        <v>0</v>
      </c>
      <c r="H10" s="716">
        <f>SUMPRODUCT(((LEFT(BalanceN!$A$4:$A$9999,3)="498"))*BalanceN!$D$4:$D$9999)</f>
        <v>0</v>
      </c>
      <c r="I10" s="717" t="str">
        <f>IF(H10=0,"-",(G10-H10)/H10)</f>
        <v>-</v>
      </c>
    </row>
    <row r="11" spans="1:13" s="685" customFormat="1" ht="18" customHeight="1" x14ac:dyDescent="0.25">
      <c r="A11" s="546"/>
      <c r="B11" s="546"/>
      <c r="C11" s="546"/>
      <c r="D11" s="546"/>
      <c r="E11" s="2182" t="s">
        <v>154</v>
      </c>
      <c r="F11" s="2183"/>
      <c r="G11" s="718">
        <f>G9-G10</f>
        <v>2140000</v>
      </c>
      <c r="H11" s="718">
        <f>H9-H10</f>
        <v>380000</v>
      </c>
      <c r="I11" s="720">
        <f>IF(H11=0,"-",(G11-H11)/H11)</f>
        <v>4.6315789473684212</v>
      </c>
      <c r="J11" s="546"/>
      <c r="K11" s="546"/>
      <c r="L11" s="546"/>
      <c r="M11" s="546"/>
    </row>
    <row r="12" spans="1:13" x14ac:dyDescent="0.25">
      <c r="E12" s="727"/>
      <c r="F12" s="727"/>
      <c r="G12" s="727"/>
      <c r="H12" s="727"/>
      <c r="I12" s="727"/>
    </row>
    <row r="13" spans="1:13" x14ac:dyDescent="0.25">
      <c r="E13" s="728" t="s">
        <v>1348</v>
      </c>
      <c r="F13" s="727"/>
      <c r="G13" s="727"/>
      <c r="H13" s="727"/>
      <c r="I13" s="727"/>
    </row>
    <row r="14" spans="1:13" x14ac:dyDescent="0.25">
      <c r="E14" s="2143"/>
      <c r="F14" s="2143"/>
      <c r="G14" s="2143"/>
      <c r="H14" s="2143"/>
      <c r="I14" s="2143"/>
    </row>
    <row r="15" spans="1:13" x14ac:dyDescent="0.25">
      <c r="E15" s="2143"/>
      <c r="F15" s="2143"/>
      <c r="G15" s="2143"/>
      <c r="H15" s="2143"/>
      <c r="I15" s="2143"/>
    </row>
    <row r="16" spans="1:13" x14ac:dyDescent="0.25">
      <c r="E16" s="2143"/>
      <c r="F16" s="2143"/>
      <c r="G16" s="2143"/>
      <c r="H16" s="2143"/>
      <c r="I16" s="2143"/>
    </row>
    <row r="17" spans="1:13" x14ac:dyDescent="0.25">
      <c r="E17" s="2143"/>
      <c r="F17" s="2143"/>
      <c r="G17" s="2143"/>
      <c r="H17" s="2143"/>
      <c r="I17" s="2143"/>
    </row>
    <row r="18" spans="1:13" x14ac:dyDescent="0.25">
      <c r="E18" s="2143"/>
      <c r="F18" s="2143"/>
      <c r="G18" s="2143"/>
      <c r="H18" s="2143"/>
      <c r="I18" s="2143"/>
    </row>
    <row r="19" spans="1:13" x14ac:dyDescent="0.25">
      <c r="E19" s="2143"/>
      <c r="F19" s="2143"/>
      <c r="G19" s="2143"/>
      <c r="H19" s="2143"/>
      <c r="I19" s="2143"/>
    </row>
    <row r="20" spans="1:13" x14ac:dyDescent="0.25">
      <c r="E20" s="2143"/>
      <c r="F20" s="2143"/>
      <c r="G20" s="2143"/>
      <c r="H20" s="2143"/>
      <c r="I20" s="2143"/>
    </row>
    <row r="21" spans="1:13" x14ac:dyDescent="0.25">
      <c r="E21" s="2184"/>
      <c r="F21" s="2184"/>
      <c r="G21" s="2184"/>
      <c r="H21" s="2184"/>
      <c r="I21" s="2184"/>
    </row>
    <row r="22" spans="1:13" ht="28.5" customHeight="1" x14ac:dyDescent="0.25">
      <c r="E22" s="2177" t="s">
        <v>167</v>
      </c>
      <c r="F22" s="2177"/>
      <c r="G22" s="2177"/>
      <c r="H22" s="2177"/>
      <c r="I22" s="2177"/>
    </row>
    <row r="23" spans="1:13" x14ac:dyDescent="0.25"/>
    <row r="24" spans="1:13" ht="39.75" customHeight="1" x14ac:dyDescent="0.25">
      <c r="E24" s="2173" t="s">
        <v>138</v>
      </c>
      <c r="F24" s="2174"/>
      <c r="G24" s="722" t="s">
        <v>139</v>
      </c>
      <c r="H24" s="722" t="s">
        <v>140</v>
      </c>
      <c r="I24" s="722" t="s">
        <v>141</v>
      </c>
    </row>
    <row r="25" spans="1:13" ht="21" customHeight="1" x14ac:dyDescent="0.25">
      <c r="E25" s="423" t="s">
        <v>168</v>
      </c>
      <c r="F25" s="425"/>
      <c r="G25" s="421">
        <f>SUMPRODUCT(((LEFT(BalanceN!$A$4:$A$9999,4)="4811")+(LEFT(BalanceN!$A$4:$A$9999,4)="4812"))*BalanceN!$H$4:$H$9999)</f>
        <v>156250000</v>
      </c>
      <c r="H25" s="421">
        <f>SUMPRODUCT(((LEFT(BalanceN!$A$4:$A$9999,4)="4811")+(LEFT(BalanceN!$A$4:$A$9999,4)="4812"))*BalanceN!$D$4:$D$9999)</f>
        <v>0</v>
      </c>
      <c r="I25" s="723" t="str">
        <f>IF(H25=0,"-",(G25-H25)/H25)</f>
        <v>-</v>
      </c>
    </row>
    <row r="26" spans="1:13" ht="21" customHeight="1" x14ac:dyDescent="0.25">
      <c r="E26" s="504" t="s">
        <v>169</v>
      </c>
      <c r="F26" s="510"/>
      <c r="G26" s="421">
        <f>SUMPRODUCT(((LEFT(BalanceN!$A$4:$A$9999,3)="482"))*BalanceN!$H$4:$H$9999)</f>
        <v>0</v>
      </c>
      <c r="H26" s="421">
        <f>SUMPRODUCT(((LEFT(BalanceN!$A$4:$A$9999,3)="482"))*BalanceN!$D$4:$D$9999)</f>
        <v>0</v>
      </c>
      <c r="I26" s="723" t="str">
        <f>IF(H26=0,"-",(G26-H26)/H26)</f>
        <v>-</v>
      </c>
    </row>
    <row r="27" spans="1:13" ht="33" customHeight="1" x14ac:dyDescent="0.25">
      <c r="E27" s="2021" t="s">
        <v>170</v>
      </c>
      <c r="F27" s="2025"/>
      <c r="G27" s="421">
        <f>SUMPRODUCT(((LEFT(BalanceN!$A$4:$A$9999,4)="4813"))*BalanceN!$H$4:$H$9999)</f>
        <v>0</v>
      </c>
      <c r="H27" s="421">
        <f>SUMPRODUCT(((LEFT(BalanceN!$A$4:$A$9999,4)="4813"))*BalanceN!$D$4:$D$9999)</f>
        <v>0</v>
      </c>
      <c r="I27" s="723" t="str">
        <f>IF(H27=0,"-",(G27-H27)/H27)</f>
        <v>-</v>
      </c>
    </row>
    <row r="28" spans="1:13" ht="20.25" customHeight="1" x14ac:dyDescent="0.25">
      <c r="E28" s="2021" t="s">
        <v>171</v>
      </c>
      <c r="F28" s="2025"/>
      <c r="G28" s="421">
        <f>SUMPRODUCT(((LEFT(BalanceN!$A$4:$A$9999,4)="4818"))*BalanceN!$H$4:$H$9999)</f>
        <v>399942</v>
      </c>
      <c r="H28" s="421">
        <f>SUMPRODUCT(((LEFT(BalanceN!$A$4:$A$9999,4)="4818"))*BalanceN!$D$4:$D$9999)</f>
        <v>399942</v>
      </c>
      <c r="I28" s="724">
        <f>IF(H28=0,"-",(G28-H28)/H28)</f>
        <v>0</v>
      </c>
    </row>
    <row r="29" spans="1:13" s="685" customFormat="1" ht="21" customHeight="1" x14ac:dyDescent="0.25">
      <c r="A29" s="546"/>
      <c r="B29" s="546"/>
      <c r="C29" s="546"/>
      <c r="D29" s="546"/>
      <c r="E29" s="2175" t="s">
        <v>172</v>
      </c>
      <c r="F29" s="2176"/>
      <c r="G29" s="725">
        <f>SUM(G25:G28)</f>
        <v>156649942</v>
      </c>
      <c r="H29" s="725">
        <f>SUM(H25:H28)</f>
        <v>399942</v>
      </c>
      <c r="I29" s="726"/>
      <c r="J29" s="546"/>
      <c r="K29" s="546"/>
      <c r="L29" s="546"/>
      <c r="M29" s="546"/>
    </row>
    <row r="30" spans="1:13" x14ac:dyDescent="0.25"/>
    <row r="31" spans="1:13" x14ac:dyDescent="0.25">
      <c r="E31" s="728" t="s">
        <v>1348</v>
      </c>
      <c r="F31" s="727"/>
      <c r="G31" s="727"/>
      <c r="H31" s="727"/>
      <c r="I31" s="727"/>
    </row>
    <row r="32" spans="1:13" x14ac:dyDescent="0.25">
      <c r="E32" s="2143"/>
      <c r="F32" s="2143"/>
      <c r="G32" s="2143"/>
      <c r="H32" s="2143"/>
      <c r="I32" s="2143"/>
    </row>
    <row r="33" spans="5:9" x14ac:dyDescent="0.25">
      <c r="E33" s="2143"/>
      <c r="F33" s="2143"/>
      <c r="G33" s="2143"/>
      <c r="H33" s="2143"/>
      <c r="I33" s="2143"/>
    </row>
    <row r="34" spans="5:9" x14ac:dyDescent="0.25">
      <c r="E34" s="2143"/>
      <c r="F34" s="2143"/>
      <c r="G34" s="2143"/>
      <c r="H34" s="2143"/>
      <c r="I34" s="2143"/>
    </row>
    <row r="35" spans="5:9" x14ac:dyDescent="0.25">
      <c r="E35" s="2143"/>
      <c r="F35" s="2143"/>
      <c r="G35" s="2143"/>
      <c r="H35" s="2143"/>
      <c r="I35" s="2143"/>
    </row>
    <row r="36" spans="5:9" x14ac:dyDescent="0.25">
      <c r="E36" s="2143"/>
      <c r="F36" s="2143"/>
      <c r="G36" s="2143"/>
      <c r="H36" s="2143"/>
      <c r="I36" s="2143"/>
    </row>
    <row r="37" spans="5:9" s="537" customFormat="1" x14ac:dyDescent="0.25"/>
    <row r="38" spans="5:9" s="537" customFormat="1" x14ac:dyDescent="0.25"/>
    <row r="39" spans="5:9" s="537" customFormat="1" x14ac:dyDescent="0.25"/>
    <row r="40" spans="5:9" s="537" customFormat="1" x14ac:dyDescent="0.25"/>
    <row r="41" spans="5:9" s="537" customFormat="1" x14ac:dyDescent="0.25"/>
    <row r="42" spans="5:9" s="537" customFormat="1" x14ac:dyDescent="0.25"/>
    <row r="43" spans="5:9" s="537" customFormat="1" x14ac:dyDescent="0.25"/>
    <row r="44" spans="5:9" s="537" customFormat="1" x14ac:dyDescent="0.25"/>
    <row r="45" spans="5:9" s="537" customFormat="1" x14ac:dyDescent="0.25"/>
    <row r="46" spans="5:9" s="537" customFormat="1" x14ac:dyDescent="0.25"/>
    <row r="47" spans="5:9" s="537" customFormat="1" x14ac:dyDescent="0.25"/>
    <row r="48" spans="5:9" s="537" customFormat="1" x14ac:dyDescent="0.25"/>
    <row r="49" s="537" customFormat="1" x14ac:dyDescent="0.25"/>
    <row r="50" s="537" customFormat="1" x14ac:dyDescent="0.25"/>
    <row r="51" s="537" customFormat="1" x14ac:dyDescent="0.25"/>
    <row r="52" s="537" customFormat="1" x14ac:dyDescent="0.25"/>
    <row r="53" s="537" customFormat="1" x14ac:dyDescent="0.25"/>
    <row r="54" s="537" customFormat="1" x14ac:dyDescent="0.25"/>
    <row r="55" s="537" customFormat="1" x14ac:dyDescent="0.25"/>
    <row r="56" s="537" customFormat="1" x14ac:dyDescent="0.25"/>
    <row r="57" s="537" customFormat="1" x14ac:dyDescent="0.25"/>
    <row r="58" s="537" customFormat="1" x14ac:dyDescent="0.25"/>
    <row r="59" s="537" customFormat="1" x14ac:dyDescent="0.25"/>
  </sheetData>
  <sheetProtection algorithmName="SHA-512" hashValue="BEnKd2A6zfPcU82jk6tqneq80RqcTXQs902ntDpZM4dZIbmInC9Z365XkY7Fzxmb1nirCG0G200zH1hdXJcAxw==" saltValue="YLyAfCakzwfz8J6bWjvluA==" spinCount="100000" sheet="1" formatCells="0" formatColumns="0" formatRows="0" pivotTables="0"/>
  <mergeCells count="12">
    <mergeCell ref="E32:I36"/>
    <mergeCell ref="E24:F24"/>
    <mergeCell ref="E28:F28"/>
    <mergeCell ref="E29:F29"/>
    <mergeCell ref="E1:I1"/>
    <mergeCell ref="E22:I22"/>
    <mergeCell ref="E27:F27"/>
    <mergeCell ref="E6:F6"/>
    <mergeCell ref="E9:F9"/>
    <mergeCell ref="E11:F11"/>
    <mergeCell ref="E14:I21"/>
    <mergeCell ref="F3:G3"/>
  </mergeCells>
  <printOptions horizontalCentered="1"/>
  <pageMargins left="0.19685039370078741" right="0.11811023622047244" top="0" bottom="0.3543307086614173" header="0.31496062992125984" footer="0.31496062992125984"/>
  <pageSetup paperSize="9" scale="9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43C6E5"/>
  </sheetPr>
  <dimension ref="A1:N49"/>
  <sheetViews>
    <sheetView topLeftCell="A8" zoomScaleNormal="100" workbookViewId="0">
      <selection activeCell="H36" sqref="H36"/>
    </sheetView>
  </sheetViews>
  <sheetFormatPr baseColWidth="10" defaultColWidth="0" defaultRowHeight="15" zeroHeight="1" x14ac:dyDescent="0.25"/>
  <cols>
    <col min="1" max="4" width="11.42578125" style="537" customWidth="1"/>
    <col min="5" max="5" width="29.42578125" style="345" customWidth="1"/>
    <col min="6" max="6" width="22.5703125" style="345" customWidth="1"/>
    <col min="7" max="7" width="16.7109375" style="345" customWidth="1"/>
    <col min="8" max="8" width="18.28515625" style="345" customWidth="1"/>
    <col min="9" max="9" width="12.85546875" style="733" customWidth="1"/>
    <col min="10" max="10" width="14" style="370" customWidth="1"/>
    <col min="11" max="14" width="11.42578125" style="537" customWidth="1"/>
    <col min="15" max="16384" width="11.42578125" style="345" hidden="1"/>
  </cols>
  <sheetData>
    <row r="1" spans="1:14" ht="28.5" customHeight="1" x14ac:dyDescent="0.25">
      <c r="E1" s="2135" t="s">
        <v>173</v>
      </c>
      <c r="F1" s="2136"/>
      <c r="G1" s="2136"/>
      <c r="H1" s="2136"/>
      <c r="I1" s="2136"/>
      <c r="J1" s="2137"/>
    </row>
    <row r="2" spans="1:14" x14ac:dyDescent="0.25">
      <c r="E2" s="388"/>
      <c r="F2" s="388"/>
      <c r="G2" s="388"/>
      <c r="H2" s="388"/>
      <c r="I2" s="729"/>
      <c r="J2" s="387"/>
    </row>
    <row r="3" spans="1:14" ht="22.5" customHeight="1" x14ac:dyDescent="0.25">
      <c r="E3" s="629" t="s">
        <v>42</v>
      </c>
      <c r="F3" s="664" t="str">
        <f>INFORMATIONS!B10</f>
        <v>SAM CONSEILS</v>
      </c>
      <c r="G3" s="664"/>
      <c r="H3" s="665" t="s">
        <v>52</v>
      </c>
      <c r="I3" s="678"/>
      <c r="J3" s="730">
        <f>INFORMATIONS!D31</f>
        <v>43465</v>
      </c>
    </row>
    <row r="4" spans="1:14" ht="19.5" customHeight="1" x14ac:dyDescent="0.25">
      <c r="E4" s="632" t="s">
        <v>43</v>
      </c>
      <c r="F4" s="633" t="str">
        <f>INFORMATIONS!B24</f>
        <v>00084404X</v>
      </c>
      <c r="G4" s="634"/>
      <c r="H4" s="666" t="s">
        <v>44</v>
      </c>
      <c r="I4" s="731"/>
      <c r="J4" s="732">
        <f>INFORMATIONS!F34</f>
        <v>12</v>
      </c>
    </row>
    <row r="5" spans="1:14" x14ac:dyDescent="0.25"/>
    <row r="6" spans="1:14" ht="39.75" customHeight="1" x14ac:dyDescent="0.25">
      <c r="E6" s="2178" t="s">
        <v>138</v>
      </c>
      <c r="F6" s="2179"/>
      <c r="G6" s="715" t="s">
        <v>139</v>
      </c>
      <c r="H6" s="715" t="s">
        <v>140</v>
      </c>
      <c r="I6" s="734" t="s">
        <v>1572</v>
      </c>
      <c r="J6" s="715" t="s">
        <v>141</v>
      </c>
    </row>
    <row r="7" spans="1:14" ht="21" customHeight="1" x14ac:dyDescent="0.25">
      <c r="E7" s="423" t="s">
        <v>174</v>
      </c>
      <c r="F7" s="425"/>
      <c r="G7" s="640">
        <f>SUMPRODUCT(((LEFT(BalanceN!$A$4:$A$9999,2)="31"))*BalanceN!$G$4:$G$9999)</f>
        <v>5000000</v>
      </c>
      <c r="H7" s="640">
        <f>SUMPRODUCT(((LEFT(BalanceN!$A$4:$A$9999,2)="31"))*BalanceN!$C$4:$C$9999)</f>
        <v>0</v>
      </c>
      <c r="I7" s="683">
        <f>G7-H7</f>
        <v>5000000</v>
      </c>
      <c r="J7" s="723" t="str">
        <f>IF(H7=0,"-",(G7-H7)/H7)</f>
        <v>-</v>
      </c>
    </row>
    <row r="8" spans="1:14" ht="21" customHeight="1" x14ac:dyDescent="0.25">
      <c r="E8" s="423" t="s">
        <v>175</v>
      </c>
      <c r="F8" s="425"/>
      <c r="G8" s="640">
        <f>SUMPRODUCT(((LEFT(BalanceN!$A$4:$A$9999,2)="32"))*BalanceN!$G$4:$G$9999)</f>
        <v>7827856</v>
      </c>
      <c r="H8" s="640">
        <f>SUMPRODUCT(((LEFT(BalanceN!$A$4:$A$9999,2)="32"))*BalanceN!$C$4:$C$9999)</f>
        <v>7721440</v>
      </c>
      <c r="I8" s="683">
        <f t="shared" ref="I8:I14" si="0">G8-H8</f>
        <v>106416</v>
      </c>
      <c r="J8" s="723">
        <f t="shared" ref="J8:J14" si="1">IF(H8=0,"-",(G8-H8)/H8)</f>
        <v>1.3781885244203153E-2</v>
      </c>
    </row>
    <row r="9" spans="1:14" ht="21" customHeight="1" x14ac:dyDescent="0.25">
      <c r="E9" s="423" t="s">
        <v>176</v>
      </c>
      <c r="F9" s="425"/>
      <c r="G9" s="640">
        <f>SUMPRODUCT(((LEFT(BalanceN!$A$4:$A$9999,2)="33"))*BalanceN!$G$4:$G$9999)</f>
        <v>5732282</v>
      </c>
      <c r="H9" s="640">
        <f>SUMPRODUCT(((LEFT(BalanceN!$A$4:$A$9999,2)="33"))*BalanceN!$C$4:$C$9999)</f>
        <v>8146993</v>
      </c>
      <c r="I9" s="683">
        <f t="shared" si="0"/>
        <v>-2414711</v>
      </c>
      <c r="J9" s="723">
        <f t="shared" si="1"/>
        <v>-0.29639291453914346</v>
      </c>
    </row>
    <row r="10" spans="1:14" ht="21" customHeight="1" x14ac:dyDescent="0.25">
      <c r="E10" s="423" t="s">
        <v>177</v>
      </c>
      <c r="F10" s="425"/>
      <c r="G10" s="640">
        <f>SUMPRODUCT(((LEFT(BalanceN!$A$4:$A$9999,2)="34"))*BalanceN!$G$4:$G$9999)</f>
        <v>0</v>
      </c>
      <c r="H10" s="640">
        <f>SUMPRODUCT(((LEFT(BalanceN!$A$4:$A$9999,2)="34"))*BalanceN!$C$4:$C$9999)</f>
        <v>0</v>
      </c>
      <c r="I10" s="683">
        <f t="shared" si="0"/>
        <v>0</v>
      </c>
      <c r="J10" s="723" t="str">
        <f t="shared" si="1"/>
        <v>-</v>
      </c>
    </row>
    <row r="11" spans="1:14" ht="21" customHeight="1" x14ac:dyDescent="0.25">
      <c r="E11" s="423" t="s">
        <v>178</v>
      </c>
      <c r="F11" s="425"/>
      <c r="G11" s="640">
        <f>SUMPRODUCT(((LEFT(BalanceN!$A$4:$A$9999,2)="35"))*BalanceN!$G$4:$G$9999)</f>
        <v>0</v>
      </c>
      <c r="H11" s="640">
        <f>SUMPRODUCT(((LEFT(BalanceN!$A$4:$A$9999,2)="35"))*BalanceN!$C$4:$C$9999)</f>
        <v>0</v>
      </c>
      <c r="I11" s="683">
        <f t="shared" si="0"/>
        <v>0</v>
      </c>
      <c r="J11" s="723" t="str">
        <f t="shared" si="1"/>
        <v>-</v>
      </c>
    </row>
    <row r="12" spans="1:14" ht="21" customHeight="1" x14ac:dyDescent="0.25">
      <c r="E12" s="423" t="s">
        <v>179</v>
      </c>
      <c r="F12" s="425"/>
      <c r="G12" s="640">
        <f>SUMPRODUCT(((LEFT(BalanceN!$A$4:$A$9999,2)="36"))*BalanceN!$G$4:$G$9999)</f>
        <v>0</v>
      </c>
      <c r="H12" s="640">
        <f>SUMPRODUCT(((LEFT(BalanceN!$A$4:$A$9999,2)="36"))*BalanceN!$C$4:$C$9999)</f>
        <v>0</v>
      </c>
      <c r="I12" s="683">
        <f t="shared" si="0"/>
        <v>0</v>
      </c>
      <c r="J12" s="723" t="str">
        <f t="shared" si="1"/>
        <v>-</v>
      </c>
    </row>
    <row r="13" spans="1:14" ht="21" customHeight="1" x14ac:dyDescent="0.25">
      <c r="E13" s="423" t="s">
        <v>180</v>
      </c>
      <c r="F13" s="425"/>
      <c r="G13" s="640">
        <f>SUMPRODUCT(((LEFT(BalanceN!$A$4:$A$9999,2)="37"))*BalanceN!$G$4:$G$9999)</f>
        <v>0</v>
      </c>
      <c r="H13" s="640">
        <f>SUMPRODUCT(((LEFT(BalanceN!$A$4:$A$9999,2)="37"))*BalanceN!$C$4:$C$9999)</f>
        <v>0</v>
      </c>
      <c r="I13" s="683">
        <f t="shared" si="0"/>
        <v>0</v>
      </c>
      <c r="J13" s="723" t="str">
        <f t="shared" si="1"/>
        <v>-</v>
      </c>
    </row>
    <row r="14" spans="1:14" ht="21" customHeight="1" x14ac:dyDescent="0.25">
      <c r="E14" s="423" t="s">
        <v>181</v>
      </c>
      <c r="F14" s="425"/>
      <c r="G14" s="640">
        <f>SUMPRODUCT(((LEFT(BalanceN!$A$4:$A$9999,2)="38"))*BalanceN!$G$4:$G$9999)</f>
        <v>0</v>
      </c>
      <c r="H14" s="640">
        <f>SUMPRODUCT(((LEFT(BalanceN!$A$4:$A$9999,2)="38"))*BalanceN!$C$4:$C$9999)</f>
        <v>0</v>
      </c>
      <c r="I14" s="683">
        <f t="shared" si="0"/>
        <v>0</v>
      </c>
      <c r="J14" s="723" t="str">
        <f t="shared" si="1"/>
        <v>-</v>
      </c>
    </row>
    <row r="15" spans="1:14" s="422" customFormat="1" ht="21.75" customHeight="1" x14ac:dyDescent="0.25">
      <c r="A15" s="546"/>
      <c r="B15" s="546"/>
      <c r="C15" s="546"/>
      <c r="D15" s="546"/>
      <c r="E15" s="2026" t="s">
        <v>182</v>
      </c>
      <c r="F15" s="2028"/>
      <c r="G15" s="735">
        <f>SUM(G7:G14)</f>
        <v>18560138</v>
      </c>
      <c r="H15" s="735">
        <f>SUM(H7:H14)</f>
        <v>15868433</v>
      </c>
      <c r="I15" s="735">
        <f>SUM(I7:I14)</f>
        <v>2691705</v>
      </c>
      <c r="J15" s="736"/>
      <c r="K15" s="546"/>
      <c r="L15" s="546"/>
      <c r="M15" s="546"/>
      <c r="N15" s="546"/>
    </row>
    <row r="16" spans="1:14" ht="21" customHeight="1" x14ac:dyDescent="0.25">
      <c r="E16" s="423" t="s">
        <v>183</v>
      </c>
      <c r="F16" s="425"/>
      <c r="G16" s="640">
        <f>SUMPRODUCT(((LEFT(BalanceN!$A$4:$A$9999,2)="39"))*BalanceN!$G$4:$G$9999)</f>
        <v>0</v>
      </c>
      <c r="H16" s="640">
        <f>SUMPRODUCT(((LEFT(BalanceN!$A$4:$A$9999,2)="39"))*BalanceN!$C$4:$C$9999)</f>
        <v>0</v>
      </c>
      <c r="I16" s="683">
        <f>G16-H16</f>
        <v>0</v>
      </c>
      <c r="J16" s="723" t="str">
        <f>IF(H16=0,"-",(G16-H16)/H16)</f>
        <v>-</v>
      </c>
    </row>
    <row r="17" spans="1:14" s="422" customFormat="1" ht="21" customHeight="1" x14ac:dyDescent="0.25">
      <c r="A17" s="546"/>
      <c r="B17" s="546"/>
      <c r="C17" s="546"/>
      <c r="D17" s="546"/>
      <c r="E17" s="2186" t="s">
        <v>154</v>
      </c>
      <c r="F17" s="2187"/>
      <c r="G17" s="735">
        <f>SUM(G16)</f>
        <v>0</v>
      </c>
      <c r="H17" s="735">
        <f>SUM(H16)</f>
        <v>0</v>
      </c>
      <c r="I17" s="735">
        <f>SUM(I16)</f>
        <v>0</v>
      </c>
      <c r="J17" s="736"/>
      <c r="K17" s="546"/>
      <c r="L17" s="546"/>
      <c r="M17" s="546"/>
      <c r="N17" s="546"/>
    </row>
    <row r="18" spans="1:14" x14ac:dyDescent="0.25"/>
    <row r="19" spans="1:14" x14ac:dyDescent="0.25">
      <c r="E19" s="645" t="s">
        <v>1348</v>
      </c>
    </row>
    <row r="20" spans="1:14" x14ac:dyDescent="0.25">
      <c r="E20" s="2166"/>
      <c r="F20" s="2166"/>
      <c r="G20" s="2166"/>
      <c r="H20" s="2166"/>
      <c r="I20" s="2166"/>
      <c r="J20" s="2166"/>
    </row>
    <row r="21" spans="1:14" x14ac:dyDescent="0.25">
      <c r="E21" s="2166"/>
      <c r="F21" s="2166"/>
      <c r="G21" s="2166"/>
      <c r="H21" s="2166"/>
      <c r="I21" s="2166"/>
      <c r="J21" s="2166"/>
    </row>
    <row r="22" spans="1:14" x14ac:dyDescent="0.25">
      <c r="E22" s="2166"/>
      <c r="F22" s="2166"/>
      <c r="G22" s="2166"/>
      <c r="H22" s="2166"/>
      <c r="I22" s="2166"/>
      <c r="J22" s="2166"/>
    </row>
    <row r="23" spans="1:14" x14ac:dyDescent="0.25">
      <c r="E23" s="2166"/>
      <c r="F23" s="2166"/>
      <c r="G23" s="2166"/>
      <c r="H23" s="2166"/>
      <c r="I23" s="2166"/>
      <c r="J23" s="2166"/>
    </row>
    <row r="24" spans="1:14" x14ac:dyDescent="0.25">
      <c r="E24" s="2166"/>
      <c r="F24" s="2166"/>
      <c r="G24" s="2166"/>
      <c r="H24" s="2166"/>
      <c r="I24" s="2166"/>
      <c r="J24" s="2166"/>
    </row>
    <row r="25" spans="1:14" x14ac:dyDescent="0.25">
      <c r="E25" s="2166"/>
      <c r="F25" s="2166"/>
      <c r="G25" s="2166"/>
      <c r="H25" s="2166"/>
      <c r="I25" s="2166"/>
      <c r="J25" s="2166"/>
    </row>
    <row r="26" spans="1:14" x14ac:dyDescent="0.25">
      <c r="E26" s="2166"/>
      <c r="F26" s="2166"/>
      <c r="G26" s="2166"/>
      <c r="H26" s="2166"/>
      <c r="I26" s="2166"/>
      <c r="J26" s="2166"/>
    </row>
    <row r="27" spans="1:14" s="537" customFormat="1" x14ac:dyDescent="0.25">
      <c r="I27" s="687"/>
      <c r="J27" s="737"/>
    </row>
    <row r="28" spans="1:14" s="537" customFormat="1" x14ac:dyDescent="0.25">
      <c r="I28" s="687"/>
      <c r="J28" s="737"/>
    </row>
    <row r="29" spans="1:14" s="537" customFormat="1" x14ac:dyDescent="0.25">
      <c r="I29" s="687"/>
      <c r="J29" s="737"/>
    </row>
    <row r="30" spans="1:14" s="537" customFormat="1" x14ac:dyDescent="0.25">
      <c r="I30" s="687"/>
      <c r="J30" s="737"/>
    </row>
    <row r="31" spans="1:14" s="537" customFormat="1" x14ac:dyDescent="0.25">
      <c r="I31" s="687"/>
      <c r="J31" s="737"/>
    </row>
    <row r="32" spans="1:14" s="537" customFormat="1" x14ac:dyDescent="0.25">
      <c r="I32" s="687"/>
      <c r="J32" s="737"/>
    </row>
    <row r="33" spans="9:10" s="537" customFormat="1" x14ac:dyDescent="0.25">
      <c r="I33" s="687"/>
      <c r="J33" s="737"/>
    </row>
    <row r="34" spans="9:10" s="537" customFormat="1" x14ac:dyDescent="0.25">
      <c r="I34" s="687"/>
      <c r="J34" s="737"/>
    </row>
    <row r="35" spans="9:10" s="537" customFormat="1" x14ac:dyDescent="0.25">
      <c r="I35" s="687"/>
      <c r="J35" s="737"/>
    </row>
    <row r="36" spans="9:10" s="537" customFormat="1" x14ac:dyDescent="0.25">
      <c r="I36" s="687"/>
      <c r="J36" s="737"/>
    </row>
    <row r="37" spans="9:10" s="537" customFormat="1" x14ac:dyDescent="0.25">
      <c r="I37" s="687"/>
      <c r="J37" s="737"/>
    </row>
    <row r="38" spans="9:10" s="537" customFormat="1" x14ac:dyDescent="0.25">
      <c r="I38" s="687"/>
      <c r="J38" s="737"/>
    </row>
    <row r="39" spans="9:10" s="537" customFormat="1" x14ac:dyDescent="0.25">
      <c r="I39" s="687"/>
      <c r="J39" s="737"/>
    </row>
    <row r="40" spans="9:10" s="537" customFormat="1" x14ac:dyDescent="0.25">
      <c r="I40" s="687"/>
      <c r="J40" s="737"/>
    </row>
    <row r="41" spans="9:10" s="537" customFormat="1" x14ac:dyDescent="0.25">
      <c r="I41" s="687"/>
      <c r="J41" s="737"/>
    </row>
    <row r="42" spans="9:10" s="537" customFormat="1" x14ac:dyDescent="0.25">
      <c r="I42" s="687"/>
      <c r="J42" s="737"/>
    </row>
    <row r="43" spans="9:10" s="537" customFormat="1" x14ac:dyDescent="0.25">
      <c r="I43" s="687"/>
      <c r="J43" s="737"/>
    </row>
    <row r="44" spans="9:10" s="537" customFormat="1" x14ac:dyDescent="0.25">
      <c r="I44" s="687"/>
      <c r="J44" s="737"/>
    </row>
    <row r="45" spans="9:10" s="537" customFormat="1" x14ac:dyDescent="0.25">
      <c r="I45" s="687"/>
      <c r="J45" s="737"/>
    </row>
    <row r="46" spans="9:10" s="537" customFormat="1" x14ac:dyDescent="0.25">
      <c r="I46" s="687"/>
      <c r="J46" s="737"/>
    </row>
    <row r="47" spans="9:10" s="537" customFormat="1" x14ac:dyDescent="0.25">
      <c r="I47" s="687"/>
      <c r="J47" s="737"/>
    </row>
    <row r="48" spans="9:10" s="537" customFormat="1" x14ac:dyDescent="0.25">
      <c r="I48" s="687"/>
      <c r="J48" s="737"/>
    </row>
    <row r="49" spans="9:10" s="537" customFormat="1" x14ac:dyDescent="0.25">
      <c r="I49" s="687"/>
      <c r="J49" s="737"/>
    </row>
  </sheetData>
  <sheetProtection algorithmName="SHA-512" hashValue="QETUVKwwYR/NF/+rtwYY1Du0RjuWErsypbEbgT7HMaYXKNUXmkMwD/AqonbQQfMI6WFvcLJvl2luciyPXg3Rsg==" saltValue="uHLL1fNJ1srC3lPJ0l4HoA==" spinCount="100000" sheet="1" formatCells="0" formatColumns="0" formatRows="0" pivotTables="0"/>
  <mergeCells count="5">
    <mergeCell ref="E1:J1"/>
    <mergeCell ref="E6:F6"/>
    <mergeCell ref="E15:F15"/>
    <mergeCell ref="E17:F17"/>
    <mergeCell ref="E20:J26"/>
  </mergeCells>
  <printOptions horizontalCentered="1"/>
  <pageMargins left="0.19685039370078741" right="0.11811023622047244" top="0" bottom="0.3543307086614173" header="0.31496062992125984" footer="0.31496062992125984"/>
  <pageSetup paperSize="9" scale="8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rgb="FF43C6E5"/>
  </sheetPr>
  <dimension ref="A1:N56"/>
  <sheetViews>
    <sheetView topLeftCell="A4" zoomScaleNormal="100" workbookViewId="0">
      <selection activeCell="H36" sqref="H36"/>
    </sheetView>
  </sheetViews>
  <sheetFormatPr baseColWidth="10" defaultColWidth="0" defaultRowHeight="15" zeroHeight="1" x14ac:dyDescent="0.25"/>
  <cols>
    <col min="1" max="3" width="11.42578125" style="537" customWidth="1"/>
    <col min="4" max="4" width="26.5703125" style="345" customWidth="1"/>
    <col min="5" max="5" width="12.85546875" style="345" customWidth="1"/>
    <col min="6" max="6" width="15.42578125" style="345" customWidth="1"/>
    <col min="7" max="7" width="15" style="345" customWidth="1"/>
    <col min="8" max="8" width="15.7109375" style="345" customWidth="1"/>
    <col min="9" max="10" width="14" style="345" customWidth="1"/>
    <col min="11" max="11" width="14.140625" style="345" customWidth="1"/>
    <col min="12" max="14" width="11.42578125" style="537" customWidth="1"/>
    <col min="15" max="16384" width="11.42578125" style="345" hidden="1"/>
  </cols>
  <sheetData>
    <row r="1" spans="1:14" ht="28.5" customHeight="1" x14ac:dyDescent="0.25">
      <c r="D1" s="2135" t="s">
        <v>196</v>
      </c>
      <c r="E1" s="2136"/>
      <c r="F1" s="2136"/>
      <c r="G1" s="2136"/>
      <c r="H1" s="2136"/>
      <c r="I1" s="2136"/>
      <c r="J1" s="2136"/>
      <c r="K1" s="2137"/>
    </row>
    <row r="2" spans="1:14" x14ac:dyDescent="0.25">
      <c r="D2" s="388"/>
      <c r="E2" s="388"/>
      <c r="F2" s="388"/>
      <c r="G2" s="388"/>
      <c r="H2" s="388"/>
      <c r="I2" s="388"/>
      <c r="J2" s="388"/>
    </row>
    <row r="3" spans="1:14" ht="22.5" customHeight="1" x14ac:dyDescent="0.25">
      <c r="D3" s="629" t="s">
        <v>42</v>
      </c>
      <c r="E3" s="664" t="str">
        <f>INFORMATIONS!B10</f>
        <v>SAM CONSEILS</v>
      </c>
      <c r="F3" s="664"/>
      <c r="G3" s="664"/>
      <c r="H3" s="630"/>
      <c r="I3" s="2127" t="s">
        <v>52</v>
      </c>
      <c r="J3" s="2127"/>
      <c r="K3" s="631" t="str">
        <f>INFORMATIONS!B24</f>
        <v>00084404X</v>
      </c>
    </row>
    <row r="4" spans="1:14" ht="19.5" customHeight="1" x14ac:dyDescent="0.25">
      <c r="D4" s="632" t="s">
        <v>43</v>
      </c>
      <c r="E4" s="633" t="str">
        <f>INFORMATIONS!B24</f>
        <v>00084404X</v>
      </c>
      <c r="F4" s="634"/>
      <c r="G4" s="634"/>
      <c r="H4" s="635"/>
      <c r="I4" s="2128" t="s">
        <v>44</v>
      </c>
      <c r="J4" s="2128"/>
      <c r="K4" s="667">
        <f>INFORMATIONS!F34</f>
        <v>12</v>
      </c>
    </row>
    <row r="5" spans="1:14" x14ac:dyDescent="0.25"/>
    <row r="6" spans="1:14" ht="65.25" customHeight="1" x14ac:dyDescent="0.25">
      <c r="D6" s="2178" t="s">
        <v>138</v>
      </c>
      <c r="E6" s="2179"/>
      <c r="F6" s="715" t="s">
        <v>139</v>
      </c>
      <c r="G6" s="715" t="s">
        <v>140</v>
      </c>
      <c r="H6" s="715" t="s">
        <v>141</v>
      </c>
      <c r="I6" s="715" t="s">
        <v>142</v>
      </c>
      <c r="J6" s="715" t="s">
        <v>143</v>
      </c>
      <c r="K6" s="715" t="s">
        <v>144</v>
      </c>
    </row>
    <row r="7" spans="1:14" x14ac:dyDescent="0.25">
      <c r="D7" s="2001" t="s">
        <v>184</v>
      </c>
      <c r="E7" s="2003"/>
      <c r="F7" s="640">
        <f>SUMPRODUCT(((LEFT(BalanceN!$A$4:$A$9999,4)="4111"))*BalanceN!$G$4:$G$9999)</f>
        <v>136261301</v>
      </c>
      <c r="G7" s="640">
        <f>SUMPRODUCT(((LEFT(BalanceN!$A$4:$A$9999,4)="4111"))*BalanceN!$C$4:$C$9999)</f>
        <v>140683833</v>
      </c>
      <c r="H7" s="723">
        <f>IF(G7=0,"-",(F7-G7)/G7)</f>
        <v>-3.143596464278877E-2</v>
      </c>
      <c r="I7" s="640">
        <f>+F7-J7-K7</f>
        <v>136261301</v>
      </c>
      <c r="J7" s="146"/>
      <c r="K7" s="146"/>
    </row>
    <row r="8" spans="1:14" x14ac:dyDescent="0.25">
      <c r="D8" s="2001" t="s">
        <v>197</v>
      </c>
      <c r="E8" s="2003"/>
      <c r="F8" s="640">
        <f>SUMPRODUCT(((LEFT(BalanceN!$A$4:$A$9999,4)="4121"))*BalanceN!$G$4:$G$9999)</f>
        <v>0</v>
      </c>
      <c r="G8" s="640">
        <f>SUMPRODUCT(((LEFT(BalanceN!$A$4:$A$9999,4)="4121"))*BalanceN!$C$4:$C$9999)</f>
        <v>0</v>
      </c>
      <c r="H8" s="723" t="str">
        <f t="shared" ref="H8:H21" si="0">IF(G8=0,"-",(F8-G8)/G8)</f>
        <v>-</v>
      </c>
      <c r="I8" s="640">
        <f t="shared" ref="I8:I15" si="1">+F8-J8-K8</f>
        <v>0</v>
      </c>
      <c r="J8" s="146"/>
      <c r="K8" s="162"/>
    </row>
    <row r="9" spans="1:14" x14ac:dyDescent="0.25">
      <c r="D9" s="2001" t="s">
        <v>1052</v>
      </c>
      <c r="E9" s="2003"/>
      <c r="F9" s="640">
        <f>SUMPRODUCT(((LEFT(BalanceN!$A$4:$A$9999,4)="4116"))*BalanceN!$G$4:$G$9999)</f>
        <v>0</v>
      </c>
      <c r="G9" s="640">
        <f>SUMPRODUCT(((LEFT(BalanceN!$A$4:$A$9999,4)="4116"))*BalanceN!$C$4:$C$9999)</f>
        <v>0</v>
      </c>
      <c r="H9" s="723" t="str">
        <f t="shared" si="0"/>
        <v>-</v>
      </c>
      <c r="I9" s="640">
        <f t="shared" si="1"/>
        <v>0</v>
      </c>
      <c r="J9" s="146"/>
      <c r="K9" s="162"/>
    </row>
    <row r="10" spans="1:14" x14ac:dyDescent="0.25">
      <c r="D10" s="2032" t="s">
        <v>185</v>
      </c>
      <c r="E10" s="2189"/>
      <c r="F10" s="640">
        <f>SUMPRODUCT(((LEFT(BalanceN!$A$4:$A$9999,4)="4122"))*BalanceN!$G$4:$G$9999)</f>
        <v>0</v>
      </c>
      <c r="G10" s="640">
        <f>SUMPRODUCT(((LEFT(BalanceN!$A$4:$A$9999,4)="4122"))*BalanceN!$C$4:$C$9999)</f>
        <v>0</v>
      </c>
      <c r="H10" s="723" t="str">
        <f t="shared" si="0"/>
        <v>-</v>
      </c>
      <c r="I10" s="640">
        <f t="shared" si="1"/>
        <v>0</v>
      </c>
      <c r="J10" s="146"/>
      <c r="K10" s="162"/>
    </row>
    <row r="11" spans="1:14" x14ac:dyDescent="0.25">
      <c r="D11" s="2001" t="s">
        <v>1053</v>
      </c>
      <c r="E11" s="2003"/>
      <c r="F11" s="640">
        <f>SUMPRODUCT(((LEFT(BalanceN!$A$4:$A$9999,3)="413"))*BalanceN!$G$4:$G$9999)</f>
        <v>0</v>
      </c>
      <c r="G11" s="640">
        <f>SUMPRODUCT(((LEFT(BalanceN!$A$4:$A$9999,3)="413"))*BalanceN!$C$4:$C$9999)</f>
        <v>0</v>
      </c>
      <c r="H11" s="723" t="str">
        <f t="shared" si="0"/>
        <v>-</v>
      </c>
      <c r="I11" s="640">
        <f t="shared" si="1"/>
        <v>0</v>
      </c>
      <c r="J11" s="146"/>
      <c r="K11" s="162"/>
    </row>
    <row r="12" spans="1:14" x14ac:dyDescent="0.25">
      <c r="D12" s="423" t="s">
        <v>186</v>
      </c>
      <c r="E12" s="425"/>
      <c r="F12" s="640">
        <f>SUMPRODUCT(((LEFT(BalanceN!$A$4:$A$9999,3)="414"))*BalanceN!$G$4:$G$9999)</f>
        <v>0</v>
      </c>
      <c r="G12" s="640">
        <f>SUMPRODUCT(((LEFT(BalanceN!$A$4:$A$9999,3)="414"))*BalanceN!$C$4:$C$9999)</f>
        <v>0</v>
      </c>
      <c r="H12" s="723" t="str">
        <f t="shared" si="0"/>
        <v>-</v>
      </c>
      <c r="I12" s="640">
        <f t="shared" si="1"/>
        <v>0</v>
      </c>
      <c r="J12" s="146"/>
      <c r="K12" s="162"/>
    </row>
    <row r="13" spans="1:14" x14ac:dyDescent="0.25">
      <c r="D13" s="423" t="s">
        <v>187</v>
      </c>
      <c r="E13" s="425"/>
      <c r="F13" s="640">
        <f>SUMPRODUCT(((LEFT(BalanceN!$A$4:$A$9999,3)="415"))*BalanceN!$G$4:$G$9999)</f>
        <v>0</v>
      </c>
      <c r="G13" s="640">
        <f>SUMPRODUCT(((LEFT(BalanceN!$A$4:$A$9999,3)="415"))*BalanceN!$C$4:$C$9999)</f>
        <v>0</v>
      </c>
      <c r="H13" s="723" t="str">
        <f t="shared" si="0"/>
        <v>-</v>
      </c>
      <c r="I13" s="640">
        <f t="shared" si="1"/>
        <v>0</v>
      </c>
      <c r="J13" s="146"/>
      <c r="K13" s="162"/>
    </row>
    <row r="14" spans="1:14" x14ac:dyDescent="0.25">
      <c r="D14" s="423" t="s">
        <v>188</v>
      </c>
      <c r="E14" s="425"/>
      <c r="F14" s="640">
        <f>SUMPRODUCT(((LEFT(BalanceN!$A$4:$A$9999,3)="416"))*BalanceN!$G$4:$G$9999)</f>
        <v>31677520</v>
      </c>
      <c r="G14" s="640">
        <f>SUMPRODUCT(((LEFT(BalanceN!$A$4:$A$9999,3)="416"))*BalanceN!$C$4:$C$9999)</f>
        <v>31677520</v>
      </c>
      <c r="H14" s="723">
        <f t="shared" si="0"/>
        <v>0</v>
      </c>
      <c r="I14" s="640">
        <f t="shared" si="1"/>
        <v>31677520</v>
      </c>
      <c r="J14" s="146"/>
      <c r="K14" s="162"/>
    </row>
    <row r="15" spans="1:14" x14ac:dyDescent="0.25">
      <c r="D15" s="423" t="s">
        <v>189</v>
      </c>
      <c r="E15" s="425"/>
      <c r="F15" s="640">
        <f>SUMPRODUCT(((LEFT(BalanceN!$A$4:$A$9999,3)="418"))*BalanceN!$G$4:$G$9999)</f>
        <v>0</v>
      </c>
      <c r="G15" s="640">
        <f>SUMPRODUCT(((LEFT(BalanceN!$A$4:$A$9999,3)="418"))*BalanceN!$C$4:$C$9999)</f>
        <v>0</v>
      </c>
      <c r="H15" s="723" t="str">
        <f t="shared" si="0"/>
        <v>-</v>
      </c>
      <c r="I15" s="640">
        <f t="shared" si="1"/>
        <v>0</v>
      </c>
      <c r="J15" s="146"/>
      <c r="K15" s="162"/>
    </row>
    <row r="16" spans="1:14" s="422" customFormat="1" ht="21.75" customHeight="1" x14ac:dyDescent="0.25">
      <c r="A16" s="546"/>
      <c r="B16" s="546"/>
      <c r="C16" s="546"/>
      <c r="D16" s="2026" t="s">
        <v>190</v>
      </c>
      <c r="E16" s="2028"/>
      <c r="F16" s="735">
        <f>SUM(F7:F15)</f>
        <v>167938821</v>
      </c>
      <c r="G16" s="735">
        <f>SUM(G7:G15)</f>
        <v>172361353</v>
      </c>
      <c r="H16" s="736"/>
      <c r="I16" s="735">
        <f>SUM(I7)</f>
        <v>136261301</v>
      </c>
      <c r="J16" s="735">
        <f>SUM(J10:J15)</f>
        <v>0</v>
      </c>
      <c r="K16" s="735">
        <f>SUM(K10:K15)</f>
        <v>0</v>
      </c>
      <c r="L16" s="546"/>
      <c r="M16" s="546"/>
      <c r="N16" s="546"/>
    </row>
    <row r="17" spans="1:14" ht="21" customHeight="1" x14ac:dyDescent="0.25">
      <c r="D17" s="423" t="s">
        <v>191</v>
      </c>
      <c r="E17" s="425"/>
      <c r="F17" s="640">
        <f>SUMPRODUCT(((LEFT(BalanceN!$A$4:$A$9999,3)="491"))*BalanceN!$H$4:$H$9999)</f>
        <v>31677520</v>
      </c>
      <c r="G17" s="640">
        <f>SUMPRODUCT(((LEFT(BalanceN!$A$4:$A$9999,3)="491"))*BalanceN!$D$4:$D$9999)</f>
        <v>31677520</v>
      </c>
      <c r="H17" s="723">
        <f t="shared" si="0"/>
        <v>0</v>
      </c>
      <c r="I17" s="640">
        <f>+F17-J17-K17</f>
        <v>31677520</v>
      </c>
      <c r="J17" s="146"/>
      <c r="K17" s="162"/>
    </row>
    <row r="18" spans="1:14" ht="21" customHeight="1" x14ac:dyDescent="0.25">
      <c r="D18" s="2186" t="s">
        <v>154</v>
      </c>
      <c r="E18" s="2187"/>
      <c r="F18" s="735">
        <f>SUM(F9:F17)</f>
        <v>231293861</v>
      </c>
      <c r="G18" s="735">
        <f>SUM(G9:G17)</f>
        <v>235716393</v>
      </c>
      <c r="H18" s="736"/>
      <c r="I18" s="735">
        <f>SUM(I17:I17)</f>
        <v>31677520</v>
      </c>
      <c r="J18" s="738">
        <f>SUM(J17:J17)</f>
        <v>0</v>
      </c>
      <c r="K18" s="738">
        <f>SUM(K17:K17)</f>
        <v>0</v>
      </c>
    </row>
    <row r="19" spans="1:14" ht="21" customHeight="1" x14ac:dyDescent="0.25">
      <c r="D19" s="423" t="s">
        <v>192</v>
      </c>
      <c r="E19" s="425"/>
      <c r="F19" s="640">
        <f>SUMPRODUCT(((LEFT(BalanceN!$A$4:$A$9999,4)="4191"))*BalanceN!$H$4:$H$9999)</f>
        <v>0</v>
      </c>
      <c r="G19" s="640">
        <f>SUMPRODUCT(((LEFT(BalanceN!$A$4:$A$9999,4)="4191"))*BalanceN!$D$4:$D$9999)</f>
        <v>0</v>
      </c>
      <c r="H19" s="723" t="str">
        <f t="shared" si="0"/>
        <v>-</v>
      </c>
      <c r="I19" s="640">
        <f>F19-J19-K19</f>
        <v>0</v>
      </c>
      <c r="J19" s="146"/>
      <c r="K19" s="162"/>
    </row>
    <row r="20" spans="1:14" ht="21" customHeight="1" x14ac:dyDescent="0.25">
      <c r="D20" s="423" t="s">
        <v>193</v>
      </c>
      <c r="E20" s="425"/>
      <c r="F20" s="640">
        <f>SUMPRODUCT(((LEFT(BalanceN!$A$4:$A$9999,4)="4192"))*BalanceN!$H$4:$H$9999)</f>
        <v>0</v>
      </c>
      <c r="G20" s="640">
        <f>SUMPRODUCT(((LEFT(BalanceN!$A$4:$A$9999,4)="4192"))*BalanceN!$D$4:$D$9999)</f>
        <v>0</v>
      </c>
      <c r="H20" s="723" t="str">
        <f t="shared" si="0"/>
        <v>-</v>
      </c>
      <c r="I20" s="640">
        <f>F20-J20-K20</f>
        <v>0</v>
      </c>
      <c r="J20" s="146"/>
      <c r="K20" s="162"/>
    </row>
    <row r="21" spans="1:14" ht="21" customHeight="1" x14ac:dyDescent="0.25">
      <c r="D21" s="423" t="s">
        <v>194</v>
      </c>
      <c r="E21" s="425"/>
      <c r="F21" s="640">
        <f>SUMPRODUCT(((LEFT(BalanceN!$A$4:$A$9999,4)="4194")+(LEFT(BalanceN!$A$4:$A$9999,4)="4198"))*BalanceN!$H$4:$H$9999)</f>
        <v>0</v>
      </c>
      <c r="G21" s="640">
        <f>SUMPRODUCT(((LEFT(BalanceN!$A$4:$A$9999,4)="4194")+(LEFT(BalanceN!$A$4:$A$9999,4)="4198"))*BalanceN!$D$4:$D$9999)</f>
        <v>0</v>
      </c>
      <c r="H21" s="723" t="str">
        <f t="shared" si="0"/>
        <v>-</v>
      </c>
      <c r="I21" s="640">
        <f>F21-J21-K21</f>
        <v>0</v>
      </c>
      <c r="J21" s="146"/>
      <c r="K21" s="162"/>
    </row>
    <row r="22" spans="1:14" s="422" customFormat="1" ht="21" customHeight="1" x14ac:dyDescent="0.25">
      <c r="A22" s="546"/>
      <c r="B22" s="546"/>
      <c r="C22" s="546"/>
      <c r="D22" s="2186" t="s">
        <v>195</v>
      </c>
      <c r="E22" s="2187"/>
      <c r="F22" s="735">
        <f t="shared" ref="F22:K22" si="2">SUM(F19:F21)</f>
        <v>0</v>
      </c>
      <c r="G22" s="735">
        <f t="shared" si="2"/>
        <v>0</v>
      </c>
      <c r="H22" s="735">
        <f t="shared" si="2"/>
        <v>0</v>
      </c>
      <c r="I22" s="735">
        <f t="shared" si="2"/>
        <v>0</v>
      </c>
      <c r="J22" s="735">
        <f t="shared" si="2"/>
        <v>0</v>
      </c>
      <c r="K22" s="735">
        <f t="shared" si="2"/>
        <v>0</v>
      </c>
      <c r="L22" s="546"/>
      <c r="M22" s="739"/>
      <c r="N22" s="546"/>
    </row>
    <row r="23" spans="1:14" x14ac:dyDescent="0.25"/>
    <row r="24" spans="1:14" x14ac:dyDescent="0.25">
      <c r="D24" s="645" t="s">
        <v>1348</v>
      </c>
    </row>
    <row r="25" spans="1:14" x14ac:dyDescent="0.25">
      <c r="D25" s="2188"/>
      <c r="E25" s="2188"/>
      <c r="F25" s="2188"/>
      <c r="G25" s="2188"/>
      <c r="H25" s="2188"/>
      <c r="I25" s="2188"/>
      <c r="J25" s="2188"/>
      <c r="K25" s="2188"/>
    </row>
    <row r="26" spans="1:14" x14ac:dyDescent="0.25">
      <c r="D26" s="2188"/>
      <c r="E26" s="2188"/>
      <c r="F26" s="2188"/>
      <c r="G26" s="2188"/>
      <c r="H26" s="2188"/>
      <c r="I26" s="2188"/>
      <c r="J26" s="2188"/>
      <c r="K26" s="2188"/>
    </row>
    <row r="27" spans="1:14" x14ac:dyDescent="0.25">
      <c r="D27" s="2188"/>
      <c r="E27" s="2188"/>
      <c r="F27" s="2188"/>
      <c r="G27" s="2188"/>
      <c r="H27" s="2188"/>
      <c r="I27" s="2188"/>
      <c r="J27" s="2188"/>
      <c r="K27" s="2188"/>
    </row>
    <row r="28" spans="1:14" x14ac:dyDescent="0.25">
      <c r="D28" s="2188"/>
      <c r="E28" s="2188"/>
      <c r="F28" s="2188"/>
      <c r="G28" s="2188"/>
      <c r="H28" s="2188"/>
      <c r="I28" s="2188"/>
      <c r="J28" s="2188"/>
      <c r="K28" s="2188"/>
    </row>
    <row r="29" spans="1:14" x14ac:dyDescent="0.25">
      <c r="D29" s="2188"/>
      <c r="E29" s="2188"/>
      <c r="F29" s="2188"/>
      <c r="G29" s="2188"/>
      <c r="H29" s="2188"/>
      <c r="I29" s="2188"/>
      <c r="J29" s="2188"/>
      <c r="K29" s="2188"/>
    </row>
    <row r="30" spans="1:14" x14ac:dyDescent="0.25">
      <c r="D30" s="2188"/>
      <c r="E30" s="2188"/>
      <c r="F30" s="2188"/>
      <c r="G30" s="2188"/>
      <c r="H30" s="2188"/>
      <c r="I30" s="2188"/>
      <c r="J30" s="2188"/>
      <c r="K30" s="2188"/>
    </row>
    <row r="31" spans="1:14" x14ac:dyDescent="0.25">
      <c r="D31" s="2188"/>
      <c r="E31" s="2188"/>
      <c r="F31" s="2188"/>
      <c r="G31" s="2188"/>
      <c r="H31" s="2188"/>
      <c r="I31" s="2188"/>
      <c r="J31" s="2188"/>
      <c r="K31" s="2188"/>
    </row>
    <row r="32" spans="1:14" x14ac:dyDescent="0.25">
      <c r="D32" s="2188"/>
      <c r="E32" s="2188"/>
      <c r="F32" s="2188"/>
      <c r="G32" s="2188"/>
      <c r="H32" s="2188"/>
      <c r="I32" s="2188"/>
      <c r="J32" s="2188"/>
      <c r="K32" s="2188"/>
    </row>
    <row r="33" spans="4:11" s="537" customFormat="1" x14ac:dyDescent="0.25">
      <c r="D33" s="2188"/>
      <c r="E33" s="2188"/>
      <c r="F33" s="2188"/>
      <c r="G33" s="2188"/>
      <c r="H33" s="2188"/>
      <c r="I33" s="2188"/>
      <c r="J33" s="2188"/>
      <c r="K33" s="2188"/>
    </row>
    <row r="34" spans="4:11" s="537" customFormat="1" x14ac:dyDescent="0.25">
      <c r="D34" s="2188"/>
      <c r="E34" s="2188"/>
      <c r="F34" s="2188"/>
      <c r="G34" s="2188"/>
      <c r="H34" s="2188"/>
      <c r="I34" s="2188"/>
      <c r="J34" s="2188"/>
      <c r="K34" s="2188"/>
    </row>
    <row r="35" spans="4:11" s="537" customFormat="1" x14ac:dyDescent="0.25"/>
    <row r="36" spans="4:11" s="537" customFormat="1" x14ac:dyDescent="0.25"/>
    <row r="37" spans="4:11" s="537" customFormat="1" x14ac:dyDescent="0.25"/>
    <row r="38" spans="4:11" s="537" customFormat="1" x14ac:dyDescent="0.25"/>
    <row r="39" spans="4:11" s="537" customFormat="1" x14ac:dyDescent="0.25"/>
    <row r="40" spans="4:11" s="537" customFormat="1" x14ac:dyDescent="0.25"/>
    <row r="41" spans="4:11" s="537" customFormat="1" x14ac:dyDescent="0.25"/>
    <row r="42" spans="4:11" s="537" customFormat="1" x14ac:dyDescent="0.25"/>
    <row r="43" spans="4:11" s="537" customFormat="1" x14ac:dyDescent="0.25"/>
    <row r="44" spans="4:11" s="537" customFormat="1" x14ac:dyDescent="0.25"/>
    <row r="45" spans="4:11" s="537" customFormat="1" x14ac:dyDescent="0.25"/>
    <row r="46" spans="4:11" s="537" customFormat="1" x14ac:dyDescent="0.25"/>
    <row r="47" spans="4:11" s="537" customFormat="1" x14ac:dyDescent="0.25"/>
    <row r="48" spans="4:11" s="537" customFormat="1" x14ac:dyDescent="0.25"/>
    <row r="49" s="537" customFormat="1" x14ac:dyDescent="0.25"/>
    <row r="50" s="537" customFormat="1" x14ac:dyDescent="0.25"/>
    <row r="51" s="537" customFormat="1" x14ac:dyDescent="0.25"/>
    <row r="52" s="537" customFormat="1" x14ac:dyDescent="0.25"/>
    <row r="53" s="537" customFormat="1" x14ac:dyDescent="0.25"/>
    <row r="54" s="537" customFormat="1" x14ac:dyDescent="0.25"/>
    <row r="55" s="537" customFormat="1" x14ac:dyDescent="0.25"/>
    <row r="56" s="537" customFormat="1" x14ac:dyDescent="0.25"/>
  </sheetData>
  <sheetProtection algorithmName="SHA-512" hashValue="sd5ZDqwrAYyOjm5BwqAcFGiq7f68PKKnW6Sl6T8dkwGLXVAK6smtOt0tmUemKhgzHr5aoKx8LFxxq7UEHU+oZw==" saltValue="QICxX7DHagHNWV7wofKeww==" spinCount="100000" sheet="1" formatCells="0" formatColumns="0" formatRows="0" pivotTables="0"/>
  <mergeCells count="13">
    <mergeCell ref="D25:K34"/>
    <mergeCell ref="D1:K1"/>
    <mergeCell ref="I3:J3"/>
    <mergeCell ref="I4:J4"/>
    <mergeCell ref="D6:E6"/>
    <mergeCell ref="D16:E16"/>
    <mergeCell ref="D7:E7"/>
    <mergeCell ref="D22:E22"/>
    <mergeCell ref="D8:E8"/>
    <mergeCell ref="D9:E9"/>
    <mergeCell ref="D10:E10"/>
    <mergeCell ref="D18:E18"/>
    <mergeCell ref="D11:E11"/>
  </mergeCells>
  <printOptions horizontalCentered="1"/>
  <pageMargins left="0" right="0.11811023622047245" top="0" bottom="0.35433070866141736" header="0.31496062992125984" footer="0.31496062992125984"/>
  <pageSetup paperSize="9" scale="91"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43C6E5"/>
  </sheetPr>
  <dimension ref="A1:N53"/>
  <sheetViews>
    <sheetView zoomScaleNormal="100" workbookViewId="0">
      <selection activeCell="H36" sqref="H36"/>
    </sheetView>
  </sheetViews>
  <sheetFormatPr baseColWidth="10" defaultColWidth="0" defaultRowHeight="15" zeroHeight="1" x14ac:dyDescent="0.25"/>
  <cols>
    <col min="1" max="1" width="8.42578125" style="537" customWidth="1"/>
    <col min="2" max="2" width="8.140625" style="537" customWidth="1"/>
    <col min="3" max="3" width="11.42578125" style="537" customWidth="1"/>
    <col min="4" max="4" width="25" style="676" customWidth="1"/>
    <col min="5" max="5" width="20.7109375" style="676" customWidth="1"/>
    <col min="6" max="6" width="14.140625" style="676" customWidth="1"/>
    <col min="7" max="7" width="14.42578125" style="676" customWidth="1"/>
    <col min="8" max="8" width="10.42578125" style="742" customWidth="1"/>
    <col min="9" max="10" width="14" style="676" customWidth="1"/>
    <col min="11" max="11" width="14.140625" style="676" customWidth="1"/>
    <col min="12" max="14" width="11.42578125" style="537" customWidth="1"/>
    <col min="15" max="16384" width="11.42578125" style="676" hidden="1"/>
  </cols>
  <sheetData>
    <row r="1" spans="4:11" ht="28.5" customHeight="1" x14ac:dyDescent="0.25">
      <c r="D1" s="2135" t="s">
        <v>198</v>
      </c>
      <c r="E1" s="2136"/>
      <c r="F1" s="2136"/>
      <c r="G1" s="2136"/>
      <c r="H1" s="2136"/>
      <c r="I1" s="2136"/>
      <c r="J1" s="2136"/>
      <c r="K1" s="2137"/>
    </row>
    <row r="2" spans="4:11" x14ac:dyDescent="0.25">
      <c r="D2" s="472"/>
      <c r="E2" s="472"/>
      <c r="F2" s="472"/>
      <c r="G2" s="472"/>
      <c r="H2" s="471"/>
      <c r="I2" s="472"/>
      <c r="J2" s="472"/>
    </row>
    <row r="3" spans="4:11" ht="22.5" customHeight="1" x14ac:dyDescent="0.25">
      <c r="D3" s="629" t="s">
        <v>42</v>
      </c>
      <c r="E3" s="664" t="str">
        <f>INFORMATIONS!B10</f>
        <v>SAM CONSEILS</v>
      </c>
      <c r="F3" s="664"/>
      <c r="G3" s="664"/>
      <c r="H3" s="740"/>
      <c r="I3" s="2127" t="s">
        <v>52</v>
      </c>
      <c r="J3" s="2127"/>
      <c r="K3" s="631">
        <f>INFORMATIONS!D31</f>
        <v>43465</v>
      </c>
    </row>
    <row r="4" spans="4:11" ht="19.5" customHeight="1" x14ac:dyDescent="0.25">
      <c r="D4" s="632" t="s">
        <v>43</v>
      </c>
      <c r="E4" s="633" t="str">
        <f>INFORMATIONS!B24</f>
        <v>00084404X</v>
      </c>
      <c r="F4" s="634"/>
      <c r="G4" s="634"/>
      <c r="H4" s="741"/>
      <c r="I4" s="2128" t="s">
        <v>44</v>
      </c>
      <c r="J4" s="2128"/>
      <c r="K4" s="667">
        <f>INFORMATIONS!F34</f>
        <v>12</v>
      </c>
    </row>
    <row r="5" spans="4:11" x14ac:dyDescent="0.25"/>
    <row r="6" spans="4:11" ht="65.25" customHeight="1" x14ac:dyDescent="0.25">
      <c r="D6" s="2178" t="s">
        <v>138</v>
      </c>
      <c r="E6" s="2179"/>
      <c r="F6" s="715" t="s">
        <v>139</v>
      </c>
      <c r="G6" s="715" t="s">
        <v>140</v>
      </c>
      <c r="H6" s="715" t="s">
        <v>141</v>
      </c>
      <c r="I6" s="715" t="s">
        <v>142</v>
      </c>
      <c r="J6" s="715" t="s">
        <v>143</v>
      </c>
      <c r="K6" s="715" t="s">
        <v>144</v>
      </c>
    </row>
    <row r="7" spans="4:11" ht="23.25" customHeight="1" x14ac:dyDescent="0.25">
      <c r="D7" s="743" t="s">
        <v>23</v>
      </c>
      <c r="E7" s="510"/>
      <c r="F7" s="427">
        <f>SUMPRODUCT(((LEFT(BalanceN!$A$4:$A$9999,2)="42"))*BalanceN!$G$4:$G$9999)</f>
        <v>16921663</v>
      </c>
      <c r="G7" s="427">
        <f>SUMPRODUCT(((LEFT(BalanceN!$A$4:$A$9999,2)="42"))*BalanceN!$C$4:$C$9999)</f>
        <v>1280286</v>
      </c>
      <c r="H7" s="744">
        <f>IF(G7=0,"-",(F7-G7)/G7)</f>
        <v>12.21709602385717</v>
      </c>
      <c r="I7" s="427">
        <f>F7-J7-K7</f>
        <v>16921663</v>
      </c>
      <c r="J7" s="155"/>
      <c r="K7" s="155"/>
    </row>
    <row r="8" spans="4:11" ht="23.25" customHeight="1" x14ac:dyDescent="0.25">
      <c r="D8" s="2021" t="s">
        <v>209</v>
      </c>
      <c r="E8" s="2025"/>
      <c r="F8" s="427">
        <f>SUMPRODUCT(((LEFT(BalanceN!$A$4:$A$9999,2)="43"))*BalanceN!$G$4:$G$9999)</f>
        <v>0</v>
      </c>
      <c r="G8" s="427">
        <f>SUMPRODUCT(((LEFT(BalanceN!$A$4:$A$9999,2)="43"))*BalanceN!$C$4:$C$9999)</f>
        <v>0</v>
      </c>
      <c r="H8" s="744" t="str">
        <f t="shared" ref="H8:H19" si="0">IF(G8=0,"-",(F8-G8)/G8)</f>
        <v>-</v>
      </c>
      <c r="I8" s="427">
        <f t="shared" ref="I8:I16" si="1">F8-J8-K8</f>
        <v>0</v>
      </c>
      <c r="J8" s="155"/>
      <c r="K8" s="135"/>
    </row>
    <row r="9" spans="4:11" ht="23.25" customHeight="1" x14ac:dyDescent="0.25">
      <c r="D9" s="2021" t="s">
        <v>199</v>
      </c>
      <c r="E9" s="2025"/>
      <c r="F9" s="427">
        <f>SUMPRODUCT(((LEFT(BalanceN!$A$4:$A$9999,2)="44"))*BalanceN!$G$4:$G$9999)</f>
        <v>0</v>
      </c>
      <c r="G9" s="427">
        <f>SUMPRODUCT(((LEFT(BalanceN!$A$4:$A$9999,2)="44"))*BalanceN!$C$4:$C$9999)</f>
        <v>0</v>
      </c>
      <c r="H9" s="744" t="str">
        <f t="shared" si="0"/>
        <v>-</v>
      </c>
      <c r="I9" s="427">
        <f t="shared" si="1"/>
        <v>0</v>
      </c>
      <c r="J9" s="155"/>
      <c r="K9" s="135"/>
    </row>
    <row r="10" spans="4:11" ht="21" customHeight="1" x14ac:dyDescent="0.25">
      <c r="D10" s="2023" t="s">
        <v>200</v>
      </c>
      <c r="E10" s="2190"/>
      <c r="F10" s="427">
        <f>SUMPRODUCT(((LEFT(BalanceN!$A$4:$A$9999,2)="45"))*BalanceN!$G$4:$G$9999)</f>
        <v>0</v>
      </c>
      <c r="G10" s="427">
        <f>SUMPRODUCT(((LEFT(BalanceN!$A$4:$A$9999,2)="45"))*BalanceN!$C$4:$C$9999)</f>
        <v>0</v>
      </c>
      <c r="H10" s="744" t="str">
        <f t="shared" si="0"/>
        <v>-</v>
      </c>
      <c r="I10" s="427">
        <f t="shared" si="1"/>
        <v>0</v>
      </c>
      <c r="J10" s="155"/>
      <c r="K10" s="135"/>
    </row>
    <row r="11" spans="4:11" ht="21" customHeight="1" x14ac:dyDescent="0.25">
      <c r="D11" s="504" t="s">
        <v>201</v>
      </c>
      <c r="E11" s="510"/>
      <c r="F11" s="427">
        <f>SUMPRODUCT(((LEFT(BalanceN!$A$4:$A$9999,2)="46"))*BalanceN!$G$4:$G$9999)</f>
        <v>20000000</v>
      </c>
      <c r="G11" s="427">
        <f>SUMPRODUCT(((LEFT(BalanceN!$A$4:$A$9999,2)="46"))*BalanceN!$C$4:$C$9999)</f>
        <v>0</v>
      </c>
      <c r="H11" s="744" t="str">
        <f t="shared" si="0"/>
        <v>-</v>
      </c>
      <c r="I11" s="427">
        <f>F11-J11-K11</f>
        <v>20000000</v>
      </c>
      <c r="J11" s="155"/>
      <c r="K11" s="135"/>
    </row>
    <row r="12" spans="4:11" ht="30.75" customHeight="1" x14ac:dyDescent="0.25">
      <c r="D12" s="2021" t="s">
        <v>202</v>
      </c>
      <c r="E12" s="2025"/>
      <c r="F12" s="427">
        <f>SUMPRODUCT(((LEFT(BalanceN!$A$4:$A$9999,3)="475"))*BalanceN!$G$4:$G$9999)</f>
        <v>0</v>
      </c>
      <c r="G12" s="427">
        <f>SUMPRODUCT(((LEFT(BalanceN!$A$4:$A$9999,3)="475"))*BalanceN!$C$4:$C$9999)</f>
        <v>0</v>
      </c>
      <c r="H12" s="744" t="str">
        <f t="shared" si="0"/>
        <v>-</v>
      </c>
      <c r="I12" s="427">
        <f t="shared" si="1"/>
        <v>0</v>
      </c>
      <c r="J12" s="155"/>
      <c r="K12" s="135"/>
    </row>
    <row r="13" spans="4:11" ht="21" customHeight="1" x14ac:dyDescent="0.25">
      <c r="D13" s="504" t="s">
        <v>203</v>
      </c>
      <c r="E13" s="510"/>
      <c r="F13" s="427">
        <f>SUMPRODUCT(((LEFT(BalanceN!$A$4:$A$9999,3)="471"))*BalanceN!$G$4:$G$9999)</f>
        <v>0</v>
      </c>
      <c r="G13" s="427">
        <f>SUMPRODUCT(((LEFT(BalanceN!$A$4:$A$9999,3)="471"))*BalanceN!$C$4:$C$9999)</f>
        <v>450000</v>
      </c>
      <c r="H13" s="744">
        <f t="shared" si="0"/>
        <v>-1</v>
      </c>
      <c r="I13" s="427">
        <f t="shared" si="1"/>
        <v>0</v>
      </c>
      <c r="J13" s="155"/>
      <c r="K13" s="135"/>
    </row>
    <row r="14" spans="4:11" ht="30" customHeight="1" x14ac:dyDescent="0.25">
      <c r="D14" s="2021" t="s">
        <v>204</v>
      </c>
      <c r="E14" s="2025"/>
      <c r="F14" s="427">
        <f>SUMPRODUCT(((LEFT(BalanceN!$A$4:$A$9999,3)="185"))*BalanceN!$G$4:$G$9999)</f>
        <v>0</v>
      </c>
      <c r="G14" s="427">
        <f>SUMPRODUCT(((LEFT(BalanceN!$A$4:$A$9999,3)="185"))*BalanceN!$C$4:$C$9999)</f>
        <v>0</v>
      </c>
      <c r="H14" s="744" t="str">
        <f t="shared" si="0"/>
        <v>-</v>
      </c>
      <c r="I14" s="427">
        <f t="shared" si="1"/>
        <v>0</v>
      </c>
      <c r="J14" s="155"/>
      <c r="K14" s="135"/>
    </row>
    <row r="15" spans="4:11" ht="21" customHeight="1" x14ac:dyDescent="0.25">
      <c r="D15" s="504" t="s">
        <v>205</v>
      </c>
      <c r="E15" s="510"/>
      <c r="F15" s="427">
        <f>SUMPRODUCT(((LEFT(BalanceN!$A$4:$A$9999,3)="186")+(LEFT(BalanceN!$A$4:$A$9999,3)="187"))*BalanceN!$G$4:$G$9999)</f>
        <v>0</v>
      </c>
      <c r="G15" s="427">
        <f>SUMPRODUCT(((LEFT(BalanceN!$A$4:$A$9999,3)="186")+(LEFT(BalanceN!$A$4:$A$9999,3)="187"))*BalanceN!$C$4:$C$9999)</f>
        <v>0</v>
      </c>
      <c r="H15" s="744" t="str">
        <f t="shared" si="0"/>
        <v>-</v>
      </c>
      <c r="I15" s="427">
        <f t="shared" si="1"/>
        <v>0</v>
      </c>
      <c r="J15" s="155"/>
      <c r="K15" s="135"/>
    </row>
    <row r="16" spans="4:11" ht="21" customHeight="1" x14ac:dyDescent="0.25">
      <c r="D16" s="504" t="s">
        <v>1054</v>
      </c>
      <c r="E16" s="510"/>
      <c r="F16" s="427">
        <f>SUMPRODUCT(((LEFT(BalanceN!$A$4:$A$9999,3)="476"))*BalanceN!$G$4:$G$9999)</f>
        <v>1263864</v>
      </c>
      <c r="G16" s="427">
        <f>SUMPRODUCT(((LEFT(BalanceN!$A$4:$A$9999,3)="476"))*BalanceN!$C$4:$C$9999)</f>
        <v>1398099</v>
      </c>
      <c r="H16" s="744">
        <f t="shared" si="0"/>
        <v>-9.6012514135265098E-2</v>
      </c>
      <c r="I16" s="427">
        <f t="shared" si="1"/>
        <v>1263864</v>
      </c>
      <c r="J16" s="155"/>
      <c r="K16" s="135"/>
    </row>
    <row r="17" spans="1:14" s="685" customFormat="1" ht="21.75" customHeight="1" x14ac:dyDescent="0.25">
      <c r="A17" s="546"/>
      <c r="B17" s="546"/>
      <c r="C17" s="546"/>
      <c r="D17" s="2026" t="s">
        <v>207</v>
      </c>
      <c r="E17" s="2028"/>
      <c r="F17" s="735">
        <f>SUM(F7:F16)</f>
        <v>38185527</v>
      </c>
      <c r="G17" s="735">
        <f>SUM(G7:G16)</f>
        <v>3128385</v>
      </c>
      <c r="H17" s="736">
        <f t="shared" si="0"/>
        <v>11.206146941632824</v>
      </c>
      <c r="I17" s="735">
        <f>SUM(I7:I16)</f>
        <v>38185527</v>
      </c>
      <c r="J17" s="735">
        <f>SUM(J7:J16)</f>
        <v>0</v>
      </c>
      <c r="K17" s="735">
        <f>SUM(K7:K16)</f>
        <v>0</v>
      </c>
      <c r="L17" s="546"/>
      <c r="M17" s="546"/>
      <c r="N17" s="546"/>
    </row>
    <row r="18" spans="1:14" ht="21" customHeight="1" x14ac:dyDescent="0.25">
      <c r="D18" s="504" t="s">
        <v>208</v>
      </c>
      <c r="E18" s="510"/>
      <c r="F18" s="427">
        <f>SUMPRODUCT(((LEFT(BalanceN!$A$4:$A$9999,3)="492")+(LEFT(BalanceN!$A$4:$A$9999,3)="493")+(LEFT(BalanceN!$A$4:$A$9999,3)="494")+(LEFT(BalanceN!$A$4:$A$9999,3)="495")+(LEFT(BalanceN!$A$4:$A$9999,3)="496")+(LEFT(BalanceN!$A$4:$A$9999,3)="497"))*BalanceN!$H$4:$H$9999)</f>
        <v>0</v>
      </c>
      <c r="G18" s="427">
        <f>SUMPRODUCT(((LEFT(BalanceN!$A$4:$A$9999,3)="492")+(LEFT(BalanceN!$A$4:$A$9999,3)="493")+(LEFT(BalanceN!$A$4:$A$9999,3)="494")+(LEFT(BalanceN!$A$4:$A$9999,3)="495")+(LEFT(BalanceN!$A$4:$A$9999,3)="496")+(LEFT(BalanceN!$A$4:$A$9999,3)="497"))*BalanceN!$D$4:$D$9999)</f>
        <v>0</v>
      </c>
      <c r="H18" s="744" t="str">
        <f>IF(G18=0,"-",(F18-G18)/G18)</f>
        <v>-</v>
      </c>
      <c r="I18" s="427">
        <f>F18-J18-K18</f>
        <v>0</v>
      </c>
      <c r="J18" s="155"/>
      <c r="K18" s="135"/>
    </row>
    <row r="19" spans="1:14" s="685" customFormat="1" ht="21" customHeight="1" x14ac:dyDescent="0.25">
      <c r="A19" s="546"/>
      <c r="B19" s="546"/>
      <c r="C19" s="546"/>
      <c r="D19" s="2186" t="s">
        <v>154</v>
      </c>
      <c r="E19" s="2187"/>
      <c r="F19" s="735">
        <f>+F17-F18</f>
        <v>38185527</v>
      </c>
      <c r="G19" s="735">
        <f>+G17-G18</f>
        <v>3128385</v>
      </c>
      <c r="H19" s="736">
        <f t="shared" si="0"/>
        <v>11.206146941632824</v>
      </c>
      <c r="I19" s="735">
        <f>+I17-I18</f>
        <v>38185527</v>
      </c>
      <c r="J19" s="735">
        <f>+J17-J18</f>
        <v>0</v>
      </c>
      <c r="K19" s="735">
        <f>+K17-K18</f>
        <v>0</v>
      </c>
      <c r="L19" s="546"/>
      <c r="M19" s="546"/>
      <c r="N19" s="546"/>
    </row>
    <row r="20" spans="1:14" x14ac:dyDescent="0.25"/>
    <row r="21" spans="1:14" x14ac:dyDescent="0.25">
      <c r="D21" s="721" t="s">
        <v>1348</v>
      </c>
    </row>
    <row r="22" spans="1:14" x14ac:dyDescent="0.25">
      <c r="D22" s="2143"/>
      <c r="E22" s="2143"/>
      <c r="F22" s="2143"/>
      <c r="G22" s="2143"/>
      <c r="H22" s="2143"/>
      <c r="I22" s="2143"/>
      <c r="J22" s="2143"/>
      <c r="K22" s="2143"/>
    </row>
    <row r="23" spans="1:14" x14ac:dyDescent="0.25">
      <c r="D23" s="2143"/>
      <c r="E23" s="2143"/>
      <c r="F23" s="2143"/>
      <c r="G23" s="2143"/>
      <c r="H23" s="2143"/>
      <c r="I23" s="2143"/>
      <c r="J23" s="2143"/>
      <c r="K23" s="2143"/>
    </row>
    <row r="24" spans="1:14" x14ac:dyDescent="0.25">
      <c r="D24" s="2143"/>
      <c r="E24" s="2143"/>
      <c r="F24" s="2143"/>
      <c r="G24" s="2143"/>
      <c r="H24" s="2143"/>
      <c r="I24" s="2143"/>
      <c r="J24" s="2143"/>
      <c r="K24" s="2143"/>
    </row>
    <row r="25" spans="1:14" x14ac:dyDescent="0.25">
      <c r="D25" s="2143"/>
      <c r="E25" s="2143"/>
      <c r="F25" s="2143"/>
      <c r="G25" s="2143"/>
      <c r="H25" s="2143"/>
      <c r="I25" s="2143"/>
      <c r="J25" s="2143"/>
      <c r="K25" s="2143"/>
    </row>
    <row r="26" spans="1:14" x14ac:dyDescent="0.25">
      <c r="D26" s="2143"/>
      <c r="E26" s="2143"/>
      <c r="F26" s="2143"/>
      <c r="G26" s="2143"/>
      <c r="H26" s="2143"/>
      <c r="I26" s="2143"/>
      <c r="J26" s="2143"/>
      <c r="K26" s="2143"/>
    </row>
    <row r="27" spans="1:14" x14ac:dyDescent="0.25">
      <c r="D27" s="2143"/>
      <c r="E27" s="2143"/>
      <c r="F27" s="2143"/>
      <c r="G27" s="2143"/>
      <c r="H27" s="2143"/>
      <c r="I27" s="2143"/>
      <c r="J27" s="2143"/>
      <c r="K27" s="2143"/>
    </row>
    <row r="28" spans="1:14" x14ac:dyDescent="0.25">
      <c r="D28" s="2143"/>
      <c r="E28" s="2143"/>
      <c r="F28" s="2143"/>
      <c r="G28" s="2143"/>
      <c r="H28" s="2143"/>
      <c r="I28" s="2143"/>
      <c r="J28" s="2143"/>
      <c r="K28" s="2143"/>
    </row>
    <row r="29" spans="1:14" x14ac:dyDescent="0.25">
      <c r="D29" s="2143"/>
      <c r="E29" s="2143"/>
      <c r="F29" s="2143"/>
      <c r="G29" s="2143"/>
      <c r="H29" s="2143"/>
      <c r="I29" s="2143"/>
      <c r="J29" s="2143"/>
      <c r="K29" s="2143"/>
    </row>
    <row r="30" spans="1:14" x14ac:dyDescent="0.25">
      <c r="D30" s="2143"/>
      <c r="E30" s="2143"/>
      <c r="F30" s="2143"/>
      <c r="G30" s="2143"/>
      <c r="H30" s="2143"/>
      <c r="I30" s="2143"/>
      <c r="J30" s="2143"/>
      <c r="K30" s="2143"/>
    </row>
    <row r="31" spans="1:14" s="537" customFormat="1" x14ac:dyDescent="0.25">
      <c r="H31" s="737"/>
    </row>
    <row r="32" spans="1:14" s="537" customFormat="1" x14ac:dyDescent="0.25">
      <c r="H32" s="737"/>
    </row>
    <row r="33" spans="8:8" s="537" customFormat="1" x14ac:dyDescent="0.25">
      <c r="H33" s="737"/>
    </row>
    <row r="34" spans="8:8" s="537" customFormat="1" x14ac:dyDescent="0.25">
      <c r="H34" s="737"/>
    </row>
    <row r="35" spans="8:8" s="537" customFormat="1" x14ac:dyDescent="0.25">
      <c r="H35" s="737"/>
    </row>
    <row r="36" spans="8:8" s="537" customFormat="1" x14ac:dyDescent="0.25">
      <c r="H36" s="737"/>
    </row>
    <row r="37" spans="8:8" s="537" customFormat="1" x14ac:dyDescent="0.25">
      <c r="H37" s="737"/>
    </row>
    <row r="38" spans="8:8" s="537" customFormat="1" x14ac:dyDescent="0.25">
      <c r="H38" s="737"/>
    </row>
    <row r="39" spans="8:8" s="537" customFormat="1" x14ac:dyDescent="0.25">
      <c r="H39" s="737"/>
    </row>
    <row r="40" spans="8:8" s="537" customFormat="1" x14ac:dyDescent="0.25">
      <c r="H40" s="737"/>
    </row>
    <row r="41" spans="8:8" s="537" customFormat="1" x14ac:dyDescent="0.25">
      <c r="H41" s="737"/>
    </row>
    <row r="42" spans="8:8" s="537" customFormat="1" x14ac:dyDescent="0.25">
      <c r="H42" s="737"/>
    </row>
    <row r="43" spans="8:8" s="537" customFormat="1" x14ac:dyDescent="0.25">
      <c r="H43" s="737"/>
    </row>
    <row r="44" spans="8:8" s="537" customFormat="1" x14ac:dyDescent="0.25">
      <c r="H44" s="737"/>
    </row>
    <row r="45" spans="8:8" s="537" customFormat="1" x14ac:dyDescent="0.25">
      <c r="H45" s="737"/>
    </row>
    <row r="46" spans="8:8" s="537" customFormat="1" x14ac:dyDescent="0.25">
      <c r="H46" s="737"/>
    </row>
    <row r="47" spans="8:8" s="537" customFormat="1" x14ac:dyDescent="0.25">
      <c r="H47" s="737"/>
    </row>
    <row r="48" spans="8:8" s="537" customFormat="1" x14ac:dyDescent="0.25">
      <c r="H48" s="737"/>
    </row>
    <row r="49" spans="8:8" s="537" customFormat="1" x14ac:dyDescent="0.25">
      <c r="H49" s="737"/>
    </row>
    <row r="50" spans="8:8" s="537" customFormat="1" x14ac:dyDescent="0.25">
      <c r="H50" s="737"/>
    </row>
    <row r="51" spans="8:8" s="537" customFormat="1" x14ac:dyDescent="0.25">
      <c r="H51" s="737"/>
    </row>
    <row r="52" spans="8:8" s="537" customFormat="1" x14ac:dyDescent="0.25">
      <c r="H52" s="737"/>
    </row>
    <row r="53" spans="8:8" s="537" customFormat="1" x14ac:dyDescent="0.25">
      <c r="H53" s="737"/>
    </row>
  </sheetData>
  <sheetProtection algorithmName="SHA-512" hashValue="bNawwnCA404UOzeHgJNuudnNc4Y4rLggLUS8UqwyW0tUXtciC/X92ttCkrskbu81epLAi5u0QnZZZ8idlNqeDQ==" saltValue="AuXdJzj8LD73eDouHWS3Ug==" spinCount="100000" sheet="1" formatCells="0" formatColumns="0" formatRows="0" pivotTables="0"/>
  <mergeCells count="12">
    <mergeCell ref="D22:K30"/>
    <mergeCell ref="D10:E10"/>
    <mergeCell ref="D17:E17"/>
    <mergeCell ref="D19:E19"/>
    <mergeCell ref="D12:E12"/>
    <mergeCell ref="D14:E14"/>
    <mergeCell ref="D9:E9"/>
    <mergeCell ref="D1:K1"/>
    <mergeCell ref="I3:J3"/>
    <mergeCell ref="I4:J4"/>
    <mergeCell ref="D6:E6"/>
    <mergeCell ref="D8:E8"/>
  </mergeCells>
  <printOptions horizontalCentered="1"/>
  <pageMargins left="0" right="0.11811023622047245" top="0" bottom="0.35433070866141736" header="0.31496062992125984" footer="0.31496062992125984"/>
  <pageSetup paperSize="9" scale="8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4">
    <tabColor rgb="FFFF0000"/>
  </sheetPr>
  <dimension ref="A1:Q1387"/>
  <sheetViews>
    <sheetView topLeftCell="A7" zoomScaleNormal="100" workbookViewId="0">
      <selection activeCell="H36" sqref="H36"/>
    </sheetView>
  </sheetViews>
  <sheetFormatPr baseColWidth="10" defaultColWidth="0" defaultRowHeight="15" zeroHeight="1" x14ac:dyDescent="0.25"/>
  <cols>
    <col min="1" max="1" width="40.140625" style="125" customWidth="1"/>
    <col min="2" max="2" width="18.28515625" style="121" customWidth="1"/>
    <col min="3" max="3" width="7" style="121" customWidth="1"/>
    <col min="4" max="4" width="14.140625" style="121" customWidth="1"/>
    <col min="5" max="5" width="18.42578125" style="121" customWidth="1"/>
    <col min="6" max="6" width="15.28515625" style="121" customWidth="1"/>
    <col min="7" max="17" width="0" style="120" hidden="1" customWidth="1"/>
    <col min="18" max="16384" width="11.42578125" style="120" hidden="1"/>
  </cols>
  <sheetData>
    <row r="1" spans="1:6" s="246" customFormat="1" x14ac:dyDescent="0.25">
      <c r="F1" s="248"/>
    </row>
    <row r="2" spans="1:6" x14ac:dyDescent="0.25">
      <c r="A2" s="261" t="s">
        <v>1111</v>
      </c>
      <c r="B2" s="1735" t="s">
        <v>798</v>
      </c>
      <c r="C2" s="1735"/>
      <c r="D2" s="211" t="s">
        <v>1359</v>
      </c>
      <c r="E2" s="263"/>
      <c r="F2" s="248"/>
    </row>
    <row r="3" spans="1:6" x14ac:dyDescent="0.25">
      <c r="A3" s="261" t="s">
        <v>1112</v>
      </c>
      <c r="B3" s="211" t="s">
        <v>1114</v>
      </c>
      <c r="C3" s="211"/>
      <c r="D3" s="211"/>
      <c r="E3" s="211"/>
      <c r="F3" s="251"/>
    </row>
    <row r="4" spans="1:6" x14ac:dyDescent="0.25">
      <c r="A4" s="261" t="s">
        <v>1113</v>
      </c>
      <c r="B4" s="1735" t="s">
        <v>1272</v>
      </c>
      <c r="C4" s="1735"/>
      <c r="D4" s="1735"/>
      <c r="E4" s="1735"/>
      <c r="F4" s="251"/>
    </row>
    <row r="5" spans="1:6" x14ac:dyDescent="0.25">
      <c r="A5" s="262" t="s">
        <v>1110</v>
      </c>
      <c r="B5" s="1735" t="s">
        <v>1576</v>
      </c>
      <c r="C5" s="1735"/>
      <c r="D5" s="1735"/>
      <c r="E5" s="1735"/>
      <c r="F5" s="248"/>
    </row>
    <row r="6" spans="1:6" x14ac:dyDescent="0.25">
      <c r="A6" s="262" t="s">
        <v>1685</v>
      </c>
      <c r="B6" s="292" t="s">
        <v>1686</v>
      </c>
      <c r="C6" s="211" t="str">
        <f>IF(B6="RNI","Régime Normal d'Imposition","Régime Simplifié d'Imposition")</f>
        <v>Régime Simplifié d'Imposition</v>
      </c>
      <c r="D6" s="211"/>
      <c r="E6" s="211"/>
      <c r="F6" s="248"/>
    </row>
    <row r="7" spans="1:6" x14ac:dyDescent="0.25">
      <c r="A7" s="293" t="s">
        <v>1687</v>
      </c>
      <c r="B7" s="294" t="s">
        <v>1688</v>
      </c>
      <c r="C7" s="216"/>
      <c r="D7" s="275"/>
      <c r="E7" s="275"/>
      <c r="F7" s="248"/>
    </row>
    <row r="8" spans="1:6" x14ac:dyDescent="0.25">
      <c r="A8" s="295" t="s">
        <v>1689</v>
      </c>
      <c r="B8" s="296" t="s">
        <v>1688</v>
      </c>
      <c r="C8" s="216"/>
      <c r="D8" s="275"/>
      <c r="E8" s="275"/>
      <c r="F8" s="248"/>
    </row>
    <row r="9" spans="1:6" s="246" customFormat="1" x14ac:dyDescent="0.25">
      <c r="E9" s="297"/>
      <c r="F9" s="248"/>
    </row>
    <row r="10" spans="1:6" x14ac:dyDescent="0.25">
      <c r="A10" s="256" t="s">
        <v>45</v>
      </c>
      <c r="B10" s="211" t="s">
        <v>1365</v>
      </c>
      <c r="C10" s="251"/>
      <c r="D10" s="251"/>
      <c r="E10" s="238"/>
      <c r="F10" s="251"/>
    </row>
    <row r="11" spans="1:6" x14ac:dyDescent="0.25">
      <c r="A11" s="256" t="s">
        <v>46</v>
      </c>
      <c r="B11" s="211" t="s">
        <v>1365</v>
      </c>
      <c r="C11" s="251"/>
      <c r="D11" s="251"/>
      <c r="E11" s="238"/>
      <c r="F11" s="238"/>
    </row>
    <row r="12" spans="1:6" x14ac:dyDescent="0.25">
      <c r="A12" s="256" t="s">
        <v>1346</v>
      </c>
      <c r="B12" s="252" t="s">
        <v>3972</v>
      </c>
      <c r="C12" s="251"/>
      <c r="D12" s="251"/>
      <c r="E12" s="238"/>
      <c r="F12" s="238"/>
    </row>
    <row r="13" spans="1:6" x14ac:dyDescent="0.25">
      <c r="A13" s="256" t="s">
        <v>1601</v>
      </c>
      <c r="B13" s="252" t="s">
        <v>1696</v>
      </c>
      <c r="C13" s="251"/>
      <c r="D13" s="251"/>
      <c r="E13" s="238"/>
      <c r="F13" s="238"/>
    </row>
    <row r="14" spans="1:6" x14ac:dyDescent="0.25">
      <c r="A14" s="256" t="s">
        <v>264</v>
      </c>
      <c r="B14" s="252"/>
      <c r="C14" s="251"/>
      <c r="D14" s="251"/>
      <c r="E14" s="254"/>
      <c r="F14" s="238"/>
    </row>
    <row r="15" spans="1:6" x14ac:dyDescent="0.25">
      <c r="A15" s="256" t="s">
        <v>1600</v>
      </c>
      <c r="B15" s="279">
        <v>41269</v>
      </c>
      <c r="C15" s="251"/>
      <c r="D15" s="251"/>
      <c r="E15" s="254"/>
      <c r="F15" s="238"/>
    </row>
    <row r="16" spans="1:6" x14ac:dyDescent="0.25">
      <c r="A16" s="256" t="s">
        <v>1290</v>
      </c>
      <c r="B16" s="277" t="s">
        <v>1599</v>
      </c>
      <c r="C16" s="123"/>
      <c r="D16" s="277" t="s">
        <v>1598</v>
      </c>
      <c r="E16" s="277" t="s">
        <v>1270</v>
      </c>
      <c r="F16" s="123" t="s">
        <v>1597</v>
      </c>
    </row>
    <row r="17" spans="1:6" ht="17.25" x14ac:dyDescent="0.25">
      <c r="A17" s="272"/>
      <c r="B17" s="124" t="s">
        <v>1281</v>
      </c>
      <c r="C17" s="124" t="s">
        <v>796</v>
      </c>
      <c r="D17" s="124" t="s">
        <v>1142</v>
      </c>
      <c r="E17" s="253" t="s">
        <v>1143</v>
      </c>
      <c r="F17" s="253" t="s">
        <v>1144</v>
      </c>
    </row>
    <row r="18" spans="1:6" ht="17.25" x14ac:dyDescent="0.25">
      <c r="A18" s="256" t="s">
        <v>50</v>
      </c>
      <c r="B18" s="267" t="s">
        <v>1289</v>
      </c>
      <c r="C18" s="124"/>
      <c r="D18" s="124"/>
      <c r="E18" s="253"/>
      <c r="F18" s="253"/>
    </row>
    <row r="19" spans="1:6" x14ac:dyDescent="0.25">
      <c r="A19" s="256" t="s">
        <v>1370</v>
      </c>
      <c r="B19" s="267" t="s">
        <v>47</v>
      </c>
      <c r="C19" s="268" t="s">
        <v>48</v>
      </c>
      <c r="D19" s="269">
        <v>5358</v>
      </c>
      <c r="E19" s="270" t="s">
        <v>1587</v>
      </c>
      <c r="F19" s="271" t="s">
        <v>47</v>
      </c>
    </row>
    <row r="20" spans="1:6" ht="17.25" x14ac:dyDescent="0.25">
      <c r="A20" s="273"/>
      <c r="B20" s="124" t="s">
        <v>49</v>
      </c>
      <c r="C20" s="122"/>
      <c r="D20" s="124" t="s">
        <v>1586</v>
      </c>
      <c r="E20" s="253" t="s">
        <v>50</v>
      </c>
      <c r="F20" s="253" t="s">
        <v>1588</v>
      </c>
    </row>
    <row r="21" spans="1:6" ht="17.25" x14ac:dyDescent="0.25">
      <c r="A21" s="256" t="s">
        <v>1367</v>
      </c>
      <c r="B21" s="278"/>
      <c r="C21" s="249"/>
      <c r="D21" s="247"/>
      <c r="E21" s="264"/>
      <c r="F21" s="265"/>
    </row>
    <row r="22" spans="1:6" ht="16.5" customHeight="1" x14ac:dyDescent="0.25">
      <c r="A22" s="256" t="s">
        <v>1126</v>
      </c>
      <c r="B22" s="215"/>
      <c r="C22" s="249"/>
      <c r="D22" s="247"/>
      <c r="E22" s="247"/>
      <c r="F22" s="249"/>
    </row>
    <row r="23" spans="1:6" x14ac:dyDescent="0.25">
      <c r="A23" s="256" t="s">
        <v>1579</v>
      </c>
      <c r="B23" s="215"/>
      <c r="C23" s="251"/>
      <c r="D23" s="251"/>
      <c r="E23" s="251"/>
      <c r="F23" s="249"/>
    </row>
    <row r="24" spans="1:6" x14ac:dyDescent="0.25">
      <c r="A24" s="256" t="s">
        <v>1578</v>
      </c>
      <c r="B24" s="255" t="s">
        <v>1366</v>
      </c>
      <c r="C24" s="120"/>
      <c r="D24" s="256" t="s">
        <v>3981</v>
      </c>
      <c r="E24" s="256"/>
      <c r="F24" s="255" t="s">
        <v>4468</v>
      </c>
    </row>
    <row r="25" spans="1:6" x14ac:dyDescent="0.25">
      <c r="A25" s="256" t="s">
        <v>1577</v>
      </c>
      <c r="B25" s="215"/>
      <c r="C25" s="251"/>
      <c r="D25" s="251"/>
      <c r="E25" s="251"/>
      <c r="F25" s="248"/>
    </row>
    <row r="26" spans="1:6" ht="15.75" thickBot="1" x14ac:dyDescent="0.3">
      <c r="A26" s="256" t="s">
        <v>1590</v>
      </c>
      <c r="B26" s="213"/>
      <c r="C26" s="242"/>
      <c r="D26" s="243"/>
      <c r="E26" s="244"/>
      <c r="F26" s="245"/>
    </row>
    <row r="27" spans="1:6" ht="15.75" thickBot="1" x14ac:dyDescent="0.3">
      <c r="A27" s="219" t="s">
        <v>1368</v>
      </c>
      <c r="B27" s="214"/>
      <c r="C27" s="214"/>
      <c r="D27" s="214"/>
      <c r="E27" s="214"/>
      <c r="F27" s="214"/>
    </row>
    <row r="28" spans="1:6" x14ac:dyDescent="0.25">
      <c r="A28" s="256" t="s">
        <v>1589</v>
      </c>
      <c r="B28" s="214"/>
      <c r="C28" s="242"/>
      <c r="D28" s="243"/>
      <c r="E28" s="244"/>
      <c r="F28" s="245"/>
    </row>
    <row r="29" spans="1:6" s="246" customFormat="1" x14ac:dyDescent="0.25"/>
    <row r="30" spans="1:6" ht="17.25" x14ac:dyDescent="0.25">
      <c r="A30" s="256" t="s">
        <v>1580</v>
      </c>
      <c r="B30" s="214">
        <v>2018</v>
      </c>
      <c r="C30" s="250"/>
      <c r="D30" s="247"/>
      <c r="E30" s="247"/>
      <c r="F30" s="249"/>
    </row>
    <row r="31" spans="1:6" x14ac:dyDescent="0.25">
      <c r="A31" s="258" t="s">
        <v>1582</v>
      </c>
      <c r="B31" s="266">
        <v>43101</v>
      </c>
      <c r="C31" s="212" t="s">
        <v>51</v>
      </c>
      <c r="D31" s="106">
        <v>43465</v>
      </c>
      <c r="E31" s="237" t="s">
        <v>1584</v>
      </c>
      <c r="F31" s="105">
        <v>12</v>
      </c>
    </row>
    <row r="32" spans="1:6" x14ac:dyDescent="0.25">
      <c r="A32" s="256" t="s">
        <v>1585</v>
      </c>
      <c r="B32" s="266">
        <v>43465</v>
      </c>
      <c r="C32" s="242"/>
      <c r="D32" s="243"/>
      <c r="E32" s="244"/>
      <c r="F32" s="245"/>
    </row>
    <row r="33" spans="1:6" x14ac:dyDescent="0.25">
      <c r="A33" s="259" t="s">
        <v>1583</v>
      </c>
      <c r="B33" s="266">
        <v>43100</v>
      </c>
      <c r="C33" s="238"/>
      <c r="D33" s="239"/>
      <c r="E33" s="240"/>
      <c r="F33" s="240"/>
    </row>
    <row r="34" spans="1:6" x14ac:dyDescent="0.25">
      <c r="A34" s="257" t="s">
        <v>1582</v>
      </c>
      <c r="B34" s="266">
        <v>42736</v>
      </c>
      <c r="C34" s="221" t="s">
        <v>51</v>
      </c>
      <c r="D34" s="106">
        <v>43100</v>
      </c>
      <c r="E34" s="237" t="s">
        <v>1581</v>
      </c>
      <c r="F34" s="108">
        <v>12</v>
      </c>
    </row>
    <row r="35" spans="1:6" s="246" customFormat="1" x14ac:dyDescent="0.25">
      <c r="A35" s="254"/>
      <c r="B35" s="243"/>
      <c r="C35" s="238"/>
      <c r="D35" s="243"/>
      <c r="E35" s="240"/>
      <c r="F35" s="245"/>
    </row>
    <row r="36" spans="1:6" x14ac:dyDescent="0.25">
      <c r="A36" s="236" t="s">
        <v>1160</v>
      </c>
      <c r="B36" s="107"/>
      <c r="C36" s="221"/>
      <c r="D36" s="107"/>
      <c r="E36" s="237"/>
      <c r="F36" s="237"/>
    </row>
    <row r="37" spans="1:6" ht="17.25" x14ac:dyDescent="0.25">
      <c r="A37" s="236"/>
      <c r="B37" s="253" t="s">
        <v>1591</v>
      </c>
      <c r="C37" s="221"/>
      <c r="D37" s="253" t="s">
        <v>1162</v>
      </c>
      <c r="E37" s="237"/>
      <c r="F37" s="237"/>
    </row>
    <row r="38" spans="1:6" x14ac:dyDescent="0.25">
      <c r="A38" s="236"/>
      <c r="B38" s="107"/>
      <c r="C38" s="221"/>
      <c r="D38" s="107"/>
      <c r="E38" s="237"/>
      <c r="F38" s="237"/>
    </row>
    <row r="39" spans="1:6" ht="17.25" x14ac:dyDescent="0.25">
      <c r="A39" s="236"/>
      <c r="B39" s="253" t="s">
        <v>1592</v>
      </c>
      <c r="C39" s="221"/>
      <c r="D39" s="253" t="s">
        <v>1162</v>
      </c>
      <c r="E39" s="237"/>
      <c r="F39" s="237"/>
    </row>
    <row r="40" spans="1:6" x14ac:dyDescent="0.25">
      <c r="A40" s="236"/>
      <c r="B40" s="107"/>
      <c r="C40" s="221"/>
      <c r="D40" s="107"/>
      <c r="E40" s="237"/>
      <c r="F40" s="237"/>
    </row>
    <row r="41" spans="1:6" ht="17.25" x14ac:dyDescent="0.25">
      <c r="A41" s="236"/>
      <c r="B41" s="253" t="s">
        <v>1593</v>
      </c>
      <c r="C41" s="221"/>
      <c r="D41" s="253" t="s">
        <v>1162</v>
      </c>
      <c r="E41" s="237"/>
      <c r="F41" s="237"/>
    </row>
    <row r="42" spans="1:6" x14ac:dyDescent="0.25">
      <c r="A42" s="236"/>
      <c r="B42" s="107"/>
      <c r="C42" s="221"/>
      <c r="D42" s="107"/>
      <c r="E42" s="237"/>
      <c r="F42" s="237"/>
    </row>
    <row r="43" spans="1:6" ht="17.25" x14ac:dyDescent="0.25">
      <c r="A43" s="236"/>
      <c r="B43" s="253" t="s">
        <v>1594</v>
      </c>
      <c r="C43" s="221"/>
      <c r="D43" s="253" t="s">
        <v>1162</v>
      </c>
      <c r="E43" s="237"/>
      <c r="F43" s="237"/>
    </row>
    <row r="44" spans="1:6" s="246" customFormat="1" ht="18" thickBot="1" x14ac:dyDescent="0.3">
      <c r="A44" s="241"/>
      <c r="B44" s="274"/>
      <c r="C44" s="238"/>
      <c r="D44" s="274"/>
      <c r="E44" s="240"/>
      <c r="F44" s="240"/>
    </row>
    <row r="45" spans="1:6" ht="15.75" thickBot="1" x14ac:dyDescent="0.3">
      <c r="A45" s="218" t="s">
        <v>1595</v>
      </c>
      <c r="B45" s="215"/>
      <c r="C45" s="215"/>
      <c r="D45" s="246"/>
      <c r="E45" s="240"/>
      <c r="F45" s="240"/>
    </row>
    <row r="46" spans="1:6" ht="15.75" thickBot="1" x14ac:dyDescent="0.3">
      <c r="A46" s="218" t="s">
        <v>1369</v>
      </c>
      <c r="B46" s="213"/>
      <c r="C46" s="213"/>
      <c r="D46" s="246"/>
      <c r="E46" s="240"/>
      <c r="F46" s="240"/>
    </row>
    <row r="47" spans="1:6" ht="15.75" thickBot="1" x14ac:dyDescent="0.3">
      <c r="A47" s="218" t="s">
        <v>1158</v>
      </c>
      <c r="B47" s="217"/>
      <c r="C47" s="213"/>
      <c r="D47" s="246"/>
      <c r="E47" s="240"/>
      <c r="F47" s="240"/>
    </row>
    <row r="48" spans="1:6" ht="21.75" customHeight="1" thickBot="1" x14ac:dyDescent="0.3">
      <c r="A48" s="222" t="s">
        <v>1146</v>
      </c>
      <c r="B48" s="260"/>
      <c r="C48" s="214"/>
      <c r="D48" s="214"/>
      <c r="E48" s="214"/>
      <c r="F48" s="214"/>
    </row>
    <row r="49" spans="1:6" ht="15.75" thickBot="1" x14ac:dyDescent="0.3">
      <c r="A49" s="220" t="s">
        <v>1596</v>
      </c>
      <c r="B49" s="214"/>
      <c r="C49" s="214"/>
      <c r="D49" s="214"/>
      <c r="E49" s="214"/>
      <c r="F49" s="214"/>
    </row>
    <row r="50" spans="1:6" ht="15.75" thickBot="1" x14ac:dyDescent="0.3">
      <c r="A50" s="220" t="s">
        <v>1603</v>
      </c>
      <c r="B50" s="214"/>
      <c r="C50" s="214"/>
      <c r="D50" s="214"/>
      <c r="E50" s="214"/>
      <c r="F50" s="214"/>
    </row>
    <row r="51" spans="1:6" x14ac:dyDescent="0.25">
      <c r="A51" s="1736"/>
      <c r="B51" s="1736"/>
      <c r="C51" s="1736"/>
      <c r="D51" s="1736"/>
      <c r="E51" s="1736"/>
      <c r="F51" s="1736"/>
    </row>
    <row r="52" spans="1:6" x14ac:dyDescent="0.25">
      <c r="A52" s="1736"/>
      <c r="B52" s="1736"/>
      <c r="C52" s="1736"/>
      <c r="D52" s="1736"/>
      <c r="E52" s="1736"/>
      <c r="F52" s="1736"/>
    </row>
    <row r="53" spans="1:6" x14ac:dyDescent="0.25">
      <c r="A53" s="1736"/>
      <c r="B53" s="1736"/>
      <c r="C53" s="1736"/>
      <c r="D53" s="1736"/>
      <c r="E53" s="1736"/>
      <c r="F53" s="1736"/>
    </row>
    <row r="54" spans="1:6" x14ac:dyDescent="0.25">
      <c r="A54" s="1736" t="s">
        <v>1604</v>
      </c>
      <c r="B54" s="1736"/>
      <c r="C54" s="1736"/>
      <c r="D54" s="1736"/>
      <c r="E54" s="1736"/>
      <c r="F54" s="1736"/>
    </row>
    <row r="55" spans="1:6" x14ac:dyDescent="0.25">
      <c r="A55" s="288"/>
      <c r="B55" s="248"/>
      <c r="C55" s="248"/>
      <c r="D55" s="248"/>
      <c r="E55" s="248"/>
      <c r="F55" s="248"/>
    </row>
    <row r="56" spans="1:6" s="289" customFormat="1" x14ac:dyDescent="0.25">
      <c r="A56" s="1737" t="s">
        <v>1605</v>
      </c>
      <c r="B56" s="1737"/>
      <c r="C56" s="1737"/>
      <c r="D56" s="1737"/>
      <c r="E56" s="1737"/>
      <c r="F56" s="1737"/>
    </row>
    <row r="57" spans="1:6" s="289" customFormat="1" x14ac:dyDescent="0.25">
      <c r="A57" s="291"/>
      <c r="B57" s="291"/>
      <c r="C57" s="291"/>
      <c r="D57" s="291"/>
      <c r="E57" s="291"/>
      <c r="F57" s="291"/>
    </row>
    <row r="58" spans="1:6" s="289" customFormat="1" ht="27" customHeight="1" x14ac:dyDescent="0.25">
      <c r="A58" s="1737" t="s">
        <v>1606</v>
      </c>
      <c r="B58" s="1737"/>
      <c r="C58" s="1737"/>
      <c r="D58" s="1737"/>
      <c r="E58" s="1737"/>
      <c r="F58" s="1737"/>
    </row>
    <row r="59" spans="1:6" s="290" customFormat="1" x14ac:dyDescent="0.25">
      <c r="A59" s="1737" t="s">
        <v>1607</v>
      </c>
      <c r="B59" s="1737"/>
      <c r="C59" s="1737"/>
      <c r="D59" s="1737"/>
      <c r="E59" s="1737"/>
      <c r="F59" s="1737"/>
    </row>
    <row r="60" spans="1:6" s="290" customFormat="1" ht="35.25" customHeight="1" x14ac:dyDescent="0.25">
      <c r="A60" s="1737" t="s">
        <v>1608</v>
      </c>
      <c r="B60" s="1737"/>
      <c r="C60" s="1737"/>
      <c r="D60" s="1737"/>
      <c r="E60" s="1737"/>
      <c r="F60" s="1737"/>
    </row>
    <row r="61" spans="1:6" s="290" customFormat="1" ht="15.75" customHeight="1" x14ac:dyDescent="0.25">
      <c r="A61" s="291"/>
      <c r="B61" s="291"/>
      <c r="C61" s="291"/>
      <c r="D61" s="291"/>
      <c r="E61" s="291"/>
      <c r="F61" s="291"/>
    </row>
    <row r="62" spans="1:6" s="290" customFormat="1" x14ac:dyDescent="0.25">
      <c r="A62" s="1737" t="s">
        <v>1609</v>
      </c>
      <c r="B62" s="1737"/>
      <c r="C62" s="1737"/>
      <c r="D62" s="1737"/>
      <c r="E62" s="1737"/>
      <c r="F62" s="1737"/>
    </row>
    <row r="63" spans="1:6" s="290" customFormat="1" ht="50.25" customHeight="1" x14ac:dyDescent="0.25">
      <c r="A63" s="1737" t="s">
        <v>1610</v>
      </c>
      <c r="B63" s="1737"/>
      <c r="C63" s="1737"/>
      <c r="D63" s="1737"/>
      <c r="E63" s="1737"/>
      <c r="F63" s="1737"/>
    </row>
    <row r="64" spans="1:6" s="290" customFormat="1" x14ac:dyDescent="0.25">
      <c r="A64" s="291"/>
      <c r="B64" s="291"/>
      <c r="C64" s="291"/>
      <c r="D64" s="291"/>
      <c r="E64" s="291"/>
      <c r="F64" s="291"/>
    </row>
    <row r="65" spans="1:6" s="290" customFormat="1" x14ac:dyDescent="0.25">
      <c r="A65" s="1737" t="s">
        <v>1611</v>
      </c>
      <c r="B65" s="1737"/>
      <c r="C65" s="1737"/>
      <c r="D65" s="1737"/>
      <c r="E65" s="1737"/>
      <c r="F65" s="1737"/>
    </row>
    <row r="66" spans="1:6" s="290" customFormat="1" x14ac:dyDescent="0.25">
      <c r="A66" s="1737" t="s">
        <v>1612</v>
      </c>
      <c r="B66" s="1737"/>
      <c r="C66" s="1737"/>
      <c r="D66" s="1737"/>
      <c r="E66" s="1737"/>
      <c r="F66" s="1737"/>
    </row>
    <row r="67" spans="1:6" s="290" customFormat="1" x14ac:dyDescent="0.25">
      <c r="A67" s="1737" t="s">
        <v>1613</v>
      </c>
      <c r="B67" s="1737"/>
      <c r="C67" s="1737"/>
      <c r="D67" s="1737"/>
      <c r="E67" s="1737"/>
      <c r="F67" s="1737"/>
    </row>
    <row r="68" spans="1:6" s="290" customFormat="1" x14ac:dyDescent="0.25">
      <c r="A68" s="1737" t="s">
        <v>1614</v>
      </c>
      <c r="B68" s="1737"/>
      <c r="C68" s="1737"/>
      <c r="D68" s="1737"/>
      <c r="E68" s="1737"/>
      <c r="F68" s="1737"/>
    </row>
    <row r="69" spans="1:6" s="290" customFormat="1" x14ac:dyDescent="0.25">
      <c r="A69" s="291"/>
      <c r="B69" s="291"/>
      <c r="C69" s="291"/>
      <c r="D69" s="291"/>
      <c r="E69" s="291"/>
      <c r="F69" s="291"/>
    </row>
    <row r="70" spans="1:6" s="290" customFormat="1" x14ac:dyDescent="0.25">
      <c r="A70" s="1737" t="s">
        <v>1615</v>
      </c>
      <c r="B70" s="1737"/>
      <c r="C70" s="1737"/>
      <c r="D70" s="1737"/>
      <c r="E70" s="1737"/>
      <c r="F70" s="1737"/>
    </row>
    <row r="71" spans="1:6" s="290" customFormat="1" x14ac:dyDescent="0.25">
      <c r="A71" s="1737" t="s">
        <v>1616</v>
      </c>
      <c r="B71" s="1737"/>
      <c r="C71" s="1737"/>
      <c r="D71" s="1737"/>
      <c r="E71" s="1737"/>
      <c r="F71" s="1737"/>
    </row>
    <row r="72" spans="1:6" s="290" customFormat="1" ht="54.75" customHeight="1" x14ac:dyDescent="0.25">
      <c r="A72" s="1737" t="s">
        <v>1617</v>
      </c>
      <c r="B72" s="1737"/>
      <c r="C72" s="1737"/>
      <c r="D72" s="1737"/>
      <c r="E72" s="1737"/>
      <c r="F72" s="1737"/>
    </row>
    <row r="73" spans="1:6" s="290" customFormat="1" ht="51" customHeight="1" x14ac:dyDescent="0.25">
      <c r="A73" s="1737" t="s">
        <v>1618</v>
      </c>
      <c r="B73" s="1737"/>
      <c r="C73" s="1737"/>
      <c r="D73" s="1737"/>
      <c r="E73" s="1737"/>
      <c r="F73" s="1737"/>
    </row>
    <row r="74" spans="1:6" s="290" customFormat="1" x14ac:dyDescent="0.25">
      <c r="A74" s="1737"/>
      <c r="B74" s="1737"/>
      <c r="C74" s="1737"/>
      <c r="D74" s="1737"/>
      <c r="E74" s="1737"/>
      <c r="F74" s="1737"/>
    </row>
    <row r="75" spans="1:6" s="290" customFormat="1" x14ac:dyDescent="0.25">
      <c r="A75" s="1737" t="s">
        <v>1619</v>
      </c>
      <c r="B75" s="1737"/>
      <c r="C75" s="1737"/>
      <c r="D75" s="1737"/>
      <c r="E75" s="1737"/>
      <c r="F75" s="1737"/>
    </row>
    <row r="76" spans="1:6" s="290" customFormat="1" ht="28.5" customHeight="1" x14ac:dyDescent="0.25">
      <c r="A76" s="1737" t="s">
        <v>1620</v>
      </c>
      <c r="B76" s="1737"/>
      <c r="C76" s="1737"/>
      <c r="D76" s="1737"/>
      <c r="E76" s="1737"/>
      <c r="F76" s="1737"/>
    </row>
    <row r="77" spans="1:6" s="290" customFormat="1" ht="53.25" customHeight="1" x14ac:dyDescent="0.25">
      <c r="A77" s="1737" t="s">
        <v>1621</v>
      </c>
      <c r="B77" s="1737"/>
      <c r="C77" s="1737"/>
      <c r="D77" s="1737"/>
      <c r="E77" s="1737"/>
      <c r="F77" s="1737"/>
    </row>
    <row r="78" spans="1:6" s="290" customFormat="1" x14ac:dyDescent="0.25">
      <c r="A78" s="291"/>
      <c r="B78" s="291"/>
      <c r="C78" s="291"/>
      <c r="D78" s="291"/>
      <c r="E78" s="291"/>
      <c r="F78" s="291"/>
    </row>
    <row r="79" spans="1:6" s="290" customFormat="1" x14ac:dyDescent="0.25">
      <c r="A79" s="1737" t="s">
        <v>1622</v>
      </c>
      <c r="B79" s="1737"/>
      <c r="C79" s="1737"/>
      <c r="D79" s="1737"/>
      <c r="E79" s="1737"/>
      <c r="F79" s="1737"/>
    </row>
    <row r="80" spans="1:6" s="290" customFormat="1" ht="36" customHeight="1" x14ac:dyDescent="0.25">
      <c r="A80" s="1737" t="s">
        <v>1623</v>
      </c>
      <c r="B80" s="1737"/>
      <c r="C80" s="1737"/>
      <c r="D80" s="1737"/>
      <c r="E80" s="1737"/>
      <c r="F80" s="1737"/>
    </row>
    <row r="81" spans="1:6" s="290" customFormat="1" x14ac:dyDescent="0.25">
      <c r="A81" s="1737" t="s">
        <v>1624</v>
      </c>
      <c r="B81" s="1737"/>
      <c r="C81" s="1737"/>
      <c r="D81" s="1737"/>
      <c r="E81" s="1737"/>
      <c r="F81" s="1737"/>
    </row>
    <row r="82" spans="1:6" s="290" customFormat="1" ht="39.75" customHeight="1" x14ac:dyDescent="0.25">
      <c r="A82" s="1737" t="s">
        <v>1625</v>
      </c>
      <c r="B82" s="1737"/>
      <c r="C82" s="1737"/>
      <c r="D82" s="1737"/>
      <c r="E82" s="1737"/>
      <c r="F82" s="1737"/>
    </row>
    <row r="83" spans="1:6" s="290" customFormat="1" x14ac:dyDescent="0.25">
      <c r="A83" s="1737" t="s">
        <v>1626</v>
      </c>
      <c r="B83" s="1737"/>
      <c r="C83" s="1737"/>
      <c r="D83" s="1737"/>
      <c r="E83" s="1737"/>
      <c r="F83" s="1737"/>
    </row>
    <row r="84" spans="1:6" s="290" customFormat="1" x14ac:dyDescent="0.25">
      <c r="A84" s="291"/>
      <c r="B84" s="291"/>
      <c r="C84" s="291"/>
      <c r="D84" s="291"/>
      <c r="E84" s="291"/>
      <c r="F84" s="291"/>
    </row>
    <row r="85" spans="1:6" s="290" customFormat="1" x14ac:dyDescent="0.25">
      <c r="A85" s="1737" t="s">
        <v>1627</v>
      </c>
      <c r="B85" s="1737"/>
      <c r="C85" s="1737"/>
      <c r="D85" s="1737"/>
      <c r="E85" s="1737"/>
      <c r="F85" s="1737"/>
    </row>
    <row r="86" spans="1:6" s="290" customFormat="1" ht="31.5" customHeight="1" x14ac:dyDescent="0.25">
      <c r="A86" s="1737" t="s">
        <v>1628</v>
      </c>
      <c r="B86" s="1737"/>
      <c r="C86" s="1737"/>
      <c r="D86" s="1737"/>
      <c r="E86" s="1737"/>
      <c r="F86" s="1737"/>
    </row>
    <row r="87" spans="1:6" s="290" customFormat="1" ht="14.25" customHeight="1" x14ac:dyDescent="0.25">
      <c r="A87" s="291"/>
      <c r="B87" s="291"/>
      <c r="C87" s="291"/>
      <c r="D87" s="291"/>
      <c r="E87" s="291"/>
      <c r="F87" s="291"/>
    </row>
    <row r="88" spans="1:6" s="290" customFormat="1" ht="13.5" customHeight="1" x14ac:dyDescent="0.25">
      <c r="A88" s="1737" t="s">
        <v>1629</v>
      </c>
      <c r="B88" s="1737"/>
      <c r="C88" s="1737"/>
      <c r="D88" s="1737"/>
      <c r="E88" s="1737"/>
      <c r="F88" s="1737"/>
    </row>
    <row r="89" spans="1:6" s="289" customFormat="1" ht="47.25" customHeight="1" x14ac:dyDescent="0.25">
      <c r="A89" s="1737" t="s">
        <v>1630</v>
      </c>
      <c r="B89" s="1737"/>
      <c r="C89" s="1737"/>
      <c r="D89" s="1737"/>
      <c r="E89" s="1737"/>
      <c r="F89" s="1737"/>
    </row>
    <row r="90" spans="1:6" s="289" customFormat="1" x14ac:dyDescent="0.25">
      <c r="A90" s="1737" t="s">
        <v>1631</v>
      </c>
      <c r="B90" s="1737"/>
      <c r="C90" s="1737"/>
      <c r="D90" s="1737"/>
      <c r="E90" s="1737"/>
      <c r="F90" s="1737"/>
    </row>
    <row r="91" spans="1:6" s="289" customFormat="1" x14ac:dyDescent="0.25">
      <c r="A91" s="1737" t="s">
        <v>1632</v>
      </c>
      <c r="B91" s="1737"/>
      <c r="C91" s="1737"/>
      <c r="D91" s="1737"/>
      <c r="E91" s="1737"/>
      <c r="F91" s="1737"/>
    </row>
    <row r="92" spans="1:6" s="289" customFormat="1" x14ac:dyDescent="0.25">
      <c r="A92" s="1737" t="s">
        <v>1633</v>
      </c>
      <c r="B92" s="1737"/>
      <c r="C92" s="1737"/>
      <c r="D92" s="1737"/>
      <c r="E92" s="1737"/>
      <c r="F92" s="1737"/>
    </row>
    <row r="93" spans="1:6" s="289" customFormat="1" x14ac:dyDescent="0.25">
      <c r="A93" s="291"/>
      <c r="B93" s="291"/>
      <c r="C93" s="291"/>
      <c r="D93" s="291"/>
      <c r="E93" s="291"/>
      <c r="F93" s="291"/>
    </row>
    <row r="94" spans="1:6" s="289" customFormat="1" x14ac:dyDescent="0.25">
      <c r="A94" s="1737" t="s">
        <v>1634</v>
      </c>
      <c r="B94" s="1737"/>
      <c r="C94" s="1737"/>
      <c r="D94" s="1737"/>
      <c r="E94" s="1737"/>
      <c r="F94" s="1737"/>
    </row>
    <row r="95" spans="1:6" s="289" customFormat="1" x14ac:dyDescent="0.25">
      <c r="A95" s="1737" t="s">
        <v>1635</v>
      </c>
      <c r="B95" s="1737"/>
      <c r="C95" s="1737"/>
      <c r="D95" s="1737"/>
      <c r="E95" s="1737"/>
      <c r="F95" s="1737"/>
    </row>
    <row r="96" spans="1:6" s="289" customFormat="1" ht="50.25" customHeight="1" x14ac:dyDescent="0.25">
      <c r="A96" s="1737" t="s">
        <v>1636</v>
      </c>
      <c r="B96" s="1737"/>
      <c r="C96" s="1737"/>
      <c r="D96" s="1737"/>
      <c r="E96" s="1737"/>
      <c r="F96" s="1737"/>
    </row>
    <row r="97" spans="1:6" s="289" customFormat="1" ht="53.25" customHeight="1" x14ac:dyDescent="0.25">
      <c r="A97" s="1737" t="s">
        <v>1637</v>
      </c>
      <c r="B97" s="1737"/>
      <c r="C97" s="1737"/>
      <c r="D97" s="1737"/>
      <c r="E97" s="1737"/>
      <c r="F97" s="1737"/>
    </row>
    <row r="98" spans="1:6" s="289" customFormat="1" x14ac:dyDescent="0.25">
      <c r="A98" s="1737" t="s">
        <v>1638</v>
      </c>
      <c r="B98" s="1737"/>
      <c r="C98" s="1737"/>
      <c r="D98" s="1737"/>
      <c r="E98" s="1737"/>
      <c r="F98" s="1737"/>
    </row>
    <row r="99" spans="1:6" s="289" customFormat="1" x14ac:dyDescent="0.25">
      <c r="A99" s="1737" t="s">
        <v>1639</v>
      </c>
      <c r="B99" s="1737"/>
      <c r="C99" s="1737"/>
      <c r="D99" s="1737"/>
      <c r="E99" s="1737"/>
      <c r="F99" s="1737"/>
    </row>
    <row r="100" spans="1:6" s="289" customFormat="1" x14ac:dyDescent="0.25">
      <c r="A100" s="1737" t="s">
        <v>1640</v>
      </c>
      <c r="B100" s="1737"/>
      <c r="C100" s="1737"/>
      <c r="D100" s="1737"/>
      <c r="E100" s="1737"/>
      <c r="F100" s="1737"/>
    </row>
    <row r="101" spans="1:6" s="289" customFormat="1" x14ac:dyDescent="0.25">
      <c r="A101" s="1737" t="s">
        <v>1641</v>
      </c>
      <c r="B101" s="1737"/>
      <c r="C101" s="1737"/>
      <c r="D101" s="1737"/>
      <c r="E101" s="1737"/>
      <c r="F101" s="1737"/>
    </row>
    <row r="102" spans="1:6" s="289" customFormat="1" x14ac:dyDescent="0.25">
      <c r="A102" s="1737" t="s">
        <v>1642</v>
      </c>
      <c r="B102" s="1737"/>
      <c r="C102" s="1737"/>
      <c r="D102" s="1737"/>
      <c r="E102" s="1737"/>
      <c r="F102" s="1737"/>
    </row>
    <row r="103" spans="1:6" s="289" customFormat="1" x14ac:dyDescent="0.25">
      <c r="A103" s="1737"/>
      <c r="B103" s="1737"/>
      <c r="C103" s="1737"/>
      <c r="D103" s="1737"/>
      <c r="E103" s="1737"/>
      <c r="F103" s="1737"/>
    </row>
    <row r="104" spans="1:6" s="289" customFormat="1" x14ac:dyDescent="0.25">
      <c r="A104" s="1737" t="s">
        <v>1643</v>
      </c>
      <c r="B104" s="1737"/>
      <c r="C104" s="1737"/>
      <c r="D104" s="1737"/>
      <c r="E104" s="1737"/>
      <c r="F104" s="1737"/>
    </row>
    <row r="105" spans="1:6" s="289" customFormat="1" x14ac:dyDescent="0.25">
      <c r="A105" s="1737" t="s">
        <v>1644</v>
      </c>
      <c r="B105" s="1737"/>
      <c r="C105" s="1737"/>
      <c r="D105" s="1737"/>
      <c r="E105" s="1737"/>
      <c r="F105" s="1737"/>
    </row>
    <row r="106" spans="1:6" s="289" customFormat="1" x14ac:dyDescent="0.25">
      <c r="A106" s="1737" t="s">
        <v>1645</v>
      </c>
      <c r="B106" s="1737"/>
      <c r="C106" s="1737"/>
      <c r="D106" s="1737"/>
      <c r="E106" s="1737"/>
      <c r="F106" s="1737"/>
    </row>
    <row r="107" spans="1:6" s="289" customFormat="1" x14ac:dyDescent="0.25">
      <c r="A107" s="1737" t="s">
        <v>1646</v>
      </c>
      <c r="B107" s="1737"/>
      <c r="C107" s="1737"/>
      <c r="D107" s="1737"/>
      <c r="E107" s="1737"/>
      <c r="F107" s="1737"/>
    </row>
    <row r="108" spans="1:6" s="289" customFormat="1" x14ac:dyDescent="0.25">
      <c r="A108" s="1737" t="s">
        <v>1647</v>
      </c>
      <c r="B108" s="1737"/>
      <c r="C108" s="1737"/>
      <c r="D108" s="1737"/>
      <c r="E108" s="1737"/>
      <c r="F108" s="1737"/>
    </row>
    <row r="109" spans="1:6" s="289" customFormat="1" x14ac:dyDescent="0.25">
      <c r="A109" s="1737" t="s">
        <v>1648</v>
      </c>
      <c r="B109" s="1737"/>
      <c r="C109" s="1737"/>
      <c r="D109" s="1737"/>
      <c r="E109" s="1737"/>
      <c r="F109" s="1737"/>
    </row>
    <row r="110" spans="1:6" s="289" customFormat="1" x14ac:dyDescent="0.25">
      <c r="A110" s="1737" t="s">
        <v>1649</v>
      </c>
      <c r="B110" s="1737"/>
      <c r="C110" s="1737"/>
      <c r="D110" s="1737"/>
      <c r="E110" s="1737"/>
      <c r="F110" s="1737"/>
    </row>
    <row r="111" spans="1:6" s="289" customFormat="1" x14ac:dyDescent="0.25">
      <c r="A111" s="1737" t="s">
        <v>1650</v>
      </c>
      <c r="B111" s="1737"/>
      <c r="C111" s="1737"/>
      <c r="D111" s="1737"/>
      <c r="E111" s="1737"/>
      <c r="F111" s="1737"/>
    </row>
    <row r="112" spans="1:6" s="289" customFormat="1" x14ac:dyDescent="0.25">
      <c r="A112" s="1737" t="s">
        <v>1651</v>
      </c>
      <c r="B112" s="1737"/>
      <c r="C112" s="1737"/>
      <c r="D112" s="1737"/>
      <c r="E112" s="1737"/>
      <c r="F112" s="1737"/>
    </row>
    <row r="113" spans="1:6" s="289" customFormat="1" x14ac:dyDescent="0.25">
      <c r="A113" s="1737" t="s">
        <v>1652</v>
      </c>
      <c r="B113" s="1737"/>
      <c r="C113" s="1737"/>
      <c r="D113" s="1737"/>
      <c r="E113" s="1737"/>
      <c r="F113" s="1737"/>
    </row>
    <row r="114" spans="1:6" s="289" customFormat="1" x14ac:dyDescent="0.25">
      <c r="A114" s="1737" t="s">
        <v>1653</v>
      </c>
      <c r="B114" s="1737"/>
      <c r="C114" s="1737"/>
      <c r="D114" s="1737"/>
      <c r="E114" s="1737"/>
      <c r="F114" s="1737"/>
    </row>
    <row r="115" spans="1:6" s="289" customFormat="1" x14ac:dyDescent="0.25">
      <c r="A115" s="1737" t="s">
        <v>1654</v>
      </c>
      <c r="B115" s="1737"/>
      <c r="C115" s="1737"/>
      <c r="D115" s="1737"/>
      <c r="E115" s="1737"/>
      <c r="F115" s="1737"/>
    </row>
    <row r="116" spans="1:6" s="289" customFormat="1" x14ac:dyDescent="0.25">
      <c r="A116" s="1737"/>
      <c r="B116" s="1737"/>
      <c r="C116" s="1737"/>
      <c r="D116" s="1737"/>
      <c r="E116" s="1737"/>
      <c r="F116" s="1737"/>
    </row>
    <row r="117" spans="1:6" s="289" customFormat="1" x14ac:dyDescent="0.25">
      <c r="A117" s="1737" t="s">
        <v>1655</v>
      </c>
      <c r="B117" s="1737"/>
      <c r="C117" s="1737"/>
      <c r="D117" s="1737"/>
      <c r="E117" s="1737"/>
      <c r="F117" s="1737"/>
    </row>
    <row r="118" spans="1:6" s="289" customFormat="1" x14ac:dyDescent="0.25">
      <c r="A118" s="1737" t="s">
        <v>1656</v>
      </c>
      <c r="B118" s="1737"/>
      <c r="C118" s="1737"/>
      <c r="D118" s="1737"/>
      <c r="E118" s="1737"/>
      <c r="F118" s="1737"/>
    </row>
    <row r="119" spans="1:6" s="289" customFormat="1" x14ac:dyDescent="0.25">
      <c r="A119" s="1737" t="s">
        <v>1657</v>
      </c>
      <c r="B119" s="1737"/>
      <c r="C119" s="1737"/>
      <c r="D119" s="1737"/>
      <c r="E119" s="1737"/>
      <c r="F119" s="1737"/>
    </row>
    <row r="120" spans="1:6" s="289" customFormat="1" x14ac:dyDescent="0.25">
      <c r="A120" s="1737" t="s">
        <v>1658</v>
      </c>
      <c r="B120" s="1737"/>
      <c r="C120" s="1737"/>
      <c r="D120" s="1737"/>
      <c r="E120" s="1737"/>
      <c r="F120" s="1737"/>
    </row>
    <row r="121" spans="1:6" s="289" customFormat="1" x14ac:dyDescent="0.25">
      <c r="A121" s="1737" t="s">
        <v>1659</v>
      </c>
      <c r="B121" s="1737"/>
      <c r="C121" s="1737"/>
      <c r="D121" s="1737"/>
      <c r="E121" s="1737"/>
      <c r="F121" s="1737"/>
    </row>
    <row r="122" spans="1:6" s="289" customFormat="1" x14ac:dyDescent="0.25">
      <c r="A122" s="1737" t="s">
        <v>1660</v>
      </c>
      <c r="B122" s="1737"/>
      <c r="C122" s="1737"/>
      <c r="D122" s="1737"/>
      <c r="E122" s="1737"/>
      <c r="F122" s="1737"/>
    </row>
    <row r="123" spans="1:6" ht="15.75" x14ac:dyDescent="0.25">
      <c r="A123" s="1738" t="s">
        <v>1661</v>
      </c>
      <c r="B123" s="1738"/>
      <c r="C123" s="1738"/>
      <c r="D123" s="1738"/>
      <c r="E123" s="1738"/>
      <c r="F123" s="1738"/>
    </row>
    <row r="124" spans="1:6" ht="32.25" customHeight="1" x14ac:dyDescent="0.25">
      <c r="A124" s="1737" t="s">
        <v>1662</v>
      </c>
      <c r="B124" s="1737"/>
      <c r="C124" s="1737"/>
      <c r="D124" s="1737"/>
      <c r="E124" s="1737"/>
      <c r="F124" s="1737"/>
    </row>
    <row r="125" spans="1:6" ht="45.75" customHeight="1" x14ac:dyDescent="0.25">
      <c r="A125" s="1737" t="s">
        <v>1663</v>
      </c>
      <c r="B125" s="1737"/>
      <c r="C125" s="1737"/>
      <c r="D125" s="1737"/>
      <c r="E125" s="1737"/>
      <c r="F125" s="1737"/>
    </row>
    <row r="126" spans="1:6" ht="71.25" customHeight="1" x14ac:dyDescent="0.25">
      <c r="A126" s="1737" t="s">
        <v>1664</v>
      </c>
      <c r="B126" s="1737"/>
      <c r="C126" s="1737"/>
      <c r="D126" s="1737"/>
      <c r="E126" s="1737"/>
      <c r="F126" s="1737"/>
    </row>
    <row r="127" spans="1:6" x14ac:dyDescent="0.25">
      <c r="A127" s="248"/>
      <c r="B127" s="248"/>
      <c r="C127" s="248"/>
      <c r="D127" s="248"/>
      <c r="E127" s="248"/>
      <c r="F127" s="248"/>
    </row>
    <row r="128" spans="1:6" x14ac:dyDescent="0.25">
      <c r="A128" s="248"/>
      <c r="B128" s="248"/>
      <c r="C128" s="248"/>
      <c r="D128" s="248"/>
      <c r="E128" s="248"/>
      <c r="F128" s="248"/>
    </row>
    <row r="129" spans="1:6" x14ac:dyDescent="0.25">
      <c r="A129" s="248"/>
      <c r="B129" s="248"/>
      <c r="C129" s="248"/>
      <c r="D129" s="248"/>
      <c r="E129" s="248"/>
      <c r="F129" s="248"/>
    </row>
    <row r="130" spans="1:6" x14ac:dyDescent="0.25">
      <c r="A130" s="248"/>
      <c r="B130" s="248"/>
      <c r="C130" s="248"/>
      <c r="D130" s="248"/>
      <c r="E130" s="248"/>
      <c r="F130" s="248"/>
    </row>
    <row r="131" spans="1:6" x14ac:dyDescent="0.25">
      <c r="A131" s="248"/>
      <c r="B131" s="248"/>
      <c r="C131" s="248"/>
      <c r="D131" s="248"/>
      <c r="E131" s="248"/>
      <c r="F131" s="248"/>
    </row>
    <row r="132" spans="1:6" x14ac:dyDescent="0.25"/>
    <row r="133" spans="1:6" x14ac:dyDescent="0.25"/>
    <row r="134" spans="1:6" x14ac:dyDescent="0.25"/>
    <row r="135" spans="1:6" x14ac:dyDescent="0.25"/>
    <row r="136" spans="1:6" x14ac:dyDescent="0.25"/>
    <row r="137" spans="1:6" x14ac:dyDescent="0.25"/>
    <row r="138" spans="1:6" x14ac:dyDescent="0.25"/>
    <row r="139" spans="1:6" x14ac:dyDescent="0.25"/>
    <row r="140" spans="1:6" x14ac:dyDescent="0.25"/>
    <row r="141" spans="1:6" x14ac:dyDescent="0.25"/>
    <row r="142" spans="1:6" x14ac:dyDescent="0.25"/>
    <row r="143" spans="1:6" x14ac:dyDescent="0.25"/>
    <row r="144" spans="1:6"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row r="1023" x14ac:dyDescent="0.25"/>
    <row r="1024" x14ac:dyDescent="0.25"/>
    <row r="1025" x14ac:dyDescent="0.25"/>
    <row r="1026" x14ac:dyDescent="0.25"/>
    <row r="1027" x14ac:dyDescent="0.25"/>
    <row r="1028" x14ac:dyDescent="0.25"/>
    <row r="1029" x14ac:dyDescent="0.25"/>
    <row r="1030" x14ac:dyDescent="0.25"/>
    <row r="1031" x14ac:dyDescent="0.25"/>
    <row r="1032" x14ac:dyDescent="0.25"/>
    <row r="1033" x14ac:dyDescent="0.25"/>
    <row r="1034" x14ac:dyDescent="0.25"/>
    <row r="1035" x14ac:dyDescent="0.25"/>
    <row r="1036" x14ac:dyDescent="0.25"/>
    <row r="1037" x14ac:dyDescent="0.25"/>
    <row r="1038" x14ac:dyDescent="0.25"/>
    <row r="1039" x14ac:dyDescent="0.25"/>
    <row r="1040" x14ac:dyDescent="0.25"/>
    <row r="1041" x14ac:dyDescent="0.25"/>
    <row r="1042" x14ac:dyDescent="0.25"/>
    <row r="1043" x14ac:dyDescent="0.25"/>
    <row r="1044" x14ac:dyDescent="0.25"/>
    <row r="1045" x14ac:dyDescent="0.25"/>
    <row r="1046" x14ac:dyDescent="0.25"/>
    <row r="1047" x14ac:dyDescent="0.25"/>
    <row r="1048" x14ac:dyDescent="0.25"/>
    <row r="1049" x14ac:dyDescent="0.25"/>
    <row r="1050" x14ac:dyDescent="0.25"/>
    <row r="1051" x14ac:dyDescent="0.25"/>
    <row r="1052" x14ac:dyDescent="0.25"/>
    <row r="1053" x14ac:dyDescent="0.25"/>
    <row r="1054" x14ac:dyDescent="0.25"/>
    <row r="1055" x14ac:dyDescent="0.25"/>
    <row r="1056" x14ac:dyDescent="0.25"/>
    <row r="1057" x14ac:dyDescent="0.25"/>
    <row r="1058" x14ac:dyDescent="0.25"/>
    <row r="1059" x14ac:dyDescent="0.25"/>
    <row r="1060" x14ac:dyDescent="0.25"/>
    <row r="1061" x14ac:dyDescent="0.25"/>
    <row r="1062" x14ac:dyDescent="0.25"/>
    <row r="1063" x14ac:dyDescent="0.25"/>
    <row r="1064" x14ac:dyDescent="0.25"/>
    <row r="1065" x14ac:dyDescent="0.25"/>
    <row r="1066" x14ac:dyDescent="0.25"/>
    <row r="1067" x14ac:dyDescent="0.25"/>
    <row r="1068" x14ac:dyDescent="0.25"/>
    <row r="1069" x14ac:dyDescent="0.25"/>
    <row r="1070" x14ac:dyDescent="0.25"/>
    <row r="1071" x14ac:dyDescent="0.25"/>
    <row r="1072" x14ac:dyDescent="0.25"/>
    <row r="1073" x14ac:dyDescent="0.25"/>
    <row r="1074" x14ac:dyDescent="0.25"/>
    <row r="1075" x14ac:dyDescent="0.25"/>
    <row r="1076" x14ac:dyDescent="0.25"/>
    <row r="1077" x14ac:dyDescent="0.25"/>
    <row r="1078" x14ac:dyDescent="0.25"/>
    <row r="1079" x14ac:dyDescent="0.25"/>
    <row r="1080" x14ac:dyDescent="0.25"/>
    <row r="1081" x14ac:dyDescent="0.25"/>
    <row r="1082" x14ac:dyDescent="0.25"/>
    <row r="1083" x14ac:dyDescent="0.25"/>
    <row r="1084" x14ac:dyDescent="0.25"/>
    <row r="1085" x14ac:dyDescent="0.25"/>
    <row r="1086" x14ac:dyDescent="0.25"/>
    <row r="1087" x14ac:dyDescent="0.25"/>
    <row r="1088" x14ac:dyDescent="0.25"/>
    <row r="1089" x14ac:dyDescent="0.25"/>
    <row r="1090" x14ac:dyDescent="0.25"/>
    <row r="1091" x14ac:dyDescent="0.25"/>
    <row r="1092" x14ac:dyDescent="0.25"/>
    <row r="1093" x14ac:dyDescent="0.25"/>
    <row r="1094" x14ac:dyDescent="0.25"/>
    <row r="1095" x14ac:dyDescent="0.25"/>
    <row r="1096" x14ac:dyDescent="0.25"/>
    <row r="1097" x14ac:dyDescent="0.25"/>
    <row r="1098" x14ac:dyDescent="0.25"/>
    <row r="1099" x14ac:dyDescent="0.25"/>
    <row r="1100" x14ac:dyDescent="0.25"/>
    <row r="1101" x14ac:dyDescent="0.25"/>
    <row r="1102" x14ac:dyDescent="0.25"/>
    <row r="1103" x14ac:dyDescent="0.25"/>
    <row r="1104" x14ac:dyDescent="0.25"/>
    <row r="1105" x14ac:dyDescent="0.25"/>
    <row r="1106" x14ac:dyDescent="0.25"/>
    <row r="1107" x14ac:dyDescent="0.25"/>
    <row r="1108" x14ac:dyDescent="0.25"/>
    <row r="1109" x14ac:dyDescent="0.25"/>
    <row r="1110" x14ac:dyDescent="0.25"/>
    <row r="1111" x14ac:dyDescent="0.25"/>
    <row r="1112" x14ac:dyDescent="0.25"/>
    <row r="1113" x14ac:dyDescent="0.25"/>
    <row r="1114" x14ac:dyDescent="0.25"/>
    <row r="1115" x14ac:dyDescent="0.25"/>
    <row r="1116" x14ac:dyDescent="0.25"/>
    <row r="1117" x14ac:dyDescent="0.25"/>
    <row r="1118" x14ac:dyDescent="0.25"/>
    <row r="1119" x14ac:dyDescent="0.25"/>
    <row r="1120" x14ac:dyDescent="0.25"/>
    <row r="1121" x14ac:dyDescent="0.25"/>
    <row r="1122" x14ac:dyDescent="0.25"/>
    <row r="1123" x14ac:dyDescent="0.25"/>
    <row r="1124" x14ac:dyDescent="0.25"/>
    <row r="1125" x14ac:dyDescent="0.25"/>
    <row r="1126" x14ac:dyDescent="0.25"/>
    <row r="1127" x14ac:dyDescent="0.25"/>
    <row r="1128" x14ac:dyDescent="0.25"/>
    <row r="1129" x14ac:dyDescent="0.25"/>
    <row r="1130" x14ac:dyDescent="0.25"/>
    <row r="1131" x14ac:dyDescent="0.25"/>
    <row r="1132" x14ac:dyDescent="0.25"/>
    <row r="1133" x14ac:dyDescent="0.25"/>
    <row r="1134" x14ac:dyDescent="0.25"/>
    <row r="1135" x14ac:dyDescent="0.25"/>
    <row r="1136" x14ac:dyDescent="0.25"/>
    <row r="1137" x14ac:dyDescent="0.25"/>
    <row r="1138" x14ac:dyDescent="0.25"/>
    <row r="1139" x14ac:dyDescent="0.25"/>
    <row r="1140" x14ac:dyDescent="0.25"/>
    <row r="1141" x14ac:dyDescent="0.25"/>
    <row r="1142" x14ac:dyDescent="0.25"/>
    <row r="1143" x14ac:dyDescent="0.25"/>
    <row r="1144" x14ac:dyDescent="0.25"/>
    <row r="1145" x14ac:dyDescent="0.25"/>
    <row r="1146" x14ac:dyDescent="0.25"/>
    <row r="1147" x14ac:dyDescent="0.25"/>
    <row r="1148" x14ac:dyDescent="0.25"/>
    <row r="1149" x14ac:dyDescent="0.25"/>
    <row r="1150" x14ac:dyDescent="0.25"/>
    <row r="1151" x14ac:dyDescent="0.25"/>
    <row r="1152" x14ac:dyDescent="0.25"/>
    <row r="1153" x14ac:dyDescent="0.25"/>
    <row r="1154" x14ac:dyDescent="0.25"/>
    <row r="1155" x14ac:dyDescent="0.25"/>
    <row r="1156" x14ac:dyDescent="0.25"/>
    <row r="1157" x14ac:dyDescent="0.25"/>
    <row r="1158" x14ac:dyDescent="0.25"/>
    <row r="1159" x14ac:dyDescent="0.25"/>
    <row r="1160" x14ac:dyDescent="0.25"/>
    <row r="1161" x14ac:dyDescent="0.25"/>
    <row r="1162" x14ac:dyDescent="0.25"/>
    <row r="1163" x14ac:dyDescent="0.25"/>
    <row r="1164" x14ac:dyDescent="0.25"/>
    <row r="1165" x14ac:dyDescent="0.25"/>
    <row r="1166" x14ac:dyDescent="0.25"/>
    <row r="1167" x14ac:dyDescent="0.25"/>
    <row r="1168" x14ac:dyDescent="0.25"/>
    <row r="1169" x14ac:dyDescent="0.25"/>
    <row r="1170" x14ac:dyDescent="0.25"/>
    <row r="1171" x14ac:dyDescent="0.25"/>
    <row r="1172" x14ac:dyDescent="0.25"/>
    <row r="1173" x14ac:dyDescent="0.25"/>
    <row r="1174" x14ac:dyDescent="0.25"/>
    <row r="1175" x14ac:dyDescent="0.25"/>
    <row r="1176" x14ac:dyDescent="0.25"/>
    <row r="1177" x14ac:dyDescent="0.25"/>
    <row r="1178" x14ac:dyDescent="0.25"/>
    <row r="1179" x14ac:dyDescent="0.25"/>
    <row r="1180" x14ac:dyDescent="0.25"/>
    <row r="1181" x14ac:dyDescent="0.25"/>
    <row r="1182" x14ac:dyDescent="0.25"/>
    <row r="1183" x14ac:dyDescent="0.25"/>
    <row r="1184" x14ac:dyDescent="0.25"/>
    <row r="1185" x14ac:dyDescent="0.25"/>
    <row r="1186" x14ac:dyDescent="0.25"/>
    <row r="1187" x14ac:dyDescent="0.25"/>
    <row r="1188" x14ac:dyDescent="0.25"/>
    <row r="1189" x14ac:dyDescent="0.25"/>
    <row r="1190" x14ac:dyDescent="0.25"/>
    <row r="1191" x14ac:dyDescent="0.25"/>
    <row r="1192" x14ac:dyDescent="0.25"/>
    <row r="1193" x14ac:dyDescent="0.25"/>
    <row r="1194" x14ac:dyDescent="0.25"/>
    <row r="1195" x14ac:dyDescent="0.25"/>
    <row r="1196" x14ac:dyDescent="0.25"/>
    <row r="1197" x14ac:dyDescent="0.25"/>
    <row r="1198" x14ac:dyDescent="0.25"/>
    <row r="1199" x14ac:dyDescent="0.25"/>
    <row r="1200" x14ac:dyDescent="0.25"/>
    <row r="1201" x14ac:dyDescent="0.25"/>
    <row r="1202" x14ac:dyDescent="0.25"/>
    <row r="1203" x14ac:dyDescent="0.25"/>
    <row r="1204" x14ac:dyDescent="0.25"/>
    <row r="1205" x14ac:dyDescent="0.25"/>
    <row r="1206" x14ac:dyDescent="0.25"/>
    <row r="1207" x14ac:dyDescent="0.25"/>
    <row r="1208" x14ac:dyDescent="0.25"/>
    <row r="1209" x14ac:dyDescent="0.25"/>
    <row r="1210" x14ac:dyDescent="0.25"/>
    <row r="1211" x14ac:dyDescent="0.25"/>
    <row r="1212" x14ac:dyDescent="0.25"/>
    <row r="1213" x14ac:dyDescent="0.25"/>
    <row r="1214" x14ac:dyDescent="0.25"/>
    <row r="1215" x14ac:dyDescent="0.25"/>
    <row r="1216"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sheetData>
  <sheetProtection pivotTables="0"/>
  <mergeCells count="71">
    <mergeCell ref="A126:F126"/>
    <mergeCell ref="A123:F123"/>
    <mergeCell ref="A53:F53"/>
    <mergeCell ref="A51:F51"/>
    <mergeCell ref="A52:F52"/>
    <mergeCell ref="A120:F120"/>
    <mergeCell ref="A121:F121"/>
    <mergeCell ref="A122:F122"/>
    <mergeCell ref="A124:F124"/>
    <mergeCell ref="A125:F125"/>
    <mergeCell ref="A115:F115"/>
    <mergeCell ref="A116:F116"/>
    <mergeCell ref="A117:F117"/>
    <mergeCell ref="A118:F118"/>
    <mergeCell ref="A119:F119"/>
    <mergeCell ref="A110:F110"/>
    <mergeCell ref="A111:F111"/>
    <mergeCell ref="A112:F112"/>
    <mergeCell ref="A113:F113"/>
    <mergeCell ref="A114:F114"/>
    <mergeCell ref="A105:F105"/>
    <mergeCell ref="A106:F106"/>
    <mergeCell ref="A107:F107"/>
    <mergeCell ref="A108:F108"/>
    <mergeCell ref="A109:F109"/>
    <mergeCell ref="A100:F100"/>
    <mergeCell ref="A101:F101"/>
    <mergeCell ref="A102:F102"/>
    <mergeCell ref="A103:F103"/>
    <mergeCell ref="A104:F104"/>
    <mergeCell ref="A95:F95"/>
    <mergeCell ref="A96:F96"/>
    <mergeCell ref="A97:F97"/>
    <mergeCell ref="A98:F98"/>
    <mergeCell ref="A99:F99"/>
    <mergeCell ref="A92:F92"/>
    <mergeCell ref="A94:F94"/>
    <mergeCell ref="A86:F86"/>
    <mergeCell ref="A88:F88"/>
    <mergeCell ref="A89:F89"/>
    <mergeCell ref="A90:F90"/>
    <mergeCell ref="A91:F91"/>
    <mergeCell ref="A80:F80"/>
    <mergeCell ref="A81:F81"/>
    <mergeCell ref="A82:F82"/>
    <mergeCell ref="A83:F83"/>
    <mergeCell ref="A85:F85"/>
    <mergeCell ref="A75:F75"/>
    <mergeCell ref="A76:F76"/>
    <mergeCell ref="A77:F77"/>
    <mergeCell ref="A79:F79"/>
    <mergeCell ref="A70:F70"/>
    <mergeCell ref="A71:F71"/>
    <mergeCell ref="A72:F72"/>
    <mergeCell ref="A73:F73"/>
    <mergeCell ref="A74:F74"/>
    <mergeCell ref="A63:F63"/>
    <mergeCell ref="A65:F65"/>
    <mergeCell ref="A66:F66"/>
    <mergeCell ref="A67:F67"/>
    <mergeCell ref="A68:F68"/>
    <mergeCell ref="A56:F56"/>
    <mergeCell ref="A58:F58"/>
    <mergeCell ref="A59:F59"/>
    <mergeCell ref="A60:F60"/>
    <mergeCell ref="A62:F62"/>
    <mergeCell ref="B2:C2"/>
    <mergeCell ref="B4:E4"/>
    <mergeCell ref="D5:E5"/>
    <mergeCell ref="B5:C5"/>
    <mergeCell ref="A54:F54"/>
  </mergeCells>
  <dataValidations count="4">
    <dataValidation type="list" showInputMessage="1" showErrorMessage="1" promptTitle="Régime d'imposition" prompt="Selectionner le regime d'imposition de la société" sqref="B6">
      <formula1>"RSI, RNI"</formula1>
    </dataValidation>
    <dataValidation type="list" showInputMessage="1" showErrorMessage="1" promptTitle="Premier exerce " prompt="Premier exercice de la société (Choisir OUI ou NON)" sqref="B7">
      <formula1>"OUI,NON"</formula1>
    </dataValidation>
    <dataValidation type="list" showInputMessage="1" showErrorMessage="1" promptTitle="Premier exerce " prompt="La société est adhérente du CGA (Choisir OUI ou NON)" sqref="B8">
      <formula1>"OUI,NON"</formula1>
    </dataValidation>
    <dataValidation type="list" showInputMessage="1" showErrorMessage="1" sqref="B12">
      <formula1>"SARL,SA, INDIVIDUELLE"</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43C6E5"/>
  </sheetPr>
  <dimension ref="A1:O43"/>
  <sheetViews>
    <sheetView topLeftCell="A4" zoomScaleNormal="100" workbookViewId="0">
      <selection activeCell="H36" sqref="H36"/>
    </sheetView>
  </sheetViews>
  <sheetFormatPr baseColWidth="10" defaultColWidth="0" defaultRowHeight="15" zeroHeight="1" x14ac:dyDescent="0.25"/>
  <cols>
    <col min="1" max="1" width="7.140625" style="533" customWidth="1"/>
    <col min="2" max="2" width="9.5703125" style="533" customWidth="1"/>
    <col min="3" max="4" width="11.42578125" style="533" customWidth="1"/>
    <col min="5" max="5" width="29.42578125" style="120" customWidth="1"/>
    <col min="6" max="6" width="16.7109375" style="120" customWidth="1"/>
    <col min="7" max="7" width="11.5703125" style="120" customWidth="1"/>
    <col min="8" max="8" width="18.7109375" style="120" customWidth="1"/>
    <col min="9" max="9" width="10.42578125" style="120" customWidth="1"/>
    <col min="10" max="10" width="14.140625" style="120" customWidth="1"/>
    <col min="11" max="11" width="10.5703125" style="120" customWidth="1"/>
    <col min="12" max="12" width="14.5703125" style="120" customWidth="1"/>
    <col min="13" max="15" width="11.42578125" style="533" customWidth="1"/>
    <col min="16" max="16384" width="11.42578125" style="120" hidden="1"/>
  </cols>
  <sheetData>
    <row r="1" spans="1:15" ht="28.5" customHeight="1" x14ac:dyDescent="0.25">
      <c r="E1" s="1827" t="s">
        <v>210</v>
      </c>
      <c r="F1" s="1828"/>
      <c r="G1" s="1828"/>
      <c r="H1" s="1828"/>
      <c r="I1" s="1828"/>
      <c r="J1" s="1828"/>
      <c r="K1" s="1828"/>
      <c r="L1" s="2191"/>
    </row>
    <row r="2" spans="1:15" x14ac:dyDescent="0.25">
      <c r="E2" s="380"/>
      <c r="F2" s="380"/>
      <c r="G2" s="380"/>
      <c r="H2" s="380"/>
      <c r="I2" s="380"/>
      <c r="J2" s="380"/>
      <c r="K2" s="380"/>
      <c r="L2" s="380"/>
    </row>
    <row r="3" spans="1:15" s="821" customFormat="1" ht="19.5" customHeight="1" x14ac:dyDescent="0.25">
      <c r="A3" s="817"/>
      <c r="B3" s="817"/>
      <c r="C3" s="817"/>
      <c r="D3" s="817"/>
      <c r="E3" s="818" t="s">
        <v>42</v>
      </c>
      <c r="F3" s="2200" t="str">
        <f>INFORMATIONS!B10</f>
        <v>SAM CONSEILS</v>
      </c>
      <c r="G3" s="2200"/>
      <c r="H3" s="2200"/>
      <c r="I3" s="819" t="s">
        <v>52</v>
      </c>
      <c r="J3" s="819"/>
      <c r="K3" s="819"/>
      <c r="L3" s="820">
        <f>INFORMATIONS!D31</f>
        <v>43465</v>
      </c>
      <c r="M3" s="817"/>
      <c r="N3" s="817"/>
      <c r="O3" s="817"/>
    </row>
    <row r="4" spans="1:15" ht="19.5" customHeight="1" x14ac:dyDescent="0.25">
      <c r="E4" s="621" t="s">
        <v>43</v>
      </c>
      <c r="F4" s="622" t="str">
        <f>INFORMATIONS!B24</f>
        <v>00084404X</v>
      </c>
      <c r="G4" s="623"/>
      <c r="H4" s="623"/>
      <c r="I4" s="822" t="s">
        <v>44</v>
      </c>
      <c r="J4" s="822"/>
      <c r="K4" s="822"/>
      <c r="L4" s="823">
        <f>INFORMATIONS!F34</f>
        <v>12</v>
      </c>
    </row>
    <row r="5" spans="1:15" x14ac:dyDescent="0.25"/>
    <row r="6" spans="1:15" ht="60" customHeight="1" x14ac:dyDescent="0.25">
      <c r="E6" s="2192" t="s">
        <v>138</v>
      </c>
      <c r="F6" s="2193"/>
      <c r="G6" s="2196" t="s">
        <v>211</v>
      </c>
      <c r="H6" s="2197"/>
      <c r="I6" s="2196" t="s">
        <v>212</v>
      </c>
      <c r="J6" s="2197"/>
      <c r="K6" s="2196" t="s">
        <v>213</v>
      </c>
      <c r="L6" s="2197"/>
    </row>
    <row r="7" spans="1:15" ht="21" customHeight="1" x14ac:dyDescent="0.25">
      <c r="E7" s="166" t="s">
        <v>1354</v>
      </c>
      <c r="F7" s="192">
        <f>INFORMATIONS!B31</f>
        <v>43101</v>
      </c>
      <c r="G7" s="2198"/>
      <c r="H7" s="2199"/>
      <c r="I7" s="2198"/>
      <c r="J7" s="2199"/>
      <c r="K7" s="2198"/>
      <c r="L7" s="2199"/>
    </row>
    <row r="8" spans="1:15" ht="21" customHeight="1" x14ac:dyDescent="0.25">
      <c r="E8" s="166" t="s">
        <v>214</v>
      </c>
      <c r="F8" s="165"/>
      <c r="G8" s="2198"/>
      <c r="H8" s="2199"/>
      <c r="I8" s="2198"/>
      <c r="J8" s="2199"/>
      <c r="K8" s="2198"/>
      <c r="L8" s="2199"/>
    </row>
    <row r="9" spans="1:15" ht="21" customHeight="1" x14ac:dyDescent="0.25">
      <c r="E9" s="193"/>
      <c r="F9" s="194"/>
      <c r="G9" s="816" t="s">
        <v>215</v>
      </c>
      <c r="H9" s="816" t="s">
        <v>216</v>
      </c>
      <c r="I9" s="816" t="s">
        <v>215</v>
      </c>
      <c r="J9" s="816" t="s">
        <v>216</v>
      </c>
      <c r="K9" s="816" t="s">
        <v>215</v>
      </c>
      <c r="L9" s="816" t="s">
        <v>216</v>
      </c>
    </row>
    <row r="10" spans="1:15" ht="21" customHeight="1" x14ac:dyDescent="0.25">
      <c r="E10" s="195"/>
      <c r="F10" s="196"/>
      <c r="G10" s="163"/>
      <c r="H10" s="163"/>
      <c r="I10" s="163"/>
      <c r="J10" s="163"/>
      <c r="K10" s="163"/>
      <c r="L10" s="163"/>
    </row>
    <row r="11" spans="1:15" ht="21" customHeight="1" x14ac:dyDescent="0.25">
      <c r="E11" s="200" t="s">
        <v>1355</v>
      </c>
      <c r="F11" s="199">
        <f>INFORMATIONS!B30</f>
        <v>2018</v>
      </c>
      <c r="G11" s="163"/>
      <c r="H11" s="163"/>
      <c r="I11" s="163"/>
      <c r="J11" s="163"/>
      <c r="K11" s="163"/>
      <c r="L11" s="164"/>
    </row>
    <row r="12" spans="1:15" ht="21" customHeight="1" x14ac:dyDescent="0.25">
      <c r="E12" s="195"/>
      <c r="F12" s="196"/>
      <c r="G12" s="163"/>
      <c r="H12" s="163"/>
      <c r="I12" s="163"/>
      <c r="J12" s="163"/>
      <c r="K12" s="163"/>
      <c r="L12" s="164"/>
    </row>
    <row r="13" spans="1:15" ht="21" customHeight="1" x14ac:dyDescent="0.25">
      <c r="E13" s="195"/>
      <c r="F13" s="196"/>
      <c r="G13" s="163"/>
      <c r="H13" s="163"/>
      <c r="I13" s="163"/>
      <c r="J13" s="163"/>
      <c r="K13" s="163"/>
      <c r="L13" s="164"/>
    </row>
    <row r="14" spans="1:15" ht="21" customHeight="1" x14ac:dyDescent="0.25">
      <c r="E14" s="197"/>
      <c r="F14" s="198"/>
      <c r="G14" s="163"/>
      <c r="H14" s="163"/>
      <c r="I14" s="163"/>
      <c r="J14" s="163"/>
      <c r="K14" s="163"/>
      <c r="L14" s="164"/>
    </row>
    <row r="15" spans="1:15" ht="21" customHeight="1" x14ac:dyDescent="0.25">
      <c r="E15" s="202" t="s">
        <v>1356</v>
      </c>
      <c r="F15" s="201">
        <f>+F11</f>
        <v>2018</v>
      </c>
      <c r="G15" s="283"/>
      <c r="H15" s="164"/>
      <c r="I15" s="283"/>
      <c r="J15" s="283"/>
      <c r="K15" s="164"/>
      <c r="L15" s="164"/>
    </row>
    <row r="16" spans="1:15" ht="21" customHeight="1" x14ac:dyDescent="0.25">
      <c r="E16" s="202" t="s">
        <v>1356</v>
      </c>
      <c r="F16" s="201">
        <f>+F15+1</f>
        <v>2019</v>
      </c>
      <c r="G16" s="283"/>
      <c r="H16" s="164"/>
      <c r="I16" s="283"/>
      <c r="J16" s="164"/>
      <c r="K16" s="283"/>
      <c r="L16" s="164"/>
    </row>
    <row r="17" spans="1:15" ht="21" customHeight="1" x14ac:dyDescent="0.25">
      <c r="E17" s="202" t="s">
        <v>1356</v>
      </c>
      <c r="F17" s="201">
        <f>+F16+1</f>
        <v>2020</v>
      </c>
      <c r="G17" s="283"/>
      <c r="H17" s="164"/>
      <c r="I17" s="283"/>
      <c r="J17" s="283"/>
      <c r="K17" s="164"/>
      <c r="L17" s="164"/>
    </row>
    <row r="18" spans="1:15" ht="21" customHeight="1" x14ac:dyDescent="0.25">
      <c r="E18" s="202" t="s">
        <v>1356</v>
      </c>
      <c r="F18" s="201">
        <f>+F17+1</f>
        <v>2021</v>
      </c>
      <c r="G18" s="283"/>
      <c r="H18" s="164"/>
      <c r="I18" s="283"/>
      <c r="J18" s="283"/>
      <c r="K18" s="164"/>
      <c r="L18" s="164"/>
    </row>
    <row r="19" spans="1:15" ht="21" customHeight="1" x14ac:dyDescent="0.25">
      <c r="E19" s="202" t="s">
        <v>1356</v>
      </c>
      <c r="F19" s="201">
        <f>+F18+1</f>
        <v>2022</v>
      </c>
      <c r="G19" s="283"/>
      <c r="H19" s="164"/>
      <c r="I19" s="283"/>
      <c r="J19" s="283"/>
      <c r="K19" s="164"/>
      <c r="L19" s="164"/>
    </row>
    <row r="20" spans="1:15" s="381" customFormat="1" ht="21" customHeight="1" x14ac:dyDescent="0.25">
      <c r="A20" s="535"/>
      <c r="B20" s="535"/>
      <c r="C20" s="535"/>
      <c r="D20" s="535"/>
      <c r="E20" s="2194" t="s">
        <v>84</v>
      </c>
      <c r="F20" s="2195"/>
      <c r="G20" s="626"/>
      <c r="H20" s="626">
        <f>SUM(H10:H19)</f>
        <v>0</v>
      </c>
      <c r="I20" s="626"/>
      <c r="J20" s="626">
        <f>SUM(J10:J19)</f>
        <v>0</v>
      </c>
      <c r="K20" s="626"/>
      <c r="L20" s="626">
        <f>SUM(L10:L19)</f>
        <v>0</v>
      </c>
      <c r="M20" s="535"/>
      <c r="N20" s="535"/>
      <c r="O20" s="535"/>
    </row>
    <row r="21" spans="1:15" s="533" customFormat="1" x14ac:dyDescent="0.25"/>
    <row r="22" spans="1:15" s="533" customFormat="1" x14ac:dyDescent="0.25"/>
    <row r="23" spans="1:15" s="533" customFormat="1" x14ac:dyDescent="0.25"/>
    <row r="24" spans="1:15" s="533" customFormat="1" x14ac:dyDescent="0.25"/>
    <row r="25" spans="1:15" s="533" customFormat="1" x14ac:dyDescent="0.25"/>
    <row r="26" spans="1:15" s="533" customFormat="1" x14ac:dyDescent="0.25"/>
    <row r="27" spans="1:15" s="533" customFormat="1" x14ac:dyDescent="0.25"/>
    <row r="28" spans="1:15" s="533" customFormat="1" x14ac:dyDescent="0.25"/>
    <row r="29" spans="1:15" s="533" customFormat="1" x14ac:dyDescent="0.25"/>
    <row r="30" spans="1:15" s="533" customFormat="1" x14ac:dyDescent="0.25"/>
    <row r="31" spans="1:15" s="533" customFormat="1" x14ac:dyDescent="0.25"/>
    <row r="32" spans="1:15" s="533" customFormat="1" x14ac:dyDescent="0.25"/>
    <row r="33" s="533" customFormat="1" x14ac:dyDescent="0.25"/>
    <row r="34" s="533" customFormat="1" x14ac:dyDescent="0.25"/>
    <row r="35" s="533" customFormat="1" x14ac:dyDescent="0.25"/>
    <row r="36" s="533" customFormat="1" x14ac:dyDescent="0.25"/>
    <row r="37" s="533" customFormat="1" x14ac:dyDescent="0.25"/>
    <row r="38" s="533" customFormat="1" x14ac:dyDescent="0.25"/>
    <row r="39" s="533" customFormat="1" x14ac:dyDescent="0.25"/>
    <row r="40" s="533" customFormat="1" x14ac:dyDescent="0.25"/>
    <row r="41" s="533" customFormat="1" x14ac:dyDescent="0.25"/>
    <row r="42" s="533" customFormat="1" x14ac:dyDescent="0.25"/>
    <row r="43" s="533" customFormat="1" x14ac:dyDescent="0.25"/>
  </sheetData>
  <sheetProtection pivotTables="0"/>
  <mergeCells count="13">
    <mergeCell ref="E1:L1"/>
    <mergeCell ref="E6:F6"/>
    <mergeCell ref="E20:F20"/>
    <mergeCell ref="K6:L6"/>
    <mergeCell ref="K7:L7"/>
    <mergeCell ref="G8:H8"/>
    <mergeCell ref="I8:J8"/>
    <mergeCell ref="K8:L8"/>
    <mergeCell ref="G6:H6"/>
    <mergeCell ref="G7:H7"/>
    <mergeCell ref="I7:J7"/>
    <mergeCell ref="I6:J6"/>
    <mergeCell ref="F3:H3"/>
  </mergeCells>
  <printOptions horizontalCentered="1"/>
  <pageMargins left="0.19685039370078741" right="0.11811023622047245" top="0" bottom="0.35433070866141736" header="0.31496062992125984" footer="0.31496062992125984"/>
  <pageSetup paperSize="9" scale="9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rgb="FF43C6E5"/>
  </sheetPr>
  <dimension ref="A1:M49"/>
  <sheetViews>
    <sheetView topLeftCell="B7" zoomScaleNormal="100" workbookViewId="0">
      <selection activeCell="H36" sqref="H36"/>
    </sheetView>
  </sheetViews>
  <sheetFormatPr baseColWidth="10" defaultColWidth="0" defaultRowHeight="15" zeroHeight="1" x14ac:dyDescent="0.25"/>
  <cols>
    <col min="1" max="1" width="11.42578125" style="345" customWidth="1"/>
    <col min="2" max="4" width="11.42578125" style="537" customWidth="1"/>
    <col min="5" max="5" width="29.42578125" style="345" customWidth="1"/>
    <col min="6" max="6" width="26.42578125" style="345" customWidth="1"/>
    <col min="7" max="7" width="21.140625" style="345" customWidth="1"/>
    <col min="8" max="8" width="20.7109375" style="345" customWidth="1"/>
    <col min="9" max="9" width="14" style="345" customWidth="1"/>
    <col min="10" max="13" width="11.42578125" style="537" customWidth="1"/>
    <col min="14" max="16384" width="11.42578125" style="345" hidden="1"/>
  </cols>
  <sheetData>
    <row r="1" spans="2:13" ht="28.5" customHeight="1" x14ac:dyDescent="0.25">
      <c r="E1" s="2135" t="s">
        <v>225</v>
      </c>
      <c r="F1" s="2136"/>
      <c r="G1" s="2136"/>
      <c r="H1" s="2136"/>
      <c r="I1" s="2137"/>
    </row>
    <row r="2" spans="2:13" x14ac:dyDescent="0.25">
      <c r="E2" s="388"/>
      <c r="F2" s="388"/>
      <c r="G2" s="388"/>
      <c r="H2" s="388"/>
      <c r="I2" s="388"/>
    </row>
    <row r="3" spans="2:13" s="746" customFormat="1" ht="31.5" customHeight="1" x14ac:dyDescent="0.25">
      <c r="B3" s="745"/>
      <c r="C3" s="745"/>
      <c r="D3" s="745"/>
      <c r="E3" s="712" t="s">
        <v>42</v>
      </c>
      <c r="F3" s="2185" t="str">
        <f>INFORMATIONS!B10</f>
        <v>SAM CONSEILS</v>
      </c>
      <c r="G3" s="2185"/>
      <c r="H3" s="713" t="s">
        <v>52</v>
      </c>
      <c r="I3" s="714">
        <f>INFORMATIONS!D31</f>
        <v>43465</v>
      </c>
      <c r="J3" s="745"/>
      <c r="K3" s="745"/>
      <c r="L3" s="745"/>
      <c r="M3" s="745"/>
    </row>
    <row r="4" spans="2:13" ht="19.5" customHeight="1" x14ac:dyDescent="0.25">
      <c r="E4" s="632" t="s">
        <v>43</v>
      </c>
      <c r="F4" s="633" t="str">
        <f>INFORMATIONS!B24</f>
        <v>00084404X</v>
      </c>
      <c r="G4" s="634"/>
      <c r="H4" s="666" t="s">
        <v>44</v>
      </c>
      <c r="I4" s="667">
        <f>INFORMATIONS!F34</f>
        <v>12</v>
      </c>
    </row>
    <row r="5" spans="2:13" x14ac:dyDescent="0.25"/>
    <row r="6" spans="2:13" ht="39.75" customHeight="1" x14ac:dyDescent="0.25">
      <c r="E6" s="2178" t="s">
        <v>138</v>
      </c>
      <c r="F6" s="2179"/>
      <c r="G6" s="715" t="s">
        <v>139</v>
      </c>
      <c r="H6" s="715" t="s">
        <v>140</v>
      </c>
      <c r="I6" s="715" t="s">
        <v>141</v>
      </c>
    </row>
    <row r="7" spans="2:13" ht="21" customHeight="1" x14ac:dyDescent="0.25">
      <c r="E7" s="423" t="s">
        <v>217</v>
      </c>
      <c r="F7" s="425"/>
      <c r="G7" s="427">
        <f>SUMPRODUCT(((LEFT(BalanceN!$A$4:$A$9999,3)="501"))*BalanceN!$G$4:$G$9999)</f>
        <v>0</v>
      </c>
      <c r="H7" s="427">
        <f>SUMPRODUCT(((LEFT(BalanceN!$A$4:$A$9999,3)="501"))*BalanceN!$C$4:$C$9999)</f>
        <v>0</v>
      </c>
      <c r="I7" s="802" t="str">
        <f>IF(H7=0,"-",(G7-H7)/H7)</f>
        <v>-</v>
      </c>
    </row>
    <row r="8" spans="2:13" ht="21" customHeight="1" x14ac:dyDescent="0.25">
      <c r="E8" s="423" t="s">
        <v>218</v>
      </c>
      <c r="F8" s="425"/>
      <c r="G8" s="427">
        <f>SUMPRODUCT(((LEFT(BalanceN!$A$4:$A$9999,3)="502"))*BalanceN!$G$4:$G$9999)</f>
        <v>0</v>
      </c>
      <c r="H8" s="427">
        <f>SUMPRODUCT(((LEFT(BalanceN!$A$4:$A$9999,3)="502"))*BalanceN!$C$4:$C$9999)</f>
        <v>0</v>
      </c>
      <c r="I8" s="802" t="str">
        <f t="shared" ref="I8:I16" si="0">IF(H8=0,"-",(G8-H8)/H8)</f>
        <v>-</v>
      </c>
    </row>
    <row r="9" spans="2:13" ht="21" customHeight="1" x14ac:dyDescent="0.25">
      <c r="E9" s="423" t="s">
        <v>219</v>
      </c>
      <c r="F9" s="425"/>
      <c r="G9" s="427">
        <f>SUMPRODUCT(((LEFT(BalanceN!$A$4:$A$9999,3)="503"))*BalanceN!$G$4:$G$9999)</f>
        <v>0</v>
      </c>
      <c r="H9" s="427">
        <f>SUMPRODUCT(((LEFT(BalanceN!$A$4:$A$9999,3)="503"))*BalanceN!$C$4:$C$9999)</f>
        <v>0</v>
      </c>
      <c r="I9" s="802" t="str">
        <f t="shared" si="0"/>
        <v>-</v>
      </c>
    </row>
    <row r="10" spans="2:13" ht="21" customHeight="1" x14ac:dyDescent="0.25">
      <c r="E10" s="423" t="s">
        <v>220</v>
      </c>
      <c r="F10" s="425"/>
      <c r="G10" s="427">
        <f>SUMPRODUCT(((LEFT(BalanceN!$A$4:$A$9999,3)="504"))*BalanceN!$G$4:$G$9999)</f>
        <v>0</v>
      </c>
      <c r="H10" s="427">
        <f>SUMPRODUCT(((LEFT(BalanceN!$A$4:$A$9999,3)="504"))*BalanceN!$C$4:$C$9999)</f>
        <v>0</v>
      </c>
      <c r="I10" s="802" t="str">
        <f t="shared" si="0"/>
        <v>-</v>
      </c>
    </row>
    <row r="11" spans="2:13" ht="21" customHeight="1" x14ac:dyDescent="0.25">
      <c r="E11" s="423" t="s">
        <v>221</v>
      </c>
      <c r="F11" s="425"/>
      <c r="G11" s="427">
        <f>SUMPRODUCT(((LEFT(BalanceN!$A$4:$A$9999,3)="505"))*BalanceN!$G$4:$G$9999)</f>
        <v>0</v>
      </c>
      <c r="H11" s="427">
        <f>SUMPRODUCT(((LEFT(BalanceN!$A$4:$A$9999,3)="505"))*BalanceN!$C$4:$C$9999)</f>
        <v>0</v>
      </c>
      <c r="I11" s="802" t="str">
        <f t="shared" si="0"/>
        <v>-</v>
      </c>
    </row>
    <row r="12" spans="2:13" ht="21" customHeight="1" x14ac:dyDescent="0.25">
      <c r="E12" s="423" t="s">
        <v>150</v>
      </c>
      <c r="F12" s="425"/>
      <c r="G12" s="427">
        <f>SUMPRODUCT(((LEFT(BalanceN!$A$4:$A$9999,3)="506"))*BalanceN!$G$4:$G$9999)</f>
        <v>0</v>
      </c>
      <c r="H12" s="427">
        <f>SUMPRODUCT(((LEFT(BalanceN!$A$4:$A$9999,3)="506"))*BalanceN!$C$4:$C$9999)</f>
        <v>0</v>
      </c>
      <c r="I12" s="802" t="str">
        <f t="shared" si="0"/>
        <v>-</v>
      </c>
    </row>
    <row r="13" spans="2:13" ht="21" customHeight="1" x14ac:dyDescent="0.25">
      <c r="E13" s="423" t="s">
        <v>222</v>
      </c>
      <c r="F13" s="425"/>
      <c r="G13" s="427">
        <f>SUMPRODUCT(((LEFT(BalanceN!$A$4:$A$9999,3)="508"))*BalanceN!$G$4:$G$9999)</f>
        <v>0</v>
      </c>
      <c r="H13" s="427">
        <f>SUMPRODUCT(((LEFT(BalanceN!$A$4:$A$9999,3)="508"))*BalanceN!$C$4:$C$9999)</f>
        <v>0</v>
      </c>
      <c r="I13" s="802" t="str">
        <f t="shared" si="0"/>
        <v>-</v>
      </c>
    </row>
    <row r="14" spans="2:13" s="422" customFormat="1" ht="21.75" customHeight="1" x14ac:dyDescent="0.25">
      <c r="B14" s="546"/>
      <c r="C14" s="546"/>
      <c r="D14" s="546"/>
      <c r="E14" s="2026" t="s">
        <v>223</v>
      </c>
      <c r="F14" s="2028"/>
      <c r="G14" s="735">
        <f>SUM(G7:G13)</f>
        <v>0</v>
      </c>
      <c r="H14" s="735">
        <f>SUM(H7:H13)</f>
        <v>0</v>
      </c>
      <c r="I14" s="803" t="str">
        <f t="shared" si="0"/>
        <v>-</v>
      </c>
      <c r="J14" s="546"/>
      <c r="K14" s="546"/>
      <c r="L14" s="546"/>
      <c r="M14" s="546"/>
    </row>
    <row r="15" spans="2:13" ht="21" customHeight="1" x14ac:dyDescent="0.25">
      <c r="E15" s="423" t="s">
        <v>224</v>
      </c>
      <c r="F15" s="425"/>
      <c r="G15" s="427">
        <f>SUMPRODUCT(((LEFT(BalanceN!$A$4:$A$9999,3)="590"))*BalanceN!$H$4:$H$9999)</f>
        <v>0</v>
      </c>
      <c r="H15" s="427">
        <f>SUMPRODUCT(((LEFT(BalanceN!$A$4:$A$9999,3)="590"))*BalanceN!$D$4:$D$9999)</f>
        <v>0</v>
      </c>
      <c r="I15" s="802" t="str">
        <f t="shared" si="0"/>
        <v>-</v>
      </c>
    </row>
    <row r="16" spans="2:13" s="422" customFormat="1" ht="21" customHeight="1" x14ac:dyDescent="0.25">
      <c r="B16" s="546"/>
      <c r="C16" s="546"/>
      <c r="D16" s="546"/>
      <c r="E16" s="2186" t="s">
        <v>154</v>
      </c>
      <c r="F16" s="2187"/>
      <c r="G16" s="735">
        <f>G14-G15</f>
        <v>0</v>
      </c>
      <c r="H16" s="735">
        <f>H14-H15</f>
        <v>0</v>
      </c>
      <c r="I16" s="803" t="str">
        <f t="shared" si="0"/>
        <v>-</v>
      </c>
      <c r="J16" s="546"/>
      <c r="K16" s="546"/>
      <c r="L16" s="546"/>
      <c r="M16" s="546"/>
    </row>
    <row r="17" spans="5:9" x14ac:dyDescent="0.25"/>
    <row r="18" spans="5:9" x14ac:dyDescent="0.25">
      <c r="E18" s="422" t="s">
        <v>1348</v>
      </c>
    </row>
    <row r="19" spans="5:9" x14ac:dyDescent="0.25">
      <c r="E19" s="2201"/>
      <c r="F19" s="2201"/>
      <c r="G19" s="2201"/>
      <c r="H19" s="2201"/>
      <c r="I19" s="2201"/>
    </row>
    <row r="20" spans="5:9" x14ac:dyDescent="0.25">
      <c r="E20" s="2201"/>
      <c r="F20" s="2201"/>
      <c r="G20" s="2201"/>
      <c r="H20" s="2201"/>
      <c r="I20" s="2201"/>
    </row>
    <row r="21" spans="5:9" x14ac:dyDescent="0.25">
      <c r="E21" s="2201"/>
      <c r="F21" s="2201"/>
      <c r="G21" s="2201"/>
      <c r="H21" s="2201"/>
      <c r="I21" s="2201"/>
    </row>
    <row r="22" spans="5:9" x14ac:dyDescent="0.25">
      <c r="E22" s="2201"/>
      <c r="F22" s="2201"/>
      <c r="G22" s="2201"/>
      <c r="H22" s="2201"/>
      <c r="I22" s="2201"/>
    </row>
    <row r="23" spans="5:9" x14ac:dyDescent="0.25">
      <c r="E23" s="2201"/>
      <c r="F23" s="2201"/>
      <c r="G23" s="2201"/>
      <c r="H23" s="2201"/>
      <c r="I23" s="2201"/>
    </row>
    <row r="24" spans="5:9" x14ac:dyDescent="0.25">
      <c r="E24" s="2201"/>
      <c r="F24" s="2201"/>
      <c r="G24" s="2201"/>
      <c r="H24" s="2201"/>
      <c r="I24" s="2201"/>
    </row>
    <row r="25" spans="5:9" x14ac:dyDescent="0.25">
      <c r="E25" s="2201"/>
      <c r="F25" s="2201"/>
      <c r="G25" s="2201"/>
      <c r="H25" s="2201"/>
      <c r="I25" s="2201"/>
    </row>
    <row r="26" spans="5:9" s="537" customFormat="1" x14ac:dyDescent="0.25"/>
    <row r="27" spans="5:9" s="537" customFormat="1" x14ac:dyDescent="0.25"/>
    <row r="28" spans="5:9" s="537" customFormat="1" x14ac:dyDescent="0.25"/>
    <row r="29" spans="5:9" s="537" customFormat="1" x14ac:dyDescent="0.25"/>
    <row r="30" spans="5:9" s="537" customFormat="1" x14ac:dyDescent="0.25"/>
    <row r="31" spans="5:9" s="537" customFormat="1" x14ac:dyDescent="0.25"/>
    <row r="32" spans="5:9" s="537" customFormat="1" x14ac:dyDescent="0.25"/>
    <row r="33" s="537" customFormat="1" x14ac:dyDescent="0.25"/>
    <row r="34" s="537" customFormat="1" x14ac:dyDescent="0.25"/>
    <row r="35" s="537" customFormat="1" x14ac:dyDescent="0.25"/>
    <row r="36" s="537" customFormat="1" x14ac:dyDescent="0.25"/>
    <row r="37" s="537" customFormat="1" x14ac:dyDescent="0.25"/>
    <row r="38" s="537" customFormat="1" x14ac:dyDescent="0.25"/>
    <row r="39" s="537" customFormat="1" x14ac:dyDescent="0.25"/>
    <row r="40" s="537" customFormat="1" x14ac:dyDescent="0.25"/>
    <row r="41" s="537" customFormat="1" x14ac:dyDescent="0.25"/>
    <row r="42" s="537" customFormat="1" x14ac:dyDescent="0.25"/>
    <row r="43" s="537" customFormat="1" x14ac:dyDescent="0.25"/>
    <row r="44" s="537" customFormat="1" x14ac:dyDescent="0.25"/>
    <row r="45" s="537" customFormat="1" x14ac:dyDescent="0.25"/>
    <row r="46" s="537" customFormat="1" x14ac:dyDescent="0.25"/>
    <row r="47" s="537" customFormat="1" x14ac:dyDescent="0.25"/>
    <row r="48" s="537" customFormat="1" x14ac:dyDescent="0.25"/>
    <row r="49" s="537" customFormat="1" x14ac:dyDescent="0.25"/>
  </sheetData>
  <sheetProtection algorithmName="SHA-512" hashValue="liveCQ286Ih88dyfl8l3Kh6nPyds59U8JSBpMgPsWE5C6yg/dGrNS4a44zsNUxTH+GtihkMJqHi3pqqM3YPzcA==" saltValue="S3ElosrmJzvsCZTGo2j0tg==" spinCount="100000" sheet="1" formatCells="0" formatColumns="0" formatRows="0" pivotTables="0"/>
  <mergeCells count="6">
    <mergeCell ref="E19:I25"/>
    <mergeCell ref="E1:I1"/>
    <mergeCell ref="E6:F6"/>
    <mergeCell ref="E14:F14"/>
    <mergeCell ref="E16:F16"/>
    <mergeCell ref="F3:G3"/>
  </mergeCells>
  <printOptions horizontalCentered="1"/>
  <pageMargins left="0.19685039370078741" right="0.11811023622047244" top="0" bottom="0.3543307086614173" header="0.31496062992125984" footer="0.31496062992125984"/>
  <pageSetup paperSize="9" scale="8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43C6E5"/>
  </sheetPr>
  <dimension ref="A1:M48"/>
  <sheetViews>
    <sheetView zoomScaleNormal="100" workbookViewId="0">
      <selection activeCell="H36" sqref="H36"/>
    </sheetView>
  </sheetViews>
  <sheetFormatPr baseColWidth="10" defaultColWidth="0" defaultRowHeight="15" zeroHeight="1" x14ac:dyDescent="0.25"/>
  <cols>
    <col min="1" max="4" width="11.42578125" style="537" customWidth="1"/>
    <col min="5" max="5" width="27.7109375" style="537" customWidth="1"/>
    <col min="6" max="6" width="27.42578125" style="537" customWidth="1"/>
    <col min="7" max="7" width="20.42578125" style="537" customWidth="1"/>
    <col min="8" max="8" width="19.7109375" style="537" customWidth="1"/>
    <col min="9" max="9" width="14" style="537" customWidth="1"/>
    <col min="10" max="13" width="11.42578125" style="537" customWidth="1"/>
    <col min="14" max="16384" width="11.42578125" style="537" hidden="1"/>
  </cols>
  <sheetData>
    <row r="1" spans="1:13" s="345" customFormat="1" ht="28.5" customHeight="1" x14ac:dyDescent="0.25">
      <c r="A1" s="537"/>
      <c r="B1" s="537"/>
      <c r="C1" s="537"/>
      <c r="D1" s="537"/>
      <c r="E1" s="2135" t="s">
        <v>226</v>
      </c>
      <c r="F1" s="2136"/>
      <c r="G1" s="2136"/>
      <c r="H1" s="2136"/>
      <c r="I1" s="2137"/>
      <c r="J1" s="537"/>
      <c r="K1" s="537"/>
      <c r="L1" s="537"/>
      <c r="M1" s="537"/>
    </row>
    <row r="2" spans="1:13" s="345" customFormat="1" x14ac:dyDescent="0.25">
      <c r="A2" s="537"/>
      <c r="B2" s="537"/>
      <c r="C2" s="537"/>
      <c r="D2" s="537"/>
      <c r="E2" s="388"/>
      <c r="F2" s="388"/>
      <c r="G2" s="388"/>
      <c r="H2" s="388"/>
      <c r="I2" s="388"/>
      <c r="J2" s="537"/>
      <c r="K2" s="537"/>
      <c r="L2" s="537"/>
      <c r="M2" s="537"/>
    </row>
    <row r="3" spans="1:13" s="746" customFormat="1" ht="31.5" customHeight="1" x14ac:dyDescent="0.25">
      <c r="A3" s="745"/>
      <c r="B3" s="745"/>
      <c r="C3" s="745"/>
      <c r="D3" s="745"/>
      <c r="E3" s="712" t="s">
        <v>42</v>
      </c>
      <c r="F3" s="2185" t="str">
        <f>INFORMATIONS!B10</f>
        <v>SAM CONSEILS</v>
      </c>
      <c r="G3" s="2185"/>
      <c r="H3" s="713" t="s">
        <v>52</v>
      </c>
      <c r="I3" s="714">
        <f>INFORMATIONS!D31</f>
        <v>43465</v>
      </c>
      <c r="J3" s="745"/>
      <c r="K3" s="745"/>
      <c r="L3" s="745"/>
      <c r="M3" s="745"/>
    </row>
    <row r="4" spans="1:13" s="345" customFormat="1" ht="19.5" customHeight="1" x14ac:dyDescent="0.25">
      <c r="A4" s="537"/>
      <c r="B4" s="537"/>
      <c r="C4" s="537"/>
      <c r="D4" s="537"/>
      <c r="E4" s="632" t="s">
        <v>43</v>
      </c>
      <c r="F4" s="633" t="str">
        <f>INFORMATIONS!B24</f>
        <v>00084404X</v>
      </c>
      <c r="G4" s="634"/>
      <c r="H4" s="666" t="s">
        <v>44</v>
      </c>
      <c r="I4" s="667">
        <f>INFORMATIONS!F34</f>
        <v>12</v>
      </c>
      <c r="J4" s="537"/>
      <c r="K4" s="537"/>
      <c r="L4" s="537"/>
      <c r="M4" s="537"/>
    </row>
    <row r="5" spans="1:13" s="345" customFormat="1" x14ac:dyDescent="0.25">
      <c r="A5" s="537"/>
      <c r="B5" s="537"/>
      <c r="C5" s="537"/>
      <c r="D5" s="537"/>
      <c r="J5" s="537"/>
      <c r="K5" s="537"/>
      <c r="L5" s="537"/>
      <c r="M5" s="537"/>
    </row>
    <row r="6" spans="1:13" s="345" customFormat="1" ht="39.75" customHeight="1" x14ac:dyDescent="0.25">
      <c r="A6" s="537"/>
      <c r="B6" s="537"/>
      <c r="C6" s="537"/>
      <c r="D6" s="537"/>
      <c r="E6" s="2178" t="s">
        <v>138</v>
      </c>
      <c r="F6" s="2179"/>
      <c r="G6" s="715" t="s">
        <v>139</v>
      </c>
      <c r="H6" s="715" t="s">
        <v>140</v>
      </c>
      <c r="I6" s="715" t="s">
        <v>141</v>
      </c>
      <c r="J6" s="537"/>
      <c r="K6" s="537"/>
      <c r="L6" s="537"/>
      <c r="M6" s="537"/>
    </row>
    <row r="7" spans="1:13" s="345" customFormat="1" ht="21" customHeight="1" x14ac:dyDescent="0.25">
      <c r="A7" s="537"/>
      <c r="B7" s="537"/>
      <c r="C7" s="537"/>
      <c r="D7" s="537"/>
      <c r="E7" s="423" t="s">
        <v>227</v>
      </c>
      <c r="F7" s="425"/>
      <c r="G7" s="427">
        <f>SUMPRODUCT(((LEFT(BalanceN!$A$4:$A$9999,3)="511"))*BalanceN!$G$4:$G$9999)</f>
        <v>0</v>
      </c>
      <c r="H7" s="427">
        <f>SUMPRODUCT(((LEFT(BalanceN!$A$4:$A$9999,3)="511"))*BalanceN!$C$4:$C$9999)</f>
        <v>0</v>
      </c>
      <c r="I7" s="723" t="str">
        <f>IF(H7=0,"-",(G7-H7)/H7)</f>
        <v>-</v>
      </c>
      <c r="J7" s="537"/>
      <c r="K7" s="537"/>
      <c r="L7" s="537"/>
      <c r="M7" s="537"/>
    </row>
    <row r="8" spans="1:13" s="345" customFormat="1" ht="21" customHeight="1" x14ac:dyDescent="0.25">
      <c r="A8" s="537"/>
      <c r="B8" s="537"/>
      <c r="C8" s="537"/>
      <c r="D8" s="537"/>
      <c r="E8" s="423" t="s">
        <v>228</v>
      </c>
      <c r="F8" s="425"/>
      <c r="G8" s="427">
        <f>SUMPRODUCT(((LEFT(BalanceN!$A$4:$A$9999,3)="512"))*BalanceN!$G$4:$G$9999)</f>
        <v>0</v>
      </c>
      <c r="H8" s="427">
        <f>SUMPRODUCT(((LEFT(BalanceN!$A$4:$A$9999,3)="512"))*BalanceN!$C$4:$C$9999)</f>
        <v>0</v>
      </c>
      <c r="I8" s="723" t="str">
        <f t="shared" ref="I8:I15" si="0">IF(H8=0,"-",(G8-H8)/H8)</f>
        <v>-</v>
      </c>
      <c r="J8" s="537"/>
      <c r="K8" s="537"/>
      <c r="L8" s="537"/>
      <c r="M8" s="537"/>
    </row>
    <row r="9" spans="1:13" s="345" customFormat="1" ht="21" customHeight="1" x14ac:dyDescent="0.25">
      <c r="A9" s="537"/>
      <c r="B9" s="537"/>
      <c r="C9" s="537"/>
      <c r="D9" s="537"/>
      <c r="E9" s="423" t="s">
        <v>229</v>
      </c>
      <c r="F9" s="425"/>
      <c r="G9" s="427">
        <f>SUMPRODUCT(((LEFT(BalanceN!$A$4:$A$9999,3)="513"))*BalanceN!$G$4:$G$9999)</f>
        <v>0</v>
      </c>
      <c r="H9" s="427">
        <f>SUMPRODUCT(((LEFT(BalanceN!$A$4:$A$9999,3)="513"))*BalanceN!$C$4:$C$9999)</f>
        <v>0</v>
      </c>
      <c r="I9" s="723" t="str">
        <f t="shared" si="0"/>
        <v>-</v>
      </c>
      <c r="J9" s="537"/>
      <c r="K9" s="537"/>
      <c r="L9" s="537"/>
      <c r="M9" s="537"/>
    </row>
    <row r="10" spans="1:13" s="345" customFormat="1" ht="21" customHeight="1" x14ac:dyDescent="0.25">
      <c r="A10" s="537"/>
      <c r="B10" s="537"/>
      <c r="C10" s="537"/>
      <c r="D10" s="537"/>
      <c r="E10" s="423" t="s">
        <v>230</v>
      </c>
      <c r="F10" s="425"/>
      <c r="G10" s="427">
        <f>SUMPRODUCT(((LEFT(BalanceN!$A$4:$A$9999,3)="514"))*BalanceN!$G$4:$G$9999)</f>
        <v>0</v>
      </c>
      <c r="H10" s="427">
        <f>SUMPRODUCT(((LEFT(BalanceN!$A$4:$A$9999,3)="514"))*BalanceN!$C$4:$C$9999)</f>
        <v>0</v>
      </c>
      <c r="I10" s="723" t="str">
        <f t="shared" si="0"/>
        <v>-</v>
      </c>
      <c r="J10" s="537"/>
      <c r="K10" s="537"/>
      <c r="L10" s="537"/>
      <c r="M10" s="537"/>
    </row>
    <row r="11" spans="1:13" s="345" customFormat="1" ht="21" customHeight="1" x14ac:dyDescent="0.25">
      <c r="A11" s="537"/>
      <c r="B11" s="537"/>
      <c r="C11" s="537"/>
      <c r="D11" s="537"/>
      <c r="E11" s="423" t="s">
        <v>231</v>
      </c>
      <c r="F11" s="425"/>
      <c r="G11" s="427">
        <f>SUMPRODUCT(((LEFT(BalanceN!$A$4:$A$9999,3)="515"))*BalanceN!$G$4:$G$9999)</f>
        <v>0</v>
      </c>
      <c r="H11" s="427">
        <f>SUMPRODUCT(((LEFT(BalanceN!$A$4:$A$9999,3)="515"))*BalanceN!$C$4:$C$9999)</f>
        <v>0</v>
      </c>
      <c r="I11" s="723" t="str">
        <f t="shared" si="0"/>
        <v>-</v>
      </c>
      <c r="J11" s="537"/>
      <c r="K11" s="537"/>
      <c r="L11" s="537"/>
      <c r="M11" s="537"/>
    </row>
    <row r="12" spans="1:13" s="345" customFormat="1" ht="21" customHeight="1" x14ac:dyDescent="0.25">
      <c r="A12" s="537"/>
      <c r="B12" s="537"/>
      <c r="C12" s="537"/>
      <c r="D12" s="537"/>
      <c r="E12" s="423" t="s">
        <v>232</v>
      </c>
      <c r="F12" s="425"/>
      <c r="G12" s="427">
        <f>SUMPRODUCT(((LEFT(BalanceN!$A$4:$A$9999,3)="518"))*BalanceN!$G$4:$G$9999)</f>
        <v>0</v>
      </c>
      <c r="H12" s="427">
        <f>SUMPRODUCT(((LEFT(BalanceN!$A$4:$A$9999,3)="518"))*BalanceN!$C$4:$C$9999)</f>
        <v>0</v>
      </c>
      <c r="I12" s="723" t="str">
        <f t="shared" si="0"/>
        <v>-</v>
      </c>
      <c r="J12" s="537"/>
      <c r="K12" s="537"/>
      <c r="L12" s="537"/>
      <c r="M12" s="537"/>
    </row>
    <row r="13" spans="1:13" s="422" customFormat="1" ht="21.75" customHeight="1" x14ac:dyDescent="0.25">
      <c r="A13" s="546"/>
      <c r="B13" s="546"/>
      <c r="C13" s="546"/>
      <c r="D13" s="546"/>
      <c r="E13" s="2026" t="s">
        <v>233</v>
      </c>
      <c r="F13" s="2028"/>
      <c r="G13" s="735">
        <f>SUM(G7:G12)</f>
        <v>0</v>
      </c>
      <c r="H13" s="735">
        <f>SUM(H7:H12)</f>
        <v>0</v>
      </c>
      <c r="I13" s="736" t="str">
        <f t="shared" si="0"/>
        <v>-</v>
      </c>
      <c r="J13" s="546"/>
      <c r="K13" s="546"/>
      <c r="L13" s="546"/>
      <c r="M13" s="546"/>
    </row>
    <row r="14" spans="1:13" s="345" customFormat="1" ht="21" customHeight="1" x14ac:dyDescent="0.25">
      <c r="A14" s="537"/>
      <c r="B14" s="537"/>
      <c r="C14" s="537"/>
      <c r="D14" s="537"/>
      <c r="E14" s="423" t="s">
        <v>234</v>
      </c>
      <c r="F14" s="425"/>
      <c r="G14" s="427">
        <f>SUMPRODUCT(((LEFT(BalanceN!$A$4:$A$9999,3)="591"))*BalanceN!$H$4:$H$9999)</f>
        <v>0</v>
      </c>
      <c r="H14" s="427">
        <f>SUMPRODUCT(((LEFT(BalanceN!$A$4:$A$9999,3)="591"))*BalanceN!$D$4:$D$9999)</f>
        <v>0</v>
      </c>
      <c r="I14" s="723" t="str">
        <f t="shared" si="0"/>
        <v>-</v>
      </c>
      <c r="J14" s="537"/>
      <c r="K14" s="537"/>
      <c r="L14" s="537"/>
      <c r="M14" s="537"/>
    </row>
    <row r="15" spans="1:13" s="422" customFormat="1" ht="21" customHeight="1" x14ac:dyDescent="0.25">
      <c r="A15" s="546"/>
      <c r="B15" s="546"/>
      <c r="C15" s="546"/>
      <c r="D15" s="546"/>
      <c r="E15" s="2186" t="s">
        <v>154</v>
      </c>
      <c r="F15" s="2187"/>
      <c r="G15" s="735">
        <f>G13-G14</f>
        <v>0</v>
      </c>
      <c r="H15" s="735">
        <f>H13-H14</f>
        <v>0</v>
      </c>
      <c r="I15" s="736" t="str">
        <f t="shared" si="0"/>
        <v>-</v>
      </c>
      <c r="J15" s="546"/>
      <c r="K15" s="546"/>
      <c r="L15" s="546"/>
      <c r="M15" s="546"/>
    </row>
    <row r="16" spans="1:13" s="345" customFormat="1" x14ac:dyDescent="0.25">
      <c r="A16" s="537"/>
      <c r="B16" s="537"/>
      <c r="C16" s="537"/>
      <c r="D16" s="537"/>
      <c r="J16" s="537"/>
      <c r="K16" s="537"/>
      <c r="L16" s="537"/>
      <c r="M16" s="537"/>
    </row>
    <row r="17" spans="1:13" s="345" customFormat="1" x14ac:dyDescent="0.25">
      <c r="A17" s="537"/>
      <c r="B17" s="537"/>
      <c r="C17" s="537"/>
      <c r="D17" s="537"/>
      <c r="E17" s="645" t="s">
        <v>1348</v>
      </c>
      <c r="J17" s="537"/>
      <c r="K17" s="537"/>
      <c r="L17" s="537"/>
      <c r="M17" s="537"/>
    </row>
    <row r="18" spans="1:13" s="345" customFormat="1" x14ac:dyDescent="0.25">
      <c r="A18" s="537"/>
      <c r="B18" s="537"/>
      <c r="C18" s="537"/>
      <c r="D18" s="537"/>
      <c r="E18" s="2166"/>
      <c r="F18" s="2166"/>
      <c r="G18" s="2166"/>
      <c r="H18" s="2166"/>
      <c r="I18" s="2166"/>
      <c r="J18" s="537"/>
      <c r="K18" s="537"/>
      <c r="L18" s="537"/>
      <c r="M18" s="537"/>
    </row>
    <row r="19" spans="1:13" s="345" customFormat="1" x14ac:dyDescent="0.25">
      <c r="A19" s="537"/>
      <c r="B19" s="537"/>
      <c r="C19" s="537"/>
      <c r="D19" s="537"/>
      <c r="E19" s="2166"/>
      <c r="F19" s="2166"/>
      <c r="G19" s="2166"/>
      <c r="H19" s="2166"/>
      <c r="I19" s="2166"/>
      <c r="J19" s="537"/>
      <c r="K19" s="537"/>
      <c r="L19" s="537"/>
      <c r="M19" s="537"/>
    </row>
    <row r="20" spans="1:13" s="345" customFormat="1" x14ac:dyDescent="0.25">
      <c r="A20" s="537"/>
      <c r="B20" s="537"/>
      <c r="C20" s="537"/>
      <c r="D20" s="537"/>
      <c r="E20" s="2166"/>
      <c r="F20" s="2166"/>
      <c r="G20" s="2166"/>
      <c r="H20" s="2166"/>
      <c r="I20" s="2166"/>
      <c r="J20" s="537"/>
      <c r="K20" s="537"/>
      <c r="L20" s="537"/>
      <c r="M20" s="537"/>
    </row>
    <row r="21" spans="1:13" s="345" customFormat="1" x14ac:dyDescent="0.25">
      <c r="A21" s="537"/>
      <c r="B21" s="537"/>
      <c r="C21" s="537"/>
      <c r="D21" s="537"/>
      <c r="E21" s="2166"/>
      <c r="F21" s="2166"/>
      <c r="G21" s="2166"/>
      <c r="H21" s="2166"/>
      <c r="I21" s="2166"/>
      <c r="J21" s="537"/>
      <c r="K21" s="537"/>
      <c r="L21" s="537"/>
      <c r="M21" s="537"/>
    </row>
    <row r="22" spans="1:13" s="345" customFormat="1" x14ac:dyDescent="0.25">
      <c r="A22" s="537"/>
      <c r="B22" s="537"/>
      <c r="C22" s="537"/>
      <c r="D22" s="537"/>
      <c r="E22" s="2166"/>
      <c r="F22" s="2166"/>
      <c r="G22" s="2166"/>
      <c r="H22" s="2166"/>
      <c r="I22" s="2166"/>
      <c r="J22" s="537"/>
      <c r="K22" s="537"/>
      <c r="L22" s="537"/>
      <c r="M22" s="537"/>
    </row>
    <row r="23" spans="1:13" s="345" customFormat="1" x14ac:dyDescent="0.25">
      <c r="A23" s="537"/>
      <c r="B23" s="537"/>
      <c r="C23" s="537"/>
      <c r="D23" s="537"/>
      <c r="E23" s="2166"/>
      <c r="F23" s="2166"/>
      <c r="G23" s="2166"/>
      <c r="H23" s="2166"/>
      <c r="I23" s="2166"/>
      <c r="J23" s="537"/>
      <c r="K23" s="537"/>
      <c r="L23" s="537"/>
      <c r="M23" s="537"/>
    </row>
    <row r="24" spans="1:13" s="345" customFormat="1" x14ac:dyDescent="0.25">
      <c r="A24" s="537"/>
      <c r="B24" s="537"/>
      <c r="C24" s="537"/>
      <c r="D24" s="537"/>
      <c r="E24" s="2166"/>
      <c r="F24" s="2166"/>
      <c r="G24" s="2166"/>
      <c r="H24" s="2166"/>
      <c r="I24" s="2166"/>
      <c r="J24" s="537"/>
      <c r="K24" s="537"/>
      <c r="L24" s="537"/>
      <c r="M24" s="537"/>
    </row>
    <row r="25" spans="1:13" x14ac:dyDescent="0.25"/>
    <row r="26" spans="1:13" x14ac:dyDescent="0.25"/>
    <row r="27" spans="1:13" x14ac:dyDescent="0.25"/>
    <row r="28" spans="1:13" x14ac:dyDescent="0.25"/>
    <row r="29" spans="1:13" x14ac:dyDescent="0.25"/>
    <row r="30" spans="1:13" x14ac:dyDescent="0.25"/>
    <row r="31" spans="1:13" x14ac:dyDescent="0.25"/>
    <row r="32" spans="1:13"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sheetData>
  <sheetProtection algorithmName="SHA-512" hashValue="zV68xBNvj+jhasWo4s1XJNqPkEZv/7DMUH6o8P0Mjkrr4zp/A8VOsHrYnGONPqPlljXePhxLqEUyM6YYAK9bwA==" saltValue="/eZbB9bIuZNx3GcFx0umpQ==" spinCount="100000" sheet="1" formatCells="0" formatColumns="0" formatRows="0" pivotTables="0"/>
  <mergeCells count="6">
    <mergeCell ref="E18:I24"/>
    <mergeCell ref="E1:I1"/>
    <mergeCell ref="E6:F6"/>
    <mergeCell ref="E13:F13"/>
    <mergeCell ref="E15:F15"/>
    <mergeCell ref="F3:G3"/>
  </mergeCells>
  <printOptions horizontalCentered="1"/>
  <pageMargins left="0.19685039370078741" right="0.11811023622047244" top="0" bottom="0.3543307086614173" header="0.31496062992125984" footer="0.31496062992125984"/>
  <pageSetup paperSize="9" scale="9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rgb="FF43C6E5"/>
  </sheetPr>
  <dimension ref="A1:M55"/>
  <sheetViews>
    <sheetView topLeftCell="A7" zoomScaleNormal="100" workbookViewId="0">
      <selection activeCell="H36" sqref="H36"/>
    </sheetView>
  </sheetViews>
  <sheetFormatPr baseColWidth="10" defaultColWidth="0" defaultRowHeight="15" zeroHeight="1" x14ac:dyDescent="0.25"/>
  <cols>
    <col min="1" max="4" width="11.42578125" style="537" customWidth="1"/>
    <col min="5" max="5" width="29.42578125" style="345" customWidth="1"/>
    <col min="6" max="6" width="24.85546875" style="345" customWidth="1"/>
    <col min="7" max="7" width="16.7109375" style="345" customWidth="1"/>
    <col min="8" max="8" width="18.28515625" style="345" customWidth="1"/>
    <col min="9" max="9" width="14" style="345" customWidth="1"/>
    <col min="10" max="13" width="11.42578125" style="537" customWidth="1"/>
    <col min="14" max="16384" width="11.42578125" style="345" hidden="1"/>
  </cols>
  <sheetData>
    <row r="1" spans="1:13" ht="28.5" customHeight="1" x14ac:dyDescent="0.25">
      <c r="E1" s="2135" t="s">
        <v>235</v>
      </c>
      <c r="F1" s="2136"/>
      <c r="G1" s="2136"/>
      <c r="H1" s="2136"/>
      <c r="I1" s="2137"/>
    </row>
    <row r="2" spans="1:13" x14ac:dyDescent="0.25">
      <c r="E2" s="388"/>
      <c r="F2" s="388"/>
      <c r="G2" s="388"/>
      <c r="H2" s="388"/>
      <c r="I2" s="388"/>
    </row>
    <row r="3" spans="1:13" s="746" customFormat="1" ht="30" customHeight="1" x14ac:dyDescent="0.25">
      <c r="A3" s="745"/>
      <c r="B3" s="745"/>
      <c r="C3" s="745"/>
      <c r="D3" s="745"/>
      <c r="E3" s="712" t="s">
        <v>42</v>
      </c>
      <c r="F3" s="2185" t="str">
        <f>INFORMATIONS!B10</f>
        <v>SAM CONSEILS</v>
      </c>
      <c r="G3" s="2185"/>
      <c r="H3" s="713" t="s">
        <v>52</v>
      </c>
      <c r="I3" s="714">
        <f>INFORMATIONS!D31</f>
        <v>43465</v>
      </c>
      <c r="J3" s="745"/>
      <c r="K3" s="745"/>
      <c r="L3" s="745"/>
      <c r="M3" s="745"/>
    </row>
    <row r="4" spans="1:13" ht="19.5" customHeight="1" x14ac:dyDescent="0.25">
      <c r="E4" s="632" t="s">
        <v>43</v>
      </c>
      <c r="F4" s="633" t="str">
        <f>INFORMATIONS!B24</f>
        <v>00084404X</v>
      </c>
      <c r="G4" s="634"/>
      <c r="H4" s="666" t="s">
        <v>44</v>
      </c>
      <c r="I4" s="667">
        <f>INFORMATIONS!F34</f>
        <v>12</v>
      </c>
    </row>
    <row r="5" spans="1:13" x14ac:dyDescent="0.25"/>
    <row r="6" spans="1:13" ht="39.75" customHeight="1" x14ac:dyDescent="0.25">
      <c r="E6" s="2178" t="s">
        <v>138</v>
      </c>
      <c r="F6" s="2179"/>
      <c r="G6" s="715" t="s">
        <v>139</v>
      </c>
      <c r="H6" s="715" t="s">
        <v>140</v>
      </c>
      <c r="I6" s="715" t="s">
        <v>141</v>
      </c>
    </row>
    <row r="7" spans="1:13" ht="21" customHeight="1" x14ac:dyDescent="0.25">
      <c r="E7" s="423" t="s">
        <v>236</v>
      </c>
      <c r="F7" s="425"/>
      <c r="G7" s="427">
        <f>SUMPRODUCT(((LEFT(BalanceN!$A$4:$A$9999,3)="521"))*BalanceN!$G$4:$G$9999)</f>
        <v>121152991</v>
      </c>
      <c r="H7" s="427">
        <f>SUMPRODUCT(((LEFT(BalanceN!$A$4:$A$9999,3)="521"))*BalanceN!$C$4:$C$9999)</f>
        <v>69123976</v>
      </c>
      <c r="I7" s="724">
        <f>IF(H7=0,"-",(G7-H7)/H7)</f>
        <v>0.75269129484102593</v>
      </c>
    </row>
    <row r="8" spans="1:13" ht="21" customHeight="1" x14ac:dyDescent="0.25">
      <c r="E8" s="423" t="s">
        <v>1056</v>
      </c>
      <c r="F8" s="425"/>
      <c r="G8" s="427">
        <f>SUMPRODUCT(((LEFT(BalanceN!$A$4:$A$9999,3)="522"))*BalanceN!$G$4:$G$9999)</f>
        <v>0</v>
      </c>
      <c r="H8" s="427">
        <f>SUMPRODUCT(((LEFT(BalanceN!$A$4:$A$9999,3)="522"))*BalanceN!$C$4:$C$9999)</f>
        <v>0</v>
      </c>
      <c r="I8" s="723" t="str">
        <f t="shared" ref="I8:I21" si="0">IF(H8=0,"-",(G8-H8)/H8)</f>
        <v>-</v>
      </c>
    </row>
    <row r="9" spans="1:13" ht="21" customHeight="1" x14ac:dyDescent="0.25">
      <c r="E9" s="423" t="s">
        <v>1055</v>
      </c>
      <c r="F9" s="425"/>
      <c r="G9" s="427">
        <f>SUMPRODUCT(((LEFT(BalanceN!$A$4:$A$9999,3)="523"))*BalanceN!$G$4:$G$9999)</f>
        <v>0</v>
      </c>
      <c r="H9" s="427">
        <f>SUMPRODUCT(((LEFT(BalanceN!$A$4:$A$9999,3)="523"))*BalanceN!$C$4:$C$9999)</f>
        <v>0</v>
      </c>
      <c r="I9" s="723" t="str">
        <f t="shared" si="0"/>
        <v>-</v>
      </c>
    </row>
    <row r="10" spans="1:13" ht="21" customHeight="1" x14ac:dyDescent="0.25">
      <c r="E10" s="423" t="s">
        <v>1057</v>
      </c>
      <c r="F10" s="425"/>
      <c r="G10" s="427">
        <f>SUMPRODUCT(((LEFT(BalanceN!$A$4:$A$9999,3)="524"))*BalanceN!$G$4:$G$9999)</f>
        <v>0</v>
      </c>
      <c r="H10" s="427">
        <f>SUMPRODUCT(((LEFT(BalanceN!$A$4:$A$9999,3)="524"))*BalanceN!$C$4:$C$9999)</f>
        <v>0</v>
      </c>
      <c r="I10" s="723" t="str">
        <f t="shared" si="0"/>
        <v>-</v>
      </c>
    </row>
    <row r="11" spans="1:13" ht="21" customHeight="1" x14ac:dyDescent="0.25">
      <c r="E11" s="423" t="s">
        <v>238</v>
      </c>
      <c r="F11" s="425"/>
      <c r="G11" s="427">
        <f>SUMPRODUCT(((LEFT(BalanceN!$A$4:$A$9999,3)="525"))*BalanceN!$G$4:$G$9999)</f>
        <v>0</v>
      </c>
      <c r="H11" s="427">
        <f>SUMPRODUCT(((LEFT(BalanceN!$A$4:$A$9999,3)="525"))*BalanceN!$C$4:$C$9999)</f>
        <v>0</v>
      </c>
      <c r="I11" s="723" t="str">
        <f t="shared" si="0"/>
        <v>-</v>
      </c>
    </row>
    <row r="12" spans="1:13" ht="21" customHeight="1" x14ac:dyDescent="0.25">
      <c r="E12" s="423" t="s">
        <v>240</v>
      </c>
      <c r="F12" s="425"/>
      <c r="G12" s="427">
        <f>SUMPRODUCT(((LEFT(BalanceN!$A$4:$A$9999,3)="526"))*BalanceN!$G$4:$G$9999)</f>
        <v>0</v>
      </c>
      <c r="H12" s="427">
        <f>SUMPRODUCT(((LEFT(BalanceN!$A$4:$A$9999,3)="526"))*BalanceN!$C$4:$C$9999)</f>
        <v>0</v>
      </c>
      <c r="I12" s="723" t="str">
        <f t="shared" si="0"/>
        <v>-</v>
      </c>
    </row>
    <row r="13" spans="1:13" ht="21" customHeight="1" x14ac:dyDescent="0.25">
      <c r="E13" s="423" t="s">
        <v>241</v>
      </c>
      <c r="F13" s="425"/>
      <c r="G13" s="427">
        <f>SUMPRODUCT(((LEFT(BalanceN!$A$4:$A$9999,3)="531"))*BalanceN!$G$4:$G$9999)</f>
        <v>0</v>
      </c>
      <c r="H13" s="427">
        <f>SUMPRODUCT(((LEFT(BalanceN!$A$4:$A$9999,3)="531"))*BalanceN!$C$4:$C$9999)</f>
        <v>0</v>
      </c>
      <c r="I13" s="723" t="str">
        <f t="shared" si="0"/>
        <v>-</v>
      </c>
    </row>
    <row r="14" spans="1:13" ht="21" customHeight="1" x14ac:dyDescent="0.25">
      <c r="E14" s="423" t="s">
        <v>242</v>
      </c>
      <c r="F14" s="425"/>
      <c r="G14" s="427">
        <f>SUMPRODUCT(((LEFT(BalanceN!$A$4:$A$9999,3)="538"))*BalanceN!$G$4:$G$9999)</f>
        <v>0</v>
      </c>
      <c r="H14" s="427">
        <f>SUMPRODUCT(((LEFT(BalanceN!$A$4:$A$9999,3)="538"))*BalanceN!$C$4:$C$9999)</f>
        <v>0</v>
      </c>
      <c r="I14" s="723" t="str">
        <f t="shared" si="0"/>
        <v>-</v>
      </c>
    </row>
    <row r="15" spans="1:13" ht="21" customHeight="1" x14ac:dyDescent="0.25">
      <c r="E15" s="423" t="s">
        <v>243</v>
      </c>
      <c r="F15" s="425"/>
      <c r="G15" s="427">
        <f>SUMPRODUCT(((LEFT(BalanceN!$A$4:$A$9999,3)="536"))*BalanceN!$G$4:$G$9999)</f>
        <v>0</v>
      </c>
      <c r="H15" s="427">
        <f>SUMPRODUCT(((LEFT(BalanceN!$A$4:$A$9999,3)="536"))*BalanceN!$C$4:$C$9999)</f>
        <v>0</v>
      </c>
      <c r="I15" s="723" t="str">
        <f t="shared" si="0"/>
        <v>-</v>
      </c>
    </row>
    <row r="16" spans="1:13" ht="21" customHeight="1" x14ac:dyDescent="0.25">
      <c r="E16" s="423" t="s">
        <v>244</v>
      </c>
      <c r="F16" s="425"/>
      <c r="G16" s="427">
        <f>SUMPRODUCT(((LEFT(BalanceN!$A$4:$A$9999,2)="54"))*BalanceN!$G$4:$G$9999)</f>
        <v>0</v>
      </c>
      <c r="H16" s="427">
        <f>SUMPRODUCT(((LEFT(BalanceN!$A$4:$A$9999,2)="54"))*BalanceN!$C$4:$C$9999)</f>
        <v>0</v>
      </c>
      <c r="I16" s="723" t="str">
        <f t="shared" si="0"/>
        <v>-</v>
      </c>
    </row>
    <row r="17" spans="1:13" ht="21" customHeight="1" x14ac:dyDescent="0.25">
      <c r="E17" s="423" t="s">
        <v>246</v>
      </c>
      <c r="F17" s="425"/>
      <c r="G17" s="427">
        <f>SUMPRODUCT(((LEFT(BalanceN!$A$4:$A$9999,2)="55"))*BalanceN!$G$4:$G$9999)</f>
        <v>0</v>
      </c>
      <c r="H17" s="427">
        <f>SUMPRODUCT(((LEFT(BalanceN!$A$4:$A$9999,2)="55"))*BalanceN!$C$4:$C$9999)</f>
        <v>0</v>
      </c>
      <c r="I17" s="723" t="str">
        <f t="shared" si="0"/>
        <v>-</v>
      </c>
    </row>
    <row r="18" spans="1:13" ht="21" customHeight="1" x14ac:dyDescent="0.25">
      <c r="E18" s="423" t="s">
        <v>245</v>
      </c>
      <c r="F18" s="425"/>
      <c r="G18" s="427">
        <f>SUMPRODUCT(((LEFT(BalanceN!$A$4:$A$9999,2)="57"))*BalanceN!$G$4:$G$9999)</f>
        <v>1944136</v>
      </c>
      <c r="H18" s="427">
        <f>SUMPRODUCT(((LEFT(BalanceN!$A$4:$A$9999,2)="57"))*BalanceN!$C$4:$C$9999)</f>
        <v>5460181</v>
      </c>
      <c r="I18" s="724">
        <f t="shared" si="0"/>
        <v>-0.64394293888792331</v>
      </c>
    </row>
    <row r="19" spans="1:13" ht="21" customHeight="1" x14ac:dyDescent="0.25">
      <c r="E19" s="423" t="s">
        <v>247</v>
      </c>
      <c r="F19" s="425"/>
      <c r="G19" s="427">
        <f>SUMPRODUCT(((LEFT(BalanceN!$A$4:$A$9999,3)="581")+(LEFT(BalanceN!$A$4:$A$9999,3)="582"))*BalanceN!$G$4:$G$9999)</f>
        <v>0</v>
      </c>
      <c r="H19" s="427">
        <f>SUMPRODUCT(((LEFT(BalanceN!$A$4:$A$9999,3)="581")+(LEFT(BalanceN!$A$4:$A$9999,3)="582"))*BalanceN!$C$4:$C$9999)</f>
        <v>0</v>
      </c>
      <c r="I19" s="723" t="str">
        <f t="shared" si="0"/>
        <v>-</v>
      </c>
    </row>
    <row r="20" spans="1:13" s="422" customFormat="1" ht="21.75" customHeight="1" x14ac:dyDescent="0.25">
      <c r="A20" s="546"/>
      <c r="B20" s="546"/>
      <c r="C20" s="546"/>
      <c r="D20" s="546"/>
      <c r="E20" s="2026" t="s">
        <v>248</v>
      </c>
      <c r="F20" s="2028"/>
      <c r="G20" s="735">
        <f>SUM(G7:G19)</f>
        <v>123097127</v>
      </c>
      <c r="H20" s="735">
        <f>SUM(H7:H19)</f>
        <v>74584157</v>
      </c>
      <c r="I20" s="736"/>
      <c r="J20" s="546"/>
      <c r="K20" s="546"/>
      <c r="L20" s="546"/>
      <c r="M20" s="546"/>
    </row>
    <row r="21" spans="1:13" ht="21" customHeight="1" x14ac:dyDescent="0.25">
      <c r="E21" s="423" t="s">
        <v>249</v>
      </c>
      <c r="F21" s="425"/>
      <c r="G21" s="427">
        <f>SUMPRODUCT(((LEFT(BalanceN!$A$4:$A$9999,3)="592")+(LEFT(BalanceN!$A$4:$A$9999,3)="593")++(LEFT(BalanceN!$A$4:$A$9999,3)="594"))*BalanceN!$H$4:$H$9999)</f>
        <v>0</v>
      </c>
      <c r="H21" s="427">
        <f>SUMPRODUCT(((LEFT(BalanceN!$A$4:$A$9999,3)="592")+(LEFT(BalanceN!$A$4:$A$9999,3)="593")++(LEFT(BalanceN!$A$4:$A$9999,3)="594"))*BalanceN!$D$4:$D$9999)</f>
        <v>0</v>
      </c>
      <c r="I21" s="723" t="str">
        <f t="shared" si="0"/>
        <v>-</v>
      </c>
    </row>
    <row r="22" spans="1:13" s="422" customFormat="1" ht="21" customHeight="1" x14ac:dyDescent="0.25">
      <c r="A22" s="546"/>
      <c r="B22" s="546"/>
      <c r="C22" s="546"/>
      <c r="D22" s="546"/>
      <c r="E22" s="2186" t="s">
        <v>154</v>
      </c>
      <c r="F22" s="2187"/>
      <c r="G22" s="735">
        <f>G20-G21</f>
        <v>123097127</v>
      </c>
      <c r="H22" s="735">
        <f>H20-H21</f>
        <v>74584157</v>
      </c>
      <c r="I22" s="736"/>
      <c r="J22" s="546"/>
      <c r="K22" s="546"/>
      <c r="L22" s="546"/>
      <c r="M22" s="546"/>
    </row>
    <row r="23" spans="1:13" x14ac:dyDescent="0.25"/>
    <row r="24" spans="1:13" x14ac:dyDescent="0.25">
      <c r="E24" s="645" t="s">
        <v>1348</v>
      </c>
    </row>
    <row r="25" spans="1:13" x14ac:dyDescent="0.25">
      <c r="E25" s="2202" t="s">
        <v>1363</v>
      </c>
      <c r="F25" s="2202"/>
      <c r="G25" s="2202"/>
      <c r="H25" s="2202"/>
      <c r="I25" s="2202"/>
    </row>
    <row r="26" spans="1:13" x14ac:dyDescent="0.25">
      <c r="E26" s="2202"/>
      <c r="F26" s="2202"/>
      <c r="G26" s="2202"/>
      <c r="H26" s="2202"/>
      <c r="I26" s="2202"/>
    </row>
    <row r="27" spans="1:13" x14ac:dyDescent="0.25">
      <c r="E27" s="2202"/>
      <c r="F27" s="2202"/>
      <c r="G27" s="2202"/>
      <c r="H27" s="2202"/>
      <c r="I27" s="2202"/>
    </row>
    <row r="28" spans="1:13" x14ac:dyDescent="0.25">
      <c r="E28" s="2202"/>
      <c r="F28" s="2202"/>
      <c r="G28" s="2202"/>
      <c r="H28" s="2202"/>
      <c r="I28" s="2202"/>
    </row>
    <row r="29" spans="1:13" x14ac:dyDescent="0.25">
      <c r="E29" s="2202"/>
      <c r="F29" s="2202"/>
      <c r="G29" s="2202"/>
      <c r="H29" s="2202"/>
      <c r="I29" s="2202"/>
    </row>
    <row r="30" spans="1:13" x14ac:dyDescent="0.25">
      <c r="E30" s="2202"/>
      <c r="F30" s="2202"/>
      <c r="G30" s="2202"/>
      <c r="H30" s="2202"/>
      <c r="I30" s="2202"/>
    </row>
    <row r="31" spans="1:13" x14ac:dyDescent="0.25">
      <c r="E31" s="2202"/>
      <c r="F31" s="2202"/>
      <c r="G31" s="2202"/>
      <c r="H31" s="2202"/>
      <c r="I31" s="2202"/>
    </row>
    <row r="32" spans="1:13" s="537" customFormat="1" x14ac:dyDescent="0.25"/>
    <row r="33" s="537" customFormat="1" x14ac:dyDescent="0.25"/>
    <row r="34" s="537" customFormat="1" x14ac:dyDescent="0.25"/>
    <row r="35" s="537" customFormat="1" x14ac:dyDescent="0.25"/>
    <row r="36" s="537" customFormat="1" x14ac:dyDescent="0.25"/>
    <row r="37" s="537" customFormat="1" x14ac:dyDescent="0.25"/>
    <row r="38" s="537" customFormat="1" x14ac:dyDescent="0.25"/>
    <row r="39" s="537" customFormat="1" x14ac:dyDescent="0.25"/>
    <row r="40" s="537" customFormat="1" x14ac:dyDescent="0.25"/>
    <row r="41" s="537" customFormat="1" x14ac:dyDescent="0.25"/>
    <row r="42" s="537" customFormat="1" x14ac:dyDescent="0.25"/>
    <row r="43" s="537" customFormat="1" x14ac:dyDescent="0.25"/>
    <row r="44" s="537" customFormat="1" x14ac:dyDescent="0.25"/>
    <row r="45" s="537" customFormat="1" x14ac:dyDescent="0.25"/>
    <row r="46" s="537" customFormat="1" x14ac:dyDescent="0.25"/>
    <row r="47" s="537" customFormat="1" x14ac:dyDescent="0.25"/>
    <row r="48" s="537" customFormat="1" x14ac:dyDescent="0.25"/>
    <row r="49" s="537" customFormat="1" x14ac:dyDescent="0.25"/>
    <row r="50" s="537" customFormat="1" x14ac:dyDescent="0.25"/>
    <row r="51" s="537" customFormat="1" x14ac:dyDescent="0.25"/>
    <row r="52" s="537" customFormat="1" x14ac:dyDescent="0.25"/>
    <row r="53" s="537" customFormat="1" x14ac:dyDescent="0.25"/>
    <row r="54" s="537" customFormat="1" x14ac:dyDescent="0.25"/>
    <row r="55" s="537" customFormat="1" x14ac:dyDescent="0.25"/>
  </sheetData>
  <sheetProtection algorithmName="SHA-512" hashValue="3WuPCnE9+gRStyqNe7iCz0LZWAnD6KSGvaVS7YpTl1olI9/q5QvWQ3ef+9KthVoQAsjr0eRyLoIDqhAlIZM/aw==" saltValue="r7EruUNnzmJDRMw8ZMFtuQ==" spinCount="100000" sheet="1" formatCells="0" formatColumns="0" formatRows="0" pivotTables="0"/>
  <mergeCells count="6">
    <mergeCell ref="E25:I31"/>
    <mergeCell ref="E1:I1"/>
    <mergeCell ref="E6:F6"/>
    <mergeCell ref="E20:F20"/>
    <mergeCell ref="E22:F22"/>
    <mergeCell ref="F3:G3"/>
  </mergeCells>
  <printOptions horizontalCentered="1"/>
  <pageMargins left="0.19685039370078741" right="0.11811023622047244" top="0" bottom="0.3543307086614173" header="0.31496062992125984" footer="0.31496062992125984"/>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rgb="FF43C6E5"/>
  </sheetPr>
  <dimension ref="A1:M77"/>
  <sheetViews>
    <sheetView topLeftCell="B7" zoomScaleNormal="100" workbookViewId="0">
      <selection activeCell="H36" sqref="H36"/>
    </sheetView>
  </sheetViews>
  <sheetFormatPr baseColWidth="10" defaultColWidth="0" defaultRowHeight="15" zeroHeight="1" x14ac:dyDescent="0.25"/>
  <cols>
    <col min="1" max="3" width="11.42578125" style="537" customWidth="1"/>
    <col min="4" max="4" width="25.140625" style="345" customWidth="1"/>
    <col min="5" max="5" width="36" style="345" customWidth="1"/>
    <col min="6" max="7" width="16.7109375" style="345" customWidth="1"/>
    <col min="8" max="8" width="14" style="345" customWidth="1"/>
    <col min="9" max="9" width="14.5703125" style="345" customWidth="1"/>
    <col min="10" max="10" width="14.140625" style="345" customWidth="1"/>
    <col min="11" max="13" width="11.42578125" style="537" customWidth="1"/>
    <col min="14" max="16384" width="11.42578125" style="345" hidden="1"/>
  </cols>
  <sheetData>
    <row r="1" spans="1:13" ht="28.5" customHeight="1" x14ac:dyDescent="0.25">
      <c r="D1" s="2135" t="s">
        <v>250</v>
      </c>
      <c r="E1" s="2136"/>
      <c r="F1" s="2136"/>
      <c r="G1" s="2136"/>
      <c r="H1" s="2136"/>
      <c r="I1" s="2136"/>
      <c r="J1" s="2137"/>
    </row>
    <row r="2" spans="1:13" x14ac:dyDescent="0.25">
      <c r="D2" s="388"/>
      <c r="E2" s="388"/>
      <c r="F2" s="388"/>
      <c r="G2" s="388"/>
      <c r="H2" s="388"/>
    </row>
    <row r="3" spans="1:13" s="746" customFormat="1" ht="19.5" customHeight="1" x14ac:dyDescent="0.25">
      <c r="A3" s="745"/>
      <c r="B3" s="745"/>
      <c r="C3" s="745"/>
      <c r="D3" s="712" t="s">
        <v>42</v>
      </c>
      <c r="E3" s="2185" t="str">
        <f>INFORMATIONS!B10</f>
        <v>SAM CONSEILS</v>
      </c>
      <c r="F3" s="2185"/>
      <c r="G3" s="2185"/>
      <c r="H3" s="2203" t="s">
        <v>52</v>
      </c>
      <c r="I3" s="2203"/>
      <c r="J3" s="714">
        <f>INFORMATIONS!D31</f>
        <v>43465</v>
      </c>
      <c r="K3" s="745"/>
      <c r="L3" s="745"/>
      <c r="M3" s="745"/>
    </row>
    <row r="4" spans="1:13" ht="19.5" customHeight="1" x14ac:dyDescent="0.25">
      <c r="D4" s="632" t="s">
        <v>43</v>
      </c>
      <c r="E4" s="633" t="str">
        <f>INFORMATIONS!B24</f>
        <v>00084404X</v>
      </c>
      <c r="F4" s="634"/>
      <c r="G4" s="635"/>
      <c r="H4" s="2128" t="s">
        <v>44</v>
      </c>
      <c r="I4" s="2128"/>
      <c r="J4" s="636">
        <f>INFORMATIONS!F34</f>
        <v>12</v>
      </c>
    </row>
    <row r="5" spans="1:13" x14ac:dyDescent="0.25"/>
    <row r="6" spans="1:13" ht="48" customHeight="1" x14ac:dyDescent="0.25">
      <c r="D6" s="2116" t="s">
        <v>138</v>
      </c>
      <c r="E6" s="2117"/>
      <c r="F6" s="590" t="s">
        <v>251</v>
      </c>
      <c r="G6" s="590" t="s">
        <v>252</v>
      </c>
      <c r="H6" s="590" t="s">
        <v>253</v>
      </c>
      <c r="I6" s="590" t="s">
        <v>1058</v>
      </c>
      <c r="J6" s="590" t="s">
        <v>254</v>
      </c>
    </row>
    <row r="7" spans="1:13" ht="21" customHeight="1" x14ac:dyDescent="0.25">
      <c r="D7" s="757" t="s">
        <v>255</v>
      </c>
      <c r="E7" s="425"/>
      <c r="F7" s="640"/>
      <c r="G7" s="640"/>
      <c r="H7" s="640"/>
      <c r="I7" s="640"/>
      <c r="J7" s="793">
        <f>SUM(J8:J13)</f>
        <v>0</v>
      </c>
    </row>
    <row r="8" spans="1:13" ht="21" customHeight="1" x14ac:dyDescent="0.25">
      <c r="D8" s="423"/>
      <c r="E8" s="425"/>
      <c r="F8" s="641"/>
      <c r="G8" s="641"/>
      <c r="H8" s="641"/>
      <c r="I8" s="641"/>
      <c r="J8" s="793">
        <f>(G8*H8)-(G8*I8)</f>
        <v>0</v>
      </c>
    </row>
    <row r="9" spans="1:13" ht="21" customHeight="1" x14ac:dyDescent="0.25">
      <c r="D9" s="423"/>
      <c r="E9" s="425"/>
      <c r="F9" s="641"/>
      <c r="G9" s="641"/>
      <c r="H9" s="641"/>
      <c r="I9" s="641"/>
      <c r="J9" s="793">
        <f t="shared" ref="J9:J20" si="0">(G9*H9)-(G9*I9)</f>
        <v>0</v>
      </c>
    </row>
    <row r="10" spans="1:13" ht="21" customHeight="1" x14ac:dyDescent="0.25">
      <c r="D10" s="423"/>
      <c r="E10" s="425"/>
      <c r="F10" s="641"/>
      <c r="G10" s="641"/>
      <c r="H10" s="641"/>
      <c r="I10" s="641"/>
      <c r="J10" s="793">
        <f t="shared" si="0"/>
        <v>0</v>
      </c>
    </row>
    <row r="11" spans="1:13" ht="21" customHeight="1" x14ac:dyDescent="0.25">
      <c r="D11" s="423"/>
      <c r="E11" s="425"/>
      <c r="F11" s="641"/>
      <c r="G11" s="641"/>
      <c r="H11" s="146"/>
      <c r="I11" s="641"/>
      <c r="J11" s="793">
        <f t="shared" si="0"/>
        <v>0</v>
      </c>
    </row>
    <row r="12" spans="1:13" ht="21" customHeight="1" x14ac:dyDescent="0.25">
      <c r="D12" s="423"/>
      <c r="E12" s="425"/>
      <c r="F12" s="641"/>
      <c r="G12" s="641"/>
      <c r="H12" s="641"/>
      <c r="I12" s="641"/>
      <c r="J12" s="793">
        <f t="shared" si="0"/>
        <v>0</v>
      </c>
    </row>
    <row r="13" spans="1:13" ht="21" customHeight="1" x14ac:dyDescent="0.25">
      <c r="D13" s="423"/>
      <c r="E13" s="787" t="s">
        <v>373</v>
      </c>
      <c r="F13" s="788">
        <f>SUM(F8:F12)</f>
        <v>0</v>
      </c>
      <c r="G13" s="788">
        <f>SUM(G8:G12)</f>
        <v>0</v>
      </c>
      <c r="H13" s="788">
        <f>SUM(H8:H12)</f>
        <v>0</v>
      </c>
      <c r="I13" s="788">
        <f>SUM(I8:I12)</f>
        <v>0</v>
      </c>
      <c r="J13" s="793">
        <f t="shared" si="0"/>
        <v>0</v>
      </c>
    </row>
    <row r="14" spans="1:13" ht="21" customHeight="1" x14ac:dyDescent="0.25">
      <c r="D14" s="757" t="s">
        <v>256</v>
      </c>
      <c r="E14" s="425"/>
      <c r="F14" s="640"/>
      <c r="G14" s="640"/>
      <c r="H14" s="640"/>
      <c r="I14" s="640"/>
      <c r="J14" s="793">
        <f>SUM(J15:J20)</f>
        <v>0</v>
      </c>
    </row>
    <row r="15" spans="1:13" ht="21" customHeight="1" x14ac:dyDescent="0.25">
      <c r="D15" s="423"/>
      <c r="E15" s="425"/>
      <c r="F15" s="641"/>
      <c r="G15" s="641"/>
      <c r="H15" s="641"/>
      <c r="I15" s="641"/>
      <c r="J15" s="793"/>
    </row>
    <row r="16" spans="1:13" ht="21" customHeight="1" x14ac:dyDescent="0.25">
      <c r="D16" s="423"/>
      <c r="E16" s="425"/>
      <c r="F16" s="641"/>
      <c r="G16" s="641"/>
      <c r="H16" s="641"/>
      <c r="I16" s="641"/>
      <c r="J16" s="793">
        <f t="shared" si="0"/>
        <v>0</v>
      </c>
    </row>
    <row r="17" spans="4:10" ht="21" customHeight="1" x14ac:dyDescent="0.25">
      <c r="D17" s="423"/>
      <c r="E17" s="425"/>
      <c r="F17" s="641"/>
      <c r="G17" s="641"/>
      <c r="H17" s="641"/>
      <c r="I17" s="641"/>
      <c r="J17" s="793">
        <f t="shared" si="0"/>
        <v>0</v>
      </c>
    </row>
    <row r="18" spans="4:10" ht="21" customHeight="1" x14ac:dyDescent="0.25">
      <c r="D18" s="423"/>
      <c r="E18" s="425"/>
      <c r="F18" s="641"/>
      <c r="G18" s="641"/>
      <c r="H18" s="641"/>
      <c r="I18" s="641"/>
      <c r="J18" s="793">
        <f t="shared" si="0"/>
        <v>0</v>
      </c>
    </row>
    <row r="19" spans="4:10" ht="21" customHeight="1" x14ac:dyDescent="0.25">
      <c r="D19" s="423"/>
      <c r="E19" s="425"/>
      <c r="F19" s="641"/>
      <c r="G19" s="641"/>
      <c r="H19" s="641"/>
      <c r="I19" s="641"/>
      <c r="J19" s="793">
        <f t="shared" si="0"/>
        <v>0</v>
      </c>
    </row>
    <row r="20" spans="4:10" ht="21" customHeight="1" x14ac:dyDescent="0.25">
      <c r="D20" s="423"/>
      <c r="E20" s="787" t="s">
        <v>373</v>
      </c>
      <c r="F20" s="788">
        <f>SUM(F15:F19)</f>
        <v>0</v>
      </c>
      <c r="G20" s="788">
        <f>SUM(G15:G19)</f>
        <v>0</v>
      </c>
      <c r="H20" s="788">
        <f>SUM(H15:H19)</f>
        <v>0</v>
      </c>
      <c r="I20" s="788">
        <f>SUM(I15:I19)</f>
        <v>0</v>
      </c>
      <c r="J20" s="793">
        <f t="shared" si="0"/>
        <v>0</v>
      </c>
    </row>
    <row r="21" spans="4:10" x14ac:dyDescent="0.25">
      <c r="D21" s="422" t="s">
        <v>1348</v>
      </c>
    </row>
    <row r="22" spans="4:10" x14ac:dyDescent="0.25">
      <c r="D22" s="2123"/>
      <c r="E22" s="2123"/>
      <c r="F22" s="2123"/>
      <c r="G22" s="2123"/>
      <c r="H22" s="2123"/>
      <c r="I22" s="2123"/>
      <c r="J22" s="2123"/>
    </row>
    <row r="23" spans="4:10" x14ac:dyDescent="0.25">
      <c r="D23" s="2123"/>
      <c r="E23" s="2123"/>
      <c r="F23" s="2123"/>
      <c r="G23" s="2123"/>
      <c r="H23" s="2123"/>
      <c r="I23" s="2123"/>
      <c r="J23" s="2123"/>
    </row>
    <row r="24" spans="4:10" x14ac:dyDescent="0.25">
      <c r="D24" s="2123"/>
      <c r="E24" s="2123"/>
      <c r="F24" s="2123"/>
      <c r="G24" s="2123"/>
      <c r="H24" s="2123"/>
      <c r="I24" s="2123"/>
      <c r="J24" s="2123"/>
    </row>
    <row r="25" spans="4:10" x14ac:dyDescent="0.25">
      <c r="D25" s="2123"/>
      <c r="E25" s="2123"/>
      <c r="F25" s="2123"/>
      <c r="G25" s="2123"/>
      <c r="H25" s="2123"/>
      <c r="I25" s="2123"/>
      <c r="J25" s="2123"/>
    </row>
    <row r="26" spans="4:10" x14ac:dyDescent="0.25">
      <c r="D26" s="2123"/>
      <c r="E26" s="2123"/>
      <c r="F26" s="2123"/>
      <c r="G26" s="2123"/>
      <c r="H26" s="2123"/>
      <c r="I26" s="2123"/>
      <c r="J26" s="2123"/>
    </row>
    <row r="27" spans="4:10" x14ac:dyDescent="0.25">
      <c r="D27" s="2123"/>
      <c r="E27" s="2123"/>
      <c r="F27" s="2123"/>
      <c r="G27" s="2123"/>
      <c r="H27" s="2123"/>
      <c r="I27" s="2123"/>
      <c r="J27" s="2123"/>
    </row>
    <row r="28" spans="4:10" x14ac:dyDescent="0.25">
      <c r="D28" s="2123"/>
      <c r="E28" s="2123"/>
      <c r="F28" s="2123"/>
      <c r="G28" s="2123"/>
      <c r="H28" s="2123"/>
      <c r="I28" s="2123"/>
      <c r="J28" s="2123"/>
    </row>
    <row r="29" spans="4:10" x14ac:dyDescent="0.25"/>
    <row r="30" spans="4:10" x14ac:dyDescent="0.25"/>
    <row r="31" spans="4:10" ht="28.5" customHeight="1" x14ac:dyDescent="0.25">
      <c r="D31" s="2135" t="s">
        <v>259</v>
      </c>
      <c r="E31" s="2136"/>
      <c r="F31" s="2136"/>
      <c r="G31" s="2136"/>
      <c r="H31" s="2137"/>
      <c r="I31" s="801"/>
      <c r="J31" s="801"/>
    </row>
    <row r="32" spans="4:10" x14ac:dyDescent="0.25"/>
    <row r="33" spans="4:10" ht="30" x14ac:dyDescent="0.25">
      <c r="D33" s="2038" t="s">
        <v>138</v>
      </c>
      <c r="E33" s="2040"/>
      <c r="F33" s="590" t="s">
        <v>139</v>
      </c>
      <c r="G33" s="590" t="s">
        <v>140</v>
      </c>
      <c r="H33" s="590" t="s">
        <v>141</v>
      </c>
    </row>
    <row r="34" spans="4:10" x14ac:dyDescent="0.25">
      <c r="D34" s="757" t="s">
        <v>257</v>
      </c>
      <c r="E34" s="425"/>
      <c r="F34" s="427">
        <f>SUMPRODUCT(((LEFT(BalanceN!$A$4:$A$9999,3)="781"))*BalanceN!$H$4:$H$9999)</f>
        <v>3233550</v>
      </c>
      <c r="G34" s="427">
        <f>SUMPRODUCT(((LEFT('BalanceN-1'!$A$4:$A$9999,3)="781"))*'BalanceN-1'!$H$4:$H$9999)</f>
        <v>5817880</v>
      </c>
      <c r="H34" s="723">
        <f t="shared" ref="H34:H43" si="1">IF(G34=0,"-",(F34-G34)/G34)</f>
        <v>-0.44420476187202212</v>
      </c>
    </row>
    <row r="35" spans="4:10" x14ac:dyDescent="0.25">
      <c r="D35" s="423"/>
      <c r="E35" s="425"/>
      <c r="F35" s="427"/>
      <c r="G35" s="427"/>
      <c r="H35" s="723" t="str">
        <f t="shared" si="1"/>
        <v>-</v>
      </c>
    </row>
    <row r="36" spans="4:10" x14ac:dyDescent="0.25">
      <c r="D36" s="423"/>
      <c r="E36" s="425"/>
      <c r="F36" s="640"/>
      <c r="G36" s="640"/>
      <c r="H36" s="723" t="str">
        <f t="shared" si="1"/>
        <v>-</v>
      </c>
    </row>
    <row r="37" spans="4:10" x14ac:dyDescent="0.25">
      <c r="D37" s="423"/>
      <c r="E37" s="425"/>
      <c r="F37" s="640"/>
      <c r="G37" s="640"/>
      <c r="H37" s="723" t="str">
        <f t="shared" si="1"/>
        <v>-</v>
      </c>
    </row>
    <row r="38" spans="4:10" x14ac:dyDescent="0.25">
      <c r="D38" s="423"/>
      <c r="E38" s="425"/>
      <c r="F38" s="640"/>
      <c r="G38" s="640"/>
      <c r="H38" s="723" t="str">
        <f t="shared" si="1"/>
        <v>-</v>
      </c>
    </row>
    <row r="39" spans="4:10" x14ac:dyDescent="0.25">
      <c r="D39" s="757" t="s">
        <v>258</v>
      </c>
      <c r="E39" s="697"/>
      <c r="F39" s="427">
        <f>SUMPRODUCT(((LEFT(BalanceN!$A$4:$A$9999,3)="787"))*BalanceN!$H$4:$H$9999)</f>
        <v>0</v>
      </c>
      <c r="G39" s="427">
        <f>SUMPRODUCT(((LEFT('BalanceN-1'!$A$4:$A$9999,3)="787"))*'BalanceN-1'!$H$4:$H$9999)</f>
        <v>0</v>
      </c>
      <c r="H39" s="723" t="str">
        <f t="shared" si="1"/>
        <v>-</v>
      </c>
    </row>
    <row r="40" spans="4:10" x14ac:dyDescent="0.25">
      <c r="D40" s="346"/>
      <c r="E40" s="697"/>
      <c r="F40" s="747"/>
      <c r="G40" s="747"/>
      <c r="H40" s="723" t="str">
        <f t="shared" si="1"/>
        <v>-</v>
      </c>
    </row>
    <row r="41" spans="4:10" x14ac:dyDescent="0.25">
      <c r="D41" s="346"/>
      <c r="E41" s="697"/>
      <c r="F41" s="747"/>
      <c r="G41" s="747"/>
      <c r="H41" s="723" t="str">
        <f t="shared" si="1"/>
        <v>-</v>
      </c>
    </row>
    <row r="42" spans="4:10" x14ac:dyDescent="0.25">
      <c r="D42" s="346"/>
      <c r="E42" s="697"/>
      <c r="F42" s="747"/>
      <c r="G42" s="747"/>
      <c r="H42" s="723" t="str">
        <f t="shared" si="1"/>
        <v>-</v>
      </c>
    </row>
    <row r="43" spans="4:10" x14ac:dyDescent="0.25">
      <c r="D43" s="346"/>
      <c r="E43" s="697"/>
      <c r="F43" s="747"/>
      <c r="G43" s="747"/>
      <c r="H43" s="723" t="str">
        <f t="shared" si="1"/>
        <v>-</v>
      </c>
    </row>
    <row r="44" spans="4:10" x14ac:dyDescent="0.25">
      <c r="D44" s="645" t="s">
        <v>1348</v>
      </c>
    </row>
    <row r="45" spans="4:10" x14ac:dyDescent="0.25">
      <c r="D45" s="2123"/>
      <c r="E45" s="2123"/>
      <c r="F45" s="2123"/>
      <c r="G45" s="2123"/>
      <c r="H45" s="2123"/>
      <c r="I45" s="2123"/>
      <c r="J45" s="2123"/>
    </row>
    <row r="46" spans="4:10" x14ac:dyDescent="0.25">
      <c r="D46" s="2123"/>
      <c r="E46" s="2123"/>
      <c r="F46" s="2123"/>
      <c r="G46" s="2123"/>
      <c r="H46" s="2123"/>
      <c r="I46" s="2123"/>
      <c r="J46" s="2123"/>
    </row>
    <row r="47" spans="4:10" x14ac:dyDescent="0.25">
      <c r="D47" s="2123"/>
      <c r="E47" s="2123"/>
      <c r="F47" s="2123"/>
      <c r="G47" s="2123"/>
      <c r="H47" s="2123"/>
      <c r="I47" s="2123"/>
      <c r="J47" s="2123"/>
    </row>
    <row r="48" spans="4:10" x14ac:dyDescent="0.25">
      <c r="D48" s="2123"/>
      <c r="E48" s="2123"/>
      <c r="F48" s="2123"/>
      <c r="G48" s="2123"/>
      <c r="H48" s="2123"/>
      <c r="I48" s="2123"/>
      <c r="J48" s="2123"/>
    </row>
    <row r="49" spans="4:10" x14ac:dyDescent="0.25">
      <c r="D49" s="2123"/>
      <c r="E49" s="2123"/>
      <c r="F49" s="2123"/>
      <c r="G49" s="2123"/>
      <c r="H49" s="2123"/>
      <c r="I49" s="2123"/>
      <c r="J49" s="2123"/>
    </row>
    <row r="50" spans="4:10" x14ac:dyDescent="0.25">
      <c r="D50" s="2123"/>
      <c r="E50" s="2123"/>
      <c r="F50" s="2123"/>
      <c r="G50" s="2123"/>
      <c r="H50" s="2123"/>
      <c r="I50" s="2123"/>
      <c r="J50" s="2123"/>
    </row>
    <row r="51" spans="4:10" x14ac:dyDescent="0.25">
      <c r="D51" s="2123"/>
      <c r="E51" s="2123"/>
      <c r="F51" s="2123"/>
      <c r="G51" s="2123"/>
      <c r="H51" s="2123"/>
      <c r="I51" s="2123"/>
      <c r="J51" s="2123"/>
    </row>
    <row r="52" spans="4:10" x14ac:dyDescent="0.25">
      <c r="D52" s="2123"/>
      <c r="E52" s="2123"/>
      <c r="F52" s="2123"/>
      <c r="G52" s="2123"/>
      <c r="H52" s="2123"/>
      <c r="I52" s="2123"/>
      <c r="J52" s="2123"/>
    </row>
    <row r="53" spans="4:10" s="537" customFormat="1" x14ac:dyDescent="0.25">
      <c r="D53" s="2123"/>
      <c r="E53" s="2123"/>
      <c r="F53" s="2123"/>
      <c r="G53" s="2123"/>
      <c r="H53" s="2123"/>
      <c r="I53" s="2123"/>
      <c r="J53" s="2123"/>
    </row>
    <row r="54" spans="4:10" s="537" customFormat="1" x14ac:dyDescent="0.25"/>
    <row r="55" spans="4:10" s="537" customFormat="1" x14ac:dyDescent="0.25"/>
    <row r="56" spans="4:10" s="537" customFormat="1" x14ac:dyDescent="0.25"/>
    <row r="57" spans="4:10" s="537" customFormat="1" x14ac:dyDescent="0.25"/>
    <row r="58" spans="4:10" s="537" customFormat="1" x14ac:dyDescent="0.25"/>
    <row r="59" spans="4:10" s="537" customFormat="1" x14ac:dyDescent="0.25"/>
    <row r="60" spans="4:10" s="537" customFormat="1" x14ac:dyDescent="0.25"/>
    <row r="61" spans="4:10" s="537" customFormat="1" x14ac:dyDescent="0.25"/>
    <row r="62" spans="4:10" s="537" customFormat="1" x14ac:dyDescent="0.25"/>
    <row r="63" spans="4:10" s="537" customFormat="1" x14ac:dyDescent="0.25"/>
    <row r="64" spans="4:10" s="537" customFormat="1" x14ac:dyDescent="0.25"/>
    <row r="65" s="537" customFormat="1" x14ac:dyDescent="0.25"/>
    <row r="66" s="537" customFormat="1" x14ac:dyDescent="0.25"/>
    <row r="67" s="537" customFormat="1" x14ac:dyDescent="0.25"/>
    <row r="68" s="537" customFormat="1" x14ac:dyDescent="0.25"/>
    <row r="69" s="537" customFormat="1" x14ac:dyDescent="0.25"/>
    <row r="70" s="537" customFormat="1" x14ac:dyDescent="0.25"/>
    <row r="71" s="537" customFormat="1" x14ac:dyDescent="0.25"/>
    <row r="72" s="537" customFormat="1" x14ac:dyDescent="0.25"/>
    <row r="73" s="537" customFormat="1" x14ac:dyDescent="0.25"/>
    <row r="74" s="537" customFormat="1" x14ac:dyDescent="0.25"/>
    <row r="75" s="537" customFormat="1" x14ac:dyDescent="0.25"/>
    <row r="76" s="537" customFormat="1" x14ac:dyDescent="0.25"/>
    <row r="77" s="537" customFormat="1" x14ac:dyDescent="0.25"/>
  </sheetData>
  <sheetProtection pivotTables="0"/>
  <mergeCells count="9">
    <mergeCell ref="D45:J53"/>
    <mergeCell ref="D33:E33"/>
    <mergeCell ref="D31:H31"/>
    <mergeCell ref="D6:E6"/>
    <mergeCell ref="D1:J1"/>
    <mergeCell ref="H3:I3"/>
    <mergeCell ref="H4:I4"/>
    <mergeCell ref="E3:G3"/>
    <mergeCell ref="D22:J28"/>
  </mergeCells>
  <printOptions horizontalCentered="1"/>
  <pageMargins left="0.19685039370078741" right="0.11811023622047245" top="0" bottom="0.35433070866141736" header="0.31496062992125984" footer="0.31496062992125984"/>
  <pageSetup paperSize="9" orientation="landscape" r:id="rId1"/>
  <rowBreaks count="1" manualBreakCount="1">
    <brk id="28" min="3"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rgb="FF43C6E5"/>
  </sheetPr>
  <dimension ref="A1:M51"/>
  <sheetViews>
    <sheetView topLeftCell="A10" zoomScaleNormal="100" workbookViewId="0">
      <selection activeCell="H36" sqref="H36"/>
    </sheetView>
  </sheetViews>
  <sheetFormatPr baseColWidth="10" defaultColWidth="0" defaultRowHeight="15" zeroHeight="1" x14ac:dyDescent="0.25"/>
  <cols>
    <col min="1" max="3" width="11.42578125" style="533" customWidth="1"/>
    <col min="4" max="4" width="25.140625" style="120" customWidth="1"/>
    <col min="5" max="5" width="19" style="120" customWidth="1"/>
    <col min="6" max="7" width="16.7109375" style="120" customWidth="1"/>
    <col min="8" max="8" width="14" style="120" customWidth="1"/>
    <col min="9" max="9" width="14.5703125" style="120" customWidth="1"/>
    <col min="10" max="10" width="14.140625" style="120" customWidth="1"/>
    <col min="11" max="13" width="11.42578125" style="533" customWidth="1"/>
    <col min="14" max="16384" width="11.42578125" style="120" hidden="1"/>
  </cols>
  <sheetData>
    <row r="1" spans="1:13" ht="28.5" customHeight="1" x14ac:dyDescent="0.25">
      <c r="D1" s="1827" t="s">
        <v>260</v>
      </c>
      <c r="E1" s="1828"/>
      <c r="F1" s="1828"/>
      <c r="G1" s="1828"/>
      <c r="H1" s="1828"/>
      <c r="I1" s="1828"/>
      <c r="J1" s="2191"/>
    </row>
    <row r="2" spans="1:13" x14ac:dyDescent="0.25">
      <c r="D2" s="380"/>
      <c r="E2" s="380"/>
      <c r="F2" s="380"/>
      <c r="G2" s="380"/>
      <c r="H2" s="380"/>
    </row>
    <row r="3" spans="1:13" s="821" customFormat="1" ht="22.5" customHeight="1" x14ac:dyDescent="0.25">
      <c r="A3" s="817"/>
      <c r="B3" s="817"/>
      <c r="C3" s="817"/>
      <c r="D3" s="818" t="s">
        <v>42</v>
      </c>
      <c r="E3" s="2200" t="str">
        <f>INFORMATIONS!B10</f>
        <v>SAM CONSEILS</v>
      </c>
      <c r="F3" s="2200"/>
      <c r="G3" s="2200"/>
      <c r="H3" s="2205" t="s">
        <v>52</v>
      </c>
      <c r="I3" s="2205"/>
      <c r="J3" s="820">
        <f>INFORMATIONS!D31</f>
        <v>43465</v>
      </c>
      <c r="K3" s="817"/>
      <c r="L3" s="817"/>
      <c r="M3" s="817"/>
    </row>
    <row r="4" spans="1:13" ht="19.5" customHeight="1" x14ac:dyDescent="0.25">
      <c r="D4" s="621" t="s">
        <v>43</v>
      </c>
      <c r="E4" s="622" t="str">
        <f>INFORMATIONS!B24</f>
        <v>00084404X</v>
      </c>
      <c r="F4" s="623"/>
      <c r="G4" s="624"/>
      <c r="H4" s="2206" t="s">
        <v>44</v>
      </c>
      <c r="I4" s="2206"/>
      <c r="J4" s="823">
        <f>INFORMATIONS!F34</f>
        <v>12</v>
      </c>
    </row>
    <row r="5" spans="1:13" x14ac:dyDescent="0.25"/>
    <row r="6" spans="1:13" x14ac:dyDescent="0.25">
      <c r="G6" s="2209" t="s">
        <v>1059</v>
      </c>
      <c r="H6" s="2209"/>
      <c r="I6" s="2209"/>
      <c r="J6" s="209">
        <v>10000</v>
      </c>
    </row>
    <row r="7" spans="1:13" ht="60" customHeight="1" x14ac:dyDescent="0.25">
      <c r="D7" s="2207" t="s">
        <v>263</v>
      </c>
      <c r="E7" s="2208"/>
      <c r="F7" s="536" t="s">
        <v>264</v>
      </c>
      <c r="G7" s="536" t="s">
        <v>265</v>
      </c>
      <c r="H7" s="536" t="s">
        <v>266</v>
      </c>
      <c r="I7" s="536" t="s">
        <v>267</v>
      </c>
      <c r="J7" s="536" t="s">
        <v>268</v>
      </c>
    </row>
    <row r="8" spans="1:13" ht="21" customHeight="1" x14ac:dyDescent="0.25">
      <c r="D8" s="166"/>
      <c r="E8" s="165"/>
      <c r="F8" s="163"/>
      <c r="G8" s="163"/>
      <c r="H8" s="146"/>
      <c r="I8" s="815">
        <f>H8*J6</f>
        <v>0</v>
      </c>
      <c r="J8" s="146"/>
    </row>
    <row r="9" spans="1:13" ht="21" customHeight="1" x14ac:dyDescent="0.25">
      <c r="D9" s="166"/>
      <c r="E9" s="165"/>
      <c r="F9" s="163"/>
      <c r="G9" s="163"/>
      <c r="H9" s="146"/>
      <c r="I9" s="815">
        <f>H9*J6</f>
        <v>0</v>
      </c>
      <c r="J9" s="146"/>
    </row>
    <row r="10" spans="1:13" ht="21" customHeight="1" x14ac:dyDescent="0.25">
      <c r="D10" s="166"/>
      <c r="E10" s="165"/>
      <c r="F10" s="163"/>
      <c r="G10" s="163"/>
      <c r="H10" s="146"/>
      <c r="I10" s="815">
        <f>J6*H10</f>
        <v>0</v>
      </c>
      <c r="J10" s="146"/>
    </row>
    <row r="11" spans="1:13" ht="21" customHeight="1" x14ac:dyDescent="0.25">
      <c r="D11" s="166"/>
      <c r="E11" s="165"/>
      <c r="F11" s="163"/>
      <c r="G11" s="163"/>
      <c r="H11" s="146"/>
      <c r="I11" s="815">
        <f>J6*H11</f>
        <v>0</v>
      </c>
      <c r="J11" s="146"/>
    </row>
    <row r="12" spans="1:13" ht="21" customHeight="1" x14ac:dyDescent="0.25">
      <c r="D12" s="166"/>
      <c r="E12" s="165"/>
      <c r="F12" s="163"/>
      <c r="G12" s="163"/>
      <c r="H12" s="146"/>
      <c r="I12" s="815">
        <f>J6*H12</f>
        <v>0</v>
      </c>
      <c r="J12" s="146"/>
    </row>
    <row r="13" spans="1:13" ht="21" customHeight="1" x14ac:dyDescent="0.25">
      <c r="D13" s="166"/>
      <c r="E13" s="165"/>
      <c r="F13" s="163"/>
      <c r="G13" s="163"/>
      <c r="H13" s="146"/>
      <c r="I13" s="815">
        <f>J6*H13</f>
        <v>0</v>
      </c>
      <c r="J13" s="146"/>
    </row>
    <row r="14" spans="1:13" ht="21" customHeight="1" x14ac:dyDescent="0.25">
      <c r="D14" s="167"/>
      <c r="E14" s="165"/>
      <c r="F14" s="163"/>
      <c r="G14" s="163"/>
      <c r="H14" s="146"/>
      <c r="I14" s="815">
        <f>J6*H14</f>
        <v>0</v>
      </c>
      <c r="J14" s="146"/>
    </row>
    <row r="15" spans="1:13" ht="21" customHeight="1" x14ac:dyDescent="0.25">
      <c r="D15" s="166"/>
      <c r="E15" s="165"/>
      <c r="F15" s="163"/>
      <c r="G15" s="163"/>
      <c r="H15" s="146"/>
      <c r="I15" s="815">
        <f>J6*H15</f>
        <v>0</v>
      </c>
      <c r="J15" s="146"/>
    </row>
    <row r="16" spans="1:13" ht="21" customHeight="1" x14ac:dyDescent="0.25">
      <c r="D16" s="166"/>
      <c r="E16" s="165"/>
      <c r="F16" s="163"/>
      <c r="G16" s="163"/>
      <c r="H16" s="146"/>
      <c r="I16" s="815">
        <f>J6*H16</f>
        <v>0</v>
      </c>
      <c r="J16" s="146"/>
    </row>
    <row r="17" spans="4:10" ht="21" customHeight="1" x14ac:dyDescent="0.25">
      <c r="D17" s="168" t="s">
        <v>261</v>
      </c>
      <c r="E17" s="165"/>
      <c r="F17" s="227"/>
      <c r="G17" s="227"/>
      <c r="H17" s="227"/>
      <c r="I17" s="815">
        <f>J6*H17</f>
        <v>0</v>
      </c>
      <c r="J17" s="146"/>
    </row>
    <row r="18" spans="4:10" ht="21" customHeight="1" x14ac:dyDescent="0.25">
      <c r="D18" s="2194" t="s">
        <v>262</v>
      </c>
      <c r="E18" s="2204"/>
      <c r="F18" s="2204"/>
      <c r="G18" s="2195"/>
      <c r="H18" s="626">
        <f>SUM(H8:H17)</f>
        <v>0</v>
      </c>
      <c r="I18" s="626">
        <f>SUM(I8:I17)</f>
        <v>0</v>
      </c>
      <c r="J18" s="626">
        <f>SUM(J8:J17)</f>
        <v>0</v>
      </c>
    </row>
    <row r="19" spans="4:10" x14ac:dyDescent="0.25"/>
    <row r="20" spans="4:10" x14ac:dyDescent="0.25">
      <c r="D20" s="628" t="s">
        <v>1348</v>
      </c>
    </row>
    <row r="21" spans="4:10" x14ac:dyDescent="0.25">
      <c r="D21" s="2201"/>
      <c r="E21" s="2201"/>
      <c r="F21" s="2201"/>
      <c r="G21" s="2201"/>
      <c r="H21" s="2201"/>
      <c r="I21" s="2201"/>
      <c r="J21" s="2201"/>
    </row>
    <row r="22" spans="4:10" x14ac:dyDescent="0.25">
      <c r="D22" s="2201"/>
      <c r="E22" s="2201"/>
      <c r="F22" s="2201"/>
      <c r="G22" s="2201"/>
      <c r="H22" s="2201"/>
      <c r="I22" s="2201"/>
      <c r="J22" s="2201"/>
    </row>
    <row r="23" spans="4:10" x14ac:dyDescent="0.25">
      <c r="D23" s="2201"/>
      <c r="E23" s="2201"/>
      <c r="F23" s="2201"/>
      <c r="G23" s="2201"/>
      <c r="H23" s="2201"/>
      <c r="I23" s="2201"/>
      <c r="J23" s="2201"/>
    </row>
    <row r="24" spans="4:10" x14ac:dyDescent="0.25">
      <c r="D24" s="2201"/>
      <c r="E24" s="2201"/>
      <c r="F24" s="2201"/>
      <c r="G24" s="2201"/>
      <c r="H24" s="2201"/>
      <c r="I24" s="2201"/>
      <c r="J24" s="2201"/>
    </row>
    <row r="25" spans="4:10" x14ac:dyDescent="0.25">
      <c r="D25" s="2201"/>
      <c r="E25" s="2201"/>
      <c r="F25" s="2201"/>
      <c r="G25" s="2201"/>
      <c r="H25" s="2201"/>
      <c r="I25" s="2201"/>
      <c r="J25" s="2201"/>
    </row>
    <row r="26" spans="4:10" x14ac:dyDescent="0.25">
      <c r="D26" s="2201"/>
      <c r="E26" s="2201"/>
      <c r="F26" s="2201"/>
      <c r="G26" s="2201"/>
      <c r="H26" s="2201"/>
      <c r="I26" s="2201"/>
      <c r="J26" s="2201"/>
    </row>
    <row r="27" spans="4:10" x14ac:dyDescent="0.25">
      <c r="D27" s="2201"/>
      <c r="E27" s="2201"/>
      <c r="F27" s="2201"/>
      <c r="G27" s="2201"/>
      <c r="H27" s="2201"/>
      <c r="I27" s="2201"/>
      <c r="J27" s="2201"/>
    </row>
    <row r="28" spans="4:10" s="533" customFormat="1" x14ac:dyDescent="0.25"/>
    <row r="29" spans="4:10" s="533" customFormat="1" x14ac:dyDescent="0.25"/>
    <row r="30" spans="4:10" s="533" customFormat="1" x14ac:dyDescent="0.25"/>
    <row r="31" spans="4:10" s="533" customFormat="1" x14ac:dyDescent="0.25"/>
    <row r="32" spans="4:10" s="533" customFormat="1" x14ac:dyDescent="0.25"/>
    <row r="33" s="533" customFormat="1" x14ac:dyDescent="0.25"/>
    <row r="34" s="533" customFormat="1" x14ac:dyDescent="0.25"/>
    <row r="35" s="533" customFormat="1" x14ac:dyDescent="0.25"/>
    <row r="36" s="533" customFormat="1" x14ac:dyDescent="0.25"/>
    <row r="37" s="533" customFormat="1" x14ac:dyDescent="0.25"/>
    <row r="38" s="533" customFormat="1" x14ac:dyDescent="0.25"/>
    <row r="39" s="533" customFormat="1" x14ac:dyDescent="0.25"/>
    <row r="40" s="533" customFormat="1" x14ac:dyDescent="0.25"/>
    <row r="41" s="533" customFormat="1" x14ac:dyDescent="0.25"/>
    <row r="42" s="533" customFormat="1" x14ac:dyDescent="0.25"/>
    <row r="43" s="533" customFormat="1" x14ac:dyDescent="0.25"/>
    <row r="44" s="533" customFormat="1" x14ac:dyDescent="0.25"/>
    <row r="45" s="533" customFormat="1" x14ac:dyDescent="0.25"/>
    <row r="46" s="533" customFormat="1" x14ac:dyDescent="0.25"/>
    <row r="47" s="533" customFormat="1" x14ac:dyDescent="0.25"/>
    <row r="48" s="533" customFormat="1" x14ac:dyDescent="0.25"/>
    <row r="49" s="533" customFormat="1" x14ac:dyDescent="0.25"/>
    <row r="50" s="533" customFormat="1" x14ac:dyDescent="0.25"/>
    <row r="51" s="533" customFormat="1" x14ac:dyDescent="0.25"/>
  </sheetData>
  <sheetProtection pivotTables="0"/>
  <protectedRanges>
    <protectedRange password="CC07" sqref="D18:J18" name="Plage2"/>
    <protectedRange password="CC07" sqref="I8:I18" name="Plage1"/>
  </protectedRanges>
  <mergeCells count="8">
    <mergeCell ref="D21:J27"/>
    <mergeCell ref="D18:G18"/>
    <mergeCell ref="D1:J1"/>
    <mergeCell ref="H3:I3"/>
    <mergeCell ref="H4:I4"/>
    <mergeCell ref="D7:E7"/>
    <mergeCell ref="G6:I6"/>
    <mergeCell ref="E3:G3"/>
  </mergeCells>
  <printOptions horizontalCentered="1"/>
  <pageMargins left="0.19685039370078741" right="0.11811023622047245" top="0" bottom="0.35433070866141736" header="0.31496062992125984" footer="0.31496062992125984"/>
  <pageSetup paperSize="9" orientation="landscape" r:id="rId1"/>
  <rowBreaks count="1" manualBreakCount="1">
    <brk id="27" min="3" max="9"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rgb="FF43C6E5"/>
  </sheetPr>
  <dimension ref="A1:M58"/>
  <sheetViews>
    <sheetView topLeftCell="A13" zoomScaleNormal="100" workbookViewId="0">
      <selection activeCell="H36" sqref="H36"/>
    </sheetView>
  </sheetViews>
  <sheetFormatPr baseColWidth="10" defaultColWidth="0" defaultRowHeight="15" zeroHeight="1" x14ac:dyDescent="0.25"/>
  <cols>
    <col min="1" max="4" width="11.42578125" style="537" customWidth="1"/>
    <col min="5" max="5" width="29.42578125" style="345" customWidth="1"/>
    <col min="6" max="6" width="17" style="345" customWidth="1"/>
    <col min="7" max="7" width="20.140625" style="345" customWidth="1"/>
    <col min="8" max="8" width="18.28515625" style="345" customWidth="1"/>
    <col min="9" max="9" width="16" style="345" customWidth="1"/>
    <col min="10" max="13" width="11.42578125" style="537" customWidth="1"/>
    <col min="14" max="16384" width="11.42578125" style="345" hidden="1"/>
  </cols>
  <sheetData>
    <row r="1" spans="1:13" ht="28.5" customHeight="1" x14ac:dyDescent="0.25">
      <c r="E1" s="2135" t="s">
        <v>275</v>
      </c>
      <c r="F1" s="2136"/>
      <c r="G1" s="2136"/>
      <c r="H1" s="2136"/>
      <c r="I1" s="2137"/>
    </row>
    <row r="2" spans="1:13" x14ac:dyDescent="0.25">
      <c r="E2" s="388"/>
      <c r="F2" s="388"/>
      <c r="G2" s="388"/>
      <c r="H2" s="388"/>
      <c r="I2" s="388"/>
    </row>
    <row r="3" spans="1:13" s="746" customFormat="1" ht="18" customHeight="1" x14ac:dyDescent="0.25">
      <c r="A3" s="745"/>
      <c r="B3" s="745"/>
      <c r="C3" s="745"/>
      <c r="D3" s="745"/>
      <c r="E3" s="712" t="s">
        <v>42</v>
      </c>
      <c r="F3" s="2185" t="str">
        <f>INFORMATIONS!B10</f>
        <v>SAM CONSEILS</v>
      </c>
      <c r="G3" s="2185"/>
      <c r="H3" s="713" t="s">
        <v>52</v>
      </c>
      <c r="I3" s="714">
        <f>INFORMATIONS!D31</f>
        <v>43465</v>
      </c>
      <c r="J3" s="745"/>
      <c r="K3" s="745"/>
      <c r="L3" s="745"/>
      <c r="M3" s="745"/>
    </row>
    <row r="4" spans="1:13" ht="19.5" customHeight="1" x14ac:dyDescent="0.25">
      <c r="E4" s="632" t="s">
        <v>43</v>
      </c>
      <c r="F4" s="633" t="str">
        <f>INFORMATIONS!B24</f>
        <v>00084404X</v>
      </c>
      <c r="G4" s="634"/>
      <c r="H4" s="666" t="s">
        <v>44</v>
      </c>
      <c r="I4" s="667">
        <f>INFORMATIONS!F34</f>
        <v>12</v>
      </c>
    </row>
    <row r="5" spans="1:13" x14ac:dyDescent="0.25"/>
    <row r="6" spans="1:13" ht="39.75" customHeight="1" x14ac:dyDescent="0.25">
      <c r="E6" s="2038" t="s">
        <v>138</v>
      </c>
      <c r="F6" s="2040"/>
      <c r="G6" s="590" t="s">
        <v>139</v>
      </c>
      <c r="H6" s="590" t="s">
        <v>140</v>
      </c>
      <c r="I6" s="590" t="s">
        <v>254</v>
      </c>
    </row>
    <row r="7" spans="1:13" ht="21" customHeight="1" x14ac:dyDescent="0.25">
      <c r="E7" s="423" t="s">
        <v>270</v>
      </c>
      <c r="F7" s="425"/>
      <c r="G7" s="427">
        <f>SUMPRODUCT(((LEFT(BalanceN!$A$4:$A$9999,4)="1051"))*BalanceN!$H$4:$H$9999)</f>
        <v>0</v>
      </c>
      <c r="H7" s="427">
        <f>SUMPRODUCT(((LEFT(BalanceN!$A$4:$A$9999,4)="1051"))*BalanceN!$D$4:$D$9999)</f>
        <v>0</v>
      </c>
      <c r="I7" s="793">
        <f>G7-H7</f>
        <v>0</v>
      </c>
    </row>
    <row r="8" spans="1:13" ht="21" customHeight="1" x14ac:dyDescent="0.25">
      <c r="E8" s="423" t="s">
        <v>269</v>
      </c>
      <c r="F8" s="425"/>
      <c r="G8" s="427">
        <f>SUMPRODUCT(((LEFT(BalanceN!$A$4:$A$9999,4)="1052"))*BalanceN!$H$4:$H$9999)</f>
        <v>0</v>
      </c>
      <c r="H8" s="427">
        <f>SUMPRODUCT(((LEFT(BalanceN!$A$4:$A$9999,4)="1052"))*BalanceN!$D$4:$D$9999)</f>
        <v>0</v>
      </c>
      <c r="I8" s="793">
        <f>G8-H8</f>
        <v>0</v>
      </c>
    </row>
    <row r="9" spans="1:13" ht="21" customHeight="1" x14ac:dyDescent="0.25">
      <c r="E9" s="423" t="s">
        <v>271</v>
      </c>
      <c r="F9" s="425"/>
      <c r="G9" s="427">
        <f>SUMPRODUCT(((LEFT(BalanceN!$A$4:$A$9999,4)="1053"))*BalanceN!$H$4:$H$9999)</f>
        <v>0</v>
      </c>
      <c r="H9" s="427">
        <f>SUMPRODUCT(((LEFT(BalanceN!$A$4:$A$9999,4)="1053"))*BalanceN!$D$4:$D$9999)</f>
        <v>0</v>
      </c>
      <c r="I9" s="793">
        <f>G9-H9</f>
        <v>0</v>
      </c>
    </row>
    <row r="10" spans="1:13" ht="21" customHeight="1" x14ac:dyDescent="0.25">
      <c r="E10" s="423" t="s">
        <v>272</v>
      </c>
      <c r="F10" s="425"/>
      <c r="G10" s="427">
        <f>SUMPRODUCT(((LEFT(BalanceN!$A$4:$A$9999,4)="1054"))*BalanceN!$H$4:$H$9999)</f>
        <v>0</v>
      </c>
      <c r="H10" s="427">
        <f>SUMPRODUCT(((LEFT(BalanceN!$A$4:$A$9999,4)="1054"))*BalanceN!$D$4:$D$9999)</f>
        <v>0</v>
      </c>
      <c r="I10" s="793">
        <f>G10-H10</f>
        <v>0</v>
      </c>
    </row>
    <row r="11" spans="1:13" ht="21" customHeight="1" x14ac:dyDescent="0.25">
      <c r="E11" s="423" t="s">
        <v>273</v>
      </c>
      <c r="F11" s="425"/>
      <c r="G11" s="427">
        <f>SUMPRODUCT(((LEFT(BalanceN!$A$4:$A$9999,4)="1058"))*BalanceN!$H$4:$H$9999)</f>
        <v>0</v>
      </c>
      <c r="H11" s="427">
        <f>SUMPRODUCT(((LEFT(BalanceN!$A$4:$A$9999,4)="1058"))*BalanceN!$D$4:$D$9999)</f>
        <v>0</v>
      </c>
      <c r="I11" s="793">
        <f>G11-H11</f>
        <v>0</v>
      </c>
    </row>
    <row r="12" spans="1:13" s="422" customFormat="1" ht="21" customHeight="1" x14ac:dyDescent="0.25">
      <c r="A12" s="546"/>
      <c r="B12" s="546"/>
      <c r="C12" s="546"/>
      <c r="D12" s="546"/>
      <c r="E12" s="2144" t="s">
        <v>274</v>
      </c>
      <c r="F12" s="2145"/>
      <c r="G12" s="639">
        <f>SUM(G7:G11)</f>
        <v>0</v>
      </c>
      <c r="H12" s="639">
        <f>SUM(H7:H11)</f>
        <v>0</v>
      </c>
      <c r="I12" s="639">
        <f>SUM(I7:I11)</f>
        <v>0</v>
      </c>
      <c r="J12" s="546"/>
      <c r="K12" s="546"/>
      <c r="L12" s="546"/>
      <c r="M12" s="546"/>
    </row>
    <row r="13" spans="1:13" ht="21" customHeight="1" x14ac:dyDescent="0.25">
      <c r="E13" s="423" t="s">
        <v>276</v>
      </c>
      <c r="F13" s="425"/>
      <c r="G13" s="427">
        <f>SUMPRODUCT(((LEFT(BalanceN!$A$4:$A$9999,3)="111"))*BalanceN!$H$4:$H$9999)</f>
        <v>20000000</v>
      </c>
      <c r="H13" s="427">
        <f>SUMPRODUCT(((LEFT(BalanceN!$A$4:$A$9999,3)="111"))*BalanceN!$D$4:$D$9999)</f>
        <v>20000000</v>
      </c>
      <c r="I13" s="793">
        <f>G13-H13</f>
        <v>0</v>
      </c>
    </row>
    <row r="14" spans="1:13" ht="21" customHeight="1" x14ac:dyDescent="0.25">
      <c r="E14" s="423" t="s">
        <v>277</v>
      </c>
      <c r="F14" s="425"/>
      <c r="G14" s="427">
        <f>SUMPRODUCT(((LEFT(BalanceN!$A$4:$A$9999,3)="112"))*BalanceN!$H$4:$H$9999)</f>
        <v>0</v>
      </c>
      <c r="H14" s="427">
        <f>SUMPRODUCT(((LEFT(BalanceN!$A$4:$A$9999,3)="112"))*BalanceN!$D$4:$D$9999)</f>
        <v>0</v>
      </c>
      <c r="I14" s="793">
        <f>G14-H14</f>
        <v>0</v>
      </c>
    </row>
    <row r="15" spans="1:13" ht="21" customHeight="1" x14ac:dyDescent="0.25">
      <c r="E15" s="423" t="s">
        <v>278</v>
      </c>
      <c r="F15" s="425"/>
      <c r="G15" s="427">
        <f>SUMPRODUCT(((LEFT(BalanceN!$A$4:$A$9999,4)="1131"))*BalanceN!$H$4:$H$9999)</f>
        <v>0</v>
      </c>
      <c r="H15" s="427">
        <f>SUMPRODUCT(((LEFT(BalanceN!$A$4:$A$9999,4)="1131"))*BalanceN!$D$4:$D$9999)</f>
        <v>0</v>
      </c>
      <c r="I15" s="793">
        <f>G15-H15</f>
        <v>0</v>
      </c>
    </row>
    <row r="16" spans="1:13" ht="31.5" customHeight="1" x14ac:dyDescent="0.25">
      <c r="E16" s="2001" t="s">
        <v>279</v>
      </c>
      <c r="F16" s="2003"/>
      <c r="G16" s="427">
        <f>SUMPRODUCT(((LEFT(BalanceN!$A$4:$A$9999,4)="1132"))*BalanceN!$H$4:$H$9999)</f>
        <v>0</v>
      </c>
      <c r="H16" s="427">
        <f>SUMPRODUCT(((LEFT(BalanceN!$A$4:$A$9999,4)="1132"))*BalanceN!$D$4:$D$9999)</f>
        <v>0</v>
      </c>
      <c r="I16" s="793">
        <f>G16-H16</f>
        <v>0</v>
      </c>
    </row>
    <row r="17" spans="5:9" ht="21" customHeight="1" x14ac:dyDescent="0.25">
      <c r="E17" s="423" t="s">
        <v>280</v>
      </c>
      <c r="F17" s="425"/>
      <c r="G17" s="427">
        <f>SUMPRODUCT(((LEFT(BalanceN!$A$4:$A$9999,4)="1138"))*BalanceN!$H$4:$H$9999)</f>
        <v>0</v>
      </c>
      <c r="H17" s="427">
        <f>SUMPRODUCT(((LEFT(BalanceN!$A$4:$A$9999,4)="1138"))*BalanceN!$D$4:$D$9999)</f>
        <v>0</v>
      </c>
      <c r="I17" s="793">
        <f>G17-H17</f>
        <v>0</v>
      </c>
    </row>
    <row r="18" spans="5:9" ht="21" customHeight="1" x14ac:dyDescent="0.25">
      <c r="E18" s="2144" t="s">
        <v>281</v>
      </c>
      <c r="F18" s="2145"/>
      <c r="G18" s="639">
        <f>SUM(G13:G17)</f>
        <v>20000000</v>
      </c>
      <c r="H18" s="639">
        <f>SUM(H13:H17)</f>
        <v>20000000</v>
      </c>
      <c r="I18" s="639">
        <f>SUM(I13:I17)</f>
        <v>0</v>
      </c>
    </row>
    <row r="19" spans="5:9" ht="21" customHeight="1" x14ac:dyDescent="0.25">
      <c r="E19" s="798" t="s">
        <v>282</v>
      </c>
      <c r="F19" s="425"/>
      <c r="G19" s="427">
        <f>SUMPRODUCT(((LEFT(BalanceN!$A$4:$A$9999,3)="118"))*BalanceN!$H$4:$H$9999)</f>
        <v>0</v>
      </c>
      <c r="H19" s="427">
        <f>SUMPRODUCT(((LEFT(BalanceN!$A$4:$A$9999,3)="118"))*BalanceN!$D$4:$D$9999)</f>
        <v>0</v>
      </c>
      <c r="I19" s="793">
        <f>G19-H19</f>
        <v>0</v>
      </c>
    </row>
    <row r="20" spans="5:9" ht="21" customHeight="1" x14ac:dyDescent="0.25">
      <c r="E20" s="798" t="s">
        <v>283</v>
      </c>
      <c r="F20" s="425"/>
      <c r="G20" s="427">
        <f>SUMPRODUCT(((LEFT(BalanceN!$A$4:$A$9999,2)="12"))*BalanceN!$H$4:$H$9999)-SUMPRODUCT(((LEFT(BalanceN!$A$4:$A$9999,2)="12"))*BalanceN!$G$4:$G$9999)</f>
        <v>76069991</v>
      </c>
      <c r="H20" s="427">
        <f>SUMPRODUCT(((LEFT(BalanceN!$A$4:$A$9999,2)="12"))*BalanceN!$D$4:$D$9999)-SUMPRODUCT(((LEFT(BalanceN!$A$4:$A$9999,2)="12"))*BalanceN!$C$4:$C$9999)</f>
        <v>47450317</v>
      </c>
      <c r="I20" s="799">
        <f>G20-H20</f>
        <v>28619674</v>
      </c>
    </row>
    <row r="21" spans="5:9" x14ac:dyDescent="0.25"/>
    <row r="22" spans="5:9" x14ac:dyDescent="0.25">
      <c r="E22" s="800" t="s">
        <v>1348</v>
      </c>
    </row>
    <row r="23" spans="5:9" x14ac:dyDescent="0.25">
      <c r="E23" s="2134"/>
      <c r="F23" s="2134"/>
      <c r="G23" s="2134"/>
      <c r="H23" s="2134"/>
      <c r="I23" s="2134"/>
    </row>
    <row r="24" spans="5:9" x14ac:dyDescent="0.25">
      <c r="E24" s="2134"/>
      <c r="F24" s="2134"/>
      <c r="G24" s="2134"/>
      <c r="H24" s="2134"/>
      <c r="I24" s="2134"/>
    </row>
    <row r="25" spans="5:9" x14ac:dyDescent="0.25">
      <c r="E25" s="2134"/>
      <c r="F25" s="2134"/>
      <c r="G25" s="2134"/>
      <c r="H25" s="2134"/>
      <c r="I25" s="2134"/>
    </row>
    <row r="26" spans="5:9" x14ac:dyDescent="0.25">
      <c r="E26" s="2134"/>
      <c r="F26" s="2134"/>
      <c r="G26" s="2134"/>
      <c r="H26" s="2134"/>
      <c r="I26" s="2134"/>
    </row>
    <row r="27" spans="5:9" x14ac:dyDescent="0.25">
      <c r="E27" s="2134"/>
      <c r="F27" s="2134"/>
      <c r="G27" s="2134"/>
      <c r="H27" s="2134"/>
      <c r="I27" s="2134"/>
    </row>
    <row r="28" spans="5:9" x14ac:dyDescent="0.25">
      <c r="E28" s="2134"/>
      <c r="F28" s="2134"/>
      <c r="G28" s="2134"/>
      <c r="H28" s="2134"/>
      <c r="I28" s="2134"/>
    </row>
    <row r="29" spans="5:9" x14ac:dyDescent="0.25">
      <c r="E29" s="2134"/>
      <c r="F29" s="2134"/>
      <c r="G29" s="2134"/>
      <c r="H29" s="2134"/>
      <c r="I29" s="2134"/>
    </row>
    <row r="30" spans="5:9" x14ac:dyDescent="0.25">
      <c r="E30" s="2134"/>
      <c r="F30" s="2134"/>
      <c r="G30" s="2134"/>
      <c r="H30" s="2134"/>
      <c r="I30" s="2134"/>
    </row>
    <row r="31" spans="5:9" x14ac:dyDescent="0.25">
      <c r="E31" s="2134"/>
      <c r="F31" s="2134"/>
      <c r="G31" s="2134"/>
      <c r="H31" s="2134"/>
      <c r="I31" s="2134"/>
    </row>
    <row r="32" spans="5:9" x14ac:dyDescent="0.25">
      <c r="E32" s="2134"/>
      <c r="F32" s="2134"/>
      <c r="G32" s="2134"/>
      <c r="H32" s="2134"/>
      <c r="I32" s="2134"/>
    </row>
    <row r="33" spans="5:9" x14ac:dyDescent="0.25">
      <c r="E33" s="2134"/>
      <c r="F33" s="2134"/>
      <c r="G33" s="2134"/>
      <c r="H33" s="2134"/>
      <c r="I33" s="2134"/>
    </row>
    <row r="34" spans="5:9" x14ac:dyDescent="0.25">
      <c r="E34" s="2134"/>
      <c r="F34" s="2134"/>
      <c r="G34" s="2134"/>
      <c r="H34" s="2134"/>
      <c r="I34" s="2134"/>
    </row>
    <row r="35" spans="5:9" s="537" customFormat="1" x14ac:dyDescent="0.25">
      <c r="E35" s="2134"/>
      <c r="F35" s="2134"/>
      <c r="G35" s="2134"/>
      <c r="H35" s="2134"/>
      <c r="I35" s="2134"/>
    </row>
    <row r="36" spans="5:9" s="537" customFormat="1" x14ac:dyDescent="0.25"/>
    <row r="37" spans="5:9" s="537" customFormat="1" x14ac:dyDescent="0.25"/>
    <row r="38" spans="5:9" s="537" customFormat="1" x14ac:dyDescent="0.25"/>
    <row r="39" spans="5:9" s="537" customFormat="1" x14ac:dyDescent="0.25"/>
    <row r="40" spans="5:9" s="537" customFormat="1" x14ac:dyDescent="0.25"/>
    <row r="41" spans="5:9" s="537" customFormat="1" x14ac:dyDescent="0.25"/>
    <row r="42" spans="5:9" s="537" customFormat="1" x14ac:dyDescent="0.25"/>
    <row r="43" spans="5:9" s="537" customFormat="1" x14ac:dyDescent="0.25"/>
    <row r="44" spans="5:9" s="537" customFormat="1" x14ac:dyDescent="0.25"/>
    <row r="45" spans="5:9" s="537" customFormat="1" x14ac:dyDescent="0.25"/>
    <row r="46" spans="5:9" s="537" customFormat="1" x14ac:dyDescent="0.25"/>
    <row r="47" spans="5:9" s="537" customFormat="1" x14ac:dyDescent="0.25"/>
    <row r="48" spans="5:9" s="537" customFormat="1" x14ac:dyDescent="0.25"/>
    <row r="49" s="537" customFormat="1" x14ac:dyDescent="0.25"/>
    <row r="50" s="537" customFormat="1" x14ac:dyDescent="0.25"/>
    <row r="51" s="537" customFormat="1" x14ac:dyDescent="0.25"/>
    <row r="52" s="537" customFormat="1" x14ac:dyDescent="0.25"/>
    <row r="53" s="537" customFormat="1" x14ac:dyDescent="0.25"/>
    <row r="54" s="537" customFormat="1" x14ac:dyDescent="0.25"/>
    <row r="55" s="537" customFormat="1" x14ac:dyDescent="0.25"/>
    <row r="56" s="537" customFormat="1" x14ac:dyDescent="0.25"/>
    <row r="57" s="537" customFormat="1" x14ac:dyDescent="0.25"/>
    <row r="58" s="537" customFormat="1" x14ac:dyDescent="0.25"/>
  </sheetData>
  <sheetProtection algorithmName="SHA-512" hashValue="53CC0f2aLHnMctGJLhYut5rb91xLs9gOcZGpGgwJl4M9G/6GCXMnJ2RUZFjorEb/1MJ3xSDQ6TAd5llAIBzQ1g==" saltValue="kp7xMiVnPbPCccX0fkkJoA==" spinCount="100000" sheet="1" formatCells="0" formatColumns="0" formatRows="0" pivotTables="0"/>
  <mergeCells count="7">
    <mergeCell ref="E23:I35"/>
    <mergeCell ref="E1:I1"/>
    <mergeCell ref="E6:F6"/>
    <mergeCell ref="E12:F12"/>
    <mergeCell ref="E16:F16"/>
    <mergeCell ref="E18:F18"/>
    <mergeCell ref="F3:G3"/>
  </mergeCells>
  <printOptions horizontalCentered="1"/>
  <pageMargins left="0.19685039370078741" right="0.11811023622047244" top="0" bottom="0.3543307086614173" header="0.31496062992125984" footer="0.31496062992125984"/>
  <pageSetup paperSize="9" scale="9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rgb="FF43C6E5"/>
  </sheetPr>
  <dimension ref="A1:M60"/>
  <sheetViews>
    <sheetView topLeftCell="A8" zoomScaleNormal="100" workbookViewId="0">
      <selection activeCell="C27" sqref="C27:K36"/>
    </sheetView>
  </sheetViews>
  <sheetFormatPr baseColWidth="10" defaultColWidth="0" defaultRowHeight="15" zeroHeight="1" x14ac:dyDescent="0.25"/>
  <cols>
    <col min="1" max="2" width="11.42578125" style="537" customWidth="1"/>
    <col min="3" max="3" width="25" style="345" customWidth="1"/>
    <col min="4" max="4" width="23.85546875" style="345" customWidth="1"/>
    <col min="5" max="5" width="6.7109375" style="345" customWidth="1"/>
    <col min="6" max="7" width="13.85546875" style="345" customWidth="1"/>
    <col min="8" max="8" width="14" style="345" customWidth="1"/>
    <col min="9" max="10" width="14.140625" style="345" customWidth="1"/>
    <col min="11" max="11" width="12.140625" style="345" customWidth="1"/>
    <col min="12" max="12" width="11.42578125" style="537" customWidth="1"/>
    <col min="13" max="13" width="16.5703125" style="537" customWidth="1"/>
    <col min="14" max="16384" width="11.42578125" style="345" hidden="1"/>
  </cols>
  <sheetData>
    <row r="1" spans="3:11" ht="28.5" customHeight="1" x14ac:dyDescent="0.25">
      <c r="C1" s="2135" t="s">
        <v>302</v>
      </c>
      <c r="D1" s="2136"/>
      <c r="E1" s="2136"/>
      <c r="F1" s="2136"/>
      <c r="G1" s="2136"/>
      <c r="H1" s="2136"/>
      <c r="I1" s="2136"/>
      <c r="J1" s="2136"/>
      <c r="K1" s="2137"/>
    </row>
    <row r="2" spans="3:11" x14ac:dyDescent="0.25">
      <c r="C2" s="388"/>
      <c r="D2" s="388"/>
      <c r="E2" s="388"/>
      <c r="F2" s="388"/>
      <c r="G2" s="388"/>
      <c r="H2" s="388"/>
      <c r="I2" s="388"/>
    </row>
    <row r="3" spans="3:11" ht="22.5" customHeight="1" x14ac:dyDescent="0.25">
      <c r="C3" s="629" t="s">
        <v>42</v>
      </c>
      <c r="D3" s="664" t="str">
        <f>INFORMATIONS!B10</f>
        <v>SAM CONSEILS</v>
      </c>
      <c r="E3" s="664"/>
      <c r="F3" s="664"/>
      <c r="G3" s="630"/>
      <c r="H3" s="630"/>
      <c r="I3" s="2127" t="s">
        <v>52</v>
      </c>
      <c r="J3" s="2127"/>
      <c r="K3" s="631">
        <f>INFORMATIONS!D31</f>
        <v>43465</v>
      </c>
    </row>
    <row r="4" spans="3:11" ht="19.5" customHeight="1" x14ac:dyDescent="0.25">
      <c r="C4" s="632" t="s">
        <v>43</v>
      </c>
      <c r="D4" s="633" t="str">
        <f>INFORMATIONS!B24</f>
        <v>00084404X</v>
      </c>
      <c r="E4" s="634"/>
      <c r="F4" s="634"/>
      <c r="G4" s="635"/>
      <c r="H4" s="635"/>
      <c r="I4" s="2128" t="s">
        <v>44</v>
      </c>
      <c r="J4" s="2128"/>
      <c r="K4" s="667">
        <f>INFORMATIONS!F34</f>
        <v>12</v>
      </c>
    </row>
    <row r="5" spans="3:11" x14ac:dyDescent="0.25"/>
    <row r="6" spans="3:11" ht="65.25" customHeight="1" x14ac:dyDescent="0.25">
      <c r="C6" s="2116" t="s">
        <v>138</v>
      </c>
      <c r="D6" s="2117"/>
      <c r="E6" s="590" t="s">
        <v>2</v>
      </c>
      <c r="F6" s="590" t="s">
        <v>139</v>
      </c>
      <c r="G6" s="590" t="s">
        <v>140</v>
      </c>
      <c r="H6" s="590" t="s">
        <v>254</v>
      </c>
      <c r="I6" s="590" t="s">
        <v>141</v>
      </c>
      <c r="J6" s="590" t="s">
        <v>284</v>
      </c>
      <c r="K6" s="590" t="s">
        <v>285</v>
      </c>
    </row>
    <row r="7" spans="3:11" ht="23.25" customHeight="1" x14ac:dyDescent="0.25">
      <c r="C7" s="430" t="s">
        <v>25</v>
      </c>
      <c r="D7" s="425"/>
      <c r="E7" s="640"/>
      <c r="F7" s="427">
        <f>SUMPRODUCT(((LEFT(BalanceN!$A$4:$A$9999,4)="1411"))*BalanceN!$H$4:$H$9999)</f>
        <v>0</v>
      </c>
      <c r="G7" s="427">
        <f>SUMPRODUCT(((LEFT(BalanceN!$A$4:$A$9999,4)="1411"))*BalanceN!$D$4:$D$9999)</f>
        <v>0</v>
      </c>
      <c r="H7" s="640">
        <f>F7-G7</f>
        <v>0</v>
      </c>
      <c r="I7" s="794" t="str">
        <f>IF(G7=0,"-",(H7/G7))</f>
        <v>-</v>
      </c>
      <c r="J7" s="146"/>
      <c r="K7" s="146"/>
    </row>
    <row r="8" spans="3:11" ht="21" customHeight="1" x14ac:dyDescent="0.25">
      <c r="C8" s="2001" t="s">
        <v>286</v>
      </c>
      <c r="D8" s="2003"/>
      <c r="E8" s="640"/>
      <c r="F8" s="427">
        <f>SUMPRODUCT(((LEFT(BalanceN!$A$4:$A$9999,4)="1412"))*BalanceN!$H$4:$H$9999)</f>
        <v>0</v>
      </c>
      <c r="G8" s="427">
        <f>SUMPRODUCT(((LEFT(BalanceN!$A$4:$A$9999,4)="1412"))*BalanceN!$D$4:$D$9999)</f>
        <v>0</v>
      </c>
      <c r="H8" s="640">
        <f t="shared" ref="H8:H14" si="0">F8-G8</f>
        <v>0</v>
      </c>
      <c r="I8" s="794" t="str">
        <f t="shared" ref="I8:I14" si="1">IF(G8=0,"-",(H8/G8))</f>
        <v>-</v>
      </c>
      <c r="J8" s="162"/>
      <c r="K8" s="162"/>
    </row>
    <row r="9" spans="3:11" ht="23.25" customHeight="1" x14ac:dyDescent="0.25">
      <c r="C9" s="2001" t="s">
        <v>287</v>
      </c>
      <c r="D9" s="2003"/>
      <c r="E9" s="640"/>
      <c r="F9" s="427">
        <f>SUMPRODUCT(((LEFT(BalanceN!$A$4:$A$9999,4)="1413"))*BalanceN!$H$4:$H$9999)</f>
        <v>0</v>
      </c>
      <c r="G9" s="427">
        <f>SUMPRODUCT(((LEFT(BalanceN!$A$4:$A$9999,4)="1413"))*BalanceN!$D$4:$D$9999)</f>
        <v>0</v>
      </c>
      <c r="H9" s="640">
        <f t="shared" si="0"/>
        <v>0</v>
      </c>
      <c r="I9" s="794" t="str">
        <f t="shared" si="1"/>
        <v>-</v>
      </c>
      <c r="J9" s="162"/>
      <c r="K9" s="162"/>
    </row>
    <row r="10" spans="3:11" ht="21" customHeight="1" x14ac:dyDescent="0.25">
      <c r="C10" s="2032" t="s">
        <v>288</v>
      </c>
      <c r="D10" s="2189"/>
      <c r="E10" s="640"/>
      <c r="F10" s="427">
        <f>SUMPRODUCT(((LEFT(BalanceN!$A$4:$A$9999,4)="1414"))*BalanceN!$H$4:$H$9999)</f>
        <v>2000000</v>
      </c>
      <c r="G10" s="427">
        <f>SUMPRODUCT(((LEFT(BalanceN!$A$4:$A$9999,4)="1414"))*BalanceN!$D$4:$D$9999)</f>
        <v>0</v>
      </c>
      <c r="H10" s="640">
        <f t="shared" si="0"/>
        <v>2000000</v>
      </c>
      <c r="I10" s="794" t="str">
        <f t="shared" si="1"/>
        <v>-</v>
      </c>
      <c r="J10" s="162"/>
      <c r="K10" s="162"/>
    </row>
    <row r="11" spans="3:11" ht="21" customHeight="1" x14ac:dyDescent="0.25">
      <c r="C11" s="423" t="s">
        <v>289</v>
      </c>
      <c r="D11" s="425"/>
      <c r="E11" s="640"/>
      <c r="F11" s="427">
        <f>SUMPRODUCT(((LEFT(BalanceN!$A$4:$A$9999,4)="1415"))*BalanceN!$H$4:$H$9999)</f>
        <v>0</v>
      </c>
      <c r="G11" s="427">
        <f>SUMPRODUCT(((LEFT(BalanceN!$A$4:$A$9999,4)="1415"))*BalanceN!$D$4:$D$9999)</f>
        <v>0</v>
      </c>
      <c r="H11" s="640">
        <f t="shared" si="0"/>
        <v>0</v>
      </c>
      <c r="I11" s="794" t="str">
        <f t="shared" si="1"/>
        <v>-</v>
      </c>
      <c r="J11" s="162"/>
      <c r="K11" s="169"/>
    </row>
    <row r="12" spans="3:11" ht="23.25" customHeight="1" x14ac:dyDescent="0.25">
      <c r="C12" s="2001" t="s">
        <v>290</v>
      </c>
      <c r="D12" s="2003"/>
      <c r="E12" s="640"/>
      <c r="F12" s="427">
        <f>SUMPRODUCT(((LEFT(BalanceN!$A$4:$A$9999,4)="1416"))*BalanceN!$H$4:$H$9999)</f>
        <v>0</v>
      </c>
      <c r="G12" s="427">
        <f>SUMPRODUCT(((LEFT(BalanceN!$A$4:$A$9999,4)="1416"))*BalanceN!$D$4:$D$9999)</f>
        <v>0</v>
      </c>
      <c r="H12" s="640">
        <f t="shared" si="0"/>
        <v>0</v>
      </c>
      <c r="I12" s="794" t="str">
        <f t="shared" si="1"/>
        <v>-</v>
      </c>
      <c r="J12" s="162"/>
      <c r="K12" s="146"/>
    </row>
    <row r="13" spans="3:11" ht="21" customHeight="1" x14ac:dyDescent="0.25">
      <c r="C13" s="423" t="s">
        <v>26</v>
      </c>
      <c r="D13" s="425"/>
      <c r="E13" s="640"/>
      <c r="F13" s="427">
        <f>SUMPRODUCT(((LEFT(BalanceN!$A$4:$A$9999,4)="1417"))*BalanceN!$H$4:$H$9999)</f>
        <v>0</v>
      </c>
      <c r="G13" s="427">
        <f>SUMPRODUCT(((LEFT(BalanceN!$A$4:$A$9999,4)="1417"))*BalanceN!$D$4:$D$9999)</f>
        <v>0</v>
      </c>
      <c r="H13" s="640">
        <f t="shared" si="0"/>
        <v>0</v>
      </c>
      <c r="I13" s="794" t="str">
        <f t="shared" si="1"/>
        <v>-</v>
      </c>
      <c r="J13" s="162"/>
      <c r="K13" s="162"/>
    </row>
    <row r="14" spans="3:11" ht="21" customHeight="1" x14ac:dyDescent="0.25">
      <c r="C14" s="2032" t="s">
        <v>1060</v>
      </c>
      <c r="D14" s="2189"/>
      <c r="E14" s="795"/>
      <c r="F14" s="427">
        <f>SUMPRODUCT(((LEFT(BalanceN!$A$4:$A$9999,3)="148"))*BalanceN!$H$4:$H$9999)</f>
        <v>0</v>
      </c>
      <c r="G14" s="427">
        <f>SUMPRODUCT(((LEFT(BalanceN!$A$4:$A$9999,3)="148"))*BalanceN!$D$4:$D$9999)</f>
        <v>0</v>
      </c>
      <c r="H14" s="640">
        <f t="shared" si="0"/>
        <v>0</v>
      </c>
      <c r="I14" s="794" t="str">
        <f t="shared" si="1"/>
        <v>-</v>
      </c>
      <c r="J14" s="162"/>
      <c r="K14" s="162"/>
    </row>
    <row r="15" spans="3:11" ht="30" customHeight="1" x14ac:dyDescent="0.25">
      <c r="C15" s="2029" t="s">
        <v>291</v>
      </c>
      <c r="D15" s="2031"/>
      <c r="E15" s="642"/>
      <c r="F15" s="642">
        <f>SUM(F7:F14)</f>
        <v>2000000</v>
      </c>
      <c r="G15" s="642">
        <f>SUM(G7:G14)</f>
        <v>0</v>
      </c>
      <c r="H15" s="642">
        <f>SUM(H7:H14)</f>
        <v>2000000</v>
      </c>
      <c r="I15" s="796" t="str">
        <f>IF(G15=0,"-",(H15/G15))</f>
        <v>-</v>
      </c>
      <c r="J15" s="627"/>
      <c r="K15" s="627"/>
    </row>
    <row r="16" spans="3:11" ht="21" customHeight="1" x14ac:dyDescent="0.25">
      <c r="C16" s="423" t="s">
        <v>292</v>
      </c>
      <c r="D16" s="425"/>
      <c r="E16" s="640"/>
      <c r="F16" s="427">
        <f>SUMPRODUCT(((LEFT(BalanceN!$A$4:$A$9999,3)="151"))*BalanceN!$H$4:$H$9999)</f>
        <v>0</v>
      </c>
      <c r="G16" s="427">
        <f>SUMPRODUCT(((LEFT(BalanceN!$A$4:$A$9999,3)="151"))*BalanceN!$D$4:$D$9999)</f>
        <v>0</v>
      </c>
      <c r="H16" s="640">
        <f t="shared" ref="H16:H22" si="2">F16-G16</f>
        <v>0</v>
      </c>
      <c r="I16" s="794" t="str">
        <f>IF(G16=0,"-",(H16/G16))</f>
        <v>-</v>
      </c>
      <c r="J16" s="162"/>
      <c r="K16" s="162"/>
    </row>
    <row r="17" spans="1:13" ht="21" customHeight="1" x14ac:dyDescent="0.25">
      <c r="C17" s="423" t="s">
        <v>293</v>
      </c>
      <c r="D17" s="425"/>
      <c r="E17" s="640"/>
      <c r="F17" s="427">
        <f>SUMPRODUCT(((LEFT(BalanceN!$A$4:$A$9999,3)="152"))*BalanceN!$H$4:$H$9999)</f>
        <v>0</v>
      </c>
      <c r="G17" s="427">
        <f>SUMPRODUCT(((LEFT(BalanceN!$A$4:$A$9999,3)="152"))*BalanceN!$D$4:$D$9999)</f>
        <v>0</v>
      </c>
      <c r="H17" s="640">
        <f t="shared" si="2"/>
        <v>0</v>
      </c>
      <c r="I17" s="794" t="str">
        <f t="shared" ref="I17:I23" si="3">IF(G17=0,"-",(H17/G17))</f>
        <v>-</v>
      </c>
      <c r="J17" s="162"/>
      <c r="K17" s="169"/>
    </row>
    <row r="18" spans="1:13" ht="21" customHeight="1" x14ac:dyDescent="0.25">
      <c r="C18" s="423" t="s">
        <v>294</v>
      </c>
      <c r="D18" s="425"/>
      <c r="E18" s="797" t="s">
        <v>301</v>
      </c>
      <c r="F18" s="427">
        <f>SUMPRODUCT(((LEFT(BalanceN!$A$4:$A$9999,3)="154"))*BalanceN!$H$4:$H$9999)</f>
        <v>40000000</v>
      </c>
      <c r="G18" s="427">
        <f>SUMPRODUCT(((LEFT(BalanceN!$A$4:$A$9999,3)="154"))*BalanceN!$D$4:$D$9999)</f>
        <v>0</v>
      </c>
      <c r="H18" s="640">
        <f t="shared" si="2"/>
        <v>40000000</v>
      </c>
      <c r="I18" s="794" t="str">
        <f t="shared" si="3"/>
        <v>-</v>
      </c>
      <c r="J18" s="162"/>
      <c r="K18" s="146"/>
    </row>
    <row r="19" spans="1:13" ht="21" customHeight="1" x14ac:dyDescent="0.25">
      <c r="C19" s="423" t="s">
        <v>295</v>
      </c>
      <c r="D19" s="425"/>
      <c r="E19" s="640"/>
      <c r="F19" s="427">
        <f>SUMPRODUCT(((LEFT(BalanceN!$A$4:$A$9999,3)="155"))*BalanceN!$H$4:$H$9999)</f>
        <v>0</v>
      </c>
      <c r="G19" s="427">
        <f>SUMPRODUCT(((LEFT(BalanceN!$A$4:$A$9999,3)="155"))*BalanceN!$D$4:$D$9999)</f>
        <v>0</v>
      </c>
      <c r="H19" s="640">
        <f t="shared" si="2"/>
        <v>0</v>
      </c>
      <c r="I19" s="794" t="str">
        <f t="shared" si="3"/>
        <v>-</v>
      </c>
      <c r="J19" s="162"/>
      <c r="K19" s="162"/>
    </row>
    <row r="20" spans="1:13" ht="21" customHeight="1" x14ac:dyDescent="0.25">
      <c r="C20" s="423" t="s">
        <v>296</v>
      </c>
      <c r="D20" s="425"/>
      <c r="E20" s="640"/>
      <c r="F20" s="427">
        <f>SUMPRODUCT(((LEFT(BalanceN!$A$4:$A$9999,3)="156"))*BalanceN!$H$4:$H$9999)</f>
        <v>0</v>
      </c>
      <c r="G20" s="427">
        <f>SUMPRODUCT(((LEFT(BalanceN!$A$4:$A$9999,3)="156"))*BalanceN!$D$4:$D$9999)</f>
        <v>0</v>
      </c>
      <c r="H20" s="640">
        <f t="shared" si="2"/>
        <v>0</v>
      </c>
      <c r="I20" s="794" t="str">
        <f t="shared" si="3"/>
        <v>-</v>
      </c>
      <c r="J20" s="162"/>
      <c r="K20" s="162"/>
    </row>
    <row r="21" spans="1:13" ht="21" customHeight="1" x14ac:dyDescent="0.25">
      <c r="C21" s="423" t="s">
        <v>297</v>
      </c>
      <c r="D21" s="425"/>
      <c r="E21" s="640"/>
      <c r="F21" s="427">
        <f>SUMPRODUCT(((LEFT(BalanceN!$A$4:$A$9999,3)="157"))*BalanceN!$H$4:$H$9999)</f>
        <v>0</v>
      </c>
      <c r="G21" s="427">
        <f>SUMPRODUCT(((LEFT(BalanceN!$A$4:$A$9999,3)="157"))*BalanceN!$D$4:$D$9999)</f>
        <v>0</v>
      </c>
      <c r="H21" s="640">
        <f t="shared" si="2"/>
        <v>0</v>
      </c>
      <c r="I21" s="794" t="str">
        <f t="shared" si="3"/>
        <v>-</v>
      </c>
      <c r="J21" s="162"/>
      <c r="K21" s="162"/>
    </row>
    <row r="22" spans="1:13" ht="21" customHeight="1" x14ac:dyDescent="0.25">
      <c r="C22" s="423" t="s">
        <v>298</v>
      </c>
      <c r="D22" s="425"/>
      <c r="E22" s="640"/>
      <c r="F22" s="427">
        <f>SUMPRODUCT(((LEFT(BalanceN!$A$4:$A$9999,3)="158"))*BalanceN!$H$4:$H$9999)</f>
        <v>0</v>
      </c>
      <c r="G22" s="427">
        <f>SUMPRODUCT(((LEFT(BalanceN!$A$4:$A$9999,3)="158"))*BalanceN!$D$4:$D$9999)</f>
        <v>0</v>
      </c>
      <c r="H22" s="640">
        <f t="shared" si="2"/>
        <v>0</v>
      </c>
      <c r="I22" s="794" t="str">
        <f t="shared" si="3"/>
        <v>-</v>
      </c>
      <c r="J22" s="162"/>
      <c r="K22" s="169"/>
    </row>
    <row r="23" spans="1:13" s="422" customFormat="1" ht="21.75" customHeight="1" x14ac:dyDescent="0.25">
      <c r="A23" s="546"/>
      <c r="B23" s="546"/>
      <c r="C23" s="2121" t="s">
        <v>299</v>
      </c>
      <c r="D23" s="2122"/>
      <c r="E23" s="639">
        <f>SUM(E7:E20)</f>
        <v>0</v>
      </c>
      <c r="F23" s="639">
        <f>SUM(F16:F22)</f>
        <v>40000000</v>
      </c>
      <c r="G23" s="639">
        <f>SUM(G16:G22)</f>
        <v>0</v>
      </c>
      <c r="H23" s="639">
        <f>SUM(H16:H22)</f>
        <v>40000000</v>
      </c>
      <c r="I23" s="796" t="str">
        <f t="shared" si="3"/>
        <v>-</v>
      </c>
      <c r="J23" s="626"/>
      <c r="K23" s="626"/>
      <c r="L23" s="546"/>
      <c r="M23" s="546"/>
    </row>
    <row r="24" spans="1:13" s="422" customFormat="1" ht="34.5" customHeight="1" x14ac:dyDescent="0.25">
      <c r="A24" s="546"/>
      <c r="B24" s="546"/>
      <c r="C24" s="2121" t="s">
        <v>300</v>
      </c>
      <c r="D24" s="2122"/>
      <c r="E24" s="639"/>
      <c r="F24" s="639">
        <f>F15+F23</f>
        <v>42000000</v>
      </c>
      <c r="G24" s="639">
        <f>G15+G23</f>
        <v>0</v>
      </c>
      <c r="H24" s="639">
        <f>H15+H23</f>
        <v>42000000</v>
      </c>
      <c r="I24" s="796" t="str">
        <f>IF(G24=0,"-",(H24/G24))</f>
        <v>-</v>
      </c>
      <c r="J24" s="626"/>
      <c r="K24" s="626"/>
      <c r="L24" s="546"/>
      <c r="M24" s="546"/>
    </row>
    <row r="25" spans="1:13" x14ac:dyDescent="0.25"/>
    <row r="26" spans="1:13" x14ac:dyDescent="0.25">
      <c r="C26" s="645" t="s">
        <v>1348</v>
      </c>
    </row>
    <row r="27" spans="1:13" x14ac:dyDescent="0.25">
      <c r="C27" s="2166"/>
      <c r="D27" s="2166"/>
      <c r="E27" s="2166"/>
      <c r="F27" s="2166"/>
      <c r="G27" s="2166"/>
      <c r="H27" s="2166"/>
      <c r="I27" s="2166"/>
      <c r="J27" s="2166"/>
      <c r="K27" s="2166"/>
    </row>
    <row r="28" spans="1:13" x14ac:dyDescent="0.25">
      <c r="C28" s="2166"/>
      <c r="D28" s="2166"/>
      <c r="E28" s="2166"/>
      <c r="F28" s="2166"/>
      <c r="G28" s="2166"/>
      <c r="H28" s="2166"/>
      <c r="I28" s="2166"/>
      <c r="J28" s="2166"/>
      <c r="K28" s="2166"/>
    </row>
    <row r="29" spans="1:13" x14ac:dyDescent="0.25">
      <c r="C29" s="2166"/>
      <c r="D29" s="2166"/>
      <c r="E29" s="2166"/>
      <c r="F29" s="2166"/>
      <c r="G29" s="2166"/>
      <c r="H29" s="2166"/>
      <c r="I29" s="2166"/>
      <c r="J29" s="2166"/>
      <c r="K29" s="2166"/>
    </row>
    <row r="30" spans="1:13" x14ac:dyDescent="0.25">
      <c r="C30" s="2166"/>
      <c r="D30" s="2166"/>
      <c r="E30" s="2166"/>
      <c r="F30" s="2166"/>
      <c r="G30" s="2166"/>
      <c r="H30" s="2166"/>
      <c r="I30" s="2166"/>
      <c r="J30" s="2166"/>
      <c r="K30" s="2166"/>
    </row>
    <row r="31" spans="1:13" x14ac:dyDescent="0.25">
      <c r="C31" s="2166"/>
      <c r="D31" s="2166"/>
      <c r="E31" s="2166"/>
      <c r="F31" s="2166"/>
      <c r="G31" s="2166"/>
      <c r="H31" s="2166"/>
      <c r="I31" s="2166"/>
      <c r="J31" s="2166"/>
      <c r="K31" s="2166"/>
    </row>
    <row r="32" spans="1:13" x14ac:dyDescent="0.25">
      <c r="C32" s="2166"/>
      <c r="D32" s="2166"/>
      <c r="E32" s="2166"/>
      <c r="F32" s="2166"/>
      <c r="G32" s="2166"/>
      <c r="H32" s="2166"/>
      <c r="I32" s="2166"/>
      <c r="J32" s="2166"/>
      <c r="K32" s="2166"/>
    </row>
    <row r="33" spans="3:11" x14ac:dyDescent="0.25">
      <c r="C33" s="2166"/>
      <c r="D33" s="2166"/>
      <c r="E33" s="2166"/>
      <c r="F33" s="2166"/>
      <c r="G33" s="2166"/>
      <c r="H33" s="2166"/>
      <c r="I33" s="2166"/>
      <c r="J33" s="2166"/>
      <c r="K33" s="2166"/>
    </row>
    <row r="34" spans="3:11" x14ac:dyDescent="0.25">
      <c r="C34" s="2166"/>
      <c r="D34" s="2166"/>
      <c r="E34" s="2166"/>
      <c r="F34" s="2166"/>
      <c r="G34" s="2166"/>
      <c r="H34" s="2166"/>
      <c r="I34" s="2166"/>
      <c r="J34" s="2166"/>
      <c r="K34" s="2166"/>
    </row>
    <row r="35" spans="3:11" x14ac:dyDescent="0.25">
      <c r="C35" s="2166"/>
      <c r="D35" s="2166"/>
      <c r="E35" s="2166"/>
      <c r="F35" s="2166"/>
      <c r="G35" s="2166"/>
      <c r="H35" s="2166"/>
      <c r="I35" s="2166"/>
      <c r="J35" s="2166"/>
      <c r="K35" s="2166"/>
    </row>
    <row r="36" spans="3:11" x14ac:dyDescent="0.25">
      <c r="C36" s="2166"/>
      <c r="D36" s="2166"/>
      <c r="E36" s="2166"/>
      <c r="F36" s="2166"/>
      <c r="G36" s="2166"/>
      <c r="H36" s="2166"/>
      <c r="I36" s="2166"/>
      <c r="J36" s="2166"/>
      <c r="K36" s="2166"/>
    </row>
    <row r="37" spans="3:11" s="537" customFormat="1" x14ac:dyDescent="0.25"/>
    <row r="38" spans="3:11" s="537" customFormat="1" x14ac:dyDescent="0.25"/>
    <row r="39" spans="3:11" s="537" customFormat="1" x14ac:dyDescent="0.25"/>
    <row r="40" spans="3:11" s="537" customFormat="1" x14ac:dyDescent="0.25"/>
    <row r="41" spans="3:11" s="537" customFormat="1" x14ac:dyDescent="0.25"/>
    <row r="42" spans="3:11" s="537" customFormat="1" x14ac:dyDescent="0.25"/>
    <row r="43" spans="3:11" s="537" customFormat="1" x14ac:dyDescent="0.25"/>
    <row r="44" spans="3:11" s="537" customFormat="1" x14ac:dyDescent="0.25"/>
    <row r="45" spans="3:11" s="537" customFormat="1" x14ac:dyDescent="0.25"/>
    <row r="46" spans="3:11" s="537" customFormat="1" x14ac:dyDescent="0.25"/>
    <row r="47" spans="3:11" s="537" customFormat="1" x14ac:dyDescent="0.25"/>
    <row r="48" spans="3:11" s="537" customFormat="1" x14ac:dyDescent="0.25"/>
    <row r="49" s="537" customFormat="1" x14ac:dyDescent="0.25"/>
    <row r="50" s="537" customFormat="1" x14ac:dyDescent="0.25"/>
    <row r="51" s="537" customFormat="1" x14ac:dyDescent="0.25"/>
    <row r="52" s="537" customFormat="1" x14ac:dyDescent="0.25"/>
    <row r="53" s="537" customFormat="1" x14ac:dyDescent="0.25"/>
    <row r="54" s="537" customFormat="1" x14ac:dyDescent="0.25"/>
    <row r="55" s="537" customFormat="1" x14ac:dyDescent="0.25"/>
    <row r="56" s="537" customFormat="1" x14ac:dyDescent="0.25"/>
    <row r="57" s="537" customFormat="1" x14ac:dyDescent="0.25"/>
    <row r="58" s="537" customFormat="1" x14ac:dyDescent="0.25"/>
    <row r="59" s="537" customFormat="1" x14ac:dyDescent="0.25"/>
    <row r="60" s="537" customFormat="1" x14ac:dyDescent="0.25"/>
  </sheetData>
  <sheetProtection algorithmName="SHA-512" hashValue="rfjGxaxZEE7RpHsgx49Mbu42x13i6NGO70vO8WnJ/3IxLnFdpid79WeWHaguk6RXi95u9aazsykfK2erQfstqQ==" saltValue="u3l7HaICPFRnOpr0ex0V6w==" spinCount="100000" sheet="1" formatCells="0" formatColumns="0" formatRows="0" pivotTables="0"/>
  <mergeCells count="13">
    <mergeCell ref="C27:K36"/>
    <mergeCell ref="C10:D10"/>
    <mergeCell ref="C12:D12"/>
    <mergeCell ref="C15:D15"/>
    <mergeCell ref="C23:D23"/>
    <mergeCell ref="C24:D24"/>
    <mergeCell ref="C14:D14"/>
    <mergeCell ref="C9:D9"/>
    <mergeCell ref="C1:K1"/>
    <mergeCell ref="I3:J3"/>
    <mergeCell ref="I4:J4"/>
    <mergeCell ref="C6:D6"/>
    <mergeCell ref="C8:D8"/>
  </mergeCells>
  <printOptions horizontalCentered="1"/>
  <pageMargins left="0" right="0.11811023622047245" top="0" bottom="0.35433070866141736" header="0.31496062992125984" footer="0.31496062992125984"/>
  <pageSetup paperSize="9" scale="76"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rgb="FF43C6E5"/>
  </sheetPr>
  <dimension ref="A1:N48"/>
  <sheetViews>
    <sheetView zoomScaleNormal="100" workbookViewId="0">
      <selection activeCell="G9" sqref="G9"/>
    </sheetView>
  </sheetViews>
  <sheetFormatPr baseColWidth="10" defaultColWidth="0" defaultRowHeight="15" zeroHeight="1" x14ac:dyDescent="0.25"/>
  <cols>
    <col min="1" max="1" width="9.85546875" style="533" customWidth="1"/>
    <col min="2" max="2" width="8.28515625" style="533" customWidth="1"/>
    <col min="3" max="3" width="11.42578125" style="533" customWidth="1"/>
    <col min="4" max="4" width="25" style="120" customWidth="1"/>
    <col min="5" max="5" width="23.85546875" style="120" customWidth="1"/>
    <col min="6" max="6" width="6.7109375" style="120" customWidth="1"/>
    <col min="7" max="8" width="13.85546875" style="120" customWidth="1"/>
    <col min="9" max="9" width="14" style="120" customWidth="1"/>
    <col min="10" max="11" width="14.140625" style="120" customWidth="1"/>
    <col min="12" max="12" width="12.140625" style="533" customWidth="1"/>
    <col min="13" max="14" width="11.42578125" style="533" customWidth="1"/>
    <col min="15" max="16384" width="11.42578125" style="120" hidden="1"/>
  </cols>
  <sheetData>
    <row r="1" spans="1:14" ht="28.5" customHeight="1" x14ac:dyDescent="0.25">
      <c r="D1" s="1827" t="s">
        <v>303</v>
      </c>
      <c r="E1" s="1828"/>
      <c r="F1" s="1828"/>
      <c r="G1" s="1828"/>
      <c r="H1" s="1828"/>
      <c r="I1" s="1828"/>
      <c r="J1" s="1828"/>
      <c r="K1" s="2191"/>
      <c r="L1" s="853"/>
    </row>
    <row r="2" spans="1:14" x14ac:dyDescent="0.25">
      <c r="D2" s="380"/>
      <c r="E2" s="380"/>
      <c r="F2" s="380"/>
      <c r="G2" s="380"/>
      <c r="H2" s="380"/>
      <c r="I2" s="380"/>
      <c r="J2" s="380"/>
    </row>
    <row r="3" spans="1:14" ht="22.5" customHeight="1" x14ac:dyDescent="0.25">
      <c r="D3" s="618" t="s">
        <v>42</v>
      </c>
      <c r="E3" s="832" t="str">
        <f>INFORMATIONS!B10</f>
        <v>SAM CONSEILS</v>
      </c>
      <c r="F3" s="832"/>
      <c r="G3" s="832"/>
      <c r="H3" s="619"/>
      <c r="I3" s="2214" t="s">
        <v>52</v>
      </c>
      <c r="J3" s="2214"/>
      <c r="K3" s="620">
        <f>INFORMATIONS!D31</f>
        <v>43465</v>
      </c>
    </row>
    <row r="4" spans="1:14" ht="19.5" customHeight="1" x14ac:dyDescent="0.25">
      <c r="D4" s="621" t="s">
        <v>43</v>
      </c>
      <c r="E4" s="622" t="str">
        <f>INFORMATIONS!B24</f>
        <v>00084404X</v>
      </c>
      <c r="F4" s="623"/>
      <c r="G4" s="623"/>
      <c r="H4" s="624"/>
      <c r="I4" s="2206" t="s">
        <v>44</v>
      </c>
      <c r="J4" s="2206"/>
      <c r="K4" s="625">
        <f>INFORMATIONS!F34</f>
        <v>12</v>
      </c>
    </row>
    <row r="5" spans="1:14" x14ac:dyDescent="0.25"/>
    <row r="6" spans="1:14" ht="65.25" customHeight="1" x14ac:dyDescent="0.25">
      <c r="D6" s="2192" t="s">
        <v>138</v>
      </c>
      <c r="E6" s="2193"/>
      <c r="F6" s="536" t="s">
        <v>2</v>
      </c>
      <c r="G6" s="536" t="s">
        <v>139</v>
      </c>
      <c r="H6" s="536" t="s">
        <v>140</v>
      </c>
      <c r="I6" s="536" t="s">
        <v>254</v>
      </c>
      <c r="J6" s="536" t="s">
        <v>141</v>
      </c>
      <c r="K6" s="536" t="s">
        <v>285</v>
      </c>
    </row>
    <row r="7" spans="1:14" ht="23.25" customHeight="1" x14ac:dyDescent="0.25">
      <c r="D7" s="382" t="s">
        <v>304</v>
      </c>
      <c r="E7" s="165"/>
      <c r="F7" s="146"/>
      <c r="G7" s="224"/>
      <c r="H7" s="163"/>
      <c r="I7" s="815">
        <f>G7-H7</f>
        <v>0</v>
      </c>
      <c r="J7" s="807" t="str">
        <f t="shared" ref="J7:J12" si="0">IF(H7=0,"-",(I7/H7))</f>
        <v>-</v>
      </c>
      <c r="K7" s="146"/>
    </row>
    <row r="8" spans="1:14" ht="21" customHeight="1" x14ac:dyDescent="0.25">
      <c r="D8" s="2215" t="s">
        <v>305</v>
      </c>
      <c r="E8" s="2216"/>
      <c r="F8" s="146"/>
      <c r="G8" s="223"/>
      <c r="H8" s="163"/>
      <c r="I8" s="815">
        <f>G8-H8</f>
        <v>0</v>
      </c>
      <c r="J8" s="807" t="str">
        <f t="shared" si="0"/>
        <v>-</v>
      </c>
      <c r="K8" s="162"/>
    </row>
    <row r="9" spans="1:14" ht="23.25" customHeight="1" x14ac:dyDescent="0.25">
      <c r="D9" s="2215" t="s">
        <v>306</v>
      </c>
      <c r="E9" s="2216"/>
      <c r="F9" s="146"/>
      <c r="G9" s="163"/>
      <c r="H9" s="163"/>
      <c r="I9" s="815">
        <f>G9-H9</f>
        <v>0</v>
      </c>
      <c r="J9" s="807" t="str">
        <f t="shared" si="0"/>
        <v>-</v>
      </c>
      <c r="K9" s="162"/>
    </row>
    <row r="10" spans="1:14" ht="21" customHeight="1" x14ac:dyDescent="0.25">
      <c r="D10" s="2210" t="s">
        <v>307</v>
      </c>
      <c r="E10" s="2211"/>
      <c r="F10" s="146"/>
      <c r="G10" s="163"/>
      <c r="H10" s="163"/>
      <c r="I10" s="815">
        <f>G10-H10</f>
        <v>0</v>
      </c>
      <c r="J10" s="807" t="str">
        <f t="shared" si="0"/>
        <v>-</v>
      </c>
      <c r="K10" s="162"/>
    </row>
    <row r="11" spans="1:14" ht="21" customHeight="1" x14ac:dyDescent="0.25">
      <c r="D11" s="166" t="s">
        <v>308</v>
      </c>
      <c r="E11" s="165"/>
      <c r="F11" s="146"/>
      <c r="G11" s="163"/>
      <c r="H11" s="163"/>
      <c r="I11" s="815">
        <f>G11-H11</f>
        <v>0</v>
      </c>
      <c r="J11" s="807" t="str">
        <f t="shared" si="0"/>
        <v>-</v>
      </c>
      <c r="K11" s="169"/>
    </row>
    <row r="12" spans="1:14" s="381" customFormat="1" ht="21" customHeight="1" x14ac:dyDescent="0.25">
      <c r="A12" s="535"/>
      <c r="B12" s="535"/>
      <c r="C12" s="535"/>
      <c r="D12" s="2212" t="s">
        <v>309</v>
      </c>
      <c r="E12" s="2213"/>
      <c r="F12" s="626"/>
      <c r="G12" s="626">
        <f>SUM(G7:G11)</f>
        <v>0</v>
      </c>
      <c r="H12" s="626">
        <f>SUM(H7:H11)</f>
        <v>0</v>
      </c>
      <c r="I12" s="626">
        <f>SUM(I7:I11)</f>
        <v>0</v>
      </c>
      <c r="J12" s="808" t="str">
        <f t="shared" si="0"/>
        <v>-</v>
      </c>
      <c r="K12" s="814"/>
      <c r="L12" s="535"/>
      <c r="M12" s="535"/>
      <c r="N12" s="535"/>
    </row>
    <row r="13" spans="1:14" x14ac:dyDescent="0.25"/>
    <row r="14" spans="1:14" x14ac:dyDescent="0.25">
      <c r="D14" s="628" t="s">
        <v>1348</v>
      </c>
    </row>
    <row r="15" spans="1:14" x14ac:dyDescent="0.25">
      <c r="D15" s="2166"/>
      <c r="E15" s="2166"/>
      <c r="F15" s="2166"/>
      <c r="G15" s="2166"/>
      <c r="H15" s="2166"/>
      <c r="I15" s="2166"/>
      <c r="J15" s="2166"/>
      <c r="K15" s="2166"/>
    </row>
    <row r="16" spans="1:14" x14ac:dyDescent="0.25">
      <c r="D16" s="2166"/>
      <c r="E16" s="2166"/>
      <c r="F16" s="2166"/>
      <c r="G16" s="2166"/>
      <c r="H16" s="2166"/>
      <c r="I16" s="2166"/>
      <c r="J16" s="2166"/>
      <c r="K16" s="2166"/>
    </row>
    <row r="17" spans="4:11" x14ac:dyDescent="0.25">
      <c r="D17" s="2166"/>
      <c r="E17" s="2166"/>
      <c r="F17" s="2166"/>
      <c r="G17" s="2166"/>
      <c r="H17" s="2166"/>
      <c r="I17" s="2166"/>
      <c r="J17" s="2166"/>
      <c r="K17" s="2166"/>
    </row>
    <row r="18" spans="4:11" x14ac:dyDescent="0.25">
      <c r="D18" s="2166"/>
      <c r="E18" s="2166"/>
      <c r="F18" s="2166"/>
      <c r="G18" s="2166"/>
      <c r="H18" s="2166"/>
      <c r="I18" s="2166"/>
      <c r="J18" s="2166"/>
      <c r="K18" s="2166"/>
    </row>
    <row r="19" spans="4:11" x14ac:dyDescent="0.25">
      <c r="D19" s="2166"/>
      <c r="E19" s="2166"/>
      <c r="F19" s="2166"/>
      <c r="G19" s="2166"/>
      <c r="H19" s="2166"/>
      <c r="I19" s="2166"/>
      <c r="J19" s="2166"/>
      <c r="K19" s="2166"/>
    </row>
    <row r="20" spans="4:11" x14ac:dyDescent="0.25">
      <c r="D20" s="2166"/>
      <c r="E20" s="2166"/>
      <c r="F20" s="2166"/>
      <c r="G20" s="2166"/>
      <c r="H20" s="2166"/>
      <c r="I20" s="2166"/>
      <c r="J20" s="2166"/>
      <c r="K20" s="2166"/>
    </row>
    <row r="21" spans="4:11" x14ac:dyDescent="0.25">
      <c r="D21" s="2166"/>
      <c r="E21" s="2166"/>
      <c r="F21" s="2166"/>
      <c r="G21" s="2166"/>
      <c r="H21" s="2166"/>
      <c r="I21" s="2166"/>
      <c r="J21" s="2166"/>
      <c r="K21" s="2166"/>
    </row>
    <row r="22" spans="4:11" x14ac:dyDescent="0.25">
      <c r="D22" s="2166"/>
      <c r="E22" s="2166"/>
      <c r="F22" s="2166"/>
      <c r="G22" s="2166"/>
      <c r="H22" s="2166"/>
      <c r="I22" s="2166"/>
      <c r="J22" s="2166"/>
      <c r="K22" s="2166"/>
    </row>
    <row r="23" spans="4:11" x14ac:dyDescent="0.25">
      <c r="D23" s="2166"/>
      <c r="E23" s="2166"/>
      <c r="F23" s="2166"/>
      <c r="G23" s="2166"/>
      <c r="H23" s="2166"/>
      <c r="I23" s="2166"/>
      <c r="J23" s="2166"/>
      <c r="K23" s="2166"/>
    </row>
    <row r="24" spans="4:11" x14ac:dyDescent="0.25">
      <c r="D24" s="2166"/>
      <c r="E24" s="2166"/>
      <c r="F24" s="2166"/>
      <c r="G24" s="2166"/>
      <c r="H24" s="2166"/>
      <c r="I24" s="2166"/>
      <c r="J24" s="2166"/>
      <c r="K24" s="2166"/>
    </row>
    <row r="25" spans="4:11" s="533" customFormat="1" x14ac:dyDescent="0.25"/>
    <row r="26" spans="4:11" s="533" customFormat="1" x14ac:dyDescent="0.25"/>
    <row r="27" spans="4:11" s="533" customFormat="1" x14ac:dyDescent="0.25"/>
    <row r="28" spans="4:11" s="533" customFormat="1" x14ac:dyDescent="0.25"/>
    <row r="29" spans="4:11" s="533" customFormat="1" x14ac:dyDescent="0.25"/>
    <row r="30" spans="4:11" s="533" customFormat="1" x14ac:dyDescent="0.25"/>
    <row r="31" spans="4:11" s="533" customFormat="1" x14ac:dyDescent="0.25"/>
    <row r="32" spans="4:11" s="533" customFormat="1" x14ac:dyDescent="0.25"/>
    <row r="33" s="533" customFormat="1" x14ac:dyDescent="0.25"/>
    <row r="34" s="533" customFormat="1" x14ac:dyDescent="0.25"/>
    <row r="35" s="533" customFormat="1" x14ac:dyDescent="0.25"/>
    <row r="36" s="533" customFormat="1" x14ac:dyDescent="0.25"/>
    <row r="37" s="533" customFormat="1" x14ac:dyDescent="0.25"/>
    <row r="38" s="533" customFormat="1" x14ac:dyDescent="0.25"/>
    <row r="39" s="533" customFormat="1" x14ac:dyDescent="0.25"/>
    <row r="40" s="533" customFormat="1" x14ac:dyDescent="0.25"/>
    <row r="41" s="533" customFormat="1" x14ac:dyDescent="0.25"/>
    <row r="42" s="533" customFormat="1" x14ac:dyDescent="0.25"/>
    <row r="43" s="533" customFormat="1" x14ac:dyDescent="0.25"/>
    <row r="44" s="533" customFormat="1" x14ac:dyDescent="0.25"/>
    <row r="45" s="533" customFormat="1" x14ac:dyDescent="0.25"/>
    <row r="46" s="533" customFormat="1" x14ac:dyDescent="0.25"/>
    <row r="47" s="533" customFormat="1" x14ac:dyDescent="0.25"/>
    <row r="48" s="533" customFormat="1" x14ac:dyDescent="0.25"/>
  </sheetData>
  <sheetProtection pivotTables="0"/>
  <mergeCells count="9">
    <mergeCell ref="D15:K24"/>
    <mergeCell ref="D10:E10"/>
    <mergeCell ref="D12:E12"/>
    <mergeCell ref="D1:K1"/>
    <mergeCell ref="I3:J3"/>
    <mergeCell ref="I4:J4"/>
    <mergeCell ref="D6:E6"/>
    <mergeCell ref="D8:E8"/>
    <mergeCell ref="D9:E9"/>
  </mergeCells>
  <printOptions horizontalCentered="1"/>
  <pageMargins left="0" right="0.11811023622047245" top="0" bottom="0.35433070866141736" header="0.31496062992125984" footer="0.31496062992125984"/>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rgb="FF43C6E5"/>
  </sheetPr>
  <dimension ref="A1:M78"/>
  <sheetViews>
    <sheetView topLeftCell="B1" zoomScaleNormal="100" workbookViewId="0">
      <selection activeCell="H36" sqref="H36"/>
    </sheetView>
  </sheetViews>
  <sheetFormatPr baseColWidth="10" defaultColWidth="0" defaultRowHeight="15" zeroHeight="1" x14ac:dyDescent="0.25"/>
  <cols>
    <col min="1" max="2" width="11.42578125" style="537" customWidth="1"/>
    <col min="3" max="3" width="25" style="345" customWidth="1"/>
    <col min="4" max="4" width="22.7109375" style="345" customWidth="1"/>
    <col min="5" max="5" width="14.140625" style="345" customWidth="1"/>
    <col min="6" max="6" width="14.42578125" style="345" customWidth="1"/>
    <col min="7" max="9" width="14" style="345" customWidth="1"/>
    <col min="10" max="11" width="14.140625" style="345" customWidth="1"/>
    <col min="12" max="13" width="11.42578125" style="537" customWidth="1"/>
    <col min="14" max="16384" width="11.42578125" style="345" hidden="1"/>
  </cols>
  <sheetData>
    <row r="1" spans="3:11" ht="28.5" customHeight="1" x14ac:dyDescent="0.25">
      <c r="C1" s="2177" t="s">
        <v>310</v>
      </c>
      <c r="D1" s="2177"/>
      <c r="E1" s="2177"/>
      <c r="F1" s="2177"/>
      <c r="G1" s="2177"/>
      <c r="H1" s="2177"/>
      <c r="I1" s="2177"/>
      <c r="J1" s="2177"/>
      <c r="K1" s="2177"/>
    </row>
    <row r="2" spans="3:11" x14ac:dyDescent="0.25">
      <c r="C2" s="388"/>
      <c r="D2" s="388"/>
      <c r="E2" s="388"/>
      <c r="F2" s="388"/>
      <c r="G2" s="388"/>
      <c r="H2" s="388"/>
      <c r="I2" s="388"/>
    </row>
    <row r="3" spans="3:11" ht="22.5" customHeight="1" x14ac:dyDescent="0.25">
      <c r="C3" s="629" t="s">
        <v>42</v>
      </c>
      <c r="D3" s="664" t="str">
        <f>INFORMATIONS!B10</f>
        <v>SAM CONSEILS</v>
      </c>
      <c r="E3" s="664"/>
      <c r="F3" s="664"/>
      <c r="G3" s="630"/>
      <c r="H3" s="630"/>
      <c r="I3" s="2127" t="s">
        <v>52</v>
      </c>
      <c r="J3" s="2127"/>
      <c r="K3" s="631">
        <f>INFORMATIONS!D31</f>
        <v>43465</v>
      </c>
    </row>
    <row r="4" spans="3:11" ht="19.5" customHeight="1" x14ac:dyDescent="0.25">
      <c r="C4" s="632" t="s">
        <v>43</v>
      </c>
      <c r="D4" s="633" t="str">
        <f>INFORMATIONS!B24</f>
        <v>00084404X</v>
      </c>
      <c r="E4" s="634"/>
      <c r="F4" s="634"/>
      <c r="G4" s="635"/>
      <c r="H4" s="635"/>
      <c r="I4" s="2128" t="s">
        <v>44</v>
      </c>
      <c r="J4" s="2128"/>
      <c r="K4" s="667">
        <f>INFORMATIONS!F34</f>
        <v>12</v>
      </c>
    </row>
    <row r="5" spans="3:11" x14ac:dyDescent="0.25"/>
    <row r="6" spans="3:11" ht="65.25" customHeight="1" x14ac:dyDescent="0.25">
      <c r="C6" s="2116" t="s">
        <v>138</v>
      </c>
      <c r="D6" s="2117"/>
      <c r="E6" s="590" t="s">
        <v>139</v>
      </c>
      <c r="F6" s="590" t="s">
        <v>140</v>
      </c>
      <c r="G6" s="590" t="s">
        <v>254</v>
      </c>
      <c r="H6" s="590" t="s">
        <v>141</v>
      </c>
      <c r="I6" s="590" t="s">
        <v>311</v>
      </c>
      <c r="J6" s="590" t="s">
        <v>312</v>
      </c>
      <c r="K6" s="590" t="s">
        <v>313</v>
      </c>
    </row>
    <row r="7" spans="3:11" ht="21" customHeight="1" x14ac:dyDescent="0.25">
      <c r="C7" s="423" t="s">
        <v>314</v>
      </c>
      <c r="D7" s="425"/>
      <c r="E7" s="427">
        <f>SUMPRODUCT(((LEFT(BalanceN!$A$4:$A$9999,3)="161"))*BalanceN!$H$4:$H$9999)</f>
        <v>0</v>
      </c>
      <c r="F7" s="427">
        <f>SUMPRODUCT(((LEFT(BalanceN!$A$4:$A$9999,3)="161"))*BalanceN!$D$4:$D$9999)</f>
        <v>0</v>
      </c>
      <c r="G7" s="640">
        <f>E7-F7</f>
        <v>0</v>
      </c>
      <c r="H7" s="723" t="str">
        <f>IF(F7=0,"-",(G7/F7))</f>
        <v>-</v>
      </c>
      <c r="I7" s="146"/>
      <c r="J7" s="146"/>
      <c r="K7" s="640">
        <f>E7-I7-J7</f>
        <v>0</v>
      </c>
    </row>
    <row r="8" spans="3:11" ht="32.25" customHeight="1" x14ac:dyDescent="0.25">
      <c r="C8" s="2001" t="s">
        <v>315</v>
      </c>
      <c r="D8" s="2003"/>
      <c r="E8" s="427">
        <f>SUMPRODUCT(((LEFT(BalanceN!$A$4:$A$9999,3)="162"))*BalanceN!$H$4:$H$9999)</f>
        <v>92499075</v>
      </c>
      <c r="F8" s="427">
        <f>SUMPRODUCT(((LEFT(BalanceN!$A$4:$A$9999,3)="162"))*BalanceN!$D$4:$D$9999)</f>
        <v>0</v>
      </c>
      <c r="G8" s="785">
        <f t="shared" ref="G8:G16" si="0">E8-F8</f>
        <v>92499075</v>
      </c>
      <c r="H8" s="723" t="str">
        <f t="shared" ref="H8:H16" si="1">IF(F8=0,"-",(G8/F8))</f>
        <v>-</v>
      </c>
      <c r="I8" s="170">
        <v>14699075</v>
      </c>
      <c r="J8" s="228">
        <v>39000000</v>
      </c>
      <c r="K8" s="785">
        <f t="shared" ref="K8:K22" si="2">E8-I8-J8</f>
        <v>38800000</v>
      </c>
    </row>
    <row r="9" spans="3:11" ht="21" customHeight="1" x14ac:dyDescent="0.25">
      <c r="C9" s="423" t="s">
        <v>316</v>
      </c>
      <c r="D9" s="425"/>
      <c r="E9" s="427">
        <f>SUMPRODUCT(((LEFT(BalanceN!$A$4:$A$9999,3)="163"))*BalanceN!$H$4:$H$9999)</f>
        <v>0</v>
      </c>
      <c r="F9" s="427">
        <f>SUMPRODUCT(((LEFT(BalanceN!$A$4:$A$9999,3)="163"))*BalanceN!$D$4:$D$9999)</f>
        <v>0</v>
      </c>
      <c r="G9" s="640">
        <f t="shared" si="0"/>
        <v>0</v>
      </c>
      <c r="H9" s="723" t="str">
        <f t="shared" si="1"/>
        <v>-</v>
      </c>
      <c r="I9" s="146"/>
      <c r="J9" s="162"/>
      <c r="K9" s="640">
        <f t="shared" si="2"/>
        <v>0</v>
      </c>
    </row>
    <row r="10" spans="3:11" ht="21" customHeight="1" x14ac:dyDescent="0.25">
      <c r="C10" s="423" t="s">
        <v>317</v>
      </c>
      <c r="D10" s="425"/>
      <c r="E10" s="427">
        <f>SUMPRODUCT(((LEFT(BalanceN!$A$4:$A$9999,3)="164"))*BalanceN!$H$4:$H$9999)</f>
        <v>0</v>
      </c>
      <c r="F10" s="427">
        <f>SUMPRODUCT(((LEFT(BalanceN!$A$4:$A$9999,3)="164"))*BalanceN!$D$4:$D$9999)</f>
        <v>0</v>
      </c>
      <c r="G10" s="640">
        <f t="shared" si="0"/>
        <v>0</v>
      </c>
      <c r="H10" s="723" t="str">
        <f t="shared" si="1"/>
        <v>-</v>
      </c>
      <c r="I10" s="146"/>
      <c r="J10" s="162"/>
      <c r="K10" s="640">
        <f t="shared" si="2"/>
        <v>0</v>
      </c>
    </row>
    <row r="11" spans="3:11" ht="21" customHeight="1" x14ac:dyDescent="0.25">
      <c r="C11" s="423" t="s">
        <v>318</v>
      </c>
      <c r="D11" s="425"/>
      <c r="E11" s="427">
        <f>SUMPRODUCT(((LEFT(BalanceN!$A$4:$A$9999,3)="165"))*BalanceN!$H$4:$H$9999)</f>
        <v>2200000</v>
      </c>
      <c r="F11" s="427">
        <f>SUMPRODUCT(((LEFT(BalanceN!$A$4:$A$9999,3)="165"))*BalanceN!$D$4:$D$9999)</f>
        <v>2200000</v>
      </c>
      <c r="G11" s="640">
        <f t="shared" si="0"/>
        <v>0</v>
      </c>
      <c r="H11" s="723">
        <f t="shared" si="1"/>
        <v>0</v>
      </c>
      <c r="I11" s="146"/>
      <c r="J11" s="162"/>
      <c r="K11" s="640">
        <f t="shared" si="2"/>
        <v>2200000</v>
      </c>
    </row>
    <row r="12" spans="3:11" ht="21" customHeight="1" x14ac:dyDescent="0.25">
      <c r="C12" s="423" t="s">
        <v>150</v>
      </c>
      <c r="D12" s="425"/>
      <c r="E12" s="427">
        <f>SUMPRODUCT(((LEFT(BalanceN!$A$4:$A$9999,3)="166"))*BalanceN!$H$4:$H$9999)</f>
        <v>0</v>
      </c>
      <c r="F12" s="427">
        <f>SUMPRODUCT(((LEFT(BalanceN!$A$4:$A$9999,3)="166"))*BalanceN!$D$4:$D$9999)</f>
        <v>0</v>
      </c>
      <c r="G12" s="640">
        <f t="shared" si="0"/>
        <v>0</v>
      </c>
      <c r="H12" s="723" t="str">
        <f t="shared" si="1"/>
        <v>-</v>
      </c>
      <c r="I12" s="146"/>
      <c r="J12" s="162"/>
      <c r="K12" s="640">
        <f t="shared" si="2"/>
        <v>0</v>
      </c>
    </row>
    <row r="13" spans="3:11" ht="21" customHeight="1" x14ac:dyDescent="0.25">
      <c r="C13" s="423" t="s">
        <v>319</v>
      </c>
      <c r="D13" s="425"/>
      <c r="E13" s="427">
        <f>SUMPRODUCT(((LEFT(BalanceN!$A$4:$A$9999,3)="167"))*BalanceN!$H$4:$H$9999)</f>
        <v>0</v>
      </c>
      <c r="F13" s="427">
        <f>SUMPRODUCT(((LEFT(BalanceN!$A$4:$A$9999,3)="167"))*BalanceN!$D$4:$D$9999)</f>
        <v>0</v>
      </c>
      <c r="G13" s="640">
        <f t="shared" si="0"/>
        <v>0</v>
      </c>
      <c r="H13" s="723" t="str">
        <f t="shared" si="1"/>
        <v>-</v>
      </c>
      <c r="I13" s="146"/>
      <c r="J13" s="162"/>
      <c r="K13" s="640">
        <f t="shared" si="2"/>
        <v>0</v>
      </c>
    </row>
    <row r="14" spans="3:11" ht="21" customHeight="1" x14ac:dyDescent="0.25">
      <c r="C14" s="423" t="s">
        <v>320</v>
      </c>
      <c r="D14" s="425"/>
      <c r="E14" s="427">
        <f>SUMPRODUCT(((LEFT(BalanceN!$A$4:$A$9999,3)="168"))*BalanceN!$H$4:$H$9999)</f>
        <v>0</v>
      </c>
      <c r="F14" s="427">
        <f>SUMPRODUCT(((LEFT(BalanceN!$A$4:$A$9999,3)="168"))*BalanceN!$D$4:$D$9999)</f>
        <v>0</v>
      </c>
      <c r="G14" s="640">
        <f t="shared" si="0"/>
        <v>0</v>
      </c>
      <c r="H14" s="723" t="str">
        <f t="shared" si="1"/>
        <v>-</v>
      </c>
      <c r="I14" s="146"/>
      <c r="J14" s="162"/>
      <c r="K14" s="640">
        <f t="shared" si="2"/>
        <v>0</v>
      </c>
    </row>
    <row r="15" spans="3:11" ht="21" customHeight="1" x14ac:dyDescent="0.25">
      <c r="C15" s="423" t="s">
        <v>321</v>
      </c>
      <c r="D15" s="425"/>
      <c r="E15" s="427">
        <f>SUMPRODUCT(((LEFT(BalanceN!$A$4:$A$9999,3)="181"))*BalanceN!$H$4:$H$9999)</f>
        <v>0</v>
      </c>
      <c r="F15" s="427">
        <f>SUMPRODUCT(((LEFT(BalanceN!$A$4:$A$9999,3)="181"))*BalanceN!$D$4:$D$9999)</f>
        <v>0</v>
      </c>
      <c r="G15" s="640">
        <f t="shared" si="0"/>
        <v>0</v>
      </c>
      <c r="H15" s="723" t="str">
        <f t="shared" si="1"/>
        <v>-</v>
      </c>
      <c r="I15" s="146"/>
      <c r="J15" s="162"/>
      <c r="K15" s="640">
        <f t="shared" si="2"/>
        <v>0</v>
      </c>
    </row>
    <row r="16" spans="3:11" ht="30.75" customHeight="1" x14ac:dyDescent="0.25">
      <c r="C16" s="2001" t="s">
        <v>322</v>
      </c>
      <c r="D16" s="2003"/>
      <c r="E16" s="427">
        <f>SUMPRODUCT(((LEFT(BalanceN!$A$4:$A$9999,3)="184"))*BalanceN!$H$4:$H$9999)</f>
        <v>0</v>
      </c>
      <c r="F16" s="427">
        <f>SUMPRODUCT(((LEFT(BalanceN!$A$4:$A$9999,3)="184"))*BalanceN!$D$4:$D$9999)</f>
        <v>0</v>
      </c>
      <c r="G16" s="640">
        <f t="shared" si="0"/>
        <v>0</v>
      </c>
      <c r="H16" s="723" t="str">
        <f t="shared" si="1"/>
        <v>-</v>
      </c>
      <c r="I16" s="170"/>
      <c r="J16" s="171"/>
      <c r="K16" s="640">
        <f t="shared" si="2"/>
        <v>0</v>
      </c>
    </row>
    <row r="17" spans="1:13" s="422" customFormat="1" ht="33" customHeight="1" x14ac:dyDescent="0.25">
      <c r="A17" s="546"/>
      <c r="B17" s="546"/>
      <c r="C17" s="2121" t="s">
        <v>323</v>
      </c>
      <c r="D17" s="2122"/>
      <c r="E17" s="642">
        <f t="shared" ref="E17:K17" si="3">SUM(E7:E16)</f>
        <v>94699075</v>
      </c>
      <c r="F17" s="642">
        <f t="shared" si="3"/>
        <v>2200000</v>
      </c>
      <c r="G17" s="642">
        <f t="shared" si="3"/>
        <v>92499075</v>
      </c>
      <c r="H17" s="755">
        <f>IF(F17=0,"-",(G17/F17))</f>
        <v>42.045034090909091</v>
      </c>
      <c r="I17" s="642">
        <f t="shared" si="3"/>
        <v>14699075</v>
      </c>
      <c r="J17" s="642">
        <f>SUM(J7:J16)</f>
        <v>39000000</v>
      </c>
      <c r="K17" s="642">
        <f t="shared" si="3"/>
        <v>41000000</v>
      </c>
      <c r="L17" s="546"/>
      <c r="M17" s="546"/>
    </row>
    <row r="18" spans="1:13" ht="21" customHeight="1" x14ac:dyDescent="0.25">
      <c r="C18" s="423" t="s">
        <v>324</v>
      </c>
      <c r="D18" s="425"/>
      <c r="E18" s="427">
        <f>SUMPRODUCT(((LEFT(BalanceN!$A$4:$A$9999,3)="172"))*BalanceN!$H$4:$H$9999)</f>
        <v>0</v>
      </c>
      <c r="F18" s="427">
        <f>SUMPRODUCT(((LEFT(BalanceN!$A$4:$A$9999,3)="172"))*BalanceN!$D$4:$D$9999)</f>
        <v>0</v>
      </c>
      <c r="G18" s="640">
        <f>E18-F18</f>
        <v>0</v>
      </c>
      <c r="H18" s="723" t="str">
        <f>IF(F18=0,"-",(G18/F18))</f>
        <v>-</v>
      </c>
      <c r="I18" s="146"/>
      <c r="J18" s="162"/>
      <c r="K18" s="640">
        <f t="shared" si="2"/>
        <v>0</v>
      </c>
    </row>
    <row r="19" spans="1:13" ht="21" customHeight="1" x14ac:dyDescent="0.25">
      <c r="C19" s="423" t="s">
        <v>325</v>
      </c>
      <c r="D19" s="425"/>
      <c r="E19" s="427">
        <f>SUMPRODUCT(((LEFT(BalanceN!$A$4:$A$9999,3)="173"))*BalanceN!$H$4:$H$9999)</f>
        <v>0</v>
      </c>
      <c r="F19" s="427">
        <f>SUMPRODUCT(((LEFT(BalanceN!$A$4:$A$9999,3)="173"))*BalanceN!$D$4:$D$9999)</f>
        <v>0</v>
      </c>
      <c r="G19" s="640">
        <f t="shared" ref="G19:G21" si="4">E19-F19</f>
        <v>0</v>
      </c>
      <c r="H19" s="723" t="str">
        <f t="shared" ref="H19:H22" si="5">IF(F19=0,"-",(G19/F19))</f>
        <v>-</v>
      </c>
      <c r="I19" s="146"/>
      <c r="J19" s="162"/>
      <c r="K19" s="640">
        <f t="shared" si="2"/>
        <v>0</v>
      </c>
    </row>
    <row r="20" spans="1:13" ht="21" customHeight="1" x14ac:dyDescent="0.25">
      <c r="C20" s="423" t="s">
        <v>326</v>
      </c>
      <c r="D20" s="425"/>
      <c r="E20" s="427">
        <f>SUMPRODUCT(((LEFT(BalanceN!$A$4:$A$9999,3)="174"))*BalanceN!$H$4:$H$9999)</f>
        <v>0</v>
      </c>
      <c r="F20" s="427">
        <f>SUMPRODUCT(((LEFT(BalanceN!$A$4:$A$9999,3)="174"))*BalanceN!$D$4:$D$9999)</f>
        <v>0</v>
      </c>
      <c r="G20" s="640">
        <f t="shared" si="4"/>
        <v>0</v>
      </c>
      <c r="H20" s="723" t="str">
        <f t="shared" si="5"/>
        <v>-</v>
      </c>
      <c r="I20" s="146"/>
      <c r="J20" s="162"/>
      <c r="K20" s="640">
        <f t="shared" si="2"/>
        <v>0</v>
      </c>
    </row>
    <row r="21" spans="1:13" ht="21" customHeight="1" x14ac:dyDescent="0.25">
      <c r="C21" s="423" t="s">
        <v>150</v>
      </c>
      <c r="D21" s="425"/>
      <c r="E21" s="427">
        <f>SUMPRODUCT(((LEFT(BalanceN!$A$4:$A$9999,3)="176"))*BalanceN!$H$4:$H$9999)</f>
        <v>0</v>
      </c>
      <c r="F21" s="427">
        <f>SUMPRODUCT(((LEFT(BalanceN!$A$4:$A$9999,3)="176"))*BalanceN!$D$4:$D$9999)</f>
        <v>0</v>
      </c>
      <c r="G21" s="640">
        <f t="shared" si="4"/>
        <v>0</v>
      </c>
      <c r="H21" s="723" t="str">
        <f t="shared" si="5"/>
        <v>-</v>
      </c>
      <c r="I21" s="146"/>
      <c r="J21" s="162"/>
      <c r="K21" s="640">
        <f t="shared" si="2"/>
        <v>0</v>
      </c>
    </row>
    <row r="22" spans="1:13" ht="21" customHeight="1" x14ac:dyDescent="0.25">
      <c r="C22" s="423" t="s">
        <v>327</v>
      </c>
      <c r="D22" s="425"/>
      <c r="E22" s="427">
        <f>SUMPRODUCT(((LEFT(BalanceN!$A$4:$A$9999,3)="178"))*BalanceN!$H$4:$H$9999)</f>
        <v>0</v>
      </c>
      <c r="F22" s="427">
        <f>SUMPRODUCT(((LEFT(BalanceN!$A$4:$A$9999,3)="178"))*BalanceN!$D$4:$D$9999)</f>
        <v>0</v>
      </c>
      <c r="G22" s="640">
        <f>E22-F22</f>
        <v>0</v>
      </c>
      <c r="H22" s="723" t="str">
        <f t="shared" si="5"/>
        <v>-</v>
      </c>
      <c r="I22" s="146"/>
      <c r="J22" s="162"/>
      <c r="K22" s="640">
        <f t="shared" si="2"/>
        <v>0</v>
      </c>
    </row>
    <row r="23" spans="1:13" ht="19.5" customHeight="1" x14ac:dyDescent="0.25">
      <c r="C23" s="2121" t="s">
        <v>328</v>
      </c>
      <c r="D23" s="2122"/>
      <c r="E23" s="658">
        <f>SUM(E18:E22)</f>
        <v>0</v>
      </c>
      <c r="F23" s="658">
        <f t="shared" ref="F23:K23" si="6">SUM(F18:F22)</f>
        <v>0</v>
      </c>
      <c r="G23" s="658">
        <f t="shared" si="6"/>
        <v>0</v>
      </c>
      <c r="H23" s="751" t="str">
        <f t="shared" ref="H23" si="7">IF(F23=0,"-",(G23/F23))</f>
        <v>-</v>
      </c>
      <c r="I23" s="658">
        <f t="shared" si="6"/>
        <v>0</v>
      </c>
      <c r="J23" s="658">
        <f t="shared" si="6"/>
        <v>0</v>
      </c>
      <c r="K23" s="658">
        <f t="shared" si="6"/>
        <v>0</v>
      </c>
    </row>
    <row r="24" spans="1:13" ht="21" customHeight="1" x14ac:dyDescent="0.25">
      <c r="C24" s="423" t="s">
        <v>329</v>
      </c>
      <c r="D24" s="425"/>
      <c r="E24" s="427">
        <f>SUMPRODUCT(((LEFT(BalanceN!$A$4:$A$9999,3)="191"))*BalanceN!$H$4:$H$9999)</f>
        <v>0</v>
      </c>
      <c r="F24" s="427">
        <f>SUMPRODUCT(((LEFT(BalanceN!$A$4:$A$9999,3)="191"))*BalanceN!$D$4:$D$9999)</f>
        <v>0</v>
      </c>
      <c r="G24" s="640">
        <f>E24-F24</f>
        <v>0</v>
      </c>
      <c r="H24" s="723" t="str">
        <f>IF(F24=0,"-",(G24/F24))</f>
        <v>-</v>
      </c>
      <c r="I24" s="229"/>
      <c r="J24" s="230"/>
      <c r="K24" s="789"/>
    </row>
    <row r="25" spans="1:13" ht="21" customHeight="1" x14ac:dyDescent="0.25">
      <c r="C25" s="423" t="s">
        <v>330</v>
      </c>
      <c r="D25" s="425"/>
      <c r="E25" s="427">
        <f>SUMPRODUCT(((LEFT(BalanceN!$A$4:$A$9999,3)="192"))*BalanceN!$H$4:$H$9999)</f>
        <v>0</v>
      </c>
      <c r="F25" s="427">
        <f>SUMPRODUCT(((LEFT(BalanceN!$A$4:$A$9999,3)="192"))*BalanceN!$D$4:$D$9999)</f>
        <v>0</v>
      </c>
      <c r="G25" s="640">
        <f t="shared" ref="G25:G36" si="8">E25-F25</f>
        <v>0</v>
      </c>
      <c r="H25" s="723" t="str">
        <f t="shared" ref="H25:H36" si="9">IF(F25=0,"-",(G25/F25))</f>
        <v>-</v>
      </c>
      <c r="I25" s="231"/>
      <c r="J25" s="232"/>
      <c r="K25" s="790"/>
    </row>
    <row r="26" spans="1:13" ht="31.5" customHeight="1" x14ac:dyDescent="0.25">
      <c r="C26" s="2001" t="s">
        <v>331</v>
      </c>
      <c r="D26" s="2003"/>
      <c r="E26" s="427">
        <f>SUMPRODUCT(((LEFT(BalanceN!$A$4:$A$9999,3)="193"))*BalanceN!$H$4:$H$9999)</f>
        <v>0</v>
      </c>
      <c r="F26" s="427">
        <f>SUMPRODUCT(((LEFT(BalanceN!$A$4:$A$9999,3)="193"))*BalanceN!$D$4:$D$9999)</f>
        <v>0</v>
      </c>
      <c r="G26" s="640">
        <f t="shared" si="8"/>
        <v>0</v>
      </c>
      <c r="H26" s="723" t="str">
        <f t="shared" si="9"/>
        <v>-</v>
      </c>
      <c r="I26" s="231"/>
      <c r="J26" s="233"/>
      <c r="K26" s="790"/>
    </row>
    <row r="27" spans="1:13" ht="21" customHeight="1" x14ac:dyDescent="0.25">
      <c r="C27" s="423" t="s">
        <v>332</v>
      </c>
      <c r="D27" s="425"/>
      <c r="E27" s="427">
        <f>SUMPRODUCT(((LEFT(BalanceN!$A$4:$A$9999,3)="194"))*BalanceN!$H$4:$H$9999)</f>
        <v>0</v>
      </c>
      <c r="F27" s="427">
        <f>SUMPRODUCT(((LEFT(BalanceN!$A$4:$A$9999,3)="194"))*BalanceN!$D$4:$D$9999)</f>
        <v>0</v>
      </c>
      <c r="G27" s="640">
        <f t="shared" si="8"/>
        <v>0</v>
      </c>
      <c r="H27" s="723" t="str">
        <f t="shared" si="9"/>
        <v>-</v>
      </c>
      <c r="I27" s="231"/>
      <c r="J27" s="233"/>
      <c r="K27" s="790"/>
    </row>
    <row r="28" spans="1:13" ht="21" customHeight="1" x14ac:dyDescent="0.25">
      <c r="C28" s="423" t="s">
        <v>333</v>
      </c>
      <c r="D28" s="425"/>
      <c r="E28" s="427">
        <f>SUMPRODUCT(((LEFT(BalanceN!$A$4:$A$9999,3)="195"))*BalanceN!$H$4:$H$9999)</f>
        <v>0</v>
      </c>
      <c r="F28" s="427">
        <f>SUMPRODUCT(((LEFT(BalanceN!$A$4:$A$9999,3)="195"))*BalanceN!$D$4:$D$9999)</f>
        <v>0</v>
      </c>
      <c r="G28" s="640">
        <f t="shared" si="8"/>
        <v>0</v>
      </c>
      <c r="H28" s="723" t="str">
        <f t="shared" si="9"/>
        <v>-</v>
      </c>
      <c r="I28" s="231"/>
      <c r="J28" s="233"/>
      <c r="K28" s="790"/>
    </row>
    <row r="29" spans="1:13" ht="21" customHeight="1" x14ac:dyDescent="0.25">
      <c r="C29" s="423" t="s">
        <v>334</v>
      </c>
      <c r="D29" s="425"/>
      <c r="E29" s="427">
        <f>SUMPRODUCT(((LEFT(BalanceN!$A$4:$A$9999,3)="196"))*BalanceN!$H$4:$H$9999)</f>
        <v>62116366</v>
      </c>
      <c r="F29" s="427">
        <f>SUMPRODUCT(((LEFT(BalanceN!$A$4:$A$9999,3)="196"))*BalanceN!$D$4:$D$9999)</f>
        <v>54864697</v>
      </c>
      <c r="G29" s="785">
        <f t="shared" si="8"/>
        <v>7251669</v>
      </c>
      <c r="H29" s="724">
        <f t="shared" si="9"/>
        <v>0.13217368173927946</v>
      </c>
      <c r="I29" s="231"/>
      <c r="J29" s="233"/>
      <c r="K29" s="791"/>
    </row>
    <row r="30" spans="1:13" ht="21" customHeight="1" x14ac:dyDescent="0.25">
      <c r="C30" s="423" t="s">
        <v>335</v>
      </c>
      <c r="D30" s="425"/>
      <c r="E30" s="427"/>
      <c r="F30" s="427"/>
      <c r="G30" s="640">
        <f t="shared" si="8"/>
        <v>0</v>
      </c>
      <c r="H30" s="723" t="str">
        <f t="shared" si="9"/>
        <v>-</v>
      </c>
      <c r="I30" s="231"/>
      <c r="J30" s="233"/>
      <c r="K30" s="790"/>
    </row>
    <row r="31" spans="1:13" ht="21" customHeight="1" x14ac:dyDescent="0.25">
      <c r="C31" s="423" t="s">
        <v>336</v>
      </c>
      <c r="D31" s="425"/>
      <c r="E31" s="427">
        <f>SUMPRODUCT(((LEFT(BalanceN!$A$4:$A$9999,3)="197"))*BalanceN!$H$4:$H$9999)</f>
        <v>0</v>
      </c>
      <c r="F31" s="427">
        <f>SUMPRODUCT(((LEFT(BalanceN!$A$4:$A$9999,3)="197"))*BalanceN!$D$4:$D$9999)</f>
        <v>0</v>
      </c>
      <c r="G31" s="640">
        <f t="shared" si="8"/>
        <v>0</v>
      </c>
      <c r="H31" s="723" t="str">
        <f t="shared" si="9"/>
        <v>-</v>
      </c>
      <c r="I31" s="231"/>
      <c r="J31" s="233"/>
      <c r="K31" s="790"/>
    </row>
    <row r="32" spans="1:13" ht="21" customHeight="1" x14ac:dyDescent="0.25">
      <c r="C32" s="423" t="s">
        <v>337</v>
      </c>
      <c r="D32" s="425"/>
      <c r="E32" s="427">
        <f>SUMPRODUCT(((LEFT(BalanceN!$A$4:$A$9999,4)="1981"))*BalanceN!$H$4:$H$9999)</f>
        <v>0</v>
      </c>
      <c r="F32" s="427">
        <f>SUMPRODUCT(((LEFT(BalanceN!$A$4:$A$9999,4)="1981"))*BalanceN!$D$4:$D$9999)</f>
        <v>0</v>
      </c>
      <c r="G32" s="640">
        <f t="shared" si="8"/>
        <v>0</v>
      </c>
      <c r="H32" s="723" t="str">
        <f t="shared" si="9"/>
        <v>-</v>
      </c>
      <c r="I32" s="231"/>
      <c r="J32" s="233"/>
      <c r="K32" s="790"/>
    </row>
    <row r="33" spans="1:13" ht="21" customHeight="1" x14ac:dyDescent="0.25">
      <c r="C33" s="423" t="s">
        <v>338</v>
      </c>
      <c r="D33" s="425"/>
      <c r="E33" s="427">
        <f>SUMPRODUCT(((LEFT(BalanceN!$A$4:$A$9999,4)="1983"))*BalanceN!$H$4:$H$9999)</f>
        <v>0</v>
      </c>
      <c r="F33" s="427">
        <f>SUMPRODUCT(((LEFT(BalanceN!$A$4:$A$9999,4)="1983"))*BalanceN!$D$4:$D$9999)</f>
        <v>0</v>
      </c>
      <c r="G33" s="640">
        <f t="shared" si="8"/>
        <v>0</v>
      </c>
      <c r="H33" s="723" t="str">
        <f t="shared" si="9"/>
        <v>-</v>
      </c>
      <c r="I33" s="231"/>
      <c r="J33" s="233"/>
      <c r="K33" s="790"/>
    </row>
    <row r="34" spans="1:13" ht="21" customHeight="1" x14ac:dyDescent="0.25">
      <c r="C34" s="423" t="s">
        <v>339</v>
      </c>
      <c r="D34" s="425"/>
      <c r="E34" s="427">
        <f>SUMPRODUCT(((LEFT(BalanceN!$A$4:$A$9999,4)="1984"))*BalanceN!$H$4:$H$9999)</f>
        <v>0</v>
      </c>
      <c r="F34" s="427">
        <f>SUMPRODUCT(((LEFT(BalanceN!$A$4:$A$9999,4)="1984"))*BalanceN!$D$4:$D$9999)</f>
        <v>0</v>
      </c>
      <c r="G34" s="640">
        <f t="shared" si="8"/>
        <v>0</v>
      </c>
      <c r="H34" s="723" t="str">
        <f t="shared" si="9"/>
        <v>-</v>
      </c>
      <c r="I34" s="231"/>
      <c r="J34" s="233"/>
      <c r="K34" s="790"/>
    </row>
    <row r="35" spans="1:13" ht="30" customHeight="1" x14ac:dyDescent="0.25">
      <c r="C35" s="2001" t="s">
        <v>1061</v>
      </c>
      <c r="D35" s="2003"/>
      <c r="E35" s="427">
        <f>SUMPRODUCT(((LEFT(BalanceN!$A$4:$A$9999,4)="1985"))*BalanceN!$H$4:$H$9999)</f>
        <v>0</v>
      </c>
      <c r="F35" s="427">
        <f>SUMPRODUCT(((LEFT(BalanceN!$A$4:$A$9999,4)="1985"))*BalanceN!$D$4:$D$9999)</f>
        <v>0</v>
      </c>
      <c r="G35" s="640">
        <f t="shared" si="8"/>
        <v>0</v>
      </c>
      <c r="H35" s="723" t="str">
        <f t="shared" si="9"/>
        <v>-</v>
      </c>
      <c r="I35" s="231"/>
      <c r="J35" s="233"/>
      <c r="K35" s="790"/>
    </row>
    <row r="36" spans="1:13" ht="21" customHeight="1" x14ac:dyDescent="0.25">
      <c r="C36" s="423" t="s">
        <v>340</v>
      </c>
      <c r="D36" s="425"/>
      <c r="E36" s="427">
        <f>SUMPRODUCT(((LEFT(BalanceN!$A$4:$A$9999,4)="1988"))*BalanceN!$H$4:$H$9999)</f>
        <v>0</v>
      </c>
      <c r="F36" s="427">
        <f>SUMPRODUCT(((LEFT(BalanceN!$A$4:$A$9999,4)="1988"))*BalanceN!$D$4:$D$9999)</f>
        <v>0</v>
      </c>
      <c r="G36" s="640">
        <f t="shared" si="8"/>
        <v>0</v>
      </c>
      <c r="H36" s="723" t="str">
        <f t="shared" si="9"/>
        <v>-</v>
      </c>
      <c r="I36" s="234"/>
      <c r="J36" s="235"/>
      <c r="K36" s="792"/>
    </row>
    <row r="37" spans="1:13" s="422" customFormat="1" ht="21" customHeight="1" x14ac:dyDescent="0.25">
      <c r="A37" s="546"/>
      <c r="B37" s="546"/>
      <c r="C37" s="2144" t="s">
        <v>341</v>
      </c>
      <c r="D37" s="2145"/>
      <c r="E37" s="639">
        <f>SUM(E24:E36)</f>
        <v>62116366</v>
      </c>
      <c r="F37" s="639">
        <f t="shared" ref="F37:K37" si="10">SUM(F24:F36)</f>
        <v>54864697</v>
      </c>
      <c r="G37" s="639">
        <f t="shared" si="10"/>
        <v>7251669</v>
      </c>
      <c r="H37" s="751"/>
      <c r="I37" s="639">
        <f t="shared" si="10"/>
        <v>0</v>
      </c>
      <c r="J37" s="639">
        <f t="shared" si="10"/>
        <v>0</v>
      </c>
      <c r="K37" s="639">
        <f t="shared" si="10"/>
        <v>0</v>
      </c>
      <c r="L37" s="546"/>
      <c r="M37" s="546"/>
    </row>
    <row r="38" spans="1:13" x14ac:dyDescent="0.25"/>
    <row r="39" spans="1:13" x14ac:dyDescent="0.25">
      <c r="C39" s="645" t="s">
        <v>1348</v>
      </c>
    </row>
    <row r="40" spans="1:13" x14ac:dyDescent="0.25"/>
    <row r="41" spans="1:13" x14ac:dyDescent="0.25">
      <c r="C41" s="2166"/>
      <c r="D41" s="2166"/>
      <c r="E41" s="2166"/>
      <c r="F41" s="2166"/>
      <c r="G41" s="2166"/>
      <c r="H41" s="2166"/>
      <c r="I41" s="2166"/>
      <c r="J41" s="2166"/>
      <c r="K41" s="2166"/>
    </row>
    <row r="42" spans="1:13" x14ac:dyDescent="0.25">
      <c r="C42" s="2166"/>
      <c r="D42" s="2166"/>
      <c r="E42" s="2166"/>
      <c r="F42" s="2166"/>
      <c r="G42" s="2166"/>
      <c r="H42" s="2166"/>
      <c r="I42" s="2166"/>
      <c r="J42" s="2166"/>
      <c r="K42" s="2166"/>
    </row>
    <row r="43" spans="1:13" x14ac:dyDescent="0.25">
      <c r="C43" s="2166"/>
      <c r="D43" s="2166"/>
      <c r="E43" s="2166"/>
      <c r="F43" s="2166"/>
      <c r="G43" s="2166"/>
      <c r="H43" s="2166"/>
      <c r="I43" s="2166"/>
      <c r="J43" s="2166"/>
      <c r="K43" s="2166"/>
    </row>
    <row r="44" spans="1:13" x14ac:dyDescent="0.25">
      <c r="C44" s="2166"/>
      <c r="D44" s="2166"/>
      <c r="E44" s="2166"/>
      <c r="F44" s="2166"/>
      <c r="G44" s="2166"/>
      <c r="H44" s="2166"/>
      <c r="I44" s="2166"/>
      <c r="J44" s="2166"/>
      <c r="K44" s="2166"/>
    </row>
    <row r="45" spans="1:13" x14ac:dyDescent="0.25">
      <c r="C45" s="2166"/>
      <c r="D45" s="2166"/>
      <c r="E45" s="2166"/>
      <c r="F45" s="2166"/>
      <c r="G45" s="2166"/>
      <c r="H45" s="2166"/>
      <c r="I45" s="2166"/>
      <c r="J45" s="2166"/>
      <c r="K45" s="2166"/>
    </row>
    <row r="46" spans="1:13" x14ac:dyDescent="0.25">
      <c r="C46" s="2166"/>
      <c r="D46" s="2166"/>
      <c r="E46" s="2166"/>
      <c r="F46" s="2166"/>
      <c r="G46" s="2166"/>
      <c r="H46" s="2166"/>
      <c r="I46" s="2166"/>
      <c r="J46" s="2166"/>
      <c r="K46" s="2166"/>
    </row>
    <row r="47" spans="1:13" x14ac:dyDescent="0.25">
      <c r="C47" s="2166"/>
      <c r="D47" s="2166"/>
      <c r="E47" s="2166"/>
      <c r="F47" s="2166"/>
      <c r="G47" s="2166"/>
      <c r="H47" s="2166"/>
      <c r="I47" s="2166"/>
      <c r="J47" s="2166"/>
      <c r="K47" s="2166"/>
    </row>
    <row r="48" spans="1:13" x14ac:dyDescent="0.25">
      <c r="C48" s="2166"/>
      <c r="D48" s="2166"/>
      <c r="E48" s="2166"/>
      <c r="F48" s="2166"/>
      <c r="G48" s="2166"/>
      <c r="H48" s="2166"/>
      <c r="I48" s="2166"/>
      <c r="J48" s="2166"/>
      <c r="K48" s="2166"/>
    </row>
    <row r="49" spans="3:11" x14ac:dyDescent="0.25">
      <c r="C49" s="2166"/>
      <c r="D49" s="2166"/>
      <c r="E49" s="2166"/>
      <c r="F49" s="2166"/>
      <c r="G49" s="2166"/>
      <c r="H49" s="2166"/>
      <c r="I49" s="2166"/>
      <c r="J49" s="2166"/>
      <c r="K49" s="2166"/>
    </row>
    <row r="50" spans="3:11" x14ac:dyDescent="0.25">
      <c r="C50" s="2166"/>
      <c r="D50" s="2166"/>
      <c r="E50" s="2166"/>
      <c r="F50" s="2166"/>
      <c r="G50" s="2166"/>
      <c r="H50" s="2166"/>
      <c r="I50" s="2166"/>
      <c r="J50" s="2166"/>
      <c r="K50" s="2166"/>
    </row>
    <row r="51" spans="3:11" x14ac:dyDescent="0.25">
      <c r="C51" s="2166"/>
      <c r="D51" s="2166"/>
      <c r="E51" s="2166"/>
      <c r="F51" s="2166"/>
      <c r="G51" s="2166"/>
      <c r="H51" s="2166"/>
      <c r="I51" s="2166"/>
      <c r="J51" s="2166"/>
      <c r="K51" s="2166"/>
    </row>
    <row r="52" spans="3:11" x14ac:dyDescent="0.25">
      <c r="C52" s="2166"/>
      <c r="D52" s="2166"/>
      <c r="E52" s="2166"/>
      <c r="F52" s="2166"/>
      <c r="G52" s="2166"/>
      <c r="H52" s="2166"/>
      <c r="I52" s="2166"/>
      <c r="J52" s="2166"/>
      <c r="K52" s="2166"/>
    </row>
    <row r="53" spans="3:11" x14ac:dyDescent="0.25">
      <c r="C53" s="2166"/>
      <c r="D53" s="2166"/>
      <c r="E53" s="2166"/>
      <c r="F53" s="2166"/>
      <c r="G53" s="2166"/>
      <c r="H53" s="2166"/>
      <c r="I53" s="2166"/>
      <c r="J53" s="2166"/>
      <c r="K53" s="2166"/>
    </row>
    <row r="54" spans="3:11" s="537" customFormat="1" x14ac:dyDescent="0.25"/>
    <row r="55" spans="3:11" s="537" customFormat="1" x14ac:dyDescent="0.25"/>
    <row r="56" spans="3:11" s="537" customFormat="1" x14ac:dyDescent="0.25"/>
    <row r="57" spans="3:11" s="537" customFormat="1" x14ac:dyDescent="0.25"/>
    <row r="58" spans="3:11" s="537" customFormat="1" x14ac:dyDescent="0.25"/>
    <row r="59" spans="3:11" s="537" customFormat="1" x14ac:dyDescent="0.25"/>
    <row r="60" spans="3:11" s="537" customFormat="1" x14ac:dyDescent="0.25"/>
    <row r="61" spans="3:11" s="537" customFormat="1" x14ac:dyDescent="0.25"/>
    <row r="62" spans="3:11" s="537" customFormat="1" x14ac:dyDescent="0.25"/>
    <row r="63" spans="3:11" s="537" customFormat="1" x14ac:dyDescent="0.25"/>
    <row r="64" spans="3:11" s="537" customFormat="1" x14ac:dyDescent="0.25"/>
    <row r="65" s="537" customFormat="1" x14ac:dyDescent="0.25"/>
    <row r="66" s="537" customFormat="1" x14ac:dyDescent="0.25"/>
    <row r="67" s="537" customFormat="1" x14ac:dyDescent="0.25"/>
    <row r="68" s="537" customFormat="1" x14ac:dyDescent="0.25"/>
    <row r="69" s="537" customFormat="1" x14ac:dyDescent="0.25"/>
    <row r="70" s="537" customFormat="1" x14ac:dyDescent="0.25"/>
    <row r="71" s="537" customFormat="1" x14ac:dyDescent="0.25"/>
    <row r="72" s="537" customFormat="1" x14ac:dyDescent="0.25"/>
    <row r="73" s="537" customFormat="1" x14ac:dyDescent="0.25"/>
    <row r="74" s="537" customFormat="1" x14ac:dyDescent="0.25"/>
    <row r="75" s="537" customFormat="1" x14ac:dyDescent="0.25"/>
    <row r="76" s="537" customFormat="1" x14ac:dyDescent="0.25"/>
    <row r="77" s="537" customFormat="1" x14ac:dyDescent="0.25"/>
    <row r="78" s="537" customFormat="1" x14ac:dyDescent="0.25"/>
  </sheetData>
  <sheetProtection algorithmName="SHA-512" hashValue="+fJ0XtfXtrdxaMiUf/njs4J+umztBLX7XeMUGCjD2/h1PqdadnZc7eJktluAeAEBU8AnFhs6HB+AJinWj4Ogug==" saltValue="ugcv290OMqvLPWr5tvXuMQ==" spinCount="100000" sheet="1" formatCells="0" formatColumns="0" formatRows="0" pivotTables="0"/>
  <mergeCells count="12">
    <mergeCell ref="C41:K53"/>
    <mergeCell ref="C1:K1"/>
    <mergeCell ref="C6:D6"/>
    <mergeCell ref="I3:J3"/>
    <mergeCell ref="I4:J4"/>
    <mergeCell ref="C37:D37"/>
    <mergeCell ref="C17:D17"/>
    <mergeCell ref="C8:D8"/>
    <mergeCell ref="C16:D16"/>
    <mergeCell ref="C23:D23"/>
    <mergeCell ref="C26:D26"/>
    <mergeCell ref="C35:D35"/>
  </mergeCells>
  <printOptions horizontalCentered="1"/>
  <pageMargins left="0" right="0.11811023622047245" top="0" bottom="0.35433070866141736" header="0.31496062992125984" footer="0.31496062992125984"/>
  <pageSetup paperSize="9" scale="5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05"/>
  <sheetViews>
    <sheetView workbookViewId="0">
      <selection activeCell="H36" sqref="H36"/>
    </sheetView>
  </sheetViews>
  <sheetFormatPr baseColWidth="10" defaultColWidth="49.42578125" defaultRowHeight="15" customHeight="1" x14ac:dyDescent="0.25"/>
  <cols>
    <col min="1" max="1" width="20.140625" customWidth="1"/>
  </cols>
  <sheetData>
    <row r="1" spans="1:3" ht="15" customHeight="1" x14ac:dyDescent="0.25">
      <c r="A1" s="1739" t="s">
        <v>3905</v>
      </c>
      <c r="B1" s="1739"/>
      <c r="C1" s="1739"/>
    </row>
    <row r="4" spans="1:3" ht="15" customHeight="1" x14ac:dyDescent="0.25">
      <c r="A4" s="974" t="s">
        <v>1832</v>
      </c>
      <c r="B4" s="974" t="s">
        <v>1833</v>
      </c>
      <c r="C4" s="974" t="s">
        <v>111</v>
      </c>
    </row>
    <row r="5" spans="1:3" ht="15" customHeight="1" x14ac:dyDescent="0.25">
      <c r="A5" s="974" t="s">
        <v>1834</v>
      </c>
      <c r="B5" s="974" t="s">
        <v>1835</v>
      </c>
      <c r="C5" s="974" t="s">
        <v>111</v>
      </c>
    </row>
    <row r="6" spans="1:3" ht="15" customHeight="1" x14ac:dyDescent="0.25">
      <c r="A6" s="974" t="s">
        <v>1836</v>
      </c>
      <c r="B6" s="974" t="s">
        <v>1837</v>
      </c>
      <c r="C6" s="974" t="s">
        <v>111</v>
      </c>
    </row>
    <row r="7" spans="1:3" ht="15" customHeight="1" x14ac:dyDescent="0.25">
      <c r="A7" s="974" t="s">
        <v>1838</v>
      </c>
      <c r="B7" s="974" t="s">
        <v>1839</v>
      </c>
      <c r="C7" s="974" t="s">
        <v>111</v>
      </c>
    </row>
    <row r="8" spans="1:3" ht="15" customHeight="1" x14ac:dyDescent="0.25">
      <c r="A8" s="974" t="s">
        <v>1840</v>
      </c>
      <c r="B8" s="974" t="s">
        <v>1841</v>
      </c>
      <c r="C8" s="974" t="s">
        <v>111</v>
      </c>
    </row>
    <row r="9" spans="1:3" ht="15" customHeight="1" x14ac:dyDescent="0.25">
      <c r="A9" s="974" t="s">
        <v>1842</v>
      </c>
      <c r="B9" s="974" t="s">
        <v>1843</v>
      </c>
      <c r="C9" s="974" t="s">
        <v>111</v>
      </c>
    </row>
    <row r="10" spans="1:3" ht="15" customHeight="1" x14ac:dyDescent="0.25">
      <c r="A10" s="974" t="s">
        <v>1844</v>
      </c>
      <c r="B10" s="974" t="s">
        <v>1845</v>
      </c>
      <c r="C10" s="974" t="s">
        <v>111</v>
      </c>
    </row>
    <row r="11" spans="1:3" ht="15" customHeight="1" x14ac:dyDescent="0.25">
      <c r="A11" s="974" t="s">
        <v>1846</v>
      </c>
      <c r="B11" s="974" t="s">
        <v>1847</v>
      </c>
      <c r="C11" s="974" t="s">
        <v>111</v>
      </c>
    </row>
    <row r="12" spans="1:3" ht="15" customHeight="1" x14ac:dyDescent="0.25">
      <c r="A12" s="974" t="s">
        <v>1848</v>
      </c>
      <c r="B12" s="974" t="s">
        <v>1849</v>
      </c>
      <c r="C12" s="974" t="s">
        <v>1850</v>
      </c>
    </row>
    <row r="13" spans="1:3" ht="15" customHeight="1" x14ac:dyDescent="0.25">
      <c r="A13" s="974" t="s">
        <v>1851</v>
      </c>
      <c r="B13" s="974" t="s">
        <v>1852</v>
      </c>
      <c r="C13" s="974" t="s">
        <v>111</v>
      </c>
    </row>
    <row r="14" spans="1:3" ht="15" customHeight="1" x14ac:dyDescent="0.25">
      <c r="A14" s="974" t="s">
        <v>1853</v>
      </c>
      <c r="B14" s="974" t="s">
        <v>1854</v>
      </c>
      <c r="C14" s="974" t="s">
        <v>111</v>
      </c>
    </row>
    <row r="15" spans="1:3" ht="15" customHeight="1" x14ac:dyDescent="0.25">
      <c r="A15" s="974" t="s">
        <v>1855</v>
      </c>
      <c r="B15" s="974" t="s">
        <v>1856</v>
      </c>
      <c r="C15" s="974" t="s">
        <v>111</v>
      </c>
    </row>
    <row r="16" spans="1:3" ht="15" customHeight="1" x14ac:dyDescent="0.25">
      <c r="A16" s="974" t="s">
        <v>1857</v>
      </c>
      <c r="B16" s="974" t="s">
        <v>1858</v>
      </c>
      <c r="C16" s="974" t="s">
        <v>111</v>
      </c>
    </row>
    <row r="17" spans="1:3" ht="15" customHeight="1" x14ac:dyDescent="0.25">
      <c r="A17" s="974" t="s">
        <v>1859</v>
      </c>
      <c r="B17" s="974" t="s">
        <v>1860</v>
      </c>
      <c r="C17" s="974" t="s">
        <v>111</v>
      </c>
    </row>
    <row r="18" spans="1:3" ht="15" customHeight="1" x14ac:dyDescent="0.25">
      <c r="A18" s="974" t="s">
        <v>1861</v>
      </c>
      <c r="B18" s="974" t="s">
        <v>1862</v>
      </c>
      <c r="C18" s="974" t="s">
        <v>111</v>
      </c>
    </row>
    <row r="19" spans="1:3" ht="15" customHeight="1" x14ac:dyDescent="0.25">
      <c r="A19" s="974" t="s">
        <v>1863</v>
      </c>
      <c r="B19" s="974" t="s">
        <v>1864</v>
      </c>
      <c r="C19" s="974" t="s">
        <v>111</v>
      </c>
    </row>
    <row r="20" spans="1:3" ht="15" customHeight="1" x14ac:dyDescent="0.25">
      <c r="A20" s="974" t="s">
        <v>1865</v>
      </c>
      <c r="B20" s="974" t="s">
        <v>1866</v>
      </c>
      <c r="C20" s="974" t="s">
        <v>111</v>
      </c>
    </row>
    <row r="21" spans="1:3" ht="15" customHeight="1" x14ac:dyDescent="0.25">
      <c r="A21" s="974" t="s">
        <v>1867</v>
      </c>
      <c r="B21" s="974" t="s">
        <v>1868</v>
      </c>
      <c r="C21" s="974" t="s">
        <v>111</v>
      </c>
    </row>
    <row r="22" spans="1:3" ht="15" customHeight="1" x14ac:dyDescent="0.25">
      <c r="A22" s="974" t="s">
        <v>1869</v>
      </c>
      <c r="B22" s="974" t="s">
        <v>1870</v>
      </c>
      <c r="C22" s="974" t="s">
        <v>111</v>
      </c>
    </row>
    <row r="23" spans="1:3" ht="15" customHeight="1" x14ac:dyDescent="0.25">
      <c r="A23" s="974" t="s">
        <v>1871</v>
      </c>
      <c r="B23" s="974" t="s">
        <v>1872</v>
      </c>
      <c r="C23" s="974" t="s">
        <v>1850</v>
      </c>
    </row>
    <row r="24" spans="1:3" ht="15" customHeight="1" x14ac:dyDescent="0.25">
      <c r="A24" s="974" t="s">
        <v>1873</v>
      </c>
      <c r="B24" s="974" t="s">
        <v>1874</v>
      </c>
      <c r="C24" s="974" t="s">
        <v>1850</v>
      </c>
    </row>
    <row r="25" spans="1:3" ht="15" customHeight="1" x14ac:dyDescent="0.25">
      <c r="A25" s="974" t="s">
        <v>1875</v>
      </c>
      <c r="B25" s="974" t="s">
        <v>1876</v>
      </c>
      <c r="C25" s="974" t="s">
        <v>1850</v>
      </c>
    </row>
    <row r="26" spans="1:3" ht="15" customHeight="1" x14ac:dyDescent="0.25">
      <c r="A26" s="974" t="s">
        <v>1877</v>
      </c>
      <c r="B26" s="974" t="s">
        <v>1878</v>
      </c>
      <c r="C26" s="974" t="s">
        <v>1850</v>
      </c>
    </row>
    <row r="27" spans="1:3" ht="15" customHeight="1" x14ac:dyDescent="0.25">
      <c r="A27" s="974" t="s">
        <v>1879</v>
      </c>
      <c r="B27" s="974" t="s">
        <v>1880</v>
      </c>
      <c r="C27" s="974" t="s">
        <v>1850</v>
      </c>
    </row>
    <row r="28" spans="1:3" ht="15" customHeight="1" x14ac:dyDescent="0.25">
      <c r="A28" s="974" t="s">
        <v>1881</v>
      </c>
      <c r="B28" s="974" t="s">
        <v>1882</v>
      </c>
      <c r="C28" s="974" t="s">
        <v>1850</v>
      </c>
    </row>
    <row r="29" spans="1:3" ht="15" customHeight="1" x14ac:dyDescent="0.25">
      <c r="A29" s="974" t="s">
        <v>1883</v>
      </c>
      <c r="B29" s="974" t="s">
        <v>1884</v>
      </c>
      <c r="C29" s="974" t="s">
        <v>111</v>
      </c>
    </row>
    <row r="30" spans="1:3" ht="15" customHeight="1" x14ac:dyDescent="0.25">
      <c r="A30" s="974" t="s">
        <v>1885</v>
      </c>
      <c r="B30" s="974" t="s">
        <v>279</v>
      </c>
      <c r="C30" s="974" t="s">
        <v>111</v>
      </c>
    </row>
    <row r="31" spans="1:3" ht="15" customHeight="1" x14ac:dyDescent="0.25">
      <c r="A31" s="974" t="s">
        <v>1886</v>
      </c>
      <c r="B31" s="974" t="s">
        <v>1887</v>
      </c>
      <c r="C31" s="974" t="s">
        <v>111</v>
      </c>
    </row>
    <row r="32" spans="1:3" ht="15" customHeight="1" x14ac:dyDescent="0.25">
      <c r="A32" s="974" t="s">
        <v>1888</v>
      </c>
      <c r="B32" s="974" t="s">
        <v>1889</v>
      </c>
      <c r="C32" s="974" t="s">
        <v>111</v>
      </c>
    </row>
    <row r="33" spans="1:3" ht="15" customHeight="1" x14ac:dyDescent="0.25">
      <c r="A33" s="974" t="s">
        <v>1890</v>
      </c>
      <c r="B33" s="974" t="s">
        <v>1891</v>
      </c>
      <c r="C33" s="974" t="s">
        <v>111</v>
      </c>
    </row>
    <row r="34" spans="1:3" ht="15" customHeight="1" x14ac:dyDescent="0.25">
      <c r="A34" s="974" t="s">
        <v>1892</v>
      </c>
      <c r="B34" s="974" t="s">
        <v>1893</v>
      </c>
      <c r="C34" s="974" t="s">
        <v>111</v>
      </c>
    </row>
    <row r="35" spans="1:3" ht="15" customHeight="1" x14ac:dyDescent="0.25">
      <c r="A35" s="974" t="s">
        <v>1894</v>
      </c>
      <c r="B35" s="974" t="s">
        <v>1895</v>
      </c>
      <c r="C35" s="974" t="s">
        <v>111</v>
      </c>
    </row>
    <row r="36" spans="1:3" ht="15" customHeight="1" x14ac:dyDescent="0.25">
      <c r="A36" s="974" t="s">
        <v>1896</v>
      </c>
      <c r="B36" s="974" t="s">
        <v>1897</v>
      </c>
      <c r="C36" s="974" t="s">
        <v>1850</v>
      </c>
    </row>
    <row r="37" spans="1:3" ht="15" customHeight="1" x14ac:dyDescent="0.25">
      <c r="A37" s="974" t="s">
        <v>1898</v>
      </c>
      <c r="B37" s="974" t="s">
        <v>1899</v>
      </c>
      <c r="C37" s="974" t="s">
        <v>111</v>
      </c>
    </row>
    <row r="38" spans="1:3" ht="15" customHeight="1" x14ac:dyDescent="0.25">
      <c r="A38" s="974" t="s">
        <v>1900</v>
      </c>
      <c r="B38" s="974" t="s">
        <v>1901</v>
      </c>
      <c r="C38" s="974" t="s">
        <v>111</v>
      </c>
    </row>
    <row r="39" spans="1:3" ht="15" customHeight="1" x14ac:dyDescent="0.25">
      <c r="A39" s="974" t="s">
        <v>1902</v>
      </c>
      <c r="B39" s="974" t="s">
        <v>1903</v>
      </c>
      <c r="C39" s="974" t="s">
        <v>111</v>
      </c>
    </row>
    <row r="40" spans="1:3" ht="15" customHeight="1" x14ac:dyDescent="0.25">
      <c r="A40" s="974" t="s">
        <v>1904</v>
      </c>
      <c r="B40" s="974" t="s">
        <v>1905</v>
      </c>
      <c r="C40" s="974" t="s">
        <v>111</v>
      </c>
    </row>
    <row r="41" spans="1:3" ht="15" customHeight="1" x14ac:dyDescent="0.25">
      <c r="A41" s="974" t="s">
        <v>1906</v>
      </c>
      <c r="B41" s="974" t="s">
        <v>1907</v>
      </c>
      <c r="C41" s="974" t="s">
        <v>1850</v>
      </c>
    </row>
    <row r="42" spans="1:3" ht="15" customHeight="1" x14ac:dyDescent="0.25">
      <c r="A42" s="974" t="s">
        <v>1908</v>
      </c>
      <c r="B42" s="974" t="s">
        <v>1909</v>
      </c>
      <c r="C42" s="974" t="s">
        <v>1850</v>
      </c>
    </row>
    <row r="43" spans="1:3" ht="15" customHeight="1" x14ac:dyDescent="0.25">
      <c r="A43" s="974" t="s">
        <v>1910</v>
      </c>
      <c r="B43" s="974" t="s">
        <v>1911</v>
      </c>
      <c r="C43" s="974" t="s">
        <v>1850</v>
      </c>
    </row>
    <row r="44" spans="1:3" ht="15" customHeight="1" x14ac:dyDescent="0.25">
      <c r="A44" s="974" t="s">
        <v>1912</v>
      </c>
      <c r="B44" s="974" t="s">
        <v>1913</v>
      </c>
      <c r="C44" s="974" t="s">
        <v>1850</v>
      </c>
    </row>
    <row r="45" spans="1:3" ht="15" customHeight="1" x14ac:dyDescent="0.25">
      <c r="A45" s="974" t="s">
        <v>1914</v>
      </c>
      <c r="B45" s="974" t="s">
        <v>1915</v>
      </c>
      <c r="C45" s="974" t="s">
        <v>1850</v>
      </c>
    </row>
    <row r="46" spans="1:3" ht="15" customHeight="1" x14ac:dyDescent="0.25">
      <c r="A46" s="974" t="s">
        <v>1916</v>
      </c>
      <c r="B46" s="974" t="s">
        <v>1917</v>
      </c>
      <c r="C46" s="974" t="s">
        <v>1850</v>
      </c>
    </row>
    <row r="47" spans="1:3" ht="15" customHeight="1" x14ac:dyDescent="0.25">
      <c r="A47" s="974" t="s">
        <v>1918</v>
      </c>
      <c r="B47" s="974" t="s">
        <v>1919</v>
      </c>
      <c r="C47" s="974" t="s">
        <v>1850</v>
      </c>
    </row>
    <row r="48" spans="1:3" ht="15" customHeight="1" x14ac:dyDescent="0.25">
      <c r="A48" s="974" t="s">
        <v>1920</v>
      </c>
      <c r="B48" s="974" t="s">
        <v>1921</v>
      </c>
      <c r="C48" s="974" t="s">
        <v>111</v>
      </c>
    </row>
    <row r="49" spans="1:3" ht="15" customHeight="1" x14ac:dyDescent="0.25">
      <c r="A49" s="974" t="s">
        <v>1922</v>
      </c>
      <c r="B49" s="974" t="s">
        <v>1923</v>
      </c>
      <c r="C49" s="974" t="s">
        <v>111</v>
      </c>
    </row>
    <row r="50" spans="1:3" ht="15" customHeight="1" x14ac:dyDescent="0.25">
      <c r="A50" s="974" t="s">
        <v>1924</v>
      </c>
      <c r="B50" s="974" t="s">
        <v>1925</v>
      </c>
      <c r="C50" s="974" t="s">
        <v>111</v>
      </c>
    </row>
    <row r="51" spans="1:3" ht="15" customHeight="1" x14ac:dyDescent="0.25">
      <c r="A51" s="974" t="s">
        <v>1926</v>
      </c>
      <c r="B51" s="974" t="s">
        <v>1927</v>
      </c>
      <c r="C51" s="974" t="s">
        <v>111</v>
      </c>
    </row>
    <row r="52" spans="1:3" ht="15" customHeight="1" x14ac:dyDescent="0.25">
      <c r="A52" s="974" t="s">
        <v>1928</v>
      </c>
      <c r="B52" s="974" t="s">
        <v>1929</v>
      </c>
      <c r="C52" s="974" t="s">
        <v>1850</v>
      </c>
    </row>
    <row r="53" spans="1:3" ht="15" customHeight="1" x14ac:dyDescent="0.25">
      <c r="A53" s="974" t="s">
        <v>1930</v>
      </c>
      <c r="B53" s="974" t="s">
        <v>1931</v>
      </c>
      <c r="C53" s="974" t="s">
        <v>111</v>
      </c>
    </row>
    <row r="54" spans="1:3" ht="15" customHeight="1" x14ac:dyDescent="0.25">
      <c r="A54" s="974" t="s">
        <v>1932</v>
      </c>
      <c r="B54" s="974" t="s">
        <v>1933</v>
      </c>
      <c r="C54" s="974" t="s">
        <v>111</v>
      </c>
    </row>
    <row r="55" spans="1:3" ht="15" customHeight="1" x14ac:dyDescent="0.25">
      <c r="A55" s="974" t="s">
        <v>1934</v>
      </c>
      <c r="B55" s="974" t="s">
        <v>1935</v>
      </c>
      <c r="C55" s="974" t="s">
        <v>111</v>
      </c>
    </row>
    <row r="56" spans="1:3" ht="15" customHeight="1" x14ac:dyDescent="0.25">
      <c r="A56" s="974" t="s">
        <v>1936</v>
      </c>
      <c r="B56" s="974" t="s">
        <v>1937</v>
      </c>
      <c r="C56" s="974" t="s">
        <v>111</v>
      </c>
    </row>
    <row r="57" spans="1:3" ht="15" customHeight="1" x14ac:dyDescent="0.25">
      <c r="A57" s="974" t="s">
        <v>1938</v>
      </c>
      <c r="B57" s="974" t="s">
        <v>1939</v>
      </c>
      <c r="C57" s="974" t="s">
        <v>111</v>
      </c>
    </row>
    <row r="58" spans="1:3" ht="15" customHeight="1" x14ac:dyDescent="0.25">
      <c r="A58" s="974" t="s">
        <v>1940</v>
      </c>
      <c r="B58" s="974" t="s">
        <v>1941</v>
      </c>
      <c r="C58" s="974" t="s">
        <v>111</v>
      </c>
    </row>
    <row r="59" spans="1:3" ht="15" customHeight="1" x14ac:dyDescent="0.25">
      <c r="A59" s="974" t="s">
        <v>1942</v>
      </c>
      <c r="B59" s="974" t="s">
        <v>1943</v>
      </c>
      <c r="C59" s="974" t="s">
        <v>111</v>
      </c>
    </row>
    <row r="60" spans="1:3" ht="15" customHeight="1" x14ac:dyDescent="0.25">
      <c r="A60" s="974" t="s">
        <v>1944</v>
      </c>
      <c r="B60" s="974" t="s">
        <v>1945</v>
      </c>
      <c r="C60" s="974" t="s">
        <v>111</v>
      </c>
    </row>
    <row r="61" spans="1:3" ht="15" customHeight="1" x14ac:dyDescent="0.25">
      <c r="A61" s="974" t="s">
        <v>1946</v>
      </c>
      <c r="B61" s="974" t="s">
        <v>1947</v>
      </c>
      <c r="C61" s="974" t="s">
        <v>1850</v>
      </c>
    </row>
    <row r="62" spans="1:3" ht="15" customHeight="1" x14ac:dyDescent="0.25">
      <c r="A62" s="974" t="s">
        <v>1948</v>
      </c>
      <c r="B62" s="974" t="s">
        <v>1949</v>
      </c>
      <c r="C62" s="974" t="s">
        <v>1850</v>
      </c>
    </row>
    <row r="63" spans="1:3" ht="15" customHeight="1" x14ac:dyDescent="0.25">
      <c r="A63" s="974" t="s">
        <v>1950</v>
      </c>
      <c r="B63" s="974" t="s">
        <v>1951</v>
      </c>
      <c r="C63" s="974" t="s">
        <v>1850</v>
      </c>
    </row>
    <row r="64" spans="1:3" ht="15" customHeight="1" x14ac:dyDescent="0.25">
      <c r="A64" s="974" t="s">
        <v>1952</v>
      </c>
      <c r="B64" s="974" t="s">
        <v>1953</v>
      </c>
      <c r="C64" s="974" t="s">
        <v>111</v>
      </c>
    </row>
    <row r="65" spans="1:3" ht="15" customHeight="1" x14ac:dyDescent="0.25">
      <c r="A65" s="974" t="s">
        <v>1954</v>
      </c>
      <c r="B65" s="974" t="s">
        <v>1955</v>
      </c>
      <c r="C65" s="974" t="s">
        <v>111</v>
      </c>
    </row>
    <row r="66" spans="1:3" ht="15" customHeight="1" x14ac:dyDescent="0.25">
      <c r="A66" s="974" t="s">
        <v>1956</v>
      </c>
      <c r="B66" s="974" t="s">
        <v>1957</v>
      </c>
      <c r="C66" s="974" t="s">
        <v>1850</v>
      </c>
    </row>
    <row r="67" spans="1:3" ht="15" customHeight="1" x14ac:dyDescent="0.25">
      <c r="A67" s="974" t="s">
        <v>1958</v>
      </c>
      <c r="B67" s="974" t="s">
        <v>1959</v>
      </c>
      <c r="C67" s="974" t="s">
        <v>111</v>
      </c>
    </row>
    <row r="68" spans="1:3" ht="15" customHeight="1" x14ac:dyDescent="0.25">
      <c r="A68" s="974" t="s">
        <v>1960</v>
      </c>
      <c r="B68" s="974" t="s">
        <v>1961</v>
      </c>
      <c r="C68" s="974" t="s">
        <v>111</v>
      </c>
    </row>
    <row r="69" spans="1:3" ht="15" customHeight="1" x14ac:dyDescent="0.25">
      <c r="A69" s="974" t="s">
        <v>1962</v>
      </c>
      <c r="B69" s="974" t="s">
        <v>1963</v>
      </c>
      <c r="C69" s="974" t="s">
        <v>111</v>
      </c>
    </row>
    <row r="70" spans="1:3" ht="15" customHeight="1" x14ac:dyDescent="0.25">
      <c r="A70" s="974" t="s">
        <v>1964</v>
      </c>
      <c r="B70" s="974" t="s">
        <v>1965</v>
      </c>
      <c r="C70" s="974" t="s">
        <v>1850</v>
      </c>
    </row>
    <row r="71" spans="1:3" ht="15" customHeight="1" x14ac:dyDescent="0.25">
      <c r="A71" s="974" t="s">
        <v>1966</v>
      </c>
      <c r="B71" s="974" t="s">
        <v>1967</v>
      </c>
      <c r="C71" s="974" t="s">
        <v>1850</v>
      </c>
    </row>
    <row r="72" spans="1:3" ht="15" customHeight="1" x14ac:dyDescent="0.25">
      <c r="A72" s="974" t="s">
        <v>1968</v>
      </c>
      <c r="B72" s="974" t="s">
        <v>1969</v>
      </c>
      <c r="C72" s="974" t="s">
        <v>111</v>
      </c>
    </row>
    <row r="73" spans="1:3" ht="15" customHeight="1" x14ac:dyDescent="0.25">
      <c r="A73" s="974" t="s">
        <v>1970</v>
      </c>
      <c r="B73" s="974" t="s">
        <v>1971</v>
      </c>
      <c r="C73" s="974" t="s">
        <v>111</v>
      </c>
    </row>
    <row r="74" spans="1:3" ht="15" customHeight="1" x14ac:dyDescent="0.25">
      <c r="A74" s="974" t="s">
        <v>1972</v>
      </c>
      <c r="B74" s="974" t="s">
        <v>1973</v>
      </c>
      <c r="C74" s="974" t="s">
        <v>111</v>
      </c>
    </row>
    <row r="75" spans="1:3" ht="15" customHeight="1" x14ac:dyDescent="0.25">
      <c r="A75" s="974" t="s">
        <v>1974</v>
      </c>
      <c r="B75" s="974" t="s">
        <v>1975</v>
      </c>
      <c r="C75" s="974" t="s">
        <v>111</v>
      </c>
    </row>
    <row r="76" spans="1:3" ht="15" customHeight="1" x14ac:dyDescent="0.25">
      <c r="A76" s="974" t="s">
        <v>1976</v>
      </c>
      <c r="B76" s="974" t="s">
        <v>1977</v>
      </c>
      <c r="C76" s="974" t="s">
        <v>1850</v>
      </c>
    </row>
    <row r="77" spans="1:3" ht="15" customHeight="1" x14ac:dyDescent="0.25">
      <c r="A77" s="974" t="s">
        <v>1978</v>
      </c>
      <c r="B77" s="974" t="s">
        <v>1979</v>
      </c>
      <c r="C77" s="974" t="s">
        <v>1850</v>
      </c>
    </row>
    <row r="78" spans="1:3" ht="15" customHeight="1" x14ac:dyDescent="0.25">
      <c r="A78" s="974" t="s">
        <v>1980</v>
      </c>
      <c r="B78" s="974" t="s">
        <v>1981</v>
      </c>
      <c r="C78" s="974" t="s">
        <v>1850</v>
      </c>
    </row>
    <row r="79" spans="1:3" ht="15" customHeight="1" x14ac:dyDescent="0.25">
      <c r="A79" s="974" t="s">
        <v>1982</v>
      </c>
      <c r="B79" s="974" t="s">
        <v>1983</v>
      </c>
      <c r="C79" s="974" t="s">
        <v>111</v>
      </c>
    </row>
    <row r="80" spans="1:3" ht="15" customHeight="1" x14ac:dyDescent="0.25">
      <c r="A80" s="974" t="s">
        <v>1984</v>
      </c>
      <c r="B80" s="974" t="s">
        <v>1985</v>
      </c>
      <c r="C80" s="974" t="s">
        <v>111</v>
      </c>
    </row>
    <row r="81" spans="1:3" ht="15" customHeight="1" x14ac:dyDescent="0.25">
      <c r="A81" s="974" t="s">
        <v>1986</v>
      </c>
      <c r="B81" s="974" t="s">
        <v>1987</v>
      </c>
      <c r="C81" s="974" t="s">
        <v>111</v>
      </c>
    </row>
    <row r="82" spans="1:3" ht="15" customHeight="1" x14ac:dyDescent="0.25">
      <c r="A82" s="974" t="s">
        <v>1988</v>
      </c>
      <c r="B82" s="974" t="s">
        <v>1989</v>
      </c>
      <c r="C82" s="974" t="s">
        <v>111</v>
      </c>
    </row>
    <row r="83" spans="1:3" ht="15" customHeight="1" x14ac:dyDescent="0.25">
      <c r="A83" s="974" t="s">
        <v>1990</v>
      </c>
      <c r="B83" s="974" t="s">
        <v>1991</v>
      </c>
      <c r="C83" s="974" t="s">
        <v>111</v>
      </c>
    </row>
    <row r="84" spans="1:3" ht="15" customHeight="1" x14ac:dyDescent="0.25">
      <c r="A84" s="974" t="s">
        <v>1992</v>
      </c>
      <c r="B84" s="974" t="s">
        <v>1993</v>
      </c>
      <c r="C84" s="974" t="s">
        <v>111</v>
      </c>
    </row>
    <row r="85" spans="1:3" ht="15" customHeight="1" x14ac:dyDescent="0.25">
      <c r="A85" s="974" t="s">
        <v>1994</v>
      </c>
      <c r="B85" s="974" t="s">
        <v>1995</v>
      </c>
      <c r="C85" s="974" t="s">
        <v>111</v>
      </c>
    </row>
    <row r="86" spans="1:3" ht="15" customHeight="1" x14ac:dyDescent="0.25">
      <c r="A86" s="974" t="s">
        <v>1996</v>
      </c>
      <c r="B86" s="974" t="s">
        <v>1997</v>
      </c>
      <c r="C86" s="974" t="s">
        <v>111</v>
      </c>
    </row>
    <row r="87" spans="1:3" ht="15" customHeight="1" x14ac:dyDescent="0.25">
      <c r="A87" s="974" t="s">
        <v>1998</v>
      </c>
      <c r="B87" s="974" t="s">
        <v>1999</v>
      </c>
      <c r="C87" s="974" t="s">
        <v>111</v>
      </c>
    </row>
    <row r="88" spans="1:3" ht="15" customHeight="1" x14ac:dyDescent="0.25">
      <c r="A88" s="974" t="s">
        <v>2000</v>
      </c>
      <c r="B88" s="974" t="s">
        <v>2001</v>
      </c>
      <c r="C88" s="974" t="s">
        <v>111</v>
      </c>
    </row>
    <row r="89" spans="1:3" ht="15" customHeight="1" x14ac:dyDescent="0.25">
      <c r="A89" s="974" t="s">
        <v>2002</v>
      </c>
      <c r="B89" s="974" t="s">
        <v>2003</v>
      </c>
      <c r="C89" s="974" t="s">
        <v>111</v>
      </c>
    </row>
    <row r="90" spans="1:3" ht="15" customHeight="1" x14ac:dyDescent="0.25">
      <c r="A90" s="974" t="s">
        <v>2004</v>
      </c>
      <c r="B90" s="974" t="s">
        <v>2005</v>
      </c>
      <c r="C90" s="974" t="s">
        <v>111</v>
      </c>
    </row>
    <row r="91" spans="1:3" ht="15" customHeight="1" x14ac:dyDescent="0.25">
      <c r="A91" s="974" t="s">
        <v>2006</v>
      </c>
      <c r="B91" s="974" t="s">
        <v>2007</v>
      </c>
      <c r="C91" s="974" t="s">
        <v>111</v>
      </c>
    </row>
    <row r="92" spans="1:3" ht="15" customHeight="1" x14ac:dyDescent="0.25">
      <c r="A92" s="974" t="s">
        <v>2008</v>
      </c>
      <c r="B92" s="974" t="s">
        <v>2009</v>
      </c>
      <c r="C92" s="974" t="s">
        <v>111</v>
      </c>
    </row>
    <row r="93" spans="1:3" ht="15" customHeight="1" x14ac:dyDescent="0.25">
      <c r="A93" s="974" t="s">
        <v>2010</v>
      </c>
      <c r="B93" s="974" t="s">
        <v>2011</v>
      </c>
      <c r="C93" s="974" t="s">
        <v>111</v>
      </c>
    </row>
    <row r="94" spans="1:3" ht="15" customHeight="1" x14ac:dyDescent="0.25">
      <c r="A94" s="974" t="s">
        <v>2012</v>
      </c>
      <c r="B94" s="974" t="s">
        <v>2013</v>
      </c>
      <c r="C94" s="974" t="s">
        <v>111</v>
      </c>
    </row>
    <row r="95" spans="1:3" ht="15" customHeight="1" x14ac:dyDescent="0.25">
      <c r="A95" s="974" t="s">
        <v>2014</v>
      </c>
      <c r="B95" s="974" t="s">
        <v>2015</v>
      </c>
      <c r="C95" s="974" t="s">
        <v>111</v>
      </c>
    </row>
    <row r="96" spans="1:3" ht="15" customHeight="1" x14ac:dyDescent="0.25">
      <c r="A96" s="974" t="s">
        <v>2016</v>
      </c>
      <c r="B96" s="974" t="s">
        <v>2017</v>
      </c>
      <c r="C96" s="974" t="s">
        <v>111</v>
      </c>
    </row>
    <row r="97" spans="1:3" ht="15" customHeight="1" x14ac:dyDescent="0.25">
      <c r="A97" s="974" t="s">
        <v>2018</v>
      </c>
      <c r="B97" s="974" t="s">
        <v>2019</v>
      </c>
      <c r="C97" s="974" t="s">
        <v>111</v>
      </c>
    </row>
    <row r="98" spans="1:3" ht="15" customHeight="1" x14ac:dyDescent="0.25">
      <c r="A98" s="974" t="s">
        <v>2020</v>
      </c>
      <c r="B98" s="974" t="s">
        <v>2021</v>
      </c>
      <c r="C98" s="974" t="s">
        <v>1850</v>
      </c>
    </row>
    <row r="99" spans="1:3" ht="15" customHeight="1" x14ac:dyDescent="0.25">
      <c r="A99" s="974" t="s">
        <v>2022</v>
      </c>
      <c r="B99" s="974" t="s">
        <v>2023</v>
      </c>
      <c r="C99" s="974" t="s">
        <v>1850</v>
      </c>
    </row>
    <row r="100" spans="1:3" ht="15" customHeight="1" x14ac:dyDescent="0.25">
      <c r="A100" s="974" t="s">
        <v>2024</v>
      </c>
      <c r="B100" s="974" t="s">
        <v>2025</v>
      </c>
      <c r="C100" s="974" t="s">
        <v>1850</v>
      </c>
    </row>
    <row r="101" spans="1:3" ht="15" customHeight="1" x14ac:dyDescent="0.25">
      <c r="A101" s="974" t="s">
        <v>2026</v>
      </c>
      <c r="B101" s="974" t="s">
        <v>2027</v>
      </c>
      <c r="C101" s="974" t="s">
        <v>111</v>
      </c>
    </row>
    <row r="102" spans="1:3" ht="15" customHeight="1" x14ac:dyDescent="0.25">
      <c r="A102" s="974" t="s">
        <v>2028</v>
      </c>
      <c r="B102" s="974" t="s">
        <v>2029</v>
      </c>
      <c r="C102" s="974" t="s">
        <v>111</v>
      </c>
    </row>
    <row r="103" spans="1:3" ht="15" customHeight="1" x14ac:dyDescent="0.25">
      <c r="A103" s="974" t="s">
        <v>2030</v>
      </c>
      <c r="B103" s="974" t="s">
        <v>2031</v>
      </c>
      <c r="C103" s="974" t="s">
        <v>111</v>
      </c>
    </row>
    <row r="104" spans="1:3" ht="15" customHeight="1" x14ac:dyDescent="0.25">
      <c r="A104" s="974" t="s">
        <v>2032</v>
      </c>
      <c r="B104" s="974" t="s">
        <v>2033</v>
      </c>
      <c r="C104" s="974" t="s">
        <v>111</v>
      </c>
    </row>
    <row r="105" spans="1:3" ht="15" customHeight="1" x14ac:dyDescent="0.25">
      <c r="A105" s="974" t="s">
        <v>2034</v>
      </c>
      <c r="B105" s="974" t="s">
        <v>2035</v>
      </c>
      <c r="C105" s="974" t="s">
        <v>1850</v>
      </c>
    </row>
    <row r="106" spans="1:3" ht="15" customHeight="1" x14ac:dyDescent="0.25">
      <c r="A106" s="974" t="s">
        <v>2036</v>
      </c>
      <c r="B106" s="974" t="s">
        <v>2037</v>
      </c>
      <c r="C106" s="974" t="s">
        <v>111</v>
      </c>
    </row>
    <row r="107" spans="1:3" ht="15" customHeight="1" x14ac:dyDescent="0.25">
      <c r="A107" s="974" t="s">
        <v>2038</v>
      </c>
      <c r="B107" s="974" t="s">
        <v>2039</v>
      </c>
      <c r="C107" s="974" t="s">
        <v>111</v>
      </c>
    </row>
    <row r="108" spans="1:3" ht="15" customHeight="1" x14ac:dyDescent="0.25">
      <c r="A108" s="974" t="s">
        <v>2040</v>
      </c>
      <c r="B108" s="974" t="s">
        <v>2041</v>
      </c>
      <c r="C108" s="974" t="s">
        <v>1850</v>
      </c>
    </row>
    <row r="109" spans="1:3" ht="15" customHeight="1" x14ac:dyDescent="0.25">
      <c r="A109" s="974" t="s">
        <v>2042</v>
      </c>
      <c r="B109" s="974" t="s">
        <v>2043</v>
      </c>
      <c r="C109" s="974" t="s">
        <v>1850</v>
      </c>
    </row>
    <row r="110" spans="1:3" ht="15" customHeight="1" x14ac:dyDescent="0.25">
      <c r="A110" s="974" t="s">
        <v>2044</v>
      </c>
      <c r="B110" s="974" t="s">
        <v>2045</v>
      </c>
      <c r="C110" s="974" t="s">
        <v>1850</v>
      </c>
    </row>
    <row r="111" spans="1:3" ht="15" customHeight="1" x14ac:dyDescent="0.25">
      <c r="A111" s="974" t="s">
        <v>2046</v>
      </c>
      <c r="B111" s="974" t="s">
        <v>2047</v>
      </c>
      <c r="C111" s="974" t="s">
        <v>1850</v>
      </c>
    </row>
    <row r="112" spans="1:3" ht="15" customHeight="1" x14ac:dyDescent="0.25">
      <c r="A112" s="974" t="s">
        <v>2048</v>
      </c>
      <c r="B112" s="974" t="s">
        <v>2049</v>
      </c>
      <c r="C112" s="974" t="s">
        <v>1850</v>
      </c>
    </row>
    <row r="113" spans="1:3" ht="15" customHeight="1" x14ac:dyDescent="0.25">
      <c r="A113" s="974" t="s">
        <v>2050</v>
      </c>
      <c r="B113" s="974" t="s">
        <v>2051</v>
      </c>
      <c r="C113" s="974" t="s">
        <v>1850</v>
      </c>
    </row>
    <row r="114" spans="1:3" ht="15" customHeight="1" x14ac:dyDescent="0.25">
      <c r="A114" s="974" t="s">
        <v>2052</v>
      </c>
      <c r="B114" s="974" t="s">
        <v>2053</v>
      </c>
      <c r="C114" s="974" t="s">
        <v>1850</v>
      </c>
    </row>
    <row r="115" spans="1:3" ht="15" customHeight="1" x14ac:dyDescent="0.25">
      <c r="A115" s="974" t="s">
        <v>2054</v>
      </c>
      <c r="B115" s="974" t="s">
        <v>2055</v>
      </c>
      <c r="C115" s="974" t="s">
        <v>1850</v>
      </c>
    </row>
    <row r="116" spans="1:3" ht="15" customHeight="1" x14ac:dyDescent="0.25">
      <c r="A116" s="974" t="s">
        <v>2056</v>
      </c>
      <c r="B116" s="974" t="s">
        <v>2057</v>
      </c>
      <c r="C116" s="974" t="s">
        <v>1850</v>
      </c>
    </row>
    <row r="117" spans="1:3" ht="15" customHeight="1" x14ac:dyDescent="0.25">
      <c r="A117" s="974" t="s">
        <v>2058</v>
      </c>
      <c r="B117" s="974" t="s">
        <v>2059</v>
      </c>
      <c r="C117" s="974" t="s">
        <v>1850</v>
      </c>
    </row>
    <row r="118" spans="1:3" ht="15" customHeight="1" x14ac:dyDescent="0.25">
      <c r="A118" s="974" t="s">
        <v>2060</v>
      </c>
      <c r="B118" s="974" t="s">
        <v>2061</v>
      </c>
      <c r="C118" s="974" t="s">
        <v>1850</v>
      </c>
    </row>
    <row r="119" spans="1:3" ht="15" customHeight="1" x14ac:dyDescent="0.25">
      <c r="A119" s="974" t="s">
        <v>2062</v>
      </c>
      <c r="B119" s="974" t="s">
        <v>2063</v>
      </c>
      <c r="C119" s="974" t="s">
        <v>1850</v>
      </c>
    </row>
    <row r="120" spans="1:3" ht="15" customHeight="1" x14ac:dyDescent="0.25">
      <c r="A120" s="974" t="s">
        <v>2064</v>
      </c>
      <c r="B120" s="974" t="s">
        <v>2065</v>
      </c>
      <c r="C120" s="974" t="s">
        <v>111</v>
      </c>
    </row>
    <row r="121" spans="1:3" ht="15" customHeight="1" x14ac:dyDescent="0.25">
      <c r="A121" s="974" t="s">
        <v>2066</v>
      </c>
      <c r="B121" s="974" t="s">
        <v>335</v>
      </c>
      <c r="C121" s="974" t="s">
        <v>111</v>
      </c>
    </row>
    <row r="122" spans="1:3" ht="15" customHeight="1" x14ac:dyDescent="0.25">
      <c r="A122" s="974" t="s">
        <v>2067</v>
      </c>
      <c r="B122" s="974" t="s">
        <v>2068</v>
      </c>
      <c r="C122" s="974" t="s">
        <v>1850</v>
      </c>
    </row>
    <row r="123" spans="1:3" ht="15" customHeight="1" x14ac:dyDescent="0.25">
      <c r="A123" s="974" t="s">
        <v>2069</v>
      </c>
      <c r="B123" s="974" t="s">
        <v>2070</v>
      </c>
      <c r="C123" s="974" t="s">
        <v>111</v>
      </c>
    </row>
    <row r="124" spans="1:3" ht="15" customHeight="1" x14ac:dyDescent="0.25">
      <c r="A124" s="974" t="s">
        <v>2071</v>
      </c>
      <c r="B124" s="974" t="s">
        <v>2072</v>
      </c>
      <c r="C124" s="974" t="s">
        <v>111</v>
      </c>
    </row>
    <row r="125" spans="1:3" ht="15" customHeight="1" x14ac:dyDescent="0.25">
      <c r="A125" s="974" t="s">
        <v>2073</v>
      </c>
      <c r="B125" s="974" t="s">
        <v>339</v>
      </c>
      <c r="C125" s="974" t="s">
        <v>111</v>
      </c>
    </row>
    <row r="126" spans="1:3" ht="15" customHeight="1" x14ac:dyDescent="0.25">
      <c r="A126" s="974" t="s">
        <v>2074</v>
      </c>
      <c r="B126" s="974" t="s">
        <v>2075</v>
      </c>
      <c r="C126" s="974" t="s">
        <v>111</v>
      </c>
    </row>
    <row r="127" spans="1:3" ht="15" customHeight="1" x14ac:dyDescent="0.25">
      <c r="A127" s="974" t="s">
        <v>2076</v>
      </c>
      <c r="B127" s="974" t="s">
        <v>2077</v>
      </c>
      <c r="C127" s="974" t="s">
        <v>111</v>
      </c>
    </row>
    <row r="128" spans="1:3" ht="15" customHeight="1" x14ac:dyDescent="0.25">
      <c r="A128" s="974" t="s">
        <v>2078</v>
      </c>
      <c r="B128" s="974" t="s">
        <v>2079</v>
      </c>
      <c r="C128" s="974" t="s">
        <v>1850</v>
      </c>
    </row>
    <row r="129" spans="1:3" ht="15" customHeight="1" x14ac:dyDescent="0.25">
      <c r="A129" s="974" t="s">
        <v>2080</v>
      </c>
      <c r="B129" s="974" t="s">
        <v>2081</v>
      </c>
      <c r="C129" s="974" t="s">
        <v>111</v>
      </c>
    </row>
    <row r="130" spans="1:3" ht="15" customHeight="1" x14ac:dyDescent="0.25">
      <c r="A130" s="974" t="s">
        <v>2082</v>
      </c>
      <c r="B130" s="974" t="s">
        <v>2083</v>
      </c>
      <c r="C130" s="974" t="s">
        <v>111</v>
      </c>
    </row>
    <row r="131" spans="1:3" ht="15" customHeight="1" x14ac:dyDescent="0.25">
      <c r="A131" s="974" t="s">
        <v>2084</v>
      </c>
      <c r="B131" s="974" t="s">
        <v>2085</v>
      </c>
      <c r="C131" s="974" t="s">
        <v>111</v>
      </c>
    </row>
    <row r="132" spans="1:3" ht="15" customHeight="1" x14ac:dyDescent="0.25">
      <c r="A132" s="974" t="s">
        <v>2086</v>
      </c>
      <c r="B132" s="974" t="s">
        <v>2087</v>
      </c>
      <c r="C132" s="974" t="s">
        <v>111</v>
      </c>
    </row>
    <row r="133" spans="1:3" ht="15" customHeight="1" x14ac:dyDescent="0.25">
      <c r="A133" s="974" t="s">
        <v>2088</v>
      </c>
      <c r="B133" s="974" t="s">
        <v>1392</v>
      </c>
      <c r="C133" s="974" t="s">
        <v>111</v>
      </c>
    </row>
    <row r="134" spans="1:3" ht="15" customHeight="1" x14ac:dyDescent="0.25">
      <c r="A134" s="974" t="s">
        <v>2089</v>
      </c>
      <c r="B134" s="974" t="s">
        <v>2090</v>
      </c>
      <c r="C134" s="974" t="s">
        <v>111</v>
      </c>
    </row>
    <row r="135" spans="1:3" ht="15" customHeight="1" x14ac:dyDescent="0.25">
      <c r="A135" s="974" t="s">
        <v>2091</v>
      </c>
      <c r="B135" s="974" t="s">
        <v>2092</v>
      </c>
      <c r="C135" s="974" t="s">
        <v>1850</v>
      </c>
    </row>
    <row r="136" spans="1:3" ht="15" customHeight="1" x14ac:dyDescent="0.25">
      <c r="A136" s="974" t="s">
        <v>2093</v>
      </c>
      <c r="B136" s="974" t="s">
        <v>2094</v>
      </c>
      <c r="C136" s="974" t="s">
        <v>1850</v>
      </c>
    </row>
    <row r="137" spans="1:3" ht="15" customHeight="1" x14ac:dyDescent="0.25">
      <c r="A137" s="974" t="s">
        <v>2095</v>
      </c>
      <c r="B137" s="974" t="s">
        <v>2096</v>
      </c>
      <c r="C137" s="974" t="s">
        <v>1850</v>
      </c>
    </row>
    <row r="138" spans="1:3" ht="15" customHeight="1" x14ac:dyDescent="0.25">
      <c r="A138" s="974" t="s">
        <v>2097</v>
      </c>
      <c r="B138" s="974" t="s">
        <v>2098</v>
      </c>
      <c r="C138" s="974" t="s">
        <v>1850</v>
      </c>
    </row>
    <row r="139" spans="1:3" ht="15" customHeight="1" x14ac:dyDescent="0.25">
      <c r="A139" s="974" t="s">
        <v>2099</v>
      </c>
      <c r="B139" s="974" t="s">
        <v>2100</v>
      </c>
      <c r="C139" s="974" t="s">
        <v>111</v>
      </c>
    </row>
    <row r="140" spans="1:3" ht="15" customHeight="1" x14ac:dyDescent="0.25">
      <c r="A140" s="974" t="s">
        <v>2101</v>
      </c>
      <c r="B140" s="974" t="s">
        <v>2102</v>
      </c>
      <c r="C140" s="974" t="s">
        <v>111</v>
      </c>
    </row>
    <row r="141" spans="1:3" ht="15" customHeight="1" x14ac:dyDescent="0.25">
      <c r="A141" s="974" t="s">
        <v>2103</v>
      </c>
      <c r="B141" s="974" t="s">
        <v>2104</v>
      </c>
      <c r="C141" s="974" t="s">
        <v>111</v>
      </c>
    </row>
    <row r="142" spans="1:3" ht="15" customHeight="1" x14ac:dyDescent="0.25">
      <c r="A142" s="974" t="s">
        <v>2105</v>
      </c>
      <c r="B142" s="974" t="s">
        <v>2106</v>
      </c>
      <c r="C142" s="974" t="s">
        <v>111</v>
      </c>
    </row>
    <row r="143" spans="1:3" ht="15" customHeight="1" x14ac:dyDescent="0.25">
      <c r="A143" s="974" t="s">
        <v>2107</v>
      </c>
      <c r="B143" s="974" t="s">
        <v>2108</v>
      </c>
      <c r="C143" s="974" t="s">
        <v>111</v>
      </c>
    </row>
    <row r="144" spans="1:3" ht="15" customHeight="1" x14ac:dyDescent="0.25">
      <c r="A144" s="974" t="s">
        <v>2109</v>
      </c>
      <c r="B144" s="974" t="s">
        <v>2110</v>
      </c>
      <c r="C144" s="974" t="s">
        <v>111</v>
      </c>
    </row>
    <row r="145" spans="1:3" ht="15" customHeight="1" x14ac:dyDescent="0.25">
      <c r="A145" s="974" t="s">
        <v>2111</v>
      </c>
      <c r="B145" s="974" t="s">
        <v>2112</v>
      </c>
      <c r="C145" s="974" t="s">
        <v>111</v>
      </c>
    </row>
    <row r="146" spans="1:3" ht="15" customHeight="1" x14ac:dyDescent="0.25">
      <c r="A146" s="974" t="s">
        <v>2113</v>
      </c>
      <c r="B146" s="974" t="s">
        <v>2114</v>
      </c>
      <c r="C146" s="974" t="s">
        <v>111</v>
      </c>
    </row>
    <row r="147" spans="1:3" ht="15" customHeight="1" x14ac:dyDescent="0.25">
      <c r="A147" s="974" t="s">
        <v>2115</v>
      </c>
      <c r="B147" s="974" t="s">
        <v>2116</v>
      </c>
      <c r="C147" s="974" t="s">
        <v>111</v>
      </c>
    </row>
    <row r="148" spans="1:3" ht="15" customHeight="1" x14ac:dyDescent="0.25">
      <c r="A148" s="974" t="s">
        <v>2117</v>
      </c>
      <c r="B148" s="974" t="s">
        <v>2118</v>
      </c>
      <c r="C148" s="974" t="s">
        <v>111</v>
      </c>
    </row>
    <row r="149" spans="1:3" ht="15" customHeight="1" x14ac:dyDescent="0.25">
      <c r="A149" s="974" t="s">
        <v>2119</v>
      </c>
      <c r="B149" s="974" t="s">
        <v>2120</v>
      </c>
      <c r="C149" s="974" t="s">
        <v>111</v>
      </c>
    </row>
    <row r="150" spans="1:3" ht="15" customHeight="1" x14ac:dyDescent="0.25">
      <c r="A150" s="974" t="s">
        <v>2121</v>
      </c>
      <c r="B150" s="974" t="s">
        <v>2122</v>
      </c>
      <c r="C150" s="974" t="s">
        <v>111</v>
      </c>
    </row>
    <row r="151" spans="1:3" ht="15" customHeight="1" x14ac:dyDescent="0.25">
      <c r="A151" s="974" t="s">
        <v>2123</v>
      </c>
      <c r="B151" s="974" t="s">
        <v>2124</v>
      </c>
      <c r="C151" s="974" t="s">
        <v>111</v>
      </c>
    </row>
    <row r="152" spans="1:3" ht="15" customHeight="1" x14ac:dyDescent="0.25">
      <c r="A152" s="974" t="s">
        <v>2125</v>
      </c>
      <c r="B152" s="974" t="s">
        <v>2126</v>
      </c>
      <c r="C152" s="974" t="s">
        <v>111</v>
      </c>
    </row>
    <row r="153" spans="1:3" ht="15" customHeight="1" x14ac:dyDescent="0.25">
      <c r="A153" s="974" t="s">
        <v>2127</v>
      </c>
      <c r="B153" s="974" t="s">
        <v>2128</v>
      </c>
      <c r="C153" s="974" t="s">
        <v>111</v>
      </c>
    </row>
    <row r="154" spans="1:3" ht="15" customHeight="1" x14ac:dyDescent="0.25">
      <c r="A154" s="974" t="s">
        <v>2129</v>
      </c>
      <c r="B154" s="974" t="s">
        <v>2130</v>
      </c>
      <c r="C154" s="974" t="s">
        <v>111</v>
      </c>
    </row>
    <row r="155" spans="1:3" ht="15" customHeight="1" x14ac:dyDescent="0.25">
      <c r="A155" s="974" t="s">
        <v>2131</v>
      </c>
      <c r="B155" s="974" t="s">
        <v>2132</v>
      </c>
      <c r="C155" s="974" t="s">
        <v>111</v>
      </c>
    </row>
    <row r="156" spans="1:3" ht="15" customHeight="1" x14ac:dyDescent="0.25">
      <c r="A156" s="974" t="s">
        <v>2133</v>
      </c>
      <c r="B156" s="974" t="s">
        <v>2134</v>
      </c>
      <c r="C156" s="974" t="s">
        <v>111</v>
      </c>
    </row>
    <row r="157" spans="1:3" ht="15" customHeight="1" x14ac:dyDescent="0.25">
      <c r="A157" s="974" t="s">
        <v>2135</v>
      </c>
      <c r="B157" s="974" t="s">
        <v>2136</v>
      </c>
      <c r="C157" s="974" t="s">
        <v>111</v>
      </c>
    </row>
    <row r="158" spans="1:3" ht="15" customHeight="1" x14ac:dyDescent="0.25">
      <c r="A158" s="974" t="s">
        <v>2137</v>
      </c>
      <c r="B158" s="974" t="s">
        <v>2138</v>
      </c>
      <c r="C158" s="974" t="s">
        <v>111</v>
      </c>
    </row>
    <row r="159" spans="1:3" ht="15" customHeight="1" x14ac:dyDescent="0.25">
      <c r="A159" s="974" t="s">
        <v>2139</v>
      </c>
      <c r="B159" s="974" t="s">
        <v>2140</v>
      </c>
      <c r="C159" s="974" t="s">
        <v>111</v>
      </c>
    </row>
    <row r="160" spans="1:3" ht="15" customHeight="1" x14ac:dyDescent="0.25">
      <c r="A160" s="974" t="s">
        <v>2141</v>
      </c>
      <c r="B160" s="974" t="s">
        <v>2142</v>
      </c>
      <c r="C160" s="974" t="s">
        <v>111</v>
      </c>
    </row>
    <row r="161" spans="1:3" ht="15" customHeight="1" x14ac:dyDescent="0.25">
      <c r="A161" s="974" t="s">
        <v>2143</v>
      </c>
      <c r="B161" s="974" t="s">
        <v>2144</v>
      </c>
      <c r="C161" s="974" t="s">
        <v>111</v>
      </c>
    </row>
    <row r="162" spans="1:3" ht="15" customHeight="1" x14ac:dyDescent="0.25">
      <c r="A162" s="974" t="s">
        <v>2145</v>
      </c>
      <c r="B162" s="974" t="s">
        <v>2146</v>
      </c>
      <c r="C162" s="974" t="s">
        <v>1850</v>
      </c>
    </row>
    <row r="163" spans="1:3" ht="15" customHeight="1" x14ac:dyDescent="0.25">
      <c r="A163" s="974" t="s">
        <v>2147</v>
      </c>
      <c r="B163" s="974" t="s">
        <v>2148</v>
      </c>
      <c r="C163" s="974" t="s">
        <v>111</v>
      </c>
    </row>
    <row r="164" spans="1:3" ht="15" customHeight="1" x14ac:dyDescent="0.25">
      <c r="A164" s="974" t="s">
        <v>2149</v>
      </c>
      <c r="B164" s="974" t="s">
        <v>2150</v>
      </c>
      <c r="C164" s="974" t="s">
        <v>111</v>
      </c>
    </row>
    <row r="165" spans="1:3" ht="15" customHeight="1" x14ac:dyDescent="0.25">
      <c r="A165" s="974" t="s">
        <v>2151</v>
      </c>
      <c r="B165" s="974" t="s">
        <v>2152</v>
      </c>
      <c r="C165" s="974" t="s">
        <v>111</v>
      </c>
    </row>
    <row r="166" spans="1:3" ht="15" customHeight="1" x14ac:dyDescent="0.25">
      <c r="A166" s="974" t="s">
        <v>2153</v>
      </c>
      <c r="B166" s="974" t="s">
        <v>2154</v>
      </c>
      <c r="C166" s="974" t="s">
        <v>111</v>
      </c>
    </row>
    <row r="167" spans="1:3" ht="15" customHeight="1" x14ac:dyDescent="0.25">
      <c r="A167" s="974" t="s">
        <v>2155</v>
      </c>
      <c r="B167" s="974" t="s">
        <v>2156</v>
      </c>
      <c r="C167" s="974" t="s">
        <v>111</v>
      </c>
    </row>
    <row r="168" spans="1:3" ht="15" customHeight="1" x14ac:dyDescent="0.25">
      <c r="A168" s="974" t="s">
        <v>2157</v>
      </c>
      <c r="B168" s="974" t="s">
        <v>2158</v>
      </c>
      <c r="C168" s="974" t="s">
        <v>111</v>
      </c>
    </row>
    <row r="169" spans="1:3" ht="15" customHeight="1" x14ac:dyDescent="0.25">
      <c r="A169" s="974" t="s">
        <v>2159</v>
      </c>
      <c r="B169" s="974" t="s">
        <v>2160</v>
      </c>
      <c r="C169" s="974" t="s">
        <v>111</v>
      </c>
    </row>
    <row r="170" spans="1:3" ht="15" customHeight="1" x14ac:dyDescent="0.25">
      <c r="A170" s="974" t="s">
        <v>2161</v>
      </c>
      <c r="B170" s="974" t="s">
        <v>2120</v>
      </c>
      <c r="C170" s="974" t="s">
        <v>111</v>
      </c>
    </row>
    <row r="171" spans="1:3" ht="15" customHeight="1" x14ac:dyDescent="0.25">
      <c r="A171" s="974" t="s">
        <v>2162</v>
      </c>
      <c r="B171" s="974" t="s">
        <v>2163</v>
      </c>
      <c r="C171" s="974" t="s">
        <v>111</v>
      </c>
    </row>
    <row r="172" spans="1:3" ht="15" customHeight="1" x14ac:dyDescent="0.25">
      <c r="A172" s="974" t="s">
        <v>2164</v>
      </c>
      <c r="B172" s="974" t="s">
        <v>2165</v>
      </c>
      <c r="C172" s="974" t="s">
        <v>111</v>
      </c>
    </row>
    <row r="173" spans="1:3" ht="15" customHeight="1" x14ac:dyDescent="0.25">
      <c r="A173" s="974" t="s">
        <v>2166</v>
      </c>
      <c r="B173" s="974" t="s">
        <v>2167</v>
      </c>
      <c r="C173" s="974" t="s">
        <v>111</v>
      </c>
    </row>
    <row r="174" spans="1:3" ht="15" customHeight="1" x14ac:dyDescent="0.25">
      <c r="A174" s="974" t="s">
        <v>2168</v>
      </c>
      <c r="B174" s="974" t="s">
        <v>2169</v>
      </c>
      <c r="C174" s="974" t="s">
        <v>111</v>
      </c>
    </row>
    <row r="175" spans="1:3" ht="15" customHeight="1" x14ac:dyDescent="0.25">
      <c r="A175" s="974" t="s">
        <v>2170</v>
      </c>
      <c r="B175" s="974" t="s">
        <v>2171</v>
      </c>
      <c r="C175" s="974" t="s">
        <v>111</v>
      </c>
    </row>
    <row r="176" spans="1:3" ht="15" customHeight="1" x14ac:dyDescent="0.25">
      <c r="A176" s="974" t="s">
        <v>2172</v>
      </c>
      <c r="B176" s="974" t="s">
        <v>2173</v>
      </c>
      <c r="C176" s="974" t="s">
        <v>111</v>
      </c>
    </row>
    <row r="177" spans="1:3" ht="15" customHeight="1" x14ac:dyDescent="0.25">
      <c r="A177" s="974" t="s">
        <v>2174</v>
      </c>
      <c r="B177" s="974" t="s">
        <v>2163</v>
      </c>
      <c r="C177" s="974" t="s">
        <v>111</v>
      </c>
    </row>
    <row r="178" spans="1:3" ht="15" customHeight="1" x14ac:dyDescent="0.25">
      <c r="A178" s="974" t="s">
        <v>2175</v>
      </c>
      <c r="B178" s="974" t="s">
        <v>2165</v>
      </c>
      <c r="C178" s="974" t="s">
        <v>111</v>
      </c>
    </row>
    <row r="179" spans="1:3" ht="15" customHeight="1" x14ac:dyDescent="0.25">
      <c r="A179" s="974" t="s">
        <v>2176</v>
      </c>
      <c r="B179" s="974" t="s">
        <v>2167</v>
      </c>
      <c r="C179" s="974" t="s">
        <v>111</v>
      </c>
    </row>
    <row r="180" spans="1:3" ht="15" customHeight="1" x14ac:dyDescent="0.25">
      <c r="A180" s="974" t="s">
        <v>2177</v>
      </c>
      <c r="B180" s="974" t="s">
        <v>2169</v>
      </c>
      <c r="C180" s="974" t="s">
        <v>111</v>
      </c>
    </row>
    <row r="181" spans="1:3" ht="15" customHeight="1" x14ac:dyDescent="0.25">
      <c r="A181" s="974" t="s">
        <v>2178</v>
      </c>
      <c r="B181" s="974" t="s">
        <v>2171</v>
      </c>
      <c r="C181" s="974" t="s">
        <v>111</v>
      </c>
    </row>
    <row r="182" spans="1:3" ht="15" customHeight="1" x14ac:dyDescent="0.25">
      <c r="A182" s="974" t="s">
        <v>2179</v>
      </c>
      <c r="B182" s="974" t="s">
        <v>2173</v>
      </c>
      <c r="C182" s="974" t="s">
        <v>111</v>
      </c>
    </row>
    <row r="183" spans="1:3" ht="15" customHeight="1" x14ac:dyDescent="0.25">
      <c r="A183" s="974" t="s">
        <v>2180</v>
      </c>
      <c r="B183" s="974" t="s">
        <v>2181</v>
      </c>
      <c r="C183" s="974" t="s">
        <v>111</v>
      </c>
    </row>
    <row r="184" spans="1:3" ht="15" customHeight="1" x14ac:dyDescent="0.25">
      <c r="A184" s="974" t="s">
        <v>2182</v>
      </c>
      <c r="B184" s="974" t="s">
        <v>2183</v>
      </c>
      <c r="C184" s="974" t="s">
        <v>111</v>
      </c>
    </row>
    <row r="185" spans="1:3" ht="15" customHeight="1" x14ac:dyDescent="0.25">
      <c r="A185" s="974" t="s">
        <v>2184</v>
      </c>
      <c r="B185" s="974" t="s">
        <v>2185</v>
      </c>
      <c r="C185" s="974" t="s">
        <v>111</v>
      </c>
    </row>
    <row r="186" spans="1:3" ht="15" customHeight="1" x14ac:dyDescent="0.25">
      <c r="A186" s="974" t="s">
        <v>2186</v>
      </c>
      <c r="B186" s="974" t="s">
        <v>2187</v>
      </c>
      <c r="C186" s="974" t="s">
        <v>111</v>
      </c>
    </row>
    <row r="187" spans="1:3" ht="15" customHeight="1" x14ac:dyDescent="0.25">
      <c r="A187" s="974" t="s">
        <v>2188</v>
      </c>
      <c r="B187" s="974" t="s">
        <v>2189</v>
      </c>
      <c r="C187" s="974" t="s">
        <v>111</v>
      </c>
    </row>
    <row r="188" spans="1:3" ht="15" customHeight="1" x14ac:dyDescent="0.25">
      <c r="A188" s="974" t="s">
        <v>2190</v>
      </c>
      <c r="B188" s="974" t="s">
        <v>2191</v>
      </c>
      <c r="C188" s="974" t="s">
        <v>111</v>
      </c>
    </row>
    <row r="189" spans="1:3" ht="15" customHeight="1" x14ac:dyDescent="0.25">
      <c r="A189" s="974" t="s">
        <v>2192</v>
      </c>
      <c r="B189" s="974" t="s">
        <v>2193</v>
      </c>
      <c r="C189" s="974" t="s">
        <v>111</v>
      </c>
    </row>
    <row r="190" spans="1:3" ht="15" customHeight="1" x14ac:dyDescent="0.25">
      <c r="A190" s="974" t="s">
        <v>2194</v>
      </c>
      <c r="B190" s="974" t="s">
        <v>2195</v>
      </c>
      <c r="C190" s="974" t="s">
        <v>111</v>
      </c>
    </row>
    <row r="191" spans="1:3" ht="15" customHeight="1" x14ac:dyDescent="0.25">
      <c r="A191" s="974" t="s">
        <v>2196</v>
      </c>
      <c r="B191" s="974" t="s">
        <v>2197</v>
      </c>
      <c r="C191" s="974" t="s">
        <v>111</v>
      </c>
    </row>
    <row r="192" spans="1:3" ht="15" customHeight="1" x14ac:dyDescent="0.25">
      <c r="A192" s="974" t="s">
        <v>2198</v>
      </c>
      <c r="B192" s="974" t="s">
        <v>2199</v>
      </c>
      <c r="C192" s="974" t="s">
        <v>111</v>
      </c>
    </row>
    <row r="193" spans="1:3" ht="15" customHeight="1" x14ac:dyDescent="0.25">
      <c r="A193" s="974" t="s">
        <v>2200</v>
      </c>
      <c r="B193" s="974" t="s">
        <v>2201</v>
      </c>
      <c r="C193" s="974" t="s">
        <v>111</v>
      </c>
    </row>
    <row r="194" spans="1:3" ht="15" customHeight="1" x14ac:dyDescent="0.25">
      <c r="A194" s="974" t="s">
        <v>2202</v>
      </c>
      <c r="B194" s="974" t="s">
        <v>2203</v>
      </c>
      <c r="C194" s="974" t="s">
        <v>111</v>
      </c>
    </row>
    <row r="195" spans="1:3" ht="15" customHeight="1" x14ac:dyDescent="0.25">
      <c r="A195" s="974" t="s">
        <v>2204</v>
      </c>
      <c r="B195" s="974" t="s">
        <v>2205</v>
      </c>
      <c r="C195" s="974" t="s">
        <v>111</v>
      </c>
    </row>
    <row r="196" spans="1:3" ht="15" customHeight="1" x14ac:dyDescent="0.25">
      <c r="A196" s="974" t="s">
        <v>2206</v>
      </c>
      <c r="B196" s="974" t="s">
        <v>2207</v>
      </c>
      <c r="C196" s="974" t="s">
        <v>1850</v>
      </c>
    </row>
    <row r="197" spans="1:3" ht="15" customHeight="1" x14ac:dyDescent="0.25">
      <c r="A197" s="974" t="s">
        <v>2208</v>
      </c>
      <c r="B197" s="974" t="s">
        <v>2209</v>
      </c>
      <c r="C197" s="974" t="s">
        <v>1850</v>
      </c>
    </row>
    <row r="198" spans="1:3" ht="15" customHeight="1" x14ac:dyDescent="0.25">
      <c r="A198" s="974" t="s">
        <v>2210</v>
      </c>
      <c r="B198" s="974" t="s">
        <v>2211</v>
      </c>
      <c r="C198" s="974" t="s">
        <v>111</v>
      </c>
    </row>
    <row r="199" spans="1:3" ht="15" customHeight="1" x14ac:dyDescent="0.25">
      <c r="A199" s="974" t="s">
        <v>2212</v>
      </c>
      <c r="B199" s="974" t="s">
        <v>2213</v>
      </c>
      <c r="C199" s="974" t="s">
        <v>111</v>
      </c>
    </row>
    <row r="200" spans="1:3" ht="15" customHeight="1" x14ac:dyDescent="0.25">
      <c r="A200" s="974" t="s">
        <v>2214</v>
      </c>
      <c r="B200" s="974" t="s">
        <v>2215</v>
      </c>
      <c r="C200" s="974" t="s">
        <v>111</v>
      </c>
    </row>
    <row r="201" spans="1:3" ht="15" customHeight="1" x14ac:dyDescent="0.25">
      <c r="A201" s="974" t="s">
        <v>2216</v>
      </c>
      <c r="B201" s="974" t="s">
        <v>2217</v>
      </c>
      <c r="C201" s="974" t="s">
        <v>111</v>
      </c>
    </row>
    <row r="202" spans="1:3" ht="15" customHeight="1" x14ac:dyDescent="0.25">
      <c r="A202" s="974" t="s">
        <v>2218</v>
      </c>
      <c r="B202" s="974" t="s">
        <v>2219</v>
      </c>
      <c r="C202" s="974" t="s">
        <v>111</v>
      </c>
    </row>
    <row r="203" spans="1:3" ht="15" customHeight="1" x14ac:dyDescent="0.25">
      <c r="A203" s="974" t="s">
        <v>2220</v>
      </c>
      <c r="B203" s="974" t="s">
        <v>2221</v>
      </c>
      <c r="C203" s="974" t="s">
        <v>111</v>
      </c>
    </row>
    <row r="204" spans="1:3" ht="15" customHeight="1" x14ac:dyDescent="0.25">
      <c r="A204" s="974" t="s">
        <v>2222</v>
      </c>
      <c r="B204" s="974" t="s">
        <v>2223</v>
      </c>
      <c r="C204" s="974" t="s">
        <v>111</v>
      </c>
    </row>
    <row r="205" spans="1:3" ht="15" customHeight="1" x14ac:dyDescent="0.25">
      <c r="A205" s="974" t="s">
        <v>2224</v>
      </c>
      <c r="B205" s="974" t="s">
        <v>2225</v>
      </c>
      <c r="C205" s="974" t="s">
        <v>111</v>
      </c>
    </row>
    <row r="206" spans="1:3" ht="15" customHeight="1" x14ac:dyDescent="0.25">
      <c r="A206" s="974" t="s">
        <v>2226</v>
      </c>
      <c r="B206" s="974" t="s">
        <v>2227</v>
      </c>
      <c r="C206" s="974" t="s">
        <v>111</v>
      </c>
    </row>
    <row r="207" spans="1:3" ht="15" customHeight="1" x14ac:dyDescent="0.25">
      <c r="A207" s="974" t="s">
        <v>2228</v>
      </c>
      <c r="B207" s="974" t="s">
        <v>2229</v>
      </c>
      <c r="C207" s="974" t="s">
        <v>111</v>
      </c>
    </row>
    <row r="208" spans="1:3" ht="15" customHeight="1" x14ac:dyDescent="0.25">
      <c r="A208" s="974" t="s">
        <v>2230</v>
      </c>
      <c r="B208" s="974" t="s">
        <v>2231</v>
      </c>
      <c r="C208" s="974" t="s">
        <v>111</v>
      </c>
    </row>
    <row r="209" spans="1:3" ht="15" customHeight="1" x14ac:dyDescent="0.25">
      <c r="A209" s="974" t="s">
        <v>2232</v>
      </c>
      <c r="B209" s="974" t="s">
        <v>2233</v>
      </c>
      <c r="C209" s="974" t="s">
        <v>111</v>
      </c>
    </row>
    <row r="210" spans="1:3" ht="15" customHeight="1" x14ac:dyDescent="0.25">
      <c r="A210" s="974" t="s">
        <v>2234</v>
      </c>
      <c r="B210" s="974" t="s">
        <v>2235</v>
      </c>
      <c r="C210" s="974" t="s">
        <v>111</v>
      </c>
    </row>
    <row r="211" spans="1:3" ht="15" customHeight="1" x14ac:dyDescent="0.25">
      <c r="A211" s="974" t="s">
        <v>2236</v>
      </c>
      <c r="B211" s="974" t="s">
        <v>2237</v>
      </c>
      <c r="C211" s="974" t="s">
        <v>111</v>
      </c>
    </row>
    <row r="212" spans="1:3" ht="15" customHeight="1" x14ac:dyDescent="0.25">
      <c r="A212" s="974" t="s">
        <v>2238</v>
      </c>
      <c r="B212" s="974" t="s">
        <v>2239</v>
      </c>
      <c r="C212" s="974" t="s">
        <v>1850</v>
      </c>
    </row>
    <row r="213" spans="1:3" ht="15" customHeight="1" x14ac:dyDescent="0.25">
      <c r="A213" s="974" t="s">
        <v>2240</v>
      </c>
      <c r="B213" s="974" t="s">
        <v>2241</v>
      </c>
      <c r="C213" s="974" t="s">
        <v>111</v>
      </c>
    </row>
    <row r="214" spans="1:3" ht="15" customHeight="1" x14ac:dyDescent="0.25">
      <c r="A214" s="974" t="s">
        <v>2242</v>
      </c>
      <c r="B214" s="974" t="s">
        <v>2243</v>
      </c>
      <c r="C214" s="974" t="s">
        <v>111</v>
      </c>
    </row>
    <row r="215" spans="1:3" ht="15" customHeight="1" x14ac:dyDescent="0.25">
      <c r="A215" s="974" t="s">
        <v>2244</v>
      </c>
      <c r="B215" s="974" t="s">
        <v>2245</v>
      </c>
      <c r="C215" s="974" t="s">
        <v>111</v>
      </c>
    </row>
    <row r="216" spans="1:3" ht="15" customHeight="1" x14ac:dyDescent="0.25">
      <c r="A216" s="974" t="s">
        <v>2246</v>
      </c>
      <c r="B216" s="974" t="s">
        <v>2247</v>
      </c>
      <c r="C216" s="974" t="s">
        <v>111</v>
      </c>
    </row>
    <row r="217" spans="1:3" ht="15" customHeight="1" x14ac:dyDescent="0.25">
      <c r="A217" s="974" t="s">
        <v>2248</v>
      </c>
      <c r="B217" s="974" t="s">
        <v>2249</v>
      </c>
      <c r="C217" s="974" t="s">
        <v>111</v>
      </c>
    </row>
    <row r="218" spans="1:3" ht="15" customHeight="1" x14ac:dyDescent="0.25">
      <c r="A218" s="974" t="s">
        <v>2250</v>
      </c>
      <c r="B218" s="974" t="s">
        <v>2251</v>
      </c>
      <c r="C218" s="974" t="s">
        <v>111</v>
      </c>
    </row>
    <row r="219" spans="1:3" ht="15" customHeight="1" x14ac:dyDescent="0.25">
      <c r="A219" s="974" t="s">
        <v>2252</v>
      </c>
      <c r="B219" s="974" t="s">
        <v>2253</v>
      </c>
      <c r="C219" s="974" t="s">
        <v>111</v>
      </c>
    </row>
    <row r="220" spans="1:3" ht="15" customHeight="1" x14ac:dyDescent="0.25">
      <c r="A220" s="974" t="s">
        <v>2254</v>
      </c>
      <c r="B220" s="974" t="s">
        <v>2255</v>
      </c>
      <c r="C220" s="974" t="s">
        <v>111</v>
      </c>
    </row>
    <row r="221" spans="1:3" ht="15" customHeight="1" x14ac:dyDescent="0.25">
      <c r="A221" s="974" t="s">
        <v>2256</v>
      </c>
      <c r="B221" s="974" t="s">
        <v>2257</v>
      </c>
      <c r="C221" s="974" t="s">
        <v>111</v>
      </c>
    </row>
    <row r="222" spans="1:3" ht="15" customHeight="1" x14ac:dyDescent="0.25">
      <c r="A222" s="974" t="s">
        <v>2258</v>
      </c>
      <c r="B222" s="974" t="s">
        <v>2259</v>
      </c>
      <c r="C222" s="974" t="s">
        <v>111</v>
      </c>
    </row>
    <row r="223" spans="1:3" ht="15" customHeight="1" x14ac:dyDescent="0.25">
      <c r="A223" s="974" t="s">
        <v>2260</v>
      </c>
      <c r="B223" s="974" t="s">
        <v>2261</v>
      </c>
      <c r="C223" s="974" t="s">
        <v>111</v>
      </c>
    </row>
    <row r="224" spans="1:3" ht="15" customHeight="1" x14ac:dyDescent="0.25">
      <c r="A224" s="974" t="s">
        <v>2262</v>
      </c>
      <c r="B224" s="974" t="s">
        <v>2263</v>
      </c>
      <c r="C224" s="974" t="s">
        <v>111</v>
      </c>
    </row>
    <row r="225" spans="1:3" ht="15" customHeight="1" x14ac:dyDescent="0.25">
      <c r="A225" s="974" t="s">
        <v>2264</v>
      </c>
      <c r="B225" s="974" t="s">
        <v>2265</v>
      </c>
      <c r="C225" s="974" t="s">
        <v>111</v>
      </c>
    </row>
    <row r="226" spans="1:3" ht="15" customHeight="1" x14ac:dyDescent="0.25">
      <c r="A226" s="974" t="s">
        <v>2266</v>
      </c>
      <c r="B226" s="974" t="s">
        <v>2267</v>
      </c>
      <c r="C226" s="974" t="s">
        <v>111</v>
      </c>
    </row>
    <row r="227" spans="1:3" ht="15" customHeight="1" x14ac:dyDescent="0.25">
      <c r="A227" s="974" t="s">
        <v>2268</v>
      </c>
      <c r="B227" s="974" t="s">
        <v>2269</v>
      </c>
      <c r="C227" s="974" t="s">
        <v>111</v>
      </c>
    </row>
    <row r="228" spans="1:3" ht="15" customHeight="1" x14ac:dyDescent="0.25">
      <c r="A228" s="974" t="s">
        <v>2270</v>
      </c>
      <c r="B228" s="974" t="s">
        <v>2271</v>
      </c>
      <c r="C228" s="974" t="s">
        <v>111</v>
      </c>
    </row>
    <row r="229" spans="1:3" ht="15" customHeight="1" x14ac:dyDescent="0.25">
      <c r="A229" s="974" t="s">
        <v>2272</v>
      </c>
      <c r="B229" s="974" t="s">
        <v>2273</v>
      </c>
      <c r="C229" s="974" t="s">
        <v>111</v>
      </c>
    </row>
    <row r="230" spans="1:3" ht="15" customHeight="1" x14ac:dyDescent="0.25">
      <c r="A230" s="974" t="s">
        <v>2274</v>
      </c>
      <c r="B230" s="974" t="s">
        <v>2275</v>
      </c>
      <c r="C230" s="974" t="s">
        <v>111</v>
      </c>
    </row>
    <row r="231" spans="1:3" ht="15" customHeight="1" x14ac:dyDescent="0.25">
      <c r="A231" s="974" t="s">
        <v>2276</v>
      </c>
      <c r="B231" s="974" t="s">
        <v>2277</v>
      </c>
      <c r="C231" s="974" t="s">
        <v>111</v>
      </c>
    </row>
    <row r="232" spans="1:3" ht="15" customHeight="1" x14ac:dyDescent="0.25">
      <c r="A232" s="974" t="s">
        <v>2278</v>
      </c>
      <c r="B232" s="974" t="s">
        <v>2279</v>
      </c>
      <c r="C232" s="974" t="s">
        <v>111</v>
      </c>
    </row>
    <row r="233" spans="1:3" ht="15" customHeight="1" x14ac:dyDescent="0.25">
      <c r="A233" s="974" t="s">
        <v>2280</v>
      </c>
      <c r="B233" s="974" t="s">
        <v>2281</v>
      </c>
      <c r="C233" s="974" t="s">
        <v>111</v>
      </c>
    </row>
    <row r="234" spans="1:3" ht="15" customHeight="1" x14ac:dyDescent="0.25">
      <c r="A234" s="974" t="s">
        <v>2282</v>
      </c>
      <c r="B234" s="974" t="s">
        <v>2283</v>
      </c>
      <c r="C234" s="974" t="s">
        <v>111</v>
      </c>
    </row>
    <row r="235" spans="1:3" ht="15" customHeight="1" x14ac:dyDescent="0.25">
      <c r="A235" s="974" t="s">
        <v>2284</v>
      </c>
      <c r="B235" s="974" t="s">
        <v>2285</v>
      </c>
      <c r="C235" s="974" t="s">
        <v>111</v>
      </c>
    </row>
    <row r="236" spans="1:3" ht="15" customHeight="1" x14ac:dyDescent="0.25">
      <c r="A236" s="974" t="s">
        <v>2286</v>
      </c>
      <c r="B236" s="974" t="s">
        <v>2287</v>
      </c>
      <c r="C236" s="974" t="s">
        <v>111</v>
      </c>
    </row>
    <row r="237" spans="1:3" ht="15" customHeight="1" x14ac:dyDescent="0.25">
      <c r="A237" s="974" t="s">
        <v>2288</v>
      </c>
      <c r="B237" s="974" t="s">
        <v>2289</v>
      </c>
      <c r="C237" s="974" t="s">
        <v>111</v>
      </c>
    </row>
    <row r="238" spans="1:3" ht="15" customHeight="1" x14ac:dyDescent="0.25">
      <c r="A238" s="974" t="s">
        <v>2290</v>
      </c>
      <c r="B238" s="974" t="s">
        <v>2291</v>
      </c>
      <c r="C238" s="974" t="s">
        <v>111</v>
      </c>
    </row>
    <row r="239" spans="1:3" ht="15" customHeight="1" x14ac:dyDescent="0.25">
      <c r="A239" s="974" t="s">
        <v>2292</v>
      </c>
      <c r="B239" s="974" t="s">
        <v>2293</v>
      </c>
      <c r="C239" s="974" t="s">
        <v>111</v>
      </c>
    </row>
    <row r="240" spans="1:3" ht="15" customHeight="1" x14ac:dyDescent="0.25">
      <c r="A240" s="974" t="s">
        <v>2294</v>
      </c>
      <c r="B240" s="974" t="s">
        <v>2295</v>
      </c>
      <c r="C240" s="974" t="s">
        <v>111</v>
      </c>
    </row>
    <row r="241" spans="1:3" ht="15" customHeight="1" x14ac:dyDescent="0.25">
      <c r="A241" s="974" t="s">
        <v>2296</v>
      </c>
      <c r="B241" s="974" t="s">
        <v>2297</v>
      </c>
      <c r="C241" s="974" t="s">
        <v>111</v>
      </c>
    </row>
    <row r="242" spans="1:3" ht="15" customHeight="1" x14ac:dyDescent="0.25">
      <c r="A242" s="974" t="s">
        <v>2298</v>
      </c>
      <c r="B242" s="974" t="s">
        <v>2299</v>
      </c>
      <c r="C242" s="974" t="s">
        <v>111</v>
      </c>
    </row>
    <row r="243" spans="1:3" ht="15" customHeight="1" x14ac:dyDescent="0.25">
      <c r="A243" s="974" t="s">
        <v>2300</v>
      </c>
      <c r="B243" s="974" t="s">
        <v>2301</v>
      </c>
      <c r="C243" s="974" t="s">
        <v>111</v>
      </c>
    </row>
    <row r="244" spans="1:3" ht="15" customHeight="1" x14ac:dyDescent="0.25">
      <c r="A244" s="974" t="s">
        <v>2302</v>
      </c>
      <c r="B244" s="974" t="s">
        <v>2303</v>
      </c>
      <c r="C244" s="974" t="s">
        <v>111</v>
      </c>
    </row>
    <row r="245" spans="1:3" ht="15" customHeight="1" x14ac:dyDescent="0.25">
      <c r="A245" s="974" t="s">
        <v>2304</v>
      </c>
      <c r="B245" s="974" t="s">
        <v>2305</v>
      </c>
      <c r="C245" s="974" t="s">
        <v>111</v>
      </c>
    </row>
    <row r="246" spans="1:3" ht="15" customHeight="1" x14ac:dyDescent="0.25">
      <c r="A246" s="974" t="s">
        <v>2306</v>
      </c>
      <c r="B246" s="974" t="s">
        <v>2307</v>
      </c>
      <c r="C246" s="974" t="s">
        <v>1850</v>
      </c>
    </row>
    <row r="247" spans="1:3" ht="15" customHeight="1" x14ac:dyDescent="0.25">
      <c r="A247" s="974" t="s">
        <v>2308</v>
      </c>
      <c r="B247" s="974" t="s">
        <v>2309</v>
      </c>
      <c r="C247" s="974" t="s">
        <v>1850</v>
      </c>
    </row>
    <row r="248" spans="1:3" ht="15" customHeight="1" x14ac:dyDescent="0.25">
      <c r="A248" s="974" t="s">
        <v>2310</v>
      </c>
      <c r="B248" s="974" t="s">
        <v>2311</v>
      </c>
      <c r="C248" s="974" t="s">
        <v>1850</v>
      </c>
    </row>
    <row r="249" spans="1:3" ht="15" customHeight="1" x14ac:dyDescent="0.25">
      <c r="A249" s="974" t="s">
        <v>2312</v>
      </c>
      <c r="B249" s="974" t="s">
        <v>2313</v>
      </c>
      <c r="C249" s="974" t="s">
        <v>1850</v>
      </c>
    </row>
    <row r="250" spans="1:3" ht="15" customHeight="1" x14ac:dyDescent="0.25">
      <c r="A250" s="974" t="s">
        <v>2314</v>
      </c>
      <c r="B250" s="974" t="s">
        <v>2315</v>
      </c>
      <c r="C250" s="974" t="s">
        <v>1850</v>
      </c>
    </row>
    <row r="251" spans="1:3" ht="15" customHeight="1" x14ac:dyDescent="0.25">
      <c r="A251" s="974" t="s">
        <v>2316</v>
      </c>
      <c r="B251" s="974" t="s">
        <v>2317</v>
      </c>
      <c r="C251" s="974" t="s">
        <v>1850</v>
      </c>
    </row>
    <row r="252" spans="1:3" ht="15" customHeight="1" x14ac:dyDescent="0.25">
      <c r="A252" s="974" t="s">
        <v>2318</v>
      </c>
      <c r="B252" s="974" t="s">
        <v>2319</v>
      </c>
      <c r="C252" s="974" t="s">
        <v>1850</v>
      </c>
    </row>
    <row r="253" spans="1:3" ht="15" customHeight="1" x14ac:dyDescent="0.25">
      <c r="A253" s="974" t="s">
        <v>2320</v>
      </c>
      <c r="B253" s="974" t="s">
        <v>2321</v>
      </c>
      <c r="C253" s="974" t="s">
        <v>1850</v>
      </c>
    </row>
    <row r="254" spans="1:3" ht="15" customHeight="1" x14ac:dyDescent="0.25">
      <c r="A254" s="974" t="s">
        <v>2322</v>
      </c>
      <c r="B254" s="974" t="s">
        <v>2323</v>
      </c>
      <c r="C254" s="974" t="s">
        <v>111</v>
      </c>
    </row>
    <row r="255" spans="1:3" ht="15" customHeight="1" x14ac:dyDescent="0.25">
      <c r="A255" s="974" t="s">
        <v>2324</v>
      </c>
      <c r="B255" s="974" t="s">
        <v>2325</v>
      </c>
      <c r="C255" s="974" t="s">
        <v>111</v>
      </c>
    </row>
    <row r="256" spans="1:3" ht="15" customHeight="1" x14ac:dyDescent="0.25">
      <c r="A256" s="974" t="s">
        <v>2326</v>
      </c>
      <c r="B256" s="974" t="s">
        <v>2011</v>
      </c>
      <c r="C256" s="974" t="s">
        <v>111</v>
      </c>
    </row>
    <row r="257" spans="1:3" ht="15" customHeight="1" x14ac:dyDescent="0.25">
      <c r="A257" s="974" t="s">
        <v>2327</v>
      </c>
      <c r="B257" s="974" t="s">
        <v>2328</v>
      </c>
      <c r="C257" s="974" t="s">
        <v>111</v>
      </c>
    </row>
    <row r="258" spans="1:3" ht="15" customHeight="1" x14ac:dyDescent="0.25">
      <c r="A258" s="974" t="s">
        <v>2329</v>
      </c>
      <c r="B258" s="974" t="s">
        <v>2330</v>
      </c>
      <c r="C258" s="974" t="s">
        <v>111</v>
      </c>
    </row>
    <row r="259" spans="1:3" ht="15" customHeight="1" x14ac:dyDescent="0.25">
      <c r="A259" s="974" t="s">
        <v>2331</v>
      </c>
      <c r="B259" s="974" t="s">
        <v>2332</v>
      </c>
      <c r="C259" s="974" t="s">
        <v>111</v>
      </c>
    </row>
    <row r="260" spans="1:3" ht="15" customHeight="1" x14ac:dyDescent="0.25">
      <c r="A260" s="974" t="s">
        <v>2333</v>
      </c>
      <c r="B260" s="974" t="s">
        <v>2334</v>
      </c>
      <c r="C260" s="974" t="s">
        <v>111</v>
      </c>
    </row>
    <row r="261" spans="1:3" ht="15" customHeight="1" x14ac:dyDescent="0.25">
      <c r="A261" s="974" t="s">
        <v>2335</v>
      </c>
      <c r="B261" s="974" t="s">
        <v>2336</v>
      </c>
      <c r="C261" s="974" t="s">
        <v>111</v>
      </c>
    </row>
    <row r="262" spans="1:3" ht="15" customHeight="1" x14ac:dyDescent="0.25">
      <c r="A262" s="974" t="s">
        <v>2337</v>
      </c>
      <c r="B262" s="974" t="s">
        <v>1406</v>
      </c>
      <c r="C262" s="974" t="s">
        <v>111</v>
      </c>
    </row>
    <row r="263" spans="1:3" ht="15" customHeight="1" x14ac:dyDescent="0.25">
      <c r="A263" s="974" t="s">
        <v>2338</v>
      </c>
      <c r="B263" s="974" t="s">
        <v>2339</v>
      </c>
      <c r="C263" s="974" t="s">
        <v>111</v>
      </c>
    </row>
    <row r="264" spans="1:3" ht="15" customHeight="1" x14ac:dyDescent="0.25">
      <c r="A264" s="974" t="s">
        <v>2340</v>
      </c>
      <c r="B264" s="974" t="s">
        <v>2341</v>
      </c>
      <c r="C264" s="974" t="s">
        <v>111</v>
      </c>
    </row>
    <row r="265" spans="1:3" ht="15" customHeight="1" x14ac:dyDescent="0.25">
      <c r="A265" s="974" t="s">
        <v>2342</v>
      </c>
      <c r="B265" s="974" t="s">
        <v>2343</v>
      </c>
      <c r="C265" s="974" t="s">
        <v>111</v>
      </c>
    </row>
    <row r="266" spans="1:3" ht="15" customHeight="1" x14ac:dyDescent="0.25">
      <c r="A266" s="974" t="s">
        <v>2344</v>
      </c>
      <c r="B266" s="974" t="s">
        <v>2345</v>
      </c>
      <c r="C266" s="974" t="s">
        <v>111</v>
      </c>
    </row>
    <row r="267" spans="1:3" ht="15" customHeight="1" x14ac:dyDescent="0.25">
      <c r="A267" s="974" t="s">
        <v>2346</v>
      </c>
      <c r="B267" s="974" t="s">
        <v>2347</v>
      </c>
      <c r="C267" s="974" t="s">
        <v>111</v>
      </c>
    </row>
    <row r="268" spans="1:3" ht="15" customHeight="1" x14ac:dyDescent="0.25">
      <c r="A268" s="974" t="s">
        <v>2348</v>
      </c>
      <c r="B268" s="974" t="s">
        <v>2349</v>
      </c>
      <c r="C268" s="974" t="s">
        <v>111</v>
      </c>
    </row>
    <row r="269" spans="1:3" ht="15" customHeight="1" x14ac:dyDescent="0.25">
      <c r="A269" s="974" t="s">
        <v>2350</v>
      </c>
      <c r="B269" s="974" t="s">
        <v>2351</v>
      </c>
      <c r="C269" s="974" t="s">
        <v>111</v>
      </c>
    </row>
    <row r="270" spans="1:3" ht="15" customHeight="1" x14ac:dyDescent="0.25">
      <c r="A270" s="974" t="s">
        <v>2352</v>
      </c>
      <c r="B270" s="974" t="s">
        <v>2353</v>
      </c>
      <c r="C270" s="974" t="s">
        <v>111</v>
      </c>
    </row>
    <row r="271" spans="1:3" ht="15" customHeight="1" x14ac:dyDescent="0.25">
      <c r="A271" s="974" t="s">
        <v>2354</v>
      </c>
      <c r="B271" s="974" t="s">
        <v>219</v>
      </c>
      <c r="C271" s="974" t="s">
        <v>111</v>
      </c>
    </row>
    <row r="272" spans="1:3" ht="15" customHeight="1" x14ac:dyDescent="0.25">
      <c r="A272" s="974" t="s">
        <v>2355</v>
      </c>
      <c r="B272" s="974" t="s">
        <v>2356</v>
      </c>
      <c r="C272" s="974" t="s">
        <v>111</v>
      </c>
    </row>
    <row r="273" spans="1:3" ht="15" customHeight="1" x14ac:dyDescent="0.25">
      <c r="A273" s="974" t="s">
        <v>2357</v>
      </c>
      <c r="B273" s="974" t="s">
        <v>2358</v>
      </c>
      <c r="C273" s="974" t="s">
        <v>111</v>
      </c>
    </row>
    <row r="274" spans="1:3" ht="15" customHeight="1" x14ac:dyDescent="0.25">
      <c r="A274" s="974" t="s">
        <v>2359</v>
      </c>
      <c r="B274" s="974" t="s">
        <v>2360</v>
      </c>
      <c r="C274" s="974" t="s">
        <v>111</v>
      </c>
    </row>
    <row r="275" spans="1:3" ht="15" customHeight="1" x14ac:dyDescent="0.25">
      <c r="A275" s="974" t="s">
        <v>2361</v>
      </c>
      <c r="B275" s="974" t="s">
        <v>2362</v>
      </c>
      <c r="C275" s="974" t="s">
        <v>111</v>
      </c>
    </row>
    <row r="276" spans="1:3" ht="15" customHeight="1" x14ac:dyDescent="0.25">
      <c r="A276" s="974" t="s">
        <v>2363</v>
      </c>
      <c r="B276" s="974" t="s">
        <v>2364</v>
      </c>
      <c r="C276" s="974" t="s">
        <v>111</v>
      </c>
    </row>
    <row r="277" spans="1:3" ht="15" customHeight="1" x14ac:dyDescent="0.25">
      <c r="A277" s="974" t="s">
        <v>2365</v>
      </c>
      <c r="B277" s="974" t="s">
        <v>2366</v>
      </c>
      <c r="C277" s="974" t="s">
        <v>111</v>
      </c>
    </row>
    <row r="278" spans="1:3" ht="15" customHeight="1" x14ac:dyDescent="0.25">
      <c r="A278" s="974" t="s">
        <v>2367</v>
      </c>
      <c r="B278" s="974" t="s">
        <v>2368</v>
      </c>
      <c r="C278" s="974" t="s">
        <v>111</v>
      </c>
    </row>
    <row r="279" spans="1:3" ht="15" customHeight="1" x14ac:dyDescent="0.25">
      <c r="A279" s="974" t="s">
        <v>2369</v>
      </c>
      <c r="B279" s="974" t="s">
        <v>2370</v>
      </c>
      <c r="C279" s="974" t="s">
        <v>111</v>
      </c>
    </row>
    <row r="280" spans="1:3" ht="15" customHeight="1" x14ac:dyDescent="0.25">
      <c r="A280" s="974" t="s">
        <v>2371</v>
      </c>
      <c r="B280" s="974" t="s">
        <v>2372</v>
      </c>
      <c r="C280" s="974" t="s">
        <v>111</v>
      </c>
    </row>
    <row r="281" spans="1:3" ht="15" customHeight="1" x14ac:dyDescent="0.25">
      <c r="A281" s="974" t="s">
        <v>2373</v>
      </c>
      <c r="B281" s="974" t="s">
        <v>2374</v>
      </c>
      <c r="C281" s="974" t="s">
        <v>111</v>
      </c>
    </row>
    <row r="282" spans="1:3" ht="15" customHeight="1" x14ac:dyDescent="0.25">
      <c r="A282" s="974" t="s">
        <v>2375</v>
      </c>
      <c r="B282" s="974" t="s">
        <v>2376</v>
      </c>
      <c r="C282" s="974" t="s">
        <v>111</v>
      </c>
    </row>
    <row r="283" spans="1:3" ht="15" customHeight="1" x14ac:dyDescent="0.25">
      <c r="A283" s="974" t="s">
        <v>2377</v>
      </c>
      <c r="B283" s="974" t="s">
        <v>2378</v>
      </c>
      <c r="C283" s="974" t="s">
        <v>111</v>
      </c>
    </row>
    <row r="284" spans="1:3" ht="15" customHeight="1" x14ac:dyDescent="0.25">
      <c r="A284" s="974" t="s">
        <v>2379</v>
      </c>
      <c r="B284" s="974" t="s">
        <v>2380</v>
      </c>
      <c r="C284" s="974" t="s">
        <v>111</v>
      </c>
    </row>
    <row r="285" spans="1:3" ht="15" customHeight="1" x14ac:dyDescent="0.25">
      <c r="A285" s="974" t="s">
        <v>2381</v>
      </c>
      <c r="B285" s="974" t="s">
        <v>2382</v>
      </c>
      <c r="C285" s="974" t="s">
        <v>111</v>
      </c>
    </row>
    <row r="286" spans="1:3" ht="15" customHeight="1" x14ac:dyDescent="0.25">
      <c r="A286" s="974" t="s">
        <v>2383</v>
      </c>
      <c r="B286" s="974" t="s">
        <v>2384</v>
      </c>
      <c r="C286" s="974" t="s">
        <v>111</v>
      </c>
    </row>
    <row r="287" spans="1:3" ht="15" customHeight="1" x14ac:dyDescent="0.25">
      <c r="A287" s="974" t="s">
        <v>2385</v>
      </c>
      <c r="B287" s="974" t="s">
        <v>2386</v>
      </c>
      <c r="C287" s="974" t="s">
        <v>111</v>
      </c>
    </row>
    <row r="288" spans="1:3" ht="15" customHeight="1" x14ac:dyDescent="0.25">
      <c r="A288" s="974" t="s">
        <v>2387</v>
      </c>
      <c r="B288" s="974" t="s">
        <v>2388</v>
      </c>
      <c r="C288" s="974" t="s">
        <v>111</v>
      </c>
    </row>
    <row r="289" spans="1:3" ht="15" customHeight="1" x14ac:dyDescent="0.25">
      <c r="A289" s="974" t="s">
        <v>2389</v>
      </c>
      <c r="B289" s="974" t="s">
        <v>2390</v>
      </c>
      <c r="C289" s="974" t="s">
        <v>111</v>
      </c>
    </row>
    <row r="290" spans="1:3" ht="15" customHeight="1" x14ac:dyDescent="0.25">
      <c r="A290" s="974" t="s">
        <v>2391</v>
      </c>
      <c r="B290" s="974" t="s">
        <v>2392</v>
      </c>
      <c r="C290" s="974" t="s">
        <v>111</v>
      </c>
    </row>
    <row r="291" spans="1:3" ht="15" customHeight="1" x14ac:dyDescent="0.25">
      <c r="A291" s="974" t="s">
        <v>2393</v>
      </c>
      <c r="B291" s="974" t="s">
        <v>2394</v>
      </c>
      <c r="C291" s="974" t="s">
        <v>111</v>
      </c>
    </row>
    <row r="292" spans="1:3" ht="15" customHeight="1" x14ac:dyDescent="0.25">
      <c r="A292" s="974" t="s">
        <v>2395</v>
      </c>
      <c r="B292" s="974" t="s">
        <v>2396</v>
      </c>
      <c r="C292" s="974" t="s">
        <v>111</v>
      </c>
    </row>
    <row r="293" spans="1:3" ht="15" customHeight="1" x14ac:dyDescent="0.25">
      <c r="A293" s="974" t="s">
        <v>2397</v>
      </c>
      <c r="B293" s="974" t="s">
        <v>2398</v>
      </c>
      <c r="C293" s="974" t="s">
        <v>111</v>
      </c>
    </row>
    <row r="294" spans="1:3" ht="15" customHeight="1" x14ac:dyDescent="0.25">
      <c r="A294" s="974" t="s">
        <v>2399</v>
      </c>
      <c r="B294" s="974" t="s">
        <v>2400</v>
      </c>
      <c r="C294" s="974" t="s">
        <v>111</v>
      </c>
    </row>
    <row r="295" spans="1:3" ht="15" customHeight="1" x14ac:dyDescent="0.25">
      <c r="A295" s="974" t="s">
        <v>2401</v>
      </c>
      <c r="B295" s="974" t="s">
        <v>2402</v>
      </c>
      <c r="C295" s="974" t="s">
        <v>111</v>
      </c>
    </row>
    <row r="296" spans="1:3" ht="15" customHeight="1" x14ac:dyDescent="0.25">
      <c r="A296" s="974" t="s">
        <v>2403</v>
      </c>
      <c r="B296" s="974" t="s">
        <v>2404</v>
      </c>
      <c r="C296" s="974" t="s">
        <v>111</v>
      </c>
    </row>
    <row r="297" spans="1:3" ht="15" customHeight="1" x14ac:dyDescent="0.25">
      <c r="A297" s="974" t="s">
        <v>2405</v>
      </c>
      <c r="B297" s="974" t="s">
        <v>83</v>
      </c>
      <c r="C297" s="974" t="s">
        <v>111</v>
      </c>
    </row>
    <row r="298" spans="1:3" ht="15" customHeight="1" x14ac:dyDescent="0.25">
      <c r="A298" s="974" t="s">
        <v>2406</v>
      </c>
      <c r="B298" s="974" t="s">
        <v>2407</v>
      </c>
      <c r="C298" s="974" t="s">
        <v>111</v>
      </c>
    </row>
    <row r="299" spans="1:3" ht="15" customHeight="1" x14ac:dyDescent="0.25">
      <c r="A299" s="974" t="s">
        <v>2408</v>
      </c>
      <c r="B299" s="974" t="s">
        <v>2409</v>
      </c>
      <c r="C299" s="974" t="s">
        <v>111</v>
      </c>
    </row>
    <row r="300" spans="1:3" ht="15" customHeight="1" x14ac:dyDescent="0.25">
      <c r="A300" s="974" t="s">
        <v>2410</v>
      </c>
      <c r="B300" s="974" t="s">
        <v>2411</v>
      </c>
      <c r="C300" s="974" t="s">
        <v>111</v>
      </c>
    </row>
    <row r="301" spans="1:3" ht="15" customHeight="1" x14ac:dyDescent="0.25">
      <c r="A301" s="974" t="s">
        <v>2412</v>
      </c>
      <c r="B301" s="974" t="s">
        <v>2413</v>
      </c>
      <c r="C301" s="974" t="s">
        <v>111</v>
      </c>
    </row>
    <row r="302" spans="1:3" ht="15" customHeight="1" x14ac:dyDescent="0.25">
      <c r="A302" s="974" t="s">
        <v>2414</v>
      </c>
      <c r="B302" s="974" t="s">
        <v>2415</v>
      </c>
      <c r="C302" s="974" t="s">
        <v>111</v>
      </c>
    </row>
    <row r="303" spans="1:3" ht="15" customHeight="1" x14ac:dyDescent="0.25">
      <c r="A303" s="974" t="s">
        <v>2416</v>
      </c>
      <c r="B303" s="974" t="s">
        <v>2417</v>
      </c>
      <c r="C303" s="974" t="s">
        <v>111</v>
      </c>
    </row>
    <row r="304" spans="1:3" ht="15" customHeight="1" x14ac:dyDescent="0.25">
      <c r="A304" s="974" t="s">
        <v>2418</v>
      </c>
      <c r="B304" s="974" t="s">
        <v>2419</v>
      </c>
      <c r="C304" s="974" t="s">
        <v>111</v>
      </c>
    </row>
    <row r="305" spans="1:3" ht="15" customHeight="1" x14ac:dyDescent="0.25">
      <c r="A305" s="974" t="s">
        <v>2420</v>
      </c>
      <c r="B305" s="974" t="s">
        <v>2421</v>
      </c>
      <c r="C305" s="974" t="s">
        <v>1850</v>
      </c>
    </row>
    <row r="306" spans="1:3" ht="15" customHeight="1" x14ac:dyDescent="0.25">
      <c r="A306" s="974" t="s">
        <v>2422</v>
      </c>
      <c r="B306" s="974" t="s">
        <v>2423</v>
      </c>
      <c r="C306" s="974" t="s">
        <v>111</v>
      </c>
    </row>
    <row r="307" spans="1:3" ht="15" customHeight="1" x14ac:dyDescent="0.25">
      <c r="A307" s="974" t="s">
        <v>2424</v>
      </c>
      <c r="B307" s="974" t="s">
        <v>2425</v>
      </c>
      <c r="C307" s="974" t="s">
        <v>111</v>
      </c>
    </row>
    <row r="308" spans="1:3" ht="15" customHeight="1" x14ac:dyDescent="0.25">
      <c r="A308" s="974" t="s">
        <v>2426</v>
      </c>
      <c r="B308" s="974" t="s">
        <v>2427</v>
      </c>
      <c r="C308" s="974" t="s">
        <v>111</v>
      </c>
    </row>
    <row r="309" spans="1:3" ht="15" customHeight="1" x14ac:dyDescent="0.25">
      <c r="A309" s="974" t="s">
        <v>2428</v>
      </c>
      <c r="B309" s="974" t="s">
        <v>2429</v>
      </c>
      <c r="C309" s="974" t="s">
        <v>111</v>
      </c>
    </row>
    <row r="310" spans="1:3" ht="15" customHeight="1" x14ac:dyDescent="0.25">
      <c r="A310" s="974" t="s">
        <v>2430</v>
      </c>
      <c r="B310" s="974" t="s">
        <v>2431</v>
      </c>
      <c r="C310" s="974" t="s">
        <v>111</v>
      </c>
    </row>
    <row r="311" spans="1:3" ht="15" customHeight="1" x14ac:dyDescent="0.25">
      <c r="A311" s="974" t="s">
        <v>2432</v>
      </c>
      <c r="B311" s="974" t="s">
        <v>2433</v>
      </c>
      <c r="C311" s="974" t="s">
        <v>111</v>
      </c>
    </row>
    <row r="312" spans="1:3" ht="15" customHeight="1" x14ac:dyDescent="0.25">
      <c r="A312" s="974" t="s">
        <v>2434</v>
      </c>
      <c r="B312" s="974" t="s">
        <v>2435</v>
      </c>
      <c r="C312" s="974" t="s">
        <v>111</v>
      </c>
    </row>
    <row r="313" spans="1:3" ht="15" customHeight="1" x14ac:dyDescent="0.25">
      <c r="A313" s="974" t="s">
        <v>2436</v>
      </c>
      <c r="B313" s="974" t="s">
        <v>2437</v>
      </c>
      <c r="C313" s="974" t="s">
        <v>111</v>
      </c>
    </row>
    <row r="314" spans="1:3" ht="15" customHeight="1" x14ac:dyDescent="0.25">
      <c r="A314" s="974" t="s">
        <v>2438</v>
      </c>
      <c r="B314" s="974" t="s">
        <v>2439</v>
      </c>
      <c r="C314" s="974" t="s">
        <v>111</v>
      </c>
    </row>
    <row r="315" spans="1:3" ht="15" customHeight="1" x14ac:dyDescent="0.25">
      <c r="A315" s="974" t="s">
        <v>2440</v>
      </c>
      <c r="B315" s="974" t="s">
        <v>2441</v>
      </c>
      <c r="C315" s="974" t="s">
        <v>111</v>
      </c>
    </row>
    <row r="316" spans="1:3" ht="15" customHeight="1" x14ac:dyDescent="0.25">
      <c r="A316" s="974" t="s">
        <v>2442</v>
      </c>
      <c r="B316" s="974" t="s">
        <v>2443</v>
      </c>
      <c r="C316" s="974" t="s">
        <v>111</v>
      </c>
    </row>
    <row r="317" spans="1:3" ht="15" customHeight="1" x14ac:dyDescent="0.25">
      <c r="A317" s="974" t="s">
        <v>2444</v>
      </c>
      <c r="B317" s="974" t="s">
        <v>2445</v>
      </c>
      <c r="C317" s="974" t="s">
        <v>111</v>
      </c>
    </row>
    <row r="318" spans="1:3" ht="15" customHeight="1" x14ac:dyDescent="0.25">
      <c r="A318" s="974" t="s">
        <v>2446</v>
      </c>
      <c r="B318" s="974" t="s">
        <v>2447</v>
      </c>
      <c r="C318" s="974" t="s">
        <v>111</v>
      </c>
    </row>
    <row r="319" spans="1:3" ht="15" customHeight="1" x14ac:dyDescent="0.25">
      <c r="A319" s="974" t="s">
        <v>2448</v>
      </c>
      <c r="B319" s="974" t="s">
        <v>2449</v>
      </c>
      <c r="C319" s="974" t="s">
        <v>111</v>
      </c>
    </row>
    <row r="320" spans="1:3" ht="15" customHeight="1" x14ac:dyDescent="0.25">
      <c r="A320" s="974" t="s">
        <v>2450</v>
      </c>
      <c r="B320" s="974" t="s">
        <v>2451</v>
      </c>
      <c r="C320" s="974" t="s">
        <v>111</v>
      </c>
    </row>
    <row r="321" spans="1:3" ht="15" customHeight="1" x14ac:dyDescent="0.25">
      <c r="A321" s="974" t="s">
        <v>2452</v>
      </c>
      <c r="B321" s="974" t="s">
        <v>2453</v>
      </c>
      <c r="C321" s="974" t="s">
        <v>111</v>
      </c>
    </row>
    <row r="322" spans="1:3" ht="15" customHeight="1" x14ac:dyDescent="0.25">
      <c r="A322" s="974" t="s">
        <v>2454</v>
      </c>
      <c r="B322" s="974" t="s">
        <v>2455</v>
      </c>
      <c r="C322" s="974" t="s">
        <v>111</v>
      </c>
    </row>
    <row r="323" spans="1:3" ht="15" customHeight="1" x14ac:dyDescent="0.25">
      <c r="A323" s="974" t="s">
        <v>2456</v>
      </c>
      <c r="B323" s="974" t="s">
        <v>2457</v>
      </c>
      <c r="C323" s="974" t="s">
        <v>111</v>
      </c>
    </row>
    <row r="324" spans="1:3" ht="15" customHeight="1" x14ac:dyDescent="0.25">
      <c r="A324" s="974" t="s">
        <v>2458</v>
      </c>
      <c r="B324" s="974" t="s">
        <v>2459</v>
      </c>
      <c r="C324" s="974" t="s">
        <v>111</v>
      </c>
    </row>
    <row r="325" spans="1:3" ht="15" customHeight="1" x14ac:dyDescent="0.25">
      <c r="A325" s="974" t="s">
        <v>2460</v>
      </c>
      <c r="B325" s="974" t="s">
        <v>2461</v>
      </c>
      <c r="C325" s="974" t="s">
        <v>111</v>
      </c>
    </row>
    <row r="326" spans="1:3" ht="15" customHeight="1" x14ac:dyDescent="0.25">
      <c r="A326" s="974" t="s">
        <v>2462</v>
      </c>
      <c r="B326" s="974" t="s">
        <v>2463</v>
      </c>
      <c r="C326" s="974" t="s">
        <v>111</v>
      </c>
    </row>
    <row r="327" spans="1:3" ht="15" customHeight="1" x14ac:dyDescent="0.25">
      <c r="A327" s="974" t="s">
        <v>2464</v>
      </c>
      <c r="B327" s="974" t="s">
        <v>2465</v>
      </c>
      <c r="C327" s="974" t="s">
        <v>111</v>
      </c>
    </row>
    <row r="328" spans="1:3" ht="15" customHeight="1" x14ac:dyDescent="0.25">
      <c r="A328" s="974" t="s">
        <v>2466</v>
      </c>
      <c r="B328" s="974" t="s">
        <v>2467</v>
      </c>
      <c r="C328" s="974" t="s">
        <v>111</v>
      </c>
    </row>
    <row r="329" spans="1:3" ht="15" customHeight="1" x14ac:dyDescent="0.25">
      <c r="A329" s="974" t="s">
        <v>2468</v>
      </c>
      <c r="B329" s="974" t="s">
        <v>2469</v>
      </c>
      <c r="C329" s="974" t="s">
        <v>111</v>
      </c>
    </row>
    <row r="330" spans="1:3" ht="15" customHeight="1" x14ac:dyDescent="0.25">
      <c r="A330" s="974" t="s">
        <v>2470</v>
      </c>
      <c r="B330" s="974" t="s">
        <v>2471</v>
      </c>
      <c r="C330" s="974" t="s">
        <v>111</v>
      </c>
    </row>
    <row r="331" spans="1:3" ht="15" customHeight="1" x14ac:dyDescent="0.25">
      <c r="A331" s="974" t="s">
        <v>2472</v>
      </c>
      <c r="B331" s="974" t="s">
        <v>2473</v>
      </c>
      <c r="C331" s="974" t="s">
        <v>111</v>
      </c>
    </row>
    <row r="332" spans="1:3" ht="15" customHeight="1" x14ac:dyDescent="0.25">
      <c r="A332" s="974" t="s">
        <v>2474</v>
      </c>
      <c r="B332" s="974" t="s">
        <v>2475</v>
      </c>
      <c r="C332" s="974" t="s">
        <v>111</v>
      </c>
    </row>
    <row r="333" spans="1:3" ht="15" customHeight="1" x14ac:dyDescent="0.25">
      <c r="A333" s="974" t="s">
        <v>2476</v>
      </c>
      <c r="B333" s="974" t="s">
        <v>2477</v>
      </c>
      <c r="C333" s="974" t="s">
        <v>111</v>
      </c>
    </row>
    <row r="334" spans="1:3" ht="15" customHeight="1" x14ac:dyDescent="0.25">
      <c r="A334" s="974" t="s">
        <v>2478</v>
      </c>
      <c r="B334" s="974" t="s">
        <v>2479</v>
      </c>
      <c r="C334" s="974" t="s">
        <v>111</v>
      </c>
    </row>
    <row r="335" spans="1:3" ht="15" customHeight="1" x14ac:dyDescent="0.25">
      <c r="A335" s="974" t="s">
        <v>2480</v>
      </c>
      <c r="B335" s="974" t="s">
        <v>2481</v>
      </c>
      <c r="C335" s="974" t="s">
        <v>111</v>
      </c>
    </row>
    <row r="336" spans="1:3" ht="15" customHeight="1" x14ac:dyDescent="0.25">
      <c r="A336" s="974" t="s">
        <v>2482</v>
      </c>
      <c r="B336" s="974" t="s">
        <v>2483</v>
      </c>
      <c r="C336" s="974" t="s">
        <v>111</v>
      </c>
    </row>
    <row r="337" spans="1:3" ht="15" customHeight="1" x14ac:dyDescent="0.25">
      <c r="A337" s="974" t="s">
        <v>2484</v>
      </c>
      <c r="B337" s="974" t="s">
        <v>2485</v>
      </c>
      <c r="C337" s="974" t="s">
        <v>111</v>
      </c>
    </row>
    <row r="338" spans="1:3" ht="15" customHeight="1" x14ac:dyDescent="0.25">
      <c r="A338" s="974" t="s">
        <v>2486</v>
      </c>
      <c r="B338" s="974" t="s">
        <v>2487</v>
      </c>
      <c r="C338" s="974" t="s">
        <v>111</v>
      </c>
    </row>
    <row r="339" spans="1:3" ht="15" customHeight="1" x14ac:dyDescent="0.25">
      <c r="A339" s="974" t="s">
        <v>2488</v>
      </c>
      <c r="B339" s="974" t="s">
        <v>2489</v>
      </c>
      <c r="C339" s="974" t="s">
        <v>111</v>
      </c>
    </row>
    <row r="340" spans="1:3" ht="15" customHeight="1" x14ac:dyDescent="0.25">
      <c r="A340" s="974" t="s">
        <v>2490</v>
      </c>
      <c r="B340" s="974" t="s">
        <v>2491</v>
      </c>
      <c r="C340" s="974" t="s">
        <v>111</v>
      </c>
    </row>
    <row r="341" spans="1:3" ht="15" customHeight="1" x14ac:dyDescent="0.25">
      <c r="A341" s="974" t="s">
        <v>2492</v>
      </c>
      <c r="B341" s="974" t="s">
        <v>2493</v>
      </c>
      <c r="C341" s="974" t="s">
        <v>111</v>
      </c>
    </row>
    <row r="342" spans="1:3" ht="15" customHeight="1" x14ac:dyDescent="0.25">
      <c r="A342" s="974" t="s">
        <v>2494</v>
      </c>
      <c r="B342" s="974" t="s">
        <v>2495</v>
      </c>
      <c r="C342" s="974" t="s">
        <v>111</v>
      </c>
    </row>
    <row r="343" spans="1:3" ht="15" customHeight="1" x14ac:dyDescent="0.25">
      <c r="A343" s="974" t="s">
        <v>2496</v>
      </c>
      <c r="B343" s="974" t="s">
        <v>2497</v>
      </c>
      <c r="C343" s="974" t="s">
        <v>111</v>
      </c>
    </row>
    <row r="344" spans="1:3" ht="15" customHeight="1" x14ac:dyDescent="0.25">
      <c r="A344" s="974" t="s">
        <v>2498</v>
      </c>
      <c r="B344" s="974" t="s">
        <v>2499</v>
      </c>
      <c r="C344" s="974" t="s">
        <v>111</v>
      </c>
    </row>
    <row r="345" spans="1:3" ht="15" customHeight="1" x14ac:dyDescent="0.25">
      <c r="A345" s="974" t="s">
        <v>2500</v>
      </c>
      <c r="B345" s="974" t="s">
        <v>2501</v>
      </c>
      <c r="C345" s="974" t="s">
        <v>111</v>
      </c>
    </row>
    <row r="346" spans="1:3" ht="15" customHeight="1" x14ac:dyDescent="0.25">
      <c r="A346" s="974" t="s">
        <v>2502</v>
      </c>
      <c r="B346" s="974" t="s">
        <v>2503</v>
      </c>
      <c r="C346" s="974" t="s">
        <v>111</v>
      </c>
    </row>
    <row r="347" spans="1:3" ht="15" customHeight="1" x14ac:dyDescent="0.25">
      <c r="A347" s="974" t="s">
        <v>2504</v>
      </c>
      <c r="B347" s="974" t="s">
        <v>2505</v>
      </c>
      <c r="C347" s="974" t="s">
        <v>111</v>
      </c>
    </row>
    <row r="348" spans="1:3" ht="15" customHeight="1" x14ac:dyDescent="0.25">
      <c r="A348" s="974" t="s">
        <v>2506</v>
      </c>
      <c r="B348" s="974" t="s">
        <v>2507</v>
      </c>
      <c r="C348" s="974" t="s">
        <v>111</v>
      </c>
    </row>
    <row r="349" spans="1:3" ht="15" customHeight="1" x14ac:dyDescent="0.25">
      <c r="A349" s="974" t="s">
        <v>2508</v>
      </c>
      <c r="B349" s="974" t="s">
        <v>2509</v>
      </c>
      <c r="C349" s="974" t="s">
        <v>111</v>
      </c>
    </row>
    <row r="350" spans="1:3" ht="15" customHeight="1" x14ac:dyDescent="0.25">
      <c r="A350" s="974" t="s">
        <v>2510</v>
      </c>
      <c r="B350" s="974" t="s">
        <v>2511</v>
      </c>
      <c r="C350" s="974" t="s">
        <v>111</v>
      </c>
    </row>
    <row r="351" spans="1:3" ht="15" customHeight="1" x14ac:dyDescent="0.25">
      <c r="A351" s="974" t="s">
        <v>2512</v>
      </c>
      <c r="B351" s="974" t="s">
        <v>2513</v>
      </c>
      <c r="C351" s="974" t="s">
        <v>111</v>
      </c>
    </row>
    <row r="352" spans="1:3" ht="15" customHeight="1" x14ac:dyDescent="0.25">
      <c r="A352" s="974" t="s">
        <v>2514</v>
      </c>
      <c r="B352" s="974" t="s">
        <v>2515</v>
      </c>
      <c r="C352" s="974" t="s">
        <v>111</v>
      </c>
    </row>
    <row r="353" spans="1:3" ht="15" customHeight="1" x14ac:dyDescent="0.25">
      <c r="A353" s="974" t="s">
        <v>2516</v>
      </c>
      <c r="B353" s="974" t="s">
        <v>2517</v>
      </c>
      <c r="C353" s="974" t="s">
        <v>111</v>
      </c>
    </row>
    <row r="354" spans="1:3" ht="15" customHeight="1" x14ac:dyDescent="0.25">
      <c r="A354" s="974" t="s">
        <v>2518</v>
      </c>
      <c r="B354" s="974" t="s">
        <v>2519</v>
      </c>
      <c r="C354" s="974" t="s">
        <v>111</v>
      </c>
    </row>
    <row r="355" spans="1:3" ht="15" customHeight="1" x14ac:dyDescent="0.25">
      <c r="A355" s="974" t="s">
        <v>2520</v>
      </c>
      <c r="B355" s="974" t="s">
        <v>2521</v>
      </c>
      <c r="C355" s="974" t="s">
        <v>111</v>
      </c>
    </row>
    <row r="356" spans="1:3" ht="15" customHeight="1" x14ac:dyDescent="0.25">
      <c r="A356" s="974" t="s">
        <v>2522</v>
      </c>
      <c r="B356" s="974" t="s">
        <v>2523</v>
      </c>
      <c r="C356" s="974" t="s">
        <v>111</v>
      </c>
    </row>
    <row r="357" spans="1:3" ht="15" customHeight="1" x14ac:dyDescent="0.25">
      <c r="A357" s="974" t="s">
        <v>2524</v>
      </c>
      <c r="B357" s="974" t="s">
        <v>2525</v>
      </c>
      <c r="C357" s="974" t="s">
        <v>111</v>
      </c>
    </row>
    <row r="358" spans="1:3" ht="15" customHeight="1" x14ac:dyDescent="0.25">
      <c r="A358" s="974" t="s">
        <v>2526</v>
      </c>
      <c r="B358" s="974" t="s">
        <v>2527</v>
      </c>
      <c r="C358" s="974" t="s">
        <v>111</v>
      </c>
    </row>
    <row r="359" spans="1:3" ht="15" customHeight="1" x14ac:dyDescent="0.25">
      <c r="A359" s="974" t="s">
        <v>2528</v>
      </c>
      <c r="B359" s="974" t="s">
        <v>2529</v>
      </c>
      <c r="C359" s="974" t="s">
        <v>111</v>
      </c>
    </row>
    <row r="360" spans="1:3" ht="15" customHeight="1" x14ac:dyDescent="0.25">
      <c r="A360" s="974" t="s">
        <v>2530</v>
      </c>
      <c r="B360" s="974" t="s">
        <v>2531</v>
      </c>
      <c r="C360" s="974" t="s">
        <v>111</v>
      </c>
    </row>
    <row r="361" spans="1:3" ht="15" customHeight="1" x14ac:dyDescent="0.25">
      <c r="A361" s="974" t="s">
        <v>2532</v>
      </c>
      <c r="B361" s="974" t="s">
        <v>2533</v>
      </c>
      <c r="C361" s="974" t="s">
        <v>111</v>
      </c>
    </row>
    <row r="362" spans="1:3" ht="15" customHeight="1" x14ac:dyDescent="0.25">
      <c r="A362" s="974" t="s">
        <v>2534</v>
      </c>
      <c r="B362" s="974" t="s">
        <v>2535</v>
      </c>
      <c r="C362" s="974" t="s">
        <v>111</v>
      </c>
    </row>
    <row r="363" spans="1:3" ht="15" customHeight="1" x14ac:dyDescent="0.25">
      <c r="A363" s="974" t="s">
        <v>2536</v>
      </c>
      <c r="B363" s="974" t="s">
        <v>2537</v>
      </c>
      <c r="C363" s="974" t="s">
        <v>111</v>
      </c>
    </row>
    <row r="364" spans="1:3" ht="15" customHeight="1" x14ac:dyDescent="0.25">
      <c r="A364" s="974" t="s">
        <v>2538</v>
      </c>
      <c r="B364" s="974" t="s">
        <v>2539</v>
      </c>
      <c r="C364" s="974" t="s">
        <v>111</v>
      </c>
    </row>
    <row r="365" spans="1:3" ht="15" customHeight="1" x14ac:dyDescent="0.25">
      <c r="A365" s="974" t="s">
        <v>2540</v>
      </c>
      <c r="B365" s="974" t="s">
        <v>2541</v>
      </c>
      <c r="C365" s="974" t="s">
        <v>111</v>
      </c>
    </row>
    <row r="366" spans="1:3" ht="15" customHeight="1" x14ac:dyDescent="0.25">
      <c r="A366" s="974" t="s">
        <v>2542</v>
      </c>
      <c r="B366" s="974" t="s">
        <v>2543</v>
      </c>
      <c r="C366" s="974" t="s">
        <v>111</v>
      </c>
    </row>
    <row r="367" spans="1:3" ht="15" customHeight="1" x14ac:dyDescent="0.25">
      <c r="A367" s="974" t="s">
        <v>2544</v>
      </c>
      <c r="B367" s="974" t="s">
        <v>2545</v>
      </c>
      <c r="C367" s="974" t="s">
        <v>111</v>
      </c>
    </row>
    <row r="368" spans="1:3" ht="15" customHeight="1" x14ac:dyDescent="0.25">
      <c r="A368" s="974" t="s">
        <v>2546</v>
      </c>
      <c r="B368" s="974" t="s">
        <v>2547</v>
      </c>
      <c r="C368" s="974" t="s">
        <v>111</v>
      </c>
    </row>
    <row r="369" spans="1:3" ht="15" customHeight="1" x14ac:dyDescent="0.25">
      <c r="A369" s="974" t="s">
        <v>2548</v>
      </c>
      <c r="B369" s="974" t="s">
        <v>2549</v>
      </c>
      <c r="C369" s="974" t="s">
        <v>111</v>
      </c>
    </row>
    <row r="370" spans="1:3" ht="15" customHeight="1" x14ac:dyDescent="0.25">
      <c r="A370" s="974" t="s">
        <v>2550</v>
      </c>
      <c r="B370" s="974" t="s">
        <v>2551</v>
      </c>
      <c r="C370" s="974" t="s">
        <v>111</v>
      </c>
    </row>
    <row r="371" spans="1:3" ht="15" customHeight="1" x14ac:dyDescent="0.25">
      <c r="A371" s="974" t="s">
        <v>2552</v>
      </c>
      <c r="B371" s="974" t="s">
        <v>2553</v>
      </c>
      <c r="C371" s="974" t="s">
        <v>111</v>
      </c>
    </row>
    <row r="372" spans="1:3" ht="15" customHeight="1" x14ac:dyDescent="0.25">
      <c r="A372" s="974" t="s">
        <v>2554</v>
      </c>
      <c r="B372" s="974" t="s">
        <v>2555</v>
      </c>
      <c r="C372" s="974" t="s">
        <v>111</v>
      </c>
    </row>
    <row r="373" spans="1:3" ht="15" customHeight="1" x14ac:dyDescent="0.25">
      <c r="A373" s="974" t="s">
        <v>2556</v>
      </c>
      <c r="B373" s="974" t="s">
        <v>2557</v>
      </c>
      <c r="C373" s="974" t="s">
        <v>111</v>
      </c>
    </row>
    <row r="374" spans="1:3" ht="15" customHeight="1" x14ac:dyDescent="0.25">
      <c r="A374" s="974" t="s">
        <v>2558</v>
      </c>
      <c r="B374" s="974" t="s">
        <v>2559</v>
      </c>
      <c r="C374" s="974" t="s">
        <v>111</v>
      </c>
    </row>
    <row r="375" spans="1:3" ht="15" customHeight="1" x14ac:dyDescent="0.25">
      <c r="A375" s="974" t="s">
        <v>2560</v>
      </c>
      <c r="B375" s="974" t="s">
        <v>2561</v>
      </c>
      <c r="C375" s="974" t="s">
        <v>111</v>
      </c>
    </row>
    <row r="376" spans="1:3" ht="15" customHeight="1" x14ac:dyDescent="0.25">
      <c r="A376" s="974" t="s">
        <v>2562</v>
      </c>
      <c r="B376" s="974" t="s">
        <v>2563</v>
      </c>
      <c r="C376" s="974" t="s">
        <v>111</v>
      </c>
    </row>
    <row r="377" spans="1:3" ht="15" customHeight="1" x14ac:dyDescent="0.25">
      <c r="A377" s="974" t="s">
        <v>2564</v>
      </c>
      <c r="B377" s="974" t="s">
        <v>2565</v>
      </c>
      <c r="C377" s="974" t="s">
        <v>111</v>
      </c>
    </row>
    <row r="378" spans="1:3" ht="15" customHeight="1" x14ac:dyDescent="0.25">
      <c r="A378" s="974" t="s">
        <v>2566</v>
      </c>
      <c r="B378" s="974" t="s">
        <v>2567</v>
      </c>
      <c r="C378" s="974" t="s">
        <v>1850</v>
      </c>
    </row>
    <row r="379" spans="1:3" ht="15" customHeight="1" x14ac:dyDescent="0.25">
      <c r="A379" s="974" t="s">
        <v>2568</v>
      </c>
      <c r="B379" s="974" t="s">
        <v>2569</v>
      </c>
      <c r="C379" s="974" t="s">
        <v>1850</v>
      </c>
    </row>
    <row r="380" spans="1:3" ht="15" customHeight="1" x14ac:dyDescent="0.25">
      <c r="A380" s="974" t="s">
        <v>2570</v>
      </c>
      <c r="B380" s="974" t="s">
        <v>2571</v>
      </c>
      <c r="C380" s="974" t="s">
        <v>1850</v>
      </c>
    </row>
    <row r="381" spans="1:3" ht="15" customHeight="1" x14ac:dyDescent="0.25">
      <c r="A381" s="974" t="s">
        <v>2572</v>
      </c>
      <c r="B381" s="974" t="s">
        <v>2573</v>
      </c>
      <c r="C381" s="974" t="s">
        <v>1850</v>
      </c>
    </row>
    <row r="382" spans="1:3" ht="15" customHeight="1" x14ac:dyDescent="0.25">
      <c r="A382" s="974" t="s">
        <v>2574</v>
      </c>
      <c r="B382" s="974" t="s">
        <v>2575</v>
      </c>
      <c r="C382" s="974" t="s">
        <v>1850</v>
      </c>
    </row>
    <row r="383" spans="1:3" ht="15" customHeight="1" x14ac:dyDescent="0.25">
      <c r="A383" s="974" t="s">
        <v>2576</v>
      </c>
      <c r="B383" s="974" t="s">
        <v>2577</v>
      </c>
      <c r="C383" s="974" t="s">
        <v>1850</v>
      </c>
    </row>
    <row r="384" spans="1:3" ht="15" customHeight="1" x14ac:dyDescent="0.25">
      <c r="A384" s="974" t="s">
        <v>2578</v>
      </c>
      <c r="B384" s="974" t="s">
        <v>2579</v>
      </c>
      <c r="C384" s="974" t="s">
        <v>1850</v>
      </c>
    </row>
    <row r="385" spans="1:3" ht="15" customHeight="1" x14ac:dyDescent="0.25">
      <c r="A385" s="974" t="s">
        <v>2580</v>
      </c>
      <c r="B385" s="974" t="s">
        <v>2581</v>
      </c>
      <c r="C385" s="974" t="s">
        <v>1850</v>
      </c>
    </row>
    <row r="386" spans="1:3" ht="15" customHeight="1" x14ac:dyDescent="0.25">
      <c r="A386" s="974" t="s">
        <v>2582</v>
      </c>
      <c r="B386" s="974" t="s">
        <v>2583</v>
      </c>
      <c r="C386" s="974" t="s">
        <v>111</v>
      </c>
    </row>
    <row r="387" spans="1:3" ht="15" customHeight="1" x14ac:dyDescent="0.25">
      <c r="A387" s="974" t="s">
        <v>2584</v>
      </c>
      <c r="B387" s="974" t="s">
        <v>2585</v>
      </c>
      <c r="C387" s="974" t="s">
        <v>111</v>
      </c>
    </row>
    <row r="388" spans="1:3" ht="15" customHeight="1" x14ac:dyDescent="0.25">
      <c r="A388" s="974" t="s">
        <v>2586</v>
      </c>
      <c r="B388" s="974" t="s">
        <v>2587</v>
      </c>
      <c r="C388" s="974" t="s">
        <v>111</v>
      </c>
    </row>
    <row r="389" spans="1:3" ht="15" customHeight="1" x14ac:dyDescent="0.25">
      <c r="A389" s="974" t="s">
        <v>2588</v>
      </c>
      <c r="B389" s="974" t="s">
        <v>2589</v>
      </c>
      <c r="C389" s="974" t="s">
        <v>111</v>
      </c>
    </row>
    <row r="390" spans="1:3" ht="15" customHeight="1" x14ac:dyDescent="0.25">
      <c r="A390" s="974" t="s">
        <v>2590</v>
      </c>
      <c r="B390" s="974" t="s">
        <v>2591</v>
      </c>
      <c r="C390" s="974" t="s">
        <v>1850</v>
      </c>
    </row>
    <row r="391" spans="1:3" ht="15" customHeight="1" x14ac:dyDescent="0.25">
      <c r="A391" s="974" t="s">
        <v>2592</v>
      </c>
      <c r="B391" s="974" t="s">
        <v>2593</v>
      </c>
      <c r="C391" s="974" t="s">
        <v>111</v>
      </c>
    </row>
    <row r="392" spans="1:3" ht="15" customHeight="1" x14ac:dyDescent="0.25">
      <c r="A392" s="974" t="s">
        <v>2594</v>
      </c>
      <c r="B392" s="974" t="s">
        <v>2595</v>
      </c>
      <c r="C392" s="974" t="s">
        <v>111</v>
      </c>
    </row>
    <row r="393" spans="1:3" ht="15" customHeight="1" x14ac:dyDescent="0.25">
      <c r="A393" s="974" t="s">
        <v>2596</v>
      </c>
      <c r="B393" s="974" t="s">
        <v>2597</v>
      </c>
      <c r="C393" s="974" t="s">
        <v>111</v>
      </c>
    </row>
    <row r="394" spans="1:3" ht="15" customHeight="1" x14ac:dyDescent="0.25">
      <c r="A394" s="974" t="s">
        <v>2598</v>
      </c>
      <c r="B394" s="974" t="s">
        <v>2599</v>
      </c>
      <c r="C394" s="974" t="s">
        <v>111</v>
      </c>
    </row>
    <row r="395" spans="1:3" ht="15" customHeight="1" x14ac:dyDescent="0.25">
      <c r="A395" s="974" t="s">
        <v>2600</v>
      </c>
      <c r="B395" s="974" t="s">
        <v>2601</v>
      </c>
      <c r="C395" s="974" t="s">
        <v>111</v>
      </c>
    </row>
    <row r="396" spans="1:3" ht="15" customHeight="1" x14ac:dyDescent="0.25">
      <c r="A396" s="974" t="s">
        <v>2602</v>
      </c>
      <c r="B396" s="974" t="s">
        <v>2603</v>
      </c>
      <c r="C396" s="974" t="s">
        <v>111</v>
      </c>
    </row>
    <row r="397" spans="1:3" ht="15" customHeight="1" x14ac:dyDescent="0.25">
      <c r="A397" s="974" t="s">
        <v>2604</v>
      </c>
      <c r="B397" s="974" t="s">
        <v>2605</v>
      </c>
      <c r="C397" s="974" t="s">
        <v>111</v>
      </c>
    </row>
    <row r="398" spans="1:3" ht="15" customHeight="1" x14ac:dyDescent="0.25">
      <c r="A398" s="974" t="s">
        <v>2606</v>
      </c>
      <c r="B398" s="974" t="s">
        <v>2607</v>
      </c>
      <c r="C398" s="974" t="s">
        <v>111</v>
      </c>
    </row>
    <row r="399" spans="1:3" ht="15" customHeight="1" x14ac:dyDescent="0.25">
      <c r="A399" s="974" t="s">
        <v>2608</v>
      </c>
      <c r="B399" s="974" t="s">
        <v>2563</v>
      </c>
      <c r="C399" s="974" t="s">
        <v>111</v>
      </c>
    </row>
    <row r="400" spans="1:3" ht="15" customHeight="1" x14ac:dyDescent="0.25">
      <c r="A400" s="974" t="s">
        <v>2609</v>
      </c>
      <c r="B400" s="974" t="s">
        <v>2565</v>
      </c>
      <c r="C400" s="974" t="s">
        <v>111</v>
      </c>
    </row>
    <row r="401" spans="1:3" ht="15" customHeight="1" x14ac:dyDescent="0.25">
      <c r="A401" s="974" t="s">
        <v>2610</v>
      </c>
      <c r="B401" s="974" t="s">
        <v>2611</v>
      </c>
      <c r="C401" s="974" t="s">
        <v>111</v>
      </c>
    </row>
    <row r="402" spans="1:3" ht="15" customHeight="1" x14ac:dyDescent="0.25">
      <c r="A402" s="974" t="s">
        <v>2612</v>
      </c>
      <c r="B402" s="974" t="s">
        <v>2613</v>
      </c>
      <c r="C402" s="974" t="s">
        <v>111</v>
      </c>
    </row>
    <row r="403" spans="1:3" ht="15" customHeight="1" x14ac:dyDescent="0.25">
      <c r="A403" s="974" t="s">
        <v>2614</v>
      </c>
      <c r="B403" s="974" t="s">
        <v>2615</v>
      </c>
      <c r="C403" s="974" t="s">
        <v>111</v>
      </c>
    </row>
    <row r="404" spans="1:3" ht="15" customHeight="1" x14ac:dyDescent="0.25">
      <c r="A404" s="974" t="s">
        <v>2616</v>
      </c>
      <c r="B404" s="974" t="s">
        <v>2617</v>
      </c>
      <c r="C404" s="974" t="s">
        <v>111</v>
      </c>
    </row>
    <row r="405" spans="1:3" ht="15" customHeight="1" x14ac:dyDescent="0.25">
      <c r="A405" s="974" t="s">
        <v>2618</v>
      </c>
      <c r="B405" s="974" t="s">
        <v>2619</v>
      </c>
      <c r="C405" s="974" t="s">
        <v>1850</v>
      </c>
    </row>
    <row r="406" spans="1:3" ht="15" customHeight="1" x14ac:dyDescent="0.25">
      <c r="A406" s="974" t="s">
        <v>2620</v>
      </c>
      <c r="B406" s="974" t="s">
        <v>2621</v>
      </c>
      <c r="C406" s="974" t="s">
        <v>1850</v>
      </c>
    </row>
    <row r="407" spans="1:3" ht="15" customHeight="1" x14ac:dyDescent="0.25">
      <c r="A407" s="974" t="s">
        <v>2622</v>
      </c>
      <c r="B407" s="974" t="s">
        <v>2563</v>
      </c>
      <c r="C407" s="974" t="s">
        <v>111</v>
      </c>
    </row>
    <row r="408" spans="1:3" ht="15" customHeight="1" x14ac:dyDescent="0.25">
      <c r="A408" s="974" t="s">
        <v>2623</v>
      </c>
      <c r="B408" s="974" t="s">
        <v>2565</v>
      </c>
      <c r="C408" s="974" t="s">
        <v>111</v>
      </c>
    </row>
    <row r="409" spans="1:3" ht="15" customHeight="1" x14ac:dyDescent="0.25">
      <c r="A409" s="974" t="s">
        <v>2624</v>
      </c>
      <c r="B409" s="974" t="s">
        <v>2625</v>
      </c>
      <c r="C409" s="974" t="s">
        <v>111</v>
      </c>
    </row>
    <row r="410" spans="1:3" ht="15" customHeight="1" x14ac:dyDescent="0.25">
      <c r="A410" s="974" t="s">
        <v>2626</v>
      </c>
      <c r="B410" s="974" t="s">
        <v>2627</v>
      </c>
      <c r="C410" s="974" t="s">
        <v>111</v>
      </c>
    </row>
    <row r="411" spans="1:3" ht="15" customHeight="1" x14ac:dyDescent="0.25">
      <c r="A411" s="974" t="s">
        <v>2628</v>
      </c>
      <c r="B411" s="974" t="s">
        <v>2629</v>
      </c>
      <c r="C411" s="974" t="s">
        <v>111</v>
      </c>
    </row>
    <row r="412" spans="1:3" ht="15" customHeight="1" x14ac:dyDescent="0.25">
      <c r="A412" s="974" t="s">
        <v>2630</v>
      </c>
      <c r="B412" s="974" t="s">
        <v>2631</v>
      </c>
      <c r="C412" s="974" t="s">
        <v>111</v>
      </c>
    </row>
    <row r="413" spans="1:3" ht="15" customHeight="1" x14ac:dyDescent="0.25">
      <c r="A413" s="974" t="s">
        <v>2632</v>
      </c>
      <c r="B413" s="974" t="s">
        <v>2633</v>
      </c>
      <c r="C413" s="974" t="s">
        <v>111</v>
      </c>
    </row>
    <row r="414" spans="1:3" ht="15" customHeight="1" x14ac:dyDescent="0.25">
      <c r="A414" s="974" t="s">
        <v>2634</v>
      </c>
      <c r="B414" s="974" t="s">
        <v>2635</v>
      </c>
      <c r="C414" s="974" t="s">
        <v>111</v>
      </c>
    </row>
    <row r="415" spans="1:3" ht="15" customHeight="1" x14ac:dyDescent="0.25">
      <c r="A415" s="974" t="s">
        <v>2636</v>
      </c>
      <c r="B415" s="974" t="s">
        <v>2563</v>
      </c>
      <c r="C415" s="974" t="s">
        <v>111</v>
      </c>
    </row>
    <row r="416" spans="1:3" ht="15" customHeight="1" x14ac:dyDescent="0.25">
      <c r="A416" s="974" t="s">
        <v>2637</v>
      </c>
      <c r="B416" s="974" t="s">
        <v>2565</v>
      </c>
      <c r="C416" s="974" t="s">
        <v>111</v>
      </c>
    </row>
    <row r="417" spans="1:3" ht="15" customHeight="1" x14ac:dyDescent="0.25">
      <c r="A417" s="974" t="s">
        <v>2638</v>
      </c>
      <c r="B417" s="974" t="s">
        <v>2625</v>
      </c>
      <c r="C417" s="974" t="s">
        <v>111</v>
      </c>
    </row>
    <row r="418" spans="1:3" ht="15" customHeight="1" x14ac:dyDescent="0.25">
      <c r="A418" s="974" t="s">
        <v>2639</v>
      </c>
      <c r="B418" s="974" t="s">
        <v>2640</v>
      </c>
      <c r="C418" s="974" t="s">
        <v>1850</v>
      </c>
    </row>
    <row r="419" spans="1:3" ht="15" customHeight="1" x14ac:dyDescent="0.25">
      <c r="A419" s="974" t="s">
        <v>2641</v>
      </c>
      <c r="B419" s="974" t="s">
        <v>2642</v>
      </c>
      <c r="C419" s="974" t="s">
        <v>1850</v>
      </c>
    </row>
    <row r="420" spans="1:3" ht="15" customHeight="1" x14ac:dyDescent="0.25">
      <c r="A420" s="974" t="s">
        <v>2643</v>
      </c>
      <c r="B420" s="974" t="s">
        <v>2644</v>
      </c>
      <c r="C420" s="974" t="s">
        <v>1850</v>
      </c>
    </row>
    <row r="421" spans="1:3" ht="15" customHeight="1" x14ac:dyDescent="0.25">
      <c r="A421" s="974" t="s">
        <v>2645</v>
      </c>
      <c r="B421" s="974" t="s">
        <v>2646</v>
      </c>
      <c r="C421" s="974" t="s">
        <v>1850</v>
      </c>
    </row>
    <row r="422" spans="1:3" ht="15" customHeight="1" x14ac:dyDescent="0.25">
      <c r="A422" s="974" t="s">
        <v>2647</v>
      </c>
      <c r="B422" s="974" t="s">
        <v>2648</v>
      </c>
      <c r="C422" s="974" t="s">
        <v>111</v>
      </c>
    </row>
    <row r="423" spans="1:3" ht="15" customHeight="1" x14ac:dyDescent="0.25">
      <c r="A423" s="974" t="s">
        <v>2649</v>
      </c>
      <c r="B423" s="974" t="s">
        <v>2650</v>
      </c>
      <c r="C423" s="974" t="s">
        <v>111</v>
      </c>
    </row>
    <row r="424" spans="1:3" ht="15" customHeight="1" x14ac:dyDescent="0.25">
      <c r="A424" s="974" t="s">
        <v>2651</v>
      </c>
      <c r="B424" s="974" t="s">
        <v>2652</v>
      </c>
      <c r="C424" s="974" t="s">
        <v>1850</v>
      </c>
    </row>
    <row r="425" spans="1:3" ht="15" customHeight="1" x14ac:dyDescent="0.25">
      <c r="A425" s="974" t="s">
        <v>2653</v>
      </c>
      <c r="B425" s="974" t="s">
        <v>2654</v>
      </c>
      <c r="C425" s="974" t="s">
        <v>1850</v>
      </c>
    </row>
    <row r="426" spans="1:3" ht="15" customHeight="1" x14ac:dyDescent="0.25">
      <c r="A426" s="974" t="s">
        <v>2655</v>
      </c>
      <c r="B426" s="974" t="s">
        <v>2656</v>
      </c>
      <c r="C426" s="974" t="s">
        <v>1850</v>
      </c>
    </row>
    <row r="427" spans="1:3" ht="15" customHeight="1" x14ac:dyDescent="0.25">
      <c r="A427" s="974" t="s">
        <v>2657</v>
      </c>
      <c r="B427" s="974" t="s">
        <v>2658</v>
      </c>
      <c r="C427" s="974" t="s">
        <v>1850</v>
      </c>
    </row>
    <row r="428" spans="1:3" ht="15" customHeight="1" x14ac:dyDescent="0.25">
      <c r="A428" s="974" t="s">
        <v>2659</v>
      </c>
      <c r="B428" s="974" t="s">
        <v>2660</v>
      </c>
      <c r="C428" s="974" t="s">
        <v>1850</v>
      </c>
    </row>
    <row r="429" spans="1:3" ht="15" customHeight="1" x14ac:dyDescent="0.25">
      <c r="A429" s="974" t="s">
        <v>2661</v>
      </c>
      <c r="B429" s="974" t="s">
        <v>2662</v>
      </c>
      <c r="C429" s="974" t="s">
        <v>1850</v>
      </c>
    </row>
    <row r="430" spans="1:3" ht="15" customHeight="1" x14ac:dyDescent="0.25">
      <c r="A430" s="974" t="s">
        <v>2663</v>
      </c>
      <c r="B430" s="974" t="s">
        <v>2664</v>
      </c>
      <c r="C430" s="974" t="s">
        <v>1850</v>
      </c>
    </row>
    <row r="431" spans="1:3" ht="15" customHeight="1" x14ac:dyDescent="0.25">
      <c r="A431" s="974" t="s">
        <v>2665</v>
      </c>
      <c r="B431" s="974" t="s">
        <v>2666</v>
      </c>
      <c r="C431" s="974" t="s">
        <v>1850</v>
      </c>
    </row>
    <row r="432" spans="1:3" ht="15" customHeight="1" x14ac:dyDescent="0.25">
      <c r="A432" s="974" t="s">
        <v>2667</v>
      </c>
      <c r="B432" s="974" t="s">
        <v>2668</v>
      </c>
      <c r="C432" s="974" t="s">
        <v>1850</v>
      </c>
    </row>
    <row r="433" spans="1:3" ht="15" customHeight="1" x14ac:dyDescent="0.25">
      <c r="A433" s="974" t="s">
        <v>2669</v>
      </c>
      <c r="B433" s="974" t="s">
        <v>2670</v>
      </c>
      <c r="C433" s="974" t="s">
        <v>111</v>
      </c>
    </row>
    <row r="434" spans="1:3" ht="15" customHeight="1" x14ac:dyDescent="0.25">
      <c r="A434" s="974" t="s">
        <v>2671</v>
      </c>
      <c r="B434" s="974" t="s">
        <v>2672</v>
      </c>
      <c r="C434" s="974" t="s">
        <v>111</v>
      </c>
    </row>
    <row r="435" spans="1:3" ht="15" customHeight="1" x14ac:dyDescent="0.25">
      <c r="A435" s="974" t="s">
        <v>2673</v>
      </c>
      <c r="B435" s="974" t="s">
        <v>2674</v>
      </c>
      <c r="C435" s="974" t="s">
        <v>111</v>
      </c>
    </row>
    <row r="436" spans="1:3" ht="15" customHeight="1" x14ac:dyDescent="0.25">
      <c r="A436" s="974" t="s">
        <v>2675</v>
      </c>
      <c r="B436" s="974" t="s">
        <v>2676</v>
      </c>
      <c r="C436" s="974" t="s">
        <v>111</v>
      </c>
    </row>
    <row r="437" spans="1:3" ht="15" customHeight="1" x14ac:dyDescent="0.25">
      <c r="A437" s="974" t="s">
        <v>2677</v>
      </c>
      <c r="B437" s="974" t="s">
        <v>2678</v>
      </c>
      <c r="C437" s="974" t="s">
        <v>111</v>
      </c>
    </row>
    <row r="438" spans="1:3" ht="15" customHeight="1" x14ac:dyDescent="0.25">
      <c r="A438" s="974" t="s">
        <v>2679</v>
      </c>
      <c r="B438" s="974" t="s">
        <v>2680</v>
      </c>
      <c r="C438" s="974" t="s">
        <v>111</v>
      </c>
    </row>
    <row r="439" spans="1:3" ht="15" customHeight="1" x14ac:dyDescent="0.25">
      <c r="A439" s="974" t="s">
        <v>2681</v>
      </c>
      <c r="B439" s="974" t="s">
        <v>2682</v>
      </c>
      <c r="C439" s="974" t="s">
        <v>111</v>
      </c>
    </row>
    <row r="440" spans="1:3" ht="15" customHeight="1" x14ac:dyDescent="0.25">
      <c r="A440" s="974" t="s">
        <v>2683</v>
      </c>
      <c r="B440" s="974" t="s">
        <v>2684</v>
      </c>
      <c r="C440" s="974" t="s">
        <v>111</v>
      </c>
    </row>
    <row r="441" spans="1:3" ht="15" customHeight="1" x14ac:dyDescent="0.25">
      <c r="A441" s="974" t="s">
        <v>2685</v>
      </c>
      <c r="B441" s="974" t="s">
        <v>2686</v>
      </c>
      <c r="C441" s="974" t="s">
        <v>111</v>
      </c>
    </row>
    <row r="442" spans="1:3" ht="15" customHeight="1" x14ac:dyDescent="0.25">
      <c r="A442" s="974" t="s">
        <v>2687</v>
      </c>
      <c r="B442" s="974" t="s">
        <v>2688</v>
      </c>
      <c r="C442" s="974" t="s">
        <v>111</v>
      </c>
    </row>
    <row r="443" spans="1:3" ht="15" customHeight="1" x14ac:dyDescent="0.25">
      <c r="A443" s="974" t="s">
        <v>2689</v>
      </c>
      <c r="B443" s="974" t="s">
        <v>2690</v>
      </c>
      <c r="C443" s="974" t="s">
        <v>111</v>
      </c>
    </row>
    <row r="444" spans="1:3" ht="15" customHeight="1" x14ac:dyDescent="0.25">
      <c r="A444" s="974" t="s">
        <v>2691</v>
      </c>
      <c r="B444" s="974" t="s">
        <v>2692</v>
      </c>
      <c r="C444" s="974" t="s">
        <v>111</v>
      </c>
    </row>
    <row r="445" spans="1:3" ht="15" customHeight="1" x14ac:dyDescent="0.25">
      <c r="A445" s="974" t="s">
        <v>2693</v>
      </c>
      <c r="B445" s="974" t="s">
        <v>2694</v>
      </c>
      <c r="C445" s="974" t="s">
        <v>111</v>
      </c>
    </row>
    <row r="446" spans="1:3" ht="15" customHeight="1" x14ac:dyDescent="0.25">
      <c r="A446" s="974" t="s">
        <v>2695</v>
      </c>
      <c r="B446" s="974" t="s">
        <v>2672</v>
      </c>
      <c r="C446" s="974" t="s">
        <v>111</v>
      </c>
    </row>
    <row r="447" spans="1:3" ht="15" customHeight="1" x14ac:dyDescent="0.25">
      <c r="A447" s="974" t="s">
        <v>2696</v>
      </c>
      <c r="B447" s="974" t="s">
        <v>2674</v>
      </c>
      <c r="C447" s="974" t="s">
        <v>111</v>
      </c>
    </row>
    <row r="448" spans="1:3" ht="15" customHeight="1" x14ac:dyDescent="0.25">
      <c r="A448" s="974" t="s">
        <v>2697</v>
      </c>
      <c r="B448" s="974" t="s">
        <v>2698</v>
      </c>
      <c r="C448" s="974" t="s">
        <v>111</v>
      </c>
    </row>
    <row r="449" spans="1:3" ht="15" customHeight="1" x14ac:dyDescent="0.25">
      <c r="A449" s="974" t="s">
        <v>2699</v>
      </c>
      <c r="B449" s="974" t="s">
        <v>2700</v>
      </c>
      <c r="C449" s="974" t="s">
        <v>111</v>
      </c>
    </row>
    <row r="450" spans="1:3" ht="15" customHeight="1" x14ac:dyDescent="0.25">
      <c r="A450" s="974" t="s">
        <v>2701</v>
      </c>
      <c r="B450" s="974" t="s">
        <v>2702</v>
      </c>
      <c r="C450" s="974" t="s">
        <v>111</v>
      </c>
    </row>
    <row r="451" spans="1:3" ht="15" customHeight="1" x14ac:dyDescent="0.25">
      <c r="A451" s="974" t="s">
        <v>2703</v>
      </c>
      <c r="B451" s="974" t="s">
        <v>2704</v>
      </c>
      <c r="C451" s="974" t="s">
        <v>111</v>
      </c>
    </row>
    <row r="452" spans="1:3" ht="15" customHeight="1" x14ac:dyDescent="0.25">
      <c r="A452" s="974" t="s">
        <v>2705</v>
      </c>
      <c r="B452" s="974" t="s">
        <v>2706</v>
      </c>
      <c r="C452" s="974" t="s">
        <v>111</v>
      </c>
    </row>
    <row r="453" spans="1:3" ht="15" customHeight="1" x14ac:dyDescent="0.25">
      <c r="A453" s="974" t="s">
        <v>2707</v>
      </c>
      <c r="B453" s="974" t="s">
        <v>2708</v>
      </c>
      <c r="C453" s="974" t="s">
        <v>111</v>
      </c>
    </row>
    <row r="454" spans="1:3" ht="15" customHeight="1" x14ac:dyDescent="0.25">
      <c r="A454" s="974" t="s">
        <v>2709</v>
      </c>
      <c r="B454" s="974" t="s">
        <v>2710</v>
      </c>
      <c r="C454" s="974" t="s">
        <v>111</v>
      </c>
    </row>
    <row r="455" spans="1:3" ht="15" customHeight="1" x14ac:dyDescent="0.25">
      <c r="A455" s="974" t="s">
        <v>2711</v>
      </c>
      <c r="B455" s="974" t="s">
        <v>2712</v>
      </c>
      <c r="C455" s="974" t="s">
        <v>111</v>
      </c>
    </row>
    <row r="456" spans="1:3" ht="15" customHeight="1" x14ac:dyDescent="0.25">
      <c r="A456" s="974" t="s">
        <v>2713</v>
      </c>
      <c r="B456" s="974" t="s">
        <v>2714</v>
      </c>
      <c r="C456" s="974" t="s">
        <v>111</v>
      </c>
    </row>
    <row r="457" spans="1:3" ht="15" customHeight="1" x14ac:dyDescent="0.25">
      <c r="A457" s="974" t="s">
        <v>2715</v>
      </c>
      <c r="B457" s="974" t="s">
        <v>2716</v>
      </c>
      <c r="C457" s="974" t="s">
        <v>111</v>
      </c>
    </row>
    <row r="458" spans="1:3" ht="15" customHeight="1" x14ac:dyDescent="0.25">
      <c r="A458" s="974" t="s">
        <v>2717</v>
      </c>
      <c r="B458" s="974" t="s">
        <v>2718</v>
      </c>
      <c r="C458" s="974" t="s">
        <v>111</v>
      </c>
    </row>
    <row r="459" spans="1:3" ht="15" customHeight="1" x14ac:dyDescent="0.25">
      <c r="A459" s="974" t="s">
        <v>2719</v>
      </c>
      <c r="B459" s="974" t="s">
        <v>2720</v>
      </c>
      <c r="C459" s="974" t="s">
        <v>111</v>
      </c>
    </row>
    <row r="460" spans="1:3" ht="15" customHeight="1" x14ac:dyDescent="0.25">
      <c r="A460" s="974" t="s">
        <v>2721</v>
      </c>
      <c r="B460" s="974" t="s">
        <v>2722</v>
      </c>
      <c r="C460" s="974" t="s">
        <v>111</v>
      </c>
    </row>
    <row r="461" spans="1:3" ht="15" customHeight="1" x14ac:dyDescent="0.25">
      <c r="A461" s="974" t="s">
        <v>2723</v>
      </c>
      <c r="B461" s="974" t="s">
        <v>2724</v>
      </c>
      <c r="C461" s="974" t="s">
        <v>111</v>
      </c>
    </row>
    <row r="462" spans="1:3" ht="15" customHeight="1" x14ac:dyDescent="0.25">
      <c r="A462" s="974" t="s">
        <v>2725</v>
      </c>
      <c r="B462" s="974" t="s">
        <v>2726</v>
      </c>
      <c r="C462" s="974" t="s">
        <v>111</v>
      </c>
    </row>
    <row r="463" spans="1:3" ht="15" customHeight="1" x14ac:dyDescent="0.25">
      <c r="A463" s="974" t="s">
        <v>2727</v>
      </c>
      <c r="B463" s="974" t="s">
        <v>2728</v>
      </c>
      <c r="C463" s="974" t="s">
        <v>111</v>
      </c>
    </row>
    <row r="464" spans="1:3" ht="15" customHeight="1" x14ac:dyDescent="0.25">
      <c r="A464" s="974" t="s">
        <v>2729</v>
      </c>
      <c r="B464" s="974" t="s">
        <v>2730</v>
      </c>
      <c r="C464" s="974" t="s">
        <v>111</v>
      </c>
    </row>
    <row r="465" spans="1:3" ht="15" customHeight="1" x14ac:dyDescent="0.25">
      <c r="A465" s="974" t="s">
        <v>2731</v>
      </c>
      <c r="B465" s="974" t="s">
        <v>2732</v>
      </c>
      <c r="C465" s="974" t="s">
        <v>111</v>
      </c>
    </row>
    <row r="466" spans="1:3" ht="15" customHeight="1" x14ac:dyDescent="0.25">
      <c r="A466" s="974" t="s">
        <v>2733</v>
      </c>
      <c r="B466" s="974" t="s">
        <v>2734</v>
      </c>
      <c r="C466" s="974" t="s">
        <v>111</v>
      </c>
    </row>
    <row r="467" spans="1:3" ht="15" customHeight="1" x14ac:dyDescent="0.25">
      <c r="A467" s="974" t="s">
        <v>2735</v>
      </c>
      <c r="B467" s="974" t="s">
        <v>2736</v>
      </c>
      <c r="C467" s="974" t="s">
        <v>111</v>
      </c>
    </row>
    <row r="468" spans="1:3" ht="15" customHeight="1" x14ac:dyDescent="0.25">
      <c r="A468" s="974" t="s">
        <v>2737</v>
      </c>
      <c r="B468" s="974" t="s">
        <v>2738</v>
      </c>
      <c r="C468" s="974" t="s">
        <v>111</v>
      </c>
    </row>
    <row r="469" spans="1:3" ht="15" customHeight="1" x14ac:dyDescent="0.25">
      <c r="A469" s="974" t="s">
        <v>2739</v>
      </c>
      <c r="B469" s="974" t="s">
        <v>2740</v>
      </c>
      <c r="C469" s="974" t="s">
        <v>111</v>
      </c>
    </row>
    <row r="470" spans="1:3" ht="15" customHeight="1" x14ac:dyDescent="0.25">
      <c r="A470" s="974" t="s">
        <v>2741</v>
      </c>
      <c r="B470" s="974" t="s">
        <v>2742</v>
      </c>
      <c r="C470" s="974" t="s">
        <v>111</v>
      </c>
    </row>
    <row r="471" spans="1:3" ht="15" customHeight="1" x14ac:dyDescent="0.25">
      <c r="A471" s="974" t="s">
        <v>2743</v>
      </c>
      <c r="B471" s="974" t="s">
        <v>2744</v>
      </c>
      <c r="C471" s="974" t="s">
        <v>111</v>
      </c>
    </row>
    <row r="472" spans="1:3" ht="15" customHeight="1" x14ac:dyDescent="0.25">
      <c r="A472" s="974" t="s">
        <v>2745</v>
      </c>
      <c r="B472" s="974" t="s">
        <v>2746</v>
      </c>
      <c r="C472" s="974" t="s">
        <v>111</v>
      </c>
    </row>
    <row r="473" spans="1:3" ht="15" customHeight="1" x14ac:dyDescent="0.25">
      <c r="A473" s="974" t="s">
        <v>2747</v>
      </c>
      <c r="B473" s="974" t="s">
        <v>2748</v>
      </c>
      <c r="C473" s="974" t="s">
        <v>1850</v>
      </c>
    </row>
    <row r="474" spans="1:3" ht="15" customHeight="1" x14ac:dyDescent="0.25">
      <c r="A474" s="974" t="s">
        <v>2749</v>
      </c>
      <c r="B474" s="974" t="s">
        <v>2750</v>
      </c>
      <c r="C474" s="974" t="s">
        <v>111</v>
      </c>
    </row>
    <row r="475" spans="1:3" ht="15" customHeight="1" x14ac:dyDescent="0.25">
      <c r="A475" s="974" t="s">
        <v>2751</v>
      </c>
      <c r="B475" s="974" t="s">
        <v>2752</v>
      </c>
      <c r="C475" s="974" t="s">
        <v>111</v>
      </c>
    </row>
    <row r="476" spans="1:3" ht="15" customHeight="1" x14ac:dyDescent="0.25">
      <c r="A476" s="974" t="s">
        <v>2753</v>
      </c>
      <c r="B476" s="974" t="s">
        <v>2754</v>
      </c>
      <c r="C476" s="974" t="s">
        <v>111</v>
      </c>
    </row>
    <row r="477" spans="1:3" ht="15" customHeight="1" x14ac:dyDescent="0.25">
      <c r="A477" s="974" t="s">
        <v>2755</v>
      </c>
      <c r="B477" s="974" t="s">
        <v>2756</v>
      </c>
      <c r="C477" s="974" t="s">
        <v>111</v>
      </c>
    </row>
    <row r="478" spans="1:3" ht="15" customHeight="1" x14ac:dyDescent="0.25">
      <c r="A478" s="974" t="s">
        <v>2757</v>
      </c>
      <c r="B478" s="974" t="s">
        <v>2758</v>
      </c>
      <c r="C478" s="974" t="s">
        <v>111</v>
      </c>
    </row>
    <row r="479" spans="1:3" ht="15" customHeight="1" x14ac:dyDescent="0.25">
      <c r="A479" s="974" t="s">
        <v>2759</v>
      </c>
      <c r="B479" s="974" t="s">
        <v>2760</v>
      </c>
      <c r="C479" s="974" t="s">
        <v>111</v>
      </c>
    </row>
    <row r="480" spans="1:3" ht="15" customHeight="1" x14ac:dyDescent="0.25">
      <c r="A480" s="974" t="s">
        <v>2761</v>
      </c>
      <c r="B480" s="974" t="s">
        <v>2762</v>
      </c>
      <c r="C480" s="974" t="s">
        <v>111</v>
      </c>
    </row>
    <row r="481" spans="1:3" ht="15" customHeight="1" x14ac:dyDescent="0.25">
      <c r="A481" s="974" t="s">
        <v>2763</v>
      </c>
      <c r="B481" s="974" t="s">
        <v>2764</v>
      </c>
      <c r="C481" s="974" t="s">
        <v>111</v>
      </c>
    </row>
    <row r="482" spans="1:3" ht="15" customHeight="1" x14ac:dyDescent="0.25">
      <c r="A482" s="974" t="s">
        <v>2765</v>
      </c>
      <c r="B482" s="974" t="s">
        <v>2766</v>
      </c>
      <c r="C482" s="974" t="s">
        <v>111</v>
      </c>
    </row>
    <row r="483" spans="1:3" ht="15" customHeight="1" x14ac:dyDescent="0.25">
      <c r="A483" s="974" t="s">
        <v>2767</v>
      </c>
      <c r="B483" s="974" t="s">
        <v>2768</v>
      </c>
      <c r="C483" s="974" t="s">
        <v>111</v>
      </c>
    </row>
    <row r="484" spans="1:3" ht="15" customHeight="1" x14ac:dyDescent="0.25">
      <c r="A484" s="974" t="s">
        <v>2769</v>
      </c>
      <c r="B484" s="974" t="s">
        <v>2770</v>
      </c>
      <c r="C484" s="974" t="s">
        <v>111</v>
      </c>
    </row>
    <row r="485" spans="1:3" ht="15" customHeight="1" x14ac:dyDescent="0.25">
      <c r="A485" s="974" t="s">
        <v>2771</v>
      </c>
      <c r="B485" s="974" t="s">
        <v>2772</v>
      </c>
      <c r="C485" s="974" t="s">
        <v>1850</v>
      </c>
    </row>
    <row r="486" spans="1:3" ht="15" customHeight="1" x14ac:dyDescent="0.25">
      <c r="A486" s="974" t="s">
        <v>2773</v>
      </c>
      <c r="B486" s="974" t="s">
        <v>2774</v>
      </c>
      <c r="C486" s="974" t="s">
        <v>111</v>
      </c>
    </row>
    <row r="487" spans="1:3" ht="15" customHeight="1" x14ac:dyDescent="0.25">
      <c r="A487" s="974" t="s">
        <v>2775</v>
      </c>
      <c r="B487" s="974" t="s">
        <v>2776</v>
      </c>
      <c r="C487" s="974" t="s">
        <v>111</v>
      </c>
    </row>
    <row r="488" spans="1:3" ht="15" customHeight="1" x14ac:dyDescent="0.25">
      <c r="A488" s="974" t="s">
        <v>2777</v>
      </c>
      <c r="B488" s="974" t="s">
        <v>2778</v>
      </c>
      <c r="C488" s="974" t="s">
        <v>111</v>
      </c>
    </row>
    <row r="489" spans="1:3" ht="15" customHeight="1" x14ac:dyDescent="0.25">
      <c r="A489" s="974" t="s">
        <v>2779</v>
      </c>
      <c r="B489" s="974" t="s">
        <v>2780</v>
      </c>
      <c r="C489" s="974" t="s">
        <v>111</v>
      </c>
    </row>
    <row r="490" spans="1:3" ht="15" customHeight="1" x14ac:dyDescent="0.25">
      <c r="A490" s="974" t="s">
        <v>2781</v>
      </c>
      <c r="B490" s="974" t="s">
        <v>2782</v>
      </c>
      <c r="C490" s="974" t="s">
        <v>111</v>
      </c>
    </row>
    <row r="491" spans="1:3" ht="15" customHeight="1" x14ac:dyDescent="0.25">
      <c r="A491" s="974" t="s">
        <v>2783</v>
      </c>
      <c r="B491" s="974" t="s">
        <v>2784</v>
      </c>
      <c r="C491" s="974" t="s">
        <v>111</v>
      </c>
    </row>
    <row r="492" spans="1:3" ht="15" customHeight="1" x14ac:dyDescent="0.25">
      <c r="A492" s="974" t="s">
        <v>2785</v>
      </c>
      <c r="B492" s="974" t="s">
        <v>2786</v>
      </c>
      <c r="C492" s="974" t="s">
        <v>111</v>
      </c>
    </row>
    <row r="493" spans="1:3" ht="15" customHeight="1" x14ac:dyDescent="0.25">
      <c r="A493" s="974" t="s">
        <v>2787</v>
      </c>
      <c r="B493" s="974" t="s">
        <v>2788</v>
      </c>
      <c r="C493" s="974" t="s">
        <v>111</v>
      </c>
    </row>
    <row r="494" spans="1:3" ht="15" customHeight="1" x14ac:dyDescent="0.25">
      <c r="A494" s="974" t="s">
        <v>2789</v>
      </c>
      <c r="B494" s="974" t="s">
        <v>2790</v>
      </c>
      <c r="C494" s="974" t="s">
        <v>111</v>
      </c>
    </row>
    <row r="495" spans="1:3" ht="15" customHeight="1" x14ac:dyDescent="0.25">
      <c r="A495" s="974" t="s">
        <v>2791</v>
      </c>
      <c r="B495" s="974" t="s">
        <v>2792</v>
      </c>
      <c r="C495" s="974" t="s">
        <v>111</v>
      </c>
    </row>
    <row r="496" spans="1:3" ht="15" customHeight="1" x14ac:dyDescent="0.25">
      <c r="A496" s="974" t="s">
        <v>2793</v>
      </c>
      <c r="B496" s="974" t="s">
        <v>2794</v>
      </c>
      <c r="C496" s="974" t="s">
        <v>111</v>
      </c>
    </row>
    <row r="497" spans="1:3" ht="15" customHeight="1" x14ac:dyDescent="0.25">
      <c r="A497" s="974" t="s">
        <v>2795</v>
      </c>
      <c r="B497" s="974" t="s">
        <v>2796</v>
      </c>
      <c r="C497" s="974" t="s">
        <v>111</v>
      </c>
    </row>
    <row r="498" spans="1:3" ht="15" customHeight="1" x14ac:dyDescent="0.25">
      <c r="A498" s="974" t="s">
        <v>2797</v>
      </c>
      <c r="B498" s="974" t="s">
        <v>2798</v>
      </c>
      <c r="C498" s="974" t="s">
        <v>1850</v>
      </c>
    </row>
    <row r="499" spans="1:3" ht="15" customHeight="1" x14ac:dyDescent="0.25">
      <c r="A499" s="974" t="s">
        <v>2799</v>
      </c>
      <c r="B499" s="974" t="s">
        <v>2800</v>
      </c>
      <c r="C499" s="974" t="s">
        <v>111</v>
      </c>
    </row>
    <row r="500" spans="1:3" ht="15" customHeight="1" x14ac:dyDescent="0.25">
      <c r="A500" s="974" t="s">
        <v>2801</v>
      </c>
      <c r="B500" s="974" t="s">
        <v>2802</v>
      </c>
      <c r="C500" s="974" t="s">
        <v>111</v>
      </c>
    </row>
    <row r="501" spans="1:3" ht="15" customHeight="1" x14ac:dyDescent="0.25">
      <c r="A501" s="974" t="s">
        <v>2803</v>
      </c>
      <c r="B501" s="974" t="s">
        <v>2804</v>
      </c>
      <c r="C501" s="974" t="s">
        <v>111</v>
      </c>
    </row>
    <row r="502" spans="1:3" ht="15" customHeight="1" x14ac:dyDescent="0.25">
      <c r="A502" s="974" t="s">
        <v>2805</v>
      </c>
      <c r="B502" s="974" t="s">
        <v>2806</v>
      </c>
      <c r="C502" s="974" t="s">
        <v>111</v>
      </c>
    </row>
    <row r="503" spans="1:3" ht="15" customHeight="1" x14ac:dyDescent="0.25">
      <c r="A503" s="974" t="s">
        <v>2807</v>
      </c>
      <c r="B503" s="974" t="s">
        <v>2808</v>
      </c>
      <c r="C503" s="974" t="s">
        <v>111</v>
      </c>
    </row>
    <row r="504" spans="1:3" ht="15" customHeight="1" x14ac:dyDescent="0.25">
      <c r="A504" s="974" t="s">
        <v>2809</v>
      </c>
      <c r="B504" s="974" t="s">
        <v>2810</v>
      </c>
      <c r="C504" s="974" t="s">
        <v>111</v>
      </c>
    </row>
    <row r="505" spans="1:3" ht="15" customHeight="1" x14ac:dyDescent="0.25">
      <c r="A505" s="974" t="s">
        <v>2811</v>
      </c>
      <c r="B505" s="974" t="s">
        <v>2812</v>
      </c>
      <c r="C505" s="974" t="s">
        <v>111</v>
      </c>
    </row>
    <row r="506" spans="1:3" ht="15" customHeight="1" x14ac:dyDescent="0.25">
      <c r="A506" s="974" t="s">
        <v>2813</v>
      </c>
      <c r="B506" s="974" t="s">
        <v>2814</v>
      </c>
      <c r="C506" s="974" t="s">
        <v>111</v>
      </c>
    </row>
    <row r="507" spans="1:3" ht="15" customHeight="1" x14ac:dyDescent="0.25">
      <c r="A507" s="974" t="s">
        <v>2815</v>
      </c>
      <c r="B507" s="974" t="s">
        <v>2816</v>
      </c>
      <c r="C507" s="974" t="s">
        <v>1850</v>
      </c>
    </row>
    <row r="508" spans="1:3" ht="15" customHeight="1" x14ac:dyDescent="0.25">
      <c r="A508" s="974" t="s">
        <v>2817</v>
      </c>
      <c r="B508" s="974" t="s">
        <v>2818</v>
      </c>
      <c r="C508" s="974" t="s">
        <v>111</v>
      </c>
    </row>
    <row r="509" spans="1:3" ht="15" customHeight="1" x14ac:dyDescent="0.25">
      <c r="A509" s="974" t="s">
        <v>2819</v>
      </c>
      <c r="B509" s="974" t="s">
        <v>2820</v>
      </c>
      <c r="C509" s="974" t="s">
        <v>111</v>
      </c>
    </row>
    <row r="510" spans="1:3" ht="15" customHeight="1" x14ac:dyDescent="0.25">
      <c r="A510" s="974" t="s">
        <v>2821</v>
      </c>
      <c r="B510" s="974" t="s">
        <v>2822</v>
      </c>
      <c r="C510" s="974" t="s">
        <v>111</v>
      </c>
    </row>
    <row r="511" spans="1:3" ht="15" customHeight="1" x14ac:dyDescent="0.25">
      <c r="A511" s="974" t="s">
        <v>2823</v>
      </c>
      <c r="B511" s="974" t="s">
        <v>2824</v>
      </c>
      <c r="C511" s="974" t="s">
        <v>111</v>
      </c>
    </row>
    <row r="512" spans="1:3" ht="15" customHeight="1" x14ac:dyDescent="0.25">
      <c r="A512" s="974" t="s">
        <v>2825</v>
      </c>
      <c r="B512" s="974" t="s">
        <v>2826</v>
      </c>
      <c r="C512" s="974" t="s">
        <v>111</v>
      </c>
    </row>
    <row r="513" spans="1:3" ht="15" customHeight="1" x14ac:dyDescent="0.25">
      <c r="A513" s="974" t="s">
        <v>2827</v>
      </c>
      <c r="B513" s="974" t="s">
        <v>2802</v>
      </c>
      <c r="C513" s="974" t="s">
        <v>111</v>
      </c>
    </row>
    <row r="514" spans="1:3" ht="15" customHeight="1" x14ac:dyDescent="0.25">
      <c r="A514" s="974" t="s">
        <v>2828</v>
      </c>
      <c r="B514" s="974" t="s">
        <v>2804</v>
      </c>
      <c r="C514" s="974" t="s">
        <v>111</v>
      </c>
    </row>
    <row r="515" spans="1:3" ht="15" customHeight="1" x14ac:dyDescent="0.25">
      <c r="A515" s="974" t="s">
        <v>2829</v>
      </c>
      <c r="B515" s="974" t="s">
        <v>2830</v>
      </c>
      <c r="C515" s="974" t="s">
        <v>1850</v>
      </c>
    </row>
    <row r="516" spans="1:3" ht="15" customHeight="1" x14ac:dyDescent="0.25">
      <c r="A516" s="974" t="s">
        <v>2831</v>
      </c>
      <c r="B516" s="974" t="s">
        <v>2832</v>
      </c>
      <c r="C516" s="974" t="s">
        <v>111</v>
      </c>
    </row>
    <row r="517" spans="1:3" ht="15" customHeight="1" x14ac:dyDescent="0.25">
      <c r="A517" s="974" t="s">
        <v>2833</v>
      </c>
      <c r="B517" s="974" t="s">
        <v>2834</v>
      </c>
      <c r="C517" s="974" t="s">
        <v>111</v>
      </c>
    </row>
    <row r="518" spans="1:3" ht="15" customHeight="1" x14ac:dyDescent="0.25">
      <c r="A518" s="974" t="s">
        <v>2835</v>
      </c>
      <c r="B518" s="974" t="s">
        <v>2836</v>
      </c>
      <c r="C518" s="974" t="s">
        <v>111</v>
      </c>
    </row>
    <row r="519" spans="1:3" ht="15" customHeight="1" x14ac:dyDescent="0.25">
      <c r="A519" s="974" t="s">
        <v>2837</v>
      </c>
      <c r="B519" s="974" t="s">
        <v>2838</v>
      </c>
      <c r="C519" s="974" t="s">
        <v>111</v>
      </c>
    </row>
    <row r="520" spans="1:3" ht="15" customHeight="1" x14ac:dyDescent="0.25">
      <c r="A520" s="974" t="s">
        <v>2839</v>
      </c>
      <c r="B520" s="974" t="s">
        <v>2840</v>
      </c>
      <c r="C520" s="974" t="s">
        <v>111</v>
      </c>
    </row>
    <row r="521" spans="1:3" ht="15" customHeight="1" x14ac:dyDescent="0.25">
      <c r="A521" s="974" t="s">
        <v>2841</v>
      </c>
      <c r="B521" s="974" t="s">
        <v>2842</v>
      </c>
      <c r="C521" s="974" t="s">
        <v>111</v>
      </c>
    </row>
    <row r="522" spans="1:3" ht="15" customHeight="1" x14ac:dyDescent="0.25">
      <c r="A522" s="974" t="s">
        <v>2843</v>
      </c>
      <c r="B522" s="974" t="s">
        <v>2844</v>
      </c>
      <c r="C522" s="974" t="s">
        <v>111</v>
      </c>
    </row>
    <row r="523" spans="1:3" ht="15" customHeight="1" x14ac:dyDescent="0.25">
      <c r="A523" s="974" t="s">
        <v>2845</v>
      </c>
      <c r="B523" s="974" t="s">
        <v>2846</v>
      </c>
      <c r="C523" s="974" t="s">
        <v>111</v>
      </c>
    </row>
    <row r="524" spans="1:3" ht="15" customHeight="1" x14ac:dyDescent="0.25">
      <c r="A524" s="974" t="s">
        <v>2847</v>
      </c>
      <c r="B524" s="974" t="s">
        <v>2848</v>
      </c>
      <c r="C524" s="974" t="s">
        <v>111</v>
      </c>
    </row>
    <row r="525" spans="1:3" ht="15" customHeight="1" x14ac:dyDescent="0.25">
      <c r="A525" s="974" t="s">
        <v>2849</v>
      </c>
      <c r="B525" s="974" t="s">
        <v>2850</v>
      </c>
      <c r="C525" s="974" t="s">
        <v>111</v>
      </c>
    </row>
    <row r="526" spans="1:3" ht="15" customHeight="1" x14ac:dyDescent="0.25">
      <c r="A526" s="974" t="s">
        <v>2851</v>
      </c>
      <c r="B526" s="974" t="s">
        <v>2852</v>
      </c>
      <c r="C526" s="974" t="s">
        <v>111</v>
      </c>
    </row>
    <row r="527" spans="1:3" ht="15" customHeight="1" x14ac:dyDescent="0.25">
      <c r="A527" s="974" t="s">
        <v>2853</v>
      </c>
      <c r="B527" s="974" t="s">
        <v>2854</v>
      </c>
      <c r="C527" s="974" t="s">
        <v>111</v>
      </c>
    </row>
    <row r="528" spans="1:3" ht="15" customHeight="1" x14ac:dyDescent="0.25">
      <c r="A528" s="974" t="s">
        <v>2855</v>
      </c>
      <c r="B528" s="974" t="s">
        <v>2856</v>
      </c>
      <c r="C528" s="974" t="s">
        <v>111</v>
      </c>
    </row>
    <row r="529" spans="1:3" ht="15" customHeight="1" x14ac:dyDescent="0.25">
      <c r="A529" s="974" t="s">
        <v>2857</v>
      </c>
      <c r="B529" s="974" t="s">
        <v>2858</v>
      </c>
      <c r="C529" s="974" t="s">
        <v>111</v>
      </c>
    </row>
    <row r="530" spans="1:3" ht="15" customHeight="1" x14ac:dyDescent="0.25">
      <c r="A530" s="974" t="s">
        <v>2859</v>
      </c>
      <c r="B530" s="974" t="s">
        <v>2860</v>
      </c>
      <c r="C530" s="974" t="s">
        <v>111</v>
      </c>
    </row>
    <row r="531" spans="1:3" ht="15" customHeight="1" x14ac:dyDescent="0.25">
      <c r="A531" s="974" t="s">
        <v>2861</v>
      </c>
      <c r="B531" s="974" t="s">
        <v>2862</v>
      </c>
      <c r="C531" s="974" t="s">
        <v>111</v>
      </c>
    </row>
    <row r="532" spans="1:3" ht="15" customHeight="1" x14ac:dyDescent="0.25">
      <c r="A532" s="974" t="s">
        <v>2863</v>
      </c>
      <c r="B532" s="974" t="s">
        <v>2864</v>
      </c>
      <c r="C532" s="974" t="s">
        <v>111</v>
      </c>
    </row>
    <row r="533" spans="1:3" ht="15" customHeight="1" x14ac:dyDescent="0.25">
      <c r="A533" s="974" t="s">
        <v>2865</v>
      </c>
      <c r="B533" s="974" t="s">
        <v>2866</v>
      </c>
      <c r="C533" s="974" t="s">
        <v>111</v>
      </c>
    </row>
    <row r="534" spans="1:3" ht="15" customHeight="1" x14ac:dyDescent="0.25">
      <c r="A534" s="974" t="s">
        <v>2867</v>
      </c>
      <c r="B534" s="974" t="s">
        <v>2868</v>
      </c>
      <c r="C534" s="974" t="s">
        <v>111</v>
      </c>
    </row>
    <row r="535" spans="1:3" ht="15" customHeight="1" x14ac:dyDescent="0.25">
      <c r="A535" s="974" t="s">
        <v>2869</v>
      </c>
      <c r="B535" s="974" t="s">
        <v>2870</v>
      </c>
      <c r="C535" s="974" t="s">
        <v>1850</v>
      </c>
    </row>
    <row r="536" spans="1:3" ht="15" customHeight="1" x14ac:dyDescent="0.25">
      <c r="A536" s="974" t="s">
        <v>2871</v>
      </c>
      <c r="B536" s="974" t="s">
        <v>2872</v>
      </c>
      <c r="C536" s="974" t="s">
        <v>111</v>
      </c>
    </row>
    <row r="537" spans="1:3" ht="15" customHeight="1" x14ac:dyDescent="0.25">
      <c r="A537" s="974" t="s">
        <v>2873</v>
      </c>
      <c r="B537" s="974" t="s">
        <v>2874</v>
      </c>
      <c r="C537" s="974" t="s">
        <v>111</v>
      </c>
    </row>
    <row r="538" spans="1:3" ht="15" customHeight="1" x14ac:dyDescent="0.25">
      <c r="A538" s="974" t="s">
        <v>2875</v>
      </c>
      <c r="B538" s="974" t="s">
        <v>2876</v>
      </c>
      <c r="C538" s="974" t="s">
        <v>111</v>
      </c>
    </row>
    <row r="539" spans="1:3" ht="15" customHeight="1" x14ac:dyDescent="0.25">
      <c r="A539" s="974" t="s">
        <v>2877</v>
      </c>
      <c r="B539" s="974" t="s">
        <v>2878</v>
      </c>
      <c r="C539" s="974" t="s">
        <v>111</v>
      </c>
    </row>
    <row r="540" spans="1:3" ht="15" customHeight="1" x14ac:dyDescent="0.25">
      <c r="A540" s="974" t="s">
        <v>2879</v>
      </c>
      <c r="B540" s="974" t="s">
        <v>2880</v>
      </c>
      <c r="C540" s="974" t="s">
        <v>111</v>
      </c>
    </row>
    <row r="541" spans="1:3" ht="15" customHeight="1" x14ac:dyDescent="0.25">
      <c r="A541" s="974" t="s">
        <v>2881</v>
      </c>
      <c r="B541" s="974" t="s">
        <v>2882</v>
      </c>
      <c r="C541" s="974" t="s">
        <v>111</v>
      </c>
    </row>
    <row r="542" spans="1:3" ht="15" customHeight="1" x14ac:dyDescent="0.25">
      <c r="A542" s="974" t="s">
        <v>2883</v>
      </c>
      <c r="B542" s="974" t="s">
        <v>2804</v>
      </c>
      <c r="C542" s="974" t="s">
        <v>111</v>
      </c>
    </row>
    <row r="543" spans="1:3" ht="15" customHeight="1" x14ac:dyDescent="0.25">
      <c r="A543" s="974" t="s">
        <v>2884</v>
      </c>
      <c r="B543" s="974" t="s">
        <v>2885</v>
      </c>
      <c r="C543" s="974" t="s">
        <v>111</v>
      </c>
    </row>
    <row r="544" spans="1:3" ht="15" customHeight="1" x14ac:dyDescent="0.25">
      <c r="A544" s="974" t="s">
        <v>2886</v>
      </c>
      <c r="B544" s="974" t="s">
        <v>2887</v>
      </c>
      <c r="C544" s="974" t="s">
        <v>111</v>
      </c>
    </row>
    <row r="545" spans="1:3" ht="15" customHeight="1" x14ac:dyDescent="0.25">
      <c r="A545" s="974" t="s">
        <v>2888</v>
      </c>
      <c r="B545" s="974" t="s">
        <v>2889</v>
      </c>
      <c r="C545" s="974" t="s">
        <v>111</v>
      </c>
    </row>
    <row r="546" spans="1:3" ht="15" customHeight="1" x14ac:dyDescent="0.25">
      <c r="A546" s="974" t="s">
        <v>2890</v>
      </c>
      <c r="B546" s="974" t="s">
        <v>2891</v>
      </c>
      <c r="C546" s="974" t="s">
        <v>111</v>
      </c>
    </row>
    <row r="547" spans="1:3" ht="15" customHeight="1" x14ac:dyDescent="0.25">
      <c r="A547" s="974" t="s">
        <v>2892</v>
      </c>
      <c r="B547" s="974" t="s">
        <v>2893</v>
      </c>
      <c r="C547" s="974" t="s">
        <v>111</v>
      </c>
    </row>
    <row r="548" spans="1:3" ht="15" customHeight="1" x14ac:dyDescent="0.25">
      <c r="A548" s="974" t="s">
        <v>2894</v>
      </c>
      <c r="B548" s="974" t="s">
        <v>2895</v>
      </c>
      <c r="C548" s="974" t="s">
        <v>111</v>
      </c>
    </row>
    <row r="549" spans="1:3" ht="15" customHeight="1" x14ac:dyDescent="0.25">
      <c r="A549" s="974" t="s">
        <v>2896</v>
      </c>
      <c r="B549" s="974" t="s">
        <v>2897</v>
      </c>
      <c r="C549" s="974" t="s">
        <v>111</v>
      </c>
    </row>
    <row r="550" spans="1:3" ht="15" customHeight="1" x14ac:dyDescent="0.25">
      <c r="A550" s="974" t="s">
        <v>2898</v>
      </c>
      <c r="B550" s="974" t="s">
        <v>2899</v>
      </c>
      <c r="C550" s="974" t="s">
        <v>111</v>
      </c>
    </row>
    <row r="551" spans="1:3" ht="15" customHeight="1" x14ac:dyDescent="0.25">
      <c r="A551" s="974" t="s">
        <v>2900</v>
      </c>
      <c r="B551" s="974" t="s">
        <v>2901</v>
      </c>
      <c r="C551" s="974" t="s">
        <v>1850</v>
      </c>
    </row>
    <row r="552" spans="1:3" ht="15" customHeight="1" x14ac:dyDescent="0.25">
      <c r="A552" s="974" t="s">
        <v>2902</v>
      </c>
      <c r="B552" s="974" t="s">
        <v>2903</v>
      </c>
      <c r="C552" s="974" t="s">
        <v>1850</v>
      </c>
    </row>
    <row r="553" spans="1:3" ht="15" customHeight="1" x14ac:dyDescent="0.25">
      <c r="A553" s="974" t="s">
        <v>2904</v>
      </c>
      <c r="B553" s="974" t="s">
        <v>2905</v>
      </c>
      <c r="C553" s="974" t="s">
        <v>111</v>
      </c>
    </row>
    <row r="554" spans="1:3" ht="15" customHeight="1" x14ac:dyDescent="0.25">
      <c r="A554" s="974" t="s">
        <v>2906</v>
      </c>
      <c r="B554" s="974" t="s">
        <v>2907</v>
      </c>
      <c r="C554" s="974" t="s">
        <v>111</v>
      </c>
    </row>
    <row r="555" spans="1:3" ht="15" customHeight="1" x14ac:dyDescent="0.25">
      <c r="A555" s="974" t="s">
        <v>2908</v>
      </c>
      <c r="B555" s="974" t="s">
        <v>2909</v>
      </c>
      <c r="C555" s="974" t="s">
        <v>1850</v>
      </c>
    </row>
    <row r="556" spans="1:3" ht="15" customHeight="1" x14ac:dyDescent="0.25">
      <c r="A556" s="974" t="s">
        <v>2910</v>
      </c>
      <c r="B556" s="974" t="s">
        <v>2911</v>
      </c>
      <c r="C556" s="974" t="s">
        <v>111</v>
      </c>
    </row>
    <row r="557" spans="1:3" ht="15" customHeight="1" x14ac:dyDescent="0.25">
      <c r="A557" s="974" t="s">
        <v>2912</v>
      </c>
      <c r="B557" s="974" t="s">
        <v>2913</v>
      </c>
      <c r="C557" s="974" t="s">
        <v>111</v>
      </c>
    </row>
    <row r="558" spans="1:3" ht="15" customHeight="1" x14ac:dyDescent="0.25">
      <c r="A558" s="974" t="s">
        <v>2914</v>
      </c>
      <c r="B558" s="974" t="s">
        <v>2915</v>
      </c>
      <c r="C558" s="974" t="s">
        <v>111</v>
      </c>
    </row>
    <row r="559" spans="1:3" ht="15" customHeight="1" x14ac:dyDescent="0.25">
      <c r="A559" s="974" t="s">
        <v>2916</v>
      </c>
      <c r="B559" s="974" t="s">
        <v>2917</v>
      </c>
      <c r="C559" s="974" t="s">
        <v>111</v>
      </c>
    </row>
    <row r="560" spans="1:3" ht="15" customHeight="1" x14ac:dyDescent="0.25">
      <c r="A560" s="974" t="s">
        <v>2918</v>
      </c>
      <c r="B560" s="974" t="s">
        <v>2919</v>
      </c>
      <c r="C560" s="974" t="s">
        <v>111</v>
      </c>
    </row>
    <row r="561" spans="1:3" ht="15" customHeight="1" x14ac:dyDescent="0.25">
      <c r="A561" s="974" t="s">
        <v>2920</v>
      </c>
      <c r="B561" s="974" t="s">
        <v>2921</v>
      </c>
      <c r="C561" s="974" t="s">
        <v>111</v>
      </c>
    </row>
    <row r="562" spans="1:3" ht="15" customHeight="1" x14ac:dyDescent="0.25">
      <c r="A562" s="974" t="s">
        <v>2922</v>
      </c>
      <c r="B562" s="974" t="s">
        <v>2923</v>
      </c>
      <c r="C562" s="974" t="s">
        <v>111</v>
      </c>
    </row>
    <row r="563" spans="1:3" ht="15" customHeight="1" x14ac:dyDescent="0.25">
      <c r="A563" s="974" t="s">
        <v>2924</v>
      </c>
      <c r="B563" s="974" t="s">
        <v>2925</v>
      </c>
      <c r="C563" s="974" t="s">
        <v>111</v>
      </c>
    </row>
    <row r="564" spans="1:3" ht="15" customHeight="1" x14ac:dyDescent="0.25">
      <c r="A564" s="974" t="s">
        <v>2926</v>
      </c>
      <c r="B564" s="974" t="s">
        <v>2927</v>
      </c>
      <c r="C564" s="974" t="s">
        <v>111</v>
      </c>
    </row>
    <row r="565" spans="1:3" ht="15" customHeight="1" x14ac:dyDescent="0.25">
      <c r="A565" s="974" t="s">
        <v>2928</v>
      </c>
      <c r="B565" s="974" t="s">
        <v>2929</v>
      </c>
      <c r="C565" s="974" t="s">
        <v>111</v>
      </c>
    </row>
    <row r="566" spans="1:3" ht="15" customHeight="1" x14ac:dyDescent="0.25">
      <c r="A566" s="974" t="s">
        <v>2930</v>
      </c>
      <c r="B566" s="974" t="s">
        <v>1854</v>
      </c>
      <c r="C566" s="974" t="s">
        <v>111</v>
      </c>
    </row>
    <row r="567" spans="1:3" ht="15" customHeight="1" x14ac:dyDescent="0.25">
      <c r="A567" s="974" t="s">
        <v>2931</v>
      </c>
      <c r="B567" s="974" t="s">
        <v>2929</v>
      </c>
      <c r="C567" s="974" t="s">
        <v>111</v>
      </c>
    </row>
    <row r="568" spans="1:3" ht="15" customHeight="1" x14ac:dyDescent="0.25">
      <c r="A568" s="974" t="s">
        <v>2932</v>
      </c>
      <c r="B568" s="974" t="s">
        <v>2933</v>
      </c>
      <c r="C568" s="974" t="s">
        <v>1850</v>
      </c>
    </row>
    <row r="569" spans="1:3" ht="15" customHeight="1" x14ac:dyDescent="0.25">
      <c r="A569" s="974" t="s">
        <v>2934</v>
      </c>
      <c r="B569" s="974" t="s">
        <v>2935</v>
      </c>
      <c r="C569" s="974" t="s">
        <v>1850</v>
      </c>
    </row>
    <row r="570" spans="1:3" ht="15" customHeight="1" x14ac:dyDescent="0.25">
      <c r="A570" s="974" t="s">
        <v>2936</v>
      </c>
      <c r="B570" s="974" t="s">
        <v>2937</v>
      </c>
      <c r="C570" s="974" t="s">
        <v>1850</v>
      </c>
    </row>
    <row r="571" spans="1:3" ht="15" customHeight="1" x14ac:dyDescent="0.25">
      <c r="A571" s="974" t="s">
        <v>2938</v>
      </c>
      <c r="B571" s="974" t="s">
        <v>2939</v>
      </c>
      <c r="C571" s="974" t="s">
        <v>111</v>
      </c>
    </row>
    <row r="572" spans="1:3" ht="15" customHeight="1" x14ac:dyDescent="0.25">
      <c r="A572" s="974" t="s">
        <v>2940</v>
      </c>
      <c r="B572" s="974" t="s">
        <v>2941</v>
      </c>
      <c r="C572" s="974" t="s">
        <v>111</v>
      </c>
    </row>
    <row r="573" spans="1:3" ht="15" customHeight="1" x14ac:dyDescent="0.25">
      <c r="A573" s="974" t="s">
        <v>2942</v>
      </c>
      <c r="B573" s="974" t="s">
        <v>411</v>
      </c>
      <c r="C573" s="974" t="s">
        <v>111</v>
      </c>
    </row>
    <row r="574" spans="1:3" ht="15" customHeight="1" x14ac:dyDescent="0.25">
      <c r="A574" s="974" t="s">
        <v>2943</v>
      </c>
      <c r="B574" s="974" t="s">
        <v>412</v>
      </c>
      <c r="C574" s="974" t="s">
        <v>111</v>
      </c>
    </row>
    <row r="575" spans="1:3" ht="15" customHeight="1" x14ac:dyDescent="0.25">
      <c r="A575" s="974" t="s">
        <v>2944</v>
      </c>
      <c r="B575" s="974" t="s">
        <v>2945</v>
      </c>
      <c r="C575" s="974" t="s">
        <v>111</v>
      </c>
    </row>
    <row r="576" spans="1:3" ht="15" customHeight="1" x14ac:dyDescent="0.25">
      <c r="A576" s="974" t="s">
        <v>2946</v>
      </c>
      <c r="B576" s="974" t="s">
        <v>2947</v>
      </c>
      <c r="C576" s="974" t="s">
        <v>111</v>
      </c>
    </row>
    <row r="577" spans="1:3" ht="15" customHeight="1" x14ac:dyDescent="0.25">
      <c r="A577" s="974" t="s">
        <v>2948</v>
      </c>
      <c r="B577" s="974" t="s">
        <v>2949</v>
      </c>
      <c r="C577" s="974" t="s">
        <v>111</v>
      </c>
    </row>
    <row r="578" spans="1:3" ht="15" customHeight="1" x14ac:dyDescent="0.25">
      <c r="A578" s="974" t="s">
        <v>2950</v>
      </c>
      <c r="B578" s="974" t="s">
        <v>2951</v>
      </c>
      <c r="C578" s="974" t="s">
        <v>111</v>
      </c>
    </row>
    <row r="579" spans="1:3" ht="15" customHeight="1" x14ac:dyDescent="0.25">
      <c r="A579" s="974" t="s">
        <v>2952</v>
      </c>
      <c r="B579" s="974" t="s">
        <v>2953</v>
      </c>
      <c r="C579" s="974" t="s">
        <v>111</v>
      </c>
    </row>
    <row r="580" spans="1:3" ht="15" customHeight="1" x14ac:dyDescent="0.25">
      <c r="A580" s="974" t="s">
        <v>2954</v>
      </c>
      <c r="B580" s="974" t="s">
        <v>2955</v>
      </c>
      <c r="C580" s="974" t="s">
        <v>111</v>
      </c>
    </row>
    <row r="581" spans="1:3" ht="15" customHeight="1" x14ac:dyDescent="0.25">
      <c r="A581" s="974" t="s">
        <v>2956</v>
      </c>
      <c r="B581" s="974" t="s">
        <v>2957</v>
      </c>
      <c r="C581" s="974" t="s">
        <v>111</v>
      </c>
    </row>
    <row r="582" spans="1:3" ht="15" customHeight="1" x14ac:dyDescent="0.25">
      <c r="A582" s="974" t="s">
        <v>2958</v>
      </c>
      <c r="B582" s="974" t="s">
        <v>2959</v>
      </c>
      <c r="C582" s="974" t="s">
        <v>111</v>
      </c>
    </row>
    <row r="583" spans="1:3" ht="15" customHeight="1" x14ac:dyDescent="0.25">
      <c r="A583" s="974" t="s">
        <v>2960</v>
      </c>
      <c r="B583" s="974" t="s">
        <v>2961</v>
      </c>
      <c r="C583" s="974" t="s">
        <v>111</v>
      </c>
    </row>
    <row r="584" spans="1:3" ht="15" customHeight="1" x14ac:dyDescent="0.25">
      <c r="A584" s="974" t="s">
        <v>2962</v>
      </c>
      <c r="B584" s="974" t="s">
        <v>2963</v>
      </c>
      <c r="C584" s="974" t="s">
        <v>111</v>
      </c>
    </row>
    <row r="585" spans="1:3" ht="15" customHeight="1" x14ac:dyDescent="0.25">
      <c r="A585" s="974" t="s">
        <v>2964</v>
      </c>
      <c r="B585" s="974" t="s">
        <v>2965</v>
      </c>
      <c r="C585" s="974" t="s">
        <v>111</v>
      </c>
    </row>
    <row r="586" spans="1:3" ht="15" customHeight="1" x14ac:dyDescent="0.25">
      <c r="A586" s="974" t="s">
        <v>2966</v>
      </c>
      <c r="B586" s="974" t="s">
        <v>2967</v>
      </c>
      <c r="C586" s="974" t="s">
        <v>111</v>
      </c>
    </row>
    <row r="587" spans="1:3" ht="15" customHeight="1" x14ac:dyDescent="0.25">
      <c r="A587" s="974" t="s">
        <v>2968</v>
      </c>
      <c r="B587" s="974" t="s">
        <v>2969</v>
      </c>
      <c r="C587" s="974" t="s">
        <v>111</v>
      </c>
    </row>
    <row r="588" spans="1:3" ht="15" customHeight="1" x14ac:dyDescent="0.25">
      <c r="A588" s="974" t="s">
        <v>2970</v>
      </c>
      <c r="B588" s="974" t="s">
        <v>2971</v>
      </c>
      <c r="C588" s="974" t="s">
        <v>111</v>
      </c>
    </row>
    <row r="589" spans="1:3" ht="15" customHeight="1" x14ac:dyDescent="0.25">
      <c r="A589" s="974" t="s">
        <v>2972</v>
      </c>
      <c r="B589" s="974" t="s">
        <v>2973</v>
      </c>
      <c r="C589" s="974" t="s">
        <v>111</v>
      </c>
    </row>
    <row r="590" spans="1:3" ht="15" customHeight="1" x14ac:dyDescent="0.25">
      <c r="A590" s="974" t="s">
        <v>2974</v>
      </c>
      <c r="B590" s="974" t="s">
        <v>2975</v>
      </c>
      <c r="C590" s="974" t="s">
        <v>1850</v>
      </c>
    </row>
    <row r="591" spans="1:3" ht="15" customHeight="1" x14ac:dyDescent="0.25">
      <c r="A591" s="974" t="s">
        <v>2976</v>
      </c>
      <c r="B591" s="974" t="s">
        <v>2977</v>
      </c>
      <c r="C591" s="974" t="s">
        <v>1850</v>
      </c>
    </row>
    <row r="592" spans="1:3" ht="15" customHeight="1" x14ac:dyDescent="0.25">
      <c r="A592" s="974" t="s">
        <v>2978</v>
      </c>
      <c r="B592" s="974" t="s">
        <v>2979</v>
      </c>
      <c r="C592" s="974" t="s">
        <v>111</v>
      </c>
    </row>
    <row r="593" spans="1:3" ht="15" customHeight="1" x14ac:dyDescent="0.25">
      <c r="A593" s="974" t="s">
        <v>2980</v>
      </c>
      <c r="B593" s="974" t="s">
        <v>2981</v>
      </c>
      <c r="C593" s="974" t="s">
        <v>111</v>
      </c>
    </row>
    <row r="594" spans="1:3" ht="15" customHeight="1" x14ac:dyDescent="0.25">
      <c r="A594" s="974" t="s">
        <v>2982</v>
      </c>
      <c r="B594" s="974" t="s">
        <v>2983</v>
      </c>
      <c r="C594" s="974" t="s">
        <v>111</v>
      </c>
    </row>
    <row r="595" spans="1:3" ht="15" customHeight="1" x14ac:dyDescent="0.25">
      <c r="A595" s="974" t="s">
        <v>2984</v>
      </c>
      <c r="B595" s="974" t="s">
        <v>2985</v>
      </c>
      <c r="C595" s="974" t="s">
        <v>111</v>
      </c>
    </row>
    <row r="596" spans="1:3" ht="15" customHeight="1" x14ac:dyDescent="0.25">
      <c r="A596" s="974" t="s">
        <v>2986</v>
      </c>
      <c r="B596" s="974" t="s">
        <v>2987</v>
      </c>
      <c r="C596" s="974" t="s">
        <v>111</v>
      </c>
    </row>
    <row r="597" spans="1:3" ht="15" customHeight="1" x14ac:dyDescent="0.25">
      <c r="A597" s="974" t="s">
        <v>2988</v>
      </c>
      <c r="B597" s="974" t="s">
        <v>2989</v>
      </c>
      <c r="C597" s="974" t="s">
        <v>111</v>
      </c>
    </row>
    <row r="598" spans="1:3" ht="15" customHeight="1" x14ac:dyDescent="0.25">
      <c r="A598" s="974" t="s">
        <v>2990</v>
      </c>
      <c r="B598" s="974" t="s">
        <v>2991</v>
      </c>
      <c r="C598" s="974" t="s">
        <v>111</v>
      </c>
    </row>
    <row r="599" spans="1:3" ht="15" customHeight="1" x14ac:dyDescent="0.25">
      <c r="A599" s="974" t="s">
        <v>2992</v>
      </c>
      <c r="B599" s="974" t="s">
        <v>2993</v>
      </c>
      <c r="C599" s="974" t="s">
        <v>111</v>
      </c>
    </row>
    <row r="600" spans="1:3" ht="15" customHeight="1" x14ac:dyDescent="0.25">
      <c r="A600" s="974" t="s">
        <v>2994</v>
      </c>
      <c r="B600" s="974" t="s">
        <v>2995</v>
      </c>
      <c r="C600" s="974" t="s">
        <v>111</v>
      </c>
    </row>
    <row r="601" spans="1:3" ht="15" customHeight="1" x14ac:dyDescent="0.25">
      <c r="A601" s="974" t="s">
        <v>2996</v>
      </c>
      <c r="B601" s="974" t="s">
        <v>2997</v>
      </c>
      <c r="C601" s="974" t="s">
        <v>111</v>
      </c>
    </row>
    <row r="602" spans="1:3" ht="15" customHeight="1" x14ac:dyDescent="0.25">
      <c r="A602" s="974" t="s">
        <v>2998</v>
      </c>
      <c r="B602" s="974" t="s">
        <v>2987</v>
      </c>
      <c r="C602" s="974" t="s">
        <v>111</v>
      </c>
    </row>
    <row r="603" spans="1:3" ht="15" customHeight="1" x14ac:dyDescent="0.25">
      <c r="A603" s="974" t="s">
        <v>2999</v>
      </c>
      <c r="B603" s="974" t="s">
        <v>2989</v>
      </c>
      <c r="C603" s="974" t="s">
        <v>111</v>
      </c>
    </row>
    <row r="604" spans="1:3" ht="15" customHeight="1" x14ac:dyDescent="0.25">
      <c r="A604" s="974" t="s">
        <v>3000</v>
      </c>
      <c r="B604" s="974" t="s">
        <v>3001</v>
      </c>
      <c r="C604" s="974" t="s">
        <v>111</v>
      </c>
    </row>
    <row r="605" spans="1:3" ht="15" customHeight="1" x14ac:dyDescent="0.25">
      <c r="A605" s="974" t="s">
        <v>3002</v>
      </c>
      <c r="B605" s="974" t="s">
        <v>3003</v>
      </c>
      <c r="C605" s="974" t="s">
        <v>111</v>
      </c>
    </row>
    <row r="606" spans="1:3" ht="15" customHeight="1" x14ac:dyDescent="0.25">
      <c r="A606" s="974" t="s">
        <v>3004</v>
      </c>
      <c r="B606" s="974" t="s">
        <v>170</v>
      </c>
      <c r="C606" s="974" t="s">
        <v>111</v>
      </c>
    </row>
    <row r="607" spans="1:3" ht="15" customHeight="1" x14ac:dyDescent="0.25">
      <c r="A607" s="974" t="s">
        <v>3005</v>
      </c>
      <c r="B607" s="974" t="s">
        <v>3006</v>
      </c>
      <c r="C607" s="974" t="s">
        <v>111</v>
      </c>
    </row>
    <row r="608" spans="1:3" ht="15" customHeight="1" x14ac:dyDescent="0.25">
      <c r="A608" s="974" t="s">
        <v>3007</v>
      </c>
      <c r="B608" s="974" t="s">
        <v>2339</v>
      </c>
      <c r="C608" s="974" t="s">
        <v>111</v>
      </c>
    </row>
    <row r="609" spans="1:3" ht="15" customHeight="1" x14ac:dyDescent="0.25">
      <c r="A609" s="974" t="s">
        <v>3008</v>
      </c>
      <c r="B609" s="974" t="s">
        <v>3009</v>
      </c>
      <c r="C609" s="974" t="s">
        <v>111</v>
      </c>
    </row>
    <row r="610" spans="1:3" ht="15" customHeight="1" x14ac:dyDescent="0.25">
      <c r="A610" s="974" t="s">
        <v>3010</v>
      </c>
      <c r="B610" s="974" t="s">
        <v>3001</v>
      </c>
      <c r="C610" s="974" t="s">
        <v>111</v>
      </c>
    </row>
    <row r="611" spans="1:3" ht="15" customHeight="1" x14ac:dyDescent="0.25">
      <c r="A611" s="974" t="s">
        <v>3011</v>
      </c>
      <c r="B611" s="974" t="s">
        <v>3003</v>
      </c>
      <c r="C611" s="974" t="s">
        <v>111</v>
      </c>
    </row>
    <row r="612" spans="1:3" ht="15" customHeight="1" x14ac:dyDescent="0.25">
      <c r="A612" s="974" t="s">
        <v>3012</v>
      </c>
      <c r="B612" s="974" t="s">
        <v>3013</v>
      </c>
      <c r="C612" s="974" t="s">
        <v>1850</v>
      </c>
    </row>
    <row r="613" spans="1:3" ht="15" customHeight="1" x14ac:dyDescent="0.25">
      <c r="A613" s="974" t="s">
        <v>3014</v>
      </c>
      <c r="B613" s="974" t="s">
        <v>3015</v>
      </c>
      <c r="C613" s="974" t="s">
        <v>111</v>
      </c>
    </row>
    <row r="614" spans="1:3" ht="15" customHeight="1" x14ac:dyDescent="0.25">
      <c r="A614" s="974" t="s">
        <v>3016</v>
      </c>
      <c r="B614" s="974" t="s">
        <v>3017</v>
      </c>
      <c r="C614" s="974" t="s">
        <v>111</v>
      </c>
    </row>
    <row r="615" spans="1:3" ht="15" customHeight="1" x14ac:dyDescent="0.25">
      <c r="A615" s="974" t="s">
        <v>3018</v>
      </c>
      <c r="B615" s="974" t="s">
        <v>2744</v>
      </c>
      <c r="C615" s="974" t="s">
        <v>111</v>
      </c>
    </row>
    <row r="616" spans="1:3" ht="15" customHeight="1" x14ac:dyDescent="0.25">
      <c r="A616" s="974" t="s">
        <v>3019</v>
      </c>
      <c r="B616" s="974" t="s">
        <v>2746</v>
      </c>
      <c r="C616" s="974" t="s">
        <v>111</v>
      </c>
    </row>
    <row r="617" spans="1:3" ht="15" customHeight="1" x14ac:dyDescent="0.25">
      <c r="A617" s="974" t="s">
        <v>3020</v>
      </c>
      <c r="B617" s="974" t="s">
        <v>38</v>
      </c>
      <c r="C617" s="974" t="s">
        <v>111</v>
      </c>
    </row>
    <row r="618" spans="1:3" ht="15" customHeight="1" x14ac:dyDescent="0.25">
      <c r="A618" s="974" t="s">
        <v>3021</v>
      </c>
      <c r="B618" s="974" t="s">
        <v>2339</v>
      </c>
      <c r="C618" s="974" t="s">
        <v>111</v>
      </c>
    </row>
    <row r="619" spans="1:3" ht="15" customHeight="1" x14ac:dyDescent="0.25">
      <c r="A619" s="974" t="s">
        <v>3022</v>
      </c>
      <c r="B619" s="974" t="s">
        <v>3023</v>
      </c>
      <c r="C619" s="974" t="s">
        <v>111</v>
      </c>
    </row>
    <row r="620" spans="1:3" ht="15" customHeight="1" x14ac:dyDescent="0.25">
      <c r="A620" s="974" t="s">
        <v>3024</v>
      </c>
      <c r="B620" s="974" t="s">
        <v>3025</v>
      </c>
      <c r="C620" s="974" t="s">
        <v>1850</v>
      </c>
    </row>
    <row r="621" spans="1:3" ht="15" customHeight="1" x14ac:dyDescent="0.25">
      <c r="A621" s="974" t="s">
        <v>3026</v>
      </c>
      <c r="B621" s="974" t="s">
        <v>3027</v>
      </c>
      <c r="C621" s="974" t="s">
        <v>1850</v>
      </c>
    </row>
    <row r="622" spans="1:3" ht="15" customHeight="1" x14ac:dyDescent="0.25">
      <c r="A622" s="974" t="s">
        <v>3028</v>
      </c>
      <c r="B622" s="974" t="s">
        <v>2750</v>
      </c>
      <c r="C622" s="974" t="s">
        <v>111</v>
      </c>
    </row>
    <row r="623" spans="1:3" ht="15" customHeight="1" x14ac:dyDescent="0.25">
      <c r="A623" s="974" t="s">
        <v>3029</v>
      </c>
      <c r="B623" s="974" t="s">
        <v>2752</v>
      </c>
      <c r="C623" s="974" t="s">
        <v>111</v>
      </c>
    </row>
    <row r="624" spans="1:3" ht="15" customHeight="1" x14ac:dyDescent="0.25">
      <c r="A624" s="974" t="s">
        <v>3030</v>
      </c>
      <c r="B624" s="974" t="s">
        <v>3031</v>
      </c>
      <c r="C624" s="974" t="s">
        <v>1850</v>
      </c>
    </row>
    <row r="625" spans="1:3" ht="15" customHeight="1" x14ac:dyDescent="0.25">
      <c r="A625" s="974" t="s">
        <v>3032</v>
      </c>
      <c r="B625" s="974" t="s">
        <v>3033</v>
      </c>
      <c r="C625" s="974" t="s">
        <v>1850</v>
      </c>
    </row>
    <row r="626" spans="1:3" ht="15" customHeight="1" x14ac:dyDescent="0.25">
      <c r="A626" s="974" t="s">
        <v>3034</v>
      </c>
      <c r="B626" s="974" t="s">
        <v>3035</v>
      </c>
      <c r="C626" s="974" t="s">
        <v>1850</v>
      </c>
    </row>
    <row r="627" spans="1:3" ht="15" customHeight="1" x14ac:dyDescent="0.25">
      <c r="A627" s="974" t="s">
        <v>3036</v>
      </c>
      <c r="B627" s="974" t="s">
        <v>3037</v>
      </c>
      <c r="C627" s="974" t="s">
        <v>1850</v>
      </c>
    </row>
    <row r="628" spans="1:3" ht="15" customHeight="1" x14ac:dyDescent="0.25">
      <c r="A628" s="974" t="s">
        <v>3038</v>
      </c>
      <c r="B628" s="974" t="s">
        <v>3039</v>
      </c>
      <c r="C628" s="974" t="s">
        <v>111</v>
      </c>
    </row>
    <row r="629" spans="1:3" ht="15" customHeight="1" x14ac:dyDescent="0.25">
      <c r="A629" s="974" t="s">
        <v>3040</v>
      </c>
      <c r="B629" s="974" t="s">
        <v>3041</v>
      </c>
      <c r="C629" s="974" t="s">
        <v>111</v>
      </c>
    </row>
    <row r="630" spans="1:3" ht="15" customHeight="1" x14ac:dyDescent="0.25">
      <c r="A630" s="974" t="s">
        <v>3042</v>
      </c>
      <c r="B630" s="974" t="s">
        <v>3043</v>
      </c>
      <c r="C630" s="974" t="s">
        <v>111</v>
      </c>
    </row>
    <row r="631" spans="1:3" ht="15" customHeight="1" x14ac:dyDescent="0.25">
      <c r="A631" s="974" t="s">
        <v>3044</v>
      </c>
      <c r="B631" s="974" t="s">
        <v>3045</v>
      </c>
      <c r="C631" s="974" t="s">
        <v>1850</v>
      </c>
    </row>
    <row r="632" spans="1:3" ht="15" customHeight="1" x14ac:dyDescent="0.25">
      <c r="A632" s="974" t="s">
        <v>3046</v>
      </c>
      <c r="B632" s="974" t="s">
        <v>3047</v>
      </c>
      <c r="C632" s="974" t="s">
        <v>111</v>
      </c>
    </row>
    <row r="633" spans="1:3" ht="15" customHeight="1" x14ac:dyDescent="0.25">
      <c r="A633" s="974" t="s">
        <v>3048</v>
      </c>
      <c r="B633" s="974" t="s">
        <v>2953</v>
      </c>
      <c r="C633" s="974" t="s">
        <v>111</v>
      </c>
    </row>
    <row r="634" spans="1:3" ht="15" customHeight="1" x14ac:dyDescent="0.25">
      <c r="A634" s="974" t="s">
        <v>3049</v>
      </c>
      <c r="B634" s="974" t="s">
        <v>3050</v>
      </c>
      <c r="C634" s="974" t="s">
        <v>111</v>
      </c>
    </row>
    <row r="635" spans="1:3" ht="15" customHeight="1" x14ac:dyDescent="0.25">
      <c r="A635" s="974" t="s">
        <v>3051</v>
      </c>
      <c r="B635" s="974" t="s">
        <v>3052</v>
      </c>
      <c r="C635" s="974" t="s">
        <v>111</v>
      </c>
    </row>
    <row r="636" spans="1:3" ht="15" customHeight="1" x14ac:dyDescent="0.25">
      <c r="A636" s="974" t="s">
        <v>3053</v>
      </c>
      <c r="B636" s="974" t="s">
        <v>3054</v>
      </c>
      <c r="C636" s="974" t="s">
        <v>111</v>
      </c>
    </row>
    <row r="637" spans="1:3" ht="15" customHeight="1" x14ac:dyDescent="0.25">
      <c r="A637" s="974" t="s">
        <v>3055</v>
      </c>
      <c r="B637" s="974" t="s">
        <v>3056</v>
      </c>
      <c r="C637" s="974" t="s">
        <v>111</v>
      </c>
    </row>
    <row r="638" spans="1:3" ht="15" customHeight="1" x14ac:dyDescent="0.25">
      <c r="A638" s="974" t="s">
        <v>3057</v>
      </c>
      <c r="B638" s="974" t="s">
        <v>3058</v>
      </c>
      <c r="C638" s="974" t="s">
        <v>111</v>
      </c>
    </row>
    <row r="639" spans="1:3" ht="15" customHeight="1" x14ac:dyDescent="0.25">
      <c r="A639" s="974" t="s">
        <v>3059</v>
      </c>
      <c r="B639" s="974" t="s">
        <v>3060</v>
      </c>
      <c r="C639" s="974" t="s">
        <v>111</v>
      </c>
    </row>
    <row r="640" spans="1:3" ht="15" customHeight="1" x14ac:dyDescent="0.25">
      <c r="A640" s="974" t="s">
        <v>3061</v>
      </c>
      <c r="B640" s="974" t="s">
        <v>3062</v>
      </c>
      <c r="C640" s="974" t="s">
        <v>111</v>
      </c>
    </row>
    <row r="641" spans="1:3" ht="15" customHeight="1" x14ac:dyDescent="0.25">
      <c r="A641" s="974" t="s">
        <v>3063</v>
      </c>
      <c r="B641" s="974" t="s">
        <v>3064</v>
      </c>
      <c r="C641" s="974" t="s">
        <v>111</v>
      </c>
    </row>
    <row r="642" spans="1:3" ht="15" customHeight="1" x14ac:dyDescent="0.25">
      <c r="A642" s="974" t="s">
        <v>3065</v>
      </c>
      <c r="B642" s="974" t="s">
        <v>3066</v>
      </c>
      <c r="C642" s="974" t="s">
        <v>111</v>
      </c>
    </row>
    <row r="643" spans="1:3" ht="15" customHeight="1" x14ac:dyDescent="0.25">
      <c r="A643" s="974" t="s">
        <v>3067</v>
      </c>
      <c r="B643" s="974" t="s">
        <v>3068</v>
      </c>
      <c r="C643" s="974" t="s">
        <v>111</v>
      </c>
    </row>
    <row r="644" spans="1:3" ht="15" customHeight="1" x14ac:dyDescent="0.25">
      <c r="A644" s="974" t="s">
        <v>3069</v>
      </c>
      <c r="B644" s="974" t="s">
        <v>3070</v>
      </c>
      <c r="C644" s="974" t="s">
        <v>111</v>
      </c>
    </row>
    <row r="645" spans="1:3" ht="15" customHeight="1" x14ac:dyDescent="0.25">
      <c r="A645" s="974" t="s">
        <v>3071</v>
      </c>
      <c r="B645" s="974" t="s">
        <v>3072</v>
      </c>
      <c r="C645" s="974" t="s">
        <v>111</v>
      </c>
    </row>
    <row r="646" spans="1:3" ht="15" customHeight="1" x14ac:dyDescent="0.25">
      <c r="A646" s="974" t="s">
        <v>3073</v>
      </c>
      <c r="B646" s="974" t="s">
        <v>3074</v>
      </c>
      <c r="C646" s="974" t="s">
        <v>111</v>
      </c>
    </row>
    <row r="647" spans="1:3" ht="15" customHeight="1" x14ac:dyDescent="0.25">
      <c r="A647" s="974" t="s">
        <v>3075</v>
      </c>
      <c r="B647" s="974" t="s">
        <v>3076</v>
      </c>
      <c r="C647" s="974" t="s">
        <v>111</v>
      </c>
    </row>
    <row r="648" spans="1:3" ht="15" customHeight="1" x14ac:dyDescent="0.25">
      <c r="A648" s="974" t="s">
        <v>3077</v>
      </c>
      <c r="B648" s="974" t="s">
        <v>3078</v>
      </c>
      <c r="C648" s="974" t="s">
        <v>111</v>
      </c>
    </row>
    <row r="649" spans="1:3" ht="15" customHeight="1" x14ac:dyDescent="0.25">
      <c r="A649" s="974" t="s">
        <v>3079</v>
      </c>
      <c r="B649" s="974" t="s">
        <v>3080</v>
      </c>
      <c r="C649" s="974" t="s">
        <v>111</v>
      </c>
    </row>
    <row r="650" spans="1:3" ht="15" customHeight="1" x14ac:dyDescent="0.25">
      <c r="A650" s="974" t="s">
        <v>3081</v>
      </c>
      <c r="B650" s="974" t="s">
        <v>3082</v>
      </c>
      <c r="C650" s="974" t="s">
        <v>111</v>
      </c>
    </row>
    <row r="651" spans="1:3" ht="15" customHeight="1" x14ac:dyDescent="0.25">
      <c r="A651" s="974" t="s">
        <v>3083</v>
      </c>
      <c r="B651" s="974" t="s">
        <v>3084</v>
      </c>
      <c r="C651" s="974" t="s">
        <v>111</v>
      </c>
    </row>
    <row r="652" spans="1:3" ht="15" customHeight="1" x14ac:dyDescent="0.25">
      <c r="A652" s="974" t="s">
        <v>3085</v>
      </c>
      <c r="B652" s="974" t="s">
        <v>3086</v>
      </c>
      <c r="C652" s="974" t="s">
        <v>111</v>
      </c>
    </row>
    <row r="653" spans="1:3" ht="15" customHeight="1" x14ac:dyDescent="0.25">
      <c r="A653" s="974" t="s">
        <v>3087</v>
      </c>
      <c r="B653" s="974" t="s">
        <v>3088</v>
      </c>
      <c r="C653" s="974" t="s">
        <v>111</v>
      </c>
    </row>
    <row r="654" spans="1:3" ht="15" customHeight="1" x14ac:dyDescent="0.25">
      <c r="A654" s="974" t="s">
        <v>3089</v>
      </c>
      <c r="B654" s="974" t="s">
        <v>3090</v>
      </c>
      <c r="C654" s="974" t="s">
        <v>111</v>
      </c>
    </row>
    <row r="655" spans="1:3" ht="15" customHeight="1" x14ac:dyDescent="0.25">
      <c r="A655" s="974" t="s">
        <v>3091</v>
      </c>
      <c r="B655" s="974" t="s">
        <v>3092</v>
      </c>
      <c r="C655" s="974" t="s">
        <v>1850</v>
      </c>
    </row>
    <row r="656" spans="1:3" ht="15" customHeight="1" x14ac:dyDescent="0.25">
      <c r="A656" s="974" t="s">
        <v>3093</v>
      </c>
      <c r="B656" s="974" t="s">
        <v>3094</v>
      </c>
      <c r="C656" s="974" t="s">
        <v>111</v>
      </c>
    </row>
    <row r="657" spans="1:3" ht="15" customHeight="1" x14ac:dyDescent="0.25">
      <c r="A657" s="974" t="s">
        <v>3095</v>
      </c>
      <c r="B657" s="974" t="s">
        <v>3096</v>
      </c>
      <c r="C657" s="974" t="s">
        <v>111</v>
      </c>
    </row>
    <row r="658" spans="1:3" ht="15" customHeight="1" x14ac:dyDescent="0.25">
      <c r="A658" s="974" t="s">
        <v>3097</v>
      </c>
      <c r="B658" s="974" t="s">
        <v>372</v>
      </c>
      <c r="C658" s="974" t="s">
        <v>111</v>
      </c>
    </row>
    <row r="659" spans="1:3" ht="15" customHeight="1" x14ac:dyDescent="0.25">
      <c r="A659" s="974" t="s">
        <v>3098</v>
      </c>
      <c r="B659" s="974" t="s">
        <v>3099</v>
      </c>
      <c r="C659" s="974" t="s">
        <v>1850</v>
      </c>
    </row>
    <row r="660" spans="1:3" ht="15" customHeight="1" x14ac:dyDescent="0.25">
      <c r="A660" s="974" t="s">
        <v>3100</v>
      </c>
      <c r="B660" s="974" t="s">
        <v>3101</v>
      </c>
      <c r="C660" s="974" t="s">
        <v>1850</v>
      </c>
    </row>
    <row r="661" spans="1:3" ht="15" customHeight="1" x14ac:dyDescent="0.25">
      <c r="A661" s="974" t="s">
        <v>3102</v>
      </c>
      <c r="B661" s="974" t="s">
        <v>3103</v>
      </c>
      <c r="C661" s="974" t="s">
        <v>1850</v>
      </c>
    </row>
    <row r="662" spans="1:3" ht="15" customHeight="1" x14ac:dyDescent="0.25">
      <c r="A662" s="974" t="s">
        <v>3104</v>
      </c>
      <c r="B662" s="974" t="s">
        <v>3105</v>
      </c>
      <c r="C662" s="974" t="s">
        <v>1850</v>
      </c>
    </row>
    <row r="663" spans="1:3" ht="15" customHeight="1" x14ac:dyDescent="0.25">
      <c r="A663" s="974" t="s">
        <v>3106</v>
      </c>
      <c r="B663" s="974" t="s">
        <v>3107</v>
      </c>
      <c r="C663" s="974" t="s">
        <v>1850</v>
      </c>
    </row>
    <row r="664" spans="1:3" ht="15" customHeight="1" x14ac:dyDescent="0.25">
      <c r="A664" s="974" t="s">
        <v>3108</v>
      </c>
      <c r="B664" s="974" t="s">
        <v>3109</v>
      </c>
      <c r="C664" s="974" t="s">
        <v>1850</v>
      </c>
    </row>
    <row r="665" spans="1:3" ht="15" customHeight="1" x14ac:dyDescent="0.25">
      <c r="A665" s="974" t="s">
        <v>3110</v>
      </c>
      <c r="B665" s="974" t="s">
        <v>3111</v>
      </c>
      <c r="C665" s="974" t="s">
        <v>111</v>
      </c>
    </row>
    <row r="666" spans="1:3" ht="15" customHeight="1" x14ac:dyDescent="0.25">
      <c r="A666" s="974" t="s">
        <v>3112</v>
      </c>
      <c r="B666" s="974" t="s">
        <v>2011</v>
      </c>
      <c r="C666" s="974" t="s">
        <v>111</v>
      </c>
    </row>
    <row r="667" spans="1:3" ht="15" customHeight="1" x14ac:dyDescent="0.25">
      <c r="A667" s="974" t="s">
        <v>3113</v>
      </c>
      <c r="B667" s="974" t="s">
        <v>3114</v>
      </c>
      <c r="C667" s="974" t="s">
        <v>111</v>
      </c>
    </row>
    <row r="668" spans="1:3" ht="15" customHeight="1" x14ac:dyDescent="0.25">
      <c r="A668" s="974" t="s">
        <v>3115</v>
      </c>
      <c r="B668" s="974" t="s">
        <v>3116</v>
      </c>
      <c r="C668" s="974" t="s">
        <v>111</v>
      </c>
    </row>
    <row r="669" spans="1:3" ht="15" customHeight="1" x14ac:dyDescent="0.25">
      <c r="A669" s="974" t="s">
        <v>3117</v>
      </c>
      <c r="B669" s="974" t="s">
        <v>3118</v>
      </c>
      <c r="C669" s="974" t="s">
        <v>111</v>
      </c>
    </row>
    <row r="670" spans="1:3" ht="15" customHeight="1" x14ac:dyDescent="0.25">
      <c r="A670" s="974" t="s">
        <v>3119</v>
      </c>
      <c r="B670" s="974" t="s">
        <v>3120</v>
      </c>
      <c r="C670" s="974" t="s">
        <v>111</v>
      </c>
    </row>
    <row r="671" spans="1:3" ht="15" customHeight="1" x14ac:dyDescent="0.25">
      <c r="A671" s="974" t="s">
        <v>3121</v>
      </c>
      <c r="B671" s="974" t="s">
        <v>3122</v>
      </c>
      <c r="C671" s="974" t="s">
        <v>111</v>
      </c>
    </row>
    <row r="672" spans="1:3" ht="15" customHeight="1" x14ac:dyDescent="0.25">
      <c r="A672" s="974" t="s">
        <v>3123</v>
      </c>
      <c r="B672" s="974" t="s">
        <v>3124</v>
      </c>
      <c r="C672" s="974" t="s">
        <v>1850</v>
      </c>
    </row>
    <row r="673" spans="1:3" ht="15" customHeight="1" x14ac:dyDescent="0.25">
      <c r="A673" s="974" t="s">
        <v>3125</v>
      </c>
      <c r="B673" s="974" t="s">
        <v>3126</v>
      </c>
      <c r="C673" s="974" t="s">
        <v>1850</v>
      </c>
    </row>
    <row r="674" spans="1:3" ht="15" customHeight="1" x14ac:dyDescent="0.25">
      <c r="A674" s="974" t="s">
        <v>3127</v>
      </c>
      <c r="B674" s="974" t="s">
        <v>3128</v>
      </c>
      <c r="C674" s="974" t="s">
        <v>1850</v>
      </c>
    </row>
    <row r="675" spans="1:3" ht="15" customHeight="1" x14ac:dyDescent="0.25">
      <c r="A675" s="974" t="s">
        <v>3129</v>
      </c>
      <c r="B675" s="974" t="s">
        <v>3130</v>
      </c>
      <c r="C675" s="974" t="s">
        <v>1850</v>
      </c>
    </row>
    <row r="676" spans="1:3" ht="15" customHeight="1" x14ac:dyDescent="0.25">
      <c r="A676" s="974" t="s">
        <v>3131</v>
      </c>
      <c r="B676" s="974" t="s">
        <v>3132</v>
      </c>
      <c r="C676" s="974" t="s">
        <v>111</v>
      </c>
    </row>
    <row r="677" spans="1:3" ht="15" customHeight="1" x14ac:dyDescent="0.25">
      <c r="A677" s="974" t="s">
        <v>3133</v>
      </c>
      <c r="B677" s="974" t="s">
        <v>3134</v>
      </c>
      <c r="C677" s="974" t="s">
        <v>111</v>
      </c>
    </row>
    <row r="678" spans="1:3" ht="15" customHeight="1" x14ac:dyDescent="0.25">
      <c r="A678" s="974" t="s">
        <v>3135</v>
      </c>
      <c r="B678" s="974" t="s">
        <v>3136</v>
      </c>
      <c r="C678" s="974" t="s">
        <v>1850</v>
      </c>
    </row>
    <row r="679" spans="1:3" ht="15" customHeight="1" x14ac:dyDescent="0.25">
      <c r="A679" s="974" t="s">
        <v>3137</v>
      </c>
      <c r="B679" s="974" t="s">
        <v>3138</v>
      </c>
      <c r="C679" s="974" t="s">
        <v>1850</v>
      </c>
    </row>
    <row r="680" spans="1:3" ht="15" customHeight="1" x14ac:dyDescent="0.25">
      <c r="A680" s="974" t="s">
        <v>3139</v>
      </c>
      <c r="B680" s="974" t="s">
        <v>3140</v>
      </c>
      <c r="C680" s="974" t="s">
        <v>1850</v>
      </c>
    </row>
    <row r="681" spans="1:3" ht="15" customHeight="1" x14ac:dyDescent="0.25">
      <c r="A681" s="974" t="s">
        <v>3141</v>
      </c>
      <c r="B681" s="974" t="s">
        <v>3142</v>
      </c>
      <c r="C681" s="974" t="s">
        <v>1850</v>
      </c>
    </row>
    <row r="682" spans="1:3" ht="15" customHeight="1" x14ac:dyDescent="0.25">
      <c r="A682" s="974" t="s">
        <v>3143</v>
      </c>
      <c r="B682" s="974" t="s">
        <v>3144</v>
      </c>
      <c r="C682" s="974" t="s">
        <v>1850</v>
      </c>
    </row>
    <row r="683" spans="1:3" ht="15" customHeight="1" x14ac:dyDescent="0.25">
      <c r="A683" s="974" t="s">
        <v>3145</v>
      </c>
      <c r="B683" s="974" t="s">
        <v>3146</v>
      </c>
      <c r="C683" s="974" t="s">
        <v>1850</v>
      </c>
    </row>
    <row r="684" spans="1:3" ht="15" customHeight="1" x14ac:dyDescent="0.25">
      <c r="A684" s="974" t="s">
        <v>3147</v>
      </c>
      <c r="B684" s="974" t="s">
        <v>3148</v>
      </c>
      <c r="C684" s="974" t="s">
        <v>1850</v>
      </c>
    </row>
    <row r="685" spans="1:3" ht="15" customHeight="1" x14ac:dyDescent="0.25">
      <c r="A685" s="974" t="s">
        <v>3149</v>
      </c>
      <c r="B685" s="974" t="s">
        <v>3150</v>
      </c>
      <c r="C685" s="974" t="s">
        <v>1850</v>
      </c>
    </row>
    <row r="686" spans="1:3" ht="15" customHeight="1" x14ac:dyDescent="0.25">
      <c r="A686" s="974" t="s">
        <v>3151</v>
      </c>
      <c r="B686" s="974" t="s">
        <v>3152</v>
      </c>
      <c r="C686" s="974" t="s">
        <v>1850</v>
      </c>
    </row>
    <row r="687" spans="1:3" ht="15" customHeight="1" x14ac:dyDescent="0.25">
      <c r="A687" s="974" t="s">
        <v>3153</v>
      </c>
      <c r="B687" s="974" t="s">
        <v>3154</v>
      </c>
      <c r="C687" s="974" t="s">
        <v>1850</v>
      </c>
    </row>
    <row r="688" spans="1:3" ht="15" customHeight="1" x14ac:dyDescent="0.25">
      <c r="A688" s="974" t="s">
        <v>3155</v>
      </c>
      <c r="B688" s="974" t="s">
        <v>3156</v>
      </c>
      <c r="C688" s="974" t="s">
        <v>1850</v>
      </c>
    </row>
    <row r="689" spans="1:3" ht="15" customHeight="1" x14ac:dyDescent="0.25">
      <c r="A689" s="974" t="s">
        <v>3157</v>
      </c>
      <c r="B689" s="974" t="s">
        <v>3158</v>
      </c>
      <c r="C689" s="974" t="s">
        <v>1850</v>
      </c>
    </row>
    <row r="690" spans="1:3" ht="15" customHeight="1" x14ac:dyDescent="0.25">
      <c r="A690" s="974" t="s">
        <v>3159</v>
      </c>
      <c r="B690" s="974" t="s">
        <v>3160</v>
      </c>
      <c r="C690" s="974" t="s">
        <v>1850</v>
      </c>
    </row>
    <row r="691" spans="1:3" ht="15" customHeight="1" x14ac:dyDescent="0.25">
      <c r="A691" s="974" t="s">
        <v>3161</v>
      </c>
      <c r="B691" s="974" t="s">
        <v>3162</v>
      </c>
      <c r="C691" s="974" t="s">
        <v>1850</v>
      </c>
    </row>
    <row r="692" spans="1:3" ht="15" customHeight="1" x14ac:dyDescent="0.25">
      <c r="A692" s="974" t="s">
        <v>3163</v>
      </c>
      <c r="B692" s="974" t="s">
        <v>3164</v>
      </c>
      <c r="C692" s="974" t="s">
        <v>1850</v>
      </c>
    </row>
    <row r="693" spans="1:3" ht="15" customHeight="1" x14ac:dyDescent="0.25">
      <c r="A693" s="974" t="s">
        <v>3165</v>
      </c>
      <c r="B693" s="974" t="s">
        <v>3166</v>
      </c>
      <c r="C693" s="974" t="s">
        <v>1850</v>
      </c>
    </row>
    <row r="694" spans="1:3" ht="15" customHeight="1" x14ac:dyDescent="0.25">
      <c r="A694" s="974" t="s">
        <v>3167</v>
      </c>
      <c r="B694" s="974" t="s">
        <v>3168</v>
      </c>
      <c r="C694" s="974" t="s">
        <v>1850</v>
      </c>
    </row>
    <row r="695" spans="1:3" ht="15" customHeight="1" x14ac:dyDescent="0.25">
      <c r="A695" s="974" t="s">
        <v>3169</v>
      </c>
      <c r="B695" s="974" t="s">
        <v>3170</v>
      </c>
      <c r="C695" s="974" t="s">
        <v>1850</v>
      </c>
    </row>
    <row r="696" spans="1:3" ht="15" customHeight="1" x14ac:dyDescent="0.25">
      <c r="A696" s="974" t="s">
        <v>3171</v>
      </c>
      <c r="B696" s="974" t="s">
        <v>3172</v>
      </c>
      <c r="C696" s="974" t="s">
        <v>1850</v>
      </c>
    </row>
    <row r="697" spans="1:3" ht="15" customHeight="1" x14ac:dyDescent="0.25">
      <c r="A697" s="974" t="s">
        <v>3173</v>
      </c>
      <c r="B697" s="974" t="s">
        <v>3174</v>
      </c>
      <c r="C697" s="974" t="s">
        <v>111</v>
      </c>
    </row>
    <row r="698" spans="1:3" ht="15" customHeight="1" x14ac:dyDescent="0.25">
      <c r="A698" s="974" t="s">
        <v>3175</v>
      </c>
      <c r="B698" s="974" t="s">
        <v>3176</v>
      </c>
      <c r="C698" s="974" t="s">
        <v>111</v>
      </c>
    </row>
    <row r="699" spans="1:3" ht="15" customHeight="1" x14ac:dyDescent="0.25">
      <c r="A699" s="974" t="s">
        <v>3177</v>
      </c>
      <c r="B699" s="974" t="s">
        <v>3174</v>
      </c>
      <c r="C699" s="974" t="s">
        <v>111</v>
      </c>
    </row>
    <row r="700" spans="1:3" ht="15" customHeight="1" x14ac:dyDescent="0.25">
      <c r="A700" s="974" t="s">
        <v>3178</v>
      </c>
      <c r="B700" s="974" t="s">
        <v>3176</v>
      </c>
      <c r="C700" s="974" t="s">
        <v>111</v>
      </c>
    </row>
    <row r="701" spans="1:3" ht="15" customHeight="1" x14ac:dyDescent="0.25">
      <c r="A701" s="974" t="s">
        <v>3179</v>
      </c>
      <c r="B701" s="974" t="s">
        <v>3174</v>
      </c>
      <c r="C701" s="974" t="s">
        <v>111</v>
      </c>
    </row>
    <row r="702" spans="1:3" ht="15" customHeight="1" x14ac:dyDescent="0.25">
      <c r="A702" s="974" t="s">
        <v>3180</v>
      </c>
      <c r="B702" s="974" t="s">
        <v>3176</v>
      </c>
      <c r="C702" s="974" t="s">
        <v>111</v>
      </c>
    </row>
    <row r="703" spans="1:3" ht="15" customHeight="1" x14ac:dyDescent="0.25">
      <c r="A703" s="974" t="s">
        <v>3181</v>
      </c>
      <c r="B703" s="974" t="s">
        <v>3182</v>
      </c>
      <c r="C703" s="974" t="s">
        <v>1850</v>
      </c>
    </row>
    <row r="704" spans="1:3" ht="15" customHeight="1" x14ac:dyDescent="0.25">
      <c r="A704" s="974" t="s">
        <v>3183</v>
      </c>
      <c r="B704" s="974" t="s">
        <v>3184</v>
      </c>
      <c r="C704" s="974" t="s">
        <v>1850</v>
      </c>
    </row>
    <row r="705" spans="1:3" ht="15" customHeight="1" x14ac:dyDescent="0.25">
      <c r="A705" s="974" t="s">
        <v>3185</v>
      </c>
      <c r="B705" s="974" t="s">
        <v>3186</v>
      </c>
      <c r="C705" s="974" t="s">
        <v>1850</v>
      </c>
    </row>
    <row r="706" spans="1:3" ht="15" customHeight="1" x14ac:dyDescent="0.25">
      <c r="A706" s="974" t="s">
        <v>3187</v>
      </c>
      <c r="B706" s="974" t="s">
        <v>3188</v>
      </c>
      <c r="C706" s="974" t="s">
        <v>1850</v>
      </c>
    </row>
    <row r="707" spans="1:3" ht="15" customHeight="1" x14ac:dyDescent="0.25">
      <c r="A707" s="974" t="s">
        <v>3189</v>
      </c>
      <c r="B707" s="974" t="s">
        <v>3190</v>
      </c>
      <c r="C707" s="974" t="s">
        <v>1850</v>
      </c>
    </row>
    <row r="708" spans="1:3" ht="15" customHeight="1" x14ac:dyDescent="0.25">
      <c r="A708" s="974" t="s">
        <v>3191</v>
      </c>
      <c r="B708" s="974" t="s">
        <v>3192</v>
      </c>
      <c r="C708" s="974" t="s">
        <v>1850</v>
      </c>
    </row>
    <row r="709" spans="1:3" ht="15" customHeight="1" x14ac:dyDescent="0.25">
      <c r="A709" s="974" t="s">
        <v>3193</v>
      </c>
      <c r="B709" s="974" t="s">
        <v>3194</v>
      </c>
      <c r="C709" s="974" t="s">
        <v>1850</v>
      </c>
    </row>
    <row r="710" spans="1:3" ht="15" customHeight="1" x14ac:dyDescent="0.25">
      <c r="A710" s="974" t="s">
        <v>3195</v>
      </c>
      <c r="B710" s="974" t="s">
        <v>3196</v>
      </c>
      <c r="C710" s="974" t="s">
        <v>1850</v>
      </c>
    </row>
    <row r="711" spans="1:3" ht="15" customHeight="1" x14ac:dyDescent="0.25">
      <c r="A711" s="974" t="s">
        <v>3197</v>
      </c>
      <c r="B711" s="974" t="s">
        <v>3198</v>
      </c>
      <c r="C711" s="974" t="s">
        <v>1850</v>
      </c>
    </row>
    <row r="712" spans="1:3" ht="15" customHeight="1" x14ac:dyDescent="0.25">
      <c r="A712" s="974" t="s">
        <v>3199</v>
      </c>
      <c r="B712" s="974" t="s">
        <v>3200</v>
      </c>
      <c r="C712" s="974" t="s">
        <v>1850</v>
      </c>
    </row>
    <row r="713" spans="1:3" ht="15" customHeight="1" x14ac:dyDescent="0.25">
      <c r="A713" s="974" t="s">
        <v>3201</v>
      </c>
      <c r="B713" s="974" t="s">
        <v>3202</v>
      </c>
      <c r="C713" s="974" t="s">
        <v>111</v>
      </c>
    </row>
    <row r="714" spans="1:3" ht="15" customHeight="1" x14ac:dyDescent="0.25">
      <c r="A714" s="974" t="s">
        <v>3203</v>
      </c>
      <c r="B714" s="974" t="s">
        <v>3204</v>
      </c>
      <c r="C714" s="974" t="s">
        <v>111</v>
      </c>
    </row>
    <row r="715" spans="1:3" ht="15" customHeight="1" x14ac:dyDescent="0.25">
      <c r="A715" s="974" t="s">
        <v>3205</v>
      </c>
      <c r="B715" s="974" t="s">
        <v>3206</v>
      </c>
      <c r="C715" s="974" t="s">
        <v>111</v>
      </c>
    </row>
    <row r="716" spans="1:3" ht="15" customHeight="1" x14ac:dyDescent="0.25">
      <c r="A716" s="974" t="s">
        <v>3207</v>
      </c>
      <c r="B716" s="974" t="s">
        <v>3208</v>
      </c>
      <c r="C716" s="974" t="s">
        <v>111</v>
      </c>
    </row>
    <row r="717" spans="1:3" ht="15" customHeight="1" x14ac:dyDescent="0.25">
      <c r="A717" s="974" t="s">
        <v>3209</v>
      </c>
      <c r="B717" s="974" t="s">
        <v>456</v>
      </c>
      <c r="C717" s="974" t="s">
        <v>111</v>
      </c>
    </row>
    <row r="718" spans="1:3" ht="15" customHeight="1" x14ac:dyDescent="0.25">
      <c r="A718" s="974" t="s">
        <v>3210</v>
      </c>
      <c r="B718" s="974" t="s">
        <v>3211</v>
      </c>
      <c r="C718" s="974" t="s">
        <v>111</v>
      </c>
    </row>
    <row r="719" spans="1:3" ht="15" customHeight="1" x14ac:dyDescent="0.25">
      <c r="A719" s="974" t="s">
        <v>3212</v>
      </c>
      <c r="B719" s="974" t="s">
        <v>3213</v>
      </c>
      <c r="C719" s="974" t="s">
        <v>111</v>
      </c>
    </row>
    <row r="720" spans="1:3" ht="15" customHeight="1" x14ac:dyDescent="0.25">
      <c r="A720" s="974" t="s">
        <v>3214</v>
      </c>
      <c r="B720" s="974" t="s">
        <v>3215</v>
      </c>
      <c r="C720" s="974" t="s">
        <v>111</v>
      </c>
    </row>
    <row r="721" spans="1:3" ht="15" customHeight="1" x14ac:dyDescent="0.25">
      <c r="A721" s="974" t="s">
        <v>3216</v>
      </c>
      <c r="B721" s="974" t="s">
        <v>3206</v>
      </c>
      <c r="C721" s="974" t="s">
        <v>111</v>
      </c>
    </row>
    <row r="722" spans="1:3" ht="15" customHeight="1" x14ac:dyDescent="0.25">
      <c r="A722" s="974" t="s">
        <v>3217</v>
      </c>
      <c r="B722" s="974" t="s">
        <v>3208</v>
      </c>
      <c r="C722" s="974" t="s">
        <v>111</v>
      </c>
    </row>
    <row r="723" spans="1:3" ht="15" customHeight="1" x14ac:dyDescent="0.25">
      <c r="A723" s="974" t="s">
        <v>3218</v>
      </c>
      <c r="B723" s="974" t="s">
        <v>456</v>
      </c>
      <c r="C723" s="974" t="s">
        <v>111</v>
      </c>
    </row>
    <row r="724" spans="1:3" ht="15" customHeight="1" x14ac:dyDescent="0.25">
      <c r="A724" s="974" t="s">
        <v>3219</v>
      </c>
      <c r="B724" s="974" t="s">
        <v>3211</v>
      </c>
      <c r="C724" s="974" t="s">
        <v>111</v>
      </c>
    </row>
    <row r="725" spans="1:3" ht="15" customHeight="1" x14ac:dyDescent="0.25">
      <c r="A725" s="974" t="s">
        <v>3220</v>
      </c>
      <c r="B725" s="974" t="s">
        <v>3221</v>
      </c>
      <c r="C725" s="974" t="s">
        <v>111</v>
      </c>
    </row>
    <row r="726" spans="1:3" ht="15" customHeight="1" x14ac:dyDescent="0.25">
      <c r="A726" s="974" t="s">
        <v>3222</v>
      </c>
      <c r="B726" s="974" t="s">
        <v>3223</v>
      </c>
      <c r="C726" s="974" t="s">
        <v>111</v>
      </c>
    </row>
    <row r="727" spans="1:3" ht="15" customHeight="1" x14ac:dyDescent="0.25">
      <c r="A727" s="974" t="s">
        <v>3224</v>
      </c>
      <c r="B727" s="974" t="s">
        <v>3225</v>
      </c>
      <c r="C727" s="974" t="s">
        <v>111</v>
      </c>
    </row>
    <row r="728" spans="1:3" ht="15" customHeight="1" x14ac:dyDescent="0.25">
      <c r="A728" s="974" t="s">
        <v>3226</v>
      </c>
      <c r="B728" s="974" t="s">
        <v>3227</v>
      </c>
      <c r="C728" s="974" t="s">
        <v>111</v>
      </c>
    </row>
    <row r="729" spans="1:3" ht="15" customHeight="1" x14ac:dyDescent="0.25">
      <c r="A729" s="974" t="s">
        <v>3228</v>
      </c>
      <c r="B729" s="974" t="s">
        <v>3229</v>
      </c>
      <c r="C729" s="974" t="s">
        <v>111</v>
      </c>
    </row>
    <row r="730" spans="1:3" ht="15" customHeight="1" x14ac:dyDescent="0.25">
      <c r="A730" s="974" t="s">
        <v>3230</v>
      </c>
      <c r="B730" s="974" t="s">
        <v>3231</v>
      </c>
      <c r="C730" s="974" t="s">
        <v>111</v>
      </c>
    </row>
    <row r="731" spans="1:3" ht="15" customHeight="1" x14ac:dyDescent="0.25">
      <c r="A731" s="974" t="s">
        <v>3232</v>
      </c>
      <c r="B731" s="974" t="s">
        <v>3233</v>
      </c>
      <c r="C731" s="974" t="s">
        <v>111</v>
      </c>
    </row>
    <row r="732" spans="1:3" ht="15" customHeight="1" x14ac:dyDescent="0.25">
      <c r="A732" s="974" t="s">
        <v>3234</v>
      </c>
      <c r="B732" s="974" t="s">
        <v>456</v>
      </c>
      <c r="C732" s="974" t="s">
        <v>111</v>
      </c>
    </row>
    <row r="733" spans="1:3" ht="15" customHeight="1" x14ac:dyDescent="0.25">
      <c r="A733" s="974" t="s">
        <v>3235</v>
      </c>
      <c r="B733" s="974" t="s">
        <v>3236</v>
      </c>
      <c r="C733" s="974" t="s">
        <v>111</v>
      </c>
    </row>
    <row r="734" spans="1:3" ht="15" customHeight="1" x14ac:dyDescent="0.25">
      <c r="A734" s="974" t="s">
        <v>3237</v>
      </c>
      <c r="B734" s="974" t="s">
        <v>3238</v>
      </c>
      <c r="C734" s="974" t="s">
        <v>111</v>
      </c>
    </row>
    <row r="735" spans="1:3" ht="15" customHeight="1" x14ac:dyDescent="0.25">
      <c r="A735" s="974" t="s">
        <v>3239</v>
      </c>
      <c r="B735" s="974" t="s">
        <v>3211</v>
      </c>
      <c r="C735" s="974" t="s">
        <v>111</v>
      </c>
    </row>
    <row r="736" spans="1:3" ht="15" customHeight="1" x14ac:dyDescent="0.25">
      <c r="A736" s="974" t="s">
        <v>3240</v>
      </c>
      <c r="B736" s="974" t="s">
        <v>3241</v>
      </c>
      <c r="C736" s="974" t="s">
        <v>111</v>
      </c>
    </row>
    <row r="737" spans="1:3" ht="15" customHeight="1" x14ac:dyDescent="0.25">
      <c r="A737" s="974" t="s">
        <v>3242</v>
      </c>
      <c r="B737" s="974" t="s">
        <v>3243</v>
      </c>
      <c r="C737" s="974" t="s">
        <v>111</v>
      </c>
    </row>
    <row r="738" spans="1:3" ht="15" customHeight="1" x14ac:dyDescent="0.25">
      <c r="A738" s="974" t="s">
        <v>3244</v>
      </c>
      <c r="B738" s="974" t="s">
        <v>3245</v>
      </c>
      <c r="C738" s="974" t="s">
        <v>111</v>
      </c>
    </row>
    <row r="739" spans="1:3" ht="15" customHeight="1" x14ac:dyDescent="0.25">
      <c r="A739" s="974" t="s">
        <v>3246</v>
      </c>
      <c r="B739" s="974" t="s">
        <v>3247</v>
      </c>
      <c r="C739" s="974" t="s">
        <v>111</v>
      </c>
    </row>
    <row r="740" spans="1:3" ht="15" customHeight="1" x14ac:dyDescent="0.25">
      <c r="A740" s="974" t="s">
        <v>3248</v>
      </c>
      <c r="B740" s="974" t="s">
        <v>3249</v>
      </c>
      <c r="C740" s="974" t="s">
        <v>111</v>
      </c>
    </row>
    <row r="741" spans="1:3" ht="15" customHeight="1" x14ac:dyDescent="0.25">
      <c r="A741" s="974" t="s">
        <v>3250</v>
      </c>
      <c r="B741" s="974" t="s">
        <v>3251</v>
      </c>
      <c r="C741" s="974" t="s">
        <v>111</v>
      </c>
    </row>
    <row r="742" spans="1:3" ht="15" customHeight="1" x14ac:dyDescent="0.25">
      <c r="A742" s="974" t="s">
        <v>3252</v>
      </c>
      <c r="B742" s="974" t="s">
        <v>3253</v>
      </c>
      <c r="C742" s="974" t="s">
        <v>111</v>
      </c>
    </row>
    <row r="743" spans="1:3" ht="15" customHeight="1" x14ac:dyDescent="0.25">
      <c r="A743" s="974" t="s">
        <v>3254</v>
      </c>
      <c r="B743" s="974" t="s">
        <v>3255</v>
      </c>
      <c r="C743" s="974" t="s">
        <v>111</v>
      </c>
    </row>
    <row r="744" spans="1:3" ht="15" customHeight="1" x14ac:dyDescent="0.25">
      <c r="A744" s="974" t="s">
        <v>3256</v>
      </c>
      <c r="B744" s="974" t="s">
        <v>3211</v>
      </c>
      <c r="C744" s="974" t="s">
        <v>111</v>
      </c>
    </row>
    <row r="745" spans="1:3" ht="15" customHeight="1" x14ac:dyDescent="0.25">
      <c r="A745" s="974" t="s">
        <v>3257</v>
      </c>
      <c r="B745" s="974" t="s">
        <v>2583</v>
      </c>
      <c r="C745" s="974" t="s">
        <v>111</v>
      </c>
    </row>
    <row r="746" spans="1:3" ht="15" customHeight="1" x14ac:dyDescent="0.25">
      <c r="A746" s="974" t="s">
        <v>3258</v>
      </c>
      <c r="B746" s="974" t="s">
        <v>2585</v>
      </c>
      <c r="C746" s="974" t="s">
        <v>111</v>
      </c>
    </row>
    <row r="747" spans="1:3" ht="15" customHeight="1" x14ac:dyDescent="0.25">
      <c r="A747" s="974" t="s">
        <v>3259</v>
      </c>
      <c r="B747" s="974" t="s">
        <v>2587</v>
      </c>
      <c r="C747" s="974" t="s">
        <v>111</v>
      </c>
    </row>
    <row r="748" spans="1:3" ht="15" customHeight="1" x14ac:dyDescent="0.25">
      <c r="A748" s="974" t="s">
        <v>3260</v>
      </c>
      <c r="B748" s="974" t="s">
        <v>456</v>
      </c>
      <c r="C748" s="974" t="s">
        <v>111</v>
      </c>
    </row>
    <row r="749" spans="1:3" ht="15" customHeight="1" x14ac:dyDescent="0.25">
      <c r="A749" s="974" t="s">
        <v>3261</v>
      </c>
      <c r="B749" s="974" t="s">
        <v>3211</v>
      </c>
      <c r="C749" s="974" t="s">
        <v>111</v>
      </c>
    </row>
    <row r="750" spans="1:3" ht="15" customHeight="1" x14ac:dyDescent="0.25">
      <c r="A750" s="974" t="s">
        <v>3262</v>
      </c>
      <c r="B750" s="974" t="s">
        <v>3263</v>
      </c>
      <c r="C750" s="974" t="s">
        <v>1850</v>
      </c>
    </row>
    <row r="751" spans="1:3" ht="15" customHeight="1" x14ac:dyDescent="0.25">
      <c r="A751" s="974" t="s">
        <v>3264</v>
      </c>
      <c r="B751" s="974" t="s">
        <v>3265</v>
      </c>
      <c r="C751" s="974" t="s">
        <v>1850</v>
      </c>
    </row>
    <row r="752" spans="1:3" ht="15" customHeight="1" x14ac:dyDescent="0.25">
      <c r="A752" s="974" t="s">
        <v>3266</v>
      </c>
      <c r="B752" s="974" t="s">
        <v>3267</v>
      </c>
      <c r="C752" s="974" t="s">
        <v>1850</v>
      </c>
    </row>
    <row r="753" spans="1:3" ht="15" customHeight="1" x14ac:dyDescent="0.25">
      <c r="A753" s="974" t="s">
        <v>3268</v>
      </c>
      <c r="B753" s="974" t="s">
        <v>3269</v>
      </c>
      <c r="C753" s="974" t="s">
        <v>1850</v>
      </c>
    </row>
    <row r="754" spans="1:3" ht="15" customHeight="1" x14ac:dyDescent="0.25">
      <c r="A754" s="974" t="s">
        <v>3270</v>
      </c>
      <c r="B754" s="974" t="s">
        <v>3271</v>
      </c>
      <c r="C754" s="974" t="s">
        <v>111</v>
      </c>
    </row>
    <row r="755" spans="1:3" ht="15" customHeight="1" x14ac:dyDescent="0.25">
      <c r="A755" s="974" t="s">
        <v>3272</v>
      </c>
      <c r="B755" s="974" t="s">
        <v>3273</v>
      </c>
      <c r="C755" s="974" t="s">
        <v>111</v>
      </c>
    </row>
    <row r="756" spans="1:3" ht="15" customHeight="1" x14ac:dyDescent="0.25">
      <c r="A756" s="974" t="s">
        <v>3274</v>
      </c>
      <c r="B756" s="974" t="s">
        <v>3275</v>
      </c>
      <c r="C756" s="974" t="s">
        <v>111</v>
      </c>
    </row>
    <row r="757" spans="1:3" ht="15" customHeight="1" x14ac:dyDescent="0.25">
      <c r="A757" s="974" t="s">
        <v>3276</v>
      </c>
      <c r="B757" s="974" t="s">
        <v>3277</v>
      </c>
      <c r="C757" s="974" t="s">
        <v>1850</v>
      </c>
    </row>
    <row r="758" spans="1:3" ht="15" customHeight="1" x14ac:dyDescent="0.25">
      <c r="A758" s="974" t="s">
        <v>3278</v>
      </c>
      <c r="B758" s="974" t="s">
        <v>3279</v>
      </c>
      <c r="C758" s="974" t="s">
        <v>111</v>
      </c>
    </row>
    <row r="759" spans="1:3" ht="15" customHeight="1" x14ac:dyDescent="0.25">
      <c r="A759" s="974" t="s">
        <v>3280</v>
      </c>
      <c r="B759" s="974" t="s">
        <v>3281</v>
      </c>
      <c r="C759" s="974" t="s">
        <v>111</v>
      </c>
    </row>
    <row r="760" spans="1:3" ht="15" customHeight="1" x14ac:dyDescent="0.25">
      <c r="A760" s="974" t="s">
        <v>3282</v>
      </c>
      <c r="B760" s="974" t="s">
        <v>3283</v>
      </c>
      <c r="C760" s="974" t="s">
        <v>111</v>
      </c>
    </row>
    <row r="761" spans="1:3" ht="15" customHeight="1" x14ac:dyDescent="0.25">
      <c r="A761" s="974" t="s">
        <v>3284</v>
      </c>
      <c r="B761" s="974" t="s">
        <v>3285</v>
      </c>
      <c r="C761" s="974" t="s">
        <v>111</v>
      </c>
    </row>
    <row r="762" spans="1:3" ht="15" customHeight="1" x14ac:dyDescent="0.25">
      <c r="A762" s="974" t="s">
        <v>3286</v>
      </c>
      <c r="B762" s="974" t="s">
        <v>3287</v>
      </c>
      <c r="C762" s="974" t="s">
        <v>111</v>
      </c>
    </row>
    <row r="763" spans="1:3" ht="15" customHeight="1" x14ac:dyDescent="0.25">
      <c r="A763" s="974" t="s">
        <v>3288</v>
      </c>
      <c r="B763" s="974" t="s">
        <v>3289</v>
      </c>
      <c r="C763" s="974" t="s">
        <v>111</v>
      </c>
    </row>
    <row r="764" spans="1:3" ht="15" customHeight="1" x14ac:dyDescent="0.25">
      <c r="A764" s="974" t="s">
        <v>3290</v>
      </c>
      <c r="B764" s="974" t="s">
        <v>3291</v>
      </c>
      <c r="C764" s="974" t="s">
        <v>111</v>
      </c>
    </row>
    <row r="765" spans="1:3" ht="15" customHeight="1" x14ac:dyDescent="0.25">
      <c r="A765" s="974" t="s">
        <v>3292</v>
      </c>
      <c r="B765" s="974" t="s">
        <v>3293</v>
      </c>
      <c r="C765" s="974" t="s">
        <v>111</v>
      </c>
    </row>
    <row r="766" spans="1:3" ht="15" customHeight="1" x14ac:dyDescent="0.25">
      <c r="A766" s="974" t="s">
        <v>3294</v>
      </c>
      <c r="B766" s="974" t="s">
        <v>3295</v>
      </c>
      <c r="C766" s="974" t="s">
        <v>111</v>
      </c>
    </row>
    <row r="767" spans="1:3" ht="15" customHeight="1" x14ac:dyDescent="0.25">
      <c r="A767" s="974" t="s">
        <v>3296</v>
      </c>
      <c r="B767" s="974" t="s">
        <v>3297</v>
      </c>
      <c r="C767" s="974" t="s">
        <v>111</v>
      </c>
    </row>
    <row r="768" spans="1:3" ht="15" customHeight="1" x14ac:dyDescent="0.25">
      <c r="A768" s="974" t="s">
        <v>3298</v>
      </c>
      <c r="B768" s="974" t="s">
        <v>3299</v>
      </c>
      <c r="C768" s="974" t="s">
        <v>111</v>
      </c>
    </row>
    <row r="769" spans="1:3" ht="15" customHeight="1" x14ac:dyDescent="0.25">
      <c r="A769" s="974" t="s">
        <v>3300</v>
      </c>
      <c r="B769" s="974" t="s">
        <v>3301</v>
      </c>
      <c r="C769" s="974" t="s">
        <v>111</v>
      </c>
    </row>
    <row r="770" spans="1:3" ht="15" customHeight="1" x14ac:dyDescent="0.25">
      <c r="A770" s="974" t="s">
        <v>3302</v>
      </c>
      <c r="B770" s="974" t="s">
        <v>3303</v>
      </c>
      <c r="C770" s="974" t="s">
        <v>111</v>
      </c>
    </row>
    <row r="771" spans="1:3" ht="15" customHeight="1" x14ac:dyDescent="0.25">
      <c r="A771" s="974" t="s">
        <v>3304</v>
      </c>
      <c r="B771" s="974" t="s">
        <v>3305</v>
      </c>
      <c r="C771" s="974" t="s">
        <v>111</v>
      </c>
    </row>
    <row r="772" spans="1:3" ht="15" customHeight="1" x14ac:dyDescent="0.25">
      <c r="A772" s="974" t="s">
        <v>3306</v>
      </c>
      <c r="B772" s="974" t="s">
        <v>3307</v>
      </c>
      <c r="C772" s="974" t="s">
        <v>111</v>
      </c>
    </row>
    <row r="773" spans="1:3" ht="15" customHeight="1" x14ac:dyDescent="0.25">
      <c r="A773" s="974" t="s">
        <v>3308</v>
      </c>
      <c r="B773" s="974" t="s">
        <v>3309</v>
      </c>
      <c r="C773" s="974" t="s">
        <v>111</v>
      </c>
    </row>
    <row r="774" spans="1:3" ht="15" customHeight="1" x14ac:dyDescent="0.25">
      <c r="A774" s="974" t="s">
        <v>3310</v>
      </c>
      <c r="B774" s="974" t="s">
        <v>3311</v>
      </c>
      <c r="C774" s="974" t="s">
        <v>111</v>
      </c>
    </row>
    <row r="775" spans="1:3" ht="15" customHeight="1" x14ac:dyDescent="0.25">
      <c r="A775" s="974" t="s">
        <v>3312</v>
      </c>
      <c r="B775" s="974" t="s">
        <v>3313</v>
      </c>
      <c r="C775" s="974" t="s">
        <v>111</v>
      </c>
    </row>
    <row r="776" spans="1:3" ht="15" customHeight="1" x14ac:dyDescent="0.25">
      <c r="A776" s="974" t="s">
        <v>3314</v>
      </c>
      <c r="B776" s="974" t="s">
        <v>3315</v>
      </c>
      <c r="C776" s="974" t="s">
        <v>111</v>
      </c>
    </row>
    <row r="777" spans="1:3" ht="15" customHeight="1" x14ac:dyDescent="0.25">
      <c r="A777" s="974" t="s">
        <v>3316</v>
      </c>
      <c r="B777" s="974" t="s">
        <v>3317</v>
      </c>
      <c r="C777" s="974" t="s">
        <v>111</v>
      </c>
    </row>
    <row r="778" spans="1:3" ht="15" customHeight="1" x14ac:dyDescent="0.25">
      <c r="A778" s="974" t="s">
        <v>3318</v>
      </c>
      <c r="B778" s="974" t="s">
        <v>3319</v>
      </c>
      <c r="C778" s="974" t="s">
        <v>111</v>
      </c>
    </row>
    <row r="779" spans="1:3" ht="15" customHeight="1" x14ac:dyDescent="0.25">
      <c r="A779" s="974" t="s">
        <v>3320</v>
      </c>
      <c r="B779" s="974" t="s">
        <v>3321</v>
      </c>
      <c r="C779" s="974" t="s">
        <v>111</v>
      </c>
    </row>
    <row r="780" spans="1:3" ht="15" customHeight="1" x14ac:dyDescent="0.25">
      <c r="A780" s="974" t="s">
        <v>3322</v>
      </c>
      <c r="B780" s="974" t="s">
        <v>3323</v>
      </c>
      <c r="C780" s="974" t="s">
        <v>111</v>
      </c>
    </row>
    <row r="781" spans="1:3" ht="15" customHeight="1" x14ac:dyDescent="0.25">
      <c r="A781" s="974" t="s">
        <v>3324</v>
      </c>
      <c r="B781" s="974" t="s">
        <v>3325</v>
      </c>
      <c r="C781" s="974" t="s">
        <v>111</v>
      </c>
    </row>
    <row r="782" spans="1:3" ht="15" customHeight="1" x14ac:dyDescent="0.25">
      <c r="A782" s="974" t="s">
        <v>3326</v>
      </c>
      <c r="B782" s="974" t="s">
        <v>3327</v>
      </c>
      <c r="C782" s="974" t="s">
        <v>111</v>
      </c>
    </row>
    <row r="783" spans="1:3" ht="15" customHeight="1" x14ac:dyDescent="0.25">
      <c r="A783" s="974" t="s">
        <v>3328</v>
      </c>
      <c r="B783" s="974" t="s">
        <v>3329</v>
      </c>
      <c r="C783" s="974" t="s">
        <v>111</v>
      </c>
    </row>
    <row r="784" spans="1:3" ht="15" customHeight="1" x14ac:dyDescent="0.25">
      <c r="A784" s="974" t="s">
        <v>3330</v>
      </c>
      <c r="B784" s="974" t="s">
        <v>3331</v>
      </c>
      <c r="C784" s="974" t="s">
        <v>111</v>
      </c>
    </row>
    <row r="785" spans="1:3" ht="15" customHeight="1" x14ac:dyDescent="0.25">
      <c r="A785" s="974" t="s">
        <v>3332</v>
      </c>
      <c r="B785" s="974" t="s">
        <v>3333</v>
      </c>
      <c r="C785" s="974" t="s">
        <v>111</v>
      </c>
    </row>
    <row r="786" spans="1:3" ht="15" customHeight="1" x14ac:dyDescent="0.25">
      <c r="A786" s="974" t="s">
        <v>3334</v>
      </c>
      <c r="B786" s="974" t="s">
        <v>3335</v>
      </c>
      <c r="C786" s="974" t="s">
        <v>111</v>
      </c>
    </row>
    <row r="787" spans="1:3" ht="15" customHeight="1" x14ac:dyDescent="0.25">
      <c r="A787" s="974" t="s">
        <v>3336</v>
      </c>
      <c r="B787" s="974" t="s">
        <v>3337</v>
      </c>
      <c r="C787" s="974" t="s">
        <v>111</v>
      </c>
    </row>
    <row r="788" spans="1:3" ht="15" customHeight="1" x14ac:dyDescent="0.25">
      <c r="A788" s="974" t="s">
        <v>3338</v>
      </c>
      <c r="B788" s="974" t="s">
        <v>3339</v>
      </c>
      <c r="C788" s="974" t="s">
        <v>111</v>
      </c>
    </row>
    <row r="789" spans="1:3" ht="15" customHeight="1" x14ac:dyDescent="0.25">
      <c r="A789" s="974" t="s">
        <v>3340</v>
      </c>
      <c r="B789" s="974" t="s">
        <v>3341</v>
      </c>
      <c r="C789" s="974" t="s">
        <v>111</v>
      </c>
    </row>
    <row r="790" spans="1:3" ht="15" customHeight="1" x14ac:dyDescent="0.25">
      <c r="A790" s="974" t="s">
        <v>3342</v>
      </c>
      <c r="B790" s="974" t="s">
        <v>3343</v>
      </c>
      <c r="C790" s="974" t="s">
        <v>111</v>
      </c>
    </row>
    <row r="791" spans="1:3" ht="15" customHeight="1" x14ac:dyDescent="0.25">
      <c r="A791" s="974" t="s">
        <v>3344</v>
      </c>
      <c r="B791" s="974" t="s">
        <v>3345</v>
      </c>
      <c r="C791" s="974" t="s">
        <v>111</v>
      </c>
    </row>
    <row r="792" spans="1:3" ht="15" customHeight="1" x14ac:dyDescent="0.25">
      <c r="A792" s="974" t="s">
        <v>3346</v>
      </c>
      <c r="B792" s="974" t="s">
        <v>3347</v>
      </c>
      <c r="C792" s="974" t="s">
        <v>111</v>
      </c>
    </row>
    <row r="793" spans="1:3" ht="15" customHeight="1" x14ac:dyDescent="0.25">
      <c r="A793" s="974" t="s">
        <v>3348</v>
      </c>
      <c r="B793" s="974" t="s">
        <v>3349</v>
      </c>
      <c r="C793" s="974" t="s">
        <v>111</v>
      </c>
    </row>
    <row r="794" spans="1:3" ht="15" customHeight="1" x14ac:dyDescent="0.25">
      <c r="A794" s="974" t="s">
        <v>3350</v>
      </c>
      <c r="B794" s="974" t="s">
        <v>3351</v>
      </c>
      <c r="C794" s="974" t="s">
        <v>111</v>
      </c>
    </row>
    <row r="795" spans="1:3" ht="15" customHeight="1" x14ac:dyDescent="0.25">
      <c r="A795" s="974" t="s">
        <v>3352</v>
      </c>
      <c r="B795" s="974" t="s">
        <v>3353</v>
      </c>
      <c r="C795" s="974" t="s">
        <v>111</v>
      </c>
    </row>
    <row r="796" spans="1:3" ht="15" customHeight="1" x14ac:dyDescent="0.25">
      <c r="A796" s="974" t="s">
        <v>3354</v>
      </c>
      <c r="B796" s="974" t="s">
        <v>3355</v>
      </c>
      <c r="C796" s="974" t="s">
        <v>111</v>
      </c>
    </row>
    <row r="797" spans="1:3" ht="15" customHeight="1" x14ac:dyDescent="0.25">
      <c r="A797" s="974" t="s">
        <v>3356</v>
      </c>
      <c r="B797" s="974" t="s">
        <v>3357</v>
      </c>
      <c r="C797" s="974" t="s">
        <v>111</v>
      </c>
    </row>
    <row r="798" spans="1:3" ht="15" customHeight="1" x14ac:dyDescent="0.25">
      <c r="A798" s="974" t="s">
        <v>3358</v>
      </c>
      <c r="B798" s="974" t="s">
        <v>3359</v>
      </c>
      <c r="C798" s="974" t="s">
        <v>111</v>
      </c>
    </row>
    <row r="799" spans="1:3" ht="15" customHeight="1" x14ac:dyDescent="0.25">
      <c r="A799" s="974" t="s">
        <v>3360</v>
      </c>
      <c r="B799" s="974" t="s">
        <v>3361</v>
      </c>
      <c r="C799" s="974" t="s">
        <v>111</v>
      </c>
    </row>
    <row r="800" spans="1:3" ht="15" customHeight="1" x14ac:dyDescent="0.25">
      <c r="A800" s="974" t="s">
        <v>3362</v>
      </c>
      <c r="B800" s="974" t="s">
        <v>3363</v>
      </c>
      <c r="C800" s="974" t="s">
        <v>111</v>
      </c>
    </row>
    <row r="801" spans="1:3" ht="15" customHeight="1" x14ac:dyDescent="0.25">
      <c r="A801" s="974" t="s">
        <v>3364</v>
      </c>
      <c r="B801" s="974" t="s">
        <v>3365</v>
      </c>
      <c r="C801" s="974" t="s">
        <v>111</v>
      </c>
    </row>
    <row r="802" spans="1:3" ht="15" customHeight="1" x14ac:dyDescent="0.25">
      <c r="A802" s="974" t="s">
        <v>3366</v>
      </c>
      <c r="B802" s="974" t="s">
        <v>3367</v>
      </c>
      <c r="C802" s="974" t="s">
        <v>111</v>
      </c>
    </row>
    <row r="803" spans="1:3" ht="15" customHeight="1" x14ac:dyDescent="0.25">
      <c r="A803" s="974" t="s">
        <v>3368</v>
      </c>
      <c r="B803" s="974" t="s">
        <v>3369</v>
      </c>
      <c r="C803" s="974" t="s">
        <v>111</v>
      </c>
    </row>
    <row r="804" spans="1:3" ht="15" customHeight="1" x14ac:dyDescent="0.25">
      <c r="A804" s="974" t="s">
        <v>3370</v>
      </c>
      <c r="B804" s="974" t="s">
        <v>3371</v>
      </c>
      <c r="C804" s="974" t="s">
        <v>111</v>
      </c>
    </row>
    <row r="805" spans="1:3" ht="15" customHeight="1" x14ac:dyDescent="0.25">
      <c r="A805" s="974" t="s">
        <v>3372</v>
      </c>
      <c r="B805" s="974" t="s">
        <v>3373</v>
      </c>
      <c r="C805" s="974" t="s">
        <v>111</v>
      </c>
    </row>
    <row r="806" spans="1:3" ht="15" customHeight="1" x14ac:dyDescent="0.25">
      <c r="A806" s="974" t="s">
        <v>3374</v>
      </c>
      <c r="B806" s="974" t="s">
        <v>3375</v>
      </c>
      <c r="C806" s="974" t="s">
        <v>111</v>
      </c>
    </row>
    <row r="807" spans="1:3" ht="15" customHeight="1" x14ac:dyDescent="0.25">
      <c r="A807" s="974" t="s">
        <v>3376</v>
      </c>
      <c r="B807" s="974" t="s">
        <v>3377</v>
      </c>
      <c r="C807" s="974" t="s">
        <v>111</v>
      </c>
    </row>
    <row r="808" spans="1:3" ht="15" customHeight="1" x14ac:dyDescent="0.25">
      <c r="A808" s="974" t="s">
        <v>3378</v>
      </c>
      <c r="B808" s="974" t="s">
        <v>3379</v>
      </c>
      <c r="C808" s="974" t="s">
        <v>111</v>
      </c>
    </row>
    <row r="809" spans="1:3" ht="15" customHeight="1" x14ac:dyDescent="0.25">
      <c r="A809" s="974" t="s">
        <v>3380</v>
      </c>
      <c r="B809" s="974" t="s">
        <v>3381</v>
      </c>
      <c r="C809" s="974" t="s">
        <v>111</v>
      </c>
    </row>
    <row r="810" spans="1:3" ht="15" customHeight="1" x14ac:dyDescent="0.25">
      <c r="A810" s="974" t="s">
        <v>3382</v>
      </c>
      <c r="B810" s="974" t="s">
        <v>3383</v>
      </c>
      <c r="C810" s="974" t="s">
        <v>1850</v>
      </c>
    </row>
    <row r="811" spans="1:3" ht="15" customHeight="1" x14ac:dyDescent="0.25">
      <c r="A811" s="974" t="s">
        <v>3384</v>
      </c>
      <c r="B811" s="974" t="s">
        <v>3385</v>
      </c>
      <c r="C811" s="974" t="s">
        <v>111</v>
      </c>
    </row>
    <row r="812" spans="1:3" ht="15" customHeight="1" x14ac:dyDescent="0.25">
      <c r="A812" s="974" t="s">
        <v>3386</v>
      </c>
      <c r="B812" s="974" t="s">
        <v>3387</v>
      </c>
      <c r="C812" s="974" t="s">
        <v>111</v>
      </c>
    </row>
    <row r="813" spans="1:3" ht="15" customHeight="1" x14ac:dyDescent="0.25">
      <c r="A813" s="974" t="s">
        <v>3388</v>
      </c>
      <c r="B813" s="974" t="s">
        <v>3389</v>
      </c>
      <c r="C813" s="974" t="s">
        <v>111</v>
      </c>
    </row>
    <row r="814" spans="1:3" ht="15" customHeight="1" x14ac:dyDescent="0.25">
      <c r="A814" s="974" t="s">
        <v>3390</v>
      </c>
      <c r="B814" s="974" t="s">
        <v>3391</v>
      </c>
      <c r="C814" s="974" t="s">
        <v>111</v>
      </c>
    </row>
    <row r="815" spans="1:3" ht="15" customHeight="1" x14ac:dyDescent="0.25">
      <c r="A815" s="974" t="s">
        <v>3392</v>
      </c>
      <c r="B815" s="974" t="s">
        <v>3393</v>
      </c>
      <c r="C815" s="974" t="s">
        <v>111</v>
      </c>
    </row>
    <row r="816" spans="1:3" ht="15" customHeight="1" x14ac:dyDescent="0.25">
      <c r="A816" s="974" t="s">
        <v>3394</v>
      </c>
      <c r="B816" s="974" t="s">
        <v>3395</v>
      </c>
      <c r="C816" s="974" t="s">
        <v>111</v>
      </c>
    </row>
    <row r="817" spans="1:3" ht="15" customHeight="1" x14ac:dyDescent="0.25">
      <c r="A817" s="974" t="s">
        <v>3396</v>
      </c>
      <c r="B817" s="974" t="s">
        <v>3397</v>
      </c>
      <c r="C817" s="974" t="s">
        <v>111</v>
      </c>
    </row>
    <row r="818" spans="1:3" ht="15" customHeight="1" x14ac:dyDescent="0.25">
      <c r="A818" s="974" t="s">
        <v>3398</v>
      </c>
      <c r="B818" s="974" t="s">
        <v>3399</v>
      </c>
      <c r="C818" s="974" t="s">
        <v>111</v>
      </c>
    </row>
    <row r="819" spans="1:3" ht="15" customHeight="1" x14ac:dyDescent="0.25">
      <c r="A819" s="974" t="s">
        <v>3400</v>
      </c>
      <c r="B819" s="974" t="s">
        <v>3401</v>
      </c>
      <c r="C819" s="974" t="s">
        <v>111</v>
      </c>
    </row>
    <row r="820" spans="1:3" ht="15" customHeight="1" x14ac:dyDescent="0.25">
      <c r="A820" s="974" t="s">
        <v>3402</v>
      </c>
      <c r="B820" s="974" t="s">
        <v>3403</v>
      </c>
      <c r="C820" s="974" t="s">
        <v>111</v>
      </c>
    </row>
    <row r="821" spans="1:3" ht="15" customHeight="1" x14ac:dyDescent="0.25">
      <c r="A821" s="974" t="s">
        <v>3404</v>
      </c>
      <c r="B821" s="974" t="s">
        <v>3405</v>
      </c>
      <c r="C821" s="974" t="s">
        <v>111</v>
      </c>
    </row>
    <row r="822" spans="1:3" ht="15" customHeight="1" x14ac:dyDescent="0.25">
      <c r="A822" s="974" t="s">
        <v>3406</v>
      </c>
      <c r="B822" s="974" t="s">
        <v>3407</v>
      </c>
      <c r="C822" s="974" t="s">
        <v>111</v>
      </c>
    </row>
    <row r="823" spans="1:3" ht="15" customHeight="1" x14ac:dyDescent="0.25">
      <c r="A823" s="974" t="s">
        <v>3408</v>
      </c>
      <c r="B823" s="974" t="s">
        <v>3409</v>
      </c>
      <c r="C823" s="974" t="s">
        <v>111</v>
      </c>
    </row>
    <row r="824" spans="1:3" ht="15" customHeight="1" x14ac:dyDescent="0.25">
      <c r="A824" s="974" t="s">
        <v>3410</v>
      </c>
      <c r="B824" s="974" t="s">
        <v>3411</v>
      </c>
      <c r="C824" s="974" t="s">
        <v>111</v>
      </c>
    </row>
    <row r="825" spans="1:3" ht="15" customHeight="1" x14ac:dyDescent="0.25">
      <c r="A825" s="974" t="s">
        <v>3412</v>
      </c>
      <c r="B825" s="974" t="s">
        <v>3413</v>
      </c>
      <c r="C825" s="974" t="s">
        <v>111</v>
      </c>
    </row>
    <row r="826" spans="1:3" ht="15" customHeight="1" x14ac:dyDescent="0.25">
      <c r="A826" s="974" t="s">
        <v>3414</v>
      </c>
      <c r="B826" s="974" t="s">
        <v>3415</v>
      </c>
      <c r="C826" s="974" t="s">
        <v>111</v>
      </c>
    </row>
    <row r="827" spans="1:3" ht="15" customHeight="1" x14ac:dyDescent="0.25">
      <c r="A827" s="974" t="s">
        <v>3416</v>
      </c>
      <c r="B827" s="974" t="s">
        <v>3417</v>
      </c>
      <c r="C827" s="974" t="s">
        <v>111</v>
      </c>
    </row>
    <row r="828" spans="1:3" ht="15" customHeight="1" x14ac:dyDescent="0.25">
      <c r="A828" s="974" t="s">
        <v>3418</v>
      </c>
      <c r="B828" s="974" t="s">
        <v>3419</v>
      </c>
      <c r="C828" s="974" t="s">
        <v>111</v>
      </c>
    </row>
    <row r="829" spans="1:3" ht="15" customHeight="1" x14ac:dyDescent="0.25">
      <c r="A829" s="974" t="s">
        <v>3420</v>
      </c>
      <c r="B829" s="974" t="s">
        <v>3421</v>
      </c>
      <c r="C829" s="974" t="s">
        <v>111</v>
      </c>
    </row>
    <row r="830" spans="1:3" ht="15" customHeight="1" x14ac:dyDescent="0.25">
      <c r="A830" s="974" t="s">
        <v>3422</v>
      </c>
      <c r="B830" s="974" t="s">
        <v>3423</v>
      </c>
      <c r="C830" s="974" t="s">
        <v>111</v>
      </c>
    </row>
    <row r="831" spans="1:3" ht="15" customHeight="1" x14ac:dyDescent="0.25">
      <c r="A831" s="974" t="s">
        <v>3424</v>
      </c>
      <c r="B831" s="974" t="s">
        <v>3425</v>
      </c>
      <c r="C831" s="974" t="s">
        <v>1850</v>
      </c>
    </row>
    <row r="832" spans="1:3" ht="15" customHeight="1" x14ac:dyDescent="0.25">
      <c r="A832" s="974" t="s">
        <v>3426</v>
      </c>
      <c r="B832" s="974" t="s">
        <v>3427</v>
      </c>
      <c r="C832" s="974" t="s">
        <v>111</v>
      </c>
    </row>
    <row r="833" spans="1:3" ht="15" customHeight="1" x14ac:dyDescent="0.25">
      <c r="A833" s="974" t="s">
        <v>3428</v>
      </c>
      <c r="B833" s="974" t="s">
        <v>3429</v>
      </c>
      <c r="C833" s="974" t="s">
        <v>111</v>
      </c>
    </row>
    <row r="834" spans="1:3" ht="15" customHeight="1" x14ac:dyDescent="0.25">
      <c r="A834" s="974" t="s">
        <v>3430</v>
      </c>
      <c r="B834" s="974" t="s">
        <v>3431</v>
      </c>
      <c r="C834" s="974" t="s">
        <v>111</v>
      </c>
    </row>
    <row r="835" spans="1:3" ht="15" customHeight="1" x14ac:dyDescent="0.25">
      <c r="A835" s="974" t="s">
        <v>3432</v>
      </c>
      <c r="B835" s="974" t="s">
        <v>3433</v>
      </c>
      <c r="C835" s="974" t="s">
        <v>111</v>
      </c>
    </row>
    <row r="836" spans="1:3" ht="15" customHeight="1" x14ac:dyDescent="0.25">
      <c r="A836" s="974" t="s">
        <v>3434</v>
      </c>
      <c r="B836" s="974" t="s">
        <v>3435</v>
      </c>
      <c r="C836" s="974" t="s">
        <v>111</v>
      </c>
    </row>
    <row r="837" spans="1:3" ht="15" customHeight="1" x14ac:dyDescent="0.25">
      <c r="A837" s="974" t="s">
        <v>3436</v>
      </c>
      <c r="B837" s="974" t="s">
        <v>3437</v>
      </c>
      <c r="C837" s="974" t="s">
        <v>111</v>
      </c>
    </row>
    <row r="838" spans="1:3" ht="15" customHeight="1" x14ac:dyDescent="0.25">
      <c r="A838" s="974" t="s">
        <v>3438</v>
      </c>
      <c r="B838" s="974" t="s">
        <v>3439</v>
      </c>
      <c r="C838" s="974" t="s">
        <v>111</v>
      </c>
    </row>
    <row r="839" spans="1:3" ht="15" customHeight="1" x14ac:dyDescent="0.25">
      <c r="A839" s="974" t="s">
        <v>3440</v>
      </c>
      <c r="B839" s="974" t="s">
        <v>3441</v>
      </c>
      <c r="C839" s="974" t="s">
        <v>111</v>
      </c>
    </row>
    <row r="840" spans="1:3" ht="15" customHeight="1" x14ac:dyDescent="0.25">
      <c r="A840" s="974" t="s">
        <v>3442</v>
      </c>
      <c r="B840" s="974" t="s">
        <v>3443</v>
      </c>
      <c r="C840" s="974" t="s">
        <v>111</v>
      </c>
    </row>
    <row r="841" spans="1:3" ht="15" customHeight="1" x14ac:dyDescent="0.25">
      <c r="A841" s="974" t="s">
        <v>3444</v>
      </c>
      <c r="B841" s="974" t="s">
        <v>3445</v>
      </c>
      <c r="C841" s="974" t="s">
        <v>111</v>
      </c>
    </row>
    <row r="842" spans="1:3" ht="15" customHeight="1" x14ac:dyDescent="0.25">
      <c r="A842" s="974" t="s">
        <v>3446</v>
      </c>
      <c r="B842" s="974" t="s">
        <v>3447</v>
      </c>
      <c r="C842" s="974" t="s">
        <v>1850</v>
      </c>
    </row>
    <row r="843" spans="1:3" ht="15" customHeight="1" x14ac:dyDescent="0.25">
      <c r="A843" s="974" t="s">
        <v>3448</v>
      </c>
      <c r="B843" s="974" t="s">
        <v>2710</v>
      </c>
      <c r="C843" s="974" t="s">
        <v>111</v>
      </c>
    </row>
    <row r="844" spans="1:3" ht="15" customHeight="1" x14ac:dyDescent="0.25">
      <c r="A844" s="974" t="s">
        <v>3449</v>
      </c>
      <c r="B844" s="974" t="s">
        <v>3450</v>
      </c>
      <c r="C844" s="974" t="s">
        <v>111</v>
      </c>
    </row>
    <row r="845" spans="1:3" ht="15" customHeight="1" x14ac:dyDescent="0.25">
      <c r="A845" s="974" t="s">
        <v>3451</v>
      </c>
      <c r="B845" s="974" t="s">
        <v>3452</v>
      </c>
      <c r="C845" s="974" t="s">
        <v>111</v>
      </c>
    </row>
    <row r="846" spans="1:3" ht="15" customHeight="1" x14ac:dyDescent="0.25">
      <c r="A846" s="974" t="s">
        <v>3453</v>
      </c>
      <c r="B846" s="974" t="s">
        <v>3454</v>
      </c>
      <c r="C846" s="974" t="s">
        <v>111</v>
      </c>
    </row>
    <row r="847" spans="1:3" ht="15" customHeight="1" x14ac:dyDescent="0.25">
      <c r="A847" s="974" t="s">
        <v>3455</v>
      </c>
      <c r="B847" s="974" t="s">
        <v>79</v>
      </c>
      <c r="C847" s="974" t="s">
        <v>111</v>
      </c>
    </row>
    <row r="848" spans="1:3" ht="15" customHeight="1" x14ac:dyDescent="0.25">
      <c r="A848" s="974" t="s">
        <v>3456</v>
      </c>
      <c r="B848" s="974" t="s">
        <v>80</v>
      </c>
      <c r="C848" s="974" t="s">
        <v>111</v>
      </c>
    </row>
    <row r="849" spans="1:3" ht="15" customHeight="1" x14ac:dyDescent="0.25">
      <c r="A849" s="974" t="s">
        <v>3457</v>
      </c>
      <c r="B849" s="974" t="s">
        <v>3458</v>
      </c>
      <c r="C849" s="974" t="s">
        <v>1850</v>
      </c>
    </row>
    <row r="850" spans="1:3" ht="15" customHeight="1" x14ac:dyDescent="0.25">
      <c r="A850" s="974" t="s">
        <v>3459</v>
      </c>
      <c r="B850" s="974" t="s">
        <v>3460</v>
      </c>
      <c r="C850" s="974" t="s">
        <v>1850</v>
      </c>
    </row>
    <row r="851" spans="1:3" ht="15" customHeight="1" x14ac:dyDescent="0.25">
      <c r="A851" s="974" t="s">
        <v>3461</v>
      </c>
      <c r="B851" s="974" t="s">
        <v>3462</v>
      </c>
      <c r="C851" s="974" t="s">
        <v>111</v>
      </c>
    </row>
    <row r="852" spans="1:3" ht="15" customHeight="1" x14ac:dyDescent="0.25">
      <c r="A852" s="974" t="s">
        <v>3463</v>
      </c>
      <c r="B852" s="974" t="s">
        <v>3464</v>
      </c>
      <c r="C852" s="974" t="s">
        <v>111</v>
      </c>
    </row>
    <row r="853" spans="1:3" ht="15" customHeight="1" x14ac:dyDescent="0.25">
      <c r="A853" s="974" t="s">
        <v>3465</v>
      </c>
      <c r="B853" s="974" t="s">
        <v>3466</v>
      </c>
      <c r="C853" s="974" t="s">
        <v>111</v>
      </c>
    </row>
    <row r="854" spans="1:3" ht="15" customHeight="1" x14ac:dyDescent="0.25">
      <c r="A854" s="974" t="s">
        <v>3467</v>
      </c>
      <c r="B854" s="974" t="s">
        <v>493</v>
      </c>
      <c r="C854" s="974" t="s">
        <v>111</v>
      </c>
    </row>
    <row r="855" spans="1:3" ht="15" customHeight="1" x14ac:dyDescent="0.25">
      <c r="A855" s="974" t="s">
        <v>3468</v>
      </c>
      <c r="B855" s="974" t="s">
        <v>3469</v>
      </c>
      <c r="C855" s="974" t="s">
        <v>111</v>
      </c>
    </row>
    <row r="856" spans="1:3" ht="15" customHeight="1" x14ac:dyDescent="0.25">
      <c r="A856" s="974" t="s">
        <v>3470</v>
      </c>
      <c r="B856" s="974" t="s">
        <v>3471</v>
      </c>
      <c r="C856" s="974" t="s">
        <v>111</v>
      </c>
    </row>
    <row r="857" spans="1:3" ht="15" customHeight="1" x14ac:dyDescent="0.25">
      <c r="A857" s="974" t="s">
        <v>3472</v>
      </c>
      <c r="B857" s="974" t="s">
        <v>3473</v>
      </c>
      <c r="C857" s="974" t="s">
        <v>111</v>
      </c>
    </row>
    <row r="858" spans="1:3" ht="15" customHeight="1" x14ac:dyDescent="0.25">
      <c r="A858" s="974" t="s">
        <v>3474</v>
      </c>
      <c r="B858" s="974" t="s">
        <v>3475</v>
      </c>
      <c r="C858" s="974" t="s">
        <v>111</v>
      </c>
    </row>
    <row r="859" spans="1:3" ht="15" customHeight="1" x14ac:dyDescent="0.25">
      <c r="A859" s="974" t="s">
        <v>3476</v>
      </c>
      <c r="B859" s="974" t="s">
        <v>3477</v>
      </c>
      <c r="C859" s="974" t="s">
        <v>111</v>
      </c>
    </row>
    <row r="860" spans="1:3" ht="15" customHeight="1" x14ac:dyDescent="0.25">
      <c r="A860" s="974" t="s">
        <v>3478</v>
      </c>
      <c r="B860" s="974" t="s">
        <v>3479</v>
      </c>
      <c r="C860" s="974" t="s">
        <v>111</v>
      </c>
    </row>
    <row r="861" spans="1:3" ht="15" customHeight="1" x14ac:dyDescent="0.25">
      <c r="A861" s="974" t="s">
        <v>3480</v>
      </c>
      <c r="B861" s="974" t="s">
        <v>3481</v>
      </c>
      <c r="C861" s="974" t="s">
        <v>111</v>
      </c>
    </row>
    <row r="862" spans="1:3" ht="15" customHeight="1" x14ac:dyDescent="0.25">
      <c r="A862" s="974" t="s">
        <v>3482</v>
      </c>
      <c r="B862" s="974" t="s">
        <v>3483</v>
      </c>
      <c r="C862" s="974" t="s">
        <v>111</v>
      </c>
    </row>
    <row r="863" spans="1:3" ht="15" customHeight="1" x14ac:dyDescent="0.25">
      <c r="A863" s="974" t="s">
        <v>3484</v>
      </c>
      <c r="B863" s="974" t="s">
        <v>3485</v>
      </c>
      <c r="C863" s="974" t="s">
        <v>111</v>
      </c>
    </row>
    <row r="864" spans="1:3" ht="15" customHeight="1" x14ac:dyDescent="0.25">
      <c r="A864" s="974" t="s">
        <v>3486</v>
      </c>
      <c r="B864" s="974" t="s">
        <v>3487</v>
      </c>
      <c r="C864" s="974" t="s">
        <v>111</v>
      </c>
    </row>
    <row r="865" spans="1:3" ht="15" customHeight="1" x14ac:dyDescent="0.25">
      <c r="A865" s="974" t="s">
        <v>3488</v>
      </c>
      <c r="B865" s="974" t="s">
        <v>3489</v>
      </c>
      <c r="C865" s="974" t="s">
        <v>111</v>
      </c>
    </row>
    <row r="866" spans="1:3" ht="15" customHeight="1" x14ac:dyDescent="0.25">
      <c r="A866" s="974" t="s">
        <v>3490</v>
      </c>
      <c r="B866" s="974" t="s">
        <v>3491</v>
      </c>
      <c r="C866" s="974" t="s">
        <v>111</v>
      </c>
    </row>
    <row r="867" spans="1:3" ht="15" customHeight="1" x14ac:dyDescent="0.25">
      <c r="A867" s="974" t="s">
        <v>3492</v>
      </c>
      <c r="B867" s="974" t="s">
        <v>3477</v>
      </c>
      <c r="C867" s="974" t="s">
        <v>111</v>
      </c>
    </row>
    <row r="868" spans="1:3" ht="15" customHeight="1" x14ac:dyDescent="0.25">
      <c r="A868" s="974" t="s">
        <v>3493</v>
      </c>
      <c r="B868" s="974" t="s">
        <v>3479</v>
      </c>
      <c r="C868" s="974" t="s">
        <v>111</v>
      </c>
    </row>
    <row r="869" spans="1:3" ht="15" customHeight="1" x14ac:dyDescent="0.25">
      <c r="A869" s="974" t="s">
        <v>3494</v>
      </c>
      <c r="B869" s="974" t="s">
        <v>3481</v>
      </c>
      <c r="C869" s="974" t="s">
        <v>111</v>
      </c>
    </row>
    <row r="870" spans="1:3" ht="15" customHeight="1" x14ac:dyDescent="0.25">
      <c r="A870" s="974" t="s">
        <v>3495</v>
      </c>
      <c r="B870" s="974" t="s">
        <v>3483</v>
      </c>
      <c r="C870" s="974" t="s">
        <v>111</v>
      </c>
    </row>
    <row r="871" spans="1:3" ht="15" customHeight="1" x14ac:dyDescent="0.25">
      <c r="A871" s="974" t="s">
        <v>3496</v>
      </c>
      <c r="B871" s="974" t="s">
        <v>3485</v>
      </c>
      <c r="C871" s="974" t="s">
        <v>111</v>
      </c>
    </row>
    <row r="872" spans="1:3" ht="15" customHeight="1" x14ac:dyDescent="0.25">
      <c r="A872" s="974" t="s">
        <v>3497</v>
      </c>
      <c r="B872" s="974" t="s">
        <v>3487</v>
      </c>
      <c r="C872" s="974" t="s">
        <v>111</v>
      </c>
    </row>
    <row r="873" spans="1:3" ht="15" customHeight="1" x14ac:dyDescent="0.25">
      <c r="A873" s="974" t="s">
        <v>3498</v>
      </c>
      <c r="B873" s="974" t="s">
        <v>3489</v>
      </c>
      <c r="C873" s="974" t="s">
        <v>111</v>
      </c>
    </row>
    <row r="874" spans="1:3" ht="15" customHeight="1" x14ac:dyDescent="0.25">
      <c r="A874" s="974" t="s">
        <v>3499</v>
      </c>
      <c r="B874" s="974" t="s">
        <v>3491</v>
      </c>
      <c r="C874" s="974" t="s">
        <v>111</v>
      </c>
    </row>
    <row r="875" spans="1:3" ht="15" customHeight="1" x14ac:dyDescent="0.25">
      <c r="A875" s="974" t="s">
        <v>3500</v>
      </c>
      <c r="B875" s="974" t="s">
        <v>3501</v>
      </c>
      <c r="C875" s="974" t="s">
        <v>111</v>
      </c>
    </row>
    <row r="876" spans="1:3" ht="15" customHeight="1" x14ac:dyDescent="0.25">
      <c r="A876" s="974" t="s">
        <v>3502</v>
      </c>
      <c r="B876" s="974" t="s">
        <v>3503</v>
      </c>
      <c r="C876" s="974" t="s">
        <v>111</v>
      </c>
    </row>
    <row r="877" spans="1:3" ht="15" customHeight="1" x14ac:dyDescent="0.25">
      <c r="A877" s="974" t="s">
        <v>3504</v>
      </c>
      <c r="B877" s="974" t="s">
        <v>3505</v>
      </c>
      <c r="C877" s="974" t="s">
        <v>111</v>
      </c>
    </row>
    <row r="878" spans="1:3" ht="15" customHeight="1" x14ac:dyDescent="0.25">
      <c r="A878" s="974" t="s">
        <v>3506</v>
      </c>
      <c r="B878" s="974" t="s">
        <v>3507</v>
      </c>
      <c r="C878" s="974" t="s">
        <v>111</v>
      </c>
    </row>
    <row r="879" spans="1:3" ht="15" customHeight="1" x14ac:dyDescent="0.25">
      <c r="A879" s="974" t="s">
        <v>3508</v>
      </c>
      <c r="B879" s="974" t="s">
        <v>3509</v>
      </c>
      <c r="C879" s="974" t="s">
        <v>111</v>
      </c>
    </row>
    <row r="880" spans="1:3" ht="15" customHeight="1" x14ac:dyDescent="0.25">
      <c r="A880" s="974" t="s">
        <v>3510</v>
      </c>
      <c r="B880" s="974" t="s">
        <v>3511</v>
      </c>
      <c r="C880" s="974" t="s">
        <v>111</v>
      </c>
    </row>
    <row r="881" spans="1:3" ht="15" customHeight="1" x14ac:dyDescent="0.25">
      <c r="A881" s="974" t="s">
        <v>3512</v>
      </c>
      <c r="B881" s="974" t="s">
        <v>3513</v>
      </c>
      <c r="C881" s="974" t="s">
        <v>111</v>
      </c>
    </row>
    <row r="882" spans="1:3" ht="15" customHeight="1" x14ac:dyDescent="0.25">
      <c r="A882" s="974" t="s">
        <v>3514</v>
      </c>
      <c r="B882" s="974" t="s">
        <v>3515</v>
      </c>
      <c r="C882" s="974" t="s">
        <v>111</v>
      </c>
    </row>
    <row r="883" spans="1:3" ht="15" customHeight="1" x14ac:dyDescent="0.25">
      <c r="A883" s="974" t="s">
        <v>3516</v>
      </c>
      <c r="B883" s="974" t="s">
        <v>3517</v>
      </c>
      <c r="C883" s="974" t="s">
        <v>111</v>
      </c>
    </row>
    <row r="884" spans="1:3" ht="15" customHeight="1" x14ac:dyDescent="0.25">
      <c r="A884" s="974" t="s">
        <v>3518</v>
      </c>
      <c r="B884" s="974" t="s">
        <v>3399</v>
      </c>
      <c r="C884" s="974" t="s">
        <v>111</v>
      </c>
    </row>
    <row r="885" spans="1:3" ht="15" customHeight="1" x14ac:dyDescent="0.25">
      <c r="A885" s="974" t="s">
        <v>3519</v>
      </c>
      <c r="B885" s="974" t="s">
        <v>3401</v>
      </c>
      <c r="C885" s="974" t="s">
        <v>111</v>
      </c>
    </row>
    <row r="886" spans="1:3" ht="15" customHeight="1" x14ac:dyDescent="0.25">
      <c r="A886" s="974" t="s">
        <v>3520</v>
      </c>
      <c r="B886" s="974" t="s">
        <v>3521</v>
      </c>
      <c r="C886" s="974" t="s">
        <v>111</v>
      </c>
    </row>
    <row r="887" spans="1:3" ht="15" customHeight="1" x14ac:dyDescent="0.25">
      <c r="A887" s="974" t="s">
        <v>3522</v>
      </c>
      <c r="B887" s="974" t="s">
        <v>3523</v>
      </c>
      <c r="C887" s="974" t="s">
        <v>111</v>
      </c>
    </row>
    <row r="888" spans="1:3" ht="15" customHeight="1" x14ac:dyDescent="0.25">
      <c r="A888" s="974" t="s">
        <v>3524</v>
      </c>
      <c r="B888" s="974" t="s">
        <v>3525</v>
      </c>
      <c r="C888" s="974" t="s">
        <v>111</v>
      </c>
    </row>
    <row r="889" spans="1:3" ht="15" customHeight="1" x14ac:dyDescent="0.25">
      <c r="A889" s="974" t="s">
        <v>3526</v>
      </c>
      <c r="B889" s="974" t="s">
        <v>3527</v>
      </c>
      <c r="C889" s="974" t="s">
        <v>111</v>
      </c>
    </row>
    <row r="890" spans="1:3" ht="15" customHeight="1" x14ac:dyDescent="0.25">
      <c r="A890" s="974" t="s">
        <v>3528</v>
      </c>
      <c r="B890" s="974" t="s">
        <v>2822</v>
      </c>
      <c r="C890" s="974" t="s">
        <v>111</v>
      </c>
    </row>
    <row r="891" spans="1:3" ht="15" customHeight="1" x14ac:dyDescent="0.25">
      <c r="A891" s="974" t="s">
        <v>3529</v>
      </c>
      <c r="B891" s="974" t="s">
        <v>3530</v>
      </c>
      <c r="C891" s="974" t="s">
        <v>111</v>
      </c>
    </row>
    <row r="892" spans="1:3" ht="15" customHeight="1" x14ac:dyDescent="0.25">
      <c r="A892" s="974" t="s">
        <v>3531</v>
      </c>
      <c r="B892" s="974" t="s">
        <v>3532</v>
      </c>
      <c r="C892" s="974" t="s">
        <v>111</v>
      </c>
    </row>
    <row r="893" spans="1:3" ht="15" customHeight="1" x14ac:dyDescent="0.25">
      <c r="A893" s="974" t="s">
        <v>3533</v>
      </c>
      <c r="B893" s="974" t="s">
        <v>3534</v>
      </c>
      <c r="C893" s="974" t="s">
        <v>111</v>
      </c>
    </row>
    <row r="894" spans="1:3" ht="15" customHeight="1" x14ac:dyDescent="0.25">
      <c r="A894" s="974" t="s">
        <v>3535</v>
      </c>
      <c r="B894" s="974" t="s">
        <v>3536</v>
      </c>
      <c r="C894" s="974" t="s">
        <v>111</v>
      </c>
    </row>
    <row r="895" spans="1:3" ht="15" customHeight="1" x14ac:dyDescent="0.25">
      <c r="A895" s="974" t="s">
        <v>3537</v>
      </c>
      <c r="B895" s="974" t="s">
        <v>3538</v>
      </c>
      <c r="C895" s="974" t="s">
        <v>111</v>
      </c>
    </row>
    <row r="896" spans="1:3" ht="15" customHeight="1" x14ac:dyDescent="0.25">
      <c r="A896" s="974" t="s">
        <v>3539</v>
      </c>
      <c r="B896" s="974" t="s">
        <v>3540</v>
      </c>
      <c r="C896" s="974" t="s">
        <v>111</v>
      </c>
    </row>
    <row r="897" spans="1:3" ht="15" customHeight="1" x14ac:dyDescent="0.25">
      <c r="A897" s="974" t="s">
        <v>3541</v>
      </c>
      <c r="B897" s="974" t="s">
        <v>213</v>
      </c>
      <c r="C897" s="974" t="s">
        <v>111</v>
      </c>
    </row>
    <row r="898" spans="1:3" ht="15" customHeight="1" x14ac:dyDescent="0.25">
      <c r="A898" s="974" t="s">
        <v>3542</v>
      </c>
      <c r="B898" s="974" t="s">
        <v>3543</v>
      </c>
      <c r="C898" s="974" t="s">
        <v>111</v>
      </c>
    </row>
    <row r="899" spans="1:3" ht="15" customHeight="1" x14ac:dyDescent="0.25">
      <c r="A899" s="974" t="s">
        <v>3544</v>
      </c>
      <c r="B899" s="974" t="s">
        <v>3545</v>
      </c>
      <c r="C899" s="974" t="s">
        <v>111</v>
      </c>
    </row>
    <row r="900" spans="1:3" ht="15" customHeight="1" x14ac:dyDescent="0.25">
      <c r="A900" s="974" t="s">
        <v>3546</v>
      </c>
      <c r="B900" s="974" t="s">
        <v>3547</v>
      </c>
      <c r="C900" s="974" t="s">
        <v>111</v>
      </c>
    </row>
    <row r="901" spans="1:3" ht="15" customHeight="1" x14ac:dyDescent="0.25">
      <c r="A901" s="974" t="s">
        <v>3548</v>
      </c>
      <c r="B901" s="974" t="s">
        <v>3549</v>
      </c>
      <c r="C901" s="974" t="s">
        <v>111</v>
      </c>
    </row>
    <row r="902" spans="1:3" ht="15" customHeight="1" x14ac:dyDescent="0.25">
      <c r="A902" s="974" t="s">
        <v>3550</v>
      </c>
      <c r="B902" s="974" t="s">
        <v>3551</v>
      </c>
      <c r="C902" s="974" t="s">
        <v>1850</v>
      </c>
    </row>
    <row r="903" spans="1:3" ht="15" customHeight="1" x14ac:dyDescent="0.25">
      <c r="A903" s="974" t="s">
        <v>3552</v>
      </c>
      <c r="B903" s="974" t="s">
        <v>3553</v>
      </c>
      <c r="C903" s="974" t="s">
        <v>111</v>
      </c>
    </row>
    <row r="904" spans="1:3" ht="15" customHeight="1" x14ac:dyDescent="0.25">
      <c r="A904" s="974" t="s">
        <v>3554</v>
      </c>
      <c r="B904" s="974" t="s">
        <v>3555</v>
      </c>
      <c r="C904" s="974" t="s">
        <v>111</v>
      </c>
    </row>
    <row r="905" spans="1:3" ht="15" customHeight="1" x14ac:dyDescent="0.25">
      <c r="A905" s="974" t="s">
        <v>3556</v>
      </c>
      <c r="B905" s="974" t="s">
        <v>3557</v>
      </c>
      <c r="C905" s="974" t="s">
        <v>111</v>
      </c>
    </row>
    <row r="906" spans="1:3" ht="15" customHeight="1" x14ac:dyDescent="0.25">
      <c r="A906" s="974" t="s">
        <v>3558</v>
      </c>
      <c r="B906" s="974" t="s">
        <v>3559</v>
      </c>
      <c r="C906" s="974" t="s">
        <v>111</v>
      </c>
    </row>
    <row r="907" spans="1:3" ht="15" customHeight="1" x14ac:dyDescent="0.25">
      <c r="A907" s="974" t="s">
        <v>3560</v>
      </c>
      <c r="B907" s="974" t="s">
        <v>3561</v>
      </c>
      <c r="C907" s="974" t="s">
        <v>111</v>
      </c>
    </row>
    <row r="908" spans="1:3" ht="15" customHeight="1" x14ac:dyDescent="0.25">
      <c r="A908" s="974" t="s">
        <v>3562</v>
      </c>
      <c r="B908" s="974" t="s">
        <v>3563</v>
      </c>
      <c r="C908" s="974" t="s">
        <v>111</v>
      </c>
    </row>
    <row r="909" spans="1:3" ht="15" customHeight="1" x14ac:dyDescent="0.25">
      <c r="A909" s="974" t="s">
        <v>3564</v>
      </c>
      <c r="B909" s="974" t="s">
        <v>3565</v>
      </c>
      <c r="C909" s="974" t="s">
        <v>1850</v>
      </c>
    </row>
    <row r="910" spans="1:3" ht="15" customHeight="1" x14ac:dyDescent="0.25">
      <c r="A910" s="974" t="s">
        <v>3566</v>
      </c>
      <c r="B910" s="974" t="s">
        <v>3567</v>
      </c>
      <c r="C910" s="974" t="s">
        <v>1850</v>
      </c>
    </row>
    <row r="911" spans="1:3" ht="15" customHeight="1" x14ac:dyDescent="0.25">
      <c r="A911" s="974" t="s">
        <v>3568</v>
      </c>
      <c r="B911" s="974" t="s">
        <v>568</v>
      </c>
      <c r="C911" s="974" t="s">
        <v>111</v>
      </c>
    </row>
    <row r="912" spans="1:3" ht="15" customHeight="1" x14ac:dyDescent="0.25">
      <c r="A912" s="974" t="s">
        <v>3569</v>
      </c>
      <c r="B912" s="974" t="s">
        <v>3570</v>
      </c>
      <c r="C912" s="974" t="s">
        <v>111</v>
      </c>
    </row>
    <row r="913" spans="1:3" ht="15" customHeight="1" x14ac:dyDescent="0.25">
      <c r="A913" s="974" t="s">
        <v>3571</v>
      </c>
      <c r="B913" s="974" t="s">
        <v>3572</v>
      </c>
      <c r="C913" s="974" t="s">
        <v>111</v>
      </c>
    </row>
    <row r="914" spans="1:3" ht="15" customHeight="1" x14ac:dyDescent="0.25">
      <c r="A914" s="974" t="s">
        <v>3573</v>
      </c>
      <c r="B914" s="974" t="s">
        <v>3574</v>
      </c>
      <c r="C914" s="974" t="s">
        <v>111</v>
      </c>
    </row>
    <row r="915" spans="1:3" ht="15" customHeight="1" x14ac:dyDescent="0.25">
      <c r="A915" s="974" t="s">
        <v>3575</v>
      </c>
      <c r="B915" s="974" t="s">
        <v>3576</v>
      </c>
      <c r="C915" s="974" t="s">
        <v>111</v>
      </c>
    </row>
    <row r="916" spans="1:3" ht="15" customHeight="1" x14ac:dyDescent="0.25">
      <c r="A916" s="974" t="s">
        <v>3577</v>
      </c>
      <c r="B916" s="974" t="s">
        <v>3578</v>
      </c>
      <c r="C916" s="974" t="s">
        <v>111</v>
      </c>
    </row>
    <row r="917" spans="1:3" ht="15" customHeight="1" x14ac:dyDescent="0.25">
      <c r="A917" s="974" t="s">
        <v>3579</v>
      </c>
      <c r="B917" s="974" t="s">
        <v>3580</v>
      </c>
      <c r="C917" s="974" t="s">
        <v>111</v>
      </c>
    </row>
    <row r="918" spans="1:3" ht="15" customHeight="1" x14ac:dyDescent="0.25">
      <c r="A918" s="974" t="s">
        <v>3581</v>
      </c>
      <c r="B918" s="974" t="s">
        <v>3582</v>
      </c>
      <c r="C918" s="974" t="s">
        <v>111</v>
      </c>
    </row>
    <row r="919" spans="1:3" ht="15" customHeight="1" x14ac:dyDescent="0.25">
      <c r="A919" s="974" t="s">
        <v>3583</v>
      </c>
      <c r="B919" s="974" t="s">
        <v>3584</v>
      </c>
      <c r="C919" s="974" t="s">
        <v>111</v>
      </c>
    </row>
    <row r="920" spans="1:3" ht="15" customHeight="1" x14ac:dyDescent="0.25">
      <c r="A920" s="974" t="s">
        <v>3585</v>
      </c>
      <c r="B920" s="974" t="s">
        <v>3586</v>
      </c>
      <c r="C920" s="974" t="s">
        <v>111</v>
      </c>
    </row>
    <row r="921" spans="1:3" ht="15" customHeight="1" x14ac:dyDescent="0.25">
      <c r="A921" s="974" t="s">
        <v>3587</v>
      </c>
      <c r="B921" s="974" t="s">
        <v>3588</v>
      </c>
      <c r="C921" s="974" t="s">
        <v>111</v>
      </c>
    </row>
    <row r="922" spans="1:3" ht="15" customHeight="1" x14ac:dyDescent="0.25">
      <c r="A922" s="974" t="s">
        <v>3589</v>
      </c>
      <c r="B922" s="974" t="s">
        <v>3590</v>
      </c>
      <c r="C922" s="974" t="s">
        <v>111</v>
      </c>
    </row>
    <row r="923" spans="1:3" ht="15" customHeight="1" x14ac:dyDescent="0.25">
      <c r="A923" s="974" t="s">
        <v>3591</v>
      </c>
      <c r="B923" s="974" t="s">
        <v>3592</v>
      </c>
      <c r="C923" s="974" t="s">
        <v>111</v>
      </c>
    </row>
    <row r="924" spans="1:3" ht="15" customHeight="1" x14ac:dyDescent="0.25">
      <c r="A924" s="974" t="s">
        <v>3593</v>
      </c>
      <c r="B924" s="974" t="s">
        <v>3588</v>
      </c>
      <c r="C924" s="974" t="s">
        <v>111</v>
      </c>
    </row>
    <row r="925" spans="1:3" ht="15" customHeight="1" x14ac:dyDescent="0.25">
      <c r="A925" s="974" t="s">
        <v>3594</v>
      </c>
      <c r="B925" s="974" t="s">
        <v>3595</v>
      </c>
      <c r="C925" s="974" t="s">
        <v>111</v>
      </c>
    </row>
    <row r="926" spans="1:3" ht="15" customHeight="1" x14ac:dyDescent="0.25">
      <c r="A926" s="974" t="s">
        <v>3596</v>
      </c>
      <c r="B926" s="974" t="s">
        <v>3597</v>
      </c>
      <c r="C926" s="974" t="s">
        <v>111</v>
      </c>
    </row>
    <row r="927" spans="1:3" ht="15" customHeight="1" x14ac:dyDescent="0.25">
      <c r="A927" s="974" t="s">
        <v>3598</v>
      </c>
      <c r="B927" s="974" t="s">
        <v>3215</v>
      </c>
      <c r="C927" s="974" t="s">
        <v>111</v>
      </c>
    </row>
    <row r="928" spans="1:3" ht="15" customHeight="1" x14ac:dyDescent="0.25">
      <c r="A928" s="974" t="s">
        <v>3599</v>
      </c>
      <c r="B928" s="974" t="s">
        <v>3206</v>
      </c>
      <c r="C928" s="974" t="s">
        <v>111</v>
      </c>
    </row>
    <row r="929" spans="1:3" ht="15" customHeight="1" x14ac:dyDescent="0.25">
      <c r="A929" s="974" t="s">
        <v>3600</v>
      </c>
      <c r="B929" s="974" t="s">
        <v>3208</v>
      </c>
      <c r="C929" s="974" t="s">
        <v>111</v>
      </c>
    </row>
    <row r="930" spans="1:3" ht="15" customHeight="1" x14ac:dyDescent="0.25">
      <c r="A930" s="974" t="s">
        <v>3601</v>
      </c>
      <c r="B930" s="974" t="s">
        <v>3602</v>
      </c>
      <c r="C930" s="974" t="s">
        <v>111</v>
      </c>
    </row>
    <row r="931" spans="1:3" ht="15" customHeight="1" x14ac:dyDescent="0.25">
      <c r="A931" s="974" t="s">
        <v>3603</v>
      </c>
      <c r="B931" s="974" t="s">
        <v>3604</v>
      </c>
      <c r="C931" s="974" t="s">
        <v>111</v>
      </c>
    </row>
    <row r="932" spans="1:3" ht="15" customHeight="1" x14ac:dyDescent="0.25">
      <c r="A932" s="974" t="s">
        <v>3605</v>
      </c>
      <c r="B932" s="974" t="s">
        <v>3597</v>
      </c>
      <c r="C932" s="974" t="s">
        <v>111</v>
      </c>
    </row>
    <row r="933" spans="1:3" ht="15" customHeight="1" x14ac:dyDescent="0.25">
      <c r="A933" s="974" t="s">
        <v>3606</v>
      </c>
      <c r="B933" s="974" t="s">
        <v>3215</v>
      </c>
      <c r="C933" s="974" t="s">
        <v>111</v>
      </c>
    </row>
    <row r="934" spans="1:3" ht="15" customHeight="1" x14ac:dyDescent="0.25">
      <c r="A934" s="974" t="s">
        <v>3607</v>
      </c>
      <c r="B934" s="974" t="s">
        <v>3206</v>
      </c>
      <c r="C934" s="974" t="s">
        <v>111</v>
      </c>
    </row>
    <row r="935" spans="1:3" ht="15" customHeight="1" x14ac:dyDescent="0.25">
      <c r="A935" s="974" t="s">
        <v>3608</v>
      </c>
      <c r="B935" s="974" t="s">
        <v>3208</v>
      </c>
      <c r="C935" s="974" t="s">
        <v>111</v>
      </c>
    </row>
    <row r="936" spans="1:3" ht="15" customHeight="1" x14ac:dyDescent="0.25">
      <c r="A936" s="974" t="s">
        <v>3609</v>
      </c>
      <c r="B936" s="974" t="s">
        <v>3602</v>
      </c>
      <c r="C936" s="974" t="s">
        <v>111</v>
      </c>
    </row>
    <row r="937" spans="1:3" ht="15" customHeight="1" x14ac:dyDescent="0.25">
      <c r="A937" s="974" t="s">
        <v>3610</v>
      </c>
      <c r="B937" s="974" t="s">
        <v>3604</v>
      </c>
      <c r="C937" s="974" t="s">
        <v>111</v>
      </c>
    </row>
    <row r="938" spans="1:3" ht="15" customHeight="1" x14ac:dyDescent="0.25">
      <c r="A938" s="974" t="s">
        <v>3611</v>
      </c>
      <c r="B938" s="974" t="s">
        <v>3597</v>
      </c>
      <c r="C938" s="974" t="s">
        <v>111</v>
      </c>
    </row>
    <row r="939" spans="1:3" ht="15" customHeight="1" x14ac:dyDescent="0.25">
      <c r="A939" s="974" t="s">
        <v>3612</v>
      </c>
      <c r="B939" s="974" t="s">
        <v>3215</v>
      </c>
      <c r="C939" s="974" t="s">
        <v>111</v>
      </c>
    </row>
    <row r="940" spans="1:3" ht="15" customHeight="1" x14ac:dyDescent="0.25">
      <c r="A940" s="974" t="s">
        <v>3613</v>
      </c>
      <c r="B940" s="974" t="s">
        <v>3206</v>
      </c>
      <c r="C940" s="974" t="s">
        <v>111</v>
      </c>
    </row>
    <row r="941" spans="1:3" ht="15" customHeight="1" x14ac:dyDescent="0.25">
      <c r="A941" s="974" t="s">
        <v>3614</v>
      </c>
      <c r="B941" s="974" t="s">
        <v>3208</v>
      </c>
      <c r="C941" s="974" t="s">
        <v>111</v>
      </c>
    </row>
    <row r="942" spans="1:3" ht="15" customHeight="1" x14ac:dyDescent="0.25">
      <c r="A942" s="974" t="s">
        <v>3615</v>
      </c>
      <c r="B942" s="974" t="s">
        <v>3602</v>
      </c>
      <c r="C942" s="974" t="s">
        <v>111</v>
      </c>
    </row>
    <row r="943" spans="1:3" ht="15" customHeight="1" x14ac:dyDescent="0.25">
      <c r="A943" s="974" t="s">
        <v>3616</v>
      </c>
      <c r="B943" s="974" t="s">
        <v>3604</v>
      </c>
      <c r="C943" s="974" t="s">
        <v>111</v>
      </c>
    </row>
    <row r="944" spans="1:3" ht="15" customHeight="1" x14ac:dyDescent="0.25">
      <c r="A944" s="974" t="s">
        <v>3617</v>
      </c>
      <c r="B944" s="974" t="s">
        <v>3597</v>
      </c>
      <c r="C944" s="974" t="s">
        <v>111</v>
      </c>
    </row>
    <row r="945" spans="1:3" ht="15" customHeight="1" x14ac:dyDescent="0.25">
      <c r="A945" s="974" t="s">
        <v>3618</v>
      </c>
      <c r="B945" s="974" t="s">
        <v>3215</v>
      </c>
      <c r="C945" s="974" t="s">
        <v>111</v>
      </c>
    </row>
    <row r="946" spans="1:3" ht="15" customHeight="1" x14ac:dyDescent="0.25">
      <c r="A946" s="974" t="s">
        <v>3619</v>
      </c>
      <c r="B946" s="974" t="s">
        <v>3206</v>
      </c>
      <c r="C946" s="974" t="s">
        <v>111</v>
      </c>
    </row>
    <row r="947" spans="1:3" ht="15" customHeight="1" x14ac:dyDescent="0.25">
      <c r="A947" s="974" t="s">
        <v>3620</v>
      </c>
      <c r="B947" s="974" t="s">
        <v>3208</v>
      </c>
      <c r="C947" s="974" t="s">
        <v>111</v>
      </c>
    </row>
    <row r="948" spans="1:3" ht="15" customHeight="1" x14ac:dyDescent="0.25">
      <c r="A948" s="974" t="s">
        <v>3621</v>
      </c>
      <c r="B948" s="974" t="s">
        <v>3602</v>
      </c>
      <c r="C948" s="974" t="s">
        <v>111</v>
      </c>
    </row>
    <row r="949" spans="1:3" ht="15" customHeight="1" x14ac:dyDescent="0.25">
      <c r="A949" s="974" t="s">
        <v>3622</v>
      </c>
      <c r="B949" s="974" t="s">
        <v>3604</v>
      </c>
      <c r="C949" s="974" t="s">
        <v>111</v>
      </c>
    </row>
    <row r="950" spans="1:3" ht="15" customHeight="1" x14ac:dyDescent="0.25">
      <c r="A950" s="974" t="s">
        <v>3623</v>
      </c>
      <c r="B950" s="974" t="s">
        <v>3597</v>
      </c>
      <c r="C950" s="974" t="s">
        <v>111</v>
      </c>
    </row>
    <row r="951" spans="1:3" ht="15" customHeight="1" x14ac:dyDescent="0.25">
      <c r="A951" s="974" t="s">
        <v>3624</v>
      </c>
      <c r="B951" s="974" t="s">
        <v>3215</v>
      </c>
      <c r="C951" s="974" t="s">
        <v>111</v>
      </c>
    </row>
    <row r="952" spans="1:3" ht="15" customHeight="1" x14ac:dyDescent="0.25">
      <c r="A952" s="974" t="s">
        <v>3625</v>
      </c>
      <c r="B952" s="974" t="s">
        <v>3206</v>
      </c>
      <c r="C952" s="974" t="s">
        <v>111</v>
      </c>
    </row>
    <row r="953" spans="1:3" ht="15" customHeight="1" x14ac:dyDescent="0.25">
      <c r="A953" s="974" t="s">
        <v>3626</v>
      </c>
      <c r="B953" s="974" t="s">
        <v>3208</v>
      </c>
      <c r="C953" s="974" t="s">
        <v>111</v>
      </c>
    </row>
    <row r="954" spans="1:3" ht="15" customHeight="1" x14ac:dyDescent="0.25">
      <c r="A954" s="974" t="s">
        <v>3627</v>
      </c>
      <c r="B954" s="974" t="s">
        <v>3602</v>
      </c>
      <c r="C954" s="974" t="s">
        <v>111</v>
      </c>
    </row>
    <row r="955" spans="1:3" ht="15" customHeight="1" x14ac:dyDescent="0.25">
      <c r="A955" s="974" t="s">
        <v>3628</v>
      </c>
      <c r="B955" s="974" t="s">
        <v>3604</v>
      </c>
      <c r="C955" s="974" t="s">
        <v>111</v>
      </c>
    </row>
    <row r="956" spans="1:3" ht="15" customHeight="1" x14ac:dyDescent="0.25">
      <c r="A956" s="974" t="s">
        <v>3629</v>
      </c>
      <c r="B956" s="974" t="s">
        <v>3597</v>
      </c>
      <c r="C956" s="974" t="s">
        <v>111</v>
      </c>
    </row>
    <row r="957" spans="1:3" ht="15" customHeight="1" x14ac:dyDescent="0.25">
      <c r="A957" s="974" t="s">
        <v>3630</v>
      </c>
      <c r="B957" s="974" t="s">
        <v>3215</v>
      </c>
      <c r="C957" s="974" t="s">
        <v>111</v>
      </c>
    </row>
    <row r="958" spans="1:3" ht="15" customHeight="1" x14ac:dyDescent="0.25">
      <c r="A958" s="974" t="s">
        <v>3631</v>
      </c>
      <c r="B958" s="974" t="s">
        <v>3206</v>
      </c>
      <c r="C958" s="974" t="s">
        <v>111</v>
      </c>
    </row>
    <row r="959" spans="1:3" ht="15" customHeight="1" x14ac:dyDescent="0.25">
      <c r="A959" s="974" t="s">
        <v>3632</v>
      </c>
      <c r="B959" s="974" t="s">
        <v>3208</v>
      </c>
      <c r="C959" s="974" t="s">
        <v>111</v>
      </c>
    </row>
    <row r="960" spans="1:3" ht="15" customHeight="1" x14ac:dyDescent="0.25">
      <c r="A960" s="974" t="s">
        <v>3633</v>
      </c>
      <c r="B960" s="974" t="s">
        <v>3602</v>
      </c>
      <c r="C960" s="974" t="s">
        <v>111</v>
      </c>
    </row>
    <row r="961" spans="1:3" ht="15" customHeight="1" x14ac:dyDescent="0.25">
      <c r="A961" s="974" t="s">
        <v>3634</v>
      </c>
      <c r="B961" s="974" t="s">
        <v>3604</v>
      </c>
      <c r="C961" s="974" t="s">
        <v>111</v>
      </c>
    </row>
    <row r="962" spans="1:3" ht="15" customHeight="1" x14ac:dyDescent="0.25">
      <c r="A962" s="974" t="s">
        <v>3635</v>
      </c>
      <c r="B962" s="974" t="s">
        <v>3636</v>
      </c>
      <c r="C962" s="974" t="s">
        <v>111</v>
      </c>
    </row>
    <row r="963" spans="1:3" ht="15" customHeight="1" x14ac:dyDescent="0.25">
      <c r="A963" s="974" t="s">
        <v>3637</v>
      </c>
      <c r="B963" s="974" t="s">
        <v>3638</v>
      </c>
      <c r="C963" s="974" t="s">
        <v>111</v>
      </c>
    </row>
    <row r="964" spans="1:3" ht="15" customHeight="1" x14ac:dyDescent="0.25">
      <c r="A964" s="974" t="s">
        <v>3639</v>
      </c>
      <c r="B964" s="974" t="s">
        <v>3640</v>
      </c>
      <c r="C964" s="974" t="s">
        <v>111</v>
      </c>
    </row>
    <row r="965" spans="1:3" ht="15" customHeight="1" x14ac:dyDescent="0.25">
      <c r="A965" s="974" t="s">
        <v>3641</v>
      </c>
      <c r="B965" s="974" t="s">
        <v>3642</v>
      </c>
      <c r="C965" s="974" t="s">
        <v>111</v>
      </c>
    </row>
    <row r="966" spans="1:3" ht="15" customHeight="1" x14ac:dyDescent="0.25">
      <c r="A966" s="974" t="s">
        <v>3643</v>
      </c>
      <c r="B966" s="974" t="s">
        <v>3644</v>
      </c>
      <c r="C966" s="974" t="s">
        <v>111</v>
      </c>
    </row>
    <row r="967" spans="1:3" ht="15" customHeight="1" x14ac:dyDescent="0.25">
      <c r="A967" s="974" t="s">
        <v>3645</v>
      </c>
      <c r="B967" s="974" t="s">
        <v>3646</v>
      </c>
      <c r="C967" s="974" t="s">
        <v>111</v>
      </c>
    </row>
    <row r="968" spans="1:3" ht="15" customHeight="1" x14ac:dyDescent="0.25">
      <c r="A968" s="974" t="s">
        <v>3647</v>
      </c>
      <c r="B968" s="974" t="s">
        <v>3648</v>
      </c>
      <c r="C968" s="974" t="s">
        <v>111</v>
      </c>
    </row>
    <row r="969" spans="1:3" ht="15" customHeight="1" x14ac:dyDescent="0.25">
      <c r="A969" s="974" t="s">
        <v>3649</v>
      </c>
      <c r="B969" s="974" t="s">
        <v>3650</v>
      </c>
      <c r="C969" s="974" t="s">
        <v>111</v>
      </c>
    </row>
    <row r="970" spans="1:3" ht="15" customHeight="1" x14ac:dyDescent="0.25">
      <c r="A970" s="974" t="s">
        <v>3651</v>
      </c>
      <c r="B970" s="974" t="s">
        <v>3652</v>
      </c>
      <c r="C970" s="974" t="s">
        <v>1850</v>
      </c>
    </row>
    <row r="971" spans="1:3" ht="15" customHeight="1" x14ac:dyDescent="0.25">
      <c r="A971" s="974" t="s">
        <v>3653</v>
      </c>
      <c r="B971" s="974" t="s">
        <v>3654</v>
      </c>
      <c r="C971" s="974" t="s">
        <v>1850</v>
      </c>
    </row>
    <row r="972" spans="1:3" ht="15" customHeight="1" x14ac:dyDescent="0.25">
      <c r="A972" s="974" t="s">
        <v>3655</v>
      </c>
      <c r="B972" s="974" t="s">
        <v>3656</v>
      </c>
      <c r="C972" s="974" t="s">
        <v>1850</v>
      </c>
    </row>
    <row r="973" spans="1:3" ht="15" customHeight="1" x14ac:dyDescent="0.25">
      <c r="A973" s="974" t="s">
        <v>3657</v>
      </c>
      <c r="B973" s="974" t="s">
        <v>3658</v>
      </c>
      <c r="C973" s="974" t="s">
        <v>1850</v>
      </c>
    </row>
    <row r="974" spans="1:3" ht="15" customHeight="1" x14ac:dyDescent="0.25">
      <c r="A974" s="974" t="s">
        <v>3659</v>
      </c>
      <c r="B974" s="974" t="s">
        <v>3660</v>
      </c>
      <c r="C974" s="974" t="s">
        <v>111</v>
      </c>
    </row>
    <row r="975" spans="1:3" ht="15" customHeight="1" x14ac:dyDescent="0.25">
      <c r="A975" s="974" t="s">
        <v>3661</v>
      </c>
      <c r="B975" s="974" t="s">
        <v>3662</v>
      </c>
      <c r="C975" s="974" t="s">
        <v>111</v>
      </c>
    </row>
    <row r="976" spans="1:3" ht="15" customHeight="1" x14ac:dyDescent="0.25">
      <c r="A976" s="974" t="s">
        <v>3663</v>
      </c>
      <c r="B976" s="974" t="s">
        <v>3664</v>
      </c>
      <c r="C976" s="974" t="s">
        <v>111</v>
      </c>
    </row>
    <row r="977" spans="1:3" ht="15" customHeight="1" x14ac:dyDescent="0.25">
      <c r="A977" s="974" t="s">
        <v>3665</v>
      </c>
      <c r="B977" s="974" t="s">
        <v>3666</v>
      </c>
      <c r="C977" s="974" t="s">
        <v>1850</v>
      </c>
    </row>
    <row r="978" spans="1:3" ht="15" customHeight="1" x14ac:dyDescent="0.25">
      <c r="A978" s="974" t="s">
        <v>3667</v>
      </c>
      <c r="B978" s="974" t="s">
        <v>3668</v>
      </c>
      <c r="C978" s="974" t="s">
        <v>111</v>
      </c>
    </row>
    <row r="979" spans="1:3" ht="15" customHeight="1" x14ac:dyDescent="0.25">
      <c r="A979" s="974" t="s">
        <v>3669</v>
      </c>
      <c r="B979" s="974" t="s">
        <v>3670</v>
      </c>
      <c r="C979" s="974" t="s">
        <v>111</v>
      </c>
    </row>
    <row r="980" spans="1:3" ht="15" customHeight="1" x14ac:dyDescent="0.25">
      <c r="A980" s="974" t="s">
        <v>3671</v>
      </c>
      <c r="B980" s="974" t="s">
        <v>3672</v>
      </c>
      <c r="C980" s="974" t="s">
        <v>1850</v>
      </c>
    </row>
    <row r="981" spans="1:3" ht="15" customHeight="1" x14ac:dyDescent="0.25">
      <c r="A981" s="974" t="s">
        <v>3673</v>
      </c>
      <c r="B981" s="974" t="s">
        <v>3674</v>
      </c>
      <c r="C981" s="974" t="s">
        <v>1850</v>
      </c>
    </row>
    <row r="982" spans="1:3" ht="15" customHeight="1" x14ac:dyDescent="0.25">
      <c r="A982" s="974" t="s">
        <v>3675</v>
      </c>
      <c r="B982" s="974" t="s">
        <v>3676</v>
      </c>
      <c r="C982" s="974" t="s">
        <v>111</v>
      </c>
    </row>
    <row r="983" spans="1:3" ht="15" customHeight="1" x14ac:dyDescent="0.25">
      <c r="A983" s="974" t="s">
        <v>3677</v>
      </c>
      <c r="B983" s="974" t="s">
        <v>3678</v>
      </c>
      <c r="C983" s="974" t="s">
        <v>111</v>
      </c>
    </row>
    <row r="984" spans="1:3" ht="15" customHeight="1" x14ac:dyDescent="0.25">
      <c r="A984" s="974" t="s">
        <v>3679</v>
      </c>
      <c r="B984" s="974" t="s">
        <v>3680</v>
      </c>
      <c r="C984" s="974" t="s">
        <v>111</v>
      </c>
    </row>
    <row r="985" spans="1:3" ht="15" customHeight="1" x14ac:dyDescent="0.25">
      <c r="A985" s="974" t="s">
        <v>3681</v>
      </c>
      <c r="B985" s="974" t="s">
        <v>3682</v>
      </c>
      <c r="C985" s="974" t="s">
        <v>111</v>
      </c>
    </row>
    <row r="986" spans="1:3" ht="15" customHeight="1" x14ac:dyDescent="0.25">
      <c r="A986" s="974" t="s">
        <v>3683</v>
      </c>
      <c r="B986" s="974" t="s">
        <v>3684</v>
      </c>
      <c r="C986" s="974" t="s">
        <v>1850</v>
      </c>
    </row>
    <row r="987" spans="1:3" ht="15" customHeight="1" x14ac:dyDescent="0.25">
      <c r="A987" s="974" t="s">
        <v>3685</v>
      </c>
      <c r="B987" s="974" t="s">
        <v>3686</v>
      </c>
      <c r="C987" s="974" t="s">
        <v>111</v>
      </c>
    </row>
    <row r="988" spans="1:3" ht="15" customHeight="1" x14ac:dyDescent="0.25">
      <c r="A988" s="974" t="s">
        <v>3687</v>
      </c>
      <c r="B988" s="974" t="s">
        <v>3688</v>
      </c>
      <c r="C988" s="974" t="s">
        <v>111</v>
      </c>
    </row>
    <row r="989" spans="1:3" ht="15" customHeight="1" x14ac:dyDescent="0.25">
      <c r="A989" s="974" t="s">
        <v>3689</v>
      </c>
      <c r="B989" s="974" t="s">
        <v>3690</v>
      </c>
      <c r="C989" s="974" t="s">
        <v>1850</v>
      </c>
    </row>
    <row r="990" spans="1:3" ht="15" customHeight="1" x14ac:dyDescent="0.25">
      <c r="A990" s="974" t="s">
        <v>3691</v>
      </c>
      <c r="B990" s="974" t="s">
        <v>3692</v>
      </c>
      <c r="C990" s="974" t="s">
        <v>111</v>
      </c>
    </row>
    <row r="991" spans="1:3" ht="15" customHeight="1" x14ac:dyDescent="0.25">
      <c r="A991" s="974" t="s">
        <v>3693</v>
      </c>
      <c r="B991" s="974" t="s">
        <v>3694</v>
      </c>
      <c r="C991" s="974" t="s">
        <v>111</v>
      </c>
    </row>
    <row r="992" spans="1:3" ht="15" customHeight="1" x14ac:dyDescent="0.25">
      <c r="A992" s="974" t="s">
        <v>3695</v>
      </c>
      <c r="B992" s="974" t="s">
        <v>79</v>
      </c>
      <c r="C992" s="974" t="s">
        <v>111</v>
      </c>
    </row>
    <row r="993" spans="1:3" ht="15" customHeight="1" x14ac:dyDescent="0.25">
      <c r="A993" s="974" t="s">
        <v>3696</v>
      </c>
      <c r="B993" s="974" t="s">
        <v>80</v>
      </c>
      <c r="C993" s="974" t="s">
        <v>111</v>
      </c>
    </row>
    <row r="994" spans="1:3" ht="15" customHeight="1" x14ac:dyDescent="0.25">
      <c r="A994" s="974" t="s">
        <v>3697</v>
      </c>
      <c r="B994" s="974" t="s">
        <v>3698</v>
      </c>
      <c r="C994" s="974" t="s">
        <v>1850</v>
      </c>
    </row>
    <row r="995" spans="1:3" ht="15" customHeight="1" x14ac:dyDescent="0.25">
      <c r="A995" s="974" t="s">
        <v>3699</v>
      </c>
      <c r="B995" s="974" t="s">
        <v>3462</v>
      </c>
      <c r="C995" s="974" t="s">
        <v>111</v>
      </c>
    </row>
    <row r="996" spans="1:3" ht="15" customHeight="1" x14ac:dyDescent="0.25">
      <c r="A996" s="974" t="s">
        <v>3700</v>
      </c>
      <c r="B996" s="974" t="s">
        <v>3701</v>
      </c>
      <c r="C996" s="974" t="s">
        <v>111</v>
      </c>
    </row>
    <row r="997" spans="1:3" ht="15" customHeight="1" x14ac:dyDescent="0.25">
      <c r="A997" s="974" t="s">
        <v>3702</v>
      </c>
      <c r="B997" s="974" t="s">
        <v>1569</v>
      </c>
      <c r="C997" s="974" t="s">
        <v>111</v>
      </c>
    </row>
    <row r="998" spans="1:3" ht="15" customHeight="1" x14ac:dyDescent="0.25">
      <c r="A998" s="974" t="s">
        <v>3703</v>
      </c>
      <c r="B998" s="974" t="s">
        <v>3469</v>
      </c>
      <c r="C998" s="974" t="s">
        <v>111</v>
      </c>
    </row>
    <row r="999" spans="1:3" ht="15" customHeight="1" x14ac:dyDescent="0.25">
      <c r="A999" s="974" t="s">
        <v>3704</v>
      </c>
      <c r="B999" s="974" t="s">
        <v>3471</v>
      </c>
      <c r="C999" s="974" t="s">
        <v>111</v>
      </c>
    </row>
    <row r="1000" spans="1:3" ht="15" customHeight="1" x14ac:dyDescent="0.25">
      <c r="A1000" s="974" t="s">
        <v>3705</v>
      </c>
      <c r="B1000" s="974" t="s">
        <v>3473</v>
      </c>
      <c r="C1000" s="974" t="s">
        <v>111</v>
      </c>
    </row>
    <row r="1001" spans="1:3" ht="15" customHeight="1" x14ac:dyDescent="0.25">
      <c r="A1001" s="974" t="s">
        <v>3706</v>
      </c>
      <c r="B1001" s="974" t="s">
        <v>3707</v>
      </c>
      <c r="C1001" s="974" t="s">
        <v>111</v>
      </c>
    </row>
    <row r="1002" spans="1:3" ht="15" customHeight="1" x14ac:dyDescent="0.25">
      <c r="A1002" s="974" t="s">
        <v>3708</v>
      </c>
      <c r="B1002" s="974" t="s">
        <v>3709</v>
      </c>
      <c r="C1002" s="974" t="s">
        <v>111</v>
      </c>
    </row>
    <row r="1003" spans="1:3" ht="15" customHeight="1" x14ac:dyDescent="0.25">
      <c r="A1003" s="974" t="s">
        <v>3710</v>
      </c>
      <c r="B1003" s="974" t="s">
        <v>3711</v>
      </c>
      <c r="C1003" s="974" t="s">
        <v>111</v>
      </c>
    </row>
    <row r="1004" spans="1:3" ht="15" customHeight="1" x14ac:dyDescent="0.25">
      <c r="A1004" s="974" t="s">
        <v>3712</v>
      </c>
      <c r="B1004" s="974" t="s">
        <v>3713</v>
      </c>
      <c r="C1004" s="974" t="s">
        <v>111</v>
      </c>
    </row>
    <row r="1005" spans="1:3" ht="15" customHeight="1" x14ac:dyDescent="0.25">
      <c r="A1005" s="974" t="s">
        <v>3714</v>
      </c>
      <c r="B1005" s="974" t="s">
        <v>3715</v>
      </c>
      <c r="C1005" s="974" t="s">
        <v>111</v>
      </c>
    </row>
    <row r="1006" spans="1:3" ht="15" customHeight="1" x14ac:dyDescent="0.25">
      <c r="A1006" s="974" t="s">
        <v>3716</v>
      </c>
      <c r="B1006" s="974" t="s">
        <v>3717</v>
      </c>
      <c r="C1006" s="974" t="s">
        <v>1850</v>
      </c>
    </row>
    <row r="1007" spans="1:3" ht="15" customHeight="1" x14ac:dyDescent="0.25">
      <c r="A1007" s="974" t="s">
        <v>3718</v>
      </c>
      <c r="B1007" s="974" t="s">
        <v>3719</v>
      </c>
      <c r="C1007" s="974" t="s">
        <v>111</v>
      </c>
    </row>
    <row r="1008" spans="1:3" ht="15" customHeight="1" x14ac:dyDescent="0.25">
      <c r="A1008" s="974" t="s">
        <v>3720</v>
      </c>
      <c r="B1008" s="974" t="s">
        <v>3721</v>
      </c>
      <c r="C1008" s="974" t="s">
        <v>111</v>
      </c>
    </row>
    <row r="1009" spans="1:3" ht="15" customHeight="1" x14ac:dyDescent="0.25">
      <c r="A1009" s="974" t="s">
        <v>3722</v>
      </c>
      <c r="B1009" s="974" t="s">
        <v>3723</v>
      </c>
      <c r="C1009" s="974" t="s">
        <v>1850</v>
      </c>
    </row>
    <row r="1010" spans="1:3" ht="15" customHeight="1" x14ac:dyDescent="0.25">
      <c r="A1010" s="974" t="s">
        <v>3724</v>
      </c>
      <c r="B1010" s="974" t="s">
        <v>3725</v>
      </c>
      <c r="C1010" s="974" t="s">
        <v>1850</v>
      </c>
    </row>
    <row r="1011" spans="1:3" ht="15" customHeight="1" x14ac:dyDescent="0.25">
      <c r="A1011" s="974" t="s">
        <v>3726</v>
      </c>
      <c r="B1011" s="974" t="s">
        <v>3727</v>
      </c>
      <c r="C1011" s="974" t="s">
        <v>1850</v>
      </c>
    </row>
    <row r="1012" spans="1:3" ht="15" customHeight="1" x14ac:dyDescent="0.25">
      <c r="A1012" s="974" t="s">
        <v>3728</v>
      </c>
      <c r="B1012" s="974" t="s">
        <v>3572</v>
      </c>
      <c r="C1012" s="974" t="s">
        <v>111</v>
      </c>
    </row>
    <row r="1013" spans="1:3" ht="15" customHeight="1" x14ac:dyDescent="0.25">
      <c r="A1013" s="974" t="s">
        <v>3729</v>
      </c>
      <c r="B1013" s="974" t="s">
        <v>3574</v>
      </c>
      <c r="C1013" s="974" t="s">
        <v>111</v>
      </c>
    </row>
    <row r="1014" spans="1:3" ht="15" customHeight="1" x14ac:dyDescent="0.25">
      <c r="A1014" s="974" t="s">
        <v>3730</v>
      </c>
      <c r="B1014" s="974" t="s">
        <v>3576</v>
      </c>
      <c r="C1014" s="974" t="s">
        <v>111</v>
      </c>
    </row>
    <row r="1015" spans="1:3" ht="15" customHeight="1" x14ac:dyDescent="0.25">
      <c r="A1015" s="974" t="s">
        <v>3731</v>
      </c>
      <c r="B1015" s="974" t="s">
        <v>3578</v>
      </c>
      <c r="C1015" s="974" t="s">
        <v>111</v>
      </c>
    </row>
    <row r="1016" spans="1:3" ht="15" customHeight="1" x14ac:dyDescent="0.25">
      <c r="A1016" s="974" t="s">
        <v>3732</v>
      </c>
      <c r="B1016" s="974" t="s">
        <v>3580</v>
      </c>
      <c r="C1016" s="974" t="s">
        <v>111</v>
      </c>
    </row>
    <row r="1017" spans="1:3" ht="15" customHeight="1" x14ac:dyDescent="0.25">
      <c r="A1017" s="974" t="s">
        <v>3733</v>
      </c>
      <c r="B1017" s="974" t="s">
        <v>3734</v>
      </c>
      <c r="C1017" s="974" t="s">
        <v>111</v>
      </c>
    </row>
    <row r="1018" spans="1:3" ht="15" customHeight="1" x14ac:dyDescent="0.25">
      <c r="A1018" s="974" t="s">
        <v>3735</v>
      </c>
      <c r="B1018" s="974" t="s">
        <v>3736</v>
      </c>
      <c r="C1018" s="974" t="s">
        <v>1850</v>
      </c>
    </row>
    <row r="1019" spans="1:3" ht="15" customHeight="1" x14ac:dyDescent="0.25">
      <c r="A1019" s="974" t="s">
        <v>3737</v>
      </c>
      <c r="B1019" s="974" t="s">
        <v>3738</v>
      </c>
      <c r="C1019" s="974" t="s">
        <v>1850</v>
      </c>
    </row>
    <row r="1020" spans="1:3" ht="15" customHeight="1" x14ac:dyDescent="0.25">
      <c r="A1020" s="974" t="s">
        <v>3739</v>
      </c>
      <c r="B1020" s="974" t="s">
        <v>3740</v>
      </c>
      <c r="C1020" s="974" t="s">
        <v>111</v>
      </c>
    </row>
    <row r="1021" spans="1:3" ht="15" customHeight="1" x14ac:dyDescent="0.25">
      <c r="A1021" s="974" t="s">
        <v>3741</v>
      </c>
      <c r="B1021" s="974" t="s">
        <v>3742</v>
      </c>
      <c r="C1021" s="974" t="s">
        <v>111</v>
      </c>
    </row>
    <row r="1022" spans="1:3" ht="15" customHeight="1" x14ac:dyDescent="0.25">
      <c r="A1022" s="974" t="s">
        <v>3743</v>
      </c>
      <c r="B1022" s="974" t="s">
        <v>3744</v>
      </c>
      <c r="C1022" s="974" t="s">
        <v>111</v>
      </c>
    </row>
    <row r="1023" spans="1:3" ht="15" customHeight="1" x14ac:dyDescent="0.25">
      <c r="A1023" s="974" t="s">
        <v>3745</v>
      </c>
      <c r="B1023" s="974" t="s">
        <v>3740</v>
      </c>
      <c r="C1023" s="974" t="s">
        <v>111</v>
      </c>
    </row>
    <row r="1024" spans="1:3" ht="15" customHeight="1" x14ac:dyDescent="0.25">
      <c r="A1024" s="974" t="s">
        <v>3746</v>
      </c>
      <c r="B1024" s="974" t="s">
        <v>3747</v>
      </c>
      <c r="C1024" s="974" t="s">
        <v>111</v>
      </c>
    </row>
    <row r="1025" spans="1:3" ht="15" customHeight="1" x14ac:dyDescent="0.25">
      <c r="A1025" s="974" t="s">
        <v>3748</v>
      </c>
      <c r="B1025" s="974" t="s">
        <v>3749</v>
      </c>
      <c r="C1025" s="974" t="s">
        <v>1850</v>
      </c>
    </row>
    <row r="1026" spans="1:3" ht="15" customHeight="1" x14ac:dyDescent="0.25">
      <c r="A1026" s="974" t="s">
        <v>3750</v>
      </c>
      <c r="B1026" s="974" t="s">
        <v>3751</v>
      </c>
      <c r="C1026" s="974" t="s">
        <v>1850</v>
      </c>
    </row>
    <row r="1027" spans="1:3" ht="15" customHeight="1" x14ac:dyDescent="0.25">
      <c r="A1027" s="974" t="s">
        <v>3752</v>
      </c>
      <c r="B1027" s="974" t="s">
        <v>3666</v>
      </c>
      <c r="C1027" s="974" t="s">
        <v>1850</v>
      </c>
    </row>
    <row r="1028" spans="1:3" ht="15" customHeight="1" x14ac:dyDescent="0.25">
      <c r="A1028" s="974" t="s">
        <v>3753</v>
      </c>
      <c r="B1028" s="974" t="s">
        <v>3754</v>
      </c>
      <c r="C1028" s="974" t="s">
        <v>1850</v>
      </c>
    </row>
    <row r="1029" spans="1:3" ht="15" customHeight="1" x14ac:dyDescent="0.25">
      <c r="A1029" s="974" t="s">
        <v>3755</v>
      </c>
      <c r="B1029" s="974" t="s">
        <v>3756</v>
      </c>
      <c r="C1029" s="974" t="s">
        <v>1850</v>
      </c>
    </row>
    <row r="1030" spans="1:3" ht="15" customHeight="1" x14ac:dyDescent="0.25">
      <c r="A1030" s="974" t="s">
        <v>3757</v>
      </c>
      <c r="B1030" s="974" t="s">
        <v>3666</v>
      </c>
      <c r="C1030" s="974" t="s">
        <v>1850</v>
      </c>
    </row>
    <row r="1031" spans="1:3" ht="15" customHeight="1" x14ac:dyDescent="0.25">
      <c r="A1031" s="974" t="s">
        <v>3758</v>
      </c>
      <c r="B1031" s="974" t="s">
        <v>3754</v>
      </c>
      <c r="C1031" s="974" t="s">
        <v>1850</v>
      </c>
    </row>
    <row r="1032" spans="1:3" ht="15" customHeight="1" x14ac:dyDescent="0.25">
      <c r="A1032" s="974" t="s">
        <v>3759</v>
      </c>
      <c r="B1032" s="974" t="s">
        <v>3756</v>
      </c>
      <c r="C1032" s="974" t="s">
        <v>1850</v>
      </c>
    </row>
    <row r="1033" spans="1:3" ht="15" customHeight="1" x14ac:dyDescent="0.25">
      <c r="A1033" s="974" t="s">
        <v>3760</v>
      </c>
      <c r="B1033" s="974" t="s">
        <v>3761</v>
      </c>
      <c r="C1033" s="974" t="s">
        <v>1850</v>
      </c>
    </row>
    <row r="1034" spans="1:3" ht="15" customHeight="1" x14ac:dyDescent="0.25">
      <c r="A1034" s="974" t="s">
        <v>3762</v>
      </c>
      <c r="B1034" s="974" t="s">
        <v>3763</v>
      </c>
      <c r="C1034" s="974" t="s">
        <v>1850</v>
      </c>
    </row>
    <row r="1035" spans="1:3" ht="15" customHeight="1" x14ac:dyDescent="0.25">
      <c r="A1035" s="974" t="s">
        <v>3764</v>
      </c>
      <c r="B1035" s="974" t="s">
        <v>3765</v>
      </c>
      <c r="C1035" s="974" t="s">
        <v>1850</v>
      </c>
    </row>
    <row r="1036" spans="1:3" ht="15" customHeight="1" x14ac:dyDescent="0.25">
      <c r="A1036" s="974" t="s">
        <v>3766</v>
      </c>
      <c r="B1036" s="974" t="s">
        <v>3767</v>
      </c>
      <c r="C1036" s="974" t="s">
        <v>1850</v>
      </c>
    </row>
    <row r="1037" spans="1:3" ht="15" customHeight="1" x14ac:dyDescent="0.25">
      <c r="A1037" s="974" t="s">
        <v>3768</v>
      </c>
      <c r="B1037" s="974" t="s">
        <v>3769</v>
      </c>
      <c r="C1037" s="974" t="s">
        <v>1850</v>
      </c>
    </row>
    <row r="1038" spans="1:3" ht="15" customHeight="1" x14ac:dyDescent="0.25">
      <c r="A1038" s="974" t="s">
        <v>3770</v>
      </c>
      <c r="B1038" s="974" t="s">
        <v>3771</v>
      </c>
      <c r="C1038" s="974" t="s">
        <v>1850</v>
      </c>
    </row>
    <row r="1039" spans="1:3" ht="15" customHeight="1" x14ac:dyDescent="0.25">
      <c r="A1039" s="974" t="s">
        <v>3772</v>
      </c>
      <c r="B1039" s="974" t="s">
        <v>3773</v>
      </c>
      <c r="C1039" s="974" t="s">
        <v>1850</v>
      </c>
    </row>
    <row r="1040" spans="1:3" ht="15" customHeight="1" x14ac:dyDescent="0.25">
      <c r="A1040" s="974" t="s">
        <v>3774</v>
      </c>
      <c r="B1040" s="974" t="s">
        <v>3775</v>
      </c>
      <c r="C1040" s="974" t="s">
        <v>1850</v>
      </c>
    </row>
    <row r="1041" spans="1:3" ht="15" customHeight="1" x14ac:dyDescent="0.25">
      <c r="A1041" s="974" t="s">
        <v>3776</v>
      </c>
      <c r="B1041" s="974" t="s">
        <v>3777</v>
      </c>
      <c r="C1041" s="974" t="s">
        <v>1850</v>
      </c>
    </row>
    <row r="1042" spans="1:3" ht="15" customHeight="1" x14ac:dyDescent="0.25">
      <c r="A1042" s="974" t="s">
        <v>3778</v>
      </c>
      <c r="B1042" s="974" t="s">
        <v>3779</v>
      </c>
      <c r="C1042" s="974" t="s">
        <v>1850</v>
      </c>
    </row>
    <row r="1043" spans="1:3" ht="15" customHeight="1" x14ac:dyDescent="0.25">
      <c r="A1043" s="974" t="s">
        <v>3780</v>
      </c>
      <c r="B1043" s="974" t="s">
        <v>3781</v>
      </c>
      <c r="C1043" s="974" t="s">
        <v>1850</v>
      </c>
    </row>
    <row r="1044" spans="1:3" ht="15" customHeight="1" x14ac:dyDescent="0.25">
      <c r="A1044" s="974" t="s">
        <v>3782</v>
      </c>
      <c r="B1044" s="974" t="s">
        <v>3783</v>
      </c>
      <c r="C1044" s="974" t="s">
        <v>1850</v>
      </c>
    </row>
    <row r="1045" spans="1:3" ht="15" customHeight="1" x14ac:dyDescent="0.25">
      <c r="A1045" s="974" t="s">
        <v>3784</v>
      </c>
      <c r="B1045" s="974" t="s">
        <v>3785</v>
      </c>
      <c r="C1045" s="974" t="s">
        <v>1850</v>
      </c>
    </row>
    <row r="1046" spans="1:3" ht="15" customHeight="1" x14ac:dyDescent="0.25">
      <c r="A1046" s="974" t="s">
        <v>3786</v>
      </c>
      <c r="B1046" s="974" t="s">
        <v>3787</v>
      </c>
      <c r="C1046" s="974" t="s">
        <v>1850</v>
      </c>
    </row>
    <row r="1047" spans="1:3" ht="15" customHeight="1" x14ac:dyDescent="0.25">
      <c r="A1047" s="974" t="s">
        <v>3788</v>
      </c>
      <c r="B1047" s="974" t="s">
        <v>3789</v>
      </c>
      <c r="C1047" s="974" t="s">
        <v>1850</v>
      </c>
    </row>
    <row r="1048" spans="1:3" ht="15" customHeight="1" x14ac:dyDescent="0.25">
      <c r="A1048" s="974" t="s">
        <v>3790</v>
      </c>
      <c r="B1048" s="974" t="s">
        <v>3791</v>
      </c>
      <c r="C1048" s="974" t="s">
        <v>1850</v>
      </c>
    </row>
    <row r="1049" spans="1:3" ht="15" customHeight="1" x14ac:dyDescent="0.25">
      <c r="A1049" s="974" t="s">
        <v>3792</v>
      </c>
      <c r="B1049" s="974" t="s">
        <v>3793</v>
      </c>
      <c r="C1049" s="974" t="s">
        <v>1850</v>
      </c>
    </row>
    <row r="1050" spans="1:3" ht="15" customHeight="1" x14ac:dyDescent="0.25">
      <c r="A1050" s="974" t="s">
        <v>3794</v>
      </c>
      <c r="B1050" s="974" t="s">
        <v>3795</v>
      </c>
      <c r="C1050" s="974" t="s">
        <v>1850</v>
      </c>
    </row>
    <row r="1051" spans="1:3" ht="15" customHeight="1" x14ac:dyDescent="0.25">
      <c r="A1051" s="974" t="s">
        <v>3796</v>
      </c>
      <c r="B1051" s="974" t="s">
        <v>3797</v>
      </c>
      <c r="C1051" s="974" t="s">
        <v>1850</v>
      </c>
    </row>
    <row r="1052" spans="1:3" ht="15" customHeight="1" x14ac:dyDescent="0.25">
      <c r="A1052" s="974" t="s">
        <v>3798</v>
      </c>
      <c r="B1052" s="974" t="s">
        <v>3799</v>
      </c>
      <c r="C1052" s="974" t="s">
        <v>1850</v>
      </c>
    </row>
    <row r="1053" spans="1:3" ht="15" customHeight="1" x14ac:dyDescent="0.25">
      <c r="A1053" s="974" t="s">
        <v>3800</v>
      </c>
      <c r="B1053" s="974" t="s">
        <v>3801</v>
      </c>
      <c r="C1053" s="974" t="s">
        <v>1850</v>
      </c>
    </row>
    <row r="1054" spans="1:3" ht="15" customHeight="1" x14ac:dyDescent="0.25">
      <c r="A1054" s="974" t="s">
        <v>3802</v>
      </c>
      <c r="B1054" s="974" t="s">
        <v>3803</v>
      </c>
      <c r="C1054" s="974" t="s">
        <v>1850</v>
      </c>
    </row>
    <row r="1055" spans="1:3" ht="15" customHeight="1" x14ac:dyDescent="0.25">
      <c r="A1055" s="974" t="s">
        <v>3804</v>
      </c>
      <c r="B1055" s="974" t="s">
        <v>3805</v>
      </c>
      <c r="C1055" s="974" t="s">
        <v>1850</v>
      </c>
    </row>
    <row r="1056" spans="1:3" ht="15" customHeight="1" x14ac:dyDescent="0.25">
      <c r="A1056" s="974" t="s">
        <v>3806</v>
      </c>
      <c r="B1056" s="974" t="s">
        <v>3807</v>
      </c>
      <c r="C1056" s="974" t="s">
        <v>1850</v>
      </c>
    </row>
    <row r="1057" spans="1:3" ht="15" customHeight="1" x14ac:dyDescent="0.25">
      <c r="A1057" s="974" t="s">
        <v>3808</v>
      </c>
      <c r="B1057" s="974" t="s">
        <v>3809</v>
      </c>
      <c r="C1057" s="974" t="s">
        <v>1850</v>
      </c>
    </row>
    <row r="1058" spans="1:3" ht="15" customHeight="1" x14ac:dyDescent="0.25">
      <c r="A1058" s="974" t="s">
        <v>3810</v>
      </c>
      <c r="B1058" s="974" t="s">
        <v>3811</v>
      </c>
      <c r="C1058" s="974" t="s">
        <v>1850</v>
      </c>
    </row>
    <row r="1059" spans="1:3" ht="15" customHeight="1" x14ac:dyDescent="0.25">
      <c r="A1059" s="974" t="s">
        <v>3812</v>
      </c>
      <c r="B1059" s="974" t="s">
        <v>3813</v>
      </c>
      <c r="C1059" s="974" t="s">
        <v>1850</v>
      </c>
    </row>
    <row r="1060" spans="1:3" ht="15" customHeight="1" x14ac:dyDescent="0.25">
      <c r="A1060" s="974" t="s">
        <v>3814</v>
      </c>
      <c r="B1060" s="974" t="s">
        <v>3815</v>
      </c>
      <c r="C1060" s="974" t="s">
        <v>1850</v>
      </c>
    </row>
    <row r="1061" spans="1:3" ht="15" customHeight="1" x14ac:dyDescent="0.25">
      <c r="A1061" s="974" t="s">
        <v>3816</v>
      </c>
      <c r="B1061" s="974" t="s">
        <v>3817</v>
      </c>
      <c r="C1061" s="974" t="s">
        <v>1850</v>
      </c>
    </row>
    <row r="1062" spans="1:3" ht="15" customHeight="1" x14ac:dyDescent="0.25">
      <c r="A1062" s="974" t="s">
        <v>3818</v>
      </c>
      <c r="B1062" s="974" t="s">
        <v>3819</v>
      </c>
      <c r="C1062" s="974" t="s">
        <v>1850</v>
      </c>
    </row>
    <row r="1063" spans="1:3" ht="15" customHeight="1" x14ac:dyDescent="0.25">
      <c r="A1063" s="974" t="s">
        <v>3820</v>
      </c>
      <c r="B1063" s="974" t="s">
        <v>3821</v>
      </c>
      <c r="C1063" s="974" t="s">
        <v>1850</v>
      </c>
    </row>
    <row r="1064" spans="1:3" ht="15" customHeight="1" x14ac:dyDescent="0.25">
      <c r="A1064" s="974" t="s">
        <v>3822</v>
      </c>
      <c r="B1064" s="974" t="s">
        <v>3823</v>
      </c>
      <c r="C1064" s="974" t="s">
        <v>1850</v>
      </c>
    </row>
    <row r="1065" spans="1:3" ht="15" customHeight="1" x14ac:dyDescent="0.25">
      <c r="A1065" s="974" t="s">
        <v>3824</v>
      </c>
      <c r="B1065" s="974" t="s">
        <v>3825</v>
      </c>
      <c r="C1065" s="974" t="s">
        <v>111</v>
      </c>
    </row>
    <row r="1066" spans="1:3" ht="15" customHeight="1" x14ac:dyDescent="0.25">
      <c r="A1066" s="974" t="s">
        <v>3826</v>
      </c>
      <c r="B1066" s="974" t="s">
        <v>3827</v>
      </c>
      <c r="C1066" s="974" t="s">
        <v>111</v>
      </c>
    </row>
    <row r="1067" spans="1:3" ht="15" customHeight="1" x14ac:dyDescent="0.25">
      <c r="A1067" s="974" t="s">
        <v>3828</v>
      </c>
      <c r="B1067" s="974" t="s">
        <v>3829</v>
      </c>
      <c r="C1067" s="974" t="s">
        <v>111</v>
      </c>
    </row>
    <row r="1068" spans="1:3" ht="15" customHeight="1" x14ac:dyDescent="0.25">
      <c r="A1068" s="974" t="s">
        <v>3830</v>
      </c>
      <c r="B1068" s="974" t="s">
        <v>3831</v>
      </c>
      <c r="C1068" s="974" t="s">
        <v>1850</v>
      </c>
    </row>
    <row r="1069" spans="1:3" ht="15" customHeight="1" x14ac:dyDescent="0.25">
      <c r="A1069" s="974" t="s">
        <v>3832</v>
      </c>
      <c r="B1069" s="974" t="s">
        <v>3833</v>
      </c>
      <c r="C1069" s="974" t="s">
        <v>1850</v>
      </c>
    </row>
    <row r="1070" spans="1:3" ht="15" customHeight="1" x14ac:dyDescent="0.25">
      <c r="A1070" s="974" t="s">
        <v>3834</v>
      </c>
      <c r="B1070" s="974" t="s">
        <v>3835</v>
      </c>
      <c r="C1070" s="974" t="s">
        <v>111</v>
      </c>
    </row>
    <row r="1071" spans="1:3" ht="15" customHeight="1" x14ac:dyDescent="0.25">
      <c r="A1071" s="974" t="s">
        <v>3836</v>
      </c>
      <c r="B1071" s="974" t="s">
        <v>3837</v>
      </c>
      <c r="C1071" s="974" t="s">
        <v>111</v>
      </c>
    </row>
    <row r="1072" spans="1:3" ht="15" customHeight="1" x14ac:dyDescent="0.25">
      <c r="A1072" s="974" t="s">
        <v>3838</v>
      </c>
      <c r="B1072" s="974" t="s">
        <v>3839</v>
      </c>
      <c r="C1072" s="974" t="s">
        <v>1850</v>
      </c>
    </row>
    <row r="1073" spans="1:3" ht="15" customHeight="1" x14ac:dyDescent="0.25">
      <c r="A1073" s="974" t="s">
        <v>3840</v>
      </c>
      <c r="B1073" s="974" t="s">
        <v>3841</v>
      </c>
      <c r="C1073" s="974" t="s">
        <v>111</v>
      </c>
    </row>
    <row r="1074" spans="1:3" ht="15" customHeight="1" x14ac:dyDescent="0.25">
      <c r="A1074" s="974" t="s">
        <v>3842</v>
      </c>
      <c r="B1074" s="974" t="s">
        <v>3843</v>
      </c>
      <c r="C1074" s="974" t="s">
        <v>111</v>
      </c>
    </row>
    <row r="1075" spans="1:3" ht="15" customHeight="1" x14ac:dyDescent="0.25">
      <c r="A1075" s="974" t="s">
        <v>3844</v>
      </c>
      <c r="B1075" s="974" t="s">
        <v>3845</v>
      </c>
      <c r="C1075" s="974" t="s">
        <v>111</v>
      </c>
    </row>
    <row r="1076" spans="1:3" ht="15" customHeight="1" x14ac:dyDescent="0.25">
      <c r="A1076" s="974" t="s">
        <v>3846</v>
      </c>
      <c r="B1076" s="974" t="s">
        <v>3847</v>
      </c>
      <c r="C1076" s="974" t="s">
        <v>111</v>
      </c>
    </row>
    <row r="1077" spans="1:3" ht="15" customHeight="1" x14ac:dyDescent="0.25">
      <c r="A1077" s="974" t="s">
        <v>3848</v>
      </c>
      <c r="B1077" s="974" t="s">
        <v>3849</v>
      </c>
      <c r="C1077" s="974" t="s">
        <v>111</v>
      </c>
    </row>
    <row r="1078" spans="1:3" ht="15" customHeight="1" x14ac:dyDescent="0.25">
      <c r="A1078" s="974" t="s">
        <v>3850</v>
      </c>
      <c r="B1078" s="974" t="s">
        <v>3851</v>
      </c>
      <c r="C1078" s="974" t="s">
        <v>111</v>
      </c>
    </row>
    <row r="1079" spans="1:3" ht="15" customHeight="1" x14ac:dyDescent="0.25">
      <c r="A1079" s="974" t="s">
        <v>3852</v>
      </c>
      <c r="B1079" s="974" t="s">
        <v>3853</v>
      </c>
      <c r="C1079" s="974" t="s">
        <v>111</v>
      </c>
    </row>
    <row r="1080" spans="1:3" ht="15" customHeight="1" x14ac:dyDescent="0.25">
      <c r="A1080" s="974" t="s">
        <v>3854</v>
      </c>
      <c r="B1080" s="974" t="s">
        <v>3855</v>
      </c>
      <c r="C1080" s="974" t="s">
        <v>111</v>
      </c>
    </row>
    <row r="1081" spans="1:3" ht="15" customHeight="1" x14ac:dyDescent="0.25">
      <c r="A1081" s="974" t="s">
        <v>3856</v>
      </c>
      <c r="B1081" s="974" t="s">
        <v>3857</v>
      </c>
      <c r="C1081" s="974" t="s">
        <v>111</v>
      </c>
    </row>
    <row r="1082" spans="1:3" ht="15" customHeight="1" x14ac:dyDescent="0.25">
      <c r="A1082" s="974" t="s">
        <v>3858</v>
      </c>
      <c r="B1082" s="974" t="s">
        <v>3859</v>
      </c>
      <c r="C1082" s="974" t="s">
        <v>111</v>
      </c>
    </row>
    <row r="1083" spans="1:3" ht="15" customHeight="1" x14ac:dyDescent="0.25">
      <c r="A1083" s="974" t="s">
        <v>3860</v>
      </c>
      <c r="B1083" s="974" t="s">
        <v>3861</v>
      </c>
      <c r="C1083" s="974" t="s">
        <v>111</v>
      </c>
    </row>
    <row r="1084" spans="1:3" ht="15" customHeight="1" x14ac:dyDescent="0.25">
      <c r="A1084" s="974" t="s">
        <v>3862</v>
      </c>
      <c r="B1084" s="974" t="s">
        <v>3863</v>
      </c>
      <c r="C1084" s="974" t="s">
        <v>111</v>
      </c>
    </row>
    <row r="1085" spans="1:3" ht="15" customHeight="1" x14ac:dyDescent="0.25">
      <c r="A1085" s="974" t="s">
        <v>3864</v>
      </c>
      <c r="B1085" s="974" t="s">
        <v>3865</v>
      </c>
      <c r="C1085" s="974" t="s">
        <v>111</v>
      </c>
    </row>
    <row r="1086" spans="1:3" ht="15" customHeight="1" x14ac:dyDescent="0.25">
      <c r="A1086" s="974" t="s">
        <v>3866</v>
      </c>
      <c r="B1086" s="974" t="s">
        <v>3867</v>
      </c>
      <c r="C1086" s="974" t="s">
        <v>111</v>
      </c>
    </row>
    <row r="1087" spans="1:3" ht="15" customHeight="1" x14ac:dyDescent="0.25">
      <c r="A1087" s="974" t="s">
        <v>3868</v>
      </c>
      <c r="B1087" s="974" t="s">
        <v>3869</v>
      </c>
      <c r="C1087" s="974" t="s">
        <v>111</v>
      </c>
    </row>
    <row r="1088" spans="1:3" ht="15" customHeight="1" x14ac:dyDescent="0.25">
      <c r="A1088" s="974" t="s">
        <v>3870</v>
      </c>
      <c r="B1088" s="974" t="s">
        <v>3871</v>
      </c>
      <c r="C1088" s="974" t="s">
        <v>111</v>
      </c>
    </row>
    <row r="1089" spans="1:3" ht="15" customHeight="1" x14ac:dyDescent="0.25">
      <c r="A1089" s="974" t="s">
        <v>3872</v>
      </c>
      <c r="B1089" s="974" t="s">
        <v>3873</v>
      </c>
      <c r="C1089" s="974" t="s">
        <v>111</v>
      </c>
    </row>
    <row r="1090" spans="1:3" ht="15" customHeight="1" x14ac:dyDescent="0.25">
      <c r="A1090" s="974" t="s">
        <v>3874</v>
      </c>
      <c r="B1090" s="974" t="s">
        <v>3875</v>
      </c>
      <c r="C1090" s="974" t="s">
        <v>111</v>
      </c>
    </row>
    <row r="1091" spans="1:3" ht="15" customHeight="1" x14ac:dyDescent="0.25">
      <c r="A1091" s="974" t="s">
        <v>3876</v>
      </c>
      <c r="B1091" s="974" t="s">
        <v>3877</v>
      </c>
      <c r="C1091" s="974" t="s">
        <v>111</v>
      </c>
    </row>
    <row r="1092" spans="1:3" ht="15" customHeight="1" x14ac:dyDescent="0.25">
      <c r="A1092" s="974" t="s">
        <v>3878</v>
      </c>
      <c r="B1092" s="974" t="s">
        <v>3879</v>
      </c>
      <c r="C1092" s="974" t="s">
        <v>111</v>
      </c>
    </row>
    <row r="1093" spans="1:3" ht="15" customHeight="1" x14ac:dyDescent="0.25">
      <c r="A1093" s="974" t="s">
        <v>3880</v>
      </c>
      <c r="B1093" s="974" t="s">
        <v>3881</v>
      </c>
      <c r="C1093" s="974" t="s">
        <v>111</v>
      </c>
    </row>
    <row r="1094" spans="1:3" ht="15" customHeight="1" x14ac:dyDescent="0.25">
      <c r="A1094" s="974" t="s">
        <v>3882</v>
      </c>
      <c r="B1094" s="974" t="s">
        <v>3883</v>
      </c>
      <c r="C1094" s="974" t="s">
        <v>111</v>
      </c>
    </row>
    <row r="1095" spans="1:3" ht="15" customHeight="1" x14ac:dyDescent="0.25">
      <c r="A1095" s="974" t="s">
        <v>3884</v>
      </c>
      <c r="B1095" s="974" t="s">
        <v>3885</v>
      </c>
      <c r="C1095" s="974" t="s">
        <v>111</v>
      </c>
    </row>
    <row r="1096" spans="1:3" ht="15" customHeight="1" x14ac:dyDescent="0.25">
      <c r="A1096" s="974" t="s">
        <v>3886</v>
      </c>
      <c r="B1096" s="974" t="s">
        <v>3887</v>
      </c>
      <c r="C1096" s="974" t="s">
        <v>111</v>
      </c>
    </row>
    <row r="1097" spans="1:3" ht="15" customHeight="1" x14ac:dyDescent="0.25">
      <c r="A1097" s="974" t="s">
        <v>3888</v>
      </c>
      <c r="B1097" s="974" t="s">
        <v>3889</v>
      </c>
      <c r="C1097" s="974" t="s">
        <v>111</v>
      </c>
    </row>
    <row r="1098" spans="1:3" ht="15" customHeight="1" x14ac:dyDescent="0.25">
      <c r="A1098" s="974" t="s">
        <v>3890</v>
      </c>
      <c r="B1098" s="974" t="s">
        <v>3891</v>
      </c>
      <c r="C1098" s="974" t="s">
        <v>111</v>
      </c>
    </row>
    <row r="1099" spans="1:3" ht="15" customHeight="1" x14ac:dyDescent="0.25">
      <c r="A1099" s="974" t="s">
        <v>3892</v>
      </c>
      <c r="B1099" s="974" t="s">
        <v>3893</v>
      </c>
      <c r="C1099" s="974" t="s">
        <v>111</v>
      </c>
    </row>
    <row r="1100" spans="1:3" ht="15" customHeight="1" x14ac:dyDescent="0.25">
      <c r="A1100" s="974" t="s">
        <v>3894</v>
      </c>
      <c r="B1100" s="974" t="s">
        <v>3867</v>
      </c>
      <c r="C1100" s="974" t="s">
        <v>111</v>
      </c>
    </row>
    <row r="1101" spans="1:3" ht="15" customHeight="1" x14ac:dyDescent="0.25">
      <c r="A1101" s="974" t="s">
        <v>3895</v>
      </c>
      <c r="B1101" s="974" t="s">
        <v>3896</v>
      </c>
      <c r="C1101" s="974" t="s">
        <v>111</v>
      </c>
    </row>
    <row r="1102" spans="1:3" ht="15" customHeight="1" x14ac:dyDescent="0.25">
      <c r="A1102" s="974" t="s">
        <v>3897</v>
      </c>
      <c r="B1102" s="974" t="s">
        <v>3898</v>
      </c>
      <c r="C1102" s="974" t="s">
        <v>111</v>
      </c>
    </row>
    <row r="1103" spans="1:3" ht="15" customHeight="1" x14ac:dyDescent="0.25">
      <c r="A1103" s="974" t="s">
        <v>3899</v>
      </c>
      <c r="B1103" s="974" t="s">
        <v>3900</v>
      </c>
      <c r="C1103" s="974" t="s">
        <v>111</v>
      </c>
    </row>
    <row r="1104" spans="1:3" ht="15" customHeight="1" x14ac:dyDescent="0.25">
      <c r="A1104" s="974" t="s">
        <v>3901</v>
      </c>
      <c r="B1104" s="974" t="s">
        <v>3902</v>
      </c>
      <c r="C1104" s="974" t="s">
        <v>111</v>
      </c>
    </row>
    <row r="1105" spans="1:3" ht="15" customHeight="1" x14ac:dyDescent="0.25">
      <c r="A1105" s="974" t="s">
        <v>3903</v>
      </c>
      <c r="B1105" s="974" t="s">
        <v>3904</v>
      </c>
      <c r="C1105" s="974" t="s">
        <v>1850</v>
      </c>
    </row>
  </sheetData>
  <mergeCells count="1">
    <mergeCell ref="A1:C1"/>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rgb="FF43C6E5"/>
  </sheetPr>
  <dimension ref="A1:L76"/>
  <sheetViews>
    <sheetView zoomScaleNormal="100" workbookViewId="0">
      <selection activeCell="H36" sqref="H36"/>
    </sheetView>
  </sheetViews>
  <sheetFormatPr baseColWidth="10" defaultColWidth="0" defaultRowHeight="15" zeroHeight="1" x14ac:dyDescent="0.25"/>
  <cols>
    <col min="1" max="1" width="8.28515625" style="533" customWidth="1"/>
    <col min="2" max="2" width="7.42578125" style="533" customWidth="1"/>
    <col min="3" max="3" width="8.85546875" style="533" customWidth="1"/>
    <col min="4" max="4" width="25" style="120" customWidth="1"/>
    <col min="5" max="5" width="42.42578125" style="120" customWidth="1"/>
    <col min="6" max="6" width="17.140625" style="120" customWidth="1"/>
    <col min="7" max="7" width="18.85546875" style="120" customWidth="1"/>
    <col min="8" max="8" width="15.140625" style="120" customWidth="1"/>
    <col min="9" max="9" width="15" style="120" customWidth="1"/>
    <col min="10" max="12" width="11.42578125" style="533" customWidth="1"/>
    <col min="13" max="16384" width="11.42578125" style="120" hidden="1"/>
  </cols>
  <sheetData>
    <row r="1" spans="1:12" ht="28.5" customHeight="1" x14ac:dyDescent="0.25">
      <c r="D1" s="2220" t="s">
        <v>342</v>
      </c>
      <c r="E1" s="2220"/>
      <c r="F1" s="2220"/>
      <c r="G1" s="2220"/>
      <c r="H1" s="855"/>
    </row>
    <row r="2" spans="1:12" x14ac:dyDescent="0.25">
      <c r="D2" s="380"/>
      <c r="E2" s="380"/>
      <c r="F2" s="380"/>
      <c r="G2" s="380"/>
    </row>
    <row r="3" spans="1:12" s="821" customFormat="1" ht="33.75" customHeight="1" x14ac:dyDescent="0.25">
      <c r="A3" s="817"/>
      <c r="B3" s="817"/>
      <c r="C3" s="817"/>
      <c r="D3" s="818" t="s">
        <v>42</v>
      </c>
      <c r="E3" s="854" t="str">
        <f>INFORMATIONS!B10</f>
        <v>SAM CONSEILS</v>
      </c>
      <c r="F3" s="819" t="s">
        <v>52</v>
      </c>
      <c r="G3" s="820">
        <f>INFORMATIONS!D31</f>
        <v>43465</v>
      </c>
      <c r="J3" s="817"/>
      <c r="K3" s="817"/>
      <c r="L3" s="817"/>
    </row>
    <row r="4" spans="1:12" ht="19.5" customHeight="1" x14ac:dyDescent="0.25">
      <c r="D4" s="621" t="s">
        <v>43</v>
      </c>
      <c r="E4" s="622" t="str">
        <f>INFORMATIONS!B24</f>
        <v>00084404X</v>
      </c>
      <c r="F4" s="822" t="s">
        <v>44</v>
      </c>
      <c r="G4" s="823">
        <f>INFORMATIONS!F34</f>
        <v>12</v>
      </c>
    </row>
    <row r="5" spans="1:12" x14ac:dyDescent="0.25"/>
    <row r="6" spans="1:12" ht="15.75" x14ac:dyDescent="0.25">
      <c r="D6" s="2219" t="s">
        <v>349</v>
      </c>
      <c r="E6" s="2219"/>
      <c r="F6" s="2219"/>
      <c r="G6" s="2219"/>
    </row>
    <row r="7" spans="1:12" ht="20.25" customHeight="1" x14ac:dyDescent="0.25">
      <c r="D7" s="2192" t="s">
        <v>138</v>
      </c>
      <c r="E7" s="2193"/>
      <c r="F7" s="536" t="s">
        <v>139</v>
      </c>
      <c r="G7" s="536" t="s">
        <v>140</v>
      </c>
    </row>
    <row r="8" spans="1:12" ht="21" customHeight="1" x14ac:dyDescent="0.25">
      <c r="D8" s="833" t="s">
        <v>343</v>
      </c>
      <c r="E8" s="173"/>
      <c r="F8" s="146"/>
      <c r="G8" s="146"/>
    </row>
    <row r="9" spans="1:12" ht="21" customHeight="1" x14ac:dyDescent="0.25">
      <c r="D9" s="833" t="s">
        <v>344</v>
      </c>
      <c r="E9" s="173"/>
      <c r="F9" s="146"/>
      <c r="G9" s="146"/>
    </row>
    <row r="10" spans="1:12" ht="21" customHeight="1" x14ac:dyDescent="0.25">
      <c r="D10" s="833" t="s">
        <v>345</v>
      </c>
      <c r="E10" s="173"/>
      <c r="F10" s="146"/>
      <c r="G10" s="146"/>
    </row>
    <row r="11" spans="1:12" ht="33" customHeight="1" x14ac:dyDescent="0.25">
      <c r="D11" s="2215" t="s">
        <v>346</v>
      </c>
      <c r="E11" s="2216"/>
      <c r="F11" s="146"/>
      <c r="G11" s="146"/>
    </row>
    <row r="12" spans="1:12" ht="21" customHeight="1" x14ac:dyDescent="0.25">
      <c r="D12" s="833" t="s">
        <v>347</v>
      </c>
      <c r="E12" s="173"/>
      <c r="F12" s="146"/>
      <c r="G12" s="146"/>
    </row>
    <row r="13" spans="1:12" ht="21" customHeight="1" x14ac:dyDescent="0.25">
      <c r="D13" s="833" t="s">
        <v>348</v>
      </c>
      <c r="E13" s="173"/>
      <c r="F13" s="146"/>
      <c r="G13" s="146"/>
    </row>
    <row r="14" spans="1:12" x14ac:dyDescent="0.25"/>
    <row r="15" spans="1:12" x14ac:dyDescent="0.25">
      <c r="D15" s="628" t="s">
        <v>1348</v>
      </c>
    </row>
    <row r="16" spans="1:12" x14ac:dyDescent="0.25">
      <c r="D16" s="2166"/>
      <c r="E16" s="2166"/>
      <c r="F16" s="2166"/>
      <c r="G16" s="2166"/>
    </row>
    <row r="17" spans="4:7" x14ac:dyDescent="0.25">
      <c r="D17" s="2166"/>
      <c r="E17" s="2166"/>
      <c r="F17" s="2166"/>
      <c r="G17" s="2166"/>
    </row>
    <row r="18" spans="4:7" x14ac:dyDescent="0.25">
      <c r="D18" s="2166"/>
      <c r="E18" s="2166"/>
      <c r="F18" s="2166"/>
      <c r="G18" s="2166"/>
    </row>
    <row r="19" spans="4:7" x14ac:dyDescent="0.25">
      <c r="D19" s="2166"/>
      <c r="E19" s="2166"/>
      <c r="F19" s="2166"/>
      <c r="G19" s="2166"/>
    </row>
    <row r="20" spans="4:7" x14ac:dyDescent="0.25">
      <c r="D20" s="2166"/>
      <c r="E20" s="2166"/>
      <c r="F20" s="2166"/>
      <c r="G20" s="2166"/>
    </row>
    <row r="21" spans="4:7" x14ac:dyDescent="0.25">
      <c r="D21" s="2166"/>
      <c r="E21" s="2166"/>
      <c r="F21" s="2166"/>
      <c r="G21" s="2166"/>
    </row>
    <row r="22" spans="4:7" x14ac:dyDescent="0.25"/>
    <row r="23" spans="4:7" ht="15.75" x14ac:dyDescent="0.25">
      <c r="D23" s="2221" t="s">
        <v>350</v>
      </c>
      <c r="E23" s="2222"/>
      <c r="F23" s="2222"/>
      <c r="G23" s="2223"/>
    </row>
    <row r="24" spans="4:7" ht="20.25" customHeight="1" x14ac:dyDescent="0.25">
      <c r="D24" s="2192" t="s">
        <v>138</v>
      </c>
      <c r="E24" s="2193"/>
      <c r="F24" s="536" t="s">
        <v>139</v>
      </c>
      <c r="G24" s="536" t="s">
        <v>140</v>
      </c>
    </row>
    <row r="25" spans="4:7" ht="23.25" customHeight="1" x14ac:dyDescent="0.25">
      <c r="D25" s="2224" t="s">
        <v>357</v>
      </c>
      <c r="E25" s="2225"/>
      <c r="F25" s="163"/>
      <c r="G25" s="163"/>
    </row>
    <row r="26" spans="4:7" ht="21" customHeight="1" x14ac:dyDescent="0.25">
      <c r="D26" s="2215" t="s">
        <v>351</v>
      </c>
      <c r="E26" s="2216"/>
      <c r="F26" s="146"/>
      <c r="G26" s="146"/>
    </row>
    <row r="27" spans="4:7" ht="21" customHeight="1" x14ac:dyDescent="0.25">
      <c r="D27" s="2215" t="s">
        <v>352</v>
      </c>
      <c r="E27" s="2216"/>
      <c r="F27" s="146"/>
      <c r="G27" s="146"/>
    </row>
    <row r="28" spans="4:7" ht="21" customHeight="1" x14ac:dyDescent="0.25">
      <c r="D28" s="2215" t="s">
        <v>353</v>
      </c>
      <c r="E28" s="2216"/>
      <c r="F28" s="146"/>
      <c r="G28" s="146"/>
    </row>
    <row r="29" spans="4:7" ht="21" customHeight="1" x14ac:dyDescent="0.25">
      <c r="D29" s="2215" t="s">
        <v>354</v>
      </c>
      <c r="E29" s="2216"/>
      <c r="F29" s="146"/>
      <c r="G29" s="146"/>
    </row>
    <row r="30" spans="4:7" ht="21" customHeight="1" x14ac:dyDescent="0.25">
      <c r="D30" s="2215" t="s">
        <v>355</v>
      </c>
      <c r="E30" s="2216"/>
      <c r="F30" s="146"/>
      <c r="G30" s="146"/>
    </row>
    <row r="31" spans="4:7" ht="21" customHeight="1" x14ac:dyDescent="0.25">
      <c r="D31" s="2224" t="s">
        <v>356</v>
      </c>
      <c r="E31" s="2225"/>
      <c r="F31" s="146"/>
      <c r="G31" s="146"/>
    </row>
    <row r="32" spans="4:7" x14ac:dyDescent="0.25"/>
    <row r="33" spans="4:9" x14ac:dyDescent="0.25">
      <c r="D33" s="628" t="s">
        <v>1348</v>
      </c>
    </row>
    <row r="34" spans="4:9" x14ac:dyDescent="0.25">
      <c r="D34" s="2166"/>
      <c r="E34" s="2166"/>
      <c r="F34" s="2166"/>
      <c r="G34" s="2166"/>
    </row>
    <row r="35" spans="4:9" x14ac:dyDescent="0.25">
      <c r="D35" s="2166"/>
      <c r="E35" s="2166"/>
      <c r="F35" s="2166"/>
      <c r="G35" s="2166"/>
    </row>
    <row r="36" spans="4:9" x14ac:dyDescent="0.25">
      <c r="D36" s="2166"/>
      <c r="E36" s="2166"/>
      <c r="F36" s="2166"/>
      <c r="G36" s="2166"/>
    </row>
    <row r="37" spans="4:9" x14ac:dyDescent="0.25">
      <c r="D37" s="2166"/>
      <c r="E37" s="2166"/>
      <c r="F37" s="2166"/>
      <c r="G37" s="2166"/>
    </row>
    <row r="38" spans="4:9" x14ac:dyDescent="0.25">
      <c r="D38" s="2166"/>
      <c r="E38" s="2166"/>
      <c r="F38" s="2166"/>
      <c r="G38" s="2166"/>
    </row>
    <row r="39" spans="4:9" x14ac:dyDescent="0.25">
      <c r="D39" s="2166"/>
      <c r="E39" s="2166"/>
      <c r="F39" s="2166"/>
      <c r="G39" s="2166"/>
    </row>
    <row r="40" spans="4:9" x14ac:dyDescent="0.25"/>
    <row r="41" spans="4:9" ht="15.75" x14ac:dyDescent="0.25">
      <c r="D41" s="2219" t="s">
        <v>358</v>
      </c>
      <c r="E41" s="2219"/>
      <c r="F41" s="2219"/>
      <c r="G41" s="2219"/>
      <c r="H41" s="2219"/>
      <c r="I41" s="2219"/>
    </row>
    <row r="42" spans="4:9" ht="20.25" customHeight="1" x14ac:dyDescent="0.25">
      <c r="D42" s="2226" t="s">
        <v>138</v>
      </c>
      <c r="E42" s="2226"/>
      <c r="F42" s="2218" t="s">
        <v>139</v>
      </c>
      <c r="G42" s="2218"/>
      <c r="H42" s="2218" t="s">
        <v>140</v>
      </c>
      <c r="I42" s="2218"/>
    </row>
    <row r="43" spans="4:9" ht="23.25" customHeight="1" x14ac:dyDescent="0.25">
      <c r="D43" s="2226"/>
      <c r="E43" s="2226"/>
      <c r="F43" s="536" t="s">
        <v>359</v>
      </c>
      <c r="G43" s="536" t="s">
        <v>360</v>
      </c>
      <c r="H43" s="536" t="s">
        <v>359</v>
      </c>
      <c r="I43" s="536" t="s">
        <v>360</v>
      </c>
    </row>
    <row r="44" spans="4:9" ht="21" customHeight="1" x14ac:dyDescent="0.25">
      <c r="D44" s="2217" t="s">
        <v>361</v>
      </c>
      <c r="E44" s="2217"/>
      <c r="F44" s="146"/>
      <c r="G44" s="146"/>
      <c r="H44" s="146"/>
      <c r="I44" s="146"/>
    </row>
    <row r="45" spans="4:9" ht="21" customHeight="1" x14ac:dyDescent="0.25">
      <c r="D45" s="2217" t="s">
        <v>362</v>
      </c>
      <c r="E45" s="2217"/>
      <c r="F45" s="146"/>
      <c r="G45" s="146"/>
      <c r="H45" s="162"/>
      <c r="I45" s="162"/>
    </row>
    <row r="46" spans="4:9" ht="21" customHeight="1" x14ac:dyDescent="0.25">
      <c r="D46" s="2217" t="s">
        <v>363</v>
      </c>
      <c r="E46" s="2217"/>
      <c r="F46" s="146"/>
      <c r="G46" s="146"/>
      <c r="H46" s="162"/>
      <c r="I46" s="162"/>
    </row>
    <row r="47" spans="4:9" x14ac:dyDescent="0.25"/>
    <row r="48" spans="4:9" x14ac:dyDescent="0.25">
      <c r="D48" s="628" t="s">
        <v>1263</v>
      </c>
    </row>
    <row r="49" spans="4:9" x14ac:dyDescent="0.25">
      <c r="D49" s="2166"/>
      <c r="E49" s="2166"/>
      <c r="F49" s="2166"/>
      <c r="G49" s="2166"/>
      <c r="H49" s="2166"/>
      <c r="I49" s="2166"/>
    </row>
    <row r="50" spans="4:9" x14ac:dyDescent="0.25">
      <c r="D50" s="2166"/>
      <c r="E50" s="2166"/>
      <c r="F50" s="2166"/>
      <c r="G50" s="2166"/>
      <c r="H50" s="2166"/>
      <c r="I50" s="2166"/>
    </row>
    <row r="51" spans="4:9" x14ac:dyDescent="0.25">
      <c r="D51" s="2166"/>
      <c r="E51" s="2166"/>
      <c r="F51" s="2166"/>
      <c r="G51" s="2166"/>
      <c r="H51" s="2166"/>
      <c r="I51" s="2166"/>
    </row>
    <row r="52" spans="4:9" x14ac:dyDescent="0.25">
      <c r="D52" s="2166"/>
      <c r="E52" s="2166"/>
      <c r="F52" s="2166"/>
      <c r="G52" s="2166"/>
      <c r="H52" s="2166"/>
      <c r="I52" s="2166"/>
    </row>
    <row r="53" spans="4:9" s="533" customFormat="1" x14ac:dyDescent="0.25"/>
    <row r="54" spans="4:9" s="533" customFormat="1" x14ac:dyDescent="0.25"/>
    <row r="55" spans="4:9" s="533" customFormat="1" x14ac:dyDescent="0.25"/>
    <row r="56" spans="4:9" s="533" customFormat="1" x14ac:dyDescent="0.25"/>
    <row r="57" spans="4:9" s="533" customFormat="1" x14ac:dyDescent="0.25"/>
    <row r="58" spans="4:9" s="533" customFormat="1" x14ac:dyDescent="0.25"/>
    <row r="59" spans="4:9" s="533" customFormat="1" x14ac:dyDescent="0.25"/>
    <row r="60" spans="4:9" s="533" customFormat="1" x14ac:dyDescent="0.25"/>
    <row r="61" spans="4:9" s="533" customFormat="1" x14ac:dyDescent="0.25"/>
    <row r="62" spans="4:9" s="533" customFormat="1" x14ac:dyDescent="0.25"/>
    <row r="63" spans="4:9" s="533" customFormat="1" x14ac:dyDescent="0.25"/>
    <row r="64" spans="4:9" s="533" customFormat="1" x14ac:dyDescent="0.25"/>
    <row r="65" s="533" customFormat="1" x14ac:dyDescent="0.25"/>
    <row r="66" s="533" customFormat="1" x14ac:dyDescent="0.25"/>
    <row r="67" s="533" customFormat="1" x14ac:dyDescent="0.25"/>
    <row r="68" s="533" customFormat="1" x14ac:dyDescent="0.25"/>
    <row r="69" s="533" customFormat="1" x14ac:dyDescent="0.25"/>
    <row r="70" s="533" customFormat="1" x14ac:dyDescent="0.25"/>
    <row r="71" s="533" customFormat="1" x14ac:dyDescent="0.25"/>
    <row r="72" s="533" customFormat="1" x14ac:dyDescent="0.25"/>
    <row r="73" s="533" customFormat="1" x14ac:dyDescent="0.25"/>
    <row r="74" s="533" customFormat="1" x14ac:dyDescent="0.25"/>
    <row r="75" s="533" customFormat="1" x14ac:dyDescent="0.25"/>
    <row r="76" s="533" customFormat="1" x14ac:dyDescent="0.25"/>
  </sheetData>
  <sheetProtection pivotTables="0"/>
  <mergeCells count="23">
    <mergeCell ref="D49:I52"/>
    <mergeCell ref="D16:G21"/>
    <mergeCell ref="D34:G39"/>
    <mergeCell ref="D11:E11"/>
    <mergeCell ref="D1:G1"/>
    <mergeCell ref="D6:G6"/>
    <mergeCell ref="D7:E7"/>
    <mergeCell ref="D23:G23"/>
    <mergeCell ref="D30:E30"/>
    <mergeCell ref="D31:E31"/>
    <mergeCell ref="D42:E43"/>
    <mergeCell ref="F42:G42"/>
    <mergeCell ref="D24:E24"/>
    <mergeCell ref="D25:E25"/>
    <mergeCell ref="D26:E26"/>
    <mergeCell ref="D27:E27"/>
    <mergeCell ref="D45:E45"/>
    <mergeCell ref="D46:E46"/>
    <mergeCell ref="D28:E28"/>
    <mergeCell ref="D29:E29"/>
    <mergeCell ref="H42:I42"/>
    <mergeCell ref="D41:I41"/>
    <mergeCell ref="D44:E44"/>
  </mergeCells>
  <printOptions horizontalCentered="1"/>
  <pageMargins left="0" right="0.11811023622047245" top="0" bottom="0.35433070866141736" header="0.31496062992125984" footer="0.31496062992125984"/>
  <pageSetup paperSize="9" orientation="landscape" r:id="rId1"/>
  <rowBreaks count="1" manualBreakCount="1">
    <brk id="22" min="3" max="8"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rgb="FF43C6E5"/>
  </sheetPr>
  <dimension ref="A1:L56"/>
  <sheetViews>
    <sheetView zoomScaleNormal="100" workbookViewId="0">
      <selection activeCell="H36" sqref="H36"/>
    </sheetView>
  </sheetViews>
  <sheetFormatPr baseColWidth="10" defaultColWidth="0" defaultRowHeight="15" zeroHeight="1" x14ac:dyDescent="0.25"/>
  <cols>
    <col min="1" max="1" width="7.140625" style="533" customWidth="1"/>
    <col min="2" max="2" width="8.42578125" style="533" customWidth="1"/>
    <col min="3" max="3" width="8.85546875" style="533" customWidth="1"/>
    <col min="4" max="4" width="25" style="120" customWidth="1"/>
    <col min="5" max="5" width="44.42578125" style="120" customWidth="1"/>
    <col min="6" max="6" width="17.140625" style="120" customWidth="1"/>
    <col min="7" max="7" width="15.28515625" style="120" customWidth="1"/>
    <col min="8" max="8" width="15.140625" style="120" customWidth="1"/>
    <col min="9" max="9" width="15" style="120" customWidth="1"/>
    <col min="10" max="12" width="11.42578125" style="533" customWidth="1"/>
    <col min="13" max="16384" width="11.42578125" style="120" hidden="1"/>
  </cols>
  <sheetData>
    <row r="1" spans="1:12" ht="28.5" customHeight="1" x14ac:dyDescent="0.25">
      <c r="D1" s="2220" t="s">
        <v>364</v>
      </c>
      <c r="E1" s="2220"/>
      <c r="F1" s="2220"/>
      <c r="G1" s="2220"/>
      <c r="H1" s="2220"/>
      <c r="I1" s="2220"/>
    </row>
    <row r="2" spans="1:12" x14ac:dyDescent="0.25">
      <c r="D2" s="380"/>
      <c r="E2" s="380"/>
      <c r="F2" s="380"/>
      <c r="G2" s="380"/>
    </row>
    <row r="3" spans="1:12" s="821" customFormat="1" ht="34.5" customHeight="1" x14ac:dyDescent="0.25">
      <c r="A3" s="817"/>
      <c r="B3" s="817"/>
      <c r="C3" s="817"/>
      <c r="D3" s="818" t="s">
        <v>42</v>
      </c>
      <c r="E3" s="854" t="str">
        <f>INFORMATIONS!B10</f>
        <v>SAM CONSEILS</v>
      </c>
      <c r="F3" s="819" t="s">
        <v>52</v>
      </c>
      <c r="G3" s="820">
        <f>INFORMATIONS!D31</f>
        <v>43465</v>
      </c>
      <c r="J3" s="817"/>
      <c r="K3" s="817"/>
      <c r="L3" s="817"/>
    </row>
    <row r="4" spans="1:12" ht="19.5" customHeight="1" x14ac:dyDescent="0.25">
      <c r="D4" s="621" t="s">
        <v>43</v>
      </c>
      <c r="E4" s="622" t="str">
        <f>INFORMATIONS!B24</f>
        <v>00084404X</v>
      </c>
      <c r="F4" s="822" t="s">
        <v>44</v>
      </c>
      <c r="G4" s="823">
        <f>INFORMATIONS!F34</f>
        <v>12</v>
      </c>
    </row>
    <row r="5" spans="1:12" x14ac:dyDescent="0.25"/>
    <row r="6" spans="1:12" ht="15.75" x14ac:dyDescent="0.25">
      <c r="D6" s="2219" t="s">
        <v>365</v>
      </c>
      <c r="E6" s="2219"/>
      <c r="F6" s="2219"/>
      <c r="G6" s="2219"/>
    </row>
    <row r="7" spans="1:12" ht="20.25" customHeight="1" x14ac:dyDescent="0.25">
      <c r="D7" s="2192" t="s">
        <v>138</v>
      </c>
      <c r="E7" s="2193"/>
      <c r="F7" s="536" t="s">
        <v>139</v>
      </c>
      <c r="G7" s="536" t="s">
        <v>140</v>
      </c>
    </row>
    <row r="8" spans="1:12" ht="21" customHeight="1" x14ac:dyDescent="0.25">
      <c r="D8" s="833" t="s">
        <v>366</v>
      </c>
      <c r="E8" s="173"/>
      <c r="F8" s="146"/>
      <c r="G8" s="146"/>
    </row>
    <row r="9" spans="1:12" ht="21" customHeight="1" x14ac:dyDescent="0.25">
      <c r="D9" s="833" t="s">
        <v>367</v>
      </c>
      <c r="E9" s="173"/>
      <c r="F9" s="146"/>
      <c r="G9" s="146"/>
    </row>
    <row r="10" spans="1:12" ht="21" customHeight="1" x14ac:dyDescent="0.25">
      <c r="D10" s="833" t="s">
        <v>368</v>
      </c>
      <c r="E10" s="173"/>
      <c r="F10" s="146"/>
      <c r="G10" s="146"/>
    </row>
    <row r="11" spans="1:12" x14ac:dyDescent="0.25"/>
    <row r="12" spans="1:12" x14ac:dyDescent="0.25">
      <c r="D12" s="628" t="s">
        <v>1348</v>
      </c>
    </row>
    <row r="13" spans="1:12" x14ac:dyDescent="0.25">
      <c r="D13" s="2202"/>
      <c r="E13" s="2202"/>
      <c r="F13" s="2202"/>
      <c r="G13" s="2202"/>
    </row>
    <row r="14" spans="1:12" x14ac:dyDescent="0.25">
      <c r="D14" s="2202"/>
      <c r="E14" s="2202"/>
      <c r="F14" s="2202"/>
      <c r="G14" s="2202"/>
    </row>
    <row r="15" spans="1:12" x14ac:dyDescent="0.25">
      <c r="D15" s="2202"/>
      <c r="E15" s="2202"/>
      <c r="F15" s="2202"/>
      <c r="G15" s="2202"/>
    </row>
    <row r="16" spans="1:12" x14ac:dyDescent="0.25">
      <c r="D16" s="2202"/>
      <c r="E16" s="2202"/>
      <c r="F16" s="2202"/>
      <c r="G16" s="2202"/>
    </row>
    <row r="17" spans="4:9" x14ac:dyDescent="0.25">
      <c r="D17" s="2202"/>
      <c r="E17" s="2202"/>
      <c r="F17" s="2202"/>
      <c r="G17" s="2202"/>
    </row>
    <row r="18" spans="4:9" x14ac:dyDescent="0.25">
      <c r="D18" s="2202"/>
      <c r="E18" s="2202"/>
      <c r="F18" s="2202"/>
      <c r="G18" s="2202"/>
    </row>
    <row r="19" spans="4:9" x14ac:dyDescent="0.25"/>
    <row r="20" spans="4:9" ht="20.25" customHeight="1" x14ac:dyDescent="0.25">
      <c r="D20" s="2219" t="s">
        <v>369</v>
      </c>
      <c r="E20" s="2219"/>
      <c r="F20" s="2219"/>
      <c r="G20" s="2219"/>
      <c r="H20" s="2219"/>
      <c r="I20" s="2219"/>
    </row>
    <row r="21" spans="4:9" ht="20.25" customHeight="1" x14ac:dyDescent="0.25">
      <c r="D21" s="2226" t="s">
        <v>138</v>
      </c>
      <c r="E21" s="2226"/>
      <c r="F21" s="2218" t="s">
        <v>139</v>
      </c>
      <c r="G21" s="2218"/>
      <c r="H21" s="2218" t="s">
        <v>140</v>
      </c>
      <c r="I21" s="2218"/>
    </row>
    <row r="22" spans="4:9" ht="42.75" customHeight="1" x14ac:dyDescent="0.25">
      <c r="D22" s="2226"/>
      <c r="E22" s="2226"/>
      <c r="F22" s="536" t="s">
        <v>370</v>
      </c>
      <c r="G22" s="536" t="s">
        <v>371</v>
      </c>
      <c r="H22" s="536" t="s">
        <v>370</v>
      </c>
      <c r="I22" s="536" t="s">
        <v>371</v>
      </c>
    </row>
    <row r="23" spans="4:9" ht="21" customHeight="1" x14ac:dyDescent="0.25">
      <c r="D23" s="2217" t="s">
        <v>218</v>
      </c>
      <c r="E23" s="2217"/>
      <c r="F23" s="146"/>
      <c r="G23" s="146"/>
      <c r="H23" s="146"/>
      <c r="I23" s="146"/>
    </row>
    <row r="24" spans="4:9" ht="21" customHeight="1" x14ac:dyDescent="0.25">
      <c r="D24" s="2217" t="s">
        <v>372</v>
      </c>
      <c r="E24" s="2217"/>
      <c r="F24" s="146"/>
      <c r="G24" s="146"/>
      <c r="H24" s="162"/>
      <c r="I24" s="162"/>
    </row>
    <row r="25" spans="4:9" ht="21" customHeight="1" x14ac:dyDescent="0.25">
      <c r="D25" s="2217" t="s">
        <v>308</v>
      </c>
      <c r="E25" s="2217"/>
      <c r="F25" s="146"/>
      <c r="G25" s="146"/>
      <c r="H25" s="146"/>
      <c r="I25" s="146"/>
    </row>
    <row r="26" spans="4:9" ht="21" customHeight="1" x14ac:dyDescent="0.25">
      <c r="D26" s="2227" t="s">
        <v>373</v>
      </c>
      <c r="E26" s="2227"/>
      <c r="F26" s="626">
        <f>SUM(F23:F25)</f>
        <v>0</v>
      </c>
      <c r="G26" s="626">
        <f>SUM(G23:G25)</f>
        <v>0</v>
      </c>
      <c r="H26" s="626">
        <f>SUM(H23:H25)</f>
        <v>0</v>
      </c>
      <c r="I26" s="626">
        <f>SUM(I23:I25)</f>
        <v>0</v>
      </c>
    </row>
    <row r="27" spans="4:9" x14ac:dyDescent="0.25"/>
    <row r="28" spans="4:9" x14ac:dyDescent="0.25">
      <c r="D28" s="628" t="s">
        <v>1348</v>
      </c>
    </row>
    <row r="29" spans="4:9" x14ac:dyDescent="0.25">
      <c r="D29" s="2202"/>
      <c r="E29" s="2202"/>
      <c r="F29" s="2202"/>
      <c r="G29" s="2202"/>
      <c r="H29" s="2202"/>
      <c r="I29" s="2202"/>
    </row>
    <row r="30" spans="4:9" x14ac:dyDescent="0.25">
      <c r="D30" s="2202"/>
      <c r="E30" s="2202"/>
      <c r="F30" s="2202"/>
      <c r="G30" s="2202"/>
      <c r="H30" s="2202"/>
      <c r="I30" s="2202"/>
    </row>
    <row r="31" spans="4:9" x14ac:dyDescent="0.25">
      <c r="D31" s="2202"/>
      <c r="E31" s="2202"/>
      <c r="F31" s="2202"/>
      <c r="G31" s="2202"/>
      <c r="H31" s="2202"/>
      <c r="I31" s="2202"/>
    </row>
    <row r="32" spans="4:9" x14ac:dyDescent="0.25">
      <c r="D32" s="2202"/>
      <c r="E32" s="2202"/>
      <c r="F32" s="2202"/>
      <c r="G32" s="2202"/>
      <c r="H32" s="2202"/>
      <c r="I32" s="2202"/>
    </row>
    <row r="33" spans="4:9" x14ac:dyDescent="0.25">
      <c r="D33" s="2202"/>
      <c r="E33" s="2202"/>
      <c r="F33" s="2202"/>
      <c r="G33" s="2202"/>
      <c r="H33" s="2202"/>
      <c r="I33" s="2202"/>
    </row>
    <row r="34" spans="4:9" s="533" customFormat="1" x14ac:dyDescent="0.25"/>
    <row r="35" spans="4:9" s="533" customFormat="1" x14ac:dyDescent="0.25"/>
    <row r="36" spans="4:9" s="533" customFormat="1" x14ac:dyDescent="0.25"/>
    <row r="37" spans="4:9" s="533" customFormat="1" x14ac:dyDescent="0.25"/>
    <row r="38" spans="4:9" s="533" customFormat="1" x14ac:dyDescent="0.25"/>
    <row r="39" spans="4:9" s="533" customFormat="1" x14ac:dyDescent="0.25"/>
    <row r="40" spans="4:9" s="533" customFormat="1" x14ac:dyDescent="0.25"/>
    <row r="41" spans="4:9" s="533" customFormat="1" x14ac:dyDescent="0.25"/>
    <row r="42" spans="4:9" s="533" customFormat="1" x14ac:dyDescent="0.25"/>
    <row r="43" spans="4:9" s="533" customFormat="1" x14ac:dyDescent="0.25"/>
    <row r="44" spans="4:9" s="533" customFormat="1" x14ac:dyDescent="0.25"/>
    <row r="45" spans="4:9" s="533" customFormat="1" x14ac:dyDescent="0.25"/>
    <row r="46" spans="4:9" s="533" customFormat="1" x14ac:dyDescent="0.25"/>
    <row r="47" spans="4:9" s="533" customFormat="1" x14ac:dyDescent="0.25"/>
    <row r="48" spans="4:9" s="533" customFormat="1" x14ac:dyDescent="0.25"/>
    <row r="49" s="533" customFormat="1" x14ac:dyDescent="0.25"/>
    <row r="50" s="533" customFormat="1" x14ac:dyDescent="0.25"/>
    <row r="51" s="533" customFormat="1" x14ac:dyDescent="0.25"/>
    <row r="52" s="533" customFormat="1" x14ac:dyDescent="0.25"/>
    <row r="53" s="533" customFormat="1" x14ac:dyDescent="0.25"/>
    <row r="54" s="533" customFormat="1" x14ac:dyDescent="0.25"/>
    <row r="55" s="533" customFormat="1" x14ac:dyDescent="0.25"/>
    <row r="56" s="533" customFormat="1" x14ac:dyDescent="0.25"/>
  </sheetData>
  <sheetProtection pivotTables="0"/>
  <mergeCells count="13">
    <mergeCell ref="D29:I33"/>
    <mergeCell ref="D26:E26"/>
    <mergeCell ref="D6:G6"/>
    <mergeCell ref="D7:E7"/>
    <mergeCell ref="D24:E24"/>
    <mergeCell ref="D25:E25"/>
    <mergeCell ref="D20:I20"/>
    <mergeCell ref="D13:G18"/>
    <mergeCell ref="D1:I1"/>
    <mergeCell ref="D21:E22"/>
    <mergeCell ref="F21:G21"/>
    <mergeCell ref="H21:I21"/>
    <mergeCell ref="D23:E23"/>
  </mergeCells>
  <printOptions horizontalCentered="1"/>
  <pageMargins left="0" right="0.11811023622047245" top="0" bottom="0.35433070866141736" header="0.31496062992125984" footer="0.31496062992125984"/>
  <pageSetup paperSize="9" orientation="landscape" r:id="rId1"/>
  <rowBreaks count="1" manualBreakCount="1">
    <brk id="19" min="3" max="8"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rgb="FF43C6E5"/>
  </sheetPr>
  <dimension ref="A1:K53"/>
  <sheetViews>
    <sheetView zoomScaleNormal="100" workbookViewId="0">
      <selection activeCell="H36" sqref="H36"/>
    </sheetView>
  </sheetViews>
  <sheetFormatPr baseColWidth="10" defaultColWidth="0" defaultRowHeight="15" zeroHeight="1" x14ac:dyDescent="0.25"/>
  <cols>
    <col min="1" max="4" width="11.42578125" style="533" customWidth="1"/>
    <col min="5" max="5" width="25" style="533" customWidth="1"/>
    <col min="6" max="6" width="41.85546875" style="533" customWidth="1"/>
    <col min="7" max="7" width="17.140625" style="533" customWidth="1"/>
    <col min="8" max="8" width="15.28515625" style="533" customWidth="1"/>
    <col min="9" max="9" width="15.140625" style="533" customWidth="1"/>
    <col min="10" max="10" width="15" style="533" customWidth="1"/>
    <col min="11" max="11" width="11.42578125" style="533" customWidth="1"/>
    <col min="12" max="16384" width="11.42578125" style="533" hidden="1"/>
  </cols>
  <sheetData>
    <row r="1" spans="1:11" s="120" customFormat="1" ht="28.5" customHeight="1" x14ac:dyDescent="0.25">
      <c r="A1" s="533"/>
      <c r="B1" s="533"/>
      <c r="C1" s="533"/>
      <c r="D1" s="533"/>
      <c r="E1" s="1827" t="s">
        <v>374</v>
      </c>
      <c r="F1" s="1828"/>
      <c r="G1" s="1828"/>
      <c r="H1" s="2191"/>
      <c r="I1" s="853"/>
      <c r="J1" s="533"/>
      <c r="K1" s="533"/>
    </row>
    <row r="2" spans="1:11" s="120" customFormat="1" x14ac:dyDescent="0.25">
      <c r="A2" s="533"/>
      <c r="B2" s="533"/>
      <c r="C2" s="533"/>
      <c r="D2" s="533"/>
      <c r="E2" s="380"/>
      <c r="F2" s="380"/>
      <c r="G2" s="380"/>
      <c r="H2" s="380"/>
      <c r="I2" s="533"/>
      <c r="J2" s="533"/>
      <c r="K2" s="533"/>
    </row>
    <row r="3" spans="1:11" s="821" customFormat="1" ht="24" customHeight="1" x14ac:dyDescent="0.25">
      <c r="A3" s="817"/>
      <c r="B3" s="817"/>
      <c r="C3" s="817"/>
      <c r="D3" s="817"/>
      <c r="E3" s="818" t="s">
        <v>42</v>
      </c>
      <c r="F3" s="854" t="str">
        <f>INFORMATIONS!B10</f>
        <v>SAM CONSEILS</v>
      </c>
      <c r="G3" s="819" t="s">
        <v>52</v>
      </c>
      <c r="H3" s="820">
        <f>INFORMATIONS!D31</f>
        <v>43465</v>
      </c>
      <c r="I3" s="817"/>
      <c r="J3" s="817"/>
      <c r="K3" s="817"/>
    </row>
    <row r="4" spans="1:11" s="120" customFormat="1" ht="19.5" customHeight="1" x14ac:dyDescent="0.25">
      <c r="A4" s="533"/>
      <c r="B4" s="533"/>
      <c r="C4" s="533"/>
      <c r="D4" s="533"/>
      <c r="E4" s="621" t="s">
        <v>43</v>
      </c>
      <c r="F4" s="622" t="str">
        <f>INFORMATIONS!B24</f>
        <v>00084404X</v>
      </c>
      <c r="G4" s="822" t="s">
        <v>44</v>
      </c>
      <c r="H4" s="823">
        <f>INFORMATIONS!F34</f>
        <v>12</v>
      </c>
      <c r="I4" s="533"/>
      <c r="J4" s="533"/>
      <c r="K4" s="533"/>
    </row>
    <row r="5" spans="1:11" s="120" customFormat="1" x14ac:dyDescent="0.25">
      <c r="A5" s="533"/>
      <c r="B5" s="533"/>
      <c r="C5" s="533"/>
      <c r="D5" s="533"/>
      <c r="I5" s="533"/>
      <c r="J5" s="533"/>
      <c r="K5" s="533"/>
    </row>
    <row r="6" spans="1:11" s="120" customFormat="1" ht="20.25" customHeight="1" x14ac:dyDescent="0.25">
      <c r="A6" s="533"/>
      <c r="B6" s="533"/>
      <c r="C6" s="533"/>
      <c r="D6" s="533"/>
      <c r="E6" s="2192" t="s">
        <v>138</v>
      </c>
      <c r="F6" s="2193"/>
      <c r="G6" s="536" t="s">
        <v>139</v>
      </c>
      <c r="H6" s="536" t="s">
        <v>140</v>
      </c>
      <c r="I6" s="533"/>
      <c r="J6" s="533"/>
      <c r="K6" s="533"/>
    </row>
    <row r="7" spans="1:11" s="120" customFormat="1" ht="21" customHeight="1" x14ac:dyDescent="0.25">
      <c r="A7" s="533"/>
      <c r="B7" s="533"/>
      <c r="C7" s="533"/>
      <c r="D7" s="533"/>
      <c r="E7" s="172" t="s">
        <v>375</v>
      </c>
      <c r="F7" s="173"/>
      <c r="G7" s="163"/>
      <c r="H7" s="163"/>
      <c r="I7" s="533"/>
      <c r="J7" s="533"/>
      <c r="K7" s="533"/>
    </row>
    <row r="8" spans="1:11" s="120" customFormat="1" ht="21" customHeight="1" x14ac:dyDescent="0.25">
      <c r="A8" s="533"/>
      <c r="B8" s="533"/>
      <c r="C8" s="533"/>
      <c r="D8" s="533"/>
      <c r="E8" s="172" t="s">
        <v>376</v>
      </c>
      <c r="F8" s="173"/>
      <c r="G8" s="163"/>
      <c r="H8" s="163"/>
      <c r="I8" s="533"/>
      <c r="J8" s="533"/>
      <c r="K8" s="533"/>
    </row>
    <row r="9" spans="1:11" s="120" customFormat="1" ht="21" customHeight="1" x14ac:dyDescent="0.25">
      <c r="A9" s="533"/>
      <c r="B9" s="533"/>
      <c r="C9" s="533"/>
      <c r="D9" s="533"/>
      <c r="E9" s="172" t="s">
        <v>377</v>
      </c>
      <c r="F9" s="173"/>
      <c r="G9" s="146"/>
      <c r="H9" s="146"/>
      <c r="I9" s="533"/>
      <c r="J9" s="533"/>
      <c r="K9" s="533"/>
    </row>
    <row r="10" spans="1:11" s="120" customFormat="1" ht="21" customHeight="1" x14ac:dyDescent="0.25">
      <c r="A10" s="533"/>
      <c r="B10" s="533"/>
      <c r="C10" s="533"/>
      <c r="D10" s="533"/>
      <c r="E10" s="172" t="s">
        <v>377</v>
      </c>
      <c r="F10" s="173"/>
      <c r="G10" s="146"/>
      <c r="H10" s="146"/>
      <c r="I10" s="533"/>
      <c r="J10" s="533"/>
      <c r="K10" s="533"/>
    </row>
    <row r="11" spans="1:11" s="120" customFormat="1" ht="21" customHeight="1" x14ac:dyDescent="0.25">
      <c r="A11" s="533"/>
      <c r="B11" s="533"/>
      <c r="C11" s="533"/>
      <c r="D11" s="533"/>
      <c r="E11" s="172" t="s">
        <v>377</v>
      </c>
      <c r="F11" s="173"/>
      <c r="G11" s="146"/>
      <c r="H11" s="146"/>
      <c r="I11" s="533"/>
      <c r="J11" s="533"/>
      <c r="K11" s="533"/>
    </row>
    <row r="12" spans="1:11" s="120" customFormat="1" ht="21" customHeight="1" x14ac:dyDescent="0.25">
      <c r="A12" s="533"/>
      <c r="B12" s="533"/>
      <c r="C12" s="533"/>
      <c r="D12" s="533"/>
      <c r="E12" s="172" t="s">
        <v>377</v>
      </c>
      <c r="F12" s="173"/>
      <c r="G12" s="146"/>
      <c r="H12" s="146"/>
      <c r="I12" s="533"/>
      <c r="J12" s="533"/>
      <c r="K12" s="533"/>
    </row>
    <row r="13" spans="1:11" s="120" customFormat="1" ht="21" customHeight="1" x14ac:dyDescent="0.25">
      <c r="A13" s="533"/>
      <c r="B13" s="533"/>
      <c r="C13" s="533"/>
      <c r="D13" s="533"/>
      <c r="E13" s="172"/>
      <c r="F13" s="207" t="s">
        <v>373</v>
      </c>
      <c r="G13" s="208">
        <f>SUM(G8:G12)</f>
        <v>0</v>
      </c>
      <c r="H13" s="208">
        <f>SUM(H8:H12)</f>
        <v>0</v>
      </c>
      <c r="I13" s="533"/>
      <c r="J13" s="533"/>
      <c r="K13" s="533"/>
    </row>
    <row r="14" spans="1:11" s="120" customFormat="1" ht="21" customHeight="1" x14ac:dyDescent="0.25">
      <c r="A14" s="533"/>
      <c r="B14" s="533"/>
      <c r="C14" s="533"/>
      <c r="D14" s="533"/>
      <c r="E14" s="172" t="s">
        <v>378</v>
      </c>
      <c r="F14" s="173"/>
      <c r="G14" s="163"/>
      <c r="H14" s="163"/>
      <c r="I14" s="533"/>
      <c r="J14" s="533"/>
      <c r="K14" s="533"/>
    </row>
    <row r="15" spans="1:11" s="120" customFormat="1" ht="21" customHeight="1" x14ac:dyDescent="0.25">
      <c r="A15" s="533"/>
      <c r="B15" s="533"/>
      <c r="C15" s="533"/>
      <c r="D15" s="533"/>
      <c r="E15" s="172" t="s">
        <v>376</v>
      </c>
      <c r="F15" s="173"/>
      <c r="G15" s="163"/>
      <c r="H15" s="163"/>
      <c r="I15" s="533"/>
      <c r="J15" s="533"/>
      <c r="K15" s="533"/>
    </row>
    <row r="16" spans="1:11" s="120" customFormat="1" ht="21" customHeight="1" x14ac:dyDescent="0.25">
      <c r="A16" s="533"/>
      <c r="B16" s="533"/>
      <c r="C16" s="533"/>
      <c r="D16" s="533"/>
      <c r="E16" s="172" t="s">
        <v>379</v>
      </c>
      <c r="F16" s="173"/>
      <c r="G16" s="146"/>
      <c r="H16" s="146"/>
      <c r="I16" s="533"/>
      <c r="J16" s="533"/>
      <c r="K16" s="533"/>
    </row>
    <row r="17" spans="1:11" s="120" customFormat="1" ht="21" customHeight="1" x14ac:dyDescent="0.25">
      <c r="A17" s="533"/>
      <c r="B17" s="533"/>
      <c r="C17" s="533"/>
      <c r="D17" s="533"/>
      <c r="E17" s="172" t="s">
        <v>379</v>
      </c>
      <c r="F17" s="173"/>
      <c r="G17" s="146"/>
      <c r="H17" s="146"/>
      <c r="I17" s="533"/>
      <c r="J17" s="533"/>
      <c r="K17" s="533"/>
    </row>
    <row r="18" spans="1:11" s="120" customFormat="1" ht="21" customHeight="1" x14ac:dyDescent="0.25">
      <c r="A18" s="533"/>
      <c r="B18" s="533"/>
      <c r="C18" s="533"/>
      <c r="D18" s="533"/>
      <c r="E18" s="172" t="s">
        <v>379</v>
      </c>
      <c r="F18" s="173"/>
      <c r="G18" s="146"/>
      <c r="H18" s="146"/>
      <c r="I18" s="533"/>
      <c r="J18" s="533"/>
      <c r="K18" s="533"/>
    </row>
    <row r="19" spans="1:11" s="120" customFormat="1" ht="21" customHeight="1" x14ac:dyDescent="0.25">
      <c r="A19" s="533"/>
      <c r="B19" s="533"/>
      <c r="C19" s="533"/>
      <c r="D19" s="533"/>
      <c r="E19" s="172" t="s">
        <v>379</v>
      </c>
      <c r="F19" s="173"/>
      <c r="G19" s="146"/>
      <c r="H19" s="146"/>
      <c r="I19" s="533"/>
      <c r="J19" s="533"/>
      <c r="K19" s="533"/>
    </row>
    <row r="20" spans="1:11" s="120" customFormat="1" ht="21" customHeight="1" x14ac:dyDescent="0.25">
      <c r="A20" s="533"/>
      <c r="B20" s="533"/>
      <c r="C20" s="533"/>
      <c r="D20" s="533"/>
      <c r="E20" s="172" t="s">
        <v>379</v>
      </c>
      <c r="F20" s="173"/>
      <c r="G20" s="146"/>
      <c r="H20" s="146"/>
      <c r="I20" s="533"/>
      <c r="J20" s="533"/>
      <c r="K20" s="533"/>
    </row>
    <row r="21" spans="1:11" s="120" customFormat="1" ht="21" customHeight="1" x14ac:dyDescent="0.25">
      <c r="A21" s="533"/>
      <c r="B21" s="533"/>
      <c r="C21" s="533"/>
      <c r="D21" s="533"/>
      <c r="E21" s="172"/>
      <c r="F21" s="207" t="s">
        <v>373</v>
      </c>
      <c r="G21" s="208">
        <f>SUM(G16:G20)</f>
        <v>0</v>
      </c>
      <c r="H21" s="208">
        <f>SUM(H16:H20)</f>
        <v>0</v>
      </c>
      <c r="I21" s="533"/>
      <c r="J21" s="533"/>
      <c r="K21" s="533"/>
    </row>
    <row r="22" spans="1:11" s="120" customFormat="1" x14ac:dyDescent="0.25">
      <c r="A22" s="533"/>
      <c r="B22" s="533"/>
      <c r="C22" s="533"/>
      <c r="D22" s="533"/>
      <c r="I22" s="533"/>
      <c r="J22" s="533"/>
      <c r="K22" s="533"/>
    </row>
    <row r="23" spans="1:11" s="120" customFormat="1" x14ac:dyDescent="0.25">
      <c r="A23" s="533"/>
      <c r="B23" s="533"/>
      <c r="C23" s="533"/>
      <c r="D23" s="533"/>
      <c r="E23" s="628" t="s">
        <v>1348</v>
      </c>
      <c r="I23" s="533"/>
      <c r="J23" s="533"/>
      <c r="K23" s="533"/>
    </row>
    <row r="24" spans="1:11" s="120" customFormat="1" x14ac:dyDescent="0.25">
      <c r="A24" s="533"/>
      <c r="B24" s="533"/>
      <c r="C24" s="533"/>
      <c r="D24" s="533"/>
      <c r="E24" s="2202"/>
      <c r="F24" s="2202"/>
      <c r="G24" s="2202"/>
      <c r="H24" s="2202"/>
      <c r="I24" s="533"/>
      <c r="J24" s="533"/>
      <c r="K24" s="533"/>
    </row>
    <row r="25" spans="1:11" s="120" customFormat="1" x14ac:dyDescent="0.25">
      <c r="A25" s="533"/>
      <c r="B25" s="533"/>
      <c r="C25" s="533"/>
      <c r="D25" s="533"/>
      <c r="E25" s="2202"/>
      <c r="F25" s="2202"/>
      <c r="G25" s="2202"/>
      <c r="H25" s="2202"/>
      <c r="I25" s="533"/>
      <c r="J25" s="533"/>
      <c r="K25" s="533"/>
    </row>
    <row r="26" spans="1:11" s="120" customFormat="1" x14ac:dyDescent="0.25">
      <c r="A26" s="533"/>
      <c r="B26" s="533"/>
      <c r="C26" s="533"/>
      <c r="D26" s="533"/>
      <c r="E26" s="2202"/>
      <c r="F26" s="2202"/>
      <c r="G26" s="2202"/>
      <c r="H26" s="2202"/>
      <c r="I26" s="533"/>
      <c r="J26" s="533"/>
      <c r="K26" s="533"/>
    </row>
    <row r="27" spans="1:11" x14ac:dyDescent="0.25">
      <c r="E27" s="2202"/>
      <c r="F27" s="2202"/>
      <c r="G27" s="2202"/>
      <c r="H27" s="2202"/>
    </row>
    <row r="28" spans="1:11" s="120" customFormat="1" x14ac:dyDescent="0.25">
      <c r="A28" s="533"/>
      <c r="B28" s="533"/>
      <c r="C28" s="533"/>
      <c r="D28" s="533"/>
      <c r="E28" s="2202"/>
      <c r="F28" s="2202"/>
      <c r="G28" s="2202"/>
      <c r="H28" s="2202"/>
      <c r="I28" s="533"/>
      <c r="J28" s="533"/>
      <c r="K28" s="533"/>
    </row>
    <row r="29" spans="1:11" s="120" customFormat="1" x14ac:dyDescent="0.25">
      <c r="A29" s="533"/>
      <c r="B29" s="533"/>
      <c r="C29" s="533"/>
      <c r="D29" s="533"/>
      <c r="E29" s="2202"/>
      <c r="F29" s="2202"/>
      <c r="G29" s="2202"/>
      <c r="H29" s="2202"/>
      <c r="I29" s="533"/>
      <c r="J29" s="533"/>
      <c r="K29" s="533"/>
    </row>
    <row r="30" spans="1:11" x14ac:dyDescent="0.25"/>
    <row r="31" spans="1:11" x14ac:dyDescent="0.25"/>
    <row r="32" spans="1:11"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sheetData>
  <sheetProtection pivotTables="0"/>
  <mergeCells count="3">
    <mergeCell ref="E1:H1"/>
    <mergeCell ref="E6:F6"/>
    <mergeCell ref="E24:H29"/>
  </mergeCells>
  <printOptions horizontalCentered="1"/>
  <pageMargins left="0" right="0.11811023622047245" top="0" bottom="0.35433070866141736"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rgb="FF43C6E5"/>
  </sheetPr>
  <dimension ref="A1:L54"/>
  <sheetViews>
    <sheetView zoomScaleNormal="100" workbookViewId="0">
      <selection activeCell="H36" sqref="H36"/>
    </sheetView>
  </sheetViews>
  <sheetFormatPr baseColWidth="10" defaultColWidth="0" defaultRowHeight="15" zeroHeight="1" x14ac:dyDescent="0.25"/>
  <cols>
    <col min="1" max="1" width="15.5703125" style="537" customWidth="1"/>
    <col min="2" max="2" width="16.28515625" style="537" customWidth="1"/>
    <col min="3" max="3" width="25" style="345" customWidth="1"/>
    <col min="4" max="4" width="23.42578125" style="345" customWidth="1"/>
    <col min="5" max="5" width="14.140625" style="345" customWidth="1"/>
    <col min="6" max="6" width="14.42578125" style="345" customWidth="1"/>
    <col min="7" max="8" width="14" style="345" customWidth="1"/>
    <col min="9" max="10" width="14.140625" style="345" customWidth="1"/>
    <col min="11" max="12" width="11.42578125" style="537" customWidth="1"/>
    <col min="13" max="16384" width="11.42578125" style="345" hidden="1"/>
  </cols>
  <sheetData>
    <row r="1" spans="1:12" ht="28.5" customHeight="1" x14ac:dyDescent="0.25">
      <c r="C1" s="2177" t="s">
        <v>380</v>
      </c>
      <c r="D1" s="2177"/>
      <c r="E1" s="2177"/>
      <c r="F1" s="2177"/>
      <c r="G1" s="2177"/>
      <c r="H1" s="2177"/>
      <c r="I1" s="2177"/>
      <c r="J1" s="2177"/>
    </row>
    <row r="2" spans="1:12" x14ac:dyDescent="0.25">
      <c r="C2" s="388"/>
      <c r="D2" s="388"/>
      <c r="E2" s="388"/>
      <c r="F2" s="388"/>
      <c r="G2" s="388"/>
      <c r="H2" s="388"/>
    </row>
    <row r="3" spans="1:12" ht="22.5" customHeight="1" x14ac:dyDescent="0.25">
      <c r="C3" s="629" t="s">
        <v>42</v>
      </c>
      <c r="D3" s="664" t="str">
        <f>INFORMATIONS!B10</f>
        <v>SAM CONSEILS</v>
      </c>
      <c r="E3" s="664"/>
      <c r="F3" s="664"/>
      <c r="G3" s="630"/>
      <c r="H3" s="2127" t="s">
        <v>52</v>
      </c>
      <c r="I3" s="2127"/>
      <c r="J3" s="631">
        <f>INFORMATIONS!D31</f>
        <v>43465</v>
      </c>
    </row>
    <row r="4" spans="1:12" ht="19.5" customHeight="1" x14ac:dyDescent="0.25">
      <c r="C4" s="632" t="s">
        <v>43</v>
      </c>
      <c r="D4" s="633" t="str">
        <f>INFORMATIONS!B24</f>
        <v>00084404X</v>
      </c>
      <c r="E4" s="634"/>
      <c r="F4" s="634"/>
      <c r="G4" s="635"/>
      <c r="H4" s="2128" t="s">
        <v>44</v>
      </c>
      <c r="I4" s="2128"/>
      <c r="J4" s="667">
        <f>INFORMATIONS!F34</f>
        <v>12</v>
      </c>
    </row>
    <row r="5" spans="1:12" x14ac:dyDescent="0.25"/>
    <row r="6" spans="1:12" ht="65.25" customHeight="1" x14ac:dyDescent="0.25">
      <c r="C6" s="2116" t="s">
        <v>138</v>
      </c>
      <c r="D6" s="2117"/>
      <c r="E6" s="590" t="s">
        <v>139</v>
      </c>
      <c r="F6" s="590" t="s">
        <v>140</v>
      </c>
      <c r="G6" s="590" t="s">
        <v>141</v>
      </c>
      <c r="H6" s="590" t="s">
        <v>381</v>
      </c>
      <c r="I6" s="590" t="s">
        <v>382</v>
      </c>
      <c r="J6" s="590" t="s">
        <v>383</v>
      </c>
    </row>
    <row r="7" spans="1:12" ht="21" customHeight="1" x14ac:dyDescent="0.25">
      <c r="C7" s="423" t="s">
        <v>384</v>
      </c>
      <c r="D7" s="425"/>
      <c r="E7" s="427">
        <f>SUMPRODUCT(((LEFT(BalanceN!$A$4:$A$9999,3)="401")-(LEFT(BalanceN!$A$4:$A$9999,4)="4012"))*BalanceN!$H$4:$H$9999)</f>
        <v>26695015</v>
      </c>
      <c r="F7" s="427">
        <f>SUMPRODUCT(((LEFT(BalanceN!$A$4:$A$9999,3)="401")-(LEFT(BalanceN!$A$4:$A$9999,4)="4012"))*BalanceN!$D$4:$D$9999)</f>
        <v>40583900</v>
      </c>
      <c r="G7" s="723">
        <f>IF(F7=0,"-",(E7-F7)/F7)</f>
        <v>-0.34222647404512629</v>
      </c>
      <c r="H7" s="427">
        <f>E7-I7-J7</f>
        <v>26695015</v>
      </c>
      <c r="I7" s="146"/>
      <c r="J7" s="146"/>
    </row>
    <row r="8" spans="1:12" ht="21" customHeight="1" x14ac:dyDescent="0.25">
      <c r="C8" s="423" t="s">
        <v>1062</v>
      </c>
      <c r="D8" s="425"/>
      <c r="E8" s="640">
        <f>SUMPRODUCT(((LEFT(BalanceN!$A$4:$A$9999,4)="4012"))*BalanceN!$H$4:$H$9999)</f>
        <v>0</v>
      </c>
      <c r="F8" s="640">
        <f>SUMPRODUCT(((LEFT(BalanceN!$A$4:$A$9999,4)="4012"))*BalanceN!$D$4:$D$9999)</f>
        <v>0</v>
      </c>
      <c r="G8" s="723" t="str">
        <f t="shared" ref="G8:G16" si="0">IF(F8=0,"-",(E8-F8)/F8)</f>
        <v>-</v>
      </c>
      <c r="H8" s="640">
        <f t="shared" ref="H8:H12" si="1">E8-I8-J8</f>
        <v>0</v>
      </c>
      <c r="I8" s="146"/>
      <c r="J8" s="146"/>
    </row>
    <row r="9" spans="1:12" ht="21" customHeight="1" x14ac:dyDescent="0.25">
      <c r="C9" s="423" t="s">
        <v>385</v>
      </c>
      <c r="D9" s="425"/>
      <c r="E9" s="640">
        <f>SUMPRODUCT(((LEFT(BalanceN!$A$4:$A$9999,3)="402")-(LEFT(BalanceN!$A$4:$A$9999,4)="4022"))*BalanceN!$H$4:$H$9999)</f>
        <v>0</v>
      </c>
      <c r="F9" s="640">
        <f>SUMPRODUCT(((LEFT(BalanceN!$A$4:$A$9999,3)="402")-(LEFT(BalanceN!$A$4:$A$9999,4)="4022"))*BalanceN!$D$4:$D$9999)</f>
        <v>0</v>
      </c>
      <c r="G9" s="723" t="str">
        <f t="shared" si="0"/>
        <v>-</v>
      </c>
      <c r="H9" s="640">
        <f t="shared" si="1"/>
        <v>0</v>
      </c>
      <c r="I9" s="146"/>
      <c r="J9" s="146"/>
    </row>
    <row r="10" spans="1:12" ht="21" customHeight="1" x14ac:dyDescent="0.25">
      <c r="C10" s="423" t="s">
        <v>1063</v>
      </c>
      <c r="D10" s="425"/>
      <c r="E10" s="640">
        <f>SUMPRODUCT(((LEFT(BalanceN!$A$4:$A$9999,4)="4022"))*BalanceN!$H$4:$H$9999)</f>
        <v>0</v>
      </c>
      <c r="F10" s="640">
        <f>SUMPRODUCT(((LEFT(BalanceN!$A$4:$A$9999,4)="4022"))*BalanceN!$D$4:$D$9999)</f>
        <v>0</v>
      </c>
      <c r="G10" s="723" t="str">
        <f t="shared" si="0"/>
        <v>-</v>
      </c>
      <c r="H10" s="640">
        <f t="shared" si="1"/>
        <v>0</v>
      </c>
      <c r="I10" s="146"/>
      <c r="J10" s="146"/>
    </row>
    <row r="11" spans="1:12" ht="21" customHeight="1" x14ac:dyDescent="0.25">
      <c r="C11" s="423" t="s">
        <v>386</v>
      </c>
      <c r="D11" s="425"/>
      <c r="E11" s="640">
        <f>SUMPRODUCT(((LEFT(BalanceN!$A$4:$A$9999,3)="408")-(LEFT(BalanceN!$A$4:$A$9999,4)="4082"))*BalanceN!$H$4:$H$9999)</f>
        <v>11515207</v>
      </c>
      <c r="F11" s="640">
        <f>SUMPRODUCT(((LEFT(BalanceN!$A$4:$A$9999,3)="408")-(LEFT(BalanceN!$A$4:$A$9999,4)="4082"))*BalanceN!$D$4:$D$9999)</f>
        <v>15310306</v>
      </c>
      <c r="G11" s="723">
        <f t="shared" si="0"/>
        <v>-0.24787871646719536</v>
      </c>
      <c r="H11" s="640">
        <f t="shared" si="1"/>
        <v>11515207</v>
      </c>
      <c r="I11" s="146"/>
      <c r="J11" s="146"/>
    </row>
    <row r="12" spans="1:12" ht="21" customHeight="1" x14ac:dyDescent="0.25">
      <c r="C12" s="423" t="s">
        <v>1064</v>
      </c>
      <c r="D12" s="425"/>
      <c r="E12" s="640">
        <f>SUMPRODUCT(((LEFT(BalanceN!$A$4:$A$9999,4)="4082"))*BalanceN!$H$4:$H$9999)</f>
        <v>0</v>
      </c>
      <c r="F12" s="640">
        <f>SUMPRODUCT(((LEFT(BalanceN!$A$4:$A$9999,4)="4082"))*BalanceN!$D$4:$D$9999)</f>
        <v>0</v>
      </c>
      <c r="G12" s="723" t="str">
        <f t="shared" si="0"/>
        <v>-</v>
      </c>
      <c r="H12" s="640">
        <f t="shared" si="1"/>
        <v>0</v>
      </c>
      <c r="I12" s="146"/>
      <c r="J12" s="146"/>
    </row>
    <row r="13" spans="1:12" s="422" customFormat="1" ht="20.25" customHeight="1" x14ac:dyDescent="0.25">
      <c r="A13" s="546"/>
      <c r="B13" s="546"/>
      <c r="C13" s="2121" t="s">
        <v>387</v>
      </c>
      <c r="D13" s="2122"/>
      <c r="E13" s="639">
        <f>SUM(E7:E12)</f>
        <v>38210222</v>
      </c>
      <c r="F13" s="639">
        <f t="shared" ref="F13:J13" si="2">SUM(F7:F12)</f>
        <v>55894206</v>
      </c>
      <c r="G13" s="751"/>
      <c r="H13" s="639">
        <f t="shared" si="2"/>
        <v>38210222</v>
      </c>
      <c r="I13" s="639">
        <f t="shared" si="2"/>
        <v>0</v>
      </c>
      <c r="J13" s="639">
        <f t="shared" si="2"/>
        <v>0</v>
      </c>
      <c r="K13" s="546"/>
      <c r="L13" s="546"/>
    </row>
    <row r="14" spans="1:12" ht="21" customHeight="1" x14ac:dyDescent="0.25">
      <c r="C14" s="423" t="s">
        <v>388</v>
      </c>
      <c r="D14" s="425"/>
      <c r="E14" s="640">
        <f>SUMPRODUCT(((LEFT(BalanceN!$A$4:$A$9999,3)="409")-(LEFT(BalanceN!$A$4:$A$9999,4)="4092"))*BalanceN!$G$4:$G$9999)</f>
        <v>857612</v>
      </c>
      <c r="F14" s="640">
        <f>SUMPRODUCT(((LEFT(BalanceN!$A$4:$A$9999,3)="409")-(LEFT(BalanceN!$A$4:$A$9999,4)="4092"))*BalanceN!$C$4:$C$9999)</f>
        <v>700000</v>
      </c>
      <c r="G14" s="723">
        <f t="shared" si="0"/>
        <v>0.22516</v>
      </c>
      <c r="H14" s="640">
        <f>E14-I14-J14</f>
        <v>857612</v>
      </c>
      <c r="I14" s="162"/>
      <c r="J14" s="162"/>
    </row>
    <row r="15" spans="1:12" ht="21" customHeight="1" x14ac:dyDescent="0.25">
      <c r="C15" s="423" t="s">
        <v>1065</v>
      </c>
      <c r="D15" s="425"/>
      <c r="E15" s="640">
        <f>SUMPRODUCT(((LEFT(BalanceN!$A$4:$A$9999,4)="4092"))*BalanceN!$G$4:$G$9999)</f>
        <v>0</v>
      </c>
      <c r="F15" s="640">
        <f>SUMPRODUCT(((LEFT(BalanceN!$A$4:$A$9999,4)="4092"))*BalanceN!$C$4:$C$9999)</f>
        <v>0</v>
      </c>
      <c r="G15" s="723" t="str">
        <f t="shared" si="0"/>
        <v>-</v>
      </c>
      <c r="H15" s="640">
        <f t="shared" ref="H15:H16" si="3">E15-I15-J15</f>
        <v>0</v>
      </c>
      <c r="I15" s="162"/>
      <c r="J15" s="162"/>
    </row>
    <row r="16" spans="1:12" ht="21" customHeight="1" x14ac:dyDescent="0.25">
      <c r="C16" s="423" t="s">
        <v>389</v>
      </c>
      <c r="D16" s="425"/>
      <c r="E16" s="640"/>
      <c r="F16" s="640"/>
      <c r="G16" s="723" t="str">
        <f t="shared" si="0"/>
        <v>-</v>
      </c>
      <c r="H16" s="640">
        <f t="shared" si="3"/>
        <v>0</v>
      </c>
      <c r="I16" s="162"/>
      <c r="J16" s="162"/>
    </row>
    <row r="17" spans="3:10" ht="19.5" customHeight="1" x14ac:dyDescent="0.25">
      <c r="C17" s="2121" t="s">
        <v>390</v>
      </c>
      <c r="D17" s="2122"/>
      <c r="E17" s="780">
        <f>SUM(E14:E16)</f>
        <v>857612</v>
      </c>
      <c r="F17" s="780">
        <f t="shared" ref="F17:J17" si="4">SUM(F14:F16)</f>
        <v>700000</v>
      </c>
      <c r="G17" s="751"/>
      <c r="H17" s="780">
        <f t="shared" si="4"/>
        <v>857612</v>
      </c>
      <c r="I17" s="658">
        <f t="shared" si="4"/>
        <v>0</v>
      </c>
      <c r="J17" s="658">
        <f t="shared" si="4"/>
        <v>0</v>
      </c>
    </row>
    <row r="18" spans="3:10" x14ac:dyDescent="0.25"/>
    <row r="19" spans="3:10" x14ac:dyDescent="0.25">
      <c r="C19" s="645" t="s">
        <v>1348</v>
      </c>
    </row>
    <row r="20" spans="3:10" x14ac:dyDescent="0.25"/>
    <row r="21" spans="3:10" x14ac:dyDescent="0.25">
      <c r="C21" s="2134"/>
      <c r="D21" s="2134"/>
      <c r="E21" s="2134"/>
      <c r="F21" s="2134"/>
      <c r="G21" s="2134"/>
      <c r="H21" s="2134"/>
      <c r="I21" s="2134"/>
      <c r="J21" s="2134"/>
    </row>
    <row r="22" spans="3:10" x14ac:dyDescent="0.25">
      <c r="C22" s="2134"/>
      <c r="D22" s="2134"/>
      <c r="E22" s="2134"/>
      <c r="F22" s="2134"/>
      <c r="G22" s="2134"/>
      <c r="H22" s="2134"/>
      <c r="I22" s="2134"/>
      <c r="J22" s="2134"/>
    </row>
    <row r="23" spans="3:10" x14ac:dyDescent="0.25">
      <c r="C23" s="2134"/>
      <c r="D23" s="2134"/>
      <c r="E23" s="2134"/>
      <c r="F23" s="2134"/>
      <c r="G23" s="2134"/>
      <c r="H23" s="2134"/>
      <c r="I23" s="2134"/>
      <c r="J23" s="2134"/>
    </row>
    <row r="24" spans="3:10" x14ac:dyDescent="0.25">
      <c r="C24" s="2134"/>
      <c r="D24" s="2134"/>
      <c r="E24" s="2134"/>
      <c r="F24" s="2134"/>
      <c r="G24" s="2134"/>
      <c r="H24" s="2134"/>
      <c r="I24" s="2134"/>
      <c r="J24" s="2134"/>
    </row>
    <row r="25" spans="3:10" x14ac:dyDescent="0.25">
      <c r="C25" s="2134"/>
      <c r="D25" s="2134"/>
      <c r="E25" s="2134"/>
      <c r="F25" s="2134"/>
      <c r="G25" s="2134"/>
      <c r="H25" s="2134"/>
      <c r="I25" s="2134"/>
      <c r="J25" s="2134"/>
    </row>
    <row r="26" spans="3:10" x14ac:dyDescent="0.25">
      <c r="C26" s="2134"/>
      <c r="D26" s="2134"/>
      <c r="E26" s="2134"/>
      <c r="F26" s="2134"/>
      <c r="G26" s="2134"/>
      <c r="H26" s="2134"/>
      <c r="I26" s="2134"/>
      <c r="J26" s="2134"/>
    </row>
    <row r="27" spans="3:10" x14ac:dyDescent="0.25">
      <c r="C27" s="2134"/>
      <c r="D27" s="2134"/>
      <c r="E27" s="2134"/>
      <c r="F27" s="2134"/>
      <c r="G27" s="2134"/>
      <c r="H27" s="2134"/>
      <c r="I27" s="2134"/>
      <c r="J27" s="2134"/>
    </row>
    <row r="28" spans="3:10" x14ac:dyDescent="0.25">
      <c r="C28" s="2134"/>
      <c r="D28" s="2134"/>
      <c r="E28" s="2134"/>
      <c r="F28" s="2134"/>
      <c r="G28" s="2134"/>
      <c r="H28" s="2134"/>
      <c r="I28" s="2134"/>
      <c r="J28" s="2134"/>
    </row>
    <row r="29" spans="3:10" x14ac:dyDescent="0.25">
      <c r="C29" s="2134"/>
      <c r="D29" s="2134"/>
      <c r="E29" s="2134"/>
      <c r="F29" s="2134"/>
      <c r="G29" s="2134"/>
      <c r="H29" s="2134"/>
      <c r="I29" s="2134"/>
      <c r="J29" s="2134"/>
    </row>
    <row r="30" spans="3:10" x14ac:dyDescent="0.25">
      <c r="C30" s="2134"/>
      <c r="D30" s="2134"/>
      <c r="E30" s="2134"/>
      <c r="F30" s="2134"/>
      <c r="G30" s="2134"/>
      <c r="H30" s="2134"/>
      <c r="I30" s="2134"/>
      <c r="J30" s="2134"/>
    </row>
    <row r="31" spans="3:10" x14ac:dyDescent="0.25">
      <c r="C31" s="2134"/>
      <c r="D31" s="2134"/>
      <c r="E31" s="2134"/>
      <c r="F31" s="2134"/>
      <c r="G31" s="2134"/>
      <c r="H31" s="2134"/>
      <c r="I31" s="2134"/>
      <c r="J31" s="2134"/>
    </row>
    <row r="32" spans="3:10" s="537" customFormat="1" x14ac:dyDescent="0.25"/>
    <row r="33" s="537" customFormat="1" x14ac:dyDescent="0.25"/>
    <row r="34" s="537" customFormat="1" x14ac:dyDescent="0.25"/>
    <row r="35" s="537" customFormat="1" x14ac:dyDescent="0.25"/>
    <row r="36" s="537" customFormat="1" x14ac:dyDescent="0.25"/>
    <row r="37" s="537" customFormat="1" x14ac:dyDescent="0.25"/>
    <row r="38" s="537" customFormat="1" x14ac:dyDescent="0.25"/>
    <row r="39" s="537" customFormat="1" x14ac:dyDescent="0.25"/>
    <row r="40" s="537" customFormat="1" x14ac:dyDescent="0.25"/>
    <row r="41" s="537" customFormat="1" x14ac:dyDescent="0.25"/>
    <row r="42" s="537" customFormat="1" x14ac:dyDescent="0.25"/>
    <row r="43" s="537" customFormat="1" x14ac:dyDescent="0.25"/>
    <row r="44" s="537" customFormat="1" x14ac:dyDescent="0.25"/>
    <row r="45" s="537" customFormat="1" x14ac:dyDescent="0.25"/>
    <row r="46" s="537" customFormat="1" x14ac:dyDescent="0.25"/>
    <row r="47" s="537" customFormat="1" x14ac:dyDescent="0.25"/>
    <row r="48" s="537" customFormat="1" x14ac:dyDescent="0.25"/>
    <row r="49" s="537" customFormat="1" x14ac:dyDescent="0.25"/>
    <row r="50" s="537" customFormat="1" x14ac:dyDescent="0.25"/>
    <row r="51" s="537" customFormat="1" x14ac:dyDescent="0.25"/>
    <row r="52" s="537" customFormat="1" x14ac:dyDescent="0.25"/>
    <row r="53" s="537" customFormat="1" x14ac:dyDescent="0.25"/>
    <row r="54" s="537" customFormat="1" x14ac:dyDescent="0.25"/>
  </sheetData>
  <sheetProtection algorithmName="SHA-512" hashValue="jMAcDOYQVTMj1j5meFH26FmoXxef24Wuyg5nXx8TlMyPdrEqQxL4bK9ETaY4VMUSuAxsarwGZWs2DaquzquCPQ==" saltValue="mferFoaHBuISofc7dJWyPA==" spinCount="100000" sheet="1" formatCells="0" formatColumns="0" formatRows="0" pivotTables="0"/>
  <mergeCells count="7">
    <mergeCell ref="C21:J31"/>
    <mergeCell ref="C13:D13"/>
    <mergeCell ref="C17:D17"/>
    <mergeCell ref="C1:J1"/>
    <mergeCell ref="H3:I3"/>
    <mergeCell ref="H4:I4"/>
    <mergeCell ref="C6:D6"/>
  </mergeCells>
  <printOptions horizontalCentered="1"/>
  <pageMargins left="0" right="0.11811023622047245" top="0" bottom="0.35433070866141736" header="0.31496062992125984" footer="0.31496062992125984"/>
  <pageSetup paperSize="9" scale="94"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tabColor rgb="FF43C6E5"/>
    <pageSetUpPr fitToPage="1"/>
  </sheetPr>
  <dimension ref="A1:M54"/>
  <sheetViews>
    <sheetView zoomScaleNormal="100" workbookViewId="0">
      <selection activeCell="K8" sqref="K8"/>
    </sheetView>
  </sheetViews>
  <sheetFormatPr baseColWidth="10" defaultColWidth="0" defaultRowHeight="15" zeroHeight="1" x14ac:dyDescent="0.25"/>
  <cols>
    <col min="1" max="1" width="11.42578125" style="537" customWidth="1"/>
    <col min="2" max="2" width="8.42578125" style="537" customWidth="1"/>
    <col min="3" max="3" width="11.42578125" style="537" customWidth="1"/>
    <col min="4" max="4" width="25" style="345" customWidth="1"/>
    <col min="5" max="5" width="23.42578125" style="345" customWidth="1"/>
    <col min="6" max="6" width="14.140625" style="345" customWidth="1"/>
    <col min="7" max="7" width="14.42578125" style="345" customWidth="1"/>
    <col min="8" max="9" width="14" style="345" customWidth="1"/>
    <col min="10" max="11" width="14.140625" style="345" customWidth="1"/>
    <col min="12" max="13" width="11.42578125" style="537" customWidth="1"/>
    <col min="14" max="16384" width="11.42578125" style="345" hidden="1"/>
  </cols>
  <sheetData>
    <row r="1" spans="1:13" ht="28.5" customHeight="1" x14ac:dyDescent="0.25">
      <c r="D1" s="2177" t="s">
        <v>391</v>
      </c>
      <c r="E1" s="2177"/>
      <c r="F1" s="2177"/>
      <c r="G1" s="2177"/>
      <c r="H1" s="2177"/>
      <c r="I1" s="2177"/>
      <c r="J1" s="2177"/>
      <c r="K1" s="2177"/>
    </row>
    <row r="2" spans="1:13" x14ac:dyDescent="0.25">
      <c r="D2" s="388"/>
      <c r="E2" s="388"/>
      <c r="F2" s="388"/>
      <c r="G2" s="388"/>
      <c r="H2" s="388"/>
      <c r="I2" s="388"/>
    </row>
    <row r="3" spans="1:13" ht="22.5" customHeight="1" x14ac:dyDescent="0.25">
      <c r="D3" s="629" t="s">
        <v>42</v>
      </c>
      <c r="E3" s="664" t="str">
        <f>INFORMATIONS!B10</f>
        <v>SAM CONSEILS</v>
      </c>
      <c r="F3" s="664"/>
      <c r="G3" s="664"/>
      <c r="H3" s="630"/>
      <c r="I3" s="2127" t="s">
        <v>52</v>
      </c>
      <c r="J3" s="2127"/>
      <c r="K3" s="631">
        <f>INFORMATIONS!D31</f>
        <v>43465</v>
      </c>
    </row>
    <row r="4" spans="1:13" ht="19.5" customHeight="1" x14ac:dyDescent="0.25">
      <c r="D4" s="632" t="s">
        <v>43</v>
      </c>
      <c r="E4" s="1726">
        <f>INFORMATIONS!B21</f>
        <v>0</v>
      </c>
      <c r="F4" s="634"/>
      <c r="G4" s="634"/>
      <c r="H4" s="635"/>
      <c r="I4" s="2128" t="s">
        <v>44</v>
      </c>
      <c r="J4" s="2128"/>
      <c r="K4" s="667">
        <f>INFORMATIONS!F34</f>
        <v>12</v>
      </c>
    </row>
    <row r="5" spans="1:13" x14ac:dyDescent="0.25"/>
    <row r="6" spans="1:13" ht="60" x14ac:dyDescent="0.25">
      <c r="D6" s="2116" t="s">
        <v>138</v>
      </c>
      <c r="E6" s="2117"/>
      <c r="F6" s="590" t="s">
        <v>139</v>
      </c>
      <c r="G6" s="590" t="s">
        <v>140</v>
      </c>
      <c r="H6" s="590" t="s">
        <v>141</v>
      </c>
      <c r="I6" s="590" t="s">
        <v>381</v>
      </c>
      <c r="J6" s="590" t="s">
        <v>382</v>
      </c>
      <c r="K6" s="590" t="s">
        <v>383</v>
      </c>
    </row>
    <row r="7" spans="1:13" x14ac:dyDescent="0.25">
      <c r="D7" s="423" t="s">
        <v>392</v>
      </c>
      <c r="E7" s="425"/>
      <c r="F7" s="640">
        <f>SUMPRODUCT(((LEFT(BalanceN!$A$4:$A$9999,3)="421"))*BalanceN!$H$4:$H$9999)</f>
        <v>0</v>
      </c>
      <c r="G7" s="640">
        <f>SUMPRODUCT(((LEFT(BalanceN!$A$4:$A$9999,3)="421"))*BalanceN!$D$4:$D$9999)</f>
        <v>0</v>
      </c>
      <c r="H7" s="723" t="str">
        <f>IF(G7=0,"-",(F7-G7)/G7)</f>
        <v>-</v>
      </c>
      <c r="I7" s="640">
        <f>F7-J7-K7</f>
        <v>0</v>
      </c>
      <c r="J7" s="146"/>
      <c r="K7" s="146"/>
    </row>
    <row r="8" spans="1:13" x14ac:dyDescent="0.25">
      <c r="D8" s="423" t="s">
        <v>393</v>
      </c>
      <c r="E8" s="425"/>
      <c r="F8" s="640">
        <f>SUMPRODUCT(((LEFT(BalanceN!$A$4:$A$9999,3)="422"))*BalanceN!$H$4:$H$9999)</f>
        <v>134939</v>
      </c>
      <c r="G8" s="640">
        <f>SUMPRODUCT(((LEFT(BalanceN!$A$4:$A$9999,3)="422"))*BalanceN!$D$4:$D$9999)</f>
        <v>983251</v>
      </c>
      <c r="H8" s="723">
        <f t="shared" ref="H8:H18" si="0">IF(G8=0,"-",(F8-G8)/G8)</f>
        <v>-0.86276240756429434</v>
      </c>
      <c r="I8" s="640">
        <f>F8-J8-K8</f>
        <v>134939</v>
      </c>
      <c r="J8" s="146"/>
      <c r="K8" s="146"/>
    </row>
    <row r="9" spans="1:13" ht="16.5" customHeight="1" x14ac:dyDescent="0.25">
      <c r="D9" s="423" t="s">
        <v>23</v>
      </c>
      <c r="E9" s="425"/>
      <c r="F9" s="640">
        <f>SUMPRODUCT(((LEFT(BalanceN!$A$4:$A$9999,2)="42")-(LEFT(BalanceN!$A$4:$A$9999,3)="421")-(LEFT(BalanceN!$A$4:$A$9999,3)="422"))*BalanceN!$H$4:$H$9999)</f>
        <v>3708640</v>
      </c>
      <c r="G9" s="640">
        <f>SUMPRODUCT(((LEFT(BalanceN!$A$4:$A$9999,2)="42")-(LEFT(BalanceN!$A$4:$A$9999,3)="421")-(LEFT(BalanceN!$A$4:$A$9999,3)="422"))*BalanceN!$D$4:$D$9999)</f>
        <v>4125592</v>
      </c>
      <c r="H9" s="723">
        <f>IF(G9=0,"-",(F9-G9)/G9)</f>
        <v>-0.10106476840172271</v>
      </c>
      <c r="I9" s="640">
        <f>F9-J9-K9</f>
        <v>3708640</v>
      </c>
      <c r="J9" s="146"/>
      <c r="K9" s="146"/>
    </row>
    <row r="10" spans="1:13" x14ac:dyDescent="0.25">
      <c r="D10" s="423" t="s">
        <v>1573</v>
      </c>
      <c r="E10" s="425"/>
      <c r="F10" s="640">
        <f>SUMPRODUCT(((LEFT(BalanceN!$A$4:$A$9999,3)="431"))*BalanceN!$H$4:$H$9999)</f>
        <v>2127881</v>
      </c>
      <c r="G10" s="640">
        <f>SUMPRODUCT(((LEFT(BalanceN!$A$4:$A$9999,3)="431"))*BalanceN!$D$4:$D$9999)</f>
        <v>2025713</v>
      </c>
      <c r="H10" s="723">
        <f t="shared" si="0"/>
        <v>5.0435575029631544E-2</v>
      </c>
      <c r="I10" s="640">
        <f>F10-J10-K10</f>
        <v>2127881</v>
      </c>
      <c r="J10" s="146"/>
      <c r="K10" s="146"/>
    </row>
    <row r="11" spans="1:13" x14ac:dyDescent="0.25">
      <c r="D11" s="423" t="s">
        <v>394</v>
      </c>
      <c r="E11" s="425"/>
      <c r="F11" s="640">
        <f>SUMPRODUCT(((LEFT(BalanceN!$A$4:$A$9999,3)="432"))*BalanceN!$H$4:$H$9999)</f>
        <v>0</v>
      </c>
      <c r="G11" s="640">
        <f>SUMPRODUCT(((LEFT(BalanceN!$A$4:$A$9999,3)="432"))*BalanceN!$D$4:$D$9999)</f>
        <v>0</v>
      </c>
      <c r="H11" s="723" t="str">
        <f t="shared" si="0"/>
        <v>-</v>
      </c>
      <c r="I11" s="640"/>
      <c r="J11" s="146"/>
      <c r="K11" s="146"/>
    </row>
    <row r="12" spans="1:13" x14ac:dyDescent="0.25">
      <c r="D12" s="423" t="s">
        <v>395</v>
      </c>
      <c r="E12" s="425"/>
      <c r="F12" s="640">
        <f>SUMPRODUCT(((LEFT(BalanceN!$A$4:$A$9999,2)="43")-(LEFT(BalanceN!$A$4:$A$9999,3)="431")-(LEFT(BalanceN!$A$4:$A$9999,3)="432"))*BalanceN!$H$4:$H$9999)</f>
        <v>784580</v>
      </c>
      <c r="G12" s="640">
        <f>SUMPRODUCT(((LEFT(BalanceN!$A$4:$A$9999,2)="43")-(LEFT(BalanceN!$A$4:$A$9999,3)="431")-(LEFT(BalanceN!$A$4:$A$9999,3)="432"))*BalanceN!$D$4:$D$9999)</f>
        <v>978586</v>
      </c>
      <c r="H12" s="723">
        <f t="shared" si="0"/>
        <v>-0.19825135450537817</v>
      </c>
      <c r="I12" s="640"/>
      <c r="J12" s="146"/>
      <c r="K12" s="146"/>
    </row>
    <row r="13" spans="1:13" s="422" customFormat="1" ht="20.25" customHeight="1" x14ac:dyDescent="0.25">
      <c r="A13" s="546"/>
      <c r="B13" s="546"/>
      <c r="C13" s="546"/>
      <c r="D13" s="2121" t="s">
        <v>396</v>
      </c>
      <c r="E13" s="2122"/>
      <c r="F13" s="639">
        <f>SUM(F7:F12)</f>
        <v>6756040</v>
      </c>
      <c r="G13" s="639">
        <f>SUM(G7:G12)</f>
        <v>8113142</v>
      </c>
      <c r="H13" s="751"/>
      <c r="I13" s="639">
        <f>SUM(I7:I12)</f>
        <v>5971460</v>
      </c>
      <c r="J13" s="639">
        <f>SUM(J7:J12)</f>
        <v>0</v>
      </c>
      <c r="K13" s="639">
        <f>SUM(K7:K12)</f>
        <v>0</v>
      </c>
      <c r="L13" s="546"/>
      <c r="M13" s="546"/>
    </row>
    <row r="14" spans="1:13" ht="21" customHeight="1" x14ac:dyDescent="0.25">
      <c r="D14" s="423" t="s">
        <v>397</v>
      </c>
      <c r="E14" s="425"/>
      <c r="F14" s="640">
        <f>SUMPRODUCT(((LEFT(BalanceN!$A$4:$A$9999,3)="441"))*BalanceN!$H$4:$H$9999)</f>
        <v>0</v>
      </c>
      <c r="G14" s="640">
        <f>SUMPRODUCT(((LEFT(BalanceN!$A$4:$A$9999,3)="441"))*BalanceN!$D$4:$D$9999)</f>
        <v>23411413</v>
      </c>
      <c r="H14" s="723">
        <f t="shared" si="0"/>
        <v>-1</v>
      </c>
      <c r="I14" s="640">
        <f>F14-J14-K14</f>
        <v>0</v>
      </c>
      <c r="J14" s="162"/>
      <c r="K14" s="162"/>
    </row>
    <row r="15" spans="1:13" ht="21" customHeight="1" x14ac:dyDescent="0.25">
      <c r="D15" s="423" t="s">
        <v>398</v>
      </c>
      <c r="E15" s="425"/>
      <c r="F15" s="640">
        <f>SUMPRODUCT(((LEFT(BalanceN!$A$4:$A$9999,3)="442"))*BalanceN!$H$4:$H$9999)</f>
        <v>3669336</v>
      </c>
      <c r="G15" s="640">
        <f>SUMPRODUCT(((LEFT(BalanceN!$A$4:$A$9999,3)="442"))*BalanceN!$D$4:$D$9999)</f>
        <v>3213144</v>
      </c>
      <c r="H15" s="723">
        <f t="shared" si="0"/>
        <v>0.14197683017007642</v>
      </c>
      <c r="I15" s="640">
        <f t="shared" ref="I15:I18" si="1">F15-J15-K15</f>
        <v>3669336</v>
      </c>
      <c r="J15" s="162"/>
      <c r="K15" s="162"/>
    </row>
    <row r="16" spans="1:13" ht="21" customHeight="1" x14ac:dyDescent="0.25">
      <c r="D16" s="423" t="s">
        <v>399</v>
      </c>
      <c r="E16" s="425"/>
      <c r="F16" s="640">
        <f>SUMPRODUCT(((LEFT(BalanceN!$A$4:$A$9999,3)="443")+(LEFT(BalanceN!$A$4:$A$9999,4)="4441")+(LEFT(BalanceN!$A$4:$A$9999,3)="446")+(LEFT(BalanceN!$A$4:$A$9999,4)="4486"))*BalanceN!$H$4:$H$9999)</f>
        <v>0</v>
      </c>
      <c r="G16" s="640">
        <f>SUMPRODUCT(((LEFT(BalanceN!$A$4:$A$9999,3)="443")+(LEFT(BalanceN!$A$4:$A$9999,4)="4441")+(LEFT(BalanceN!$A$4:$A$9999,3)="446")+(LEFT(BalanceN!$A$4:$A$9999,4)="4486"))*BalanceN!$D$4:$D$9999)</f>
        <v>89781</v>
      </c>
      <c r="H16" s="723">
        <f t="shared" si="0"/>
        <v>-1</v>
      </c>
      <c r="I16" s="640">
        <f t="shared" si="1"/>
        <v>0</v>
      </c>
      <c r="J16" s="162"/>
      <c r="K16" s="162"/>
    </row>
    <row r="17" spans="4:11" ht="21" customHeight="1" x14ac:dyDescent="0.25">
      <c r="D17" s="423" t="s">
        <v>400</v>
      </c>
      <c r="E17" s="425"/>
      <c r="F17" s="640">
        <f>SUMPRODUCT(((LEFT(BalanceN!$A$4:$A$9999,3)="447"))*BalanceN!$H$4:$H$9999)</f>
        <v>1140671</v>
      </c>
      <c r="G17" s="640">
        <f>SUMPRODUCT(((LEFT(BalanceN!$A$4:$A$9999,3)="447"))*BalanceN!$D$4:$D$9999)</f>
        <v>1182818</v>
      </c>
      <c r="H17" s="723">
        <f t="shared" si="0"/>
        <v>-3.5632700888894149E-2</v>
      </c>
      <c r="I17" s="640">
        <f t="shared" si="1"/>
        <v>1140671</v>
      </c>
      <c r="J17" s="162"/>
      <c r="K17" s="162"/>
    </row>
    <row r="18" spans="4:11" ht="21" customHeight="1" x14ac:dyDescent="0.25">
      <c r="D18" s="423" t="s">
        <v>401</v>
      </c>
      <c r="E18" s="425"/>
      <c r="F18" s="640">
        <f>SUMPRODUCT(((LEFT(BalanceN!$A$4:$A$9999,3)="449"))*BalanceN!$H$4:$H$9999)</f>
        <v>0</v>
      </c>
      <c r="G18" s="640">
        <f>SUMPRODUCT(((LEFT(BalanceN!$A$4:$A$9999,3)="449"))*BalanceN!$D$4:$D$9999)</f>
        <v>0</v>
      </c>
      <c r="H18" s="723" t="str">
        <f t="shared" si="0"/>
        <v>-</v>
      </c>
      <c r="I18" s="640">
        <f t="shared" si="1"/>
        <v>0</v>
      </c>
      <c r="J18" s="162"/>
      <c r="K18" s="162"/>
    </row>
    <row r="19" spans="4:11" ht="19.5" customHeight="1" x14ac:dyDescent="0.25">
      <c r="D19" s="2121" t="s">
        <v>402</v>
      </c>
      <c r="E19" s="2122"/>
      <c r="F19" s="639">
        <f>SUM(F14:F18)</f>
        <v>4810007</v>
      </c>
      <c r="G19" s="639">
        <f>SUM(G14:G18)</f>
        <v>27897156</v>
      </c>
      <c r="H19" s="751"/>
      <c r="I19" s="658">
        <f>SUM(I14:I18)</f>
        <v>4810007</v>
      </c>
      <c r="J19" s="658">
        <f>SUM(J14:J18)</f>
        <v>0</v>
      </c>
      <c r="K19" s="658">
        <f>SUM(K14:K18)</f>
        <v>0</v>
      </c>
    </row>
    <row r="20" spans="4:11" ht="19.5" customHeight="1" x14ac:dyDescent="0.25">
      <c r="D20" s="2121" t="s">
        <v>403</v>
      </c>
      <c r="E20" s="2122"/>
      <c r="F20" s="639">
        <f>F13+F19</f>
        <v>11566047</v>
      </c>
      <c r="G20" s="639">
        <f>G13+G19</f>
        <v>36010298</v>
      </c>
      <c r="H20" s="751"/>
      <c r="I20" s="658">
        <f>I13+I19</f>
        <v>10781467</v>
      </c>
      <c r="J20" s="658">
        <f>J13+J19</f>
        <v>0</v>
      </c>
      <c r="K20" s="658">
        <f>K13+K19</f>
        <v>0</v>
      </c>
    </row>
    <row r="21" spans="4:11" x14ac:dyDescent="0.25">
      <c r="H21" s="786"/>
    </row>
    <row r="22" spans="4:11" x14ac:dyDescent="0.25">
      <c r="D22" s="645" t="s">
        <v>1348</v>
      </c>
      <c r="J22" s="120"/>
    </row>
    <row r="23" spans="4:11" x14ac:dyDescent="0.25">
      <c r="D23" s="2202"/>
      <c r="E23" s="2202"/>
      <c r="F23" s="2202"/>
      <c r="G23" s="2202"/>
      <c r="H23" s="2202"/>
      <c r="I23" s="2202"/>
      <c r="J23" s="2202"/>
      <c r="K23" s="2202"/>
    </row>
    <row r="24" spans="4:11" x14ac:dyDescent="0.25">
      <c r="D24" s="2202"/>
      <c r="E24" s="2202"/>
      <c r="F24" s="2202"/>
      <c r="G24" s="2202"/>
      <c r="H24" s="2202"/>
      <c r="I24" s="2202"/>
      <c r="J24" s="2202"/>
      <c r="K24" s="2202"/>
    </row>
    <row r="25" spans="4:11" x14ac:dyDescent="0.25">
      <c r="D25" s="2202"/>
      <c r="E25" s="2202"/>
      <c r="F25" s="2202"/>
      <c r="G25" s="2202"/>
      <c r="H25" s="2202"/>
      <c r="I25" s="2202"/>
      <c r="J25" s="2202"/>
      <c r="K25" s="2202"/>
    </row>
    <row r="26" spans="4:11" x14ac:dyDescent="0.25">
      <c r="D26" s="2202"/>
      <c r="E26" s="2202"/>
      <c r="F26" s="2202"/>
      <c r="G26" s="2202"/>
      <c r="H26" s="2202"/>
      <c r="I26" s="2202"/>
      <c r="J26" s="2202"/>
      <c r="K26" s="2202"/>
    </row>
    <row r="27" spans="4:11" x14ac:dyDescent="0.25">
      <c r="D27" s="2202"/>
      <c r="E27" s="2202"/>
      <c r="F27" s="2202"/>
      <c r="G27" s="2202"/>
      <c r="H27" s="2202"/>
      <c r="I27" s="2202"/>
      <c r="J27" s="2202"/>
      <c r="K27" s="2202"/>
    </row>
    <row r="28" spans="4:11" x14ac:dyDescent="0.25">
      <c r="D28" s="2202"/>
      <c r="E28" s="2202"/>
      <c r="F28" s="2202"/>
      <c r="G28" s="2202"/>
      <c r="H28" s="2202"/>
      <c r="I28" s="2202"/>
      <c r="J28" s="2202"/>
      <c r="K28" s="2202"/>
    </row>
    <row r="29" spans="4:11" x14ac:dyDescent="0.25">
      <c r="D29" s="2202"/>
      <c r="E29" s="2202"/>
      <c r="F29" s="2202"/>
      <c r="G29" s="2202"/>
      <c r="H29" s="2202"/>
      <c r="I29" s="2202"/>
      <c r="J29" s="2202"/>
      <c r="K29" s="2202"/>
    </row>
    <row r="30" spans="4:11" x14ac:dyDescent="0.25">
      <c r="D30" s="2202"/>
      <c r="E30" s="2202"/>
      <c r="F30" s="2202"/>
      <c r="G30" s="2202"/>
      <c r="H30" s="2202"/>
      <c r="I30" s="2202"/>
      <c r="J30" s="2202"/>
      <c r="K30" s="2202"/>
    </row>
    <row r="31" spans="4:11" s="537" customFormat="1" x14ac:dyDescent="0.25"/>
    <row r="32" spans="4:11" s="537" customFormat="1" x14ac:dyDescent="0.25"/>
    <row r="33" s="537" customFormat="1" x14ac:dyDescent="0.25"/>
    <row r="34" s="537" customFormat="1" x14ac:dyDescent="0.25"/>
    <row r="35" s="537" customFormat="1" x14ac:dyDescent="0.25"/>
    <row r="36" s="537" customFormat="1" x14ac:dyDescent="0.25"/>
    <row r="37" s="537" customFormat="1" x14ac:dyDescent="0.25"/>
    <row r="38" s="537" customFormat="1" x14ac:dyDescent="0.25"/>
    <row r="39" s="537" customFormat="1" x14ac:dyDescent="0.25"/>
    <row r="40" s="537" customFormat="1" x14ac:dyDescent="0.25"/>
    <row r="41" s="537" customFormat="1" x14ac:dyDescent="0.25"/>
    <row r="42" s="537" customFormat="1" x14ac:dyDescent="0.25"/>
    <row r="43" s="537" customFormat="1" x14ac:dyDescent="0.25"/>
    <row r="44" s="537" customFormat="1" x14ac:dyDescent="0.25"/>
    <row r="45" s="537" customFormat="1" x14ac:dyDescent="0.25"/>
    <row r="46" s="537" customFormat="1" x14ac:dyDescent="0.25"/>
    <row r="47" s="537" customFormat="1" x14ac:dyDescent="0.25"/>
    <row r="48" s="537" customFormat="1" x14ac:dyDescent="0.25"/>
    <row r="49" s="537" customFormat="1" x14ac:dyDescent="0.25"/>
    <row r="50" s="537" customFormat="1" x14ac:dyDescent="0.25"/>
    <row r="51" s="537" customFormat="1" x14ac:dyDescent="0.25"/>
    <row r="52" s="537" customFormat="1" x14ac:dyDescent="0.25"/>
    <row r="53" s="537" customFormat="1" x14ac:dyDescent="0.25"/>
    <row r="54" x14ac:dyDescent="0.25"/>
  </sheetData>
  <sheetProtection algorithmName="SHA-512" hashValue="kz13sEri4oleCv3FeHwaakmMHK+VwCzj3xlAwYkfhOpJtHRtndkHz9e7KcYdTBwW202evSH3iH8naO2kP3cJMg==" saltValue="8XHVyAVv0Dqle3Nw6DZKxg==" spinCount="100000" sheet="1" formatCells="0" formatColumns="0" formatRows="0" pivotTables="0"/>
  <mergeCells count="8">
    <mergeCell ref="D23:K30"/>
    <mergeCell ref="D20:E20"/>
    <mergeCell ref="D19:E19"/>
    <mergeCell ref="D1:K1"/>
    <mergeCell ref="I3:J3"/>
    <mergeCell ref="I4:J4"/>
    <mergeCell ref="D6:E6"/>
    <mergeCell ref="D13:E13"/>
  </mergeCells>
  <printOptions horizontalCentered="1"/>
  <pageMargins left="0" right="0.11811023622047245" top="0" bottom="0.35433070866141736" header="0.31496062992125984" footer="0.31496062992125984"/>
  <pageSetup paperSize="9" fitToHeight="0" orientation="landscape" r:id="rId1"/>
  <rowBreaks count="1" manualBreakCount="1">
    <brk id="30" min="3" max="10"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tabColor rgb="FF43C6E5"/>
  </sheetPr>
  <dimension ref="A1:M67"/>
  <sheetViews>
    <sheetView zoomScaleNormal="100" workbookViewId="0">
      <selection activeCell="C30" sqref="C30:J43"/>
    </sheetView>
  </sheetViews>
  <sheetFormatPr baseColWidth="10" defaultColWidth="0" defaultRowHeight="15" zeroHeight="1" x14ac:dyDescent="0.25"/>
  <cols>
    <col min="1" max="2" width="11.42578125" style="537" customWidth="1"/>
    <col min="3" max="3" width="25" style="345" customWidth="1"/>
    <col min="4" max="4" width="23.7109375" style="345" customWidth="1"/>
    <col min="5" max="5" width="14.140625" style="345" customWidth="1"/>
    <col min="6" max="6" width="14.42578125" style="345" customWidth="1"/>
    <col min="7" max="8" width="14" style="345" customWidth="1"/>
    <col min="9" max="10" width="14.140625" style="345" customWidth="1"/>
    <col min="11" max="13" width="11.42578125" style="537" customWidth="1"/>
    <col min="14" max="16384" width="11.42578125" style="345" hidden="1"/>
  </cols>
  <sheetData>
    <row r="1" spans="1:13" ht="28.5" customHeight="1" x14ac:dyDescent="0.25">
      <c r="C1" s="2177" t="s">
        <v>404</v>
      </c>
      <c r="D1" s="2177"/>
      <c r="E1" s="2177"/>
      <c r="F1" s="2177"/>
      <c r="G1" s="2177"/>
      <c r="H1" s="2177"/>
      <c r="I1" s="2177"/>
      <c r="J1" s="2177"/>
    </row>
    <row r="2" spans="1:13" x14ac:dyDescent="0.25">
      <c r="C2" s="388"/>
      <c r="D2" s="388"/>
      <c r="E2" s="388"/>
      <c r="F2" s="388"/>
      <c r="G2" s="388"/>
      <c r="H2" s="388"/>
    </row>
    <row r="3" spans="1:13" ht="22.5" customHeight="1" x14ac:dyDescent="0.25">
      <c r="C3" s="629" t="s">
        <v>42</v>
      </c>
      <c r="D3" s="664" t="str">
        <f>INFORMATIONS!B10</f>
        <v>SAM CONSEILS</v>
      </c>
      <c r="E3" s="664"/>
      <c r="F3" s="664"/>
      <c r="G3" s="630"/>
      <c r="H3" s="2127" t="s">
        <v>52</v>
      </c>
      <c r="I3" s="2127"/>
      <c r="J3" s="631">
        <f>INFORMATIONS!D31</f>
        <v>43465</v>
      </c>
    </row>
    <row r="4" spans="1:13" ht="19.5" customHeight="1" x14ac:dyDescent="0.25">
      <c r="C4" s="632" t="s">
        <v>43</v>
      </c>
      <c r="D4" s="633" t="str">
        <f>INFORMATIONS!B24</f>
        <v>00084404X</v>
      </c>
      <c r="E4" s="634"/>
      <c r="F4" s="634"/>
      <c r="G4" s="635"/>
      <c r="H4" s="2128" t="s">
        <v>44</v>
      </c>
      <c r="I4" s="2128"/>
      <c r="J4" s="667">
        <f>INFORMATIONS!F34</f>
        <v>12</v>
      </c>
    </row>
    <row r="5" spans="1:13" x14ac:dyDescent="0.25"/>
    <row r="6" spans="1:13" ht="65.25" customHeight="1" x14ac:dyDescent="0.25">
      <c r="C6" s="2116" t="s">
        <v>138</v>
      </c>
      <c r="D6" s="2117"/>
      <c r="E6" s="590" t="s">
        <v>139</v>
      </c>
      <c r="F6" s="590" t="s">
        <v>140</v>
      </c>
      <c r="G6" s="590" t="s">
        <v>141</v>
      </c>
      <c r="H6" s="590" t="s">
        <v>381</v>
      </c>
      <c r="I6" s="590" t="s">
        <v>382</v>
      </c>
      <c r="J6" s="590" t="s">
        <v>383</v>
      </c>
    </row>
    <row r="7" spans="1:13" ht="21" customHeight="1" x14ac:dyDescent="0.25">
      <c r="C7" s="423" t="s">
        <v>26</v>
      </c>
      <c r="D7" s="425"/>
      <c r="E7" s="640">
        <f>SUMPRODUCT(((LEFT(BalanceN!$A$4:$A$9999,2)="45"))*BalanceN!$H$4:$H$9999)</f>
        <v>0</v>
      </c>
      <c r="F7" s="640">
        <f>SUMPRODUCT(((LEFT(BalanceN!$A$4:$A$9999,2)="45"))*BalanceN!$D$4:$D$9999)</f>
        <v>0</v>
      </c>
      <c r="G7" s="723" t="str">
        <f>IF(F7=0,"-",(E7-F7)/F7)</f>
        <v>-</v>
      </c>
      <c r="H7" s="146"/>
      <c r="I7" s="640">
        <f>E7-H7-J7</f>
        <v>0</v>
      </c>
      <c r="J7" s="146"/>
    </row>
    <row r="8" spans="1:13" ht="17.25" customHeight="1" x14ac:dyDescent="0.25">
      <c r="C8" s="423" t="s">
        <v>405</v>
      </c>
      <c r="D8" s="425"/>
      <c r="E8" s="640">
        <f>SUMPRODUCT(((LEFT(BalanceN!$A$4:$A$9999,3)="461"))*BalanceN!$H$4:$H$9999)</f>
        <v>0</v>
      </c>
      <c r="F8" s="640">
        <f>SUMPRODUCT(((LEFT(BalanceN!$A$4:$A$9999,3)="461"))*BalanceN!$D$4:$D$9999)</f>
        <v>0</v>
      </c>
      <c r="G8" s="723" t="str">
        <f t="shared" ref="G8:G27" si="0">IF(F8=0,"-",(E8-F8)/F8)</f>
        <v>-</v>
      </c>
      <c r="H8" s="146"/>
      <c r="I8" s="640">
        <f t="shared" ref="I8:I12" si="1">E8-H8-J8</f>
        <v>0</v>
      </c>
      <c r="J8" s="146"/>
    </row>
    <row r="9" spans="1:13" ht="17.25" customHeight="1" x14ac:dyDescent="0.25">
      <c r="C9" s="423" t="s">
        <v>406</v>
      </c>
      <c r="D9" s="425"/>
      <c r="E9" s="640">
        <f>SUMPRODUCT(((LEFT(BalanceN!$A$4:$A$9999,3)="462"))*BalanceN!$H$4:$H$9999)</f>
        <v>0</v>
      </c>
      <c r="F9" s="640">
        <f>SUMPRODUCT(((LEFT(BalanceN!$A$4:$A$9999,3)="462"))*BalanceN!$D$4:$D$9999)</f>
        <v>9938959</v>
      </c>
      <c r="G9" s="723">
        <f t="shared" si="0"/>
        <v>-1</v>
      </c>
      <c r="H9" s="146"/>
      <c r="I9" s="640">
        <f t="shared" si="1"/>
        <v>0</v>
      </c>
      <c r="J9" s="146"/>
    </row>
    <row r="10" spans="1:13" ht="17.25" customHeight="1" x14ac:dyDescent="0.25">
      <c r="C10" s="423" t="s">
        <v>407</v>
      </c>
      <c r="D10" s="425"/>
      <c r="E10" s="640">
        <f>SUMPRODUCT(((LEFT(BalanceN!$A$4:$A$9999,3)="465"))*BalanceN!$H$4:$H$9999)</f>
        <v>0</v>
      </c>
      <c r="F10" s="640">
        <f>SUMPRODUCT(((LEFT(BalanceN!$A$4:$A$9999,3)="465"))*BalanceN!$D$4:$D$9999)</f>
        <v>0</v>
      </c>
      <c r="G10" s="723" t="str">
        <f t="shared" si="0"/>
        <v>-</v>
      </c>
      <c r="H10" s="146"/>
      <c r="I10" s="640">
        <f t="shared" si="1"/>
        <v>0</v>
      </c>
      <c r="J10" s="146"/>
    </row>
    <row r="11" spans="1:13" ht="17.25" customHeight="1" x14ac:dyDescent="0.25">
      <c r="C11" s="423" t="s">
        <v>408</v>
      </c>
      <c r="D11" s="425"/>
      <c r="E11" s="640">
        <f>SUMPRODUCT(((LEFT(BalanceN!$A$4:$A$9999,3)="466"))*BalanceN!$H$4:$H$9999)</f>
        <v>0</v>
      </c>
      <c r="F11" s="640">
        <f>SUMPRODUCT(((LEFT(BalanceN!$A$4:$A$9999,3)="466"))*BalanceN!$D$4:$D$9999)</f>
        <v>0</v>
      </c>
      <c r="G11" s="723" t="str">
        <f t="shared" si="0"/>
        <v>-</v>
      </c>
      <c r="H11" s="146"/>
      <c r="I11" s="640">
        <f t="shared" si="1"/>
        <v>0</v>
      </c>
      <c r="J11" s="146"/>
    </row>
    <row r="12" spans="1:13" ht="17.25" customHeight="1" x14ac:dyDescent="0.25">
      <c r="C12" s="423" t="s">
        <v>409</v>
      </c>
      <c r="D12" s="425"/>
      <c r="E12" s="640">
        <f>SUMPRODUCT(((LEFT(BalanceN!$A$4:$A$9999,3)="463")+(LEFT(BalanceN!$A$4:$A$9999,3)="467"))*BalanceN!$H$4:$H$9999)</f>
        <v>0</v>
      </c>
      <c r="F12" s="640">
        <f>SUMPRODUCT(((LEFT(BalanceN!$A$4:$A$9999,3)="463")+(LEFT(BalanceN!$A$4:$A$9999,3)="467"))*BalanceN!$D$4:$D$9999)</f>
        <v>0</v>
      </c>
      <c r="G12" s="723" t="str">
        <f t="shared" si="0"/>
        <v>-</v>
      </c>
      <c r="H12" s="146"/>
      <c r="I12" s="640">
        <f t="shared" si="1"/>
        <v>0</v>
      </c>
      <c r="J12" s="146"/>
    </row>
    <row r="13" spans="1:13" s="422" customFormat="1" ht="20.25" customHeight="1" x14ac:dyDescent="0.25">
      <c r="A13" s="546"/>
      <c r="B13" s="546"/>
      <c r="C13" s="2121" t="s">
        <v>410</v>
      </c>
      <c r="D13" s="2122"/>
      <c r="E13" s="639">
        <f t="shared" ref="E13:J13" si="2">SUM(E7:E12)</f>
        <v>0</v>
      </c>
      <c r="F13" s="639">
        <f t="shared" si="2"/>
        <v>9938959</v>
      </c>
      <c r="G13" s="751"/>
      <c r="H13" s="639">
        <f t="shared" si="2"/>
        <v>0</v>
      </c>
      <c r="I13" s="639">
        <f t="shared" si="2"/>
        <v>0</v>
      </c>
      <c r="J13" s="639">
        <f t="shared" si="2"/>
        <v>0</v>
      </c>
      <c r="K13" s="546"/>
      <c r="L13" s="546"/>
      <c r="M13" s="546"/>
    </row>
    <row r="14" spans="1:13" ht="17.25" customHeight="1" x14ac:dyDescent="0.25">
      <c r="C14" s="423" t="s">
        <v>28</v>
      </c>
      <c r="D14" s="425"/>
      <c r="E14" s="640">
        <f>SUMPRODUCT(((LEFT(BalanceN!$A$4:$A$9999,4)="4712"))*BalanceN!$H$4:$H$9999)</f>
        <v>0</v>
      </c>
      <c r="F14" s="640">
        <f>SUMPRODUCT(((LEFT(BalanceN!$A$4:$A$9999,4)="4712"))*BalanceN!$D$4:$D$9999)</f>
        <v>0</v>
      </c>
      <c r="G14" s="723" t="str">
        <f t="shared" si="0"/>
        <v>-</v>
      </c>
      <c r="H14" s="640">
        <f>E14-I14-J14</f>
        <v>0</v>
      </c>
      <c r="I14" s="146"/>
      <c r="J14" s="146"/>
    </row>
    <row r="15" spans="1:13" ht="17.25" customHeight="1" x14ac:dyDescent="0.25">
      <c r="C15" s="423" t="s">
        <v>411</v>
      </c>
      <c r="D15" s="425"/>
      <c r="E15" s="640">
        <f>SUMPRODUCT(((LEFT(BalanceN!$A$4:$A$9999,4)="4713"))*BalanceN!$H$4:$H$9999)</f>
        <v>620000</v>
      </c>
      <c r="F15" s="640">
        <f>SUMPRODUCT(((LEFT(BalanceN!$A$4:$A$9999,4)="4713"))*BalanceN!$D$4:$D$9999)</f>
        <v>710000</v>
      </c>
      <c r="G15" s="723">
        <f t="shared" si="0"/>
        <v>-0.12676056338028169</v>
      </c>
      <c r="H15" s="640">
        <f t="shared" ref="H15:H20" si="3">E15-I15-J15</f>
        <v>620000</v>
      </c>
      <c r="I15" s="146"/>
      <c r="J15" s="146"/>
    </row>
    <row r="16" spans="1:13" ht="17.25" customHeight="1" x14ac:dyDescent="0.25">
      <c r="C16" s="423" t="s">
        <v>412</v>
      </c>
      <c r="D16" s="425"/>
      <c r="E16" s="640">
        <f>SUMPRODUCT(((LEFT(BalanceN!$A$4:$A$9999,4)="4715"))*BalanceN!$H$4:$H$9999)</f>
        <v>0</v>
      </c>
      <c r="F16" s="640">
        <f>SUMPRODUCT(((LEFT(BalanceN!$A$4:$A$9999,4)="4715"))*BalanceN!$D$4:$D$9999)</f>
        <v>0</v>
      </c>
      <c r="G16" s="723" t="str">
        <f t="shared" si="0"/>
        <v>-</v>
      </c>
      <c r="H16" s="640">
        <f t="shared" si="3"/>
        <v>0</v>
      </c>
      <c r="I16" s="146"/>
      <c r="J16" s="146"/>
    </row>
    <row r="17" spans="3:10" ht="17.25" customHeight="1" x14ac:dyDescent="0.25">
      <c r="C17" s="423" t="s">
        <v>413</v>
      </c>
      <c r="D17" s="425"/>
      <c r="E17" s="640">
        <f>SUMPRODUCT(((LEFT(BalanceN!$A$4:$A$9999,4)="4716"))*BalanceN!$H$4:$H$9999)</f>
        <v>0</v>
      </c>
      <c r="F17" s="640">
        <f>SUMPRODUCT(((LEFT(BalanceN!$A$4:$A$9999,4)="4716"))*BalanceN!$D$4:$D$9999)</f>
        <v>0</v>
      </c>
      <c r="G17" s="723" t="str">
        <f t="shared" si="0"/>
        <v>-</v>
      </c>
      <c r="H17" s="640">
        <f t="shared" si="3"/>
        <v>0</v>
      </c>
      <c r="I17" s="146"/>
      <c r="J17" s="146"/>
    </row>
    <row r="18" spans="3:10" ht="30" customHeight="1" x14ac:dyDescent="0.25">
      <c r="C18" s="2001" t="s">
        <v>414</v>
      </c>
      <c r="D18" s="2003"/>
      <c r="E18" s="640">
        <f>SUMPRODUCT(((LEFT(BalanceN!$A$4:$A$9999,4)="4726"))*BalanceN!$H$4:$H$9999)</f>
        <v>0</v>
      </c>
      <c r="F18" s="640">
        <f>SUMPRODUCT(((LEFT(BalanceN!$A$4:$A$9999,4)="4726"))*BalanceN!$D$4:$D$9999)</f>
        <v>0</v>
      </c>
      <c r="G18" s="724" t="str">
        <f t="shared" si="0"/>
        <v>-</v>
      </c>
      <c r="H18" s="640">
        <f t="shared" si="3"/>
        <v>0</v>
      </c>
      <c r="I18" s="171"/>
      <c r="J18" s="171"/>
    </row>
    <row r="19" spans="3:10" ht="33" customHeight="1" x14ac:dyDescent="0.25">
      <c r="C19" s="2001" t="s">
        <v>202</v>
      </c>
      <c r="D19" s="2003"/>
      <c r="E19" s="640">
        <f>SUMPRODUCT(((LEFT(BalanceN!$A$4:$A$9999,4)="4752"))*BalanceN!$H$4:$H$9999)</f>
        <v>0</v>
      </c>
      <c r="F19" s="640">
        <f>SUMPRODUCT(((LEFT(BalanceN!$A$4:$A$9999,4)="4752"))*BalanceN!$D$4:$D$9999)</f>
        <v>0</v>
      </c>
      <c r="G19" s="724" t="str">
        <f t="shared" si="0"/>
        <v>-</v>
      </c>
      <c r="H19" s="640">
        <f t="shared" si="3"/>
        <v>0</v>
      </c>
      <c r="I19" s="171"/>
      <c r="J19" s="171"/>
    </row>
    <row r="20" spans="3:10" ht="17.25" customHeight="1" x14ac:dyDescent="0.25">
      <c r="C20" s="423" t="s">
        <v>415</v>
      </c>
      <c r="D20" s="425"/>
      <c r="E20" s="640">
        <f>SUMPRODUCT(((LEFT(BalanceN!$A$4:$A$9999,3)="473")+(LEFT(BalanceN!$A$4:$A$9999,3)="474")+(LEFT(BalanceN!$A$4:$A$9999,3)="477"))*BalanceN!$H$4:$H$9999)</f>
        <v>0</v>
      </c>
      <c r="F20" s="640">
        <f>SUMPRODUCT(((LEFT(BalanceN!$A$4:$A$9999,3)="473")+(LEFT(BalanceN!$A$4:$A$9999,3)="474")+(LEFT(BalanceN!$A$4:$A$9999,3)="477"))*BalanceN!$D$4:$D$9999)</f>
        <v>0</v>
      </c>
      <c r="G20" s="723" t="str">
        <f t="shared" si="0"/>
        <v>-</v>
      </c>
      <c r="H20" s="640">
        <f t="shared" si="3"/>
        <v>0</v>
      </c>
      <c r="I20" s="146"/>
      <c r="J20" s="146"/>
    </row>
    <row r="21" spans="3:10" ht="19.5" customHeight="1" x14ac:dyDescent="0.25">
      <c r="C21" s="2121" t="s">
        <v>416</v>
      </c>
      <c r="D21" s="2122"/>
      <c r="E21" s="658">
        <f t="shared" ref="E21:J21" si="4">SUM(E14:E20)</f>
        <v>620000</v>
      </c>
      <c r="F21" s="658">
        <f t="shared" si="4"/>
        <v>710000</v>
      </c>
      <c r="G21" s="751"/>
      <c r="H21" s="658">
        <f t="shared" si="4"/>
        <v>620000</v>
      </c>
      <c r="I21" s="658">
        <f t="shared" si="4"/>
        <v>0</v>
      </c>
      <c r="J21" s="658">
        <f t="shared" si="4"/>
        <v>0</v>
      </c>
    </row>
    <row r="22" spans="3:10" ht="28.5" customHeight="1" x14ac:dyDescent="0.25">
      <c r="C22" s="2001" t="s">
        <v>204</v>
      </c>
      <c r="D22" s="2003"/>
      <c r="E22" s="640">
        <f>SUMPRODUCT(((LEFT(BalanceN!$A$4:$A$9999,3)="185"))*BalanceN!$H$4:$H$9999)</f>
        <v>0</v>
      </c>
      <c r="F22" s="785"/>
      <c r="G22" s="724" t="str">
        <f t="shared" si="0"/>
        <v>-</v>
      </c>
      <c r="H22" s="170"/>
      <c r="I22" s="171"/>
      <c r="J22" s="640">
        <f>E22-H22-I22</f>
        <v>0</v>
      </c>
    </row>
    <row r="23" spans="3:10" ht="18" customHeight="1" x14ac:dyDescent="0.25">
      <c r="C23" s="2001" t="s">
        <v>206</v>
      </c>
      <c r="D23" s="2003"/>
      <c r="E23" s="640">
        <f>SUMPRODUCT(((LEFT(BalanceN!$A$4:$A$9999,3)="188"))*BalanceN!$H$4:$H$9999)</f>
        <v>0</v>
      </c>
      <c r="F23" s="640"/>
      <c r="G23" s="723" t="str">
        <f t="shared" si="0"/>
        <v>-</v>
      </c>
      <c r="H23" s="146"/>
      <c r="I23" s="162"/>
      <c r="J23" s="640">
        <f t="shared" ref="J23:J24" si="5">E23-H23-I23</f>
        <v>0</v>
      </c>
    </row>
    <row r="24" spans="3:10" ht="18" customHeight="1" x14ac:dyDescent="0.25">
      <c r="C24" s="2001" t="s">
        <v>1066</v>
      </c>
      <c r="D24" s="2003"/>
      <c r="E24" s="640">
        <f>SUMPRODUCT(((LEFT(BalanceN!$A$4:$A$9999,3)="187"))*BalanceN!$H$4:$H$9999)</f>
        <v>0</v>
      </c>
      <c r="F24" s="640"/>
      <c r="G24" s="723" t="str">
        <f t="shared" si="0"/>
        <v>-</v>
      </c>
      <c r="H24" s="146"/>
      <c r="I24" s="162"/>
      <c r="J24" s="640">
        <f t="shared" si="5"/>
        <v>0</v>
      </c>
    </row>
    <row r="25" spans="3:10" ht="19.5" customHeight="1" x14ac:dyDescent="0.25">
      <c r="C25" s="2121" t="s">
        <v>417</v>
      </c>
      <c r="D25" s="2122"/>
      <c r="E25" s="658">
        <f>SUM(E22:E24)</f>
        <v>0</v>
      </c>
      <c r="F25" s="658">
        <f>SUM(F22:F24)</f>
        <v>0</v>
      </c>
      <c r="G25" s="658">
        <f>SUM(G22:G24)</f>
        <v>0</v>
      </c>
      <c r="H25" s="658">
        <f t="shared" ref="H25:J25" si="6">SUM(H22:H24)</f>
        <v>0</v>
      </c>
      <c r="I25" s="658">
        <f t="shared" si="6"/>
        <v>0</v>
      </c>
      <c r="J25" s="658">
        <f t="shared" si="6"/>
        <v>0</v>
      </c>
    </row>
    <row r="26" spans="3:10" ht="19.5" customHeight="1" x14ac:dyDescent="0.25">
      <c r="C26" s="2121" t="s">
        <v>418</v>
      </c>
      <c r="D26" s="2122"/>
      <c r="E26" s="658">
        <f>E13+E21+E25</f>
        <v>620000</v>
      </c>
      <c r="F26" s="658">
        <f>F13+F21+F25</f>
        <v>10648959</v>
      </c>
      <c r="G26" s="751"/>
      <c r="H26" s="658">
        <f>H13+H21+H25</f>
        <v>620000</v>
      </c>
      <c r="I26" s="658">
        <f>I13+I21+I25</f>
        <v>0</v>
      </c>
      <c r="J26" s="658">
        <f>J13+J21+J25</f>
        <v>0</v>
      </c>
    </row>
    <row r="27" spans="3:10" ht="17.25" customHeight="1" x14ac:dyDescent="0.25">
      <c r="C27" s="423" t="s">
        <v>1067</v>
      </c>
      <c r="D27" s="425"/>
      <c r="E27" s="640"/>
      <c r="F27" s="640"/>
      <c r="G27" s="723" t="str">
        <f t="shared" si="0"/>
        <v>-</v>
      </c>
      <c r="H27" s="640"/>
      <c r="I27" s="640"/>
      <c r="J27" s="640"/>
    </row>
    <row r="28" spans="3:10" x14ac:dyDescent="0.25"/>
    <row r="29" spans="3:10" x14ac:dyDescent="0.25">
      <c r="C29" s="645" t="s">
        <v>1348</v>
      </c>
    </row>
    <row r="30" spans="3:10" x14ac:dyDescent="0.25">
      <c r="C30" s="2166"/>
      <c r="D30" s="2166"/>
      <c r="E30" s="2166"/>
      <c r="F30" s="2166"/>
      <c r="G30" s="2166"/>
      <c r="H30" s="2166"/>
      <c r="I30" s="2166"/>
      <c r="J30" s="2166"/>
    </row>
    <row r="31" spans="3:10" x14ac:dyDescent="0.25">
      <c r="C31" s="2166"/>
      <c r="D31" s="2166"/>
      <c r="E31" s="2166"/>
      <c r="F31" s="2166"/>
      <c r="G31" s="2166"/>
      <c r="H31" s="2166"/>
      <c r="I31" s="2166"/>
      <c r="J31" s="2166"/>
    </row>
    <row r="32" spans="3:10" x14ac:dyDescent="0.25">
      <c r="C32" s="2166"/>
      <c r="D32" s="2166"/>
      <c r="E32" s="2166"/>
      <c r="F32" s="2166"/>
      <c r="G32" s="2166"/>
      <c r="H32" s="2166"/>
      <c r="I32" s="2166"/>
      <c r="J32" s="2166"/>
    </row>
    <row r="33" spans="3:10" x14ac:dyDescent="0.25">
      <c r="C33" s="2166"/>
      <c r="D33" s="2166"/>
      <c r="E33" s="2166"/>
      <c r="F33" s="2166"/>
      <c r="G33" s="2166"/>
      <c r="H33" s="2166"/>
      <c r="I33" s="2166"/>
      <c r="J33" s="2166"/>
    </row>
    <row r="34" spans="3:10" x14ac:dyDescent="0.25">
      <c r="C34" s="2166"/>
      <c r="D34" s="2166"/>
      <c r="E34" s="2166"/>
      <c r="F34" s="2166"/>
      <c r="G34" s="2166"/>
      <c r="H34" s="2166"/>
      <c r="I34" s="2166"/>
      <c r="J34" s="2166"/>
    </row>
    <row r="35" spans="3:10" x14ac:dyDescent="0.25">
      <c r="C35" s="2166"/>
      <c r="D35" s="2166"/>
      <c r="E35" s="2166"/>
      <c r="F35" s="2166"/>
      <c r="G35" s="2166"/>
      <c r="H35" s="2166"/>
      <c r="I35" s="2166"/>
      <c r="J35" s="2166"/>
    </row>
    <row r="36" spans="3:10" x14ac:dyDescent="0.25">
      <c r="C36" s="2166"/>
      <c r="D36" s="2166"/>
      <c r="E36" s="2166"/>
      <c r="F36" s="2166"/>
      <c r="G36" s="2166"/>
      <c r="H36" s="2166"/>
      <c r="I36" s="2166"/>
      <c r="J36" s="2166"/>
    </row>
    <row r="37" spans="3:10" x14ac:dyDescent="0.25">
      <c r="C37" s="2166"/>
      <c r="D37" s="2166"/>
      <c r="E37" s="2166"/>
      <c r="F37" s="2166"/>
      <c r="G37" s="2166"/>
      <c r="H37" s="2166"/>
      <c r="I37" s="2166"/>
      <c r="J37" s="2166"/>
    </row>
    <row r="38" spans="3:10" x14ac:dyDescent="0.25">
      <c r="C38" s="2166"/>
      <c r="D38" s="2166"/>
      <c r="E38" s="2166"/>
      <c r="F38" s="2166"/>
      <c r="G38" s="2166"/>
      <c r="H38" s="2166"/>
      <c r="I38" s="2166"/>
      <c r="J38" s="2166"/>
    </row>
    <row r="39" spans="3:10" x14ac:dyDescent="0.25">
      <c r="C39" s="2166"/>
      <c r="D39" s="2166"/>
      <c r="E39" s="2166"/>
      <c r="F39" s="2166"/>
      <c r="G39" s="2166"/>
      <c r="H39" s="2166"/>
      <c r="I39" s="2166"/>
      <c r="J39" s="2166"/>
    </row>
    <row r="40" spans="3:10" x14ac:dyDescent="0.25">
      <c r="C40" s="2166"/>
      <c r="D40" s="2166"/>
      <c r="E40" s="2166"/>
      <c r="F40" s="2166"/>
      <c r="G40" s="2166"/>
      <c r="H40" s="2166"/>
      <c r="I40" s="2166"/>
      <c r="J40" s="2166"/>
    </row>
    <row r="41" spans="3:10" x14ac:dyDescent="0.25">
      <c r="C41" s="2166"/>
      <c r="D41" s="2166"/>
      <c r="E41" s="2166"/>
      <c r="F41" s="2166"/>
      <c r="G41" s="2166"/>
      <c r="H41" s="2166"/>
      <c r="I41" s="2166"/>
      <c r="J41" s="2166"/>
    </row>
    <row r="42" spans="3:10" x14ac:dyDescent="0.25">
      <c r="C42" s="2166"/>
      <c r="D42" s="2166"/>
      <c r="E42" s="2166"/>
      <c r="F42" s="2166"/>
      <c r="G42" s="2166"/>
      <c r="H42" s="2166"/>
      <c r="I42" s="2166"/>
      <c r="J42" s="2166"/>
    </row>
    <row r="43" spans="3:10" x14ac:dyDescent="0.25">
      <c r="C43" s="2166"/>
      <c r="D43" s="2166"/>
      <c r="E43" s="2166"/>
      <c r="F43" s="2166"/>
      <c r="G43" s="2166"/>
      <c r="H43" s="2166"/>
      <c r="I43" s="2166"/>
      <c r="J43" s="2166"/>
    </row>
    <row r="44" spans="3:10" s="537" customFormat="1" x14ac:dyDescent="0.25"/>
    <row r="45" spans="3:10" s="537" customFormat="1" x14ac:dyDescent="0.25"/>
    <row r="46" spans="3:10" s="537" customFormat="1" x14ac:dyDescent="0.25"/>
    <row r="47" spans="3:10" s="537" customFormat="1" x14ac:dyDescent="0.25"/>
    <row r="48" spans="3:10" s="537" customFormat="1" x14ac:dyDescent="0.25"/>
    <row r="49" s="537" customFormat="1" x14ac:dyDescent="0.25"/>
    <row r="50" s="537" customFormat="1" x14ac:dyDescent="0.25"/>
    <row r="51" s="537" customFormat="1" x14ac:dyDescent="0.25"/>
    <row r="52" s="537" customFormat="1" x14ac:dyDescent="0.25"/>
    <row r="53" s="537" customFormat="1" x14ac:dyDescent="0.25"/>
    <row r="54" s="537" customFormat="1" x14ac:dyDescent="0.25"/>
    <row r="55" s="537" customFormat="1" x14ac:dyDescent="0.25"/>
    <row r="56" s="537" customFormat="1" x14ac:dyDescent="0.25"/>
    <row r="57" s="537" customFormat="1" x14ac:dyDescent="0.25"/>
    <row r="58" s="537" customFormat="1" x14ac:dyDescent="0.25"/>
    <row r="59" s="537" customFormat="1" x14ac:dyDescent="0.25"/>
    <row r="60" s="537" customFormat="1" x14ac:dyDescent="0.25"/>
    <row r="61" s="537" customFormat="1" x14ac:dyDescent="0.25"/>
    <row r="62" s="537" customFormat="1" x14ac:dyDescent="0.25"/>
    <row r="63" s="537" customFormat="1" x14ac:dyDescent="0.25"/>
    <row r="64" s="537" customFormat="1" x14ac:dyDescent="0.25"/>
    <row r="65" s="537" customFormat="1" x14ac:dyDescent="0.25"/>
    <row r="66" s="537" customFormat="1" x14ac:dyDescent="0.25"/>
    <row r="67" s="537" customFormat="1" x14ac:dyDescent="0.25"/>
  </sheetData>
  <sheetProtection algorithmName="SHA-512" hashValue="AHcWAFz6b9cDJyYAE4IBFopPlqO1StP7BiQRyDGLe63F96Fp9rPrO+JQ0KCXmafxKMmjjOPStVVKdCc+EdMR6Q==" saltValue="wILGbxPLzIyPFsZaOsfG2Q==" spinCount="100000" sheet="1" formatCells="0" formatColumns="0" formatRows="0" pivotTables="0"/>
  <mergeCells count="14">
    <mergeCell ref="C30:J43"/>
    <mergeCell ref="C1:J1"/>
    <mergeCell ref="H3:I3"/>
    <mergeCell ref="H4:I4"/>
    <mergeCell ref="C6:D6"/>
    <mergeCell ref="C13:D13"/>
    <mergeCell ref="C26:D26"/>
    <mergeCell ref="C18:D18"/>
    <mergeCell ref="C19:D19"/>
    <mergeCell ref="C22:D22"/>
    <mergeCell ref="C25:D25"/>
    <mergeCell ref="C21:D21"/>
    <mergeCell ref="C23:D23"/>
    <mergeCell ref="C24:D24"/>
  </mergeCells>
  <printOptions horizontalCentered="1"/>
  <pageMargins left="0" right="0.11811023622047245" top="0" bottom="0.35433070866141736" header="0.31496062992125984" footer="0.31496062992125984"/>
  <pageSetup paperSize="9" scale="69" orientation="landscape" r:id="rId1"/>
  <rowBreaks count="1" manualBreakCount="1">
    <brk id="43" min="2" max="9"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tabColor rgb="FF43C6E5"/>
  </sheetPr>
  <dimension ref="A1:M46"/>
  <sheetViews>
    <sheetView zoomScaleNormal="100" workbookViewId="0">
      <selection activeCell="H36" sqref="H36"/>
    </sheetView>
  </sheetViews>
  <sheetFormatPr baseColWidth="10" defaultColWidth="0" defaultRowHeight="15" zeroHeight="1" x14ac:dyDescent="0.25"/>
  <cols>
    <col min="1" max="4" width="11.42578125" style="537" customWidth="1"/>
    <col min="5" max="5" width="29.42578125" style="345" customWidth="1"/>
    <col min="6" max="6" width="20.7109375" style="345" customWidth="1"/>
    <col min="7" max="7" width="16.7109375" style="345" customWidth="1"/>
    <col min="8" max="8" width="18.28515625" style="345" customWidth="1"/>
    <col min="9" max="9" width="14" style="345" customWidth="1"/>
    <col min="10" max="13" width="11.42578125" style="537" customWidth="1"/>
    <col min="14" max="16384" width="11.42578125" style="345" hidden="1"/>
  </cols>
  <sheetData>
    <row r="1" spans="1:13" ht="28.5" customHeight="1" x14ac:dyDescent="0.25">
      <c r="E1" s="2135" t="s">
        <v>421</v>
      </c>
      <c r="F1" s="2136"/>
      <c r="G1" s="2136"/>
      <c r="H1" s="2136"/>
      <c r="I1" s="2137"/>
    </row>
    <row r="2" spans="1:13" x14ac:dyDescent="0.25">
      <c r="E2" s="388"/>
      <c r="F2" s="388"/>
      <c r="G2" s="388"/>
      <c r="H2" s="388"/>
      <c r="I2" s="388"/>
    </row>
    <row r="3" spans="1:13" s="746" customFormat="1" ht="22.5" customHeight="1" x14ac:dyDescent="0.25">
      <c r="A3" s="745"/>
      <c r="B3" s="745"/>
      <c r="C3" s="745"/>
      <c r="D3" s="745"/>
      <c r="E3" s="712" t="s">
        <v>42</v>
      </c>
      <c r="F3" s="2185" t="str">
        <f>INFORMATIONS!B10</f>
        <v>SAM CONSEILS</v>
      </c>
      <c r="G3" s="2185"/>
      <c r="H3" s="713" t="s">
        <v>52</v>
      </c>
      <c r="I3" s="714">
        <f>INFORMATIONS!D31</f>
        <v>43465</v>
      </c>
      <c r="J3" s="745"/>
      <c r="K3" s="745"/>
      <c r="L3" s="745"/>
      <c r="M3" s="745"/>
    </row>
    <row r="4" spans="1:13" ht="19.5" customHeight="1" x14ac:dyDescent="0.25">
      <c r="E4" s="632" t="s">
        <v>43</v>
      </c>
      <c r="F4" s="633" t="str">
        <f>INFORMATIONS!B24</f>
        <v>00084404X</v>
      </c>
      <c r="G4" s="634"/>
      <c r="H4" s="666" t="s">
        <v>44</v>
      </c>
      <c r="I4" s="667">
        <f>INFORMATIONS!F34</f>
        <v>12</v>
      </c>
    </row>
    <row r="5" spans="1:13" x14ac:dyDescent="0.25"/>
    <row r="6" spans="1:13" ht="39.75" customHeight="1" x14ac:dyDescent="0.25">
      <c r="E6" s="2116" t="s">
        <v>138</v>
      </c>
      <c r="F6" s="2117"/>
      <c r="G6" s="590" t="s">
        <v>139</v>
      </c>
      <c r="H6" s="590" t="s">
        <v>140</v>
      </c>
      <c r="I6" s="590" t="s">
        <v>141</v>
      </c>
    </row>
    <row r="7" spans="1:13" ht="21" customHeight="1" x14ac:dyDescent="0.25">
      <c r="E7" s="423" t="s">
        <v>420</v>
      </c>
      <c r="F7" s="425"/>
      <c r="G7" s="640">
        <f>SUMPRODUCT(((LEFT(BalanceN!$A$4:$A$9999,3)="564"))*BalanceN!$H$4:$H$9999)</f>
        <v>0</v>
      </c>
      <c r="H7" s="640">
        <f>SUMPRODUCT(((LEFT(BalanceN!$A$4:$A$9999,3)="564"))*BalanceN!$D$4:$D$9999)</f>
        <v>0</v>
      </c>
      <c r="I7" s="723" t="str">
        <f>IF(H7=0,"-",(G7-H7)/H7)</f>
        <v>-</v>
      </c>
    </row>
    <row r="8" spans="1:13" ht="21" customHeight="1" x14ac:dyDescent="0.25">
      <c r="E8" s="423" t="s">
        <v>419</v>
      </c>
      <c r="F8" s="425"/>
      <c r="G8" s="640">
        <f>SUMPRODUCT(((LEFT(BalanceN!$A$4:$A$9999,3)="565"))*BalanceN!$H$4:$H$9999)</f>
        <v>0</v>
      </c>
      <c r="H8" s="640">
        <f>SUMPRODUCT(((LEFT(BalanceN!$A$4:$A$9999,3)="565"))*BalanceN!$D$4:$D$9999)</f>
        <v>0</v>
      </c>
      <c r="I8" s="723" t="str">
        <f t="shared" ref="I8:I16" si="0">IF(H8=0,"-",(G8-H8)/H8)</f>
        <v>-</v>
      </c>
    </row>
    <row r="9" spans="1:13" ht="21" customHeight="1" x14ac:dyDescent="0.25">
      <c r="E9" s="595" t="s">
        <v>425</v>
      </c>
      <c r="F9" s="597"/>
      <c r="G9" s="639">
        <f>SUM(G7:G8)</f>
        <v>0</v>
      </c>
      <c r="H9" s="639">
        <f>SUM(H7:H8)</f>
        <v>0</v>
      </c>
      <c r="I9" s="751" t="str">
        <f t="shared" si="0"/>
        <v>-</v>
      </c>
    </row>
    <row r="10" spans="1:13" ht="21" customHeight="1" x14ac:dyDescent="0.25">
      <c r="E10" s="423" t="s">
        <v>236</v>
      </c>
      <c r="F10" s="425"/>
      <c r="G10" s="640">
        <f>SUMPRODUCT(((LEFT(BalanceN!$A$4:$A$9999,3)="521"))*BalanceN!$H$4:$H$9999)</f>
        <v>0</v>
      </c>
      <c r="H10" s="640">
        <f>SUMPRODUCT(((LEFT(BalanceN!$A$4:$A$9999,3)="521"))*BalanceN!$D$4:$D$9999)</f>
        <v>0</v>
      </c>
      <c r="I10" s="723" t="str">
        <f t="shared" si="0"/>
        <v>-</v>
      </c>
    </row>
    <row r="11" spans="1:13" ht="21" customHeight="1" x14ac:dyDescent="0.25">
      <c r="E11" s="423" t="s">
        <v>237</v>
      </c>
      <c r="F11" s="425"/>
      <c r="G11" s="640">
        <f>SUMPRODUCT(((LEFT(BalanceN!$A$4:$A$9999,3)="522"))*BalanceN!$H$4:$H$9999)</f>
        <v>0</v>
      </c>
      <c r="H11" s="640">
        <f>SUMPRODUCT(((LEFT(BalanceN!$A$4:$A$9999,3)="522"))*BalanceN!$D$4:$D$9999)</f>
        <v>0</v>
      </c>
      <c r="I11" s="723" t="str">
        <f t="shared" si="0"/>
        <v>-</v>
      </c>
    </row>
    <row r="12" spans="1:13" ht="21" customHeight="1" x14ac:dyDescent="0.25">
      <c r="E12" s="423" t="s">
        <v>239</v>
      </c>
      <c r="F12" s="425"/>
      <c r="G12" s="640">
        <f>SUMPRODUCT(((LEFT(BalanceN!$A$4:$A$9999,3)="523")+(LEFT(BalanceN!$A$4:$A$9999,3)="524")++(LEFT(BalanceN!$A$4:$A$9999,3)="525"))*BalanceN!$H$4:$H$9999)</f>
        <v>0</v>
      </c>
      <c r="H12" s="640">
        <f>SUMPRODUCT(((LEFT(BalanceN!$A$4:$A$9999,3)="523")+(LEFT(BalanceN!$A$4:$A$9999,3)="524")++(LEFT(BalanceN!$A$4:$A$9999,3)="525"))*BalanceN!$D$4:$D$9999)</f>
        <v>0</v>
      </c>
      <c r="I12" s="723" t="str">
        <f t="shared" si="0"/>
        <v>-</v>
      </c>
    </row>
    <row r="13" spans="1:13" ht="21" customHeight="1" x14ac:dyDescent="0.25">
      <c r="E13" s="423" t="s">
        <v>422</v>
      </c>
      <c r="F13" s="425"/>
      <c r="G13" s="640">
        <f>SUMPRODUCT(((LEFT(BalanceN!$A$4:$A$9999,3)="526"))*BalanceN!$H$4:$H$9999)</f>
        <v>0</v>
      </c>
      <c r="H13" s="640">
        <f>SUMPRODUCT(((LEFT(BalanceN!$A$4:$A$9999,3)="526"))*BalanceN!$D$4:$D$9999)</f>
        <v>0</v>
      </c>
      <c r="I13" s="723" t="str">
        <f t="shared" si="0"/>
        <v>-</v>
      </c>
    </row>
    <row r="14" spans="1:13" ht="21" customHeight="1" x14ac:dyDescent="0.25">
      <c r="E14" s="423" t="s">
        <v>423</v>
      </c>
      <c r="F14" s="425"/>
      <c r="G14" s="640">
        <f>SUMPRODUCT(((LEFT(BalanceN!$A$4:$A$9999,3)="561"))*BalanceN!$H$4:$H$9999)</f>
        <v>0</v>
      </c>
      <c r="H14" s="640">
        <f>SUMPRODUCT(((LEFT(BalanceN!$A$4:$A$9999,3)="561"))*BalanceN!$D$4:$D$9999)</f>
        <v>0</v>
      </c>
      <c r="I14" s="723" t="str">
        <f t="shared" si="0"/>
        <v>-</v>
      </c>
    </row>
    <row r="15" spans="1:13" ht="21" customHeight="1" x14ac:dyDescent="0.25">
      <c r="E15" s="595" t="s">
        <v>424</v>
      </c>
      <c r="F15" s="597"/>
      <c r="G15" s="639">
        <f>SUM(G10:G14)</f>
        <v>0</v>
      </c>
      <c r="H15" s="639">
        <f>SUM(H10:H14)</f>
        <v>0</v>
      </c>
      <c r="I15" s="751" t="str">
        <f t="shared" si="0"/>
        <v>-</v>
      </c>
    </row>
    <row r="16" spans="1:13" s="422" customFormat="1" ht="21.75" customHeight="1" x14ac:dyDescent="0.25">
      <c r="A16" s="546"/>
      <c r="B16" s="546"/>
      <c r="C16" s="546"/>
      <c r="D16" s="546"/>
      <c r="E16" s="2121" t="s">
        <v>84</v>
      </c>
      <c r="F16" s="2122"/>
      <c r="G16" s="639">
        <f>+G9+G15</f>
        <v>0</v>
      </c>
      <c r="H16" s="639">
        <f>+H9+H15</f>
        <v>0</v>
      </c>
      <c r="I16" s="751" t="str">
        <f t="shared" si="0"/>
        <v>-</v>
      </c>
      <c r="J16" s="546"/>
      <c r="K16" s="546"/>
      <c r="L16" s="546"/>
      <c r="M16" s="546"/>
    </row>
    <row r="17" spans="5:9" x14ac:dyDescent="0.25"/>
    <row r="18" spans="5:9" x14ac:dyDescent="0.25">
      <c r="E18" s="645" t="s">
        <v>1348</v>
      </c>
    </row>
    <row r="19" spans="5:9" x14ac:dyDescent="0.25">
      <c r="E19" s="120"/>
      <c r="F19" s="120"/>
      <c r="G19" s="120"/>
      <c r="H19" s="120"/>
      <c r="I19" s="120"/>
    </row>
    <row r="20" spans="5:9" x14ac:dyDescent="0.25">
      <c r="E20" s="2166"/>
      <c r="F20" s="2166"/>
      <c r="G20" s="2166"/>
      <c r="H20" s="2166"/>
      <c r="I20" s="2166"/>
    </row>
    <row r="21" spans="5:9" x14ac:dyDescent="0.25">
      <c r="E21" s="2166"/>
      <c r="F21" s="2166"/>
      <c r="G21" s="2166"/>
      <c r="H21" s="2166"/>
      <c r="I21" s="2166"/>
    </row>
    <row r="22" spans="5:9" x14ac:dyDescent="0.25">
      <c r="E22" s="2166"/>
      <c r="F22" s="2166"/>
      <c r="G22" s="2166"/>
      <c r="H22" s="2166"/>
      <c r="I22" s="2166"/>
    </row>
    <row r="23" spans="5:9" x14ac:dyDescent="0.25">
      <c r="E23" s="2166"/>
      <c r="F23" s="2166"/>
      <c r="G23" s="2166"/>
      <c r="H23" s="2166"/>
      <c r="I23" s="2166"/>
    </row>
    <row r="24" spans="5:9" s="537" customFormat="1" x14ac:dyDescent="0.25"/>
    <row r="25" spans="5:9" s="537" customFormat="1" x14ac:dyDescent="0.25"/>
    <row r="26" spans="5:9" s="537" customFormat="1" x14ac:dyDescent="0.25"/>
    <row r="27" spans="5:9" s="537" customFormat="1" x14ac:dyDescent="0.25"/>
    <row r="28" spans="5:9" s="537" customFormat="1" x14ac:dyDescent="0.25"/>
    <row r="29" spans="5:9" s="537" customFormat="1" x14ac:dyDescent="0.25"/>
    <row r="30" spans="5:9" s="537" customFormat="1" x14ac:dyDescent="0.25"/>
    <row r="31" spans="5:9" s="537" customFormat="1" x14ac:dyDescent="0.25"/>
    <row r="32" spans="5:9" s="537" customFormat="1" x14ac:dyDescent="0.25"/>
    <row r="33" s="537" customFormat="1" x14ac:dyDescent="0.25"/>
    <row r="34" s="537" customFormat="1" x14ac:dyDescent="0.25"/>
    <row r="35" s="537" customFormat="1" x14ac:dyDescent="0.25"/>
    <row r="36" s="537" customFormat="1" x14ac:dyDescent="0.25"/>
    <row r="37" s="537" customFormat="1" x14ac:dyDescent="0.25"/>
    <row r="38" s="537" customFormat="1" x14ac:dyDescent="0.25"/>
    <row r="39" s="537" customFormat="1" x14ac:dyDescent="0.25"/>
    <row r="40" s="537" customFormat="1" x14ac:dyDescent="0.25"/>
    <row r="41" s="537" customFormat="1" x14ac:dyDescent="0.25"/>
    <row r="42" s="537" customFormat="1" x14ac:dyDescent="0.25"/>
    <row r="43" s="537" customFormat="1" x14ac:dyDescent="0.25"/>
    <row r="44" s="537" customFormat="1" x14ac:dyDescent="0.25"/>
    <row r="45" s="537" customFormat="1" x14ac:dyDescent="0.25"/>
    <row r="46" s="537" customFormat="1" x14ac:dyDescent="0.25"/>
  </sheetData>
  <sheetProtection algorithmName="SHA-512" hashValue="Cm2WtnHE0tFqD57tJxm6b56aoY1XVoQAcBVmGg0ue9vuQnzTo/t4KWJlQDor1nhtBJaZEeavMVvQ/PceI34YNw==" saltValue="h8vnCc1ix0+X7WtEl5Wpmg==" spinCount="100000" sheet="1" formatCells="0" formatColumns="0" formatRows="0" pivotTables="0"/>
  <mergeCells count="5">
    <mergeCell ref="E1:I1"/>
    <mergeCell ref="E6:F6"/>
    <mergeCell ref="E16:F16"/>
    <mergeCell ref="F3:G3"/>
    <mergeCell ref="E20:I23"/>
  </mergeCells>
  <printOptions horizontalCentered="1"/>
  <pageMargins left="0.19685039370078741" right="0.11811023622047244" top="0" bottom="0.3543307086614173"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tabColor rgb="FF43C6E5"/>
  </sheetPr>
  <dimension ref="A1:M74"/>
  <sheetViews>
    <sheetView topLeftCell="B4" zoomScaleNormal="100" workbookViewId="0">
      <selection activeCell="E35" sqref="E35:I44"/>
    </sheetView>
  </sheetViews>
  <sheetFormatPr baseColWidth="10" defaultColWidth="0" defaultRowHeight="15" zeroHeight="1" x14ac:dyDescent="0.25"/>
  <cols>
    <col min="1" max="4" width="11.42578125" style="537" customWidth="1"/>
    <col min="5" max="5" width="29.42578125" style="345" customWidth="1"/>
    <col min="6" max="6" width="20.7109375" style="345" customWidth="1"/>
    <col min="7" max="7" width="16.7109375" style="733" customWidth="1"/>
    <col min="8" max="8" width="18.28515625" style="345" customWidth="1"/>
    <col min="9" max="9" width="14" style="345" customWidth="1"/>
    <col min="10" max="13" width="11.42578125" style="537" customWidth="1"/>
    <col min="14" max="16384" width="11.42578125" style="345" hidden="1"/>
  </cols>
  <sheetData>
    <row r="1" spans="1:13" ht="28.5" customHeight="1" x14ac:dyDescent="0.25">
      <c r="E1" s="2135" t="s">
        <v>426</v>
      </c>
      <c r="F1" s="2136"/>
      <c r="G1" s="2136"/>
      <c r="H1" s="2136"/>
      <c r="I1" s="2137"/>
    </row>
    <row r="2" spans="1:13" x14ac:dyDescent="0.25">
      <c r="E2" s="388"/>
      <c r="F2" s="388"/>
      <c r="G2" s="729"/>
      <c r="H2" s="388"/>
      <c r="I2" s="388"/>
    </row>
    <row r="3" spans="1:13" s="746" customFormat="1" ht="33.75" customHeight="1" x14ac:dyDescent="0.25">
      <c r="A3" s="745"/>
      <c r="B3" s="745"/>
      <c r="C3" s="745"/>
      <c r="D3" s="745"/>
      <c r="E3" s="712" t="s">
        <v>42</v>
      </c>
      <c r="F3" s="2185" t="str">
        <f>INFORMATIONS!B10</f>
        <v>SAM CONSEILS</v>
      </c>
      <c r="G3" s="2185"/>
      <c r="H3" s="713" t="s">
        <v>52</v>
      </c>
      <c r="I3" s="714">
        <f>INFORMATIONS!D31</f>
        <v>43465</v>
      </c>
      <c r="J3" s="745"/>
      <c r="K3" s="745"/>
      <c r="L3" s="745"/>
      <c r="M3" s="745"/>
    </row>
    <row r="4" spans="1:13" ht="19.5" customHeight="1" x14ac:dyDescent="0.25">
      <c r="E4" s="632" t="s">
        <v>43</v>
      </c>
      <c r="F4" s="633" t="str">
        <f>INFORMATIONS!B24</f>
        <v>00084404X</v>
      </c>
      <c r="G4" s="679"/>
      <c r="H4" s="666" t="s">
        <v>44</v>
      </c>
      <c r="I4" s="667">
        <f>INFORMATIONS!F34</f>
        <v>12</v>
      </c>
    </row>
    <row r="5" spans="1:13" x14ac:dyDescent="0.25"/>
    <row r="6" spans="1:13" ht="39.75" customHeight="1" x14ac:dyDescent="0.25">
      <c r="E6" s="2116" t="s">
        <v>138</v>
      </c>
      <c r="F6" s="2117"/>
      <c r="G6" s="682" t="s">
        <v>139</v>
      </c>
      <c r="H6" s="590" t="s">
        <v>140</v>
      </c>
      <c r="I6" s="590" t="s">
        <v>141</v>
      </c>
    </row>
    <row r="7" spans="1:13" ht="16.5" customHeight="1" x14ac:dyDescent="0.25">
      <c r="E7" s="423" t="s">
        <v>427</v>
      </c>
      <c r="F7" s="425"/>
      <c r="G7" s="683">
        <f>SUMPRODUCT(((LEFT(BalanceN!$A$4:$A$9999,4)="7011"))*BalanceN!$H$4:$H$9999)-SUMPRODUCT(((LEFT(BalanceN!$A$4:$A$9999,4)="7011"))*BalanceN!$G$4:$G$9999)</f>
        <v>110000000</v>
      </c>
      <c r="H7" s="683">
        <f>SUMPRODUCT(((LEFT('BalanceN-1'!$A$4:$A$9999,4)="7011"))*'BalanceN-1'!$H$4:$H$9999)-SUMPRODUCT(((LEFT('BalanceN-1'!$A$4:$A$9999,4)="7011"))*'BalanceN-1'!$G$4:$G$9999)</f>
        <v>0</v>
      </c>
      <c r="I7" s="723" t="str">
        <f>IF(H7=0,"-",(G7-H7)/H7)</f>
        <v>-</v>
      </c>
    </row>
    <row r="8" spans="1:13" ht="16.5" customHeight="1" x14ac:dyDescent="0.25">
      <c r="E8" s="423" t="s">
        <v>428</v>
      </c>
      <c r="F8" s="425"/>
      <c r="G8" s="683">
        <f>SUMPRODUCT(((LEFT(BalanceN!$A$4:$A$9999,4)="7012"))*BalanceN!$H$4:$H$9999)-SUMPRODUCT(((LEFT(BalanceN!$A$4:$A$9999,4)="7012"))*BalanceN!$G$4:$G$9999)</f>
        <v>0</v>
      </c>
      <c r="H8" s="683">
        <f>SUMPRODUCT(((LEFT(BalanceN!$A$4:$A$9999,4)="7012"))*BalanceN!$H$4:$H$9999)-SUMPRODUCT(((LEFT(BalanceN!$A$4:$A$9999,4)="7012"))*BalanceN!$G$4:$G$9999)</f>
        <v>0</v>
      </c>
      <c r="I8" s="723" t="str">
        <f t="shared" ref="I8:I29" si="0">IF(H8=0,"-",(G8-H8)/H8)</f>
        <v>-</v>
      </c>
    </row>
    <row r="9" spans="1:13" ht="16.5" customHeight="1" x14ac:dyDescent="0.25">
      <c r="E9" s="423" t="s">
        <v>429</v>
      </c>
      <c r="F9" s="425"/>
      <c r="G9" s="683">
        <f>SUMPRODUCT(((LEFT(BalanceN!$A$4:$A$9999,4)="7013")+(LEFT(BalanceN!$A$4:$A$9999,4)="7014"))*BalanceN!$H$4:$H$9999)-SUMPRODUCT(((LEFT(BalanceN!$A$4:$A$9999,4)="7013")+(LEFT(BalanceN!$A$4:$A$9999,4)="7014"))*BalanceN!$G$4:$G$9999)</f>
        <v>0</v>
      </c>
      <c r="H9" s="683">
        <f>SUMPRODUCT(((LEFT(BalanceN!$A$4:$A$9999,4)="7013")+(LEFT(BalanceN!$A$4:$A$9999,4)="7014"))*BalanceN!$H$4:$H$9999)-SUMPRODUCT(((LEFT(BalanceN!$A$4:$A$9999,4)="7013")+(LEFT(BalanceN!$A$4:$A$9999,4)="7014"))*BalanceN!$G$4:$G$9999)</f>
        <v>0</v>
      </c>
      <c r="I9" s="723" t="str">
        <f t="shared" si="0"/>
        <v>-</v>
      </c>
    </row>
    <row r="10" spans="1:13" ht="16.5" customHeight="1" x14ac:dyDescent="0.25">
      <c r="E10" s="423" t="s">
        <v>430</v>
      </c>
      <c r="F10" s="425"/>
      <c r="G10" s="683">
        <f>SUMPRODUCT(((LEFT(BalanceN!$A$4:$A$9999,4)="7015"))*BalanceN!$H$4:$H$9999)-SUMPRODUCT(((LEFT(BalanceN!$A$4:$A$9999,4)="7015"))*BalanceN!$G$4:$G$9999)</f>
        <v>0</v>
      </c>
      <c r="H10" s="683">
        <f>SUMPRODUCT(((LEFT(BalanceN!$A$4:$A$9999,4)="7015"))*BalanceN!$H$4:$H$9999)-SUMPRODUCT(((LEFT(BalanceN!$A$4:$A$9999,4)="7015"))*BalanceN!$G$4:$G$9999)</f>
        <v>0</v>
      </c>
      <c r="I10" s="723" t="str">
        <f t="shared" si="0"/>
        <v>-</v>
      </c>
    </row>
    <row r="11" spans="1:13" ht="16.5" customHeight="1" x14ac:dyDescent="0.25">
      <c r="E11" s="423" t="s">
        <v>1068</v>
      </c>
      <c r="F11" s="425"/>
      <c r="G11" s="683">
        <f>-(SUMPRODUCT(((LEFT(BalanceN!$A$4:$A$9999,4)="7019"))*BalanceN!$G$4:$G$9999)-SUMPRODUCT(((LEFT(BalanceN!$A$4:$A$9999,4)="7019"))*BalanceN!$H$4:$H$9999))</f>
        <v>0</v>
      </c>
      <c r="H11" s="683">
        <f>-(SUMPRODUCT(((LEFT(BalanceN!$A$4:$A$9999,4)="7019"))*BalanceN!$G$4:$G$9999)-SUMPRODUCT(((LEFT(BalanceN!$A$4:$A$9999,4)="7019"))*BalanceN!$H$4:$H$9999))</f>
        <v>0</v>
      </c>
      <c r="I11" s="723" t="str">
        <f t="shared" si="0"/>
        <v>-</v>
      </c>
    </row>
    <row r="12" spans="1:13" ht="15.75" customHeight="1" x14ac:dyDescent="0.25">
      <c r="E12" s="595" t="s">
        <v>431</v>
      </c>
      <c r="F12" s="597"/>
      <c r="G12" s="684">
        <f>SUM(G7:G11)</f>
        <v>110000000</v>
      </c>
      <c r="H12" s="639">
        <f>SUM(H7:H10)</f>
        <v>0</v>
      </c>
      <c r="I12" s="751" t="str">
        <f t="shared" si="0"/>
        <v>-</v>
      </c>
    </row>
    <row r="13" spans="1:13" ht="16.5" customHeight="1" x14ac:dyDescent="0.25">
      <c r="E13" s="423" t="s">
        <v>427</v>
      </c>
      <c r="F13" s="425"/>
      <c r="G13" s="683">
        <f>SUMPRODUCT(((LEFT(BalanceN!$A$4:$A$9999,4)="7021")+(LEFT(BalanceN!$A$4:$A$9999,4)="7031")+(LEFT(BalanceN!$A$4:$A$9999,4)="7041"))*BalanceN!$H$4:$H$9999)-SUMPRODUCT(((LEFT(BalanceN!$A$4:$A$9999,4)="7021")+(LEFT(BalanceN!$A$4:$A$9999,4)="7031")+(LEFT(BalanceN!$A$4:$A$9999,4)="7041"))*BalanceN!$G$4:$G$9999)</f>
        <v>0</v>
      </c>
      <c r="H13" s="683">
        <f>SUMPRODUCT(((LEFT('BalanceN-1'!$A$4:$A$9999,4)="7021")+(LEFT('BalanceN-1'!$A$4:$A$9999,4)="7031")+(LEFT('BalanceN-1'!$A$4:$A$9999,4)="7041"))*'BalanceN-1'!$H$4:$H$9999)-SUMPRODUCT(((LEFT('BalanceN-1'!$A$4:$A$9999,4)="7021")+(LEFT('BalanceN-1'!$A$4:$A$9999,4)="7031")+(LEFT('BalanceN-1'!$A$4:$A$9999,4)="7041"))*'BalanceN-1'!$G$4:$G$9999)</f>
        <v>0</v>
      </c>
      <c r="I13" s="723" t="str">
        <f t="shared" si="0"/>
        <v>-</v>
      </c>
    </row>
    <row r="14" spans="1:13" ht="16.5" customHeight="1" x14ac:dyDescent="0.25">
      <c r="E14" s="423" t="s">
        <v>428</v>
      </c>
      <c r="F14" s="425"/>
      <c r="G14" s="683">
        <f>SUMPRODUCT(((LEFT(BalanceN!$A$4:$A$9999,4)="7022")+(LEFT(BalanceN!$A$4:$A$9999,4)="7032")+(LEFT(BalanceN!$A$4:$A$9999,4)="7042"))*BalanceN!$H$4:$H$9999)-SUMPRODUCT(((LEFT(BalanceN!$A$4:$A$9999,4)="7022")+(LEFT(BalanceN!$A$4:$A$9999,4)="7032")+(LEFT(BalanceN!$A$4:$A$9999,4)="7042"))*BalanceN!$G$4:$G$9999)</f>
        <v>1939940531</v>
      </c>
      <c r="H14" s="683">
        <f>SUMPRODUCT(((LEFT('BalanceN-1'!$A$4:$A$9999,4)="7022")+(LEFT('BalanceN-1'!$A$4:$A$9999,4)="7032")+(LEFT('BalanceN-1'!$A$4:$A$9999,4)="7042"))*'BalanceN-1'!$H$4:$H$9999)-SUMPRODUCT(((LEFT('BalanceN-1'!$A$4:$A$9999,4)="7022")+(LEFT('BalanceN-1'!$A$4:$A$9999,4)="7032")+(LEFT('BalanceN-1'!$A$4:$A$9999,4)="7042"))*'BalanceN-1'!$G$4:$G$9999)</f>
        <v>1858577695</v>
      </c>
      <c r="I14" s="723">
        <f t="shared" si="0"/>
        <v>4.3776935566850222E-2</v>
      </c>
    </row>
    <row r="15" spans="1:13" ht="16.5" customHeight="1" x14ac:dyDescent="0.25">
      <c r="E15" s="423" t="s">
        <v>429</v>
      </c>
      <c r="F15" s="425"/>
      <c r="G15" s="683">
        <f>SUMPRODUCT(((LEFT(BalanceN!$A$4:$A$9999,4)="7023")+(LEFT(BalanceN!$A$4:$A$9999,4)="7024")+(LEFT(BalanceN!$A$4:$A$9999,4)="7033")+(LEFT(BalanceN!$A$4:$A$9999,4)="7034")+(LEFT(BalanceN!$A$4:$A$9999,4)="7043")+(LEFT(BalanceN!$A$4:$A$9999,4)="7044"))*BalanceN!$H$4:$H$9999)-SUMPRODUCT(((LEFT(BalanceN!$A$4:$A$9999,4)="7023")+(LEFT(BalanceN!$A$4:$A$9999,4)="7024")+(LEFT(BalanceN!$A$4:$A$9999,4)="7033")+(LEFT(BalanceN!$A$4:$A$9999,4)="7034")+(LEFT(BalanceN!$A$4:$A$9999,4)="7043")+(LEFT(BalanceN!$A$4:$A$9999,4)="7044"))*BalanceN!$D$4:$D$9999)</f>
        <v>0</v>
      </c>
      <c r="H15" s="683">
        <f>SUMPRODUCT(((LEFT('BalanceN-1'!$A$4:$A$9999,4)="7023")+(LEFT('BalanceN-1'!$A$4:$A$9999,4)="7024")+(LEFT('BalanceN-1'!$A$4:$A$9999,4)="7033")+(LEFT('BalanceN-1'!$A$4:$A$9999,4)="7034")+(LEFT('BalanceN-1'!$A$4:$A$9999,4)="7043")+(LEFT('BalanceN-1'!$A$4:$A$9999,4)="7044"))*'BalanceN-1'!$H$4:$H$9999)-SUMPRODUCT(((LEFT('BalanceN-1'!$A$4:$A$9999,4)="7023")+(LEFT('BalanceN-1'!$A$4:$A$9999,4)="7024")+(LEFT('BalanceN-1'!$A$4:$A$9999,4)="7033")+(LEFT('BalanceN-1'!$A$4:$A$9999,4)="7034")+(LEFT('BalanceN-1'!$A$4:$A$9999,4)="7043")+(LEFT('BalanceN-1'!$A$4:$A$9999,4)="7044"))*'BalanceN-1'!$D$4:$D$9999)</f>
        <v>0</v>
      </c>
      <c r="I15" s="723" t="str">
        <f t="shared" si="0"/>
        <v>-</v>
      </c>
    </row>
    <row r="16" spans="1:13" ht="16.5" customHeight="1" x14ac:dyDescent="0.25">
      <c r="E16" s="423" t="s">
        <v>430</v>
      </c>
      <c r="F16" s="425"/>
      <c r="G16" s="683">
        <f>SUMPRODUCT(((LEFT(BalanceN!$A$4:$A$9999,4)="7025")+(LEFT(BalanceN!$A$4:$A$9999,4)="7035")+(LEFT(BalanceN!$A$4:$A$9999,4)="7045"))*BalanceN!$H$4:$H$9999)-SUMPRODUCT(((LEFT(BalanceN!$A$4:$A$9999,4)="7025")+(LEFT(BalanceN!$A$4:$A$9999,4)="7035")+(LEFT(BalanceN!$A$4:$A$9999,4)="7045"))*BalanceN!$G$4:$G$9999)</f>
        <v>0</v>
      </c>
      <c r="H16" s="683">
        <f>SUMPRODUCT(((LEFT('BalanceN-1'!$A$4:$A$9999,4)="7025")+(LEFT('BalanceN-1'!$A$4:$A$9999,4)="7035")+(LEFT('BalanceN-1'!$A$4:$A$9999,4)="7045"))*'BalanceN-1'!$H$4:$H$9999)-SUMPRODUCT(((LEFT('BalanceN-1'!$A$4:$A$9999,4)="7025")+(LEFT('BalanceN-1'!$A$4:$A$9999,4)="7035")+(LEFT('BalanceN-1'!$A$4:$A$9999,4)="7045"))*'BalanceN-1'!$G$4:$G$9999)</f>
        <v>0</v>
      </c>
      <c r="I16" s="723" t="str">
        <f t="shared" si="0"/>
        <v>-</v>
      </c>
    </row>
    <row r="17" spans="1:13" ht="16.5" customHeight="1" x14ac:dyDescent="0.25">
      <c r="E17" s="423" t="s">
        <v>1068</v>
      </c>
      <c r="F17" s="425"/>
      <c r="G17" s="683">
        <f>-(SUMPRODUCT(((LEFT(BalanceN!$A$4:$A$9999,4)="7029")+(LEFT(BalanceN!$A$4:$A$9999,4)="7039")+(LEFT(BalanceN!$A$4:$A$9999,4)="7049"))*BalanceN!$G$4:$G$9999)-SUMPRODUCT(((LEFT(BalanceN!$A$4:$A$9999,4)="7029")+(LEFT(BalanceN!$A$4:$A$9999,4)="7039")+(LEFT(BalanceN!$A$4:$A$9999,4)="7049"))*BalanceN!$H$4:$H$9999))</f>
        <v>-21795786</v>
      </c>
      <c r="H17" s="683">
        <f>-(SUMPRODUCT(((LEFT('BalanceN-1'!$A$4:$A$9999,4)="7029")+(LEFT('BalanceN-1'!$A$4:$A$9999,4)="7039")+(LEFT('BalanceN-1'!$A$4:$A$9999,4)="7049"))*'BalanceN-1'!$G$4:$G$9999)-SUMPRODUCT(((LEFT('BalanceN-1'!$A$4:$A$9999,4)="7029")+(LEFT('BalanceN-1'!$A$4:$A$9999,4)="7039")+(LEFT('BalanceN-1'!$A$4:$A$9999,4)="7049"))*'BalanceN-1'!$H$4:$H$9999))</f>
        <v>-1153585</v>
      </c>
      <c r="I17" s="723">
        <f t="shared" si="0"/>
        <v>17.893957532388164</v>
      </c>
    </row>
    <row r="18" spans="1:13" ht="21" customHeight="1" x14ac:dyDescent="0.25">
      <c r="E18" s="595" t="s">
        <v>432</v>
      </c>
      <c r="F18" s="597"/>
      <c r="G18" s="684">
        <f>SUM(G13:G17)</f>
        <v>1918144745</v>
      </c>
      <c r="H18" s="639">
        <f>SUM(H13:H17)</f>
        <v>1857424110</v>
      </c>
      <c r="I18" s="751"/>
    </row>
    <row r="19" spans="1:13" ht="16.5" customHeight="1" x14ac:dyDescent="0.25">
      <c r="E19" s="423" t="s">
        <v>427</v>
      </c>
      <c r="F19" s="425"/>
      <c r="G19" s="683">
        <f>SUMPRODUCT(((LEFT(BalanceN!$A$4:$A$9999,4)="7051")+(LEFT(BalanceN!$A$4:$A$9999,4)="7061"))*BalanceN!$H$4:$H$9999)-SUMPRODUCT(((LEFT(BalanceN!$A$4:$A$9999,4)="7051")+(LEFT(BalanceN!$A$4:$A$9999,4)="7061"))*BalanceN!$G$4:$G$9999)</f>
        <v>12672000</v>
      </c>
      <c r="H19" s="683">
        <f>SUMPRODUCT(((LEFT('BalanceN-1'!$A$4:$A$9999,4)="7051")+(LEFT('BalanceN-1'!$A$4:$A$9999,4)="7061"))*'BalanceN-1'!$H$4:$H$9999)-SUMPRODUCT(((LEFT('BalanceN-1'!$A$4:$A$9999,4)="7051")+(LEFT('BalanceN-1'!$A$4:$A$9999,4)="7061"))*'BalanceN-1'!$G$4:$G$9999)</f>
        <v>12804000</v>
      </c>
      <c r="I19" s="723">
        <f t="shared" si="0"/>
        <v>-1.0309278350515464E-2</v>
      </c>
    </row>
    <row r="20" spans="1:13" ht="16.5" customHeight="1" x14ac:dyDescent="0.25">
      <c r="E20" s="423" t="s">
        <v>428</v>
      </c>
      <c r="F20" s="425"/>
      <c r="G20" s="683">
        <f>SUMPRODUCT(((LEFT(BalanceN!$A$4:$A$9999,4)="7052")+(LEFT(BalanceN!$A$4:$A$9999,4)="7062"))*BalanceN!$H$4:$H$9999)-SUMPRODUCT(((LEFT(BalanceN!$A$4:$A$9999,4)="7052")+(LEFT(BalanceN!$A$4:$A$9999,4)="7062"))*BalanceN!$G$4:$G$9999)</f>
        <v>0</v>
      </c>
      <c r="H20" s="683">
        <f>SUMPRODUCT(((LEFT('BalanceN-1'!$A$4:$A$9999,4)="7052")+(LEFT('BalanceN-1'!$A$4:$A$9999,4)="7062"))*'BalanceN-1'!$H$4:$H$9999)-SUMPRODUCT(((LEFT('BalanceN-1'!$A$4:$A$9999,4)="7052")+(LEFT('BalanceN-1'!$A$4:$A$9999,4)="7062"))*'BalanceN-1'!$G$4:$G$9999)</f>
        <v>0</v>
      </c>
      <c r="I20" s="723" t="str">
        <f t="shared" si="0"/>
        <v>-</v>
      </c>
    </row>
    <row r="21" spans="1:13" ht="16.5" customHeight="1" x14ac:dyDescent="0.25">
      <c r="E21" s="423" t="s">
        <v>429</v>
      </c>
      <c r="F21" s="425"/>
      <c r="G21" s="683">
        <f>SUMPRODUCT(((LEFT(BalanceN!$A$4:$A$9999,4)="7053")+(LEFT(BalanceN!$A$4:$A$9999,4)="7054")+(LEFT(BalanceN!$A$4:$A$9999,4)="7063")+(LEFT(BalanceN!$A$4:$A$9999,4)="7064"))*BalanceN!$H$4:$H$9999)-SUMPRODUCT(((LEFT(BalanceN!$A$4:$A$9999,4)="7053")+(LEFT(BalanceN!$A$4:$A$9999,4)="7054")+(LEFT(BalanceN!$A$4:$A$9999,4)="7063")+(LEFT(BalanceN!$A$4:$A$9999,4)="7064"))*BalanceN!$G$4:$G$9999)</f>
        <v>0</v>
      </c>
      <c r="H21" s="683">
        <f>SUMPRODUCT(((LEFT('BalanceN-1'!$A$4:$A$9999,4)="7053")+(LEFT('BalanceN-1'!$A$4:$A$9999,4)="7054")+(LEFT('BalanceN-1'!$A$4:$A$9999,4)="7063")+(LEFT('BalanceN-1'!$A$4:$A$9999,4)="7064"))*'BalanceN-1'!$H$4:$H$9999)-SUMPRODUCT(((LEFT('BalanceN-1'!$A$4:$A$9999,4)="7053")+(LEFT('BalanceN-1'!$A$4:$A$9999,4)="7054")+(LEFT('BalanceN-1'!$A$4:$A$9999,4)="7063")+(LEFT('BalanceN-1'!$A$4:$A$9999,4)="7064"))*'BalanceN-1'!$G$4:$G$9999)</f>
        <v>0</v>
      </c>
      <c r="I21" s="723" t="str">
        <f t="shared" si="0"/>
        <v>-</v>
      </c>
    </row>
    <row r="22" spans="1:13" ht="16.5" customHeight="1" x14ac:dyDescent="0.25">
      <c r="E22" s="423" t="s">
        <v>430</v>
      </c>
      <c r="F22" s="425"/>
      <c r="G22" s="683">
        <f>SUMPRODUCT(((LEFT(BalanceN!$A$4:$A$9999,4)="7055")+(LEFT(BalanceN!$A$4:$A$9999,4)="7065"))*BalanceN!$H$4:$H$9999)-SUMPRODUCT(((LEFT(BalanceN!$A$4:$A$9999,4)="7055")+(LEFT(BalanceN!$A$4:$A$9999,4)="7065"))*BalanceN!$G$4:$G$9999)</f>
        <v>0</v>
      </c>
      <c r="H22" s="683">
        <f>SUMPRODUCT(((LEFT('BalanceN-1'!$A$4:$A$9999,4)="7055")+(LEFT('BalanceN-1'!$A$4:$A$9999,4)="7065"))*'BalanceN-1'!$H$4:$H$9999)-SUMPRODUCT(((LEFT('BalanceN-1'!$A$4:$A$9999,4)="7055")+(LEFT('BalanceN-1'!$A$4:$A$9999,4)="7065"))*'BalanceN-1'!$G$4:$G$9999)</f>
        <v>0</v>
      </c>
      <c r="I22" s="723" t="str">
        <f t="shared" si="0"/>
        <v>-</v>
      </c>
    </row>
    <row r="23" spans="1:13" ht="16.5" customHeight="1" x14ac:dyDescent="0.25">
      <c r="E23" s="423" t="s">
        <v>1068</v>
      </c>
      <c r="F23" s="425"/>
      <c r="G23" s="683">
        <f>-(SUMPRODUCT(((LEFT(BalanceN!$A$4:$A$9999,4)="7059")+(LEFT(BalanceN!$A$4:$A$9999,4)="7069"))*BalanceN!$G$4:$G$9999)-SUMPRODUCT(((LEFT(BalanceN!$A$4:$A$9999,4)="7059")+(LEFT(BalanceN!$A$4:$A$9999,4)="7069"))*BalanceN!$H$4:$H$9999))</f>
        <v>0</v>
      </c>
      <c r="H23" s="683">
        <f>-(SUMPRODUCT(((LEFT('BalanceN-1'!$A$4:$A$9999,4)="7059")+(LEFT('BalanceN-1'!$A$4:$A$9999,4)="7069"))*'BalanceN-1'!$G$4:$G$9999)-SUMPRODUCT(((LEFT('BalanceN-1'!$A$4:$A$9999,4)="7059")+(LEFT('BalanceN-1'!$A$4:$A$9999,4)="7069"))*'BalanceN-1'!$H$4:$H$9999))</f>
        <v>0</v>
      </c>
      <c r="I23" s="723" t="str">
        <f t="shared" si="0"/>
        <v>-</v>
      </c>
    </row>
    <row r="24" spans="1:13" ht="21" customHeight="1" x14ac:dyDescent="0.25">
      <c r="E24" s="595" t="s">
        <v>433</v>
      </c>
      <c r="F24" s="597"/>
      <c r="G24" s="684">
        <f>SUM(G19:G23)</f>
        <v>12672000</v>
      </c>
      <c r="H24" s="639">
        <f>SUM(H19:H23)</f>
        <v>12804000</v>
      </c>
      <c r="I24" s="751"/>
    </row>
    <row r="25" spans="1:13" ht="16.5" customHeight="1" x14ac:dyDescent="0.25">
      <c r="E25" s="423" t="s">
        <v>434</v>
      </c>
      <c r="F25" s="425"/>
      <c r="G25" s="683">
        <f>SUMPRODUCT(((LEFT(BalanceN!$A$4:$A$9999,3)="707"))*BalanceN!$H$4:$H$9999)-SUMPRODUCT(((LEFT(BalanceN!$A$4:$A$9999,3)="707"))*BalanceN!$G$4:$G$9999)</f>
        <v>1130000</v>
      </c>
      <c r="H25" s="683">
        <f>SUMPRODUCT(((LEFT('BalanceN-1'!$A$4:$A$9999,3)="707"))*'BalanceN-1'!$H$4:$H$9999)-SUMPRODUCT(((LEFT('BalanceN-1'!$A$4:$A$9999,3)="707"))*'BalanceN-1'!$G$4:$G$9999)</f>
        <v>1598780</v>
      </c>
      <c r="I25" s="723">
        <f t="shared" si="0"/>
        <v>-0.29321107344350067</v>
      </c>
    </row>
    <row r="26" spans="1:13" ht="21" customHeight="1" x14ac:dyDescent="0.25">
      <c r="E26" s="595" t="s">
        <v>435</v>
      </c>
      <c r="F26" s="597"/>
      <c r="G26" s="684">
        <f>G12+G18+G24+G25</f>
        <v>2041946745</v>
      </c>
      <c r="H26" s="639">
        <f>H12+H18+H24+H25</f>
        <v>1871826890</v>
      </c>
      <c r="I26" s="751"/>
    </row>
    <row r="27" spans="1:13" ht="16.5" customHeight="1" x14ac:dyDescent="0.25">
      <c r="E27" s="423" t="s">
        <v>436</v>
      </c>
      <c r="F27" s="425"/>
      <c r="G27" s="683">
        <f>SUMPRODUCT(((LEFT(BalanceN!$A$4:$A$9999,2)="72"))*BalanceN!$H$4:$H$9999)-SUMPRODUCT(((LEFT(BalanceN!$A$4:$A$9999,2)="72"))*BalanceN!$G$4:$G$9999)</f>
        <v>4500000</v>
      </c>
      <c r="H27" s="683">
        <f>SUMPRODUCT(((LEFT('BalanceN-1'!$A$4:$A$9999,2)="72"))*'BalanceN-1'!$H$4:$H$9999)-SUMPRODUCT(((LEFT('BalanceN-1'!$A$4:$A$9999,2)="72"))*'BalanceN-1'!$G$4:$G$9999)</f>
        <v>0</v>
      </c>
      <c r="I27" s="723" t="str">
        <f t="shared" si="0"/>
        <v>-</v>
      </c>
    </row>
    <row r="28" spans="1:13" ht="16.5" customHeight="1" x14ac:dyDescent="0.25">
      <c r="E28" s="423" t="s">
        <v>437</v>
      </c>
      <c r="F28" s="425"/>
      <c r="G28" s="683">
        <f>SUMPRODUCT(((LEFT(BalanceN!$A$4:$A$9999,2)="71"))*BalanceN!$H$4:$H$9999)-SUMPRODUCT(((LEFT(BalanceN!$A$4:$A$9999,2)="71"))*BalanceN!$G$4:$G$9999)</f>
        <v>0</v>
      </c>
      <c r="H28" s="683">
        <f>SUMPRODUCT(((LEFT('BalanceN-1'!$A$4:$A$9999,2)="71"))*'BalanceN-1'!$H$4:$H$9999)-SUMPRODUCT(((LEFT('BalanceN-1'!$A$4:$A$9999,2)="71"))*'BalanceN-1'!$G$4:$G$9999)</f>
        <v>0</v>
      </c>
      <c r="I28" s="723" t="str">
        <f t="shared" si="0"/>
        <v>-</v>
      </c>
    </row>
    <row r="29" spans="1:13" ht="16.5" customHeight="1" x14ac:dyDescent="0.25">
      <c r="E29" s="423" t="s">
        <v>438</v>
      </c>
      <c r="F29" s="425"/>
      <c r="G29" s="683">
        <f>SUMPRODUCT(((LEFT(BalanceN!$A$4:$A$9999,2)="75"))*BalanceN!$H$4:$H$9999)-SUMPRODUCT(((LEFT(BalanceN!$A$4:$A$9999,2)="75"))*BalanceN!$G$4:$G$9999)</f>
        <v>3436978</v>
      </c>
      <c r="H29" s="683">
        <f>SUMPRODUCT(((LEFT('BalanceN-1'!$A$4:$A$9999,2)="75"))*'BalanceN-1'!$H$4:$H$9999)-SUMPRODUCT(((LEFT('BalanceN-1'!$A$4:$A$9999,2)="75"))*'BalanceN-1'!$G$4:$G$9999)</f>
        <v>11486537</v>
      </c>
      <c r="I29" s="723">
        <f t="shared" si="0"/>
        <v>-0.70078205467844656</v>
      </c>
    </row>
    <row r="30" spans="1:13" ht="21" customHeight="1" x14ac:dyDescent="0.25">
      <c r="E30" s="595" t="s">
        <v>439</v>
      </c>
      <c r="F30" s="597"/>
      <c r="G30" s="684">
        <f>SUM(G27:G29)</f>
        <v>7936978</v>
      </c>
      <c r="H30" s="639">
        <f>SUM(H27:H29)</f>
        <v>11486537</v>
      </c>
      <c r="I30" s="751"/>
    </row>
    <row r="31" spans="1:13" s="422" customFormat="1" ht="21.75" customHeight="1" x14ac:dyDescent="0.25">
      <c r="A31" s="546"/>
      <c r="B31" s="546"/>
      <c r="C31" s="546"/>
      <c r="D31" s="546"/>
      <c r="E31" s="2121" t="s">
        <v>84</v>
      </c>
      <c r="F31" s="2122"/>
      <c r="G31" s="684">
        <f>G26+G30</f>
        <v>2049883723</v>
      </c>
      <c r="H31" s="639">
        <f>H26+H30</f>
        <v>1883313427</v>
      </c>
      <c r="I31" s="751"/>
      <c r="J31" s="546"/>
      <c r="K31" s="546"/>
      <c r="L31" s="546"/>
      <c r="M31" s="546"/>
    </row>
    <row r="32" spans="1:13" x14ac:dyDescent="0.25"/>
    <row r="33" spans="5:9" x14ac:dyDescent="0.25">
      <c r="E33" s="645" t="s">
        <v>1348</v>
      </c>
    </row>
    <row r="34" spans="5:9" x14ac:dyDescent="0.25"/>
    <row r="35" spans="5:9" x14ac:dyDescent="0.25">
      <c r="E35" s="2134"/>
      <c r="F35" s="2134"/>
      <c r="G35" s="2134"/>
      <c r="H35" s="2134"/>
      <c r="I35" s="2134"/>
    </row>
    <row r="36" spans="5:9" x14ac:dyDescent="0.25">
      <c r="E36" s="2134"/>
      <c r="F36" s="2134"/>
      <c r="G36" s="2134"/>
      <c r="H36" s="2134"/>
      <c r="I36" s="2134"/>
    </row>
    <row r="37" spans="5:9" x14ac:dyDescent="0.25">
      <c r="E37" s="2134"/>
      <c r="F37" s="2134"/>
      <c r="G37" s="2134"/>
      <c r="H37" s="2134"/>
      <c r="I37" s="2134"/>
    </row>
    <row r="38" spans="5:9" x14ac:dyDescent="0.25">
      <c r="E38" s="2134"/>
      <c r="F38" s="2134"/>
      <c r="G38" s="2134"/>
      <c r="H38" s="2134"/>
      <c r="I38" s="2134"/>
    </row>
    <row r="39" spans="5:9" x14ac:dyDescent="0.25">
      <c r="E39" s="2134"/>
      <c r="F39" s="2134"/>
      <c r="G39" s="2134"/>
      <c r="H39" s="2134"/>
      <c r="I39" s="2134"/>
    </row>
    <row r="40" spans="5:9" x14ac:dyDescent="0.25">
      <c r="E40" s="2134"/>
      <c r="F40" s="2134"/>
      <c r="G40" s="2134"/>
      <c r="H40" s="2134"/>
      <c r="I40" s="2134"/>
    </row>
    <row r="41" spans="5:9" x14ac:dyDescent="0.25">
      <c r="E41" s="2134"/>
      <c r="F41" s="2134"/>
      <c r="G41" s="2134"/>
      <c r="H41" s="2134"/>
      <c r="I41" s="2134"/>
    </row>
    <row r="42" spans="5:9" x14ac:dyDescent="0.25">
      <c r="E42" s="2134"/>
      <c r="F42" s="2134"/>
      <c r="G42" s="2134"/>
      <c r="H42" s="2134"/>
      <c r="I42" s="2134"/>
    </row>
    <row r="43" spans="5:9" x14ac:dyDescent="0.25">
      <c r="E43" s="2134"/>
      <c r="F43" s="2134"/>
      <c r="G43" s="2134"/>
      <c r="H43" s="2134"/>
      <c r="I43" s="2134"/>
    </row>
    <row r="44" spans="5:9" x14ac:dyDescent="0.25">
      <c r="E44" s="2134"/>
      <c r="F44" s="2134"/>
      <c r="G44" s="2134"/>
      <c r="H44" s="2134"/>
      <c r="I44" s="2134"/>
    </row>
    <row r="45" spans="5:9" s="537" customFormat="1" x14ac:dyDescent="0.25">
      <c r="G45" s="687"/>
    </row>
    <row r="46" spans="5:9" s="537" customFormat="1" x14ac:dyDescent="0.25">
      <c r="G46" s="687"/>
    </row>
    <row r="47" spans="5:9" s="537" customFormat="1" x14ac:dyDescent="0.25">
      <c r="G47" s="687"/>
    </row>
    <row r="48" spans="5:9" s="537" customFormat="1" x14ac:dyDescent="0.25">
      <c r="G48" s="687"/>
    </row>
    <row r="49" spans="7:7" s="537" customFormat="1" x14ac:dyDescent="0.25">
      <c r="G49" s="687"/>
    </row>
    <row r="50" spans="7:7" s="537" customFormat="1" x14ac:dyDescent="0.25">
      <c r="G50" s="687"/>
    </row>
    <row r="51" spans="7:7" s="537" customFormat="1" x14ac:dyDescent="0.25">
      <c r="G51" s="687"/>
    </row>
    <row r="52" spans="7:7" s="537" customFormat="1" x14ac:dyDescent="0.25">
      <c r="G52" s="687"/>
    </row>
    <row r="53" spans="7:7" s="537" customFormat="1" x14ac:dyDescent="0.25">
      <c r="G53" s="687"/>
    </row>
    <row r="54" spans="7:7" s="537" customFormat="1" x14ac:dyDescent="0.25">
      <c r="G54" s="687"/>
    </row>
    <row r="55" spans="7:7" s="537" customFormat="1" x14ac:dyDescent="0.25">
      <c r="G55" s="687"/>
    </row>
    <row r="56" spans="7:7" s="537" customFormat="1" x14ac:dyDescent="0.25">
      <c r="G56" s="687"/>
    </row>
    <row r="57" spans="7:7" s="537" customFormat="1" x14ac:dyDescent="0.25">
      <c r="G57" s="687"/>
    </row>
    <row r="58" spans="7:7" s="537" customFormat="1" x14ac:dyDescent="0.25">
      <c r="G58" s="687"/>
    </row>
    <row r="59" spans="7:7" s="537" customFormat="1" x14ac:dyDescent="0.25">
      <c r="G59" s="687"/>
    </row>
    <row r="60" spans="7:7" s="537" customFormat="1" x14ac:dyDescent="0.25">
      <c r="G60" s="687"/>
    </row>
    <row r="61" spans="7:7" s="537" customFormat="1" x14ac:dyDescent="0.25">
      <c r="G61" s="687"/>
    </row>
    <row r="62" spans="7:7" s="537" customFormat="1" x14ac:dyDescent="0.25">
      <c r="G62" s="687"/>
    </row>
    <row r="63" spans="7:7" s="537" customFormat="1" x14ac:dyDescent="0.25">
      <c r="G63" s="687"/>
    </row>
    <row r="64" spans="7:7" s="537" customFormat="1" x14ac:dyDescent="0.25">
      <c r="G64" s="687"/>
    </row>
    <row r="65" spans="7:7" s="537" customFormat="1" x14ac:dyDescent="0.25">
      <c r="G65" s="687"/>
    </row>
    <row r="66" spans="7:7" s="537" customFormat="1" x14ac:dyDescent="0.25">
      <c r="G66" s="687"/>
    </row>
    <row r="67" spans="7:7" s="537" customFormat="1" x14ac:dyDescent="0.25">
      <c r="G67" s="687"/>
    </row>
    <row r="68" spans="7:7" x14ac:dyDescent="0.25"/>
    <row r="69" spans="7:7" x14ac:dyDescent="0.25"/>
    <row r="70" spans="7:7" x14ac:dyDescent="0.25"/>
    <row r="71" spans="7:7" x14ac:dyDescent="0.25"/>
    <row r="72" spans="7:7" x14ac:dyDescent="0.25"/>
    <row r="73" spans="7:7" x14ac:dyDescent="0.25"/>
    <row r="74" spans="7:7" x14ac:dyDescent="0.25"/>
  </sheetData>
  <sheetProtection algorithmName="SHA-512" hashValue="cxXWg8TozzF8OMArE+thSxOkiFdvGKm+s5/JzdDZLb/jDovkQYUxbtSPO10EzsFyaKtjgjMMSMcvs9S7K3sqEg==" saltValue="ZvpyIh2V/4mH1gwV+Dxocg==" spinCount="100000" sheet="1" formatCells="0" formatColumns="0" formatRows="0" pivotTables="0"/>
  <mergeCells count="5">
    <mergeCell ref="E1:I1"/>
    <mergeCell ref="E6:F6"/>
    <mergeCell ref="E31:F31"/>
    <mergeCell ref="F3:G3"/>
    <mergeCell ref="E35:I44"/>
  </mergeCells>
  <printOptions horizontalCentered="1"/>
  <pageMargins left="0.19685039370078741" right="0.11811023622047244" top="0" bottom="0.3543307086614173"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tabColor rgb="FF43C6E5"/>
  </sheetPr>
  <dimension ref="A1:M67"/>
  <sheetViews>
    <sheetView topLeftCell="A34" zoomScaleNormal="100" workbookViewId="0">
      <selection activeCell="F46" sqref="F46"/>
    </sheetView>
  </sheetViews>
  <sheetFormatPr baseColWidth="10" defaultColWidth="0" defaultRowHeight="15" zeroHeight="1" x14ac:dyDescent="0.25"/>
  <cols>
    <col min="1" max="4" width="11.42578125" style="537" customWidth="1"/>
    <col min="5" max="5" width="29.42578125" style="345" customWidth="1"/>
    <col min="6" max="6" width="20.7109375" style="345" customWidth="1"/>
    <col min="7" max="7" width="16.7109375" style="345" customWidth="1"/>
    <col min="8" max="8" width="18.28515625" style="345" customWidth="1"/>
    <col min="9" max="9" width="14" style="345" customWidth="1"/>
    <col min="10" max="13" width="11.42578125" style="537" customWidth="1"/>
    <col min="14" max="16384" width="11.42578125" style="345" hidden="1"/>
  </cols>
  <sheetData>
    <row r="1" spans="1:13" ht="28.5" customHeight="1" x14ac:dyDescent="0.25">
      <c r="E1" s="2135" t="s">
        <v>440</v>
      </c>
      <c r="F1" s="2136"/>
      <c r="G1" s="2136"/>
      <c r="H1" s="2136"/>
      <c r="I1" s="2137"/>
    </row>
    <row r="2" spans="1:13" x14ac:dyDescent="0.25">
      <c r="E2" s="388"/>
      <c r="F2" s="388"/>
      <c r="G2" s="388"/>
      <c r="H2" s="388"/>
      <c r="I2" s="388"/>
    </row>
    <row r="3" spans="1:13" s="746" customFormat="1" ht="24.75" customHeight="1" x14ac:dyDescent="0.25">
      <c r="A3" s="745"/>
      <c r="B3" s="745"/>
      <c r="C3" s="745"/>
      <c r="D3" s="745"/>
      <c r="E3" s="712" t="s">
        <v>42</v>
      </c>
      <c r="F3" s="2185" t="str">
        <f>INFORMATIONS!B10</f>
        <v>SAM CONSEILS</v>
      </c>
      <c r="G3" s="2185"/>
      <c r="H3" s="713" t="s">
        <v>52</v>
      </c>
      <c r="I3" s="714">
        <f>INFORMATIONS!D31</f>
        <v>43465</v>
      </c>
      <c r="J3" s="745"/>
      <c r="K3" s="745"/>
      <c r="L3" s="745"/>
      <c r="M3" s="745"/>
    </row>
    <row r="4" spans="1:13" ht="19.5" customHeight="1" x14ac:dyDescent="0.25">
      <c r="E4" s="632" t="s">
        <v>43</v>
      </c>
      <c r="F4" s="633" t="str">
        <f>INFORMATIONS!B24</f>
        <v>00084404X</v>
      </c>
      <c r="G4" s="634"/>
      <c r="H4" s="666" t="s">
        <v>44</v>
      </c>
      <c r="I4" s="784">
        <f>INFORMATIONS!F34</f>
        <v>12</v>
      </c>
    </row>
    <row r="5" spans="1:13" x14ac:dyDescent="0.25"/>
    <row r="6" spans="1:13" ht="39.75" customHeight="1" x14ac:dyDescent="0.25">
      <c r="E6" s="2116" t="s">
        <v>138</v>
      </c>
      <c r="F6" s="2117"/>
      <c r="G6" s="590" t="s">
        <v>139</v>
      </c>
      <c r="H6" s="590" t="s">
        <v>140</v>
      </c>
      <c r="I6" s="590" t="s">
        <v>141</v>
      </c>
    </row>
    <row r="7" spans="1:13" ht="16.5" customHeight="1" x14ac:dyDescent="0.25">
      <c r="E7" s="423" t="s">
        <v>441</v>
      </c>
      <c r="F7" s="425"/>
      <c r="G7" s="683">
        <f>-SUMPRODUCT(((LEFT(BalanceN!$A$4:$A$9999,4)="6011"))*BalanceN!$H$4:$H$9999)+SUMPRODUCT(((LEFT(BalanceN!$A$4:$A$9999,4)="6011"))*BalanceN!$G$4:$G$9999)</f>
        <v>75000000</v>
      </c>
      <c r="H7" s="683">
        <f>-SUMPRODUCT(((LEFT('BalanceN-1'!$A$4:$A$9999,4)="6011"))*'BalanceN-1'!$H$4:$H$9999)+SUMPRODUCT(((LEFT('BalanceN-1'!$A$4:$A$9999,4)="6011"))*'BalanceN-1'!$G$4:$G$9999)</f>
        <v>0</v>
      </c>
      <c r="I7" s="723" t="str">
        <f>IF(H7=0,"-",(G7-H7)/H7)</f>
        <v>-</v>
      </c>
    </row>
    <row r="8" spans="1:13" ht="16.5" customHeight="1" x14ac:dyDescent="0.25">
      <c r="E8" s="423" t="s">
        <v>442</v>
      </c>
      <c r="F8" s="425"/>
      <c r="G8" s="683">
        <f>-SUMPRODUCT(((LEFT(BalanceN!$A$4:$A$9999,4)="6012"))*BalanceN!$H$4:$H$9999)+SUMPRODUCT(((LEFT(BalanceN!$A$4:$A$9999,4)="6012"))*BalanceN!$G$4:$G$9999)</f>
        <v>0</v>
      </c>
      <c r="H8" s="683">
        <f>-SUMPRODUCT(((LEFT('BalanceN-1'!$A$4:$A$9999,4)="6012"))*'BalanceN-1'!$H$4:$H$9999)+SUMPRODUCT(((LEFT('BalanceN-1'!$A$4:$A$9999,4)="6012"))*'BalanceN-1'!$G$4:$G$9999)</f>
        <v>0</v>
      </c>
      <c r="I8" s="723" t="str">
        <f t="shared" ref="I8:I35" si="0">IF(H8=0,"-",(G8-H8)/H8)</f>
        <v>-</v>
      </c>
    </row>
    <row r="9" spans="1:13" ht="16.5" customHeight="1" x14ac:dyDescent="0.25">
      <c r="E9" s="423" t="s">
        <v>443</v>
      </c>
      <c r="F9" s="425"/>
      <c r="G9" s="683">
        <f>-SUMPRODUCT(((LEFT(BalanceN!$A$4:$A$9999,4)="6013")+(LEFT(BalanceN!$A$4:$A$9999,4)="6014"))*BalanceN!$H$4:$H$9999)+SUMPRODUCT(((LEFT(BalanceN!$A$4:$A$9999,4)="6013")+(LEFT(BalanceN!$A$4:$A$9999,4)="6014"))*BalanceN!$G$4:$G$9999)</f>
        <v>0</v>
      </c>
      <c r="H9" s="683">
        <f>-SUMPRODUCT(((LEFT('BalanceN-1'!$A$4:$A$9999,4)="6013")+(LEFT('BalanceN-1'!$A$4:$A$9999,4)="6014"))*'BalanceN-1'!$H$4:$H$9999)+SUMPRODUCT(((LEFT('BalanceN-1'!$A$4:$A$9999,4)="6013")+(LEFT('BalanceN-1'!$A$4:$A$9999,4)="6014"))*'BalanceN-1'!$G$4:$G$9999)</f>
        <v>0</v>
      </c>
      <c r="I9" s="723" t="str">
        <f t="shared" si="0"/>
        <v>-</v>
      </c>
    </row>
    <row r="10" spans="1:13" ht="16.5" customHeight="1" x14ac:dyDescent="0.25">
      <c r="E10" s="423" t="s">
        <v>456</v>
      </c>
      <c r="F10" s="425"/>
      <c r="G10" s="683">
        <f>-SUMPRODUCT(((LEFT(BalanceN!$A$4:$A$9999,4)="6015"))*BalanceN!$H$4:$H$9999)+SUMPRODUCT(((LEFT(BalanceN!$A$4:$A$9999,4)="6015"))*BalanceN!$G$4:$G$9999)</f>
        <v>0</v>
      </c>
      <c r="H10" s="683">
        <f>-SUMPRODUCT(((LEFT('BalanceN-1'!$A$4:$A$9999,4)="6015"))*'BalanceN-1'!$H$4:$H$9999)+SUMPRODUCT(((LEFT('BalanceN-1'!$A$4:$A$9999,4)="6015"))*'BalanceN-1'!$G$4:$G$9999)</f>
        <v>0</v>
      </c>
      <c r="I10" s="723" t="str">
        <f t="shared" si="0"/>
        <v>-</v>
      </c>
    </row>
    <row r="11" spans="1:13" ht="16.5" customHeight="1" x14ac:dyDescent="0.25">
      <c r="E11" s="423" t="s">
        <v>1069</v>
      </c>
      <c r="F11" s="425"/>
      <c r="G11" s="683">
        <f>-(-SUMPRODUCT(((LEFT(BalanceN!$A$4:$A$9999,4)="6019"))*BalanceN!$G$4:$G$9999)+SUMPRODUCT(((LEFT(BalanceN!$A$4:$A$9999,4)="6019"))*BalanceN!$H$4:$H$9999))</f>
        <v>0</v>
      </c>
      <c r="H11" s="683">
        <f>-(-SUMPRODUCT(((LEFT('BalanceN-1'!$A$4:$A$9999,4)="6019"))*'BalanceN-1'!$G$4:$G$9999)+SUMPRODUCT(((LEFT('BalanceN-1'!$A$4:$A$9999,4)="6019"))*'BalanceN-1'!$H$4:$H$9999))</f>
        <v>0</v>
      </c>
      <c r="I11" s="723" t="str">
        <f t="shared" si="0"/>
        <v>-</v>
      </c>
    </row>
    <row r="12" spans="1:13" ht="21" customHeight="1" x14ac:dyDescent="0.25">
      <c r="E12" s="595" t="s">
        <v>444</v>
      </c>
      <c r="F12" s="597"/>
      <c r="G12" s="639">
        <f>SUM(G7:G11)</f>
        <v>75000000</v>
      </c>
      <c r="H12" s="639">
        <f>SUM(H7:H11)</f>
        <v>0</v>
      </c>
      <c r="I12" s="751" t="str">
        <f t="shared" si="0"/>
        <v>-</v>
      </c>
    </row>
    <row r="13" spans="1:13" ht="16.5" customHeight="1" x14ac:dyDescent="0.25">
      <c r="E13" s="423" t="s">
        <v>441</v>
      </c>
      <c r="F13" s="425"/>
      <c r="G13" s="683">
        <f>-SUMPRODUCT(((LEFT(BalanceN!$A$4:$A$9999,4)="6021"))*BalanceN!$H$4:$H$9999)+SUMPRODUCT(((LEFT(BalanceN!$A$4:$A$9999,4)="6021"))*BalanceN!$G$4:$G$9999)</f>
        <v>923186842</v>
      </c>
      <c r="H13" s="683">
        <f>-SUMPRODUCT(((LEFT('BalanceN-1'!$A$4:$A$9999,4)="6021"))*'BalanceN-1'!$H$4:$H$9999)+SUMPRODUCT(((LEFT('BalanceN-1'!$A$4:$A$9999,4)="6021"))*'BalanceN-1'!$G$4:$G$9999)</f>
        <v>954585472</v>
      </c>
      <c r="I13" s="723">
        <f t="shared" si="0"/>
        <v>-3.2892423906489117E-2</v>
      </c>
    </row>
    <row r="14" spans="1:13" ht="16.5" customHeight="1" x14ac:dyDescent="0.25">
      <c r="E14" s="423" t="s">
        <v>442</v>
      </c>
      <c r="F14" s="425"/>
      <c r="G14" s="683">
        <f>-SUMPRODUCT(((LEFT(BalanceN!$A$4:$A$9999,4)="6022"))*BalanceN!$H$4:$H$9999)+SUMPRODUCT(((LEFT(BalanceN!$A$4:$A$9999,4)="6022"))*BalanceN!$G$4:$G$9999)</f>
        <v>5116850</v>
      </c>
      <c r="H14" s="683">
        <f>-SUMPRODUCT(((LEFT('BalanceN-1'!$A$4:$A$9999,4)="6022"))*'BalanceN-1'!$H$4:$H$9999)+SUMPRODUCT(((LEFT('BalanceN-1'!$A$4:$A$9999,4)="6022"))*'BalanceN-1'!$G$4:$G$9999)</f>
        <v>0</v>
      </c>
      <c r="I14" s="723" t="str">
        <f t="shared" si="0"/>
        <v>-</v>
      </c>
    </row>
    <row r="15" spans="1:13" ht="16.5" customHeight="1" x14ac:dyDescent="0.25">
      <c r="E15" s="423" t="s">
        <v>443</v>
      </c>
      <c r="F15" s="425"/>
      <c r="G15" s="683">
        <f>-SUMPRODUCT(((LEFT(BalanceN!$A$4:$A$9999,4)="6023")+(LEFT(BalanceN!$A$4:$A$9999,4)="6024"))*BalanceN!$H$4:$H$9999)+SUMPRODUCT(((LEFT(BalanceN!$A$4:$A$9999,4)="6023")+(LEFT(BalanceN!$A$4:$A$9999,4)="6024"))*BalanceN!$G$4:$G$9999)</f>
        <v>0</v>
      </c>
      <c r="H15" s="683">
        <f>-SUMPRODUCT(((LEFT('BalanceN-1'!$A$4:$A$9999,4)="6023")+(LEFT('BalanceN-1'!$A$4:$A$9999,4)="6024"))*'BalanceN-1'!$H$4:$H$9999)+SUMPRODUCT(((LEFT('BalanceN-1'!$A$4:$A$9999,4)="6023")+(LEFT('BalanceN-1'!$A$4:$A$9999,4)="6024"))*'BalanceN-1'!$G$4:$G$9999)</f>
        <v>0</v>
      </c>
      <c r="I15" s="723" t="str">
        <f t="shared" si="0"/>
        <v>-</v>
      </c>
    </row>
    <row r="16" spans="1:13" ht="16.5" customHeight="1" x14ac:dyDescent="0.25">
      <c r="E16" s="423" t="s">
        <v>456</v>
      </c>
      <c r="F16" s="425"/>
      <c r="G16" s="683">
        <f>-SUMPRODUCT(((LEFT(BalanceN!$A$4:$A$9999,4)="6025"))*BalanceN!$H$4:$H$9999)+SUMPRODUCT(((LEFT(BalanceN!$A$4:$A$9999,4)="6025"))*BalanceN!$G$4:$G$9999)</f>
        <v>0</v>
      </c>
      <c r="H16" s="683">
        <f>-SUMPRODUCT(((LEFT('BalanceN-1'!$A$4:$A$9999,4)="6025"))*'BalanceN-1'!$H$4:$H$9999)+SUMPRODUCT(((LEFT('BalanceN-1'!$A$4:$A$9999,4)="6025"))*'BalanceN-1'!$G$4:$G$9999)</f>
        <v>0</v>
      </c>
      <c r="I16" s="723" t="str">
        <f t="shared" si="0"/>
        <v>-</v>
      </c>
    </row>
    <row r="17" spans="5:9" ht="16.5" customHeight="1" x14ac:dyDescent="0.25">
      <c r="E17" s="423" t="s">
        <v>1069</v>
      </c>
      <c r="F17" s="425"/>
      <c r="G17" s="683">
        <f>-(-SUMPRODUCT(((LEFT(BalanceN!$A$4:$A$9999,4)="6029"))*BalanceN!$G$4:$G$9999)+SUMPRODUCT(((LEFT(BalanceN!$A$4:$A$9999,4)="6029"))*BalanceN!$H$4:$H$9999))</f>
        <v>0</v>
      </c>
      <c r="H17" s="683">
        <f>-(-SUMPRODUCT(((LEFT('BalanceN-1'!$A$4:$A$9999,4)="6029"))*'BalanceN-1'!$G$4:$G$9999)+SUMPRODUCT(((LEFT('BalanceN-1'!$A$4:$A$9999,4)="6029"))*'BalanceN-1'!$H$4:$H$9999))</f>
        <v>0</v>
      </c>
      <c r="I17" s="723" t="str">
        <f t="shared" si="0"/>
        <v>-</v>
      </c>
    </row>
    <row r="18" spans="5:9" ht="31.5" customHeight="1" x14ac:dyDescent="0.25">
      <c r="E18" s="2029" t="s">
        <v>445</v>
      </c>
      <c r="F18" s="2031"/>
      <c r="G18" s="642">
        <f>SUM(G13:G17)</f>
        <v>928303692</v>
      </c>
      <c r="H18" s="642">
        <f>SUM(H13:H17)</f>
        <v>954585472</v>
      </c>
      <c r="I18" s="755"/>
    </row>
    <row r="19" spans="5:9" ht="16.5" customHeight="1" x14ac:dyDescent="0.25">
      <c r="E19" s="423" t="s">
        <v>446</v>
      </c>
      <c r="F19" s="425"/>
      <c r="G19" s="683">
        <f>-SUMPRODUCT(((LEFT(BalanceN!$A$4:$A$9999,4)="6041"))*BalanceN!$H$4:$H$9999)+SUMPRODUCT(((LEFT(BalanceN!$A$4:$A$9999,4)="6041"))*BalanceN!$G$4:$G$9999)</f>
        <v>0</v>
      </c>
      <c r="H19" s="683">
        <f>-SUMPRODUCT(((LEFT('BalanceN-1'!$A$4:$A$9999,4)="6041"))*'BalanceN-1'!$H$4:$H$9999)+SUMPRODUCT(((LEFT('BalanceN-1'!$A$4:$A$9999,4)="6041"))*'BalanceN-1'!$G$4:$G$9999)</f>
        <v>0</v>
      </c>
      <c r="I19" s="723" t="str">
        <f t="shared" si="0"/>
        <v>-</v>
      </c>
    </row>
    <row r="20" spans="5:9" ht="16.5" customHeight="1" x14ac:dyDescent="0.25">
      <c r="E20" s="423" t="s">
        <v>447</v>
      </c>
      <c r="F20" s="425"/>
      <c r="G20" s="683">
        <f>-SUMPRODUCT(((LEFT(BalanceN!$A$4:$A$9999,4)="6042"))*BalanceN!$H$4:$H$9999)+SUMPRODUCT(((LEFT(BalanceN!$A$4:$A$9999,4)="6042"))*BalanceN!$G$4:$G$9999)</f>
        <v>11259476</v>
      </c>
      <c r="H20" s="683">
        <f>-SUMPRODUCT(((LEFT('BalanceN-1'!$A$4:$A$9999,4)="6042"))*'BalanceN-1'!$H$4:$H$9999)+SUMPRODUCT(((LEFT('BalanceN-1'!$A$4:$A$9999,4)="6042"))*'BalanceN-1'!$G$4:$G$9999)</f>
        <v>12683576</v>
      </c>
      <c r="I20" s="723">
        <f t="shared" si="0"/>
        <v>-0.1122790607317684</v>
      </c>
    </row>
    <row r="21" spans="5:9" ht="16.5" customHeight="1" x14ac:dyDescent="0.25">
      <c r="E21" s="423" t="s">
        <v>448</v>
      </c>
      <c r="F21" s="425"/>
      <c r="G21" s="683">
        <f>-SUMPRODUCT(((LEFT(BalanceN!$A$4:$A$9999,4)="6043"))*BalanceN!$H$4:$H$9999)+SUMPRODUCT(((LEFT(BalanceN!$A$4:$A$9999,4)="6043"))*BalanceN!$G$4:$G$9999)</f>
        <v>0</v>
      </c>
      <c r="H21" s="683">
        <f>-SUMPRODUCT(((LEFT('BalanceN-1'!$A$4:$A$9999,4)="6043"))*'BalanceN-1'!$H$4:$H$9999)+SUMPRODUCT(((LEFT('BalanceN-1'!$A$4:$A$9999,4)="6043"))*'BalanceN-1'!$G$4:$G$9999)</f>
        <v>1144000</v>
      </c>
      <c r="I21" s="723">
        <f t="shared" si="0"/>
        <v>-1</v>
      </c>
    </row>
    <row r="22" spans="5:9" ht="16.5" customHeight="1" x14ac:dyDescent="0.25">
      <c r="E22" s="423" t="s">
        <v>449</v>
      </c>
      <c r="F22" s="425"/>
      <c r="G22" s="683">
        <f>-SUMPRODUCT(((LEFT(BalanceN!$A$4:$A$9999,4)="6044"))*BalanceN!$H$4:$H$9999)+SUMPRODUCT(((LEFT(BalanceN!$A$4:$A$9999,4)="6044"))*BalanceN!$G$4:$G$9999)</f>
        <v>0</v>
      </c>
      <c r="H22" s="683">
        <f>-SUMPRODUCT(((LEFT('BalanceN-1'!$A$4:$A$9999,4)="6044"))*'BalanceN-1'!$H$4:$H$9999)+SUMPRODUCT(((LEFT('BalanceN-1'!$A$4:$A$9999,4)="6044"))*'BalanceN-1'!$G$4:$G$9999)</f>
        <v>0</v>
      </c>
      <c r="I22" s="723" t="str">
        <f t="shared" si="0"/>
        <v>-</v>
      </c>
    </row>
    <row r="23" spans="5:9" ht="16.5" customHeight="1" x14ac:dyDescent="0.25">
      <c r="E23" s="423" t="s">
        <v>456</v>
      </c>
      <c r="F23" s="425"/>
      <c r="G23" s="683">
        <f>-SUMPRODUCT(((LEFT(BalanceN!$A$4:$A$9999,4)="6045"))*BalanceN!$H$4:$H$9999)+SUMPRODUCT(((LEFT(BalanceN!$A$4:$A$9999,4)="6045"))*BalanceN!$G$4:$G$9999)</f>
        <v>0</v>
      </c>
      <c r="H23" s="683">
        <f>-SUMPRODUCT(((LEFT('BalanceN-1'!$A$4:$A$9999,4)="6045"))*'BalanceN-1'!$H$4:$H$9999)+SUMPRODUCT(((LEFT('BalanceN-1'!$A$4:$A$9999,4)="6045"))*'BalanceN-1'!$G$4:$G$9999)</f>
        <v>0</v>
      </c>
      <c r="I23" s="723" t="str">
        <f t="shared" si="0"/>
        <v>-</v>
      </c>
    </row>
    <row r="24" spans="5:9" ht="16.5" customHeight="1" x14ac:dyDescent="0.25">
      <c r="E24" s="423" t="s">
        <v>1070</v>
      </c>
      <c r="F24" s="425"/>
      <c r="G24" s="683">
        <f>-SUMPRODUCT(((LEFT(BalanceN!$A$4:$A$9999,4)="6046"))*BalanceN!$H$4:$H$9999)+SUMPRODUCT(((LEFT(BalanceN!$A$4:$A$9999,4)="6046"))*BalanceN!$G$4:$G$9999)</f>
        <v>0</v>
      </c>
      <c r="H24" s="683">
        <f>-SUMPRODUCT(((LEFT('BalanceN-1'!$A$4:$A$9999,4)="6046"))*'BalanceN-1'!$H$4:$H$9999)+SUMPRODUCT(((LEFT('BalanceN-1'!$A$4:$A$9999,4)="6046"))*'BalanceN-1'!$G$4:$G$9999)</f>
        <v>0</v>
      </c>
      <c r="I24" s="723" t="str">
        <f t="shared" si="0"/>
        <v>-</v>
      </c>
    </row>
    <row r="25" spans="5:9" ht="16.5" customHeight="1" x14ac:dyDescent="0.25">
      <c r="E25" s="423" t="s">
        <v>1071</v>
      </c>
      <c r="F25" s="425"/>
      <c r="G25" s="683">
        <f>-SUMPRODUCT(((LEFT(BalanceN!$A$4:$A$9999,4)="6047"))*BalanceN!$H$4:$H$9999)+SUMPRODUCT(((LEFT(BalanceN!$A$4:$A$9999,4)="6047"))*BalanceN!$G$4:$G$9999)</f>
        <v>0</v>
      </c>
      <c r="H25" s="683">
        <f>-SUMPRODUCT(((LEFT('BalanceN-1'!$A$4:$A$9999,4)="6047"))*'BalanceN-1'!$H$4:$H$9999)+SUMPRODUCT(((LEFT('BalanceN-1'!$A$4:$A$9999,4)="6047"))*'BalanceN-1'!$G$4:$G$9999)</f>
        <v>0</v>
      </c>
      <c r="I25" s="723" t="str">
        <f t="shared" si="0"/>
        <v>-</v>
      </c>
    </row>
    <row r="26" spans="5:9" ht="16.5" customHeight="1" x14ac:dyDescent="0.25">
      <c r="E26" s="423" t="s">
        <v>450</v>
      </c>
      <c r="F26" s="425"/>
      <c r="G26" s="683">
        <f>-SUMPRODUCT(((LEFT(BalanceN!$A$4:$A$9999,4)="6051"))*BalanceN!$H$4:$H$9999)+SUMPRODUCT(((LEFT(BalanceN!$A$4:$A$9999,4)="6051"))*BalanceN!$G$4:$G$9999)</f>
        <v>5507820</v>
      </c>
      <c r="H26" s="683">
        <f>-SUMPRODUCT(((LEFT('BalanceN-1'!$A$4:$A$9999,4)="6051"))*'BalanceN-1'!$H$4:$H$9999)+SUMPRODUCT(((LEFT('BalanceN-1'!$A$4:$A$9999,4)="6051"))*'BalanceN-1'!$G$4:$G$9999)</f>
        <v>4659249</v>
      </c>
      <c r="I26" s="723">
        <f t="shared" si="0"/>
        <v>0.18212613234450445</v>
      </c>
    </row>
    <row r="27" spans="5:9" ht="16.5" customHeight="1" x14ac:dyDescent="0.25">
      <c r="E27" s="423" t="s">
        <v>451</v>
      </c>
      <c r="F27" s="425"/>
      <c r="G27" s="683">
        <f>-SUMPRODUCT(((LEFT(BalanceN!$A$4:$A$9999,4)="6052"))*BalanceN!$H$4:$H$9999)+SUMPRODUCT(((LEFT(BalanceN!$A$4:$A$9999,4)="6052"))*BalanceN!$G$4:$G$9999)</f>
        <v>23946351</v>
      </c>
      <c r="H27" s="683">
        <f>-SUMPRODUCT(((LEFT('BalanceN-1'!$A$4:$A$9999,4)="6052"))*'BalanceN-1'!$H$4:$H$9999)+SUMPRODUCT(((LEFT('BalanceN-1'!$A$4:$A$9999,4)="6052"))*'BalanceN-1'!$G$4:$G$9999)</f>
        <v>21760619</v>
      </c>
      <c r="I27" s="723">
        <f t="shared" si="0"/>
        <v>0.10044438533664875</v>
      </c>
    </row>
    <row r="28" spans="5:9" ht="16.5" customHeight="1" x14ac:dyDescent="0.25">
      <c r="E28" s="423" t="s">
        <v>452</v>
      </c>
      <c r="F28" s="425"/>
      <c r="G28" s="683">
        <f>-SUMPRODUCT(((LEFT(BalanceN!$A$4:$A$9999,4)="6053"))*BalanceN!$H$4:$H$9999)+SUMPRODUCT(((LEFT(BalanceN!$A$4:$A$9999,4)="6053"))*BalanceN!$G$4:$G$9999)</f>
        <v>0</v>
      </c>
      <c r="H28" s="683">
        <f>-SUMPRODUCT(((LEFT('BalanceN-1'!$A$4:$A$9999,4)="6053"))*'BalanceN-1'!$H$4:$H$9999)+SUMPRODUCT(((LEFT('BalanceN-1'!$A$4:$A$9999,4)="6053"))*'BalanceN-1'!$G$4:$G$9999)</f>
        <v>0</v>
      </c>
      <c r="I28" s="723" t="str">
        <f t="shared" si="0"/>
        <v>-</v>
      </c>
    </row>
    <row r="29" spans="5:9" ht="16.5" customHeight="1" x14ac:dyDescent="0.25">
      <c r="E29" s="423" t="s">
        <v>1072</v>
      </c>
      <c r="F29" s="425"/>
      <c r="G29" s="683">
        <f>-SUMPRODUCT(((LEFT(BalanceN!$A$4:$A$9999,4)="6054"))*BalanceN!$H$4:$H$9999)+SUMPRODUCT(((LEFT(BalanceN!$A$4:$A$9999,4)="6054"))*BalanceN!$G$4:$G$9999)</f>
        <v>3983103</v>
      </c>
      <c r="H29" s="683">
        <f>-SUMPRODUCT(((LEFT('BalanceN-1'!$A$4:$A$9999,4)="6054"))*'BalanceN-1'!$H$4:$H$9999)+SUMPRODUCT(((LEFT('BalanceN-1'!$A$4:$A$9999,4)="6054"))*'BalanceN-1'!$G$4:$G$9999)</f>
        <v>2179626</v>
      </c>
      <c r="I29" s="723">
        <f t="shared" si="0"/>
        <v>0.8274249802489051</v>
      </c>
    </row>
    <row r="30" spans="5:9" ht="16.5" customHeight="1" x14ac:dyDescent="0.25">
      <c r="E30" s="423" t="s">
        <v>1073</v>
      </c>
      <c r="F30" s="425"/>
      <c r="G30" s="683">
        <f>-SUMPRODUCT(((LEFT(BalanceN!$A$4:$A$9999,4)="6055"))*BalanceN!$H$4:$H$9999)+SUMPRODUCT(((LEFT(BalanceN!$A$4:$A$9999,4)="6055"))*BalanceN!$G$4:$G$9999)</f>
        <v>4273500</v>
      </c>
      <c r="H30" s="683">
        <f>-SUMPRODUCT(((LEFT('BalanceN-1'!$A$4:$A$9999,4)="6055"))*'BalanceN-1'!$H$4:$H$9999)+SUMPRODUCT(((LEFT('BalanceN-1'!$A$4:$A$9999,4)="6055"))*'BalanceN-1'!$G$4:$G$9999)</f>
        <v>5034950</v>
      </c>
      <c r="I30" s="723">
        <f t="shared" si="0"/>
        <v>-0.15123288215374531</v>
      </c>
    </row>
    <row r="31" spans="5:9" ht="16.5" customHeight="1" x14ac:dyDescent="0.25">
      <c r="E31" s="423" t="s">
        <v>453</v>
      </c>
      <c r="F31" s="425"/>
      <c r="G31" s="683">
        <f>-SUMPRODUCT(((LEFT(BalanceN!$A$4:$A$9999,4)="6056"))*BalanceN!$H$4:$H$9999)+SUMPRODUCT(((LEFT(BalanceN!$A$4:$A$9999,4)="6056"))*BalanceN!$G$4:$G$9999)</f>
        <v>13718052</v>
      </c>
      <c r="H31" s="683">
        <f>-SUMPRODUCT(((LEFT('BalanceN-1'!$A$4:$A$9999,4)="6056"))*'BalanceN-1'!$H$4:$H$9999)+SUMPRODUCT(((LEFT('BalanceN-1'!$A$4:$A$9999,4)="6056"))*'BalanceN-1'!$G$4:$G$9999)</f>
        <v>11441377</v>
      </c>
      <c r="I31" s="723">
        <f t="shared" si="0"/>
        <v>0.19898610106108733</v>
      </c>
    </row>
    <row r="32" spans="5:9" ht="30.75" customHeight="1" x14ac:dyDescent="0.25">
      <c r="E32" s="2001" t="s">
        <v>454</v>
      </c>
      <c r="F32" s="2003"/>
      <c r="G32" s="683">
        <f>-SUMPRODUCT(((LEFT(BalanceN!$A$4:$A$9999,4)="6057")+(LEFT(BalanceN!$A$4:$A$9999,4)="6058"))*BalanceN!$H$4:$H$9999)+SUMPRODUCT(((LEFT(BalanceN!$A$4:$A$9999,4)="6057")+(LEFT(BalanceN!$A$4:$A$9999,4)="6058"))*BalanceN!$G$4:$G$9999)</f>
        <v>12000</v>
      </c>
      <c r="H32" s="683">
        <f>-SUMPRODUCT(((LEFT('BalanceN-1'!$A$4:$A$9999,4)="6057")+(LEFT('BalanceN-1'!$A$4:$A$9999,4)="6058"))*'BalanceN-1'!$H$4:$H$9999)+SUMPRODUCT(((LEFT('BalanceN-1'!$A$4:$A$9999,4)="6057")+(LEFT('BalanceN-1'!$A$4:$A$9999,4)="6058"))*'BalanceN-1'!$G$4:$G$9999)</f>
        <v>925025</v>
      </c>
      <c r="I32" s="724">
        <f t="shared" si="0"/>
        <v>-0.98702737763844217</v>
      </c>
    </row>
    <row r="33" spans="1:13" ht="16.5" customHeight="1" x14ac:dyDescent="0.25">
      <c r="E33" s="423" t="s">
        <v>455</v>
      </c>
      <c r="F33" s="425"/>
      <c r="G33" s="683">
        <f>-SUMPRODUCT(((LEFT(BalanceN!$A$4:$A$9999,3)="608")-(LEFT(BalanceN!$A$4:$A$9999,4)="6085")-(LEFT(BalanceN!$A$4:$A$9999,4)="6089"))*BalanceN!$H$4:$H$9999)+SUMPRODUCT(((LEFT(BalanceN!$A$4:$A$9999,3)="608")-(LEFT(BalanceN!$A$4:$A$9999,4)="6085")-(LEFT(BalanceN!$A$4:$A$9999,4)="6089"))*BalanceN!$G$4:$G$9999)</f>
        <v>95566657</v>
      </c>
      <c r="H33" s="683">
        <f>-SUMPRODUCT(((LEFT('BalanceN-1'!$A$4:$A$9999,3)="608")-(LEFT('BalanceN-1'!$A$4:$A$9999,4)="6085")-(LEFT('BalanceN-1'!$A$4:$A$9999,4)="6089"))*'BalanceN-1'!$H$4:$H$9999)+SUMPRODUCT(((LEFT('BalanceN-1'!$A$4:$A$9999,3)="608")-(LEFT('BalanceN-1'!$A$4:$A$9999,4)="6085")-(LEFT('BalanceN-1'!$A$4:$A$9999,4)="6089"))*'BalanceN-1'!$G$4:$G$9999)</f>
        <v>101292095</v>
      </c>
      <c r="I33" s="723">
        <f t="shared" si="0"/>
        <v>-5.6524035760144954E-2</v>
      </c>
    </row>
    <row r="34" spans="1:13" ht="16.5" customHeight="1" x14ac:dyDescent="0.25">
      <c r="E34" s="423" t="s">
        <v>456</v>
      </c>
      <c r="F34" s="425"/>
      <c r="G34" s="683">
        <f>-SUMPRODUCT(((LEFT(BalanceN!$A$4:$A$9999,4)="6085"))*BalanceN!$H$4:$H$9999)+SUMPRODUCT(((LEFT(BalanceN!$A$4:$A$9999,4)="6085"))*BalanceN!$G$4:$G$9999)</f>
        <v>0</v>
      </c>
      <c r="H34" s="683">
        <f>-SUMPRODUCT(((LEFT('BalanceN-1'!$A$4:$A$9999,4)="6085"))*'BalanceN-1'!$H$4:$H$9999)+SUMPRODUCT(((LEFT('BalanceN-1'!$A$4:$A$9999,4)="6085"))*'BalanceN-1'!$G$4:$G$9999)</f>
        <v>0</v>
      </c>
      <c r="I34" s="723" t="str">
        <f t="shared" si="0"/>
        <v>-</v>
      </c>
    </row>
    <row r="35" spans="1:13" ht="16.5" customHeight="1" x14ac:dyDescent="0.25">
      <c r="E35" s="423" t="s">
        <v>457</v>
      </c>
      <c r="F35" s="425"/>
      <c r="G35" s="683">
        <f>-(-SUMPRODUCT(((LEFT(BalanceN!$A$4:$A$9999,4)="6049")+(LEFT(BalanceN!$A$4:$A$9999,4)="6059")+(LEFT(BalanceN!$A$4:$A$9999,4)="6089"))*BalanceN!$G$4:$G$9999)+SUMPRODUCT(((LEFT(BalanceN!$A$4:$A$9999,4)="6049")+(LEFT(BalanceN!$A$4:$A$9999,4)="6059")+(LEFT(BalanceN!$A$4:$A$9999,4)="6089"))*BalanceN!$H$4:$H$9999))</f>
        <v>0</v>
      </c>
      <c r="H35" s="683">
        <f>-(-SUMPRODUCT(((LEFT('BalanceN-1'!$A$4:$A$9999,4)="6049")+(LEFT('BalanceN-1'!$A$4:$A$9999,4)="6059")+(LEFT('BalanceN-1'!$A$4:$A$9999,4)="6089"))*'BalanceN-1'!$G$4:$G$9999)+SUMPRODUCT(((LEFT('BalanceN-1'!$A$4:$A$9999,4)="6049")+(LEFT('BalanceN-1'!$A$4:$A$9999,4)="6059")+(LEFT('BalanceN-1'!$A$4:$A$9999,4)="6089"))*'BalanceN-1'!$H$4:$H$9999))</f>
        <v>0</v>
      </c>
      <c r="I35" s="723" t="str">
        <f t="shared" si="0"/>
        <v>-</v>
      </c>
    </row>
    <row r="36" spans="1:13" ht="21" customHeight="1" x14ac:dyDescent="0.25">
      <c r="E36" s="591" t="s">
        <v>458</v>
      </c>
      <c r="F36" s="593"/>
      <c r="G36" s="642">
        <f>SUM(G19:G35)</f>
        <v>158266959</v>
      </c>
      <c r="H36" s="642">
        <f>SUM(H19:H35)</f>
        <v>161120517</v>
      </c>
      <c r="I36" s="755"/>
    </row>
    <row r="37" spans="1:13" s="422" customFormat="1" ht="21.75" customHeight="1" x14ac:dyDescent="0.25">
      <c r="A37" s="546"/>
      <c r="B37" s="546"/>
      <c r="C37" s="546"/>
      <c r="D37" s="546"/>
      <c r="E37" s="2029" t="s">
        <v>84</v>
      </c>
      <c r="F37" s="2031"/>
      <c r="G37" s="642">
        <f>G12+G18+G36</f>
        <v>1161570651</v>
      </c>
      <c r="H37" s="642">
        <f>H12+H18+H36</f>
        <v>1115705989</v>
      </c>
      <c r="I37" s="755"/>
      <c r="J37" s="546"/>
      <c r="K37" s="546"/>
      <c r="L37" s="546"/>
      <c r="M37" s="546"/>
    </row>
    <row r="38" spans="1:13" x14ac:dyDescent="0.25"/>
    <row r="39" spans="1:13" x14ac:dyDescent="0.25">
      <c r="E39" s="645" t="s">
        <v>1348</v>
      </c>
    </row>
    <row r="40" spans="1:13" x14ac:dyDescent="0.25">
      <c r="E40" s="2228"/>
      <c r="F40" s="2228"/>
      <c r="G40" s="2228"/>
      <c r="H40" s="2228"/>
      <c r="I40" s="2228"/>
    </row>
    <row r="41" spans="1:13" x14ac:dyDescent="0.25">
      <c r="E41" s="2228"/>
      <c r="F41" s="2228"/>
      <c r="G41" s="2228"/>
      <c r="H41" s="2228"/>
      <c r="I41" s="2228"/>
    </row>
    <row r="42" spans="1:13" x14ac:dyDescent="0.25">
      <c r="E42" s="2228"/>
      <c r="F42" s="2228"/>
      <c r="G42" s="2228"/>
      <c r="H42" s="2228"/>
      <c r="I42" s="2228"/>
    </row>
    <row r="43" spans="1:13" x14ac:dyDescent="0.25">
      <c r="E43" s="2228"/>
      <c r="F43" s="2228"/>
      <c r="G43" s="2228"/>
      <c r="H43" s="2228"/>
      <c r="I43" s="2228"/>
    </row>
    <row r="44" spans="1:13" x14ac:dyDescent="0.25">
      <c r="E44" s="2228"/>
      <c r="F44" s="2228"/>
      <c r="G44" s="2228"/>
      <c r="H44" s="2228"/>
      <c r="I44" s="2228"/>
    </row>
    <row r="45" spans="1:13" s="537" customFormat="1" x14ac:dyDescent="0.25"/>
    <row r="46" spans="1:13" s="537" customFormat="1" x14ac:dyDescent="0.25"/>
    <row r="47" spans="1:13" s="537" customFormat="1" x14ac:dyDescent="0.25"/>
    <row r="48" spans="1:13" s="537" customFormat="1" x14ac:dyDescent="0.25"/>
    <row r="49" s="537" customFormat="1" x14ac:dyDescent="0.25"/>
    <row r="50" s="537" customFormat="1" x14ac:dyDescent="0.25"/>
    <row r="51" s="537" customFormat="1" x14ac:dyDescent="0.25"/>
    <row r="52" s="537" customFormat="1" x14ac:dyDescent="0.25"/>
    <row r="53" s="537" customFormat="1" x14ac:dyDescent="0.25"/>
    <row r="54" s="537" customFormat="1" x14ac:dyDescent="0.25"/>
    <row r="55" s="537" customFormat="1" x14ac:dyDescent="0.25"/>
    <row r="56" s="537" customFormat="1" x14ac:dyDescent="0.25"/>
    <row r="57" s="537" customFormat="1" x14ac:dyDescent="0.25"/>
    <row r="58" s="537" customFormat="1" x14ac:dyDescent="0.25"/>
    <row r="59" s="537" customFormat="1" x14ac:dyDescent="0.25"/>
    <row r="60" s="537" customFormat="1" x14ac:dyDescent="0.25"/>
    <row r="61" s="537" customFormat="1" x14ac:dyDescent="0.25"/>
    <row r="62" s="537" customFormat="1" x14ac:dyDescent="0.25"/>
    <row r="63" s="537" customFormat="1" x14ac:dyDescent="0.25"/>
    <row r="64" s="537" customFormat="1" x14ac:dyDescent="0.25"/>
    <row r="65" s="537" customFormat="1" x14ac:dyDescent="0.25"/>
    <row r="66" s="537" customFormat="1" x14ac:dyDescent="0.25"/>
    <row r="67" s="537" customFormat="1" x14ac:dyDescent="0.25"/>
  </sheetData>
  <sheetProtection algorithmName="SHA-512" hashValue="L+oP8tqIC9WOSupNHFf+zScBfP5h3vw/fyQpbk7u2WNd2V6aUp328kKWN0zNaIxRDuMCjpW8I4JG0MTQyMPtdA==" saltValue="7yia4nWSeiWSbNioYi16pg==" spinCount="100000" sheet="1" formatCells="0" formatColumns="0" pivotTables="0"/>
  <mergeCells count="7">
    <mergeCell ref="E40:I44"/>
    <mergeCell ref="E1:I1"/>
    <mergeCell ref="E6:F6"/>
    <mergeCell ref="E37:F37"/>
    <mergeCell ref="E18:F18"/>
    <mergeCell ref="E32:F32"/>
    <mergeCell ref="F3:G3"/>
  </mergeCells>
  <printOptions horizontalCentered="1"/>
  <pageMargins left="0.19685039370078741" right="0.11811023622047244" top="0" bottom="0.3543307086614173"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tabColor rgb="FF43C6E5"/>
  </sheetPr>
  <dimension ref="A1:M49"/>
  <sheetViews>
    <sheetView zoomScaleNormal="100" workbookViewId="0">
      <selection activeCell="H36" sqref="H36"/>
    </sheetView>
  </sheetViews>
  <sheetFormatPr baseColWidth="10" defaultColWidth="0" defaultRowHeight="15" zeroHeight="1" x14ac:dyDescent="0.25"/>
  <cols>
    <col min="1" max="4" width="11.42578125" style="537" customWidth="1"/>
    <col min="5" max="5" width="29.42578125" style="345" customWidth="1"/>
    <col min="6" max="6" width="20.7109375" style="345" customWidth="1"/>
    <col min="7" max="7" width="16.7109375" style="345" customWidth="1"/>
    <col min="8" max="8" width="18.28515625" style="345" customWidth="1"/>
    <col min="9" max="9" width="14" style="345" customWidth="1"/>
    <col min="10" max="13" width="11.42578125" style="537" customWidth="1"/>
    <col min="14" max="16384" width="11.42578125" style="345" hidden="1"/>
  </cols>
  <sheetData>
    <row r="1" spans="1:13" ht="28.5" customHeight="1" x14ac:dyDescent="0.25">
      <c r="E1" s="2135" t="s">
        <v>459</v>
      </c>
      <c r="F1" s="2136"/>
      <c r="G1" s="2136"/>
      <c r="H1" s="2136"/>
      <c r="I1" s="2137"/>
    </row>
    <row r="2" spans="1:13" x14ac:dyDescent="0.25">
      <c r="E2" s="388"/>
      <c r="F2" s="388"/>
      <c r="G2" s="388"/>
      <c r="H2" s="388"/>
      <c r="I2" s="388"/>
    </row>
    <row r="3" spans="1:13" s="746" customFormat="1" ht="24.75" customHeight="1" x14ac:dyDescent="0.25">
      <c r="A3" s="745"/>
      <c r="B3" s="745"/>
      <c r="C3" s="745"/>
      <c r="D3" s="745"/>
      <c r="E3" s="712" t="s">
        <v>42</v>
      </c>
      <c r="F3" s="2185" t="str">
        <f>INFORMATIONS!B10</f>
        <v>SAM CONSEILS</v>
      </c>
      <c r="G3" s="2185"/>
      <c r="H3" s="713" t="s">
        <v>52</v>
      </c>
      <c r="I3" s="714">
        <f>INFORMATIONS!D31</f>
        <v>43465</v>
      </c>
      <c r="J3" s="745"/>
      <c r="K3" s="745"/>
      <c r="L3" s="745"/>
      <c r="M3" s="745"/>
    </row>
    <row r="4" spans="1:13" ht="19.5" customHeight="1" x14ac:dyDescent="0.25">
      <c r="E4" s="632" t="s">
        <v>43</v>
      </c>
      <c r="F4" s="633" t="str">
        <f>INFORMATIONS!B24</f>
        <v>00084404X</v>
      </c>
      <c r="G4" s="634"/>
      <c r="H4" s="666" t="s">
        <v>44</v>
      </c>
      <c r="I4" s="667">
        <f>INFORMATIONS!F34</f>
        <v>12</v>
      </c>
    </row>
    <row r="5" spans="1:13" x14ac:dyDescent="0.25"/>
    <row r="6" spans="1:13" ht="39.75" customHeight="1" x14ac:dyDescent="0.25">
      <c r="E6" s="2116" t="s">
        <v>138</v>
      </c>
      <c r="F6" s="2117"/>
      <c r="G6" s="590" t="s">
        <v>139</v>
      </c>
      <c r="H6" s="590" t="s">
        <v>140</v>
      </c>
      <c r="I6" s="590" t="s">
        <v>141</v>
      </c>
    </row>
    <row r="7" spans="1:13" ht="16.5" customHeight="1" x14ac:dyDescent="0.25">
      <c r="E7" s="423" t="s">
        <v>460</v>
      </c>
      <c r="F7" s="425"/>
      <c r="G7" s="683">
        <f>-SUMPRODUCT(((LEFT(BalanceN!$A$4:$A$9999,2)="612"))*BalanceN!$H$4:$H$9999)+SUMPRODUCT(((LEFT(BalanceN!$A$4:$A$9999,3)="612"))*BalanceN!$G$4:$G$9999)</f>
        <v>323526071</v>
      </c>
      <c r="H7" s="683">
        <f>-SUMPRODUCT(((LEFT('BalanceN-1'!$A$4:$A$9999,2)="612"))*'BalanceN-1'!$H$4:$H$9999)+SUMPRODUCT(((LEFT('BalanceN-1'!$A$4:$A$9999,3)="612"))*'BalanceN-1'!$G$4:$G$9999)</f>
        <v>327994361</v>
      </c>
      <c r="I7" s="723">
        <f t="shared" ref="I7:I11" si="0">IF(H7=0,"-",(G7-H7)/H7)</f>
        <v>-1.3623069574662597E-2</v>
      </c>
    </row>
    <row r="8" spans="1:13" ht="16.5" customHeight="1" x14ac:dyDescent="0.25">
      <c r="E8" s="423" t="s">
        <v>461</v>
      </c>
      <c r="F8" s="425"/>
      <c r="G8" s="683">
        <f>-SUMPRODUCT(((LEFT(BalanceN!$A$4:$A$9999,2)="613"))*BalanceN!$H$4:$H$9999)+SUMPRODUCT(((LEFT(BalanceN!$A$4:$A$9999,3)="613"))*BalanceN!$G$4:$G$9999)</f>
        <v>0</v>
      </c>
      <c r="H8" s="683">
        <f>-SUMPRODUCT(((LEFT('BalanceN-1'!$A$4:$A$9999,2)="613"))*'BalanceN-1'!$H$4:$H$9999)+SUMPRODUCT(((LEFT('BalanceN-1'!$A$4:$A$9999,3)="613"))*'BalanceN-1'!$G$4:$G$9999)</f>
        <v>0</v>
      </c>
      <c r="I8" s="723" t="str">
        <f t="shared" si="0"/>
        <v>-</v>
      </c>
    </row>
    <row r="9" spans="1:13" ht="16.5" customHeight="1" x14ac:dyDescent="0.25">
      <c r="E9" s="423" t="s">
        <v>462</v>
      </c>
      <c r="F9" s="425"/>
      <c r="G9" s="683">
        <f>-SUMPRODUCT(((LEFT(BalanceN!$A$4:$A$9999,2)="614"))*BalanceN!$H$4:$H$9999)+SUMPRODUCT(((LEFT(BalanceN!$A$4:$A$9999,3)="614"))*BalanceN!$G$4:$G$9999)</f>
        <v>0</v>
      </c>
      <c r="H9" s="683">
        <f>-SUMPRODUCT(((LEFT('BalanceN-1'!$A$4:$A$9999,2)="614"))*'BalanceN-1'!$H$4:$H$9999)+SUMPRODUCT(((LEFT('BalanceN-1'!$A$4:$A$9999,3)="614"))*'BalanceN-1'!$G$4:$G$9999)</f>
        <v>0</v>
      </c>
      <c r="I9" s="723" t="str">
        <f t="shared" si="0"/>
        <v>-</v>
      </c>
    </row>
    <row r="10" spans="1:13" ht="16.5" customHeight="1" x14ac:dyDescent="0.25">
      <c r="E10" s="423" t="s">
        <v>463</v>
      </c>
      <c r="F10" s="425"/>
      <c r="G10" s="683">
        <f>-SUMPRODUCT(((LEFT(BalanceN!$A$4:$A$9999,2)="616"))*BalanceN!$H$4:$H$9999)+SUMPRODUCT(((LEFT(BalanceN!$A$4:$A$9999,3)="616"))*BalanceN!$G$4:$G$9999)</f>
        <v>0</v>
      </c>
      <c r="H10" s="683">
        <f>-SUMPRODUCT(((LEFT('BalanceN-1'!$A$4:$A$9999,2)="616"))*'BalanceN-1'!$H$4:$H$9999)+SUMPRODUCT(((LEFT('BalanceN-1'!$A$4:$A$9999,3)="616"))*'BalanceN-1'!$G$4:$G$9999)</f>
        <v>86870</v>
      </c>
      <c r="I10" s="723">
        <f t="shared" si="0"/>
        <v>-1</v>
      </c>
    </row>
    <row r="11" spans="1:13" ht="16.5" customHeight="1" x14ac:dyDescent="0.25">
      <c r="E11" s="423" t="s">
        <v>464</v>
      </c>
      <c r="F11" s="425"/>
      <c r="G11" s="683">
        <f>-SUMPRODUCT(((LEFT(BalanceN!$A$4:$A$9999,2)="618"))*BalanceN!$H$4:$H$9999)+SUMPRODUCT(((LEFT(BalanceN!$A$4:$A$9999,3)="618"))*BalanceN!$G$4:$G$9999)</f>
        <v>5620601</v>
      </c>
      <c r="H11" s="683">
        <f>-SUMPRODUCT(((LEFT('BalanceN-1'!$A$4:$A$9999,2)="618"))*'BalanceN-1'!$H$4:$H$9999)+SUMPRODUCT(((LEFT('BalanceN-1'!$A$4:$A$9999,3)="618"))*'BalanceN-1'!$G$4:$G$9999)</f>
        <v>992325</v>
      </c>
      <c r="I11" s="723">
        <f t="shared" si="0"/>
        <v>4.6640727584208799</v>
      </c>
    </row>
    <row r="12" spans="1:13" ht="15.75" customHeight="1" x14ac:dyDescent="0.25">
      <c r="E12" s="2121" t="s">
        <v>262</v>
      </c>
      <c r="F12" s="2122"/>
      <c r="G12" s="639">
        <f>SUM(G7:G11)</f>
        <v>329146672</v>
      </c>
      <c r="H12" s="639">
        <f>SUM(H7:H11)</f>
        <v>329073556</v>
      </c>
      <c r="I12" s="751"/>
    </row>
    <row r="13" spans="1:13" x14ac:dyDescent="0.25"/>
    <row r="14" spans="1:13" x14ac:dyDescent="0.25">
      <c r="E14" s="645" t="s">
        <v>1348</v>
      </c>
    </row>
    <row r="15" spans="1:13" x14ac:dyDescent="0.25"/>
    <row r="16" spans="1:13" x14ac:dyDescent="0.25">
      <c r="E16" s="2166"/>
      <c r="F16" s="2166"/>
      <c r="G16" s="2166"/>
      <c r="H16" s="2166"/>
      <c r="I16" s="2166"/>
    </row>
    <row r="17" spans="5:9" x14ac:dyDescent="0.25">
      <c r="E17" s="2166"/>
      <c r="F17" s="2166"/>
      <c r="G17" s="2166"/>
      <c r="H17" s="2166"/>
      <c r="I17" s="2166"/>
    </row>
    <row r="18" spans="5:9" x14ac:dyDescent="0.25">
      <c r="E18" s="2166"/>
      <c r="F18" s="2166"/>
      <c r="G18" s="2166"/>
      <c r="H18" s="2166"/>
      <c r="I18" s="2166"/>
    </row>
    <row r="19" spans="5:9" x14ac:dyDescent="0.25">
      <c r="E19" s="2166"/>
      <c r="F19" s="2166"/>
      <c r="G19" s="2166"/>
      <c r="H19" s="2166"/>
      <c r="I19" s="2166"/>
    </row>
    <row r="20" spans="5:9" x14ac:dyDescent="0.25">
      <c r="E20" s="2166"/>
      <c r="F20" s="2166"/>
      <c r="G20" s="2166"/>
      <c r="H20" s="2166"/>
      <c r="I20" s="2166"/>
    </row>
    <row r="21" spans="5:9" x14ac:dyDescent="0.25">
      <c r="E21" s="2166"/>
      <c r="F21" s="2166"/>
      <c r="G21" s="2166"/>
      <c r="H21" s="2166"/>
      <c r="I21" s="2166"/>
    </row>
    <row r="22" spans="5:9" x14ac:dyDescent="0.25">
      <c r="E22" s="2166"/>
      <c r="F22" s="2166"/>
      <c r="G22" s="2166"/>
      <c r="H22" s="2166"/>
      <c r="I22" s="2166"/>
    </row>
    <row r="23" spans="5:9" x14ac:dyDescent="0.25">
      <c r="E23" s="2166"/>
      <c r="F23" s="2166"/>
      <c r="G23" s="2166"/>
      <c r="H23" s="2166"/>
      <c r="I23" s="2166"/>
    </row>
    <row r="24" spans="5:9" x14ac:dyDescent="0.25">
      <c r="E24" s="2166"/>
      <c r="F24" s="2166"/>
      <c r="G24" s="2166"/>
      <c r="H24" s="2166"/>
      <c r="I24" s="2166"/>
    </row>
    <row r="25" spans="5:9" x14ac:dyDescent="0.25">
      <c r="E25" s="2166"/>
      <c r="F25" s="2166"/>
      <c r="G25" s="2166"/>
      <c r="H25" s="2166"/>
      <c r="I25" s="2166"/>
    </row>
    <row r="26" spans="5:9" x14ac:dyDescent="0.25">
      <c r="E26" s="2166"/>
      <c r="F26" s="2166"/>
      <c r="G26" s="2166"/>
      <c r="H26" s="2166"/>
      <c r="I26" s="2166"/>
    </row>
    <row r="27" spans="5:9" s="537" customFormat="1" x14ac:dyDescent="0.25"/>
    <row r="28" spans="5:9" s="537" customFormat="1" x14ac:dyDescent="0.25"/>
    <row r="29" spans="5:9" s="537" customFormat="1" x14ac:dyDescent="0.25"/>
    <row r="30" spans="5:9" s="537" customFormat="1" x14ac:dyDescent="0.25"/>
    <row r="31" spans="5:9" s="537" customFormat="1" x14ac:dyDescent="0.25"/>
    <row r="32" spans="5:9" s="537" customFormat="1" x14ac:dyDescent="0.25"/>
    <row r="33" s="537" customFormat="1" x14ac:dyDescent="0.25"/>
    <row r="34" s="537" customFormat="1" x14ac:dyDescent="0.25"/>
    <row r="35" s="537" customFormat="1" x14ac:dyDescent="0.25"/>
    <row r="36" s="537" customFormat="1" x14ac:dyDescent="0.25"/>
    <row r="37" s="537" customFormat="1" x14ac:dyDescent="0.25"/>
    <row r="38" s="537" customFormat="1" x14ac:dyDescent="0.25"/>
    <row r="39" s="537" customFormat="1" x14ac:dyDescent="0.25"/>
    <row r="40" s="537" customFormat="1" x14ac:dyDescent="0.25"/>
    <row r="41" s="537" customFormat="1" x14ac:dyDescent="0.25"/>
    <row r="42" s="537" customFormat="1" x14ac:dyDescent="0.25"/>
    <row r="43" s="537" customFormat="1" x14ac:dyDescent="0.25"/>
    <row r="44" s="537" customFormat="1" x14ac:dyDescent="0.25"/>
    <row r="45" s="537" customFormat="1" x14ac:dyDescent="0.25"/>
    <row r="46" s="537" customFormat="1" x14ac:dyDescent="0.25"/>
    <row r="47" s="537" customFormat="1" x14ac:dyDescent="0.25"/>
    <row r="48" s="537" customFormat="1" x14ac:dyDescent="0.25"/>
    <row r="49" s="537" customFormat="1" x14ac:dyDescent="0.25"/>
  </sheetData>
  <sheetProtection algorithmName="SHA-512" hashValue="wXgJk5H9ao3rVrda+muAwtMLOT4U4NC6zNyE82mlaLl+lCy7OIRPXafZSO7yDeCl7LGKmj+OQwHh4p5kac1f3g==" saltValue="ShBU2pQqI+mZnE2ZY0wYSw==" spinCount="100000" sheet="1" formatCells="0" formatColumns="0" formatRows="0" pivotTables="0"/>
  <mergeCells count="5">
    <mergeCell ref="E1:I1"/>
    <mergeCell ref="E6:F6"/>
    <mergeCell ref="E12:F12"/>
    <mergeCell ref="F3:G3"/>
    <mergeCell ref="E16:I26"/>
  </mergeCells>
  <printOptions horizontalCentered="1"/>
  <pageMargins left="0.19685039370078741" right="0.11811023622047244" top="0" bottom="0.354330708661417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7">
    <tabColor rgb="FFFF0000"/>
  </sheetPr>
  <dimension ref="A1:M10004"/>
  <sheetViews>
    <sheetView topLeftCell="A26" workbookViewId="0">
      <selection activeCell="H36" sqref="H36"/>
    </sheetView>
  </sheetViews>
  <sheetFormatPr baseColWidth="10" defaultRowHeight="15" x14ac:dyDescent="0.25"/>
  <cols>
    <col min="1" max="1" width="14" style="956" customWidth="1"/>
    <col min="2" max="2" width="30.28515625" style="298" customWidth="1"/>
    <col min="3" max="3" width="22" style="298" customWidth="1"/>
    <col min="4" max="4" width="19.7109375" style="298" customWidth="1"/>
    <col min="5" max="5" width="23.28515625" style="298" customWidth="1"/>
    <col min="6" max="6" width="20.7109375" style="298" customWidth="1"/>
    <col min="7" max="7" width="18.85546875" style="298" customWidth="1"/>
    <col min="8" max="8" width="20.140625" style="298" customWidth="1"/>
    <col min="9" max="9" width="24.42578125" style="298" customWidth="1"/>
    <col min="10" max="16384" width="11.42578125" style="298"/>
  </cols>
  <sheetData>
    <row r="1" spans="1:8" s="934" customFormat="1" ht="18.75" x14ac:dyDescent="0.25">
      <c r="A1" s="1742" t="s">
        <v>1718</v>
      </c>
      <c r="B1" s="1743"/>
      <c r="C1" s="1743"/>
      <c r="D1" s="1743"/>
      <c r="E1" s="1743"/>
      <c r="F1" s="1743"/>
      <c r="G1" s="1743"/>
      <c r="H1" s="1744"/>
    </row>
    <row r="2" spans="1:8" s="934" customFormat="1" ht="15.75" x14ac:dyDescent="0.25">
      <c r="A2" s="1745" t="s">
        <v>215</v>
      </c>
      <c r="B2" s="1747" t="s">
        <v>1376</v>
      </c>
      <c r="C2" s="1740" t="s">
        <v>1721</v>
      </c>
      <c r="D2" s="1741"/>
      <c r="E2" s="1740" t="s">
        <v>1719</v>
      </c>
      <c r="F2" s="1741"/>
      <c r="G2" s="1740" t="s">
        <v>1720</v>
      </c>
      <c r="H2" s="1741"/>
    </row>
    <row r="3" spans="1:8" s="934" customFormat="1" ht="15.75" x14ac:dyDescent="0.25">
      <c r="A3" s="1746"/>
      <c r="B3" s="1748"/>
      <c r="C3" s="957" t="s">
        <v>1375</v>
      </c>
      <c r="D3" s="957" t="s">
        <v>1377</v>
      </c>
      <c r="E3" s="957" t="s">
        <v>1375</v>
      </c>
      <c r="F3" s="957" t="s">
        <v>1377</v>
      </c>
      <c r="G3" s="957" t="s">
        <v>1375</v>
      </c>
      <c r="H3" s="957" t="s">
        <v>1377</v>
      </c>
    </row>
    <row r="4" spans="1:8" s="938" customFormat="1" x14ac:dyDescent="0.25">
      <c r="A4" s="935">
        <v>101100</v>
      </c>
      <c r="B4" s="936" t="s">
        <v>1381</v>
      </c>
      <c r="C4" s="937"/>
      <c r="D4" s="937"/>
      <c r="E4" s="937">
        <v>200000000</v>
      </c>
      <c r="F4" s="937">
        <v>300000000</v>
      </c>
      <c r="G4" s="937"/>
      <c r="H4" s="937">
        <v>100000000</v>
      </c>
    </row>
    <row r="5" spans="1:8" s="938" customFormat="1" ht="30" x14ac:dyDescent="0.25">
      <c r="A5" s="939">
        <v>101200</v>
      </c>
      <c r="B5" s="940" t="s">
        <v>1382</v>
      </c>
      <c r="C5" s="941"/>
      <c r="D5" s="941"/>
      <c r="E5" s="941">
        <v>200000000</v>
      </c>
      <c r="F5" s="941">
        <v>200000000</v>
      </c>
      <c r="G5" s="941"/>
      <c r="H5" s="941">
        <v>0</v>
      </c>
    </row>
    <row r="6" spans="1:8" s="938" customFormat="1" ht="30" x14ac:dyDescent="0.25">
      <c r="A6" s="939">
        <v>101300</v>
      </c>
      <c r="B6" s="942" t="s">
        <v>1383</v>
      </c>
      <c r="C6" s="941"/>
      <c r="D6" s="941">
        <v>100000000</v>
      </c>
      <c r="E6" s="941"/>
      <c r="F6" s="941">
        <v>200000000</v>
      </c>
      <c r="G6" s="941"/>
      <c r="H6" s="941">
        <v>300000000</v>
      </c>
    </row>
    <row r="7" spans="1:8" s="938" customFormat="1" x14ac:dyDescent="0.25">
      <c r="A7" s="939">
        <v>106200</v>
      </c>
      <c r="B7" s="942" t="s">
        <v>911</v>
      </c>
      <c r="C7" s="941"/>
      <c r="D7" s="941"/>
      <c r="E7" s="941"/>
      <c r="F7" s="941">
        <v>3500000</v>
      </c>
      <c r="G7" s="941"/>
      <c r="H7" s="941">
        <v>3500000</v>
      </c>
    </row>
    <row r="8" spans="1:8" s="938" customFormat="1" ht="30" x14ac:dyDescent="0.25">
      <c r="A8" s="939">
        <v>1090000</v>
      </c>
      <c r="B8" s="942" t="s">
        <v>1384</v>
      </c>
      <c r="C8" s="941"/>
      <c r="D8" s="941"/>
      <c r="E8" s="941">
        <v>300000000</v>
      </c>
      <c r="F8" s="941">
        <v>200000000</v>
      </c>
      <c r="G8" s="941">
        <v>100000000</v>
      </c>
      <c r="H8" s="941"/>
    </row>
    <row r="9" spans="1:8" s="938" customFormat="1" x14ac:dyDescent="0.25">
      <c r="A9" s="939">
        <v>111000</v>
      </c>
      <c r="B9" s="942" t="s">
        <v>1385</v>
      </c>
      <c r="C9" s="941"/>
      <c r="D9" s="941">
        <v>20000000</v>
      </c>
      <c r="E9" s="941"/>
      <c r="F9" s="941"/>
      <c r="G9" s="941"/>
      <c r="H9" s="941">
        <v>20000000</v>
      </c>
    </row>
    <row r="10" spans="1:8" s="938" customFormat="1" x14ac:dyDescent="0.25">
      <c r="A10" s="939">
        <v>120000</v>
      </c>
      <c r="B10" s="942" t="s">
        <v>283</v>
      </c>
      <c r="C10" s="941"/>
      <c r="D10" s="941">
        <v>47450317</v>
      </c>
      <c r="E10" s="941">
        <v>90000000</v>
      </c>
      <c r="F10" s="941">
        <v>118619674</v>
      </c>
      <c r="G10" s="941"/>
      <c r="H10" s="941">
        <v>76069991</v>
      </c>
    </row>
    <row r="11" spans="1:8" s="938" customFormat="1" x14ac:dyDescent="0.25">
      <c r="A11" s="939">
        <v>131000</v>
      </c>
      <c r="B11" s="942" t="s">
        <v>1386</v>
      </c>
      <c r="C11" s="941"/>
      <c r="D11" s="941">
        <v>118619674</v>
      </c>
      <c r="E11" s="941">
        <v>118619674</v>
      </c>
      <c r="F11" s="941"/>
      <c r="G11" s="941"/>
      <c r="H11" s="941"/>
    </row>
    <row r="12" spans="1:8" s="938" customFormat="1" x14ac:dyDescent="0.25">
      <c r="A12" s="939">
        <v>141400</v>
      </c>
      <c r="B12" s="942" t="s">
        <v>1387</v>
      </c>
      <c r="C12" s="941"/>
      <c r="D12" s="941"/>
      <c r="E12" s="941"/>
      <c r="F12" s="941">
        <v>2000000</v>
      </c>
      <c r="G12" s="941"/>
      <c r="H12" s="941">
        <v>2000000</v>
      </c>
    </row>
    <row r="13" spans="1:8" s="938" customFormat="1" ht="30" x14ac:dyDescent="0.25">
      <c r="A13" s="939">
        <v>154000</v>
      </c>
      <c r="B13" s="942" t="s">
        <v>1388</v>
      </c>
      <c r="C13" s="941"/>
      <c r="D13" s="941"/>
      <c r="E13" s="941"/>
      <c r="F13" s="941">
        <v>40000000</v>
      </c>
      <c r="G13" s="941"/>
      <c r="H13" s="941">
        <v>40000000</v>
      </c>
    </row>
    <row r="14" spans="1:8" s="938" customFormat="1" x14ac:dyDescent="0.25">
      <c r="A14" s="939">
        <v>162000</v>
      </c>
      <c r="B14" s="942" t="s">
        <v>1389</v>
      </c>
      <c r="C14" s="941"/>
      <c r="D14" s="941"/>
      <c r="E14" s="941">
        <v>7500925</v>
      </c>
      <c r="F14" s="941">
        <v>100000000</v>
      </c>
      <c r="G14" s="941"/>
      <c r="H14" s="941">
        <v>92499075</v>
      </c>
    </row>
    <row r="15" spans="1:8" s="938" customFormat="1" x14ac:dyDescent="0.25">
      <c r="A15" s="939">
        <v>165200</v>
      </c>
      <c r="B15" s="942" t="s">
        <v>1390</v>
      </c>
      <c r="C15" s="941"/>
      <c r="D15" s="941">
        <v>2200000</v>
      </c>
      <c r="E15" s="941"/>
      <c r="F15" s="941"/>
      <c r="G15" s="941"/>
      <c r="H15" s="941">
        <v>2200000</v>
      </c>
    </row>
    <row r="16" spans="1:8" s="938" customFormat="1" ht="30" x14ac:dyDescent="0.25">
      <c r="A16" s="939">
        <v>196000</v>
      </c>
      <c r="B16" s="942" t="s">
        <v>1391</v>
      </c>
      <c r="C16" s="941"/>
      <c r="D16" s="941">
        <v>54864697</v>
      </c>
      <c r="E16" s="941">
        <v>6701530</v>
      </c>
      <c r="F16" s="941">
        <v>13953199</v>
      </c>
      <c r="G16" s="941"/>
      <c r="H16" s="941">
        <v>62116366</v>
      </c>
    </row>
    <row r="17" spans="1:8" s="938" customFormat="1" x14ac:dyDescent="0.25">
      <c r="A17" s="939">
        <v>213000</v>
      </c>
      <c r="B17" s="942" t="s">
        <v>1392</v>
      </c>
      <c r="C17" s="941">
        <v>1050000</v>
      </c>
      <c r="D17" s="941"/>
      <c r="E17" s="941">
        <v>2000000</v>
      </c>
      <c r="F17" s="941"/>
      <c r="G17" s="941">
        <v>3050000</v>
      </c>
      <c r="H17" s="941"/>
    </row>
    <row r="18" spans="1:8" s="938" customFormat="1" x14ac:dyDescent="0.25">
      <c r="A18" s="939">
        <v>215000</v>
      </c>
      <c r="B18" s="942" t="s">
        <v>1393</v>
      </c>
      <c r="C18" s="941">
        <v>1600000</v>
      </c>
      <c r="D18" s="941"/>
      <c r="E18" s="941"/>
      <c r="F18" s="941"/>
      <c r="G18" s="941">
        <v>1600000</v>
      </c>
      <c r="H18" s="941"/>
    </row>
    <row r="19" spans="1:8" s="938" customFormat="1" x14ac:dyDescent="0.25">
      <c r="A19" s="939">
        <v>223000</v>
      </c>
      <c r="B19" s="942" t="s">
        <v>1394</v>
      </c>
      <c r="C19" s="941">
        <v>12500000</v>
      </c>
      <c r="D19" s="941"/>
      <c r="E19" s="941">
        <v>3500000</v>
      </c>
      <c r="F19" s="941"/>
      <c r="G19" s="941">
        <v>16000000</v>
      </c>
      <c r="H19" s="941"/>
    </row>
    <row r="20" spans="1:8" s="938" customFormat="1" ht="30" x14ac:dyDescent="0.25">
      <c r="A20" s="939">
        <v>229000</v>
      </c>
      <c r="B20" s="942" t="s">
        <v>1395</v>
      </c>
      <c r="C20" s="941">
        <v>22673950</v>
      </c>
      <c r="D20" s="941"/>
      <c r="E20" s="941"/>
      <c r="F20" s="941"/>
      <c r="G20" s="941">
        <v>22673950</v>
      </c>
      <c r="H20" s="941"/>
    </row>
    <row r="21" spans="1:8" s="938" customFormat="1" ht="30" x14ac:dyDescent="0.25">
      <c r="A21" s="939">
        <v>231100</v>
      </c>
      <c r="B21" s="942" t="s">
        <v>1396</v>
      </c>
      <c r="C21" s="941">
        <v>55000000</v>
      </c>
      <c r="D21" s="941"/>
      <c r="E21" s="941">
        <v>23000000</v>
      </c>
      <c r="F21" s="941"/>
      <c r="G21" s="941">
        <v>78000000</v>
      </c>
      <c r="H21" s="941"/>
    </row>
    <row r="22" spans="1:8" s="938" customFormat="1" ht="30" x14ac:dyDescent="0.25">
      <c r="A22" s="939">
        <v>232100</v>
      </c>
      <c r="B22" s="942" t="s">
        <v>1397</v>
      </c>
      <c r="C22" s="941">
        <v>231411100</v>
      </c>
      <c r="D22" s="941"/>
      <c r="E22" s="941">
        <v>432000000</v>
      </c>
      <c r="F22" s="941"/>
      <c r="G22" s="941">
        <v>663411100</v>
      </c>
      <c r="H22" s="941"/>
    </row>
    <row r="23" spans="1:8" s="938" customFormat="1" x14ac:dyDescent="0.25">
      <c r="A23" s="939">
        <v>235100</v>
      </c>
      <c r="B23" s="942" t="s">
        <v>1398</v>
      </c>
      <c r="C23" s="941">
        <v>60263648</v>
      </c>
      <c r="D23" s="941"/>
      <c r="E23" s="941">
        <v>1000000</v>
      </c>
      <c r="F23" s="941"/>
      <c r="G23" s="941">
        <v>61263648</v>
      </c>
      <c r="H23" s="941"/>
    </row>
    <row r="24" spans="1:8" s="938" customFormat="1" ht="30" x14ac:dyDescent="0.25">
      <c r="A24" s="939">
        <v>238000</v>
      </c>
      <c r="B24" s="942" t="s">
        <v>1399</v>
      </c>
      <c r="C24" s="941">
        <v>11064619</v>
      </c>
      <c r="D24" s="941"/>
      <c r="E24" s="941">
        <v>1000000</v>
      </c>
      <c r="F24" s="941"/>
      <c r="G24" s="941">
        <v>12064619</v>
      </c>
      <c r="H24" s="941"/>
    </row>
    <row r="25" spans="1:8" s="938" customFormat="1" x14ac:dyDescent="0.25">
      <c r="A25" s="939">
        <v>241100</v>
      </c>
      <c r="B25" s="942" t="s">
        <v>1400</v>
      </c>
      <c r="C25" s="941">
        <v>91310403</v>
      </c>
      <c r="D25" s="941"/>
      <c r="E25" s="941">
        <v>17694000</v>
      </c>
      <c r="F25" s="941">
        <v>40023276</v>
      </c>
      <c r="G25" s="941">
        <v>68981127</v>
      </c>
      <c r="H25" s="941"/>
    </row>
    <row r="26" spans="1:8" s="938" customFormat="1" x14ac:dyDescent="0.25">
      <c r="A26" s="939">
        <v>244100</v>
      </c>
      <c r="B26" s="942" t="s">
        <v>1401</v>
      </c>
      <c r="C26" s="941">
        <v>1325000</v>
      </c>
      <c r="D26" s="941"/>
      <c r="E26" s="941">
        <v>5075000</v>
      </c>
      <c r="F26" s="941">
        <v>140000</v>
      </c>
      <c r="G26" s="941">
        <v>6260000</v>
      </c>
      <c r="H26" s="941"/>
    </row>
    <row r="27" spans="1:8" s="938" customFormat="1" x14ac:dyDescent="0.25">
      <c r="A27" s="939">
        <v>244200</v>
      </c>
      <c r="B27" s="942" t="s">
        <v>1402</v>
      </c>
      <c r="C27" s="941">
        <v>6867703</v>
      </c>
      <c r="D27" s="941"/>
      <c r="E27" s="941">
        <v>1199000</v>
      </c>
      <c r="F27" s="941">
        <v>5829703</v>
      </c>
      <c r="G27" s="941">
        <v>2237000</v>
      </c>
      <c r="H27" s="941"/>
    </row>
    <row r="28" spans="1:8" s="938" customFormat="1" x14ac:dyDescent="0.25">
      <c r="A28" s="939">
        <v>244400</v>
      </c>
      <c r="B28" s="942" t="s">
        <v>1403</v>
      </c>
      <c r="C28" s="941">
        <v>4968900</v>
      </c>
      <c r="D28" s="941"/>
      <c r="E28" s="941">
        <v>500000</v>
      </c>
      <c r="F28" s="941"/>
      <c r="G28" s="941">
        <v>5468900</v>
      </c>
      <c r="H28" s="941"/>
    </row>
    <row r="29" spans="1:8" s="938" customFormat="1" x14ac:dyDescent="0.25">
      <c r="A29" s="939">
        <v>245100</v>
      </c>
      <c r="B29" s="942" t="s">
        <v>1404</v>
      </c>
      <c r="C29" s="941">
        <v>54050000</v>
      </c>
      <c r="D29" s="941"/>
      <c r="E29" s="941">
        <v>22000000</v>
      </c>
      <c r="F29" s="941"/>
      <c r="G29" s="941">
        <v>76050000</v>
      </c>
      <c r="H29" s="941"/>
    </row>
    <row r="30" spans="1:8" s="938" customFormat="1" ht="30" x14ac:dyDescent="0.25">
      <c r="A30" s="939">
        <v>252000</v>
      </c>
      <c r="B30" s="942" t="s">
        <v>1405</v>
      </c>
      <c r="C30" s="941"/>
      <c r="D30" s="941"/>
      <c r="E30" s="941">
        <v>25000000</v>
      </c>
      <c r="F30" s="941">
        <v>5000000</v>
      </c>
      <c r="G30" s="941">
        <v>20000000</v>
      </c>
      <c r="H30" s="941"/>
    </row>
    <row r="31" spans="1:8" s="938" customFormat="1" x14ac:dyDescent="0.25">
      <c r="A31" s="939">
        <v>272800</v>
      </c>
      <c r="B31" s="942" t="s">
        <v>1406</v>
      </c>
      <c r="C31" s="941">
        <v>1927000</v>
      </c>
      <c r="D31" s="941"/>
      <c r="E31" s="941"/>
      <c r="F31" s="941"/>
      <c r="G31" s="941">
        <v>1927000</v>
      </c>
      <c r="H31" s="941"/>
    </row>
    <row r="32" spans="1:8" s="938" customFormat="1" ht="30" x14ac:dyDescent="0.25">
      <c r="A32" s="939">
        <v>275000</v>
      </c>
      <c r="B32" s="942" t="s">
        <v>1407</v>
      </c>
      <c r="C32" s="941">
        <v>1335290</v>
      </c>
      <c r="D32" s="941"/>
      <c r="E32" s="941">
        <v>401175</v>
      </c>
      <c r="F32" s="941">
        <v>730043</v>
      </c>
      <c r="G32" s="941">
        <v>1006422</v>
      </c>
      <c r="H32" s="941"/>
    </row>
    <row r="33" spans="1:10" s="938" customFormat="1" x14ac:dyDescent="0.25">
      <c r="A33" s="939">
        <v>275300</v>
      </c>
      <c r="B33" s="942" t="s">
        <v>1408</v>
      </c>
      <c r="C33" s="941">
        <v>87068</v>
      </c>
      <c r="D33" s="941"/>
      <c r="E33" s="941"/>
      <c r="F33" s="941"/>
      <c r="G33" s="941">
        <v>87068</v>
      </c>
      <c r="H33" s="941"/>
    </row>
    <row r="34" spans="1:10" s="938" customFormat="1" ht="30" x14ac:dyDescent="0.25">
      <c r="A34" s="939">
        <v>275500</v>
      </c>
      <c r="B34" s="942" t="s">
        <v>1409</v>
      </c>
      <c r="C34" s="941">
        <v>449300</v>
      </c>
      <c r="D34" s="941"/>
      <c r="E34" s="941">
        <v>200000</v>
      </c>
      <c r="F34" s="941"/>
      <c r="G34" s="941">
        <v>649300</v>
      </c>
      <c r="H34" s="941"/>
    </row>
    <row r="35" spans="1:10" s="938" customFormat="1" ht="30" x14ac:dyDescent="0.25">
      <c r="A35" s="939">
        <v>275800</v>
      </c>
      <c r="B35" s="942" t="s">
        <v>1410</v>
      </c>
      <c r="C35" s="941">
        <v>750000</v>
      </c>
      <c r="D35" s="941"/>
      <c r="E35" s="941"/>
      <c r="F35" s="941"/>
      <c r="G35" s="941">
        <v>750000</v>
      </c>
      <c r="H35" s="941"/>
    </row>
    <row r="36" spans="1:10" s="938" customFormat="1" ht="30" x14ac:dyDescent="0.25">
      <c r="A36" s="939">
        <v>283210</v>
      </c>
      <c r="B36" s="942" t="s">
        <v>1411</v>
      </c>
      <c r="C36" s="941"/>
      <c r="D36" s="941">
        <v>150313959</v>
      </c>
      <c r="E36" s="941"/>
      <c r="F36" s="941">
        <v>9734682</v>
      </c>
      <c r="G36" s="941"/>
      <c r="H36" s="941">
        <v>160048641</v>
      </c>
    </row>
    <row r="37" spans="1:10" s="938" customFormat="1" ht="30" x14ac:dyDescent="0.25">
      <c r="A37" s="939">
        <v>283510</v>
      </c>
      <c r="B37" s="942" t="s">
        <v>1412</v>
      </c>
      <c r="C37" s="941"/>
      <c r="D37" s="941">
        <v>71328267</v>
      </c>
      <c r="E37" s="941"/>
      <c r="F37" s="941"/>
      <c r="G37" s="941"/>
      <c r="H37" s="941">
        <v>71328267</v>
      </c>
    </row>
    <row r="38" spans="1:10" s="938" customFormat="1" ht="30" x14ac:dyDescent="0.25">
      <c r="A38" s="939">
        <v>284110</v>
      </c>
      <c r="B38" s="942" t="s">
        <v>1413</v>
      </c>
      <c r="C38" s="941"/>
      <c r="D38" s="941">
        <v>60303913</v>
      </c>
      <c r="E38" s="941">
        <v>40023276</v>
      </c>
      <c r="F38" s="941">
        <v>8385232</v>
      </c>
      <c r="G38" s="941"/>
      <c r="H38" s="941">
        <v>28665869</v>
      </c>
    </row>
    <row r="39" spans="1:10" s="938" customFormat="1" ht="30" x14ac:dyDescent="0.25">
      <c r="A39" s="939">
        <v>284410</v>
      </c>
      <c r="B39" s="942" t="s">
        <v>1414</v>
      </c>
      <c r="C39" s="941"/>
      <c r="D39" s="941">
        <v>1325000</v>
      </c>
      <c r="E39" s="941">
        <v>140000</v>
      </c>
      <c r="F39" s="941">
        <v>4833</v>
      </c>
      <c r="G39" s="941"/>
      <c r="H39" s="941">
        <v>1189833</v>
      </c>
      <c r="J39" s="943"/>
    </row>
    <row r="40" spans="1:10" s="938" customFormat="1" ht="30" x14ac:dyDescent="0.25">
      <c r="A40" s="939">
        <v>284420</v>
      </c>
      <c r="B40" s="942" t="s">
        <v>1415</v>
      </c>
      <c r="C40" s="941"/>
      <c r="D40" s="941">
        <v>6175037</v>
      </c>
      <c r="E40" s="941">
        <v>5829703</v>
      </c>
      <c r="F40" s="941">
        <v>496917</v>
      </c>
      <c r="G40" s="941"/>
      <c r="H40" s="941">
        <v>842251</v>
      </c>
    </row>
    <row r="41" spans="1:10" s="938" customFormat="1" ht="30" x14ac:dyDescent="0.25">
      <c r="A41" s="939">
        <v>284440</v>
      </c>
      <c r="B41" s="942" t="s">
        <v>1416</v>
      </c>
      <c r="C41" s="941"/>
      <c r="D41" s="941">
        <v>4582020</v>
      </c>
      <c r="E41" s="941"/>
      <c r="F41" s="941">
        <v>260480</v>
      </c>
      <c r="G41" s="941"/>
      <c r="H41" s="941">
        <v>4842500</v>
      </c>
    </row>
    <row r="42" spans="1:10" s="938" customFormat="1" ht="30" x14ac:dyDescent="0.25">
      <c r="A42" s="939">
        <v>284510</v>
      </c>
      <c r="B42" s="942" t="s">
        <v>1417</v>
      </c>
      <c r="C42" s="941"/>
      <c r="D42" s="941">
        <v>53862500</v>
      </c>
      <c r="E42" s="941"/>
      <c r="F42" s="941">
        <v>377500</v>
      </c>
      <c r="G42" s="941"/>
      <c r="H42" s="941">
        <v>54240000</v>
      </c>
    </row>
    <row r="43" spans="1:10" s="938" customFormat="1" x14ac:dyDescent="0.25">
      <c r="A43" s="939">
        <v>311000</v>
      </c>
      <c r="B43" s="942" t="s">
        <v>1418</v>
      </c>
      <c r="C43" s="941"/>
      <c r="D43" s="941"/>
      <c r="E43" s="941">
        <v>5000000</v>
      </c>
      <c r="F43" s="941"/>
      <c r="G43" s="941">
        <v>5000000</v>
      </c>
      <c r="H43" s="941"/>
    </row>
    <row r="44" spans="1:10" s="938" customFormat="1" x14ac:dyDescent="0.25">
      <c r="A44" s="939">
        <v>321100</v>
      </c>
      <c r="B44" s="942" t="s">
        <v>1419</v>
      </c>
      <c r="C44" s="941">
        <v>7721440</v>
      </c>
      <c r="D44" s="941"/>
      <c r="E44" s="941">
        <v>57881451</v>
      </c>
      <c r="F44" s="941">
        <v>57775035</v>
      </c>
      <c r="G44" s="941">
        <v>7827856</v>
      </c>
      <c r="H44" s="941"/>
    </row>
    <row r="45" spans="1:10" s="938" customFormat="1" x14ac:dyDescent="0.25">
      <c r="A45" s="939">
        <v>335100</v>
      </c>
      <c r="B45" s="942" t="s">
        <v>1420</v>
      </c>
      <c r="C45" s="941">
        <v>8146993</v>
      </c>
      <c r="D45" s="941"/>
      <c r="E45" s="941">
        <v>76874255</v>
      </c>
      <c r="F45" s="941">
        <v>79288966</v>
      </c>
      <c r="G45" s="941">
        <v>5732282</v>
      </c>
      <c r="H45" s="941"/>
    </row>
    <row r="46" spans="1:10" s="938" customFormat="1" x14ac:dyDescent="0.25">
      <c r="A46" s="939">
        <v>401100</v>
      </c>
      <c r="B46" s="942" t="s">
        <v>1421</v>
      </c>
      <c r="C46" s="941"/>
      <c r="D46" s="941">
        <v>40583900</v>
      </c>
      <c r="E46" s="941">
        <v>579308293</v>
      </c>
      <c r="F46" s="941">
        <v>565419408</v>
      </c>
      <c r="G46" s="941"/>
      <c r="H46" s="941">
        <v>26695015</v>
      </c>
      <c r="I46" s="944"/>
    </row>
    <row r="47" spans="1:10" s="938" customFormat="1" x14ac:dyDescent="0.25">
      <c r="A47" s="939">
        <v>408100</v>
      </c>
      <c r="B47" s="942" t="s">
        <v>1422</v>
      </c>
      <c r="C47" s="941"/>
      <c r="D47" s="941">
        <v>15310306</v>
      </c>
      <c r="E47" s="941">
        <v>117810569</v>
      </c>
      <c r="F47" s="941">
        <v>114015470</v>
      </c>
      <c r="G47" s="941"/>
      <c r="H47" s="941">
        <v>11515207</v>
      </c>
      <c r="I47" s="944"/>
    </row>
    <row r="48" spans="1:10" s="938" customFormat="1" ht="30" x14ac:dyDescent="0.25">
      <c r="A48" s="939">
        <v>409100</v>
      </c>
      <c r="B48" s="942" t="s">
        <v>1423</v>
      </c>
      <c r="C48" s="941">
        <v>700000</v>
      </c>
      <c r="D48" s="941"/>
      <c r="E48" s="941">
        <v>4007612</v>
      </c>
      <c r="F48" s="941">
        <v>3850000</v>
      </c>
      <c r="G48" s="941">
        <v>857612</v>
      </c>
      <c r="H48" s="941"/>
    </row>
    <row r="49" spans="1:10" s="938" customFormat="1" x14ac:dyDescent="0.25">
      <c r="A49" s="939">
        <v>411100</v>
      </c>
      <c r="B49" s="942" t="s">
        <v>22</v>
      </c>
      <c r="C49" s="941">
        <v>140683833</v>
      </c>
      <c r="D49" s="941"/>
      <c r="E49" s="941">
        <v>2068782537</v>
      </c>
      <c r="F49" s="941">
        <v>2073205069</v>
      </c>
      <c r="G49" s="941">
        <v>136261301</v>
      </c>
      <c r="H49" s="941"/>
    </row>
    <row r="50" spans="1:10" s="938" customFormat="1" x14ac:dyDescent="0.25">
      <c r="A50" s="939">
        <v>416200</v>
      </c>
      <c r="B50" s="942" t="s">
        <v>1424</v>
      </c>
      <c r="C50" s="941">
        <v>31677520</v>
      </c>
      <c r="D50" s="941"/>
      <c r="E50" s="941"/>
      <c r="F50" s="941"/>
      <c r="G50" s="941">
        <v>31677520</v>
      </c>
      <c r="H50" s="941"/>
    </row>
    <row r="51" spans="1:10" s="938" customFormat="1" x14ac:dyDescent="0.25">
      <c r="A51" s="939">
        <v>421000</v>
      </c>
      <c r="B51" s="942" t="s">
        <v>1425</v>
      </c>
      <c r="C51" s="941">
        <v>692500</v>
      </c>
      <c r="D51" s="941"/>
      <c r="E51" s="941">
        <v>20740622</v>
      </c>
      <c r="F51" s="941">
        <v>6330272</v>
      </c>
      <c r="G51" s="941">
        <v>15102850</v>
      </c>
      <c r="H51" s="941"/>
    </row>
    <row r="52" spans="1:10" s="938" customFormat="1" x14ac:dyDescent="0.25">
      <c r="A52" s="939">
        <v>421300</v>
      </c>
      <c r="B52" s="942" t="s">
        <v>1426</v>
      </c>
      <c r="C52" s="941">
        <v>587786</v>
      </c>
      <c r="D52" s="941"/>
      <c r="E52" s="941">
        <v>2856452</v>
      </c>
      <c r="F52" s="941">
        <v>1625425</v>
      </c>
      <c r="G52" s="941">
        <v>1818813</v>
      </c>
      <c r="H52" s="941"/>
    </row>
    <row r="53" spans="1:10" s="938" customFormat="1" x14ac:dyDescent="0.25">
      <c r="A53" s="939">
        <v>422000</v>
      </c>
      <c r="B53" s="942" t="s">
        <v>393</v>
      </c>
      <c r="C53" s="941"/>
      <c r="D53" s="941">
        <v>983251</v>
      </c>
      <c r="E53" s="941">
        <v>106926551</v>
      </c>
      <c r="F53" s="941">
        <v>106078239</v>
      </c>
      <c r="G53" s="941"/>
      <c r="H53" s="941">
        <v>134939</v>
      </c>
    </row>
    <row r="54" spans="1:10" s="938" customFormat="1" x14ac:dyDescent="0.25">
      <c r="A54" s="939">
        <v>423200</v>
      </c>
      <c r="B54" s="942" t="s">
        <v>1427</v>
      </c>
      <c r="C54" s="941"/>
      <c r="D54" s="941">
        <v>40000</v>
      </c>
      <c r="E54" s="941">
        <v>520000</v>
      </c>
      <c r="F54" s="941">
        <v>480000</v>
      </c>
      <c r="G54" s="941"/>
      <c r="H54" s="941"/>
    </row>
    <row r="55" spans="1:10" s="938" customFormat="1" x14ac:dyDescent="0.25">
      <c r="A55" s="939">
        <v>424200</v>
      </c>
      <c r="B55" s="942" t="s">
        <v>1428</v>
      </c>
      <c r="C55" s="941"/>
      <c r="D55" s="941"/>
      <c r="E55" s="941">
        <v>56700</v>
      </c>
      <c r="F55" s="941">
        <v>56700</v>
      </c>
      <c r="G55" s="941"/>
      <c r="H55" s="941"/>
    </row>
    <row r="56" spans="1:10" s="938" customFormat="1" x14ac:dyDescent="0.25">
      <c r="A56" s="939">
        <v>427000</v>
      </c>
      <c r="B56" s="942" t="s">
        <v>1429</v>
      </c>
      <c r="C56" s="941"/>
      <c r="D56" s="941">
        <v>72500</v>
      </c>
      <c r="E56" s="941">
        <v>197000</v>
      </c>
      <c r="F56" s="941">
        <v>186500</v>
      </c>
      <c r="G56" s="941"/>
      <c r="H56" s="941">
        <v>62000</v>
      </c>
    </row>
    <row r="57" spans="1:10" s="938" customFormat="1" x14ac:dyDescent="0.25">
      <c r="A57" s="939">
        <v>428101</v>
      </c>
      <c r="B57" s="942" t="s">
        <v>1430</v>
      </c>
      <c r="C57" s="941"/>
      <c r="D57" s="941">
        <v>3057458</v>
      </c>
      <c r="E57" s="941">
        <v>3057458</v>
      </c>
      <c r="F57" s="941">
        <v>2690099</v>
      </c>
      <c r="G57" s="941"/>
      <c r="H57" s="941">
        <v>2690099</v>
      </c>
    </row>
    <row r="58" spans="1:10" s="938" customFormat="1" x14ac:dyDescent="0.25">
      <c r="A58" s="939">
        <v>428102</v>
      </c>
      <c r="B58" s="942" t="s">
        <v>1431</v>
      </c>
      <c r="C58" s="941"/>
      <c r="D58" s="941">
        <v>955634</v>
      </c>
      <c r="E58" s="941">
        <v>955634</v>
      </c>
      <c r="F58" s="941">
        <v>956541</v>
      </c>
      <c r="G58" s="941"/>
      <c r="H58" s="941">
        <v>956541</v>
      </c>
    </row>
    <row r="59" spans="1:10" s="938" customFormat="1" x14ac:dyDescent="0.25">
      <c r="A59" s="939">
        <v>431000</v>
      </c>
      <c r="B59" s="942" t="s">
        <v>1432</v>
      </c>
      <c r="C59" s="941"/>
      <c r="D59" s="941">
        <v>775903</v>
      </c>
      <c r="E59" s="941">
        <v>7301357</v>
      </c>
      <c r="F59" s="941">
        <v>7148050</v>
      </c>
      <c r="G59" s="941"/>
      <c r="H59" s="941">
        <v>622596</v>
      </c>
      <c r="I59" s="944"/>
    </row>
    <row r="60" spans="1:10" s="938" customFormat="1" x14ac:dyDescent="0.25">
      <c r="A60" s="939">
        <v>431300</v>
      </c>
      <c r="B60" s="942" t="s">
        <v>394</v>
      </c>
      <c r="C60" s="941"/>
      <c r="D60" s="941">
        <v>1249810</v>
      </c>
      <c r="E60" s="941">
        <v>13665738</v>
      </c>
      <c r="F60" s="941">
        <v>13921213</v>
      </c>
      <c r="G60" s="941"/>
      <c r="H60" s="941">
        <v>1505285</v>
      </c>
    </row>
    <row r="61" spans="1:10" s="938" customFormat="1" x14ac:dyDescent="0.25">
      <c r="A61" s="939">
        <v>433110</v>
      </c>
      <c r="B61" s="942" t="s">
        <v>1433</v>
      </c>
      <c r="C61" s="941"/>
      <c r="D61" s="941">
        <v>470001</v>
      </c>
      <c r="E61" s="941">
        <v>3704942</v>
      </c>
      <c r="F61" s="941">
        <v>3539940</v>
      </c>
      <c r="G61" s="941"/>
      <c r="H61" s="941">
        <v>304999</v>
      </c>
    </row>
    <row r="62" spans="1:10" s="938" customFormat="1" x14ac:dyDescent="0.25">
      <c r="A62" s="939">
        <v>438200</v>
      </c>
      <c r="B62" s="942" t="s">
        <v>1434</v>
      </c>
      <c r="C62" s="941"/>
      <c r="D62" s="941">
        <v>508585</v>
      </c>
      <c r="E62" s="941">
        <v>508585</v>
      </c>
      <c r="F62" s="941">
        <v>479581</v>
      </c>
      <c r="G62" s="941"/>
      <c r="H62" s="941">
        <v>479581</v>
      </c>
      <c r="J62" s="944"/>
    </row>
    <row r="63" spans="1:10" s="938" customFormat="1" x14ac:dyDescent="0.25">
      <c r="A63" s="939">
        <v>441100</v>
      </c>
      <c r="B63" s="942" t="s">
        <v>1435</v>
      </c>
      <c r="C63" s="941"/>
      <c r="D63" s="941">
        <v>23411413</v>
      </c>
      <c r="E63" s="941">
        <v>23411413</v>
      </c>
      <c r="F63" s="941">
        <v>31102200</v>
      </c>
      <c r="G63" s="941"/>
      <c r="H63" s="941">
        <v>0</v>
      </c>
    </row>
    <row r="64" spans="1:10" s="938" customFormat="1" x14ac:dyDescent="0.25">
      <c r="A64" s="939">
        <v>442100</v>
      </c>
      <c r="B64" s="942" t="s">
        <v>1436</v>
      </c>
      <c r="C64" s="941"/>
      <c r="D64" s="941">
        <v>3213144</v>
      </c>
      <c r="E64" s="941"/>
      <c r="F64" s="941">
        <v>456192</v>
      </c>
      <c r="G64" s="941"/>
      <c r="H64" s="941">
        <v>3669336</v>
      </c>
    </row>
    <row r="65" spans="1:8" s="938" customFormat="1" x14ac:dyDescent="0.25">
      <c r="A65" s="939">
        <v>443200</v>
      </c>
      <c r="B65" s="942" t="s">
        <v>1437</v>
      </c>
      <c r="C65" s="941"/>
      <c r="D65" s="941">
        <v>89781</v>
      </c>
      <c r="E65" s="941">
        <v>316062</v>
      </c>
      <c r="F65" s="941">
        <v>226281</v>
      </c>
      <c r="G65" s="941"/>
      <c r="H65" s="941"/>
    </row>
    <row r="66" spans="1:8" s="938" customFormat="1" x14ac:dyDescent="0.25">
      <c r="A66" s="939">
        <v>444100</v>
      </c>
      <c r="B66" s="942" t="s">
        <v>1438</v>
      </c>
      <c r="C66" s="941"/>
      <c r="D66" s="941"/>
      <c r="E66" s="941">
        <v>226281</v>
      </c>
      <c r="F66" s="941">
        <v>226281</v>
      </c>
      <c r="G66" s="941"/>
      <c r="H66" s="941"/>
    </row>
    <row r="67" spans="1:8" s="938" customFormat="1" x14ac:dyDescent="0.25">
      <c r="A67" s="939">
        <v>447000</v>
      </c>
      <c r="B67" s="942" t="s">
        <v>1439</v>
      </c>
      <c r="C67" s="941"/>
      <c r="D67" s="941">
        <v>1182818</v>
      </c>
      <c r="E67" s="941">
        <v>15162688</v>
      </c>
      <c r="F67" s="941">
        <v>15120541</v>
      </c>
      <c r="G67" s="941"/>
      <c r="H67" s="941">
        <v>1140671</v>
      </c>
    </row>
    <row r="68" spans="1:8" s="938" customFormat="1" x14ac:dyDescent="0.25">
      <c r="A68" s="939">
        <v>462000</v>
      </c>
      <c r="B68" s="942" t="s">
        <v>1440</v>
      </c>
      <c r="C68" s="941"/>
      <c r="D68" s="941">
        <v>9938959</v>
      </c>
      <c r="E68" s="941">
        <v>33999957</v>
      </c>
      <c r="F68" s="941">
        <v>4060998</v>
      </c>
      <c r="G68" s="941">
        <v>20000000</v>
      </c>
      <c r="H68" s="941"/>
    </row>
    <row r="69" spans="1:8" s="938" customFormat="1" x14ac:dyDescent="0.25">
      <c r="A69" s="939">
        <v>465000</v>
      </c>
      <c r="B69" s="942" t="s">
        <v>1441</v>
      </c>
      <c r="C69" s="941"/>
      <c r="D69" s="941"/>
      <c r="E69" s="941">
        <v>90000000</v>
      </c>
      <c r="F69" s="941">
        <v>90000000</v>
      </c>
      <c r="G69" s="941"/>
      <c r="H69" s="941"/>
    </row>
    <row r="70" spans="1:8" s="938" customFormat="1" ht="30" x14ac:dyDescent="0.25">
      <c r="A70" s="939">
        <v>467000</v>
      </c>
      <c r="B70" s="942" t="s">
        <v>1442</v>
      </c>
      <c r="C70" s="941"/>
      <c r="D70" s="941"/>
      <c r="E70" s="941">
        <v>200000000</v>
      </c>
      <c r="F70" s="941">
        <v>200000000</v>
      </c>
      <c r="G70" s="941"/>
      <c r="H70" s="941"/>
    </row>
    <row r="71" spans="1:8" s="938" customFormat="1" x14ac:dyDescent="0.25">
      <c r="A71" s="939">
        <v>471100</v>
      </c>
      <c r="B71" s="942" t="s">
        <v>1443</v>
      </c>
      <c r="C71" s="941">
        <v>450000</v>
      </c>
      <c r="D71" s="941"/>
      <c r="E71" s="941">
        <v>13050</v>
      </c>
      <c r="F71" s="941">
        <v>463050</v>
      </c>
      <c r="G71" s="941">
        <v>0</v>
      </c>
      <c r="H71" s="941"/>
    </row>
    <row r="72" spans="1:8" s="938" customFormat="1" x14ac:dyDescent="0.25">
      <c r="A72" s="939">
        <v>471300</v>
      </c>
      <c r="B72" s="942" t="s">
        <v>28</v>
      </c>
      <c r="C72" s="941"/>
      <c r="D72" s="941">
        <v>710000</v>
      </c>
      <c r="E72" s="941">
        <v>3330000</v>
      </c>
      <c r="F72" s="941">
        <v>3240000</v>
      </c>
      <c r="G72" s="941"/>
      <c r="H72" s="941">
        <v>620000</v>
      </c>
    </row>
    <row r="73" spans="1:8" s="938" customFormat="1" x14ac:dyDescent="0.25">
      <c r="A73" s="939">
        <v>476000</v>
      </c>
      <c r="B73" s="942" t="s">
        <v>1444</v>
      </c>
      <c r="C73" s="941">
        <v>1398099</v>
      </c>
      <c r="D73" s="941"/>
      <c r="E73" s="941">
        <v>6817087</v>
      </c>
      <c r="F73" s="941">
        <v>6951322</v>
      </c>
      <c r="G73" s="941">
        <v>1263864</v>
      </c>
      <c r="H73" s="941"/>
    </row>
    <row r="74" spans="1:8" s="938" customFormat="1" x14ac:dyDescent="0.25">
      <c r="A74" s="939">
        <v>477000</v>
      </c>
      <c r="B74" s="942" t="s">
        <v>1445</v>
      </c>
      <c r="C74" s="941"/>
      <c r="D74" s="941"/>
      <c r="E74" s="941">
        <v>10560000</v>
      </c>
      <c r="F74" s="941">
        <v>10560000</v>
      </c>
      <c r="G74" s="941"/>
      <c r="H74" s="941"/>
    </row>
    <row r="75" spans="1:8" s="938" customFormat="1" x14ac:dyDescent="0.25">
      <c r="A75" s="939">
        <v>478100</v>
      </c>
      <c r="B75" s="942" t="s">
        <v>1446</v>
      </c>
      <c r="C75" s="941"/>
      <c r="D75" s="941"/>
      <c r="E75" s="941">
        <v>15000000</v>
      </c>
      <c r="F75" s="941"/>
      <c r="G75" s="941">
        <v>15000000</v>
      </c>
      <c r="H75" s="941"/>
    </row>
    <row r="76" spans="1:8" s="938" customFormat="1" x14ac:dyDescent="0.25">
      <c r="A76" s="939">
        <v>479400</v>
      </c>
      <c r="B76" s="942" t="s">
        <v>1447</v>
      </c>
      <c r="C76" s="941"/>
      <c r="D76" s="941"/>
      <c r="E76" s="941"/>
      <c r="F76" s="941">
        <v>2500925</v>
      </c>
      <c r="G76" s="941"/>
      <c r="H76" s="941">
        <v>2500925</v>
      </c>
    </row>
    <row r="77" spans="1:8" s="938" customFormat="1" ht="30" x14ac:dyDescent="0.25">
      <c r="A77" s="939">
        <v>481200</v>
      </c>
      <c r="B77" s="942" t="s">
        <v>1448</v>
      </c>
      <c r="C77" s="941"/>
      <c r="D77" s="941"/>
      <c r="E77" s="941">
        <v>7000000</v>
      </c>
      <c r="F77" s="941">
        <v>163250000</v>
      </c>
      <c r="G77" s="941"/>
      <c r="H77" s="941">
        <v>156250000</v>
      </c>
    </row>
    <row r="78" spans="1:8" s="938" customFormat="1" x14ac:dyDescent="0.25">
      <c r="A78" s="939">
        <v>481800</v>
      </c>
      <c r="B78" s="942" t="s">
        <v>1449</v>
      </c>
      <c r="C78" s="941"/>
      <c r="D78" s="941">
        <v>399942</v>
      </c>
      <c r="E78" s="941"/>
      <c r="F78" s="941"/>
      <c r="G78" s="941"/>
      <c r="H78" s="941">
        <v>399942</v>
      </c>
    </row>
    <row r="79" spans="1:8" s="938" customFormat="1" x14ac:dyDescent="0.25">
      <c r="A79" s="939">
        <v>488000</v>
      </c>
      <c r="B79" s="942" t="s">
        <v>1450</v>
      </c>
      <c r="C79" s="941"/>
      <c r="D79" s="941"/>
      <c r="E79" s="941">
        <v>2000000</v>
      </c>
      <c r="F79" s="941"/>
      <c r="G79" s="941">
        <v>2000000</v>
      </c>
      <c r="H79" s="941"/>
    </row>
    <row r="80" spans="1:8" s="938" customFormat="1" ht="30" x14ac:dyDescent="0.25">
      <c r="A80" s="939">
        <v>485100</v>
      </c>
      <c r="B80" s="942" t="s">
        <v>1451</v>
      </c>
      <c r="C80" s="941">
        <v>380000</v>
      </c>
      <c r="D80" s="941"/>
      <c r="E80" s="941"/>
      <c r="F80" s="941">
        <v>240000</v>
      </c>
      <c r="G80" s="941">
        <v>140000</v>
      </c>
      <c r="H80" s="941"/>
    </row>
    <row r="81" spans="1:8" s="938" customFormat="1" x14ac:dyDescent="0.25">
      <c r="A81" s="939">
        <v>491000</v>
      </c>
      <c r="B81" s="942" t="s">
        <v>1452</v>
      </c>
      <c r="C81" s="941"/>
      <c r="D81" s="941">
        <v>31677520</v>
      </c>
      <c r="E81" s="941"/>
      <c r="F81" s="941"/>
      <c r="G81" s="941"/>
      <c r="H81" s="941">
        <v>31677520</v>
      </c>
    </row>
    <row r="82" spans="1:8" s="938" customFormat="1" x14ac:dyDescent="0.25">
      <c r="A82" s="939">
        <v>521400</v>
      </c>
      <c r="B82" s="942" t="s">
        <v>1161</v>
      </c>
      <c r="C82" s="941">
        <v>69123976</v>
      </c>
      <c r="D82" s="941"/>
      <c r="E82" s="941">
        <v>2247552500</v>
      </c>
      <c r="F82" s="941">
        <v>2195523485</v>
      </c>
      <c r="G82" s="941">
        <v>121152991</v>
      </c>
      <c r="H82" s="941"/>
    </row>
    <row r="83" spans="1:8" s="938" customFormat="1" x14ac:dyDescent="0.25">
      <c r="A83" s="939">
        <v>571100</v>
      </c>
      <c r="B83" s="942" t="s">
        <v>245</v>
      </c>
      <c r="C83" s="941">
        <v>5460181</v>
      </c>
      <c r="D83" s="941"/>
      <c r="E83" s="941">
        <v>141403437</v>
      </c>
      <c r="F83" s="941">
        <v>144919482</v>
      </c>
      <c r="G83" s="941">
        <v>1944136</v>
      </c>
      <c r="H83" s="941"/>
    </row>
    <row r="84" spans="1:8" s="938" customFormat="1" x14ac:dyDescent="0.25">
      <c r="A84" s="939">
        <v>585000</v>
      </c>
      <c r="B84" s="942" t="s">
        <v>1453</v>
      </c>
      <c r="C84" s="941"/>
      <c r="D84" s="941"/>
      <c r="E84" s="941">
        <v>144502048</v>
      </c>
      <c r="F84" s="941">
        <v>144502048</v>
      </c>
      <c r="G84" s="941"/>
      <c r="H84" s="941"/>
    </row>
    <row r="85" spans="1:8" s="947" customFormat="1" x14ac:dyDescent="0.25">
      <c r="A85" s="945">
        <v>601100</v>
      </c>
      <c r="B85" s="946" t="s">
        <v>1454</v>
      </c>
      <c r="C85" s="941"/>
      <c r="D85" s="941"/>
      <c r="E85" s="941">
        <v>75000000</v>
      </c>
      <c r="F85" s="941"/>
      <c r="G85" s="941">
        <v>75000000</v>
      </c>
      <c r="H85" s="941"/>
    </row>
    <row r="86" spans="1:8" s="938" customFormat="1" x14ac:dyDescent="0.25">
      <c r="A86" s="939">
        <v>602100</v>
      </c>
      <c r="B86" s="942" t="s">
        <v>1455</v>
      </c>
      <c r="C86" s="941"/>
      <c r="D86" s="941"/>
      <c r="E86" s="941">
        <v>924957492</v>
      </c>
      <c r="F86" s="941">
        <v>1770650</v>
      </c>
      <c r="G86" s="941">
        <v>923186842</v>
      </c>
      <c r="H86" s="941"/>
    </row>
    <row r="87" spans="1:8" s="938" customFormat="1" x14ac:dyDescent="0.25">
      <c r="A87" s="939">
        <v>602210</v>
      </c>
      <c r="B87" s="942" t="s">
        <v>1456</v>
      </c>
      <c r="C87" s="941"/>
      <c r="D87" s="941"/>
      <c r="E87" s="941">
        <v>5116850</v>
      </c>
      <c r="F87" s="941"/>
      <c r="G87" s="941">
        <v>5116850</v>
      </c>
      <c r="H87" s="941"/>
    </row>
    <row r="88" spans="1:8" s="938" customFormat="1" ht="30" x14ac:dyDescent="0.25">
      <c r="A88" s="939">
        <v>603100</v>
      </c>
      <c r="B88" s="942" t="s">
        <v>1457</v>
      </c>
      <c r="C88" s="941"/>
      <c r="D88" s="941"/>
      <c r="E88" s="941"/>
      <c r="F88" s="941">
        <v>5000000</v>
      </c>
      <c r="G88" s="941"/>
      <c r="H88" s="941">
        <v>5000000</v>
      </c>
    </row>
    <row r="89" spans="1:8" s="938" customFormat="1" ht="30" x14ac:dyDescent="0.25">
      <c r="A89" s="939">
        <v>603201</v>
      </c>
      <c r="B89" s="942" t="s">
        <v>1458</v>
      </c>
      <c r="C89" s="941"/>
      <c r="D89" s="941"/>
      <c r="E89" s="941">
        <v>57775035</v>
      </c>
      <c r="F89" s="941">
        <v>57881451</v>
      </c>
      <c r="G89" s="941"/>
      <c r="H89" s="941">
        <v>106416</v>
      </c>
    </row>
    <row r="90" spans="1:8" s="938" customFormat="1" x14ac:dyDescent="0.25">
      <c r="A90" s="939">
        <v>603302</v>
      </c>
      <c r="B90" s="942" t="s">
        <v>1459</v>
      </c>
      <c r="C90" s="941"/>
      <c r="D90" s="941"/>
      <c r="E90" s="941">
        <v>79288966</v>
      </c>
      <c r="F90" s="941">
        <v>76874255</v>
      </c>
      <c r="G90" s="941">
        <v>2414711</v>
      </c>
      <c r="H90" s="941"/>
    </row>
    <row r="91" spans="1:8" s="938" customFormat="1" x14ac:dyDescent="0.25">
      <c r="A91" s="939">
        <v>604200</v>
      </c>
      <c r="B91" s="942" t="s">
        <v>1460</v>
      </c>
      <c r="C91" s="941"/>
      <c r="D91" s="941"/>
      <c r="E91" s="941">
        <v>21691425</v>
      </c>
      <c r="F91" s="941">
        <v>10431949</v>
      </c>
      <c r="G91" s="941">
        <v>11259476</v>
      </c>
      <c r="H91" s="941"/>
    </row>
    <row r="92" spans="1:8" s="938" customFormat="1" x14ac:dyDescent="0.25">
      <c r="A92" s="939">
        <v>605100</v>
      </c>
      <c r="B92" s="942" t="s">
        <v>450</v>
      </c>
      <c r="C92" s="941"/>
      <c r="D92" s="941"/>
      <c r="E92" s="941">
        <v>10895715</v>
      </c>
      <c r="F92" s="941">
        <v>5387895</v>
      </c>
      <c r="G92" s="941">
        <v>5507820</v>
      </c>
      <c r="H92" s="941"/>
    </row>
    <row r="93" spans="1:8" s="938" customFormat="1" x14ac:dyDescent="0.25">
      <c r="A93" s="939">
        <v>605200</v>
      </c>
      <c r="B93" s="942" t="s">
        <v>451</v>
      </c>
      <c r="C93" s="941"/>
      <c r="D93" s="941"/>
      <c r="E93" s="941">
        <v>56706955</v>
      </c>
      <c r="F93" s="941">
        <v>32760604</v>
      </c>
      <c r="G93" s="941">
        <v>23946351</v>
      </c>
      <c r="H93" s="941"/>
    </row>
    <row r="94" spans="1:8" s="938" customFormat="1" ht="30" x14ac:dyDescent="0.25">
      <c r="A94" s="939">
        <v>605400</v>
      </c>
      <c r="B94" s="942" t="s">
        <v>1461</v>
      </c>
      <c r="C94" s="941"/>
      <c r="D94" s="941"/>
      <c r="E94" s="941">
        <v>4268103</v>
      </c>
      <c r="F94" s="941">
        <v>285000</v>
      </c>
      <c r="G94" s="941">
        <v>3983103</v>
      </c>
      <c r="H94" s="941"/>
    </row>
    <row r="95" spans="1:8" s="938" customFormat="1" x14ac:dyDescent="0.25">
      <c r="A95" s="939">
        <v>605500</v>
      </c>
      <c r="B95" s="942" t="s">
        <v>1071</v>
      </c>
      <c r="C95" s="941"/>
      <c r="D95" s="941"/>
      <c r="E95" s="941">
        <v>4480500</v>
      </c>
      <c r="F95" s="941">
        <v>207000</v>
      </c>
      <c r="G95" s="941">
        <v>4273500</v>
      </c>
      <c r="H95" s="941"/>
    </row>
    <row r="96" spans="1:8" s="938" customFormat="1" ht="30" x14ac:dyDescent="0.25">
      <c r="A96" s="939">
        <v>605600</v>
      </c>
      <c r="B96" s="942" t="s">
        <v>1462</v>
      </c>
      <c r="C96" s="941"/>
      <c r="D96" s="941"/>
      <c r="E96" s="941">
        <v>13718052</v>
      </c>
      <c r="F96" s="941"/>
      <c r="G96" s="941">
        <v>13718052</v>
      </c>
      <c r="H96" s="941"/>
    </row>
    <row r="97" spans="1:8" s="938" customFormat="1" ht="30" x14ac:dyDescent="0.25">
      <c r="A97" s="939">
        <v>605700</v>
      </c>
      <c r="B97" s="942" t="s">
        <v>1463</v>
      </c>
      <c r="C97" s="941"/>
      <c r="D97" s="941"/>
      <c r="E97" s="941">
        <v>12000</v>
      </c>
      <c r="F97" s="941"/>
      <c r="G97" s="941">
        <v>12000</v>
      </c>
      <c r="H97" s="941"/>
    </row>
    <row r="98" spans="1:8" s="938" customFormat="1" x14ac:dyDescent="0.25">
      <c r="A98" s="939">
        <v>608100</v>
      </c>
      <c r="B98" s="942" t="s">
        <v>1464</v>
      </c>
      <c r="C98" s="941"/>
      <c r="D98" s="941"/>
      <c r="E98" s="941">
        <v>132571022</v>
      </c>
      <c r="F98" s="941">
        <v>37004365</v>
      </c>
      <c r="G98" s="941">
        <v>95566657</v>
      </c>
      <c r="H98" s="941"/>
    </row>
    <row r="99" spans="1:8" s="938" customFormat="1" x14ac:dyDescent="0.25">
      <c r="A99" s="939">
        <v>612000</v>
      </c>
      <c r="B99" s="942" t="s">
        <v>460</v>
      </c>
      <c r="C99" s="941"/>
      <c r="D99" s="941"/>
      <c r="E99" s="941">
        <v>343513892</v>
      </c>
      <c r="F99" s="941">
        <v>19987821</v>
      </c>
      <c r="G99" s="941">
        <v>323526071</v>
      </c>
      <c r="H99" s="941"/>
    </row>
    <row r="100" spans="1:8" s="938" customFormat="1" x14ac:dyDescent="0.25">
      <c r="A100" s="939">
        <v>618100</v>
      </c>
      <c r="B100" s="942" t="s">
        <v>1465</v>
      </c>
      <c r="C100" s="941"/>
      <c r="D100" s="941"/>
      <c r="E100" s="941">
        <v>3958126</v>
      </c>
      <c r="F100" s="941"/>
      <c r="G100" s="941">
        <v>3958126</v>
      </c>
      <c r="H100" s="941"/>
    </row>
    <row r="101" spans="1:8" s="938" customFormat="1" x14ac:dyDescent="0.25">
      <c r="A101" s="939">
        <v>618300</v>
      </c>
      <c r="B101" s="942" t="s">
        <v>1466</v>
      </c>
      <c r="C101" s="941"/>
      <c r="D101" s="941"/>
      <c r="E101" s="941">
        <v>1662475</v>
      </c>
      <c r="F101" s="941"/>
      <c r="G101" s="941">
        <v>1662475</v>
      </c>
      <c r="H101" s="941"/>
    </row>
    <row r="102" spans="1:8" s="938" customFormat="1" x14ac:dyDescent="0.25">
      <c r="A102" s="939">
        <v>622200</v>
      </c>
      <c r="B102" s="942" t="s">
        <v>1467</v>
      </c>
      <c r="C102" s="941"/>
      <c r="D102" s="941"/>
      <c r="E102" s="941">
        <v>8750000</v>
      </c>
      <c r="F102" s="941">
        <v>350000</v>
      </c>
      <c r="G102" s="941">
        <v>8400000</v>
      </c>
      <c r="H102" s="941"/>
    </row>
    <row r="103" spans="1:8" s="938" customFormat="1" x14ac:dyDescent="0.25">
      <c r="A103" s="939">
        <v>622300</v>
      </c>
      <c r="B103" s="942" t="s">
        <v>1468</v>
      </c>
      <c r="C103" s="941"/>
      <c r="D103" s="941"/>
      <c r="E103" s="941">
        <v>15080000</v>
      </c>
      <c r="F103" s="941">
        <v>2955000</v>
      </c>
      <c r="G103" s="941">
        <v>12125000</v>
      </c>
      <c r="H103" s="941"/>
    </row>
    <row r="104" spans="1:8" s="938" customFormat="1" x14ac:dyDescent="0.25">
      <c r="A104" s="939">
        <v>622800</v>
      </c>
      <c r="B104" s="942" t="s">
        <v>1469</v>
      </c>
      <c r="C104" s="941"/>
      <c r="D104" s="941"/>
      <c r="E104" s="941">
        <v>682298</v>
      </c>
      <c r="F104" s="941">
        <v>399400</v>
      </c>
      <c r="G104" s="941">
        <v>282898</v>
      </c>
      <c r="H104" s="941"/>
    </row>
    <row r="105" spans="1:8" s="938" customFormat="1" ht="30" x14ac:dyDescent="0.25">
      <c r="A105" s="939">
        <v>624100</v>
      </c>
      <c r="B105" s="942" t="s">
        <v>1470</v>
      </c>
      <c r="C105" s="941"/>
      <c r="D105" s="941"/>
      <c r="E105" s="941">
        <v>1951316</v>
      </c>
      <c r="F105" s="941"/>
      <c r="G105" s="941">
        <v>1951316</v>
      </c>
      <c r="H105" s="941"/>
    </row>
    <row r="106" spans="1:8" s="938" customFormat="1" ht="30" x14ac:dyDescent="0.25">
      <c r="A106" s="939">
        <v>624200</v>
      </c>
      <c r="B106" s="942" t="s">
        <v>1471</v>
      </c>
      <c r="C106" s="941"/>
      <c r="D106" s="941"/>
      <c r="E106" s="941">
        <v>4392302</v>
      </c>
      <c r="F106" s="941">
        <v>720054</v>
      </c>
      <c r="G106" s="941">
        <v>3672248</v>
      </c>
      <c r="H106" s="941"/>
    </row>
    <row r="107" spans="1:8" s="938" customFormat="1" x14ac:dyDescent="0.25">
      <c r="A107" s="939">
        <v>624300</v>
      </c>
      <c r="B107" s="942" t="s">
        <v>1472</v>
      </c>
      <c r="C107" s="941"/>
      <c r="D107" s="941"/>
      <c r="E107" s="941">
        <v>6460000</v>
      </c>
      <c r="F107" s="941">
        <v>650000</v>
      </c>
      <c r="G107" s="941">
        <v>5810000</v>
      </c>
      <c r="H107" s="941"/>
    </row>
    <row r="108" spans="1:8" s="938" customFormat="1" x14ac:dyDescent="0.25">
      <c r="A108" s="939">
        <v>624330</v>
      </c>
      <c r="B108" s="942" t="s">
        <v>1473</v>
      </c>
      <c r="C108" s="941"/>
      <c r="D108" s="941"/>
      <c r="E108" s="941">
        <v>585000</v>
      </c>
      <c r="F108" s="941"/>
      <c r="G108" s="941">
        <v>585000</v>
      </c>
      <c r="H108" s="941"/>
    </row>
    <row r="109" spans="1:8" s="938" customFormat="1" x14ac:dyDescent="0.25">
      <c r="A109" s="939">
        <v>625100</v>
      </c>
      <c r="B109" s="942" t="s">
        <v>1474</v>
      </c>
      <c r="C109" s="941"/>
      <c r="D109" s="941"/>
      <c r="E109" s="941">
        <v>2796869</v>
      </c>
      <c r="F109" s="941">
        <v>1378167</v>
      </c>
      <c r="G109" s="941">
        <v>1418702</v>
      </c>
      <c r="H109" s="941"/>
    </row>
    <row r="110" spans="1:8" s="938" customFormat="1" ht="30" x14ac:dyDescent="0.25">
      <c r="A110" s="939">
        <v>625200</v>
      </c>
      <c r="B110" s="942" t="s">
        <v>1475</v>
      </c>
      <c r="C110" s="941"/>
      <c r="D110" s="941"/>
      <c r="E110" s="941">
        <v>2660291</v>
      </c>
      <c r="F110" s="941">
        <v>1617217</v>
      </c>
      <c r="G110" s="941">
        <v>1043074</v>
      </c>
      <c r="H110" s="941"/>
    </row>
    <row r="111" spans="1:8" s="938" customFormat="1" x14ac:dyDescent="0.25">
      <c r="A111" s="939">
        <v>628100</v>
      </c>
      <c r="B111" s="942" t="s">
        <v>1476</v>
      </c>
      <c r="C111" s="941"/>
      <c r="D111" s="941"/>
      <c r="E111" s="941">
        <v>10693350</v>
      </c>
      <c r="F111" s="941">
        <v>4187100</v>
      </c>
      <c r="G111" s="941">
        <v>6506250</v>
      </c>
      <c r="H111" s="941"/>
    </row>
    <row r="112" spans="1:8" s="938" customFormat="1" x14ac:dyDescent="0.25">
      <c r="A112" s="939">
        <v>628800</v>
      </c>
      <c r="B112" s="942" t="s">
        <v>1477</v>
      </c>
      <c r="C112" s="941"/>
      <c r="D112" s="941"/>
      <c r="E112" s="941">
        <v>1207400</v>
      </c>
      <c r="F112" s="941">
        <v>397000</v>
      </c>
      <c r="G112" s="941">
        <v>810400</v>
      </c>
      <c r="H112" s="941"/>
    </row>
    <row r="113" spans="1:10" s="938" customFormat="1" x14ac:dyDescent="0.25">
      <c r="A113" s="939">
        <v>631800</v>
      </c>
      <c r="B113" s="942" t="s">
        <v>474</v>
      </c>
      <c r="C113" s="941"/>
      <c r="D113" s="941"/>
      <c r="E113" s="941">
        <v>2012656</v>
      </c>
      <c r="F113" s="941"/>
      <c r="G113" s="941">
        <v>2012656</v>
      </c>
      <c r="H113" s="941"/>
      <c r="J113" s="944"/>
    </row>
    <row r="114" spans="1:10" s="938" customFormat="1" ht="30" x14ac:dyDescent="0.25">
      <c r="A114" s="939">
        <v>631810</v>
      </c>
      <c r="B114" s="942" t="s">
        <v>1478</v>
      </c>
      <c r="C114" s="941"/>
      <c r="D114" s="941"/>
      <c r="E114" s="941">
        <v>6417410</v>
      </c>
      <c r="F114" s="941"/>
      <c r="G114" s="941">
        <v>6417410</v>
      </c>
      <c r="H114" s="941"/>
      <c r="J114" s="944"/>
    </row>
    <row r="115" spans="1:10" s="938" customFormat="1" x14ac:dyDescent="0.25">
      <c r="A115" s="939">
        <v>632400</v>
      </c>
      <c r="B115" s="942" t="s">
        <v>1479</v>
      </c>
      <c r="C115" s="941"/>
      <c r="D115" s="941"/>
      <c r="E115" s="941">
        <v>22500000</v>
      </c>
      <c r="F115" s="941">
        <v>6600000</v>
      </c>
      <c r="G115" s="941">
        <v>15900000</v>
      </c>
      <c r="H115" s="941"/>
      <c r="J115" s="944"/>
    </row>
    <row r="116" spans="1:10" s="938" customFormat="1" x14ac:dyDescent="0.25">
      <c r="A116" s="939">
        <v>632401</v>
      </c>
      <c r="B116" s="942" t="s">
        <v>1480</v>
      </c>
      <c r="C116" s="941"/>
      <c r="D116" s="941"/>
      <c r="E116" s="941">
        <v>1500000</v>
      </c>
      <c r="F116" s="941"/>
      <c r="G116" s="941">
        <v>1500000</v>
      </c>
      <c r="H116" s="941"/>
    </row>
    <row r="117" spans="1:10" s="938" customFormat="1" x14ac:dyDescent="0.25">
      <c r="A117" s="939">
        <v>632410</v>
      </c>
      <c r="B117" s="942" t="s">
        <v>1481</v>
      </c>
      <c r="C117" s="941"/>
      <c r="D117" s="941"/>
      <c r="E117" s="941">
        <v>2049080</v>
      </c>
      <c r="F117" s="941">
        <v>647560</v>
      </c>
      <c r="G117" s="941">
        <v>1401520</v>
      </c>
      <c r="H117" s="941"/>
    </row>
    <row r="118" spans="1:10" s="938" customFormat="1" x14ac:dyDescent="0.25">
      <c r="A118" s="939">
        <v>632500</v>
      </c>
      <c r="B118" s="942" t="s">
        <v>1482</v>
      </c>
      <c r="C118" s="941"/>
      <c r="D118" s="941"/>
      <c r="E118" s="941">
        <v>46680</v>
      </c>
      <c r="F118" s="941"/>
      <c r="G118" s="941">
        <v>46680</v>
      </c>
      <c r="H118" s="941"/>
    </row>
    <row r="119" spans="1:10" s="938" customFormat="1" x14ac:dyDescent="0.25">
      <c r="A119" s="939">
        <v>632800</v>
      </c>
      <c r="B119" s="942" t="s">
        <v>1483</v>
      </c>
      <c r="C119" s="941"/>
      <c r="D119" s="941"/>
      <c r="E119" s="941">
        <v>2277000</v>
      </c>
      <c r="F119" s="941"/>
      <c r="G119" s="941">
        <v>2277000</v>
      </c>
      <c r="H119" s="941"/>
    </row>
    <row r="120" spans="1:10" s="938" customFormat="1" x14ac:dyDescent="0.25">
      <c r="A120" s="939">
        <v>632801</v>
      </c>
      <c r="B120" s="942" t="s">
        <v>1484</v>
      </c>
      <c r="C120" s="941"/>
      <c r="D120" s="941"/>
      <c r="E120" s="941">
        <v>129375</v>
      </c>
      <c r="F120" s="941"/>
      <c r="G120" s="941">
        <v>129375</v>
      </c>
      <c r="H120" s="941"/>
    </row>
    <row r="121" spans="1:10" s="938" customFormat="1" x14ac:dyDescent="0.25">
      <c r="A121" s="939">
        <v>634800</v>
      </c>
      <c r="B121" s="942" t="s">
        <v>1485</v>
      </c>
      <c r="C121" s="941"/>
      <c r="D121" s="941"/>
      <c r="E121" s="941">
        <v>48000</v>
      </c>
      <c r="F121" s="941"/>
      <c r="G121" s="941">
        <v>48000</v>
      </c>
      <c r="H121" s="941"/>
    </row>
    <row r="122" spans="1:10" s="938" customFormat="1" x14ac:dyDescent="0.25">
      <c r="A122" s="939">
        <v>635101</v>
      </c>
      <c r="B122" s="942" t="s">
        <v>1486</v>
      </c>
      <c r="C122" s="941"/>
      <c r="D122" s="941"/>
      <c r="E122" s="941">
        <v>400000</v>
      </c>
      <c r="F122" s="941">
        <v>200000</v>
      </c>
      <c r="G122" s="941">
        <v>200000</v>
      </c>
      <c r="H122" s="941"/>
    </row>
    <row r="123" spans="1:10" s="938" customFormat="1" x14ac:dyDescent="0.25">
      <c r="A123" s="939">
        <v>638300</v>
      </c>
      <c r="B123" s="942" t="s">
        <v>1487</v>
      </c>
      <c r="C123" s="941"/>
      <c r="D123" s="941"/>
      <c r="E123" s="941">
        <v>31500</v>
      </c>
      <c r="F123" s="941"/>
      <c r="G123" s="941">
        <v>31500</v>
      </c>
      <c r="H123" s="941"/>
    </row>
    <row r="124" spans="1:10" s="938" customFormat="1" x14ac:dyDescent="0.25">
      <c r="A124" s="939">
        <v>638900</v>
      </c>
      <c r="B124" s="942" t="s">
        <v>1488</v>
      </c>
      <c r="C124" s="941"/>
      <c r="D124" s="941"/>
      <c r="E124" s="941">
        <v>30300</v>
      </c>
      <c r="F124" s="941"/>
      <c r="G124" s="941">
        <v>30300</v>
      </c>
      <c r="H124" s="941"/>
    </row>
    <row r="125" spans="1:10" s="938" customFormat="1" ht="30" x14ac:dyDescent="0.25">
      <c r="A125" s="939">
        <v>646100</v>
      </c>
      <c r="B125" s="942" t="s">
        <v>1489</v>
      </c>
      <c r="C125" s="941"/>
      <c r="D125" s="941"/>
      <c r="E125" s="941">
        <v>3000000</v>
      </c>
      <c r="F125" s="941"/>
      <c r="G125" s="941">
        <v>3000000</v>
      </c>
      <c r="H125" s="941"/>
    </row>
    <row r="126" spans="1:10" s="938" customFormat="1" x14ac:dyDescent="0.25">
      <c r="A126" s="939">
        <v>646200</v>
      </c>
      <c r="B126" s="942" t="s">
        <v>1490</v>
      </c>
      <c r="C126" s="941"/>
      <c r="D126" s="941"/>
      <c r="E126" s="941">
        <v>10200</v>
      </c>
      <c r="F126" s="941"/>
      <c r="G126" s="941">
        <v>10200</v>
      </c>
      <c r="H126" s="941"/>
    </row>
    <row r="127" spans="1:10" s="938" customFormat="1" x14ac:dyDescent="0.25">
      <c r="A127" s="939">
        <v>646400</v>
      </c>
      <c r="B127" s="942" t="s">
        <v>1491</v>
      </c>
      <c r="C127" s="941"/>
      <c r="D127" s="941"/>
      <c r="E127" s="941">
        <v>35000</v>
      </c>
      <c r="F127" s="941"/>
      <c r="G127" s="941">
        <v>35000</v>
      </c>
      <c r="H127" s="941"/>
    </row>
    <row r="128" spans="1:10" s="938" customFormat="1" x14ac:dyDescent="0.25">
      <c r="A128" s="939">
        <v>647200</v>
      </c>
      <c r="B128" s="942" t="s">
        <v>1492</v>
      </c>
      <c r="C128" s="941"/>
      <c r="D128" s="941"/>
      <c r="E128" s="941">
        <v>90000</v>
      </c>
      <c r="F128" s="941"/>
      <c r="G128" s="941">
        <v>90000</v>
      </c>
      <c r="H128" s="941"/>
    </row>
    <row r="129" spans="1:8" s="938" customFormat="1" x14ac:dyDescent="0.25">
      <c r="A129" s="939">
        <v>651100</v>
      </c>
      <c r="B129" s="942" t="s">
        <v>487</v>
      </c>
      <c r="C129" s="941"/>
      <c r="D129" s="941"/>
      <c r="E129" s="941">
        <v>4150956</v>
      </c>
      <c r="F129" s="941"/>
      <c r="G129" s="941">
        <v>4150956</v>
      </c>
      <c r="H129" s="941"/>
    </row>
    <row r="130" spans="1:8" s="938" customFormat="1" x14ac:dyDescent="0.25">
      <c r="A130" s="939">
        <v>658200</v>
      </c>
      <c r="B130" s="942" t="s">
        <v>1284</v>
      </c>
      <c r="C130" s="941"/>
      <c r="D130" s="941"/>
      <c r="E130" s="941">
        <v>100000</v>
      </c>
      <c r="F130" s="941"/>
      <c r="G130" s="941">
        <v>100000</v>
      </c>
      <c r="H130" s="941"/>
    </row>
    <row r="131" spans="1:8" s="938" customFormat="1" x14ac:dyDescent="0.25">
      <c r="A131" s="939">
        <v>658800</v>
      </c>
      <c r="B131" s="942" t="s">
        <v>493</v>
      </c>
      <c r="C131" s="941"/>
      <c r="D131" s="941"/>
      <c r="E131" s="941">
        <v>12973</v>
      </c>
      <c r="F131" s="941"/>
      <c r="G131" s="941">
        <v>12973</v>
      </c>
      <c r="H131" s="941"/>
    </row>
    <row r="132" spans="1:8" s="938" customFormat="1" x14ac:dyDescent="0.25">
      <c r="A132" s="939">
        <v>661100</v>
      </c>
      <c r="B132" s="942" t="s">
        <v>1493</v>
      </c>
      <c r="C132" s="941"/>
      <c r="D132" s="941"/>
      <c r="E132" s="941">
        <v>101601787</v>
      </c>
      <c r="F132" s="941"/>
      <c r="G132" s="941">
        <v>101601787</v>
      </c>
      <c r="H132" s="941"/>
    </row>
    <row r="133" spans="1:8" s="938" customFormat="1" ht="30" x14ac:dyDescent="0.25">
      <c r="A133" s="939">
        <v>661300</v>
      </c>
      <c r="B133" s="942" t="s">
        <v>1494</v>
      </c>
      <c r="C133" s="941"/>
      <c r="D133" s="941"/>
      <c r="E133" s="941">
        <v>7690099</v>
      </c>
      <c r="F133" s="941">
        <v>3057458</v>
      </c>
      <c r="G133" s="941">
        <v>4632641</v>
      </c>
      <c r="H133" s="941"/>
    </row>
    <row r="134" spans="1:8" s="938" customFormat="1" x14ac:dyDescent="0.25">
      <c r="A134" s="939">
        <v>661800</v>
      </c>
      <c r="B134" s="942" t="s">
        <v>1495</v>
      </c>
      <c r="C134" s="941"/>
      <c r="D134" s="941"/>
      <c r="E134" s="941">
        <v>45353580</v>
      </c>
      <c r="F134" s="941"/>
      <c r="G134" s="941">
        <v>45353580</v>
      </c>
      <c r="H134" s="941"/>
    </row>
    <row r="135" spans="1:8" s="938" customFormat="1" x14ac:dyDescent="0.25">
      <c r="A135" s="939">
        <v>662100</v>
      </c>
      <c r="B135" s="942" t="s">
        <v>1496</v>
      </c>
      <c r="C135" s="941"/>
      <c r="D135" s="941"/>
      <c r="E135" s="941">
        <v>26964127</v>
      </c>
      <c r="F135" s="941"/>
      <c r="G135" s="941">
        <v>26964127</v>
      </c>
      <c r="H135" s="941"/>
    </row>
    <row r="136" spans="1:8" s="938" customFormat="1" ht="30" x14ac:dyDescent="0.25">
      <c r="A136" s="939">
        <v>662300</v>
      </c>
      <c r="B136" s="942" t="s">
        <v>1497</v>
      </c>
      <c r="C136" s="941"/>
      <c r="D136" s="941"/>
      <c r="E136" s="941">
        <v>956541</v>
      </c>
      <c r="F136" s="941">
        <v>955634</v>
      </c>
      <c r="G136" s="941">
        <v>907</v>
      </c>
      <c r="H136" s="941"/>
    </row>
    <row r="137" spans="1:8" s="938" customFormat="1" x14ac:dyDescent="0.25">
      <c r="A137" s="939">
        <v>663100</v>
      </c>
      <c r="B137" s="942" t="s">
        <v>1498</v>
      </c>
      <c r="C137" s="941"/>
      <c r="D137" s="941"/>
      <c r="E137" s="941">
        <v>3216000</v>
      </c>
      <c r="F137" s="941"/>
      <c r="G137" s="941">
        <v>3216000</v>
      </c>
      <c r="H137" s="941"/>
    </row>
    <row r="138" spans="1:8" s="938" customFormat="1" x14ac:dyDescent="0.25">
      <c r="A138" s="939">
        <v>663400</v>
      </c>
      <c r="B138" s="942" t="s">
        <v>1499</v>
      </c>
      <c r="C138" s="941"/>
      <c r="D138" s="941"/>
      <c r="E138" s="941">
        <v>5407994</v>
      </c>
      <c r="F138" s="941"/>
      <c r="G138" s="941">
        <v>5407994</v>
      </c>
      <c r="H138" s="941"/>
    </row>
    <row r="139" spans="1:8" s="938" customFormat="1" ht="30" x14ac:dyDescent="0.25">
      <c r="A139" s="939">
        <v>663800</v>
      </c>
      <c r="B139" s="942" t="s">
        <v>1500</v>
      </c>
      <c r="C139" s="941"/>
      <c r="D139" s="941"/>
      <c r="E139" s="941">
        <v>4651183</v>
      </c>
      <c r="F139" s="941"/>
      <c r="G139" s="941">
        <v>4651183</v>
      </c>
      <c r="H139" s="941"/>
    </row>
    <row r="140" spans="1:8" s="938" customFormat="1" ht="30" x14ac:dyDescent="0.25">
      <c r="A140" s="939">
        <v>664120</v>
      </c>
      <c r="B140" s="942" t="s">
        <v>1501</v>
      </c>
      <c r="C140" s="941"/>
      <c r="D140" s="941"/>
      <c r="E140" s="941">
        <v>2588506</v>
      </c>
      <c r="F140" s="941">
        <v>171878</v>
      </c>
      <c r="G140" s="941">
        <v>2416628</v>
      </c>
      <c r="H140" s="941"/>
    </row>
    <row r="141" spans="1:8" s="938" customFormat="1" ht="30" x14ac:dyDescent="0.25">
      <c r="A141" s="939">
        <v>664121</v>
      </c>
      <c r="B141" s="942" t="s">
        <v>1502</v>
      </c>
      <c r="C141" s="941"/>
      <c r="D141" s="941"/>
      <c r="E141" s="941">
        <v>4728850</v>
      </c>
      <c r="F141" s="941"/>
      <c r="G141" s="941">
        <v>4728850</v>
      </c>
      <c r="H141" s="941"/>
    </row>
    <row r="142" spans="1:8" s="938" customFormat="1" x14ac:dyDescent="0.25">
      <c r="A142" s="939">
        <v>664130</v>
      </c>
      <c r="B142" s="942" t="s">
        <v>1503</v>
      </c>
      <c r="C142" s="941"/>
      <c r="D142" s="941"/>
      <c r="E142" s="941">
        <v>8662975</v>
      </c>
      <c r="F142" s="941">
        <v>336707</v>
      </c>
      <c r="G142" s="941">
        <v>8326268</v>
      </c>
      <c r="H142" s="941"/>
    </row>
    <row r="143" spans="1:8" s="938" customFormat="1" x14ac:dyDescent="0.25">
      <c r="A143" s="939">
        <v>664140</v>
      </c>
      <c r="B143" s="942" t="s">
        <v>1504</v>
      </c>
      <c r="C143" s="941"/>
      <c r="D143" s="941"/>
      <c r="E143" s="941">
        <v>1739939</v>
      </c>
      <c r="F143" s="941"/>
      <c r="G143" s="941">
        <v>1739939</v>
      </c>
      <c r="H143" s="941"/>
    </row>
    <row r="144" spans="1:8" s="938" customFormat="1" ht="30" x14ac:dyDescent="0.25">
      <c r="A144" s="939">
        <v>664200</v>
      </c>
      <c r="B144" s="942" t="s">
        <v>1505</v>
      </c>
      <c r="C144" s="941"/>
      <c r="D144" s="941"/>
      <c r="E144" s="941">
        <v>9164992</v>
      </c>
      <c r="F144" s="941">
        <v>2893292</v>
      </c>
      <c r="G144" s="941">
        <v>6271700</v>
      </c>
      <c r="H144" s="941"/>
    </row>
    <row r="145" spans="1:13" s="938" customFormat="1" x14ac:dyDescent="0.25">
      <c r="A145" s="939">
        <v>664800</v>
      </c>
      <c r="B145" s="942" t="s">
        <v>500</v>
      </c>
      <c r="C145" s="941"/>
      <c r="D145" s="941"/>
      <c r="E145" s="941">
        <v>800000</v>
      </c>
      <c r="F145" s="941"/>
      <c r="G145" s="941">
        <v>800000</v>
      </c>
      <c r="H145" s="941"/>
    </row>
    <row r="146" spans="1:13" s="938" customFormat="1" ht="30" x14ac:dyDescent="0.25">
      <c r="A146" s="939">
        <v>668400</v>
      </c>
      <c r="B146" s="942" t="s">
        <v>1506</v>
      </c>
      <c r="C146" s="941"/>
      <c r="D146" s="941"/>
      <c r="E146" s="941">
        <v>2929779</v>
      </c>
      <c r="F146" s="941">
        <v>1241500</v>
      </c>
      <c r="G146" s="941">
        <v>1688279</v>
      </c>
      <c r="H146" s="941"/>
    </row>
    <row r="147" spans="1:13" s="938" customFormat="1" x14ac:dyDescent="0.25">
      <c r="A147" s="939">
        <v>668500</v>
      </c>
      <c r="B147" s="942" t="s">
        <v>1507</v>
      </c>
      <c r="C147" s="941"/>
      <c r="D147" s="941"/>
      <c r="E147" s="941">
        <v>417210</v>
      </c>
      <c r="F147" s="941"/>
      <c r="G147" s="941">
        <v>417210</v>
      </c>
      <c r="H147" s="941"/>
    </row>
    <row r="148" spans="1:13" s="938" customFormat="1" x14ac:dyDescent="0.25">
      <c r="A148" s="939">
        <v>671200</v>
      </c>
      <c r="B148" s="942" t="s">
        <v>1508</v>
      </c>
      <c r="C148" s="941"/>
      <c r="D148" s="941"/>
      <c r="E148" s="941">
        <v>3500000</v>
      </c>
      <c r="F148" s="941"/>
      <c r="G148" s="941">
        <v>3500000</v>
      </c>
      <c r="H148" s="941"/>
    </row>
    <row r="149" spans="1:13" s="938" customFormat="1" ht="30" x14ac:dyDescent="0.25">
      <c r="A149" s="939">
        <v>681300</v>
      </c>
      <c r="B149" s="942" t="s">
        <v>1509</v>
      </c>
      <c r="C149" s="941"/>
      <c r="D149" s="941"/>
      <c r="E149" s="941">
        <v>41555720</v>
      </c>
      <c r="F149" s="941">
        <v>22296076</v>
      </c>
      <c r="G149" s="941">
        <v>19259644</v>
      </c>
      <c r="H149" s="941"/>
    </row>
    <row r="150" spans="1:13" s="938" customFormat="1" ht="30" x14ac:dyDescent="0.25">
      <c r="A150" s="939">
        <v>691100</v>
      </c>
      <c r="B150" s="942" t="s">
        <v>1510</v>
      </c>
      <c r="C150" s="941"/>
      <c r="D150" s="941"/>
      <c r="E150" s="941">
        <v>13953199</v>
      </c>
      <c r="F150" s="941">
        <v>6701530</v>
      </c>
      <c r="G150" s="941">
        <v>7251669</v>
      </c>
      <c r="H150" s="941"/>
      <c r="J150" s="944"/>
    </row>
    <row r="151" spans="1:13" s="938" customFormat="1" x14ac:dyDescent="0.25">
      <c r="A151" s="939">
        <v>701100</v>
      </c>
      <c r="B151" s="942" t="s">
        <v>1511</v>
      </c>
      <c r="C151" s="941"/>
      <c r="D151" s="941"/>
      <c r="E151" s="941"/>
      <c r="F151" s="941">
        <v>110000000</v>
      </c>
      <c r="G151" s="941"/>
      <c r="H151" s="941">
        <v>110000000</v>
      </c>
    </row>
    <row r="152" spans="1:13" s="938" customFormat="1" x14ac:dyDescent="0.25">
      <c r="A152" s="939">
        <v>702200</v>
      </c>
      <c r="B152" s="942" t="s">
        <v>1512</v>
      </c>
      <c r="C152" s="941"/>
      <c r="D152" s="941"/>
      <c r="E152" s="941"/>
      <c r="F152" s="941">
        <v>1941053121</v>
      </c>
      <c r="G152" s="941"/>
      <c r="H152" s="941">
        <v>1941053121</v>
      </c>
      <c r="I152" s="944"/>
      <c r="J152" s="944"/>
    </row>
    <row r="153" spans="1:13" s="938" customFormat="1" x14ac:dyDescent="0.25">
      <c r="A153" s="939">
        <v>702200</v>
      </c>
      <c r="B153" s="942" t="s">
        <v>1513</v>
      </c>
      <c r="C153" s="941"/>
      <c r="D153" s="941"/>
      <c r="E153" s="941">
        <v>1112590</v>
      </c>
      <c r="F153" s="941"/>
      <c r="G153" s="941">
        <v>1112590</v>
      </c>
      <c r="H153" s="941"/>
      <c r="J153" s="944"/>
      <c r="K153" s="944"/>
      <c r="L153" s="948"/>
    </row>
    <row r="154" spans="1:13" s="938" customFormat="1" ht="30" x14ac:dyDescent="0.25">
      <c r="A154" s="939">
        <v>702901</v>
      </c>
      <c r="B154" s="942" t="s">
        <v>1514</v>
      </c>
      <c r="C154" s="941"/>
      <c r="D154" s="941"/>
      <c r="E154" s="941">
        <v>21795786</v>
      </c>
      <c r="F154" s="941"/>
      <c r="G154" s="941">
        <v>21795786</v>
      </c>
      <c r="H154" s="941"/>
      <c r="J154" s="944"/>
      <c r="M154" s="943"/>
    </row>
    <row r="155" spans="1:13" s="938" customFormat="1" x14ac:dyDescent="0.25">
      <c r="A155" s="939">
        <v>706100</v>
      </c>
      <c r="B155" s="942" t="s">
        <v>1515</v>
      </c>
      <c r="C155" s="941"/>
      <c r="D155" s="941"/>
      <c r="E155" s="941"/>
      <c r="F155" s="941">
        <v>12672000</v>
      </c>
      <c r="G155" s="941"/>
      <c r="H155" s="941">
        <v>12672000</v>
      </c>
      <c r="J155" s="944"/>
    </row>
    <row r="156" spans="1:13" s="938" customFormat="1" x14ac:dyDescent="0.25">
      <c r="A156" s="939">
        <v>707800</v>
      </c>
      <c r="B156" s="942" t="s">
        <v>1516</v>
      </c>
      <c r="C156" s="941"/>
      <c r="D156" s="941"/>
      <c r="E156" s="941"/>
      <c r="F156" s="941">
        <v>1130000</v>
      </c>
      <c r="G156" s="941"/>
      <c r="H156" s="941">
        <v>1130000</v>
      </c>
      <c r="J156" s="944"/>
    </row>
    <row r="157" spans="1:13" s="938" customFormat="1" x14ac:dyDescent="0.25">
      <c r="A157" s="939">
        <v>722100</v>
      </c>
      <c r="B157" s="942" t="s">
        <v>436</v>
      </c>
      <c r="C157" s="941"/>
      <c r="D157" s="941"/>
      <c r="E157" s="941"/>
      <c r="F157" s="941">
        <v>4500000</v>
      </c>
      <c r="G157" s="941"/>
      <c r="H157" s="941">
        <v>4500000</v>
      </c>
      <c r="J157" s="944"/>
    </row>
    <row r="158" spans="1:13" s="938" customFormat="1" ht="30" x14ac:dyDescent="0.25">
      <c r="A158" s="939">
        <v>756000</v>
      </c>
      <c r="B158" s="942" t="s">
        <v>1517</v>
      </c>
      <c r="C158" s="941"/>
      <c r="D158" s="941"/>
      <c r="E158" s="941"/>
      <c r="F158" s="941">
        <v>1081031</v>
      </c>
      <c r="G158" s="941"/>
      <c r="H158" s="941">
        <v>1081031</v>
      </c>
      <c r="J158" s="944"/>
    </row>
    <row r="159" spans="1:13" s="938" customFormat="1" x14ac:dyDescent="0.25">
      <c r="A159" s="939">
        <v>758000</v>
      </c>
      <c r="B159" s="942" t="s">
        <v>1518</v>
      </c>
      <c r="C159" s="941"/>
      <c r="D159" s="941"/>
      <c r="E159" s="941"/>
      <c r="F159" s="941">
        <v>2355947</v>
      </c>
      <c r="G159" s="941"/>
      <c r="H159" s="941">
        <v>2355947</v>
      </c>
    </row>
    <row r="160" spans="1:13" s="938" customFormat="1" x14ac:dyDescent="0.25">
      <c r="A160" s="939">
        <v>773000</v>
      </c>
      <c r="B160" s="942" t="s">
        <v>575</v>
      </c>
      <c r="C160" s="941"/>
      <c r="D160" s="941"/>
      <c r="E160" s="941"/>
      <c r="F160" s="941">
        <v>7500000</v>
      </c>
      <c r="G160" s="941"/>
      <c r="H160" s="941">
        <v>7500000</v>
      </c>
      <c r="I160" s="944"/>
      <c r="L160" s="949"/>
    </row>
    <row r="161" spans="1:13" s="938" customFormat="1" x14ac:dyDescent="0.25">
      <c r="A161" s="939">
        <v>781000</v>
      </c>
      <c r="B161" s="942" t="s">
        <v>1519</v>
      </c>
      <c r="C161" s="941"/>
      <c r="D161" s="941"/>
      <c r="E161" s="941"/>
      <c r="F161" s="941">
        <v>3233550</v>
      </c>
      <c r="G161" s="941"/>
      <c r="H161" s="941">
        <v>3233550</v>
      </c>
      <c r="L161" s="943"/>
    </row>
    <row r="162" spans="1:13" s="938" customFormat="1" ht="30" x14ac:dyDescent="0.25">
      <c r="A162" s="939">
        <v>812000</v>
      </c>
      <c r="B162" s="942" t="s">
        <v>1520</v>
      </c>
      <c r="C162" s="941"/>
      <c r="D162" s="941"/>
      <c r="E162" s="941">
        <v>45992979</v>
      </c>
      <c r="F162" s="941">
        <v>45992979</v>
      </c>
      <c r="G162" s="941"/>
      <c r="H162" s="941"/>
      <c r="J162" s="944"/>
      <c r="L162" s="950"/>
    </row>
    <row r="163" spans="1:13" s="938" customFormat="1" ht="30" x14ac:dyDescent="0.25">
      <c r="A163" s="939">
        <v>822000</v>
      </c>
      <c r="B163" s="942" t="s">
        <v>1521</v>
      </c>
      <c r="C163" s="941"/>
      <c r="D163" s="941"/>
      <c r="E163" s="941"/>
      <c r="F163" s="941">
        <v>127119</v>
      </c>
      <c r="G163" s="941"/>
      <c r="H163" s="941">
        <v>127119</v>
      </c>
      <c r="L163" s="950"/>
      <c r="M163" s="951"/>
    </row>
    <row r="164" spans="1:13" s="938" customFormat="1" x14ac:dyDescent="0.25">
      <c r="A164" s="939">
        <v>845000</v>
      </c>
      <c r="B164" s="942" t="s">
        <v>588</v>
      </c>
      <c r="C164" s="941"/>
      <c r="D164" s="941"/>
      <c r="E164" s="941"/>
      <c r="F164" s="941">
        <v>2000000</v>
      </c>
      <c r="G164" s="941"/>
      <c r="H164" s="941">
        <v>2000000</v>
      </c>
      <c r="L164" s="950"/>
      <c r="M164" s="943"/>
    </row>
    <row r="165" spans="1:13" s="938" customFormat="1" x14ac:dyDescent="0.25">
      <c r="A165" s="939">
        <v>891000</v>
      </c>
      <c r="B165" s="942" t="s">
        <v>1522</v>
      </c>
      <c r="C165" s="941"/>
      <c r="D165" s="941"/>
      <c r="E165" s="941">
        <v>31102200</v>
      </c>
      <c r="F165" s="941"/>
      <c r="G165" s="941">
        <v>31102200</v>
      </c>
      <c r="H165" s="941"/>
      <c r="K165" s="944"/>
      <c r="M165" s="943"/>
    </row>
    <row r="166" spans="1:13" s="943" customFormat="1" x14ac:dyDescent="0.25">
      <c r="A166" s="939"/>
      <c r="B166" s="953"/>
      <c r="C166" s="953"/>
      <c r="D166" s="953"/>
      <c r="E166" s="953"/>
      <c r="F166" s="953"/>
      <c r="G166" s="953"/>
      <c r="H166" s="953"/>
    </row>
    <row r="167" spans="1:13" s="943" customFormat="1" x14ac:dyDescent="0.25">
      <c r="A167" s="939"/>
      <c r="B167" s="953"/>
      <c r="C167" s="953"/>
      <c r="D167" s="953"/>
      <c r="E167" s="953"/>
      <c r="F167" s="953"/>
      <c r="G167" s="953"/>
      <c r="H167" s="953"/>
    </row>
    <row r="168" spans="1:13" s="943" customFormat="1" x14ac:dyDescent="0.25">
      <c r="A168" s="952"/>
      <c r="B168" s="953"/>
      <c r="C168" s="953"/>
      <c r="D168" s="953"/>
      <c r="E168" s="953"/>
      <c r="F168" s="953"/>
      <c r="G168" s="953"/>
      <c r="H168" s="953"/>
    </row>
    <row r="169" spans="1:13" s="943" customFormat="1" x14ac:dyDescent="0.25">
      <c r="A169" s="952"/>
      <c r="B169" s="953"/>
      <c r="C169" s="953"/>
      <c r="D169" s="953"/>
      <c r="E169" s="953"/>
      <c r="F169" s="953"/>
      <c r="G169" s="953"/>
      <c r="H169" s="953"/>
    </row>
    <row r="170" spans="1:13" s="943" customFormat="1" x14ac:dyDescent="0.25">
      <c r="A170" s="952"/>
      <c r="B170" s="953"/>
      <c r="C170" s="953"/>
      <c r="D170" s="953"/>
      <c r="E170" s="953"/>
      <c r="F170" s="953"/>
      <c r="G170" s="953"/>
      <c r="H170" s="953"/>
    </row>
    <row r="171" spans="1:13" s="943" customFormat="1" x14ac:dyDescent="0.25">
      <c r="A171" s="952"/>
      <c r="B171" s="953"/>
      <c r="C171" s="953"/>
      <c r="D171" s="953"/>
      <c r="E171" s="953"/>
      <c r="F171" s="953"/>
      <c r="G171" s="953"/>
      <c r="H171" s="953"/>
    </row>
    <row r="172" spans="1:13" s="943" customFormat="1" x14ac:dyDescent="0.25">
      <c r="A172" s="952"/>
      <c r="B172" s="953"/>
      <c r="C172" s="953"/>
      <c r="D172" s="953"/>
      <c r="E172" s="953"/>
      <c r="F172" s="953"/>
      <c r="G172" s="953"/>
      <c r="H172" s="953"/>
    </row>
    <row r="173" spans="1:13" s="943" customFormat="1" x14ac:dyDescent="0.25">
      <c r="A173" s="952"/>
      <c r="B173" s="953"/>
      <c r="C173" s="953"/>
      <c r="D173" s="953"/>
      <c r="E173" s="953"/>
      <c r="F173" s="953"/>
      <c r="G173" s="953"/>
      <c r="H173" s="953"/>
    </row>
    <row r="174" spans="1:13" s="943" customFormat="1" x14ac:dyDescent="0.25">
      <c r="A174" s="952"/>
      <c r="B174" s="953"/>
      <c r="C174" s="953"/>
      <c r="D174" s="953"/>
      <c r="E174" s="953"/>
      <c r="F174" s="953"/>
      <c r="G174" s="953"/>
      <c r="H174" s="953"/>
    </row>
    <row r="175" spans="1:13" s="943" customFormat="1" x14ac:dyDescent="0.25">
      <c r="A175" s="952"/>
      <c r="B175" s="953"/>
      <c r="C175" s="953"/>
      <c r="D175" s="953"/>
      <c r="E175" s="953"/>
      <c r="F175" s="953"/>
      <c r="G175" s="953"/>
      <c r="H175" s="953"/>
    </row>
    <row r="176" spans="1:13" s="943" customFormat="1" x14ac:dyDescent="0.25">
      <c r="A176" s="952"/>
      <c r="B176" s="953"/>
      <c r="C176" s="953"/>
      <c r="D176" s="953"/>
      <c r="E176" s="953"/>
      <c r="F176" s="953"/>
      <c r="G176" s="953"/>
      <c r="H176" s="953"/>
    </row>
    <row r="177" spans="1:8" s="943" customFormat="1" x14ac:dyDescent="0.25">
      <c r="A177" s="952"/>
      <c r="B177" s="953"/>
      <c r="C177" s="953"/>
      <c r="D177" s="953"/>
      <c r="E177" s="953"/>
      <c r="F177" s="953"/>
      <c r="G177" s="953"/>
      <c r="H177" s="953"/>
    </row>
    <row r="178" spans="1:8" s="943" customFormat="1" x14ac:dyDescent="0.25">
      <c r="A178" s="952"/>
      <c r="B178" s="953"/>
      <c r="C178" s="953"/>
      <c r="D178" s="953"/>
      <c r="E178" s="953"/>
      <c r="F178" s="953"/>
      <c r="G178" s="953"/>
      <c r="H178" s="953"/>
    </row>
    <row r="179" spans="1:8" s="943" customFormat="1" x14ac:dyDescent="0.25">
      <c r="A179" s="952"/>
      <c r="B179" s="953"/>
      <c r="C179" s="953"/>
      <c r="D179" s="953"/>
      <c r="E179" s="953"/>
      <c r="F179" s="953"/>
      <c r="G179" s="953"/>
      <c r="H179" s="953"/>
    </row>
    <row r="180" spans="1:8" s="943" customFormat="1" x14ac:dyDescent="0.25">
      <c r="A180" s="952"/>
      <c r="B180" s="953"/>
      <c r="C180" s="953"/>
      <c r="D180" s="953"/>
      <c r="E180" s="953"/>
      <c r="F180" s="953"/>
      <c r="G180" s="953"/>
      <c r="H180" s="953"/>
    </row>
    <row r="181" spans="1:8" s="943" customFormat="1" x14ac:dyDescent="0.25">
      <c r="A181" s="952"/>
      <c r="B181" s="953"/>
      <c r="C181" s="953"/>
      <c r="D181" s="953"/>
      <c r="E181" s="953"/>
      <c r="F181" s="953"/>
      <c r="G181" s="953"/>
      <c r="H181" s="953"/>
    </row>
    <row r="182" spans="1:8" s="943" customFormat="1" x14ac:dyDescent="0.25">
      <c r="A182" s="952"/>
      <c r="B182" s="953"/>
      <c r="C182" s="953"/>
      <c r="D182" s="953"/>
      <c r="E182" s="953"/>
      <c r="F182" s="953"/>
      <c r="G182" s="953"/>
      <c r="H182" s="953"/>
    </row>
    <row r="183" spans="1:8" s="943" customFormat="1" x14ac:dyDescent="0.25">
      <c r="A183" s="952"/>
      <c r="B183" s="953"/>
      <c r="C183" s="953"/>
      <c r="D183" s="953"/>
      <c r="E183" s="953"/>
      <c r="F183" s="953"/>
      <c r="G183" s="953"/>
      <c r="H183" s="953"/>
    </row>
    <row r="184" spans="1:8" s="943" customFormat="1" x14ac:dyDescent="0.25">
      <c r="A184" s="952"/>
      <c r="B184" s="953"/>
      <c r="C184" s="953"/>
      <c r="D184" s="953"/>
      <c r="E184" s="953"/>
      <c r="F184" s="953"/>
      <c r="G184" s="953"/>
      <c r="H184" s="953"/>
    </row>
    <row r="185" spans="1:8" s="943" customFormat="1" x14ac:dyDescent="0.25">
      <c r="A185" s="952"/>
      <c r="B185" s="953"/>
      <c r="C185" s="953"/>
      <c r="D185" s="953"/>
      <c r="E185" s="953"/>
      <c r="F185" s="953"/>
      <c r="G185" s="953"/>
      <c r="H185" s="953"/>
    </row>
    <row r="186" spans="1:8" s="943" customFormat="1" x14ac:dyDescent="0.25">
      <c r="A186" s="952"/>
      <c r="B186" s="953"/>
      <c r="C186" s="953"/>
      <c r="D186" s="953"/>
      <c r="E186" s="953"/>
      <c r="F186" s="953"/>
      <c r="G186" s="953"/>
      <c r="H186" s="953"/>
    </row>
    <row r="187" spans="1:8" s="943" customFormat="1" x14ac:dyDescent="0.25">
      <c r="A187" s="952"/>
      <c r="B187" s="953"/>
      <c r="C187" s="953"/>
      <c r="D187" s="953"/>
      <c r="E187" s="953"/>
      <c r="F187" s="953"/>
      <c r="G187" s="953"/>
      <c r="H187" s="953"/>
    </row>
    <row r="188" spans="1:8" s="943" customFormat="1" x14ac:dyDescent="0.25">
      <c r="A188" s="952"/>
      <c r="B188" s="953"/>
      <c r="C188" s="953"/>
      <c r="D188" s="953"/>
      <c r="E188" s="953"/>
      <c r="F188" s="953"/>
      <c r="G188" s="953"/>
      <c r="H188" s="953"/>
    </row>
    <row r="189" spans="1:8" s="943" customFormat="1" x14ac:dyDescent="0.25">
      <c r="A189" s="952"/>
      <c r="B189" s="953"/>
      <c r="C189" s="953"/>
      <c r="D189" s="953"/>
      <c r="E189" s="953"/>
      <c r="F189" s="953"/>
      <c r="G189" s="953"/>
      <c r="H189" s="953"/>
    </row>
    <row r="190" spans="1:8" s="943" customFormat="1" x14ac:dyDescent="0.25">
      <c r="A190" s="952"/>
      <c r="B190" s="953"/>
      <c r="C190" s="953"/>
      <c r="D190" s="953"/>
      <c r="E190" s="953"/>
      <c r="F190" s="953"/>
      <c r="G190" s="953"/>
      <c r="H190" s="953"/>
    </row>
    <row r="191" spans="1:8" s="943" customFormat="1" x14ac:dyDescent="0.25">
      <c r="A191" s="952"/>
      <c r="B191" s="953"/>
      <c r="C191" s="953"/>
      <c r="D191" s="953"/>
      <c r="E191" s="953"/>
      <c r="F191" s="953"/>
      <c r="G191" s="953"/>
      <c r="H191" s="953"/>
    </row>
    <row r="192" spans="1:8" s="943" customFormat="1" x14ac:dyDescent="0.25">
      <c r="A192" s="952"/>
      <c r="B192" s="953"/>
      <c r="C192" s="953"/>
      <c r="D192" s="953"/>
      <c r="E192" s="953"/>
      <c r="F192" s="953"/>
      <c r="G192" s="953"/>
      <c r="H192" s="953"/>
    </row>
    <row r="193" spans="1:8" s="943" customFormat="1" x14ac:dyDescent="0.25">
      <c r="A193" s="952"/>
      <c r="B193" s="953"/>
      <c r="C193" s="953"/>
      <c r="D193" s="953"/>
      <c r="E193" s="953"/>
      <c r="F193" s="953"/>
      <c r="G193" s="953"/>
      <c r="H193" s="953"/>
    </row>
    <row r="194" spans="1:8" s="943" customFormat="1" x14ac:dyDescent="0.25">
      <c r="A194" s="952"/>
      <c r="B194" s="953"/>
      <c r="C194" s="953"/>
      <c r="D194" s="953"/>
      <c r="E194" s="953"/>
      <c r="F194" s="953"/>
      <c r="G194" s="953"/>
      <c r="H194" s="953"/>
    </row>
    <row r="195" spans="1:8" s="943" customFormat="1" x14ac:dyDescent="0.25">
      <c r="A195" s="952"/>
      <c r="B195" s="953"/>
      <c r="C195" s="953"/>
      <c r="D195" s="953"/>
      <c r="E195" s="953"/>
      <c r="F195" s="953"/>
      <c r="G195" s="953"/>
      <c r="H195" s="953"/>
    </row>
    <row r="196" spans="1:8" s="943" customFormat="1" x14ac:dyDescent="0.25">
      <c r="A196" s="952"/>
      <c r="B196" s="953"/>
      <c r="C196" s="953"/>
      <c r="D196" s="953"/>
      <c r="E196" s="953"/>
      <c r="F196" s="953"/>
      <c r="G196" s="953"/>
      <c r="H196" s="953"/>
    </row>
    <row r="197" spans="1:8" s="943" customFormat="1" x14ac:dyDescent="0.25">
      <c r="A197" s="952"/>
      <c r="B197" s="953"/>
      <c r="C197" s="953"/>
      <c r="D197" s="953"/>
      <c r="E197" s="953"/>
      <c r="F197" s="953"/>
      <c r="G197" s="953"/>
      <c r="H197" s="953"/>
    </row>
    <row r="198" spans="1:8" s="943" customFormat="1" x14ac:dyDescent="0.25">
      <c r="A198" s="952"/>
      <c r="B198" s="953"/>
      <c r="C198" s="953"/>
      <c r="D198" s="953"/>
      <c r="E198" s="953"/>
      <c r="F198" s="953"/>
      <c r="G198" s="953"/>
      <c r="H198" s="953"/>
    </row>
    <row r="199" spans="1:8" s="943" customFormat="1" x14ac:dyDescent="0.25">
      <c r="A199" s="952"/>
      <c r="B199" s="953"/>
      <c r="C199" s="953"/>
      <c r="D199" s="953"/>
      <c r="E199" s="953"/>
      <c r="F199" s="953"/>
      <c r="G199" s="953"/>
      <c r="H199" s="953"/>
    </row>
    <row r="200" spans="1:8" s="943" customFormat="1" x14ac:dyDescent="0.25">
      <c r="A200" s="952"/>
      <c r="B200" s="953"/>
      <c r="C200" s="953"/>
      <c r="D200" s="953"/>
      <c r="E200" s="953"/>
      <c r="F200" s="953"/>
      <c r="G200" s="953"/>
      <c r="H200" s="953"/>
    </row>
    <row r="201" spans="1:8" s="943" customFormat="1" x14ac:dyDescent="0.25">
      <c r="A201" s="952"/>
      <c r="B201" s="953"/>
      <c r="C201" s="953"/>
      <c r="D201" s="953"/>
      <c r="E201" s="953"/>
      <c r="F201" s="953"/>
      <c r="G201" s="953"/>
      <c r="H201" s="953"/>
    </row>
    <row r="202" spans="1:8" s="943" customFormat="1" x14ac:dyDescent="0.25">
      <c r="A202" s="952"/>
      <c r="B202" s="953"/>
      <c r="C202" s="953"/>
      <c r="D202" s="953"/>
      <c r="E202" s="953"/>
      <c r="F202" s="953"/>
      <c r="G202" s="953"/>
      <c r="H202" s="953"/>
    </row>
    <row r="203" spans="1:8" s="943" customFormat="1" x14ac:dyDescent="0.25">
      <c r="A203" s="952"/>
      <c r="B203" s="953"/>
      <c r="C203" s="953"/>
      <c r="D203" s="953"/>
      <c r="E203" s="953"/>
      <c r="F203" s="953"/>
      <c r="G203" s="953"/>
      <c r="H203" s="953"/>
    </row>
    <row r="204" spans="1:8" s="943" customFormat="1" x14ac:dyDescent="0.25">
      <c r="A204" s="952"/>
      <c r="B204" s="953"/>
      <c r="C204" s="953"/>
      <c r="D204" s="953"/>
      <c r="E204" s="953"/>
      <c r="F204" s="953"/>
      <c r="G204" s="953"/>
      <c r="H204" s="953"/>
    </row>
    <row r="205" spans="1:8" s="943" customFormat="1" x14ac:dyDescent="0.25">
      <c r="A205" s="952"/>
      <c r="B205" s="953"/>
      <c r="C205" s="953"/>
      <c r="D205" s="953"/>
      <c r="E205" s="953"/>
      <c r="F205" s="953"/>
      <c r="G205" s="953"/>
      <c r="H205" s="953"/>
    </row>
    <row r="206" spans="1:8" s="943" customFormat="1" x14ac:dyDescent="0.25">
      <c r="A206" s="952"/>
      <c r="B206" s="953"/>
      <c r="C206" s="953"/>
      <c r="D206" s="953"/>
      <c r="E206" s="953"/>
      <c r="F206" s="953"/>
      <c r="G206" s="953"/>
      <c r="H206" s="953"/>
    </row>
    <row r="207" spans="1:8" s="943" customFormat="1" x14ac:dyDescent="0.25">
      <c r="A207" s="952"/>
      <c r="B207" s="953"/>
      <c r="C207" s="953"/>
      <c r="D207" s="953"/>
      <c r="E207" s="953"/>
      <c r="F207" s="953"/>
      <c r="G207" s="953"/>
      <c r="H207" s="953"/>
    </row>
    <row r="208" spans="1:8" s="943" customFormat="1" x14ac:dyDescent="0.25">
      <c r="A208" s="952"/>
      <c r="B208" s="953"/>
      <c r="C208" s="953"/>
      <c r="D208" s="953"/>
      <c r="E208" s="953"/>
      <c r="F208" s="953"/>
      <c r="G208" s="953"/>
      <c r="H208" s="953"/>
    </row>
    <row r="209" spans="1:8" s="943" customFormat="1" x14ac:dyDescent="0.25">
      <c r="A209" s="952"/>
      <c r="B209" s="953"/>
      <c r="C209" s="953"/>
      <c r="D209" s="953"/>
      <c r="E209" s="953"/>
      <c r="F209" s="953"/>
      <c r="G209" s="953"/>
      <c r="H209" s="953"/>
    </row>
    <row r="210" spans="1:8" s="943" customFormat="1" x14ac:dyDescent="0.25">
      <c r="A210" s="952"/>
      <c r="B210" s="953"/>
      <c r="C210" s="953"/>
      <c r="D210" s="953"/>
      <c r="E210" s="953"/>
      <c r="F210" s="953"/>
      <c r="G210" s="953"/>
      <c r="H210" s="953"/>
    </row>
    <row r="211" spans="1:8" s="943" customFormat="1" x14ac:dyDescent="0.25">
      <c r="A211" s="952"/>
      <c r="B211" s="953"/>
      <c r="C211" s="953"/>
      <c r="D211" s="953"/>
      <c r="E211" s="953"/>
      <c r="F211" s="953"/>
      <c r="G211" s="953"/>
      <c r="H211" s="953"/>
    </row>
    <row r="212" spans="1:8" s="943" customFormat="1" x14ac:dyDescent="0.25">
      <c r="A212" s="952"/>
      <c r="B212" s="953"/>
      <c r="C212" s="953"/>
      <c r="D212" s="953"/>
      <c r="E212" s="953"/>
      <c r="F212" s="953"/>
      <c r="G212" s="953"/>
      <c r="H212" s="953"/>
    </row>
    <row r="213" spans="1:8" s="943" customFormat="1" x14ac:dyDescent="0.25">
      <c r="A213" s="952"/>
      <c r="B213" s="953"/>
      <c r="C213" s="953"/>
      <c r="D213" s="953"/>
      <c r="E213" s="953"/>
      <c r="F213" s="953"/>
      <c r="G213" s="953"/>
      <c r="H213" s="953"/>
    </row>
    <row r="214" spans="1:8" s="943" customFormat="1" x14ac:dyDescent="0.25">
      <c r="A214" s="952"/>
      <c r="B214" s="953"/>
      <c r="C214" s="953"/>
      <c r="D214" s="953"/>
      <c r="E214" s="953"/>
      <c r="F214" s="953"/>
      <c r="G214" s="953"/>
      <c r="H214" s="953"/>
    </row>
    <row r="215" spans="1:8" s="943" customFormat="1" x14ac:dyDescent="0.25">
      <c r="A215" s="952"/>
      <c r="B215" s="953"/>
      <c r="C215" s="953"/>
      <c r="D215" s="953"/>
      <c r="E215" s="953"/>
      <c r="F215" s="953"/>
      <c r="G215" s="953"/>
      <c r="H215" s="953"/>
    </row>
    <row r="216" spans="1:8" s="943" customFormat="1" x14ac:dyDescent="0.25">
      <c r="A216" s="952"/>
      <c r="B216" s="953"/>
      <c r="C216" s="953"/>
      <c r="D216" s="953"/>
      <c r="E216" s="953"/>
      <c r="F216" s="953"/>
      <c r="G216" s="953"/>
      <c r="H216" s="953"/>
    </row>
    <row r="217" spans="1:8" s="943" customFormat="1" x14ac:dyDescent="0.25">
      <c r="A217" s="952"/>
      <c r="B217" s="953"/>
      <c r="C217" s="953"/>
      <c r="D217" s="953"/>
      <c r="E217" s="953"/>
      <c r="F217" s="953"/>
      <c r="G217" s="953"/>
      <c r="H217" s="953"/>
    </row>
    <row r="218" spans="1:8" s="943" customFormat="1" x14ac:dyDescent="0.25">
      <c r="A218" s="952"/>
      <c r="B218" s="953"/>
      <c r="C218" s="953"/>
      <c r="D218" s="953"/>
      <c r="E218" s="953"/>
      <c r="F218" s="953"/>
      <c r="G218" s="953"/>
      <c r="H218" s="953"/>
    </row>
    <row r="219" spans="1:8" s="943" customFormat="1" x14ac:dyDescent="0.25">
      <c r="A219" s="952"/>
      <c r="B219" s="953"/>
      <c r="C219" s="953"/>
      <c r="D219" s="953"/>
      <c r="E219" s="953"/>
      <c r="F219" s="953"/>
      <c r="G219" s="953"/>
      <c r="H219" s="953"/>
    </row>
    <row r="220" spans="1:8" s="943" customFormat="1" x14ac:dyDescent="0.25">
      <c r="A220" s="952"/>
      <c r="B220" s="953"/>
      <c r="C220" s="953"/>
      <c r="D220" s="953"/>
      <c r="E220" s="953"/>
      <c r="F220" s="953"/>
      <c r="G220" s="953"/>
      <c r="H220" s="953"/>
    </row>
    <row r="221" spans="1:8" s="943" customFormat="1" x14ac:dyDescent="0.25">
      <c r="A221" s="952"/>
      <c r="B221" s="953"/>
      <c r="C221" s="953"/>
      <c r="D221" s="953"/>
      <c r="E221" s="953"/>
      <c r="F221" s="953"/>
      <c r="G221" s="953"/>
      <c r="H221" s="953"/>
    </row>
    <row r="222" spans="1:8" s="943" customFormat="1" x14ac:dyDescent="0.25">
      <c r="A222" s="952"/>
      <c r="B222" s="953"/>
      <c r="C222" s="953"/>
      <c r="D222" s="953"/>
      <c r="E222" s="953"/>
      <c r="F222" s="953"/>
      <c r="G222" s="953"/>
      <c r="H222" s="953"/>
    </row>
    <row r="223" spans="1:8" s="943" customFormat="1" x14ac:dyDescent="0.25">
      <c r="A223" s="952"/>
      <c r="B223" s="953"/>
      <c r="C223" s="953"/>
      <c r="D223" s="953"/>
      <c r="E223" s="953"/>
      <c r="F223" s="953"/>
      <c r="G223" s="953"/>
      <c r="H223" s="953"/>
    </row>
    <row r="224" spans="1:8" s="943" customFormat="1" x14ac:dyDescent="0.25">
      <c r="A224" s="952"/>
      <c r="B224" s="953"/>
      <c r="C224" s="953"/>
      <c r="D224" s="953"/>
      <c r="E224" s="953"/>
      <c r="F224" s="953"/>
      <c r="G224" s="953"/>
      <c r="H224" s="953"/>
    </row>
    <row r="225" spans="1:8" s="943" customFormat="1" x14ac:dyDescent="0.25">
      <c r="A225" s="952"/>
      <c r="B225" s="953"/>
      <c r="C225" s="953"/>
      <c r="D225" s="953"/>
      <c r="E225" s="953"/>
      <c r="F225" s="953"/>
      <c r="G225" s="953"/>
      <c r="H225" s="953"/>
    </row>
    <row r="226" spans="1:8" s="943" customFormat="1" x14ac:dyDescent="0.25">
      <c r="A226" s="952"/>
      <c r="B226" s="953"/>
      <c r="C226" s="953"/>
      <c r="D226" s="953"/>
      <c r="E226" s="953"/>
      <c r="F226" s="953"/>
      <c r="G226" s="953"/>
      <c r="H226" s="953"/>
    </row>
    <row r="227" spans="1:8" s="943" customFormat="1" x14ac:dyDescent="0.25">
      <c r="A227" s="952"/>
      <c r="B227" s="953"/>
      <c r="C227" s="953"/>
      <c r="D227" s="953"/>
      <c r="E227" s="953"/>
      <c r="F227" s="953"/>
      <c r="G227" s="953"/>
      <c r="H227" s="953"/>
    </row>
    <row r="228" spans="1:8" s="943" customFormat="1" x14ac:dyDescent="0.25">
      <c r="A228" s="952"/>
      <c r="B228" s="953"/>
      <c r="C228" s="953"/>
      <c r="D228" s="953"/>
      <c r="E228" s="953"/>
      <c r="F228" s="953"/>
      <c r="G228" s="953"/>
      <c r="H228" s="953"/>
    </row>
    <row r="229" spans="1:8" s="943" customFormat="1" x14ac:dyDescent="0.25">
      <c r="A229" s="952"/>
      <c r="B229" s="953"/>
      <c r="C229" s="953"/>
      <c r="D229" s="953"/>
      <c r="E229" s="953"/>
      <c r="F229" s="953"/>
      <c r="G229" s="953"/>
      <c r="H229" s="953"/>
    </row>
    <row r="230" spans="1:8" s="943" customFormat="1" x14ac:dyDescent="0.25">
      <c r="A230" s="952"/>
      <c r="B230" s="953"/>
      <c r="C230" s="953"/>
      <c r="D230" s="953"/>
      <c r="E230" s="953"/>
      <c r="F230" s="953"/>
      <c r="G230" s="953"/>
      <c r="H230" s="953"/>
    </row>
    <row r="231" spans="1:8" s="943" customFormat="1" x14ac:dyDescent="0.25">
      <c r="A231" s="952"/>
      <c r="B231" s="953"/>
      <c r="C231" s="953"/>
      <c r="D231" s="953"/>
      <c r="E231" s="953"/>
      <c r="F231" s="953"/>
      <c r="G231" s="953"/>
      <c r="H231" s="953"/>
    </row>
    <row r="232" spans="1:8" s="943" customFormat="1" x14ac:dyDescent="0.25">
      <c r="A232" s="952"/>
      <c r="B232" s="953"/>
      <c r="C232" s="953"/>
      <c r="D232" s="953"/>
      <c r="E232" s="953"/>
      <c r="F232" s="953"/>
      <c r="G232" s="953"/>
      <c r="H232" s="953"/>
    </row>
    <row r="233" spans="1:8" s="943" customFormat="1" x14ac:dyDescent="0.25">
      <c r="A233" s="952"/>
      <c r="B233" s="953"/>
      <c r="C233" s="953"/>
      <c r="D233" s="953"/>
      <c r="E233" s="953"/>
      <c r="F233" s="953"/>
      <c r="G233" s="953"/>
      <c r="H233" s="953"/>
    </row>
    <row r="234" spans="1:8" s="943" customFormat="1" x14ac:dyDescent="0.25">
      <c r="A234" s="952"/>
      <c r="B234" s="953"/>
      <c r="C234" s="953"/>
      <c r="D234" s="953"/>
      <c r="E234" s="953"/>
      <c r="F234" s="953"/>
      <c r="G234" s="953"/>
      <c r="H234" s="953"/>
    </row>
    <row r="235" spans="1:8" s="943" customFormat="1" x14ac:dyDescent="0.25">
      <c r="A235" s="952"/>
      <c r="B235" s="953"/>
      <c r="C235" s="953"/>
      <c r="D235" s="953"/>
      <c r="E235" s="953"/>
      <c r="F235" s="953"/>
      <c r="G235" s="953"/>
      <c r="H235" s="953"/>
    </row>
    <row r="236" spans="1:8" s="943" customFormat="1" x14ac:dyDescent="0.25">
      <c r="A236" s="952"/>
      <c r="B236" s="953"/>
      <c r="C236" s="953"/>
      <c r="D236" s="953"/>
      <c r="E236" s="953"/>
      <c r="F236" s="953"/>
      <c r="G236" s="953"/>
      <c r="H236" s="953"/>
    </row>
    <row r="237" spans="1:8" s="943" customFormat="1" x14ac:dyDescent="0.25">
      <c r="A237" s="952"/>
      <c r="B237" s="953"/>
      <c r="C237" s="953"/>
      <c r="D237" s="953"/>
      <c r="E237" s="953"/>
      <c r="F237" s="953"/>
      <c r="G237" s="953"/>
      <c r="H237" s="953"/>
    </row>
    <row r="238" spans="1:8" s="943" customFormat="1" x14ac:dyDescent="0.25">
      <c r="A238" s="952"/>
      <c r="B238" s="953"/>
      <c r="C238" s="953"/>
      <c r="D238" s="953"/>
      <c r="E238" s="953"/>
      <c r="F238" s="953"/>
      <c r="G238" s="953"/>
      <c r="H238" s="953"/>
    </row>
    <row r="239" spans="1:8" s="943" customFormat="1" x14ac:dyDescent="0.25">
      <c r="A239" s="952"/>
      <c r="B239" s="953"/>
      <c r="C239" s="953"/>
      <c r="D239" s="953"/>
      <c r="E239" s="953"/>
      <c r="F239" s="953"/>
      <c r="G239" s="953"/>
      <c r="H239" s="953"/>
    </row>
    <row r="240" spans="1:8" s="943" customFormat="1" x14ac:dyDescent="0.25">
      <c r="A240" s="952"/>
      <c r="B240" s="953"/>
      <c r="C240" s="953"/>
      <c r="D240" s="953"/>
      <c r="E240" s="953"/>
      <c r="F240" s="953"/>
      <c r="G240" s="953"/>
      <c r="H240" s="953"/>
    </row>
    <row r="241" spans="1:8" s="943" customFormat="1" x14ac:dyDescent="0.25">
      <c r="A241" s="952"/>
      <c r="B241" s="953"/>
      <c r="C241" s="953"/>
      <c r="D241" s="953"/>
      <c r="E241" s="953"/>
      <c r="F241" s="953"/>
      <c r="G241" s="953"/>
      <c r="H241" s="953"/>
    </row>
    <row r="242" spans="1:8" s="943" customFormat="1" x14ac:dyDescent="0.25">
      <c r="A242" s="952"/>
      <c r="B242" s="953"/>
      <c r="C242" s="953"/>
      <c r="D242" s="953"/>
      <c r="E242" s="953"/>
      <c r="F242" s="953"/>
      <c r="G242" s="953"/>
      <c r="H242" s="953"/>
    </row>
    <row r="243" spans="1:8" s="943" customFormat="1" x14ac:dyDescent="0.25">
      <c r="A243" s="952"/>
      <c r="B243" s="953"/>
      <c r="C243" s="953"/>
      <c r="D243" s="953"/>
      <c r="E243" s="953"/>
      <c r="F243" s="953"/>
      <c r="G243" s="953"/>
      <c r="H243" s="953"/>
    </row>
    <row r="244" spans="1:8" s="943" customFormat="1" x14ac:dyDescent="0.25">
      <c r="A244" s="952"/>
      <c r="B244" s="953"/>
      <c r="C244" s="953"/>
      <c r="D244" s="953"/>
      <c r="E244" s="953"/>
      <c r="F244" s="953"/>
      <c r="G244" s="953"/>
      <c r="H244" s="953"/>
    </row>
    <row r="245" spans="1:8" s="943" customFormat="1" x14ac:dyDescent="0.25">
      <c r="A245" s="952"/>
      <c r="B245" s="953"/>
      <c r="C245" s="953"/>
      <c r="D245" s="953"/>
      <c r="E245" s="953"/>
      <c r="F245" s="953"/>
      <c r="G245" s="953"/>
      <c r="H245" s="953"/>
    </row>
    <row r="246" spans="1:8" s="943" customFormat="1" x14ac:dyDescent="0.25">
      <c r="A246" s="952"/>
      <c r="B246" s="953"/>
      <c r="C246" s="953"/>
      <c r="D246" s="953"/>
      <c r="E246" s="953"/>
      <c r="F246" s="953"/>
      <c r="G246" s="953"/>
      <c r="H246" s="953"/>
    </row>
    <row r="247" spans="1:8" s="943" customFormat="1" x14ac:dyDescent="0.25">
      <c r="A247" s="952"/>
      <c r="B247" s="953"/>
      <c r="C247" s="953"/>
      <c r="D247" s="953"/>
      <c r="E247" s="953"/>
      <c r="F247" s="953"/>
      <c r="G247" s="953"/>
      <c r="H247" s="953"/>
    </row>
    <row r="248" spans="1:8" s="943" customFormat="1" x14ac:dyDescent="0.25">
      <c r="A248" s="952"/>
      <c r="B248" s="953"/>
      <c r="C248" s="953"/>
      <c r="D248" s="953"/>
      <c r="E248" s="953"/>
      <c r="F248" s="953"/>
      <c r="G248" s="953"/>
      <c r="H248" s="953"/>
    </row>
    <row r="249" spans="1:8" s="943" customFormat="1" x14ac:dyDescent="0.25">
      <c r="A249" s="952"/>
      <c r="B249" s="953"/>
      <c r="C249" s="953"/>
      <c r="D249" s="953"/>
      <c r="E249" s="953"/>
      <c r="F249" s="953"/>
      <c r="G249" s="953"/>
      <c r="H249" s="953"/>
    </row>
    <row r="250" spans="1:8" s="943" customFormat="1" x14ac:dyDescent="0.25">
      <c r="A250" s="952"/>
      <c r="B250" s="953"/>
      <c r="C250" s="953"/>
      <c r="D250" s="953"/>
      <c r="E250" s="953"/>
      <c r="F250" s="953"/>
      <c r="G250" s="953"/>
      <c r="H250" s="953"/>
    </row>
    <row r="251" spans="1:8" s="943" customFormat="1" x14ac:dyDescent="0.25">
      <c r="A251" s="952"/>
      <c r="B251" s="953"/>
      <c r="C251" s="953"/>
      <c r="D251" s="953"/>
      <c r="E251" s="953"/>
      <c r="F251" s="953"/>
      <c r="G251" s="953"/>
      <c r="H251" s="953"/>
    </row>
    <row r="252" spans="1:8" s="943" customFormat="1" x14ac:dyDescent="0.25">
      <c r="A252" s="952"/>
      <c r="B252" s="953"/>
      <c r="C252" s="953"/>
      <c r="D252" s="953"/>
      <c r="E252" s="953"/>
      <c r="F252" s="953"/>
      <c r="G252" s="953"/>
      <c r="H252" s="953"/>
    </row>
    <row r="253" spans="1:8" s="943" customFormat="1" x14ac:dyDescent="0.25">
      <c r="A253" s="952"/>
      <c r="B253" s="953"/>
      <c r="C253" s="953"/>
      <c r="D253" s="953"/>
      <c r="E253" s="953"/>
      <c r="F253" s="953"/>
      <c r="G253" s="953"/>
      <c r="H253" s="953"/>
    </row>
    <row r="254" spans="1:8" s="943" customFormat="1" x14ac:dyDescent="0.25">
      <c r="A254" s="952"/>
      <c r="B254" s="953"/>
      <c r="C254" s="953"/>
      <c r="D254" s="953"/>
      <c r="E254" s="953"/>
      <c r="F254" s="953"/>
      <c r="G254" s="953"/>
      <c r="H254" s="953"/>
    </row>
    <row r="255" spans="1:8" s="943" customFormat="1" x14ac:dyDescent="0.25">
      <c r="A255" s="952"/>
      <c r="B255" s="953"/>
      <c r="C255" s="953"/>
      <c r="D255" s="953"/>
      <c r="E255" s="953"/>
      <c r="F255" s="953"/>
      <c r="G255" s="953"/>
      <c r="H255" s="953"/>
    </row>
    <row r="256" spans="1:8" s="943" customFormat="1" x14ac:dyDescent="0.25">
      <c r="A256" s="952"/>
      <c r="B256" s="953"/>
      <c r="C256" s="953"/>
      <c r="D256" s="953"/>
      <c r="E256" s="953"/>
      <c r="F256" s="953"/>
      <c r="G256" s="953"/>
      <c r="H256" s="953"/>
    </row>
    <row r="257" spans="1:8" s="943" customFormat="1" x14ac:dyDescent="0.25">
      <c r="A257" s="952"/>
      <c r="B257" s="953"/>
      <c r="C257" s="953"/>
      <c r="D257" s="953"/>
      <c r="E257" s="953"/>
      <c r="F257" s="953"/>
      <c r="G257" s="953"/>
      <c r="H257" s="953"/>
    </row>
    <row r="258" spans="1:8" s="943" customFormat="1" x14ac:dyDescent="0.25">
      <c r="A258" s="952"/>
      <c r="B258" s="953"/>
      <c r="C258" s="953"/>
      <c r="D258" s="953"/>
      <c r="E258" s="953"/>
      <c r="F258" s="953"/>
      <c r="G258" s="953"/>
      <c r="H258" s="953"/>
    </row>
    <row r="259" spans="1:8" s="943" customFormat="1" x14ac:dyDescent="0.25">
      <c r="A259" s="952"/>
      <c r="B259" s="953"/>
      <c r="C259" s="953"/>
      <c r="D259" s="953"/>
      <c r="E259" s="953"/>
      <c r="F259" s="953"/>
      <c r="G259" s="953"/>
      <c r="H259" s="953"/>
    </row>
    <row r="260" spans="1:8" s="943" customFormat="1" x14ac:dyDescent="0.25">
      <c r="A260" s="952"/>
      <c r="B260" s="953"/>
      <c r="C260" s="953"/>
      <c r="D260" s="953"/>
      <c r="E260" s="953"/>
      <c r="F260" s="953"/>
      <c r="G260" s="953"/>
      <c r="H260" s="953"/>
    </row>
    <row r="261" spans="1:8" s="943" customFormat="1" x14ac:dyDescent="0.25">
      <c r="A261" s="952"/>
      <c r="B261" s="953"/>
      <c r="C261" s="953"/>
      <c r="D261" s="953"/>
      <c r="E261" s="953"/>
      <c r="F261" s="953"/>
      <c r="G261" s="953"/>
      <c r="H261" s="953"/>
    </row>
    <row r="262" spans="1:8" s="943" customFormat="1" x14ac:dyDescent="0.25">
      <c r="A262" s="952"/>
      <c r="B262" s="953"/>
      <c r="C262" s="953"/>
      <c r="D262" s="953"/>
      <c r="E262" s="953"/>
      <c r="F262" s="953"/>
      <c r="G262" s="953"/>
      <c r="H262" s="953"/>
    </row>
    <row r="263" spans="1:8" s="943" customFormat="1" x14ac:dyDescent="0.25">
      <c r="A263" s="952"/>
      <c r="B263" s="953"/>
      <c r="C263" s="953"/>
      <c r="D263" s="953"/>
      <c r="E263" s="953"/>
      <c r="F263" s="953"/>
      <c r="G263" s="953"/>
      <c r="H263" s="953"/>
    </row>
    <row r="264" spans="1:8" s="943" customFormat="1" x14ac:dyDescent="0.25">
      <c r="A264" s="952"/>
      <c r="B264" s="953"/>
      <c r="C264" s="953"/>
      <c r="D264" s="953"/>
      <c r="E264" s="953"/>
      <c r="F264" s="953"/>
      <c r="G264" s="953"/>
      <c r="H264" s="953"/>
    </row>
    <row r="265" spans="1:8" s="943" customFormat="1" x14ac:dyDescent="0.25">
      <c r="A265" s="952"/>
      <c r="B265" s="953"/>
      <c r="C265" s="953"/>
      <c r="D265" s="953"/>
      <c r="E265" s="953"/>
      <c r="F265" s="953"/>
      <c r="G265" s="953"/>
      <c r="H265" s="953"/>
    </row>
    <row r="266" spans="1:8" s="943" customFormat="1" x14ac:dyDescent="0.25">
      <c r="A266" s="952"/>
      <c r="B266" s="953"/>
      <c r="C266" s="953"/>
      <c r="D266" s="953"/>
      <c r="E266" s="953"/>
      <c r="F266" s="953"/>
      <c r="G266" s="953"/>
      <c r="H266" s="953"/>
    </row>
    <row r="267" spans="1:8" s="943" customFormat="1" x14ac:dyDescent="0.25">
      <c r="A267" s="952"/>
      <c r="B267" s="953"/>
      <c r="C267" s="953"/>
      <c r="D267" s="953"/>
      <c r="E267" s="953"/>
      <c r="F267" s="953"/>
      <c r="G267" s="953"/>
      <c r="H267" s="953"/>
    </row>
    <row r="268" spans="1:8" s="943" customFormat="1" x14ac:dyDescent="0.25">
      <c r="A268" s="952"/>
      <c r="B268" s="953"/>
      <c r="C268" s="953"/>
      <c r="D268" s="953"/>
      <c r="E268" s="953"/>
      <c r="F268" s="953"/>
      <c r="G268" s="953"/>
      <c r="H268" s="953"/>
    </row>
    <row r="269" spans="1:8" s="943" customFormat="1" x14ac:dyDescent="0.25">
      <c r="A269" s="952"/>
      <c r="B269" s="953"/>
      <c r="C269" s="953"/>
      <c r="D269" s="953"/>
      <c r="E269" s="953"/>
      <c r="F269" s="953"/>
      <c r="G269" s="953"/>
      <c r="H269" s="953"/>
    </row>
    <row r="270" spans="1:8" s="943" customFormat="1" x14ac:dyDescent="0.25">
      <c r="A270" s="952"/>
      <c r="B270" s="953"/>
      <c r="C270" s="953"/>
      <c r="D270" s="953"/>
      <c r="E270" s="953"/>
      <c r="F270" s="953"/>
      <c r="G270" s="953"/>
      <c r="H270" s="953"/>
    </row>
    <row r="271" spans="1:8" s="943" customFormat="1" x14ac:dyDescent="0.25">
      <c r="A271" s="952"/>
      <c r="B271" s="953"/>
      <c r="C271" s="953"/>
      <c r="D271" s="953"/>
      <c r="E271" s="953"/>
      <c r="F271" s="953"/>
      <c r="G271" s="953"/>
      <c r="H271" s="953"/>
    </row>
    <row r="272" spans="1:8" s="943" customFormat="1" x14ac:dyDescent="0.25">
      <c r="A272" s="952"/>
      <c r="B272" s="953"/>
      <c r="C272" s="953"/>
      <c r="D272" s="953"/>
      <c r="E272" s="953"/>
      <c r="F272" s="953"/>
      <c r="G272" s="953"/>
      <c r="H272" s="953"/>
    </row>
    <row r="273" spans="1:8" s="943" customFormat="1" x14ac:dyDescent="0.25">
      <c r="A273" s="952"/>
      <c r="B273" s="953"/>
      <c r="C273" s="953"/>
      <c r="D273" s="953"/>
      <c r="E273" s="953"/>
      <c r="F273" s="953"/>
      <c r="G273" s="953"/>
      <c r="H273" s="953"/>
    </row>
    <row r="274" spans="1:8" s="943" customFormat="1" x14ac:dyDescent="0.25">
      <c r="A274" s="952"/>
      <c r="B274" s="953"/>
      <c r="C274" s="953"/>
      <c r="D274" s="953"/>
      <c r="E274" s="953"/>
      <c r="F274" s="953"/>
      <c r="G274" s="953"/>
      <c r="H274" s="953"/>
    </row>
    <row r="275" spans="1:8" s="943" customFormat="1" x14ac:dyDescent="0.25">
      <c r="A275" s="952"/>
      <c r="B275" s="953"/>
      <c r="C275" s="953"/>
      <c r="D275" s="953"/>
      <c r="E275" s="953"/>
      <c r="F275" s="953"/>
      <c r="G275" s="953"/>
      <c r="H275" s="953"/>
    </row>
    <row r="276" spans="1:8" s="943" customFormat="1" x14ac:dyDescent="0.25">
      <c r="A276" s="952"/>
      <c r="B276" s="953"/>
      <c r="C276" s="953"/>
      <c r="D276" s="953"/>
      <c r="E276" s="953"/>
      <c r="F276" s="953"/>
      <c r="G276" s="953"/>
      <c r="H276" s="953"/>
    </row>
    <row r="277" spans="1:8" s="943" customFormat="1" x14ac:dyDescent="0.25">
      <c r="A277" s="952"/>
      <c r="B277" s="953"/>
      <c r="C277" s="953"/>
      <c r="D277" s="953"/>
      <c r="E277" s="953"/>
      <c r="F277" s="953"/>
      <c r="G277" s="953"/>
      <c r="H277" s="953"/>
    </row>
    <row r="278" spans="1:8" s="943" customFormat="1" x14ac:dyDescent="0.25">
      <c r="A278" s="952"/>
      <c r="B278" s="953"/>
      <c r="C278" s="953"/>
      <c r="D278" s="953"/>
      <c r="E278" s="953"/>
      <c r="F278" s="953"/>
      <c r="G278" s="953"/>
      <c r="H278" s="953"/>
    </row>
    <row r="279" spans="1:8" s="943" customFormat="1" x14ac:dyDescent="0.25">
      <c r="A279" s="952"/>
      <c r="B279" s="953"/>
      <c r="C279" s="953"/>
      <c r="D279" s="953"/>
      <c r="E279" s="953"/>
      <c r="F279" s="953"/>
      <c r="G279" s="953"/>
      <c r="H279" s="953"/>
    </row>
    <row r="280" spans="1:8" s="943" customFormat="1" x14ac:dyDescent="0.25">
      <c r="A280" s="952"/>
      <c r="B280" s="953"/>
      <c r="C280" s="953"/>
      <c r="D280" s="953"/>
      <c r="E280" s="953"/>
      <c r="F280" s="953"/>
      <c r="G280" s="953"/>
      <c r="H280" s="953"/>
    </row>
    <row r="281" spans="1:8" s="943" customFormat="1" x14ac:dyDescent="0.25">
      <c r="A281" s="952"/>
      <c r="B281" s="953"/>
      <c r="C281" s="953"/>
      <c r="D281" s="953"/>
      <c r="E281" s="953"/>
      <c r="F281" s="953"/>
      <c r="G281" s="953"/>
      <c r="H281" s="953"/>
    </row>
    <row r="282" spans="1:8" s="943" customFormat="1" x14ac:dyDescent="0.25">
      <c r="A282" s="952"/>
      <c r="B282" s="953"/>
      <c r="C282" s="953"/>
      <c r="D282" s="953"/>
      <c r="E282" s="953"/>
      <c r="F282" s="953"/>
      <c r="G282" s="953"/>
      <c r="H282" s="953"/>
    </row>
    <row r="283" spans="1:8" s="943" customFormat="1" x14ac:dyDescent="0.25">
      <c r="A283" s="952"/>
      <c r="B283" s="953"/>
      <c r="C283" s="953"/>
      <c r="D283" s="953"/>
      <c r="E283" s="953"/>
      <c r="F283" s="953"/>
      <c r="G283" s="953"/>
      <c r="H283" s="953"/>
    </row>
    <row r="284" spans="1:8" s="943" customFormat="1" x14ac:dyDescent="0.25">
      <c r="A284" s="952"/>
      <c r="B284" s="953"/>
      <c r="C284" s="953"/>
      <c r="D284" s="953"/>
      <c r="E284" s="953"/>
      <c r="F284" s="953"/>
      <c r="G284" s="953"/>
      <c r="H284" s="953"/>
    </row>
    <row r="285" spans="1:8" s="943" customFormat="1" x14ac:dyDescent="0.25">
      <c r="A285" s="952"/>
      <c r="B285" s="953"/>
      <c r="C285" s="953"/>
      <c r="D285" s="953"/>
      <c r="E285" s="953"/>
      <c r="F285" s="953"/>
      <c r="G285" s="953"/>
      <c r="H285" s="953"/>
    </row>
    <row r="286" spans="1:8" s="943" customFormat="1" x14ac:dyDescent="0.25">
      <c r="A286" s="952"/>
      <c r="B286" s="953"/>
      <c r="C286" s="953"/>
      <c r="D286" s="953"/>
      <c r="E286" s="953"/>
      <c r="F286" s="953"/>
      <c r="G286" s="953"/>
      <c r="H286" s="953"/>
    </row>
    <row r="287" spans="1:8" s="943" customFormat="1" x14ac:dyDescent="0.25">
      <c r="A287" s="952"/>
      <c r="B287" s="953"/>
      <c r="C287" s="953"/>
      <c r="D287" s="953"/>
      <c r="E287" s="953"/>
      <c r="F287" s="953"/>
      <c r="G287" s="953"/>
      <c r="H287" s="953"/>
    </row>
    <row r="288" spans="1:8" s="943" customFormat="1" x14ac:dyDescent="0.25">
      <c r="A288" s="952"/>
      <c r="B288" s="953"/>
      <c r="C288" s="953"/>
      <c r="D288" s="953"/>
      <c r="E288" s="953"/>
      <c r="F288" s="953"/>
      <c r="G288" s="953"/>
      <c r="H288" s="953"/>
    </row>
    <row r="289" spans="1:8" s="943" customFormat="1" x14ac:dyDescent="0.25">
      <c r="A289" s="952"/>
      <c r="B289" s="953"/>
      <c r="C289" s="953"/>
      <c r="D289" s="953"/>
      <c r="E289" s="953"/>
      <c r="F289" s="953"/>
      <c r="G289" s="953"/>
      <c r="H289" s="953"/>
    </row>
    <row r="290" spans="1:8" s="943" customFormat="1" x14ac:dyDescent="0.25">
      <c r="A290" s="952"/>
      <c r="B290" s="953"/>
      <c r="C290" s="953"/>
      <c r="D290" s="953"/>
      <c r="E290" s="953"/>
      <c r="F290" s="953"/>
      <c r="G290" s="953"/>
      <c r="H290" s="953"/>
    </row>
    <row r="291" spans="1:8" s="943" customFormat="1" x14ac:dyDescent="0.25">
      <c r="A291" s="952"/>
      <c r="B291" s="953"/>
      <c r="C291" s="953"/>
      <c r="D291" s="953"/>
      <c r="E291" s="953"/>
      <c r="F291" s="953"/>
      <c r="G291" s="953"/>
      <c r="H291" s="953"/>
    </row>
    <row r="292" spans="1:8" s="943" customFormat="1" x14ac:dyDescent="0.25">
      <c r="A292" s="952"/>
      <c r="B292" s="953"/>
      <c r="C292" s="953"/>
      <c r="D292" s="953"/>
      <c r="E292" s="953"/>
      <c r="F292" s="953"/>
      <c r="G292" s="953"/>
      <c r="H292" s="953"/>
    </row>
    <row r="293" spans="1:8" s="943" customFormat="1" x14ac:dyDescent="0.25">
      <c r="A293" s="952"/>
      <c r="B293" s="953"/>
      <c r="C293" s="953"/>
      <c r="D293" s="953"/>
      <c r="E293" s="953"/>
      <c r="F293" s="953"/>
      <c r="G293" s="953"/>
      <c r="H293" s="953"/>
    </row>
    <row r="294" spans="1:8" s="943" customFormat="1" x14ac:dyDescent="0.25">
      <c r="A294" s="952"/>
      <c r="B294" s="953"/>
      <c r="C294" s="953"/>
      <c r="D294" s="953"/>
      <c r="E294" s="953"/>
      <c r="F294" s="953"/>
      <c r="G294" s="953"/>
      <c r="H294" s="953"/>
    </row>
    <row r="295" spans="1:8" s="943" customFormat="1" x14ac:dyDescent="0.25">
      <c r="A295" s="952"/>
      <c r="B295" s="953"/>
      <c r="C295" s="953"/>
      <c r="D295" s="953"/>
      <c r="E295" s="953"/>
      <c r="F295" s="953"/>
      <c r="G295" s="953"/>
      <c r="H295" s="953"/>
    </row>
    <row r="296" spans="1:8" s="943" customFormat="1" x14ac:dyDescent="0.25">
      <c r="A296" s="952"/>
      <c r="B296" s="953"/>
      <c r="C296" s="953"/>
      <c r="D296" s="953"/>
      <c r="E296" s="953"/>
      <c r="F296" s="953"/>
      <c r="G296" s="953"/>
      <c r="H296" s="953"/>
    </row>
    <row r="297" spans="1:8" s="943" customFormat="1" x14ac:dyDescent="0.25">
      <c r="A297" s="952"/>
      <c r="B297" s="953"/>
      <c r="C297" s="953"/>
      <c r="D297" s="953"/>
      <c r="E297" s="953"/>
      <c r="F297" s="953"/>
      <c r="G297" s="953"/>
      <c r="H297" s="953"/>
    </row>
    <row r="298" spans="1:8" s="943" customFormat="1" x14ac:dyDescent="0.25">
      <c r="A298" s="952"/>
      <c r="B298" s="953"/>
      <c r="C298" s="953"/>
      <c r="D298" s="953"/>
      <c r="E298" s="953"/>
      <c r="F298" s="953"/>
      <c r="G298" s="953"/>
      <c r="H298" s="953"/>
    </row>
    <row r="299" spans="1:8" s="943" customFormat="1" x14ac:dyDescent="0.25">
      <c r="A299" s="952"/>
      <c r="B299" s="953"/>
      <c r="C299" s="953"/>
      <c r="D299" s="953"/>
      <c r="E299" s="953"/>
      <c r="F299" s="953"/>
      <c r="G299" s="953"/>
      <c r="H299" s="953"/>
    </row>
    <row r="300" spans="1:8" s="943" customFormat="1" x14ac:dyDescent="0.25">
      <c r="A300" s="952"/>
      <c r="B300" s="953"/>
      <c r="C300" s="953"/>
      <c r="D300" s="953"/>
      <c r="E300" s="953"/>
      <c r="F300" s="953"/>
      <c r="G300" s="953"/>
      <c r="H300" s="953"/>
    </row>
    <row r="301" spans="1:8" s="943" customFormat="1" x14ac:dyDescent="0.25">
      <c r="A301" s="952"/>
      <c r="B301" s="953"/>
      <c r="C301" s="953"/>
      <c r="D301" s="953"/>
      <c r="E301" s="953"/>
      <c r="F301" s="953"/>
      <c r="G301" s="953"/>
      <c r="H301" s="953"/>
    </row>
    <row r="302" spans="1:8" s="943" customFormat="1" x14ac:dyDescent="0.25">
      <c r="A302" s="952"/>
      <c r="B302" s="953"/>
      <c r="C302" s="953"/>
      <c r="D302" s="953"/>
      <c r="E302" s="953"/>
      <c r="F302" s="953"/>
      <c r="G302" s="953"/>
      <c r="H302" s="953"/>
    </row>
    <row r="303" spans="1:8" s="943" customFormat="1" x14ac:dyDescent="0.25">
      <c r="A303" s="952"/>
      <c r="B303" s="953"/>
      <c r="C303" s="953"/>
      <c r="D303" s="953"/>
      <c r="E303" s="953"/>
      <c r="F303" s="953"/>
      <c r="G303" s="953"/>
      <c r="H303" s="953"/>
    </row>
    <row r="304" spans="1:8" s="943" customFormat="1" x14ac:dyDescent="0.25">
      <c r="A304" s="952"/>
      <c r="B304" s="953"/>
      <c r="C304" s="953"/>
      <c r="D304" s="953"/>
      <c r="E304" s="953"/>
      <c r="F304" s="953"/>
      <c r="G304" s="953"/>
      <c r="H304" s="953"/>
    </row>
    <row r="305" spans="1:8" s="943" customFormat="1" x14ac:dyDescent="0.25">
      <c r="A305" s="952"/>
      <c r="B305" s="953"/>
      <c r="C305" s="953"/>
      <c r="D305" s="953"/>
      <c r="E305" s="953"/>
      <c r="F305" s="953"/>
      <c r="G305" s="953"/>
      <c r="H305" s="953"/>
    </row>
    <row r="306" spans="1:8" s="943" customFormat="1" x14ac:dyDescent="0.25">
      <c r="A306" s="952"/>
      <c r="B306" s="953"/>
      <c r="C306" s="953"/>
      <c r="D306" s="953"/>
      <c r="E306" s="953"/>
      <c r="F306" s="953"/>
      <c r="G306" s="953"/>
      <c r="H306" s="953"/>
    </row>
    <row r="307" spans="1:8" s="943" customFormat="1" x14ac:dyDescent="0.25">
      <c r="A307" s="952"/>
      <c r="B307" s="953"/>
      <c r="C307" s="953"/>
      <c r="D307" s="953"/>
      <c r="E307" s="953"/>
      <c r="F307" s="953"/>
      <c r="G307" s="953"/>
      <c r="H307" s="953"/>
    </row>
    <row r="308" spans="1:8" s="943" customFormat="1" x14ac:dyDescent="0.25">
      <c r="A308" s="952"/>
      <c r="B308" s="953"/>
      <c r="C308" s="953"/>
      <c r="D308" s="953"/>
      <c r="E308" s="953"/>
      <c r="F308" s="953"/>
      <c r="G308" s="953"/>
      <c r="H308" s="953"/>
    </row>
    <row r="309" spans="1:8" s="943" customFormat="1" x14ac:dyDescent="0.25">
      <c r="A309" s="952"/>
      <c r="B309" s="953"/>
      <c r="C309" s="953"/>
      <c r="D309" s="953"/>
      <c r="E309" s="953"/>
      <c r="F309" s="953"/>
      <c r="G309" s="953"/>
      <c r="H309" s="953"/>
    </row>
    <row r="310" spans="1:8" s="943" customFormat="1" x14ac:dyDescent="0.25">
      <c r="A310" s="952"/>
      <c r="B310" s="953"/>
      <c r="C310" s="953"/>
      <c r="D310" s="953"/>
      <c r="E310" s="953"/>
      <c r="F310" s="953"/>
      <c r="G310" s="953"/>
      <c r="H310" s="953"/>
    </row>
    <row r="311" spans="1:8" s="943" customFormat="1" x14ac:dyDescent="0.25">
      <c r="A311" s="952"/>
      <c r="B311" s="953"/>
      <c r="C311" s="953"/>
      <c r="D311" s="953"/>
      <c r="E311" s="953"/>
      <c r="F311" s="953"/>
      <c r="G311" s="953"/>
      <c r="H311" s="953"/>
    </row>
    <row r="312" spans="1:8" s="943" customFormat="1" x14ac:dyDescent="0.25">
      <c r="A312" s="952"/>
      <c r="B312" s="953"/>
      <c r="C312" s="953"/>
      <c r="D312" s="953"/>
      <c r="E312" s="953"/>
      <c r="F312" s="953"/>
      <c r="G312" s="953"/>
      <c r="H312" s="953"/>
    </row>
    <row r="313" spans="1:8" s="943" customFormat="1" x14ac:dyDescent="0.25">
      <c r="A313" s="952"/>
      <c r="B313" s="953"/>
      <c r="C313" s="953"/>
      <c r="D313" s="953"/>
      <c r="E313" s="953"/>
      <c r="F313" s="953"/>
      <c r="G313" s="953"/>
      <c r="H313" s="953"/>
    </row>
    <row r="314" spans="1:8" s="943" customFormat="1" x14ac:dyDescent="0.25">
      <c r="A314" s="952"/>
      <c r="B314" s="953"/>
      <c r="C314" s="953"/>
      <c r="D314" s="953"/>
      <c r="E314" s="953"/>
      <c r="F314" s="953"/>
      <c r="G314" s="953"/>
      <c r="H314" s="953"/>
    </row>
    <row r="315" spans="1:8" s="943" customFormat="1" x14ac:dyDescent="0.25">
      <c r="A315" s="952"/>
      <c r="B315" s="953"/>
      <c r="C315" s="953"/>
      <c r="D315" s="953"/>
      <c r="E315" s="953"/>
      <c r="F315" s="953"/>
      <c r="G315" s="953"/>
      <c r="H315" s="953"/>
    </row>
    <row r="316" spans="1:8" s="943" customFormat="1" x14ac:dyDescent="0.25">
      <c r="A316" s="952"/>
      <c r="B316" s="953"/>
      <c r="C316" s="953"/>
      <c r="D316" s="953"/>
      <c r="E316" s="953"/>
      <c r="F316" s="953"/>
      <c r="G316" s="953"/>
      <c r="H316" s="953"/>
    </row>
    <row r="317" spans="1:8" s="943" customFormat="1" x14ac:dyDescent="0.25">
      <c r="A317" s="952"/>
      <c r="B317" s="953"/>
      <c r="C317" s="953"/>
      <c r="D317" s="953"/>
      <c r="E317" s="953"/>
      <c r="F317" s="953"/>
      <c r="G317" s="953"/>
      <c r="H317" s="953"/>
    </row>
    <row r="318" spans="1:8" s="943" customFormat="1" x14ac:dyDescent="0.25">
      <c r="A318" s="952"/>
      <c r="B318" s="953"/>
      <c r="C318" s="953"/>
      <c r="D318" s="953"/>
      <c r="E318" s="953"/>
      <c r="F318" s="953"/>
      <c r="G318" s="953"/>
      <c r="H318" s="953"/>
    </row>
    <row r="319" spans="1:8" s="943" customFormat="1" x14ac:dyDescent="0.25">
      <c r="A319" s="952"/>
      <c r="B319" s="953"/>
      <c r="C319" s="953"/>
      <c r="D319" s="953"/>
      <c r="E319" s="953"/>
      <c r="F319" s="953"/>
      <c r="G319" s="953"/>
      <c r="H319" s="953"/>
    </row>
    <row r="320" spans="1:8" s="943" customFormat="1" x14ac:dyDescent="0.25">
      <c r="A320" s="952"/>
      <c r="B320" s="953"/>
      <c r="C320" s="953"/>
      <c r="D320" s="953"/>
      <c r="E320" s="953"/>
      <c r="F320" s="953"/>
      <c r="G320" s="953"/>
      <c r="H320" s="953"/>
    </row>
    <row r="321" spans="1:8" s="943" customFormat="1" x14ac:dyDescent="0.25">
      <c r="A321" s="952"/>
      <c r="B321" s="953"/>
      <c r="C321" s="953"/>
      <c r="D321" s="953"/>
      <c r="E321" s="953"/>
      <c r="F321" s="953"/>
      <c r="G321" s="953"/>
      <c r="H321" s="953"/>
    </row>
    <row r="322" spans="1:8" s="943" customFormat="1" x14ac:dyDescent="0.25">
      <c r="A322" s="952"/>
      <c r="B322" s="953"/>
      <c r="C322" s="953"/>
      <c r="D322" s="953"/>
      <c r="E322" s="953"/>
      <c r="F322" s="953"/>
      <c r="G322" s="953"/>
      <c r="H322" s="953"/>
    </row>
    <row r="323" spans="1:8" s="943" customFormat="1" x14ac:dyDescent="0.25">
      <c r="A323" s="952"/>
      <c r="B323" s="953"/>
      <c r="C323" s="953"/>
      <c r="D323" s="953"/>
      <c r="E323" s="953"/>
      <c r="F323" s="953"/>
      <c r="G323" s="953"/>
      <c r="H323" s="953"/>
    </row>
    <row r="324" spans="1:8" s="943" customFormat="1" x14ac:dyDescent="0.25">
      <c r="A324" s="952"/>
      <c r="B324" s="953"/>
      <c r="C324" s="953"/>
      <c r="D324" s="953"/>
      <c r="E324" s="953"/>
      <c r="F324" s="953"/>
      <c r="G324" s="953"/>
      <c r="H324" s="953"/>
    </row>
    <row r="325" spans="1:8" s="943" customFormat="1" x14ac:dyDescent="0.25">
      <c r="A325" s="952"/>
      <c r="B325" s="953"/>
      <c r="C325" s="953"/>
      <c r="D325" s="953"/>
      <c r="E325" s="953"/>
      <c r="F325" s="953"/>
      <c r="G325" s="953"/>
      <c r="H325" s="953"/>
    </row>
    <row r="326" spans="1:8" s="943" customFormat="1" x14ac:dyDescent="0.25">
      <c r="A326" s="952"/>
      <c r="B326" s="953"/>
      <c r="C326" s="953"/>
      <c r="D326" s="953"/>
      <c r="E326" s="953"/>
      <c r="F326" s="953"/>
      <c r="G326" s="953"/>
      <c r="H326" s="953"/>
    </row>
    <row r="327" spans="1:8" s="943" customFormat="1" x14ac:dyDescent="0.25">
      <c r="A327" s="952"/>
      <c r="B327" s="953"/>
      <c r="C327" s="953"/>
      <c r="D327" s="953"/>
      <c r="E327" s="953"/>
      <c r="F327" s="953"/>
      <c r="G327" s="953"/>
      <c r="H327" s="953"/>
    </row>
    <row r="328" spans="1:8" s="943" customFormat="1" x14ac:dyDescent="0.25">
      <c r="A328" s="952"/>
      <c r="B328" s="953"/>
      <c r="C328" s="953"/>
      <c r="D328" s="953"/>
      <c r="E328" s="953"/>
      <c r="F328" s="953"/>
      <c r="G328" s="953"/>
      <c r="H328" s="953"/>
    </row>
    <row r="329" spans="1:8" s="943" customFormat="1" x14ac:dyDescent="0.25">
      <c r="A329" s="952"/>
      <c r="B329" s="953"/>
      <c r="C329" s="953"/>
      <c r="D329" s="953"/>
      <c r="E329" s="953"/>
      <c r="F329" s="953"/>
      <c r="G329" s="953"/>
      <c r="H329" s="953"/>
    </row>
    <row r="330" spans="1:8" s="943" customFormat="1" x14ac:dyDescent="0.25">
      <c r="A330" s="952"/>
      <c r="B330" s="953"/>
      <c r="C330" s="953"/>
      <c r="D330" s="953"/>
      <c r="E330" s="953"/>
      <c r="F330" s="953"/>
      <c r="G330" s="953"/>
      <c r="H330" s="953"/>
    </row>
    <row r="331" spans="1:8" s="943" customFormat="1" x14ac:dyDescent="0.25">
      <c r="A331" s="952"/>
      <c r="B331" s="953"/>
      <c r="C331" s="953"/>
      <c r="D331" s="953"/>
      <c r="E331" s="953"/>
      <c r="F331" s="953"/>
      <c r="G331" s="953"/>
      <c r="H331" s="953"/>
    </row>
    <row r="332" spans="1:8" s="943" customFormat="1" x14ac:dyDescent="0.25">
      <c r="A332" s="952"/>
      <c r="B332" s="953"/>
      <c r="C332" s="953"/>
      <c r="D332" s="953"/>
      <c r="E332" s="953"/>
      <c r="F332" s="953"/>
      <c r="G332" s="953"/>
      <c r="H332" s="953"/>
    </row>
    <row r="333" spans="1:8" s="943" customFormat="1" x14ac:dyDescent="0.25">
      <c r="A333" s="952"/>
      <c r="B333" s="953"/>
      <c r="C333" s="953"/>
      <c r="D333" s="953"/>
      <c r="E333" s="953"/>
      <c r="F333" s="953"/>
      <c r="G333" s="953"/>
      <c r="H333" s="953"/>
    </row>
    <row r="334" spans="1:8" s="943" customFormat="1" x14ac:dyDescent="0.25">
      <c r="A334" s="952"/>
      <c r="B334" s="953"/>
      <c r="C334" s="953"/>
      <c r="D334" s="953"/>
      <c r="E334" s="953"/>
      <c r="F334" s="953"/>
      <c r="G334" s="953"/>
      <c r="H334" s="953"/>
    </row>
    <row r="335" spans="1:8" s="943" customFormat="1" x14ac:dyDescent="0.25">
      <c r="A335" s="952"/>
      <c r="B335" s="953"/>
      <c r="C335" s="953"/>
      <c r="D335" s="953"/>
      <c r="E335" s="953"/>
      <c r="F335" s="953"/>
      <c r="G335" s="953"/>
      <c r="H335" s="953"/>
    </row>
    <row r="336" spans="1:8" s="943" customFormat="1" x14ac:dyDescent="0.25">
      <c r="A336" s="952"/>
      <c r="B336" s="953"/>
      <c r="C336" s="953"/>
      <c r="D336" s="953"/>
      <c r="E336" s="953"/>
      <c r="F336" s="953"/>
      <c r="G336" s="953"/>
      <c r="H336" s="953"/>
    </row>
    <row r="337" spans="1:8" s="943" customFormat="1" x14ac:dyDescent="0.25">
      <c r="A337" s="952"/>
      <c r="B337" s="953"/>
      <c r="C337" s="953"/>
      <c r="D337" s="953"/>
      <c r="E337" s="953"/>
      <c r="F337" s="953"/>
      <c r="G337" s="953"/>
      <c r="H337" s="953"/>
    </row>
    <row r="338" spans="1:8" s="943" customFormat="1" x14ac:dyDescent="0.25">
      <c r="A338" s="952"/>
      <c r="B338" s="953"/>
      <c r="C338" s="953"/>
      <c r="D338" s="953"/>
      <c r="E338" s="953"/>
      <c r="F338" s="953"/>
      <c r="G338" s="953"/>
      <c r="H338" s="953"/>
    </row>
    <row r="339" spans="1:8" s="943" customFormat="1" x14ac:dyDescent="0.25">
      <c r="A339" s="952"/>
      <c r="B339" s="953"/>
      <c r="C339" s="953"/>
      <c r="D339" s="953"/>
      <c r="E339" s="953"/>
      <c r="F339" s="953"/>
      <c r="G339" s="953"/>
      <c r="H339" s="953"/>
    </row>
    <row r="340" spans="1:8" s="943" customFormat="1" x14ac:dyDescent="0.25">
      <c r="A340" s="952"/>
      <c r="B340" s="953"/>
      <c r="C340" s="953"/>
      <c r="D340" s="953"/>
      <c r="E340" s="953"/>
      <c r="F340" s="953"/>
      <c r="G340" s="953"/>
      <c r="H340" s="953"/>
    </row>
    <row r="341" spans="1:8" s="943" customFormat="1" x14ac:dyDescent="0.25">
      <c r="A341" s="952"/>
      <c r="B341" s="953"/>
      <c r="C341" s="953"/>
      <c r="D341" s="953"/>
      <c r="E341" s="953"/>
      <c r="F341" s="953"/>
      <c r="G341" s="953"/>
      <c r="H341" s="953"/>
    </row>
    <row r="342" spans="1:8" s="943" customFormat="1" x14ac:dyDescent="0.25">
      <c r="A342" s="952"/>
      <c r="B342" s="953"/>
      <c r="C342" s="953"/>
      <c r="D342" s="953"/>
      <c r="E342" s="953"/>
      <c r="F342" s="953"/>
      <c r="G342" s="953"/>
      <c r="H342" s="953"/>
    </row>
    <row r="343" spans="1:8" s="943" customFormat="1" x14ac:dyDescent="0.25">
      <c r="A343" s="952"/>
      <c r="B343" s="953"/>
      <c r="C343" s="953"/>
      <c r="D343" s="953"/>
      <c r="E343" s="953"/>
      <c r="F343" s="953"/>
      <c r="G343" s="953"/>
      <c r="H343" s="953"/>
    </row>
    <row r="344" spans="1:8" s="943" customFormat="1" x14ac:dyDescent="0.25">
      <c r="A344" s="952"/>
      <c r="B344" s="953"/>
      <c r="C344" s="953"/>
      <c r="D344" s="953"/>
      <c r="E344" s="953"/>
      <c r="F344" s="953"/>
      <c r="G344" s="953"/>
      <c r="H344" s="953"/>
    </row>
    <row r="345" spans="1:8" s="943" customFormat="1" x14ac:dyDescent="0.25">
      <c r="A345" s="952"/>
      <c r="B345" s="953"/>
      <c r="C345" s="953"/>
      <c r="D345" s="953"/>
      <c r="E345" s="953"/>
      <c r="F345" s="953"/>
      <c r="G345" s="953"/>
      <c r="H345" s="953"/>
    </row>
    <row r="346" spans="1:8" s="943" customFormat="1" x14ac:dyDescent="0.25">
      <c r="A346" s="952"/>
      <c r="B346" s="953"/>
      <c r="C346" s="953"/>
      <c r="D346" s="953"/>
      <c r="E346" s="953"/>
      <c r="F346" s="953"/>
      <c r="G346" s="953"/>
      <c r="H346" s="953"/>
    </row>
    <row r="347" spans="1:8" s="943" customFormat="1" x14ac:dyDescent="0.25">
      <c r="A347" s="952"/>
      <c r="B347" s="953"/>
      <c r="C347" s="953"/>
      <c r="D347" s="953"/>
      <c r="E347" s="953"/>
      <c r="F347" s="953"/>
      <c r="G347" s="953"/>
      <c r="H347" s="953"/>
    </row>
    <row r="348" spans="1:8" s="943" customFormat="1" x14ac:dyDescent="0.25">
      <c r="A348" s="952"/>
      <c r="B348" s="953"/>
      <c r="C348" s="953"/>
      <c r="D348" s="953"/>
      <c r="E348" s="953"/>
      <c r="F348" s="953"/>
      <c r="G348" s="953"/>
      <c r="H348" s="953"/>
    </row>
    <row r="349" spans="1:8" s="943" customFormat="1" x14ac:dyDescent="0.25">
      <c r="A349" s="952"/>
      <c r="B349" s="953"/>
      <c r="C349" s="953"/>
      <c r="D349" s="953"/>
      <c r="E349" s="953"/>
      <c r="F349" s="953"/>
      <c r="G349" s="953"/>
      <c r="H349" s="953"/>
    </row>
    <row r="350" spans="1:8" s="943" customFormat="1" x14ac:dyDescent="0.25">
      <c r="A350" s="952"/>
      <c r="B350" s="953"/>
      <c r="C350" s="953"/>
      <c r="D350" s="953"/>
      <c r="E350" s="953"/>
      <c r="F350" s="953"/>
      <c r="G350" s="953"/>
      <c r="H350" s="953"/>
    </row>
    <row r="351" spans="1:8" s="943" customFormat="1" x14ac:dyDescent="0.25">
      <c r="A351" s="952"/>
      <c r="B351" s="953"/>
      <c r="C351" s="953"/>
      <c r="D351" s="953"/>
      <c r="E351" s="953"/>
      <c r="F351" s="953"/>
      <c r="G351" s="953"/>
      <c r="H351" s="953"/>
    </row>
    <row r="352" spans="1:8" s="943" customFormat="1" x14ac:dyDescent="0.25">
      <c r="A352" s="952"/>
      <c r="B352" s="953"/>
      <c r="C352" s="953"/>
      <c r="D352" s="953"/>
      <c r="E352" s="953"/>
      <c r="F352" s="953"/>
      <c r="G352" s="953"/>
      <c r="H352" s="953"/>
    </row>
    <row r="353" spans="1:8" s="943" customFormat="1" x14ac:dyDescent="0.25">
      <c r="A353" s="952"/>
      <c r="B353" s="953"/>
      <c r="C353" s="953"/>
      <c r="D353" s="953"/>
      <c r="E353" s="953"/>
      <c r="F353" s="953"/>
      <c r="G353" s="953"/>
      <c r="H353" s="953"/>
    </row>
    <row r="354" spans="1:8" s="943" customFormat="1" x14ac:dyDescent="0.25">
      <c r="A354" s="952"/>
      <c r="B354" s="953"/>
      <c r="C354" s="953"/>
      <c r="D354" s="953"/>
      <c r="E354" s="953"/>
      <c r="F354" s="953"/>
      <c r="G354" s="953"/>
      <c r="H354" s="953"/>
    </row>
    <row r="355" spans="1:8" s="943" customFormat="1" x14ac:dyDescent="0.25">
      <c r="A355" s="952"/>
      <c r="B355" s="953"/>
      <c r="C355" s="953"/>
      <c r="D355" s="953"/>
      <c r="E355" s="953"/>
      <c r="F355" s="953"/>
      <c r="G355" s="953"/>
      <c r="H355" s="953"/>
    </row>
    <row r="356" spans="1:8" s="943" customFormat="1" x14ac:dyDescent="0.25">
      <c r="A356" s="952"/>
      <c r="B356" s="953"/>
      <c r="C356" s="953"/>
      <c r="D356" s="953"/>
      <c r="E356" s="953"/>
      <c r="F356" s="953"/>
      <c r="G356" s="953"/>
      <c r="H356" s="953"/>
    </row>
    <row r="357" spans="1:8" s="943" customFormat="1" x14ac:dyDescent="0.25">
      <c r="A357" s="952"/>
      <c r="B357" s="953"/>
      <c r="C357" s="953"/>
      <c r="D357" s="953"/>
      <c r="E357" s="953"/>
      <c r="F357" s="953"/>
      <c r="G357" s="953"/>
      <c r="H357" s="953"/>
    </row>
    <row r="358" spans="1:8" s="943" customFormat="1" x14ac:dyDescent="0.25">
      <c r="A358" s="952"/>
      <c r="B358" s="953"/>
      <c r="C358" s="953"/>
      <c r="D358" s="953"/>
      <c r="E358" s="953"/>
      <c r="F358" s="953"/>
      <c r="G358" s="953"/>
      <c r="H358" s="953"/>
    </row>
    <row r="359" spans="1:8" s="943" customFormat="1" x14ac:dyDescent="0.25">
      <c r="A359" s="952"/>
      <c r="B359" s="953"/>
      <c r="C359" s="953"/>
      <c r="D359" s="953"/>
      <c r="E359" s="953"/>
      <c r="F359" s="953"/>
      <c r="G359" s="953"/>
      <c r="H359" s="953"/>
    </row>
    <row r="360" spans="1:8" s="943" customFormat="1" x14ac:dyDescent="0.25">
      <c r="A360" s="952"/>
      <c r="B360" s="953"/>
      <c r="C360" s="953"/>
      <c r="D360" s="953"/>
      <c r="E360" s="953"/>
      <c r="F360" s="953"/>
      <c r="G360" s="953"/>
      <c r="H360" s="953"/>
    </row>
    <row r="361" spans="1:8" s="943" customFormat="1" x14ac:dyDescent="0.25">
      <c r="A361" s="952"/>
      <c r="B361" s="953"/>
      <c r="C361" s="953"/>
      <c r="D361" s="953"/>
      <c r="E361" s="953"/>
      <c r="F361" s="953"/>
      <c r="G361" s="953"/>
      <c r="H361" s="953"/>
    </row>
    <row r="362" spans="1:8" s="943" customFormat="1" x14ac:dyDescent="0.25">
      <c r="A362" s="952"/>
      <c r="B362" s="953"/>
      <c r="C362" s="953"/>
      <c r="D362" s="953"/>
      <c r="E362" s="953"/>
      <c r="F362" s="953"/>
      <c r="G362" s="953"/>
      <c r="H362" s="953"/>
    </row>
    <row r="363" spans="1:8" s="943" customFormat="1" x14ac:dyDescent="0.25">
      <c r="A363" s="952"/>
      <c r="B363" s="953"/>
      <c r="C363" s="953"/>
      <c r="D363" s="953"/>
      <c r="E363" s="953"/>
      <c r="F363" s="953"/>
      <c r="G363" s="953"/>
      <c r="H363" s="953"/>
    </row>
    <row r="364" spans="1:8" s="943" customFormat="1" x14ac:dyDescent="0.25">
      <c r="A364" s="952"/>
      <c r="B364" s="953"/>
      <c r="C364" s="953"/>
      <c r="D364" s="953"/>
      <c r="E364" s="953"/>
      <c r="F364" s="953"/>
      <c r="G364" s="953"/>
      <c r="H364" s="953"/>
    </row>
    <row r="365" spans="1:8" s="943" customFormat="1" x14ac:dyDescent="0.25">
      <c r="A365" s="952"/>
      <c r="B365" s="953"/>
      <c r="C365" s="953"/>
      <c r="D365" s="953"/>
      <c r="E365" s="953"/>
      <c r="F365" s="953"/>
      <c r="G365" s="953"/>
      <c r="H365" s="953"/>
    </row>
    <row r="366" spans="1:8" s="943" customFormat="1" x14ac:dyDescent="0.25">
      <c r="A366" s="952"/>
      <c r="B366" s="953"/>
      <c r="C366" s="953"/>
      <c r="D366" s="953"/>
      <c r="E366" s="953"/>
      <c r="F366" s="953"/>
      <c r="G366" s="953"/>
      <c r="H366" s="953"/>
    </row>
    <row r="367" spans="1:8" s="943" customFormat="1" x14ac:dyDescent="0.25">
      <c r="A367" s="952"/>
      <c r="B367" s="953"/>
      <c r="C367" s="953"/>
      <c r="D367" s="953"/>
      <c r="E367" s="953"/>
      <c r="F367" s="953"/>
      <c r="G367" s="953"/>
      <c r="H367" s="953"/>
    </row>
    <row r="368" spans="1:8" s="943" customFormat="1" x14ac:dyDescent="0.25">
      <c r="A368" s="952"/>
      <c r="B368" s="953"/>
      <c r="C368" s="953"/>
      <c r="D368" s="953"/>
      <c r="E368" s="953"/>
      <c r="F368" s="953"/>
      <c r="G368" s="953"/>
      <c r="H368" s="953"/>
    </row>
    <row r="369" spans="1:8" s="943" customFormat="1" x14ac:dyDescent="0.25">
      <c r="A369" s="952"/>
      <c r="B369" s="953"/>
      <c r="C369" s="953"/>
      <c r="D369" s="953"/>
      <c r="E369" s="953"/>
      <c r="F369" s="953"/>
      <c r="G369" s="953"/>
      <c r="H369" s="953"/>
    </row>
    <row r="370" spans="1:8" s="943" customFormat="1" x14ac:dyDescent="0.25">
      <c r="A370" s="952"/>
      <c r="B370" s="953"/>
      <c r="C370" s="953"/>
      <c r="D370" s="953"/>
      <c r="E370" s="953"/>
      <c r="F370" s="953"/>
      <c r="G370" s="953"/>
      <c r="H370" s="953"/>
    </row>
    <row r="371" spans="1:8" s="943" customFormat="1" x14ac:dyDescent="0.25">
      <c r="A371" s="952"/>
      <c r="B371" s="953"/>
      <c r="C371" s="953"/>
      <c r="D371" s="953"/>
      <c r="E371" s="953"/>
      <c r="F371" s="953"/>
      <c r="G371" s="953"/>
      <c r="H371" s="953"/>
    </row>
    <row r="372" spans="1:8" s="943" customFormat="1" x14ac:dyDescent="0.25">
      <c r="A372" s="952"/>
      <c r="B372" s="953"/>
      <c r="C372" s="953"/>
      <c r="D372" s="953"/>
      <c r="E372" s="953"/>
      <c r="F372" s="953"/>
      <c r="G372" s="953"/>
      <c r="H372" s="953"/>
    </row>
    <row r="373" spans="1:8" s="943" customFormat="1" x14ac:dyDescent="0.25">
      <c r="A373" s="952"/>
      <c r="B373" s="953"/>
      <c r="C373" s="953"/>
      <c r="D373" s="953"/>
      <c r="E373" s="953"/>
      <c r="F373" s="953"/>
      <c r="G373" s="953"/>
      <c r="H373" s="953"/>
    </row>
    <row r="374" spans="1:8" s="943" customFormat="1" x14ac:dyDescent="0.25">
      <c r="A374" s="952"/>
      <c r="B374" s="953"/>
      <c r="C374" s="953"/>
      <c r="D374" s="953"/>
      <c r="E374" s="953"/>
      <c r="F374" s="953"/>
      <c r="G374" s="953"/>
      <c r="H374" s="953"/>
    </row>
    <row r="375" spans="1:8" s="943" customFormat="1" x14ac:dyDescent="0.25">
      <c r="A375" s="952"/>
      <c r="B375" s="953"/>
      <c r="C375" s="953"/>
      <c r="D375" s="953"/>
      <c r="E375" s="953"/>
      <c r="F375" s="953"/>
      <c r="G375" s="953"/>
      <c r="H375" s="953"/>
    </row>
    <row r="376" spans="1:8" s="943" customFormat="1" x14ac:dyDescent="0.25">
      <c r="A376" s="952"/>
      <c r="B376" s="953"/>
      <c r="C376" s="953"/>
      <c r="D376" s="953"/>
      <c r="E376" s="953"/>
      <c r="F376" s="953"/>
      <c r="G376" s="953"/>
      <c r="H376" s="953"/>
    </row>
    <row r="377" spans="1:8" s="943" customFormat="1" x14ac:dyDescent="0.25">
      <c r="A377" s="952"/>
      <c r="B377" s="953"/>
      <c r="C377" s="953"/>
      <c r="D377" s="953"/>
      <c r="E377" s="953"/>
      <c r="F377" s="953"/>
      <c r="G377" s="953"/>
      <c r="H377" s="953"/>
    </row>
    <row r="378" spans="1:8" s="943" customFormat="1" x14ac:dyDescent="0.25">
      <c r="A378" s="952"/>
      <c r="B378" s="953"/>
      <c r="C378" s="953"/>
      <c r="D378" s="953"/>
      <c r="E378" s="953"/>
      <c r="F378" s="953"/>
      <c r="G378" s="953"/>
      <c r="H378" s="953"/>
    </row>
    <row r="379" spans="1:8" s="943" customFormat="1" x14ac:dyDescent="0.25">
      <c r="A379" s="952"/>
      <c r="B379" s="953"/>
      <c r="C379" s="953"/>
      <c r="D379" s="953"/>
      <c r="E379" s="953"/>
      <c r="F379" s="953"/>
      <c r="G379" s="953"/>
      <c r="H379" s="953"/>
    </row>
    <row r="380" spans="1:8" s="943" customFormat="1" x14ac:dyDescent="0.25">
      <c r="A380" s="952"/>
      <c r="B380" s="953"/>
      <c r="C380" s="953"/>
      <c r="D380" s="953"/>
      <c r="E380" s="953"/>
      <c r="F380" s="953"/>
      <c r="G380" s="953"/>
      <c r="H380" s="953"/>
    </row>
    <row r="381" spans="1:8" s="943" customFormat="1" x14ac:dyDescent="0.25">
      <c r="A381" s="952"/>
      <c r="B381" s="953"/>
      <c r="C381" s="953"/>
      <c r="D381" s="953"/>
      <c r="E381" s="953"/>
      <c r="F381" s="953"/>
      <c r="G381" s="953"/>
      <c r="H381" s="953"/>
    </row>
    <row r="382" spans="1:8" s="943" customFormat="1" x14ac:dyDescent="0.25">
      <c r="A382" s="952"/>
      <c r="B382" s="953"/>
      <c r="C382" s="953"/>
      <c r="D382" s="953"/>
      <c r="E382" s="953"/>
      <c r="F382" s="953"/>
      <c r="G382" s="953"/>
      <c r="H382" s="953"/>
    </row>
    <row r="383" spans="1:8" s="943" customFormat="1" x14ac:dyDescent="0.25">
      <c r="A383" s="952"/>
      <c r="B383" s="953"/>
      <c r="C383" s="953"/>
      <c r="D383" s="953"/>
      <c r="E383" s="953"/>
      <c r="F383" s="953"/>
      <c r="G383" s="953"/>
      <c r="H383" s="953"/>
    </row>
    <row r="384" spans="1:8" s="943" customFormat="1" x14ac:dyDescent="0.25">
      <c r="A384" s="952"/>
      <c r="B384" s="953"/>
      <c r="C384" s="953"/>
      <c r="D384" s="953"/>
      <c r="E384" s="953"/>
      <c r="F384" s="953"/>
      <c r="G384" s="953"/>
      <c r="H384" s="953"/>
    </row>
    <row r="385" spans="1:8" s="943" customFormat="1" x14ac:dyDescent="0.25">
      <c r="A385" s="952"/>
      <c r="B385" s="953"/>
      <c r="C385" s="953"/>
      <c r="D385" s="953"/>
      <c r="E385" s="953"/>
      <c r="F385" s="953"/>
      <c r="G385" s="953"/>
      <c r="H385" s="953"/>
    </row>
    <row r="386" spans="1:8" s="943" customFormat="1" x14ac:dyDescent="0.25">
      <c r="A386" s="952"/>
      <c r="B386" s="953"/>
      <c r="C386" s="953"/>
      <c r="D386" s="953"/>
      <c r="E386" s="953"/>
      <c r="F386" s="953"/>
      <c r="G386" s="953"/>
      <c r="H386" s="953"/>
    </row>
    <row r="387" spans="1:8" s="943" customFormat="1" x14ac:dyDescent="0.25">
      <c r="A387" s="952"/>
      <c r="B387" s="953"/>
      <c r="C387" s="953"/>
      <c r="D387" s="953"/>
      <c r="E387" s="953"/>
      <c r="F387" s="953"/>
      <c r="G387" s="953"/>
      <c r="H387" s="953"/>
    </row>
    <row r="388" spans="1:8" s="943" customFormat="1" x14ac:dyDescent="0.25">
      <c r="A388" s="952"/>
      <c r="B388" s="953"/>
      <c r="C388" s="953"/>
      <c r="D388" s="953"/>
      <c r="E388" s="953"/>
      <c r="F388" s="953"/>
      <c r="G388" s="953"/>
      <c r="H388" s="953"/>
    </row>
    <row r="389" spans="1:8" s="943" customFormat="1" x14ac:dyDescent="0.25">
      <c r="A389" s="952"/>
      <c r="B389" s="953"/>
      <c r="C389" s="953"/>
      <c r="D389" s="953"/>
      <c r="E389" s="953"/>
      <c r="F389" s="953"/>
      <c r="G389" s="953"/>
      <c r="H389" s="953"/>
    </row>
    <row r="390" spans="1:8" s="943" customFormat="1" x14ac:dyDescent="0.25">
      <c r="A390" s="952"/>
      <c r="B390" s="953"/>
      <c r="C390" s="953"/>
      <c r="D390" s="953"/>
      <c r="E390" s="953"/>
      <c r="F390" s="953"/>
      <c r="G390" s="953"/>
      <c r="H390" s="953"/>
    </row>
    <row r="391" spans="1:8" s="943" customFormat="1" x14ac:dyDescent="0.25">
      <c r="A391" s="952"/>
      <c r="B391" s="953"/>
      <c r="C391" s="953"/>
      <c r="D391" s="953"/>
      <c r="E391" s="953"/>
      <c r="F391" s="953"/>
      <c r="G391" s="953"/>
      <c r="H391" s="953"/>
    </row>
    <row r="392" spans="1:8" s="943" customFormat="1" x14ac:dyDescent="0.25">
      <c r="A392" s="952"/>
      <c r="B392" s="953"/>
      <c r="C392" s="953"/>
      <c r="D392" s="953"/>
      <c r="E392" s="953"/>
      <c r="F392" s="953"/>
      <c r="G392" s="953"/>
      <c r="H392" s="953"/>
    </row>
    <row r="393" spans="1:8" s="943" customFormat="1" x14ac:dyDescent="0.25">
      <c r="A393" s="952"/>
      <c r="B393" s="953"/>
      <c r="C393" s="953"/>
      <c r="D393" s="953"/>
      <c r="E393" s="953"/>
      <c r="F393" s="953"/>
      <c r="G393" s="953"/>
      <c r="H393" s="953"/>
    </row>
    <row r="394" spans="1:8" s="943" customFormat="1" x14ac:dyDescent="0.25">
      <c r="A394" s="952"/>
      <c r="B394" s="953"/>
      <c r="C394" s="953"/>
      <c r="D394" s="953"/>
      <c r="E394" s="953"/>
      <c r="F394" s="953"/>
      <c r="G394" s="953"/>
      <c r="H394" s="953"/>
    </row>
    <row r="395" spans="1:8" s="943" customFormat="1" x14ac:dyDescent="0.25">
      <c r="A395" s="952"/>
      <c r="B395" s="953"/>
      <c r="C395" s="953"/>
      <c r="D395" s="953"/>
      <c r="E395" s="953"/>
      <c r="F395" s="953"/>
      <c r="G395" s="953"/>
      <c r="H395" s="953"/>
    </row>
    <row r="396" spans="1:8" s="943" customFormat="1" x14ac:dyDescent="0.25">
      <c r="A396" s="952"/>
      <c r="B396" s="953"/>
      <c r="C396" s="953"/>
      <c r="D396" s="953"/>
      <c r="E396" s="953"/>
      <c r="F396" s="953"/>
      <c r="G396" s="953"/>
      <c r="H396" s="953"/>
    </row>
    <row r="397" spans="1:8" s="943" customFormat="1" x14ac:dyDescent="0.25">
      <c r="A397" s="952"/>
      <c r="B397" s="953"/>
      <c r="C397" s="953"/>
      <c r="D397" s="953"/>
      <c r="E397" s="953"/>
      <c r="F397" s="953"/>
      <c r="G397" s="953"/>
      <c r="H397" s="953"/>
    </row>
    <row r="398" spans="1:8" s="943" customFormat="1" x14ac:dyDescent="0.25">
      <c r="A398" s="952"/>
      <c r="B398" s="953"/>
      <c r="C398" s="953"/>
      <c r="D398" s="953"/>
      <c r="E398" s="953"/>
      <c r="F398" s="953"/>
      <c r="G398" s="953"/>
      <c r="H398" s="953"/>
    </row>
    <row r="399" spans="1:8" s="943" customFormat="1" x14ac:dyDescent="0.25">
      <c r="A399" s="952"/>
      <c r="B399" s="953"/>
      <c r="C399" s="953"/>
      <c r="D399" s="953"/>
      <c r="E399" s="953"/>
      <c r="F399" s="953"/>
      <c r="G399" s="953"/>
      <c r="H399" s="953"/>
    </row>
    <row r="400" spans="1:8" s="943" customFormat="1" x14ac:dyDescent="0.25">
      <c r="A400" s="952"/>
      <c r="B400" s="953"/>
      <c r="C400" s="953"/>
      <c r="D400" s="953"/>
      <c r="E400" s="953"/>
      <c r="F400" s="953"/>
      <c r="G400" s="953"/>
      <c r="H400" s="953"/>
    </row>
    <row r="401" spans="1:8" s="943" customFormat="1" x14ac:dyDescent="0.25">
      <c r="A401" s="952"/>
      <c r="B401" s="953"/>
      <c r="C401" s="953"/>
      <c r="D401" s="953"/>
      <c r="E401" s="953"/>
      <c r="F401" s="953"/>
      <c r="G401" s="953"/>
      <c r="H401" s="953"/>
    </row>
    <row r="402" spans="1:8" s="943" customFormat="1" x14ac:dyDescent="0.25">
      <c r="A402" s="952"/>
      <c r="B402" s="953"/>
      <c r="C402" s="953"/>
      <c r="D402" s="953"/>
      <c r="E402" s="953"/>
      <c r="F402" s="953"/>
      <c r="G402" s="953"/>
      <c r="H402" s="953"/>
    </row>
    <row r="403" spans="1:8" s="943" customFormat="1" x14ac:dyDescent="0.25">
      <c r="A403" s="952"/>
      <c r="B403" s="953"/>
      <c r="C403" s="953"/>
      <c r="D403" s="953"/>
      <c r="E403" s="953"/>
      <c r="F403" s="953"/>
      <c r="G403" s="953"/>
      <c r="H403" s="953"/>
    </row>
    <row r="404" spans="1:8" s="943" customFormat="1" x14ac:dyDescent="0.25">
      <c r="A404" s="952"/>
      <c r="B404" s="953"/>
      <c r="C404" s="953"/>
      <c r="D404" s="953"/>
      <c r="E404" s="953"/>
      <c r="F404" s="953"/>
      <c r="G404" s="953"/>
      <c r="H404" s="953"/>
    </row>
    <row r="405" spans="1:8" s="943" customFormat="1" x14ac:dyDescent="0.25">
      <c r="A405" s="952"/>
      <c r="B405" s="953"/>
      <c r="C405" s="953"/>
      <c r="D405" s="953"/>
      <c r="E405" s="953"/>
      <c r="F405" s="953"/>
      <c r="G405" s="953"/>
      <c r="H405" s="953"/>
    </row>
    <row r="406" spans="1:8" s="943" customFormat="1" x14ac:dyDescent="0.25">
      <c r="A406" s="952"/>
      <c r="B406" s="953"/>
      <c r="C406" s="953"/>
      <c r="D406" s="953"/>
      <c r="E406" s="953"/>
      <c r="F406" s="953"/>
      <c r="G406" s="953"/>
      <c r="H406" s="953"/>
    </row>
    <row r="407" spans="1:8" s="943" customFormat="1" x14ac:dyDescent="0.25">
      <c r="A407" s="952"/>
      <c r="B407" s="953"/>
      <c r="C407" s="953"/>
      <c r="D407" s="953"/>
      <c r="E407" s="953"/>
      <c r="F407" s="953"/>
      <c r="G407" s="953"/>
      <c r="H407" s="953"/>
    </row>
    <row r="408" spans="1:8" s="943" customFormat="1" x14ac:dyDescent="0.25">
      <c r="A408" s="952"/>
      <c r="B408" s="953"/>
      <c r="C408" s="953"/>
      <c r="D408" s="953"/>
      <c r="E408" s="953"/>
      <c r="F408" s="953"/>
      <c r="G408" s="953"/>
      <c r="H408" s="953"/>
    </row>
    <row r="409" spans="1:8" s="943" customFormat="1" x14ac:dyDescent="0.25">
      <c r="A409" s="952"/>
      <c r="B409" s="953"/>
      <c r="C409" s="953"/>
      <c r="D409" s="953"/>
      <c r="E409" s="953"/>
      <c r="F409" s="953"/>
      <c r="G409" s="953"/>
      <c r="H409" s="953"/>
    </row>
    <row r="410" spans="1:8" s="943" customFormat="1" x14ac:dyDescent="0.25">
      <c r="A410" s="952"/>
      <c r="B410" s="953"/>
      <c r="C410" s="953"/>
      <c r="D410" s="953"/>
      <c r="E410" s="953"/>
      <c r="F410" s="953"/>
      <c r="G410" s="953"/>
      <c r="H410" s="953"/>
    </row>
    <row r="411" spans="1:8" s="943" customFormat="1" x14ac:dyDescent="0.25">
      <c r="A411" s="952"/>
      <c r="B411" s="953"/>
      <c r="C411" s="953"/>
      <c r="D411" s="953"/>
      <c r="E411" s="953"/>
      <c r="F411" s="953"/>
      <c r="G411" s="953"/>
      <c r="H411" s="953"/>
    </row>
    <row r="412" spans="1:8" s="943" customFormat="1" x14ac:dyDescent="0.25">
      <c r="A412" s="952"/>
      <c r="B412" s="953"/>
      <c r="C412" s="953"/>
      <c r="D412" s="953"/>
      <c r="E412" s="953"/>
      <c r="F412" s="953"/>
      <c r="G412" s="953"/>
      <c r="H412" s="953"/>
    </row>
    <row r="413" spans="1:8" s="943" customFormat="1" x14ac:dyDescent="0.25">
      <c r="A413" s="952"/>
      <c r="B413" s="953"/>
      <c r="C413" s="953"/>
      <c r="D413" s="953"/>
      <c r="E413" s="953"/>
      <c r="F413" s="953"/>
      <c r="G413" s="953"/>
      <c r="H413" s="953"/>
    </row>
    <row r="414" spans="1:8" s="943" customFormat="1" x14ac:dyDescent="0.25">
      <c r="A414" s="952"/>
      <c r="B414" s="953"/>
      <c r="C414" s="953"/>
      <c r="D414" s="953"/>
      <c r="E414" s="953"/>
      <c r="F414" s="953"/>
      <c r="G414" s="953"/>
      <c r="H414" s="953"/>
    </row>
    <row r="415" spans="1:8" s="943" customFormat="1" x14ac:dyDescent="0.25">
      <c r="A415" s="952"/>
      <c r="B415" s="953"/>
      <c r="C415" s="953"/>
      <c r="D415" s="953"/>
      <c r="E415" s="953"/>
      <c r="F415" s="953"/>
      <c r="G415" s="953"/>
      <c r="H415" s="953"/>
    </row>
    <row r="416" spans="1:8" s="943" customFormat="1" x14ac:dyDescent="0.25">
      <c r="A416" s="952"/>
      <c r="B416" s="953"/>
      <c r="C416" s="953"/>
      <c r="D416" s="953"/>
      <c r="E416" s="953"/>
      <c r="F416" s="953"/>
      <c r="G416" s="953"/>
      <c r="H416" s="953"/>
    </row>
    <row r="417" spans="1:8" s="943" customFormat="1" x14ac:dyDescent="0.25">
      <c r="A417" s="952"/>
      <c r="B417" s="953"/>
      <c r="C417" s="953"/>
      <c r="D417" s="953"/>
      <c r="E417" s="953"/>
      <c r="F417" s="953"/>
      <c r="G417" s="953"/>
      <c r="H417" s="953"/>
    </row>
    <row r="418" spans="1:8" s="943" customFormat="1" x14ac:dyDescent="0.25">
      <c r="A418" s="952"/>
      <c r="B418" s="953"/>
      <c r="C418" s="953"/>
      <c r="D418" s="953"/>
      <c r="E418" s="953"/>
      <c r="F418" s="953"/>
      <c r="G418" s="953"/>
      <c r="H418" s="953"/>
    </row>
    <row r="419" spans="1:8" s="943" customFormat="1" x14ac:dyDescent="0.25">
      <c r="A419" s="952"/>
      <c r="B419" s="953"/>
      <c r="C419" s="953"/>
      <c r="D419" s="953"/>
      <c r="E419" s="953"/>
      <c r="F419" s="953"/>
      <c r="G419" s="953"/>
      <c r="H419" s="953"/>
    </row>
    <row r="420" spans="1:8" s="943" customFormat="1" x14ac:dyDescent="0.25">
      <c r="A420" s="952"/>
      <c r="B420" s="953"/>
      <c r="C420" s="953"/>
      <c r="D420" s="953"/>
      <c r="E420" s="953"/>
      <c r="F420" s="953"/>
      <c r="G420" s="953"/>
      <c r="H420" s="953"/>
    </row>
    <row r="421" spans="1:8" s="943" customFormat="1" x14ac:dyDescent="0.25">
      <c r="A421" s="952"/>
      <c r="B421" s="953"/>
      <c r="C421" s="953"/>
      <c r="D421" s="953"/>
      <c r="E421" s="953"/>
      <c r="F421" s="953"/>
      <c r="G421" s="953"/>
      <c r="H421" s="953"/>
    </row>
    <row r="422" spans="1:8" s="943" customFormat="1" x14ac:dyDescent="0.25">
      <c r="A422" s="952"/>
      <c r="B422" s="953"/>
      <c r="C422" s="953"/>
      <c r="D422" s="953"/>
      <c r="E422" s="953"/>
      <c r="F422" s="953"/>
      <c r="G422" s="953"/>
      <c r="H422" s="953"/>
    </row>
    <row r="423" spans="1:8" s="943" customFormat="1" x14ac:dyDescent="0.25">
      <c r="A423" s="952"/>
      <c r="B423" s="953"/>
      <c r="C423" s="953"/>
      <c r="D423" s="953"/>
      <c r="E423" s="953"/>
      <c r="F423" s="953"/>
      <c r="G423" s="953"/>
      <c r="H423" s="953"/>
    </row>
    <row r="424" spans="1:8" s="943" customFormat="1" x14ac:dyDescent="0.25">
      <c r="A424" s="952"/>
      <c r="B424" s="953"/>
      <c r="C424" s="953"/>
      <c r="D424" s="953"/>
      <c r="E424" s="953"/>
      <c r="F424" s="953"/>
      <c r="G424" s="953"/>
      <c r="H424" s="953"/>
    </row>
    <row r="425" spans="1:8" s="943" customFormat="1" x14ac:dyDescent="0.25">
      <c r="A425" s="952"/>
      <c r="B425" s="953"/>
      <c r="C425" s="953"/>
      <c r="D425" s="953"/>
      <c r="E425" s="953"/>
      <c r="F425" s="953"/>
      <c r="G425" s="953"/>
      <c r="H425" s="953"/>
    </row>
    <row r="426" spans="1:8" s="943" customFormat="1" x14ac:dyDescent="0.25">
      <c r="A426" s="952"/>
      <c r="B426" s="953"/>
      <c r="C426" s="953"/>
      <c r="D426" s="953"/>
      <c r="E426" s="953"/>
      <c r="F426" s="953"/>
      <c r="G426" s="953"/>
      <c r="H426" s="953"/>
    </row>
    <row r="427" spans="1:8" s="943" customFormat="1" x14ac:dyDescent="0.25">
      <c r="A427" s="952"/>
      <c r="B427" s="953"/>
      <c r="C427" s="953"/>
      <c r="D427" s="953"/>
      <c r="E427" s="953"/>
      <c r="F427" s="953"/>
      <c r="G427" s="953"/>
      <c r="H427" s="953"/>
    </row>
    <row r="428" spans="1:8" s="943" customFormat="1" x14ac:dyDescent="0.25">
      <c r="A428" s="952"/>
      <c r="B428" s="953"/>
      <c r="C428" s="953"/>
      <c r="D428" s="953"/>
      <c r="E428" s="953"/>
      <c r="F428" s="953"/>
      <c r="G428" s="953"/>
      <c r="H428" s="953"/>
    </row>
    <row r="429" spans="1:8" s="943" customFormat="1" x14ac:dyDescent="0.25">
      <c r="A429" s="952"/>
      <c r="B429" s="953"/>
      <c r="C429" s="953"/>
      <c r="D429" s="953"/>
      <c r="E429" s="953"/>
      <c r="F429" s="953"/>
      <c r="G429" s="953"/>
      <c r="H429" s="953"/>
    </row>
    <row r="430" spans="1:8" s="943" customFormat="1" x14ac:dyDescent="0.25">
      <c r="A430" s="952"/>
      <c r="B430" s="953"/>
      <c r="C430" s="953"/>
      <c r="D430" s="953"/>
      <c r="E430" s="953"/>
      <c r="F430" s="953"/>
      <c r="G430" s="953"/>
      <c r="H430" s="953"/>
    </row>
    <row r="431" spans="1:8" s="943" customFormat="1" x14ac:dyDescent="0.25">
      <c r="A431" s="952"/>
      <c r="B431" s="953"/>
      <c r="C431" s="953"/>
      <c r="D431" s="953"/>
      <c r="E431" s="953"/>
      <c r="F431" s="953"/>
      <c r="G431" s="953"/>
      <c r="H431" s="953"/>
    </row>
    <row r="432" spans="1:8" s="943" customFormat="1" x14ac:dyDescent="0.25">
      <c r="A432" s="952"/>
      <c r="B432" s="953"/>
      <c r="C432" s="953"/>
      <c r="D432" s="953"/>
      <c r="E432" s="953"/>
      <c r="F432" s="953"/>
      <c r="G432" s="953"/>
      <c r="H432" s="953"/>
    </row>
    <row r="433" spans="1:8" s="943" customFormat="1" x14ac:dyDescent="0.25">
      <c r="A433" s="952"/>
      <c r="B433" s="953"/>
      <c r="C433" s="953"/>
      <c r="D433" s="953"/>
      <c r="E433" s="953"/>
      <c r="F433" s="953"/>
      <c r="G433" s="953"/>
      <c r="H433" s="953"/>
    </row>
    <row r="434" spans="1:8" s="943" customFormat="1" x14ac:dyDescent="0.25">
      <c r="A434" s="952"/>
      <c r="B434" s="953"/>
      <c r="C434" s="953"/>
      <c r="D434" s="953"/>
      <c r="E434" s="953"/>
      <c r="F434" s="953"/>
      <c r="G434" s="953"/>
      <c r="H434" s="953"/>
    </row>
    <row r="435" spans="1:8" s="943" customFormat="1" x14ac:dyDescent="0.25">
      <c r="A435" s="952"/>
      <c r="B435" s="953"/>
      <c r="C435" s="953"/>
      <c r="D435" s="953"/>
      <c r="E435" s="953"/>
      <c r="F435" s="953"/>
      <c r="G435" s="953"/>
      <c r="H435" s="953"/>
    </row>
    <row r="436" spans="1:8" s="943" customFormat="1" x14ac:dyDescent="0.25">
      <c r="A436" s="952"/>
      <c r="B436" s="953"/>
      <c r="C436" s="953"/>
      <c r="D436" s="953"/>
      <c r="E436" s="953"/>
      <c r="F436" s="953"/>
      <c r="G436" s="953"/>
      <c r="H436" s="953"/>
    </row>
    <row r="437" spans="1:8" s="943" customFormat="1" x14ac:dyDescent="0.25">
      <c r="A437" s="952"/>
      <c r="B437" s="953"/>
      <c r="C437" s="953"/>
      <c r="D437" s="953"/>
      <c r="E437" s="953"/>
      <c r="F437" s="953"/>
      <c r="G437" s="953"/>
      <c r="H437" s="953"/>
    </row>
    <row r="438" spans="1:8" s="943" customFormat="1" x14ac:dyDescent="0.25">
      <c r="A438" s="952"/>
      <c r="B438" s="953"/>
      <c r="C438" s="953"/>
      <c r="D438" s="953"/>
      <c r="E438" s="953"/>
      <c r="F438" s="953"/>
      <c r="G438" s="953"/>
      <c r="H438" s="953"/>
    </row>
    <row r="439" spans="1:8" s="943" customFormat="1" x14ac:dyDescent="0.25">
      <c r="A439" s="952"/>
      <c r="B439" s="953"/>
      <c r="C439" s="953"/>
      <c r="D439" s="953"/>
      <c r="E439" s="953"/>
      <c r="F439" s="953"/>
      <c r="G439" s="953"/>
      <c r="H439" s="953"/>
    </row>
    <row r="440" spans="1:8" s="943" customFormat="1" x14ac:dyDescent="0.25">
      <c r="A440" s="952"/>
      <c r="B440" s="953"/>
      <c r="C440" s="953"/>
      <c r="D440" s="953"/>
      <c r="E440" s="953"/>
      <c r="F440" s="953"/>
      <c r="G440" s="953"/>
      <c r="H440" s="953"/>
    </row>
    <row r="441" spans="1:8" s="943" customFormat="1" x14ac:dyDescent="0.25">
      <c r="A441" s="952"/>
      <c r="B441" s="953"/>
      <c r="C441" s="953"/>
      <c r="D441" s="953"/>
      <c r="E441" s="953"/>
      <c r="F441" s="953"/>
      <c r="G441" s="953"/>
      <c r="H441" s="953"/>
    </row>
    <row r="442" spans="1:8" s="943" customFormat="1" x14ac:dyDescent="0.25">
      <c r="A442" s="952"/>
      <c r="B442" s="953"/>
      <c r="C442" s="953"/>
      <c r="D442" s="953"/>
      <c r="E442" s="953"/>
      <c r="F442" s="953"/>
      <c r="G442" s="953"/>
      <c r="H442" s="953"/>
    </row>
    <row r="443" spans="1:8" s="943" customFormat="1" x14ac:dyDescent="0.25">
      <c r="A443" s="952"/>
      <c r="B443" s="953"/>
      <c r="C443" s="953"/>
      <c r="D443" s="953"/>
      <c r="E443" s="953"/>
      <c r="F443" s="953"/>
      <c r="G443" s="953"/>
      <c r="H443" s="953"/>
    </row>
    <row r="444" spans="1:8" s="943" customFormat="1" x14ac:dyDescent="0.25">
      <c r="A444" s="952"/>
      <c r="B444" s="953"/>
      <c r="C444" s="953"/>
      <c r="D444" s="953"/>
      <c r="E444" s="953"/>
      <c r="F444" s="953"/>
      <c r="G444" s="953"/>
      <c r="H444" s="953"/>
    </row>
    <row r="445" spans="1:8" s="943" customFormat="1" x14ac:dyDescent="0.25">
      <c r="A445" s="952"/>
      <c r="B445" s="953"/>
      <c r="C445" s="953"/>
      <c r="D445" s="953"/>
      <c r="E445" s="953"/>
      <c r="F445" s="953"/>
      <c r="G445" s="953"/>
      <c r="H445" s="953"/>
    </row>
    <row r="446" spans="1:8" s="943" customFormat="1" x14ac:dyDescent="0.25">
      <c r="A446" s="952"/>
      <c r="B446" s="953"/>
      <c r="C446" s="953"/>
      <c r="D446" s="953"/>
      <c r="E446" s="953"/>
      <c r="F446" s="953"/>
      <c r="G446" s="953"/>
      <c r="H446" s="953"/>
    </row>
    <row r="447" spans="1:8" s="943" customFormat="1" x14ac:dyDescent="0.25">
      <c r="A447" s="952"/>
      <c r="B447" s="953"/>
      <c r="C447" s="953"/>
      <c r="D447" s="953"/>
      <c r="E447" s="953"/>
      <c r="F447" s="953"/>
      <c r="G447" s="953"/>
      <c r="H447" s="953"/>
    </row>
    <row r="448" spans="1:8" s="943" customFormat="1" x14ac:dyDescent="0.25">
      <c r="A448" s="952"/>
      <c r="B448" s="953"/>
      <c r="C448" s="953"/>
      <c r="D448" s="953"/>
      <c r="E448" s="953"/>
      <c r="F448" s="953"/>
      <c r="G448" s="953"/>
      <c r="H448" s="953"/>
    </row>
    <row r="449" spans="1:8" s="943" customFormat="1" x14ac:dyDescent="0.25">
      <c r="A449" s="952"/>
      <c r="B449" s="953"/>
      <c r="C449" s="953"/>
      <c r="D449" s="953"/>
      <c r="E449" s="953"/>
      <c r="F449" s="953"/>
      <c r="G449" s="953"/>
      <c r="H449" s="953"/>
    </row>
    <row r="450" spans="1:8" s="943" customFormat="1" x14ac:dyDescent="0.25">
      <c r="A450" s="952"/>
      <c r="B450" s="953"/>
      <c r="C450" s="953"/>
      <c r="D450" s="953"/>
      <c r="E450" s="953"/>
      <c r="F450" s="953"/>
      <c r="G450" s="953"/>
      <c r="H450" s="953"/>
    </row>
    <row r="451" spans="1:8" s="943" customFormat="1" x14ac:dyDescent="0.25">
      <c r="A451" s="952"/>
      <c r="B451" s="953"/>
      <c r="C451" s="953"/>
      <c r="D451" s="953"/>
      <c r="E451" s="953"/>
      <c r="F451" s="953"/>
      <c r="G451" s="953"/>
      <c r="H451" s="953"/>
    </row>
    <row r="452" spans="1:8" s="943" customFormat="1" x14ac:dyDescent="0.25">
      <c r="A452" s="952"/>
      <c r="B452" s="953"/>
      <c r="C452" s="953"/>
      <c r="D452" s="953"/>
      <c r="E452" s="953"/>
      <c r="F452" s="953"/>
      <c r="G452" s="953"/>
      <c r="H452" s="953"/>
    </row>
    <row r="453" spans="1:8" s="943" customFormat="1" x14ac:dyDescent="0.25">
      <c r="A453" s="952"/>
      <c r="B453" s="953"/>
      <c r="C453" s="953"/>
      <c r="D453" s="953"/>
      <c r="E453" s="953"/>
      <c r="F453" s="953"/>
      <c r="G453" s="953"/>
      <c r="H453" s="953"/>
    </row>
    <row r="454" spans="1:8" s="943" customFormat="1" x14ac:dyDescent="0.25">
      <c r="A454" s="952"/>
      <c r="B454" s="953"/>
      <c r="C454" s="953"/>
      <c r="D454" s="953"/>
      <c r="E454" s="953"/>
      <c r="F454" s="953"/>
      <c r="G454" s="953"/>
      <c r="H454" s="953"/>
    </row>
    <row r="455" spans="1:8" s="943" customFormat="1" x14ac:dyDescent="0.25">
      <c r="A455" s="952"/>
      <c r="B455" s="953"/>
      <c r="C455" s="953"/>
      <c r="D455" s="953"/>
      <c r="E455" s="953"/>
      <c r="F455" s="953"/>
      <c r="G455" s="953"/>
      <c r="H455" s="953"/>
    </row>
    <row r="456" spans="1:8" s="943" customFormat="1" x14ac:dyDescent="0.25">
      <c r="A456" s="952"/>
      <c r="B456" s="953"/>
      <c r="C456" s="953"/>
      <c r="D456" s="953"/>
      <c r="E456" s="953"/>
      <c r="F456" s="953"/>
      <c r="G456" s="953"/>
      <c r="H456" s="953"/>
    </row>
    <row r="457" spans="1:8" s="943" customFormat="1" x14ac:dyDescent="0.25">
      <c r="A457" s="952"/>
      <c r="B457" s="953"/>
      <c r="C457" s="953"/>
      <c r="D457" s="953"/>
      <c r="E457" s="953"/>
      <c r="F457" s="953"/>
      <c r="G457" s="953"/>
      <c r="H457" s="953"/>
    </row>
    <row r="458" spans="1:8" s="943" customFormat="1" x14ac:dyDescent="0.25">
      <c r="A458" s="952"/>
      <c r="B458" s="953"/>
      <c r="C458" s="953"/>
      <c r="D458" s="953"/>
      <c r="E458" s="953"/>
      <c r="F458" s="953"/>
      <c r="G458" s="953"/>
      <c r="H458" s="953"/>
    </row>
    <row r="459" spans="1:8" s="943" customFormat="1" x14ac:dyDescent="0.25">
      <c r="A459" s="952"/>
      <c r="B459" s="953"/>
      <c r="C459" s="953"/>
      <c r="D459" s="953"/>
      <c r="E459" s="953"/>
      <c r="F459" s="953"/>
      <c r="G459" s="953"/>
      <c r="H459" s="953"/>
    </row>
    <row r="460" spans="1:8" s="943" customFormat="1" x14ac:dyDescent="0.25">
      <c r="A460" s="952"/>
      <c r="B460" s="953"/>
      <c r="C460" s="953"/>
      <c r="D460" s="953"/>
      <c r="E460" s="953"/>
      <c r="F460" s="953"/>
      <c r="G460" s="953"/>
      <c r="H460" s="953"/>
    </row>
    <row r="461" spans="1:8" s="943" customFormat="1" x14ac:dyDescent="0.25">
      <c r="A461" s="952"/>
      <c r="B461" s="953"/>
      <c r="C461" s="953"/>
      <c r="D461" s="953"/>
      <c r="E461" s="953"/>
      <c r="F461" s="953"/>
      <c r="G461" s="953"/>
      <c r="H461" s="953"/>
    </row>
    <row r="462" spans="1:8" s="943" customFormat="1" x14ac:dyDescent="0.25">
      <c r="A462" s="952"/>
      <c r="B462" s="953"/>
      <c r="C462" s="953"/>
      <c r="D462" s="953"/>
      <c r="E462" s="953"/>
      <c r="F462" s="953"/>
      <c r="G462" s="953"/>
      <c r="H462" s="953"/>
    </row>
    <row r="463" spans="1:8" s="943" customFormat="1" x14ac:dyDescent="0.25">
      <c r="A463" s="952"/>
      <c r="B463" s="953"/>
      <c r="C463" s="953"/>
      <c r="D463" s="953"/>
      <c r="E463" s="953"/>
      <c r="F463" s="953"/>
      <c r="G463" s="953"/>
      <c r="H463" s="953"/>
    </row>
    <row r="464" spans="1:8" s="943" customFormat="1" x14ac:dyDescent="0.25">
      <c r="A464" s="952"/>
      <c r="B464" s="953"/>
      <c r="C464" s="953"/>
      <c r="D464" s="953"/>
      <c r="E464" s="953"/>
      <c r="F464" s="953"/>
      <c r="G464" s="953"/>
      <c r="H464" s="953"/>
    </row>
    <row r="465" spans="1:8" s="943" customFormat="1" x14ac:dyDescent="0.25">
      <c r="A465" s="952"/>
      <c r="B465" s="953"/>
      <c r="C465" s="953"/>
      <c r="D465" s="953"/>
      <c r="E465" s="953"/>
      <c r="F465" s="953"/>
      <c r="G465" s="953"/>
      <c r="H465" s="953"/>
    </row>
    <row r="466" spans="1:8" s="943" customFormat="1" x14ac:dyDescent="0.25">
      <c r="A466" s="952"/>
      <c r="B466" s="953"/>
      <c r="C466" s="953"/>
      <c r="D466" s="953"/>
      <c r="E466" s="953"/>
      <c r="F466" s="953"/>
      <c r="G466" s="953"/>
      <c r="H466" s="953"/>
    </row>
    <row r="467" spans="1:8" s="943" customFormat="1" x14ac:dyDescent="0.25">
      <c r="A467" s="952"/>
      <c r="B467" s="953"/>
      <c r="C467" s="953"/>
      <c r="D467" s="953"/>
      <c r="E467" s="953"/>
      <c r="F467" s="953"/>
      <c r="G467" s="953"/>
      <c r="H467" s="953"/>
    </row>
    <row r="468" spans="1:8" s="943" customFormat="1" x14ac:dyDescent="0.25">
      <c r="A468" s="952"/>
      <c r="B468" s="953"/>
      <c r="C468" s="953"/>
      <c r="D468" s="953"/>
      <c r="E468" s="953"/>
      <c r="F468" s="953"/>
      <c r="G468" s="953"/>
      <c r="H468" s="953"/>
    </row>
    <row r="469" spans="1:8" s="943" customFormat="1" x14ac:dyDescent="0.25">
      <c r="A469" s="952"/>
      <c r="B469" s="953"/>
      <c r="C469" s="953"/>
      <c r="D469" s="953"/>
      <c r="E469" s="953"/>
      <c r="F469" s="953"/>
      <c r="G469" s="953"/>
      <c r="H469" s="953"/>
    </row>
    <row r="470" spans="1:8" s="943" customFormat="1" x14ac:dyDescent="0.25">
      <c r="A470" s="952"/>
      <c r="B470" s="953"/>
      <c r="C470" s="953"/>
      <c r="D470" s="953"/>
      <c r="E470" s="953"/>
      <c r="F470" s="953"/>
      <c r="G470" s="953"/>
      <c r="H470" s="953"/>
    </row>
    <row r="471" spans="1:8" s="943" customFormat="1" x14ac:dyDescent="0.25">
      <c r="A471" s="952"/>
      <c r="B471" s="953"/>
      <c r="C471" s="953"/>
      <c r="D471" s="953"/>
      <c r="E471" s="953"/>
      <c r="F471" s="953"/>
      <c r="G471" s="953"/>
      <c r="H471" s="953"/>
    </row>
    <row r="472" spans="1:8" s="943" customFormat="1" x14ac:dyDescent="0.25">
      <c r="A472" s="952"/>
      <c r="B472" s="953"/>
      <c r="C472" s="953"/>
      <c r="D472" s="953"/>
      <c r="E472" s="953"/>
      <c r="F472" s="953"/>
      <c r="G472" s="953"/>
      <c r="H472" s="953"/>
    </row>
    <row r="473" spans="1:8" s="943" customFormat="1" x14ac:dyDescent="0.25">
      <c r="A473" s="952"/>
      <c r="B473" s="953"/>
      <c r="C473" s="953"/>
      <c r="D473" s="953"/>
      <c r="E473" s="953"/>
      <c r="F473" s="953"/>
      <c r="G473" s="953"/>
      <c r="H473" s="953"/>
    </row>
    <row r="474" spans="1:8" s="943" customFormat="1" x14ac:dyDescent="0.25">
      <c r="A474" s="952"/>
      <c r="B474" s="953"/>
      <c r="C474" s="953"/>
      <c r="D474" s="953"/>
      <c r="E474" s="953"/>
      <c r="F474" s="953"/>
      <c r="G474" s="953"/>
      <c r="H474" s="953"/>
    </row>
    <row r="475" spans="1:8" s="943" customFormat="1" x14ac:dyDescent="0.25">
      <c r="A475" s="952"/>
      <c r="B475" s="953"/>
      <c r="C475" s="953"/>
      <c r="D475" s="953"/>
      <c r="E475" s="953"/>
      <c r="F475" s="953"/>
      <c r="G475" s="953"/>
      <c r="H475" s="953"/>
    </row>
    <row r="476" spans="1:8" s="943" customFormat="1" x14ac:dyDescent="0.25">
      <c r="A476" s="952"/>
      <c r="B476" s="953"/>
      <c r="C476" s="953"/>
      <c r="D476" s="953"/>
      <c r="E476" s="953"/>
      <c r="F476" s="953"/>
      <c r="G476" s="953"/>
      <c r="H476" s="953"/>
    </row>
    <row r="477" spans="1:8" s="943" customFormat="1" x14ac:dyDescent="0.25">
      <c r="A477" s="952"/>
      <c r="B477" s="953"/>
      <c r="C477" s="953"/>
      <c r="D477" s="953"/>
      <c r="E477" s="953"/>
      <c r="F477" s="953"/>
      <c r="G477" s="953"/>
      <c r="H477" s="953"/>
    </row>
    <row r="478" spans="1:8" s="943" customFormat="1" x14ac:dyDescent="0.25">
      <c r="A478" s="952"/>
      <c r="B478" s="953"/>
      <c r="C478" s="953"/>
      <c r="D478" s="953"/>
      <c r="E478" s="953"/>
      <c r="F478" s="953"/>
      <c r="G478" s="953"/>
      <c r="H478" s="953"/>
    </row>
    <row r="479" spans="1:8" s="943" customFormat="1" x14ac:dyDescent="0.25">
      <c r="A479" s="952"/>
      <c r="B479" s="953"/>
      <c r="C479" s="953"/>
      <c r="D479" s="953"/>
      <c r="E479" s="953"/>
      <c r="F479" s="953"/>
      <c r="G479" s="953"/>
      <c r="H479" s="953"/>
    </row>
    <row r="480" spans="1:8" s="943" customFormat="1" x14ac:dyDescent="0.25">
      <c r="A480" s="952"/>
      <c r="B480" s="953"/>
      <c r="C480" s="953"/>
      <c r="D480" s="953"/>
      <c r="E480" s="953"/>
      <c r="F480" s="953"/>
      <c r="G480" s="953"/>
      <c r="H480" s="953"/>
    </row>
    <row r="481" spans="1:8" s="943" customFormat="1" x14ac:dyDescent="0.25">
      <c r="A481" s="952"/>
      <c r="B481" s="953"/>
      <c r="C481" s="953"/>
      <c r="D481" s="953"/>
      <c r="E481" s="953"/>
      <c r="F481" s="953"/>
      <c r="G481" s="953"/>
      <c r="H481" s="953"/>
    </row>
    <row r="482" spans="1:8" s="943" customFormat="1" x14ac:dyDescent="0.25">
      <c r="A482" s="952"/>
      <c r="B482" s="953"/>
      <c r="C482" s="953"/>
      <c r="D482" s="953"/>
      <c r="E482" s="953"/>
      <c r="F482" s="953"/>
      <c r="G482" s="953"/>
      <c r="H482" s="953"/>
    </row>
    <row r="483" spans="1:8" s="943" customFormat="1" x14ac:dyDescent="0.25">
      <c r="A483" s="952"/>
      <c r="B483" s="953"/>
      <c r="C483" s="953"/>
      <c r="D483" s="953"/>
      <c r="E483" s="953"/>
      <c r="F483" s="953"/>
      <c r="G483" s="953"/>
      <c r="H483" s="953"/>
    </row>
    <row r="484" spans="1:8" s="943" customFormat="1" x14ac:dyDescent="0.25">
      <c r="A484" s="952"/>
      <c r="B484" s="953"/>
      <c r="C484" s="953"/>
      <c r="D484" s="953"/>
      <c r="E484" s="953"/>
      <c r="F484" s="953"/>
      <c r="G484" s="953"/>
      <c r="H484" s="953"/>
    </row>
    <row r="485" spans="1:8" s="943" customFormat="1" x14ac:dyDescent="0.25">
      <c r="A485" s="952"/>
      <c r="B485" s="953"/>
      <c r="C485" s="953"/>
      <c r="D485" s="953"/>
      <c r="E485" s="953"/>
      <c r="F485" s="953"/>
      <c r="G485" s="953"/>
      <c r="H485" s="953"/>
    </row>
    <row r="486" spans="1:8" s="943" customFormat="1" x14ac:dyDescent="0.25">
      <c r="A486" s="952"/>
      <c r="B486" s="953"/>
      <c r="C486" s="953"/>
      <c r="D486" s="953"/>
      <c r="E486" s="953"/>
      <c r="F486" s="953"/>
      <c r="G486" s="953"/>
      <c r="H486" s="953"/>
    </row>
    <row r="487" spans="1:8" s="943" customFormat="1" x14ac:dyDescent="0.25">
      <c r="A487" s="952"/>
      <c r="B487" s="953"/>
      <c r="C487" s="953"/>
      <c r="D487" s="953"/>
      <c r="E487" s="953"/>
      <c r="F487" s="953"/>
      <c r="G487" s="953"/>
      <c r="H487" s="953"/>
    </row>
    <row r="488" spans="1:8" s="943" customFormat="1" x14ac:dyDescent="0.25">
      <c r="A488" s="952"/>
      <c r="B488" s="953"/>
      <c r="C488" s="953"/>
      <c r="D488" s="953"/>
      <c r="E488" s="953"/>
      <c r="F488" s="953"/>
      <c r="G488" s="953"/>
      <c r="H488" s="953"/>
    </row>
    <row r="489" spans="1:8" s="943" customFormat="1" x14ac:dyDescent="0.25">
      <c r="A489" s="952"/>
      <c r="B489" s="953"/>
      <c r="C489" s="953"/>
      <c r="D489" s="953"/>
      <c r="E489" s="953"/>
      <c r="F489" s="953"/>
      <c r="G489" s="953"/>
      <c r="H489" s="953"/>
    </row>
    <row r="490" spans="1:8" s="943" customFormat="1" x14ac:dyDescent="0.25">
      <c r="A490" s="952"/>
      <c r="B490" s="953"/>
      <c r="C490" s="953"/>
      <c r="D490" s="953"/>
      <c r="E490" s="953"/>
      <c r="F490" s="953"/>
      <c r="G490" s="953"/>
      <c r="H490" s="953"/>
    </row>
    <row r="491" spans="1:8" s="943" customFormat="1" x14ac:dyDescent="0.25">
      <c r="A491" s="952"/>
      <c r="B491" s="953"/>
      <c r="C491" s="953"/>
      <c r="D491" s="953"/>
      <c r="E491" s="953"/>
      <c r="F491" s="953"/>
      <c r="G491" s="953"/>
      <c r="H491" s="953"/>
    </row>
    <row r="492" spans="1:8" s="943" customFormat="1" x14ac:dyDescent="0.25">
      <c r="A492" s="952"/>
      <c r="B492" s="953"/>
      <c r="C492" s="953"/>
      <c r="D492" s="953"/>
      <c r="E492" s="953"/>
      <c r="F492" s="953"/>
      <c r="G492" s="953"/>
      <c r="H492" s="953"/>
    </row>
    <row r="493" spans="1:8" s="943" customFormat="1" x14ac:dyDescent="0.25">
      <c r="A493" s="952"/>
      <c r="B493" s="953"/>
      <c r="C493" s="953"/>
      <c r="D493" s="953"/>
      <c r="E493" s="953"/>
      <c r="F493" s="953"/>
      <c r="G493" s="953"/>
      <c r="H493" s="953"/>
    </row>
    <row r="494" spans="1:8" s="943" customFormat="1" x14ac:dyDescent="0.25">
      <c r="A494" s="952"/>
      <c r="B494" s="953"/>
      <c r="C494" s="953"/>
      <c r="D494" s="953"/>
      <c r="E494" s="953"/>
      <c r="F494" s="953"/>
      <c r="G494" s="953"/>
      <c r="H494" s="953"/>
    </row>
    <row r="495" spans="1:8" s="943" customFormat="1" x14ac:dyDescent="0.25">
      <c r="A495" s="952"/>
      <c r="B495" s="953"/>
      <c r="C495" s="953"/>
      <c r="D495" s="953"/>
      <c r="E495" s="953"/>
      <c r="F495" s="953"/>
      <c r="G495" s="953"/>
      <c r="H495" s="953"/>
    </row>
    <row r="496" spans="1:8" s="943" customFormat="1" x14ac:dyDescent="0.25">
      <c r="A496" s="952"/>
      <c r="B496" s="953"/>
      <c r="C496" s="953"/>
      <c r="D496" s="953"/>
      <c r="E496" s="953"/>
      <c r="F496" s="953"/>
      <c r="G496" s="953"/>
      <c r="H496" s="953"/>
    </row>
    <row r="497" spans="1:8" s="943" customFormat="1" x14ac:dyDescent="0.25">
      <c r="A497" s="952"/>
      <c r="B497" s="953"/>
      <c r="C497" s="953"/>
      <c r="D497" s="953"/>
      <c r="E497" s="953"/>
      <c r="F497" s="953"/>
      <c r="G497" s="953"/>
      <c r="H497" s="953"/>
    </row>
    <row r="498" spans="1:8" s="943" customFormat="1" x14ac:dyDescent="0.25">
      <c r="A498" s="952"/>
      <c r="B498" s="953"/>
      <c r="C498" s="953"/>
      <c r="D498" s="953"/>
      <c r="E498" s="953"/>
      <c r="F498" s="953"/>
      <c r="G498" s="953"/>
      <c r="H498" s="953"/>
    </row>
    <row r="499" spans="1:8" s="943" customFormat="1" x14ac:dyDescent="0.25">
      <c r="A499" s="952"/>
      <c r="B499" s="953"/>
      <c r="C499" s="953"/>
      <c r="D499" s="953"/>
      <c r="E499" s="953"/>
      <c r="F499" s="953"/>
      <c r="G499" s="953"/>
      <c r="H499" s="953"/>
    </row>
    <row r="500" spans="1:8" s="943" customFormat="1" x14ac:dyDescent="0.25">
      <c r="A500" s="952"/>
      <c r="B500" s="953"/>
      <c r="C500" s="953"/>
      <c r="D500" s="953"/>
      <c r="E500" s="953"/>
      <c r="F500" s="953"/>
      <c r="G500" s="953"/>
      <c r="H500" s="953"/>
    </row>
    <row r="501" spans="1:8" s="943" customFormat="1" x14ac:dyDescent="0.25">
      <c r="A501" s="952"/>
      <c r="B501" s="953"/>
      <c r="C501" s="953"/>
      <c r="D501" s="953"/>
      <c r="E501" s="953"/>
      <c r="F501" s="953"/>
      <c r="G501" s="953"/>
      <c r="H501" s="953"/>
    </row>
    <row r="502" spans="1:8" s="943" customFormat="1" x14ac:dyDescent="0.25">
      <c r="A502" s="952"/>
      <c r="B502" s="953"/>
      <c r="C502" s="953"/>
      <c r="D502" s="953"/>
      <c r="E502" s="953"/>
      <c r="F502" s="953"/>
      <c r="G502" s="953"/>
      <c r="H502" s="953"/>
    </row>
    <row r="503" spans="1:8" s="943" customFormat="1" x14ac:dyDescent="0.25">
      <c r="A503" s="952"/>
      <c r="B503" s="953"/>
      <c r="C503" s="953"/>
      <c r="D503" s="953"/>
      <c r="E503" s="953"/>
      <c r="F503" s="953"/>
      <c r="G503" s="953"/>
      <c r="H503" s="953"/>
    </row>
    <row r="504" spans="1:8" s="943" customFormat="1" x14ac:dyDescent="0.25">
      <c r="A504" s="952"/>
      <c r="B504" s="953"/>
      <c r="C504" s="953"/>
      <c r="D504" s="953"/>
      <c r="E504" s="953"/>
      <c r="F504" s="953"/>
      <c r="G504" s="953"/>
      <c r="H504" s="953"/>
    </row>
    <row r="505" spans="1:8" s="943" customFormat="1" x14ac:dyDescent="0.25">
      <c r="A505" s="952"/>
      <c r="B505" s="953"/>
      <c r="C505" s="953"/>
      <c r="D505" s="953"/>
      <c r="E505" s="953"/>
      <c r="F505" s="953"/>
      <c r="G505" s="953"/>
      <c r="H505" s="953"/>
    </row>
    <row r="506" spans="1:8" s="943" customFormat="1" x14ac:dyDescent="0.25">
      <c r="A506" s="952"/>
      <c r="B506" s="953"/>
      <c r="C506" s="953"/>
      <c r="D506" s="953"/>
      <c r="E506" s="953"/>
      <c r="F506" s="953"/>
      <c r="G506" s="953"/>
      <c r="H506" s="953"/>
    </row>
    <row r="507" spans="1:8" s="943" customFormat="1" x14ac:dyDescent="0.25">
      <c r="A507" s="952"/>
      <c r="B507" s="953"/>
      <c r="C507" s="953"/>
      <c r="D507" s="953"/>
      <c r="E507" s="953"/>
      <c r="F507" s="953"/>
      <c r="G507" s="953"/>
      <c r="H507" s="953"/>
    </row>
    <row r="508" spans="1:8" s="943" customFormat="1" x14ac:dyDescent="0.25">
      <c r="A508" s="952"/>
      <c r="B508" s="953"/>
      <c r="C508" s="953"/>
      <c r="D508" s="953"/>
      <c r="E508" s="953"/>
      <c r="F508" s="953"/>
      <c r="G508" s="953"/>
      <c r="H508" s="953"/>
    </row>
    <row r="509" spans="1:8" s="943" customFormat="1" x14ac:dyDescent="0.25">
      <c r="A509" s="952"/>
      <c r="B509" s="953"/>
      <c r="C509" s="953"/>
      <c r="D509" s="953"/>
      <c r="E509" s="953"/>
      <c r="F509" s="953"/>
      <c r="G509" s="953"/>
      <c r="H509" s="953"/>
    </row>
    <row r="510" spans="1:8" s="943" customFormat="1" x14ac:dyDescent="0.25">
      <c r="A510" s="952"/>
      <c r="B510" s="953"/>
      <c r="C510" s="953"/>
      <c r="D510" s="953"/>
      <c r="E510" s="953"/>
      <c r="F510" s="953"/>
      <c r="G510" s="953"/>
      <c r="H510" s="953"/>
    </row>
    <row r="511" spans="1:8" s="943" customFormat="1" x14ac:dyDescent="0.25">
      <c r="A511" s="952"/>
      <c r="B511" s="953"/>
      <c r="C511" s="953"/>
      <c r="D511" s="953"/>
      <c r="E511" s="953"/>
      <c r="F511" s="953"/>
      <c r="G511" s="953"/>
      <c r="H511" s="953"/>
    </row>
    <row r="512" spans="1:8" s="943" customFormat="1" x14ac:dyDescent="0.25">
      <c r="A512" s="952"/>
      <c r="B512" s="953"/>
      <c r="C512" s="953"/>
      <c r="D512" s="953"/>
      <c r="E512" s="953"/>
      <c r="F512" s="953"/>
      <c r="G512" s="953"/>
      <c r="H512" s="953"/>
    </row>
    <row r="513" spans="1:8" s="943" customFormat="1" x14ac:dyDescent="0.25">
      <c r="A513" s="952"/>
      <c r="B513" s="953"/>
      <c r="C513" s="953"/>
      <c r="D513" s="953"/>
      <c r="E513" s="953"/>
      <c r="F513" s="953"/>
      <c r="G513" s="953"/>
      <c r="H513" s="953"/>
    </row>
    <row r="514" spans="1:8" s="943" customFormat="1" x14ac:dyDescent="0.25">
      <c r="A514" s="952"/>
      <c r="B514" s="953"/>
      <c r="C514" s="953"/>
      <c r="D514" s="953"/>
      <c r="E514" s="953"/>
      <c r="F514" s="953"/>
      <c r="G514" s="953"/>
      <c r="H514" s="953"/>
    </row>
    <row r="515" spans="1:8" s="943" customFormat="1" x14ac:dyDescent="0.25">
      <c r="A515" s="952"/>
      <c r="B515" s="953"/>
      <c r="C515" s="953"/>
      <c r="D515" s="953"/>
      <c r="E515" s="953"/>
      <c r="F515" s="953"/>
      <c r="G515" s="953"/>
      <c r="H515" s="953"/>
    </row>
    <row r="516" spans="1:8" s="943" customFormat="1" x14ac:dyDescent="0.25">
      <c r="A516" s="952"/>
      <c r="B516" s="953"/>
      <c r="C516" s="953"/>
      <c r="D516" s="953"/>
      <c r="E516" s="953"/>
      <c r="F516" s="953"/>
      <c r="G516" s="953"/>
      <c r="H516" s="953"/>
    </row>
    <row r="517" spans="1:8" s="943" customFormat="1" x14ac:dyDescent="0.25">
      <c r="A517" s="952"/>
      <c r="B517" s="953"/>
      <c r="C517" s="953"/>
      <c r="D517" s="953"/>
      <c r="E517" s="953"/>
      <c r="F517" s="953"/>
      <c r="G517" s="953"/>
      <c r="H517" s="953"/>
    </row>
    <row r="518" spans="1:8" s="943" customFormat="1" x14ac:dyDescent="0.25">
      <c r="A518" s="952"/>
      <c r="B518" s="953"/>
      <c r="C518" s="953"/>
      <c r="D518" s="953"/>
      <c r="E518" s="953"/>
      <c r="F518" s="953"/>
      <c r="G518" s="953"/>
      <c r="H518" s="953"/>
    </row>
    <row r="519" spans="1:8" s="943" customFormat="1" x14ac:dyDescent="0.25">
      <c r="A519" s="952"/>
      <c r="B519" s="953"/>
      <c r="C519" s="953"/>
      <c r="D519" s="953"/>
      <c r="E519" s="953"/>
      <c r="F519" s="953"/>
      <c r="G519" s="953"/>
      <c r="H519" s="953"/>
    </row>
    <row r="520" spans="1:8" s="943" customFormat="1" x14ac:dyDescent="0.25">
      <c r="A520" s="952"/>
      <c r="B520" s="953"/>
      <c r="C520" s="953"/>
      <c r="D520" s="953"/>
      <c r="E520" s="953"/>
      <c r="F520" s="953"/>
      <c r="G520" s="953"/>
      <c r="H520" s="953"/>
    </row>
    <row r="521" spans="1:8" s="943" customFormat="1" x14ac:dyDescent="0.25">
      <c r="A521" s="952"/>
      <c r="B521" s="953"/>
      <c r="C521" s="953"/>
      <c r="D521" s="953"/>
      <c r="E521" s="953"/>
      <c r="F521" s="953"/>
      <c r="G521" s="953"/>
      <c r="H521" s="953"/>
    </row>
    <row r="522" spans="1:8" s="943" customFormat="1" x14ac:dyDescent="0.25">
      <c r="A522" s="952"/>
      <c r="B522" s="953"/>
      <c r="C522" s="953"/>
      <c r="D522" s="953"/>
      <c r="E522" s="953"/>
      <c r="F522" s="953"/>
      <c r="G522" s="953"/>
      <c r="H522" s="953"/>
    </row>
    <row r="523" spans="1:8" s="943" customFormat="1" x14ac:dyDescent="0.25">
      <c r="A523" s="952"/>
      <c r="B523" s="953"/>
      <c r="C523" s="953"/>
      <c r="D523" s="953"/>
      <c r="E523" s="953"/>
      <c r="F523" s="953"/>
      <c r="G523" s="953"/>
      <c r="H523" s="953"/>
    </row>
    <row r="524" spans="1:8" s="943" customFormat="1" x14ac:dyDescent="0.25">
      <c r="A524" s="952"/>
      <c r="B524" s="953"/>
      <c r="C524" s="953"/>
      <c r="D524" s="953"/>
      <c r="E524" s="953"/>
      <c r="F524" s="953"/>
      <c r="G524" s="953"/>
      <c r="H524" s="953"/>
    </row>
    <row r="525" spans="1:8" s="943" customFormat="1" x14ac:dyDescent="0.25">
      <c r="A525" s="952"/>
      <c r="B525" s="953"/>
      <c r="C525" s="953"/>
      <c r="D525" s="953"/>
      <c r="E525" s="953"/>
      <c r="F525" s="953"/>
      <c r="G525" s="953"/>
      <c r="H525" s="953"/>
    </row>
    <row r="526" spans="1:8" s="943" customFormat="1" x14ac:dyDescent="0.25">
      <c r="A526" s="952"/>
      <c r="B526" s="953"/>
      <c r="C526" s="953"/>
      <c r="D526" s="953"/>
      <c r="E526" s="953"/>
      <c r="F526" s="953"/>
      <c r="G526" s="953"/>
      <c r="H526" s="953"/>
    </row>
    <row r="527" spans="1:8" s="943" customFormat="1" x14ac:dyDescent="0.25">
      <c r="A527" s="952"/>
      <c r="B527" s="953"/>
      <c r="C527" s="953"/>
      <c r="D527" s="953"/>
      <c r="E527" s="953"/>
      <c r="F527" s="953"/>
      <c r="G527" s="953"/>
      <c r="H527" s="953"/>
    </row>
    <row r="528" spans="1:8" s="943" customFormat="1" x14ac:dyDescent="0.25">
      <c r="A528" s="952"/>
      <c r="B528" s="953"/>
      <c r="C528" s="953"/>
      <c r="D528" s="953"/>
      <c r="E528" s="953"/>
      <c r="F528" s="953"/>
      <c r="G528" s="953"/>
      <c r="H528" s="953"/>
    </row>
    <row r="529" spans="1:8" s="943" customFormat="1" x14ac:dyDescent="0.25">
      <c r="A529" s="952"/>
      <c r="B529" s="953"/>
      <c r="C529" s="953"/>
      <c r="D529" s="953"/>
      <c r="E529" s="953"/>
      <c r="F529" s="953"/>
      <c r="G529" s="953"/>
      <c r="H529" s="953"/>
    </row>
    <row r="530" spans="1:8" s="943" customFormat="1" x14ac:dyDescent="0.25">
      <c r="A530" s="952"/>
      <c r="B530" s="953"/>
      <c r="C530" s="953"/>
      <c r="D530" s="953"/>
      <c r="E530" s="953"/>
      <c r="F530" s="953"/>
      <c r="G530" s="953"/>
      <c r="H530" s="953"/>
    </row>
    <row r="531" spans="1:8" s="943" customFormat="1" x14ac:dyDescent="0.25">
      <c r="A531" s="952"/>
      <c r="B531" s="953"/>
      <c r="C531" s="953"/>
      <c r="D531" s="953"/>
      <c r="E531" s="953"/>
      <c r="F531" s="953"/>
      <c r="G531" s="953"/>
      <c r="H531" s="953"/>
    </row>
    <row r="532" spans="1:8" s="943" customFormat="1" x14ac:dyDescent="0.25">
      <c r="A532" s="952"/>
      <c r="B532" s="953"/>
      <c r="C532" s="953"/>
      <c r="D532" s="953"/>
      <c r="E532" s="953"/>
      <c r="F532" s="953"/>
      <c r="G532" s="953"/>
      <c r="H532" s="953"/>
    </row>
    <row r="533" spans="1:8" s="943" customFormat="1" x14ac:dyDescent="0.25">
      <c r="A533" s="952"/>
      <c r="B533" s="953"/>
      <c r="C533" s="953"/>
      <c r="D533" s="953"/>
      <c r="E533" s="953"/>
      <c r="F533" s="953"/>
      <c r="G533" s="953"/>
      <c r="H533" s="953"/>
    </row>
    <row r="534" spans="1:8" s="943" customFormat="1" x14ac:dyDescent="0.25">
      <c r="A534" s="952"/>
      <c r="B534" s="953"/>
      <c r="C534" s="953"/>
      <c r="D534" s="953"/>
      <c r="E534" s="953"/>
      <c r="F534" s="953"/>
      <c r="G534" s="953"/>
      <c r="H534" s="953"/>
    </row>
    <row r="535" spans="1:8" s="943" customFormat="1" x14ac:dyDescent="0.25">
      <c r="A535" s="952"/>
      <c r="B535" s="953"/>
      <c r="C535" s="953"/>
      <c r="D535" s="953"/>
      <c r="E535" s="953"/>
      <c r="F535" s="953"/>
      <c r="G535" s="953"/>
      <c r="H535" s="953"/>
    </row>
    <row r="536" spans="1:8" s="943" customFormat="1" x14ac:dyDescent="0.25">
      <c r="A536" s="952"/>
      <c r="B536" s="953"/>
      <c r="C536" s="953"/>
      <c r="D536" s="953"/>
      <c r="E536" s="953"/>
      <c r="F536" s="953"/>
      <c r="G536" s="953"/>
      <c r="H536" s="953"/>
    </row>
    <row r="537" spans="1:8" s="943" customFormat="1" x14ac:dyDescent="0.25">
      <c r="A537" s="952"/>
      <c r="B537" s="953"/>
      <c r="C537" s="953"/>
      <c r="D537" s="953"/>
      <c r="E537" s="953"/>
      <c r="F537" s="953"/>
      <c r="G537" s="953"/>
      <c r="H537" s="953"/>
    </row>
    <row r="538" spans="1:8" s="943" customFormat="1" x14ac:dyDescent="0.25">
      <c r="A538" s="952"/>
      <c r="B538" s="953"/>
      <c r="C538" s="953"/>
      <c r="D538" s="953"/>
      <c r="E538" s="953"/>
      <c r="F538" s="953"/>
      <c r="G538" s="953"/>
      <c r="H538" s="953"/>
    </row>
    <row r="539" spans="1:8" s="943" customFormat="1" x14ac:dyDescent="0.25">
      <c r="A539" s="952"/>
      <c r="B539" s="953"/>
      <c r="C539" s="953"/>
      <c r="D539" s="953"/>
      <c r="E539" s="953"/>
      <c r="F539" s="953"/>
      <c r="G539" s="953"/>
      <c r="H539" s="953"/>
    </row>
    <row r="540" spans="1:8" s="943" customFormat="1" x14ac:dyDescent="0.25">
      <c r="A540" s="952"/>
      <c r="B540" s="953"/>
      <c r="C540" s="953"/>
      <c r="D540" s="953"/>
      <c r="E540" s="953"/>
      <c r="F540" s="953"/>
      <c r="G540" s="953"/>
      <c r="H540" s="953"/>
    </row>
    <row r="541" spans="1:8" s="943" customFormat="1" x14ac:dyDescent="0.25">
      <c r="A541" s="952"/>
      <c r="B541" s="953"/>
      <c r="C541" s="953"/>
      <c r="D541" s="953"/>
      <c r="E541" s="953"/>
      <c r="F541" s="953"/>
      <c r="G541" s="953"/>
      <c r="H541" s="953"/>
    </row>
    <row r="542" spans="1:8" s="943" customFormat="1" x14ac:dyDescent="0.25">
      <c r="A542" s="952"/>
      <c r="B542" s="953"/>
      <c r="C542" s="953"/>
      <c r="D542" s="953"/>
      <c r="E542" s="953"/>
      <c r="F542" s="953"/>
      <c r="G542" s="953"/>
      <c r="H542" s="953"/>
    </row>
    <row r="543" spans="1:8" s="943" customFormat="1" x14ac:dyDescent="0.25">
      <c r="A543" s="952"/>
      <c r="B543" s="953"/>
      <c r="C543" s="953"/>
      <c r="D543" s="953"/>
      <c r="E543" s="953"/>
      <c r="F543" s="953"/>
      <c r="G543" s="953"/>
      <c r="H543" s="953"/>
    </row>
    <row r="544" spans="1:8" s="943" customFormat="1" x14ac:dyDescent="0.25">
      <c r="A544" s="952"/>
      <c r="B544" s="953"/>
      <c r="C544" s="953"/>
      <c r="D544" s="953"/>
      <c r="E544" s="953"/>
      <c r="F544" s="953"/>
      <c r="G544" s="953"/>
      <c r="H544" s="953"/>
    </row>
    <row r="545" spans="1:8" s="943" customFormat="1" x14ac:dyDescent="0.25">
      <c r="A545" s="952"/>
      <c r="B545" s="953"/>
      <c r="C545" s="953"/>
      <c r="D545" s="953"/>
      <c r="E545" s="953"/>
      <c r="F545" s="953"/>
      <c r="G545" s="953"/>
      <c r="H545" s="953"/>
    </row>
    <row r="546" spans="1:8" s="943" customFormat="1" x14ac:dyDescent="0.25">
      <c r="A546" s="952"/>
      <c r="B546" s="953"/>
      <c r="C546" s="953"/>
      <c r="D546" s="953"/>
      <c r="E546" s="953"/>
      <c r="F546" s="953"/>
      <c r="G546" s="953"/>
      <c r="H546" s="953"/>
    </row>
    <row r="547" spans="1:8" s="943" customFormat="1" x14ac:dyDescent="0.25">
      <c r="A547" s="952"/>
      <c r="B547" s="953"/>
      <c r="C547" s="953"/>
      <c r="D547" s="953"/>
      <c r="E547" s="953"/>
      <c r="F547" s="953"/>
      <c r="G547" s="953"/>
      <c r="H547" s="953"/>
    </row>
    <row r="548" spans="1:8" s="943" customFormat="1" x14ac:dyDescent="0.25">
      <c r="A548" s="952"/>
      <c r="B548" s="953"/>
      <c r="C548" s="953"/>
      <c r="D548" s="953"/>
      <c r="E548" s="953"/>
      <c r="F548" s="953"/>
      <c r="G548" s="953"/>
      <c r="H548" s="953"/>
    </row>
    <row r="549" spans="1:8" s="943" customFormat="1" x14ac:dyDescent="0.25">
      <c r="A549" s="952"/>
      <c r="B549" s="953"/>
      <c r="C549" s="953"/>
      <c r="D549" s="953"/>
      <c r="E549" s="953"/>
      <c r="F549" s="953"/>
      <c r="G549" s="953"/>
      <c r="H549" s="953"/>
    </row>
    <row r="550" spans="1:8" s="943" customFormat="1" x14ac:dyDescent="0.25">
      <c r="A550" s="952"/>
      <c r="B550" s="953"/>
      <c r="C550" s="953"/>
      <c r="D550" s="953"/>
      <c r="E550" s="953"/>
      <c r="F550" s="953"/>
      <c r="G550" s="953"/>
      <c r="H550" s="953"/>
    </row>
    <row r="551" spans="1:8" s="943" customFormat="1" x14ac:dyDescent="0.25">
      <c r="A551" s="952"/>
      <c r="B551" s="953"/>
      <c r="C551" s="953"/>
      <c r="D551" s="953"/>
      <c r="E551" s="953"/>
      <c r="F551" s="953"/>
      <c r="G551" s="953"/>
      <c r="H551" s="953"/>
    </row>
    <row r="552" spans="1:8" s="943" customFormat="1" x14ac:dyDescent="0.25">
      <c r="A552" s="952"/>
      <c r="B552" s="953"/>
      <c r="C552" s="953"/>
      <c r="D552" s="953"/>
      <c r="E552" s="953"/>
      <c r="F552" s="953"/>
      <c r="G552" s="953"/>
      <c r="H552" s="953"/>
    </row>
    <row r="553" spans="1:8" s="943" customFormat="1" x14ac:dyDescent="0.25">
      <c r="A553" s="952"/>
      <c r="B553" s="953"/>
      <c r="C553" s="953"/>
      <c r="D553" s="953"/>
      <c r="E553" s="953"/>
      <c r="F553" s="953"/>
      <c r="G553" s="953"/>
      <c r="H553" s="953"/>
    </row>
    <row r="554" spans="1:8" s="943" customFormat="1" x14ac:dyDescent="0.25">
      <c r="A554" s="952"/>
      <c r="B554" s="953"/>
      <c r="C554" s="953"/>
      <c r="D554" s="953"/>
      <c r="E554" s="953"/>
      <c r="F554" s="953"/>
      <c r="G554" s="953"/>
      <c r="H554" s="953"/>
    </row>
    <row r="555" spans="1:8" s="943" customFormat="1" x14ac:dyDescent="0.25">
      <c r="A555" s="952"/>
      <c r="B555" s="953"/>
      <c r="C555" s="953"/>
      <c r="D555" s="953"/>
      <c r="E555" s="953"/>
      <c r="F555" s="953"/>
      <c r="G555" s="953"/>
      <c r="H555" s="953"/>
    </row>
    <row r="556" spans="1:8" s="943" customFormat="1" x14ac:dyDescent="0.25">
      <c r="A556" s="952"/>
      <c r="B556" s="953"/>
      <c r="C556" s="953"/>
      <c r="D556" s="953"/>
      <c r="E556" s="953"/>
      <c r="F556" s="953"/>
      <c r="G556" s="953"/>
      <c r="H556" s="953"/>
    </row>
    <row r="557" spans="1:8" s="943" customFormat="1" x14ac:dyDescent="0.25">
      <c r="A557" s="952"/>
      <c r="B557" s="953"/>
      <c r="C557" s="953"/>
      <c r="D557" s="953"/>
      <c r="E557" s="953"/>
      <c r="F557" s="953"/>
      <c r="G557" s="953"/>
      <c r="H557" s="953"/>
    </row>
    <row r="558" spans="1:8" s="943" customFormat="1" x14ac:dyDescent="0.25">
      <c r="A558" s="952"/>
      <c r="B558" s="953"/>
      <c r="C558" s="953"/>
      <c r="D558" s="953"/>
      <c r="E558" s="953"/>
      <c r="F558" s="953"/>
      <c r="G558" s="953"/>
      <c r="H558" s="953"/>
    </row>
    <row r="559" spans="1:8" s="943" customFormat="1" x14ac:dyDescent="0.25">
      <c r="A559" s="952"/>
      <c r="B559" s="953"/>
      <c r="C559" s="953"/>
      <c r="D559" s="953"/>
      <c r="E559" s="953"/>
      <c r="F559" s="953"/>
      <c r="G559" s="953"/>
      <c r="H559" s="953"/>
    </row>
    <row r="560" spans="1:8" s="943" customFormat="1" x14ac:dyDescent="0.25">
      <c r="A560" s="952"/>
      <c r="B560" s="953"/>
      <c r="C560" s="953"/>
      <c r="D560" s="953"/>
      <c r="E560" s="953"/>
      <c r="F560" s="953"/>
      <c r="G560" s="953"/>
      <c r="H560" s="953"/>
    </row>
    <row r="561" spans="1:8" s="943" customFormat="1" x14ac:dyDescent="0.25">
      <c r="A561" s="952"/>
      <c r="B561" s="953"/>
      <c r="C561" s="953"/>
      <c r="D561" s="953"/>
      <c r="E561" s="953"/>
      <c r="F561" s="953"/>
      <c r="G561" s="953"/>
      <c r="H561" s="953"/>
    </row>
    <row r="562" spans="1:8" s="943" customFormat="1" x14ac:dyDescent="0.25">
      <c r="A562" s="952"/>
      <c r="B562" s="953"/>
      <c r="C562" s="953"/>
      <c r="D562" s="953"/>
      <c r="E562" s="953"/>
      <c r="F562" s="953"/>
      <c r="G562" s="953"/>
      <c r="H562" s="953"/>
    </row>
    <row r="563" spans="1:8" s="943" customFormat="1" x14ac:dyDescent="0.25">
      <c r="A563" s="952"/>
      <c r="B563" s="953"/>
      <c r="C563" s="953"/>
      <c r="D563" s="953"/>
      <c r="E563" s="953"/>
      <c r="F563" s="953"/>
      <c r="G563" s="953"/>
      <c r="H563" s="953"/>
    </row>
    <row r="564" spans="1:8" s="943" customFormat="1" x14ac:dyDescent="0.25">
      <c r="A564" s="952"/>
      <c r="B564" s="953"/>
      <c r="C564" s="953"/>
      <c r="D564" s="953"/>
      <c r="E564" s="953"/>
      <c r="F564" s="953"/>
      <c r="G564" s="953"/>
      <c r="H564" s="953"/>
    </row>
    <row r="565" spans="1:8" s="943" customFormat="1" x14ac:dyDescent="0.25">
      <c r="A565" s="952"/>
      <c r="B565" s="953"/>
      <c r="C565" s="953"/>
      <c r="D565" s="953"/>
      <c r="E565" s="953"/>
      <c r="F565" s="953"/>
      <c r="G565" s="953"/>
      <c r="H565" s="953"/>
    </row>
    <row r="566" spans="1:8" s="943" customFormat="1" x14ac:dyDescent="0.25">
      <c r="A566" s="952"/>
      <c r="B566" s="953"/>
      <c r="C566" s="953"/>
      <c r="D566" s="953"/>
      <c r="E566" s="953"/>
      <c r="F566" s="953"/>
      <c r="G566" s="953"/>
      <c r="H566" s="953"/>
    </row>
    <row r="567" spans="1:8" s="943" customFormat="1" x14ac:dyDescent="0.25">
      <c r="A567" s="952"/>
      <c r="B567" s="953"/>
      <c r="C567" s="953"/>
      <c r="D567" s="953"/>
      <c r="E567" s="953"/>
      <c r="F567" s="953"/>
      <c r="G567" s="953"/>
      <c r="H567" s="953"/>
    </row>
    <row r="568" spans="1:8" s="943" customFormat="1" x14ac:dyDescent="0.25">
      <c r="A568" s="952"/>
      <c r="B568" s="953"/>
      <c r="C568" s="953"/>
      <c r="D568" s="953"/>
      <c r="E568" s="953"/>
      <c r="F568" s="953"/>
      <c r="G568" s="953"/>
      <c r="H568" s="953"/>
    </row>
    <row r="569" spans="1:8" s="943" customFormat="1" x14ac:dyDescent="0.25">
      <c r="A569" s="952"/>
      <c r="B569" s="953"/>
      <c r="C569" s="953"/>
      <c r="D569" s="953"/>
      <c r="E569" s="953"/>
      <c r="F569" s="953"/>
      <c r="G569" s="953"/>
      <c r="H569" s="953"/>
    </row>
    <row r="570" spans="1:8" s="943" customFormat="1" x14ac:dyDescent="0.25">
      <c r="A570" s="952"/>
      <c r="B570" s="953"/>
      <c r="C570" s="953"/>
      <c r="D570" s="953"/>
      <c r="E570" s="953"/>
      <c r="F570" s="953"/>
      <c r="G570" s="953"/>
      <c r="H570" s="953"/>
    </row>
    <row r="571" spans="1:8" s="943" customFormat="1" x14ac:dyDescent="0.25">
      <c r="A571" s="952"/>
      <c r="B571" s="953"/>
      <c r="C571" s="953"/>
      <c r="D571" s="953"/>
      <c r="E571" s="953"/>
      <c r="F571" s="953"/>
      <c r="G571" s="953"/>
      <c r="H571" s="953"/>
    </row>
    <row r="572" spans="1:8" s="943" customFormat="1" x14ac:dyDescent="0.25">
      <c r="A572" s="952"/>
      <c r="B572" s="953"/>
      <c r="C572" s="953"/>
      <c r="D572" s="953"/>
      <c r="E572" s="953"/>
      <c r="F572" s="953"/>
      <c r="G572" s="953"/>
      <c r="H572" s="953"/>
    </row>
    <row r="573" spans="1:8" s="943" customFormat="1" x14ac:dyDescent="0.25">
      <c r="A573" s="952"/>
      <c r="B573" s="953"/>
      <c r="C573" s="953"/>
      <c r="D573" s="953"/>
      <c r="E573" s="953"/>
      <c r="F573" s="953"/>
      <c r="G573" s="953"/>
      <c r="H573" s="953"/>
    </row>
    <row r="574" spans="1:8" s="943" customFormat="1" x14ac:dyDescent="0.25">
      <c r="A574" s="952"/>
      <c r="B574" s="953"/>
      <c r="C574" s="953"/>
      <c r="D574" s="953"/>
      <c r="E574" s="953"/>
      <c r="F574" s="953"/>
      <c r="G574" s="953"/>
      <c r="H574" s="953"/>
    </row>
    <row r="575" spans="1:8" s="943" customFormat="1" x14ac:dyDescent="0.25">
      <c r="A575" s="952"/>
      <c r="B575" s="953"/>
      <c r="C575" s="953"/>
      <c r="D575" s="953"/>
      <c r="E575" s="953"/>
      <c r="F575" s="953"/>
      <c r="G575" s="953"/>
      <c r="H575" s="953"/>
    </row>
    <row r="576" spans="1:8" s="943" customFormat="1" x14ac:dyDescent="0.25">
      <c r="A576" s="952"/>
      <c r="B576" s="953"/>
      <c r="C576" s="953"/>
      <c r="D576" s="953"/>
      <c r="E576" s="953"/>
      <c r="F576" s="953"/>
      <c r="G576" s="953"/>
      <c r="H576" s="953"/>
    </row>
    <row r="577" spans="1:8" s="943" customFormat="1" x14ac:dyDescent="0.25">
      <c r="A577" s="952"/>
      <c r="B577" s="953"/>
      <c r="C577" s="953"/>
      <c r="D577" s="953"/>
      <c r="E577" s="953"/>
      <c r="F577" s="953"/>
      <c r="G577" s="953"/>
      <c r="H577" s="953"/>
    </row>
    <row r="578" spans="1:8" s="943" customFormat="1" x14ac:dyDescent="0.25">
      <c r="A578" s="952"/>
      <c r="B578" s="953"/>
      <c r="C578" s="953"/>
      <c r="D578" s="953"/>
      <c r="E578" s="953"/>
      <c r="F578" s="953"/>
      <c r="G578" s="953"/>
      <c r="H578" s="953"/>
    </row>
    <row r="579" spans="1:8" s="943" customFormat="1" x14ac:dyDescent="0.25">
      <c r="A579" s="952"/>
      <c r="B579" s="953"/>
      <c r="C579" s="953"/>
      <c r="D579" s="953"/>
      <c r="E579" s="953"/>
      <c r="F579" s="953"/>
      <c r="G579" s="953"/>
      <c r="H579" s="953"/>
    </row>
    <row r="580" spans="1:8" s="943" customFormat="1" x14ac:dyDescent="0.25">
      <c r="A580" s="952"/>
      <c r="B580" s="953"/>
      <c r="C580" s="953"/>
      <c r="D580" s="953"/>
      <c r="E580" s="953"/>
      <c r="F580" s="953"/>
      <c r="G580" s="953"/>
      <c r="H580" s="953"/>
    </row>
    <row r="581" spans="1:8" s="943" customFormat="1" x14ac:dyDescent="0.25">
      <c r="A581" s="952"/>
      <c r="B581" s="953"/>
      <c r="C581" s="953"/>
      <c r="D581" s="953"/>
      <c r="E581" s="953"/>
      <c r="F581" s="953"/>
      <c r="G581" s="953"/>
      <c r="H581" s="953"/>
    </row>
    <row r="582" spans="1:8" s="943" customFormat="1" x14ac:dyDescent="0.25">
      <c r="A582" s="952"/>
      <c r="B582" s="953"/>
      <c r="C582" s="953"/>
      <c r="D582" s="953"/>
      <c r="E582" s="953"/>
      <c r="F582" s="953"/>
      <c r="G582" s="953"/>
      <c r="H582" s="953"/>
    </row>
    <row r="583" spans="1:8" s="943" customFormat="1" x14ac:dyDescent="0.25">
      <c r="A583" s="952"/>
      <c r="B583" s="953"/>
      <c r="C583" s="953"/>
      <c r="D583" s="953"/>
      <c r="E583" s="953"/>
      <c r="F583" s="953"/>
      <c r="G583" s="953"/>
      <c r="H583" s="953"/>
    </row>
    <row r="584" spans="1:8" s="943" customFormat="1" x14ac:dyDescent="0.25">
      <c r="A584" s="952"/>
      <c r="B584" s="953"/>
      <c r="C584" s="953"/>
      <c r="D584" s="953"/>
      <c r="E584" s="953"/>
      <c r="F584" s="953"/>
      <c r="G584" s="953"/>
      <c r="H584" s="953"/>
    </row>
    <row r="585" spans="1:8" s="943" customFormat="1" x14ac:dyDescent="0.25">
      <c r="A585" s="952"/>
      <c r="B585" s="953"/>
      <c r="C585" s="953"/>
      <c r="D585" s="953"/>
      <c r="E585" s="953"/>
      <c r="F585" s="953"/>
      <c r="G585" s="953"/>
      <c r="H585" s="953"/>
    </row>
    <row r="586" spans="1:8" s="943" customFormat="1" x14ac:dyDescent="0.25">
      <c r="A586" s="952"/>
      <c r="B586" s="953"/>
      <c r="C586" s="953"/>
      <c r="D586" s="953"/>
      <c r="E586" s="953"/>
      <c r="F586" s="953"/>
      <c r="G586" s="953"/>
      <c r="H586" s="953"/>
    </row>
    <row r="587" spans="1:8" s="943" customFormat="1" x14ac:dyDescent="0.25">
      <c r="A587" s="952"/>
      <c r="B587" s="953"/>
      <c r="C587" s="953"/>
      <c r="D587" s="953"/>
      <c r="E587" s="953"/>
      <c r="F587" s="953"/>
      <c r="G587" s="953"/>
      <c r="H587" s="953"/>
    </row>
    <row r="588" spans="1:8" s="943" customFormat="1" x14ac:dyDescent="0.25">
      <c r="A588" s="952"/>
      <c r="B588" s="953"/>
      <c r="C588" s="953"/>
      <c r="D588" s="953"/>
      <c r="E588" s="953"/>
      <c r="F588" s="953"/>
      <c r="G588" s="953"/>
      <c r="H588" s="953"/>
    </row>
    <row r="589" spans="1:8" s="943" customFormat="1" x14ac:dyDescent="0.25">
      <c r="A589" s="952"/>
      <c r="B589" s="953"/>
      <c r="C589" s="953"/>
      <c r="D589" s="953"/>
      <c r="E589" s="953"/>
      <c r="F589" s="953"/>
      <c r="G589" s="953"/>
      <c r="H589" s="953"/>
    </row>
    <row r="590" spans="1:8" s="943" customFormat="1" x14ac:dyDescent="0.25">
      <c r="A590" s="952"/>
      <c r="B590" s="953"/>
      <c r="C590" s="953"/>
      <c r="D590" s="953"/>
      <c r="E590" s="953"/>
      <c r="F590" s="953"/>
      <c r="G590" s="953"/>
      <c r="H590" s="953"/>
    </row>
    <row r="591" spans="1:8" s="943" customFormat="1" x14ac:dyDescent="0.25">
      <c r="A591" s="952"/>
      <c r="B591" s="953"/>
      <c r="C591" s="953"/>
      <c r="D591" s="953"/>
      <c r="E591" s="953"/>
      <c r="F591" s="953"/>
      <c r="G591" s="953"/>
      <c r="H591" s="953"/>
    </row>
    <row r="592" spans="1:8" s="943" customFormat="1" x14ac:dyDescent="0.25">
      <c r="A592" s="952"/>
      <c r="B592" s="953"/>
      <c r="C592" s="953"/>
      <c r="D592" s="953"/>
      <c r="E592" s="953"/>
      <c r="F592" s="953"/>
      <c r="G592" s="953"/>
      <c r="H592" s="953"/>
    </row>
    <row r="593" spans="1:8" s="943" customFormat="1" x14ac:dyDescent="0.25">
      <c r="A593" s="952"/>
      <c r="B593" s="953"/>
      <c r="C593" s="953"/>
      <c r="D593" s="953"/>
      <c r="E593" s="953"/>
      <c r="F593" s="953"/>
      <c r="G593" s="953"/>
      <c r="H593" s="953"/>
    </row>
    <row r="594" spans="1:8" s="943" customFormat="1" x14ac:dyDescent="0.25">
      <c r="A594" s="952"/>
      <c r="B594" s="953"/>
      <c r="C594" s="953"/>
      <c r="D594" s="953"/>
      <c r="E594" s="953"/>
      <c r="F594" s="953"/>
      <c r="G594" s="953"/>
      <c r="H594" s="953"/>
    </row>
    <row r="595" spans="1:8" s="943" customFormat="1" x14ac:dyDescent="0.25">
      <c r="A595" s="952"/>
      <c r="B595" s="953"/>
      <c r="C595" s="953"/>
      <c r="D595" s="953"/>
      <c r="E595" s="953"/>
      <c r="F595" s="953"/>
      <c r="G595" s="953"/>
      <c r="H595" s="953"/>
    </row>
    <row r="596" spans="1:8" s="943" customFormat="1" x14ac:dyDescent="0.25">
      <c r="A596" s="952"/>
      <c r="B596" s="953"/>
      <c r="C596" s="953"/>
      <c r="D596" s="953"/>
      <c r="E596" s="953"/>
      <c r="F596" s="953"/>
      <c r="G596" s="953"/>
      <c r="H596" s="953"/>
    </row>
    <row r="597" spans="1:8" s="943" customFormat="1" x14ac:dyDescent="0.25">
      <c r="A597" s="952"/>
      <c r="B597" s="953"/>
      <c r="C597" s="953"/>
      <c r="D597" s="953"/>
      <c r="E597" s="953"/>
      <c r="F597" s="953"/>
      <c r="G597" s="953"/>
      <c r="H597" s="953"/>
    </row>
    <row r="598" spans="1:8" s="943" customFormat="1" x14ac:dyDescent="0.25">
      <c r="A598" s="952"/>
      <c r="B598" s="953"/>
      <c r="C598" s="953"/>
      <c r="D598" s="953"/>
      <c r="E598" s="953"/>
      <c r="F598" s="953"/>
      <c r="G598" s="953"/>
      <c r="H598" s="953"/>
    </row>
    <row r="599" spans="1:8" s="943" customFormat="1" x14ac:dyDescent="0.25">
      <c r="A599" s="952"/>
      <c r="B599" s="953"/>
      <c r="C599" s="953"/>
      <c r="D599" s="953"/>
      <c r="E599" s="953"/>
      <c r="F599" s="953"/>
      <c r="G599" s="953"/>
      <c r="H599" s="953"/>
    </row>
    <row r="600" spans="1:8" s="943" customFormat="1" x14ac:dyDescent="0.25">
      <c r="A600" s="952"/>
      <c r="B600" s="953"/>
      <c r="C600" s="953"/>
      <c r="D600" s="953"/>
      <c r="E600" s="953"/>
      <c r="F600" s="953"/>
      <c r="G600" s="953"/>
      <c r="H600" s="953"/>
    </row>
    <row r="601" spans="1:8" s="943" customFormat="1" x14ac:dyDescent="0.25">
      <c r="A601" s="952"/>
      <c r="B601" s="953"/>
      <c r="C601" s="953"/>
      <c r="D601" s="953"/>
      <c r="E601" s="953"/>
      <c r="F601" s="953"/>
      <c r="G601" s="953"/>
      <c r="H601" s="953"/>
    </row>
    <row r="602" spans="1:8" s="943" customFormat="1" x14ac:dyDescent="0.25">
      <c r="A602" s="952"/>
      <c r="B602" s="953"/>
      <c r="C602" s="953"/>
      <c r="D602" s="953"/>
      <c r="E602" s="953"/>
      <c r="F602" s="953"/>
      <c r="G602" s="953"/>
      <c r="H602" s="953"/>
    </row>
    <row r="603" spans="1:8" s="943" customFormat="1" x14ac:dyDescent="0.25">
      <c r="A603" s="952"/>
      <c r="B603" s="953"/>
      <c r="C603" s="953"/>
      <c r="D603" s="953"/>
      <c r="E603" s="953"/>
      <c r="F603" s="953"/>
      <c r="G603" s="953"/>
      <c r="H603" s="953"/>
    </row>
    <row r="604" spans="1:8" s="943" customFormat="1" x14ac:dyDescent="0.25">
      <c r="A604" s="952"/>
      <c r="B604" s="953"/>
      <c r="C604" s="953"/>
      <c r="D604" s="953"/>
      <c r="E604" s="953"/>
      <c r="F604" s="953"/>
      <c r="G604" s="953"/>
      <c r="H604" s="953"/>
    </row>
    <row r="605" spans="1:8" s="943" customFormat="1" x14ac:dyDescent="0.25">
      <c r="A605" s="952"/>
      <c r="B605" s="953"/>
      <c r="C605" s="953"/>
      <c r="D605" s="953"/>
      <c r="E605" s="953"/>
      <c r="F605" s="953"/>
      <c r="G605" s="953"/>
      <c r="H605" s="953"/>
    </row>
    <row r="606" spans="1:8" s="943" customFormat="1" x14ac:dyDescent="0.25">
      <c r="A606" s="952"/>
      <c r="B606" s="953"/>
      <c r="C606" s="953"/>
      <c r="D606" s="953"/>
      <c r="E606" s="953"/>
      <c r="F606" s="953"/>
      <c r="G606" s="953"/>
      <c r="H606" s="953"/>
    </row>
    <row r="607" spans="1:8" s="943" customFormat="1" x14ac:dyDescent="0.25">
      <c r="A607" s="952"/>
      <c r="B607" s="953"/>
      <c r="C607" s="953"/>
      <c r="D607" s="953"/>
      <c r="E607" s="953"/>
      <c r="F607" s="953"/>
      <c r="G607" s="953"/>
      <c r="H607" s="953"/>
    </row>
    <row r="608" spans="1:8" s="943" customFormat="1" x14ac:dyDescent="0.25">
      <c r="A608" s="952"/>
      <c r="B608" s="953"/>
      <c r="C608" s="953"/>
      <c r="D608" s="953"/>
      <c r="E608" s="953"/>
      <c r="F608" s="953"/>
      <c r="G608" s="953"/>
      <c r="H608" s="953"/>
    </row>
    <row r="609" spans="1:8" s="943" customFormat="1" x14ac:dyDescent="0.25">
      <c r="A609" s="952"/>
      <c r="B609" s="953"/>
      <c r="C609" s="953"/>
      <c r="D609" s="953"/>
      <c r="E609" s="953"/>
      <c r="F609" s="953"/>
      <c r="G609" s="953"/>
      <c r="H609" s="953"/>
    </row>
    <row r="610" spans="1:8" s="943" customFormat="1" x14ac:dyDescent="0.25">
      <c r="A610" s="952"/>
      <c r="B610" s="953"/>
      <c r="C610" s="953"/>
      <c r="D610" s="953"/>
      <c r="E610" s="953"/>
      <c r="F610" s="953"/>
      <c r="G610" s="953"/>
      <c r="H610" s="953"/>
    </row>
    <row r="611" spans="1:8" s="943" customFormat="1" x14ac:dyDescent="0.25">
      <c r="A611" s="952"/>
      <c r="B611" s="953"/>
      <c r="C611" s="953"/>
      <c r="D611" s="953"/>
      <c r="E611" s="953"/>
      <c r="F611" s="953"/>
      <c r="G611" s="953"/>
      <c r="H611" s="953"/>
    </row>
    <row r="612" spans="1:8" s="943" customFormat="1" x14ac:dyDescent="0.25">
      <c r="A612" s="952"/>
      <c r="B612" s="953"/>
      <c r="C612" s="953"/>
      <c r="D612" s="953"/>
      <c r="E612" s="953"/>
      <c r="F612" s="953"/>
      <c r="G612" s="953"/>
      <c r="H612" s="953"/>
    </row>
    <row r="613" spans="1:8" s="943" customFormat="1" x14ac:dyDescent="0.25">
      <c r="A613" s="952"/>
      <c r="B613" s="953"/>
      <c r="C613" s="953"/>
      <c r="D613" s="953"/>
      <c r="E613" s="953"/>
      <c r="F613" s="953"/>
      <c r="G613" s="953"/>
      <c r="H613" s="953"/>
    </row>
    <row r="614" spans="1:8" s="943" customFormat="1" x14ac:dyDescent="0.25">
      <c r="A614" s="952"/>
      <c r="B614" s="953"/>
      <c r="C614" s="953"/>
      <c r="D614" s="953"/>
      <c r="E614" s="953"/>
      <c r="F614" s="953"/>
      <c r="G614" s="953"/>
      <c r="H614" s="953"/>
    </row>
    <row r="615" spans="1:8" s="943" customFormat="1" x14ac:dyDescent="0.25">
      <c r="A615" s="952"/>
      <c r="B615" s="953"/>
      <c r="C615" s="953"/>
      <c r="D615" s="953"/>
      <c r="E615" s="953"/>
      <c r="F615" s="953"/>
      <c r="G615" s="953"/>
      <c r="H615" s="953"/>
    </row>
    <row r="616" spans="1:8" s="943" customFormat="1" x14ac:dyDescent="0.25">
      <c r="A616" s="952"/>
      <c r="B616" s="953"/>
      <c r="C616" s="953"/>
      <c r="D616" s="953"/>
      <c r="E616" s="953"/>
      <c r="F616" s="953"/>
      <c r="G616" s="953"/>
      <c r="H616" s="953"/>
    </row>
    <row r="617" spans="1:8" s="943" customFormat="1" x14ac:dyDescent="0.25">
      <c r="A617" s="952"/>
      <c r="B617" s="953"/>
      <c r="C617" s="953"/>
      <c r="D617" s="953"/>
      <c r="E617" s="953"/>
      <c r="F617" s="953"/>
      <c r="G617" s="953"/>
      <c r="H617" s="953"/>
    </row>
    <row r="618" spans="1:8" s="943" customFormat="1" x14ac:dyDescent="0.25">
      <c r="A618" s="952"/>
      <c r="B618" s="953"/>
      <c r="C618" s="953"/>
      <c r="D618" s="953"/>
      <c r="E618" s="953"/>
      <c r="F618" s="953"/>
      <c r="G618" s="953"/>
      <c r="H618" s="953"/>
    </row>
    <row r="619" spans="1:8" s="943" customFormat="1" x14ac:dyDescent="0.25">
      <c r="A619" s="952"/>
      <c r="B619" s="953"/>
      <c r="C619" s="953"/>
      <c r="D619" s="953"/>
      <c r="E619" s="953"/>
      <c r="F619" s="953"/>
      <c r="G619" s="953"/>
      <c r="H619" s="953"/>
    </row>
    <row r="620" spans="1:8" s="943" customFormat="1" x14ac:dyDescent="0.25">
      <c r="A620" s="952"/>
      <c r="B620" s="953"/>
      <c r="C620" s="953"/>
      <c r="D620" s="953"/>
      <c r="E620" s="953"/>
      <c r="F620" s="953"/>
      <c r="G620" s="953"/>
      <c r="H620" s="953"/>
    </row>
    <row r="621" spans="1:8" s="943" customFormat="1" x14ac:dyDescent="0.25">
      <c r="A621" s="952"/>
      <c r="B621" s="953"/>
      <c r="C621" s="953"/>
      <c r="D621" s="953"/>
      <c r="E621" s="953"/>
      <c r="F621" s="953"/>
      <c r="G621" s="953"/>
      <c r="H621" s="953"/>
    </row>
    <row r="622" spans="1:8" s="943" customFormat="1" x14ac:dyDescent="0.25">
      <c r="A622" s="952"/>
      <c r="B622" s="953"/>
      <c r="C622" s="953"/>
      <c r="D622" s="953"/>
      <c r="E622" s="953"/>
      <c r="F622" s="953"/>
      <c r="G622" s="953"/>
      <c r="H622" s="953"/>
    </row>
    <row r="623" spans="1:8" s="943" customFormat="1" x14ac:dyDescent="0.25">
      <c r="A623" s="952"/>
      <c r="B623" s="953"/>
      <c r="C623" s="953"/>
      <c r="D623" s="953"/>
      <c r="E623" s="953"/>
      <c r="F623" s="953"/>
      <c r="G623" s="953"/>
      <c r="H623" s="953"/>
    </row>
    <row r="624" spans="1:8" s="943" customFormat="1" x14ac:dyDescent="0.25">
      <c r="A624" s="952"/>
      <c r="B624" s="953"/>
      <c r="C624" s="953"/>
      <c r="D624" s="953"/>
      <c r="E624" s="953"/>
      <c r="F624" s="953"/>
      <c r="G624" s="953"/>
      <c r="H624" s="953"/>
    </row>
    <row r="625" spans="1:8" s="943" customFormat="1" x14ac:dyDescent="0.25">
      <c r="A625" s="952"/>
      <c r="B625" s="953"/>
      <c r="C625" s="953"/>
      <c r="D625" s="953"/>
      <c r="E625" s="953"/>
      <c r="F625" s="953"/>
      <c r="G625" s="953"/>
      <c r="H625" s="953"/>
    </row>
    <row r="626" spans="1:8" s="943" customFormat="1" x14ac:dyDescent="0.25">
      <c r="A626" s="952"/>
      <c r="B626" s="953"/>
      <c r="C626" s="953"/>
      <c r="D626" s="953"/>
      <c r="E626" s="953"/>
      <c r="F626" s="953"/>
      <c r="G626" s="953"/>
      <c r="H626" s="953"/>
    </row>
    <row r="627" spans="1:8" s="943" customFormat="1" x14ac:dyDescent="0.25">
      <c r="A627" s="952"/>
      <c r="B627" s="953"/>
      <c r="C627" s="953"/>
      <c r="D627" s="953"/>
      <c r="E627" s="953"/>
      <c r="F627" s="953"/>
      <c r="G627" s="953"/>
      <c r="H627" s="953"/>
    </row>
    <row r="628" spans="1:8" s="943" customFormat="1" x14ac:dyDescent="0.25">
      <c r="A628" s="952"/>
      <c r="B628" s="953"/>
      <c r="C628" s="953"/>
      <c r="D628" s="953"/>
      <c r="E628" s="953"/>
      <c r="F628" s="953"/>
      <c r="G628" s="953"/>
      <c r="H628" s="953"/>
    </row>
    <row r="629" spans="1:8" s="943" customFormat="1" x14ac:dyDescent="0.25">
      <c r="A629" s="952"/>
      <c r="B629" s="953"/>
      <c r="C629" s="953"/>
      <c r="D629" s="953"/>
      <c r="E629" s="953"/>
      <c r="F629" s="953"/>
      <c r="G629" s="953"/>
      <c r="H629" s="953"/>
    </row>
    <row r="630" spans="1:8" s="943" customFormat="1" x14ac:dyDescent="0.25">
      <c r="A630" s="952"/>
      <c r="B630" s="953"/>
      <c r="C630" s="953"/>
      <c r="D630" s="953"/>
      <c r="E630" s="953"/>
      <c r="F630" s="953"/>
      <c r="G630" s="953"/>
      <c r="H630" s="953"/>
    </row>
    <row r="631" spans="1:8" s="943" customFormat="1" x14ac:dyDescent="0.25">
      <c r="A631" s="952"/>
      <c r="B631" s="953"/>
      <c r="C631" s="953"/>
      <c r="D631" s="953"/>
      <c r="E631" s="953"/>
      <c r="F631" s="953"/>
      <c r="G631" s="953"/>
      <c r="H631" s="953"/>
    </row>
    <row r="632" spans="1:8" s="943" customFormat="1" x14ac:dyDescent="0.25">
      <c r="A632" s="952"/>
      <c r="B632" s="953"/>
      <c r="C632" s="953"/>
      <c r="D632" s="953"/>
      <c r="E632" s="953"/>
      <c r="F632" s="953"/>
      <c r="G632" s="953"/>
      <c r="H632" s="953"/>
    </row>
    <row r="633" spans="1:8" s="943" customFormat="1" x14ac:dyDescent="0.25">
      <c r="A633" s="952"/>
      <c r="B633" s="953"/>
      <c r="C633" s="953"/>
      <c r="D633" s="953"/>
      <c r="E633" s="953"/>
      <c r="F633" s="953"/>
      <c r="G633" s="953"/>
      <c r="H633" s="953"/>
    </row>
    <row r="634" spans="1:8" s="943" customFormat="1" x14ac:dyDescent="0.25">
      <c r="A634" s="952"/>
      <c r="B634" s="953"/>
      <c r="C634" s="953"/>
      <c r="D634" s="953"/>
      <c r="E634" s="953"/>
      <c r="F634" s="953"/>
      <c r="G634" s="953"/>
      <c r="H634" s="953"/>
    </row>
    <row r="635" spans="1:8" s="943" customFormat="1" x14ac:dyDescent="0.25">
      <c r="A635" s="952"/>
      <c r="B635" s="953"/>
      <c r="C635" s="953"/>
      <c r="D635" s="953"/>
      <c r="E635" s="953"/>
      <c r="F635" s="953"/>
      <c r="G635" s="953"/>
      <c r="H635" s="953"/>
    </row>
    <row r="636" spans="1:8" s="943" customFormat="1" x14ac:dyDescent="0.25">
      <c r="A636" s="952"/>
      <c r="B636" s="953"/>
      <c r="C636" s="953"/>
      <c r="D636" s="953"/>
      <c r="E636" s="953"/>
      <c r="F636" s="953"/>
      <c r="G636" s="953"/>
      <c r="H636" s="953"/>
    </row>
    <row r="637" spans="1:8" s="943" customFormat="1" x14ac:dyDescent="0.25">
      <c r="A637" s="952"/>
      <c r="B637" s="953"/>
      <c r="C637" s="953"/>
      <c r="D637" s="953"/>
      <c r="E637" s="953"/>
      <c r="F637" s="953"/>
      <c r="G637" s="953"/>
      <c r="H637" s="953"/>
    </row>
    <row r="638" spans="1:8" s="943" customFormat="1" x14ac:dyDescent="0.25">
      <c r="A638" s="952"/>
      <c r="B638" s="953"/>
      <c r="C638" s="953"/>
      <c r="D638" s="953"/>
      <c r="E638" s="953"/>
      <c r="F638" s="953"/>
      <c r="G638" s="953"/>
      <c r="H638" s="953"/>
    </row>
    <row r="639" spans="1:8" s="943" customFormat="1" x14ac:dyDescent="0.25">
      <c r="A639" s="952"/>
      <c r="B639" s="953"/>
      <c r="C639" s="953"/>
      <c r="D639" s="953"/>
      <c r="E639" s="953"/>
      <c r="F639" s="953"/>
      <c r="G639" s="953"/>
      <c r="H639" s="953"/>
    </row>
    <row r="640" spans="1:8" s="943" customFormat="1" x14ac:dyDescent="0.25">
      <c r="A640" s="952"/>
      <c r="B640" s="953"/>
      <c r="C640" s="953"/>
      <c r="D640" s="953"/>
      <c r="E640" s="953"/>
      <c r="F640" s="953"/>
      <c r="G640" s="953"/>
      <c r="H640" s="953"/>
    </row>
    <row r="641" spans="1:8" s="943" customFormat="1" x14ac:dyDescent="0.25">
      <c r="A641" s="952"/>
      <c r="B641" s="953"/>
      <c r="C641" s="953"/>
      <c r="D641" s="953"/>
      <c r="E641" s="953"/>
      <c r="F641" s="953"/>
      <c r="G641" s="953"/>
      <c r="H641" s="953"/>
    </row>
    <row r="642" spans="1:8" s="943" customFormat="1" x14ac:dyDescent="0.25">
      <c r="A642" s="952"/>
      <c r="B642" s="953"/>
      <c r="C642" s="953"/>
      <c r="D642" s="953"/>
      <c r="E642" s="953"/>
      <c r="F642" s="953"/>
      <c r="G642" s="953"/>
      <c r="H642" s="953"/>
    </row>
    <row r="643" spans="1:8" s="943" customFormat="1" x14ac:dyDescent="0.25">
      <c r="A643" s="952"/>
      <c r="B643" s="953"/>
      <c r="C643" s="953"/>
      <c r="D643" s="953"/>
      <c r="E643" s="953"/>
      <c r="F643" s="953"/>
      <c r="G643" s="953"/>
      <c r="H643" s="953"/>
    </row>
    <row r="644" spans="1:8" s="943" customFormat="1" x14ac:dyDescent="0.25">
      <c r="A644" s="952"/>
      <c r="B644" s="953"/>
      <c r="C644" s="953"/>
      <c r="D644" s="953"/>
      <c r="E644" s="953"/>
      <c r="F644" s="953"/>
      <c r="G644" s="953"/>
      <c r="H644" s="953"/>
    </row>
    <row r="645" spans="1:8" s="943" customFormat="1" x14ac:dyDescent="0.25">
      <c r="A645" s="952"/>
      <c r="B645" s="953"/>
      <c r="C645" s="953"/>
      <c r="D645" s="953"/>
      <c r="E645" s="953"/>
      <c r="F645" s="953"/>
      <c r="G645" s="953"/>
      <c r="H645" s="953"/>
    </row>
    <row r="646" spans="1:8" s="943" customFormat="1" x14ac:dyDescent="0.25">
      <c r="A646" s="952"/>
      <c r="B646" s="953"/>
      <c r="C646" s="953"/>
      <c r="D646" s="953"/>
      <c r="E646" s="953"/>
      <c r="F646" s="953"/>
      <c r="G646" s="953"/>
      <c r="H646" s="953"/>
    </row>
    <row r="647" spans="1:8" s="943" customFormat="1" x14ac:dyDescent="0.25">
      <c r="A647" s="952"/>
      <c r="B647" s="953"/>
      <c r="C647" s="953"/>
      <c r="D647" s="953"/>
      <c r="E647" s="953"/>
      <c r="F647" s="953"/>
      <c r="G647" s="953"/>
      <c r="H647" s="953"/>
    </row>
    <row r="648" spans="1:8" s="943" customFormat="1" x14ac:dyDescent="0.25">
      <c r="A648" s="952"/>
      <c r="B648" s="953"/>
      <c r="C648" s="953"/>
      <c r="D648" s="953"/>
      <c r="E648" s="953"/>
      <c r="F648" s="953"/>
      <c r="G648" s="953"/>
      <c r="H648" s="953"/>
    </row>
    <row r="649" spans="1:8" s="943" customFormat="1" x14ac:dyDescent="0.25">
      <c r="A649" s="952"/>
      <c r="B649" s="953"/>
      <c r="C649" s="953"/>
      <c r="D649" s="953"/>
      <c r="E649" s="953"/>
      <c r="F649" s="953"/>
      <c r="G649" s="953"/>
      <c r="H649" s="953"/>
    </row>
    <row r="650" spans="1:8" s="943" customFormat="1" x14ac:dyDescent="0.25">
      <c r="A650" s="952"/>
      <c r="B650" s="953"/>
      <c r="C650" s="953"/>
      <c r="D650" s="953"/>
      <c r="E650" s="953"/>
      <c r="F650" s="953"/>
      <c r="G650" s="953"/>
      <c r="H650" s="953"/>
    </row>
    <row r="651" spans="1:8" s="943" customFormat="1" x14ac:dyDescent="0.25">
      <c r="A651" s="952"/>
      <c r="B651" s="953"/>
      <c r="C651" s="953"/>
      <c r="D651" s="953"/>
      <c r="E651" s="953"/>
      <c r="F651" s="953"/>
      <c r="G651" s="953"/>
      <c r="H651" s="953"/>
    </row>
    <row r="652" spans="1:8" s="943" customFormat="1" x14ac:dyDescent="0.25">
      <c r="A652" s="952"/>
      <c r="B652" s="953"/>
      <c r="C652" s="953"/>
      <c r="D652" s="953"/>
      <c r="E652" s="953"/>
      <c r="F652" s="953"/>
      <c r="G652" s="953"/>
      <c r="H652" s="953"/>
    </row>
    <row r="653" spans="1:8" s="943" customFormat="1" x14ac:dyDescent="0.25">
      <c r="A653" s="952"/>
      <c r="B653" s="953"/>
      <c r="C653" s="953"/>
      <c r="D653" s="953"/>
      <c r="E653" s="953"/>
      <c r="F653" s="953"/>
      <c r="G653" s="953"/>
      <c r="H653" s="953"/>
    </row>
    <row r="654" spans="1:8" s="943" customFormat="1" x14ac:dyDescent="0.25">
      <c r="A654" s="952"/>
      <c r="B654" s="953"/>
      <c r="C654" s="953"/>
      <c r="D654" s="953"/>
      <c r="E654" s="953"/>
      <c r="F654" s="953"/>
      <c r="G654" s="953"/>
      <c r="H654" s="953"/>
    </row>
    <row r="655" spans="1:8" s="943" customFormat="1" x14ac:dyDescent="0.25">
      <c r="A655" s="952"/>
      <c r="B655" s="953"/>
      <c r="C655" s="953"/>
      <c r="D655" s="953"/>
      <c r="E655" s="953"/>
      <c r="F655" s="953"/>
      <c r="G655" s="953"/>
      <c r="H655" s="953"/>
    </row>
    <row r="656" spans="1:8" s="943" customFormat="1" x14ac:dyDescent="0.25">
      <c r="A656" s="952"/>
      <c r="B656" s="953"/>
      <c r="C656" s="953"/>
      <c r="D656" s="953"/>
      <c r="E656" s="953"/>
      <c r="F656" s="953"/>
      <c r="G656" s="953"/>
      <c r="H656" s="953"/>
    </row>
    <row r="657" spans="1:8" s="943" customFormat="1" x14ac:dyDescent="0.25">
      <c r="A657" s="952"/>
      <c r="B657" s="953"/>
      <c r="C657" s="953"/>
      <c r="D657" s="953"/>
      <c r="E657" s="953"/>
      <c r="F657" s="953"/>
      <c r="G657" s="953"/>
      <c r="H657" s="953"/>
    </row>
    <row r="658" spans="1:8" s="943" customFormat="1" x14ac:dyDescent="0.25">
      <c r="A658" s="952"/>
      <c r="B658" s="953"/>
      <c r="C658" s="953"/>
      <c r="D658" s="953"/>
      <c r="E658" s="953"/>
      <c r="F658" s="953"/>
      <c r="G658" s="953"/>
      <c r="H658" s="953"/>
    </row>
    <row r="659" spans="1:8" s="943" customFormat="1" x14ac:dyDescent="0.25">
      <c r="A659" s="952"/>
      <c r="B659" s="953"/>
      <c r="C659" s="953"/>
      <c r="D659" s="953"/>
      <c r="E659" s="953"/>
      <c r="F659" s="953"/>
      <c r="G659" s="953"/>
      <c r="H659" s="953"/>
    </row>
    <row r="660" spans="1:8" s="943" customFormat="1" x14ac:dyDescent="0.25">
      <c r="A660" s="952"/>
      <c r="B660" s="953"/>
      <c r="C660" s="953"/>
      <c r="D660" s="953"/>
      <c r="E660" s="953"/>
      <c r="F660" s="953"/>
      <c r="G660" s="953"/>
      <c r="H660" s="953"/>
    </row>
    <row r="661" spans="1:8" s="943" customFormat="1" x14ac:dyDescent="0.25">
      <c r="A661" s="952"/>
      <c r="B661" s="953"/>
      <c r="C661" s="953"/>
      <c r="D661" s="953"/>
      <c r="E661" s="953"/>
      <c r="F661" s="953"/>
      <c r="G661" s="953"/>
      <c r="H661" s="953"/>
    </row>
    <row r="662" spans="1:8" s="943" customFormat="1" x14ac:dyDescent="0.25">
      <c r="A662" s="952"/>
      <c r="B662" s="953"/>
      <c r="C662" s="953"/>
      <c r="D662" s="953"/>
      <c r="E662" s="953"/>
      <c r="F662" s="953"/>
      <c r="G662" s="953"/>
      <c r="H662" s="953"/>
    </row>
    <row r="663" spans="1:8" s="943" customFormat="1" x14ac:dyDescent="0.25">
      <c r="A663" s="952"/>
      <c r="B663" s="953"/>
      <c r="C663" s="953"/>
      <c r="D663" s="953"/>
      <c r="E663" s="953"/>
      <c r="F663" s="953"/>
      <c r="G663" s="953"/>
      <c r="H663" s="953"/>
    </row>
    <row r="664" spans="1:8" s="943" customFormat="1" x14ac:dyDescent="0.25">
      <c r="A664" s="952"/>
      <c r="B664" s="953"/>
      <c r="C664" s="953"/>
      <c r="D664" s="953"/>
      <c r="E664" s="953"/>
      <c r="F664" s="953"/>
      <c r="G664" s="953"/>
      <c r="H664" s="953"/>
    </row>
    <row r="665" spans="1:8" s="943" customFormat="1" x14ac:dyDescent="0.25">
      <c r="A665" s="952"/>
      <c r="B665" s="953"/>
      <c r="C665" s="953"/>
      <c r="D665" s="953"/>
      <c r="E665" s="953"/>
      <c r="F665" s="953"/>
      <c r="G665" s="953"/>
      <c r="H665" s="953"/>
    </row>
    <row r="666" spans="1:8" s="943" customFormat="1" x14ac:dyDescent="0.25">
      <c r="A666" s="952"/>
      <c r="B666" s="953"/>
      <c r="C666" s="953"/>
      <c r="D666" s="953"/>
      <c r="E666" s="953"/>
      <c r="F666" s="953"/>
      <c r="G666" s="953"/>
      <c r="H666" s="953"/>
    </row>
    <row r="667" spans="1:8" s="943" customFormat="1" x14ac:dyDescent="0.25">
      <c r="A667" s="952"/>
      <c r="B667" s="953"/>
      <c r="C667" s="953"/>
      <c r="D667" s="953"/>
      <c r="E667" s="953"/>
      <c r="F667" s="953"/>
      <c r="G667" s="953"/>
      <c r="H667" s="953"/>
    </row>
    <row r="668" spans="1:8" s="943" customFormat="1" x14ac:dyDescent="0.25">
      <c r="A668" s="952"/>
      <c r="B668" s="953"/>
      <c r="C668" s="953"/>
      <c r="D668" s="953"/>
      <c r="E668" s="953"/>
      <c r="F668" s="953"/>
      <c r="G668" s="953"/>
      <c r="H668" s="953"/>
    </row>
    <row r="669" spans="1:8" s="943" customFormat="1" x14ac:dyDescent="0.25">
      <c r="A669" s="952"/>
      <c r="B669" s="953"/>
      <c r="C669" s="953"/>
      <c r="D669" s="953"/>
      <c r="E669" s="953"/>
      <c r="F669" s="953"/>
      <c r="G669" s="953"/>
      <c r="H669" s="953"/>
    </row>
    <row r="670" spans="1:8" s="943" customFormat="1" x14ac:dyDescent="0.25">
      <c r="A670" s="952"/>
      <c r="B670" s="953"/>
      <c r="C670" s="953"/>
      <c r="D670" s="953"/>
      <c r="E670" s="953"/>
      <c r="F670" s="953"/>
      <c r="G670" s="953"/>
      <c r="H670" s="953"/>
    </row>
    <row r="671" spans="1:8" s="943" customFormat="1" x14ac:dyDescent="0.25">
      <c r="A671" s="952"/>
      <c r="B671" s="953"/>
      <c r="C671" s="953"/>
      <c r="D671" s="953"/>
      <c r="E671" s="953"/>
      <c r="F671" s="953"/>
      <c r="G671" s="953"/>
      <c r="H671" s="953"/>
    </row>
    <row r="672" spans="1:8" s="943" customFormat="1" x14ac:dyDescent="0.25">
      <c r="A672" s="952"/>
      <c r="B672" s="953"/>
      <c r="C672" s="953"/>
      <c r="D672" s="953"/>
      <c r="E672" s="953"/>
      <c r="F672" s="953"/>
      <c r="G672" s="953"/>
      <c r="H672" s="953"/>
    </row>
    <row r="673" spans="1:8" s="943" customFormat="1" x14ac:dyDescent="0.25">
      <c r="A673" s="952"/>
      <c r="B673" s="953"/>
      <c r="C673" s="953"/>
      <c r="D673" s="953"/>
      <c r="E673" s="953"/>
      <c r="F673" s="953"/>
      <c r="G673" s="953"/>
      <c r="H673" s="953"/>
    </row>
    <row r="674" spans="1:8" s="943" customFormat="1" x14ac:dyDescent="0.25">
      <c r="A674" s="952"/>
      <c r="B674" s="953"/>
      <c r="C674" s="953"/>
      <c r="D674" s="953"/>
      <c r="E674" s="953"/>
      <c r="F674" s="953"/>
      <c r="G674" s="953"/>
      <c r="H674" s="953"/>
    </row>
    <row r="675" spans="1:8" s="943" customFormat="1" x14ac:dyDescent="0.25">
      <c r="A675" s="952"/>
      <c r="B675" s="953"/>
      <c r="C675" s="953"/>
      <c r="D675" s="953"/>
      <c r="E675" s="953"/>
      <c r="F675" s="953"/>
      <c r="G675" s="953"/>
      <c r="H675" s="953"/>
    </row>
    <row r="676" spans="1:8" s="943" customFormat="1" x14ac:dyDescent="0.25">
      <c r="A676" s="952"/>
      <c r="B676" s="953"/>
      <c r="C676" s="953"/>
      <c r="D676" s="953"/>
      <c r="E676" s="953"/>
      <c r="F676" s="953"/>
      <c r="G676" s="953"/>
      <c r="H676" s="953"/>
    </row>
    <row r="677" spans="1:8" s="943" customFormat="1" x14ac:dyDescent="0.25">
      <c r="A677" s="952"/>
      <c r="B677" s="953"/>
      <c r="C677" s="953"/>
      <c r="D677" s="953"/>
      <c r="E677" s="953"/>
      <c r="F677" s="953"/>
      <c r="G677" s="953"/>
      <c r="H677" s="953"/>
    </row>
    <row r="678" spans="1:8" s="943" customFormat="1" x14ac:dyDescent="0.25">
      <c r="A678" s="952"/>
      <c r="B678" s="953"/>
      <c r="C678" s="953"/>
      <c r="D678" s="953"/>
      <c r="E678" s="953"/>
      <c r="F678" s="953"/>
      <c r="G678" s="953"/>
      <c r="H678" s="953"/>
    </row>
    <row r="679" spans="1:8" s="943" customFormat="1" x14ac:dyDescent="0.25">
      <c r="A679" s="952"/>
      <c r="B679" s="953"/>
      <c r="C679" s="953"/>
      <c r="D679" s="953"/>
      <c r="E679" s="953"/>
      <c r="F679" s="953"/>
      <c r="G679" s="953"/>
      <c r="H679" s="953"/>
    </row>
    <row r="680" spans="1:8" s="943" customFormat="1" x14ac:dyDescent="0.25">
      <c r="A680" s="952"/>
      <c r="B680" s="953"/>
      <c r="C680" s="953"/>
      <c r="D680" s="953"/>
      <c r="E680" s="953"/>
      <c r="F680" s="953"/>
      <c r="G680" s="953"/>
      <c r="H680" s="953"/>
    </row>
    <row r="681" spans="1:8" s="943" customFormat="1" x14ac:dyDescent="0.25">
      <c r="A681" s="952"/>
      <c r="B681" s="953"/>
      <c r="C681" s="953"/>
      <c r="D681" s="953"/>
      <c r="E681" s="953"/>
      <c r="F681" s="953"/>
      <c r="G681" s="953"/>
      <c r="H681" s="953"/>
    </row>
    <row r="682" spans="1:8" s="943" customFormat="1" x14ac:dyDescent="0.25">
      <c r="A682" s="952"/>
      <c r="B682" s="953"/>
      <c r="C682" s="953"/>
      <c r="D682" s="953"/>
      <c r="E682" s="953"/>
      <c r="F682" s="953"/>
      <c r="G682" s="953"/>
      <c r="H682" s="953"/>
    </row>
    <row r="683" spans="1:8" s="943" customFormat="1" x14ac:dyDescent="0.25">
      <c r="A683" s="952"/>
      <c r="B683" s="953"/>
      <c r="C683" s="953"/>
      <c r="D683" s="953"/>
      <c r="E683" s="953"/>
      <c r="F683" s="953"/>
      <c r="G683" s="953"/>
      <c r="H683" s="953"/>
    </row>
    <row r="684" spans="1:8" s="943" customFormat="1" x14ac:dyDescent="0.25">
      <c r="A684" s="952"/>
      <c r="B684" s="953"/>
      <c r="C684" s="953"/>
      <c r="D684" s="953"/>
      <c r="E684" s="953"/>
      <c r="F684" s="953"/>
      <c r="G684" s="953"/>
      <c r="H684" s="953"/>
    </row>
    <row r="685" spans="1:8" s="943" customFormat="1" x14ac:dyDescent="0.25">
      <c r="A685" s="952"/>
      <c r="B685" s="953"/>
      <c r="C685" s="953"/>
      <c r="D685" s="953"/>
      <c r="E685" s="953"/>
      <c r="F685" s="953"/>
      <c r="G685" s="953"/>
      <c r="H685" s="953"/>
    </row>
    <row r="686" spans="1:8" s="943" customFormat="1" x14ac:dyDescent="0.25">
      <c r="A686" s="952"/>
      <c r="B686" s="953"/>
      <c r="C686" s="953"/>
      <c r="D686" s="953"/>
      <c r="E686" s="953"/>
      <c r="F686" s="953"/>
      <c r="G686" s="953"/>
      <c r="H686" s="953"/>
    </row>
    <row r="687" spans="1:8" s="943" customFormat="1" x14ac:dyDescent="0.25">
      <c r="A687" s="952"/>
      <c r="B687" s="953"/>
      <c r="C687" s="953"/>
      <c r="D687" s="953"/>
      <c r="E687" s="953"/>
      <c r="F687" s="953"/>
      <c r="G687" s="953"/>
      <c r="H687" s="953"/>
    </row>
    <row r="688" spans="1:8" s="943" customFormat="1" x14ac:dyDescent="0.25">
      <c r="A688" s="952"/>
      <c r="B688" s="953"/>
      <c r="C688" s="953"/>
      <c r="D688" s="953"/>
      <c r="E688" s="953"/>
      <c r="F688" s="953"/>
      <c r="G688" s="953"/>
      <c r="H688" s="953"/>
    </row>
    <row r="689" spans="1:8" s="943" customFormat="1" x14ac:dyDescent="0.25">
      <c r="A689" s="952"/>
      <c r="B689" s="953"/>
      <c r="C689" s="953"/>
      <c r="D689" s="953"/>
      <c r="E689" s="953"/>
      <c r="F689" s="953"/>
      <c r="G689" s="953"/>
      <c r="H689" s="953"/>
    </row>
    <row r="690" spans="1:8" s="943" customFormat="1" x14ac:dyDescent="0.25">
      <c r="A690" s="952"/>
      <c r="B690" s="953"/>
      <c r="C690" s="953"/>
      <c r="D690" s="953"/>
      <c r="E690" s="953"/>
      <c r="F690" s="953"/>
      <c r="G690" s="953"/>
      <c r="H690" s="953"/>
    </row>
    <row r="691" spans="1:8" s="943" customFormat="1" x14ac:dyDescent="0.25">
      <c r="A691" s="952"/>
      <c r="B691" s="953"/>
      <c r="C691" s="953"/>
      <c r="D691" s="953"/>
      <c r="E691" s="953"/>
      <c r="F691" s="953"/>
      <c r="G691" s="953"/>
      <c r="H691" s="953"/>
    </row>
    <row r="692" spans="1:8" s="943" customFormat="1" x14ac:dyDescent="0.25">
      <c r="A692" s="952"/>
      <c r="B692" s="953"/>
      <c r="C692" s="953"/>
      <c r="D692" s="953"/>
      <c r="E692" s="953"/>
      <c r="F692" s="953"/>
      <c r="G692" s="953"/>
      <c r="H692" s="953"/>
    </row>
    <row r="693" spans="1:8" s="943" customFormat="1" x14ac:dyDescent="0.25">
      <c r="A693" s="952"/>
      <c r="B693" s="953"/>
      <c r="C693" s="953"/>
      <c r="D693" s="953"/>
      <c r="E693" s="953"/>
      <c r="F693" s="953"/>
      <c r="G693" s="953"/>
      <c r="H693" s="953"/>
    </row>
    <row r="694" spans="1:8" s="943" customFormat="1" x14ac:dyDescent="0.25">
      <c r="A694" s="952"/>
      <c r="B694" s="953"/>
      <c r="C694" s="953"/>
      <c r="D694" s="953"/>
      <c r="E694" s="953"/>
      <c r="F694" s="953"/>
      <c r="G694" s="953"/>
      <c r="H694" s="953"/>
    </row>
    <row r="695" spans="1:8" s="943" customFormat="1" x14ac:dyDescent="0.25">
      <c r="A695" s="952"/>
      <c r="B695" s="953"/>
      <c r="C695" s="953"/>
      <c r="D695" s="953"/>
      <c r="E695" s="953"/>
      <c r="F695" s="953"/>
      <c r="G695" s="953"/>
      <c r="H695" s="953"/>
    </row>
    <row r="696" spans="1:8" s="943" customFormat="1" x14ac:dyDescent="0.25">
      <c r="A696" s="952"/>
      <c r="B696" s="953"/>
      <c r="C696" s="953"/>
      <c r="D696" s="953"/>
      <c r="E696" s="953"/>
      <c r="F696" s="953"/>
      <c r="G696" s="953"/>
      <c r="H696" s="953"/>
    </row>
    <row r="697" spans="1:8" s="943" customFormat="1" x14ac:dyDescent="0.25">
      <c r="A697" s="952"/>
      <c r="B697" s="953"/>
      <c r="C697" s="953"/>
      <c r="D697" s="953"/>
      <c r="E697" s="953"/>
      <c r="F697" s="953"/>
      <c r="G697" s="953"/>
      <c r="H697" s="953"/>
    </row>
    <row r="698" spans="1:8" s="943" customFormat="1" x14ac:dyDescent="0.25">
      <c r="A698" s="952"/>
      <c r="B698" s="953"/>
      <c r="C698" s="953"/>
      <c r="D698" s="953"/>
      <c r="E698" s="953"/>
      <c r="F698" s="953"/>
      <c r="G698" s="953"/>
      <c r="H698" s="953"/>
    </row>
    <row r="699" spans="1:8" s="943" customFormat="1" x14ac:dyDescent="0.25">
      <c r="A699" s="952"/>
      <c r="B699" s="953"/>
      <c r="C699" s="953"/>
      <c r="D699" s="953"/>
      <c r="E699" s="953"/>
      <c r="F699" s="953"/>
      <c r="G699" s="953"/>
      <c r="H699" s="953"/>
    </row>
    <row r="700" spans="1:8" s="943" customFormat="1" x14ac:dyDescent="0.25">
      <c r="A700" s="952"/>
      <c r="B700" s="953"/>
      <c r="C700" s="953"/>
      <c r="D700" s="953"/>
      <c r="E700" s="953"/>
      <c r="F700" s="953"/>
      <c r="G700" s="953"/>
      <c r="H700" s="953"/>
    </row>
    <row r="701" spans="1:8" s="943" customFormat="1" x14ac:dyDescent="0.25">
      <c r="A701" s="952"/>
      <c r="B701" s="953"/>
      <c r="C701" s="953"/>
      <c r="D701" s="953"/>
      <c r="E701" s="953"/>
      <c r="F701" s="953"/>
      <c r="G701" s="953"/>
      <c r="H701" s="953"/>
    </row>
    <row r="702" spans="1:8" s="943" customFormat="1" x14ac:dyDescent="0.25">
      <c r="A702" s="952"/>
      <c r="B702" s="953"/>
      <c r="C702" s="953"/>
      <c r="D702" s="953"/>
      <c r="E702" s="953"/>
      <c r="F702" s="953"/>
      <c r="G702" s="953"/>
      <c r="H702" s="953"/>
    </row>
    <row r="703" spans="1:8" s="943" customFormat="1" x14ac:dyDescent="0.25">
      <c r="A703" s="952"/>
      <c r="B703" s="953"/>
      <c r="C703" s="953"/>
      <c r="D703" s="953"/>
      <c r="E703" s="953"/>
      <c r="F703" s="953"/>
      <c r="G703" s="953"/>
      <c r="H703" s="953"/>
    </row>
    <row r="704" spans="1:8" s="943" customFormat="1" x14ac:dyDescent="0.25">
      <c r="A704" s="952"/>
      <c r="B704" s="953"/>
      <c r="C704" s="953"/>
      <c r="D704" s="953"/>
      <c r="E704" s="953"/>
      <c r="F704" s="953"/>
      <c r="G704" s="953"/>
      <c r="H704" s="953"/>
    </row>
    <row r="705" spans="1:8" s="943" customFormat="1" x14ac:dyDescent="0.25">
      <c r="A705" s="952"/>
      <c r="B705" s="953"/>
      <c r="C705" s="953"/>
      <c r="D705" s="953"/>
      <c r="E705" s="953"/>
      <c r="F705" s="953"/>
      <c r="G705" s="953"/>
      <c r="H705" s="953"/>
    </row>
    <row r="706" spans="1:8" s="943" customFormat="1" x14ac:dyDescent="0.25">
      <c r="A706" s="952"/>
      <c r="B706" s="953"/>
      <c r="C706" s="953"/>
      <c r="D706" s="953"/>
      <c r="E706" s="953"/>
      <c r="F706" s="953"/>
      <c r="G706" s="953"/>
      <c r="H706" s="953"/>
    </row>
    <row r="707" spans="1:8" s="943" customFormat="1" x14ac:dyDescent="0.25">
      <c r="A707" s="952"/>
      <c r="B707" s="953"/>
      <c r="C707" s="953"/>
      <c r="D707" s="953"/>
      <c r="E707" s="953"/>
      <c r="F707" s="953"/>
      <c r="G707" s="953"/>
      <c r="H707" s="953"/>
    </row>
    <row r="708" spans="1:8" s="943" customFormat="1" x14ac:dyDescent="0.25">
      <c r="A708" s="952"/>
      <c r="B708" s="953"/>
      <c r="C708" s="953"/>
      <c r="D708" s="953"/>
      <c r="E708" s="953"/>
      <c r="F708" s="953"/>
      <c r="G708" s="953"/>
      <c r="H708" s="953"/>
    </row>
    <row r="709" spans="1:8" s="943" customFormat="1" x14ac:dyDescent="0.25">
      <c r="A709" s="952"/>
      <c r="B709" s="953"/>
      <c r="C709" s="953"/>
      <c r="D709" s="953"/>
      <c r="E709" s="953"/>
      <c r="F709" s="953"/>
      <c r="G709" s="953"/>
      <c r="H709" s="953"/>
    </row>
    <row r="710" spans="1:8" s="943" customFormat="1" x14ac:dyDescent="0.25">
      <c r="A710" s="952"/>
      <c r="B710" s="953"/>
      <c r="C710" s="953"/>
      <c r="D710" s="953"/>
      <c r="E710" s="953"/>
      <c r="F710" s="953"/>
      <c r="G710" s="953"/>
      <c r="H710" s="953"/>
    </row>
    <row r="711" spans="1:8" s="943" customFormat="1" x14ac:dyDescent="0.25">
      <c r="A711" s="952"/>
      <c r="B711" s="953"/>
      <c r="C711" s="953"/>
      <c r="D711" s="953"/>
      <c r="E711" s="953"/>
      <c r="F711" s="953"/>
      <c r="G711" s="953"/>
      <c r="H711" s="953"/>
    </row>
    <row r="712" spans="1:8" s="943" customFormat="1" x14ac:dyDescent="0.25">
      <c r="A712" s="952"/>
      <c r="B712" s="953"/>
      <c r="C712" s="953"/>
      <c r="D712" s="953"/>
      <c r="E712" s="953"/>
      <c r="F712" s="953"/>
      <c r="G712" s="953"/>
      <c r="H712" s="953"/>
    </row>
    <row r="713" spans="1:8" s="943" customFormat="1" x14ac:dyDescent="0.25">
      <c r="A713" s="952"/>
      <c r="B713" s="953"/>
      <c r="C713" s="953"/>
      <c r="D713" s="953"/>
      <c r="E713" s="953"/>
      <c r="F713" s="953"/>
      <c r="G713" s="953"/>
      <c r="H713" s="953"/>
    </row>
    <row r="714" spans="1:8" s="943" customFormat="1" x14ac:dyDescent="0.25">
      <c r="A714" s="952"/>
      <c r="B714" s="953"/>
      <c r="C714" s="953"/>
      <c r="D714" s="953"/>
      <c r="E714" s="953"/>
      <c r="F714" s="953"/>
      <c r="G714" s="953"/>
      <c r="H714" s="953"/>
    </row>
    <row r="715" spans="1:8" s="943" customFormat="1" x14ac:dyDescent="0.25">
      <c r="A715" s="952"/>
      <c r="B715" s="953"/>
      <c r="C715" s="953"/>
      <c r="D715" s="953"/>
      <c r="E715" s="953"/>
      <c r="F715" s="953"/>
      <c r="G715" s="953"/>
      <c r="H715" s="953"/>
    </row>
    <row r="716" spans="1:8" s="943" customFormat="1" x14ac:dyDescent="0.25">
      <c r="A716" s="952"/>
      <c r="B716" s="953"/>
      <c r="C716" s="953"/>
      <c r="D716" s="953"/>
      <c r="E716" s="953"/>
      <c r="F716" s="953"/>
      <c r="G716" s="953"/>
      <c r="H716" s="953"/>
    </row>
    <row r="717" spans="1:8" s="943" customFormat="1" x14ac:dyDescent="0.25">
      <c r="A717" s="952"/>
      <c r="B717" s="953"/>
      <c r="C717" s="953"/>
      <c r="D717" s="953"/>
      <c r="E717" s="953"/>
      <c r="F717" s="953"/>
      <c r="G717" s="953"/>
      <c r="H717" s="953"/>
    </row>
    <row r="718" spans="1:8" s="943" customFormat="1" x14ac:dyDescent="0.25">
      <c r="A718" s="952"/>
      <c r="B718" s="953"/>
      <c r="C718" s="953"/>
      <c r="D718" s="953"/>
      <c r="E718" s="953"/>
      <c r="F718" s="953"/>
      <c r="G718" s="953"/>
      <c r="H718" s="953"/>
    </row>
    <row r="719" spans="1:8" s="943" customFormat="1" x14ac:dyDescent="0.25">
      <c r="A719" s="952"/>
      <c r="B719" s="953"/>
      <c r="C719" s="953"/>
      <c r="D719" s="953"/>
      <c r="E719" s="953"/>
      <c r="F719" s="953"/>
      <c r="G719" s="953"/>
      <c r="H719" s="953"/>
    </row>
    <row r="720" spans="1:8" s="943" customFormat="1" x14ac:dyDescent="0.25">
      <c r="A720" s="952"/>
      <c r="B720" s="953"/>
      <c r="C720" s="953"/>
      <c r="D720" s="953"/>
      <c r="E720" s="953"/>
      <c r="F720" s="953"/>
      <c r="G720" s="953"/>
      <c r="H720" s="953"/>
    </row>
    <row r="721" spans="1:8" s="943" customFormat="1" x14ac:dyDescent="0.25">
      <c r="A721" s="952"/>
      <c r="B721" s="953"/>
      <c r="C721" s="953"/>
      <c r="D721" s="953"/>
      <c r="E721" s="953"/>
      <c r="F721" s="953"/>
      <c r="G721" s="953"/>
      <c r="H721" s="953"/>
    </row>
    <row r="722" spans="1:8" s="943" customFormat="1" x14ac:dyDescent="0.25">
      <c r="A722" s="952"/>
      <c r="B722" s="953"/>
      <c r="C722" s="953"/>
      <c r="D722" s="953"/>
      <c r="E722" s="953"/>
      <c r="F722" s="953"/>
      <c r="G722" s="953"/>
      <c r="H722" s="953"/>
    </row>
    <row r="723" spans="1:8" s="943" customFormat="1" x14ac:dyDescent="0.25">
      <c r="A723" s="952"/>
      <c r="B723" s="953"/>
      <c r="C723" s="953"/>
      <c r="D723" s="953"/>
      <c r="E723" s="953"/>
      <c r="F723" s="953"/>
      <c r="G723" s="953"/>
      <c r="H723" s="953"/>
    </row>
    <row r="724" spans="1:8" s="943" customFormat="1" x14ac:dyDescent="0.25">
      <c r="A724" s="952"/>
      <c r="B724" s="953"/>
      <c r="C724" s="953"/>
      <c r="D724" s="953"/>
      <c r="E724" s="953"/>
      <c r="F724" s="953"/>
      <c r="G724" s="953"/>
      <c r="H724" s="953"/>
    </row>
    <row r="725" spans="1:8" s="943" customFormat="1" x14ac:dyDescent="0.25">
      <c r="A725" s="952"/>
      <c r="B725" s="953"/>
      <c r="C725" s="953"/>
      <c r="D725" s="953"/>
      <c r="E725" s="953"/>
      <c r="F725" s="953"/>
      <c r="G725" s="953"/>
      <c r="H725" s="953"/>
    </row>
    <row r="726" spans="1:8" s="943" customFormat="1" x14ac:dyDescent="0.25">
      <c r="A726" s="952"/>
      <c r="B726" s="953"/>
      <c r="C726" s="953"/>
      <c r="D726" s="953"/>
      <c r="E726" s="953"/>
      <c r="F726" s="953"/>
      <c r="G726" s="953"/>
      <c r="H726" s="953"/>
    </row>
    <row r="727" spans="1:8" s="943" customFormat="1" x14ac:dyDescent="0.25">
      <c r="A727" s="952"/>
      <c r="B727" s="953"/>
      <c r="C727" s="953"/>
      <c r="D727" s="953"/>
      <c r="E727" s="953"/>
      <c r="F727" s="953"/>
      <c r="G727" s="953"/>
      <c r="H727" s="953"/>
    </row>
    <row r="728" spans="1:8" s="943" customFormat="1" x14ac:dyDescent="0.25">
      <c r="A728" s="952"/>
      <c r="B728" s="953"/>
      <c r="C728" s="953"/>
      <c r="D728" s="953"/>
      <c r="E728" s="953"/>
      <c r="F728" s="953"/>
      <c r="G728" s="953"/>
      <c r="H728" s="953"/>
    </row>
    <row r="729" spans="1:8" s="943" customFormat="1" x14ac:dyDescent="0.25">
      <c r="A729" s="952"/>
      <c r="B729" s="953"/>
      <c r="C729" s="953"/>
      <c r="D729" s="953"/>
      <c r="E729" s="953"/>
      <c r="F729" s="953"/>
      <c r="G729" s="953"/>
      <c r="H729" s="953"/>
    </row>
    <row r="730" spans="1:8" s="943" customFormat="1" x14ac:dyDescent="0.25">
      <c r="A730" s="952"/>
      <c r="B730" s="953"/>
      <c r="C730" s="953"/>
      <c r="D730" s="953"/>
      <c r="E730" s="953"/>
      <c r="F730" s="953"/>
      <c r="G730" s="953"/>
      <c r="H730" s="953"/>
    </row>
    <row r="731" spans="1:8" s="943" customFormat="1" x14ac:dyDescent="0.25">
      <c r="A731" s="952"/>
      <c r="B731" s="953"/>
      <c r="C731" s="953"/>
      <c r="D731" s="953"/>
      <c r="E731" s="953"/>
      <c r="F731" s="953"/>
      <c r="G731" s="953"/>
      <c r="H731" s="953"/>
    </row>
    <row r="732" spans="1:8" s="943" customFormat="1" x14ac:dyDescent="0.25">
      <c r="A732" s="952"/>
      <c r="B732" s="953"/>
      <c r="C732" s="953"/>
      <c r="D732" s="953"/>
      <c r="E732" s="953"/>
      <c r="F732" s="953"/>
      <c r="G732" s="953"/>
      <c r="H732" s="953"/>
    </row>
    <row r="733" spans="1:8" s="943" customFormat="1" x14ac:dyDescent="0.25">
      <c r="A733" s="952"/>
      <c r="B733" s="953"/>
      <c r="C733" s="953"/>
      <c r="D733" s="953"/>
      <c r="E733" s="953"/>
      <c r="F733" s="953"/>
      <c r="G733" s="953"/>
      <c r="H733" s="953"/>
    </row>
    <row r="734" spans="1:8" s="943" customFormat="1" x14ac:dyDescent="0.25">
      <c r="A734" s="952"/>
      <c r="B734" s="953"/>
      <c r="C734" s="953"/>
      <c r="D734" s="953"/>
      <c r="E734" s="953"/>
      <c r="F734" s="953"/>
      <c r="G734" s="953"/>
      <c r="H734" s="953"/>
    </row>
    <row r="735" spans="1:8" s="943" customFormat="1" x14ac:dyDescent="0.25">
      <c r="A735" s="952"/>
      <c r="B735" s="953"/>
      <c r="C735" s="953"/>
      <c r="D735" s="953"/>
      <c r="E735" s="953"/>
      <c r="F735" s="953"/>
      <c r="G735" s="953"/>
      <c r="H735" s="953"/>
    </row>
    <row r="736" spans="1:8" s="943" customFormat="1" x14ac:dyDescent="0.25">
      <c r="A736" s="952"/>
      <c r="B736" s="953"/>
      <c r="C736" s="953"/>
      <c r="D736" s="953"/>
      <c r="E736" s="953"/>
      <c r="F736" s="953"/>
      <c r="G736" s="953"/>
      <c r="H736" s="953"/>
    </row>
    <row r="737" spans="1:8" s="943" customFormat="1" x14ac:dyDescent="0.25">
      <c r="A737" s="952"/>
      <c r="B737" s="953"/>
      <c r="C737" s="953"/>
      <c r="D737" s="953"/>
      <c r="E737" s="953"/>
      <c r="F737" s="953"/>
      <c r="G737" s="953"/>
      <c r="H737" s="953"/>
    </row>
    <row r="738" spans="1:8" s="943" customFormat="1" x14ac:dyDescent="0.25">
      <c r="A738" s="952"/>
      <c r="B738" s="953"/>
      <c r="C738" s="953"/>
      <c r="D738" s="953"/>
      <c r="E738" s="953"/>
      <c r="F738" s="953"/>
      <c r="G738" s="953"/>
      <c r="H738" s="953"/>
    </row>
    <row r="739" spans="1:8" s="943" customFormat="1" x14ac:dyDescent="0.25">
      <c r="A739" s="952"/>
      <c r="B739" s="953"/>
      <c r="C739" s="953"/>
      <c r="D739" s="953"/>
      <c r="E739" s="953"/>
      <c r="F739" s="953"/>
      <c r="G739" s="953"/>
      <c r="H739" s="953"/>
    </row>
    <row r="740" spans="1:8" s="943" customFormat="1" x14ac:dyDescent="0.25">
      <c r="A740" s="952"/>
      <c r="B740" s="953"/>
      <c r="C740" s="953"/>
      <c r="D740" s="953"/>
      <c r="E740" s="953"/>
      <c r="F740" s="953"/>
      <c r="G740" s="953"/>
      <c r="H740" s="953"/>
    </row>
    <row r="741" spans="1:8" s="943" customFormat="1" x14ac:dyDescent="0.25">
      <c r="A741" s="952"/>
      <c r="B741" s="953"/>
      <c r="C741" s="953"/>
      <c r="D741" s="953"/>
      <c r="E741" s="953"/>
      <c r="F741" s="953"/>
      <c r="G741" s="953"/>
      <c r="H741" s="953"/>
    </row>
    <row r="742" spans="1:8" s="943" customFormat="1" x14ac:dyDescent="0.25">
      <c r="A742" s="952"/>
      <c r="B742" s="953"/>
      <c r="C742" s="953"/>
      <c r="D742" s="953"/>
      <c r="E742" s="953"/>
      <c r="F742" s="953"/>
      <c r="G742" s="953"/>
      <c r="H742" s="953"/>
    </row>
    <row r="743" spans="1:8" s="943" customFormat="1" x14ac:dyDescent="0.25">
      <c r="A743" s="952"/>
      <c r="B743" s="953"/>
      <c r="C743" s="953"/>
      <c r="D743" s="953"/>
      <c r="E743" s="953"/>
      <c r="F743" s="953"/>
      <c r="G743" s="953"/>
      <c r="H743" s="953"/>
    </row>
    <row r="744" spans="1:8" s="943" customFormat="1" x14ac:dyDescent="0.25">
      <c r="A744" s="952"/>
      <c r="B744" s="953"/>
      <c r="C744" s="953"/>
      <c r="D744" s="953"/>
      <c r="E744" s="953"/>
      <c r="F744" s="953"/>
      <c r="G744" s="953"/>
      <c r="H744" s="953"/>
    </row>
    <row r="745" spans="1:8" s="943" customFormat="1" x14ac:dyDescent="0.25">
      <c r="A745" s="952"/>
      <c r="B745" s="953"/>
      <c r="C745" s="953"/>
      <c r="D745" s="953"/>
      <c r="E745" s="953"/>
      <c r="F745" s="953"/>
      <c r="G745" s="953"/>
      <c r="H745" s="953"/>
    </row>
    <row r="746" spans="1:8" s="943" customFormat="1" x14ac:dyDescent="0.25">
      <c r="A746" s="952"/>
      <c r="B746" s="953"/>
      <c r="C746" s="953"/>
      <c r="D746" s="953"/>
      <c r="E746" s="953"/>
      <c r="F746" s="953"/>
      <c r="G746" s="953"/>
      <c r="H746" s="953"/>
    </row>
    <row r="747" spans="1:8" s="943" customFormat="1" x14ac:dyDescent="0.25">
      <c r="A747" s="952"/>
      <c r="B747" s="953"/>
      <c r="C747" s="953"/>
      <c r="D747" s="953"/>
      <c r="E747" s="953"/>
      <c r="F747" s="953"/>
      <c r="G747" s="953"/>
      <c r="H747" s="953"/>
    </row>
    <row r="748" spans="1:8" s="943" customFormat="1" x14ac:dyDescent="0.25">
      <c r="A748" s="952"/>
      <c r="B748" s="953"/>
      <c r="C748" s="953"/>
      <c r="D748" s="953"/>
      <c r="E748" s="953"/>
      <c r="F748" s="953"/>
      <c r="G748" s="953"/>
      <c r="H748" s="953"/>
    </row>
    <row r="749" spans="1:8" s="943" customFormat="1" x14ac:dyDescent="0.25">
      <c r="A749" s="952"/>
      <c r="B749" s="953"/>
      <c r="C749" s="953"/>
      <c r="D749" s="953"/>
      <c r="E749" s="953"/>
      <c r="F749" s="953"/>
      <c r="G749" s="953"/>
      <c r="H749" s="953"/>
    </row>
    <row r="750" spans="1:8" s="943" customFormat="1" x14ac:dyDescent="0.25">
      <c r="A750" s="952"/>
      <c r="B750" s="953"/>
      <c r="C750" s="953"/>
      <c r="D750" s="953"/>
      <c r="E750" s="953"/>
      <c r="F750" s="953"/>
      <c r="G750" s="953"/>
      <c r="H750" s="953"/>
    </row>
    <row r="751" spans="1:8" s="943" customFormat="1" x14ac:dyDescent="0.25">
      <c r="A751" s="952"/>
      <c r="B751" s="953"/>
      <c r="C751" s="953"/>
      <c r="D751" s="953"/>
      <c r="E751" s="953"/>
      <c r="F751" s="953"/>
      <c r="G751" s="953"/>
      <c r="H751" s="953"/>
    </row>
    <row r="752" spans="1:8" s="943" customFormat="1" x14ac:dyDescent="0.25">
      <c r="A752" s="952"/>
      <c r="B752" s="953"/>
      <c r="C752" s="953"/>
      <c r="D752" s="953"/>
      <c r="E752" s="953"/>
      <c r="F752" s="953"/>
      <c r="G752" s="953"/>
      <c r="H752" s="953"/>
    </row>
    <row r="753" spans="1:8" s="943" customFormat="1" x14ac:dyDescent="0.25">
      <c r="A753" s="952"/>
      <c r="B753" s="953"/>
      <c r="C753" s="953"/>
      <c r="D753" s="953"/>
      <c r="E753" s="953"/>
      <c r="F753" s="953"/>
      <c r="G753" s="953"/>
      <c r="H753" s="953"/>
    </row>
    <row r="754" spans="1:8" s="943" customFormat="1" x14ac:dyDescent="0.25">
      <c r="A754" s="952"/>
      <c r="B754" s="953"/>
      <c r="C754" s="953"/>
      <c r="D754" s="953"/>
      <c r="E754" s="953"/>
      <c r="F754" s="953"/>
      <c r="G754" s="953"/>
      <c r="H754" s="953"/>
    </row>
    <row r="755" spans="1:8" s="943" customFormat="1" x14ac:dyDescent="0.25">
      <c r="A755" s="952"/>
      <c r="B755" s="953"/>
      <c r="C755" s="953"/>
      <c r="D755" s="953"/>
      <c r="E755" s="953"/>
      <c r="F755" s="953"/>
      <c r="G755" s="953"/>
      <c r="H755" s="953"/>
    </row>
    <row r="756" spans="1:8" s="943" customFormat="1" x14ac:dyDescent="0.25">
      <c r="A756" s="952"/>
      <c r="B756" s="953"/>
      <c r="C756" s="953"/>
      <c r="D756" s="953"/>
      <c r="E756" s="953"/>
      <c r="F756" s="953"/>
      <c r="G756" s="953"/>
      <c r="H756" s="953"/>
    </row>
    <row r="757" spans="1:8" s="943" customFormat="1" x14ac:dyDescent="0.25">
      <c r="A757" s="952"/>
      <c r="B757" s="953"/>
      <c r="C757" s="953"/>
      <c r="D757" s="953"/>
      <c r="E757" s="953"/>
      <c r="F757" s="953"/>
      <c r="G757" s="953"/>
      <c r="H757" s="953"/>
    </row>
    <row r="758" spans="1:8" s="943" customFormat="1" x14ac:dyDescent="0.25">
      <c r="A758" s="952"/>
      <c r="B758" s="953"/>
      <c r="C758" s="953"/>
      <c r="D758" s="953"/>
      <c r="E758" s="953"/>
      <c r="F758" s="953"/>
      <c r="G758" s="953"/>
      <c r="H758" s="953"/>
    </row>
    <row r="759" spans="1:8" s="943" customFormat="1" x14ac:dyDescent="0.25">
      <c r="A759" s="952"/>
      <c r="B759" s="953"/>
      <c r="C759" s="953"/>
      <c r="D759" s="953"/>
      <c r="E759" s="953"/>
      <c r="F759" s="953"/>
      <c r="G759" s="953"/>
      <c r="H759" s="953"/>
    </row>
    <row r="760" spans="1:8" s="943" customFormat="1" x14ac:dyDescent="0.25">
      <c r="A760" s="952"/>
      <c r="B760" s="953"/>
      <c r="C760" s="953"/>
      <c r="D760" s="953"/>
      <c r="E760" s="953"/>
      <c r="F760" s="953"/>
      <c r="G760" s="953"/>
      <c r="H760" s="953"/>
    </row>
    <row r="761" spans="1:8" s="943" customFormat="1" x14ac:dyDescent="0.25">
      <c r="A761" s="952"/>
      <c r="B761" s="953"/>
      <c r="C761" s="953"/>
      <c r="D761" s="953"/>
      <c r="E761" s="953"/>
      <c r="F761" s="953"/>
      <c r="G761" s="953"/>
      <c r="H761" s="953"/>
    </row>
    <row r="762" spans="1:8" s="943" customFormat="1" x14ac:dyDescent="0.25">
      <c r="A762" s="952"/>
      <c r="B762" s="953"/>
      <c r="C762" s="953"/>
      <c r="D762" s="953"/>
      <c r="E762" s="953"/>
      <c r="F762" s="953"/>
      <c r="G762" s="953"/>
      <c r="H762" s="953"/>
    </row>
    <row r="763" spans="1:8" s="943" customFormat="1" x14ac:dyDescent="0.25">
      <c r="A763" s="952"/>
      <c r="B763" s="953"/>
      <c r="C763" s="953"/>
      <c r="D763" s="953"/>
      <c r="E763" s="953"/>
      <c r="F763" s="953"/>
      <c r="G763" s="953"/>
      <c r="H763" s="953"/>
    </row>
    <row r="764" spans="1:8" s="943" customFormat="1" x14ac:dyDescent="0.25">
      <c r="A764" s="952"/>
      <c r="B764" s="953"/>
      <c r="C764" s="953"/>
      <c r="D764" s="953"/>
      <c r="E764" s="953"/>
      <c r="F764" s="953"/>
      <c r="G764" s="953"/>
      <c r="H764" s="953"/>
    </row>
    <row r="765" spans="1:8" s="943" customFormat="1" x14ac:dyDescent="0.25">
      <c r="A765" s="952"/>
      <c r="B765" s="953"/>
      <c r="C765" s="953"/>
      <c r="D765" s="953"/>
      <c r="E765" s="953"/>
      <c r="F765" s="953"/>
      <c r="G765" s="953"/>
      <c r="H765" s="953"/>
    </row>
    <row r="766" spans="1:8" s="943" customFormat="1" x14ac:dyDescent="0.25">
      <c r="A766" s="952"/>
      <c r="B766" s="953"/>
      <c r="C766" s="953"/>
      <c r="D766" s="953"/>
      <c r="E766" s="953"/>
      <c r="F766" s="953"/>
      <c r="G766" s="953"/>
      <c r="H766" s="953"/>
    </row>
    <row r="767" spans="1:8" s="943" customFormat="1" x14ac:dyDescent="0.25">
      <c r="A767" s="952"/>
      <c r="B767" s="953"/>
      <c r="C767" s="953"/>
      <c r="D767" s="953"/>
      <c r="E767" s="953"/>
      <c r="F767" s="953"/>
      <c r="G767" s="953"/>
      <c r="H767" s="953"/>
    </row>
    <row r="768" spans="1:8" s="943" customFormat="1" x14ac:dyDescent="0.25">
      <c r="A768" s="952"/>
      <c r="B768" s="953"/>
      <c r="C768" s="953"/>
      <c r="D768" s="953"/>
      <c r="E768" s="953"/>
      <c r="F768" s="953"/>
      <c r="G768" s="953"/>
      <c r="H768" s="953"/>
    </row>
    <row r="769" spans="1:8" s="943" customFormat="1" x14ac:dyDescent="0.25">
      <c r="A769" s="952"/>
      <c r="B769" s="953"/>
      <c r="C769" s="953"/>
      <c r="D769" s="953"/>
      <c r="E769" s="953"/>
      <c r="F769" s="953"/>
      <c r="G769" s="953"/>
      <c r="H769" s="953"/>
    </row>
    <row r="770" spans="1:8" s="943" customFormat="1" x14ac:dyDescent="0.25">
      <c r="A770" s="952"/>
      <c r="B770" s="953"/>
      <c r="C770" s="953"/>
      <c r="D770" s="953"/>
      <c r="E770" s="953"/>
      <c r="F770" s="953"/>
      <c r="G770" s="953"/>
      <c r="H770" s="953"/>
    </row>
    <row r="771" spans="1:8" s="943" customFormat="1" x14ac:dyDescent="0.25">
      <c r="A771" s="952"/>
      <c r="B771" s="953"/>
      <c r="C771" s="953"/>
      <c r="D771" s="953"/>
      <c r="E771" s="953"/>
      <c r="F771" s="953"/>
      <c r="G771" s="953"/>
      <c r="H771" s="953"/>
    </row>
    <row r="772" spans="1:8" s="943" customFormat="1" x14ac:dyDescent="0.25">
      <c r="A772" s="952"/>
      <c r="B772" s="953"/>
      <c r="C772" s="953"/>
      <c r="D772" s="953"/>
      <c r="E772" s="953"/>
      <c r="F772" s="953"/>
      <c r="G772" s="953"/>
      <c r="H772" s="953"/>
    </row>
    <row r="773" spans="1:8" s="943" customFormat="1" x14ac:dyDescent="0.25">
      <c r="A773" s="952"/>
      <c r="B773" s="953"/>
      <c r="C773" s="953"/>
      <c r="D773" s="953"/>
      <c r="E773" s="953"/>
      <c r="F773" s="953"/>
      <c r="G773" s="953"/>
      <c r="H773" s="953"/>
    </row>
    <row r="774" spans="1:8" s="943" customFormat="1" x14ac:dyDescent="0.25">
      <c r="A774" s="952"/>
      <c r="B774" s="953"/>
      <c r="C774" s="953"/>
      <c r="D774" s="953"/>
      <c r="E774" s="953"/>
      <c r="F774" s="953"/>
      <c r="G774" s="953"/>
      <c r="H774" s="953"/>
    </row>
    <row r="775" spans="1:8" s="943" customFormat="1" x14ac:dyDescent="0.25">
      <c r="A775" s="952"/>
      <c r="B775" s="953"/>
      <c r="C775" s="953"/>
      <c r="D775" s="953"/>
      <c r="E775" s="953"/>
      <c r="F775" s="953"/>
      <c r="G775" s="953"/>
      <c r="H775" s="953"/>
    </row>
    <row r="776" spans="1:8" s="943" customFormat="1" x14ac:dyDescent="0.25">
      <c r="A776" s="952"/>
      <c r="B776" s="953"/>
      <c r="C776" s="953"/>
      <c r="D776" s="953"/>
      <c r="E776" s="953"/>
      <c r="F776" s="953"/>
      <c r="G776" s="953"/>
      <c r="H776" s="953"/>
    </row>
    <row r="777" spans="1:8" s="943" customFormat="1" x14ac:dyDescent="0.25">
      <c r="A777" s="952"/>
      <c r="B777" s="953"/>
      <c r="C777" s="953"/>
      <c r="D777" s="953"/>
      <c r="E777" s="953"/>
      <c r="F777" s="953"/>
      <c r="G777" s="953"/>
      <c r="H777" s="953"/>
    </row>
    <row r="778" spans="1:8" s="943" customFormat="1" x14ac:dyDescent="0.25">
      <c r="A778" s="952"/>
      <c r="B778" s="953"/>
      <c r="C778" s="953"/>
      <c r="D778" s="953"/>
      <c r="E778" s="953"/>
      <c r="F778" s="953"/>
      <c r="G778" s="953"/>
      <c r="H778" s="953"/>
    </row>
    <row r="779" spans="1:8" s="943" customFormat="1" x14ac:dyDescent="0.25">
      <c r="A779" s="952"/>
      <c r="B779" s="953"/>
      <c r="C779" s="953"/>
      <c r="D779" s="953"/>
      <c r="E779" s="953"/>
      <c r="F779" s="953"/>
      <c r="G779" s="953"/>
      <c r="H779" s="953"/>
    </row>
    <row r="780" spans="1:8" s="943" customFormat="1" x14ac:dyDescent="0.25">
      <c r="A780" s="952"/>
      <c r="B780" s="953"/>
      <c r="C780" s="953"/>
      <c r="D780" s="953"/>
      <c r="E780" s="953"/>
      <c r="F780" s="953"/>
      <c r="G780" s="953"/>
      <c r="H780" s="953"/>
    </row>
    <row r="781" spans="1:8" s="943" customFormat="1" x14ac:dyDescent="0.25">
      <c r="A781" s="952"/>
      <c r="B781" s="953"/>
      <c r="C781" s="953"/>
      <c r="D781" s="953"/>
      <c r="E781" s="953"/>
      <c r="F781" s="953"/>
      <c r="G781" s="953"/>
      <c r="H781" s="953"/>
    </row>
    <row r="782" spans="1:8" s="943" customFormat="1" x14ac:dyDescent="0.25">
      <c r="A782" s="952"/>
      <c r="B782" s="953"/>
      <c r="C782" s="953"/>
      <c r="D782" s="953"/>
      <c r="E782" s="953"/>
      <c r="F782" s="953"/>
      <c r="G782" s="953"/>
      <c r="H782" s="953"/>
    </row>
    <row r="783" spans="1:8" s="943" customFormat="1" x14ac:dyDescent="0.25">
      <c r="A783" s="952"/>
      <c r="B783" s="953"/>
      <c r="C783" s="953"/>
      <c r="D783" s="953"/>
      <c r="E783" s="953"/>
      <c r="F783" s="953"/>
      <c r="G783" s="953"/>
      <c r="H783" s="953"/>
    </row>
    <row r="784" spans="1:8" s="943" customFormat="1" x14ac:dyDescent="0.25">
      <c r="A784" s="952"/>
      <c r="B784" s="953"/>
      <c r="C784" s="953"/>
      <c r="D784" s="953"/>
      <c r="E784" s="953"/>
      <c r="F784" s="953"/>
      <c r="G784" s="953"/>
      <c r="H784" s="953"/>
    </row>
    <row r="785" spans="1:8" s="943" customFormat="1" x14ac:dyDescent="0.25">
      <c r="A785" s="952"/>
      <c r="B785" s="953"/>
      <c r="C785" s="953"/>
      <c r="D785" s="953"/>
      <c r="E785" s="953"/>
      <c r="F785" s="953"/>
      <c r="G785" s="953"/>
      <c r="H785" s="953"/>
    </row>
    <row r="786" spans="1:8" s="943" customFormat="1" x14ac:dyDescent="0.25">
      <c r="A786" s="952"/>
      <c r="B786" s="953"/>
      <c r="C786" s="953"/>
      <c r="D786" s="953"/>
      <c r="E786" s="953"/>
      <c r="F786" s="953"/>
      <c r="G786" s="953"/>
      <c r="H786" s="953"/>
    </row>
    <row r="787" spans="1:8" s="943" customFormat="1" x14ac:dyDescent="0.25">
      <c r="A787" s="952"/>
      <c r="B787" s="953"/>
      <c r="C787" s="953"/>
      <c r="D787" s="953"/>
      <c r="E787" s="953"/>
      <c r="F787" s="953"/>
      <c r="G787" s="953"/>
      <c r="H787" s="953"/>
    </row>
    <row r="788" spans="1:8" s="943" customFormat="1" x14ac:dyDescent="0.25">
      <c r="A788" s="952"/>
      <c r="B788" s="953"/>
      <c r="C788" s="953"/>
      <c r="D788" s="953"/>
      <c r="E788" s="953"/>
      <c r="F788" s="953"/>
      <c r="G788" s="953"/>
      <c r="H788" s="953"/>
    </row>
    <row r="789" spans="1:8" s="943" customFormat="1" x14ac:dyDescent="0.25">
      <c r="A789" s="952"/>
      <c r="B789" s="953"/>
      <c r="C789" s="953"/>
      <c r="D789" s="953"/>
      <c r="E789" s="953"/>
      <c r="F789" s="953"/>
      <c r="G789" s="953"/>
      <c r="H789" s="953"/>
    </row>
    <row r="790" spans="1:8" s="943" customFormat="1" x14ac:dyDescent="0.25">
      <c r="A790" s="952"/>
      <c r="B790" s="953"/>
      <c r="C790" s="953"/>
      <c r="D790" s="953"/>
      <c r="E790" s="953"/>
      <c r="F790" s="953"/>
      <c r="G790" s="953"/>
      <c r="H790" s="953"/>
    </row>
    <row r="791" spans="1:8" s="943" customFormat="1" x14ac:dyDescent="0.25">
      <c r="A791" s="952"/>
      <c r="B791" s="953"/>
      <c r="C791" s="953"/>
      <c r="D791" s="953"/>
      <c r="E791" s="953"/>
      <c r="F791" s="953"/>
      <c r="G791" s="953"/>
      <c r="H791" s="953"/>
    </row>
    <row r="792" spans="1:8" s="943" customFormat="1" x14ac:dyDescent="0.25">
      <c r="A792" s="952"/>
      <c r="B792" s="953"/>
      <c r="C792" s="953"/>
      <c r="D792" s="953"/>
      <c r="E792" s="953"/>
      <c r="F792" s="953"/>
      <c r="G792" s="953"/>
      <c r="H792" s="953"/>
    </row>
    <row r="793" spans="1:8" s="943" customFormat="1" x14ac:dyDescent="0.25">
      <c r="A793" s="952"/>
      <c r="B793" s="953"/>
      <c r="C793" s="953"/>
      <c r="D793" s="953"/>
      <c r="E793" s="953"/>
      <c r="F793" s="953"/>
      <c r="G793" s="953"/>
      <c r="H793" s="953"/>
    </row>
    <row r="794" spans="1:8" s="943" customFormat="1" x14ac:dyDescent="0.25">
      <c r="A794" s="952"/>
      <c r="B794" s="953"/>
      <c r="C794" s="953"/>
      <c r="D794" s="953"/>
      <c r="E794" s="953"/>
      <c r="F794" s="953"/>
      <c r="G794" s="953"/>
      <c r="H794" s="953"/>
    </row>
    <row r="795" spans="1:8" s="943" customFormat="1" x14ac:dyDescent="0.25">
      <c r="A795" s="952"/>
      <c r="B795" s="953"/>
      <c r="C795" s="953"/>
      <c r="D795" s="953"/>
      <c r="E795" s="953"/>
      <c r="F795" s="953"/>
      <c r="G795" s="953"/>
      <c r="H795" s="953"/>
    </row>
    <row r="796" spans="1:8" s="943" customFormat="1" x14ac:dyDescent="0.25">
      <c r="A796" s="952"/>
      <c r="B796" s="953"/>
      <c r="C796" s="953"/>
      <c r="D796" s="953"/>
      <c r="E796" s="953"/>
      <c r="F796" s="953"/>
      <c r="G796" s="953"/>
      <c r="H796" s="953"/>
    </row>
    <row r="797" spans="1:8" s="943" customFormat="1" x14ac:dyDescent="0.25">
      <c r="A797" s="952"/>
      <c r="B797" s="953"/>
      <c r="C797" s="953"/>
      <c r="D797" s="953"/>
      <c r="E797" s="953"/>
      <c r="F797" s="953"/>
      <c r="G797" s="953"/>
      <c r="H797" s="953"/>
    </row>
    <row r="798" spans="1:8" s="943" customFormat="1" x14ac:dyDescent="0.25">
      <c r="A798" s="952"/>
      <c r="B798" s="953"/>
      <c r="C798" s="953"/>
      <c r="D798" s="953"/>
      <c r="E798" s="953"/>
      <c r="F798" s="953"/>
      <c r="G798" s="953"/>
      <c r="H798" s="953"/>
    </row>
    <row r="799" spans="1:8" s="943" customFormat="1" x14ac:dyDescent="0.25">
      <c r="A799" s="952"/>
      <c r="B799" s="953"/>
      <c r="C799" s="953"/>
      <c r="D799" s="953"/>
      <c r="E799" s="953"/>
      <c r="F799" s="953"/>
      <c r="G799" s="953"/>
      <c r="H799" s="953"/>
    </row>
    <row r="800" spans="1:8" s="943" customFormat="1" x14ac:dyDescent="0.25">
      <c r="A800" s="952"/>
      <c r="B800" s="953"/>
      <c r="C800" s="953"/>
      <c r="D800" s="953"/>
      <c r="E800" s="953"/>
      <c r="F800" s="953"/>
      <c r="G800" s="953"/>
      <c r="H800" s="953"/>
    </row>
    <row r="801" spans="1:8" s="943" customFormat="1" x14ac:dyDescent="0.25">
      <c r="A801" s="952"/>
      <c r="B801" s="953"/>
      <c r="C801" s="953"/>
      <c r="D801" s="953"/>
      <c r="E801" s="953"/>
      <c r="F801" s="953"/>
      <c r="G801" s="953"/>
      <c r="H801" s="953"/>
    </row>
    <row r="802" spans="1:8" s="943" customFormat="1" x14ac:dyDescent="0.25">
      <c r="A802" s="952"/>
      <c r="B802" s="953"/>
      <c r="C802" s="953"/>
      <c r="D802" s="953"/>
      <c r="E802" s="953"/>
      <c r="F802" s="953"/>
      <c r="G802" s="953"/>
      <c r="H802" s="953"/>
    </row>
    <row r="803" spans="1:8" s="943" customFormat="1" x14ac:dyDescent="0.25">
      <c r="A803" s="952"/>
      <c r="B803" s="953"/>
      <c r="C803" s="953"/>
      <c r="D803" s="953"/>
      <c r="E803" s="953"/>
      <c r="F803" s="953"/>
      <c r="G803" s="953"/>
      <c r="H803" s="953"/>
    </row>
    <row r="804" spans="1:8" s="943" customFormat="1" x14ac:dyDescent="0.25">
      <c r="A804" s="952"/>
      <c r="B804" s="953"/>
      <c r="C804" s="953"/>
      <c r="D804" s="953"/>
      <c r="E804" s="953"/>
      <c r="F804" s="953"/>
      <c r="G804" s="953"/>
      <c r="H804" s="953"/>
    </row>
    <row r="805" spans="1:8" s="943" customFormat="1" x14ac:dyDescent="0.25">
      <c r="A805" s="952"/>
      <c r="B805" s="953"/>
      <c r="C805" s="953"/>
      <c r="D805" s="953"/>
      <c r="E805" s="953"/>
      <c r="F805" s="953"/>
      <c r="G805" s="953"/>
      <c r="H805" s="953"/>
    </row>
    <row r="806" spans="1:8" s="943" customFormat="1" x14ac:dyDescent="0.25">
      <c r="A806" s="952"/>
      <c r="B806" s="953"/>
      <c r="C806" s="953"/>
      <c r="D806" s="953"/>
      <c r="E806" s="953"/>
      <c r="F806" s="953"/>
      <c r="G806" s="953"/>
      <c r="H806" s="953"/>
    </row>
    <row r="807" spans="1:8" s="943" customFormat="1" x14ac:dyDescent="0.25">
      <c r="A807" s="952"/>
      <c r="B807" s="953"/>
      <c r="C807" s="953"/>
      <c r="D807" s="953"/>
      <c r="E807" s="953"/>
      <c r="F807" s="953"/>
      <c r="G807" s="953"/>
      <c r="H807" s="953"/>
    </row>
    <row r="808" spans="1:8" s="943" customFormat="1" x14ac:dyDescent="0.25">
      <c r="A808" s="952"/>
      <c r="B808" s="953"/>
      <c r="C808" s="953"/>
      <c r="D808" s="953"/>
      <c r="E808" s="953"/>
      <c r="F808" s="953"/>
      <c r="G808" s="953"/>
      <c r="H808" s="953"/>
    </row>
    <row r="809" spans="1:8" s="943" customFormat="1" x14ac:dyDescent="0.25">
      <c r="A809" s="952"/>
      <c r="B809" s="953"/>
      <c r="C809" s="953"/>
      <c r="D809" s="953"/>
      <c r="E809" s="953"/>
      <c r="F809" s="953"/>
      <c r="G809" s="953"/>
      <c r="H809" s="953"/>
    </row>
    <row r="810" spans="1:8" s="943" customFormat="1" x14ac:dyDescent="0.25">
      <c r="A810" s="952"/>
      <c r="B810" s="953"/>
      <c r="C810" s="953"/>
      <c r="D810" s="953"/>
      <c r="E810" s="953"/>
      <c r="F810" s="953"/>
      <c r="G810" s="953"/>
      <c r="H810" s="953"/>
    </row>
    <row r="811" spans="1:8" s="943" customFormat="1" x14ac:dyDescent="0.25">
      <c r="A811" s="952"/>
      <c r="B811" s="953"/>
      <c r="C811" s="953"/>
      <c r="D811" s="953"/>
      <c r="E811" s="953"/>
      <c r="F811" s="953"/>
      <c r="G811" s="953"/>
      <c r="H811" s="953"/>
    </row>
    <row r="812" spans="1:8" s="943" customFormat="1" x14ac:dyDescent="0.25">
      <c r="A812" s="952"/>
      <c r="B812" s="953"/>
      <c r="C812" s="953"/>
      <c r="D812" s="953"/>
      <c r="E812" s="953"/>
      <c r="F812" s="953"/>
      <c r="G812" s="953"/>
      <c r="H812" s="953"/>
    </row>
    <row r="813" spans="1:8" s="943" customFormat="1" x14ac:dyDescent="0.25">
      <c r="A813" s="952"/>
      <c r="B813" s="953"/>
      <c r="C813" s="953"/>
      <c r="D813" s="953"/>
      <c r="E813" s="953"/>
      <c r="F813" s="953"/>
      <c r="G813" s="953"/>
      <c r="H813" s="953"/>
    </row>
    <row r="814" spans="1:8" s="943" customFormat="1" x14ac:dyDescent="0.25">
      <c r="A814" s="952"/>
      <c r="B814" s="953"/>
      <c r="C814" s="953"/>
      <c r="D814" s="953"/>
      <c r="E814" s="953"/>
      <c r="F814" s="953"/>
      <c r="G814" s="953"/>
      <c r="H814" s="953"/>
    </row>
    <row r="815" spans="1:8" s="943" customFormat="1" x14ac:dyDescent="0.25">
      <c r="A815" s="952"/>
      <c r="B815" s="953"/>
      <c r="C815" s="953"/>
      <c r="D815" s="953"/>
      <c r="E815" s="953"/>
      <c r="F815" s="953"/>
      <c r="G815" s="953"/>
      <c r="H815" s="953"/>
    </row>
    <row r="816" spans="1:8" s="943" customFormat="1" x14ac:dyDescent="0.25">
      <c r="A816" s="952"/>
      <c r="B816" s="953"/>
      <c r="C816" s="953"/>
      <c r="D816" s="953"/>
      <c r="E816" s="953"/>
      <c r="F816" s="953"/>
      <c r="G816" s="953"/>
      <c r="H816" s="953"/>
    </row>
    <row r="817" spans="1:8" s="943" customFormat="1" x14ac:dyDescent="0.25">
      <c r="A817" s="952"/>
      <c r="B817" s="953"/>
      <c r="C817" s="953"/>
      <c r="D817" s="953"/>
      <c r="E817" s="953"/>
      <c r="F817" s="953"/>
      <c r="G817" s="953"/>
      <c r="H817" s="953"/>
    </row>
    <row r="818" spans="1:8" s="943" customFormat="1" x14ac:dyDescent="0.25">
      <c r="A818" s="952"/>
      <c r="B818" s="953"/>
      <c r="C818" s="953"/>
      <c r="D818" s="953"/>
      <c r="E818" s="953"/>
      <c r="F818" s="953"/>
      <c r="G818" s="953"/>
      <c r="H818" s="953"/>
    </row>
    <row r="819" spans="1:8" s="943" customFormat="1" x14ac:dyDescent="0.25">
      <c r="A819" s="952"/>
      <c r="B819" s="953"/>
      <c r="C819" s="953"/>
      <c r="D819" s="953"/>
      <c r="E819" s="953"/>
      <c r="F819" s="953"/>
      <c r="G819" s="953"/>
      <c r="H819" s="953"/>
    </row>
    <row r="820" spans="1:8" s="943" customFormat="1" x14ac:dyDescent="0.25">
      <c r="A820" s="952"/>
      <c r="B820" s="953"/>
      <c r="C820" s="953"/>
      <c r="D820" s="953"/>
      <c r="E820" s="953"/>
      <c r="F820" s="953"/>
      <c r="G820" s="953"/>
      <c r="H820" s="953"/>
    </row>
    <row r="821" spans="1:8" s="943" customFormat="1" x14ac:dyDescent="0.25">
      <c r="A821" s="952"/>
      <c r="B821" s="953"/>
      <c r="C821" s="953"/>
      <c r="D821" s="953"/>
      <c r="E821" s="953"/>
      <c r="F821" s="953"/>
      <c r="G821" s="953"/>
      <c r="H821" s="953"/>
    </row>
    <row r="822" spans="1:8" s="943" customFormat="1" x14ac:dyDescent="0.25">
      <c r="A822" s="952"/>
      <c r="B822" s="953"/>
      <c r="C822" s="953"/>
      <c r="D822" s="953"/>
      <c r="E822" s="953"/>
      <c r="F822" s="953"/>
      <c r="G822" s="953"/>
      <c r="H822" s="953"/>
    </row>
    <row r="823" spans="1:8" s="943" customFormat="1" x14ac:dyDescent="0.25">
      <c r="A823" s="952"/>
      <c r="B823" s="953"/>
      <c r="C823" s="953"/>
      <c r="D823" s="953"/>
      <c r="E823" s="953"/>
      <c r="F823" s="953"/>
      <c r="G823" s="953"/>
      <c r="H823" s="953"/>
    </row>
    <row r="824" spans="1:8" s="943" customFormat="1" x14ac:dyDescent="0.25">
      <c r="A824" s="952"/>
      <c r="B824" s="953"/>
      <c r="C824" s="953"/>
      <c r="D824" s="953"/>
      <c r="E824" s="953"/>
      <c r="F824" s="953"/>
      <c r="G824" s="953"/>
      <c r="H824" s="953"/>
    </row>
    <row r="825" spans="1:8" s="943" customFormat="1" x14ac:dyDescent="0.25">
      <c r="A825" s="952"/>
      <c r="B825" s="953"/>
      <c r="C825" s="953"/>
      <c r="D825" s="953"/>
      <c r="E825" s="953"/>
      <c r="F825" s="953"/>
      <c r="G825" s="953"/>
      <c r="H825" s="953"/>
    </row>
    <row r="826" spans="1:8" s="943" customFormat="1" x14ac:dyDescent="0.25">
      <c r="A826" s="952"/>
      <c r="B826" s="953"/>
      <c r="C826" s="953"/>
      <c r="D826" s="953"/>
      <c r="E826" s="953"/>
      <c r="F826" s="953"/>
      <c r="G826" s="953"/>
      <c r="H826" s="953"/>
    </row>
    <row r="827" spans="1:8" s="943" customFormat="1" x14ac:dyDescent="0.25">
      <c r="A827" s="952"/>
      <c r="B827" s="953"/>
      <c r="C827" s="953"/>
      <c r="D827" s="953"/>
      <c r="E827" s="953"/>
      <c r="F827" s="953"/>
      <c r="G827" s="953"/>
      <c r="H827" s="953"/>
    </row>
    <row r="828" spans="1:8" s="943" customFormat="1" x14ac:dyDescent="0.25">
      <c r="A828" s="952"/>
      <c r="B828" s="953"/>
      <c r="C828" s="953"/>
      <c r="D828" s="953"/>
      <c r="E828" s="953"/>
      <c r="F828" s="953"/>
      <c r="G828" s="953"/>
      <c r="H828" s="953"/>
    </row>
    <row r="829" spans="1:8" s="943" customFormat="1" x14ac:dyDescent="0.25">
      <c r="A829" s="952"/>
      <c r="B829" s="953"/>
      <c r="C829" s="953"/>
      <c r="D829" s="953"/>
      <c r="E829" s="953"/>
      <c r="F829" s="953"/>
      <c r="G829" s="953"/>
      <c r="H829" s="953"/>
    </row>
    <row r="830" spans="1:8" s="943" customFormat="1" x14ac:dyDescent="0.25">
      <c r="A830" s="952"/>
      <c r="B830" s="953"/>
      <c r="C830" s="953"/>
      <c r="D830" s="953"/>
      <c r="E830" s="953"/>
      <c r="F830" s="953"/>
      <c r="G830" s="953"/>
      <c r="H830" s="953"/>
    </row>
    <row r="831" spans="1:8" s="943" customFormat="1" x14ac:dyDescent="0.25">
      <c r="A831" s="952"/>
      <c r="B831" s="953"/>
      <c r="C831" s="953"/>
      <c r="D831" s="953"/>
      <c r="E831" s="953"/>
      <c r="F831" s="953"/>
      <c r="G831" s="953"/>
      <c r="H831" s="953"/>
    </row>
    <row r="832" spans="1:8" s="943" customFormat="1" x14ac:dyDescent="0.25">
      <c r="A832" s="952"/>
      <c r="B832" s="953"/>
      <c r="C832" s="953"/>
      <c r="D832" s="953"/>
      <c r="E832" s="953"/>
      <c r="F832" s="953"/>
      <c r="G832" s="953"/>
      <c r="H832" s="953"/>
    </row>
    <row r="833" spans="1:8" s="943" customFormat="1" x14ac:dyDescent="0.25">
      <c r="A833" s="952"/>
      <c r="B833" s="953"/>
      <c r="C833" s="953"/>
      <c r="D833" s="953"/>
      <c r="E833" s="953"/>
      <c r="F833" s="953"/>
      <c r="G833" s="953"/>
      <c r="H833" s="953"/>
    </row>
    <row r="834" spans="1:8" s="943" customFormat="1" x14ac:dyDescent="0.25">
      <c r="A834" s="952"/>
      <c r="B834" s="953"/>
      <c r="C834" s="953"/>
      <c r="D834" s="953"/>
      <c r="E834" s="953"/>
      <c r="F834" s="953"/>
      <c r="G834" s="953"/>
      <c r="H834" s="953"/>
    </row>
    <row r="835" spans="1:8" s="943" customFormat="1" x14ac:dyDescent="0.25">
      <c r="A835" s="952"/>
      <c r="B835" s="953"/>
      <c r="C835" s="953"/>
      <c r="D835" s="953"/>
      <c r="E835" s="953"/>
      <c r="F835" s="953"/>
      <c r="G835" s="953"/>
      <c r="H835" s="953"/>
    </row>
    <row r="836" spans="1:8" s="943" customFormat="1" x14ac:dyDescent="0.25">
      <c r="A836" s="952"/>
      <c r="B836" s="953"/>
      <c r="C836" s="953"/>
      <c r="D836" s="953"/>
      <c r="E836" s="953"/>
      <c r="F836" s="953"/>
      <c r="G836" s="953"/>
      <c r="H836" s="953"/>
    </row>
    <row r="837" spans="1:8" s="943" customFormat="1" x14ac:dyDescent="0.25">
      <c r="A837" s="952"/>
      <c r="B837" s="953"/>
      <c r="C837" s="953"/>
      <c r="D837" s="953"/>
      <c r="E837" s="953"/>
      <c r="F837" s="953"/>
      <c r="G837" s="953"/>
      <c r="H837" s="953"/>
    </row>
    <row r="838" spans="1:8" s="943" customFormat="1" x14ac:dyDescent="0.25">
      <c r="A838" s="952"/>
      <c r="B838" s="953"/>
      <c r="C838" s="953"/>
      <c r="D838" s="953"/>
      <c r="E838" s="953"/>
      <c r="F838" s="953"/>
      <c r="G838" s="953"/>
      <c r="H838" s="953"/>
    </row>
    <row r="839" spans="1:8" s="943" customFormat="1" x14ac:dyDescent="0.25">
      <c r="A839" s="952"/>
      <c r="B839" s="953"/>
      <c r="C839" s="953"/>
      <c r="D839" s="953"/>
      <c r="E839" s="953"/>
      <c r="F839" s="953"/>
      <c r="G839" s="953"/>
      <c r="H839" s="953"/>
    </row>
    <row r="840" spans="1:8" s="943" customFormat="1" x14ac:dyDescent="0.25">
      <c r="A840" s="952"/>
      <c r="B840" s="953"/>
      <c r="C840" s="953"/>
      <c r="D840" s="953"/>
      <c r="E840" s="953"/>
      <c r="F840" s="953"/>
      <c r="G840" s="953"/>
      <c r="H840" s="953"/>
    </row>
    <row r="841" spans="1:8" s="943" customFormat="1" x14ac:dyDescent="0.25">
      <c r="A841" s="952"/>
      <c r="B841" s="953"/>
      <c r="C841" s="953"/>
      <c r="D841" s="953"/>
      <c r="E841" s="953"/>
      <c r="F841" s="953"/>
      <c r="G841" s="953"/>
      <c r="H841" s="953"/>
    </row>
    <row r="842" spans="1:8" s="943" customFormat="1" x14ac:dyDescent="0.25">
      <c r="A842" s="952"/>
      <c r="B842" s="953"/>
      <c r="C842" s="953"/>
      <c r="D842" s="953"/>
      <c r="E842" s="953"/>
      <c r="F842" s="953"/>
      <c r="G842" s="953"/>
      <c r="H842" s="953"/>
    </row>
    <row r="843" spans="1:8" s="943" customFormat="1" x14ac:dyDescent="0.25">
      <c r="A843" s="952"/>
      <c r="B843" s="953"/>
      <c r="C843" s="953"/>
      <c r="D843" s="953"/>
      <c r="E843" s="953"/>
      <c r="F843" s="953"/>
      <c r="G843" s="953"/>
      <c r="H843" s="953"/>
    </row>
    <row r="844" spans="1:8" s="943" customFormat="1" x14ac:dyDescent="0.25">
      <c r="A844" s="952"/>
      <c r="B844" s="953"/>
      <c r="C844" s="953"/>
      <c r="D844" s="953"/>
      <c r="E844" s="953"/>
      <c r="F844" s="953"/>
      <c r="G844" s="953"/>
      <c r="H844" s="953"/>
    </row>
    <row r="845" spans="1:8" s="943" customFormat="1" x14ac:dyDescent="0.25">
      <c r="A845" s="952"/>
      <c r="B845" s="953"/>
      <c r="C845" s="953"/>
      <c r="D845" s="953"/>
      <c r="E845" s="953"/>
      <c r="F845" s="953"/>
      <c r="G845" s="953"/>
      <c r="H845" s="953"/>
    </row>
    <row r="846" spans="1:8" s="943" customFormat="1" x14ac:dyDescent="0.25">
      <c r="A846" s="952"/>
      <c r="B846" s="953"/>
      <c r="C846" s="953"/>
      <c r="D846" s="953"/>
      <c r="E846" s="953"/>
      <c r="F846" s="953"/>
      <c r="G846" s="953"/>
      <c r="H846" s="953"/>
    </row>
    <row r="847" spans="1:8" s="943" customFormat="1" x14ac:dyDescent="0.25">
      <c r="A847" s="952"/>
      <c r="B847" s="953"/>
      <c r="C847" s="953"/>
      <c r="D847" s="953"/>
      <c r="E847" s="953"/>
      <c r="F847" s="953"/>
      <c r="G847" s="953"/>
      <c r="H847" s="953"/>
    </row>
    <row r="848" spans="1:8" s="943" customFormat="1" x14ac:dyDescent="0.25">
      <c r="A848" s="952"/>
      <c r="B848" s="953"/>
      <c r="C848" s="953"/>
      <c r="D848" s="953"/>
      <c r="E848" s="953"/>
      <c r="F848" s="953"/>
      <c r="G848" s="953"/>
      <c r="H848" s="953"/>
    </row>
    <row r="849" spans="1:8" s="943" customFormat="1" x14ac:dyDescent="0.25">
      <c r="A849" s="952"/>
      <c r="B849" s="953"/>
      <c r="C849" s="953"/>
      <c r="D849" s="953"/>
      <c r="E849" s="953"/>
      <c r="F849" s="953"/>
      <c r="G849" s="953"/>
      <c r="H849" s="953"/>
    </row>
    <row r="850" spans="1:8" s="943" customFormat="1" x14ac:dyDescent="0.25">
      <c r="A850" s="952"/>
      <c r="B850" s="953"/>
      <c r="C850" s="953"/>
      <c r="D850" s="953"/>
      <c r="E850" s="953"/>
      <c r="F850" s="953"/>
      <c r="G850" s="953"/>
      <c r="H850" s="953"/>
    </row>
    <row r="851" spans="1:8" s="943" customFormat="1" x14ac:dyDescent="0.25">
      <c r="A851" s="952"/>
      <c r="B851" s="953"/>
      <c r="C851" s="953"/>
      <c r="D851" s="953"/>
      <c r="E851" s="953"/>
      <c r="F851" s="953"/>
      <c r="G851" s="953"/>
      <c r="H851" s="953"/>
    </row>
    <row r="852" spans="1:8" s="943" customFormat="1" x14ac:dyDescent="0.25">
      <c r="A852" s="952"/>
      <c r="B852" s="953"/>
      <c r="C852" s="953"/>
      <c r="D852" s="953"/>
      <c r="E852" s="953"/>
      <c r="F852" s="953"/>
      <c r="G852" s="953"/>
      <c r="H852" s="953"/>
    </row>
    <row r="853" spans="1:8" s="943" customFormat="1" x14ac:dyDescent="0.25">
      <c r="A853" s="952"/>
      <c r="B853" s="953"/>
      <c r="C853" s="953"/>
      <c r="D853" s="953"/>
      <c r="E853" s="953"/>
      <c r="F853" s="953"/>
      <c r="G853" s="953"/>
      <c r="H853" s="953"/>
    </row>
    <row r="854" spans="1:8" s="943" customFormat="1" x14ac:dyDescent="0.25">
      <c r="A854" s="952"/>
      <c r="B854" s="953"/>
      <c r="C854" s="953"/>
      <c r="D854" s="953"/>
      <c r="E854" s="953"/>
      <c r="F854" s="953"/>
      <c r="G854" s="953"/>
      <c r="H854" s="953"/>
    </row>
    <row r="855" spans="1:8" s="943" customFormat="1" x14ac:dyDescent="0.25">
      <c r="A855" s="952"/>
      <c r="B855" s="953"/>
      <c r="C855" s="953"/>
      <c r="D855" s="953"/>
      <c r="E855" s="953"/>
      <c r="F855" s="953"/>
      <c r="G855" s="953"/>
      <c r="H855" s="953"/>
    </row>
    <row r="856" spans="1:8" s="943" customFormat="1" x14ac:dyDescent="0.25">
      <c r="A856" s="952"/>
      <c r="B856" s="953"/>
      <c r="C856" s="953"/>
      <c r="D856" s="953"/>
      <c r="E856" s="953"/>
      <c r="F856" s="953"/>
      <c r="G856" s="953"/>
      <c r="H856" s="953"/>
    </row>
    <row r="857" spans="1:8" s="943" customFormat="1" x14ac:dyDescent="0.25">
      <c r="A857" s="952"/>
      <c r="B857" s="953"/>
      <c r="C857" s="953"/>
      <c r="D857" s="953"/>
      <c r="E857" s="953"/>
      <c r="F857" s="953"/>
      <c r="G857" s="953"/>
      <c r="H857" s="953"/>
    </row>
    <row r="858" spans="1:8" s="943" customFormat="1" x14ac:dyDescent="0.25">
      <c r="A858" s="952"/>
      <c r="B858" s="953"/>
      <c r="C858" s="953"/>
      <c r="D858" s="953"/>
      <c r="E858" s="953"/>
      <c r="F858" s="953"/>
      <c r="G858" s="953"/>
      <c r="H858" s="953"/>
    </row>
    <row r="859" spans="1:8" s="943" customFormat="1" x14ac:dyDescent="0.25">
      <c r="A859" s="952"/>
      <c r="B859" s="953"/>
      <c r="C859" s="953"/>
      <c r="D859" s="953"/>
      <c r="E859" s="953"/>
      <c r="F859" s="953"/>
      <c r="G859" s="953"/>
      <c r="H859" s="953"/>
    </row>
    <row r="860" spans="1:8" s="943" customFormat="1" x14ac:dyDescent="0.25">
      <c r="A860" s="952"/>
      <c r="B860" s="953"/>
      <c r="C860" s="953"/>
      <c r="D860" s="953"/>
      <c r="E860" s="953"/>
      <c r="F860" s="953"/>
      <c r="G860" s="953"/>
      <c r="H860" s="953"/>
    </row>
    <row r="861" spans="1:8" s="943" customFormat="1" x14ac:dyDescent="0.25">
      <c r="A861" s="952"/>
      <c r="B861" s="953"/>
      <c r="C861" s="953"/>
      <c r="D861" s="953"/>
      <c r="E861" s="953"/>
      <c r="F861" s="953"/>
      <c r="G861" s="953"/>
      <c r="H861" s="953"/>
    </row>
    <row r="862" spans="1:8" s="943" customFormat="1" x14ac:dyDescent="0.25">
      <c r="A862" s="952"/>
      <c r="B862" s="953"/>
      <c r="C862" s="953"/>
      <c r="D862" s="953"/>
      <c r="E862" s="953"/>
      <c r="F862" s="953"/>
      <c r="G862" s="953"/>
      <c r="H862" s="953"/>
    </row>
    <row r="863" spans="1:8" s="943" customFormat="1" x14ac:dyDescent="0.25">
      <c r="A863" s="952"/>
      <c r="B863" s="953"/>
      <c r="C863" s="953"/>
      <c r="D863" s="953"/>
      <c r="E863" s="953"/>
      <c r="F863" s="953"/>
      <c r="G863" s="953"/>
      <c r="H863" s="953"/>
    </row>
    <row r="864" spans="1:8" s="943" customFormat="1" x14ac:dyDescent="0.25">
      <c r="A864" s="952"/>
      <c r="B864" s="953"/>
      <c r="C864" s="953"/>
      <c r="D864" s="953"/>
      <c r="E864" s="953"/>
      <c r="F864" s="953"/>
      <c r="G864" s="953"/>
      <c r="H864" s="953"/>
    </row>
    <row r="865" spans="1:8" s="943" customFormat="1" x14ac:dyDescent="0.25">
      <c r="A865" s="952"/>
      <c r="B865" s="953"/>
      <c r="C865" s="953"/>
      <c r="D865" s="953"/>
      <c r="E865" s="953"/>
      <c r="F865" s="953"/>
      <c r="G865" s="953"/>
      <c r="H865" s="953"/>
    </row>
    <row r="866" spans="1:8" s="943" customFormat="1" x14ac:dyDescent="0.25">
      <c r="A866" s="952"/>
      <c r="B866" s="953"/>
      <c r="C866" s="953"/>
      <c r="D866" s="953"/>
      <c r="E866" s="953"/>
      <c r="F866" s="953"/>
      <c r="G866" s="953"/>
      <c r="H866" s="953"/>
    </row>
    <row r="867" spans="1:8" s="943" customFormat="1" x14ac:dyDescent="0.25">
      <c r="A867" s="952"/>
      <c r="B867" s="953"/>
      <c r="C867" s="953"/>
      <c r="D867" s="953"/>
      <c r="E867" s="953"/>
      <c r="F867" s="953"/>
      <c r="G867" s="953"/>
      <c r="H867" s="953"/>
    </row>
    <row r="868" spans="1:8" s="943" customFormat="1" x14ac:dyDescent="0.25">
      <c r="A868" s="952"/>
      <c r="B868" s="953"/>
      <c r="C868" s="953"/>
      <c r="D868" s="953"/>
      <c r="E868" s="953"/>
      <c r="F868" s="953"/>
      <c r="G868" s="953"/>
      <c r="H868" s="953"/>
    </row>
    <row r="869" spans="1:8" s="943" customFormat="1" x14ac:dyDescent="0.25">
      <c r="A869" s="952"/>
      <c r="B869" s="953"/>
      <c r="C869" s="953"/>
      <c r="D869" s="953"/>
      <c r="E869" s="953"/>
      <c r="F869" s="953"/>
      <c r="G869" s="953"/>
      <c r="H869" s="953"/>
    </row>
    <row r="870" spans="1:8" s="943" customFormat="1" x14ac:dyDescent="0.25">
      <c r="A870" s="952"/>
      <c r="B870" s="953"/>
      <c r="C870" s="953"/>
      <c r="D870" s="953"/>
      <c r="E870" s="953"/>
      <c r="F870" s="953"/>
      <c r="G870" s="953"/>
      <c r="H870" s="953"/>
    </row>
    <row r="871" spans="1:8" s="943" customFormat="1" x14ac:dyDescent="0.25">
      <c r="A871" s="952"/>
      <c r="B871" s="953"/>
      <c r="C871" s="953"/>
      <c r="D871" s="953"/>
      <c r="E871" s="953"/>
      <c r="F871" s="953"/>
      <c r="G871" s="953"/>
      <c r="H871" s="953"/>
    </row>
    <row r="872" spans="1:8" s="943" customFormat="1" x14ac:dyDescent="0.25">
      <c r="A872" s="952"/>
      <c r="B872" s="953"/>
      <c r="C872" s="953"/>
      <c r="D872" s="953"/>
      <c r="E872" s="953"/>
      <c r="F872" s="953"/>
      <c r="G872" s="953"/>
      <c r="H872" s="953"/>
    </row>
    <row r="873" spans="1:8" s="943" customFormat="1" x14ac:dyDescent="0.25">
      <c r="A873" s="952"/>
      <c r="B873" s="953"/>
      <c r="C873" s="953"/>
      <c r="D873" s="953"/>
      <c r="E873" s="953"/>
      <c r="F873" s="953"/>
      <c r="G873" s="953"/>
      <c r="H873" s="953"/>
    </row>
    <row r="874" spans="1:8" s="943" customFormat="1" x14ac:dyDescent="0.25">
      <c r="A874" s="952"/>
      <c r="B874" s="953"/>
      <c r="C874" s="953"/>
      <c r="D874" s="953"/>
      <c r="E874" s="953"/>
      <c r="F874" s="953"/>
      <c r="G874" s="953"/>
      <c r="H874" s="953"/>
    </row>
    <row r="875" spans="1:8" s="943" customFormat="1" x14ac:dyDescent="0.25">
      <c r="A875" s="952"/>
      <c r="B875" s="953"/>
      <c r="C875" s="953"/>
      <c r="D875" s="953"/>
      <c r="E875" s="953"/>
      <c r="F875" s="953"/>
      <c r="G875" s="953"/>
      <c r="H875" s="953"/>
    </row>
    <row r="876" spans="1:8" s="943" customFormat="1" x14ac:dyDescent="0.25">
      <c r="A876" s="952"/>
      <c r="B876" s="953"/>
      <c r="C876" s="953"/>
      <c r="D876" s="953"/>
      <c r="E876" s="953"/>
      <c r="F876" s="953"/>
      <c r="G876" s="953"/>
      <c r="H876" s="953"/>
    </row>
    <row r="877" spans="1:8" s="943" customFormat="1" x14ac:dyDescent="0.25">
      <c r="A877" s="952"/>
      <c r="B877" s="953"/>
      <c r="C877" s="953"/>
      <c r="D877" s="953"/>
      <c r="E877" s="953"/>
      <c r="F877" s="953"/>
      <c r="G877" s="953"/>
      <c r="H877" s="953"/>
    </row>
    <row r="878" spans="1:8" s="943" customFormat="1" x14ac:dyDescent="0.25">
      <c r="A878" s="952"/>
      <c r="B878" s="953"/>
      <c r="C878" s="953"/>
      <c r="D878" s="953"/>
      <c r="E878" s="953"/>
      <c r="F878" s="953"/>
      <c r="G878" s="953"/>
      <c r="H878" s="953"/>
    </row>
    <row r="879" spans="1:8" s="943" customFormat="1" x14ac:dyDescent="0.25">
      <c r="A879" s="952"/>
      <c r="B879" s="953"/>
      <c r="C879" s="953"/>
      <c r="D879" s="953"/>
      <c r="E879" s="953"/>
      <c r="F879" s="953"/>
      <c r="G879" s="953"/>
      <c r="H879" s="953"/>
    </row>
    <row r="880" spans="1:8" s="943" customFormat="1" x14ac:dyDescent="0.25">
      <c r="A880" s="952"/>
      <c r="B880" s="953"/>
      <c r="C880" s="953"/>
      <c r="D880" s="953"/>
      <c r="E880" s="953"/>
      <c r="F880" s="953"/>
      <c r="G880" s="953"/>
      <c r="H880" s="953"/>
    </row>
    <row r="881" spans="1:8" s="943" customFormat="1" x14ac:dyDescent="0.25">
      <c r="A881" s="952"/>
      <c r="B881" s="953"/>
      <c r="C881" s="953"/>
      <c r="D881" s="953"/>
      <c r="E881" s="953"/>
      <c r="F881" s="953"/>
      <c r="G881" s="953"/>
      <c r="H881" s="953"/>
    </row>
    <row r="882" spans="1:8" s="943" customFormat="1" x14ac:dyDescent="0.25">
      <c r="A882" s="952"/>
      <c r="B882" s="953"/>
      <c r="C882" s="953"/>
      <c r="D882" s="953"/>
      <c r="E882" s="953"/>
      <c r="F882" s="953"/>
      <c r="G882" s="953"/>
      <c r="H882" s="953"/>
    </row>
    <row r="883" spans="1:8" s="943" customFormat="1" x14ac:dyDescent="0.25">
      <c r="A883" s="952"/>
      <c r="B883" s="953"/>
      <c r="C883" s="953"/>
      <c r="D883" s="953"/>
      <c r="E883" s="953"/>
      <c r="F883" s="953"/>
      <c r="G883" s="953"/>
      <c r="H883" s="953"/>
    </row>
    <row r="884" spans="1:8" s="943" customFormat="1" x14ac:dyDescent="0.25">
      <c r="A884" s="952"/>
      <c r="B884" s="953"/>
      <c r="C884" s="953"/>
      <c r="D884" s="953"/>
      <c r="E884" s="953"/>
      <c r="F884" s="953"/>
      <c r="G884" s="953"/>
      <c r="H884" s="953"/>
    </row>
    <row r="885" spans="1:8" s="943" customFormat="1" x14ac:dyDescent="0.25">
      <c r="A885" s="952"/>
      <c r="B885" s="953"/>
      <c r="C885" s="953"/>
      <c r="D885" s="953"/>
      <c r="E885" s="953"/>
      <c r="F885" s="953"/>
      <c r="G885" s="953"/>
      <c r="H885" s="953"/>
    </row>
    <row r="886" spans="1:8" s="943" customFormat="1" x14ac:dyDescent="0.25">
      <c r="A886" s="952"/>
      <c r="B886" s="953"/>
      <c r="C886" s="953"/>
      <c r="D886" s="953"/>
      <c r="E886" s="953"/>
      <c r="F886" s="953"/>
      <c r="G886" s="953"/>
      <c r="H886" s="953"/>
    </row>
    <row r="887" spans="1:8" s="943" customFormat="1" x14ac:dyDescent="0.25">
      <c r="A887" s="952"/>
      <c r="B887" s="953"/>
      <c r="C887" s="953"/>
      <c r="D887" s="953"/>
      <c r="E887" s="953"/>
      <c r="F887" s="953"/>
      <c r="G887" s="953"/>
      <c r="H887" s="953"/>
    </row>
    <row r="888" spans="1:8" s="943" customFormat="1" x14ac:dyDescent="0.25">
      <c r="A888" s="952"/>
      <c r="B888" s="953"/>
      <c r="C888" s="953"/>
      <c r="D888" s="953"/>
      <c r="E888" s="953"/>
      <c r="F888" s="953"/>
      <c r="G888" s="953"/>
      <c r="H888" s="953"/>
    </row>
    <row r="889" spans="1:8" s="943" customFormat="1" x14ac:dyDescent="0.25">
      <c r="A889" s="952"/>
      <c r="B889" s="953"/>
      <c r="C889" s="953"/>
      <c r="D889" s="953"/>
      <c r="E889" s="953"/>
      <c r="F889" s="953"/>
      <c r="G889" s="953"/>
      <c r="H889" s="953"/>
    </row>
    <row r="890" spans="1:8" s="943" customFormat="1" x14ac:dyDescent="0.25">
      <c r="A890" s="952"/>
      <c r="B890" s="953"/>
      <c r="C890" s="953"/>
      <c r="D890" s="953"/>
      <c r="E890" s="953"/>
      <c r="F890" s="953"/>
      <c r="G890" s="953"/>
      <c r="H890" s="953"/>
    </row>
    <row r="891" spans="1:8" s="943" customFormat="1" x14ac:dyDescent="0.25">
      <c r="A891" s="952"/>
      <c r="B891" s="953"/>
      <c r="C891" s="953"/>
      <c r="D891" s="953"/>
      <c r="E891" s="953"/>
      <c r="F891" s="953"/>
      <c r="G891" s="953"/>
      <c r="H891" s="953"/>
    </row>
    <row r="892" spans="1:8" s="943" customFormat="1" x14ac:dyDescent="0.25">
      <c r="A892" s="952"/>
      <c r="B892" s="953"/>
      <c r="C892" s="953"/>
      <c r="D892" s="953"/>
      <c r="E892" s="953"/>
      <c r="F892" s="953"/>
      <c r="G892" s="953"/>
      <c r="H892" s="953"/>
    </row>
    <row r="893" spans="1:8" s="943" customFormat="1" x14ac:dyDescent="0.25">
      <c r="A893" s="952"/>
      <c r="B893" s="953"/>
      <c r="C893" s="953"/>
      <c r="D893" s="953"/>
      <c r="E893" s="953"/>
      <c r="F893" s="953"/>
      <c r="G893" s="953"/>
      <c r="H893" s="953"/>
    </row>
    <row r="894" spans="1:8" s="943" customFormat="1" x14ac:dyDescent="0.25">
      <c r="A894" s="952"/>
      <c r="B894" s="953"/>
      <c r="C894" s="953"/>
      <c r="D894" s="953"/>
      <c r="E894" s="953"/>
      <c r="F894" s="953"/>
      <c r="G894" s="953"/>
      <c r="H894" s="953"/>
    </row>
    <row r="895" spans="1:8" s="943" customFormat="1" x14ac:dyDescent="0.25">
      <c r="A895" s="952"/>
      <c r="B895" s="953"/>
      <c r="C895" s="953"/>
      <c r="D895" s="953"/>
      <c r="E895" s="953"/>
      <c r="F895" s="953"/>
      <c r="G895" s="953"/>
      <c r="H895" s="953"/>
    </row>
    <row r="896" spans="1:8" s="943" customFormat="1" x14ac:dyDescent="0.25">
      <c r="A896" s="952"/>
      <c r="B896" s="953"/>
      <c r="C896" s="953"/>
      <c r="D896" s="953"/>
      <c r="E896" s="953"/>
      <c r="F896" s="953"/>
      <c r="G896" s="953"/>
      <c r="H896" s="953"/>
    </row>
    <row r="897" spans="1:8" s="943" customFormat="1" x14ac:dyDescent="0.25">
      <c r="A897" s="952"/>
      <c r="B897" s="953"/>
      <c r="C897" s="953"/>
      <c r="D897" s="953"/>
      <c r="E897" s="953"/>
      <c r="F897" s="953"/>
      <c r="G897" s="953"/>
      <c r="H897" s="953"/>
    </row>
    <row r="898" spans="1:8" s="943" customFormat="1" x14ac:dyDescent="0.25">
      <c r="A898" s="952"/>
      <c r="B898" s="953"/>
      <c r="C898" s="953"/>
      <c r="D898" s="953"/>
      <c r="E898" s="953"/>
      <c r="F898" s="953"/>
      <c r="G898" s="953"/>
      <c r="H898" s="953"/>
    </row>
    <row r="899" spans="1:8" s="943" customFormat="1" x14ac:dyDescent="0.25">
      <c r="A899" s="952"/>
      <c r="B899" s="953"/>
      <c r="C899" s="953"/>
      <c r="D899" s="953"/>
      <c r="E899" s="953"/>
      <c r="F899" s="953"/>
      <c r="G899" s="953"/>
      <c r="H899" s="953"/>
    </row>
    <row r="900" spans="1:8" s="943" customFormat="1" x14ac:dyDescent="0.25">
      <c r="A900" s="952"/>
      <c r="B900" s="953"/>
      <c r="C900" s="953"/>
      <c r="D900" s="953"/>
      <c r="E900" s="953"/>
      <c r="F900" s="953"/>
      <c r="G900" s="953"/>
      <c r="H900" s="953"/>
    </row>
    <row r="901" spans="1:8" s="943" customFormat="1" x14ac:dyDescent="0.25">
      <c r="A901" s="952"/>
      <c r="B901" s="953"/>
      <c r="C901" s="953"/>
      <c r="D901" s="953"/>
      <c r="E901" s="953"/>
      <c r="F901" s="953"/>
      <c r="G901" s="953"/>
      <c r="H901" s="953"/>
    </row>
    <row r="902" spans="1:8" s="943" customFormat="1" x14ac:dyDescent="0.25">
      <c r="A902" s="952"/>
      <c r="B902" s="953"/>
      <c r="C902" s="953"/>
      <c r="D902" s="953"/>
      <c r="E902" s="953"/>
      <c r="F902" s="953"/>
      <c r="G902" s="953"/>
      <c r="H902" s="953"/>
    </row>
    <row r="903" spans="1:8" s="943" customFormat="1" x14ac:dyDescent="0.25">
      <c r="A903" s="952"/>
      <c r="B903" s="953"/>
      <c r="C903" s="953"/>
      <c r="D903" s="953"/>
      <c r="E903" s="953"/>
      <c r="F903" s="953"/>
      <c r="G903" s="953"/>
      <c r="H903" s="953"/>
    </row>
    <row r="904" spans="1:8" s="943" customFormat="1" x14ac:dyDescent="0.25">
      <c r="A904" s="952"/>
      <c r="B904" s="953"/>
      <c r="C904" s="953"/>
      <c r="D904" s="953"/>
      <c r="E904" s="953"/>
      <c r="F904" s="953"/>
      <c r="G904" s="953"/>
      <c r="H904" s="953"/>
    </row>
    <row r="905" spans="1:8" s="943" customFormat="1" x14ac:dyDescent="0.25">
      <c r="A905" s="952"/>
      <c r="B905" s="953"/>
      <c r="C905" s="953"/>
      <c r="D905" s="953"/>
      <c r="E905" s="953"/>
      <c r="F905" s="953"/>
      <c r="G905" s="953"/>
      <c r="H905" s="953"/>
    </row>
    <row r="906" spans="1:8" s="943" customFormat="1" x14ac:dyDescent="0.25">
      <c r="A906" s="952"/>
      <c r="B906" s="953"/>
      <c r="C906" s="953"/>
      <c r="D906" s="953"/>
      <c r="E906" s="953"/>
      <c r="F906" s="953"/>
      <c r="G906" s="953"/>
      <c r="H906" s="953"/>
    </row>
    <row r="907" spans="1:8" s="943" customFormat="1" x14ac:dyDescent="0.25">
      <c r="A907" s="952"/>
      <c r="B907" s="953"/>
      <c r="C907" s="953"/>
      <c r="D907" s="953"/>
      <c r="E907" s="953"/>
      <c r="F907" s="953"/>
      <c r="G907" s="953"/>
      <c r="H907" s="953"/>
    </row>
    <row r="908" spans="1:8" s="943" customFormat="1" x14ac:dyDescent="0.25">
      <c r="A908" s="952"/>
      <c r="B908" s="953"/>
      <c r="C908" s="953"/>
      <c r="D908" s="953"/>
      <c r="E908" s="953"/>
      <c r="F908" s="953"/>
      <c r="G908" s="953"/>
      <c r="H908" s="953"/>
    </row>
    <row r="909" spans="1:8" s="943" customFormat="1" x14ac:dyDescent="0.25">
      <c r="A909" s="952"/>
      <c r="B909" s="953"/>
      <c r="C909" s="953"/>
      <c r="D909" s="953"/>
      <c r="E909" s="953"/>
      <c r="F909" s="953"/>
      <c r="G909" s="953"/>
      <c r="H909" s="953"/>
    </row>
    <row r="910" spans="1:8" s="943" customFormat="1" x14ac:dyDescent="0.25">
      <c r="A910" s="952"/>
      <c r="B910" s="953"/>
      <c r="C910" s="953"/>
      <c r="D910" s="953"/>
      <c r="E910" s="953"/>
      <c r="F910" s="953"/>
      <c r="G910" s="953"/>
      <c r="H910" s="953"/>
    </row>
    <row r="911" spans="1:8" s="943" customFormat="1" x14ac:dyDescent="0.25">
      <c r="A911" s="952"/>
      <c r="B911" s="953"/>
      <c r="C911" s="953"/>
      <c r="D911" s="953"/>
      <c r="E911" s="953"/>
      <c r="F911" s="953"/>
      <c r="G911" s="953"/>
      <c r="H911" s="953"/>
    </row>
    <row r="912" spans="1:8" s="943" customFormat="1" x14ac:dyDescent="0.25">
      <c r="A912" s="952"/>
      <c r="B912" s="953"/>
      <c r="C912" s="953"/>
      <c r="D912" s="953"/>
      <c r="E912" s="953"/>
      <c r="F912" s="953"/>
      <c r="G912" s="953"/>
      <c r="H912" s="953"/>
    </row>
    <row r="913" spans="1:8" s="943" customFormat="1" x14ac:dyDescent="0.25">
      <c r="A913" s="952"/>
      <c r="B913" s="953"/>
      <c r="C913" s="953"/>
      <c r="D913" s="953"/>
      <c r="E913" s="953"/>
      <c r="F913" s="953"/>
      <c r="G913" s="953"/>
      <c r="H913" s="953"/>
    </row>
    <row r="914" spans="1:8" s="943" customFormat="1" x14ac:dyDescent="0.25">
      <c r="A914" s="952"/>
      <c r="B914" s="953"/>
      <c r="C914" s="953"/>
      <c r="D914" s="953"/>
      <c r="E914" s="953"/>
      <c r="F914" s="953"/>
      <c r="G914" s="953"/>
      <c r="H914" s="953"/>
    </row>
    <row r="915" spans="1:8" s="943" customFormat="1" x14ac:dyDescent="0.25">
      <c r="A915" s="952"/>
      <c r="B915" s="953"/>
      <c r="C915" s="953"/>
      <c r="D915" s="953"/>
      <c r="E915" s="953"/>
      <c r="F915" s="953"/>
      <c r="G915" s="953"/>
      <c r="H915" s="953"/>
    </row>
    <row r="916" spans="1:8" s="943" customFormat="1" x14ac:dyDescent="0.25">
      <c r="A916" s="952"/>
      <c r="B916" s="953"/>
      <c r="C916" s="953"/>
      <c r="D916" s="953"/>
      <c r="E916" s="953"/>
      <c r="F916" s="953"/>
      <c r="G916" s="953"/>
      <c r="H916" s="953"/>
    </row>
    <row r="917" spans="1:8" s="943" customFormat="1" x14ac:dyDescent="0.25">
      <c r="A917" s="952"/>
      <c r="B917" s="953"/>
      <c r="C917" s="953"/>
      <c r="D917" s="953"/>
      <c r="E917" s="953"/>
      <c r="F917" s="953"/>
      <c r="G917" s="953"/>
      <c r="H917" s="953"/>
    </row>
    <row r="918" spans="1:8" s="943" customFormat="1" x14ac:dyDescent="0.25">
      <c r="A918" s="952"/>
      <c r="B918" s="953"/>
      <c r="C918" s="953"/>
      <c r="D918" s="953"/>
      <c r="E918" s="953"/>
      <c r="F918" s="953"/>
      <c r="G918" s="953"/>
      <c r="H918" s="953"/>
    </row>
    <row r="919" spans="1:8" s="943" customFormat="1" x14ac:dyDescent="0.25">
      <c r="A919" s="952"/>
      <c r="B919" s="953"/>
      <c r="C919" s="953"/>
      <c r="D919" s="953"/>
      <c r="E919" s="953"/>
      <c r="F919" s="953"/>
      <c r="G919" s="953"/>
      <c r="H919" s="953"/>
    </row>
    <row r="920" spans="1:8" s="943" customFormat="1" x14ac:dyDescent="0.25">
      <c r="A920" s="952"/>
      <c r="B920" s="953"/>
      <c r="C920" s="953"/>
      <c r="D920" s="953"/>
      <c r="E920" s="953"/>
      <c r="F920" s="953"/>
      <c r="G920" s="953"/>
      <c r="H920" s="953"/>
    </row>
    <row r="921" spans="1:8" s="943" customFormat="1" x14ac:dyDescent="0.25">
      <c r="A921" s="952"/>
      <c r="B921" s="953"/>
      <c r="C921" s="953"/>
      <c r="D921" s="953"/>
      <c r="E921" s="953"/>
      <c r="F921" s="953"/>
      <c r="G921" s="953"/>
      <c r="H921" s="953"/>
    </row>
    <row r="922" spans="1:8" s="943" customFormat="1" x14ac:dyDescent="0.25">
      <c r="A922" s="952"/>
      <c r="B922" s="953"/>
      <c r="C922" s="953"/>
      <c r="D922" s="953"/>
      <c r="E922" s="953"/>
      <c r="F922" s="953"/>
      <c r="G922" s="953"/>
      <c r="H922" s="953"/>
    </row>
    <row r="923" spans="1:8" s="943" customFormat="1" x14ac:dyDescent="0.25">
      <c r="A923" s="952"/>
      <c r="B923" s="953"/>
      <c r="C923" s="953"/>
      <c r="D923" s="953"/>
      <c r="E923" s="953"/>
      <c r="F923" s="953"/>
      <c r="G923" s="953"/>
      <c r="H923" s="953"/>
    </row>
    <row r="924" spans="1:8" s="943" customFormat="1" x14ac:dyDescent="0.25">
      <c r="A924" s="952"/>
      <c r="B924" s="953"/>
      <c r="C924" s="953"/>
      <c r="D924" s="953"/>
      <c r="E924" s="953"/>
      <c r="F924" s="953"/>
      <c r="G924" s="953"/>
      <c r="H924" s="953"/>
    </row>
    <row r="925" spans="1:8" s="943" customFormat="1" x14ac:dyDescent="0.25">
      <c r="A925" s="952"/>
      <c r="B925" s="953"/>
      <c r="C925" s="953"/>
      <c r="D925" s="953"/>
      <c r="E925" s="953"/>
      <c r="F925" s="953"/>
      <c r="G925" s="953"/>
      <c r="H925" s="953"/>
    </row>
    <row r="926" spans="1:8" s="943" customFormat="1" x14ac:dyDescent="0.25">
      <c r="A926" s="952"/>
      <c r="B926" s="953"/>
      <c r="C926" s="953"/>
      <c r="D926" s="953"/>
      <c r="E926" s="953"/>
      <c r="F926" s="953"/>
      <c r="G926" s="953"/>
      <c r="H926" s="953"/>
    </row>
    <row r="927" spans="1:8" s="943" customFormat="1" x14ac:dyDescent="0.25">
      <c r="A927" s="952"/>
      <c r="B927" s="953"/>
      <c r="C927" s="953"/>
      <c r="D927" s="953"/>
      <c r="E927" s="953"/>
      <c r="F927" s="953"/>
      <c r="G927" s="953"/>
      <c r="H927" s="953"/>
    </row>
    <row r="928" spans="1:8" s="943" customFormat="1" x14ac:dyDescent="0.25">
      <c r="A928" s="952"/>
      <c r="B928" s="953"/>
      <c r="C928" s="953"/>
      <c r="D928" s="953"/>
      <c r="E928" s="953"/>
      <c r="F928" s="953"/>
      <c r="G928" s="953"/>
      <c r="H928" s="953"/>
    </row>
    <row r="929" spans="1:8" s="943" customFormat="1" x14ac:dyDescent="0.25">
      <c r="A929" s="952"/>
      <c r="B929" s="953"/>
      <c r="C929" s="953"/>
      <c r="D929" s="953"/>
      <c r="E929" s="953"/>
      <c r="F929" s="953"/>
      <c r="G929" s="953"/>
      <c r="H929" s="953"/>
    </row>
    <row r="930" spans="1:8" s="943" customFormat="1" x14ac:dyDescent="0.25">
      <c r="A930" s="952"/>
      <c r="B930" s="953"/>
      <c r="C930" s="953"/>
      <c r="D930" s="953"/>
      <c r="E930" s="953"/>
      <c r="F930" s="953"/>
      <c r="G930" s="953"/>
      <c r="H930" s="953"/>
    </row>
    <row r="931" spans="1:8" s="943" customFormat="1" x14ac:dyDescent="0.25">
      <c r="A931" s="952"/>
      <c r="B931" s="953"/>
      <c r="C931" s="953"/>
      <c r="D931" s="953"/>
      <c r="E931" s="953"/>
      <c r="F931" s="953"/>
      <c r="G931" s="953"/>
      <c r="H931" s="953"/>
    </row>
    <row r="932" spans="1:8" s="943" customFormat="1" x14ac:dyDescent="0.25">
      <c r="A932" s="952"/>
      <c r="B932" s="953"/>
      <c r="C932" s="953"/>
      <c r="D932" s="953"/>
      <c r="E932" s="953"/>
      <c r="F932" s="953"/>
      <c r="G932" s="953"/>
      <c r="H932" s="953"/>
    </row>
    <row r="933" spans="1:8" s="943" customFormat="1" x14ac:dyDescent="0.25">
      <c r="A933" s="952"/>
      <c r="B933" s="953"/>
      <c r="C933" s="953"/>
      <c r="D933" s="953"/>
      <c r="E933" s="953"/>
      <c r="F933" s="953"/>
      <c r="G933" s="953"/>
      <c r="H933" s="953"/>
    </row>
    <row r="934" spans="1:8" s="943" customFormat="1" x14ac:dyDescent="0.25">
      <c r="A934" s="952"/>
      <c r="B934" s="953"/>
      <c r="C934" s="953"/>
      <c r="D934" s="953"/>
      <c r="E934" s="953"/>
      <c r="F934" s="953"/>
      <c r="G934" s="953"/>
      <c r="H934" s="953"/>
    </row>
    <row r="935" spans="1:8" s="943" customFormat="1" x14ac:dyDescent="0.25">
      <c r="A935" s="952"/>
      <c r="B935" s="953"/>
      <c r="C935" s="953"/>
      <c r="D935" s="953"/>
      <c r="E935" s="953"/>
      <c r="F935" s="953"/>
      <c r="G935" s="953"/>
      <c r="H935" s="953"/>
    </row>
    <row r="936" spans="1:8" s="943" customFormat="1" x14ac:dyDescent="0.25">
      <c r="A936" s="952"/>
      <c r="B936" s="953"/>
      <c r="C936" s="953"/>
      <c r="D936" s="953"/>
      <c r="E936" s="953"/>
      <c r="F936" s="953"/>
      <c r="G936" s="953"/>
      <c r="H936" s="953"/>
    </row>
    <row r="937" spans="1:8" s="943" customFormat="1" x14ac:dyDescent="0.25">
      <c r="A937" s="952"/>
      <c r="B937" s="953"/>
      <c r="C937" s="953"/>
      <c r="D937" s="953"/>
      <c r="E937" s="953"/>
      <c r="F937" s="953"/>
      <c r="G937" s="953"/>
      <c r="H937" s="953"/>
    </row>
    <row r="938" spans="1:8" s="943" customFormat="1" x14ac:dyDescent="0.25">
      <c r="A938" s="952"/>
      <c r="B938" s="953"/>
      <c r="C938" s="953"/>
      <c r="D938" s="953"/>
      <c r="E938" s="953"/>
      <c r="F938" s="953"/>
      <c r="G938" s="953"/>
      <c r="H938" s="953"/>
    </row>
    <row r="939" spans="1:8" s="943" customFormat="1" x14ac:dyDescent="0.25">
      <c r="A939" s="952"/>
      <c r="B939" s="953"/>
      <c r="C939" s="953"/>
      <c r="D939" s="953"/>
      <c r="E939" s="953"/>
      <c r="F939" s="953"/>
      <c r="G939" s="953"/>
      <c r="H939" s="953"/>
    </row>
    <row r="940" spans="1:8" s="943" customFormat="1" x14ac:dyDescent="0.25">
      <c r="A940" s="952"/>
      <c r="B940" s="953"/>
      <c r="C940" s="953"/>
      <c r="D940" s="953"/>
      <c r="E940" s="953"/>
      <c r="F940" s="953"/>
      <c r="G940" s="953"/>
      <c r="H940" s="953"/>
    </row>
    <row r="941" spans="1:8" s="943" customFormat="1" x14ac:dyDescent="0.25">
      <c r="A941" s="952"/>
      <c r="B941" s="953"/>
      <c r="C941" s="953"/>
      <c r="D941" s="953"/>
      <c r="E941" s="953"/>
      <c r="F941" s="953"/>
      <c r="G941" s="953"/>
      <c r="H941" s="953"/>
    </row>
    <row r="942" spans="1:8" s="943" customFormat="1" x14ac:dyDescent="0.25">
      <c r="A942" s="952"/>
      <c r="B942" s="953"/>
      <c r="C942" s="953"/>
      <c r="D942" s="953"/>
      <c r="E942" s="953"/>
      <c r="F942" s="953"/>
      <c r="G942" s="953"/>
      <c r="H942" s="953"/>
    </row>
    <row r="943" spans="1:8" s="943" customFormat="1" x14ac:dyDescent="0.25">
      <c r="A943" s="952"/>
      <c r="B943" s="953"/>
      <c r="C943" s="953"/>
      <c r="D943" s="953"/>
      <c r="E943" s="953"/>
      <c r="F943" s="953"/>
      <c r="G943" s="953"/>
      <c r="H943" s="953"/>
    </row>
    <row r="944" spans="1:8" s="943" customFormat="1" x14ac:dyDescent="0.25">
      <c r="A944" s="952"/>
      <c r="B944" s="953"/>
      <c r="C944" s="953"/>
      <c r="D944" s="953"/>
      <c r="E944" s="953"/>
      <c r="F944" s="953"/>
      <c r="G944" s="953"/>
      <c r="H944" s="953"/>
    </row>
    <row r="945" spans="1:8" s="943" customFormat="1" x14ac:dyDescent="0.25">
      <c r="A945" s="952"/>
      <c r="B945" s="953"/>
      <c r="C945" s="953"/>
      <c r="D945" s="953"/>
      <c r="E945" s="953"/>
      <c r="F945" s="953"/>
      <c r="G945" s="953"/>
      <c r="H945" s="953"/>
    </row>
    <row r="946" spans="1:8" s="943" customFormat="1" x14ac:dyDescent="0.25">
      <c r="A946" s="952"/>
      <c r="B946" s="953"/>
      <c r="C946" s="953"/>
      <c r="D946" s="953"/>
      <c r="E946" s="953"/>
      <c r="F946" s="953"/>
      <c r="G946" s="953"/>
      <c r="H946" s="953"/>
    </row>
    <row r="947" spans="1:8" s="943" customFormat="1" x14ac:dyDescent="0.25">
      <c r="A947" s="952"/>
      <c r="B947" s="953"/>
      <c r="C947" s="953"/>
      <c r="D947" s="953"/>
      <c r="E947" s="953"/>
      <c r="F947" s="953"/>
      <c r="G947" s="953"/>
      <c r="H947" s="953"/>
    </row>
    <row r="948" spans="1:8" s="943" customFormat="1" x14ac:dyDescent="0.25">
      <c r="A948" s="952"/>
      <c r="B948" s="953"/>
      <c r="C948" s="953"/>
      <c r="D948" s="953"/>
      <c r="E948" s="953"/>
      <c r="F948" s="953"/>
      <c r="G948" s="953"/>
      <c r="H948" s="953"/>
    </row>
    <row r="949" spans="1:8" s="943" customFormat="1" x14ac:dyDescent="0.25">
      <c r="A949" s="952"/>
      <c r="B949" s="953"/>
      <c r="C949" s="953"/>
      <c r="D949" s="953"/>
      <c r="E949" s="953"/>
      <c r="F949" s="953"/>
      <c r="G949" s="953"/>
      <c r="H949" s="953"/>
    </row>
    <row r="950" spans="1:8" s="943" customFormat="1" x14ac:dyDescent="0.25">
      <c r="A950" s="952"/>
      <c r="B950" s="953"/>
      <c r="C950" s="953"/>
      <c r="D950" s="953"/>
      <c r="E950" s="953"/>
      <c r="F950" s="953"/>
      <c r="G950" s="953"/>
      <c r="H950" s="953"/>
    </row>
    <row r="951" spans="1:8" s="943" customFormat="1" x14ac:dyDescent="0.25">
      <c r="A951" s="952"/>
      <c r="B951" s="953"/>
      <c r="C951" s="953"/>
      <c r="D951" s="953"/>
      <c r="E951" s="953"/>
      <c r="F951" s="953"/>
      <c r="G951" s="953"/>
      <c r="H951" s="953"/>
    </row>
    <row r="952" spans="1:8" s="943" customFormat="1" x14ac:dyDescent="0.25">
      <c r="A952" s="952"/>
      <c r="B952" s="953"/>
      <c r="C952" s="953"/>
      <c r="D952" s="953"/>
      <c r="E952" s="953"/>
      <c r="F952" s="953"/>
      <c r="G952" s="953"/>
      <c r="H952" s="953"/>
    </row>
    <row r="953" spans="1:8" s="943" customFormat="1" x14ac:dyDescent="0.25">
      <c r="A953" s="952"/>
      <c r="B953" s="953"/>
      <c r="C953" s="953"/>
      <c r="D953" s="953"/>
      <c r="E953" s="953"/>
      <c r="F953" s="953"/>
      <c r="G953" s="953"/>
      <c r="H953" s="953"/>
    </row>
    <row r="954" spans="1:8" s="943" customFormat="1" x14ac:dyDescent="0.25">
      <c r="A954" s="952"/>
      <c r="B954" s="953"/>
      <c r="C954" s="953"/>
      <c r="D954" s="953"/>
      <c r="E954" s="953"/>
      <c r="F954" s="953"/>
      <c r="G954" s="953"/>
      <c r="H954" s="953"/>
    </row>
    <row r="955" spans="1:8" s="943" customFormat="1" x14ac:dyDescent="0.25">
      <c r="A955" s="952"/>
      <c r="B955" s="953"/>
      <c r="C955" s="953"/>
      <c r="D955" s="953"/>
      <c r="E955" s="953"/>
      <c r="F955" s="953"/>
      <c r="G955" s="953"/>
      <c r="H955" s="953"/>
    </row>
    <row r="956" spans="1:8" s="943" customFormat="1" x14ac:dyDescent="0.25">
      <c r="A956" s="952"/>
      <c r="B956" s="953"/>
      <c r="C956" s="953"/>
      <c r="D956" s="953"/>
      <c r="E956" s="953"/>
      <c r="F956" s="953"/>
      <c r="G956" s="953"/>
      <c r="H956" s="953"/>
    </row>
    <row r="957" spans="1:8" s="943" customFormat="1" x14ac:dyDescent="0.25">
      <c r="A957" s="952"/>
      <c r="B957" s="953"/>
      <c r="C957" s="953"/>
      <c r="D957" s="953"/>
      <c r="E957" s="953"/>
      <c r="F957" s="953"/>
      <c r="G957" s="953"/>
      <c r="H957" s="953"/>
    </row>
    <row r="958" spans="1:8" s="943" customFormat="1" x14ac:dyDescent="0.25">
      <c r="A958" s="952"/>
      <c r="B958" s="953"/>
      <c r="C958" s="953"/>
      <c r="D958" s="953"/>
      <c r="E958" s="953"/>
      <c r="F958" s="953"/>
      <c r="G958" s="953"/>
      <c r="H958" s="953"/>
    </row>
    <row r="959" spans="1:8" s="943" customFormat="1" x14ac:dyDescent="0.25">
      <c r="A959" s="952"/>
      <c r="B959" s="953"/>
      <c r="C959" s="953"/>
      <c r="D959" s="953"/>
      <c r="E959" s="953"/>
      <c r="F959" s="953"/>
      <c r="G959" s="953"/>
      <c r="H959" s="953"/>
    </row>
    <row r="960" spans="1:8" s="943" customFormat="1" x14ac:dyDescent="0.25">
      <c r="A960" s="952"/>
      <c r="B960" s="953"/>
      <c r="C960" s="953"/>
      <c r="D960" s="953"/>
      <c r="E960" s="953"/>
      <c r="F960" s="953"/>
      <c r="G960" s="953"/>
      <c r="H960" s="953"/>
    </row>
    <row r="961" spans="1:8" s="943" customFormat="1" x14ac:dyDescent="0.25">
      <c r="A961" s="952"/>
      <c r="B961" s="953"/>
      <c r="C961" s="953"/>
      <c r="D961" s="953"/>
      <c r="E961" s="953"/>
      <c r="F961" s="953"/>
      <c r="G961" s="953"/>
      <c r="H961" s="953"/>
    </row>
    <row r="962" spans="1:8" s="943" customFormat="1" x14ac:dyDescent="0.25">
      <c r="A962" s="952"/>
      <c r="B962" s="953"/>
      <c r="C962" s="953"/>
      <c r="D962" s="953"/>
      <c r="E962" s="953"/>
      <c r="F962" s="953"/>
      <c r="G962" s="953"/>
      <c r="H962" s="953"/>
    </row>
    <row r="963" spans="1:8" s="943" customFormat="1" x14ac:dyDescent="0.25">
      <c r="A963" s="952"/>
      <c r="B963" s="953"/>
      <c r="C963" s="953"/>
      <c r="D963" s="953"/>
      <c r="E963" s="953"/>
      <c r="F963" s="953"/>
      <c r="G963" s="953"/>
      <c r="H963" s="953"/>
    </row>
    <row r="964" spans="1:8" s="943" customFormat="1" x14ac:dyDescent="0.25">
      <c r="A964" s="952"/>
      <c r="B964" s="953"/>
      <c r="C964" s="953"/>
      <c r="D964" s="953"/>
      <c r="E964" s="953"/>
      <c r="F964" s="953"/>
      <c r="G964" s="953"/>
      <c r="H964" s="953"/>
    </row>
    <row r="965" spans="1:8" s="943" customFormat="1" x14ac:dyDescent="0.25">
      <c r="A965" s="952"/>
      <c r="B965" s="953"/>
      <c r="C965" s="953"/>
      <c r="D965" s="953"/>
      <c r="E965" s="953"/>
      <c r="F965" s="953"/>
      <c r="G965" s="953"/>
      <c r="H965" s="953"/>
    </row>
    <row r="966" spans="1:8" s="943" customFormat="1" x14ac:dyDescent="0.25">
      <c r="A966" s="952"/>
      <c r="B966" s="953"/>
      <c r="C966" s="953"/>
      <c r="D966" s="953"/>
      <c r="E966" s="953"/>
      <c r="F966" s="953"/>
      <c r="G966" s="953"/>
      <c r="H966" s="953"/>
    </row>
    <row r="967" spans="1:8" s="943" customFormat="1" x14ac:dyDescent="0.25">
      <c r="A967" s="952"/>
      <c r="B967" s="953"/>
      <c r="C967" s="953"/>
      <c r="D967" s="953"/>
      <c r="E967" s="953"/>
      <c r="F967" s="953"/>
      <c r="G967" s="953"/>
      <c r="H967" s="953"/>
    </row>
    <row r="968" spans="1:8" s="943" customFormat="1" x14ac:dyDescent="0.25">
      <c r="A968" s="952"/>
      <c r="B968" s="953"/>
      <c r="C968" s="953"/>
      <c r="D968" s="953"/>
      <c r="E968" s="953"/>
      <c r="F968" s="953"/>
      <c r="G968" s="953"/>
      <c r="H968" s="953"/>
    </row>
    <row r="969" spans="1:8" s="943" customFormat="1" x14ac:dyDescent="0.25">
      <c r="A969" s="952"/>
      <c r="B969" s="953"/>
      <c r="C969" s="953"/>
      <c r="D969" s="953"/>
      <c r="E969" s="953"/>
      <c r="F969" s="953"/>
      <c r="G969" s="953"/>
      <c r="H969" s="953"/>
    </row>
    <row r="970" spans="1:8" s="943" customFormat="1" x14ac:dyDescent="0.25">
      <c r="A970" s="952"/>
      <c r="B970" s="953"/>
      <c r="C970" s="953"/>
      <c r="D970" s="953"/>
      <c r="E970" s="953"/>
      <c r="F970" s="953"/>
      <c r="G970" s="953"/>
      <c r="H970" s="953"/>
    </row>
    <row r="971" spans="1:8" s="943" customFormat="1" x14ac:dyDescent="0.25">
      <c r="A971" s="952"/>
      <c r="B971" s="953"/>
      <c r="C971" s="953"/>
      <c r="D971" s="953"/>
      <c r="E971" s="953"/>
      <c r="F971" s="953"/>
      <c r="G971" s="953"/>
      <c r="H971" s="953"/>
    </row>
    <row r="972" spans="1:8" s="943" customFormat="1" x14ac:dyDescent="0.25">
      <c r="A972" s="952"/>
      <c r="B972" s="953"/>
      <c r="C972" s="953"/>
      <c r="D972" s="953"/>
      <c r="E972" s="953"/>
      <c r="F972" s="953"/>
      <c r="G972" s="953"/>
      <c r="H972" s="953"/>
    </row>
    <row r="973" spans="1:8" s="943" customFormat="1" x14ac:dyDescent="0.25">
      <c r="A973" s="952"/>
      <c r="B973" s="953"/>
      <c r="C973" s="953"/>
      <c r="D973" s="953"/>
      <c r="E973" s="953"/>
      <c r="F973" s="953"/>
      <c r="G973" s="953"/>
      <c r="H973" s="953"/>
    </row>
    <row r="974" spans="1:8" s="943" customFormat="1" x14ac:dyDescent="0.25">
      <c r="A974" s="952"/>
      <c r="B974" s="953"/>
      <c r="C974" s="953"/>
      <c r="D974" s="953"/>
      <c r="E974" s="953"/>
      <c r="F974" s="953"/>
      <c r="G974" s="953"/>
      <c r="H974" s="953"/>
    </row>
    <row r="975" spans="1:8" s="943" customFormat="1" x14ac:dyDescent="0.25">
      <c r="A975" s="952"/>
      <c r="B975" s="953"/>
      <c r="C975" s="953"/>
      <c r="D975" s="953"/>
      <c r="E975" s="953"/>
      <c r="F975" s="953"/>
      <c r="G975" s="953"/>
      <c r="H975" s="953"/>
    </row>
    <row r="976" spans="1:8" s="943" customFormat="1" x14ac:dyDescent="0.25">
      <c r="A976" s="952"/>
      <c r="B976" s="953"/>
      <c r="C976" s="953"/>
      <c r="D976" s="953"/>
      <c r="E976" s="953"/>
      <c r="F976" s="953"/>
      <c r="G976" s="953"/>
      <c r="H976" s="953"/>
    </row>
    <row r="977" spans="1:8" s="943" customFormat="1" x14ac:dyDescent="0.25">
      <c r="A977" s="952"/>
      <c r="B977" s="953"/>
      <c r="C977" s="953"/>
      <c r="D977" s="953"/>
      <c r="E977" s="953"/>
      <c r="F977" s="953"/>
      <c r="G977" s="953"/>
      <c r="H977" s="953"/>
    </row>
    <row r="978" spans="1:8" s="943" customFormat="1" x14ac:dyDescent="0.25">
      <c r="A978" s="952"/>
      <c r="B978" s="953"/>
      <c r="C978" s="953"/>
      <c r="D978" s="953"/>
      <c r="E978" s="953"/>
      <c r="F978" s="953"/>
      <c r="G978" s="953"/>
      <c r="H978" s="953"/>
    </row>
    <row r="979" spans="1:8" s="943" customFormat="1" x14ac:dyDescent="0.25">
      <c r="A979" s="952"/>
      <c r="B979" s="953"/>
      <c r="C979" s="953"/>
      <c r="D979" s="953"/>
      <c r="E979" s="953"/>
      <c r="F979" s="953"/>
      <c r="G979" s="953"/>
      <c r="H979" s="953"/>
    </row>
    <row r="980" spans="1:8" s="943" customFormat="1" x14ac:dyDescent="0.25">
      <c r="A980" s="952"/>
      <c r="B980" s="953"/>
      <c r="C980" s="953"/>
      <c r="D980" s="953"/>
      <c r="E980" s="953"/>
      <c r="F980" s="953"/>
      <c r="G980" s="953"/>
      <c r="H980" s="953"/>
    </row>
    <row r="981" spans="1:8" s="943" customFormat="1" x14ac:dyDescent="0.25">
      <c r="A981" s="952"/>
      <c r="B981" s="953"/>
      <c r="C981" s="953"/>
      <c r="D981" s="953"/>
      <c r="E981" s="953"/>
      <c r="F981" s="953"/>
      <c r="G981" s="953"/>
      <c r="H981" s="953"/>
    </row>
    <row r="982" spans="1:8" s="943" customFormat="1" x14ac:dyDescent="0.25">
      <c r="A982" s="952"/>
      <c r="B982" s="953"/>
      <c r="C982" s="953"/>
      <c r="D982" s="953"/>
      <c r="E982" s="953"/>
      <c r="F982" s="953"/>
      <c r="G982" s="953"/>
      <c r="H982" s="953"/>
    </row>
    <row r="983" spans="1:8" s="943" customFormat="1" x14ac:dyDescent="0.25">
      <c r="A983" s="952"/>
      <c r="B983" s="953"/>
      <c r="C983" s="953"/>
      <c r="D983" s="953"/>
      <c r="E983" s="953"/>
      <c r="F983" s="953"/>
      <c r="G983" s="953"/>
      <c r="H983" s="953"/>
    </row>
    <row r="984" spans="1:8" s="943" customFormat="1" x14ac:dyDescent="0.25">
      <c r="A984" s="952"/>
      <c r="B984" s="953"/>
      <c r="C984" s="953"/>
      <c r="D984" s="953"/>
      <c r="E984" s="953"/>
      <c r="F984" s="953"/>
      <c r="G984" s="953"/>
      <c r="H984" s="953"/>
    </row>
    <row r="985" spans="1:8" s="943" customFormat="1" x14ac:dyDescent="0.25">
      <c r="A985" s="952"/>
      <c r="B985" s="953"/>
      <c r="C985" s="953"/>
      <c r="D985" s="953"/>
      <c r="E985" s="953"/>
      <c r="F985" s="953"/>
      <c r="G985" s="953"/>
      <c r="H985" s="953"/>
    </row>
    <row r="986" spans="1:8" s="943" customFormat="1" x14ac:dyDescent="0.25">
      <c r="A986" s="952"/>
      <c r="B986" s="953"/>
      <c r="C986" s="953"/>
      <c r="D986" s="953"/>
      <c r="E986" s="953"/>
      <c r="F986" s="953"/>
      <c r="G986" s="953"/>
      <c r="H986" s="953"/>
    </row>
    <row r="987" spans="1:8" s="943" customFormat="1" x14ac:dyDescent="0.25">
      <c r="A987" s="952"/>
      <c r="B987" s="953"/>
      <c r="C987" s="953"/>
      <c r="D987" s="953"/>
      <c r="E987" s="953"/>
      <c r="F987" s="953"/>
      <c r="G987" s="953"/>
      <c r="H987" s="953"/>
    </row>
    <row r="988" spans="1:8" s="943" customFormat="1" x14ac:dyDescent="0.25">
      <c r="A988" s="952"/>
      <c r="B988" s="953"/>
      <c r="C988" s="953"/>
      <c r="D988" s="953"/>
      <c r="E988" s="953"/>
      <c r="F988" s="953"/>
      <c r="G988" s="953"/>
      <c r="H988" s="953"/>
    </row>
    <row r="989" spans="1:8" s="943" customFormat="1" x14ac:dyDescent="0.25">
      <c r="A989" s="952"/>
      <c r="B989" s="953"/>
      <c r="C989" s="953"/>
      <c r="D989" s="953"/>
      <c r="E989" s="953"/>
      <c r="F989" s="953"/>
      <c r="G989" s="953"/>
      <c r="H989" s="953"/>
    </row>
    <row r="990" spans="1:8" s="943" customFormat="1" x14ac:dyDescent="0.25">
      <c r="A990" s="952"/>
      <c r="B990" s="953"/>
      <c r="C990" s="953"/>
      <c r="D990" s="953"/>
      <c r="E990" s="953"/>
      <c r="F990" s="953"/>
      <c r="G990" s="953"/>
      <c r="H990" s="953"/>
    </row>
    <row r="991" spans="1:8" s="943" customFormat="1" x14ac:dyDescent="0.25">
      <c r="A991" s="952"/>
      <c r="B991" s="953"/>
      <c r="C991" s="953"/>
      <c r="D991" s="953"/>
      <c r="E991" s="953"/>
      <c r="F991" s="953"/>
      <c r="G991" s="953"/>
      <c r="H991" s="953"/>
    </row>
    <row r="992" spans="1:8" s="943" customFormat="1" x14ac:dyDescent="0.25">
      <c r="A992" s="952"/>
      <c r="B992" s="953"/>
      <c r="C992" s="953"/>
      <c r="D992" s="953"/>
      <c r="E992" s="953"/>
      <c r="F992" s="953"/>
      <c r="G992" s="953"/>
      <c r="H992" s="953"/>
    </row>
    <row r="993" spans="1:8" s="943" customFormat="1" x14ac:dyDescent="0.25">
      <c r="A993" s="952"/>
      <c r="B993" s="953"/>
      <c r="C993" s="953"/>
      <c r="D993" s="953"/>
      <c r="E993" s="953"/>
      <c r="F993" s="953"/>
      <c r="G993" s="953"/>
      <c r="H993" s="953"/>
    </row>
    <row r="994" spans="1:8" s="943" customFormat="1" x14ac:dyDescent="0.25">
      <c r="A994" s="952"/>
      <c r="B994" s="953"/>
      <c r="C994" s="953"/>
      <c r="D994" s="953"/>
      <c r="E994" s="953"/>
      <c r="F994" s="953"/>
      <c r="G994" s="953"/>
      <c r="H994" s="953"/>
    </row>
    <row r="995" spans="1:8" s="943" customFormat="1" x14ac:dyDescent="0.25">
      <c r="A995" s="952"/>
      <c r="B995" s="953"/>
      <c r="C995" s="953"/>
      <c r="D995" s="953"/>
      <c r="E995" s="953"/>
      <c r="F995" s="953"/>
      <c r="G995" s="953"/>
      <c r="H995" s="953"/>
    </row>
    <row r="996" spans="1:8" s="943" customFormat="1" x14ac:dyDescent="0.25">
      <c r="A996" s="952"/>
      <c r="B996" s="953"/>
      <c r="C996" s="953"/>
      <c r="D996" s="953"/>
      <c r="E996" s="953"/>
      <c r="F996" s="953"/>
      <c r="G996" s="953"/>
      <c r="H996" s="953"/>
    </row>
    <row r="997" spans="1:8" s="943" customFormat="1" x14ac:dyDescent="0.25">
      <c r="A997" s="952"/>
      <c r="B997" s="953"/>
      <c r="C997" s="953"/>
      <c r="D997" s="953"/>
      <c r="E997" s="953"/>
      <c r="F997" s="953"/>
      <c r="G997" s="953"/>
      <c r="H997" s="953"/>
    </row>
    <row r="998" spans="1:8" s="943" customFormat="1" x14ac:dyDescent="0.25">
      <c r="A998" s="952"/>
      <c r="B998" s="953"/>
      <c r="C998" s="953"/>
      <c r="D998" s="953"/>
      <c r="E998" s="953"/>
      <c r="F998" s="953"/>
      <c r="G998" s="953"/>
      <c r="H998" s="953"/>
    </row>
    <row r="999" spans="1:8" s="943" customFormat="1" x14ac:dyDescent="0.25">
      <c r="A999" s="952"/>
      <c r="B999" s="953"/>
      <c r="C999" s="953"/>
      <c r="D999" s="953"/>
      <c r="E999" s="953"/>
      <c r="F999" s="953"/>
      <c r="G999" s="953"/>
      <c r="H999" s="953"/>
    </row>
    <row r="1000" spans="1:8" s="943" customFormat="1" x14ac:dyDescent="0.25">
      <c r="A1000" s="952"/>
      <c r="B1000" s="953"/>
      <c r="C1000" s="953"/>
      <c r="D1000" s="953"/>
      <c r="E1000" s="953"/>
      <c r="F1000" s="953"/>
      <c r="G1000" s="953"/>
      <c r="H1000" s="953"/>
    </row>
    <row r="1001" spans="1:8" s="943" customFormat="1" x14ac:dyDescent="0.25">
      <c r="A1001" s="952"/>
      <c r="B1001" s="953"/>
      <c r="C1001" s="953"/>
      <c r="D1001" s="953"/>
      <c r="E1001" s="953"/>
      <c r="F1001" s="953"/>
      <c r="G1001" s="953"/>
      <c r="H1001" s="953"/>
    </row>
    <row r="1002" spans="1:8" s="943" customFormat="1" x14ac:dyDescent="0.25">
      <c r="A1002" s="952"/>
      <c r="B1002" s="953"/>
      <c r="C1002" s="953"/>
      <c r="D1002" s="953"/>
      <c r="E1002" s="953"/>
      <c r="F1002" s="953"/>
      <c r="G1002" s="953"/>
      <c r="H1002" s="953"/>
    </row>
    <row r="1003" spans="1:8" s="943" customFormat="1" x14ac:dyDescent="0.25">
      <c r="A1003" s="952"/>
      <c r="B1003" s="953"/>
      <c r="C1003" s="953"/>
      <c r="D1003" s="953"/>
      <c r="E1003" s="953"/>
      <c r="F1003" s="953"/>
      <c r="G1003" s="953"/>
      <c r="H1003" s="953"/>
    </row>
    <row r="1004" spans="1:8" s="943" customFormat="1" x14ac:dyDescent="0.25">
      <c r="A1004" s="952"/>
      <c r="B1004" s="953"/>
      <c r="C1004" s="953"/>
      <c r="D1004" s="953"/>
      <c r="E1004" s="953"/>
      <c r="F1004" s="953"/>
      <c r="G1004" s="953"/>
      <c r="H1004" s="953"/>
    </row>
    <row r="1005" spans="1:8" s="943" customFormat="1" x14ac:dyDescent="0.25">
      <c r="A1005" s="952"/>
      <c r="B1005" s="953"/>
      <c r="C1005" s="953"/>
      <c r="D1005" s="953"/>
      <c r="E1005" s="953"/>
      <c r="F1005" s="953"/>
      <c r="G1005" s="953"/>
      <c r="H1005" s="953"/>
    </row>
    <row r="1006" spans="1:8" s="943" customFormat="1" x14ac:dyDescent="0.25">
      <c r="A1006" s="952"/>
      <c r="B1006" s="953"/>
      <c r="C1006" s="953"/>
      <c r="D1006" s="953"/>
      <c r="E1006" s="953"/>
      <c r="F1006" s="953"/>
      <c r="G1006" s="953"/>
      <c r="H1006" s="953"/>
    </row>
    <row r="1007" spans="1:8" s="943" customFormat="1" x14ac:dyDescent="0.25">
      <c r="A1007" s="952"/>
      <c r="B1007" s="953"/>
      <c r="C1007" s="953"/>
      <c r="D1007" s="953"/>
      <c r="E1007" s="953"/>
      <c r="F1007" s="953"/>
      <c r="G1007" s="953"/>
      <c r="H1007" s="953"/>
    </row>
    <row r="1008" spans="1:8" s="943" customFormat="1" x14ac:dyDescent="0.25">
      <c r="A1008" s="952"/>
      <c r="B1008" s="953"/>
      <c r="C1008" s="953"/>
      <c r="D1008" s="953"/>
      <c r="E1008" s="953"/>
      <c r="F1008" s="953"/>
      <c r="G1008" s="953"/>
      <c r="H1008" s="953"/>
    </row>
    <row r="1009" spans="1:8" s="943" customFormat="1" x14ac:dyDescent="0.25">
      <c r="A1009" s="952"/>
      <c r="B1009" s="953"/>
      <c r="C1009" s="953"/>
      <c r="D1009" s="953"/>
      <c r="E1009" s="953"/>
      <c r="F1009" s="953"/>
      <c r="G1009" s="953"/>
      <c r="H1009" s="953"/>
    </row>
    <row r="1010" spans="1:8" s="943" customFormat="1" x14ac:dyDescent="0.25">
      <c r="A1010" s="952"/>
      <c r="B1010" s="953"/>
      <c r="C1010" s="953"/>
      <c r="D1010" s="953"/>
      <c r="E1010" s="953"/>
      <c r="F1010" s="953"/>
      <c r="G1010" s="953"/>
      <c r="H1010" s="953"/>
    </row>
    <row r="1011" spans="1:8" s="943" customFormat="1" x14ac:dyDescent="0.25">
      <c r="A1011" s="952"/>
      <c r="B1011" s="953"/>
      <c r="C1011" s="953"/>
      <c r="D1011" s="953"/>
      <c r="E1011" s="953"/>
      <c r="F1011" s="953"/>
      <c r="G1011" s="953"/>
      <c r="H1011" s="953"/>
    </row>
    <row r="1012" spans="1:8" s="943" customFormat="1" x14ac:dyDescent="0.25">
      <c r="A1012" s="952"/>
      <c r="B1012" s="953"/>
      <c r="C1012" s="953"/>
      <c r="D1012" s="953"/>
      <c r="E1012" s="953"/>
      <c r="F1012" s="953"/>
      <c r="G1012" s="953"/>
      <c r="H1012" s="953"/>
    </row>
    <row r="1013" spans="1:8" s="943" customFormat="1" x14ac:dyDescent="0.25">
      <c r="A1013" s="952"/>
      <c r="B1013" s="953"/>
      <c r="C1013" s="953"/>
      <c r="D1013" s="953"/>
      <c r="E1013" s="953"/>
      <c r="F1013" s="953"/>
      <c r="G1013" s="953"/>
      <c r="H1013" s="953"/>
    </row>
    <row r="1014" spans="1:8" s="943" customFormat="1" x14ac:dyDescent="0.25">
      <c r="A1014" s="952"/>
      <c r="B1014" s="953"/>
      <c r="C1014" s="953"/>
      <c r="D1014" s="953"/>
      <c r="E1014" s="953"/>
      <c r="F1014" s="953"/>
      <c r="G1014" s="953"/>
      <c r="H1014" s="953"/>
    </row>
    <row r="1015" spans="1:8" s="943" customFormat="1" x14ac:dyDescent="0.25">
      <c r="A1015" s="952"/>
      <c r="B1015" s="953"/>
      <c r="C1015" s="953"/>
      <c r="D1015" s="953"/>
      <c r="E1015" s="953"/>
      <c r="F1015" s="953"/>
      <c r="G1015" s="953"/>
      <c r="H1015" s="953"/>
    </row>
    <row r="1016" spans="1:8" s="943" customFormat="1" x14ac:dyDescent="0.25">
      <c r="A1016" s="952"/>
      <c r="B1016" s="953"/>
      <c r="C1016" s="953"/>
      <c r="D1016" s="953"/>
      <c r="E1016" s="953"/>
      <c r="F1016" s="953"/>
      <c r="G1016" s="953"/>
      <c r="H1016" s="953"/>
    </row>
    <row r="1017" spans="1:8" s="943" customFormat="1" x14ac:dyDescent="0.25">
      <c r="A1017" s="952"/>
      <c r="B1017" s="953"/>
      <c r="C1017" s="953"/>
      <c r="D1017" s="953"/>
      <c r="E1017" s="953"/>
      <c r="F1017" s="953"/>
      <c r="G1017" s="953"/>
      <c r="H1017" s="953"/>
    </row>
    <row r="1018" spans="1:8" s="943" customFormat="1" x14ac:dyDescent="0.25">
      <c r="A1018" s="952"/>
      <c r="B1018" s="953"/>
      <c r="C1018" s="953"/>
      <c r="D1018" s="953"/>
      <c r="E1018" s="953"/>
      <c r="F1018" s="953"/>
      <c r="G1018" s="953"/>
      <c r="H1018" s="953"/>
    </row>
    <row r="1019" spans="1:8" s="943" customFormat="1" x14ac:dyDescent="0.25">
      <c r="A1019" s="952"/>
      <c r="B1019" s="953"/>
      <c r="C1019" s="953"/>
      <c r="D1019" s="953"/>
      <c r="E1019" s="953"/>
      <c r="F1019" s="953"/>
      <c r="G1019" s="953"/>
      <c r="H1019" s="953"/>
    </row>
    <row r="1020" spans="1:8" s="943" customFormat="1" x14ac:dyDescent="0.25">
      <c r="A1020" s="952"/>
      <c r="B1020" s="953"/>
      <c r="C1020" s="953"/>
      <c r="D1020" s="953"/>
      <c r="E1020" s="953"/>
      <c r="F1020" s="953"/>
      <c r="G1020" s="953"/>
      <c r="H1020" s="953"/>
    </row>
    <row r="1021" spans="1:8" s="943" customFormat="1" x14ac:dyDescent="0.25">
      <c r="A1021" s="952"/>
      <c r="B1021" s="953"/>
      <c r="C1021" s="953"/>
      <c r="D1021" s="953"/>
      <c r="E1021" s="953"/>
      <c r="F1021" s="953"/>
      <c r="G1021" s="953"/>
      <c r="H1021" s="953"/>
    </row>
    <row r="1022" spans="1:8" s="943" customFormat="1" x14ac:dyDescent="0.25">
      <c r="A1022" s="952"/>
      <c r="B1022" s="953"/>
      <c r="C1022" s="953"/>
      <c r="D1022" s="953"/>
      <c r="E1022" s="953"/>
      <c r="F1022" s="953"/>
      <c r="G1022" s="953"/>
      <c r="H1022" s="953"/>
    </row>
    <row r="1023" spans="1:8" s="943" customFormat="1" x14ac:dyDescent="0.25">
      <c r="A1023" s="952"/>
      <c r="B1023" s="953"/>
      <c r="C1023" s="953"/>
      <c r="D1023" s="953"/>
      <c r="E1023" s="953"/>
      <c r="F1023" s="953"/>
      <c r="G1023" s="953"/>
      <c r="H1023" s="953"/>
    </row>
    <row r="1024" spans="1:8" s="943" customFormat="1" x14ac:dyDescent="0.25">
      <c r="A1024" s="952"/>
      <c r="B1024" s="953"/>
      <c r="C1024" s="953"/>
      <c r="D1024" s="953"/>
      <c r="E1024" s="953"/>
      <c r="F1024" s="953"/>
      <c r="G1024" s="953"/>
      <c r="H1024" s="953"/>
    </row>
    <row r="1025" spans="1:8" s="943" customFormat="1" x14ac:dyDescent="0.25">
      <c r="A1025" s="952"/>
      <c r="B1025" s="953"/>
      <c r="C1025" s="953"/>
      <c r="D1025" s="953"/>
      <c r="E1025" s="953"/>
      <c r="F1025" s="953"/>
      <c r="G1025" s="953"/>
      <c r="H1025" s="953"/>
    </row>
    <row r="1026" spans="1:8" s="943" customFormat="1" x14ac:dyDescent="0.25">
      <c r="A1026" s="952"/>
      <c r="B1026" s="953"/>
      <c r="C1026" s="953"/>
      <c r="D1026" s="953"/>
      <c r="E1026" s="953"/>
      <c r="F1026" s="953"/>
      <c r="G1026" s="953"/>
      <c r="H1026" s="953"/>
    </row>
    <row r="1027" spans="1:8" s="943" customFormat="1" x14ac:dyDescent="0.25">
      <c r="A1027" s="952"/>
      <c r="B1027" s="953"/>
      <c r="C1027" s="953"/>
      <c r="D1027" s="953"/>
      <c r="E1027" s="953"/>
      <c r="F1027" s="953"/>
      <c r="G1027" s="953"/>
      <c r="H1027" s="953"/>
    </row>
    <row r="1028" spans="1:8" s="943" customFormat="1" x14ac:dyDescent="0.25">
      <c r="A1028" s="952"/>
      <c r="B1028" s="953"/>
      <c r="C1028" s="953"/>
      <c r="D1028" s="953"/>
      <c r="E1028" s="953"/>
      <c r="F1028" s="953"/>
      <c r="G1028" s="953"/>
      <c r="H1028" s="953"/>
    </row>
    <row r="1029" spans="1:8" s="943" customFormat="1" x14ac:dyDescent="0.25">
      <c r="A1029" s="952"/>
      <c r="B1029" s="953"/>
      <c r="C1029" s="953"/>
      <c r="D1029" s="953"/>
      <c r="E1029" s="953"/>
      <c r="F1029" s="953"/>
      <c r="G1029" s="953"/>
      <c r="H1029" s="953"/>
    </row>
    <row r="1030" spans="1:8" s="943" customFormat="1" x14ac:dyDescent="0.25">
      <c r="A1030" s="952"/>
      <c r="B1030" s="953"/>
      <c r="C1030" s="953"/>
      <c r="D1030" s="953"/>
      <c r="E1030" s="953"/>
      <c r="F1030" s="953"/>
      <c r="G1030" s="953"/>
      <c r="H1030" s="953"/>
    </row>
    <row r="1031" spans="1:8" s="943" customFormat="1" x14ac:dyDescent="0.25">
      <c r="A1031" s="952"/>
      <c r="B1031" s="953"/>
      <c r="C1031" s="953"/>
      <c r="D1031" s="953"/>
      <c r="E1031" s="953"/>
      <c r="F1031" s="953"/>
      <c r="G1031" s="953"/>
      <c r="H1031" s="953"/>
    </row>
    <row r="1032" spans="1:8" s="943" customFormat="1" x14ac:dyDescent="0.25">
      <c r="A1032" s="952"/>
      <c r="B1032" s="953"/>
      <c r="C1032" s="953"/>
      <c r="D1032" s="953"/>
      <c r="E1032" s="953"/>
      <c r="F1032" s="953"/>
      <c r="G1032" s="953"/>
      <c r="H1032" s="953"/>
    </row>
    <row r="1033" spans="1:8" s="943" customFormat="1" x14ac:dyDescent="0.25">
      <c r="A1033" s="952"/>
      <c r="B1033" s="953"/>
      <c r="C1033" s="953"/>
      <c r="D1033" s="953"/>
      <c r="E1033" s="953"/>
      <c r="F1033" s="953"/>
      <c r="G1033" s="953"/>
      <c r="H1033" s="953"/>
    </row>
    <row r="1034" spans="1:8" s="943" customFormat="1" x14ac:dyDescent="0.25">
      <c r="A1034" s="952"/>
      <c r="B1034" s="953"/>
      <c r="C1034" s="953"/>
      <c r="D1034" s="953"/>
      <c r="E1034" s="953"/>
      <c r="F1034" s="953"/>
      <c r="G1034" s="953"/>
      <c r="H1034" s="953"/>
    </row>
    <row r="1035" spans="1:8" s="943" customFormat="1" x14ac:dyDescent="0.25">
      <c r="A1035" s="952"/>
      <c r="B1035" s="953"/>
      <c r="C1035" s="953"/>
      <c r="D1035" s="953"/>
      <c r="E1035" s="953"/>
      <c r="F1035" s="953"/>
      <c r="G1035" s="953"/>
      <c r="H1035" s="953"/>
    </row>
    <row r="1036" spans="1:8" s="943" customFormat="1" x14ac:dyDescent="0.25">
      <c r="A1036" s="952"/>
      <c r="B1036" s="953"/>
      <c r="C1036" s="953"/>
      <c r="D1036" s="953"/>
      <c r="E1036" s="953"/>
      <c r="F1036" s="953"/>
      <c r="G1036" s="953"/>
      <c r="H1036" s="953"/>
    </row>
    <row r="1037" spans="1:8" s="943" customFormat="1" x14ac:dyDescent="0.25">
      <c r="A1037" s="952"/>
      <c r="B1037" s="953"/>
      <c r="C1037" s="953"/>
      <c r="D1037" s="953"/>
      <c r="E1037" s="953"/>
      <c r="F1037" s="953"/>
      <c r="G1037" s="953"/>
      <c r="H1037" s="953"/>
    </row>
    <row r="1038" spans="1:8" s="943" customFormat="1" x14ac:dyDescent="0.25">
      <c r="A1038" s="952"/>
      <c r="B1038" s="953"/>
      <c r="C1038" s="953"/>
      <c r="D1038" s="953"/>
      <c r="E1038" s="953"/>
      <c r="F1038" s="953"/>
      <c r="G1038" s="953"/>
      <c r="H1038" s="953"/>
    </row>
    <row r="1039" spans="1:8" s="943" customFormat="1" x14ac:dyDescent="0.25">
      <c r="A1039" s="952"/>
      <c r="B1039" s="953"/>
      <c r="C1039" s="953"/>
      <c r="D1039" s="953"/>
      <c r="E1039" s="953"/>
      <c r="F1039" s="953"/>
      <c r="G1039" s="953"/>
      <c r="H1039" s="953"/>
    </row>
    <row r="1040" spans="1:8" s="943" customFormat="1" x14ac:dyDescent="0.25">
      <c r="A1040" s="952"/>
      <c r="B1040" s="953"/>
      <c r="C1040" s="953"/>
      <c r="D1040" s="953"/>
      <c r="E1040" s="953"/>
      <c r="F1040" s="953"/>
      <c r="G1040" s="953"/>
      <c r="H1040" s="953"/>
    </row>
    <row r="1041" spans="1:8" s="943" customFormat="1" x14ac:dyDescent="0.25">
      <c r="A1041" s="952"/>
      <c r="B1041" s="953"/>
      <c r="C1041" s="953"/>
      <c r="D1041" s="953"/>
      <c r="E1041" s="953"/>
      <c r="F1041" s="953"/>
      <c r="G1041" s="953"/>
      <c r="H1041" s="953"/>
    </row>
    <row r="1042" spans="1:8" s="943" customFormat="1" x14ac:dyDescent="0.25">
      <c r="A1042" s="952"/>
      <c r="B1042" s="953"/>
      <c r="C1042" s="953"/>
      <c r="D1042" s="953"/>
      <c r="E1042" s="953"/>
      <c r="F1042" s="953"/>
      <c r="G1042" s="953"/>
      <c r="H1042" s="953"/>
    </row>
    <row r="1043" spans="1:8" s="943" customFormat="1" x14ac:dyDescent="0.25">
      <c r="A1043" s="952"/>
      <c r="B1043" s="953"/>
      <c r="C1043" s="953"/>
      <c r="D1043" s="953"/>
      <c r="E1043" s="953"/>
      <c r="F1043" s="953"/>
      <c r="G1043" s="953"/>
      <c r="H1043" s="953"/>
    </row>
    <row r="1044" spans="1:8" s="943" customFormat="1" x14ac:dyDescent="0.25">
      <c r="A1044" s="952"/>
      <c r="B1044" s="953"/>
      <c r="C1044" s="953"/>
      <c r="D1044" s="953"/>
      <c r="E1044" s="953"/>
      <c r="F1044" s="953"/>
      <c r="G1044" s="953"/>
      <c r="H1044" s="953"/>
    </row>
    <row r="1045" spans="1:8" s="943" customFormat="1" x14ac:dyDescent="0.25">
      <c r="A1045" s="952"/>
      <c r="B1045" s="953"/>
      <c r="C1045" s="953"/>
      <c r="D1045" s="953"/>
      <c r="E1045" s="953"/>
      <c r="F1045" s="953"/>
      <c r="G1045" s="953"/>
      <c r="H1045" s="953"/>
    </row>
    <row r="1046" spans="1:8" s="943" customFormat="1" x14ac:dyDescent="0.25">
      <c r="A1046" s="952"/>
      <c r="B1046" s="953"/>
      <c r="C1046" s="953"/>
      <c r="D1046" s="953"/>
      <c r="E1046" s="953"/>
      <c r="F1046" s="953"/>
      <c r="G1046" s="953"/>
      <c r="H1046" s="953"/>
    </row>
    <row r="1047" spans="1:8" s="943" customFormat="1" x14ac:dyDescent="0.25">
      <c r="A1047" s="952"/>
      <c r="B1047" s="953"/>
      <c r="C1047" s="953"/>
      <c r="D1047" s="953"/>
      <c r="E1047" s="953"/>
      <c r="F1047" s="953"/>
      <c r="G1047" s="953"/>
      <c r="H1047" s="953"/>
    </row>
    <row r="1048" spans="1:8" s="943" customFormat="1" x14ac:dyDescent="0.25">
      <c r="A1048" s="952"/>
      <c r="B1048" s="953"/>
      <c r="C1048" s="953"/>
      <c r="D1048" s="953"/>
      <c r="E1048" s="953"/>
      <c r="F1048" s="953"/>
      <c r="G1048" s="953"/>
      <c r="H1048" s="953"/>
    </row>
    <row r="1049" spans="1:8" s="943" customFormat="1" x14ac:dyDescent="0.25">
      <c r="A1049" s="952"/>
      <c r="B1049" s="953"/>
      <c r="C1049" s="953"/>
      <c r="D1049" s="953"/>
      <c r="E1049" s="953"/>
      <c r="F1049" s="953"/>
      <c r="G1049" s="953"/>
      <c r="H1049" s="953"/>
    </row>
    <row r="1050" spans="1:8" s="943" customFormat="1" x14ac:dyDescent="0.25">
      <c r="A1050" s="952"/>
      <c r="B1050" s="953"/>
      <c r="C1050" s="953"/>
      <c r="D1050" s="953"/>
      <c r="E1050" s="953"/>
      <c r="F1050" s="953"/>
      <c r="G1050" s="953"/>
      <c r="H1050" s="953"/>
    </row>
    <row r="1051" spans="1:8" s="943" customFormat="1" x14ac:dyDescent="0.25">
      <c r="A1051" s="952"/>
      <c r="B1051" s="953"/>
      <c r="C1051" s="953"/>
      <c r="D1051" s="953"/>
      <c r="E1051" s="953"/>
      <c r="F1051" s="953"/>
      <c r="G1051" s="953"/>
      <c r="H1051" s="953"/>
    </row>
    <row r="1052" spans="1:8" s="943" customFormat="1" x14ac:dyDescent="0.25">
      <c r="A1052" s="952"/>
      <c r="B1052" s="953"/>
      <c r="C1052" s="953"/>
      <c r="D1052" s="953"/>
      <c r="E1052" s="953"/>
      <c r="F1052" s="953"/>
      <c r="G1052" s="953"/>
      <c r="H1052" s="953"/>
    </row>
    <row r="1053" spans="1:8" s="943" customFormat="1" x14ac:dyDescent="0.25">
      <c r="A1053" s="952"/>
      <c r="B1053" s="953"/>
      <c r="C1053" s="953"/>
      <c r="D1053" s="953"/>
      <c r="E1053" s="953"/>
      <c r="F1053" s="953"/>
      <c r="G1053" s="953"/>
      <c r="H1053" s="953"/>
    </row>
    <row r="1054" spans="1:8" s="943" customFormat="1" x14ac:dyDescent="0.25">
      <c r="A1054" s="952"/>
      <c r="B1054" s="953"/>
      <c r="C1054" s="953"/>
      <c r="D1054" s="953"/>
      <c r="E1054" s="953"/>
      <c r="F1054" s="953"/>
      <c r="G1054" s="953"/>
      <c r="H1054" s="953"/>
    </row>
    <row r="1055" spans="1:8" s="943" customFormat="1" x14ac:dyDescent="0.25">
      <c r="A1055" s="952"/>
      <c r="B1055" s="953"/>
      <c r="C1055" s="953"/>
      <c r="D1055" s="953"/>
      <c r="E1055" s="953"/>
      <c r="F1055" s="953"/>
      <c r="G1055" s="953"/>
      <c r="H1055" s="953"/>
    </row>
    <row r="1056" spans="1:8" s="943" customFormat="1" x14ac:dyDescent="0.25">
      <c r="A1056" s="952"/>
      <c r="B1056" s="953"/>
      <c r="C1056" s="953"/>
      <c r="D1056" s="953"/>
      <c r="E1056" s="953"/>
      <c r="F1056" s="953"/>
      <c r="G1056" s="953"/>
      <c r="H1056" s="953"/>
    </row>
    <row r="1057" spans="1:8" s="943" customFormat="1" x14ac:dyDescent="0.25">
      <c r="A1057" s="952"/>
      <c r="B1057" s="953"/>
      <c r="C1057" s="953"/>
      <c r="D1057" s="953"/>
      <c r="E1057" s="953"/>
      <c r="F1057" s="953"/>
      <c r="G1057" s="953"/>
      <c r="H1057" s="953"/>
    </row>
    <row r="1058" spans="1:8" s="943" customFormat="1" x14ac:dyDescent="0.25">
      <c r="A1058" s="952"/>
      <c r="B1058" s="953"/>
      <c r="C1058" s="953"/>
      <c r="D1058" s="953"/>
      <c r="E1058" s="953"/>
      <c r="F1058" s="953"/>
      <c r="G1058" s="953"/>
      <c r="H1058" s="953"/>
    </row>
    <row r="1059" spans="1:8" s="943" customFormat="1" x14ac:dyDescent="0.25">
      <c r="A1059" s="952"/>
      <c r="B1059" s="953"/>
      <c r="C1059" s="953"/>
      <c r="D1059" s="953"/>
      <c r="E1059" s="953"/>
      <c r="F1059" s="953"/>
      <c r="G1059" s="953"/>
      <c r="H1059" s="953"/>
    </row>
    <row r="1060" spans="1:8" s="943" customFormat="1" x14ac:dyDescent="0.25">
      <c r="A1060" s="952"/>
      <c r="B1060" s="953"/>
      <c r="C1060" s="953"/>
      <c r="D1060" s="953"/>
      <c r="E1060" s="953"/>
      <c r="F1060" s="953"/>
      <c r="G1060" s="953"/>
      <c r="H1060" s="953"/>
    </row>
    <row r="1061" spans="1:8" s="943" customFormat="1" x14ac:dyDescent="0.25">
      <c r="A1061" s="952"/>
      <c r="B1061" s="953"/>
      <c r="C1061" s="953"/>
      <c r="D1061" s="953"/>
      <c r="E1061" s="953"/>
      <c r="F1061" s="953"/>
      <c r="G1061" s="953"/>
      <c r="H1061" s="953"/>
    </row>
    <row r="1062" spans="1:8" s="943" customFormat="1" x14ac:dyDescent="0.25">
      <c r="A1062" s="952"/>
      <c r="B1062" s="953"/>
      <c r="C1062" s="953"/>
      <c r="D1062" s="953"/>
      <c r="E1062" s="953"/>
      <c r="F1062" s="953"/>
      <c r="G1062" s="953"/>
      <c r="H1062" s="953"/>
    </row>
    <row r="1063" spans="1:8" s="943" customFormat="1" x14ac:dyDescent="0.25">
      <c r="A1063" s="952"/>
      <c r="B1063" s="953"/>
      <c r="C1063" s="953"/>
      <c r="D1063" s="953"/>
      <c r="E1063" s="953"/>
      <c r="F1063" s="953"/>
      <c r="G1063" s="953"/>
      <c r="H1063" s="953"/>
    </row>
    <row r="1064" spans="1:8" s="943" customFormat="1" x14ac:dyDescent="0.25">
      <c r="A1064" s="952"/>
      <c r="B1064" s="953"/>
      <c r="C1064" s="953"/>
      <c r="D1064" s="953"/>
      <c r="E1064" s="953"/>
      <c r="F1064" s="953"/>
      <c r="G1064" s="953"/>
      <c r="H1064" s="953"/>
    </row>
    <row r="1065" spans="1:8" s="943" customFormat="1" x14ac:dyDescent="0.25">
      <c r="A1065" s="952"/>
      <c r="B1065" s="953"/>
      <c r="C1065" s="953"/>
      <c r="D1065" s="953"/>
      <c r="E1065" s="953"/>
      <c r="F1065" s="953"/>
      <c r="G1065" s="953"/>
      <c r="H1065" s="953"/>
    </row>
    <row r="1066" spans="1:8" s="943" customFormat="1" x14ac:dyDescent="0.25">
      <c r="A1066" s="952"/>
      <c r="B1066" s="953"/>
      <c r="C1066" s="953"/>
      <c r="D1066" s="953"/>
      <c r="E1066" s="953"/>
      <c r="F1066" s="953"/>
      <c r="G1066" s="953"/>
      <c r="H1066" s="953"/>
    </row>
    <row r="1067" spans="1:8" s="943" customFormat="1" x14ac:dyDescent="0.25">
      <c r="A1067" s="952"/>
      <c r="B1067" s="953"/>
      <c r="C1067" s="953"/>
      <c r="D1067" s="953"/>
      <c r="E1067" s="953"/>
      <c r="F1067" s="953"/>
      <c r="G1067" s="953"/>
      <c r="H1067" s="953"/>
    </row>
    <row r="1068" spans="1:8" s="943" customFormat="1" x14ac:dyDescent="0.25">
      <c r="A1068" s="952"/>
      <c r="B1068" s="953"/>
      <c r="C1068" s="953"/>
      <c r="D1068" s="953"/>
      <c r="E1068" s="953"/>
      <c r="F1068" s="953"/>
      <c r="G1068" s="953"/>
      <c r="H1068" s="953"/>
    </row>
    <row r="1069" spans="1:8" s="943" customFormat="1" x14ac:dyDescent="0.25">
      <c r="A1069" s="952"/>
      <c r="B1069" s="953"/>
      <c r="C1069" s="953"/>
      <c r="D1069" s="953"/>
      <c r="E1069" s="953"/>
      <c r="F1069" s="953"/>
      <c r="G1069" s="953"/>
      <c r="H1069" s="953"/>
    </row>
    <row r="1070" spans="1:8" s="943" customFormat="1" x14ac:dyDescent="0.25">
      <c r="A1070" s="952"/>
      <c r="B1070" s="953"/>
      <c r="C1070" s="953"/>
      <c r="D1070" s="953"/>
      <c r="E1070" s="953"/>
      <c r="F1070" s="953"/>
      <c r="G1070" s="953"/>
      <c r="H1070" s="953"/>
    </row>
    <row r="1071" spans="1:8" s="943" customFormat="1" x14ac:dyDescent="0.25">
      <c r="A1071" s="952"/>
      <c r="B1071" s="953"/>
      <c r="C1071" s="953"/>
      <c r="D1071" s="953"/>
      <c r="E1071" s="953"/>
      <c r="F1071" s="953"/>
      <c r="G1071" s="953"/>
      <c r="H1071" s="953"/>
    </row>
    <row r="1072" spans="1:8" s="943" customFormat="1" x14ac:dyDescent="0.25">
      <c r="A1072" s="952"/>
      <c r="B1072" s="953"/>
      <c r="C1072" s="953"/>
      <c r="D1072" s="953"/>
      <c r="E1072" s="953"/>
      <c r="F1072" s="953"/>
      <c r="G1072" s="953"/>
      <c r="H1072" s="953"/>
    </row>
    <row r="1073" spans="1:8" s="943" customFormat="1" x14ac:dyDescent="0.25">
      <c r="A1073" s="952"/>
      <c r="B1073" s="953"/>
      <c r="C1073" s="953"/>
      <c r="D1073" s="953"/>
      <c r="E1073" s="953"/>
      <c r="F1073" s="953"/>
      <c r="G1073" s="953"/>
      <c r="H1073" s="953"/>
    </row>
    <row r="1074" spans="1:8" s="943" customFormat="1" x14ac:dyDescent="0.25">
      <c r="A1074" s="952"/>
      <c r="B1074" s="953"/>
      <c r="C1074" s="953"/>
      <c r="D1074" s="953"/>
      <c r="E1074" s="953"/>
      <c r="F1074" s="953"/>
      <c r="G1074" s="953"/>
      <c r="H1074" s="953"/>
    </row>
    <row r="1075" spans="1:8" s="943" customFormat="1" x14ac:dyDescent="0.25">
      <c r="A1075" s="952"/>
      <c r="B1075" s="953"/>
      <c r="C1075" s="953"/>
      <c r="D1075" s="953"/>
      <c r="E1075" s="953"/>
      <c r="F1075" s="953"/>
      <c r="G1075" s="953"/>
      <c r="H1075" s="953"/>
    </row>
    <row r="1076" spans="1:8" s="943" customFormat="1" x14ac:dyDescent="0.25">
      <c r="A1076" s="952"/>
      <c r="B1076" s="953"/>
      <c r="C1076" s="953"/>
      <c r="D1076" s="953"/>
      <c r="E1076" s="953"/>
      <c r="F1076" s="953"/>
      <c r="G1076" s="953"/>
      <c r="H1076" s="953"/>
    </row>
    <row r="1077" spans="1:8" s="943" customFormat="1" x14ac:dyDescent="0.25">
      <c r="A1077" s="952"/>
      <c r="B1077" s="953"/>
      <c r="C1077" s="953"/>
      <c r="D1077" s="953"/>
      <c r="E1077" s="953"/>
      <c r="F1077" s="953"/>
      <c r="G1077" s="953"/>
      <c r="H1077" s="953"/>
    </row>
    <row r="1078" spans="1:8" s="943" customFormat="1" x14ac:dyDescent="0.25">
      <c r="A1078" s="952"/>
      <c r="B1078" s="953"/>
      <c r="C1078" s="953"/>
      <c r="D1078" s="953"/>
      <c r="E1078" s="953"/>
      <c r="F1078" s="953"/>
      <c r="G1078" s="953"/>
      <c r="H1078" s="953"/>
    </row>
    <row r="1079" spans="1:8" s="943" customFormat="1" x14ac:dyDescent="0.25">
      <c r="A1079" s="952"/>
      <c r="B1079" s="953"/>
      <c r="C1079" s="953"/>
      <c r="D1079" s="953"/>
      <c r="E1079" s="953"/>
      <c r="F1079" s="953"/>
      <c r="G1079" s="953"/>
      <c r="H1079" s="953"/>
    </row>
    <row r="1080" spans="1:8" s="943" customFormat="1" x14ac:dyDescent="0.25">
      <c r="A1080" s="952"/>
      <c r="B1080" s="953"/>
      <c r="C1080" s="953"/>
      <c r="D1080" s="953"/>
      <c r="E1080" s="953"/>
      <c r="F1080" s="953"/>
      <c r="G1080" s="953"/>
      <c r="H1080" s="953"/>
    </row>
    <row r="1081" spans="1:8" s="943" customFormat="1" x14ac:dyDescent="0.25">
      <c r="A1081" s="952"/>
      <c r="B1081" s="953"/>
      <c r="C1081" s="953"/>
      <c r="D1081" s="953"/>
      <c r="E1081" s="953"/>
      <c r="F1081" s="953"/>
      <c r="G1081" s="953"/>
      <c r="H1081" s="953"/>
    </row>
    <row r="1082" spans="1:8" s="943" customFormat="1" x14ac:dyDescent="0.25">
      <c r="A1082" s="952"/>
      <c r="B1082" s="953"/>
      <c r="C1082" s="953"/>
      <c r="D1082" s="953"/>
      <c r="E1082" s="953"/>
      <c r="F1082" s="953"/>
      <c r="G1082" s="953"/>
      <c r="H1082" s="953"/>
    </row>
    <row r="1083" spans="1:8" s="943" customFormat="1" x14ac:dyDescent="0.25">
      <c r="A1083" s="952"/>
      <c r="B1083" s="953"/>
      <c r="C1083" s="953"/>
      <c r="D1083" s="953"/>
      <c r="E1083" s="953"/>
      <c r="F1083" s="953"/>
      <c r="G1083" s="953"/>
      <c r="H1083" s="953"/>
    </row>
    <row r="1084" spans="1:8" s="943" customFormat="1" x14ac:dyDescent="0.25">
      <c r="A1084" s="952"/>
      <c r="B1084" s="953"/>
      <c r="C1084" s="953"/>
      <c r="D1084" s="953"/>
      <c r="E1084" s="953"/>
      <c r="F1084" s="953"/>
      <c r="G1084" s="953"/>
      <c r="H1084" s="953"/>
    </row>
    <row r="1085" spans="1:8" s="943" customFormat="1" x14ac:dyDescent="0.25">
      <c r="A1085" s="952"/>
      <c r="B1085" s="953"/>
      <c r="C1085" s="953"/>
      <c r="D1085" s="953"/>
      <c r="E1085" s="953"/>
      <c r="F1085" s="953"/>
      <c r="G1085" s="953"/>
      <c r="H1085" s="953"/>
    </row>
    <row r="1086" spans="1:8" s="943" customFormat="1" x14ac:dyDescent="0.25">
      <c r="A1086" s="952"/>
      <c r="B1086" s="953"/>
      <c r="C1086" s="953"/>
      <c r="D1086" s="953"/>
      <c r="E1086" s="953"/>
      <c r="F1086" s="953"/>
      <c r="G1086" s="953"/>
      <c r="H1086" s="953"/>
    </row>
    <row r="1087" spans="1:8" s="943" customFormat="1" x14ac:dyDescent="0.25">
      <c r="A1087" s="952"/>
      <c r="B1087" s="953"/>
      <c r="C1087" s="953"/>
      <c r="D1087" s="953"/>
      <c r="E1087" s="953"/>
      <c r="F1087" s="953"/>
      <c r="G1087" s="953"/>
      <c r="H1087" s="953"/>
    </row>
    <row r="1088" spans="1:8" s="943" customFormat="1" x14ac:dyDescent="0.25">
      <c r="A1088" s="952"/>
      <c r="B1088" s="953"/>
      <c r="C1088" s="953"/>
      <c r="D1088" s="953"/>
      <c r="E1088" s="953"/>
      <c r="F1088" s="953"/>
      <c r="G1088" s="953"/>
      <c r="H1088" s="953"/>
    </row>
    <row r="1089" spans="1:8" s="943" customFormat="1" x14ac:dyDescent="0.25">
      <c r="A1089" s="952"/>
      <c r="B1089" s="953"/>
      <c r="C1089" s="953"/>
      <c r="D1089" s="953"/>
      <c r="E1089" s="953"/>
      <c r="F1089" s="953"/>
      <c r="G1089" s="953"/>
      <c r="H1089" s="953"/>
    </row>
    <row r="1090" spans="1:8" s="943" customFormat="1" x14ac:dyDescent="0.25">
      <c r="A1090" s="952"/>
      <c r="B1090" s="953"/>
      <c r="C1090" s="953"/>
      <c r="D1090" s="953"/>
      <c r="E1090" s="953"/>
      <c r="F1090" s="953"/>
      <c r="G1090" s="953"/>
      <c r="H1090" s="953"/>
    </row>
    <row r="1091" spans="1:8" s="943" customFormat="1" x14ac:dyDescent="0.25">
      <c r="A1091" s="952"/>
      <c r="B1091" s="953"/>
      <c r="C1091" s="953"/>
      <c r="D1091" s="953"/>
      <c r="E1091" s="953"/>
      <c r="F1091" s="953"/>
      <c r="G1091" s="953"/>
      <c r="H1091" s="953"/>
    </row>
    <row r="1092" spans="1:8" s="943" customFormat="1" x14ac:dyDescent="0.25">
      <c r="A1092" s="952"/>
      <c r="B1092" s="953"/>
      <c r="C1092" s="953"/>
      <c r="D1092" s="953"/>
      <c r="E1092" s="953"/>
      <c r="F1092" s="953"/>
      <c r="G1092" s="953"/>
      <c r="H1092" s="953"/>
    </row>
    <row r="1093" spans="1:8" s="943" customFormat="1" x14ac:dyDescent="0.25">
      <c r="A1093" s="952"/>
      <c r="B1093" s="953"/>
      <c r="C1093" s="953"/>
      <c r="D1093" s="953"/>
      <c r="E1093" s="953"/>
      <c r="F1093" s="953"/>
      <c r="G1093" s="953"/>
      <c r="H1093" s="953"/>
    </row>
    <row r="1094" spans="1:8" s="943" customFormat="1" x14ac:dyDescent="0.25">
      <c r="A1094" s="952"/>
      <c r="B1094" s="953"/>
      <c r="C1094" s="953"/>
      <c r="D1094" s="953"/>
      <c r="E1094" s="953"/>
      <c r="F1094" s="953"/>
      <c r="G1094" s="953"/>
      <c r="H1094" s="953"/>
    </row>
    <row r="1095" spans="1:8" s="943" customFormat="1" x14ac:dyDescent="0.25">
      <c r="A1095" s="952"/>
      <c r="B1095" s="953"/>
      <c r="C1095" s="953"/>
      <c r="D1095" s="953"/>
      <c r="E1095" s="953"/>
      <c r="F1095" s="953"/>
      <c r="G1095" s="953"/>
      <c r="H1095" s="953"/>
    </row>
    <row r="1096" spans="1:8" s="943" customFormat="1" x14ac:dyDescent="0.25">
      <c r="A1096" s="952"/>
      <c r="B1096" s="953"/>
      <c r="C1096" s="953"/>
      <c r="D1096" s="953"/>
      <c r="E1096" s="953"/>
      <c r="F1096" s="953"/>
      <c r="G1096" s="953"/>
      <c r="H1096" s="953"/>
    </row>
    <row r="1097" spans="1:8" s="943" customFormat="1" x14ac:dyDescent="0.25">
      <c r="A1097" s="952"/>
      <c r="B1097" s="953"/>
      <c r="C1097" s="953"/>
      <c r="D1097" s="953"/>
      <c r="E1097" s="953"/>
      <c r="F1097" s="953"/>
      <c r="G1097" s="953"/>
      <c r="H1097" s="953"/>
    </row>
    <row r="1098" spans="1:8" s="943" customFormat="1" x14ac:dyDescent="0.25">
      <c r="A1098" s="952"/>
      <c r="B1098" s="953"/>
      <c r="C1098" s="953"/>
      <c r="D1098" s="953"/>
      <c r="E1098" s="953"/>
      <c r="F1098" s="953"/>
      <c r="G1098" s="953"/>
      <c r="H1098" s="953"/>
    </row>
    <row r="1099" spans="1:8" s="943" customFormat="1" x14ac:dyDescent="0.25">
      <c r="A1099" s="952"/>
      <c r="B1099" s="953"/>
      <c r="C1099" s="953"/>
      <c r="D1099" s="953"/>
      <c r="E1099" s="953"/>
      <c r="F1099" s="953"/>
      <c r="G1099" s="953"/>
      <c r="H1099" s="953"/>
    </row>
    <row r="1100" spans="1:8" s="943" customFormat="1" x14ac:dyDescent="0.25">
      <c r="A1100" s="952"/>
      <c r="B1100" s="953"/>
      <c r="C1100" s="953"/>
      <c r="D1100" s="953"/>
      <c r="E1100" s="953"/>
      <c r="F1100" s="953"/>
      <c r="G1100" s="953"/>
      <c r="H1100" s="953"/>
    </row>
    <row r="1101" spans="1:8" s="943" customFormat="1" x14ac:dyDescent="0.25">
      <c r="A1101" s="952"/>
      <c r="B1101" s="953"/>
      <c r="C1101" s="953"/>
      <c r="D1101" s="953"/>
      <c r="E1101" s="953"/>
      <c r="F1101" s="953"/>
      <c r="G1101" s="953"/>
      <c r="H1101" s="953"/>
    </row>
    <row r="1102" spans="1:8" s="943" customFormat="1" x14ac:dyDescent="0.25">
      <c r="A1102" s="952"/>
      <c r="B1102" s="953"/>
      <c r="C1102" s="953"/>
      <c r="D1102" s="953"/>
      <c r="E1102" s="953"/>
      <c r="F1102" s="953"/>
      <c r="G1102" s="953"/>
      <c r="H1102" s="953"/>
    </row>
    <row r="1103" spans="1:8" s="943" customFormat="1" x14ac:dyDescent="0.25">
      <c r="A1103" s="952"/>
      <c r="B1103" s="953"/>
      <c r="C1103" s="953"/>
      <c r="D1103" s="953"/>
      <c r="E1103" s="953"/>
      <c r="F1103" s="953"/>
      <c r="G1103" s="953"/>
      <c r="H1103" s="953"/>
    </row>
    <row r="1104" spans="1:8" s="943" customFormat="1" x14ac:dyDescent="0.25">
      <c r="A1104" s="952"/>
      <c r="B1104" s="953"/>
      <c r="C1104" s="953"/>
      <c r="D1104" s="953"/>
      <c r="E1104" s="953"/>
      <c r="F1104" s="953"/>
      <c r="G1104" s="953"/>
      <c r="H1104" s="953"/>
    </row>
    <row r="1105" spans="1:8" s="943" customFormat="1" x14ac:dyDescent="0.25">
      <c r="A1105" s="952"/>
      <c r="B1105" s="953"/>
      <c r="C1105" s="953"/>
      <c r="D1105" s="953"/>
      <c r="E1105" s="953"/>
      <c r="F1105" s="953"/>
      <c r="G1105" s="953"/>
      <c r="H1105" s="953"/>
    </row>
    <row r="1106" spans="1:8" s="943" customFormat="1" x14ac:dyDescent="0.25">
      <c r="A1106" s="952"/>
      <c r="B1106" s="953"/>
      <c r="C1106" s="953"/>
      <c r="D1106" s="953"/>
      <c r="E1106" s="953"/>
      <c r="F1106" s="953"/>
      <c r="G1106" s="953"/>
      <c r="H1106" s="953"/>
    </row>
    <row r="1107" spans="1:8" s="943" customFormat="1" x14ac:dyDescent="0.25">
      <c r="A1107" s="952"/>
      <c r="B1107" s="953"/>
      <c r="C1107" s="953"/>
      <c r="D1107" s="953"/>
      <c r="E1107" s="953"/>
      <c r="F1107" s="953"/>
      <c r="G1107" s="953"/>
      <c r="H1107" s="953"/>
    </row>
    <row r="1108" spans="1:8" s="943" customFormat="1" x14ac:dyDescent="0.25">
      <c r="A1108" s="952"/>
      <c r="B1108" s="953"/>
      <c r="C1108" s="953"/>
      <c r="D1108" s="953"/>
      <c r="E1108" s="953"/>
      <c r="F1108" s="953"/>
      <c r="G1108" s="953"/>
      <c r="H1108" s="953"/>
    </row>
    <row r="1109" spans="1:8" s="943" customFormat="1" x14ac:dyDescent="0.25">
      <c r="A1109" s="952"/>
      <c r="B1109" s="953"/>
      <c r="C1109" s="953"/>
      <c r="D1109" s="953"/>
      <c r="E1109" s="953"/>
      <c r="F1109" s="953"/>
      <c r="G1109" s="953"/>
      <c r="H1109" s="953"/>
    </row>
    <row r="1110" spans="1:8" s="943" customFormat="1" x14ac:dyDescent="0.25">
      <c r="A1110" s="952"/>
      <c r="B1110" s="953"/>
      <c r="C1110" s="953"/>
      <c r="D1110" s="953"/>
      <c r="E1110" s="953"/>
      <c r="F1110" s="953"/>
      <c r="G1110" s="953"/>
      <c r="H1110" s="953"/>
    </row>
    <row r="1111" spans="1:8" s="943" customFormat="1" x14ac:dyDescent="0.25">
      <c r="A1111" s="952"/>
      <c r="B1111" s="953"/>
      <c r="C1111" s="953"/>
      <c r="D1111" s="953"/>
      <c r="E1111" s="953"/>
      <c r="F1111" s="953"/>
      <c r="G1111" s="953"/>
      <c r="H1111" s="953"/>
    </row>
    <row r="1112" spans="1:8" s="943" customFormat="1" x14ac:dyDescent="0.25">
      <c r="A1112" s="952"/>
      <c r="B1112" s="953"/>
      <c r="C1112" s="953"/>
      <c r="D1112" s="953"/>
      <c r="E1112" s="953"/>
      <c r="F1112" s="953"/>
      <c r="G1112" s="953"/>
      <c r="H1112" s="953"/>
    </row>
    <row r="1113" spans="1:8" s="943" customFormat="1" x14ac:dyDescent="0.25">
      <c r="A1113" s="952"/>
      <c r="B1113" s="953"/>
      <c r="C1113" s="953"/>
      <c r="D1113" s="953"/>
      <c r="E1113" s="953"/>
      <c r="F1113" s="953"/>
      <c r="G1113" s="953"/>
      <c r="H1113" s="953"/>
    </row>
    <row r="1114" spans="1:8" s="943" customFormat="1" x14ac:dyDescent="0.25">
      <c r="A1114" s="952"/>
      <c r="B1114" s="953"/>
      <c r="C1114" s="953"/>
      <c r="D1114" s="953"/>
      <c r="E1114" s="953"/>
      <c r="F1114" s="953"/>
      <c r="G1114" s="953"/>
      <c r="H1114" s="953"/>
    </row>
    <row r="1115" spans="1:8" s="943" customFormat="1" x14ac:dyDescent="0.25">
      <c r="A1115" s="952"/>
      <c r="B1115" s="953"/>
      <c r="C1115" s="953"/>
      <c r="D1115" s="953"/>
      <c r="E1115" s="953"/>
      <c r="F1115" s="953"/>
      <c r="G1115" s="953"/>
      <c r="H1115" s="953"/>
    </row>
    <row r="1116" spans="1:8" s="943" customFormat="1" x14ac:dyDescent="0.25">
      <c r="A1116" s="952"/>
      <c r="B1116" s="953"/>
      <c r="C1116" s="953"/>
      <c r="D1116" s="953"/>
      <c r="E1116" s="953"/>
      <c r="F1116" s="953"/>
      <c r="G1116" s="953"/>
      <c r="H1116" s="953"/>
    </row>
    <row r="1117" spans="1:8" s="943" customFormat="1" x14ac:dyDescent="0.25">
      <c r="A1117" s="952"/>
      <c r="B1117" s="953"/>
      <c r="C1117" s="953"/>
      <c r="D1117" s="953"/>
      <c r="E1117" s="953"/>
      <c r="F1117" s="953"/>
      <c r="G1117" s="953"/>
      <c r="H1117" s="953"/>
    </row>
    <row r="1118" spans="1:8" s="943" customFormat="1" x14ac:dyDescent="0.25">
      <c r="A1118" s="952"/>
      <c r="B1118" s="953"/>
      <c r="C1118" s="953"/>
      <c r="D1118" s="953"/>
      <c r="E1118" s="953"/>
      <c r="F1118" s="953"/>
      <c r="G1118" s="953"/>
      <c r="H1118" s="953"/>
    </row>
    <row r="1119" spans="1:8" s="943" customFormat="1" x14ac:dyDescent="0.25">
      <c r="A1119" s="952"/>
      <c r="B1119" s="953"/>
      <c r="C1119" s="953"/>
      <c r="D1119" s="953"/>
      <c r="E1119" s="953"/>
      <c r="F1119" s="953"/>
      <c r="G1119" s="953"/>
      <c r="H1119" s="953"/>
    </row>
    <row r="1120" spans="1:8" s="943" customFormat="1" x14ac:dyDescent="0.25">
      <c r="A1120" s="952"/>
      <c r="B1120" s="953"/>
      <c r="C1120" s="953"/>
      <c r="D1120" s="953"/>
      <c r="E1120" s="953"/>
      <c r="F1120" s="953"/>
      <c r="G1120" s="953"/>
      <c r="H1120" s="953"/>
    </row>
    <row r="1121" spans="1:8" s="943" customFormat="1" x14ac:dyDescent="0.25">
      <c r="A1121" s="952"/>
      <c r="B1121" s="953"/>
      <c r="C1121" s="953"/>
      <c r="D1121" s="953"/>
      <c r="E1121" s="953"/>
      <c r="F1121" s="953"/>
      <c r="G1121" s="953"/>
      <c r="H1121" s="953"/>
    </row>
    <row r="1122" spans="1:8" s="943" customFormat="1" x14ac:dyDescent="0.25">
      <c r="A1122" s="952"/>
      <c r="B1122" s="953"/>
      <c r="C1122" s="953"/>
      <c r="D1122" s="953"/>
      <c r="E1122" s="953"/>
      <c r="F1122" s="953"/>
      <c r="G1122" s="953"/>
      <c r="H1122" s="953"/>
    </row>
    <row r="1123" spans="1:8" s="943" customFormat="1" x14ac:dyDescent="0.25">
      <c r="A1123" s="952"/>
      <c r="B1123" s="953"/>
      <c r="C1123" s="953"/>
      <c r="D1123" s="953"/>
      <c r="E1123" s="953"/>
      <c r="F1123" s="953"/>
      <c r="G1123" s="953"/>
      <c r="H1123" s="953"/>
    </row>
    <row r="1124" spans="1:8" s="943" customFormat="1" x14ac:dyDescent="0.25">
      <c r="A1124" s="952"/>
      <c r="B1124" s="953"/>
      <c r="C1124" s="953"/>
      <c r="D1124" s="953"/>
      <c r="E1124" s="953"/>
      <c r="F1124" s="953"/>
      <c r="G1124" s="953"/>
      <c r="H1124" s="953"/>
    </row>
    <row r="1125" spans="1:8" s="943" customFormat="1" x14ac:dyDescent="0.25">
      <c r="A1125" s="952"/>
      <c r="B1125" s="953"/>
      <c r="C1125" s="953"/>
      <c r="D1125" s="953"/>
      <c r="E1125" s="953"/>
      <c r="F1125" s="953"/>
      <c r="G1125" s="953"/>
      <c r="H1125" s="953"/>
    </row>
    <row r="1126" spans="1:8" s="943" customFormat="1" x14ac:dyDescent="0.25">
      <c r="A1126" s="952"/>
      <c r="B1126" s="953"/>
      <c r="C1126" s="953"/>
      <c r="D1126" s="953"/>
      <c r="E1126" s="953"/>
      <c r="F1126" s="953"/>
      <c r="G1126" s="953"/>
      <c r="H1126" s="953"/>
    </row>
    <row r="1127" spans="1:8" s="943" customFormat="1" x14ac:dyDescent="0.25">
      <c r="A1127" s="952"/>
      <c r="B1127" s="953"/>
      <c r="C1127" s="953"/>
      <c r="D1127" s="953"/>
      <c r="E1127" s="953"/>
      <c r="F1127" s="953"/>
      <c r="G1127" s="953"/>
      <c r="H1127" s="953"/>
    </row>
    <row r="1128" spans="1:8" s="943" customFormat="1" x14ac:dyDescent="0.25">
      <c r="A1128" s="952"/>
      <c r="B1128" s="953"/>
      <c r="C1128" s="953"/>
      <c r="D1128" s="953"/>
      <c r="E1128" s="953"/>
      <c r="F1128" s="953"/>
      <c r="G1128" s="953"/>
      <c r="H1128" s="953"/>
    </row>
    <row r="1129" spans="1:8" s="943" customFormat="1" x14ac:dyDescent="0.25">
      <c r="A1129" s="952"/>
      <c r="B1129" s="953"/>
      <c r="C1129" s="953"/>
      <c r="D1129" s="953"/>
      <c r="E1129" s="953"/>
      <c r="F1129" s="953"/>
      <c r="G1129" s="953"/>
      <c r="H1129" s="953"/>
    </row>
    <row r="1130" spans="1:8" s="943" customFormat="1" x14ac:dyDescent="0.25">
      <c r="A1130" s="952"/>
      <c r="B1130" s="953"/>
      <c r="C1130" s="953"/>
      <c r="D1130" s="953"/>
      <c r="E1130" s="953"/>
      <c r="F1130" s="953"/>
      <c r="G1130" s="953"/>
      <c r="H1130" s="953"/>
    </row>
    <row r="1131" spans="1:8" s="943" customFormat="1" x14ac:dyDescent="0.25">
      <c r="A1131" s="952"/>
      <c r="B1131" s="953"/>
      <c r="C1131" s="953"/>
      <c r="D1131" s="953"/>
      <c r="E1131" s="953"/>
      <c r="F1131" s="953"/>
      <c r="G1131" s="953"/>
      <c r="H1131" s="953"/>
    </row>
    <row r="1132" spans="1:8" s="943" customFormat="1" x14ac:dyDescent="0.25">
      <c r="A1132" s="952"/>
      <c r="B1132" s="953"/>
      <c r="C1132" s="953"/>
      <c r="D1132" s="953"/>
      <c r="E1132" s="953"/>
      <c r="F1132" s="953"/>
      <c r="G1132" s="953"/>
      <c r="H1132" s="953"/>
    </row>
    <row r="1133" spans="1:8" s="943" customFormat="1" x14ac:dyDescent="0.25">
      <c r="A1133" s="952"/>
      <c r="B1133" s="953"/>
      <c r="C1133" s="953"/>
      <c r="D1133" s="953"/>
      <c r="E1133" s="953"/>
      <c r="F1133" s="953"/>
      <c r="G1133" s="953"/>
      <c r="H1133" s="953"/>
    </row>
    <row r="1134" spans="1:8" s="943" customFormat="1" x14ac:dyDescent="0.25">
      <c r="A1134" s="952"/>
      <c r="B1134" s="953"/>
      <c r="C1134" s="953"/>
      <c r="D1134" s="953"/>
      <c r="E1134" s="953"/>
      <c r="F1134" s="953"/>
      <c r="G1134" s="953"/>
      <c r="H1134" s="953"/>
    </row>
    <row r="1135" spans="1:8" s="943" customFormat="1" x14ac:dyDescent="0.25">
      <c r="A1135" s="952"/>
      <c r="B1135" s="953"/>
      <c r="C1135" s="953"/>
      <c r="D1135" s="953"/>
      <c r="E1135" s="953"/>
      <c r="F1135" s="953"/>
      <c r="G1135" s="953"/>
      <c r="H1135" s="953"/>
    </row>
    <row r="1136" spans="1:8" s="943" customFormat="1" x14ac:dyDescent="0.25">
      <c r="A1136" s="952"/>
      <c r="B1136" s="953"/>
      <c r="C1136" s="953"/>
      <c r="D1136" s="953"/>
      <c r="E1136" s="953"/>
      <c r="F1136" s="953"/>
      <c r="G1136" s="953"/>
      <c r="H1136" s="953"/>
    </row>
    <row r="1137" spans="1:8" s="943" customFormat="1" x14ac:dyDescent="0.25">
      <c r="A1137" s="952"/>
      <c r="B1137" s="953"/>
      <c r="C1137" s="953"/>
      <c r="D1137" s="953"/>
      <c r="E1137" s="953"/>
      <c r="F1137" s="953"/>
      <c r="G1137" s="953"/>
      <c r="H1137" s="953"/>
    </row>
    <row r="1138" spans="1:8" s="943" customFormat="1" x14ac:dyDescent="0.25">
      <c r="A1138" s="952"/>
      <c r="B1138" s="953"/>
      <c r="C1138" s="953"/>
      <c r="D1138" s="953"/>
      <c r="E1138" s="953"/>
      <c r="F1138" s="953"/>
      <c r="G1138" s="953"/>
      <c r="H1138" s="953"/>
    </row>
    <row r="1139" spans="1:8" s="943" customFormat="1" x14ac:dyDescent="0.25">
      <c r="A1139" s="952"/>
      <c r="B1139" s="953"/>
      <c r="C1139" s="953"/>
      <c r="D1139" s="953"/>
      <c r="E1139" s="953"/>
      <c r="F1139" s="953"/>
      <c r="G1139" s="953"/>
      <c r="H1139" s="953"/>
    </row>
    <row r="1140" spans="1:8" s="943" customFormat="1" x14ac:dyDescent="0.25">
      <c r="A1140" s="952"/>
      <c r="B1140" s="953"/>
      <c r="C1140" s="953"/>
      <c r="D1140" s="953"/>
      <c r="E1140" s="953"/>
      <c r="F1140" s="953"/>
      <c r="G1140" s="953"/>
      <c r="H1140" s="953"/>
    </row>
    <row r="1141" spans="1:8" s="943" customFormat="1" x14ac:dyDescent="0.25">
      <c r="A1141" s="952"/>
      <c r="B1141" s="953"/>
      <c r="C1141" s="953"/>
      <c r="D1141" s="953"/>
      <c r="E1141" s="953"/>
      <c r="F1141" s="953"/>
      <c r="G1141" s="953"/>
      <c r="H1141" s="953"/>
    </row>
    <row r="1142" spans="1:8" s="943" customFormat="1" x14ac:dyDescent="0.25">
      <c r="A1142" s="952"/>
      <c r="B1142" s="953"/>
      <c r="C1142" s="953"/>
      <c r="D1142" s="953"/>
      <c r="E1142" s="953"/>
      <c r="F1142" s="953"/>
      <c r="G1142" s="953"/>
      <c r="H1142" s="953"/>
    </row>
    <row r="1143" spans="1:8" s="943" customFormat="1" x14ac:dyDescent="0.25">
      <c r="A1143" s="952"/>
      <c r="B1143" s="953"/>
      <c r="C1143" s="953"/>
      <c r="D1143" s="953"/>
      <c r="E1143" s="953"/>
      <c r="F1143" s="953"/>
      <c r="G1143" s="953"/>
      <c r="H1143" s="953"/>
    </row>
    <row r="1144" spans="1:8" s="943" customFormat="1" x14ac:dyDescent="0.25">
      <c r="A1144" s="952"/>
      <c r="B1144" s="953"/>
      <c r="C1144" s="953"/>
      <c r="D1144" s="953"/>
      <c r="E1144" s="953"/>
      <c r="F1144" s="953"/>
      <c r="G1144" s="953"/>
      <c r="H1144" s="953"/>
    </row>
    <row r="1145" spans="1:8" s="943" customFormat="1" x14ac:dyDescent="0.25">
      <c r="A1145" s="952"/>
      <c r="B1145" s="953"/>
      <c r="C1145" s="953"/>
      <c r="D1145" s="953"/>
      <c r="E1145" s="953"/>
      <c r="F1145" s="953"/>
      <c r="G1145" s="953"/>
      <c r="H1145" s="953"/>
    </row>
    <row r="1146" spans="1:8" s="943" customFormat="1" x14ac:dyDescent="0.25">
      <c r="A1146" s="952"/>
      <c r="B1146" s="953"/>
      <c r="C1146" s="953"/>
      <c r="D1146" s="953"/>
      <c r="E1146" s="953"/>
      <c r="F1146" s="953"/>
      <c r="G1146" s="953"/>
      <c r="H1146" s="953"/>
    </row>
    <row r="1147" spans="1:8" s="943" customFormat="1" x14ac:dyDescent="0.25">
      <c r="A1147" s="952"/>
      <c r="B1147" s="953"/>
      <c r="C1147" s="953"/>
      <c r="D1147" s="953"/>
      <c r="E1147" s="953"/>
      <c r="F1147" s="953"/>
      <c r="G1147" s="953"/>
      <c r="H1147" s="953"/>
    </row>
    <row r="1148" spans="1:8" s="943" customFormat="1" x14ac:dyDescent="0.25">
      <c r="A1148" s="952"/>
      <c r="B1148" s="953"/>
      <c r="C1148" s="953"/>
      <c r="D1148" s="953"/>
      <c r="E1148" s="953"/>
      <c r="F1148" s="953"/>
      <c r="G1148" s="953"/>
      <c r="H1148" s="953"/>
    </row>
    <row r="1149" spans="1:8" s="943" customFormat="1" x14ac:dyDescent="0.25">
      <c r="A1149" s="952"/>
      <c r="B1149" s="953"/>
      <c r="C1149" s="953"/>
      <c r="D1149" s="953"/>
      <c r="E1149" s="953"/>
      <c r="F1149" s="953"/>
      <c r="G1149" s="953"/>
      <c r="H1149" s="953"/>
    </row>
    <row r="1150" spans="1:8" s="943" customFormat="1" x14ac:dyDescent="0.25">
      <c r="A1150" s="952"/>
      <c r="B1150" s="953"/>
      <c r="C1150" s="953"/>
      <c r="D1150" s="953"/>
      <c r="E1150" s="953"/>
      <c r="F1150" s="953"/>
      <c r="G1150" s="953"/>
      <c r="H1150" s="953"/>
    </row>
    <row r="1151" spans="1:8" s="943" customFormat="1" x14ac:dyDescent="0.25">
      <c r="A1151" s="952"/>
      <c r="B1151" s="953"/>
      <c r="C1151" s="953"/>
      <c r="D1151" s="953"/>
      <c r="E1151" s="953"/>
      <c r="F1151" s="953"/>
      <c r="G1151" s="953"/>
      <c r="H1151" s="953"/>
    </row>
    <row r="1152" spans="1:8" s="943" customFormat="1" x14ac:dyDescent="0.25">
      <c r="A1152" s="952"/>
      <c r="B1152" s="953"/>
      <c r="C1152" s="953"/>
      <c r="D1152" s="953"/>
      <c r="E1152" s="953"/>
      <c r="F1152" s="953"/>
      <c r="G1152" s="953"/>
      <c r="H1152" s="953"/>
    </row>
    <row r="1153" spans="1:8" s="943" customFormat="1" x14ac:dyDescent="0.25">
      <c r="A1153" s="952"/>
      <c r="B1153" s="953"/>
      <c r="C1153" s="953"/>
      <c r="D1153" s="953"/>
      <c r="E1153" s="953"/>
      <c r="F1153" s="953"/>
      <c r="G1153" s="953"/>
      <c r="H1153" s="953"/>
    </row>
    <row r="1154" spans="1:8" s="943" customFormat="1" x14ac:dyDescent="0.25">
      <c r="A1154" s="952"/>
      <c r="B1154" s="953"/>
      <c r="C1154" s="953"/>
      <c r="D1154" s="953"/>
      <c r="E1154" s="953"/>
      <c r="F1154" s="953"/>
      <c r="G1154" s="953"/>
      <c r="H1154" s="953"/>
    </row>
    <row r="1155" spans="1:8" s="943" customFormat="1" x14ac:dyDescent="0.25">
      <c r="A1155" s="952"/>
      <c r="B1155" s="953"/>
      <c r="C1155" s="953"/>
      <c r="D1155" s="953"/>
      <c r="E1155" s="953"/>
      <c r="F1155" s="953"/>
      <c r="G1155" s="953"/>
      <c r="H1155" s="953"/>
    </row>
    <row r="1156" spans="1:8" s="943" customFormat="1" x14ac:dyDescent="0.25">
      <c r="A1156" s="952"/>
      <c r="B1156" s="953"/>
      <c r="C1156" s="953"/>
      <c r="D1156" s="953"/>
      <c r="E1156" s="953"/>
      <c r="F1156" s="953"/>
      <c r="G1156" s="953"/>
      <c r="H1156" s="953"/>
    </row>
    <row r="1157" spans="1:8" s="943" customFormat="1" x14ac:dyDescent="0.25">
      <c r="A1157" s="952"/>
      <c r="B1157" s="953"/>
      <c r="C1157" s="953"/>
      <c r="D1157" s="953"/>
      <c r="E1157" s="953"/>
      <c r="F1157" s="953"/>
      <c r="G1157" s="953"/>
      <c r="H1157" s="953"/>
    </row>
    <row r="1158" spans="1:8" s="943" customFormat="1" x14ac:dyDescent="0.25">
      <c r="A1158" s="952"/>
      <c r="B1158" s="953"/>
      <c r="C1158" s="953"/>
      <c r="D1158" s="953"/>
      <c r="E1158" s="953"/>
      <c r="F1158" s="953"/>
      <c r="G1158" s="953"/>
      <c r="H1158" s="953"/>
    </row>
    <row r="1159" spans="1:8" s="943" customFormat="1" x14ac:dyDescent="0.25">
      <c r="A1159" s="952"/>
      <c r="B1159" s="953"/>
      <c r="C1159" s="953"/>
      <c r="D1159" s="953"/>
      <c r="E1159" s="953"/>
      <c r="F1159" s="953"/>
      <c r="G1159" s="953"/>
      <c r="H1159" s="953"/>
    </row>
    <row r="1160" spans="1:8" s="943" customFormat="1" x14ac:dyDescent="0.25">
      <c r="A1160" s="952"/>
      <c r="B1160" s="953"/>
      <c r="C1160" s="953"/>
      <c r="D1160" s="953"/>
      <c r="E1160" s="953"/>
      <c r="F1160" s="953"/>
      <c r="G1160" s="953"/>
      <c r="H1160" s="953"/>
    </row>
    <row r="1161" spans="1:8" s="943" customFormat="1" x14ac:dyDescent="0.25">
      <c r="A1161" s="952"/>
      <c r="B1161" s="953"/>
      <c r="C1161" s="953"/>
      <c r="D1161" s="953"/>
      <c r="E1161" s="953"/>
      <c r="F1161" s="953"/>
      <c r="G1161" s="953"/>
      <c r="H1161" s="953"/>
    </row>
    <row r="1162" spans="1:8" s="943" customFormat="1" x14ac:dyDescent="0.25">
      <c r="A1162" s="952"/>
      <c r="B1162" s="953"/>
      <c r="C1162" s="953"/>
      <c r="D1162" s="953"/>
      <c r="E1162" s="953"/>
      <c r="F1162" s="953"/>
      <c r="G1162" s="953"/>
      <c r="H1162" s="953"/>
    </row>
    <row r="1163" spans="1:8" s="943" customFormat="1" x14ac:dyDescent="0.25">
      <c r="A1163" s="952"/>
      <c r="B1163" s="953"/>
      <c r="C1163" s="953"/>
      <c r="D1163" s="953"/>
      <c r="E1163" s="953"/>
      <c r="F1163" s="953"/>
      <c r="G1163" s="953"/>
      <c r="H1163" s="953"/>
    </row>
    <row r="1164" spans="1:8" s="943" customFormat="1" x14ac:dyDescent="0.25">
      <c r="A1164" s="952"/>
      <c r="B1164" s="953"/>
      <c r="C1164" s="953"/>
      <c r="D1164" s="953"/>
      <c r="E1164" s="953"/>
      <c r="F1164" s="953"/>
      <c r="G1164" s="953"/>
      <c r="H1164" s="953"/>
    </row>
    <row r="1165" spans="1:8" s="943" customFormat="1" x14ac:dyDescent="0.25">
      <c r="A1165" s="952"/>
      <c r="B1165" s="953"/>
      <c r="C1165" s="953"/>
      <c r="D1165" s="953"/>
      <c r="E1165" s="953"/>
      <c r="F1165" s="953"/>
      <c r="G1165" s="953"/>
      <c r="H1165" s="953"/>
    </row>
    <row r="1166" spans="1:8" s="943" customFormat="1" x14ac:dyDescent="0.25">
      <c r="A1166" s="952"/>
      <c r="B1166" s="953"/>
      <c r="C1166" s="953"/>
      <c r="D1166" s="953"/>
      <c r="E1166" s="953"/>
      <c r="F1166" s="953"/>
      <c r="G1166" s="953"/>
      <c r="H1166" s="953"/>
    </row>
    <row r="1167" spans="1:8" s="943" customFormat="1" x14ac:dyDescent="0.25">
      <c r="A1167" s="952"/>
      <c r="B1167" s="953"/>
      <c r="C1167" s="953"/>
      <c r="D1167" s="953"/>
      <c r="E1167" s="953"/>
      <c r="F1167" s="953"/>
      <c r="G1167" s="953"/>
      <c r="H1167" s="953"/>
    </row>
    <row r="1168" spans="1:8" s="943" customFormat="1" x14ac:dyDescent="0.25">
      <c r="A1168" s="952"/>
      <c r="B1168" s="953"/>
      <c r="C1168" s="953"/>
      <c r="D1168" s="953"/>
      <c r="E1168" s="953"/>
      <c r="F1168" s="953"/>
      <c r="G1168" s="953"/>
      <c r="H1168" s="953"/>
    </row>
    <row r="1169" spans="1:8" s="943" customFormat="1" x14ac:dyDescent="0.25">
      <c r="A1169" s="952"/>
      <c r="B1169" s="953"/>
      <c r="C1169" s="953"/>
      <c r="D1169" s="953"/>
      <c r="E1169" s="953"/>
      <c r="F1169" s="953"/>
      <c r="G1169" s="953"/>
      <c r="H1169" s="953"/>
    </row>
    <row r="1170" spans="1:8" s="943" customFormat="1" x14ac:dyDescent="0.25">
      <c r="A1170" s="952"/>
      <c r="B1170" s="953"/>
      <c r="C1170" s="953"/>
      <c r="D1170" s="953"/>
      <c r="E1170" s="953"/>
      <c r="F1170" s="953"/>
      <c r="G1170" s="953"/>
      <c r="H1170" s="953"/>
    </row>
    <row r="1171" spans="1:8" s="943" customFormat="1" x14ac:dyDescent="0.25">
      <c r="A1171" s="952"/>
      <c r="B1171" s="953"/>
      <c r="C1171" s="953"/>
      <c r="D1171" s="953"/>
      <c r="E1171" s="953"/>
      <c r="F1171" s="953"/>
      <c r="G1171" s="953"/>
      <c r="H1171" s="953"/>
    </row>
    <row r="1172" spans="1:8" s="943" customFormat="1" x14ac:dyDescent="0.25">
      <c r="A1172" s="952"/>
      <c r="B1172" s="953"/>
      <c r="C1172" s="953"/>
      <c r="D1172" s="953"/>
      <c r="E1172" s="953"/>
      <c r="F1172" s="953"/>
      <c r="G1172" s="953"/>
      <c r="H1172" s="953"/>
    </row>
    <row r="1173" spans="1:8" s="943" customFormat="1" x14ac:dyDescent="0.25">
      <c r="A1173" s="952"/>
      <c r="B1173" s="953"/>
      <c r="C1173" s="953"/>
      <c r="D1173" s="953"/>
      <c r="E1173" s="953"/>
      <c r="F1173" s="953"/>
      <c r="G1173" s="953"/>
      <c r="H1173" s="953"/>
    </row>
    <row r="1174" spans="1:8" s="943" customFormat="1" x14ac:dyDescent="0.25">
      <c r="A1174" s="952"/>
      <c r="B1174" s="953"/>
      <c r="C1174" s="953"/>
      <c r="D1174" s="953"/>
      <c r="E1174" s="953"/>
      <c r="F1174" s="953"/>
      <c r="G1174" s="953"/>
      <c r="H1174" s="953"/>
    </row>
    <row r="1175" spans="1:8" s="943" customFormat="1" x14ac:dyDescent="0.25">
      <c r="A1175" s="952"/>
      <c r="B1175" s="953"/>
      <c r="C1175" s="953"/>
      <c r="D1175" s="953"/>
      <c r="E1175" s="953"/>
      <c r="F1175" s="953"/>
      <c r="G1175" s="953"/>
      <c r="H1175" s="953"/>
    </row>
    <row r="1176" spans="1:8" s="943" customFormat="1" x14ac:dyDescent="0.25">
      <c r="A1176" s="952"/>
      <c r="B1176" s="953"/>
      <c r="C1176" s="953"/>
      <c r="D1176" s="953"/>
      <c r="E1176" s="953"/>
      <c r="F1176" s="953"/>
      <c r="G1176" s="953"/>
      <c r="H1176" s="953"/>
    </row>
    <row r="1177" spans="1:8" s="943" customFormat="1" x14ac:dyDescent="0.25">
      <c r="A1177" s="952"/>
      <c r="B1177" s="953"/>
      <c r="C1177" s="953"/>
      <c r="D1177" s="953"/>
      <c r="E1177" s="953"/>
      <c r="F1177" s="953"/>
      <c r="G1177" s="953"/>
      <c r="H1177" s="953"/>
    </row>
    <row r="1178" spans="1:8" s="943" customFormat="1" x14ac:dyDescent="0.25">
      <c r="A1178" s="952"/>
      <c r="B1178" s="953"/>
      <c r="C1178" s="953"/>
      <c r="D1178" s="953"/>
      <c r="E1178" s="953"/>
      <c r="F1178" s="953"/>
      <c r="G1178" s="953"/>
      <c r="H1178" s="953"/>
    </row>
    <row r="1179" spans="1:8" s="943" customFormat="1" x14ac:dyDescent="0.25">
      <c r="A1179" s="952"/>
      <c r="B1179" s="953"/>
      <c r="C1179" s="953"/>
      <c r="D1179" s="953"/>
      <c r="E1179" s="953"/>
      <c r="F1179" s="953"/>
      <c r="G1179" s="953"/>
      <c r="H1179" s="953"/>
    </row>
    <row r="1180" spans="1:8" s="943" customFormat="1" x14ac:dyDescent="0.25">
      <c r="A1180" s="952"/>
      <c r="B1180" s="953"/>
      <c r="C1180" s="953"/>
      <c r="D1180" s="953"/>
      <c r="E1180" s="953"/>
      <c r="F1180" s="953"/>
      <c r="G1180" s="953"/>
      <c r="H1180" s="953"/>
    </row>
    <row r="1181" spans="1:8" s="943" customFormat="1" x14ac:dyDescent="0.25">
      <c r="A1181" s="952"/>
      <c r="B1181" s="953"/>
      <c r="C1181" s="953"/>
      <c r="D1181" s="953"/>
      <c r="E1181" s="953"/>
      <c r="F1181" s="953"/>
      <c r="G1181" s="953"/>
      <c r="H1181" s="953"/>
    </row>
    <row r="1182" spans="1:8" s="943" customFormat="1" x14ac:dyDescent="0.25">
      <c r="A1182" s="952"/>
      <c r="B1182" s="953"/>
      <c r="C1182" s="953"/>
      <c r="D1182" s="953"/>
      <c r="E1182" s="953"/>
      <c r="F1182" s="953"/>
      <c r="G1182" s="953"/>
      <c r="H1182" s="953"/>
    </row>
    <row r="1183" spans="1:8" s="943" customFormat="1" x14ac:dyDescent="0.25">
      <c r="A1183" s="952"/>
      <c r="B1183" s="953"/>
      <c r="C1183" s="953"/>
      <c r="D1183" s="953"/>
      <c r="E1183" s="953"/>
      <c r="F1183" s="953"/>
      <c r="G1183" s="953"/>
      <c r="H1183" s="953"/>
    </row>
    <row r="1184" spans="1:8" s="943" customFormat="1" x14ac:dyDescent="0.25">
      <c r="A1184" s="952"/>
      <c r="B1184" s="953"/>
      <c r="C1184" s="953"/>
      <c r="D1184" s="953"/>
      <c r="E1184" s="953"/>
      <c r="F1184" s="953"/>
      <c r="G1184" s="953"/>
      <c r="H1184" s="953"/>
    </row>
    <row r="1185" spans="1:8" s="943" customFormat="1" x14ac:dyDescent="0.25">
      <c r="A1185" s="952"/>
      <c r="B1185" s="953"/>
      <c r="C1185" s="953"/>
      <c r="D1185" s="953"/>
      <c r="E1185" s="953"/>
      <c r="F1185" s="953"/>
      <c r="G1185" s="953"/>
      <c r="H1185" s="953"/>
    </row>
    <row r="1186" spans="1:8" s="943" customFormat="1" x14ac:dyDescent="0.25">
      <c r="A1186" s="952"/>
      <c r="B1186" s="953"/>
      <c r="C1186" s="953"/>
      <c r="D1186" s="953"/>
      <c r="E1186" s="953"/>
      <c r="F1186" s="953"/>
      <c r="G1186" s="953"/>
      <c r="H1186" s="953"/>
    </row>
    <row r="1187" spans="1:8" s="943" customFormat="1" x14ac:dyDescent="0.25">
      <c r="A1187" s="952"/>
      <c r="B1187" s="953"/>
      <c r="C1187" s="953"/>
      <c r="D1187" s="953"/>
      <c r="E1187" s="953"/>
      <c r="F1187" s="953"/>
      <c r="G1187" s="953"/>
      <c r="H1187" s="953"/>
    </row>
    <row r="1188" spans="1:8" s="943" customFormat="1" x14ac:dyDescent="0.25">
      <c r="A1188" s="952"/>
      <c r="B1188" s="953"/>
      <c r="C1188" s="953"/>
      <c r="D1188" s="953"/>
      <c r="E1188" s="953"/>
      <c r="F1188" s="953"/>
      <c r="G1188" s="953"/>
      <c r="H1188" s="953"/>
    </row>
    <row r="1189" spans="1:8" s="943" customFormat="1" x14ac:dyDescent="0.25">
      <c r="A1189" s="952"/>
      <c r="B1189" s="953"/>
      <c r="C1189" s="953"/>
      <c r="D1189" s="953"/>
      <c r="E1189" s="953"/>
      <c r="F1189" s="953"/>
      <c r="G1189" s="953"/>
      <c r="H1189" s="953"/>
    </row>
    <row r="1190" spans="1:8" s="943" customFormat="1" x14ac:dyDescent="0.25">
      <c r="A1190" s="952"/>
      <c r="B1190" s="953"/>
      <c r="C1190" s="953"/>
      <c r="D1190" s="953"/>
      <c r="E1190" s="953"/>
      <c r="F1190" s="953"/>
      <c r="G1190" s="953"/>
      <c r="H1190" s="953"/>
    </row>
    <row r="1191" spans="1:8" s="943" customFormat="1" x14ac:dyDescent="0.25">
      <c r="A1191" s="952"/>
      <c r="B1191" s="953"/>
      <c r="C1191" s="953"/>
      <c r="D1191" s="953"/>
      <c r="E1191" s="953"/>
      <c r="F1191" s="953"/>
      <c r="G1191" s="953"/>
      <c r="H1191" s="953"/>
    </row>
    <row r="1192" spans="1:8" s="943" customFormat="1" x14ac:dyDescent="0.25">
      <c r="A1192" s="952"/>
      <c r="B1192" s="953"/>
      <c r="C1192" s="953"/>
      <c r="D1192" s="953"/>
      <c r="E1192" s="953"/>
      <c r="F1192" s="953"/>
      <c r="G1192" s="953"/>
      <c r="H1192" s="953"/>
    </row>
    <row r="1193" spans="1:8" s="943" customFormat="1" x14ac:dyDescent="0.25">
      <c r="A1193" s="952"/>
      <c r="B1193" s="953"/>
      <c r="C1193" s="953"/>
      <c r="D1193" s="953"/>
      <c r="E1193" s="953"/>
      <c r="F1193" s="953"/>
      <c r="G1193" s="953"/>
      <c r="H1193" s="953"/>
    </row>
    <row r="1194" spans="1:8" s="943" customFormat="1" x14ac:dyDescent="0.25">
      <c r="A1194" s="952"/>
      <c r="B1194" s="953"/>
      <c r="C1194" s="953"/>
      <c r="D1194" s="953"/>
      <c r="E1194" s="953"/>
      <c r="F1194" s="953"/>
      <c r="G1194" s="953"/>
      <c r="H1194" s="953"/>
    </row>
    <row r="1195" spans="1:8" s="943" customFormat="1" x14ac:dyDescent="0.25">
      <c r="A1195" s="952"/>
      <c r="B1195" s="953"/>
      <c r="C1195" s="953"/>
      <c r="D1195" s="953"/>
      <c r="E1195" s="953"/>
      <c r="F1195" s="953"/>
      <c r="G1195" s="953"/>
      <c r="H1195" s="953"/>
    </row>
    <row r="1196" spans="1:8" s="943" customFormat="1" x14ac:dyDescent="0.25">
      <c r="A1196" s="952"/>
      <c r="B1196" s="953"/>
      <c r="C1196" s="953"/>
      <c r="D1196" s="953"/>
      <c r="E1196" s="953"/>
      <c r="F1196" s="953"/>
      <c r="G1196" s="953"/>
      <c r="H1196" s="953"/>
    </row>
    <row r="1197" spans="1:8" s="943" customFormat="1" x14ac:dyDescent="0.25">
      <c r="A1197" s="952"/>
      <c r="B1197" s="953"/>
      <c r="C1197" s="953"/>
      <c r="D1197" s="953"/>
      <c r="E1197" s="953"/>
      <c r="F1197" s="953"/>
      <c r="G1197" s="953"/>
      <c r="H1197" s="953"/>
    </row>
    <row r="1198" spans="1:8" s="943" customFormat="1" x14ac:dyDescent="0.25">
      <c r="A1198" s="952"/>
      <c r="B1198" s="953"/>
      <c r="C1198" s="953"/>
      <c r="D1198" s="953"/>
      <c r="E1198" s="953"/>
      <c r="F1198" s="953"/>
      <c r="G1198" s="953"/>
      <c r="H1198" s="953"/>
    </row>
    <row r="1199" spans="1:8" s="943" customFormat="1" x14ac:dyDescent="0.25">
      <c r="A1199" s="952"/>
      <c r="B1199" s="953"/>
      <c r="C1199" s="953"/>
      <c r="D1199" s="953"/>
      <c r="E1199" s="953"/>
      <c r="F1199" s="953"/>
      <c r="G1199" s="953"/>
      <c r="H1199" s="953"/>
    </row>
    <row r="1200" spans="1:8" s="943" customFormat="1" x14ac:dyDescent="0.25">
      <c r="A1200" s="952"/>
      <c r="B1200" s="953"/>
      <c r="C1200" s="953"/>
      <c r="D1200" s="953"/>
      <c r="E1200" s="953"/>
      <c r="F1200" s="953"/>
      <c r="G1200" s="953"/>
      <c r="H1200" s="953"/>
    </row>
    <row r="1201" spans="1:8" s="943" customFormat="1" x14ac:dyDescent="0.25">
      <c r="A1201" s="952"/>
      <c r="B1201" s="953"/>
      <c r="C1201" s="953"/>
      <c r="D1201" s="953"/>
      <c r="E1201" s="953"/>
      <c r="F1201" s="953"/>
      <c r="G1201" s="953"/>
      <c r="H1201" s="953"/>
    </row>
    <row r="1202" spans="1:8" s="943" customFormat="1" x14ac:dyDescent="0.25">
      <c r="A1202" s="952"/>
      <c r="B1202" s="953"/>
      <c r="C1202" s="953"/>
      <c r="D1202" s="953"/>
      <c r="E1202" s="953"/>
      <c r="F1202" s="953"/>
      <c r="G1202" s="953"/>
      <c r="H1202" s="953"/>
    </row>
    <row r="1203" spans="1:8" s="943" customFormat="1" x14ac:dyDescent="0.25">
      <c r="A1203" s="952"/>
      <c r="B1203" s="953"/>
      <c r="C1203" s="953"/>
      <c r="D1203" s="953"/>
      <c r="E1203" s="953"/>
      <c r="F1203" s="953"/>
      <c r="G1203" s="953"/>
      <c r="H1203" s="953"/>
    </row>
    <row r="1204" spans="1:8" s="943" customFormat="1" x14ac:dyDescent="0.25">
      <c r="A1204" s="952"/>
      <c r="B1204" s="953"/>
      <c r="C1204" s="953"/>
      <c r="D1204" s="953"/>
      <c r="E1204" s="953"/>
      <c r="F1204" s="953"/>
      <c r="G1204" s="953"/>
      <c r="H1204" s="953"/>
    </row>
    <row r="1205" spans="1:8" s="943" customFormat="1" x14ac:dyDescent="0.25">
      <c r="A1205" s="952"/>
      <c r="B1205" s="953"/>
      <c r="C1205" s="953"/>
      <c r="D1205" s="953"/>
      <c r="E1205" s="953"/>
      <c r="F1205" s="953"/>
      <c r="G1205" s="953"/>
      <c r="H1205" s="953"/>
    </row>
    <row r="1206" spans="1:8" s="943" customFormat="1" x14ac:dyDescent="0.25">
      <c r="A1206" s="952"/>
      <c r="B1206" s="953"/>
      <c r="C1206" s="953"/>
      <c r="D1206" s="953"/>
      <c r="E1206" s="953"/>
      <c r="F1206" s="953"/>
      <c r="G1206" s="953"/>
      <c r="H1206" s="953"/>
    </row>
    <row r="1207" spans="1:8" s="943" customFormat="1" x14ac:dyDescent="0.25">
      <c r="A1207" s="952"/>
      <c r="B1207" s="953"/>
      <c r="C1207" s="953"/>
      <c r="D1207" s="953"/>
      <c r="E1207" s="953"/>
      <c r="F1207" s="953"/>
      <c r="G1207" s="953"/>
      <c r="H1207" s="953"/>
    </row>
    <row r="1208" spans="1:8" s="943" customFormat="1" x14ac:dyDescent="0.25">
      <c r="A1208" s="952"/>
      <c r="B1208" s="953"/>
      <c r="C1208" s="953"/>
      <c r="D1208" s="953"/>
      <c r="E1208" s="953"/>
      <c r="F1208" s="953"/>
      <c r="G1208" s="953"/>
      <c r="H1208" s="953"/>
    </row>
    <row r="1209" spans="1:8" s="943" customFormat="1" x14ac:dyDescent="0.25">
      <c r="A1209" s="952"/>
      <c r="B1209" s="953"/>
      <c r="C1209" s="953"/>
      <c r="D1209" s="953"/>
      <c r="E1209" s="953"/>
      <c r="F1209" s="953"/>
      <c r="G1209" s="953"/>
      <c r="H1209" s="953"/>
    </row>
    <row r="1210" spans="1:8" s="943" customFormat="1" x14ac:dyDescent="0.25">
      <c r="A1210" s="952"/>
      <c r="B1210" s="953"/>
      <c r="C1210" s="953"/>
      <c r="D1210" s="953"/>
      <c r="E1210" s="953"/>
      <c r="F1210" s="953"/>
      <c r="G1210" s="953"/>
      <c r="H1210" s="953"/>
    </row>
    <row r="1211" spans="1:8" s="943" customFormat="1" x14ac:dyDescent="0.25">
      <c r="A1211" s="952"/>
      <c r="B1211" s="953"/>
      <c r="C1211" s="953"/>
      <c r="D1211" s="953"/>
      <c r="E1211" s="953"/>
      <c r="F1211" s="953"/>
      <c r="G1211" s="953"/>
      <c r="H1211" s="953"/>
    </row>
    <row r="1212" spans="1:8" s="943" customFormat="1" x14ac:dyDescent="0.25">
      <c r="A1212" s="952"/>
      <c r="B1212" s="953"/>
      <c r="C1212" s="953"/>
      <c r="D1212" s="953"/>
      <c r="E1212" s="953"/>
      <c r="F1212" s="953"/>
      <c r="G1212" s="953"/>
      <c r="H1212" s="953"/>
    </row>
    <row r="1213" spans="1:8" s="943" customFormat="1" x14ac:dyDescent="0.25">
      <c r="A1213" s="952"/>
      <c r="B1213" s="953"/>
      <c r="C1213" s="953"/>
      <c r="D1213" s="953"/>
      <c r="E1213" s="953"/>
      <c r="F1213" s="953"/>
      <c r="G1213" s="953"/>
      <c r="H1213" s="953"/>
    </row>
    <row r="1214" spans="1:8" s="943" customFormat="1" x14ac:dyDescent="0.25">
      <c r="A1214" s="952"/>
      <c r="B1214" s="953"/>
      <c r="C1214" s="953"/>
      <c r="D1214" s="953"/>
      <c r="E1214" s="953"/>
      <c r="F1214" s="953"/>
      <c r="G1214" s="953"/>
      <c r="H1214" s="953"/>
    </row>
    <row r="1215" spans="1:8" s="943" customFormat="1" x14ac:dyDescent="0.25">
      <c r="A1215" s="952"/>
      <c r="B1215" s="953"/>
      <c r="C1215" s="953"/>
      <c r="D1215" s="953"/>
      <c r="E1215" s="953"/>
      <c r="F1215" s="953"/>
      <c r="G1215" s="953"/>
      <c r="H1215" s="953"/>
    </row>
    <row r="1216" spans="1:8" s="943" customFormat="1" x14ac:dyDescent="0.25">
      <c r="A1216" s="952"/>
      <c r="B1216" s="953"/>
      <c r="C1216" s="953"/>
      <c r="D1216" s="953"/>
      <c r="E1216" s="953"/>
      <c r="F1216" s="953"/>
      <c r="G1216" s="953"/>
      <c r="H1216" s="953"/>
    </row>
    <row r="1217" spans="1:8" s="943" customFormat="1" x14ac:dyDescent="0.25">
      <c r="A1217" s="952"/>
      <c r="B1217" s="953"/>
      <c r="C1217" s="953"/>
      <c r="D1217" s="953"/>
      <c r="E1217" s="953"/>
      <c r="F1217" s="953"/>
      <c r="G1217" s="953"/>
      <c r="H1217" s="953"/>
    </row>
    <row r="1218" spans="1:8" s="943" customFormat="1" x14ac:dyDescent="0.25">
      <c r="A1218" s="952"/>
      <c r="B1218" s="953"/>
      <c r="C1218" s="953"/>
      <c r="D1218" s="953"/>
      <c r="E1218" s="953"/>
      <c r="F1218" s="953"/>
      <c r="G1218" s="953"/>
      <c r="H1218" s="953"/>
    </row>
    <row r="1219" spans="1:8" s="943" customFormat="1" x14ac:dyDescent="0.25">
      <c r="A1219" s="952"/>
      <c r="B1219" s="953"/>
      <c r="C1219" s="953"/>
      <c r="D1219" s="953"/>
      <c r="E1219" s="953"/>
      <c r="F1219" s="953"/>
      <c r="G1219" s="953"/>
      <c r="H1219" s="953"/>
    </row>
    <row r="1220" spans="1:8" s="943" customFormat="1" x14ac:dyDescent="0.25">
      <c r="A1220" s="952"/>
      <c r="B1220" s="953"/>
      <c r="C1220" s="953"/>
      <c r="D1220" s="953"/>
      <c r="E1220" s="953"/>
      <c r="F1220" s="953"/>
      <c r="G1220" s="953"/>
      <c r="H1220" s="953"/>
    </row>
    <row r="1221" spans="1:8" s="943" customFormat="1" x14ac:dyDescent="0.25">
      <c r="A1221" s="952"/>
      <c r="B1221" s="953"/>
      <c r="C1221" s="953"/>
      <c r="D1221" s="953"/>
      <c r="E1221" s="953"/>
      <c r="F1221" s="953"/>
      <c r="G1221" s="953"/>
      <c r="H1221" s="953"/>
    </row>
    <row r="1222" spans="1:8" s="943" customFormat="1" x14ac:dyDescent="0.25">
      <c r="A1222" s="952"/>
      <c r="B1222" s="953"/>
      <c r="C1222" s="953"/>
      <c r="D1222" s="953"/>
      <c r="E1222" s="953"/>
      <c r="F1222" s="953"/>
      <c r="G1222" s="953"/>
      <c r="H1222" s="953"/>
    </row>
    <row r="1223" spans="1:8" s="943" customFormat="1" x14ac:dyDescent="0.25">
      <c r="A1223" s="952"/>
      <c r="B1223" s="953"/>
      <c r="C1223" s="953"/>
      <c r="D1223" s="953"/>
      <c r="E1223" s="953"/>
      <c r="F1223" s="953"/>
      <c r="G1223" s="953"/>
      <c r="H1223" s="953"/>
    </row>
    <row r="1224" spans="1:8" s="943" customFormat="1" x14ac:dyDescent="0.25">
      <c r="A1224" s="952"/>
      <c r="B1224" s="953"/>
      <c r="C1224" s="953"/>
      <c r="D1224" s="953"/>
      <c r="E1224" s="953"/>
      <c r="F1224" s="953"/>
      <c r="G1224" s="953"/>
      <c r="H1224" s="953"/>
    </row>
    <row r="1225" spans="1:8" s="943" customFormat="1" x14ac:dyDescent="0.25">
      <c r="A1225" s="952"/>
      <c r="B1225" s="953"/>
      <c r="C1225" s="953"/>
      <c r="D1225" s="953"/>
      <c r="E1225" s="953"/>
      <c r="F1225" s="953"/>
      <c r="G1225" s="953"/>
      <c r="H1225" s="953"/>
    </row>
    <row r="1226" spans="1:8" s="943" customFormat="1" x14ac:dyDescent="0.25">
      <c r="A1226" s="952"/>
      <c r="B1226" s="953"/>
      <c r="C1226" s="953"/>
      <c r="D1226" s="953"/>
      <c r="E1226" s="953"/>
      <c r="F1226" s="953"/>
      <c r="G1226" s="953"/>
      <c r="H1226" s="953"/>
    </row>
    <row r="1227" spans="1:8" s="943" customFormat="1" x14ac:dyDescent="0.25">
      <c r="A1227" s="952"/>
      <c r="B1227" s="953"/>
      <c r="C1227" s="953"/>
      <c r="D1227" s="953"/>
      <c r="E1227" s="953"/>
      <c r="F1227" s="953"/>
      <c r="G1227" s="953"/>
      <c r="H1227" s="953"/>
    </row>
    <row r="1228" spans="1:8" s="943" customFormat="1" x14ac:dyDescent="0.25">
      <c r="A1228" s="952"/>
      <c r="B1228" s="953"/>
      <c r="C1228" s="953"/>
      <c r="D1228" s="953"/>
      <c r="E1228" s="953"/>
      <c r="F1228" s="953"/>
      <c r="G1228" s="953"/>
      <c r="H1228" s="953"/>
    </row>
    <row r="1229" spans="1:8" s="943" customFormat="1" x14ac:dyDescent="0.25">
      <c r="A1229" s="952"/>
      <c r="B1229" s="953"/>
      <c r="C1229" s="953"/>
      <c r="D1229" s="953"/>
      <c r="E1229" s="953"/>
      <c r="F1229" s="953"/>
      <c r="G1229" s="953"/>
      <c r="H1229" s="953"/>
    </row>
    <row r="1230" spans="1:8" s="943" customFormat="1" x14ac:dyDescent="0.25">
      <c r="A1230" s="952"/>
      <c r="B1230" s="953"/>
      <c r="C1230" s="953"/>
      <c r="D1230" s="953"/>
      <c r="E1230" s="953"/>
      <c r="F1230" s="953"/>
      <c r="G1230" s="953"/>
      <c r="H1230" s="953"/>
    </row>
    <row r="1231" spans="1:8" s="943" customFormat="1" x14ac:dyDescent="0.25">
      <c r="A1231" s="952"/>
      <c r="B1231" s="953"/>
      <c r="C1231" s="953"/>
      <c r="D1231" s="953"/>
      <c r="E1231" s="953"/>
      <c r="F1231" s="953"/>
      <c r="G1231" s="953"/>
      <c r="H1231" s="953"/>
    </row>
    <row r="1232" spans="1:8" s="943" customFormat="1" x14ac:dyDescent="0.25">
      <c r="A1232" s="952"/>
      <c r="B1232" s="953"/>
      <c r="C1232" s="953"/>
      <c r="D1232" s="953"/>
      <c r="E1232" s="953"/>
      <c r="F1232" s="953"/>
      <c r="G1232" s="953"/>
      <c r="H1232" s="953"/>
    </row>
    <row r="1233" spans="1:8" s="943" customFormat="1" x14ac:dyDescent="0.25">
      <c r="A1233" s="952"/>
      <c r="B1233" s="953"/>
      <c r="C1233" s="953"/>
      <c r="D1233" s="953"/>
      <c r="E1233" s="953"/>
      <c r="F1233" s="953"/>
      <c r="G1233" s="953"/>
      <c r="H1233" s="953"/>
    </row>
    <row r="1234" spans="1:8" s="943" customFormat="1" x14ac:dyDescent="0.25">
      <c r="A1234" s="952"/>
      <c r="B1234" s="953"/>
      <c r="C1234" s="953"/>
      <c r="D1234" s="953"/>
      <c r="E1234" s="953"/>
      <c r="F1234" s="953"/>
      <c r="G1234" s="953"/>
      <c r="H1234" s="953"/>
    </row>
    <row r="1235" spans="1:8" s="943" customFormat="1" x14ac:dyDescent="0.25">
      <c r="A1235" s="952"/>
      <c r="B1235" s="953"/>
      <c r="C1235" s="953"/>
      <c r="D1235" s="953"/>
      <c r="E1235" s="953"/>
      <c r="F1235" s="953"/>
      <c r="G1235" s="953"/>
      <c r="H1235" s="953"/>
    </row>
    <row r="1236" spans="1:8" s="943" customFormat="1" x14ac:dyDescent="0.25">
      <c r="A1236" s="952"/>
      <c r="B1236" s="953"/>
      <c r="C1236" s="953"/>
      <c r="D1236" s="953"/>
      <c r="E1236" s="953"/>
      <c r="F1236" s="953"/>
      <c r="G1236" s="953"/>
      <c r="H1236" s="953"/>
    </row>
    <row r="1237" spans="1:8" s="943" customFormat="1" x14ac:dyDescent="0.25">
      <c r="A1237" s="952"/>
      <c r="B1237" s="953"/>
      <c r="C1237" s="953"/>
      <c r="D1237" s="953"/>
      <c r="E1237" s="953"/>
      <c r="F1237" s="953"/>
      <c r="G1237" s="953"/>
      <c r="H1237" s="953"/>
    </row>
    <row r="1238" spans="1:8" s="943" customFormat="1" x14ac:dyDescent="0.25">
      <c r="A1238" s="952"/>
      <c r="B1238" s="953"/>
      <c r="C1238" s="953"/>
      <c r="D1238" s="953"/>
      <c r="E1238" s="953"/>
      <c r="F1238" s="953"/>
      <c r="G1238" s="953"/>
      <c r="H1238" s="953"/>
    </row>
    <row r="1239" spans="1:8" s="943" customFormat="1" x14ac:dyDescent="0.25">
      <c r="A1239" s="952"/>
      <c r="B1239" s="953"/>
      <c r="C1239" s="953"/>
      <c r="D1239" s="953"/>
      <c r="E1239" s="953"/>
      <c r="F1239" s="953"/>
      <c r="G1239" s="953"/>
      <c r="H1239" s="953"/>
    </row>
    <row r="1240" spans="1:8" s="943" customFormat="1" x14ac:dyDescent="0.25">
      <c r="A1240" s="952"/>
      <c r="B1240" s="953"/>
      <c r="C1240" s="953"/>
      <c r="D1240" s="953"/>
      <c r="E1240" s="953"/>
      <c r="F1240" s="953"/>
      <c r="G1240" s="953"/>
      <c r="H1240" s="953"/>
    </row>
    <row r="1241" spans="1:8" s="943" customFormat="1" x14ac:dyDescent="0.25">
      <c r="A1241" s="952"/>
      <c r="B1241" s="953"/>
      <c r="C1241" s="953"/>
      <c r="D1241" s="953"/>
      <c r="E1241" s="953"/>
      <c r="F1241" s="953"/>
      <c r="G1241" s="953"/>
      <c r="H1241" s="953"/>
    </row>
    <row r="1242" spans="1:8" s="943" customFormat="1" x14ac:dyDescent="0.25">
      <c r="A1242" s="952"/>
      <c r="B1242" s="953"/>
      <c r="C1242" s="953"/>
      <c r="D1242" s="953"/>
      <c r="E1242" s="953"/>
      <c r="F1242" s="953"/>
      <c r="G1242" s="953"/>
      <c r="H1242" s="953"/>
    </row>
    <row r="1243" spans="1:8" s="943" customFormat="1" x14ac:dyDescent="0.25">
      <c r="A1243" s="952"/>
      <c r="B1243" s="953"/>
      <c r="C1243" s="953"/>
      <c r="D1243" s="953"/>
      <c r="E1243" s="953"/>
      <c r="F1243" s="953"/>
      <c r="G1243" s="953"/>
      <c r="H1243" s="953"/>
    </row>
    <row r="1244" spans="1:8" s="943" customFormat="1" x14ac:dyDescent="0.25">
      <c r="A1244" s="952"/>
      <c r="B1244" s="953"/>
      <c r="C1244" s="953"/>
      <c r="D1244" s="953"/>
      <c r="E1244" s="953"/>
      <c r="F1244" s="953"/>
      <c r="G1244" s="953"/>
      <c r="H1244" s="953"/>
    </row>
    <row r="1245" spans="1:8" s="943" customFormat="1" x14ac:dyDescent="0.25">
      <c r="A1245" s="952"/>
      <c r="B1245" s="953"/>
      <c r="C1245" s="953"/>
      <c r="D1245" s="953"/>
      <c r="E1245" s="953"/>
      <c r="F1245" s="953"/>
      <c r="G1245" s="953"/>
      <c r="H1245" s="953"/>
    </row>
    <row r="1246" spans="1:8" s="943" customFormat="1" x14ac:dyDescent="0.25">
      <c r="A1246" s="952"/>
      <c r="B1246" s="953"/>
      <c r="C1246" s="953"/>
      <c r="D1246" s="953"/>
      <c r="E1246" s="953"/>
      <c r="F1246" s="953"/>
      <c r="G1246" s="953"/>
      <c r="H1246" s="953"/>
    </row>
    <row r="1247" spans="1:8" s="943" customFormat="1" x14ac:dyDescent="0.25">
      <c r="A1247" s="952"/>
      <c r="B1247" s="953"/>
      <c r="C1247" s="953"/>
      <c r="D1247" s="953"/>
      <c r="E1247" s="953"/>
      <c r="F1247" s="953"/>
      <c r="G1247" s="953"/>
      <c r="H1247" s="953"/>
    </row>
    <row r="1248" spans="1:8" s="943" customFormat="1" x14ac:dyDescent="0.25">
      <c r="A1248" s="952"/>
      <c r="B1248" s="953"/>
      <c r="C1248" s="953"/>
      <c r="D1248" s="953"/>
      <c r="E1248" s="953"/>
      <c r="F1248" s="953"/>
      <c r="G1248" s="953"/>
      <c r="H1248" s="953"/>
    </row>
    <row r="1249" spans="1:8" s="943" customFormat="1" x14ac:dyDescent="0.25">
      <c r="A1249" s="952"/>
      <c r="B1249" s="953"/>
      <c r="C1249" s="953"/>
      <c r="D1249" s="953"/>
      <c r="E1249" s="953"/>
      <c r="F1249" s="953"/>
      <c r="G1249" s="953"/>
      <c r="H1249" s="953"/>
    </row>
    <row r="1250" spans="1:8" s="943" customFormat="1" x14ac:dyDescent="0.25">
      <c r="A1250" s="952"/>
      <c r="B1250" s="953"/>
      <c r="C1250" s="953"/>
      <c r="D1250" s="953"/>
      <c r="E1250" s="953"/>
      <c r="F1250" s="953"/>
      <c r="G1250" s="953"/>
      <c r="H1250" s="953"/>
    </row>
    <row r="1251" spans="1:8" s="943" customFormat="1" x14ac:dyDescent="0.25">
      <c r="A1251" s="952"/>
      <c r="B1251" s="953"/>
      <c r="C1251" s="953"/>
      <c r="D1251" s="953"/>
      <c r="E1251" s="953"/>
      <c r="F1251" s="953"/>
      <c r="G1251" s="953"/>
      <c r="H1251" s="953"/>
    </row>
    <row r="1252" spans="1:8" s="943" customFormat="1" x14ac:dyDescent="0.25">
      <c r="A1252" s="952"/>
      <c r="B1252" s="953"/>
      <c r="C1252" s="953"/>
      <c r="D1252" s="953"/>
      <c r="E1252" s="953"/>
      <c r="F1252" s="953"/>
      <c r="G1252" s="953"/>
      <c r="H1252" s="953"/>
    </row>
    <row r="1253" spans="1:8" s="943" customFormat="1" x14ac:dyDescent="0.25">
      <c r="A1253" s="952"/>
      <c r="B1253" s="953"/>
      <c r="C1253" s="953"/>
      <c r="D1253" s="953"/>
      <c r="E1253" s="953"/>
      <c r="F1253" s="953"/>
      <c r="G1253" s="953"/>
      <c r="H1253" s="953"/>
    </row>
    <row r="1254" spans="1:8" s="943" customFormat="1" x14ac:dyDescent="0.25">
      <c r="A1254" s="952"/>
      <c r="B1254" s="953"/>
      <c r="C1254" s="953"/>
      <c r="D1254" s="953"/>
      <c r="E1254" s="953"/>
      <c r="F1254" s="953"/>
      <c r="G1254" s="953"/>
      <c r="H1254" s="953"/>
    </row>
    <row r="1255" spans="1:8" s="943" customFormat="1" x14ac:dyDescent="0.25">
      <c r="A1255" s="952"/>
      <c r="B1255" s="953"/>
      <c r="C1255" s="953"/>
      <c r="D1255" s="953"/>
      <c r="E1255" s="953"/>
      <c r="F1255" s="953"/>
      <c r="G1255" s="953"/>
      <c r="H1255" s="953"/>
    </row>
    <row r="1256" spans="1:8" s="943" customFormat="1" x14ac:dyDescent="0.25">
      <c r="A1256" s="952"/>
      <c r="B1256" s="953"/>
      <c r="C1256" s="953"/>
      <c r="D1256" s="953"/>
      <c r="E1256" s="953"/>
      <c r="F1256" s="953"/>
      <c r="G1256" s="953"/>
      <c r="H1256" s="953"/>
    </row>
    <row r="1257" spans="1:8" s="943" customFormat="1" x14ac:dyDescent="0.25">
      <c r="A1257" s="952"/>
      <c r="B1257" s="953"/>
      <c r="C1257" s="953"/>
      <c r="D1257" s="953"/>
      <c r="E1257" s="953"/>
      <c r="F1257" s="953"/>
      <c r="G1257" s="953"/>
      <c r="H1257" s="953"/>
    </row>
    <row r="1258" spans="1:8" s="943" customFormat="1" x14ac:dyDescent="0.25">
      <c r="A1258" s="952"/>
      <c r="B1258" s="953"/>
      <c r="C1258" s="953"/>
      <c r="D1258" s="953"/>
      <c r="E1258" s="953"/>
      <c r="F1258" s="953"/>
      <c r="G1258" s="953"/>
      <c r="H1258" s="953"/>
    </row>
    <row r="1259" spans="1:8" s="943" customFormat="1" x14ac:dyDescent="0.25">
      <c r="A1259" s="952"/>
      <c r="B1259" s="953"/>
      <c r="C1259" s="953"/>
      <c r="D1259" s="953"/>
      <c r="E1259" s="953"/>
      <c r="F1259" s="953"/>
      <c r="G1259" s="953"/>
      <c r="H1259" s="953"/>
    </row>
    <row r="1260" spans="1:8" s="943" customFormat="1" x14ac:dyDescent="0.25">
      <c r="A1260" s="952"/>
      <c r="B1260" s="953"/>
      <c r="C1260" s="953"/>
      <c r="D1260" s="953"/>
      <c r="E1260" s="953"/>
      <c r="F1260" s="953"/>
      <c r="G1260" s="953"/>
      <c r="H1260" s="953"/>
    </row>
    <row r="1261" spans="1:8" s="943" customFormat="1" x14ac:dyDescent="0.25">
      <c r="A1261" s="952"/>
      <c r="B1261" s="953"/>
      <c r="C1261" s="953"/>
      <c r="D1261" s="953"/>
      <c r="E1261" s="953"/>
      <c r="F1261" s="953"/>
      <c r="G1261" s="953"/>
      <c r="H1261" s="953"/>
    </row>
    <row r="1262" spans="1:8" s="943" customFormat="1" x14ac:dyDescent="0.25">
      <c r="A1262" s="952"/>
      <c r="B1262" s="953"/>
      <c r="C1262" s="953"/>
      <c r="D1262" s="953"/>
      <c r="E1262" s="953"/>
      <c r="F1262" s="953"/>
      <c r="G1262" s="953"/>
      <c r="H1262" s="953"/>
    </row>
    <row r="1263" spans="1:8" s="943" customFormat="1" x14ac:dyDescent="0.25">
      <c r="A1263" s="952"/>
      <c r="B1263" s="953"/>
      <c r="C1263" s="953"/>
      <c r="D1263" s="953"/>
      <c r="E1263" s="953"/>
      <c r="F1263" s="953"/>
      <c r="G1263" s="953"/>
      <c r="H1263" s="953"/>
    </row>
    <row r="1264" spans="1:8" s="943" customFormat="1" x14ac:dyDescent="0.25">
      <c r="A1264" s="952"/>
      <c r="B1264" s="953"/>
      <c r="C1264" s="953"/>
      <c r="D1264" s="953"/>
      <c r="E1264" s="953"/>
      <c r="F1264" s="953"/>
      <c r="G1264" s="953"/>
      <c r="H1264" s="953"/>
    </row>
    <row r="1265" spans="1:8" s="943" customFormat="1" x14ac:dyDescent="0.25">
      <c r="A1265" s="952"/>
      <c r="B1265" s="953"/>
      <c r="C1265" s="953"/>
      <c r="D1265" s="953"/>
      <c r="E1265" s="953"/>
      <c r="F1265" s="953"/>
      <c r="G1265" s="953"/>
      <c r="H1265" s="953"/>
    </row>
    <row r="1266" spans="1:8" s="943" customFormat="1" x14ac:dyDescent="0.25">
      <c r="A1266" s="952"/>
      <c r="B1266" s="953"/>
      <c r="C1266" s="953"/>
      <c r="D1266" s="953"/>
      <c r="E1266" s="953"/>
      <c r="F1266" s="953"/>
      <c r="G1266" s="953"/>
      <c r="H1266" s="953"/>
    </row>
    <row r="1267" spans="1:8" s="943" customFormat="1" x14ac:dyDescent="0.25">
      <c r="A1267" s="952"/>
      <c r="B1267" s="953"/>
      <c r="C1267" s="953"/>
      <c r="D1267" s="953"/>
      <c r="E1267" s="953"/>
      <c r="F1267" s="953"/>
      <c r="G1267" s="953"/>
      <c r="H1267" s="953"/>
    </row>
    <row r="1268" spans="1:8" s="943" customFormat="1" x14ac:dyDescent="0.25">
      <c r="A1268" s="952"/>
      <c r="B1268" s="953"/>
      <c r="C1268" s="953"/>
      <c r="D1268" s="953"/>
      <c r="E1268" s="953"/>
      <c r="F1268" s="953"/>
      <c r="G1268" s="953"/>
      <c r="H1268" s="953"/>
    </row>
    <row r="1269" spans="1:8" s="943" customFormat="1" x14ac:dyDescent="0.25">
      <c r="A1269" s="952"/>
      <c r="B1269" s="953"/>
      <c r="C1269" s="953"/>
      <c r="D1269" s="953"/>
      <c r="E1269" s="953"/>
      <c r="F1269" s="953"/>
      <c r="G1269" s="953"/>
      <c r="H1269" s="953"/>
    </row>
    <row r="1270" spans="1:8" s="943" customFormat="1" x14ac:dyDescent="0.25">
      <c r="A1270" s="952"/>
      <c r="B1270" s="953"/>
      <c r="C1270" s="953"/>
      <c r="D1270" s="953"/>
      <c r="E1270" s="953"/>
      <c r="F1270" s="953"/>
      <c r="G1270" s="953"/>
      <c r="H1270" s="953"/>
    </row>
    <row r="1271" spans="1:8" s="943" customFormat="1" x14ac:dyDescent="0.25">
      <c r="A1271" s="952"/>
      <c r="B1271" s="953"/>
      <c r="C1271" s="953"/>
      <c r="D1271" s="953"/>
      <c r="E1271" s="953"/>
      <c r="F1271" s="953"/>
      <c r="G1271" s="953"/>
      <c r="H1271" s="953"/>
    </row>
    <row r="1272" spans="1:8" s="943" customFormat="1" x14ac:dyDescent="0.25">
      <c r="A1272" s="952"/>
      <c r="B1272" s="953"/>
      <c r="C1272" s="953"/>
      <c r="D1272" s="953"/>
      <c r="E1272" s="953"/>
      <c r="F1272" s="953"/>
      <c r="G1272" s="953"/>
      <c r="H1272" s="953"/>
    </row>
    <row r="1273" spans="1:8" s="943" customFormat="1" x14ac:dyDescent="0.25">
      <c r="A1273" s="952"/>
      <c r="B1273" s="953"/>
      <c r="C1273" s="953"/>
      <c r="D1273" s="953"/>
      <c r="E1273" s="953"/>
      <c r="F1273" s="953"/>
      <c r="G1273" s="953"/>
      <c r="H1273" s="953"/>
    </row>
    <row r="1274" spans="1:8" s="943" customFormat="1" x14ac:dyDescent="0.25">
      <c r="A1274" s="952"/>
      <c r="B1274" s="953"/>
      <c r="C1274" s="953"/>
      <c r="D1274" s="953"/>
      <c r="E1274" s="953"/>
      <c r="F1274" s="953"/>
      <c r="G1274" s="953"/>
      <c r="H1274" s="953"/>
    </row>
    <row r="1275" spans="1:8" s="943" customFormat="1" x14ac:dyDescent="0.25">
      <c r="A1275" s="952"/>
      <c r="B1275" s="953"/>
      <c r="C1275" s="953"/>
      <c r="D1275" s="953"/>
      <c r="E1275" s="953"/>
      <c r="F1275" s="953"/>
      <c r="G1275" s="953"/>
      <c r="H1275" s="953"/>
    </row>
    <row r="1276" spans="1:8" s="943" customFormat="1" x14ac:dyDescent="0.25">
      <c r="A1276" s="952"/>
      <c r="B1276" s="953"/>
      <c r="C1276" s="953"/>
      <c r="D1276" s="953"/>
      <c r="E1276" s="953"/>
      <c r="F1276" s="953"/>
      <c r="G1276" s="953"/>
      <c r="H1276" s="953"/>
    </row>
    <row r="1277" spans="1:8" s="943" customFormat="1" x14ac:dyDescent="0.25">
      <c r="A1277" s="952"/>
      <c r="B1277" s="953"/>
      <c r="C1277" s="953"/>
      <c r="D1277" s="953"/>
      <c r="E1277" s="953"/>
      <c r="F1277" s="953"/>
      <c r="G1277" s="953"/>
      <c r="H1277" s="953"/>
    </row>
    <row r="1278" spans="1:8" s="943" customFormat="1" x14ac:dyDescent="0.25">
      <c r="A1278" s="952"/>
      <c r="B1278" s="953"/>
      <c r="C1278" s="953"/>
      <c r="D1278" s="953"/>
      <c r="E1278" s="953"/>
      <c r="F1278" s="953"/>
      <c r="G1278" s="953"/>
      <c r="H1278" s="953"/>
    </row>
    <row r="1279" spans="1:8" s="943" customFormat="1" x14ac:dyDescent="0.25">
      <c r="A1279" s="952"/>
      <c r="B1279" s="953"/>
      <c r="C1279" s="953"/>
      <c r="D1279" s="953"/>
      <c r="E1279" s="953"/>
      <c r="F1279" s="953"/>
      <c r="G1279" s="953"/>
      <c r="H1279" s="953"/>
    </row>
    <row r="1280" spans="1:8" s="943" customFormat="1" x14ac:dyDescent="0.25">
      <c r="A1280" s="952"/>
      <c r="B1280" s="953"/>
      <c r="C1280" s="953"/>
      <c r="D1280" s="953"/>
      <c r="E1280" s="953"/>
      <c r="F1280" s="953"/>
      <c r="G1280" s="953"/>
      <c r="H1280" s="953"/>
    </row>
    <row r="1281" spans="1:8" s="943" customFormat="1" x14ac:dyDescent="0.25">
      <c r="A1281" s="952"/>
      <c r="B1281" s="953"/>
      <c r="C1281" s="953"/>
      <c r="D1281" s="953"/>
      <c r="E1281" s="953"/>
      <c r="F1281" s="953"/>
      <c r="G1281" s="953"/>
      <c r="H1281" s="953"/>
    </row>
    <row r="1282" spans="1:8" s="943" customFormat="1" x14ac:dyDescent="0.25">
      <c r="A1282" s="952"/>
      <c r="B1282" s="953"/>
      <c r="C1282" s="953"/>
      <c r="D1282" s="953"/>
      <c r="E1282" s="953"/>
      <c r="F1282" s="953"/>
      <c r="G1282" s="953"/>
      <c r="H1282" s="953"/>
    </row>
    <row r="1283" spans="1:8" s="943" customFormat="1" x14ac:dyDescent="0.25">
      <c r="A1283" s="952"/>
      <c r="B1283" s="953"/>
      <c r="C1283" s="953"/>
      <c r="D1283" s="953"/>
      <c r="E1283" s="953"/>
      <c r="F1283" s="953"/>
      <c r="G1283" s="953"/>
      <c r="H1283" s="953"/>
    </row>
    <row r="1284" spans="1:8" s="943" customFormat="1" x14ac:dyDescent="0.25">
      <c r="A1284" s="952"/>
      <c r="B1284" s="953"/>
      <c r="C1284" s="953"/>
      <c r="D1284" s="953"/>
      <c r="E1284" s="953"/>
      <c r="F1284" s="953"/>
      <c r="G1284" s="953"/>
      <c r="H1284" s="953"/>
    </row>
    <row r="1285" spans="1:8" s="943" customFormat="1" x14ac:dyDescent="0.25">
      <c r="A1285" s="952"/>
      <c r="B1285" s="953"/>
      <c r="C1285" s="953"/>
      <c r="D1285" s="953"/>
      <c r="E1285" s="953"/>
      <c r="F1285" s="953"/>
      <c r="G1285" s="953"/>
      <c r="H1285" s="953"/>
    </row>
    <row r="1286" spans="1:8" s="943" customFormat="1" x14ac:dyDescent="0.25">
      <c r="A1286" s="952"/>
      <c r="B1286" s="953"/>
      <c r="C1286" s="953"/>
      <c r="D1286" s="953"/>
      <c r="E1286" s="953"/>
      <c r="F1286" s="953"/>
      <c r="G1286" s="953"/>
      <c r="H1286" s="953"/>
    </row>
    <row r="1287" spans="1:8" s="943" customFormat="1" x14ac:dyDescent="0.25">
      <c r="A1287" s="952"/>
      <c r="B1287" s="953"/>
      <c r="C1287" s="953"/>
      <c r="D1287" s="953"/>
      <c r="E1287" s="953"/>
      <c r="F1287" s="953"/>
      <c r="G1287" s="953"/>
      <c r="H1287" s="953"/>
    </row>
    <row r="1288" spans="1:8" s="943" customFormat="1" x14ac:dyDescent="0.25">
      <c r="A1288" s="952"/>
      <c r="B1288" s="953"/>
      <c r="C1288" s="953"/>
      <c r="D1288" s="953"/>
      <c r="E1288" s="953"/>
      <c r="F1288" s="953"/>
      <c r="G1288" s="953"/>
      <c r="H1288" s="953"/>
    </row>
    <row r="1289" spans="1:8" s="943" customFormat="1" x14ac:dyDescent="0.25">
      <c r="A1289" s="952"/>
      <c r="B1289" s="953"/>
      <c r="C1289" s="953"/>
      <c r="D1289" s="953"/>
      <c r="E1289" s="953"/>
      <c r="F1289" s="953"/>
      <c r="G1289" s="953"/>
      <c r="H1289" s="953"/>
    </row>
    <row r="1290" spans="1:8" s="943" customFormat="1" x14ac:dyDescent="0.25">
      <c r="A1290" s="952"/>
      <c r="B1290" s="953"/>
      <c r="C1290" s="953"/>
      <c r="D1290" s="953"/>
      <c r="E1290" s="953"/>
      <c r="F1290" s="953"/>
      <c r="G1290" s="953"/>
      <c r="H1290" s="953"/>
    </row>
    <row r="1291" spans="1:8" s="943" customFormat="1" x14ac:dyDescent="0.25">
      <c r="A1291" s="952"/>
      <c r="B1291" s="953"/>
      <c r="C1291" s="953"/>
      <c r="D1291" s="953"/>
      <c r="E1291" s="953"/>
      <c r="F1291" s="953"/>
      <c r="G1291" s="953"/>
      <c r="H1291" s="953"/>
    </row>
    <row r="1292" spans="1:8" s="943" customFormat="1" x14ac:dyDescent="0.25">
      <c r="A1292" s="952"/>
      <c r="B1292" s="953"/>
      <c r="C1292" s="953"/>
      <c r="D1292" s="953"/>
      <c r="E1292" s="953"/>
      <c r="F1292" s="953"/>
      <c r="G1292" s="953"/>
      <c r="H1292" s="953"/>
    </row>
    <row r="1293" spans="1:8" s="943" customFormat="1" x14ac:dyDescent="0.25">
      <c r="A1293" s="952"/>
      <c r="B1293" s="953"/>
      <c r="C1293" s="953"/>
      <c r="D1293" s="953"/>
      <c r="E1293" s="953"/>
      <c r="F1293" s="953"/>
      <c r="G1293" s="953"/>
      <c r="H1293" s="953"/>
    </row>
    <row r="1294" spans="1:8" s="943" customFormat="1" x14ac:dyDescent="0.25">
      <c r="A1294" s="952"/>
      <c r="B1294" s="953"/>
      <c r="C1294" s="953"/>
      <c r="D1294" s="953"/>
      <c r="E1294" s="953"/>
      <c r="F1294" s="953"/>
      <c r="G1294" s="953"/>
      <c r="H1294" s="953"/>
    </row>
    <row r="1295" spans="1:8" s="943" customFormat="1" x14ac:dyDescent="0.25">
      <c r="A1295" s="952"/>
      <c r="B1295" s="953"/>
      <c r="C1295" s="953"/>
      <c r="D1295" s="953"/>
      <c r="E1295" s="953"/>
      <c r="F1295" s="953"/>
      <c r="G1295" s="953"/>
      <c r="H1295" s="953"/>
    </row>
    <row r="1296" spans="1:8" s="943" customFormat="1" x14ac:dyDescent="0.25">
      <c r="A1296" s="952"/>
      <c r="B1296" s="953"/>
      <c r="C1296" s="953"/>
      <c r="D1296" s="953"/>
      <c r="E1296" s="953"/>
      <c r="F1296" s="953"/>
      <c r="G1296" s="953"/>
      <c r="H1296" s="953"/>
    </row>
    <row r="1297" spans="1:8" s="943" customFormat="1" x14ac:dyDescent="0.25">
      <c r="A1297" s="952"/>
      <c r="B1297" s="953"/>
      <c r="C1297" s="953"/>
      <c r="D1297" s="953"/>
      <c r="E1297" s="953"/>
      <c r="F1297" s="953"/>
      <c r="G1297" s="953"/>
      <c r="H1297" s="953"/>
    </row>
    <row r="1298" spans="1:8" s="943" customFormat="1" x14ac:dyDescent="0.25">
      <c r="A1298" s="952"/>
      <c r="B1298" s="953"/>
      <c r="C1298" s="953"/>
      <c r="D1298" s="953"/>
      <c r="E1298" s="953"/>
      <c r="F1298" s="953"/>
      <c r="G1298" s="953"/>
      <c r="H1298" s="953"/>
    </row>
    <row r="1299" spans="1:8" s="943" customFormat="1" x14ac:dyDescent="0.25">
      <c r="A1299" s="952"/>
      <c r="B1299" s="953"/>
      <c r="C1299" s="953"/>
      <c r="D1299" s="953"/>
      <c r="E1299" s="953"/>
      <c r="F1299" s="953"/>
      <c r="G1299" s="953"/>
      <c r="H1299" s="953"/>
    </row>
    <row r="1300" spans="1:8" s="943" customFormat="1" x14ac:dyDescent="0.25">
      <c r="A1300" s="952"/>
      <c r="B1300" s="953"/>
      <c r="C1300" s="953"/>
      <c r="D1300" s="953"/>
      <c r="E1300" s="953"/>
      <c r="F1300" s="953"/>
      <c r="G1300" s="953"/>
      <c r="H1300" s="953"/>
    </row>
    <row r="1301" spans="1:8" s="943" customFormat="1" x14ac:dyDescent="0.25">
      <c r="A1301" s="952"/>
      <c r="B1301" s="953"/>
      <c r="C1301" s="953"/>
      <c r="D1301" s="953"/>
      <c r="E1301" s="953"/>
      <c r="F1301" s="953"/>
      <c r="G1301" s="953"/>
      <c r="H1301" s="953"/>
    </row>
    <row r="1302" spans="1:8" s="943" customFormat="1" x14ac:dyDescent="0.25">
      <c r="A1302" s="952"/>
      <c r="B1302" s="953"/>
      <c r="C1302" s="953"/>
      <c r="D1302" s="953"/>
      <c r="E1302" s="953"/>
      <c r="F1302" s="953"/>
      <c r="G1302" s="953"/>
      <c r="H1302" s="953"/>
    </row>
    <row r="1303" spans="1:8" s="943" customFormat="1" x14ac:dyDescent="0.25">
      <c r="A1303" s="952"/>
      <c r="B1303" s="953"/>
      <c r="C1303" s="953"/>
      <c r="D1303" s="953"/>
      <c r="E1303" s="953"/>
      <c r="F1303" s="953"/>
      <c r="G1303" s="953"/>
      <c r="H1303" s="953"/>
    </row>
    <row r="1304" spans="1:8" s="943" customFormat="1" x14ac:dyDescent="0.25">
      <c r="A1304" s="952"/>
      <c r="B1304" s="953"/>
      <c r="C1304" s="953"/>
      <c r="D1304" s="953"/>
      <c r="E1304" s="953"/>
      <c r="F1304" s="953"/>
      <c r="G1304" s="953"/>
      <c r="H1304" s="953"/>
    </row>
    <row r="1305" spans="1:8" s="943" customFormat="1" x14ac:dyDescent="0.25">
      <c r="A1305" s="952"/>
      <c r="B1305" s="953"/>
      <c r="C1305" s="953"/>
      <c r="D1305" s="953"/>
      <c r="E1305" s="953"/>
      <c r="F1305" s="953"/>
      <c r="G1305" s="953"/>
      <c r="H1305" s="953"/>
    </row>
    <row r="1306" spans="1:8" s="943" customFormat="1" x14ac:dyDescent="0.25">
      <c r="A1306" s="952"/>
      <c r="B1306" s="953"/>
      <c r="C1306" s="953"/>
      <c r="D1306" s="953"/>
      <c r="E1306" s="953"/>
      <c r="F1306" s="953"/>
      <c r="G1306" s="953"/>
      <c r="H1306" s="953"/>
    </row>
    <row r="1307" spans="1:8" s="943" customFormat="1" x14ac:dyDescent="0.25">
      <c r="A1307" s="952"/>
      <c r="B1307" s="953"/>
      <c r="C1307" s="953"/>
      <c r="D1307" s="953"/>
      <c r="E1307" s="953"/>
      <c r="F1307" s="953"/>
      <c r="G1307" s="953"/>
      <c r="H1307" s="953"/>
    </row>
    <row r="1308" spans="1:8" s="943" customFormat="1" x14ac:dyDescent="0.25">
      <c r="A1308" s="952"/>
      <c r="B1308" s="953"/>
      <c r="C1308" s="953"/>
      <c r="D1308" s="953"/>
      <c r="E1308" s="953"/>
      <c r="F1308" s="953"/>
      <c r="G1308" s="953"/>
      <c r="H1308" s="953"/>
    </row>
    <row r="1309" spans="1:8" s="943" customFormat="1" x14ac:dyDescent="0.25">
      <c r="A1309" s="952"/>
      <c r="B1309" s="953"/>
      <c r="C1309" s="953"/>
      <c r="D1309" s="953"/>
      <c r="E1309" s="953"/>
      <c r="F1309" s="953"/>
      <c r="G1309" s="953"/>
      <c r="H1309" s="953"/>
    </row>
    <row r="1310" spans="1:8" s="943" customFormat="1" x14ac:dyDescent="0.25">
      <c r="A1310" s="952"/>
      <c r="B1310" s="953"/>
      <c r="C1310" s="953"/>
      <c r="D1310" s="953"/>
      <c r="E1310" s="953"/>
      <c r="F1310" s="953"/>
      <c r="G1310" s="953"/>
      <c r="H1310" s="953"/>
    </row>
    <row r="1311" spans="1:8" s="943" customFormat="1" x14ac:dyDescent="0.25">
      <c r="A1311" s="952"/>
      <c r="B1311" s="953"/>
      <c r="C1311" s="953"/>
      <c r="D1311" s="953"/>
      <c r="E1311" s="953"/>
      <c r="F1311" s="953"/>
      <c r="G1311" s="953"/>
      <c r="H1311" s="953"/>
    </row>
    <row r="1312" spans="1:8" s="943" customFormat="1" x14ac:dyDescent="0.25">
      <c r="A1312" s="952"/>
      <c r="B1312" s="953"/>
      <c r="C1312" s="953"/>
      <c r="D1312" s="953"/>
      <c r="E1312" s="953"/>
      <c r="F1312" s="953"/>
      <c r="G1312" s="953"/>
      <c r="H1312" s="953"/>
    </row>
    <row r="1313" spans="1:8" s="943" customFormat="1" x14ac:dyDescent="0.25">
      <c r="A1313" s="952"/>
      <c r="B1313" s="953"/>
      <c r="C1313" s="953"/>
      <c r="D1313" s="953"/>
      <c r="E1313" s="953"/>
      <c r="F1313" s="953"/>
      <c r="G1313" s="953"/>
      <c r="H1313" s="953"/>
    </row>
    <row r="1314" spans="1:8" s="943" customFormat="1" x14ac:dyDescent="0.25">
      <c r="A1314" s="952"/>
      <c r="B1314" s="953"/>
      <c r="C1314" s="953"/>
      <c r="D1314" s="953"/>
      <c r="E1314" s="953"/>
      <c r="F1314" s="953"/>
      <c r="G1314" s="953"/>
      <c r="H1314" s="953"/>
    </row>
    <row r="1315" spans="1:8" s="943" customFormat="1" x14ac:dyDescent="0.25">
      <c r="A1315" s="952"/>
      <c r="B1315" s="953"/>
      <c r="C1315" s="953"/>
      <c r="D1315" s="953"/>
      <c r="E1315" s="953"/>
      <c r="F1315" s="953"/>
      <c r="G1315" s="953"/>
      <c r="H1315" s="953"/>
    </row>
    <row r="1316" spans="1:8" s="943" customFormat="1" x14ac:dyDescent="0.25">
      <c r="A1316" s="952"/>
      <c r="B1316" s="953"/>
      <c r="C1316" s="953"/>
      <c r="D1316" s="953"/>
      <c r="E1316" s="953"/>
      <c r="F1316" s="953"/>
      <c r="G1316" s="953"/>
      <c r="H1316" s="953"/>
    </row>
    <row r="1317" spans="1:8" s="943" customFormat="1" x14ac:dyDescent="0.25">
      <c r="A1317" s="952"/>
      <c r="B1317" s="953"/>
      <c r="C1317" s="953"/>
      <c r="D1317" s="953"/>
      <c r="E1317" s="953"/>
      <c r="F1317" s="953"/>
      <c r="G1317" s="953"/>
      <c r="H1317" s="953"/>
    </row>
    <row r="1318" spans="1:8" s="943" customFormat="1" x14ac:dyDescent="0.25">
      <c r="A1318" s="952"/>
      <c r="B1318" s="953"/>
      <c r="C1318" s="953"/>
      <c r="D1318" s="953"/>
      <c r="E1318" s="953"/>
      <c r="F1318" s="953"/>
      <c r="G1318" s="953"/>
      <c r="H1318" s="953"/>
    </row>
    <row r="1319" spans="1:8" s="943" customFormat="1" x14ac:dyDescent="0.25">
      <c r="A1319" s="952"/>
      <c r="B1319" s="953"/>
      <c r="C1319" s="953"/>
      <c r="D1319" s="953"/>
      <c r="E1319" s="953"/>
      <c r="F1319" s="953"/>
      <c r="G1319" s="953"/>
      <c r="H1319" s="953"/>
    </row>
    <row r="1320" spans="1:8" s="943" customFormat="1" x14ac:dyDescent="0.25">
      <c r="A1320" s="952"/>
      <c r="B1320" s="953"/>
      <c r="C1320" s="953"/>
      <c r="D1320" s="953"/>
      <c r="E1320" s="953"/>
      <c r="F1320" s="953"/>
      <c r="G1320" s="953"/>
      <c r="H1320" s="953"/>
    </row>
    <row r="1321" spans="1:8" s="943" customFormat="1" x14ac:dyDescent="0.25">
      <c r="A1321" s="952"/>
      <c r="B1321" s="953"/>
      <c r="C1321" s="953"/>
      <c r="D1321" s="953"/>
      <c r="E1321" s="953"/>
      <c r="F1321" s="953"/>
      <c r="G1321" s="953"/>
      <c r="H1321" s="953"/>
    </row>
    <row r="1322" spans="1:8" s="943" customFormat="1" x14ac:dyDescent="0.25">
      <c r="A1322" s="952"/>
      <c r="B1322" s="953"/>
      <c r="C1322" s="953"/>
      <c r="D1322" s="953"/>
      <c r="E1322" s="953"/>
      <c r="F1322" s="953"/>
      <c r="G1322" s="953"/>
      <c r="H1322" s="953"/>
    </row>
    <row r="1323" spans="1:8" s="943" customFormat="1" x14ac:dyDescent="0.25">
      <c r="A1323" s="952"/>
      <c r="B1323" s="953"/>
      <c r="C1323" s="953"/>
      <c r="D1323" s="953"/>
      <c r="E1323" s="953"/>
      <c r="F1323" s="953"/>
      <c r="G1323" s="953"/>
      <c r="H1323" s="953"/>
    </row>
    <row r="1324" spans="1:8" s="943" customFormat="1" x14ac:dyDescent="0.25">
      <c r="A1324" s="952"/>
      <c r="B1324" s="953"/>
      <c r="C1324" s="953"/>
      <c r="D1324" s="953"/>
      <c r="E1324" s="953"/>
      <c r="F1324" s="953"/>
      <c r="G1324" s="953"/>
      <c r="H1324" s="953"/>
    </row>
    <row r="1325" spans="1:8" s="943" customFormat="1" x14ac:dyDescent="0.25">
      <c r="A1325" s="952"/>
      <c r="B1325" s="953"/>
      <c r="C1325" s="953"/>
      <c r="D1325" s="953"/>
      <c r="E1325" s="953"/>
      <c r="F1325" s="953"/>
      <c r="G1325" s="953"/>
      <c r="H1325" s="953"/>
    </row>
    <row r="1326" spans="1:8" s="943" customFormat="1" x14ac:dyDescent="0.25">
      <c r="A1326" s="952"/>
      <c r="B1326" s="953"/>
      <c r="C1326" s="953"/>
      <c r="D1326" s="953"/>
      <c r="E1326" s="953"/>
      <c r="F1326" s="953"/>
      <c r="G1326" s="953"/>
      <c r="H1326" s="953"/>
    </row>
    <row r="1327" spans="1:8" s="943" customFormat="1" x14ac:dyDescent="0.25">
      <c r="A1327" s="952"/>
      <c r="B1327" s="953"/>
      <c r="C1327" s="953"/>
      <c r="D1327" s="953"/>
      <c r="E1327" s="953"/>
      <c r="F1327" s="953"/>
      <c r="G1327" s="953"/>
      <c r="H1327" s="953"/>
    </row>
    <row r="1328" spans="1:8" s="943" customFormat="1" x14ac:dyDescent="0.25">
      <c r="A1328" s="952"/>
      <c r="B1328" s="953"/>
      <c r="C1328" s="953"/>
      <c r="D1328" s="953"/>
      <c r="E1328" s="953"/>
      <c r="F1328" s="953"/>
      <c r="G1328" s="953"/>
      <c r="H1328" s="953"/>
    </row>
    <row r="1329" spans="1:8" s="943" customFormat="1" x14ac:dyDescent="0.25">
      <c r="A1329" s="952"/>
      <c r="B1329" s="953"/>
      <c r="C1329" s="953"/>
      <c r="D1329" s="953"/>
      <c r="E1329" s="953"/>
      <c r="F1329" s="953"/>
      <c r="G1329" s="953"/>
      <c r="H1329" s="953"/>
    </row>
    <row r="1330" spans="1:8" s="943" customFormat="1" x14ac:dyDescent="0.25">
      <c r="A1330" s="952"/>
      <c r="B1330" s="953"/>
      <c r="C1330" s="953"/>
      <c r="D1330" s="953"/>
      <c r="E1330" s="953"/>
      <c r="F1330" s="953"/>
      <c r="G1330" s="953"/>
      <c r="H1330" s="953"/>
    </row>
    <row r="1331" spans="1:8" s="943" customFormat="1" x14ac:dyDescent="0.25">
      <c r="A1331" s="952"/>
      <c r="B1331" s="953"/>
      <c r="C1331" s="953"/>
      <c r="D1331" s="953"/>
      <c r="E1331" s="953"/>
      <c r="F1331" s="953"/>
      <c r="G1331" s="953"/>
      <c r="H1331" s="953"/>
    </row>
    <row r="1332" spans="1:8" s="943" customFormat="1" x14ac:dyDescent="0.25">
      <c r="A1332" s="952"/>
      <c r="B1332" s="953"/>
      <c r="C1332" s="953"/>
      <c r="D1332" s="953"/>
      <c r="E1332" s="953"/>
      <c r="F1332" s="953"/>
      <c r="G1332" s="953"/>
      <c r="H1332" s="953"/>
    </row>
    <row r="1333" spans="1:8" s="943" customFormat="1" x14ac:dyDescent="0.25">
      <c r="A1333" s="952"/>
      <c r="B1333" s="953"/>
      <c r="C1333" s="953"/>
      <c r="D1333" s="953"/>
      <c r="E1333" s="953"/>
      <c r="F1333" s="953"/>
      <c r="G1333" s="953"/>
      <c r="H1333" s="953"/>
    </row>
    <row r="1334" spans="1:8" s="943" customFormat="1" x14ac:dyDescent="0.25">
      <c r="A1334" s="952"/>
      <c r="B1334" s="953"/>
      <c r="C1334" s="953"/>
      <c r="D1334" s="953"/>
      <c r="E1334" s="953"/>
      <c r="F1334" s="953"/>
      <c r="G1334" s="953"/>
      <c r="H1334" s="953"/>
    </row>
    <row r="1335" spans="1:8" s="943" customFormat="1" x14ac:dyDescent="0.25">
      <c r="A1335" s="952"/>
      <c r="B1335" s="953"/>
      <c r="C1335" s="953"/>
      <c r="D1335" s="953"/>
      <c r="E1335" s="953"/>
      <c r="F1335" s="953"/>
      <c r="G1335" s="953"/>
      <c r="H1335" s="953"/>
    </row>
    <row r="1336" spans="1:8" s="943" customFormat="1" x14ac:dyDescent="0.25">
      <c r="A1336" s="952"/>
      <c r="B1336" s="953"/>
      <c r="C1336" s="953"/>
      <c r="D1336" s="953"/>
      <c r="E1336" s="953"/>
      <c r="F1336" s="953"/>
      <c r="G1336" s="953"/>
      <c r="H1336" s="953"/>
    </row>
    <row r="1337" spans="1:8" s="943" customFormat="1" x14ac:dyDescent="0.25">
      <c r="A1337" s="952"/>
      <c r="B1337" s="953"/>
      <c r="C1337" s="953"/>
      <c r="D1337" s="953"/>
      <c r="E1337" s="953"/>
      <c r="F1337" s="953"/>
      <c r="G1337" s="953"/>
      <c r="H1337" s="953"/>
    </row>
    <row r="1338" spans="1:8" s="943" customFormat="1" x14ac:dyDescent="0.25">
      <c r="A1338" s="952"/>
      <c r="B1338" s="953"/>
      <c r="C1338" s="953"/>
      <c r="D1338" s="953"/>
      <c r="E1338" s="953"/>
      <c r="F1338" s="953"/>
      <c r="G1338" s="953"/>
      <c r="H1338" s="953"/>
    </row>
    <row r="1339" spans="1:8" s="943" customFormat="1" x14ac:dyDescent="0.25">
      <c r="A1339" s="952"/>
      <c r="B1339" s="953"/>
      <c r="C1339" s="953"/>
      <c r="D1339" s="953"/>
      <c r="E1339" s="953"/>
      <c r="F1339" s="953"/>
      <c r="G1339" s="953"/>
      <c r="H1339" s="953"/>
    </row>
    <row r="1340" spans="1:8" s="943" customFormat="1" x14ac:dyDescent="0.25">
      <c r="A1340" s="952"/>
      <c r="B1340" s="953"/>
      <c r="C1340" s="953"/>
      <c r="D1340" s="953"/>
      <c r="E1340" s="953"/>
      <c r="F1340" s="953"/>
      <c r="G1340" s="953"/>
      <c r="H1340" s="953"/>
    </row>
    <row r="1341" spans="1:8" s="943" customFormat="1" x14ac:dyDescent="0.25">
      <c r="A1341" s="952"/>
      <c r="B1341" s="953"/>
      <c r="C1341" s="953"/>
      <c r="D1341" s="953"/>
      <c r="E1341" s="953"/>
      <c r="F1341" s="953"/>
      <c r="G1341" s="953"/>
      <c r="H1341" s="953"/>
    </row>
    <row r="1342" spans="1:8" s="943" customFormat="1" x14ac:dyDescent="0.25">
      <c r="A1342" s="952"/>
      <c r="B1342" s="953"/>
      <c r="C1342" s="953"/>
      <c r="D1342" s="953"/>
      <c r="E1342" s="953"/>
      <c r="F1342" s="953"/>
      <c r="G1342" s="953"/>
      <c r="H1342" s="953"/>
    </row>
    <row r="1343" spans="1:8" s="943" customFormat="1" x14ac:dyDescent="0.25">
      <c r="A1343" s="952"/>
      <c r="B1343" s="953"/>
      <c r="C1343" s="953"/>
      <c r="D1343" s="953"/>
      <c r="E1343" s="953"/>
      <c r="F1343" s="953"/>
      <c r="G1343" s="953"/>
      <c r="H1343" s="953"/>
    </row>
    <row r="1344" spans="1:8" s="943" customFormat="1" x14ac:dyDescent="0.25">
      <c r="A1344" s="952"/>
      <c r="B1344" s="953"/>
      <c r="C1344" s="953"/>
      <c r="D1344" s="953"/>
      <c r="E1344" s="953"/>
      <c r="F1344" s="953"/>
      <c r="G1344" s="953"/>
      <c r="H1344" s="953"/>
    </row>
    <row r="1345" spans="1:8" s="943" customFormat="1" x14ac:dyDescent="0.25">
      <c r="A1345" s="952"/>
      <c r="B1345" s="953"/>
      <c r="C1345" s="953"/>
      <c r="D1345" s="953"/>
      <c r="E1345" s="953"/>
      <c r="F1345" s="953"/>
      <c r="G1345" s="953"/>
      <c r="H1345" s="953"/>
    </row>
    <row r="1346" spans="1:8" s="943" customFormat="1" x14ac:dyDescent="0.25">
      <c r="A1346" s="952"/>
      <c r="B1346" s="953"/>
      <c r="C1346" s="953"/>
      <c r="D1346" s="953"/>
      <c r="E1346" s="953"/>
      <c r="F1346" s="953"/>
      <c r="G1346" s="953"/>
      <c r="H1346" s="953"/>
    </row>
    <row r="1347" spans="1:8" s="943" customFormat="1" x14ac:dyDescent="0.25">
      <c r="A1347" s="952"/>
      <c r="B1347" s="953"/>
      <c r="C1347" s="953"/>
      <c r="D1347" s="953"/>
      <c r="E1347" s="953"/>
      <c r="F1347" s="953"/>
      <c r="G1347" s="953"/>
      <c r="H1347" s="953"/>
    </row>
    <row r="1348" spans="1:8" s="943" customFormat="1" x14ac:dyDescent="0.25">
      <c r="A1348" s="952"/>
      <c r="B1348" s="953"/>
      <c r="C1348" s="953"/>
      <c r="D1348" s="953"/>
      <c r="E1348" s="953"/>
      <c r="F1348" s="953"/>
      <c r="G1348" s="953"/>
      <c r="H1348" s="953"/>
    </row>
    <row r="1349" spans="1:8" s="943" customFormat="1" x14ac:dyDescent="0.25">
      <c r="A1349" s="952"/>
      <c r="B1349" s="953"/>
      <c r="C1349" s="953"/>
      <c r="D1349" s="953"/>
      <c r="E1349" s="953"/>
      <c r="F1349" s="953"/>
      <c r="G1349" s="953"/>
      <c r="H1349" s="953"/>
    </row>
    <row r="1350" spans="1:8" s="943" customFormat="1" x14ac:dyDescent="0.25">
      <c r="A1350" s="952"/>
      <c r="B1350" s="953"/>
      <c r="C1350" s="953"/>
      <c r="D1350" s="953"/>
      <c r="E1350" s="953"/>
      <c r="F1350" s="953"/>
      <c r="G1350" s="953"/>
      <c r="H1350" s="953"/>
    </row>
    <row r="1351" spans="1:8" s="943" customFormat="1" x14ac:dyDescent="0.25">
      <c r="A1351" s="952"/>
      <c r="B1351" s="953"/>
      <c r="C1351" s="953"/>
      <c r="D1351" s="953"/>
      <c r="E1351" s="953"/>
      <c r="F1351" s="953"/>
      <c r="G1351" s="953"/>
      <c r="H1351" s="953"/>
    </row>
    <row r="1352" spans="1:8" s="943" customFormat="1" x14ac:dyDescent="0.25">
      <c r="A1352" s="952"/>
      <c r="B1352" s="953"/>
      <c r="C1352" s="953"/>
      <c r="D1352" s="953"/>
      <c r="E1352" s="953"/>
      <c r="F1352" s="953"/>
      <c r="G1352" s="953"/>
      <c r="H1352" s="953"/>
    </row>
    <row r="1353" spans="1:8" s="943" customFormat="1" x14ac:dyDescent="0.25">
      <c r="A1353" s="952"/>
      <c r="B1353" s="953"/>
      <c r="C1353" s="953"/>
      <c r="D1353" s="953"/>
      <c r="E1353" s="953"/>
      <c r="F1353" s="953"/>
      <c r="G1353" s="953"/>
      <c r="H1353" s="953"/>
    </row>
    <row r="1354" spans="1:8" s="943" customFormat="1" x14ac:dyDescent="0.25">
      <c r="A1354" s="952"/>
      <c r="B1354" s="953"/>
      <c r="C1354" s="953"/>
      <c r="D1354" s="953"/>
      <c r="E1354" s="953"/>
      <c r="F1354" s="953"/>
      <c r="G1354" s="953"/>
      <c r="H1354" s="953"/>
    </row>
    <row r="1355" spans="1:8" s="943" customFormat="1" x14ac:dyDescent="0.25">
      <c r="A1355" s="952"/>
      <c r="B1355" s="953"/>
      <c r="C1355" s="953"/>
      <c r="D1355" s="953"/>
      <c r="E1355" s="953"/>
      <c r="F1355" s="953"/>
      <c r="G1355" s="953"/>
      <c r="H1355" s="953"/>
    </row>
    <row r="1356" spans="1:8" s="943" customFormat="1" x14ac:dyDescent="0.25">
      <c r="A1356" s="952"/>
      <c r="B1356" s="953"/>
      <c r="C1356" s="953"/>
      <c r="D1356" s="953"/>
      <c r="E1356" s="953"/>
      <c r="F1356" s="953"/>
      <c r="G1356" s="953"/>
      <c r="H1356" s="953"/>
    </row>
    <row r="1357" spans="1:8" s="943" customFormat="1" x14ac:dyDescent="0.25">
      <c r="A1357" s="952"/>
      <c r="B1357" s="953"/>
      <c r="C1357" s="953"/>
      <c r="D1357" s="953"/>
      <c r="E1357" s="953"/>
      <c r="F1357" s="953"/>
      <c r="G1357" s="953"/>
      <c r="H1357" s="953"/>
    </row>
    <row r="1358" spans="1:8" s="943" customFormat="1" x14ac:dyDescent="0.25">
      <c r="A1358" s="952"/>
      <c r="B1358" s="953"/>
      <c r="C1358" s="953"/>
      <c r="D1358" s="953"/>
      <c r="E1358" s="953"/>
      <c r="F1358" s="953"/>
      <c r="G1358" s="953"/>
      <c r="H1358" s="953"/>
    </row>
    <row r="1359" spans="1:8" s="943" customFormat="1" x14ac:dyDescent="0.25">
      <c r="A1359" s="952"/>
      <c r="B1359" s="953"/>
      <c r="C1359" s="953"/>
      <c r="D1359" s="953"/>
      <c r="E1359" s="953"/>
      <c r="F1359" s="953"/>
      <c r="G1359" s="953"/>
      <c r="H1359" s="953"/>
    </row>
    <row r="1360" spans="1:8" s="943" customFormat="1" x14ac:dyDescent="0.25">
      <c r="A1360" s="952"/>
      <c r="B1360" s="953"/>
      <c r="C1360" s="953"/>
      <c r="D1360" s="953"/>
      <c r="E1360" s="953"/>
      <c r="F1360" s="953"/>
      <c r="G1360" s="953"/>
      <c r="H1360" s="953"/>
    </row>
    <row r="1361" spans="1:8" s="943" customFormat="1" x14ac:dyDescent="0.25">
      <c r="A1361" s="952"/>
      <c r="B1361" s="953"/>
      <c r="C1361" s="953"/>
      <c r="D1361" s="953"/>
      <c r="E1361" s="953"/>
      <c r="F1361" s="953"/>
      <c r="G1361" s="953"/>
      <c r="H1361" s="953"/>
    </row>
    <row r="1362" spans="1:8" s="943" customFormat="1" x14ac:dyDescent="0.25">
      <c r="A1362" s="952"/>
      <c r="B1362" s="953"/>
      <c r="C1362" s="953"/>
      <c r="D1362" s="953"/>
      <c r="E1362" s="953"/>
      <c r="F1362" s="953"/>
      <c r="G1362" s="953"/>
      <c r="H1362" s="953"/>
    </row>
    <row r="1363" spans="1:8" s="943" customFormat="1" x14ac:dyDescent="0.25">
      <c r="A1363" s="952"/>
      <c r="B1363" s="953"/>
      <c r="C1363" s="953"/>
      <c r="D1363" s="953"/>
      <c r="E1363" s="953"/>
      <c r="F1363" s="953"/>
      <c r="G1363" s="953"/>
      <c r="H1363" s="953"/>
    </row>
    <row r="1364" spans="1:8" s="943" customFormat="1" x14ac:dyDescent="0.25">
      <c r="A1364" s="952"/>
      <c r="B1364" s="953"/>
      <c r="C1364" s="953"/>
      <c r="D1364" s="953"/>
      <c r="E1364" s="953"/>
      <c r="F1364" s="953"/>
      <c r="G1364" s="953"/>
      <c r="H1364" s="953"/>
    </row>
    <row r="1365" spans="1:8" s="943" customFormat="1" x14ac:dyDescent="0.25">
      <c r="A1365" s="952"/>
      <c r="B1365" s="953"/>
      <c r="C1365" s="953"/>
      <c r="D1365" s="953"/>
      <c r="E1365" s="953"/>
      <c r="F1365" s="953"/>
      <c r="G1365" s="953"/>
      <c r="H1365" s="953"/>
    </row>
    <row r="1366" spans="1:8" s="943" customFormat="1" x14ac:dyDescent="0.25">
      <c r="A1366" s="952"/>
      <c r="B1366" s="953"/>
      <c r="C1366" s="953"/>
      <c r="D1366" s="953"/>
      <c r="E1366" s="953"/>
      <c r="F1366" s="953"/>
      <c r="G1366" s="953"/>
      <c r="H1366" s="953"/>
    </row>
    <row r="1367" spans="1:8" s="943" customFormat="1" x14ac:dyDescent="0.25">
      <c r="A1367" s="952"/>
      <c r="B1367" s="953"/>
      <c r="C1367" s="953"/>
      <c r="D1367" s="953"/>
      <c r="E1367" s="953"/>
      <c r="F1367" s="953"/>
      <c r="G1367" s="953"/>
      <c r="H1367" s="953"/>
    </row>
    <row r="1368" spans="1:8" s="943" customFormat="1" x14ac:dyDescent="0.25">
      <c r="A1368" s="952"/>
      <c r="B1368" s="953"/>
      <c r="C1368" s="953"/>
      <c r="D1368" s="953"/>
      <c r="E1368" s="953"/>
      <c r="F1368" s="953"/>
      <c r="G1368" s="953"/>
      <c r="H1368" s="953"/>
    </row>
    <row r="1369" spans="1:8" s="943" customFormat="1" x14ac:dyDescent="0.25">
      <c r="A1369" s="952"/>
      <c r="B1369" s="953"/>
      <c r="C1369" s="953"/>
      <c r="D1369" s="953"/>
      <c r="E1369" s="953"/>
      <c r="F1369" s="953"/>
      <c r="G1369" s="953"/>
      <c r="H1369" s="953"/>
    </row>
    <row r="1370" spans="1:8" s="943" customFormat="1" x14ac:dyDescent="0.25">
      <c r="A1370" s="952"/>
      <c r="B1370" s="953"/>
      <c r="C1370" s="953"/>
      <c r="D1370" s="953"/>
      <c r="E1370" s="953"/>
      <c r="F1370" s="953"/>
      <c r="G1370" s="953"/>
      <c r="H1370" s="953"/>
    </row>
    <row r="1371" spans="1:8" s="943" customFormat="1" x14ac:dyDescent="0.25">
      <c r="A1371" s="952"/>
      <c r="B1371" s="953"/>
      <c r="C1371" s="953"/>
      <c r="D1371" s="953"/>
      <c r="E1371" s="953"/>
      <c r="F1371" s="953"/>
      <c r="G1371" s="953"/>
      <c r="H1371" s="953"/>
    </row>
    <row r="1372" spans="1:8" s="943" customFormat="1" x14ac:dyDescent="0.25">
      <c r="A1372" s="952"/>
      <c r="B1372" s="953"/>
      <c r="C1372" s="953"/>
      <c r="D1372" s="953"/>
      <c r="E1372" s="953"/>
      <c r="F1372" s="953"/>
      <c r="G1372" s="953"/>
      <c r="H1372" s="953"/>
    </row>
    <row r="1373" spans="1:8" s="943" customFormat="1" x14ac:dyDescent="0.25">
      <c r="A1373" s="952"/>
      <c r="B1373" s="953"/>
      <c r="C1373" s="953"/>
      <c r="D1373" s="953"/>
      <c r="E1373" s="953"/>
      <c r="F1373" s="953"/>
      <c r="G1373" s="953"/>
      <c r="H1373" s="953"/>
    </row>
    <row r="1374" spans="1:8" s="943" customFormat="1" x14ac:dyDescent="0.25">
      <c r="A1374" s="952"/>
      <c r="B1374" s="953"/>
      <c r="C1374" s="953"/>
      <c r="D1374" s="953"/>
      <c r="E1374" s="953"/>
      <c r="F1374" s="953"/>
      <c r="G1374" s="953"/>
      <c r="H1374" s="953"/>
    </row>
    <row r="1375" spans="1:8" s="943" customFormat="1" x14ac:dyDescent="0.25">
      <c r="A1375" s="952"/>
      <c r="B1375" s="953"/>
      <c r="C1375" s="953"/>
      <c r="D1375" s="953"/>
      <c r="E1375" s="953"/>
      <c r="F1375" s="953"/>
      <c r="G1375" s="953"/>
      <c r="H1375" s="953"/>
    </row>
    <row r="1376" spans="1:8" s="943" customFormat="1" x14ac:dyDescent="0.25">
      <c r="A1376" s="952"/>
      <c r="B1376" s="953"/>
      <c r="C1376" s="953"/>
      <c r="D1376" s="953"/>
      <c r="E1376" s="953"/>
      <c r="F1376" s="953"/>
      <c r="G1376" s="953"/>
      <c r="H1376" s="953"/>
    </row>
    <row r="1377" spans="1:8" s="943" customFormat="1" x14ac:dyDescent="0.25">
      <c r="A1377" s="952"/>
      <c r="B1377" s="953"/>
      <c r="C1377" s="953"/>
      <c r="D1377" s="953"/>
      <c r="E1377" s="953"/>
      <c r="F1377" s="953"/>
      <c r="G1377" s="953"/>
      <c r="H1377" s="953"/>
    </row>
    <row r="1378" spans="1:8" s="943" customFormat="1" x14ac:dyDescent="0.25">
      <c r="A1378" s="952"/>
      <c r="B1378" s="953"/>
      <c r="C1378" s="953"/>
      <c r="D1378" s="953"/>
      <c r="E1378" s="953"/>
      <c r="F1378" s="953"/>
      <c r="G1378" s="953"/>
      <c r="H1378" s="953"/>
    </row>
    <row r="1379" spans="1:8" s="943" customFormat="1" x14ac:dyDescent="0.25">
      <c r="A1379" s="952"/>
      <c r="B1379" s="953"/>
      <c r="C1379" s="953"/>
      <c r="D1379" s="953"/>
      <c r="E1379" s="953"/>
      <c r="F1379" s="953"/>
      <c r="G1379" s="953"/>
      <c r="H1379" s="953"/>
    </row>
    <row r="1380" spans="1:8" s="943" customFormat="1" x14ac:dyDescent="0.25">
      <c r="A1380" s="952"/>
      <c r="B1380" s="953"/>
      <c r="C1380" s="953"/>
      <c r="D1380" s="953"/>
      <c r="E1380" s="953"/>
      <c r="F1380" s="953"/>
      <c r="G1380" s="953"/>
      <c r="H1380" s="953"/>
    </row>
    <row r="1381" spans="1:8" s="943" customFormat="1" x14ac:dyDescent="0.25">
      <c r="A1381" s="952"/>
      <c r="B1381" s="953"/>
      <c r="C1381" s="953"/>
      <c r="D1381" s="953"/>
      <c r="E1381" s="953"/>
      <c r="F1381" s="953"/>
      <c r="G1381" s="953"/>
      <c r="H1381" s="953"/>
    </row>
    <row r="1382" spans="1:8" s="943" customFormat="1" x14ac:dyDescent="0.25">
      <c r="A1382" s="952"/>
      <c r="B1382" s="953"/>
      <c r="C1382" s="953"/>
      <c r="D1382" s="953"/>
      <c r="E1382" s="953"/>
      <c r="F1382" s="953"/>
      <c r="G1382" s="953"/>
      <c r="H1382" s="953"/>
    </row>
    <row r="1383" spans="1:8" s="943" customFormat="1" x14ac:dyDescent="0.25">
      <c r="A1383" s="952"/>
      <c r="B1383" s="953"/>
      <c r="C1383" s="953"/>
      <c r="D1383" s="953"/>
      <c r="E1383" s="953"/>
      <c r="F1383" s="953"/>
      <c r="G1383" s="953"/>
      <c r="H1383" s="953"/>
    </row>
    <row r="1384" spans="1:8" s="943" customFormat="1" x14ac:dyDescent="0.25">
      <c r="A1384" s="952"/>
      <c r="B1384" s="953"/>
      <c r="C1384" s="953"/>
      <c r="D1384" s="953"/>
      <c r="E1384" s="953"/>
      <c r="F1384" s="953"/>
      <c r="G1384" s="953"/>
      <c r="H1384" s="953"/>
    </row>
    <row r="1385" spans="1:8" s="943" customFormat="1" x14ac:dyDescent="0.25">
      <c r="A1385" s="952"/>
      <c r="B1385" s="953"/>
      <c r="C1385" s="953"/>
      <c r="D1385" s="953"/>
      <c r="E1385" s="953"/>
      <c r="F1385" s="953"/>
      <c r="G1385" s="953"/>
      <c r="H1385" s="953"/>
    </row>
    <row r="1386" spans="1:8" s="943" customFormat="1" x14ac:dyDescent="0.25">
      <c r="A1386" s="952"/>
      <c r="B1386" s="953"/>
      <c r="C1386" s="953"/>
      <c r="D1386" s="953"/>
      <c r="E1386" s="953"/>
      <c r="F1386" s="953"/>
      <c r="G1386" s="953"/>
      <c r="H1386" s="953"/>
    </row>
    <row r="1387" spans="1:8" s="943" customFormat="1" x14ac:dyDescent="0.25">
      <c r="A1387" s="952"/>
      <c r="B1387" s="953"/>
      <c r="C1387" s="953"/>
      <c r="D1387" s="953"/>
      <c r="E1387" s="953"/>
      <c r="F1387" s="953"/>
      <c r="G1387" s="953"/>
      <c r="H1387" s="953"/>
    </row>
    <row r="1388" spans="1:8" s="943" customFormat="1" x14ac:dyDescent="0.25">
      <c r="A1388" s="952"/>
      <c r="B1388" s="953"/>
      <c r="C1388" s="953"/>
      <c r="D1388" s="953"/>
      <c r="E1388" s="953"/>
      <c r="F1388" s="953"/>
      <c r="G1388" s="953"/>
      <c r="H1388" s="953"/>
    </row>
    <row r="1389" spans="1:8" s="943" customFormat="1" x14ac:dyDescent="0.25">
      <c r="A1389" s="952"/>
      <c r="B1389" s="953"/>
      <c r="C1389" s="953"/>
      <c r="D1389" s="953"/>
      <c r="E1389" s="953"/>
      <c r="F1389" s="953"/>
      <c r="G1389" s="953"/>
      <c r="H1389" s="953"/>
    </row>
    <row r="1390" spans="1:8" s="943" customFormat="1" x14ac:dyDescent="0.25">
      <c r="A1390" s="952"/>
      <c r="B1390" s="953"/>
      <c r="C1390" s="953"/>
      <c r="D1390" s="953"/>
      <c r="E1390" s="953"/>
      <c r="F1390" s="953"/>
      <c r="G1390" s="953"/>
      <c r="H1390" s="953"/>
    </row>
    <row r="1391" spans="1:8" s="943" customFormat="1" x14ac:dyDescent="0.25">
      <c r="A1391" s="952"/>
      <c r="B1391" s="953"/>
      <c r="C1391" s="953"/>
      <c r="D1391" s="953"/>
      <c r="E1391" s="953"/>
      <c r="F1391" s="953"/>
      <c r="G1391" s="953"/>
      <c r="H1391" s="953"/>
    </row>
    <row r="1392" spans="1:8" s="943" customFormat="1" x14ac:dyDescent="0.25">
      <c r="A1392" s="952"/>
      <c r="B1392" s="953"/>
      <c r="C1392" s="953"/>
      <c r="D1392" s="953"/>
      <c r="E1392" s="953"/>
      <c r="F1392" s="953"/>
      <c r="G1392" s="953"/>
      <c r="H1392" s="953"/>
    </row>
    <row r="1393" spans="1:8" s="943" customFormat="1" x14ac:dyDescent="0.25">
      <c r="A1393" s="952"/>
      <c r="B1393" s="953"/>
      <c r="C1393" s="953"/>
      <c r="D1393" s="953"/>
      <c r="E1393" s="953"/>
      <c r="F1393" s="953"/>
      <c r="G1393" s="953"/>
      <c r="H1393" s="953"/>
    </row>
    <row r="1394" spans="1:8" s="943" customFormat="1" x14ac:dyDescent="0.25">
      <c r="A1394" s="952"/>
      <c r="B1394" s="953"/>
      <c r="C1394" s="953"/>
      <c r="D1394" s="953"/>
      <c r="E1394" s="953"/>
      <c r="F1394" s="953"/>
      <c r="G1394" s="953"/>
      <c r="H1394" s="953"/>
    </row>
    <row r="1395" spans="1:8" s="943" customFormat="1" x14ac:dyDescent="0.25">
      <c r="A1395" s="952"/>
      <c r="B1395" s="953"/>
      <c r="C1395" s="953"/>
      <c r="D1395" s="953"/>
      <c r="E1395" s="953"/>
      <c r="F1395" s="953"/>
      <c r="G1395" s="953"/>
      <c r="H1395" s="953"/>
    </row>
    <row r="1396" spans="1:8" s="943" customFormat="1" x14ac:dyDescent="0.25">
      <c r="A1396" s="952"/>
      <c r="B1396" s="953"/>
      <c r="C1396" s="953"/>
      <c r="D1396" s="953"/>
      <c r="E1396" s="953"/>
      <c r="F1396" s="953"/>
      <c r="G1396" s="953"/>
      <c r="H1396" s="953"/>
    </row>
    <row r="1397" spans="1:8" s="943" customFormat="1" x14ac:dyDescent="0.25">
      <c r="A1397" s="952"/>
      <c r="B1397" s="953"/>
      <c r="C1397" s="953"/>
      <c r="D1397" s="953"/>
      <c r="E1397" s="953"/>
      <c r="F1397" s="953"/>
      <c r="G1397" s="953"/>
      <c r="H1397" s="953"/>
    </row>
    <row r="1398" spans="1:8" s="943" customFormat="1" x14ac:dyDescent="0.25">
      <c r="A1398" s="952"/>
      <c r="B1398" s="953"/>
      <c r="C1398" s="953"/>
      <c r="D1398" s="953"/>
      <c r="E1398" s="953"/>
      <c r="F1398" s="953"/>
      <c r="G1398" s="953"/>
      <c r="H1398" s="953"/>
    </row>
    <row r="1399" spans="1:8" s="943" customFormat="1" x14ac:dyDescent="0.25">
      <c r="A1399" s="952"/>
      <c r="B1399" s="953"/>
      <c r="C1399" s="953"/>
      <c r="D1399" s="953"/>
      <c r="E1399" s="953"/>
      <c r="F1399" s="953"/>
      <c r="G1399" s="953"/>
      <c r="H1399" s="953"/>
    </row>
    <row r="1400" spans="1:8" s="943" customFormat="1" x14ac:dyDescent="0.25">
      <c r="A1400" s="952"/>
      <c r="B1400" s="953"/>
      <c r="C1400" s="953"/>
      <c r="D1400" s="953"/>
      <c r="E1400" s="953"/>
      <c r="F1400" s="953"/>
      <c r="G1400" s="953"/>
      <c r="H1400" s="953"/>
    </row>
    <row r="1401" spans="1:8" s="943" customFormat="1" x14ac:dyDescent="0.25">
      <c r="A1401" s="952"/>
      <c r="B1401" s="953"/>
      <c r="C1401" s="953"/>
      <c r="D1401" s="953"/>
      <c r="E1401" s="953"/>
      <c r="F1401" s="953"/>
      <c r="G1401" s="953"/>
      <c r="H1401" s="953"/>
    </row>
    <row r="1402" spans="1:8" s="943" customFormat="1" x14ac:dyDescent="0.25">
      <c r="A1402" s="952"/>
      <c r="B1402" s="953"/>
      <c r="C1402" s="953"/>
      <c r="D1402" s="953"/>
      <c r="E1402" s="953"/>
      <c r="F1402" s="953"/>
      <c r="G1402" s="953"/>
      <c r="H1402" s="953"/>
    </row>
    <row r="1403" spans="1:8" s="943" customFormat="1" x14ac:dyDescent="0.25">
      <c r="A1403" s="952"/>
      <c r="B1403" s="953"/>
      <c r="C1403" s="953"/>
      <c r="D1403" s="953"/>
      <c r="E1403" s="953"/>
      <c r="F1403" s="953"/>
      <c r="G1403" s="953"/>
      <c r="H1403" s="953"/>
    </row>
    <row r="1404" spans="1:8" s="943" customFormat="1" x14ac:dyDescent="0.25">
      <c r="A1404" s="952"/>
      <c r="B1404" s="953"/>
      <c r="C1404" s="953"/>
      <c r="D1404" s="953"/>
      <c r="E1404" s="953"/>
      <c r="F1404" s="953"/>
      <c r="G1404" s="953"/>
      <c r="H1404" s="953"/>
    </row>
    <row r="1405" spans="1:8" s="943" customFormat="1" x14ac:dyDescent="0.25">
      <c r="A1405" s="952"/>
      <c r="B1405" s="953"/>
      <c r="C1405" s="953"/>
      <c r="D1405" s="953"/>
      <c r="E1405" s="953"/>
      <c r="F1405" s="953"/>
      <c r="G1405" s="953"/>
      <c r="H1405" s="953"/>
    </row>
    <row r="1406" spans="1:8" s="943" customFormat="1" x14ac:dyDescent="0.25">
      <c r="A1406" s="952"/>
      <c r="B1406" s="953"/>
      <c r="C1406" s="953"/>
      <c r="D1406" s="953"/>
      <c r="E1406" s="953"/>
      <c r="F1406" s="953"/>
      <c r="G1406" s="953"/>
      <c r="H1406" s="953"/>
    </row>
    <row r="1407" spans="1:8" s="943" customFormat="1" x14ac:dyDescent="0.25">
      <c r="A1407" s="952"/>
      <c r="B1407" s="953"/>
      <c r="C1407" s="953"/>
      <c r="D1407" s="953"/>
      <c r="E1407" s="953"/>
      <c r="F1407" s="953"/>
      <c r="G1407" s="953"/>
      <c r="H1407" s="953"/>
    </row>
    <row r="1408" spans="1:8" s="943" customFormat="1" x14ac:dyDescent="0.25">
      <c r="A1408" s="952"/>
      <c r="B1408" s="953"/>
      <c r="C1408" s="953"/>
      <c r="D1408" s="953"/>
      <c r="E1408" s="953"/>
      <c r="F1408" s="953"/>
      <c r="G1408" s="953"/>
      <c r="H1408" s="953"/>
    </row>
    <row r="1409" spans="1:8" s="943" customFormat="1" x14ac:dyDescent="0.25">
      <c r="A1409" s="952"/>
      <c r="B1409" s="953"/>
      <c r="C1409" s="953"/>
      <c r="D1409" s="953"/>
      <c r="E1409" s="953"/>
      <c r="F1409" s="953"/>
      <c r="G1409" s="953"/>
      <c r="H1409" s="953"/>
    </row>
    <row r="1410" spans="1:8" s="943" customFormat="1" x14ac:dyDescent="0.25">
      <c r="A1410" s="952"/>
      <c r="B1410" s="953"/>
      <c r="C1410" s="953"/>
      <c r="D1410" s="953"/>
      <c r="E1410" s="953"/>
      <c r="F1410" s="953"/>
      <c r="G1410" s="953"/>
      <c r="H1410" s="953"/>
    </row>
    <row r="1411" spans="1:8" s="943" customFormat="1" x14ac:dyDescent="0.25">
      <c r="A1411" s="952"/>
      <c r="B1411" s="953"/>
      <c r="C1411" s="953"/>
      <c r="D1411" s="953"/>
      <c r="E1411" s="953"/>
      <c r="F1411" s="953"/>
      <c r="G1411" s="953"/>
      <c r="H1411" s="953"/>
    </row>
    <row r="1412" spans="1:8" s="943" customFormat="1" x14ac:dyDescent="0.25">
      <c r="A1412" s="952"/>
      <c r="B1412" s="953"/>
      <c r="C1412" s="953"/>
      <c r="D1412" s="953"/>
      <c r="E1412" s="953"/>
      <c r="F1412" s="953"/>
      <c r="G1412" s="953"/>
      <c r="H1412" s="953"/>
    </row>
    <row r="1413" spans="1:8" s="943" customFormat="1" x14ac:dyDescent="0.25">
      <c r="A1413" s="952"/>
      <c r="B1413" s="953"/>
      <c r="C1413" s="953"/>
      <c r="D1413" s="953"/>
      <c r="E1413" s="953"/>
      <c r="F1413" s="953"/>
      <c r="G1413" s="953"/>
      <c r="H1413" s="953"/>
    </row>
    <row r="1414" spans="1:8" s="943" customFormat="1" x14ac:dyDescent="0.25">
      <c r="A1414" s="952"/>
      <c r="B1414" s="953"/>
      <c r="C1414" s="953"/>
      <c r="D1414" s="953"/>
      <c r="E1414" s="953"/>
      <c r="F1414" s="953"/>
      <c r="G1414" s="953"/>
      <c r="H1414" s="953"/>
    </row>
    <row r="1415" spans="1:8" s="943" customFormat="1" x14ac:dyDescent="0.25">
      <c r="A1415" s="952"/>
      <c r="B1415" s="953"/>
      <c r="C1415" s="953"/>
      <c r="D1415" s="953"/>
      <c r="E1415" s="953"/>
      <c r="F1415" s="953"/>
      <c r="G1415" s="953"/>
      <c r="H1415" s="953"/>
    </row>
    <row r="1416" spans="1:8" s="943" customFormat="1" x14ac:dyDescent="0.25">
      <c r="A1416" s="952"/>
      <c r="B1416" s="953"/>
      <c r="C1416" s="953"/>
      <c r="D1416" s="953"/>
      <c r="E1416" s="953"/>
      <c r="F1416" s="953"/>
      <c r="G1416" s="953"/>
      <c r="H1416" s="953"/>
    </row>
    <row r="1417" spans="1:8" s="943" customFormat="1" x14ac:dyDescent="0.25">
      <c r="A1417" s="952"/>
      <c r="B1417" s="953"/>
      <c r="C1417" s="953"/>
      <c r="D1417" s="953"/>
      <c r="E1417" s="953"/>
      <c r="F1417" s="953"/>
      <c r="G1417" s="953"/>
      <c r="H1417" s="953"/>
    </row>
    <row r="1418" spans="1:8" s="943" customFormat="1" x14ac:dyDescent="0.25">
      <c r="A1418" s="952"/>
      <c r="B1418" s="953"/>
      <c r="C1418" s="953"/>
      <c r="D1418" s="953"/>
      <c r="E1418" s="953"/>
      <c r="F1418" s="953"/>
      <c r="G1418" s="953"/>
      <c r="H1418" s="953"/>
    </row>
    <row r="1419" spans="1:8" s="943" customFormat="1" x14ac:dyDescent="0.25">
      <c r="A1419" s="952"/>
      <c r="B1419" s="953"/>
      <c r="C1419" s="953"/>
      <c r="D1419" s="953"/>
      <c r="E1419" s="953"/>
      <c r="F1419" s="953"/>
      <c r="G1419" s="953"/>
      <c r="H1419" s="953"/>
    </row>
    <row r="1420" spans="1:8" s="943" customFormat="1" x14ac:dyDescent="0.25">
      <c r="A1420" s="952"/>
      <c r="B1420" s="953"/>
      <c r="C1420" s="953"/>
      <c r="D1420" s="953"/>
      <c r="E1420" s="953"/>
      <c r="F1420" s="953"/>
      <c r="G1420" s="953"/>
      <c r="H1420" s="953"/>
    </row>
    <row r="1421" spans="1:8" s="943" customFormat="1" x14ac:dyDescent="0.25">
      <c r="A1421" s="952"/>
      <c r="B1421" s="953"/>
      <c r="C1421" s="953"/>
      <c r="D1421" s="953"/>
      <c r="E1421" s="953"/>
      <c r="F1421" s="953"/>
      <c r="G1421" s="953"/>
      <c r="H1421" s="953"/>
    </row>
    <row r="1422" spans="1:8" s="943" customFormat="1" x14ac:dyDescent="0.25">
      <c r="A1422" s="952"/>
      <c r="B1422" s="953"/>
      <c r="C1422" s="953"/>
      <c r="D1422" s="953"/>
      <c r="E1422" s="953"/>
      <c r="F1422" s="953"/>
      <c r="G1422" s="953"/>
      <c r="H1422" s="953"/>
    </row>
    <row r="1423" spans="1:8" s="943" customFormat="1" x14ac:dyDescent="0.25">
      <c r="A1423" s="952"/>
      <c r="B1423" s="953"/>
      <c r="C1423" s="953"/>
      <c r="D1423" s="953"/>
      <c r="E1423" s="953"/>
      <c r="F1423" s="953"/>
      <c r="G1423" s="953"/>
      <c r="H1423" s="953"/>
    </row>
    <row r="1424" spans="1:8" s="943" customFormat="1" x14ac:dyDescent="0.25">
      <c r="A1424" s="952"/>
      <c r="B1424" s="953"/>
      <c r="C1424" s="953"/>
      <c r="D1424" s="953"/>
      <c r="E1424" s="953"/>
      <c r="F1424" s="953"/>
      <c r="G1424" s="953"/>
      <c r="H1424" s="953"/>
    </row>
    <row r="1425" spans="1:8" s="943" customFormat="1" x14ac:dyDescent="0.25">
      <c r="A1425" s="952"/>
      <c r="B1425" s="953"/>
      <c r="C1425" s="953"/>
      <c r="D1425" s="953"/>
      <c r="E1425" s="953"/>
      <c r="F1425" s="953"/>
      <c r="G1425" s="953"/>
      <c r="H1425" s="953"/>
    </row>
    <row r="1426" spans="1:8" s="943" customFormat="1" x14ac:dyDescent="0.25">
      <c r="A1426" s="952"/>
      <c r="B1426" s="953"/>
      <c r="C1426" s="953"/>
      <c r="D1426" s="953"/>
      <c r="E1426" s="953"/>
      <c r="F1426" s="953"/>
      <c r="G1426" s="953"/>
      <c r="H1426" s="953"/>
    </row>
    <row r="1427" spans="1:8" s="943" customFormat="1" x14ac:dyDescent="0.25">
      <c r="A1427" s="952"/>
      <c r="B1427" s="953"/>
      <c r="C1427" s="953"/>
      <c r="D1427" s="953"/>
      <c r="E1427" s="953"/>
      <c r="F1427" s="953"/>
      <c r="G1427" s="953"/>
      <c r="H1427" s="953"/>
    </row>
    <row r="1428" spans="1:8" s="943" customFormat="1" x14ac:dyDescent="0.25">
      <c r="A1428" s="952"/>
      <c r="B1428" s="953"/>
      <c r="C1428" s="953"/>
      <c r="D1428" s="953"/>
      <c r="E1428" s="953"/>
      <c r="F1428" s="953"/>
      <c r="G1428" s="953"/>
      <c r="H1428" s="953"/>
    </row>
    <row r="1429" spans="1:8" s="943" customFormat="1" x14ac:dyDescent="0.25">
      <c r="A1429" s="952"/>
      <c r="B1429" s="953"/>
      <c r="C1429" s="953"/>
      <c r="D1429" s="953"/>
      <c r="E1429" s="953"/>
      <c r="F1429" s="953"/>
      <c r="G1429" s="953"/>
      <c r="H1429" s="953"/>
    </row>
    <row r="1430" spans="1:8" s="943" customFormat="1" x14ac:dyDescent="0.25">
      <c r="A1430" s="952"/>
      <c r="B1430" s="953"/>
      <c r="C1430" s="953"/>
      <c r="D1430" s="953"/>
      <c r="E1430" s="953"/>
      <c r="F1430" s="953"/>
      <c r="G1430" s="953"/>
      <c r="H1430" s="953"/>
    </row>
    <row r="1431" spans="1:8" s="943" customFormat="1" x14ac:dyDescent="0.25">
      <c r="A1431" s="952"/>
      <c r="B1431" s="953"/>
      <c r="C1431" s="953"/>
      <c r="D1431" s="953"/>
      <c r="E1431" s="953"/>
      <c r="F1431" s="953"/>
      <c r="G1431" s="953"/>
      <c r="H1431" s="953"/>
    </row>
    <row r="1432" spans="1:8" s="943" customFormat="1" x14ac:dyDescent="0.25">
      <c r="A1432" s="952"/>
      <c r="B1432" s="953"/>
      <c r="C1432" s="953"/>
      <c r="D1432" s="953"/>
      <c r="E1432" s="953"/>
      <c r="F1432" s="953"/>
      <c r="G1432" s="953"/>
      <c r="H1432" s="953"/>
    </row>
    <row r="1433" spans="1:8" s="943" customFormat="1" x14ac:dyDescent="0.25">
      <c r="A1433" s="952"/>
      <c r="B1433" s="953"/>
      <c r="C1433" s="953"/>
      <c r="D1433" s="953"/>
      <c r="E1433" s="953"/>
      <c r="F1433" s="953"/>
      <c r="G1433" s="953"/>
      <c r="H1433" s="953"/>
    </row>
    <row r="1434" spans="1:8" s="943" customFormat="1" x14ac:dyDescent="0.25">
      <c r="A1434" s="952"/>
      <c r="B1434" s="953"/>
      <c r="C1434" s="953"/>
      <c r="D1434" s="953"/>
      <c r="E1434" s="953"/>
      <c r="F1434" s="953"/>
      <c r="G1434" s="953"/>
      <c r="H1434" s="953"/>
    </row>
    <row r="1435" spans="1:8" s="943" customFormat="1" x14ac:dyDescent="0.25">
      <c r="A1435" s="952"/>
      <c r="B1435" s="953"/>
      <c r="C1435" s="953"/>
      <c r="D1435" s="953"/>
      <c r="E1435" s="953"/>
      <c r="F1435" s="953"/>
      <c r="G1435" s="953"/>
      <c r="H1435" s="953"/>
    </row>
    <row r="1436" spans="1:8" s="943" customFormat="1" x14ac:dyDescent="0.25">
      <c r="A1436" s="952"/>
      <c r="B1436" s="953"/>
      <c r="C1436" s="953"/>
      <c r="D1436" s="953"/>
      <c r="E1436" s="953"/>
      <c r="F1436" s="953"/>
      <c r="G1436" s="953"/>
      <c r="H1436" s="953"/>
    </row>
    <row r="1437" spans="1:8" s="943" customFormat="1" x14ac:dyDescent="0.25">
      <c r="A1437" s="952"/>
      <c r="B1437" s="953"/>
      <c r="C1437" s="953"/>
      <c r="D1437" s="953"/>
      <c r="E1437" s="953"/>
      <c r="F1437" s="953"/>
      <c r="G1437" s="953"/>
      <c r="H1437" s="953"/>
    </row>
    <row r="1438" spans="1:8" s="943" customFormat="1" x14ac:dyDescent="0.25">
      <c r="A1438" s="952"/>
      <c r="B1438" s="953"/>
      <c r="C1438" s="953"/>
      <c r="D1438" s="953"/>
      <c r="E1438" s="953"/>
      <c r="F1438" s="953"/>
      <c r="G1438" s="953"/>
      <c r="H1438" s="953"/>
    </row>
    <row r="1439" spans="1:8" s="943" customFormat="1" x14ac:dyDescent="0.25">
      <c r="A1439" s="952"/>
      <c r="B1439" s="953"/>
      <c r="C1439" s="953"/>
      <c r="D1439" s="953"/>
      <c r="E1439" s="953"/>
      <c r="F1439" s="953"/>
      <c r="G1439" s="953"/>
      <c r="H1439" s="953"/>
    </row>
    <row r="1440" spans="1:8" s="943" customFormat="1" x14ac:dyDescent="0.25">
      <c r="A1440" s="952"/>
      <c r="B1440" s="953"/>
      <c r="C1440" s="953"/>
      <c r="D1440" s="953"/>
      <c r="E1440" s="953"/>
      <c r="F1440" s="953"/>
      <c r="G1440" s="953"/>
      <c r="H1440" s="953"/>
    </row>
    <row r="1441" spans="1:8" s="943" customFormat="1" x14ac:dyDescent="0.25">
      <c r="A1441" s="952"/>
      <c r="B1441" s="953"/>
      <c r="C1441" s="953"/>
      <c r="D1441" s="953"/>
      <c r="E1441" s="953"/>
      <c r="F1441" s="953"/>
      <c r="G1441" s="953"/>
      <c r="H1441" s="953"/>
    </row>
    <row r="1442" spans="1:8" s="943" customFormat="1" x14ac:dyDescent="0.25">
      <c r="A1442" s="952"/>
      <c r="B1442" s="953"/>
      <c r="C1442" s="953"/>
      <c r="D1442" s="953"/>
      <c r="E1442" s="953"/>
      <c r="F1442" s="953"/>
      <c r="G1442" s="953"/>
      <c r="H1442" s="953"/>
    </row>
    <row r="1443" spans="1:8" s="943" customFormat="1" x14ac:dyDescent="0.25">
      <c r="A1443" s="952"/>
      <c r="B1443" s="953"/>
      <c r="C1443" s="953"/>
      <c r="D1443" s="953"/>
      <c r="E1443" s="953"/>
      <c r="F1443" s="953"/>
      <c r="G1443" s="953"/>
      <c r="H1443" s="953"/>
    </row>
    <row r="1444" spans="1:8" s="943" customFormat="1" x14ac:dyDescent="0.25">
      <c r="A1444" s="952"/>
      <c r="B1444" s="953"/>
      <c r="C1444" s="953"/>
      <c r="D1444" s="953"/>
      <c r="E1444" s="953"/>
      <c r="F1444" s="953"/>
      <c r="G1444" s="953"/>
      <c r="H1444" s="953"/>
    </row>
    <row r="1445" spans="1:8" s="943" customFormat="1" x14ac:dyDescent="0.25">
      <c r="A1445" s="952"/>
      <c r="B1445" s="953"/>
      <c r="C1445" s="953"/>
      <c r="D1445" s="953"/>
      <c r="E1445" s="953"/>
      <c r="F1445" s="953"/>
      <c r="G1445" s="953"/>
      <c r="H1445" s="953"/>
    </row>
    <row r="1446" spans="1:8" s="943" customFormat="1" x14ac:dyDescent="0.25">
      <c r="A1446" s="952"/>
      <c r="B1446" s="953"/>
      <c r="C1446" s="953"/>
      <c r="D1446" s="953"/>
      <c r="E1446" s="953"/>
      <c r="F1446" s="953"/>
      <c r="G1446" s="953"/>
      <c r="H1446" s="953"/>
    </row>
    <row r="1447" spans="1:8" s="943" customFormat="1" x14ac:dyDescent="0.25">
      <c r="A1447" s="952"/>
      <c r="B1447" s="953"/>
      <c r="C1447" s="953"/>
      <c r="D1447" s="953"/>
      <c r="E1447" s="953"/>
      <c r="F1447" s="953"/>
      <c r="G1447" s="953"/>
      <c r="H1447" s="953"/>
    </row>
    <row r="1448" spans="1:8" s="943" customFormat="1" x14ac:dyDescent="0.25">
      <c r="A1448" s="952"/>
      <c r="B1448" s="953"/>
      <c r="C1448" s="953"/>
      <c r="D1448" s="953"/>
      <c r="E1448" s="953"/>
      <c r="F1448" s="953"/>
      <c r="G1448" s="953"/>
      <c r="H1448" s="953"/>
    </row>
    <row r="1449" spans="1:8" s="943" customFormat="1" x14ac:dyDescent="0.25">
      <c r="A1449" s="952"/>
      <c r="B1449" s="953"/>
      <c r="C1449" s="953"/>
      <c r="D1449" s="953"/>
      <c r="E1449" s="953"/>
      <c r="F1449" s="953"/>
      <c r="G1449" s="953"/>
      <c r="H1449" s="953"/>
    </row>
    <row r="1450" spans="1:8" s="943" customFormat="1" x14ac:dyDescent="0.25">
      <c r="A1450" s="952"/>
      <c r="B1450" s="953"/>
      <c r="C1450" s="953"/>
      <c r="D1450" s="953"/>
      <c r="E1450" s="953"/>
      <c r="F1450" s="953"/>
      <c r="G1450" s="953"/>
      <c r="H1450" s="953"/>
    </row>
    <row r="1451" spans="1:8" s="943" customFormat="1" x14ac:dyDescent="0.25">
      <c r="A1451" s="952"/>
      <c r="B1451" s="953"/>
      <c r="C1451" s="953"/>
      <c r="D1451" s="953"/>
      <c r="E1451" s="953"/>
      <c r="F1451" s="953"/>
      <c r="G1451" s="953"/>
      <c r="H1451" s="953"/>
    </row>
    <row r="1452" spans="1:8" s="943" customFormat="1" x14ac:dyDescent="0.25">
      <c r="A1452" s="952"/>
      <c r="B1452" s="953"/>
      <c r="C1452" s="953"/>
      <c r="D1452" s="953"/>
      <c r="E1452" s="953"/>
      <c r="F1452" s="953"/>
      <c r="G1452" s="953"/>
      <c r="H1452" s="953"/>
    </row>
    <row r="1453" spans="1:8" s="943" customFormat="1" x14ac:dyDescent="0.25">
      <c r="A1453" s="952"/>
      <c r="B1453" s="953"/>
      <c r="C1453" s="953"/>
      <c r="D1453" s="953"/>
      <c r="E1453" s="953"/>
      <c r="F1453" s="953"/>
      <c r="G1453" s="953"/>
      <c r="H1453" s="953"/>
    </row>
    <row r="1454" spans="1:8" s="943" customFormat="1" x14ac:dyDescent="0.25">
      <c r="A1454" s="952"/>
      <c r="B1454" s="953"/>
      <c r="C1454" s="953"/>
      <c r="D1454" s="953"/>
      <c r="E1454" s="953"/>
      <c r="F1454" s="953"/>
      <c r="G1454" s="953"/>
      <c r="H1454" s="953"/>
    </row>
    <row r="1455" spans="1:8" s="943" customFormat="1" x14ac:dyDescent="0.25">
      <c r="A1455" s="952"/>
      <c r="B1455" s="953"/>
      <c r="C1455" s="953"/>
      <c r="D1455" s="953"/>
      <c r="E1455" s="953"/>
      <c r="F1455" s="953"/>
      <c r="G1455" s="953"/>
      <c r="H1455" s="953"/>
    </row>
    <row r="1456" spans="1:8" s="943" customFormat="1" x14ac:dyDescent="0.25">
      <c r="A1456" s="952"/>
      <c r="B1456" s="953"/>
      <c r="C1456" s="953"/>
      <c r="D1456" s="953"/>
      <c r="E1456" s="953"/>
      <c r="F1456" s="953"/>
      <c r="G1456" s="953"/>
      <c r="H1456" s="953"/>
    </row>
    <row r="1457" spans="1:8" s="943" customFormat="1" x14ac:dyDescent="0.25">
      <c r="A1457" s="952"/>
      <c r="B1457" s="953"/>
      <c r="C1457" s="953"/>
      <c r="D1457" s="953"/>
      <c r="E1457" s="953"/>
      <c r="F1457" s="953"/>
      <c r="G1457" s="953"/>
      <c r="H1457" s="953"/>
    </row>
    <row r="1458" spans="1:8" s="943" customFormat="1" x14ac:dyDescent="0.25">
      <c r="A1458" s="952"/>
      <c r="B1458" s="953"/>
      <c r="C1458" s="953"/>
      <c r="D1458" s="953"/>
      <c r="E1458" s="953"/>
      <c r="F1458" s="953"/>
      <c r="G1458" s="953"/>
      <c r="H1458" s="953"/>
    </row>
    <row r="1459" spans="1:8" s="943" customFormat="1" x14ac:dyDescent="0.25">
      <c r="A1459" s="952"/>
      <c r="B1459" s="953"/>
      <c r="C1459" s="953"/>
      <c r="D1459" s="953"/>
      <c r="E1459" s="953"/>
      <c r="F1459" s="953"/>
      <c r="G1459" s="953"/>
      <c r="H1459" s="953"/>
    </row>
    <row r="1460" spans="1:8" s="943" customFormat="1" x14ac:dyDescent="0.25">
      <c r="A1460" s="952"/>
      <c r="B1460" s="953"/>
      <c r="C1460" s="953"/>
      <c r="D1460" s="953"/>
      <c r="E1460" s="953"/>
      <c r="F1460" s="953"/>
      <c r="G1460" s="953"/>
      <c r="H1460" s="953"/>
    </row>
    <row r="1461" spans="1:8" s="943" customFormat="1" x14ac:dyDescent="0.25">
      <c r="A1461" s="952"/>
      <c r="B1461" s="953"/>
      <c r="C1461" s="953"/>
      <c r="D1461" s="953"/>
      <c r="E1461" s="953"/>
      <c r="F1461" s="953"/>
      <c r="G1461" s="953"/>
      <c r="H1461" s="953"/>
    </row>
    <row r="1462" spans="1:8" s="943" customFormat="1" x14ac:dyDescent="0.25">
      <c r="A1462" s="952"/>
      <c r="B1462" s="953"/>
      <c r="C1462" s="953"/>
      <c r="D1462" s="953"/>
      <c r="E1462" s="953"/>
      <c r="F1462" s="953"/>
      <c r="G1462" s="953"/>
      <c r="H1462" s="953"/>
    </row>
    <row r="1463" spans="1:8" s="943" customFormat="1" x14ac:dyDescent="0.25">
      <c r="A1463" s="952"/>
      <c r="B1463" s="953"/>
      <c r="C1463" s="953"/>
      <c r="D1463" s="953"/>
      <c r="E1463" s="953"/>
      <c r="F1463" s="953"/>
      <c r="G1463" s="953"/>
      <c r="H1463" s="953"/>
    </row>
    <row r="1464" spans="1:8" s="943" customFormat="1" x14ac:dyDescent="0.25">
      <c r="A1464" s="952"/>
      <c r="B1464" s="953"/>
      <c r="C1464" s="953"/>
      <c r="D1464" s="953"/>
      <c r="E1464" s="953"/>
      <c r="F1464" s="953"/>
      <c r="G1464" s="953"/>
      <c r="H1464" s="953"/>
    </row>
    <row r="1465" spans="1:8" s="943" customFormat="1" x14ac:dyDescent="0.25">
      <c r="A1465" s="952"/>
      <c r="B1465" s="953"/>
      <c r="C1465" s="953"/>
      <c r="D1465" s="953"/>
      <c r="E1465" s="953"/>
      <c r="F1465" s="953"/>
      <c r="G1465" s="953"/>
      <c r="H1465" s="953"/>
    </row>
    <row r="1466" spans="1:8" s="943" customFormat="1" x14ac:dyDescent="0.25">
      <c r="A1466" s="952"/>
      <c r="B1466" s="953"/>
      <c r="C1466" s="953"/>
      <c r="D1466" s="953"/>
      <c r="E1466" s="953"/>
      <c r="F1466" s="953"/>
      <c r="G1466" s="953"/>
      <c r="H1466" s="953"/>
    </row>
    <row r="1467" spans="1:8" s="943" customFormat="1" x14ac:dyDescent="0.25">
      <c r="A1467" s="952"/>
      <c r="B1467" s="953"/>
      <c r="C1467" s="953"/>
      <c r="D1467" s="953"/>
      <c r="E1467" s="953"/>
      <c r="F1467" s="953"/>
      <c r="G1467" s="953"/>
      <c r="H1467" s="953"/>
    </row>
    <row r="1468" spans="1:8" s="943" customFormat="1" x14ac:dyDescent="0.25">
      <c r="A1468" s="952"/>
      <c r="B1468" s="953"/>
      <c r="C1468" s="953"/>
      <c r="D1468" s="953"/>
      <c r="E1468" s="953"/>
      <c r="F1468" s="953"/>
      <c r="G1468" s="953"/>
      <c r="H1468" s="953"/>
    </row>
    <row r="1469" spans="1:8" s="943" customFormat="1" x14ac:dyDescent="0.25">
      <c r="A1469" s="952"/>
      <c r="B1469" s="953"/>
      <c r="C1469" s="953"/>
      <c r="D1469" s="953"/>
      <c r="E1469" s="953"/>
      <c r="F1469" s="953"/>
      <c r="G1469" s="953"/>
      <c r="H1469" s="953"/>
    </row>
    <row r="1470" spans="1:8" s="943" customFormat="1" x14ac:dyDescent="0.25">
      <c r="A1470" s="952"/>
      <c r="B1470" s="953"/>
      <c r="C1470" s="953"/>
      <c r="D1470" s="953"/>
      <c r="E1470" s="953"/>
      <c r="F1470" s="953"/>
      <c r="G1470" s="953"/>
      <c r="H1470" s="953"/>
    </row>
    <row r="1471" spans="1:8" s="943" customFormat="1" x14ac:dyDescent="0.25">
      <c r="A1471" s="952"/>
      <c r="B1471" s="953"/>
      <c r="C1471" s="953"/>
      <c r="D1471" s="953"/>
      <c r="E1471" s="953"/>
      <c r="F1471" s="953"/>
      <c r="G1471" s="953"/>
      <c r="H1471" s="953"/>
    </row>
    <row r="1472" spans="1:8" s="943" customFormat="1" x14ac:dyDescent="0.25">
      <c r="A1472" s="952"/>
      <c r="B1472" s="953"/>
      <c r="C1472" s="953"/>
      <c r="D1472" s="953"/>
      <c r="E1472" s="953"/>
      <c r="F1472" s="953"/>
      <c r="G1472" s="953"/>
      <c r="H1472" s="953"/>
    </row>
    <row r="1473" spans="1:8" s="943" customFormat="1" x14ac:dyDescent="0.25">
      <c r="A1473" s="952"/>
      <c r="B1473" s="953"/>
      <c r="C1473" s="953"/>
      <c r="D1473" s="953"/>
      <c r="E1473" s="953"/>
      <c r="F1473" s="953"/>
      <c r="G1473" s="953"/>
      <c r="H1473" s="953"/>
    </row>
    <row r="1474" spans="1:8" s="943" customFormat="1" x14ac:dyDescent="0.25">
      <c r="A1474" s="952"/>
      <c r="B1474" s="953"/>
      <c r="C1474" s="953"/>
      <c r="D1474" s="953"/>
      <c r="E1474" s="953"/>
      <c r="F1474" s="953"/>
      <c r="G1474" s="953"/>
      <c r="H1474" s="953"/>
    </row>
    <row r="1475" spans="1:8" s="943" customFormat="1" x14ac:dyDescent="0.25">
      <c r="A1475" s="952"/>
      <c r="B1475" s="953"/>
      <c r="C1475" s="953"/>
      <c r="D1475" s="953"/>
      <c r="E1475" s="953"/>
      <c r="F1475" s="953"/>
      <c r="G1475" s="953"/>
      <c r="H1475" s="953"/>
    </row>
    <row r="1476" spans="1:8" s="943" customFormat="1" x14ac:dyDescent="0.25">
      <c r="A1476" s="952"/>
      <c r="B1476" s="953"/>
      <c r="C1476" s="953"/>
      <c r="D1476" s="953"/>
      <c r="E1476" s="953"/>
      <c r="F1476" s="953"/>
      <c r="G1476" s="953"/>
      <c r="H1476" s="953"/>
    </row>
    <row r="1477" spans="1:8" s="943" customFormat="1" x14ac:dyDescent="0.25">
      <c r="A1477" s="952"/>
      <c r="B1477" s="953"/>
      <c r="C1477" s="953"/>
      <c r="D1477" s="953"/>
      <c r="E1477" s="953"/>
      <c r="F1477" s="953"/>
      <c r="G1477" s="953"/>
      <c r="H1477" s="953"/>
    </row>
    <row r="1478" spans="1:8" s="943" customFormat="1" x14ac:dyDescent="0.25">
      <c r="A1478" s="952"/>
      <c r="B1478" s="953"/>
      <c r="C1478" s="953"/>
      <c r="D1478" s="953"/>
      <c r="E1478" s="953"/>
      <c r="F1478" s="953"/>
      <c r="G1478" s="953"/>
      <c r="H1478" s="953"/>
    </row>
    <row r="1479" spans="1:8" s="943" customFormat="1" x14ac:dyDescent="0.25">
      <c r="A1479" s="952"/>
      <c r="B1479" s="953"/>
      <c r="C1479" s="953"/>
      <c r="D1479" s="953"/>
      <c r="E1479" s="953"/>
      <c r="F1479" s="953"/>
      <c r="G1479" s="953"/>
      <c r="H1479" s="953"/>
    </row>
    <row r="1480" spans="1:8" s="943" customFormat="1" x14ac:dyDescent="0.25">
      <c r="A1480" s="952"/>
      <c r="B1480" s="953"/>
      <c r="C1480" s="953"/>
      <c r="D1480" s="953"/>
      <c r="E1480" s="953"/>
      <c r="F1480" s="953"/>
      <c r="G1480" s="953"/>
      <c r="H1480" s="953"/>
    </row>
    <row r="1481" spans="1:8" s="943" customFormat="1" x14ac:dyDescent="0.25">
      <c r="A1481" s="952"/>
      <c r="B1481" s="953"/>
      <c r="C1481" s="953"/>
      <c r="D1481" s="953"/>
      <c r="E1481" s="953"/>
      <c r="F1481" s="953"/>
      <c r="G1481" s="953"/>
      <c r="H1481" s="953"/>
    </row>
    <row r="1482" spans="1:8" s="943" customFormat="1" x14ac:dyDescent="0.25">
      <c r="A1482" s="952"/>
      <c r="B1482" s="953"/>
      <c r="C1482" s="953"/>
      <c r="D1482" s="953"/>
      <c r="E1482" s="953"/>
      <c r="F1482" s="953"/>
      <c r="G1482" s="953"/>
      <c r="H1482" s="953"/>
    </row>
    <row r="1483" spans="1:8" s="943" customFormat="1" x14ac:dyDescent="0.25">
      <c r="A1483" s="952"/>
      <c r="B1483" s="953"/>
      <c r="C1483" s="953"/>
      <c r="D1483" s="953"/>
      <c r="E1483" s="953"/>
      <c r="F1483" s="953"/>
      <c r="G1483" s="953"/>
      <c r="H1483" s="953"/>
    </row>
    <row r="1484" spans="1:8" s="943" customFormat="1" x14ac:dyDescent="0.25">
      <c r="A1484" s="952"/>
      <c r="B1484" s="953"/>
      <c r="C1484" s="953"/>
      <c r="D1484" s="953"/>
      <c r="E1484" s="953"/>
      <c r="F1484" s="953"/>
      <c r="G1484" s="953"/>
      <c r="H1484" s="953"/>
    </row>
    <row r="1485" spans="1:8" s="943" customFormat="1" x14ac:dyDescent="0.25">
      <c r="A1485" s="952"/>
      <c r="B1485" s="953"/>
      <c r="C1485" s="953"/>
      <c r="D1485" s="953"/>
      <c r="E1485" s="953"/>
      <c r="F1485" s="953"/>
      <c r="G1485" s="953"/>
      <c r="H1485" s="953"/>
    </row>
    <row r="1486" spans="1:8" s="943" customFormat="1" x14ac:dyDescent="0.25">
      <c r="A1486" s="952"/>
      <c r="B1486" s="953"/>
      <c r="C1486" s="953"/>
      <c r="D1486" s="953"/>
      <c r="E1486" s="953"/>
      <c r="F1486" s="953"/>
      <c r="G1486" s="953"/>
      <c r="H1486" s="953"/>
    </row>
    <row r="1487" spans="1:8" s="943" customFormat="1" x14ac:dyDescent="0.25">
      <c r="A1487" s="952"/>
      <c r="B1487" s="953"/>
      <c r="C1487" s="953"/>
      <c r="D1487" s="953"/>
      <c r="E1487" s="953"/>
      <c r="F1487" s="953"/>
      <c r="G1487" s="953"/>
      <c r="H1487" s="953"/>
    </row>
    <row r="1488" spans="1:8" s="943" customFormat="1" x14ac:dyDescent="0.25">
      <c r="A1488" s="952"/>
      <c r="B1488" s="953"/>
      <c r="C1488" s="953"/>
      <c r="D1488" s="953"/>
      <c r="E1488" s="953"/>
      <c r="F1488" s="953"/>
      <c r="G1488" s="953"/>
      <c r="H1488" s="953"/>
    </row>
    <row r="1489" spans="1:8" s="943" customFormat="1" x14ac:dyDescent="0.25">
      <c r="A1489" s="952"/>
      <c r="B1489" s="953"/>
      <c r="C1489" s="953"/>
      <c r="D1489" s="953"/>
      <c r="E1489" s="953"/>
      <c r="F1489" s="953"/>
      <c r="G1489" s="953"/>
      <c r="H1489" s="953"/>
    </row>
    <row r="1490" spans="1:8" s="943" customFormat="1" x14ac:dyDescent="0.25">
      <c r="A1490" s="952"/>
      <c r="B1490" s="953"/>
      <c r="C1490" s="953"/>
      <c r="D1490" s="953"/>
      <c r="E1490" s="953"/>
      <c r="F1490" s="953"/>
      <c r="G1490" s="953"/>
      <c r="H1490" s="953"/>
    </row>
    <row r="1491" spans="1:8" s="943" customFormat="1" x14ac:dyDescent="0.25">
      <c r="A1491" s="952"/>
      <c r="B1491" s="953"/>
      <c r="C1491" s="953"/>
      <c r="D1491" s="953"/>
      <c r="E1491" s="953"/>
      <c r="F1491" s="953"/>
      <c r="G1491" s="953"/>
      <c r="H1491" s="953"/>
    </row>
    <row r="1492" spans="1:8" s="943" customFormat="1" x14ac:dyDescent="0.25">
      <c r="A1492" s="952"/>
      <c r="B1492" s="953"/>
      <c r="C1492" s="953"/>
      <c r="D1492" s="953"/>
      <c r="E1492" s="953"/>
      <c r="F1492" s="953"/>
      <c r="G1492" s="953"/>
      <c r="H1492" s="953"/>
    </row>
    <row r="1493" spans="1:8" s="943" customFormat="1" x14ac:dyDescent="0.25">
      <c r="A1493" s="952"/>
      <c r="B1493" s="953"/>
      <c r="C1493" s="953"/>
      <c r="D1493" s="953"/>
      <c r="E1493" s="953"/>
      <c r="F1493" s="953"/>
      <c r="G1493" s="953"/>
      <c r="H1493" s="953"/>
    </row>
    <row r="1494" spans="1:8" s="943" customFormat="1" x14ac:dyDescent="0.25">
      <c r="A1494" s="952"/>
      <c r="B1494" s="953"/>
      <c r="C1494" s="953"/>
      <c r="D1494" s="953"/>
      <c r="E1494" s="953"/>
      <c r="F1494" s="953"/>
      <c r="G1494" s="953"/>
      <c r="H1494" s="953"/>
    </row>
    <row r="1495" spans="1:8" s="943" customFormat="1" x14ac:dyDescent="0.25">
      <c r="A1495" s="952"/>
      <c r="B1495" s="953"/>
      <c r="C1495" s="953"/>
      <c r="D1495" s="953"/>
      <c r="E1495" s="953"/>
      <c r="F1495" s="953"/>
      <c r="G1495" s="953"/>
      <c r="H1495" s="953"/>
    </row>
    <row r="1496" spans="1:8" s="943" customFormat="1" x14ac:dyDescent="0.25">
      <c r="A1496" s="952"/>
      <c r="B1496" s="953"/>
      <c r="C1496" s="953"/>
      <c r="D1496" s="953"/>
      <c r="E1496" s="953"/>
      <c r="F1496" s="953"/>
      <c r="G1496" s="953"/>
      <c r="H1496" s="953"/>
    </row>
    <row r="1497" spans="1:8" s="943" customFormat="1" x14ac:dyDescent="0.25">
      <c r="A1497" s="952"/>
      <c r="B1497" s="953"/>
      <c r="C1497" s="953"/>
      <c r="D1497" s="953"/>
      <c r="E1497" s="953"/>
      <c r="F1497" s="953"/>
      <c r="G1497" s="953"/>
      <c r="H1497" s="953"/>
    </row>
    <row r="1498" spans="1:8" s="943" customFormat="1" x14ac:dyDescent="0.25">
      <c r="A1498" s="952"/>
      <c r="B1498" s="953"/>
      <c r="C1498" s="953"/>
      <c r="D1498" s="953"/>
      <c r="E1498" s="953"/>
      <c r="F1498" s="953"/>
      <c r="G1498" s="953"/>
      <c r="H1498" s="953"/>
    </row>
    <row r="1499" spans="1:8" s="943" customFormat="1" x14ac:dyDescent="0.25">
      <c r="A1499" s="952"/>
      <c r="B1499" s="953"/>
      <c r="C1499" s="953"/>
      <c r="D1499" s="953"/>
      <c r="E1499" s="953"/>
      <c r="F1499" s="953"/>
      <c r="G1499" s="953"/>
      <c r="H1499" s="953"/>
    </row>
    <row r="1500" spans="1:8" s="943" customFormat="1" x14ac:dyDescent="0.25">
      <c r="A1500" s="952"/>
      <c r="B1500" s="953"/>
      <c r="C1500" s="953"/>
      <c r="D1500" s="953"/>
      <c r="E1500" s="953"/>
      <c r="F1500" s="953"/>
      <c r="G1500" s="953"/>
      <c r="H1500" s="953"/>
    </row>
    <row r="1501" spans="1:8" s="943" customFormat="1" x14ac:dyDescent="0.25">
      <c r="A1501" s="952"/>
      <c r="B1501" s="953"/>
      <c r="C1501" s="953"/>
      <c r="D1501" s="953"/>
      <c r="E1501" s="953"/>
      <c r="F1501" s="953"/>
      <c r="G1501" s="953"/>
      <c r="H1501" s="953"/>
    </row>
    <row r="1502" spans="1:8" s="943" customFormat="1" x14ac:dyDescent="0.25">
      <c r="A1502" s="952"/>
      <c r="B1502" s="953"/>
      <c r="C1502" s="953"/>
      <c r="D1502" s="953"/>
      <c r="E1502" s="953"/>
      <c r="F1502" s="953"/>
      <c r="G1502" s="953"/>
      <c r="H1502" s="953"/>
    </row>
    <row r="1503" spans="1:8" s="943" customFormat="1" x14ac:dyDescent="0.25">
      <c r="A1503" s="952"/>
      <c r="B1503" s="953"/>
      <c r="C1503" s="953"/>
      <c r="D1503" s="953"/>
      <c r="E1503" s="953"/>
      <c r="F1503" s="953"/>
      <c r="G1503" s="953"/>
      <c r="H1503" s="953"/>
    </row>
    <row r="1504" spans="1:8" s="943" customFormat="1" x14ac:dyDescent="0.25">
      <c r="A1504" s="952"/>
      <c r="B1504" s="953"/>
      <c r="C1504" s="953"/>
      <c r="D1504" s="953"/>
      <c r="E1504" s="953"/>
      <c r="F1504" s="953"/>
      <c r="G1504" s="953"/>
      <c r="H1504" s="953"/>
    </row>
    <row r="1505" spans="1:8" s="943" customFormat="1" x14ac:dyDescent="0.25">
      <c r="A1505" s="952"/>
      <c r="B1505" s="953"/>
      <c r="C1505" s="953"/>
      <c r="D1505" s="953"/>
      <c r="E1505" s="953"/>
      <c r="F1505" s="953"/>
      <c r="G1505" s="953"/>
      <c r="H1505" s="953"/>
    </row>
    <row r="1506" spans="1:8" s="943" customFormat="1" x14ac:dyDescent="0.25">
      <c r="A1506" s="952"/>
      <c r="B1506" s="953"/>
      <c r="C1506" s="953"/>
      <c r="D1506" s="953"/>
      <c r="E1506" s="953"/>
      <c r="F1506" s="953"/>
      <c r="G1506" s="953"/>
      <c r="H1506" s="953"/>
    </row>
    <row r="1507" spans="1:8" s="943" customFormat="1" x14ac:dyDescent="0.25">
      <c r="A1507" s="952"/>
      <c r="B1507" s="953"/>
      <c r="C1507" s="953"/>
      <c r="D1507" s="953"/>
      <c r="E1507" s="953"/>
      <c r="F1507" s="953"/>
      <c r="G1507" s="953"/>
      <c r="H1507" s="953"/>
    </row>
    <row r="1508" spans="1:8" s="943" customFormat="1" x14ac:dyDescent="0.25">
      <c r="A1508" s="952"/>
      <c r="B1508" s="953"/>
      <c r="C1508" s="953"/>
      <c r="D1508" s="953"/>
      <c r="E1508" s="953"/>
      <c r="F1508" s="953"/>
      <c r="G1508" s="953"/>
      <c r="H1508" s="953"/>
    </row>
    <row r="1509" spans="1:8" s="943" customFormat="1" x14ac:dyDescent="0.25">
      <c r="A1509" s="952"/>
      <c r="B1509" s="953"/>
      <c r="C1509" s="953"/>
      <c r="D1509" s="953"/>
      <c r="E1509" s="953"/>
      <c r="F1509" s="953"/>
      <c r="G1509" s="953"/>
      <c r="H1509" s="953"/>
    </row>
    <row r="1510" spans="1:8" s="943" customFormat="1" x14ac:dyDescent="0.25">
      <c r="A1510" s="952"/>
      <c r="B1510" s="953"/>
      <c r="C1510" s="953"/>
      <c r="D1510" s="953"/>
      <c r="E1510" s="953"/>
      <c r="F1510" s="953"/>
      <c r="G1510" s="953"/>
      <c r="H1510" s="953"/>
    </row>
    <row r="1511" spans="1:8" s="943" customFormat="1" x14ac:dyDescent="0.25">
      <c r="A1511" s="952"/>
      <c r="B1511" s="953"/>
      <c r="C1511" s="953"/>
      <c r="D1511" s="953"/>
      <c r="E1511" s="953"/>
      <c r="F1511" s="953"/>
      <c r="G1511" s="953"/>
      <c r="H1511" s="953"/>
    </row>
    <row r="1512" spans="1:8" s="943" customFormat="1" x14ac:dyDescent="0.25">
      <c r="A1512" s="952"/>
      <c r="B1512" s="953"/>
      <c r="C1512" s="953"/>
      <c r="D1512" s="953"/>
      <c r="E1512" s="953"/>
      <c r="F1512" s="953"/>
      <c r="G1512" s="953"/>
      <c r="H1512" s="953"/>
    </row>
    <row r="1513" spans="1:8" s="943" customFormat="1" x14ac:dyDescent="0.25">
      <c r="A1513" s="952"/>
      <c r="B1513" s="953"/>
      <c r="C1513" s="953"/>
      <c r="D1513" s="953"/>
      <c r="E1513" s="953"/>
      <c r="F1513" s="953"/>
      <c r="G1513" s="953"/>
      <c r="H1513" s="953"/>
    </row>
    <row r="1514" spans="1:8" s="943" customFormat="1" x14ac:dyDescent="0.25">
      <c r="A1514" s="952"/>
      <c r="B1514" s="953"/>
      <c r="C1514" s="953"/>
      <c r="D1514" s="953"/>
      <c r="E1514" s="953"/>
      <c r="F1514" s="953"/>
      <c r="G1514" s="953"/>
      <c r="H1514" s="953"/>
    </row>
    <row r="1515" spans="1:8" s="943" customFormat="1" x14ac:dyDescent="0.25">
      <c r="A1515" s="952"/>
      <c r="B1515" s="953"/>
      <c r="C1515" s="953"/>
      <c r="D1515" s="953"/>
      <c r="E1515" s="953"/>
      <c r="F1515" s="953"/>
      <c r="G1515" s="953"/>
      <c r="H1515" s="953"/>
    </row>
    <row r="1516" spans="1:8" s="943" customFormat="1" x14ac:dyDescent="0.25">
      <c r="A1516" s="952"/>
      <c r="B1516" s="953"/>
      <c r="C1516" s="953"/>
      <c r="D1516" s="953"/>
      <c r="E1516" s="953"/>
      <c r="F1516" s="953"/>
      <c r="G1516" s="953"/>
      <c r="H1516" s="953"/>
    </row>
    <row r="1517" spans="1:8" s="943" customFormat="1" x14ac:dyDescent="0.25">
      <c r="A1517" s="952"/>
      <c r="B1517" s="953"/>
      <c r="C1517" s="953"/>
      <c r="D1517" s="953"/>
      <c r="E1517" s="953"/>
      <c r="F1517" s="953"/>
      <c r="G1517" s="953"/>
      <c r="H1517" s="953"/>
    </row>
    <row r="1518" spans="1:8" s="943" customFormat="1" x14ac:dyDescent="0.25">
      <c r="A1518" s="952"/>
      <c r="B1518" s="953"/>
      <c r="C1518" s="953"/>
      <c r="D1518" s="953"/>
      <c r="E1518" s="953"/>
      <c r="F1518" s="953"/>
      <c r="G1518" s="953"/>
      <c r="H1518" s="953"/>
    </row>
    <row r="1519" spans="1:8" s="943" customFormat="1" x14ac:dyDescent="0.25">
      <c r="A1519" s="952"/>
      <c r="B1519" s="953"/>
      <c r="C1519" s="953"/>
      <c r="D1519" s="953"/>
      <c r="E1519" s="953"/>
      <c r="F1519" s="953"/>
      <c r="G1519" s="953"/>
      <c r="H1519" s="953"/>
    </row>
    <row r="1520" spans="1:8" s="943" customFormat="1" x14ac:dyDescent="0.25">
      <c r="A1520" s="952"/>
      <c r="B1520" s="953"/>
      <c r="C1520" s="953"/>
      <c r="D1520" s="953"/>
      <c r="E1520" s="953"/>
      <c r="F1520" s="953"/>
      <c r="G1520" s="953"/>
      <c r="H1520" s="953"/>
    </row>
    <row r="1521" spans="1:8" s="943" customFormat="1" x14ac:dyDescent="0.25">
      <c r="A1521" s="952"/>
      <c r="B1521" s="953"/>
      <c r="C1521" s="953"/>
      <c r="D1521" s="953"/>
      <c r="E1521" s="953"/>
      <c r="F1521" s="953"/>
      <c r="G1521" s="953"/>
      <c r="H1521" s="953"/>
    </row>
    <row r="1522" spans="1:8" s="943" customFormat="1" x14ac:dyDescent="0.25">
      <c r="A1522" s="952"/>
      <c r="B1522" s="953"/>
      <c r="C1522" s="953"/>
      <c r="D1522" s="953"/>
      <c r="E1522" s="953"/>
      <c r="F1522" s="953"/>
      <c r="G1522" s="953"/>
      <c r="H1522" s="953"/>
    </row>
    <row r="1523" spans="1:8" s="943" customFormat="1" x14ac:dyDescent="0.25">
      <c r="A1523" s="952"/>
      <c r="B1523" s="953"/>
      <c r="C1523" s="953"/>
      <c r="D1523" s="953"/>
      <c r="E1523" s="953"/>
      <c r="F1523" s="953"/>
      <c r="G1523" s="953"/>
      <c r="H1523" s="953"/>
    </row>
    <row r="1524" spans="1:8" s="943" customFormat="1" x14ac:dyDescent="0.25">
      <c r="A1524" s="952"/>
      <c r="B1524" s="953"/>
      <c r="C1524" s="953"/>
      <c r="D1524" s="953"/>
      <c r="E1524" s="953"/>
      <c r="F1524" s="953"/>
      <c r="G1524" s="953"/>
      <c r="H1524" s="953"/>
    </row>
    <row r="1525" spans="1:8" s="943" customFormat="1" x14ac:dyDescent="0.25">
      <c r="A1525" s="952"/>
      <c r="B1525" s="953"/>
      <c r="C1525" s="953"/>
      <c r="D1525" s="953"/>
      <c r="E1525" s="953"/>
      <c r="F1525" s="953"/>
      <c r="G1525" s="953"/>
      <c r="H1525" s="953"/>
    </row>
    <row r="1526" spans="1:8" s="943" customFormat="1" x14ac:dyDescent="0.25">
      <c r="A1526" s="952"/>
      <c r="B1526" s="953"/>
      <c r="C1526" s="953"/>
      <c r="D1526" s="953"/>
      <c r="E1526" s="953"/>
      <c r="F1526" s="953"/>
      <c r="G1526" s="953"/>
      <c r="H1526" s="953"/>
    </row>
    <row r="1527" spans="1:8" s="943" customFormat="1" x14ac:dyDescent="0.25">
      <c r="A1527" s="952"/>
      <c r="B1527" s="953"/>
      <c r="C1527" s="953"/>
      <c r="D1527" s="953"/>
      <c r="E1527" s="953"/>
      <c r="F1527" s="953"/>
      <c r="G1527" s="953"/>
      <c r="H1527" s="953"/>
    </row>
    <row r="1528" spans="1:8" s="943" customFormat="1" x14ac:dyDescent="0.25">
      <c r="A1528" s="952"/>
      <c r="B1528" s="953"/>
      <c r="C1528" s="953"/>
      <c r="D1528" s="953"/>
      <c r="E1528" s="953"/>
      <c r="F1528" s="953"/>
      <c r="G1528" s="953"/>
      <c r="H1528" s="953"/>
    </row>
    <row r="1529" spans="1:8" s="943" customFormat="1" x14ac:dyDescent="0.25">
      <c r="A1529" s="952"/>
      <c r="B1529" s="953"/>
      <c r="C1529" s="953"/>
      <c r="D1529" s="953"/>
      <c r="E1529" s="953"/>
      <c r="F1529" s="953"/>
      <c r="G1529" s="953"/>
      <c r="H1529" s="953"/>
    </row>
    <row r="1530" spans="1:8" s="943" customFormat="1" x14ac:dyDescent="0.25">
      <c r="A1530" s="952"/>
      <c r="B1530" s="953"/>
      <c r="C1530" s="953"/>
      <c r="D1530" s="953"/>
      <c r="E1530" s="953"/>
      <c r="F1530" s="953"/>
      <c r="G1530" s="953"/>
      <c r="H1530" s="953"/>
    </row>
    <row r="1531" spans="1:8" s="943" customFormat="1" x14ac:dyDescent="0.25">
      <c r="A1531" s="952"/>
      <c r="B1531" s="953"/>
      <c r="C1531" s="953"/>
      <c r="D1531" s="953"/>
      <c r="E1531" s="953"/>
      <c r="F1531" s="953"/>
      <c r="G1531" s="953"/>
      <c r="H1531" s="953"/>
    </row>
    <row r="1532" spans="1:8" s="943" customFormat="1" x14ac:dyDescent="0.25">
      <c r="A1532" s="952"/>
      <c r="B1532" s="953"/>
      <c r="C1532" s="953"/>
      <c r="D1532" s="953"/>
      <c r="E1532" s="953"/>
      <c r="F1532" s="953"/>
      <c r="G1532" s="953"/>
      <c r="H1532" s="953"/>
    </row>
    <row r="1533" spans="1:8" s="943" customFormat="1" x14ac:dyDescent="0.25">
      <c r="A1533" s="952"/>
      <c r="B1533" s="953"/>
      <c r="C1533" s="953"/>
      <c r="D1533" s="953"/>
      <c r="E1533" s="953"/>
      <c r="F1533" s="953"/>
      <c r="G1533" s="953"/>
      <c r="H1533" s="953"/>
    </row>
    <row r="1534" spans="1:8" s="943" customFormat="1" x14ac:dyDescent="0.25">
      <c r="A1534" s="952"/>
      <c r="B1534" s="953"/>
      <c r="C1534" s="953"/>
      <c r="D1534" s="953"/>
      <c r="E1534" s="953"/>
      <c r="F1534" s="953"/>
      <c r="G1534" s="953"/>
      <c r="H1534" s="953"/>
    </row>
    <row r="1535" spans="1:8" s="943" customFormat="1" x14ac:dyDescent="0.25">
      <c r="A1535" s="952"/>
      <c r="B1535" s="953"/>
      <c r="C1535" s="953"/>
      <c r="D1535" s="953"/>
      <c r="E1535" s="953"/>
      <c r="F1535" s="953"/>
      <c r="G1535" s="953"/>
      <c r="H1535" s="953"/>
    </row>
    <row r="1536" spans="1:8" s="943" customFormat="1" x14ac:dyDescent="0.25">
      <c r="A1536" s="952"/>
      <c r="B1536" s="953"/>
      <c r="C1536" s="953"/>
      <c r="D1536" s="953"/>
      <c r="E1536" s="953"/>
      <c r="F1536" s="953"/>
      <c r="G1536" s="953"/>
      <c r="H1536" s="953"/>
    </row>
    <row r="1537" spans="1:8" s="943" customFormat="1" x14ac:dyDescent="0.25">
      <c r="A1537" s="952"/>
      <c r="B1537" s="953"/>
      <c r="C1537" s="953"/>
      <c r="D1537" s="953"/>
      <c r="E1537" s="953"/>
      <c r="F1537" s="953"/>
      <c r="G1537" s="953"/>
      <c r="H1537" s="953"/>
    </row>
    <row r="1538" spans="1:8" s="943" customFormat="1" x14ac:dyDescent="0.25">
      <c r="A1538" s="952"/>
      <c r="B1538" s="953"/>
      <c r="C1538" s="953"/>
      <c r="D1538" s="953"/>
      <c r="E1538" s="953"/>
      <c r="F1538" s="953"/>
      <c r="G1538" s="953"/>
      <c r="H1538" s="953"/>
    </row>
    <row r="1539" spans="1:8" s="943" customFormat="1" x14ac:dyDescent="0.25">
      <c r="A1539" s="952"/>
      <c r="B1539" s="953"/>
      <c r="C1539" s="953"/>
      <c r="D1539" s="953"/>
      <c r="E1539" s="953"/>
      <c r="F1539" s="953"/>
      <c r="G1539" s="953"/>
      <c r="H1539" s="953"/>
    </row>
    <row r="1540" spans="1:8" s="943" customFormat="1" x14ac:dyDescent="0.25">
      <c r="A1540" s="952"/>
      <c r="B1540" s="953"/>
      <c r="C1540" s="953"/>
      <c r="D1540" s="953"/>
      <c r="E1540" s="953"/>
      <c r="F1540" s="953"/>
      <c r="G1540" s="953"/>
      <c r="H1540" s="953"/>
    </row>
    <row r="1541" spans="1:8" s="943" customFormat="1" x14ac:dyDescent="0.25">
      <c r="A1541" s="952"/>
      <c r="B1541" s="953"/>
      <c r="C1541" s="953"/>
      <c r="D1541" s="953"/>
      <c r="E1541" s="953"/>
      <c r="F1541" s="953"/>
      <c r="G1541" s="953"/>
      <c r="H1541" s="953"/>
    </row>
    <row r="1542" spans="1:8" s="943" customFormat="1" x14ac:dyDescent="0.25">
      <c r="A1542" s="952"/>
      <c r="B1542" s="953"/>
      <c r="C1542" s="953"/>
      <c r="D1542" s="953"/>
      <c r="E1542" s="953"/>
      <c r="F1542" s="953"/>
      <c r="G1542" s="953"/>
      <c r="H1542" s="953"/>
    </row>
    <row r="1543" spans="1:8" s="943" customFormat="1" x14ac:dyDescent="0.25">
      <c r="A1543" s="952"/>
      <c r="B1543" s="953"/>
      <c r="C1543" s="953"/>
      <c r="D1543" s="953"/>
      <c r="E1543" s="953"/>
      <c r="F1543" s="953"/>
      <c r="G1543" s="953"/>
      <c r="H1543" s="953"/>
    </row>
    <row r="1544" spans="1:8" s="943" customFormat="1" x14ac:dyDescent="0.25">
      <c r="A1544" s="952"/>
      <c r="B1544" s="953"/>
      <c r="C1544" s="953"/>
      <c r="D1544" s="953"/>
      <c r="E1544" s="953"/>
      <c r="F1544" s="953"/>
      <c r="G1544" s="953"/>
      <c r="H1544" s="953"/>
    </row>
    <row r="1545" spans="1:8" s="943" customFormat="1" x14ac:dyDescent="0.25">
      <c r="A1545" s="952"/>
      <c r="B1545" s="953"/>
      <c r="C1545" s="953"/>
      <c r="D1545" s="953"/>
      <c r="E1545" s="953"/>
      <c r="F1545" s="953"/>
      <c r="G1545" s="953"/>
      <c r="H1545" s="953"/>
    </row>
    <row r="1546" spans="1:8" s="943" customFormat="1" x14ac:dyDescent="0.25">
      <c r="A1546" s="952"/>
      <c r="B1546" s="953"/>
      <c r="C1546" s="953"/>
      <c r="D1546" s="953"/>
      <c r="E1546" s="953"/>
      <c r="F1546" s="953"/>
      <c r="G1546" s="953"/>
      <c r="H1546" s="953"/>
    </row>
    <row r="1547" spans="1:8" s="943" customFormat="1" x14ac:dyDescent="0.25">
      <c r="A1547" s="952"/>
      <c r="B1547" s="953"/>
      <c r="C1547" s="953"/>
      <c r="D1547" s="953"/>
      <c r="E1547" s="953"/>
      <c r="F1547" s="953"/>
      <c r="G1547" s="953"/>
      <c r="H1547" s="953"/>
    </row>
    <row r="1548" spans="1:8" s="943" customFormat="1" x14ac:dyDescent="0.25">
      <c r="A1548" s="952"/>
      <c r="B1548" s="953"/>
      <c r="C1548" s="953"/>
      <c r="D1548" s="953"/>
      <c r="E1548" s="953"/>
      <c r="F1548" s="953"/>
      <c r="G1548" s="953"/>
      <c r="H1548" s="953"/>
    </row>
    <row r="1549" spans="1:8" s="943" customFormat="1" x14ac:dyDescent="0.25">
      <c r="A1549" s="952"/>
      <c r="B1549" s="953"/>
      <c r="C1549" s="953"/>
      <c r="D1549" s="953"/>
      <c r="E1549" s="953"/>
      <c r="F1549" s="953"/>
      <c r="G1549" s="953"/>
      <c r="H1549" s="953"/>
    </row>
    <row r="1550" spans="1:8" s="943" customFormat="1" x14ac:dyDescent="0.25">
      <c r="A1550" s="952"/>
      <c r="B1550" s="953"/>
      <c r="C1550" s="953"/>
      <c r="D1550" s="953"/>
      <c r="E1550" s="953"/>
      <c r="F1550" s="953"/>
      <c r="G1550" s="953"/>
      <c r="H1550" s="953"/>
    </row>
    <row r="1551" spans="1:8" s="943" customFormat="1" x14ac:dyDescent="0.25">
      <c r="A1551" s="952"/>
      <c r="B1551" s="953"/>
      <c r="C1551" s="953"/>
      <c r="D1551" s="953"/>
      <c r="E1551" s="953"/>
      <c r="F1551" s="953"/>
      <c r="G1551" s="953"/>
      <c r="H1551" s="953"/>
    </row>
    <row r="1552" spans="1:8" s="943" customFormat="1" x14ac:dyDescent="0.25">
      <c r="A1552" s="952"/>
      <c r="B1552" s="953"/>
      <c r="C1552" s="953"/>
      <c r="D1552" s="953"/>
      <c r="E1552" s="953"/>
      <c r="F1552" s="953"/>
      <c r="G1552" s="953"/>
      <c r="H1552" s="953"/>
    </row>
    <row r="1553" spans="1:8" s="943" customFormat="1" x14ac:dyDescent="0.25">
      <c r="A1553" s="952"/>
      <c r="B1553" s="953"/>
      <c r="C1553" s="953"/>
      <c r="D1553" s="953"/>
      <c r="E1553" s="953"/>
      <c r="F1553" s="953"/>
      <c r="G1553" s="953"/>
      <c r="H1553" s="953"/>
    </row>
    <row r="1554" spans="1:8" s="943" customFormat="1" x14ac:dyDescent="0.25">
      <c r="A1554" s="952"/>
      <c r="B1554" s="953"/>
      <c r="C1554" s="953"/>
      <c r="D1554" s="953"/>
      <c r="E1554" s="953"/>
      <c r="F1554" s="953"/>
      <c r="G1554" s="953"/>
      <c r="H1554" s="953"/>
    </row>
    <row r="1555" spans="1:8" s="943" customFormat="1" x14ac:dyDescent="0.25">
      <c r="A1555" s="952"/>
      <c r="B1555" s="953"/>
      <c r="C1555" s="953"/>
      <c r="D1555" s="953"/>
      <c r="E1555" s="953"/>
      <c r="F1555" s="953"/>
      <c r="G1555" s="953"/>
      <c r="H1555" s="953"/>
    </row>
    <row r="1556" spans="1:8" s="943" customFormat="1" x14ac:dyDescent="0.25">
      <c r="A1556" s="952"/>
      <c r="B1556" s="953"/>
      <c r="C1556" s="953"/>
      <c r="D1556" s="953"/>
      <c r="E1556" s="953"/>
      <c r="F1556" s="953"/>
      <c r="G1556" s="953"/>
      <c r="H1556" s="953"/>
    </row>
    <row r="1557" spans="1:8" s="943" customFormat="1" x14ac:dyDescent="0.25">
      <c r="A1557" s="952"/>
      <c r="B1557" s="953"/>
      <c r="C1557" s="953"/>
      <c r="D1557" s="953"/>
      <c r="E1557" s="953"/>
      <c r="F1557" s="953"/>
      <c r="G1557" s="953"/>
      <c r="H1557" s="953"/>
    </row>
    <row r="1558" spans="1:8" s="943" customFormat="1" x14ac:dyDescent="0.25">
      <c r="A1558" s="952"/>
      <c r="B1558" s="953"/>
      <c r="C1558" s="953"/>
      <c r="D1558" s="953"/>
      <c r="E1558" s="953"/>
      <c r="F1558" s="953"/>
      <c r="G1558" s="953"/>
      <c r="H1558" s="953"/>
    </row>
    <row r="1559" spans="1:8" s="943" customFormat="1" x14ac:dyDescent="0.25">
      <c r="A1559" s="952"/>
      <c r="B1559" s="953"/>
      <c r="C1559" s="953"/>
      <c r="D1559" s="953"/>
      <c r="E1559" s="953"/>
      <c r="F1559" s="953"/>
      <c r="G1559" s="953"/>
      <c r="H1559" s="953"/>
    </row>
    <row r="1560" spans="1:8" s="943" customFormat="1" x14ac:dyDescent="0.25">
      <c r="A1560" s="952"/>
      <c r="B1560" s="953"/>
      <c r="C1560" s="953"/>
      <c r="D1560" s="953"/>
      <c r="E1560" s="953"/>
      <c r="F1560" s="953"/>
      <c r="G1560" s="953"/>
      <c r="H1560" s="953"/>
    </row>
    <row r="1561" spans="1:8" s="943" customFormat="1" x14ac:dyDescent="0.25">
      <c r="A1561" s="952"/>
      <c r="B1561" s="953"/>
      <c r="C1561" s="953"/>
      <c r="D1561" s="953"/>
      <c r="E1561" s="953"/>
      <c r="F1561" s="953"/>
      <c r="G1561" s="953"/>
      <c r="H1561" s="953"/>
    </row>
    <row r="1562" spans="1:8" s="943" customFormat="1" x14ac:dyDescent="0.25">
      <c r="A1562" s="952"/>
      <c r="B1562" s="953"/>
      <c r="C1562" s="953"/>
      <c r="D1562" s="953"/>
      <c r="E1562" s="953"/>
      <c r="F1562" s="953"/>
      <c r="G1562" s="953"/>
      <c r="H1562" s="953"/>
    </row>
    <row r="1563" spans="1:8" s="943" customFormat="1" x14ac:dyDescent="0.25">
      <c r="A1563" s="952"/>
      <c r="B1563" s="953"/>
      <c r="C1563" s="953"/>
      <c r="D1563" s="953"/>
      <c r="E1563" s="953"/>
      <c r="F1563" s="953"/>
      <c r="G1563" s="953"/>
      <c r="H1563" s="953"/>
    </row>
    <row r="1564" spans="1:8" s="943" customFormat="1" x14ac:dyDescent="0.25">
      <c r="A1564" s="952"/>
      <c r="B1564" s="953"/>
      <c r="C1564" s="953"/>
      <c r="D1564" s="953"/>
      <c r="E1564" s="953"/>
      <c r="F1564" s="953"/>
      <c r="G1564" s="953"/>
      <c r="H1564" s="953"/>
    </row>
    <row r="1565" spans="1:8" s="943" customFormat="1" x14ac:dyDescent="0.25">
      <c r="A1565" s="952"/>
      <c r="B1565" s="953"/>
      <c r="C1565" s="953"/>
      <c r="D1565" s="953"/>
      <c r="E1565" s="953"/>
      <c r="F1565" s="953"/>
      <c r="G1565" s="953"/>
      <c r="H1565" s="953"/>
    </row>
    <row r="1566" spans="1:8" s="943" customFormat="1" x14ac:dyDescent="0.25">
      <c r="A1566" s="952"/>
      <c r="B1566" s="953"/>
      <c r="C1566" s="953"/>
      <c r="D1566" s="953"/>
      <c r="E1566" s="953"/>
      <c r="F1566" s="953"/>
      <c r="G1566" s="953"/>
      <c r="H1566" s="953"/>
    </row>
    <row r="1567" spans="1:8" s="943" customFormat="1" x14ac:dyDescent="0.25">
      <c r="A1567" s="952"/>
      <c r="B1567" s="953"/>
      <c r="C1567" s="953"/>
      <c r="D1567" s="953"/>
      <c r="E1567" s="953"/>
      <c r="F1567" s="953"/>
      <c r="G1567" s="953"/>
      <c r="H1567" s="953"/>
    </row>
    <row r="1568" spans="1:8" s="943" customFormat="1" x14ac:dyDescent="0.25">
      <c r="A1568" s="952"/>
      <c r="B1568" s="953"/>
      <c r="C1568" s="953"/>
      <c r="D1568" s="953"/>
      <c r="E1568" s="953"/>
      <c r="F1568" s="953"/>
      <c r="G1568" s="953"/>
      <c r="H1568" s="953"/>
    </row>
    <row r="1569" spans="1:8" s="943" customFormat="1" x14ac:dyDescent="0.25">
      <c r="A1569" s="952"/>
      <c r="B1569" s="953"/>
      <c r="C1569" s="953"/>
      <c r="D1569" s="953"/>
      <c r="E1569" s="953"/>
      <c r="F1569" s="953"/>
      <c r="G1569" s="953"/>
      <c r="H1569" s="953"/>
    </row>
    <row r="1570" spans="1:8" s="943" customFormat="1" x14ac:dyDescent="0.25">
      <c r="A1570" s="952"/>
      <c r="B1570" s="953"/>
      <c r="C1570" s="953"/>
      <c r="D1570" s="953"/>
      <c r="E1570" s="953"/>
      <c r="F1570" s="953"/>
      <c r="G1570" s="953"/>
      <c r="H1570" s="953"/>
    </row>
    <row r="1571" spans="1:8" s="943" customFormat="1" x14ac:dyDescent="0.25">
      <c r="A1571" s="952"/>
      <c r="B1571" s="953"/>
      <c r="C1571" s="953"/>
      <c r="D1571" s="953"/>
      <c r="E1571" s="953"/>
      <c r="F1571" s="953"/>
      <c r="G1571" s="953"/>
      <c r="H1571" s="953"/>
    </row>
    <row r="1572" spans="1:8" s="943" customFormat="1" x14ac:dyDescent="0.25">
      <c r="A1572" s="952"/>
      <c r="B1572" s="953"/>
      <c r="C1572" s="953"/>
      <c r="D1572" s="953"/>
      <c r="E1572" s="953"/>
      <c r="F1572" s="953"/>
      <c r="G1572" s="953"/>
      <c r="H1572" s="953"/>
    </row>
    <row r="1573" spans="1:8" s="943" customFormat="1" x14ac:dyDescent="0.25">
      <c r="A1573" s="952"/>
      <c r="B1573" s="953"/>
      <c r="C1573" s="953"/>
      <c r="D1573" s="953"/>
      <c r="E1573" s="953"/>
      <c r="F1573" s="953"/>
      <c r="G1573" s="953"/>
      <c r="H1573" s="953"/>
    </row>
    <row r="1574" spans="1:8" s="943" customFormat="1" x14ac:dyDescent="0.25">
      <c r="A1574" s="952"/>
      <c r="B1574" s="953"/>
      <c r="C1574" s="953"/>
      <c r="D1574" s="953"/>
      <c r="E1574" s="953"/>
      <c r="F1574" s="953"/>
      <c r="G1574" s="953"/>
      <c r="H1574" s="953"/>
    </row>
    <row r="1575" spans="1:8" s="943" customFormat="1" x14ac:dyDescent="0.25">
      <c r="A1575" s="952"/>
      <c r="B1575" s="953"/>
      <c r="C1575" s="953"/>
      <c r="D1575" s="953"/>
      <c r="E1575" s="953"/>
      <c r="F1575" s="953"/>
      <c r="G1575" s="953"/>
      <c r="H1575" s="953"/>
    </row>
    <row r="1576" spans="1:8" s="943" customFormat="1" x14ac:dyDescent="0.25">
      <c r="A1576" s="952"/>
      <c r="B1576" s="953"/>
      <c r="C1576" s="953"/>
      <c r="D1576" s="953"/>
      <c r="E1576" s="953"/>
      <c r="F1576" s="953"/>
      <c r="G1576" s="953"/>
      <c r="H1576" s="953"/>
    </row>
    <row r="1577" spans="1:8" s="943" customFormat="1" x14ac:dyDescent="0.25">
      <c r="A1577" s="952"/>
      <c r="B1577" s="953"/>
      <c r="C1577" s="953"/>
      <c r="D1577" s="953"/>
      <c r="E1577" s="953"/>
      <c r="F1577" s="953"/>
      <c r="G1577" s="953"/>
      <c r="H1577" s="953"/>
    </row>
    <row r="1578" spans="1:8" s="943" customFormat="1" x14ac:dyDescent="0.25">
      <c r="A1578" s="952"/>
      <c r="B1578" s="953"/>
      <c r="C1578" s="953"/>
      <c r="D1578" s="953"/>
      <c r="E1578" s="953"/>
      <c r="F1578" s="953"/>
      <c r="G1578" s="953"/>
      <c r="H1578" s="953"/>
    </row>
    <row r="1579" spans="1:8" s="943" customFormat="1" x14ac:dyDescent="0.25">
      <c r="A1579" s="952"/>
      <c r="B1579" s="953"/>
      <c r="C1579" s="953"/>
      <c r="D1579" s="953"/>
      <c r="E1579" s="953"/>
      <c r="F1579" s="953"/>
      <c r="G1579" s="953"/>
      <c r="H1579" s="953"/>
    </row>
    <row r="1580" spans="1:8" s="943" customFormat="1" x14ac:dyDescent="0.25">
      <c r="A1580" s="952"/>
      <c r="B1580" s="953"/>
      <c r="C1580" s="953"/>
      <c r="D1580" s="953"/>
      <c r="E1580" s="953"/>
      <c r="F1580" s="953"/>
      <c r="G1580" s="953"/>
      <c r="H1580" s="953"/>
    </row>
    <row r="1581" spans="1:8" s="943" customFormat="1" x14ac:dyDescent="0.25">
      <c r="A1581" s="952"/>
      <c r="B1581" s="953"/>
      <c r="C1581" s="953"/>
      <c r="D1581" s="953"/>
      <c r="E1581" s="953"/>
      <c r="F1581" s="953"/>
      <c r="G1581" s="953"/>
      <c r="H1581" s="953"/>
    </row>
    <row r="1582" spans="1:8" s="943" customFormat="1" x14ac:dyDescent="0.25">
      <c r="A1582" s="952"/>
      <c r="B1582" s="953"/>
      <c r="C1582" s="953"/>
      <c r="D1582" s="953"/>
      <c r="E1582" s="953"/>
      <c r="F1582" s="953"/>
      <c r="G1582" s="953"/>
      <c r="H1582" s="953"/>
    </row>
    <row r="1583" spans="1:8" s="943" customFormat="1" x14ac:dyDescent="0.25">
      <c r="A1583" s="952"/>
      <c r="B1583" s="953"/>
      <c r="C1583" s="953"/>
      <c r="D1583" s="953"/>
      <c r="E1583" s="953"/>
      <c r="F1583" s="953"/>
      <c r="G1583" s="953"/>
      <c r="H1583" s="953"/>
    </row>
    <row r="1584" spans="1:8" s="943" customFormat="1" x14ac:dyDescent="0.25">
      <c r="A1584" s="952"/>
      <c r="B1584" s="953"/>
      <c r="C1584" s="953"/>
      <c r="D1584" s="953"/>
      <c r="E1584" s="953"/>
      <c r="F1584" s="953"/>
      <c r="G1584" s="953"/>
      <c r="H1584" s="953"/>
    </row>
    <row r="1585" spans="1:8" s="943" customFormat="1" x14ac:dyDescent="0.25">
      <c r="A1585" s="952"/>
      <c r="B1585" s="953"/>
      <c r="C1585" s="953"/>
      <c r="D1585" s="953"/>
      <c r="E1585" s="953"/>
      <c r="F1585" s="953"/>
      <c r="G1585" s="953"/>
      <c r="H1585" s="953"/>
    </row>
    <row r="1586" spans="1:8" s="943" customFormat="1" x14ac:dyDescent="0.25">
      <c r="A1586" s="952"/>
      <c r="B1586" s="953"/>
      <c r="C1586" s="953"/>
      <c r="D1586" s="953"/>
      <c r="E1586" s="953"/>
      <c r="F1586" s="953"/>
      <c r="G1586" s="953"/>
      <c r="H1586" s="953"/>
    </row>
    <row r="1587" spans="1:8" s="943" customFormat="1" x14ac:dyDescent="0.25">
      <c r="A1587" s="952"/>
      <c r="B1587" s="953"/>
      <c r="C1587" s="953"/>
      <c r="D1587" s="953"/>
      <c r="E1587" s="953"/>
      <c r="F1587" s="953"/>
      <c r="G1587" s="953"/>
      <c r="H1587" s="953"/>
    </row>
    <row r="1588" spans="1:8" s="943" customFormat="1" x14ac:dyDescent="0.25">
      <c r="A1588" s="952"/>
      <c r="B1588" s="953"/>
      <c r="C1588" s="953"/>
      <c r="D1588" s="953"/>
      <c r="E1588" s="953"/>
      <c r="F1588" s="953"/>
      <c r="G1588" s="953"/>
      <c r="H1588" s="953"/>
    </row>
    <row r="1589" spans="1:8" s="943" customFormat="1" x14ac:dyDescent="0.25">
      <c r="A1589" s="952"/>
      <c r="B1589" s="953"/>
      <c r="C1589" s="953"/>
      <c r="D1589" s="953"/>
      <c r="E1589" s="953"/>
      <c r="F1589" s="953"/>
      <c r="G1589" s="953"/>
      <c r="H1589" s="953"/>
    </row>
    <row r="1590" spans="1:8" s="943" customFormat="1" x14ac:dyDescent="0.25">
      <c r="A1590" s="952"/>
      <c r="B1590" s="953"/>
      <c r="C1590" s="953"/>
      <c r="D1590" s="953"/>
      <c r="E1590" s="953"/>
      <c r="F1590" s="953"/>
      <c r="G1590" s="953"/>
      <c r="H1590" s="953"/>
    </row>
    <row r="1591" spans="1:8" s="943" customFormat="1" x14ac:dyDescent="0.25">
      <c r="A1591" s="952"/>
      <c r="B1591" s="953"/>
      <c r="C1591" s="953"/>
      <c r="D1591" s="953"/>
      <c r="E1591" s="953"/>
      <c r="F1591" s="953"/>
      <c r="G1591" s="953"/>
      <c r="H1591" s="953"/>
    </row>
    <row r="1592" spans="1:8" s="943" customFormat="1" x14ac:dyDescent="0.25">
      <c r="A1592" s="952"/>
      <c r="B1592" s="953"/>
      <c r="C1592" s="953"/>
      <c r="D1592" s="953"/>
      <c r="E1592" s="953"/>
      <c r="F1592" s="953"/>
      <c r="G1592" s="953"/>
      <c r="H1592" s="953"/>
    </row>
    <row r="1593" spans="1:8" s="943" customFormat="1" x14ac:dyDescent="0.25">
      <c r="A1593" s="952"/>
      <c r="B1593" s="953"/>
      <c r="C1593" s="953"/>
      <c r="D1593" s="953"/>
      <c r="E1593" s="953"/>
      <c r="F1593" s="953"/>
      <c r="G1593" s="953"/>
      <c r="H1593" s="953"/>
    </row>
    <row r="1594" spans="1:8" s="943" customFormat="1" x14ac:dyDescent="0.25">
      <c r="A1594" s="952"/>
      <c r="B1594" s="953"/>
      <c r="C1594" s="953"/>
      <c r="D1594" s="953"/>
      <c r="E1594" s="953"/>
      <c r="F1594" s="953"/>
      <c r="G1594" s="953"/>
      <c r="H1594" s="953"/>
    </row>
    <row r="1595" spans="1:8" s="943" customFormat="1" x14ac:dyDescent="0.25">
      <c r="A1595" s="952"/>
      <c r="B1595" s="953"/>
      <c r="C1595" s="953"/>
      <c r="D1595" s="953"/>
      <c r="E1595" s="953"/>
      <c r="F1595" s="953"/>
      <c r="G1595" s="953"/>
      <c r="H1595" s="953"/>
    </row>
    <row r="1596" spans="1:8" s="943" customFormat="1" x14ac:dyDescent="0.25">
      <c r="A1596" s="952"/>
      <c r="B1596" s="953"/>
      <c r="C1596" s="953"/>
      <c r="D1596" s="953"/>
      <c r="E1596" s="953"/>
      <c r="F1596" s="953"/>
      <c r="G1596" s="953"/>
      <c r="H1596" s="953"/>
    </row>
    <row r="1597" spans="1:8" s="943" customFormat="1" x14ac:dyDescent="0.25">
      <c r="A1597" s="952"/>
      <c r="B1597" s="953"/>
      <c r="C1597" s="953"/>
      <c r="D1597" s="953"/>
      <c r="E1597" s="953"/>
      <c r="F1597" s="953"/>
      <c r="G1597" s="953"/>
      <c r="H1597" s="953"/>
    </row>
    <row r="1598" spans="1:8" s="943" customFormat="1" x14ac:dyDescent="0.25">
      <c r="A1598" s="952"/>
      <c r="B1598" s="953"/>
      <c r="C1598" s="953"/>
      <c r="D1598" s="953"/>
      <c r="E1598" s="953"/>
      <c r="F1598" s="953"/>
      <c r="G1598" s="953"/>
      <c r="H1598" s="953"/>
    </row>
    <row r="1599" spans="1:8" s="943" customFormat="1" x14ac:dyDescent="0.25">
      <c r="A1599" s="952"/>
      <c r="B1599" s="953"/>
      <c r="C1599" s="953"/>
      <c r="D1599" s="953"/>
      <c r="E1599" s="953"/>
      <c r="F1599" s="953"/>
      <c r="G1599" s="953"/>
      <c r="H1599" s="953"/>
    </row>
    <row r="1600" spans="1:8" s="943" customFormat="1" x14ac:dyDescent="0.25">
      <c r="A1600" s="952"/>
      <c r="B1600" s="953"/>
      <c r="C1600" s="953"/>
      <c r="D1600" s="953"/>
      <c r="E1600" s="953"/>
      <c r="F1600" s="953"/>
      <c r="G1600" s="953"/>
      <c r="H1600" s="953"/>
    </row>
    <row r="1601" spans="1:8" s="943" customFormat="1" x14ac:dyDescent="0.25">
      <c r="A1601" s="952"/>
      <c r="B1601" s="953"/>
      <c r="C1601" s="953"/>
      <c r="D1601" s="953"/>
      <c r="E1601" s="953"/>
      <c r="F1601" s="953"/>
      <c r="G1601" s="953"/>
      <c r="H1601" s="953"/>
    </row>
    <row r="1602" spans="1:8" s="943" customFormat="1" x14ac:dyDescent="0.25">
      <c r="A1602" s="952"/>
      <c r="B1602" s="953"/>
      <c r="C1602" s="953"/>
      <c r="D1602" s="953"/>
      <c r="E1602" s="953"/>
      <c r="F1602" s="953"/>
      <c r="G1602" s="953"/>
      <c r="H1602" s="953"/>
    </row>
    <row r="1603" spans="1:8" s="943" customFormat="1" x14ac:dyDescent="0.25">
      <c r="A1603" s="952"/>
      <c r="B1603" s="953"/>
      <c r="C1603" s="953"/>
      <c r="D1603" s="953"/>
      <c r="E1603" s="953"/>
      <c r="F1603" s="953"/>
      <c r="G1603" s="953"/>
      <c r="H1603" s="953"/>
    </row>
    <row r="1604" spans="1:8" s="943" customFormat="1" x14ac:dyDescent="0.25">
      <c r="A1604" s="952"/>
      <c r="B1604" s="953"/>
      <c r="C1604" s="953"/>
      <c r="D1604" s="953"/>
      <c r="E1604" s="953"/>
      <c r="F1604" s="953"/>
      <c r="G1604" s="953"/>
      <c r="H1604" s="953"/>
    </row>
    <row r="1605" spans="1:8" s="943" customFormat="1" x14ac:dyDescent="0.25">
      <c r="A1605" s="952"/>
      <c r="B1605" s="953"/>
      <c r="C1605" s="953"/>
      <c r="D1605" s="953"/>
      <c r="E1605" s="953"/>
      <c r="F1605" s="953"/>
      <c r="G1605" s="953"/>
      <c r="H1605" s="953"/>
    </row>
    <row r="1606" spans="1:8" s="943" customFormat="1" x14ac:dyDescent="0.25">
      <c r="A1606" s="952"/>
      <c r="B1606" s="953"/>
      <c r="C1606" s="953"/>
      <c r="D1606" s="953"/>
      <c r="E1606" s="953"/>
      <c r="F1606" s="953"/>
      <c r="G1606" s="953"/>
      <c r="H1606" s="953"/>
    </row>
    <row r="1607" spans="1:8" s="943" customFormat="1" x14ac:dyDescent="0.25">
      <c r="A1607" s="952"/>
      <c r="B1607" s="953"/>
      <c r="C1607" s="953"/>
      <c r="D1607" s="953"/>
      <c r="E1607" s="953"/>
      <c r="F1607" s="953"/>
      <c r="G1607" s="953"/>
      <c r="H1607" s="953"/>
    </row>
    <row r="1608" spans="1:8" s="943" customFormat="1" x14ac:dyDescent="0.25">
      <c r="A1608" s="952"/>
      <c r="B1608" s="953"/>
      <c r="C1608" s="953"/>
      <c r="D1608" s="953"/>
      <c r="E1608" s="953"/>
      <c r="F1608" s="953"/>
      <c r="G1608" s="953"/>
      <c r="H1608" s="953"/>
    </row>
    <row r="1609" spans="1:8" s="943" customFormat="1" x14ac:dyDescent="0.25">
      <c r="A1609" s="952"/>
      <c r="B1609" s="953"/>
      <c r="C1609" s="953"/>
      <c r="D1609" s="953"/>
      <c r="E1609" s="953"/>
      <c r="F1609" s="953"/>
      <c r="G1609" s="953"/>
      <c r="H1609" s="953"/>
    </row>
    <row r="1610" spans="1:8" s="943" customFormat="1" x14ac:dyDescent="0.25">
      <c r="A1610" s="952"/>
      <c r="B1610" s="953"/>
      <c r="C1610" s="953"/>
      <c r="D1610" s="953"/>
      <c r="E1610" s="953"/>
      <c r="F1610" s="953"/>
      <c r="G1610" s="953"/>
      <c r="H1610" s="953"/>
    </row>
    <row r="1611" spans="1:8" s="943" customFormat="1" x14ac:dyDescent="0.25">
      <c r="A1611" s="952"/>
      <c r="B1611" s="953"/>
      <c r="C1611" s="953"/>
      <c r="D1611" s="953"/>
      <c r="E1611" s="953"/>
      <c r="F1611" s="953"/>
      <c r="G1611" s="953"/>
      <c r="H1611" s="953"/>
    </row>
    <row r="1612" spans="1:8" s="943" customFormat="1" x14ac:dyDescent="0.25">
      <c r="A1612" s="952"/>
      <c r="B1612" s="953"/>
      <c r="C1612" s="953"/>
      <c r="D1612" s="953"/>
      <c r="E1612" s="953"/>
      <c r="F1612" s="953"/>
      <c r="G1612" s="953"/>
      <c r="H1612" s="953"/>
    </row>
    <row r="1613" spans="1:8" s="943" customFormat="1" x14ac:dyDescent="0.25">
      <c r="A1613" s="952"/>
      <c r="B1613" s="953"/>
      <c r="C1613" s="953"/>
      <c r="D1613" s="953"/>
      <c r="E1613" s="953"/>
      <c r="F1613" s="953"/>
      <c r="G1613" s="953"/>
      <c r="H1613" s="953"/>
    </row>
    <row r="1614" spans="1:8" s="943" customFormat="1" x14ac:dyDescent="0.25">
      <c r="A1614" s="952"/>
      <c r="B1614" s="953"/>
      <c r="C1614" s="953"/>
      <c r="D1614" s="953"/>
      <c r="E1614" s="953"/>
      <c r="F1614" s="953"/>
      <c r="G1614" s="953"/>
      <c r="H1614" s="953"/>
    </row>
    <row r="1615" spans="1:8" s="943" customFormat="1" x14ac:dyDescent="0.25">
      <c r="A1615" s="952"/>
      <c r="B1615" s="953"/>
      <c r="C1615" s="953"/>
      <c r="D1615" s="953"/>
      <c r="E1615" s="953"/>
      <c r="F1615" s="953"/>
      <c r="G1615" s="953"/>
      <c r="H1615" s="953"/>
    </row>
    <row r="1616" spans="1:8" s="943" customFormat="1" x14ac:dyDescent="0.25">
      <c r="A1616" s="952"/>
      <c r="B1616" s="953"/>
      <c r="C1616" s="953"/>
      <c r="D1616" s="953"/>
      <c r="E1616" s="953"/>
      <c r="F1616" s="953"/>
      <c r="G1616" s="953"/>
      <c r="H1616" s="953"/>
    </row>
    <row r="1617" spans="1:8" s="943" customFormat="1" x14ac:dyDescent="0.25">
      <c r="A1617" s="952"/>
      <c r="B1617" s="953"/>
      <c r="C1617" s="953"/>
      <c r="D1617" s="953"/>
      <c r="E1617" s="953"/>
      <c r="F1617" s="953"/>
      <c r="G1617" s="953"/>
      <c r="H1617" s="953"/>
    </row>
    <row r="1618" spans="1:8" s="943" customFormat="1" x14ac:dyDescent="0.25">
      <c r="A1618" s="952"/>
      <c r="B1618" s="953"/>
      <c r="C1618" s="953"/>
      <c r="D1618" s="953"/>
      <c r="E1618" s="953"/>
      <c r="F1618" s="953"/>
      <c r="G1618" s="953"/>
      <c r="H1618" s="953"/>
    </row>
    <row r="1619" spans="1:8" s="943" customFormat="1" x14ac:dyDescent="0.25">
      <c r="A1619" s="952"/>
      <c r="B1619" s="953"/>
      <c r="C1619" s="953"/>
      <c r="D1619" s="953"/>
      <c r="E1619" s="953"/>
      <c r="F1619" s="953"/>
      <c r="G1619" s="953"/>
      <c r="H1619" s="953"/>
    </row>
    <row r="1620" spans="1:8" s="943" customFormat="1" x14ac:dyDescent="0.25">
      <c r="A1620" s="952"/>
      <c r="B1620" s="953"/>
      <c r="C1620" s="953"/>
      <c r="D1620" s="953"/>
      <c r="E1620" s="953"/>
      <c r="F1620" s="953"/>
      <c r="G1620" s="953"/>
      <c r="H1620" s="953"/>
    </row>
    <row r="1621" spans="1:8" s="943" customFormat="1" x14ac:dyDescent="0.25">
      <c r="A1621" s="952"/>
      <c r="B1621" s="953"/>
      <c r="C1621" s="953"/>
      <c r="D1621" s="953"/>
      <c r="E1621" s="953"/>
      <c r="F1621" s="953"/>
      <c r="G1621" s="953"/>
      <c r="H1621" s="953"/>
    </row>
    <row r="1622" spans="1:8" s="943" customFormat="1" x14ac:dyDescent="0.25">
      <c r="A1622" s="952"/>
      <c r="B1622" s="953"/>
      <c r="C1622" s="953"/>
      <c r="D1622" s="953"/>
      <c r="E1622" s="953"/>
      <c r="F1622" s="953"/>
      <c r="G1622" s="953"/>
      <c r="H1622" s="953"/>
    </row>
    <row r="1623" spans="1:8" s="943" customFormat="1" x14ac:dyDescent="0.25">
      <c r="A1623" s="952"/>
      <c r="B1623" s="953"/>
      <c r="C1623" s="953"/>
      <c r="D1623" s="953"/>
      <c r="E1623" s="953"/>
      <c r="F1623" s="953"/>
      <c r="G1623" s="953"/>
      <c r="H1623" s="953"/>
    </row>
    <row r="1624" spans="1:8" s="943" customFormat="1" x14ac:dyDescent="0.25">
      <c r="A1624" s="952"/>
      <c r="B1624" s="953"/>
      <c r="C1624" s="953"/>
      <c r="D1624" s="953"/>
      <c r="E1624" s="953"/>
      <c r="F1624" s="953"/>
      <c r="G1624" s="953"/>
      <c r="H1624" s="953"/>
    </row>
    <row r="1625" spans="1:8" s="943" customFormat="1" x14ac:dyDescent="0.25">
      <c r="A1625" s="952"/>
      <c r="B1625" s="953"/>
      <c r="C1625" s="953"/>
      <c r="D1625" s="953"/>
      <c r="E1625" s="953"/>
      <c r="F1625" s="953"/>
      <c r="G1625" s="953"/>
      <c r="H1625" s="953"/>
    </row>
    <row r="1626" spans="1:8" s="943" customFormat="1" x14ac:dyDescent="0.25">
      <c r="A1626" s="952"/>
      <c r="B1626" s="953"/>
      <c r="C1626" s="953"/>
      <c r="D1626" s="953"/>
      <c r="E1626" s="953"/>
      <c r="F1626" s="953"/>
      <c r="G1626" s="953"/>
      <c r="H1626" s="953"/>
    </row>
    <row r="1627" spans="1:8" s="943" customFormat="1" x14ac:dyDescent="0.25">
      <c r="A1627" s="952"/>
      <c r="B1627" s="953"/>
      <c r="C1627" s="953"/>
      <c r="D1627" s="953"/>
      <c r="E1627" s="953"/>
      <c r="F1627" s="953"/>
      <c r="G1627" s="953"/>
      <c r="H1627" s="953"/>
    </row>
    <row r="1628" spans="1:8" s="943" customFormat="1" x14ac:dyDescent="0.25">
      <c r="A1628" s="952"/>
      <c r="B1628" s="953"/>
      <c r="C1628" s="953"/>
      <c r="D1628" s="953"/>
      <c r="E1628" s="953"/>
      <c r="F1628" s="953"/>
      <c r="G1628" s="953"/>
      <c r="H1628" s="953"/>
    </row>
    <row r="1629" spans="1:8" s="943" customFormat="1" x14ac:dyDescent="0.25">
      <c r="A1629" s="952"/>
      <c r="B1629" s="953"/>
      <c r="C1629" s="953"/>
      <c r="D1629" s="953"/>
      <c r="E1629" s="953"/>
      <c r="F1629" s="953"/>
      <c r="G1629" s="953"/>
      <c r="H1629" s="953"/>
    </row>
    <row r="1630" spans="1:8" s="943" customFormat="1" x14ac:dyDescent="0.25">
      <c r="A1630" s="952"/>
      <c r="B1630" s="953"/>
      <c r="C1630" s="953"/>
      <c r="D1630" s="953"/>
      <c r="E1630" s="953"/>
      <c r="F1630" s="953"/>
      <c r="G1630" s="953"/>
      <c r="H1630" s="953"/>
    </row>
    <row r="1631" spans="1:8" s="943" customFormat="1" x14ac:dyDescent="0.25">
      <c r="A1631" s="952"/>
      <c r="B1631" s="953"/>
      <c r="C1631" s="953"/>
      <c r="D1631" s="953"/>
      <c r="E1631" s="953"/>
      <c r="F1631" s="953"/>
      <c r="G1631" s="953"/>
      <c r="H1631" s="953"/>
    </row>
    <row r="1632" spans="1:8" s="943" customFormat="1" x14ac:dyDescent="0.25">
      <c r="A1632" s="952"/>
      <c r="B1632" s="953"/>
      <c r="C1632" s="953"/>
      <c r="D1632" s="953"/>
      <c r="E1632" s="953"/>
      <c r="F1632" s="953"/>
      <c r="G1632" s="953"/>
      <c r="H1632" s="953"/>
    </row>
    <row r="1633" spans="1:8" s="943" customFormat="1" x14ac:dyDescent="0.25">
      <c r="A1633" s="952"/>
      <c r="B1633" s="953"/>
      <c r="C1633" s="953"/>
      <c r="D1633" s="953"/>
      <c r="E1633" s="953"/>
      <c r="F1633" s="953"/>
      <c r="G1633" s="953"/>
      <c r="H1633" s="953"/>
    </row>
    <row r="1634" spans="1:8" s="943" customFormat="1" x14ac:dyDescent="0.25">
      <c r="A1634" s="952"/>
      <c r="B1634" s="953"/>
      <c r="C1634" s="953"/>
      <c r="D1634" s="953"/>
      <c r="E1634" s="953"/>
      <c r="F1634" s="953"/>
      <c r="G1634" s="953"/>
      <c r="H1634" s="953"/>
    </row>
    <row r="1635" spans="1:8" s="943" customFormat="1" x14ac:dyDescent="0.25">
      <c r="A1635" s="952"/>
      <c r="B1635" s="953"/>
      <c r="C1635" s="953"/>
      <c r="D1635" s="953"/>
      <c r="E1635" s="953"/>
      <c r="F1635" s="953"/>
      <c r="G1635" s="953"/>
      <c r="H1635" s="953"/>
    </row>
    <row r="1636" spans="1:8" s="943" customFormat="1" x14ac:dyDescent="0.25">
      <c r="A1636" s="952"/>
      <c r="B1636" s="953"/>
      <c r="C1636" s="953"/>
      <c r="D1636" s="953"/>
      <c r="E1636" s="953"/>
      <c r="F1636" s="953"/>
      <c r="G1636" s="953"/>
      <c r="H1636" s="953"/>
    </row>
    <row r="1637" spans="1:8" s="943" customFormat="1" x14ac:dyDescent="0.25">
      <c r="A1637" s="952"/>
      <c r="B1637" s="953"/>
      <c r="C1637" s="953"/>
      <c r="D1637" s="953"/>
      <c r="E1637" s="953"/>
      <c r="F1637" s="953"/>
      <c r="G1637" s="953"/>
      <c r="H1637" s="953"/>
    </row>
    <row r="1638" spans="1:8" s="943" customFormat="1" x14ac:dyDescent="0.25">
      <c r="A1638" s="952"/>
      <c r="B1638" s="953"/>
      <c r="C1638" s="953"/>
      <c r="D1638" s="953"/>
      <c r="E1638" s="953"/>
      <c r="F1638" s="953"/>
      <c r="G1638" s="953"/>
      <c r="H1638" s="953"/>
    </row>
    <row r="1639" spans="1:8" s="943" customFormat="1" x14ac:dyDescent="0.25">
      <c r="A1639" s="952"/>
      <c r="B1639" s="953"/>
      <c r="C1639" s="953"/>
      <c r="D1639" s="953"/>
      <c r="E1639" s="953"/>
      <c r="F1639" s="953"/>
      <c r="G1639" s="953"/>
      <c r="H1639" s="953"/>
    </row>
    <row r="1640" spans="1:8" s="943" customFormat="1" x14ac:dyDescent="0.25">
      <c r="A1640" s="952"/>
      <c r="B1640" s="953"/>
      <c r="C1640" s="953"/>
      <c r="D1640" s="953"/>
      <c r="E1640" s="953"/>
      <c r="F1640" s="953"/>
      <c r="G1640" s="953"/>
      <c r="H1640" s="953"/>
    </row>
    <row r="1641" spans="1:8" s="943" customFormat="1" x14ac:dyDescent="0.25">
      <c r="A1641" s="952"/>
      <c r="B1641" s="953"/>
      <c r="C1641" s="953"/>
      <c r="D1641" s="953"/>
      <c r="E1641" s="953"/>
      <c r="F1641" s="953"/>
      <c r="G1641" s="953"/>
      <c r="H1641" s="953"/>
    </row>
    <row r="1642" spans="1:8" s="943" customFormat="1" x14ac:dyDescent="0.25">
      <c r="A1642" s="952"/>
      <c r="B1642" s="953"/>
      <c r="C1642" s="953"/>
      <c r="D1642" s="953"/>
      <c r="E1642" s="953"/>
      <c r="F1642" s="953"/>
      <c r="G1642" s="953"/>
      <c r="H1642" s="953"/>
    </row>
    <row r="1643" spans="1:8" s="943" customFormat="1" x14ac:dyDescent="0.25">
      <c r="A1643" s="952"/>
      <c r="B1643" s="953"/>
      <c r="C1643" s="953"/>
      <c r="D1643" s="953"/>
      <c r="E1643" s="953"/>
      <c r="F1643" s="953"/>
      <c r="G1643" s="953"/>
      <c r="H1643" s="953"/>
    </row>
    <row r="1644" spans="1:8" s="943" customFormat="1" x14ac:dyDescent="0.25">
      <c r="A1644" s="952"/>
      <c r="B1644" s="953"/>
      <c r="C1644" s="953"/>
      <c r="D1644" s="953"/>
      <c r="E1644" s="953"/>
      <c r="F1644" s="953"/>
      <c r="G1644" s="953"/>
      <c r="H1644" s="953"/>
    </row>
    <row r="1645" spans="1:8" s="943" customFormat="1" x14ac:dyDescent="0.25">
      <c r="A1645" s="952"/>
      <c r="B1645" s="953"/>
      <c r="C1645" s="953"/>
      <c r="D1645" s="953"/>
      <c r="E1645" s="953"/>
      <c r="F1645" s="953"/>
      <c r="G1645" s="953"/>
      <c r="H1645" s="953"/>
    </row>
    <row r="1646" spans="1:8" s="943" customFormat="1" x14ac:dyDescent="0.25">
      <c r="A1646" s="952"/>
      <c r="B1646" s="953"/>
      <c r="C1646" s="953"/>
      <c r="D1646" s="953"/>
      <c r="E1646" s="953"/>
      <c r="F1646" s="953"/>
      <c r="G1646" s="953"/>
      <c r="H1646" s="953"/>
    </row>
    <row r="1647" spans="1:8" s="943" customFormat="1" x14ac:dyDescent="0.25">
      <c r="A1647" s="952"/>
      <c r="B1647" s="953"/>
      <c r="C1647" s="953"/>
      <c r="D1647" s="953"/>
      <c r="E1647" s="953"/>
      <c r="F1647" s="953"/>
      <c r="G1647" s="953"/>
      <c r="H1647" s="953"/>
    </row>
    <row r="1648" spans="1:8" s="943" customFormat="1" x14ac:dyDescent="0.25">
      <c r="A1648" s="952"/>
      <c r="B1648" s="953"/>
      <c r="C1648" s="953"/>
      <c r="D1648" s="953"/>
      <c r="E1648" s="953"/>
      <c r="F1648" s="953"/>
      <c r="G1648" s="953"/>
      <c r="H1648" s="953"/>
    </row>
    <row r="1649" spans="1:8" s="943" customFormat="1" x14ac:dyDescent="0.25">
      <c r="A1649" s="952"/>
      <c r="B1649" s="953"/>
      <c r="C1649" s="953"/>
      <c r="D1649" s="953"/>
      <c r="E1649" s="953"/>
      <c r="F1649" s="953"/>
      <c r="G1649" s="953"/>
      <c r="H1649" s="953"/>
    </row>
    <row r="1650" spans="1:8" s="943" customFormat="1" x14ac:dyDescent="0.25">
      <c r="A1650" s="952"/>
      <c r="B1650" s="953"/>
      <c r="C1650" s="953"/>
      <c r="D1650" s="953"/>
      <c r="E1650" s="953"/>
      <c r="F1650" s="953"/>
      <c r="G1650" s="953"/>
      <c r="H1650" s="953"/>
    </row>
    <row r="1651" spans="1:8" s="943" customFormat="1" x14ac:dyDescent="0.25">
      <c r="A1651" s="952"/>
      <c r="B1651" s="953"/>
      <c r="C1651" s="953"/>
      <c r="D1651" s="953"/>
      <c r="E1651" s="953"/>
      <c r="F1651" s="953"/>
      <c r="G1651" s="953"/>
      <c r="H1651" s="953"/>
    </row>
    <row r="1652" spans="1:8" s="943" customFormat="1" x14ac:dyDescent="0.25">
      <c r="A1652" s="952"/>
      <c r="B1652" s="953"/>
      <c r="C1652" s="953"/>
      <c r="D1652" s="953"/>
      <c r="E1652" s="953"/>
      <c r="F1652" s="953"/>
      <c r="G1652" s="953"/>
      <c r="H1652" s="953"/>
    </row>
    <row r="1653" spans="1:8" s="943" customFormat="1" x14ac:dyDescent="0.25">
      <c r="A1653" s="952"/>
      <c r="B1653" s="953"/>
      <c r="C1653" s="953"/>
      <c r="D1653" s="953"/>
      <c r="E1653" s="953"/>
      <c r="F1653" s="953"/>
      <c r="G1653" s="953"/>
      <c r="H1653" s="953"/>
    </row>
    <row r="1654" spans="1:8" s="943" customFormat="1" x14ac:dyDescent="0.25">
      <c r="A1654" s="952"/>
      <c r="B1654" s="953"/>
      <c r="C1654" s="953"/>
      <c r="D1654" s="953"/>
      <c r="E1654" s="953"/>
      <c r="F1654" s="953"/>
      <c r="G1654" s="953"/>
      <c r="H1654" s="953"/>
    </row>
    <row r="1655" spans="1:8" s="943" customFormat="1" x14ac:dyDescent="0.25">
      <c r="A1655" s="952"/>
      <c r="B1655" s="953"/>
      <c r="C1655" s="953"/>
      <c r="D1655" s="953"/>
      <c r="E1655" s="953"/>
      <c r="F1655" s="953"/>
      <c r="G1655" s="953"/>
      <c r="H1655" s="953"/>
    </row>
    <row r="1656" spans="1:8" s="943" customFormat="1" x14ac:dyDescent="0.25">
      <c r="A1656" s="952"/>
      <c r="B1656" s="953"/>
      <c r="C1656" s="953"/>
      <c r="D1656" s="953"/>
      <c r="E1656" s="953"/>
      <c r="F1656" s="953"/>
      <c r="G1656" s="953"/>
      <c r="H1656" s="953"/>
    </row>
    <row r="1657" spans="1:8" s="943" customFormat="1" x14ac:dyDescent="0.25">
      <c r="A1657" s="952"/>
      <c r="B1657" s="953"/>
      <c r="C1657" s="953"/>
      <c r="D1657" s="953"/>
      <c r="E1657" s="953"/>
      <c r="F1657" s="953"/>
      <c r="G1657" s="953"/>
      <c r="H1657" s="953"/>
    </row>
    <row r="1658" spans="1:8" s="943" customFormat="1" x14ac:dyDescent="0.25">
      <c r="A1658" s="952"/>
      <c r="B1658" s="953"/>
      <c r="C1658" s="953"/>
      <c r="D1658" s="953"/>
      <c r="E1658" s="953"/>
      <c r="F1658" s="953"/>
      <c r="G1658" s="953"/>
      <c r="H1658" s="953"/>
    </row>
    <row r="1659" spans="1:8" s="943" customFormat="1" x14ac:dyDescent="0.25">
      <c r="A1659" s="952"/>
      <c r="B1659" s="953"/>
      <c r="C1659" s="953"/>
      <c r="D1659" s="953"/>
      <c r="E1659" s="953"/>
      <c r="F1659" s="953"/>
      <c r="G1659" s="953"/>
      <c r="H1659" s="953"/>
    </row>
    <row r="1660" spans="1:8" s="943" customFormat="1" x14ac:dyDescent="0.25">
      <c r="A1660" s="952"/>
      <c r="B1660" s="953"/>
      <c r="C1660" s="953"/>
      <c r="D1660" s="953"/>
      <c r="E1660" s="953"/>
      <c r="F1660" s="953"/>
      <c r="G1660" s="953"/>
      <c r="H1660" s="953"/>
    </row>
    <row r="1661" spans="1:8" s="943" customFormat="1" x14ac:dyDescent="0.25">
      <c r="A1661" s="952"/>
      <c r="B1661" s="953"/>
      <c r="C1661" s="953"/>
      <c r="D1661" s="953"/>
      <c r="E1661" s="953"/>
      <c r="F1661" s="953"/>
      <c r="G1661" s="953"/>
      <c r="H1661" s="953"/>
    </row>
    <row r="1662" spans="1:8" s="943" customFormat="1" x14ac:dyDescent="0.25">
      <c r="A1662" s="952"/>
      <c r="B1662" s="953"/>
      <c r="C1662" s="953"/>
      <c r="D1662" s="953"/>
      <c r="E1662" s="953"/>
      <c r="F1662" s="953"/>
      <c r="G1662" s="953"/>
      <c r="H1662" s="953"/>
    </row>
    <row r="1663" spans="1:8" s="943" customFormat="1" x14ac:dyDescent="0.25">
      <c r="A1663" s="952"/>
      <c r="B1663" s="953"/>
      <c r="C1663" s="953"/>
      <c r="D1663" s="953"/>
      <c r="E1663" s="953"/>
      <c r="F1663" s="953"/>
      <c r="G1663" s="953"/>
      <c r="H1663" s="953"/>
    </row>
    <row r="1664" spans="1:8" s="943" customFormat="1" x14ac:dyDescent="0.25">
      <c r="A1664" s="952"/>
      <c r="B1664" s="953"/>
      <c r="C1664" s="953"/>
      <c r="D1664" s="953"/>
      <c r="E1664" s="953"/>
      <c r="F1664" s="953"/>
      <c r="G1664" s="953"/>
      <c r="H1664" s="953"/>
    </row>
    <row r="1665" spans="1:8" s="943" customFormat="1" x14ac:dyDescent="0.25">
      <c r="A1665" s="952"/>
      <c r="B1665" s="953"/>
      <c r="C1665" s="953"/>
      <c r="D1665" s="953"/>
      <c r="E1665" s="953"/>
      <c r="F1665" s="953"/>
      <c r="G1665" s="953"/>
      <c r="H1665" s="953"/>
    </row>
    <row r="1666" spans="1:8" s="943" customFormat="1" x14ac:dyDescent="0.25">
      <c r="A1666" s="952"/>
      <c r="B1666" s="953"/>
      <c r="C1666" s="953"/>
      <c r="D1666" s="953"/>
      <c r="E1666" s="953"/>
      <c r="F1666" s="953"/>
      <c r="G1666" s="953"/>
      <c r="H1666" s="953"/>
    </row>
    <row r="1667" spans="1:8" s="943" customFormat="1" x14ac:dyDescent="0.25">
      <c r="A1667" s="952"/>
      <c r="B1667" s="953"/>
      <c r="C1667" s="953"/>
      <c r="D1667" s="953"/>
      <c r="E1667" s="953"/>
      <c r="F1667" s="953"/>
      <c r="G1667" s="953"/>
      <c r="H1667" s="953"/>
    </row>
    <row r="1668" spans="1:8" s="943" customFormat="1" x14ac:dyDescent="0.25">
      <c r="A1668" s="952"/>
      <c r="B1668" s="953"/>
      <c r="C1668" s="953"/>
      <c r="D1668" s="953"/>
      <c r="E1668" s="953"/>
      <c r="F1668" s="953"/>
      <c r="G1668" s="953"/>
      <c r="H1668" s="953"/>
    </row>
    <row r="1669" spans="1:8" s="943" customFormat="1" x14ac:dyDescent="0.25">
      <c r="A1669" s="952"/>
      <c r="B1669" s="953"/>
      <c r="C1669" s="953"/>
      <c r="D1669" s="953"/>
      <c r="E1669" s="953"/>
      <c r="F1669" s="953"/>
      <c r="G1669" s="953"/>
      <c r="H1669" s="953"/>
    </row>
    <row r="1670" spans="1:8" s="943" customFormat="1" x14ac:dyDescent="0.25">
      <c r="A1670" s="952"/>
      <c r="B1670" s="953"/>
      <c r="C1670" s="953"/>
      <c r="D1670" s="953"/>
      <c r="E1670" s="953"/>
      <c r="F1670" s="953"/>
      <c r="G1670" s="953"/>
      <c r="H1670" s="953"/>
    </row>
    <row r="1671" spans="1:8" s="943" customFormat="1" x14ac:dyDescent="0.25">
      <c r="A1671" s="952"/>
      <c r="B1671" s="953"/>
      <c r="C1671" s="953"/>
      <c r="D1671" s="953"/>
      <c r="E1671" s="953"/>
      <c r="F1671" s="953"/>
      <c r="G1671" s="953"/>
      <c r="H1671" s="953"/>
    </row>
    <row r="1672" spans="1:8" s="943" customFormat="1" x14ac:dyDescent="0.25">
      <c r="A1672" s="952"/>
      <c r="B1672" s="953"/>
      <c r="C1672" s="953"/>
      <c r="D1672" s="953"/>
      <c r="E1672" s="953"/>
      <c r="F1672" s="953"/>
      <c r="G1672" s="953"/>
      <c r="H1672" s="953"/>
    </row>
    <row r="1673" spans="1:8" s="943" customFormat="1" x14ac:dyDescent="0.25">
      <c r="A1673" s="952"/>
      <c r="B1673" s="953"/>
      <c r="C1673" s="953"/>
      <c r="D1673" s="953"/>
      <c r="E1673" s="953"/>
      <c r="F1673" s="953"/>
      <c r="G1673" s="953"/>
      <c r="H1673" s="953"/>
    </row>
    <row r="1674" spans="1:8" s="943" customFormat="1" x14ac:dyDescent="0.25">
      <c r="A1674" s="952"/>
      <c r="B1674" s="953"/>
      <c r="C1674" s="953"/>
      <c r="D1674" s="953"/>
      <c r="E1674" s="953"/>
      <c r="F1674" s="953"/>
      <c r="G1674" s="953"/>
      <c r="H1674" s="953"/>
    </row>
    <row r="1675" spans="1:8" s="943" customFormat="1" x14ac:dyDescent="0.25">
      <c r="A1675" s="952"/>
      <c r="B1675" s="953"/>
      <c r="C1675" s="953"/>
      <c r="D1675" s="953"/>
      <c r="E1675" s="953"/>
      <c r="F1675" s="953"/>
      <c r="G1675" s="953"/>
      <c r="H1675" s="953"/>
    </row>
    <row r="1676" spans="1:8" s="943" customFormat="1" x14ac:dyDescent="0.25">
      <c r="A1676" s="952"/>
      <c r="B1676" s="953"/>
      <c r="C1676" s="953"/>
      <c r="D1676" s="953"/>
      <c r="E1676" s="953"/>
      <c r="F1676" s="953"/>
      <c r="G1676" s="953"/>
      <c r="H1676" s="953"/>
    </row>
    <row r="1677" spans="1:8" s="943" customFormat="1" x14ac:dyDescent="0.25">
      <c r="A1677" s="952"/>
      <c r="B1677" s="953"/>
      <c r="C1677" s="953"/>
      <c r="D1677" s="953"/>
      <c r="E1677" s="953"/>
      <c r="F1677" s="953"/>
      <c r="G1677" s="953"/>
      <c r="H1677" s="953"/>
    </row>
    <row r="1678" spans="1:8" s="943" customFormat="1" x14ac:dyDescent="0.25">
      <c r="A1678" s="952"/>
      <c r="B1678" s="953"/>
      <c r="C1678" s="953"/>
      <c r="D1678" s="953"/>
      <c r="E1678" s="953"/>
      <c r="F1678" s="953"/>
      <c r="G1678" s="953"/>
      <c r="H1678" s="953"/>
    </row>
    <row r="1679" spans="1:8" s="943" customFormat="1" x14ac:dyDescent="0.25">
      <c r="A1679" s="952"/>
      <c r="B1679" s="953"/>
      <c r="C1679" s="953"/>
      <c r="D1679" s="953"/>
      <c r="E1679" s="953"/>
      <c r="F1679" s="953"/>
      <c r="G1679" s="953"/>
      <c r="H1679" s="953"/>
    </row>
    <row r="1680" spans="1:8" s="943" customFormat="1" x14ac:dyDescent="0.25">
      <c r="A1680" s="952"/>
      <c r="B1680" s="953"/>
      <c r="C1680" s="953"/>
      <c r="D1680" s="953"/>
      <c r="E1680" s="953"/>
      <c r="F1680" s="953"/>
      <c r="G1680" s="953"/>
      <c r="H1680" s="953"/>
    </row>
    <row r="1681" spans="1:8" s="943" customFormat="1" x14ac:dyDescent="0.25">
      <c r="A1681" s="952"/>
      <c r="B1681" s="953"/>
      <c r="C1681" s="953"/>
      <c r="D1681" s="953"/>
      <c r="E1681" s="953"/>
      <c r="F1681" s="953"/>
      <c r="G1681" s="953"/>
      <c r="H1681" s="953"/>
    </row>
    <row r="1682" spans="1:8" s="943" customFormat="1" x14ac:dyDescent="0.25">
      <c r="A1682" s="952"/>
      <c r="B1682" s="953"/>
      <c r="C1682" s="953"/>
      <c r="D1682" s="953"/>
      <c r="E1682" s="953"/>
      <c r="F1682" s="953"/>
      <c r="G1682" s="953"/>
      <c r="H1682" s="953"/>
    </row>
    <row r="1683" spans="1:8" s="943" customFormat="1" x14ac:dyDescent="0.25">
      <c r="A1683" s="952"/>
      <c r="B1683" s="953"/>
      <c r="C1683" s="953"/>
      <c r="D1683" s="953"/>
      <c r="E1683" s="953"/>
      <c r="F1683" s="953"/>
      <c r="G1683" s="953"/>
      <c r="H1683" s="953"/>
    </row>
    <row r="1684" spans="1:8" s="943" customFormat="1" x14ac:dyDescent="0.25">
      <c r="A1684" s="952"/>
      <c r="B1684" s="953"/>
      <c r="C1684" s="953"/>
      <c r="D1684" s="953"/>
      <c r="E1684" s="953"/>
      <c r="F1684" s="953"/>
      <c r="G1684" s="953"/>
      <c r="H1684" s="953"/>
    </row>
    <row r="1685" spans="1:8" s="943" customFormat="1" x14ac:dyDescent="0.25">
      <c r="A1685" s="952"/>
      <c r="B1685" s="953"/>
      <c r="C1685" s="953"/>
      <c r="D1685" s="953"/>
      <c r="E1685" s="953"/>
      <c r="F1685" s="953"/>
      <c r="G1685" s="953"/>
      <c r="H1685" s="953"/>
    </row>
    <row r="1686" spans="1:8" s="943" customFormat="1" x14ac:dyDescent="0.25">
      <c r="A1686" s="952"/>
      <c r="B1686" s="953"/>
      <c r="C1686" s="953"/>
      <c r="D1686" s="953"/>
      <c r="E1686" s="953"/>
      <c r="F1686" s="953"/>
      <c r="G1686" s="953"/>
      <c r="H1686" s="953"/>
    </row>
    <row r="1687" spans="1:8" s="943" customFormat="1" x14ac:dyDescent="0.25">
      <c r="A1687" s="952"/>
      <c r="B1687" s="953"/>
      <c r="C1687" s="953"/>
      <c r="D1687" s="953"/>
      <c r="E1687" s="953"/>
      <c r="F1687" s="953"/>
      <c r="G1687" s="953"/>
      <c r="H1687" s="953"/>
    </row>
    <row r="1688" spans="1:8" s="943" customFormat="1" x14ac:dyDescent="0.25">
      <c r="A1688" s="952"/>
      <c r="B1688" s="953"/>
      <c r="C1688" s="953"/>
      <c r="D1688" s="953"/>
      <c r="E1688" s="953"/>
      <c r="F1688" s="953"/>
      <c r="G1688" s="953"/>
      <c r="H1688" s="953"/>
    </row>
    <row r="1689" spans="1:8" s="943" customFormat="1" x14ac:dyDescent="0.25">
      <c r="A1689" s="952"/>
      <c r="B1689" s="953"/>
      <c r="C1689" s="953"/>
      <c r="D1689" s="953"/>
      <c r="E1689" s="953"/>
      <c r="F1689" s="953"/>
      <c r="G1689" s="953"/>
      <c r="H1689" s="953"/>
    </row>
    <row r="1690" spans="1:8" s="943" customFormat="1" x14ac:dyDescent="0.25">
      <c r="A1690" s="952"/>
      <c r="B1690" s="953"/>
      <c r="C1690" s="953"/>
      <c r="D1690" s="953"/>
      <c r="E1690" s="953"/>
      <c r="F1690" s="953"/>
      <c r="G1690" s="953"/>
      <c r="H1690" s="953"/>
    </row>
    <row r="1691" spans="1:8" s="943" customFormat="1" x14ac:dyDescent="0.25">
      <c r="A1691" s="952"/>
      <c r="B1691" s="953"/>
      <c r="C1691" s="953"/>
      <c r="D1691" s="953"/>
      <c r="E1691" s="953"/>
      <c r="F1691" s="953"/>
      <c r="G1691" s="953"/>
      <c r="H1691" s="953"/>
    </row>
    <row r="1692" spans="1:8" s="943" customFormat="1" x14ac:dyDescent="0.25">
      <c r="A1692" s="952"/>
      <c r="B1692" s="953"/>
      <c r="C1692" s="953"/>
      <c r="D1692" s="953"/>
      <c r="E1692" s="953"/>
      <c r="F1692" s="953"/>
      <c r="G1692" s="953"/>
      <c r="H1692" s="953"/>
    </row>
    <row r="1693" spans="1:8" s="943" customFormat="1" x14ac:dyDescent="0.25">
      <c r="A1693" s="952"/>
      <c r="B1693" s="953"/>
      <c r="C1693" s="953"/>
      <c r="D1693" s="953"/>
      <c r="E1693" s="953"/>
      <c r="F1693" s="953"/>
      <c r="G1693" s="953"/>
      <c r="H1693" s="953"/>
    </row>
    <row r="1694" spans="1:8" s="943" customFormat="1" x14ac:dyDescent="0.25">
      <c r="A1694" s="952"/>
      <c r="B1694" s="953"/>
      <c r="C1694" s="953"/>
      <c r="D1694" s="953"/>
      <c r="E1694" s="953"/>
      <c r="F1694" s="953"/>
      <c r="G1694" s="953"/>
      <c r="H1694" s="953"/>
    </row>
    <row r="1695" spans="1:8" s="943" customFormat="1" x14ac:dyDescent="0.25">
      <c r="A1695" s="952"/>
      <c r="B1695" s="953"/>
      <c r="C1695" s="953"/>
      <c r="D1695" s="953"/>
      <c r="E1695" s="953"/>
      <c r="F1695" s="953"/>
      <c r="G1695" s="953"/>
      <c r="H1695" s="953"/>
    </row>
    <row r="1696" spans="1:8" s="943" customFormat="1" x14ac:dyDescent="0.25">
      <c r="A1696" s="952"/>
      <c r="B1696" s="953"/>
      <c r="C1696" s="953"/>
      <c r="D1696" s="953"/>
      <c r="E1696" s="953"/>
      <c r="F1696" s="953"/>
      <c r="G1696" s="953"/>
      <c r="H1696" s="953"/>
    </row>
    <row r="1697" spans="1:8" s="943" customFormat="1" x14ac:dyDescent="0.25">
      <c r="A1697" s="952"/>
      <c r="B1697" s="953"/>
      <c r="C1697" s="953"/>
      <c r="D1697" s="953"/>
      <c r="E1697" s="953"/>
      <c r="F1697" s="953"/>
      <c r="G1697" s="953"/>
      <c r="H1697" s="953"/>
    </row>
    <row r="1698" spans="1:8" s="943" customFormat="1" x14ac:dyDescent="0.25">
      <c r="A1698" s="952"/>
      <c r="B1698" s="953"/>
      <c r="C1698" s="953"/>
      <c r="D1698" s="953"/>
      <c r="E1698" s="953"/>
      <c r="F1698" s="953"/>
      <c r="G1698" s="953"/>
      <c r="H1698" s="953"/>
    </row>
    <row r="1699" spans="1:8" s="943" customFormat="1" x14ac:dyDescent="0.25">
      <c r="A1699" s="952"/>
      <c r="B1699" s="953"/>
      <c r="C1699" s="953"/>
      <c r="D1699" s="953"/>
      <c r="E1699" s="953"/>
      <c r="F1699" s="953"/>
      <c r="G1699" s="953"/>
      <c r="H1699" s="953"/>
    </row>
    <row r="1700" spans="1:8" s="943" customFormat="1" x14ac:dyDescent="0.25">
      <c r="A1700" s="952"/>
      <c r="B1700" s="953"/>
      <c r="C1700" s="953"/>
      <c r="D1700" s="953"/>
      <c r="E1700" s="953"/>
      <c r="F1700" s="953"/>
      <c r="G1700" s="953"/>
      <c r="H1700" s="953"/>
    </row>
    <row r="1701" spans="1:8" s="943" customFormat="1" x14ac:dyDescent="0.25">
      <c r="A1701" s="952"/>
      <c r="B1701" s="953"/>
      <c r="C1701" s="953"/>
      <c r="D1701" s="953"/>
      <c r="E1701" s="953"/>
      <c r="F1701" s="953"/>
      <c r="G1701" s="953"/>
      <c r="H1701" s="953"/>
    </row>
    <row r="1702" spans="1:8" s="943" customFormat="1" x14ac:dyDescent="0.25">
      <c r="A1702" s="952"/>
      <c r="B1702" s="953"/>
      <c r="C1702" s="953"/>
      <c r="D1702" s="953"/>
      <c r="E1702" s="953"/>
      <c r="F1702" s="953"/>
      <c r="G1702" s="953"/>
      <c r="H1702" s="953"/>
    </row>
    <row r="1703" spans="1:8" s="943" customFormat="1" x14ac:dyDescent="0.25">
      <c r="A1703" s="952"/>
      <c r="B1703" s="953"/>
      <c r="C1703" s="953"/>
      <c r="D1703" s="953"/>
      <c r="E1703" s="953"/>
      <c r="F1703" s="953"/>
      <c r="G1703" s="953"/>
      <c r="H1703" s="953"/>
    </row>
    <row r="1704" spans="1:8" s="943" customFormat="1" x14ac:dyDescent="0.25">
      <c r="A1704" s="952"/>
      <c r="B1704" s="953"/>
      <c r="C1704" s="953"/>
      <c r="D1704" s="953"/>
      <c r="E1704" s="953"/>
      <c r="F1704" s="953"/>
      <c r="G1704" s="953"/>
      <c r="H1704" s="953"/>
    </row>
    <row r="1705" spans="1:8" s="943" customFormat="1" x14ac:dyDescent="0.25">
      <c r="A1705" s="952"/>
      <c r="B1705" s="953"/>
      <c r="C1705" s="953"/>
      <c r="D1705" s="953"/>
      <c r="E1705" s="953"/>
      <c r="F1705" s="953"/>
      <c r="G1705" s="953"/>
      <c r="H1705" s="953"/>
    </row>
    <row r="1706" spans="1:8" s="943" customFormat="1" x14ac:dyDescent="0.25">
      <c r="A1706" s="952"/>
      <c r="B1706" s="953"/>
      <c r="C1706" s="953"/>
      <c r="D1706" s="953"/>
      <c r="E1706" s="953"/>
      <c r="F1706" s="953"/>
      <c r="G1706" s="953"/>
      <c r="H1706" s="953"/>
    </row>
    <row r="1707" spans="1:8" s="943" customFormat="1" x14ac:dyDescent="0.25">
      <c r="A1707" s="952"/>
      <c r="B1707" s="953"/>
      <c r="C1707" s="953"/>
      <c r="D1707" s="953"/>
      <c r="E1707" s="953"/>
      <c r="F1707" s="953"/>
      <c r="G1707" s="953"/>
      <c r="H1707" s="953"/>
    </row>
    <row r="1708" spans="1:8" s="943" customFormat="1" x14ac:dyDescent="0.25">
      <c r="A1708" s="952"/>
      <c r="B1708" s="953"/>
      <c r="C1708" s="953"/>
      <c r="D1708" s="953"/>
      <c r="E1708" s="953"/>
      <c r="F1708" s="953"/>
      <c r="G1708" s="953"/>
      <c r="H1708" s="953"/>
    </row>
    <row r="1709" spans="1:8" s="943" customFormat="1" x14ac:dyDescent="0.25">
      <c r="A1709" s="952"/>
      <c r="B1709" s="953"/>
      <c r="C1709" s="953"/>
      <c r="D1709" s="953"/>
      <c r="E1709" s="953"/>
      <c r="F1709" s="953"/>
      <c r="G1709" s="953"/>
      <c r="H1709" s="953"/>
    </row>
    <row r="1710" spans="1:8" s="943" customFormat="1" x14ac:dyDescent="0.25">
      <c r="A1710" s="952"/>
      <c r="B1710" s="953"/>
      <c r="C1710" s="953"/>
      <c r="D1710" s="953"/>
      <c r="E1710" s="953"/>
      <c r="F1710" s="953"/>
      <c r="G1710" s="953"/>
      <c r="H1710" s="953"/>
    </row>
    <row r="1711" spans="1:8" s="943" customFormat="1" x14ac:dyDescent="0.25">
      <c r="A1711" s="952"/>
      <c r="B1711" s="953"/>
      <c r="C1711" s="953"/>
      <c r="D1711" s="953"/>
      <c r="E1711" s="953"/>
      <c r="F1711" s="953"/>
      <c r="G1711" s="953"/>
      <c r="H1711" s="953"/>
    </row>
    <row r="1712" spans="1:8" s="943" customFormat="1" x14ac:dyDescent="0.25">
      <c r="A1712" s="952"/>
      <c r="B1712" s="953"/>
      <c r="C1712" s="953"/>
      <c r="D1712" s="953"/>
      <c r="E1712" s="953"/>
      <c r="F1712" s="953"/>
      <c r="G1712" s="953"/>
      <c r="H1712" s="953"/>
    </row>
    <row r="1713" spans="1:8" s="943" customFormat="1" x14ac:dyDescent="0.25">
      <c r="A1713" s="952"/>
      <c r="B1713" s="953"/>
      <c r="C1713" s="953"/>
      <c r="D1713" s="953"/>
      <c r="E1713" s="953"/>
      <c r="F1713" s="953"/>
      <c r="G1713" s="953"/>
      <c r="H1713" s="953"/>
    </row>
    <row r="1714" spans="1:8" s="943" customFormat="1" x14ac:dyDescent="0.25">
      <c r="A1714" s="952"/>
      <c r="B1714" s="953"/>
      <c r="C1714" s="953"/>
      <c r="D1714" s="953"/>
      <c r="E1714" s="953"/>
      <c r="F1714" s="953"/>
      <c r="G1714" s="953"/>
      <c r="H1714" s="953"/>
    </row>
    <row r="1715" spans="1:8" s="943" customFormat="1" x14ac:dyDescent="0.25">
      <c r="A1715" s="952"/>
      <c r="B1715" s="953"/>
      <c r="C1715" s="953"/>
      <c r="D1715" s="953"/>
      <c r="E1715" s="953"/>
      <c r="F1715" s="953"/>
      <c r="G1715" s="953"/>
      <c r="H1715" s="953"/>
    </row>
    <row r="1716" spans="1:8" s="943" customFormat="1" x14ac:dyDescent="0.25">
      <c r="A1716" s="952"/>
      <c r="B1716" s="953"/>
      <c r="C1716" s="953"/>
      <c r="D1716" s="953"/>
      <c r="E1716" s="953"/>
      <c r="F1716" s="953"/>
      <c r="G1716" s="953"/>
      <c r="H1716" s="953"/>
    </row>
    <row r="1717" spans="1:8" s="943" customFormat="1" x14ac:dyDescent="0.25">
      <c r="A1717" s="952"/>
      <c r="B1717" s="953"/>
      <c r="C1717" s="953"/>
      <c r="D1717" s="953"/>
      <c r="E1717" s="953"/>
      <c r="F1717" s="953"/>
      <c r="G1717" s="953"/>
      <c r="H1717" s="953"/>
    </row>
    <row r="1718" spans="1:8" s="943" customFormat="1" x14ac:dyDescent="0.25">
      <c r="A1718" s="952"/>
      <c r="B1718" s="953"/>
      <c r="C1718" s="953"/>
      <c r="D1718" s="953"/>
      <c r="E1718" s="953"/>
      <c r="F1718" s="953"/>
      <c r="G1718" s="953"/>
      <c r="H1718" s="953"/>
    </row>
    <row r="1719" spans="1:8" s="943" customFormat="1" x14ac:dyDescent="0.25">
      <c r="A1719" s="952"/>
      <c r="B1719" s="953"/>
      <c r="C1719" s="953"/>
      <c r="D1719" s="953"/>
      <c r="E1719" s="953"/>
      <c r="F1719" s="953"/>
      <c r="G1719" s="953"/>
      <c r="H1719" s="953"/>
    </row>
    <row r="1720" spans="1:8" s="943" customFormat="1" x14ac:dyDescent="0.25">
      <c r="A1720" s="952"/>
      <c r="B1720" s="953"/>
      <c r="C1720" s="953"/>
      <c r="D1720" s="953"/>
      <c r="E1720" s="953"/>
      <c r="F1720" s="953"/>
      <c r="G1720" s="953"/>
      <c r="H1720" s="953"/>
    </row>
    <row r="1721" spans="1:8" s="943" customFormat="1" x14ac:dyDescent="0.25">
      <c r="A1721" s="952"/>
      <c r="B1721" s="953"/>
      <c r="C1721" s="953"/>
      <c r="D1721" s="953"/>
      <c r="E1721" s="953"/>
      <c r="F1721" s="953"/>
      <c r="G1721" s="953"/>
      <c r="H1721" s="953"/>
    </row>
    <row r="1722" spans="1:8" s="943" customFormat="1" x14ac:dyDescent="0.25">
      <c r="A1722" s="952"/>
      <c r="B1722" s="953"/>
      <c r="C1722" s="953"/>
      <c r="D1722" s="953"/>
      <c r="E1722" s="953"/>
      <c r="F1722" s="953"/>
      <c r="G1722" s="953"/>
      <c r="H1722" s="953"/>
    </row>
    <row r="1723" spans="1:8" s="943" customFormat="1" x14ac:dyDescent="0.25">
      <c r="A1723" s="952"/>
      <c r="B1723" s="953"/>
      <c r="C1723" s="953"/>
      <c r="D1723" s="953"/>
      <c r="E1723" s="953"/>
      <c r="F1723" s="953"/>
      <c r="G1723" s="953"/>
      <c r="H1723" s="953"/>
    </row>
    <row r="1724" spans="1:8" s="943" customFormat="1" x14ac:dyDescent="0.25">
      <c r="A1724" s="952"/>
      <c r="B1724" s="953"/>
      <c r="C1724" s="953"/>
      <c r="D1724" s="953"/>
      <c r="E1724" s="953"/>
      <c r="F1724" s="953"/>
      <c r="G1724" s="953"/>
      <c r="H1724" s="953"/>
    </row>
    <row r="1725" spans="1:8" s="943" customFormat="1" x14ac:dyDescent="0.25">
      <c r="A1725" s="952"/>
      <c r="B1725" s="953"/>
      <c r="C1725" s="953"/>
      <c r="D1725" s="953"/>
      <c r="E1725" s="953"/>
      <c r="F1725" s="953"/>
      <c r="G1725" s="953"/>
      <c r="H1725" s="953"/>
    </row>
    <row r="1726" spans="1:8" s="943" customFormat="1" x14ac:dyDescent="0.25">
      <c r="A1726" s="952"/>
      <c r="B1726" s="953"/>
      <c r="C1726" s="953"/>
      <c r="D1726" s="953"/>
      <c r="E1726" s="953"/>
      <c r="F1726" s="953"/>
      <c r="G1726" s="953"/>
      <c r="H1726" s="953"/>
    </row>
    <row r="1727" spans="1:8" s="943" customFormat="1" x14ac:dyDescent="0.25">
      <c r="A1727" s="952"/>
      <c r="B1727" s="953"/>
      <c r="C1727" s="953"/>
      <c r="D1727" s="953"/>
      <c r="E1727" s="953"/>
      <c r="F1727" s="953"/>
      <c r="G1727" s="953"/>
      <c r="H1727" s="953"/>
    </row>
    <row r="1728" spans="1:8" s="943" customFormat="1" x14ac:dyDescent="0.25">
      <c r="A1728" s="952"/>
      <c r="B1728" s="953"/>
      <c r="C1728" s="953"/>
      <c r="D1728" s="953"/>
      <c r="E1728" s="953"/>
      <c r="F1728" s="953"/>
      <c r="G1728" s="953"/>
      <c r="H1728" s="953"/>
    </row>
    <row r="1729" spans="1:8" s="943" customFormat="1" x14ac:dyDescent="0.25">
      <c r="A1729" s="952"/>
      <c r="B1729" s="953"/>
      <c r="C1729" s="953"/>
      <c r="D1729" s="953"/>
      <c r="E1729" s="953"/>
      <c r="F1729" s="953"/>
      <c r="G1729" s="953"/>
      <c r="H1729" s="953"/>
    </row>
    <row r="1730" spans="1:8" s="943" customFormat="1" x14ac:dyDescent="0.25">
      <c r="A1730" s="952"/>
      <c r="B1730" s="953"/>
      <c r="C1730" s="953"/>
      <c r="D1730" s="953"/>
      <c r="E1730" s="953"/>
      <c r="F1730" s="953"/>
      <c r="G1730" s="953"/>
      <c r="H1730" s="953"/>
    </row>
    <row r="1731" spans="1:8" s="943" customFormat="1" x14ac:dyDescent="0.25">
      <c r="A1731" s="952"/>
      <c r="B1731" s="953"/>
      <c r="C1731" s="953"/>
      <c r="D1731" s="953"/>
      <c r="E1731" s="953"/>
      <c r="F1731" s="953"/>
      <c r="G1731" s="953"/>
      <c r="H1731" s="953"/>
    </row>
    <row r="1732" spans="1:8" s="943" customFormat="1" x14ac:dyDescent="0.25">
      <c r="A1732" s="952"/>
      <c r="B1732" s="953"/>
      <c r="C1732" s="953"/>
      <c r="D1732" s="953"/>
      <c r="E1732" s="953"/>
      <c r="F1732" s="953"/>
      <c r="G1732" s="953"/>
      <c r="H1732" s="953"/>
    </row>
    <row r="1733" spans="1:8" s="943" customFormat="1" x14ac:dyDescent="0.25">
      <c r="A1733" s="952"/>
      <c r="B1733" s="953"/>
      <c r="C1733" s="953"/>
      <c r="D1733" s="953"/>
      <c r="E1733" s="953"/>
      <c r="F1733" s="953"/>
      <c r="G1733" s="953"/>
      <c r="H1733" s="953"/>
    </row>
    <row r="1734" spans="1:8" s="943" customFormat="1" x14ac:dyDescent="0.25">
      <c r="A1734" s="952"/>
      <c r="B1734" s="953"/>
      <c r="C1734" s="953"/>
      <c r="D1734" s="953"/>
      <c r="E1734" s="953"/>
      <c r="F1734" s="953"/>
      <c r="G1734" s="953"/>
      <c r="H1734" s="953"/>
    </row>
    <row r="1735" spans="1:8" s="943" customFormat="1" x14ac:dyDescent="0.25">
      <c r="A1735" s="952"/>
      <c r="B1735" s="953"/>
      <c r="C1735" s="953"/>
      <c r="D1735" s="953"/>
      <c r="E1735" s="953"/>
      <c r="F1735" s="953"/>
      <c r="G1735" s="953"/>
      <c r="H1735" s="953"/>
    </row>
    <row r="1736" spans="1:8" s="943" customFormat="1" x14ac:dyDescent="0.25">
      <c r="A1736" s="952"/>
      <c r="B1736" s="953"/>
      <c r="C1736" s="953"/>
      <c r="D1736" s="953"/>
      <c r="E1736" s="953"/>
      <c r="F1736" s="953"/>
      <c r="G1736" s="953"/>
      <c r="H1736" s="953"/>
    </row>
    <row r="1737" spans="1:8" s="943" customFormat="1" x14ac:dyDescent="0.25">
      <c r="A1737" s="952"/>
      <c r="B1737" s="953"/>
      <c r="C1737" s="953"/>
      <c r="D1737" s="953"/>
      <c r="E1737" s="953"/>
      <c r="F1737" s="953"/>
      <c r="G1737" s="953"/>
      <c r="H1737" s="953"/>
    </row>
    <row r="1738" spans="1:8" s="943" customFormat="1" x14ac:dyDescent="0.25">
      <c r="A1738" s="952"/>
      <c r="B1738" s="953"/>
      <c r="C1738" s="953"/>
      <c r="D1738" s="953"/>
      <c r="E1738" s="953"/>
      <c r="F1738" s="953"/>
      <c r="G1738" s="953"/>
      <c r="H1738" s="953"/>
    </row>
    <row r="1739" spans="1:8" s="943" customFormat="1" x14ac:dyDescent="0.25">
      <c r="A1739" s="952"/>
      <c r="B1739" s="953"/>
      <c r="C1739" s="953"/>
      <c r="D1739" s="953"/>
      <c r="E1739" s="953"/>
      <c r="F1739" s="953"/>
      <c r="G1739" s="953"/>
      <c r="H1739" s="953"/>
    </row>
    <row r="1740" spans="1:8" s="943" customFormat="1" x14ac:dyDescent="0.25">
      <c r="A1740" s="952"/>
      <c r="B1740" s="953"/>
      <c r="C1740" s="953"/>
      <c r="D1740" s="953"/>
      <c r="E1740" s="953"/>
      <c r="F1740" s="953"/>
      <c r="G1740" s="953"/>
      <c r="H1740" s="953"/>
    </row>
    <row r="1741" spans="1:8" s="943" customFormat="1" x14ac:dyDescent="0.25">
      <c r="A1741" s="952"/>
      <c r="B1741" s="953"/>
      <c r="C1741" s="953"/>
      <c r="D1741" s="953"/>
      <c r="E1741" s="953"/>
      <c r="F1741" s="953"/>
      <c r="G1741" s="953"/>
      <c r="H1741" s="953"/>
    </row>
    <row r="1742" spans="1:8" s="943" customFormat="1" x14ac:dyDescent="0.25">
      <c r="A1742" s="952"/>
      <c r="B1742" s="953"/>
      <c r="C1742" s="953"/>
      <c r="D1742" s="953"/>
      <c r="E1742" s="953"/>
      <c r="F1742" s="953"/>
      <c r="G1742" s="953"/>
      <c r="H1742" s="953"/>
    </row>
    <row r="1743" spans="1:8" s="943" customFormat="1" x14ac:dyDescent="0.25">
      <c r="A1743" s="952"/>
      <c r="B1743" s="953"/>
      <c r="C1743" s="953"/>
      <c r="D1743" s="953"/>
      <c r="E1743" s="953"/>
      <c r="F1743" s="953"/>
      <c r="G1743" s="953"/>
      <c r="H1743" s="953"/>
    </row>
    <row r="1744" spans="1:8" s="943" customFormat="1" x14ac:dyDescent="0.25">
      <c r="A1744" s="952"/>
      <c r="B1744" s="953"/>
      <c r="C1744" s="953"/>
      <c r="D1744" s="953"/>
      <c r="E1744" s="953"/>
      <c r="F1744" s="953"/>
      <c r="G1744" s="953"/>
      <c r="H1744" s="953"/>
    </row>
    <row r="1745" spans="1:8" s="943" customFormat="1" x14ac:dyDescent="0.25">
      <c r="A1745" s="952"/>
      <c r="B1745" s="953"/>
      <c r="C1745" s="953"/>
      <c r="D1745" s="953"/>
      <c r="E1745" s="953"/>
      <c r="F1745" s="953"/>
      <c r="G1745" s="953"/>
      <c r="H1745" s="953"/>
    </row>
    <row r="1746" spans="1:8" s="943" customFormat="1" x14ac:dyDescent="0.25">
      <c r="A1746" s="952"/>
      <c r="B1746" s="953"/>
      <c r="C1746" s="953"/>
      <c r="D1746" s="953"/>
      <c r="E1746" s="953"/>
      <c r="F1746" s="953"/>
      <c r="G1746" s="953"/>
      <c r="H1746" s="953"/>
    </row>
    <row r="1747" spans="1:8" s="943" customFormat="1" x14ac:dyDescent="0.25">
      <c r="A1747" s="952"/>
      <c r="B1747" s="953"/>
      <c r="C1747" s="953"/>
      <c r="D1747" s="953"/>
      <c r="E1747" s="953"/>
      <c r="F1747" s="953"/>
      <c r="G1747" s="953"/>
      <c r="H1747" s="953"/>
    </row>
    <row r="1748" spans="1:8" s="943" customFormat="1" x14ac:dyDescent="0.25">
      <c r="A1748" s="952"/>
      <c r="B1748" s="953"/>
      <c r="C1748" s="953"/>
      <c r="D1748" s="953"/>
      <c r="E1748" s="953"/>
      <c r="F1748" s="953"/>
      <c r="G1748" s="953"/>
      <c r="H1748" s="953"/>
    </row>
    <row r="1749" spans="1:8" s="943" customFormat="1" x14ac:dyDescent="0.25">
      <c r="A1749" s="952"/>
      <c r="B1749" s="953"/>
      <c r="C1749" s="953"/>
      <c r="D1749" s="953"/>
      <c r="E1749" s="953"/>
      <c r="F1749" s="953"/>
      <c r="G1749" s="953"/>
      <c r="H1749" s="953"/>
    </row>
    <row r="1750" spans="1:8" s="943" customFormat="1" x14ac:dyDescent="0.25">
      <c r="A1750" s="952"/>
      <c r="B1750" s="953"/>
      <c r="C1750" s="953"/>
      <c r="D1750" s="953"/>
      <c r="E1750" s="953"/>
      <c r="F1750" s="953"/>
      <c r="G1750" s="953"/>
      <c r="H1750" s="953"/>
    </row>
    <row r="1751" spans="1:8" s="943" customFormat="1" x14ac:dyDescent="0.25">
      <c r="A1751" s="952"/>
      <c r="B1751" s="953"/>
      <c r="C1751" s="953"/>
      <c r="D1751" s="953"/>
      <c r="E1751" s="953"/>
      <c r="F1751" s="953"/>
      <c r="G1751" s="953"/>
      <c r="H1751" s="953"/>
    </row>
    <row r="1752" spans="1:8" s="943" customFormat="1" x14ac:dyDescent="0.25">
      <c r="A1752" s="952"/>
      <c r="B1752" s="953"/>
      <c r="C1752" s="953"/>
      <c r="D1752" s="953"/>
      <c r="E1752" s="953"/>
      <c r="F1752" s="953"/>
      <c r="G1752" s="953"/>
      <c r="H1752" s="953"/>
    </row>
    <row r="1753" spans="1:8" s="943" customFormat="1" x14ac:dyDescent="0.25">
      <c r="A1753" s="952"/>
      <c r="B1753" s="953"/>
      <c r="C1753" s="953"/>
      <c r="D1753" s="953"/>
      <c r="E1753" s="953"/>
      <c r="F1753" s="953"/>
      <c r="G1753" s="953"/>
      <c r="H1753" s="953"/>
    </row>
    <row r="1754" spans="1:8" s="943" customFormat="1" x14ac:dyDescent="0.25">
      <c r="A1754" s="952"/>
      <c r="B1754" s="953"/>
      <c r="C1754" s="953"/>
      <c r="D1754" s="953"/>
      <c r="E1754" s="953"/>
      <c r="F1754" s="953"/>
      <c r="G1754" s="953"/>
      <c r="H1754" s="953"/>
    </row>
    <row r="1755" spans="1:8" s="943" customFormat="1" x14ac:dyDescent="0.25">
      <c r="A1755" s="952"/>
      <c r="B1755" s="953"/>
      <c r="C1755" s="953"/>
      <c r="D1755" s="953"/>
      <c r="E1755" s="953"/>
      <c r="F1755" s="953"/>
      <c r="G1755" s="953"/>
      <c r="H1755" s="953"/>
    </row>
    <row r="1756" spans="1:8" s="943" customFormat="1" x14ac:dyDescent="0.25">
      <c r="A1756" s="952"/>
      <c r="B1756" s="953"/>
      <c r="C1756" s="953"/>
      <c r="D1756" s="953"/>
      <c r="E1756" s="953"/>
      <c r="F1756" s="953"/>
      <c r="G1756" s="953"/>
      <c r="H1756" s="953"/>
    </row>
    <row r="1757" spans="1:8" s="943" customFormat="1" x14ac:dyDescent="0.25">
      <c r="A1757" s="952"/>
      <c r="B1757" s="953"/>
      <c r="C1757" s="953"/>
      <c r="D1757" s="953"/>
      <c r="E1757" s="953"/>
      <c r="F1757" s="953"/>
      <c r="G1757" s="953"/>
      <c r="H1757" s="953"/>
    </row>
    <row r="1758" spans="1:8" s="943" customFormat="1" x14ac:dyDescent="0.25">
      <c r="A1758" s="952"/>
      <c r="B1758" s="953"/>
      <c r="C1758" s="953"/>
      <c r="D1758" s="953"/>
      <c r="E1758" s="953"/>
      <c r="F1758" s="953"/>
      <c r="G1758" s="953"/>
      <c r="H1758" s="953"/>
    </row>
    <row r="1759" spans="1:8" s="943" customFormat="1" x14ac:dyDescent="0.25">
      <c r="A1759" s="952"/>
      <c r="B1759" s="953"/>
      <c r="C1759" s="953"/>
      <c r="D1759" s="953"/>
      <c r="E1759" s="953"/>
      <c r="F1759" s="953"/>
      <c r="G1759" s="953"/>
      <c r="H1759" s="953"/>
    </row>
    <row r="1760" spans="1:8" s="943" customFormat="1" x14ac:dyDescent="0.25">
      <c r="A1760" s="952"/>
      <c r="B1760" s="953"/>
      <c r="C1760" s="953"/>
      <c r="D1760" s="953"/>
      <c r="E1760" s="953"/>
      <c r="F1760" s="953"/>
      <c r="G1760" s="953"/>
      <c r="H1760" s="953"/>
    </row>
    <row r="1761" spans="1:8" s="943" customFormat="1" x14ac:dyDescent="0.25">
      <c r="A1761" s="952"/>
      <c r="B1761" s="953"/>
      <c r="C1761" s="953"/>
      <c r="D1761" s="953"/>
      <c r="E1761" s="953"/>
      <c r="F1761" s="953"/>
      <c r="G1761" s="953"/>
      <c r="H1761" s="953"/>
    </row>
    <row r="1762" spans="1:8" s="943" customFormat="1" x14ac:dyDescent="0.25">
      <c r="A1762" s="952"/>
      <c r="B1762" s="953"/>
      <c r="C1762" s="953"/>
      <c r="D1762" s="953"/>
      <c r="E1762" s="953"/>
      <c r="F1762" s="953"/>
      <c r="G1762" s="953"/>
      <c r="H1762" s="953"/>
    </row>
    <row r="1763" spans="1:8" s="943" customFormat="1" x14ac:dyDescent="0.25">
      <c r="A1763" s="952"/>
      <c r="B1763" s="953"/>
      <c r="C1763" s="953"/>
      <c r="D1763" s="953"/>
      <c r="E1763" s="953"/>
      <c r="F1763" s="953"/>
      <c r="G1763" s="953"/>
      <c r="H1763" s="953"/>
    </row>
    <row r="1764" spans="1:8" s="943" customFormat="1" x14ac:dyDescent="0.25">
      <c r="A1764" s="952"/>
      <c r="B1764" s="953"/>
      <c r="C1764" s="953"/>
      <c r="D1764" s="953"/>
      <c r="E1764" s="953"/>
      <c r="F1764" s="953"/>
      <c r="G1764" s="953"/>
      <c r="H1764" s="953"/>
    </row>
    <row r="1765" spans="1:8" s="943" customFormat="1" x14ac:dyDescent="0.25">
      <c r="A1765" s="952"/>
      <c r="B1765" s="953"/>
      <c r="C1765" s="953"/>
      <c r="D1765" s="953"/>
      <c r="E1765" s="953"/>
      <c r="F1765" s="953"/>
      <c r="G1765" s="953"/>
      <c r="H1765" s="953"/>
    </row>
    <row r="1766" spans="1:8" s="943" customFormat="1" x14ac:dyDescent="0.25">
      <c r="A1766" s="952"/>
      <c r="B1766" s="953"/>
      <c r="C1766" s="953"/>
      <c r="D1766" s="953"/>
      <c r="E1766" s="953"/>
      <c r="F1766" s="953"/>
      <c r="G1766" s="953"/>
      <c r="H1766" s="953"/>
    </row>
    <row r="1767" spans="1:8" s="943" customFormat="1" x14ac:dyDescent="0.25">
      <c r="A1767" s="952"/>
      <c r="B1767" s="953"/>
      <c r="C1767" s="953"/>
      <c r="D1767" s="953"/>
      <c r="E1767" s="953"/>
      <c r="F1767" s="953"/>
      <c r="G1767" s="953"/>
      <c r="H1767" s="953"/>
    </row>
    <row r="1768" spans="1:8" s="943" customFormat="1" x14ac:dyDescent="0.25">
      <c r="A1768" s="952"/>
      <c r="B1768" s="953"/>
      <c r="C1768" s="953"/>
      <c r="D1768" s="953"/>
      <c r="E1768" s="953"/>
      <c r="F1768" s="953"/>
      <c r="G1768" s="953"/>
      <c r="H1768" s="953"/>
    </row>
    <row r="1769" spans="1:8" s="943" customFormat="1" x14ac:dyDescent="0.25">
      <c r="A1769" s="952"/>
      <c r="B1769" s="953"/>
      <c r="C1769" s="953"/>
      <c r="D1769" s="953"/>
      <c r="E1769" s="953"/>
      <c r="F1769" s="953"/>
      <c r="G1769" s="953"/>
      <c r="H1769" s="953"/>
    </row>
    <row r="1770" spans="1:8" s="943" customFormat="1" x14ac:dyDescent="0.25">
      <c r="A1770" s="952"/>
      <c r="B1770" s="953"/>
      <c r="C1770" s="953"/>
      <c r="D1770" s="953"/>
      <c r="E1770" s="953"/>
      <c r="F1770" s="953"/>
      <c r="G1770" s="953"/>
      <c r="H1770" s="953"/>
    </row>
    <row r="1771" spans="1:8" s="943" customFormat="1" x14ac:dyDescent="0.25">
      <c r="A1771" s="952"/>
      <c r="B1771" s="953"/>
      <c r="C1771" s="953"/>
      <c r="D1771" s="953"/>
      <c r="E1771" s="953"/>
      <c r="F1771" s="953"/>
      <c r="G1771" s="953"/>
      <c r="H1771" s="953"/>
    </row>
    <row r="1772" spans="1:8" s="943" customFormat="1" x14ac:dyDescent="0.25">
      <c r="A1772" s="952"/>
      <c r="B1772" s="953"/>
      <c r="C1772" s="953"/>
      <c r="D1772" s="953"/>
      <c r="E1772" s="953"/>
      <c r="F1772" s="953"/>
      <c r="G1772" s="953"/>
      <c r="H1772" s="953"/>
    </row>
    <row r="1773" spans="1:8" s="943" customFormat="1" x14ac:dyDescent="0.25">
      <c r="A1773" s="952"/>
      <c r="B1773" s="953"/>
      <c r="C1773" s="953"/>
      <c r="D1773" s="953"/>
      <c r="E1773" s="953"/>
      <c r="F1773" s="953"/>
      <c r="G1773" s="953"/>
      <c r="H1773" s="953"/>
    </row>
    <row r="1774" spans="1:8" s="943" customFormat="1" x14ac:dyDescent="0.25">
      <c r="A1774" s="952"/>
      <c r="B1774" s="953"/>
      <c r="C1774" s="953"/>
      <c r="D1774" s="953"/>
      <c r="E1774" s="953"/>
      <c r="F1774" s="953"/>
      <c r="G1774" s="953"/>
      <c r="H1774" s="953"/>
    </row>
    <row r="1775" spans="1:8" s="943" customFormat="1" x14ac:dyDescent="0.25">
      <c r="A1775" s="952"/>
      <c r="B1775" s="953"/>
      <c r="C1775" s="953"/>
      <c r="D1775" s="953"/>
      <c r="E1775" s="953"/>
      <c r="F1775" s="953"/>
      <c r="G1775" s="953"/>
      <c r="H1775" s="953"/>
    </row>
    <row r="1776" spans="1:8" s="943" customFormat="1" x14ac:dyDescent="0.25">
      <c r="A1776" s="952"/>
      <c r="B1776" s="953"/>
      <c r="C1776" s="953"/>
      <c r="D1776" s="953"/>
      <c r="E1776" s="953"/>
      <c r="F1776" s="953"/>
      <c r="G1776" s="953"/>
      <c r="H1776" s="953"/>
    </row>
    <row r="1777" spans="1:8" s="943" customFormat="1" x14ac:dyDescent="0.25">
      <c r="A1777" s="952"/>
      <c r="B1777" s="953"/>
      <c r="C1777" s="953"/>
      <c r="D1777" s="953"/>
      <c r="E1777" s="953"/>
      <c r="F1777" s="953"/>
      <c r="G1777" s="953"/>
      <c r="H1777" s="953"/>
    </row>
    <row r="1778" spans="1:8" s="943" customFormat="1" x14ac:dyDescent="0.25">
      <c r="A1778" s="952"/>
      <c r="B1778" s="953"/>
      <c r="C1778" s="953"/>
      <c r="D1778" s="953"/>
      <c r="E1778" s="953"/>
      <c r="F1778" s="953"/>
      <c r="G1778" s="953"/>
      <c r="H1778" s="953"/>
    </row>
    <row r="1779" spans="1:8" s="943" customFormat="1" x14ac:dyDescent="0.25">
      <c r="A1779" s="952"/>
      <c r="B1779" s="953"/>
      <c r="C1779" s="953"/>
      <c r="D1779" s="953"/>
      <c r="E1779" s="953"/>
      <c r="F1779" s="953"/>
      <c r="G1779" s="953"/>
      <c r="H1779" s="953"/>
    </row>
    <row r="1780" spans="1:8" s="943" customFormat="1" x14ac:dyDescent="0.25">
      <c r="A1780" s="952"/>
      <c r="B1780" s="953"/>
      <c r="C1780" s="953"/>
      <c r="D1780" s="953"/>
      <c r="E1780" s="953"/>
      <c r="F1780" s="953"/>
      <c r="G1780" s="953"/>
      <c r="H1780" s="953"/>
    </row>
    <row r="1781" spans="1:8" s="943" customFormat="1" x14ac:dyDescent="0.25">
      <c r="A1781" s="952"/>
      <c r="B1781" s="953"/>
      <c r="C1781" s="953"/>
      <c r="D1781" s="953"/>
      <c r="E1781" s="953"/>
      <c r="F1781" s="953"/>
      <c r="G1781" s="953"/>
      <c r="H1781" s="953"/>
    </row>
    <row r="1782" spans="1:8" s="943" customFormat="1" x14ac:dyDescent="0.25">
      <c r="A1782" s="952"/>
      <c r="B1782" s="953"/>
      <c r="C1782" s="953"/>
      <c r="D1782" s="953"/>
      <c r="E1782" s="953"/>
      <c r="F1782" s="953"/>
      <c r="G1782" s="953"/>
      <c r="H1782" s="953"/>
    </row>
    <row r="1783" spans="1:8" s="943" customFormat="1" x14ac:dyDescent="0.25">
      <c r="A1783" s="952"/>
      <c r="B1783" s="953"/>
      <c r="C1783" s="953"/>
      <c r="D1783" s="953"/>
      <c r="E1783" s="953"/>
      <c r="F1783" s="953"/>
      <c r="G1783" s="953"/>
      <c r="H1783" s="953"/>
    </row>
    <row r="1784" spans="1:8" s="943" customFormat="1" x14ac:dyDescent="0.25">
      <c r="A1784" s="952"/>
      <c r="B1784" s="953"/>
      <c r="C1784" s="953"/>
      <c r="D1784" s="953"/>
      <c r="E1784" s="953"/>
      <c r="F1784" s="953"/>
      <c r="G1784" s="953"/>
      <c r="H1784" s="953"/>
    </row>
    <row r="1785" spans="1:8" s="943" customFormat="1" x14ac:dyDescent="0.25">
      <c r="A1785" s="952"/>
      <c r="B1785" s="953"/>
      <c r="C1785" s="953"/>
      <c r="D1785" s="953"/>
      <c r="E1785" s="953"/>
      <c r="F1785" s="953"/>
      <c r="G1785" s="953"/>
      <c r="H1785" s="953"/>
    </row>
    <row r="1786" spans="1:8" s="943" customFormat="1" x14ac:dyDescent="0.25">
      <c r="A1786" s="952"/>
      <c r="B1786" s="953"/>
      <c r="C1786" s="953"/>
      <c r="D1786" s="953"/>
      <c r="E1786" s="953"/>
      <c r="F1786" s="953"/>
      <c r="G1786" s="953"/>
      <c r="H1786" s="953"/>
    </row>
    <row r="1787" spans="1:8" s="943" customFormat="1" x14ac:dyDescent="0.25">
      <c r="A1787" s="952"/>
      <c r="B1787" s="953"/>
      <c r="C1787" s="953"/>
      <c r="D1787" s="953"/>
      <c r="E1787" s="953"/>
      <c r="F1787" s="953"/>
      <c r="G1787" s="953"/>
      <c r="H1787" s="953"/>
    </row>
    <row r="1788" spans="1:8" s="943" customFormat="1" x14ac:dyDescent="0.25">
      <c r="A1788" s="952"/>
      <c r="B1788" s="953"/>
      <c r="C1788" s="953"/>
      <c r="D1788" s="953"/>
      <c r="E1788" s="953"/>
      <c r="F1788" s="953"/>
      <c r="G1788" s="953"/>
      <c r="H1788" s="953"/>
    </row>
    <row r="1789" spans="1:8" s="943" customFormat="1" x14ac:dyDescent="0.25">
      <c r="A1789" s="952"/>
      <c r="B1789" s="953"/>
      <c r="C1789" s="953"/>
      <c r="D1789" s="953"/>
      <c r="E1789" s="953"/>
      <c r="F1789" s="953"/>
      <c r="G1789" s="953"/>
      <c r="H1789" s="953"/>
    </row>
    <row r="1790" spans="1:8" s="943" customFormat="1" x14ac:dyDescent="0.25">
      <c r="A1790" s="952"/>
      <c r="B1790" s="953"/>
      <c r="C1790" s="953"/>
      <c r="D1790" s="953"/>
      <c r="E1790" s="953"/>
      <c r="F1790" s="953"/>
      <c r="G1790" s="953"/>
      <c r="H1790" s="953"/>
    </row>
    <row r="1791" spans="1:8" s="943" customFormat="1" x14ac:dyDescent="0.25">
      <c r="A1791" s="952"/>
      <c r="B1791" s="953"/>
      <c r="C1791" s="953"/>
      <c r="D1791" s="953"/>
      <c r="E1791" s="953"/>
      <c r="F1791" s="953"/>
      <c r="G1791" s="953"/>
      <c r="H1791" s="953"/>
    </row>
    <row r="1792" spans="1:8" s="943" customFormat="1" x14ac:dyDescent="0.25">
      <c r="A1792" s="952"/>
      <c r="B1792" s="953"/>
      <c r="C1792" s="953"/>
      <c r="D1792" s="953"/>
      <c r="E1792" s="953"/>
      <c r="F1792" s="953"/>
      <c r="G1792" s="953"/>
      <c r="H1792" s="953"/>
    </row>
    <row r="1793" spans="1:8" s="943" customFormat="1" x14ac:dyDescent="0.25">
      <c r="A1793" s="952"/>
      <c r="B1793" s="953"/>
      <c r="C1793" s="953"/>
      <c r="D1793" s="953"/>
      <c r="E1793" s="953"/>
      <c r="F1793" s="953"/>
      <c r="G1793" s="953"/>
      <c r="H1793" s="953"/>
    </row>
    <row r="1794" spans="1:8" s="943" customFormat="1" x14ac:dyDescent="0.25">
      <c r="A1794" s="952"/>
      <c r="B1794" s="953"/>
      <c r="C1794" s="953"/>
      <c r="D1794" s="953"/>
      <c r="E1794" s="953"/>
      <c r="F1794" s="953"/>
      <c r="G1794" s="953"/>
      <c r="H1794" s="953"/>
    </row>
    <row r="1795" spans="1:8" s="943" customFormat="1" x14ac:dyDescent="0.25">
      <c r="A1795" s="952"/>
      <c r="B1795" s="953"/>
      <c r="C1795" s="953"/>
      <c r="D1795" s="953"/>
      <c r="E1795" s="953"/>
      <c r="F1795" s="953"/>
      <c r="G1795" s="953"/>
      <c r="H1795" s="953"/>
    </row>
    <row r="1796" spans="1:8" s="943" customFormat="1" x14ac:dyDescent="0.25">
      <c r="A1796" s="952"/>
      <c r="B1796" s="953"/>
      <c r="C1796" s="953"/>
      <c r="D1796" s="953"/>
      <c r="E1796" s="953"/>
      <c r="F1796" s="953"/>
      <c r="G1796" s="953"/>
      <c r="H1796" s="953"/>
    </row>
    <row r="1797" spans="1:8" s="943" customFormat="1" x14ac:dyDescent="0.25">
      <c r="A1797" s="952"/>
      <c r="B1797" s="953"/>
      <c r="C1797" s="953"/>
      <c r="D1797" s="953"/>
      <c r="E1797" s="953"/>
      <c r="F1797" s="953"/>
      <c r="G1797" s="953"/>
      <c r="H1797" s="953"/>
    </row>
    <row r="1798" spans="1:8" s="943" customFormat="1" x14ac:dyDescent="0.25">
      <c r="A1798" s="952"/>
      <c r="B1798" s="953"/>
      <c r="C1798" s="953"/>
      <c r="D1798" s="953"/>
      <c r="E1798" s="953"/>
      <c r="F1798" s="953"/>
      <c r="G1798" s="953"/>
      <c r="H1798" s="953"/>
    </row>
    <row r="1799" spans="1:8" s="943" customFormat="1" x14ac:dyDescent="0.25">
      <c r="A1799" s="952"/>
      <c r="B1799" s="953"/>
      <c r="C1799" s="953"/>
      <c r="D1799" s="953"/>
      <c r="E1799" s="953"/>
      <c r="F1799" s="953"/>
      <c r="G1799" s="953"/>
      <c r="H1799" s="953"/>
    </row>
    <row r="1800" spans="1:8" s="943" customFormat="1" x14ac:dyDescent="0.25">
      <c r="A1800" s="952"/>
      <c r="B1800" s="953"/>
      <c r="C1800" s="953"/>
      <c r="D1800" s="953"/>
      <c r="E1800" s="953"/>
      <c r="F1800" s="953"/>
      <c r="G1800" s="953"/>
      <c r="H1800" s="953"/>
    </row>
    <row r="1801" spans="1:8" s="943" customFormat="1" x14ac:dyDescent="0.25">
      <c r="A1801" s="952"/>
      <c r="B1801" s="953"/>
      <c r="C1801" s="953"/>
      <c r="D1801" s="953"/>
      <c r="E1801" s="953"/>
      <c r="F1801" s="953"/>
      <c r="G1801" s="953"/>
      <c r="H1801" s="953"/>
    </row>
    <row r="1802" spans="1:8" s="943" customFormat="1" x14ac:dyDescent="0.25">
      <c r="A1802" s="952"/>
      <c r="B1802" s="953"/>
      <c r="C1802" s="953"/>
      <c r="D1802" s="953"/>
      <c r="E1802" s="953"/>
      <c r="F1802" s="953"/>
      <c r="G1802" s="953"/>
      <c r="H1802" s="953"/>
    </row>
    <row r="1803" spans="1:8" s="943" customFormat="1" x14ac:dyDescent="0.25">
      <c r="A1803" s="952"/>
      <c r="B1803" s="953"/>
      <c r="C1803" s="953"/>
      <c r="D1803" s="953"/>
      <c r="E1803" s="953"/>
      <c r="F1803" s="953"/>
      <c r="G1803" s="953"/>
      <c r="H1803" s="953"/>
    </row>
    <row r="1804" spans="1:8" s="943" customFormat="1" x14ac:dyDescent="0.25">
      <c r="A1804" s="952"/>
      <c r="B1804" s="953"/>
      <c r="C1804" s="953"/>
      <c r="D1804" s="953"/>
      <c r="E1804" s="953"/>
      <c r="F1804" s="953"/>
      <c r="G1804" s="953"/>
      <c r="H1804" s="953"/>
    </row>
    <row r="1805" spans="1:8" s="943" customFormat="1" x14ac:dyDescent="0.25">
      <c r="A1805" s="952"/>
      <c r="B1805" s="953"/>
      <c r="C1805" s="953"/>
      <c r="D1805" s="953"/>
      <c r="E1805" s="953"/>
      <c r="F1805" s="953"/>
      <c r="G1805" s="953"/>
      <c r="H1805" s="953"/>
    </row>
    <row r="1806" spans="1:8" s="943" customFormat="1" x14ac:dyDescent="0.25">
      <c r="A1806" s="952"/>
      <c r="B1806" s="953"/>
      <c r="C1806" s="953"/>
      <c r="D1806" s="953"/>
      <c r="E1806" s="953"/>
      <c r="F1806" s="953"/>
      <c r="G1806" s="953"/>
      <c r="H1806" s="953"/>
    </row>
    <row r="1807" spans="1:8" s="943" customFormat="1" x14ac:dyDescent="0.25">
      <c r="A1807" s="952"/>
      <c r="B1807" s="953"/>
      <c r="C1807" s="953"/>
      <c r="D1807" s="953"/>
      <c r="E1807" s="953"/>
      <c r="F1807" s="953"/>
      <c r="G1807" s="953"/>
      <c r="H1807" s="953"/>
    </row>
    <row r="1808" spans="1:8" s="943" customFormat="1" x14ac:dyDescent="0.25">
      <c r="A1808" s="952"/>
      <c r="B1808" s="953"/>
      <c r="C1808" s="953"/>
      <c r="D1808" s="953"/>
      <c r="E1808" s="953"/>
      <c r="F1808" s="953"/>
      <c r="G1808" s="953"/>
      <c r="H1808" s="953"/>
    </row>
    <row r="1809" spans="1:8" s="943" customFormat="1" x14ac:dyDescent="0.25">
      <c r="A1809" s="952"/>
      <c r="B1809" s="953"/>
      <c r="C1809" s="953"/>
      <c r="D1809" s="953"/>
      <c r="E1809" s="953"/>
      <c r="F1809" s="953"/>
      <c r="G1809" s="953"/>
      <c r="H1809" s="953"/>
    </row>
    <row r="1810" spans="1:8" s="943" customFormat="1" x14ac:dyDescent="0.25">
      <c r="A1810" s="952"/>
      <c r="B1810" s="953"/>
      <c r="C1810" s="953"/>
      <c r="D1810" s="953"/>
      <c r="E1810" s="953"/>
      <c r="F1810" s="953"/>
      <c r="G1810" s="953"/>
      <c r="H1810" s="953"/>
    </row>
    <row r="1811" spans="1:8" s="943" customFormat="1" x14ac:dyDescent="0.25">
      <c r="A1811" s="952"/>
      <c r="B1811" s="953"/>
      <c r="C1811" s="953"/>
      <c r="D1811" s="953"/>
      <c r="E1811" s="953"/>
      <c r="F1811" s="953"/>
      <c r="G1811" s="953"/>
      <c r="H1811" s="953"/>
    </row>
    <row r="1812" spans="1:8" s="943" customFormat="1" x14ac:dyDescent="0.25">
      <c r="A1812" s="952"/>
      <c r="B1812" s="953"/>
      <c r="C1812" s="953"/>
      <c r="D1812" s="953"/>
      <c r="E1812" s="953"/>
      <c r="F1812" s="953"/>
      <c r="G1812" s="953"/>
      <c r="H1812" s="953"/>
    </row>
    <row r="1813" spans="1:8" s="943" customFormat="1" x14ac:dyDescent="0.25">
      <c r="A1813" s="952"/>
      <c r="B1813" s="953"/>
      <c r="C1813" s="953"/>
      <c r="D1813" s="953"/>
      <c r="E1813" s="953"/>
      <c r="F1813" s="953"/>
      <c r="G1813" s="953"/>
      <c r="H1813" s="953"/>
    </row>
    <row r="1814" spans="1:8" s="943" customFormat="1" x14ac:dyDescent="0.25">
      <c r="A1814" s="952"/>
      <c r="B1814" s="953"/>
      <c r="C1814" s="953"/>
      <c r="D1814" s="953"/>
      <c r="E1814" s="953"/>
      <c r="F1814" s="953"/>
      <c r="G1814" s="953"/>
      <c r="H1814" s="953"/>
    </row>
    <row r="1815" spans="1:8" s="943" customFormat="1" x14ac:dyDescent="0.25">
      <c r="A1815" s="952"/>
      <c r="B1815" s="953"/>
      <c r="C1815" s="953"/>
      <c r="D1815" s="953"/>
      <c r="E1815" s="953"/>
      <c r="F1815" s="953"/>
      <c r="G1815" s="953"/>
      <c r="H1815" s="953"/>
    </row>
    <row r="1816" spans="1:8" s="943" customFormat="1" x14ac:dyDescent="0.25">
      <c r="A1816" s="952"/>
      <c r="B1816" s="953"/>
      <c r="C1816" s="953"/>
      <c r="D1816" s="953"/>
      <c r="E1816" s="953"/>
      <c r="F1816" s="953"/>
      <c r="G1816" s="953"/>
      <c r="H1816" s="953"/>
    </row>
    <row r="1817" spans="1:8" s="943" customFormat="1" x14ac:dyDescent="0.25">
      <c r="A1817" s="952"/>
      <c r="B1817" s="953"/>
      <c r="C1817" s="953"/>
      <c r="D1817" s="953"/>
      <c r="E1817" s="953"/>
      <c r="F1817" s="953"/>
      <c r="G1817" s="953"/>
      <c r="H1817" s="953"/>
    </row>
    <row r="1818" spans="1:8" s="943" customFormat="1" x14ac:dyDescent="0.25">
      <c r="A1818" s="952"/>
      <c r="B1818" s="953"/>
      <c r="C1818" s="953"/>
      <c r="D1818" s="953"/>
      <c r="E1818" s="953"/>
      <c r="F1818" s="953"/>
      <c r="G1818" s="953"/>
      <c r="H1818" s="953"/>
    </row>
    <row r="1819" spans="1:8" s="943" customFormat="1" x14ac:dyDescent="0.25">
      <c r="A1819" s="952"/>
      <c r="B1819" s="953"/>
      <c r="C1819" s="953"/>
      <c r="D1819" s="953"/>
      <c r="E1819" s="953"/>
      <c r="F1819" s="953"/>
      <c r="G1819" s="953"/>
      <c r="H1819" s="953"/>
    </row>
    <row r="1820" spans="1:8" s="943" customFormat="1" x14ac:dyDescent="0.25">
      <c r="A1820" s="952"/>
      <c r="B1820" s="953"/>
      <c r="C1820" s="953"/>
      <c r="D1820" s="953"/>
      <c r="E1820" s="953"/>
      <c r="F1820" s="953"/>
      <c r="G1820" s="953"/>
      <c r="H1820" s="953"/>
    </row>
    <row r="1821" spans="1:8" s="943" customFormat="1" x14ac:dyDescent="0.25">
      <c r="A1821" s="952"/>
      <c r="B1821" s="953"/>
      <c r="C1821" s="953"/>
      <c r="D1821" s="953"/>
      <c r="E1821" s="953"/>
      <c r="F1821" s="953"/>
      <c r="G1821" s="953"/>
      <c r="H1821" s="953"/>
    </row>
    <row r="1822" spans="1:8" s="943" customFormat="1" x14ac:dyDescent="0.25">
      <c r="A1822" s="952"/>
      <c r="B1822" s="953"/>
      <c r="C1822" s="953"/>
      <c r="D1822" s="953"/>
      <c r="E1822" s="953"/>
      <c r="F1822" s="953"/>
      <c r="G1822" s="953"/>
      <c r="H1822" s="953"/>
    </row>
    <row r="1823" spans="1:8" s="943" customFormat="1" x14ac:dyDescent="0.25">
      <c r="A1823" s="952"/>
      <c r="B1823" s="953"/>
      <c r="C1823" s="953"/>
      <c r="D1823" s="953"/>
      <c r="E1823" s="953"/>
      <c r="F1823" s="953"/>
      <c r="G1823" s="953"/>
      <c r="H1823" s="953"/>
    </row>
    <row r="1824" spans="1:8" s="943" customFormat="1" x14ac:dyDescent="0.25">
      <c r="A1824" s="952"/>
      <c r="B1824" s="953"/>
      <c r="C1824" s="953"/>
      <c r="D1824" s="953"/>
      <c r="E1824" s="953"/>
      <c r="F1824" s="953"/>
      <c r="G1824" s="953"/>
      <c r="H1824" s="953"/>
    </row>
    <row r="1825" spans="1:8" s="943" customFormat="1" x14ac:dyDescent="0.25">
      <c r="A1825" s="952"/>
      <c r="B1825" s="953"/>
      <c r="C1825" s="953"/>
      <c r="D1825" s="953"/>
      <c r="E1825" s="953"/>
      <c r="F1825" s="953"/>
      <c r="G1825" s="953"/>
      <c r="H1825" s="953"/>
    </row>
    <row r="1826" spans="1:8" s="943" customFormat="1" x14ac:dyDescent="0.25">
      <c r="A1826" s="952"/>
      <c r="B1826" s="953"/>
      <c r="C1826" s="953"/>
      <c r="D1826" s="953"/>
      <c r="E1826" s="953"/>
      <c r="F1826" s="953"/>
      <c r="G1826" s="953"/>
      <c r="H1826" s="953"/>
    </row>
    <row r="1827" spans="1:8" s="943" customFormat="1" x14ac:dyDescent="0.25">
      <c r="A1827" s="952"/>
      <c r="B1827" s="953"/>
      <c r="C1827" s="953"/>
      <c r="D1827" s="953"/>
      <c r="E1827" s="953"/>
      <c r="F1827" s="953"/>
      <c r="G1827" s="953"/>
      <c r="H1827" s="953"/>
    </row>
    <row r="1828" spans="1:8" s="943" customFormat="1" x14ac:dyDescent="0.25">
      <c r="A1828" s="952"/>
      <c r="B1828" s="953"/>
      <c r="C1828" s="953"/>
      <c r="D1828" s="953"/>
      <c r="E1828" s="953"/>
      <c r="F1828" s="953"/>
      <c r="G1828" s="953"/>
      <c r="H1828" s="953"/>
    </row>
    <row r="1829" spans="1:8" s="943" customFormat="1" x14ac:dyDescent="0.25">
      <c r="A1829" s="952"/>
      <c r="B1829" s="953"/>
      <c r="C1829" s="953"/>
      <c r="D1829" s="953"/>
      <c r="E1829" s="953"/>
      <c r="F1829" s="953"/>
      <c r="G1829" s="953"/>
      <c r="H1829" s="953"/>
    </row>
    <row r="1830" spans="1:8" s="943" customFormat="1" x14ac:dyDescent="0.25">
      <c r="A1830" s="952"/>
      <c r="B1830" s="953"/>
      <c r="C1830" s="953"/>
      <c r="D1830" s="953"/>
      <c r="E1830" s="953"/>
      <c r="F1830" s="953"/>
      <c r="G1830" s="953"/>
      <c r="H1830" s="953"/>
    </row>
    <row r="1831" spans="1:8" s="943" customFormat="1" x14ac:dyDescent="0.25">
      <c r="A1831" s="952"/>
      <c r="B1831" s="953"/>
      <c r="C1831" s="953"/>
      <c r="D1831" s="953"/>
      <c r="E1831" s="953"/>
      <c r="F1831" s="953"/>
      <c r="G1831" s="953"/>
      <c r="H1831" s="953"/>
    </row>
    <row r="1832" spans="1:8" s="943" customFormat="1" x14ac:dyDescent="0.25">
      <c r="A1832" s="952"/>
      <c r="B1832" s="953"/>
      <c r="C1832" s="953"/>
      <c r="D1832" s="953"/>
      <c r="E1832" s="953"/>
      <c r="F1832" s="953"/>
      <c r="G1832" s="953"/>
      <c r="H1832" s="953"/>
    </row>
    <row r="1833" spans="1:8" s="943" customFormat="1" x14ac:dyDescent="0.25">
      <c r="A1833" s="952"/>
      <c r="B1833" s="953"/>
      <c r="C1833" s="953"/>
      <c r="D1833" s="953"/>
      <c r="E1833" s="953"/>
      <c r="F1833" s="953"/>
      <c r="G1833" s="953"/>
      <c r="H1833" s="953"/>
    </row>
    <row r="1834" spans="1:8" s="943" customFormat="1" x14ac:dyDescent="0.25">
      <c r="A1834" s="952"/>
      <c r="B1834" s="953"/>
      <c r="C1834" s="953"/>
      <c r="D1834" s="953"/>
      <c r="E1834" s="953"/>
      <c r="F1834" s="953"/>
      <c r="G1834" s="953"/>
      <c r="H1834" s="953"/>
    </row>
    <row r="1835" spans="1:8" s="943" customFormat="1" x14ac:dyDescent="0.25">
      <c r="A1835" s="952"/>
      <c r="B1835" s="953"/>
      <c r="C1835" s="953"/>
      <c r="D1835" s="953"/>
      <c r="E1835" s="953"/>
      <c r="F1835" s="953"/>
      <c r="G1835" s="953"/>
      <c r="H1835" s="953"/>
    </row>
    <row r="1836" spans="1:8" s="943" customFormat="1" x14ac:dyDescent="0.25">
      <c r="A1836" s="952"/>
      <c r="B1836" s="953"/>
      <c r="C1836" s="953"/>
      <c r="D1836" s="953"/>
      <c r="E1836" s="953"/>
      <c r="F1836" s="953"/>
      <c r="G1836" s="953"/>
      <c r="H1836" s="953"/>
    </row>
    <row r="1837" spans="1:8" s="943" customFormat="1" x14ac:dyDescent="0.25">
      <c r="A1837" s="952"/>
      <c r="B1837" s="953"/>
      <c r="C1837" s="953"/>
      <c r="D1837" s="953"/>
      <c r="E1837" s="953"/>
      <c r="F1837" s="953"/>
      <c r="G1837" s="953"/>
      <c r="H1837" s="953"/>
    </row>
    <row r="1838" spans="1:8" s="943" customFormat="1" x14ac:dyDescent="0.25">
      <c r="A1838" s="952"/>
      <c r="B1838" s="953"/>
      <c r="C1838" s="953"/>
      <c r="D1838" s="953"/>
      <c r="E1838" s="953"/>
      <c r="F1838" s="953"/>
      <c r="G1838" s="953"/>
      <c r="H1838" s="953"/>
    </row>
    <row r="1839" spans="1:8" s="943" customFormat="1" x14ac:dyDescent="0.25">
      <c r="A1839" s="952"/>
      <c r="B1839" s="953"/>
      <c r="C1839" s="953"/>
      <c r="D1839" s="953"/>
      <c r="E1839" s="953"/>
      <c r="F1839" s="953"/>
      <c r="G1839" s="953"/>
      <c r="H1839" s="953"/>
    </row>
    <row r="1840" spans="1:8" s="943" customFormat="1" x14ac:dyDescent="0.25">
      <c r="A1840" s="952"/>
      <c r="B1840" s="953"/>
      <c r="C1840" s="953"/>
      <c r="D1840" s="953"/>
      <c r="E1840" s="953"/>
      <c r="F1840" s="953"/>
      <c r="G1840" s="953"/>
      <c r="H1840" s="953"/>
    </row>
    <row r="1841" spans="1:8" s="943" customFormat="1" x14ac:dyDescent="0.25">
      <c r="A1841" s="952"/>
      <c r="B1841" s="953"/>
      <c r="C1841" s="953"/>
      <c r="D1841" s="953"/>
      <c r="E1841" s="953"/>
      <c r="F1841" s="953"/>
      <c r="G1841" s="953"/>
      <c r="H1841" s="953"/>
    </row>
    <row r="1842" spans="1:8" s="943" customFormat="1" x14ac:dyDescent="0.25">
      <c r="A1842" s="952"/>
      <c r="B1842" s="953"/>
      <c r="C1842" s="953"/>
      <c r="D1842" s="953"/>
      <c r="E1842" s="953"/>
      <c r="F1842" s="953"/>
      <c r="G1842" s="953"/>
      <c r="H1842" s="953"/>
    </row>
    <row r="1843" spans="1:8" s="943" customFormat="1" x14ac:dyDescent="0.25">
      <c r="A1843" s="952"/>
      <c r="B1843" s="953"/>
      <c r="C1843" s="953"/>
      <c r="D1843" s="953"/>
      <c r="E1843" s="953"/>
      <c r="F1843" s="953"/>
      <c r="G1843" s="953"/>
      <c r="H1843" s="953"/>
    </row>
    <row r="1844" spans="1:8" s="943" customFormat="1" x14ac:dyDescent="0.25">
      <c r="A1844" s="952"/>
      <c r="B1844" s="953"/>
      <c r="C1844" s="953"/>
      <c r="D1844" s="953"/>
      <c r="E1844" s="953"/>
      <c r="F1844" s="953"/>
      <c r="G1844" s="953"/>
      <c r="H1844" s="953"/>
    </row>
    <row r="1845" spans="1:8" s="943" customFormat="1" x14ac:dyDescent="0.25">
      <c r="A1845" s="952"/>
      <c r="B1845" s="953"/>
      <c r="C1845" s="953"/>
      <c r="D1845" s="953"/>
      <c r="E1845" s="953"/>
      <c r="F1845" s="953"/>
      <c r="G1845" s="953"/>
      <c r="H1845" s="953"/>
    </row>
    <row r="1846" spans="1:8" s="943" customFormat="1" x14ac:dyDescent="0.25">
      <c r="A1846" s="952"/>
      <c r="B1846" s="953"/>
      <c r="C1846" s="953"/>
      <c r="D1846" s="953"/>
      <c r="E1846" s="953"/>
      <c r="F1846" s="953"/>
      <c r="G1846" s="953"/>
      <c r="H1846" s="953"/>
    </row>
    <row r="1847" spans="1:8" s="943" customFormat="1" x14ac:dyDescent="0.25">
      <c r="A1847" s="952"/>
      <c r="B1847" s="953"/>
      <c r="C1847" s="953"/>
      <c r="D1847" s="953"/>
      <c r="E1847" s="953"/>
      <c r="F1847" s="953"/>
      <c r="G1847" s="953"/>
      <c r="H1847" s="953"/>
    </row>
    <row r="1848" spans="1:8" s="943" customFormat="1" x14ac:dyDescent="0.25">
      <c r="A1848" s="952"/>
      <c r="B1848" s="953"/>
      <c r="C1848" s="953"/>
      <c r="D1848" s="953"/>
      <c r="E1848" s="953"/>
      <c r="F1848" s="953"/>
      <c r="G1848" s="953"/>
      <c r="H1848" s="953"/>
    </row>
    <row r="1849" spans="1:8" s="943" customFormat="1" x14ac:dyDescent="0.25">
      <c r="A1849" s="952"/>
      <c r="B1849" s="953"/>
      <c r="C1849" s="953"/>
      <c r="D1849" s="953"/>
      <c r="E1849" s="953"/>
      <c r="F1849" s="953"/>
      <c r="G1849" s="953"/>
      <c r="H1849" s="953"/>
    </row>
    <row r="1850" spans="1:8" s="943" customFormat="1" x14ac:dyDescent="0.25">
      <c r="A1850" s="952"/>
      <c r="B1850" s="953"/>
      <c r="C1850" s="953"/>
      <c r="D1850" s="953"/>
      <c r="E1850" s="953"/>
      <c r="F1850" s="953"/>
      <c r="G1850" s="953"/>
      <c r="H1850" s="953"/>
    </row>
    <row r="1851" spans="1:8" s="943" customFormat="1" x14ac:dyDescent="0.25">
      <c r="A1851" s="952"/>
      <c r="B1851" s="953"/>
      <c r="C1851" s="953"/>
      <c r="D1851" s="953"/>
      <c r="E1851" s="953"/>
      <c r="F1851" s="953"/>
      <c r="G1851" s="953"/>
      <c r="H1851" s="953"/>
    </row>
    <row r="1852" spans="1:8" s="943" customFormat="1" x14ac:dyDescent="0.25">
      <c r="A1852" s="952"/>
      <c r="B1852" s="953"/>
      <c r="C1852" s="953"/>
      <c r="D1852" s="953"/>
      <c r="E1852" s="953"/>
      <c r="F1852" s="953"/>
      <c r="G1852" s="953"/>
      <c r="H1852" s="953"/>
    </row>
    <row r="1853" spans="1:8" s="943" customFormat="1" x14ac:dyDescent="0.25">
      <c r="A1853" s="952"/>
      <c r="B1853" s="953"/>
      <c r="C1853" s="953"/>
      <c r="D1853" s="953"/>
      <c r="E1853" s="953"/>
      <c r="F1853" s="953"/>
      <c r="G1853" s="953"/>
      <c r="H1853" s="953"/>
    </row>
    <row r="1854" spans="1:8" s="943" customFormat="1" x14ac:dyDescent="0.25">
      <c r="A1854" s="952"/>
      <c r="B1854" s="953"/>
      <c r="C1854" s="953"/>
      <c r="D1854" s="953"/>
      <c r="E1854" s="953"/>
      <c r="F1854" s="953"/>
      <c r="G1854" s="953"/>
      <c r="H1854" s="953"/>
    </row>
    <row r="1855" spans="1:8" s="943" customFormat="1" x14ac:dyDescent="0.25">
      <c r="A1855" s="952"/>
      <c r="B1855" s="953"/>
      <c r="C1855" s="953"/>
      <c r="D1855" s="953"/>
      <c r="E1855" s="953"/>
      <c r="F1855" s="953"/>
      <c r="G1855" s="953"/>
      <c r="H1855" s="953"/>
    </row>
    <row r="1856" spans="1:8" s="943" customFormat="1" x14ac:dyDescent="0.25">
      <c r="A1856" s="952"/>
      <c r="B1856" s="953"/>
      <c r="C1856" s="953"/>
      <c r="D1856" s="953"/>
      <c r="E1856" s="953"/>
      <c r="F1856" s="953"/>
      <c r="G1856" s="953"/>
      <c r="H1856" s="953"/>
    </row>
    <row r="1857" spans="1:8" s="943" customFormat="1" x14ac:dyDescent="0.25">
      <c r="A1857" s="952"/>
      <c r="B1857" s="953"/>
      <c r="C1857" s="953"/>
      <c r="D1857" s="953"/>
      <c r="E1857" s="953"/>
      <c r="F1857" s="953"/>
      <c r="G1857" s="953"/>
      <c r="H1857" s="953"/>
    </row>
    <row r="1858" spans="1:8" s="943" customFormat="1" x14ac:dyDescent="0.25">
      <c r="A1858" s="952"/>
      <c r="B1858" s="953"/>
      <c r="C1858" s="953"/>
      <c r="D1858" s="953"/>
      <c r="E1858" s="953"/>
      <c r="F1858" s="953"/>
      <c r="G1858" s="953"/>
      <c r="H1858" s="953"/>
    </row>
    <row r="1859" spans="1:8" s="943" customFormat="1" x14ac:dyDescent="0.25">
      <c r="A1859" s="952"/>
      <c r="B1859" s="953"/>
      <c r="C1859" s="953"/>
      <c r="D1859" s="953"/>
      <c r="E1859" s="953"/>
      <c r="F1859" s="953"/>
      <c r="G1859" s="953"/>
      <c r="H1859" s="953"/>
    </row>
    <row r="1860" spans="1:8" s="943" customFormat="1" x14ac:dyDescent="0.25">
      <c r="A1860" s="952"/>
      <c r="B1860" s="953"/>
      <c r="C1860" s="953"/>
      <c r="D1860" s="953"/>
      <c r="E1860" s="953"/>
      <c r="F1860" s="953"/>
      <c r="G1860" s="953"/>
      <c r="H1860" s="953"/>
    </row>
    <row r="1861" spans="1:8" s="943" customFormat="1" x14ac:dyDescent="0.25">
      <c r="A1861" s="952"/>
      <c r="B1861" s="953"/>
      <c r="C1861" s="953"/>
      <c r="D1861" s="953"/>
      <c r="E1861" s="953"/>
      <c r="F1861" s="953"/>
      <c r="G1861" s="953"/>
      <c r="H1861" s="953"/>
    </row>
    <row r="1862" spans="1:8" s="943" customFormat="1" x14ac:dyDescent="0.25">
      <c r="A1862" s="952"/>
      <c r="B1862" s="953"/>
      <c r="C1862" s="953"/>
      <c r="D1862" s="953"/>
      <c r="E1862" s="953"/>
      <c r="F1862" s="953"/>
      <c r="G1862" s="953"/>
      <c r="H1862" s="953"/>
    </row>
    <row r="1863" spans="1:8" s="943" customFormat="1" x14ac:dyDescent="0.25">
      <c r="A1863" s="952"/>
      <c r="B1863" s="953"/>
      <c r="C1863" s="953"/>
      <c r="D1863" s="953"/>
      <c r="E1863" s="953"/>
      <c r="F1863" s="953"/>
      <c r="G1863" s="953"/>
      <c r="H1863" s="953"/>
    </row>
    <row r="1864" spans="1:8" s="943" customFormat="1" x14ac:dyDescent="0.25">
      <c r="A1864" s="952"/>
      <c r="B1864" s="953"/>
      <c r="C1864" s="953"/>
      <c r="D1864" s="953"/>
      <c r="E1864" s="953"/>
      <c r="F1864" s="953"/>
      <c r="G1864" s="953"/>
      <c r="H1864" s="953"/>
    </row>
    <row r="1865" spans="1:8" s="943" customFormat="1" x14ac:dyDescent="0.25">
      <c r="A1865" s="952"/>
      <c r="B1865" s="953"/>
      <c r="C1865" s="953"/>
      <c r="D1865" s="953"/>
      <c r="E1865" s="953"/>
      <c r="F1865" s="953"/>
      <c r="G1865" s="953"/>
      <c r="H1865" s="953"/>
    </row>
    <row r="1866" spans="1:8" s="943" customFormat="1" x14ac:dyDescent="0.25">
      <c r="A1866" s="952"/>
      <c r="B1866" s="953"/>
      <c r="C1866" s="953"/>
      <c r="D1866" s="953"/>
      <c r="E1866" s="953"/>
      <c r="F1866" s="953"/>
      <c r="G1866" s="953"/>
      <c r="H1866" s="953"/>
    </row>
    <row r="1867" spans="1:8" s="943" customFormat="1" x14ac:dyDescent="0.25">
      <c r="A1867" s="952"/>
      <c r="B1867" s="953"/>
      <c r="C1867" s="953"/>
      <c r="D1867" s="953"/>
      <c r="E1867" s="953"/>
      <c r="F1867" s="953"/>
      <c r="G1867" s="953"/>
      <c r="H1867" s="953"/>
    </row>
    <row r="1868" spans="1:8" s="943" customFormat="1" x14ac:dyDescent="0.25">
      <c r="A1868" s="952"/>
      <c r="B1868" s="953"/>
      <c r="C1868" s="953"/>
      <c r="D1868" s="953"/>
      <c r="E1868" s="953"/>
      <c r="F1868" s="953"/>
      <c r="G1868" s="953"/>
      <c r="H1868" s="953"/>
    </row>
    <row r="1869" spans="1:8" s="943" customFormat="1" x14ac:dyDescent="0.25">
      <c r="A1869" s="952"/>
      <c r="B1869" s="953"/>
      <c r="C1869" s="953"/>
      <c r="D1869" s="953"/>
      <c r="E1869" s="953"/>
      <c r="F1869" s="953"/>
      <c r="G1869" s="953"/>
      <c r="H1869" s="953"/>
    </row>
    <row r="1870" spans="1:8" s="943" customFormat="1" x14ac:dyDescent="0.25">
      <c r="A1870" s="952"/>
      <c r="B1870" s="953"/>
      <c r="C1870" s="953"/>
      <c r="D1870" s="953"/>
      <c r="E1870" s="953"/>
      <c r="F1870" s="953"/>
      <c r="G1870" s="953"/>
      <c r="H1870" s="953"/>
    </row>
    <row r="1871" spans="1:8" s="943" customFormat="1" x14ac:dyDescent="0.25">
      <c r="A1871" s="952"/>
      <c r="B1871" s="953"/>
      <c r="C1871" s="953"/>
      <c r="D1871" s="953"/>
      <c r="E1871" s="953"/>
      <c r="F1871" s="953"/>
      <c r="G1871" s="953"/>
      <c r="H1871" s="953"/>
    </row>
    <row r="1872" spans="1:8" s="943" customFormat="1" x14ac:dyDescent="0.25">
      <c r="A1872" s="952"/>
      <c r="B1872" s="953"/>
      <c r="C1872" s="953"/>
      <c r="D1872" s="953"/>
      <c r="E1872" s="953"/>
      <c r="F1872" s="953"/>
      <c r="G1872" s="953"/>
      <c r="H1872" s="953"/>
    </row>
    <row r="1873" spans="1:8" s="943" customFormat="1" x14ac:dyDescent="0.25">
      <c r="A1873" s="952"/>
      <c r="B1873" s="953"/>
      <c r="C1873" s="953"/>
      <c r="D1873" s="953"/>
      <c r="E1873" s="953"/>
      <c r="F1873" s="953"/>
      <c r="G1873" s="953"/>
      <c r="H1873" s="953"/>
    </row>
    <row r="1874" spans="1:8" s="943" customFormat="1" x14ac:dyDescent="0.25">
      <c r="A1874" s="952"/>
      <c r="B1874" s="953"/>
      <c r="C1874" s="953"/>
      <c r="D1874" s="953"/>
      <c r="E1874" s="953"/>
      <c r="F1874" s="953"/>
      <c r="G1874" s="953"/>
      <c r="H1874" s="953"/>
    </row>
    <row r="1875" spans="1:8" s="943" customFormat="1" x14ac:dyDescent="0.25">
      <c r="A1875" s="952"/>
      <c r="B1875" s="953"/>
      <c r="C1875" s="953"/>
      <c r="D1875" s="953"/>
      <c r="E1875" s="953"/>
      <c r="F1875" s="953"/>
      <c r="G1875" s="953"/>
      <c r="H1875" s="953"/>
    </row>
    <row r="1876" spans="1:8" s="943" customFormat="1" x14ac:dyDescent="0.25">
      <c r="A1876" s="952"/>
      <c r="B1876" s="953"/>
      <c r="C1876" s="953"/>
      <c r="D1876" s="953"/>
      <c r="E1876" s="953"/>
      <c r="F1876" s="953"/>
      <c r="G1876" s="953"/>
      <c r="H1876" s="953"/>
    </row>
    <row r="1877" spans="1:8" s="943" customFormat="1" x14ac:dyDescent="0.25">
      <c r="A1877" s="952"/>
      <c r="B1877" s="953"/>
      <c r="C1877" s="953"/>
      <c r="D1877" s="953"/>
      <c r="E1877" s="953"/>
      <c r="F1877" s="953"/>
      <c r="G1877" s="953"/>
      <c r="H1877" s="953"/>
    </row>
    <row r="1878" spans="1:8" s="943" customFormat="1" x14ac:dyDescent="0.25">
      <c r="A1878" s="952"/>
      <c r="B1878" s="953"/>
      <c r="C1878" s="953"/>
      <c r="D1878" s="953"/>
      <c r="E1878" s="953"/>
      <c r="F1878" s="953"/>
      <c r="G1878" s="953"/>
      <c r="H1878" s="953"/>
    </row>
    <row r="1879" spans="1:8" s="943" customFormat="1" x14ac:dyDescent="0.25">
      <c r="A1879" s="952"/>
      <c r="B1879" s="953"/>
      <c r="C1879" s="953"/>
      <c r="D1879" s="953"/>
      <c r="E1879" s="953"/>
      <c r="F1879" s="953"/>
      <c r="G1879" s="953"/>
      <c r="H1879" s="953"/>
    </row>
    <row r="1880" spans="1:8" s="943" customFormat="1" x14ac:dyDescent="0.25">
      <c r="A1880" s="952"/>
      <c r="B1880" s="953"/>
      <c r="C1880" s="953"/>
      <c r="D1880" s="953"/>
      <c r="E1880" s="953"/>
      <c r="F1880" s="953"/>
      <c r="G1880" s="953"/>
      <c r="H1880" s="953"/>
    </row>
    <row r="1881" spans="1:8" s="943" customFormat="1" x14ac:dyDescent="0.25">
      <c r="A1881" s="952"/>
      <c r="B1881" s="953"/>
      <c r="C1881" s="953"/>
      <c r="D1881" s="953"/>
      <c r="E1881" s="953"/>
      <c r="F1881" s="953"/>
      <c r="G1881" s="953"/>
      <c r="H1881" s="953"/>
    </row>
    <row r="1882" spans="1:8" s="943" customFormat="1" x14ac:dyDescent="0.25">
      <c r="A1882" s="952"/>
      <c r="B1882" s="953"/>
      <c r="C1882" s="953"/>
      <c r="D1882" s="953"/>
      <c r="E1882" s="953"/>
      <c r="F1882" s="953"/>
      <c r="G1882" s="953"/>
      <c r="H1882" s="953"/>
    </row>
    <row r="1883" spans="1:8" s="943" customFormat="1" x14ac:dyDescent="0.25">
      <c r="A1883" s="952"/>
      <c r="B1883" s="953"/>
      <c r="C1883" s="953"/>
      <c r="D1883" s="953"/>
      <c r="E1883" s="953"/>
      <c r="F1883" s="953"/>
      <c r="G1883" s="953"/>
      <c r="H1883" s="953"/>
    </row>
    <row r="1884" spans="1:8" s="943" customFormat="1" x14ac:dyDescent="0.25">
      <c r="A1884" s="952"/>
      <c r="B1884" s="953"/>
      <c r="C1884" s="953"/>
      <c r="D1884" s="953"/>
      <c r="E1884" s="953"/>
      <c r="F1884" s="953"/>
      <c r="G1884" s="953"/>
      <c r="H1884" s="953"/>
    </row>
    <row r="1885" spans="1:8" s="943" customFormat="1" x14ac:dyDescent="0.25">
      <c r="A1885" s="952"/>
      <c r="B1885" s="953"/>
      <c r="C1885" s="953"/>
      <c r="D1885" s="953"/>
      <c r="E1885" s="953"/>
      <c r="F1885" s="953"/>
      <c r="G1885" s="953"/>
      <c r="H1885" s="953"/>
    </row>
    <row r="1886" spans="1:8" s="943" customFormat="1" x14ac:dyDescent="0.25">
      <c r="A1886" s="952"/>
      <c r="B1886" s="953"/>
      <c r="C1886" s="953"/>
      <c r="D1886" s="953"/>
      <c r="E1886" s="953"/>
      <c r="F1886" s="953"/>
      <c r="G1886" s="953"/>
      <c r="H1886" s="953"/>
    </row>
    <row r="1887" spans="1:8" s="943" customFormat="1" x14ac:dyDescent="0.25">
      <c r="A1887" s="952"/>
      <c r="B1887" s="953"/>
      <c r="C1887" s="953"/>
      <c r="D1887" s="953"/>
      <c r="E1887" s="953"/>
      <c r="F1887" s="953"/>
      <c r="G1887" s="953"/>
      <c r="H1887" s="953"/>
    </row>
    <row r="1888" spans="1:8" s="943" customFormat="1" x14ac:dyDescent="0.25">
      <c r="A1888" s="952"/>
      <c r="B1888" s="953"/>
      <c r="C1888" s="953"/>
      <c r="D1888" s="953"/>
      <c r="E1888" s="953"/>
      <c r="F1888" s="953"/>
      <c r="G1888" s="953"/>
      <c r="H1888" s="953"/>
    </row>
    <row r="1889" spans="1:8" s="943" customFormat="1" x14ac:dyDescent="0.25">
      <c r="A1889" s="952"/>
      <c r="B1889" s="953"/>
      <c r="C1889" s="953"/>
      <c r="D1889" s="953"/>
      <c r="E1889" s="953"/>
      <c r="F1889" s="953"/>
      <c r="G1889" s="953"/>
      <c r="H1889" s="953"/>
    </row>
    <row r="1890" spans="1:8" s="943" customFormat="1" x14ac:dyDescent="0.25">
      <c r="A1890" s="952"/>
      <c r="B1890" s="953"/>
      <c r="C1890" s="953"/>
      <c r="D1890" s="953"/>
      <c r="E1890" s="953"/>
      <c r="F1890" s="953"/>
      <c r="G1890" s="953"/>
      <c r="H1890" s="953"/>
    </row>
    <row r="1891" spans="1:8" s="943" customFormat="1" x14ac:dyDescent="0.25">
      <c r="A1891" s="952"/>
      <c r="B1891" s="953"/>
      <c r="C1891" s="953"/>
      <c r="D1891" s="953"/>
      <c r="E1891" s="953"/>
      <c r="F1891" s="953"/>
      <c r="G1891" s="953"/>
      <c r="H1891" s="953"/>
    </row>
    <row r="1892" spans="1:8" s="943" customFormat="1" x14ac:dyDescent="0.25">
      <c r="A1892" s="952"/>
      <c r="B1892" s="953"/>
      <c r="C1892" s="953"/>
      <c r="D1892" s="953"/>
      <c r="E1892" s="953"/>
      <c r="F1892" s="953"/>
      <c r="G1892" s="953"/>
      <c r="H1892" s="953"/>
    </row>
    <row r="1893" spans="1:8" s="943" customFormat="1" x14ac:dyDescent="0.25">
      <c r="A1893" s="952"/>
      <c r="B1893" s="953"/>
      <c r="C1893" s="953"/>
      <c r="D1893" s="953"/>
      <c r="E1893" s="953"/>
      <c r="F1893" s="953"/>
      <c r="G1893" s="953"/>
      <c r="H1893" s="953"/>
    </row>
    <row r="1894" spans="1:8" s="943" customFormat="1" x14ac:dyDescent="0.25">
      <c r="A1894" s="952"/>
      <c r="B1894" s="953"/>
      <c r="C1894" s="953"/>
      <c r="D1894" s="953"/>
      <c r="E1894" s="953"/>
      <c r="F1894" s="953"/>
      <c r="G1894" s="953"/>
      <c r="H1894" s="953"/>
    </row>
    <row r="1895" spans="1:8" s="943" customFormat="1" x14ac:dyDescent="0.25">
      <c r="A1895" s="952"/>
      <c r="B1895" s="953"/>
      <c r="C1895" s="953"/>
      <c r="D1895" s="953"/>
      <c r="E1895" s="953"/>
      <c r="F1895" s="953"/>
      <c r="G1895" s="953"/>
      <c r="H1895" s="953"/>
    </row>
    <row r="1896" spans="1:8" s="943" customFormat="1" x14ac:dyDescent="0.25">
      <c r="A1896" s="952"/>
      <c r="B1896" s="953"/>
      <c r="C1896" s="953"/>
      <c r="D1896" s="953"/>
      <c r="E1896" s="953"/>
      <c r="F1896" s="953"/>
      <c r="G1896" s="953"/>
      <c r="H1896" s="953"/>
    </row>
    <row r="1897" spans="1:8" s="943" customFormat="1" x14ac:dyDescent="0.25">
      <c r="A1897" s="952"/>
      <c r="B1897" s="953"/>
      <c r="C1897" s="953"/>
      <c r="D1897" s="953"/>
      <c r="E1897" s="953"/>
      <c r="F1897" s="953"/>
      <c r="G1897" s="953"/>
      <c r="H1897" s="953"/>
    </row>
    <row r="1898" spans="1:8" s="943" customFormat="1" x14ac:dyDescent="0.25">
      <c r="A1898" s="952"/>
      <c r="B1898" s="953"/>
      <c r="C1898" s="953"/>
      <c r="D1898" s="953"/>
      <c r="E1898" s="953"/>
      <c r="F1898" s="953"/>
      <c r="G1898" s="953"/>
      <c r="H1898" s="953"/>
    </row>
    <row r="1899" spans="1:8" s="943" customFormat="1" x14ac:dyDescent="0.25">
      <c r="A1899" s="952"/>
      <c r="B1899" s="953"/>
      <c r="C1899" s="953"/>
      <c r="D1899" s="953"/>
      <c r="E1899" s="953"/>
      <c r="F1899" s="953"/>
      <c r="G1899" s="953"/>
      <c r="H1899" s="953"/>
    </row>
    <row r="1900" spans="1:8" s="943" customFormat="1" x14ac:dyDescent="0.25">
      <c r="A1900" s="952"/>
      <c r="B1900" s="953"/>
      <c r="C1900" s="953"/>
      <c r="D1900" s="953"/>
      <c r="E1900" s="953"/>
      <c r="F1900" s="953"/>
      <c r="G1900" s="953"/>
      <c r="H1900" s="953"/>
    </row>
    <row r="1901" spans="1:8" s="943" customFormat="1" x14ac:dyDescent="0.25">
      <c r="A1901" s="952"/>
      <c r="B1901" s="953"/>
      <c r="C1901" s="953"/>
      <c r="D1901" s="953"/>
      <c r="E1901" s="953"/>
      <c r="F1901" s="953"/>
      <c r="G1901" s="953"/>
      <c r="H1901" s="953"/>
    </row>
    <row r="1902" spans="1:8" s="943" customFormat="1" x14ac:dyDescent="0.25">
      <c r="A1902" s="952"/>
      <c r="B1902" s="953"/>
      <c r="C1902" s="953"/>
      <c r="D1902" s="953"/>
      <c r="E1902" s="953"/>
      <c r="F1902" s="953"/>
      <c r="G1902" s="953"/>
      <c r="H1902" s="953"/>
    </row>
    <row r="1903" spans="1:8" s="943" customFormat="1" x14ac:dyDescent="0.25">
      <c r="A1903" s="952"/>
      <c r="B1903" s="953"/>
      <c r="C1903" s="953"/>
      <c r="D1903" s="953"/>
      <c r="E1903" s="953"/>
      <c r="F1903" s="953"/>
      <c r="G1903" s="953"/>
      <c r="H1903" s="953"/>
    </row>
    <row r="1904" spans="1:8" s="943" customFormat="1" x14ac:dyDescent="0.25">
      <c r="A1904" s="952"/>
      <c r="B1904" s="953"/>
      <c r="C1904" s="953"/>
      <c r="D1904" s="953"/>
      <c r="E1904" s="953"/>
      <c r="F1904" s="953"/>
      <c r="G1904" s="953"/>
      <c r="H1904" s="953"/>
    </row>
    <row r="1905" spans="1:8" s="943" customFormat="1" x14ac:dyDescent="0.25">
      <c r="A1905" s="952"/>
      <c r="B1905" s="953"/>
      <c r="C1905" s="953"/>
      <c r="D1905" s="953"/>
      <c r="E1905" s="953"/>
      <c r="F1905" s="953"/>
      <c r="G1905" s="953"/>
      <c r="H1905" s="953"/>
    </row>
    <row r="1906" spans="1:8" s="943" customFormat="1" x14ac:dyDescent="0.25">
      <c r="A1906" s="952"/>
      <c r="B1906" s="953"/>
      <c r="C1906" s="953"/>
      <c r="D1906" s="953"/>
      <c r="E1906" s="953"/>
      <c r="F1906" s="953"/>
      <c r="G1906" s="953"/>
      <c r="H1906" s="953"/>
    </row>
    <row r="1907" spans="1:8" s="943" customFormat="1" x14ac:dyDescent="0.25">
      <c r="A1907" s="952"/>
      <c r="B1907" s="953"/>
      <c r="C1907" s="953"/>
      <c r="D1907" s="953"/>
      <c r="E1907" s="953"/>
      <c r="F1907" s="953"/>
      <c r="G1907" s="953"/>
      <c r="H1907" s="953"/>
    </row>
    <row r="1908" spans="1:8" s="943" customFormat="1" x14ac:dyDescent="0.25">
      <c r="A1908" s="952"/>
      <c r="B1908" s="953"/>
      <c r="C1908" s="953"/>
      <c r="D1908" s="953"/>
      <c r="E1908" s="953"/>
      <c r="F1908" s="953"/>
      <c r="G1908" s="953"/>
      <c r="H1908" s="953"/>
    </row>
    <row r="1909" spans="1:8" s="943" customFormat="1" x14ac:dyDescent="0.25">
      <c r="A1909" s="952"/>
      <c r="B1909" s="953"/>
      <c r="C1909" s="953"/>
      <c r="D1909" s="953"/>
      <c r="E1909" s="953"/>
      <c r="F1909" s="953"/>
      <c r="G1909" s="953"/>
      <c r="H1909" s="953"/>
    </row>
    <row r="1910" spans="1:8" s="943" customFormat="1" x14ac:dyDescent="0.25">
      <c r="A1910" s="952"/>
      <c r="B1910" s="953"/>
      <c r="C1910" s="953"/>
      <c r="D1910" s="953"/>
      <c r="E1910" s="953"/>
      <c r="F1910" s="953"/>
      <c r="G1910" s="953"/>
      <c r="H1910" s="953"/>
    </row>
    <row r="1911" spans="1:8" s="943" customFormat="1" x14ac:dyDescent="0.25">
      <c r="A1911" s="952"/>
      <c r="B1911" s="953"/>
      <c r="C1911" s="953"/>
      <c r="D1911" s="953"/>
      <c r="E1911" s="953"/>
      <c r="F1911" s="953"/>
      <c r="G1911" s="953"/>
      <c r="H1911" s="953"/>
    </row>
    <row r="1912" spans="1:8" s="943" customFormat="1" x14ac:dyDescent="0.25">
      <c r="A1912" s="952"/>
      <c r="B1912" s="953"/>
      <c r="C1912" s="953"/>
      <c r="D1912" s="953"/>
      <c r="E1912" s="953"/>
      <c r="F1912" s="953"/>
      <c r="G1912" s="953"/>
      <c r="H1912" s="953"/>
    </row>
    <row r="1913" spans="1:8" s="943" customFormat="1" x14ac:dyDescent="0.25">
      <c r="A1913" s="952"/>
      <c r="B1913" s="953"/>
      <c r="C1913" s="953"/>
      <c r="D1913" s="953"/>
      <c r="E1913" s="953"/>
      <c r="F1913" s="953"/>
      <c r="G1913" s="953"/>
      <c r="H1913" s="953"/>
    </row>
    <row r="1914" spans="1:8" s="943" customFormat="1" x14ac:dyDescent="0.25">
      <c r="A1914" s="952"/>
      <c r="B1914" s="953"/>
      <c r="C1914" s="953"/>
      <c r="D1914" s="953"/>
      <c r="E1914" s="953"/>
      <c r="F1914" s="953"/>
      <c r="G1914" s="953"/>
      <c r="H1914" s="953"/>
    </row>
    <row r="1915" spans="1:8" s="943" customFormat="1" x14ac:dyDescent="0.25">
      <c r="A1915" s="952"/>
      <c r="B1915" s="953"/>
      <c r="C1915" s="953"/>
      <c r="D1915" s="953"/>
      <c r="E1915" s="953"/>
      <c r="F1915" s="953"/>
      <c r="G1915" s="953"/>
      <c r="H1915" s="953"/>
    </row>
    <row r="1916" spans="1:8" s="943" customFormat="1" x14ac:dyDescent="0.25">
      <c r="A1916" s="952"/>
      <c r="B1916" s="953"/>
      <c r="C1916" s="953"/>
      <c r="D1916" s="953"/>
      <c r="E1916" s="953"/>
      <c r="F1916" s="953"/>
      <c r="G1916" s="953"/>
      <c r="H1916" s="953"/>
    </row>
    <row r="1917" spans="1:8" s="943" customFormat="1" x14ac:dyDescent="0.25">
      <c r="A1917" s="952"/>
      <c r="B1917" s="953"/>
      <c r="C1917" s="953"/>
      <c r="D1917" s="953"/>
      <c r="E1917" s="953"/>
      <c r="F1917" s="953"/>
      <c r="G1917" s="953"/>
      <c r="H1917" s="953"/>
    </row>
    <row r="1918" spans="1:8" s="943" customFormat="1" x14ac:dyDescent="0.25">
      <c r="A1918" s="952"/>
      <c r="B1918" s="953"/>
      <c r="C1918" s="953"/>
      <c r="D1918" s="953"/>
      <c r="E1918" s="953"/>
      <c r="F1918" s="953"/>
      <c r="G1918" s="953"/>
      <c r="H1918" s="953"/>
    </row>
    <row r="1919" spans="1:8" s="943" customFormat="1" x14ac:dyDescent="0.25">
      <c r="A1919" s="952"/>
      <c r="B1919" s="953"/>
      <c r="C1919" s="953"/>
      <c r="D1919" s="953"/>
      <c r="E1919" s="953"/>
      <c r="F1919" s="953"/>
      <c r="G1919" s="953"/>
      <c r="H1919" s="953"/>
    </row>
    <row r="1920" spans="1:8" s="943" customFormat="1" x14ac:dyDescent="0.25">
      <c r="A1920" s="952"/>
      <c r="B1920" s="953"/>
      <c r="C1920" s="953"/>
      <c r="D1920" s="953"/>
      <c r="E1920" s="953"/>
      <c r="F1920" s="953"/>
      <c r="G1920" s="953"/>
      <c r="H1920" s="953"/>
    </row>
    <row r="1921" spans="1:8" s="943" customFormat="1" x14ac:dyDescent="0.25">
      <c r="A1921" s="952"/>
      <c r="B1921" s="953"/>
      <c r="C1921" s="953"/>
      <c r="D1921" s="953"/>
      <c r="E1921" s="953"/>
      <c r="F1921" s="953"/>
      <c r="G1921" s="953"/>
      <c r="H1921" s="953"/>
    </row>
    <row r="1922" spans="1:8" s="943" customFormat="1" x14ac:dyDescent="0.25">
      <c r="A1922" s="952"/>
      <c r="B1922" s="953"/>
      <c r="C1922" s="953"/>
      <c r="D1922" s="953"/>
      <c r="E1922" s="953"/>
      <c r="F1922" s="953"/>
      <c r="G1922" s="953"/>
      <c r="H1922" s="953"/>
    </row>
    <row r="1923" spans="1:8" s="943" customFormat="1" x14ac:dyDescent="0.25">
      <c r="A1923" s="952"/>
      <c r="B1923" s="953"/>
      <c r="C1923" s="953"/>
      <c r="D1923" s="953"/>
      <c r="E1923" s="953"/>
      <c r="F1923" s="953"/>
      <c r="G1923" s="953"/>
      <c r="H1923" s="953"/>
    </row>
    <row r="1924" spans="1:8" s="943" customFormat="1" x14ac:dyDescent="0.25">
      <c r="A1924" s="952"/>
      <c r="B1924" s="953"/>
      <c r="C1924" s="953"/>
      <c r="D1924" s="953"/>
      <c r="E1924" s="953"/>
      <c r="F1924" s="953"/>
      <c r="G1924" s="953"/>
      <c r="H1924" s="953"/>
    </row>
    <row r="1925" spans="1:8" s="943" customFormat="1" x14ac:dyDescent="0.25">
      <c r="A1925" s="952"/>
      <c r="B1925" s="953"/>
      <c r="C1925" s="953"/>
      <c r="D1925" s="953"/>
      <c r="E1925" s="953"/>
      <c r="F1925" s="953"/>
      <c r="G1925" s="953"/>
      <c r="H1925" s="953"/>
    </row>
    <row r="1926" spans="1:8" s="943" customFormat="1" x14ac:dyDescent="0.25">
      <c r="A1926" s="952"/>
      <c r="B1926" s="953"/>
      <c r="C1926" s="953"/>
      <c r="D1926" s="953"/>
      <c r="E1926" s="953"/>
      <c r="F1926" s="953"/>
      <c r="G1926" s="953"/>
      <c r="H1926" s="953"/>
    </row>
    <row r="1927" spans="1:8" s="943" customFormat="1" x14ac:dyDescent="0.25">
      <c r="A1927" s="952"/>
      <c r="B1927" s="953"/>
      <c r="C1927" s="953"/>
      <c r="D1927" s="953"/>
      <c r="E1927" s="953"/>
      <c r="F1927" s="953"/>
      <c r="G1927" s="953"/>
      <c r="H1927" s="953"/>
    </row>
    <row r="1928" spans="1:8" s="943" customFormat="1" x14ac:dyDescent="0.25">
      <c r="A1928" s="952"/>
      <c r="B1928" s="953"/>
      <c r="C1928" s="953"/>
      <c r="D1928" s="953"/>
      <c r="E1928" s="953"/>
      <c r="F1928" s="953"/>
      <c r="G1928" s="953"/>
      <c r="H1928" s="953"/>
    </row>
    <row r="1929" spans="1:8" s="943" customFormat="1" x14ac:dyDescent="0.25">
      <c r="A1929" s="952"/>
      <c r="B1929" s="953"/>
      <c r="C1929" s="953"/>
      <c r="D1929" s="953"/>
      <c r="E1929" s="953"/>
      <c r="F1929" s="953"/>
      <c r="G1929" s="953"/>
      <c r="H1929" s="953"/>
    </row>
    <row r="1930" spans="1:8" s="943" customFormat="1" x14ac:dyDescent="0.25">
      <c r="A1930" s="952"/>
      <c r="B1930" s="953"/>
      <c r="C1930" s="953"/>
      <c r="D1930" s="953"/>
      <c r="E1930" s="953"/>
      <c r="F1930" s="953"/>
      <c r="G1930" s="953"/>
      <c r="H1930" s="953"/>
    </row>
    <row r="1931" spans="1:8" s="943" customFormat="1" x14ac:dyDescent="0.25">
      <c r="A1931" s="952"/>
      <c r="B1931" s="953"/>
      <c r="C1931" s="953"/>
      <c r="D1931" s="953"/>
      <c r="E1931" s="953"/>
      <c r="F1931" s="953"/>
      <c r="G1931" s="953"/>
      <c r="H1931" s="953"/>
    </row>
    <row r="1932" spans="1:8" s="943" customFormat="1" x14ac:dyDescent="0.25">
      <c r="A1932" s="952"/>
      <c r="B1932" s="953"/>
      <c r="C1932" s="953"/>
      <c r="D1932" s="953"/>
      <c r="E1932" s="953"/>
      <c r="F1932" s="953"/>
      <c r="G1932" s="953"/>
      <c r="H1932" s="953"/>
    </row>
    <row r="1933" spans="1:8" s="943" customFormat="1" x14ac:dyDescent="0.25">
      <c r="A1933" s="952"/>
      <c r="B1933" s="953"/>
      <c r="C1933" s="953"/>
      <c r="D1933" s="953"/>
      <c r="E1933" s="953"/>
      <c r="F1933" s="953"/>
      <c r="G1933" s="953"/>
      <c r="H1933" s="953"/>
    </row>
    <row r="1934" spans="1:8" s="943" customFormat="1" x14ac:dyDescent="0.25">
      <c r="A1934" s="952"/>
      <c r="B1934" s="953"/>
      <c r="C1934" s="953"/>
      <c r="D1934" s="953"/>
      <c r="E1934" s="953"/>
      <c r="F1934" s="953"/>
      <c r="G1934" s="953"/>
      <c r="H1934" s="953"/>
    </row>
    <row r="1935" spans="1:8" s="943" customFormat="1" x14ac:dyDescent="0.25">
      <c r="A1935" s="952"/>
      <c r="B1935" s="953"/>
      <c r="C1935" s="953"/>
      <c r="D1935" s="953"/>
      <c r="E1935" s="953"/>
      <c r="F1935" s="953"/>
      <c r="G1935" s="953"/>
      <c r="H1935" s="953"/>
    </row>
    <row r="1936" spans="1:8" s="943" customFormat="1" x14ac:dyDescent="0.25">
      <c r="A1936" s="952"/>
      <c r="B1936" s="953"/>
      <c r="C1936" s="953"/>
      <c r="D1936" s="953"/>
      <c r="E1936" s="953"/>
      <c r="F1936" s="953"/>
      <c r="G1936" s="953"/>
      <c r="H1936" s="953"/>
    </row>
    <row r="1937" spans="1:8" s="943" customFormat="1" x14ac:dyDescent="0.25">
      <c r="A1937" s="952"/>
      <c r="B1937" s="953"/>
      <c r="C1937" s="953"/>
      <c r="D1937" s="953"/>
      <c r="E1937" s="953"/>
      <c r="F1937" s="953"/>
      <c r="G1937" s="953"/>
      <c r="H1937" s="953"/>
    </row>
    <row r="1938" spans="1:8" s="943" customFormat="1" x14ac:dyDescent="0.25">
      <c r="A1938" s="952"/>
      <c r="B1938" s="953"/>
      <c r="C1938" s="953"/>
      <c r="D1938" s="953"/>
      <c r="E1938" s="953"/>
      <c r="F1938" s="953"/>
      <c r="G1938" s="953"/>
      <c r="H1938" s="953"/>
    </row>
    <row r="1939" spans="1:8" s="943" customFormat="1" x14ac:dyDescent="0.25">
      <c r="A1939" s="952"/>
      <c r="B1939" s="953"/>
      <c r="C1939" s="953"/>
      <c r="D1939" s="953"/>
      <c r="E1939" s="953"/>
      <c r="F1939" s="953"/>
      <c r="G1939" s="953"/>
      <c r="H1939" s="953"/>
    </row>
    <row r="1940" spans="1:8" s="943" customFormat="1" x14ac:dyDescent="0.25">
      <c r="A1940" s="952"/>
      <c r="B1940" s="953"/>
      <c r="C1940" s="953"/>
      <c r="D1940" s="953"/>
      <c r="E1940" s="953"/>
      <c r="F1940" s="953"/>
      <c r="G1940" s="953"/>
      <c r="H1940" s="953"/>
    </row>
    <row r="1941" spans="1:8" s="943" customFormat="1" x14ac:dyDescent="0.25">
      <c r="A1941" s="952"/>
      <c r="B1941" s="953"/>
      <c r="C1941" s="953"/>
      <c r="D1941" s="953"/>
      <c r="E1941" s="953"/>
      <c r="F1941" s="953"/>
      <c r="G1941" s="953"/>
      <c r="H1941" s="953"/>
    </row>
    <row r="1942" spans="1:8" s="943" customFormat="1" x14ac:dyDescent="0.25">
      <c r="A1942" s="952"/>
      <c r="B1942" s="953"/>
      <c r="C1942" s="953"/>
      <c r="D1942" s="953"/>
      <c r="E1942" s="953"/>
      <c r="F1942" s="953"/>
      <c r="G1942" s="953"/>
      <c r="H1942" s="953"/>
    </row>
    <row r="1943" spans="1:8" s="943" customFormat="1" x14ac:dyDescent="0.25">
      <c r="A1943" s="952"/>
      <c r="B1943" s="953"/>
      <c r="C1943" s="953"/>
      <c r="D1943" s="953"/>
      <c r="E1943" s="953"/>
      <c r="F1943" s="953"/>
      <c r="G1943" s="953"/>
      <c r="H1943" s="953"/>
    </row>
    <row r="1944" spans="1:8" s="943" customFormat="1" x14ac:dyDescent="0.25">
      <c r="A1944" s="952"/>
      <c r="B1944" s="953"/>
      <c r="C1944" s="953"/>
      <c r="D1944" s="953"/>
      <c r="E1944" s="953"/>
      <c r="F1944" s="953"/>
      <c r="G1944" s="953"/>
      <c r="H1944" s="953"/>
    </row>
    <row r="1945" spans="1:8" s="943" customFormat="1" x14ac:dyDescent="0.25">
      <c r="A1945" s="952"/>
      <c r="B1945" s="953"/>
      <c r="C1945" s="953"/>
      <c r="D1945" s="953"/>
      <c r="E1945" s="953"/>
      <c r="F1945" s="953"/>
      <c r="G1945" s="953"/>
      <c r="H1945" s="953"/>
    </row>
    <row r="1946" spans="1:8" s="943" customFormat="1" x14ac:dyDescent="0.25">
      <c r="A1946" s="952"/>
      <c r="B1946" s="953"/>
      <c r="C1946" s="953"/>
      <c r="D1946" s="953"/>
      <c r="E1946" s="953"/>
      <c r="F1946" s="953"/>
      <c r="G1946" s="953"/>
      <c r="H1946" s="953"/>
    </row>
    <row r="1947" spans="1:8" s="943" customFormat="1" x14ac:dyDescent="0.25">
      <c r="A1947" s="952"/>
      <c r="B1947" s="953"/>
      <c r="C1947" s="953"/>
      <c r="D1947" s="953"/>
      <c r="E1947" s="953"/>
      <c r="F1947" s="953"/>
      <c r="G1947" s="953"/>
      <c r="H1947" s="953"/>
    </row>
    <row r="1948" spans="1:8" s="943" customFormat="1" x14ac:dyDescent="0.25">
      <c r="A1948" s="952"/>
      <c r="B1948" s="953"/>
      <c r="C1948" s="953"/>
      <c r="D1948" s="953"/>
      <c r="E1948" s="953"/>
      <c r="F1948" s="953"/>
      <c r="G1948" s="953"/>
      <c r="H1948" s="953"/>
    </row>
    <row r="1949" spans="1:8" s="943" customFormat="1" x14ac:dyDescent="0.25">
      <c r="A1949" s="952"/>
      <c r="B1949" s="953"/>
      <c r="C1949" s="953"/>
      <c r="D1949" s="953"/>
      <c r="E1949" s="953"/>
      <c r="F1949" s="953"/>
      <c r="G1949" s="953"/>
      <c r="H1949" s="953"/>
    </row>
    <row r="1950" spans="1:8" s="943" customFormat="1" x14ac:dyDescent="0.25">
      <c r="A1950" s="952"/>
      <c r="B1950" s="953"/>
      <c r="C1950" s="953"/>
      <c r="D1950" s="953"/>
      <c r="E1950" s="953"/>
      <c r="F1950" s="953"/>
      <c r="G1950" s="953"/>
      <c r="H1950" s="953"/>
    </row>
    <row r="1951" spans="1:8" s="943" customFormat="1" x14ac:dyDescent="0.25">
      <c r="A1951" s="952"/>
      <c r="B1951" s="953"/>
      <c r="C1951" s="953"/>
      <c r="D1951" s="953"/>
      <c r="E1951" s="953"/>
      <c r="F1951" s="953"/>
      <c r="G1951" s="953"/>
      <c r="H1951" s="953"/>
    </row>
    <row r="1952" spans="1:8" s="943" customFormat="1" x14ac:dyDescent="0.25">
      <c r="A1952" s="952"/>
      <c r="B1952" s="953"/>
      <c r="C1952" s="953"/>
      <c r="D1952" s="953"/>
      <c r="E1952" s="953"/>
      <c r="F1952" s="953"/>
      <c r="G1952" s="953"/>
      <c r="H1952" s="953"/>
    </row>
    <row r="1953" spans="1:8" s="943" customFormat="1" x14ac:dyDescent="0.25">
      <c r="A1953" s="952"/>
      <c r="B1953" s="953"/>
      <c r="C1953" s="953"/>
      <c r="D1953" s="953"/>
      <c r="E1953" s="953"/>
      <c r="F1953" s="953"/>
      <c r="G1953" s="953"/>
      <c r="H1953" s="953"/>
    </row>
    <row r="1954" spans="1:8" s="943" customFormat="1" x14ac:dyDescent="0.25">
      <c r="A1954" s="952"/>
      <c r="B1954" s="953"/>
      <c r="C1954" s="953"/>
      <c r="D1954" s="953"/>
      <c r="E1954" s="953"/>
      <c r="F1954" s="953"/>
      <c r="G1954" s="953"/>
      <c r="H1954" s="953"/>
    </row>
    <row r="1955" spans="1:8" s="943" customFormat="1" x14ac:dyDescent="0.25">
      <c r="A1955" s="952"/>
      <c r="B1955" s="953"/>
      <c r="C1955" s="953"/>
      <c r="D1955" s="953"/>
      <c r="E1955" s="953"/>
      <c r="F1955" s="953"/>
      <c r="G1955" s="953"/>
      <c r="H1955" s="953"/>
    </row>
    <row r="1956" spans="1:8" s="943" customFormat="1" x14ac:dyDescent="0.25">
      <c r="A1956" s="952"/>
      <c r="B1956" s="953"/>
      <c r="C1956" s="953"/>
      <c r="D1956" s="953"/>
      <c r="E1956" s="953"/>
      <c r="F1956" s="953"/>
      <c r="G1956" s="953"/>
      <c r="H1956" s="953"/>
    </row>
    <row r="1957" spans="1:8" s="943" customFormat="1" x14ac:dyDescent="0.25">
      <c r="A1957" s="952"/>
      <c r="B1957" s="953"/>
      <c r="C1957" s="953"/>
      <c r="D1957" s="953"/>
      <c r="E1957" s="953"/>
      <c r="F1957" s="953"/>
      <c r="G1957" s="953"/>
      <c r="H1957" s="953"/>
    </row>
    <row r="1958" spans="1:8" s="943" customFormat="1" x14ac:dyDescent="0.25">
      <c r="A1958" s="952"/>
      <c r="B1958" s="953"/>
      <c r="C1958" s="953"/>
      <c r="D1958" s="953"/>
      <c r="E1958" s="953"/>
      <c r="F1958" s="953"/>
      <c r="G1958" s="953"/>
      <c r="H1958" s="953"/>
    </row>
    <row r="1959" spans="1:8" s="943" customFormat="1" x14ac:dyDescent="0.25">
      <c r="A1959" s="952"/>
      <c r="B1959" s="953"/>
      <c r="C1959" s="953"/>
      <c r="D1959" s="953"/>
      <c r="E1959" s="953"/>
      <c r="F1959" s="953"/>
      <c r="G1959" s="953"/>
      <c r="H1959" s="953"/>
    </row>
    <row r="1960" spans="1:8" s="943" customFormat="1" x14ac:dyDescent="0.25">
      <c r="A1960" s="952"/>
      <c r="B1960" s="953"/>
      <c r="C1960" s="953"/>
      <c r="D1960" s="953"/>
      <c r="E1960" s="953"/>
      <c r="F1960" s="953"/>
      <c r="G1960" s="953"/>
      <c r="H1960" s="953"/>
    </row>
    <row r="1961" spans="1:8" s="943" customFormat="1" x14ac:dyDescent="0.25">
      <c r="A1961" s="952"/>
      <c r="B1961" s="953"/>
      <c r="C1961" s="953"/>
      <c r="D1961" s="953"/>
      <c r="E1961" s="953"/>
      <c r="F1961" s="953"/>
      <c r="G1961" s="953"/>
      <c r="H1961" s="953"/>
    </row>
    <row r="1962" spans="1:8" s="943" customFormat="1" x14ac:dyDescent="0.25">
      <c r="A1962" s="952"/>
      <c r="B1962" s="953"/>
      <c r="C1962" s="953"/>
      <c r="D1962" s="953"/>
      <c r="E1962" s="953"/>
      <c r="F1962" s="953"/>
      <c r="G1962" s="953"/>
      <c r="H1962" s="953"/>
    </row>
    <row r="1963" spans="1:8" s="943" customFormat="1" x14ac:dyDescent="0.25">
      <c r="A1963" s="952"/>
      <c r="B1963" s="953"/>
      <c r="C1963" s="953"/>
      <c r="D1963" s="953"/>
      <c r="E1963" s="953"/>
      <c r="F1963" s="953"/>
      <c r="G1963" s="953"/>
      <c r="H1963" s="953"/>
    </row>
    <row r="1964" spans="1:8" s="943" customFormat="1" x14ac:dyDescent="0.25">
      <c r="A1964" s="952"/>
      <c r="B1964" s="953"/>
      <c r="C1964" s="953"/>
      <c r="D1964" s="953"/>
      <c r="E1964" s="953"/>
      <c r="F1964" s="953"/>
      <c r="G1964" s="953"/>
      <c r="H1964" s="953"/>
    </row>
    <row r="1965" spans="1:8" s="943" customFormat="1" x14ac:dyDescent="0.25">
      <c r="A1965" s="952"/>
      <c r="B1965" s="953"/>
      <c r="C1965" s="953"/>
      <c r="D1965" s="953"/>
      <c r="E1965" s="953"/>
      <c r="F1965" s="953"/>
      <c r="G1965" s="953"/>
      <c r="H1965" s="953"/>
    </row>
    <row r="1966" spans="1:8" s="943" customFormat="1" x14ac:dyDescent="0.25">
      <c r="A1966" s="952"/>
      <c r="B1966" s="953"/>
      <c r="C1966" s="953"/>
      <c r="D1966" s="953"/>
      <c r="E1966" s="953"/>
      <c r="F1966" s="953"/>
      <c r="G1966" s="953"/>
      <c r="H1966" s="953"/>
    </row>
    <row r="1967" spans="1:8" s="943" customFormat="1" x14ac:dyDescent="0.25">
      <c r="A1967" s="952"/>
      <c r="B1967" s="953"/>
      <c r="C1967" s="953"/>
      <c r="D1967" s="953"/>
      <c r="E1967" s="953"/>
      <c r="F1967" s="953"/>
      <c r="G1967" s="953"/>
      <c r="H1967" s="953"/>
    </row>
    <row r="1968" spans="1:8" s="943" customFormat="1" x14ac:dyDescent="0.25">
      <c r="A1968" s="952"/>
      <c r="B1968" s="953"/>
      <c r="C1968" s="953"/>
      <c r="D1968" s="953"/>
      <c r="E1968" s="953"/>
      <c r="F1968" s="953"/>
      <c r="G1968" s="953"/>
      <c r="H1968" s="953"/>
    </row>
    <row r="1969" spans="1:8" s="943" customFormat="1" x14ac:dyDescent="0.25">
      <c r="A1969" s="952"/>
      <c r="B1969" s="953"/>
      <c r="C1969" s="953"/>
      <c r="D1969" s="953"/>
      <c r="E1969" s="953"/>
      <c r="F1969" s="953"/>
      <c r="G1969" s="953"/>
      <c r="H1969" s="953"/>
    </row>
    <row r="1970" spans="1:8" s="943" customFormat="1" x14ac:dyDescent="0.25">
      <c r="A1970" s="952"/>
      <c r="B1970" s="953"/>
      <c r="C1970" s="953"/>
      <c r="D1970" s="953"/>
      <c r="E1970" s="953"/>
      <c r="F1970" s="953"/>
      <c r="G1970" s="953"/>
      <c r="H1970" s="953"/>
    </row>
    <row r="1971" spans="1:8" s="943" customFormat="1" x14ac:dyDescent="0.25">
      <c r="A1971" s="952"/>
      <c r="B1971" s="953"/>
      <c r="C1971" s="953"/>
      <c r="D1971" s="953"/>
      <c r="E1971" s="953"/>
      <c r="F1971" s="953"/>
      <c r="G1971" s="953"/>
      <c r="H1971" s="953"/>
    </row>
    <row r="1972" spans="1:8" s="943" customFormat="1" x14ac:dyDescent="0.25">
      <c r="A1972" s="952"/>
      <c r="B1972" s="953"/>
      <c r="C1972" s="953"/>
      <c r="D1972" s="953"/>
      <c r="E1972" s="953"/>
      <c r="F1972" s="953"/>
      <c r="G1972" s="953"/>
      <c r="H1972" s="953"/>
    </row>
    <row r="1973" spans="1:8" s="943" customFormat="1" x14ac:dyDescent="0.25">
      <c r="A1973" s="952"/>
      <c r="B1973" s="953"/>
      <c r="C1973" s="953"/>
      <c r="D1973" s="953"/>
      <c r="E1973" s="953"/>
      <c r="F1973" s="953"/>
      <c r="G1973" s="953"/>
      <c r="H1973" s="953"/>
    </row>
    <row r="1974" spans="1:8" s="943" customFormat="1" x14ac:dyDescent="0.25">
      <c r="A1974" s="952"/>
      <c r="B1974" s="953"/>
      <c r="C1974" s="953"/>
      <c r="D1974" s="953"/>
      <c r="E1974" s="953"/>
      <c r="F1974" s="953"/>
      <c r="G1974" s="953"/>
      <c r="H1974" s="953"/>
    </row>
    <row r="1975" spans="1:8" s="943" customFormat="1" x14ac:dyDescent="0.25">
      <c r="A1975" s="952"/>
      <c r="B1975" s="953"/>
      <c r="C1975" s="953"/>
      <c r="D1975" s="953"/>
      <c r="E1975" s="953"/>
      <c r="F1975" s="953"/>
      <c r="G1975" s="953"/>
      <c r="H1975" s="953"/>
    </row>
    <row r="1976" spans="1:8" s="943" customFormat="1" x14ac:dyDescent="0.25">
      <c r="A1976" s="952"/>
      <c r="B1976" s="953"/>
      <c r="C1976" s="953"/>
      <c r="D1976" s="953"/>
      <c r="E1976" s="953"/>
      <c r="F1976" s="953"/>
      <c r="G1976" s="953"/>
      <c r="H1976" s="953"/>
    </row>
    <row r="1977" spans="1:8" s="943" customFormat="1" x14ac:dyDescent="0.25">
      <c r="A1977" s="952"/>
      <c r="B1977" s="953"/>
      <c r="C1977" s="953"/>
      <c r="D1977" s="953"/>
      <c r="E1977" s="953"/>
      <c r="F1977" s="953"/>
      <c r="G1977" s="953"/>
      <c r="H1977" s="953"/>
    </row>
    <row r="1978" spans="1:8" s="943" customFormat="1" x14ac:dyDescent="0.25">
      <c r="A1978" s="952"/>
      <c r="B1978" s="953"/>
      <c r="C1978" s="953"/>
      <c r="D1978" s="953"/>
      <c r="E1978" s="953"/>
      <c r="F1978" s="953"/>
      <c r="G1978" s="953"/>
      <c r="H1978" s="953"/>
    </row>
    <row r="1979" spans="1:8" s="943" customFormat="1" x14ac:dyDescent="0.25">
      <c r="A1979" s="952"/>
      <c r="B1979" s="953"/>
      <c r="C1979" s="953"/>
      <c r="D1979" s="953"/>
      <c r="E1979" s="953"/>
      <c r="F1979" s="953"/>
      <c r="G1979" s="953"/>
      <c r="H1979" s="953"/>
    </row>
    <row r="1980" spans="1:8" s="943" customFormat="1" x14ac:dyDescent="0.25">
      <c r="A1980" s="952"/>
      <c r="B1980" s="953"/>
      <c r="C1980" s="953"/>
      <c r="D1980" s="953"/>
      <c r="E1980" s="953"/>
      <c r="F1980" s="953"/>
      <c r="G1980" s="953"/>
      <c r="H1980" s="953"/>
    </row>
    <row r="1981" spans="1:8" s="943" customFormat="1" x14ac:dyDescent="0.25">
      <c r="A1981" s="952"/>
      <c r="B1981" s="953"/>
      <c r="C1981" s="953"/>
      <c r="D1981" s="953"/>
      <c r="E1981" s="953"/>
      <c r="F1981" s="953"/>
      <c r="G1981" s="953"/>
      <c r="H1981" s="953"/>
    </row>
    <row r="1982" spans="1:8" s="943" customFormat="1" x14ac:dyDescent="0.25">
      <c r="A1982" s="952"/>
      <c r="B1982" s="953"/>
      <c r="C1982" s="953"/>
      <c r="D1982" s="953"/>
      <c r="E1982" s="953"/>
      <c r="F1982" s="953"/>
      <c r="G1982" s="953"/>
      <c r="H1982" s="953"/>
    </row>
    <row r="1983" spans="1:8" s="943" customFormat="1" x14ac:dyDescent="0.25">
      <c r="A1983" s="952"/>
      <c r="B1983" s="953"/>
      <c r="C1983" s="953"/>
      <c r="D1983" s="953"/>
      <c r="E1983" s="953"/>
      <c r="F1983" s="953"/>
      <c r="G1983" s="953"/>
      <c r="H1983" s="953"/>
    </row>
    <row r="1984" spans="1:8" s="943" customFormat="1" x14ac:dyDescent="0.25">
      <c r="A1984" s="952"/>
      <c r="B1984" s="953"/>
      <c r="C1984" s="953"/>
      <c r="D1984" s="953"/>
      <c r="E1984" s="953"/>
      <c r="F1984" s="953"/>
      <c r="G1984" s="953"/>
      <c r="H1984" s="953"/>
    </row>
    <row r="1985" spans="1:8" s="943" customFormat="1" x14ac:dyDescent="0.25">
      <c r="A1985" s="952"/>
      <c r="B1985" s="953"/>
      <c r="C1985" s="953"/>
      <c r="D1985" s="953"/>
      <c r="E1985" s="953"/>
      <c r="F1985" s="953"/>
      <c r="G1985" s="953"/>
      <c r="H1985" s="953"/>
    </row>
    <row r="1986" spans="1:8" s="943" customFormat="1" x14ac:dyDescent="0.25">
      <c r="A1986" s="952"/>
      <c r="B1986" s="953"/>
      <c r="C1986" s="953"/>
      <c r="D1986" s="953"/>
      <c r="E1986" s="953"/>
      <c r="F1986" s="953"/>
      <c r="G1986" s="953"/>
      <c r="H1986" s="953"/>
    </row>
    <row r="1987" spans="1:8" s="943" customFormat="1" x14ac:dyDescent="0.25">
      <c r="A1987" s="952"/>
      <c r="B1987" s="953"/>
      <c r="C1987" s="953"/>
      <c r="D1987" s="953"/>
      <c r="E1987" s="953"/>
      <c r="F1987" s="953"/>
      <c r="G1987" s="953"/>
      <c r="H1987" s="953"/>
    </row>
    <row r="1988" spans="1:8" s="943" customFormat="1" x14ac:dyDescent="0.25">
      <c r="A1988" s="952"/>
      <c r="B1988" s="953"/>
      <c r="C1988" s="953"/>
      <c r="D1988" s="953"/>
      <c r="E1988" s="953"/>
      <c r="F1988" s="953"/>
      <c r="G1988" s="953"/>
      <c r="H1988" s="953"/>
    </row>
    <row r="1989" spans="1:8" s="943" customFormat="1" x14ac:dyDescent="0.25">
      <c r="A1989" s="952"/>
      <c r="B1989" s="953"/>
      <c r="C1989" s="953"/>
      <c r="D1989" s="953"/>
      <c r="E1989" s="953"/>
      <c r="F1989" s="953"/>
      <c r="G1989" s="953"/>
      <c r="H1989" s="953"/>
    </row>
    <row r="1990" spans="1:8" s="943" customFormat="1" x14ac:dyDescent="0.25">
      <c r="A1990" s="952"/>
      <c r="B1990" s="953"/>
      <c r="C1990" s="953"/>
      <c r="D1990" s="953"/>
      <c r="E1990" s="953"/>
      <c r="F1990" s="953"/>
      <c r="G1990" s="953"/>
      <c r="H1990" s="953"/>
    </row>
    <row r="1991" spans="1:8" s="943" customFormat="1" x14ac:dyDescent="0.25">
      <c r="A1991" s="952"/>
      <c r="B1991" s="953"/>
      <c r="C1991" s="953"/>
      <c r="D1991" s="953"/>
      <c r="E1991" s="953"/>
      <c r="F1991" s="953"/>
      <c r="G1991" s="953"/>
      <c r="H1991" s="953"/>
    </row>
    <row r="1992" spans="1:8" s="943" customFormat="1" x14ac:dyDescent="0.25">
      <c r="A1992" s="952"/>
      <c r="B1992" s="953"/>
      <c r="C1992" s="953"/>
      <c r="D1992" s="953"/>
      <c r="E1992" s="953"/>
      <c r="F1992" s="953"/>
      <c r="G1992" s="953"/>
      <c r="H1992" s="953"/>
    </row>
    <row r="1993" spans="1:8" s="943" customFormat="1" x14ac:dyDescent="0.25">
      <c r="A1993" s="952"/>
      <c r="B1993" s="953"/>
      <c r="C1993" s="953"/>
      <c r="D1993" s="953"/>
      <c r="E1993" s="953"/>
      <c r="F1993" s="953"/>
      <c r="G1993" s="953"/>
      <c r="H1993" s="953"/>
    </row>
    <row r="1994" spans="1:8" s="943" customFormat="1" x14ac:dyDescent="0.25">
      <c r="A1994" s="952"/>
      <c r="B1994" s="953"/>
      <c r="C1994" s="953"/>
      <c r="D1994" s="953"/>
      <c r="E1994" s="953"/>
      <c r="F1994" s="953"/>
      <c r="G1994" s="953"/>
      <c r="H1994" s="953"/>
    </row>
    <row r="1995" spans="1:8" s="943" customFormat="1" x14ac:dyDescent="0.25">
      <c r="A1995" s="952"/>
      <c r="B1995" s="953"/>
      <c r="C1995" s="953"/>
      <c r="D1995" s="953"/>
      <c r="E1995" s="953"/>
      <c r="F1995" s="953"/>
      <c r="G1995" s="953"/>
      <c r="H1995" s="953"/>
    </row>
    <row r="1996" spans="1:8" s="943" customFormat="1" x14ac:dyDescent="0.25">
      <c r="A1996" s="952"/>
      <c r="B1996" s="953"/>
      <c r="C1996" s="953"/>
      <c r="D1996" s="953"/>
      <c r="E1996" s="953"/>
      <c r="F1996" s="953"/>
      <c r="G1996" s="953"/>
      <c r="H1996" s="953"/>
    </row>
    <row r="1997" spans="1:8" s="943" customFormat="1" x14ac:dyDescent="0.25">
      <c r="A1997" s="952"/>
      <c r="B1997" s="953"/>
      <c r="C1997" s="953"/>
      <c r="D1997" s="953"/>
      <c r="E1997" s="953"/>
      <c r="F1997" s="953"/>
      <c r="G1997" s="953"/>
      <c r="H1997" s="953"/>
    </row>
    <row r="1998" spans="1:8" s="943" customFormat="1" x14ac:dyDescent="0.25">
      <c r="A1998" s="952"/>
      <c r="B1998" s="953"/>
      <c r="C1998" s="953"/>
      <c r="D1998" s="953"/>
      <c r="E1998" s="953"/>
      <c r="F1998" s="953"/>
      <c r="G1998" s="953"/>
      <c r="H1998" s="953"/>
    </row>
    <row r="1999" spans="1:8" s="943" customFormat="1" x14ac:dyDescent="0.25">
      <c r="A1999" s="952"/>
      <c r="B1999" s="953"/>
      <c r="C1999" s="953"/>
      <c r="D1999" s="953"/>
      <c r="E1999" s="953"/>
      <c r="F1999" s="953"/>
      <c r="G1999" s="953"/>
      <c r="H1999" s="953"/>
    </row>
    <row r="2000" spans="1:8" s="943" customFormat="1" x14ac:dyDescent="0.25">
      <c r="A2000" s="952"/>
      <c r="B2000" s="953"/>
      <c r="C2000" s="953"/>
      <c r="D2000" s="953"/>
      <c r="E2000" s="953"/>
      <c r="F2000" s="953"/>
      <c r="G2000" s="953"/>
      <c r="H2000" s="953"/>
    </row>
    <row r="2001" spans="1:8" s="943" customFormat="1" x14ac:dyDescent="0.25">
      <c r="A2001" s="952"/>
      <c r="B2001" s="953"/>
      <c r="C2001" s="953"/>
      <c r="D2001" s="953"/>
      <c r="E2001" s="953"/>
      <c r="F2001" s="953"/>
      <c r="G2001" s="953"/>
      <c r="H2001" s="953"/>
    </row>
    <row r="2002" spans="1:8" s="943" customFormat="1" x14ac:dyDescent="0.25">
      <c r="A2002" s="952"/>
      <c r="B2002" s="953"/>
      <c r="C2002" s="953"/>
      <c r="D2002" s="953"/>
      <c r="E2002" s="953"/>
      <c r="F2002" s="953"/>
      <c r="G2002" s="953"/>
      <c r="H2002" s="953"/>
    </row>
    <row r="2003" spans="1:8" s="943" customFormat="1" x14ac:dyDescent="0.25">
      <c r="A2003" s="952"/>
      <c r="B2003" s="953"/>
      <c r="C2003" s="953"/>
      <c r="D2003" s="953"/>
      <c r="E2003" s="953"/>
      <c r="F2003" s="953"/>
      <c r="G2003" s="953"/>
      <c r="H2003" s="953"/>
    </row>
    <row r="2004" spans="1:8" s="943" customFormat="1" x14ac:dyDescent="0.25">
      <c r="A2004" s="952"/>
      <c r="B2004" s="953"/>
      <c r="C2004" s="953"/>
      <c r="D2004" s="953"/>
      <c r="E2004" s="953"/>
      <c r="F2004" s="953"/>
      <c r="G2004" s="953"/>
      <c r="H2004" s="953"/>
    </row>
    <row r="2005" spans="1:8" s="943" customFormat="1" x14ac:dyDescent="0.25">
      <c r="A2005" s="952"/>
      <c r="B2005" s="953"/>
      <c r="C2005" s="953"/>
      <c r="D2005" s="953"/>
      <c r="E2005" s="953"/>
      <c r="F2005" s="953"/>
      <c r="G2005" s="953"/>
      <c r="H2005" s="953"/>
    </row>
    <row r="2006" spans="1:8" s="943" customFormat="1" x14ac:dyDescent="0.25">
      <c r="A2006" s="952"/>
      <c r="B2006" s="953"/>
      <c r="C2006" s="953"/>
      <c r="D2006" s="953"/>
      <c r="E2006" s="953"/>
      <c r="F2006" s="953"/>
      <c r="G2006" s="953"/>
      <c r="H2006" s="953"/>
    </row>
    <row r="2007" spans="1:8" s="943" customFormat="1" x14ac:dyDescent="0.25">
      <c r="A2007" s="952"/>
      <c r="B2007" s="953"/>
      <c r="C2007" s="953"/>
      <c r="D2007" s="953"/>
      <c r="E2007" s="953"/>
      <c r="F2007" s="953"/>
      <c r="G2007" s="953"/>
      <c r="H2007" s="953"/>
    </row>
    <row r="2008" spans="1:8" s="943" customFormat="1" x14ac:dyDescent="0.25">
      <c r="A2008" s="952"/>
      <c r="B2008" s="953"/>
      <c r="C2008" s="953"/>
      <c r="D2008" s="953"/>
      <c r="E2008" s="953"/>
      <c r="F2008" s="953"/>
      <c r="G2008" s="953"/>
      <c r="H2008" s="953"/>
    </row>
    <row r="2009" spans="1:8" s="943" customFormat="1" x14ac:dyDescent="0.25">
      <c r="A2009" s="952"/>
      <c r="B2009" s="953"/>
      <c r="C2009" s="953"/>
      <c r="D2009" s="953"/>
      <c r="E2009" s="953"/>
      <c r="F2009" s="953"/>
      <c r="G2009" s="953"/>
      <c r="H2009" s="953"/>
    </row>
    <row r="2010" spans="1:8" s="943" customFormat="1" x14ac:dyDescent="0.25">
      <c r="A2010" s="952"/>
      <c r="B2010" s="953"/>
      <c r="C2010" s="953"/>
      <c r="D2010" s="953"/>
      <c r="E2010" s="953"/>
      <c r="F2010" s="953"/>
      <c r="G2010" s="953"/>
      <c r="H2010" s="953"/>
    </row>
    <row r="2011" spans="1:8" s="943" customFormat="1" x14ac:dyDescent="0.25">
      <c r="A2011" s="952"/>
      <c r="B2011" s="953"/>
      <c r="C2011" s="953"/>
      <c r="D2011" s="953"/>
      <c r="E2011" s="953"/>
      <c r="F2011" s="953"/>
      <c r="G2011" s="953"/>
      <c r="H2011" s="953"/>
    </row>
    <row r="2012" spans="1:8" s="943" customFormat="1" x14ac:dyDescent="0.25">
      <c r="A2012" s="952"/>
      <c r="B2012" s="953"/>
      <c r="C2012" s="953"/>
      <c r="D2012" s="953"/>
      <c r="E2012" s="953"/>
      <c r="F2012" s="953"/>
      <c r="G2012" s="953"/>
      <c r="H2012" s="953"/>
    </row>
    <row r="2013" spans="1:8" s="943" customFormat="1" x14ac:dyDescent="0.25">
      <c r="A2013" s="952"/>
      <c r="B2013" s="953"/>
      <c r="C2013" s="953"/>
      <c r="D2013" s="953"/>
      <c r="E2013" s="953"/>
      <c r="F2013" s="953"/>
      <c r="G2013" s="953"/>
      <c r="H2013" s="953"/>
    </row>
    <row r="2014" spans="1:8" s="943" customFormat="1" x14ac:dyDescent="0.25">
      <c r="A2014" s="952"/>
      <c r="B2014" s="953"/>
      <c r="C2014" s="953"/>
      <c r="D2014" s="953"/>
      <c r="E2014" s="953"/>
      <c r="F2014" s="953"/>
      <c r="G2014" s="953"/>
      <c r="H2014" s="953"/>
    </row>
    <row r="2015" spans="1:8" s="943" customFormat="1" x14ac:dyDescent="0.25">
      <c r="A2015" s="952"/>
      <c r="B2015" s="953"/>
      <c r="C2015" s="953"/>
      <c r="D2015" s="953"/>
      <c r="E2015" s="953"/>
      <c r="F2015" s="953"/>
      <c r="G2015" s="953"/>
      <c r="H2015" s="953"/>
    </row>
    <row r="2016" spans="1:8" s="943" customFormat="1" x14ac:dyDescent="0.25">
      <c r="A2016" s="952"/>
      <c r="B2016" s="953"/>
      <c r="C2016" s="953"/>
      <c r="D2016" s="953"/>
      <c r="E2016" s="953"/>
      <c r="F2016" s="953"/>
      <c r="G2016" s="953"/>
      <c r="H2016" s="953"/>
    </row>
    <row r="2017" spans="1:8" s="943" customFormat="1" x14ac:dyDescent="0.25">
      <c r="A2017" s="952"/>
      <c r="B2017" s="953"/>
      <c r="C2017" s="953"/>
      <c r="D2017" s="953"/>
      <c r="E2017" s="953"/>
      <c r="F2017" s="953"/>
      <c r="G2017" s="953"/>
      <c r="H2017" s="953"/>
    </row>
    <row r="2018" spans="1:8" s="943" customFormat="1" x14ac:dyDescent="0.25">
      <c r="A2018" s="952"/>
      <c r="B2018" s="953"/>
      <c r="C2018" s="953"/>
      <c r="D2018" s="953"/>
      <c r="E2018" s="953"/>
      <c r="F2018" s="953"/>
      <c r="G2018" s="953"/>
      <c r="H2018" s="953"/>
    </row>
    <row r="2019" spans="1:8" s="943" customFormat="1" x14ac:dyDescent="0.25">
      <c r="A2019" s="952"/>
      <c r="B2019" s="953"/>
      <c r="C2019" s="953"/>
      <c r="D2019" s="953"/>
      <c r="E2019" s="953"/>
      <c r="F2019" s="953"/>
      <c r="G2019" s="953"/>
      <c r="H2019" s="953"/>
    </row>
    <row r="2020" spans="1:8" s="943" customFormat="1" x14ac:dyDescent="0.25">
      <c r="A2020" s="952"/>
      <c r="B2020" s="953"/>
      <c r="C2020" s="953"/>
      <c r="D2020" s="953"/>
      <c r="E2020" s="953"/>
      <c r="F2020" s="953"/>
      <c r="G2020" s="953"/>
      <c r="H2020" s="953"/>
    </row>
    <row r="2021" spans="1:8" s="943" customFormat="1" x14ac:dyDescent="0.25">
      <c r="A2021" s="952"/>
      <c r="B2021" s="953"/>
      <c r="C2021" s="953"/>
      <c r="D2021" s="953"/>
      <c r="E2021" s="953"/>
      <c r="F2021" s="953"/>
      <c r="G2021" s="953"/>
      <c r="H2021" s="953"/>
    </row>
    <row r="2022" spans="1:8" s="943" customFormat="1" x14ac:dyDescent="0.25">
      <c r="A2022" s="952"/>
      <c r="B2022" s="953"/>
      <c r="C2022" s="953"/>
      <c r="D2022" s="953"/>
      <c r="E2022" s="953"/>
      <c r="F2022" s="953"/>
      <c r="G2022" s="953"/>
      <c r="H2022" s="953"/>
    </row>
    <row r="2023" spans="1:8" s="943" customFormat="1" x14ac:dyDescent="0.25">
      <c r="A2023" s="952"/>
      <c r="B2023" s="953"/>
      <c r="C2023" s="953"/>
      <c r="D2023" s="953"/>
      <c r="E2023" s="953"/>
      <c r="F2023" s="953"/>
      <c r="G2023" s="953"/>
      <c r="H2023" s="953"/>
    </row>
    <row r="2024" spans="1:8" s="943" customFormat="1" x14ac:dyDescent="0.25">
      <c r="A2024" s="952"/>
      <c r="B2024" s="953"/>
      <c r="C2024" s="953"/>
      <c r="D2024" s="953"/>
      <c r="E2024" s="953"/>
      <c r="F2024" s="953"/>
      <c r="G2024" s="953"/>
      <c r="H2024" s="953"/>
    </row>
    <row r="2025" spans="1:8" s="943" customFormat="1" x14ac:dyDescent="0.25">
      <c r="A2025" s="952"/>
      <c r="B2025" s="953"/>
      <c r="C2025" s="953"/>
      <c r="D2025" s="953"/>
      <c r="E2025" s="953"/>
      <c r="F2025" s="953"/>
      <c r="G2025" s="953"/>
      <c r="H2025" s="953"/>
    </row>
    <row r="2026" spans="1:8" s="943" customFormat="1" x14ac:dyDescent="0.25">
      <c r="A2026" s="952"/>
      <c r="B2026" s="953"/>
      <c r="C2026" s="953"/>
      <c r="D2026" s="953"/>
      <c r="E2026" s="953"/>
      <c r="F2026" s="953"/>
      <c r="G2026" s="953"/>
      <c r="H2026" s="953"/>
    </row>
    <row r="2027" spans="1:8" s="943" customFormat="1" x14ac:dyDescent="0.25">
      <c r="A2027" s="952"/>
      <c r="B2027" s="953"/>
      <c r="C2027" s="953"/>
      <c r="D2027" s="953"/>
      <c r="E2027" s="953"/>
      <c r="F2027" s="953"/>
      <c r="G2027" s="953"/>
      <c r="H2027" s="953"/>
    </row>
    <row r="2028" spans="1:8" s="943" customFormat="1" x14ac:dyDescent="0.25">
      <c r="A2028" s="952"/>
      <c r="B2028" s="953"/>
      <c r="C2028" s="953"/>
      <c r="D2028" s="953"/>
      <c r="E2028" s="953"/>
      <c r="F2028" s="953"/>
      <c r="G2028" s="953"/>
      <c r="H2028" s="953"/>
    </row>
    <row r="2029" spans="1:8" s="943" customFormat="1" x14ac:dyDescent="0.25">
      <c r="A2029" s="952"/>
      <c r="B2029" s="953"/>
      <c r="C2029" s="953"/>
      <c r="D2029" s="953"/>
      <c r="E2029" s="953"/>
      <c r="F2029" s="953"/>
      <c r="G2029" s="953"/>
      <c r="H2029" s="953"/>
    </row>
    <row r="2030" spans="1:8" s="943" customFormat="1" x14ac:dyDescent="0.25">
      <c r="A2030" s="952"/>
      <c r="B2030" s="953"/>
      <c r="C2030" s="953"/>
      <c r="D2030" s="953"/>
      <c r="E2030" s="953"/>
      <c r="F2030" s="953"/>
      <c r="G2030" s="953"/>
      <c r="H2030" s="953"/>
    </row>
    <row r="2031" spans="1:8" s="943" customFormat="1" x14ac:dyDescent="0.25">
      <c r="A2031" s="952"/>
      <c r="B2031" s="953"/>
      <c r="C2031" s="953"/>
      <c r="D2031" s="953"/>
      <c r="E2031" s="953"/>
      <c r="F2031" s="953"/>
      <c r="G2031" s="953"/>
      <c r="H2031" s="953"/>
    </row>
    <row r="2032" spans="1:8" s="943" customFormat="1" x14ac:dyDescent="0.25">
      <c r="A2032" s="952"/>
      <c r="B2032" s="953"/>
      <c r="C2032" s="953"/>
      <c r="D2032" s="953"/>
      <c r="E2032" s="953"/>
      <c r="F2032" s="953"/>
      <c r="G2032" s="953"/>
      <c r="H2032" s="953"/>
    </row>
    <row r="2033" spans="1:8" s="943" customFormat="1" x14ac:dyDescent="0.25">
      <c r="A2033" s="952"/>
      <c r="B2033" s="953"/>
      <c r="C2033" s="953"/>
      <c r="D2033" s="953"/>
      <c r="E2033" s="953"/>
      <c r="F2033" s="953"/>
      <c r="G2033" s="953"/>
      <c r="H2033" s="953"/>
    </row>
    <row r="2034" spans="1:8" s="943" customFormat="1" x14ac:dyDescent="0.25">
      <c r="A2034" s="952"/>
      <c r="B2034" s="953"/>
      <c r="C2034" s="953"/>
      <c r="D2034" s="953"/>
      <c r="E2034" s="953"/>
      <c r="F2034" s="953"/>
      <c r="G2034" s="953"/>
      <c r="H2034" s="953"/>
    </row>
    <row r="2035" spans="1:8" s="943" customFormat="1" x14ac:dyDescent="0.25">
      <c r="A2035" s="952"/>
      <c r="B2035" s="953"/>
      <c r="C2035" s="953"/>
      <c r="D2035" s="953"/>
      <c r="E2035" s="953"/>
      <c r="F2035" s="953"/>
      <c r="G2035" s="953"/>
      <c r="H2035" s="953"/>
    </row>
    <row r="2036" spans="1:8" s="943" customFormat="1" x14ac:dyDescent="0.25">
      <c r="A2036" s="952"/>
      <c r="B2036" s="953"/>
      <c r="C2036" s="953"/>
      <c r="D2036" s="953"/>
      <c r="E2036" s="953"/>
      <c r="F2036" s="953"/>
      <c r="G2036" s="953"/>
      <c r="H2036" s="953"/>
    </row>
    <row r="2037" spans="1:8" s="943" customFormat="1" x14ac:dyDescent="0.25">
      <c r="A2037" s="952"/>
      <c r="B2037" s="953"/>
      <c r="C2037" s="953"/>
      <c r="D2037" s="953"/>
      <c r="E2037" s="953"/>
      <c r="F2037" s="953"/>
      <c r="G2037" s="953"/>
      <c r="H2037" s="953"/>
    </row>
    <row r="2038" spans="1:8" s="943" customFormat="1" x14ac:dyDescent="0.25">
      <c r="A2038" s="952"/>
      <c r="B2038" s="953"/>
      <c r="C2038" s="953"/>
      <c r="D2038" s="953"/>
      <c r="E2038" s="953"/>
      <c r="F2038" s="953"/>
      <c r="G2038" s="953"/>
      <c r="H2038" s="953"/>
    </row>
    <row r="2039" spans="1:8" s="943" customFormat="1" x14ac:dyDescent="0.25">
      <c r="A2039" s="952"/>
      <c r="B2039" s="953"/>
      <c r="C2039" s="953"/>
      <c r="D2039" s="953"/>
      <c r="E2039" s="953"/>
      <c r="F2039" s="953"/>
      <c r="G2039" s="953"/>
      <c r="H2039" s="953"/>
    </row>
    <row r="2040" spans="1:8" s="943" customFormat="1" x14ac:dyDescent="0.25">
      <c r="A2040" s="952"/>
      <c r="B2040" s="953"/>
      <c r="C2040" s="953"/>
      <c r="D2040" s="953"/>
      <c r="E2040" s="953"/>
      <c r="F2040" s="953"/>
      <c r="G2040" s="953"/>
      <c r="H2040" s="953"/>
    </row>
    <row r="2041" spans="1:8" s="943" customFormat="1" x14ac:dyDescent="0.25">
      <c r="A2041" s="952"/>
      <c r="B2041" s="953"/>
      <c r="C2041" s="953"/>
      <c r="D2041" s="953"/>
      <c r="E2041" s="953"/>
      <c r="F2041" s="953"/>
      <c r="G2041" s="953"/>
      <c r="H2041" s="953"/>
    </row>
    <row r="2042" spans="1:8" s="943" customFormat="1" x14ac:dyDescent="0.25">
      <c r="A2042" s="952"/>
      <c r="B2042" s="953"/>
      <c r="C2042" s="953"/>
      <c r="D2042" s="953"/>
      <c r="E2042" s="953"/>
      <c r="F2042" s="953"/>
      <c r="G2042" s="953"/>
      <c r="H2042" s="953"/>
    </row>
    <row r="2043" spans="1:8" s="943" customFormat="1" x14ac:dyDescent="0.25">
      <c r="A2043" s="952"/>
      <c r="B2043" s="953"/>
      <c r="C2043" s="953"/>
      <c r="D2043" s="953"/>
      <c r="E2043" s="953"/>
      <c r="F2043" s="953"/>
      <c r="G2043" s="953"/>
      <c r="H2043" s="953"/>
    </row>
    <row r="2044" spans="1:8" s="943" customFormat="1" x14ac:dyDescent="0.25">
      <c r="A2044" s="952"/>
      <c r="B2044" s="953"/>
      <c r="C2044" s="953"/>
      <c r="D2044" s="953"/>
      <c r="E2044" s="953"/>
      <c r="F2044" s="953"/>
      <c r="G2044" s="953"/>
      <c r="H2044" s="953"/>
    </row>
    <row r="2045" spans="1:8" s="943" customFormat="1" x14ac:dyDescent="0.25">
      <c r="A2045" s="952"/>
      <c r="B2045" s="953"/>
      <c r="C2045" s="953"/>
      <c r="D2045" s="953"/>
      <c r="E2045" s="953"/>
      <c r="F2045" s="953"/>
      <c r="G2045" s="953"/>
      <c r="H2045" s="953"/>
    </row>
    <row r="2046" spans="1:8" s="943" customFormat="1" x14ac:dyDescent="0.25">
      <c r="A2046" s="952"/>
      <c r="B2046" s="953"/>
      <c r="C2046" s="953"/>
      <c r="D2046" s="953"/>
      <c r="E2046" s="953"/>
      <c r="F2046" s="953"/>
      <c r="G2046" s="953"/>
      <c r="H2046" s="953"/>
    </row>
    <row r="2047" spans="1:8" s="943" customFormat="1" x14ac:dyDescent="0.25">
      <c r="A2047" s="952"/>
      <c r="B2047" s="953"/>
      <c r="C2047" s="953"/>
      <c r="D2047" s="953"/>
      <c r="E2047" s="953"/>
      <c r="F2047" s="953"/>
      <c r="G2047" s="953"/>
      <c r="H2047" s="953"/>
    </row>
    <row r="2048" spans="1:8" s="943" customFormat="1" x14ac:dyDescent="0.25">
      <c r="A2048" s="952"/>
      <c r="B2048" s="953"/>
      <c r="C2048" s="953"/>
      <c r="D2048" s="953"/>
      <c r="E2048" s="953"/>
      <c r="F2048" s="953"/>
      <c r="G2048" s="953"/>
      <c r="H2048" s="953"/>
    </row>
    <row r="2049" spans="1:8" s="943" customFormat="1" x14ac:dyDescent="0.25">
      <c r="A2049" s="952"/>
      <c r="B2049" s="953"/>
      <c r="C2049" s="953"/>
      <c r="D2049" s="953"/>
      <c r="E2049" s="953"/>
      <c r="F2049" s="953"/>
      <c r="G2049" s="953"/>
      <c r="H2049" s="953"/>
    </row>
    <row r="2050" spans="1:8" s="943" customFormat="1" x14ac:dyDescent="0.25">
      <c r="A2050" s="952"/>
      <c r="B2050" s="953"/>
      <c r="C2050" s="953"/>
      <c r="D2050" s="953"/>
      <c r="E2050" s="953"/>
      <c r="F2050" s="953"/>
      <c r="G2050" s="953"/>
      <c r="H2050" s="953"/>
    </row>
    <row r="2051" spans="1:8" s="943" customFormat="1" x14ac:dyDescent="0.25">
      <c r="A2051" s="952"/>
      <c r="B2051" s="953"/>
      <c r="C2051" s="953"/>
      <c r="D2051" s="953"/>
      <c r="E2051" s="953"/>
      <c r="F2051" s="953"/>
      <c r="G2051" s="953"/>
      <c r="H2051" s="953"/>
    </row>
    <row r="2052" spans="1:8" s="943" customFormat="1" x14ac:dyDescent="0.25">
      <c r="A2052" s="952"/>
      <c r="B2052" s="953"/>
      <c r="C2052" s="953"/>
      <c r="D2052" s="953"/>
      <c r="E2052" s="953"/>
      <c r="F2052" s="953"/>
      <c r="G2052" s="953"/>
      <c r="H2052" s="953"/>
    </row>
    <row r="2053" spans="1:8" s="943" customFormat="1" x14ac:dyDescent="0.25">
      <c r="A2053" s="952"/>
      <c r="B2053" s="953"/>
      <c r="C2053" s="953"/>
      <c r="D2053" s="953"/>
      <c r="E2053" s="953"/>
      <c r="F2053" s="953"/>
      <c r="G2053" s="953"/>
      <c r="H2053" s="953"/>
    </row>
    <row r="2054" spans="1:8" s="943" customFormat="1" x14ac:dyDescent="0.25">
      <c r="A2054" s="952"/>
      <c r="B2054" s="953"/>
      <c r="C2054" s="953"/>
      <c r="D2054" s="953"/>
      <c r="E2054" s="953"/>
      <c r="F2054" s="953"/>
      <c r="G2054" s="953"/>
      <c r="H2054" s="953"/>
    </row>
    <row r="2055" spans="1:8" s="943" customFormat="1" x14ac:dyDescent="0.25">
      <c r="A2055" s="952"/>
      <c r="B2055" s="953"/>
      <c r="C2055" s="953"/>
      <c r="D2055" s="953"/>
      <c r="E2055" s="953"/>
      <c r="F2055" s="953"/>
      <c r="G2055" s="953"/>
      <c r="H2055" s="953"/>
    </row>
    <row r="2056" spans="1:8" s="943" customFormat="1" x14ac:dyDescent="0.25">
      <c r="A2056" s="952"/>
      <c r="B2056" s="953"/>
      <c r="C2056" s="953"/>
      <c r="D2056" s="953"/>
      <c r="E2056" s="953"/>
      <c r="F2056" s="953"/>
      <c r="G2056" s="953"/>
      <c r="H2056" s="953"/>
    </row>
    <row r="2057" spans="1:8" s="943" customFormat="1" x14ac:dyDescent="0.25">
      <c r="A2057" s="952"/>
      <c r="B2057" s="953"/>
      <c r="C2057" s="953"/>
      <c r="D2057" s="953"/>
      <c r="E2057" s="953"/>
      <c r="F2057" s="953"/>
      <c r="G2057" s="953"/>
      <c r="H2057" s="953"/>
    </row>
    <row r="2058" spans="1:8" s="943" customFormat="1" x14ac:dyDescent="0.25">
      <c r="A2058" s="952"/>
      <c r="B2058" s="953"/>
      <c r="C2058" s="953"/>
      <c r="D2058" s="953"/>
      <c r="E2058" s="953"/>
      <c r="F2058" s="953"/>
      <c r="G2058" s="953"/>
      <c r="H2058" s="953"/>
    </row>
    <row r="2059" spans="1:8" s="943" customFormat="1" x14ac:dyDescent="0.25">
      <c r="A2059" s="952"/>
      <c r="B2059" s="953"/>
      <c r="C2059" s="953"/>
      <c r="D2059" s="953"/>
      <c r="E2059" s="953"/>
      <c r="F2059" s="953"/>
      <c r="G2059" s="953"/>
      <c r="H2059" s="953"/>
    </row>
    <row r="2060" spans="1:8" s="943" customFormat="1" x14ac:dyDescent="0.25">
      <c r="A2060" s="952"/>
      <c r="B2060" s="953"/>
      <c r="C2060" s="953"/>
      <c r="D2060" s="953"/>
      <c r="E2060" s="953"/>
      <c r="F2060" s="953"/>
      <c r="G2060" s="953"/>
      <c r="H2060" s="953"/>
    </row>
    <row r="2061" spans="1:8" s="943" customFormat="1" x14ac:dyDescent="0.25">
      <c r="A2061" s="952"/>
      <c r="B2061" s="953"/>
      <c r="C2061" s="953"/>
      <c r="D2061" s="953"/>
      <c r="E2061" s="953"/>
      <c r="F2061" s="953"/>
      <c r="G2061" s="953"/>
      <c r="H2061" s="953"/>
    </row>
    <row r="2062" spans="1:8" s="943" customFormat="1" x14ac:dyDescent="0.25">
      <c r="A2062" s="952"/>
      <c r="B2062" s="953"/>
      <c r="C2062" s="953"/>
      <c r="D2062" s="953"/>
      <c r="E2062" s="953"/>
      <c r="F2062" s="953"/>
      <c r="G2062" s="953"/>
      <c r="H2062" s="953"/>
    </row>
    <row r="2063" spans="1:8" s="943" customFormat="1" x14ac:dyDescent="0.25">
      <c r="A2063" s="952"/>
      <c r="B2063" s="953"/>
      <c r="C2063" s="953"/>
      <c r="D2063" s="953"/>
      <c r="E2063" s="953"/>
      <c r="F2063" s="953"/>
      <c r="G2063" s="953"/>
      <c r="H2063" s="953"/>
    </row>
    <row r="2064" spans="1:8" s="943" customFormat="1" x14ac:dyDescent="0.25">
      <c r="A2064" s="952"/>
      <c r="B2064" s="953"/>
      <c r="C2064" s="953"/>
      <c r="D2064" s="953"/>
      <c r="E2064" s="953"/>
      <c r="F2064" s="953"/>
      <c r="G2064" s="953"/>
      <c r="H2064" s="953"/>
    </row>
    <row r="2065" spans="1:8" s="943" customFormat="1" x14ac:dyDescent="0.25">
      <c r="A2065" s="952"/>
      <c r="B2065" s="953"/>
      <c r="C2065" s="953"/>
      <c r="D2065" s="953"/>
      <c r="E2065" s="953"/>
      <c r="F2065" s="953"/>
      <c r="G2065" s="953"/>
      <c r="H2065" s="953"/>
    </row>
    <row r="2066" spans="1:8" s="943" customFormat="1" x14ac:dyDescent="0.25">
      <c r="A2066" s="952"/>
      <c r="B2066" s="953"/>
      <c r="C2066" s="953"/>
      <c r="D2066" s="953"/>
      <c r="E2066" s="953"/>
      <c r="F2066" s="953"/>
      <c r="G2066" s="953"/>
      <c r="H2066" s="953"/>
    </row>
    <row r="2067" spans="1:8" s="943" customFormat="1" x14ac:dyDescent="0.25">
      <c r="A2067" s="952"/>
      <c r="B2067" s="953"/>
      <c r="C2067" s="953"/>
      <c r="D2067" s="953"/>
      <c r="E2067" s="953"/>
      <c r="F2067" s="953"/>
      <c r="G2067" s="953"/>
      <c r="H2067" s="953"/>
    </row>
    <row r="2068" spans="1:8" s="943" customFormat="1" x14ac:dyDescent="0.25">
      <c r="A2068" s="952"/>
      <c r="B2068" s="953"/>
      <c r="C2068" s="953"/>
      <c r="D2068" s="953"/>
      <c r="E2068" s="953"/>
      <c r="F2068" s="953"/>
      <c r="G2068" s="953"/>
      <c r="H2068" s="953"/>
    </row>
    <row r="2069" spans="1:8" s="943" customFormat="1" x14ac:dyDescent="0.25">
      <c r="A2069" s="952"/>
      <c r="B2069" s="953"/>
      <c r="C2069" s="953"/>
      <c r="D2069" s="953"/>
      <c r="E2069" s="953"/>
      <c r="F2069" s="953"/>
      <c r="G2069" s="953"/>
      <c r="H2069" s="953"/>
    </row>
    <row r="2070" spans="1:8" s="943" customFormat="1" x14ac:dyDescent="0.25">
      <c r="A2070" s="952"/>
      <c r="B2070" s="953"/>
      <c r="C2070" s="953"/>
      <c r="D2070" s="953"/>
      <c r="E2070" s="953"/>
      <c r="F2070" s="953"/>
      <c r="G2070" s="953"/>
      <c r="H2070" s="953"/>
    </row>
    <row r="2071" spans="1:8" s="943" customFormat="1" x14ac:dyDescent="0.25">
      <c r="A2071" s="952"/>
      <c r="B2071" s="953"/>
      <c r="C2071" s="953"/>
      <c r="D2071" s="953"/>
      <c r="E2071" s="953"/>
      <c r="F2071" s="953"/>
      <c r="G2071" s="953"/>
      <c r="H2071" s="953"/>
    </row>
    <row r="2072" spans="1:8" s="943" customFormat="1" x14ac:dyDescent="0.25">
      <c r="A2072" s="952"/>
      <c r="B2072" s="953"/>
      <c r="C2072" s="953"/>
      <c r="D2072" s="953"/>
      <c r="E2072" s="953"/>
      <c r="F2072" s="953"/>
      <c r="G2072" s="953"/>
      <c r="H2072" s="953"/>
    </row>
    <row r="2073" spans="1:8" s="943" customFormat="1" x14ac:dyDescent="0.25">
      <c r="A2073" s="952"/>
      <c r="B2073" s="953"/>
      <c r="C2073" s="953"/>
      <c r="D2073" s="953"/>
      <c r="E2073" s="953"/>
      <c r="F2073" s="953"/>
      <c r="G2073" s="953"/>
      <c r="H2073" s="953"/>
    </row>
    <row r="2074" spans="1:8" s="943" customFormat="1" x14ac:dyDescent="0.25">
      <c r="A2074" s="952"/>
      <c r="B2074" s="953"/>
      <c r="C2074" s="953"/>
      <c r="D2074" s="953"/>
      <c r="E2074" s="953"/>
      <c r="F2074" s="953"/>
      <c r="G2074" s="953"/>
      <c r="H2074" s="953"/>
    </row>
    <row r="2075" spans="1:8" s="943" customFormat="1" x14ac:dyDescent="0.25">
      <c r="A2075" s="952"/>
      <c r="B2075" s="953"/>
      <c r="C2075" s="953"/>
      <c r="D2075" s="953"/>
      <c r="E2075" s="953"/>
      <c r="F2075" s="953"/>
      <c r="G2075" s="953"/>
      <c r="H2075" s="953"/>
    </row>
    <row r="2076" spans="1:8" s="943" customFormat="1" x14ac:dyDescent="0.25">
      <c r="A2076" s="952"/>
      <c r="B2076" s="953"/>
      <c r="C2076" s="953"/>
      <c r="D2076" s="953"/>
      <c r="E2076" s="953"/>
      <c r="F2076" s="953"/>
      <c r="G2076" s="953"/>
      <c r="H2076" s="953"/>
    </row>
    <row r="2077" spans="1:8" s="943" customFormat="1" x14ac:dyDescent="0.25">
      <c r="A2077" s="952"/>
      <c r="B2077" s="953"/>
      <c r="C2077" s="953"/>
      <c r="D2077" s="953"/>
      <c r="E2077" s="953"/>
      <c r="F2077" s="953"/>
      <c r="G2077" s="953"/>
      <c r="H2077" s="953"/>
    </row>
    <row r="2078" spans="1:8" s="943" customFormat="1" x14ac:dyDescent="0.25">
      <c r="A2078" s="952"/>
      <c r="B2078" s="953"/>
      <c r="C2078" s="953"/>
      <c r="D2078" s="953"/>
      <c r="E2078" s="953"/>
      <c r="F2078" s="953"/>
      <c r="G2078" s="953"/>
      <c r="H2078" s="953"/>
    </row>
    <row r="2079" spans="1:8" s="943" customFormat="1" x14ac:dyDescent="0.25">
      <c r="A2079" s="952"/>
      <c r="B2079" s="953"/>
      <c r="C2079" s="953"/>
      <c r="D2079" s="953"/>
      <c r="E2079" s="953"/>
      <c r="F2079" s="953"/>
      <c r="G2079" s="953"/>
      <c r="H2079" s="953"/>
    </row>
    <row r="2080" spans="1:8" s="943" customFormat="1" x14ac:dyDescent="0.25">
      <c r="A2080" s="952"/>
      <c r="B2080" s="953"/>
      <c r="C2080" s="953"/>
      <c r="D2080" s="953"/>
      <c r="E2080" s="953"/>
      <c r="F2080" s="953"/>
      <c r="G2080" s="953"/>
      <c r="H2080" s="953"/>
    </row>
    <row r="2081" spans="1:8" s="943" customFormat="1" x14ac:dyDescent="0.25">
      <c r="A2081" s="952"/>
      <c r="B2081" s="953"/>
      <c r="C2081" s="953"/>
      <c r="D2081" s="953"/>
      <c r="E2081" s="953"/>
      <c r="F2081" s="953"/>
      <c r="G2081" s="953"/>
      <c r="H2081" s="953"/>
    </row>
    <row r="2082" spans="1:8" s="943" customFormat="1" x14ac:dyDescent="0.25">
      <c r="A2082" s="952"/>
      <c r="B2082" s="953"/>
      <c r="C2082" s="953"/>
      <c r="D2082" s="953"/>
      <c r="E2082" s="953"/>
      <c r="F2082" s="953"/>
      <c r="G2082" s="953"/>
      <c r="H2082" s="953"/>
    </row>
    <row r="2083" spans="1:8" s="943" customFormat="1" x14ac:dyDescent="0.25">
      <c r="A2083" s="952"/>
      <c r="B2083" s="953"/>
      <c r="C2083" s="953"/>
      <c r="D2083" s="953"/>
      <c r="E2083" s="953"/>
      <c r="F2083" s="953"/>
      <c r="G2083" s="953"/>
      <c r="H2083" s="953"/>
    </row>
    <row r="2084" spans="1:8" s="943" customFormat="1" x14ac:dyDescent="0.25">
      <c r="A2084" s="952"/>
      <c r="B2084" s="953"/>
      <c r="C2084" s="953"/>
      <c r="D2084" s="953"/>
      <c r="E2084" s="953"/>
      <c r="F2084" s="953"/>
      <c r="G2084" s="953"/>
      <c r="H2084" s="953"/>
    </row>
    <row r="2085" spans="1:8" s="943" customFormat="1" x14ac:dyDescent="0.25">
      <c r="A2085" s="952"/>
      <c r="B2085" s="953"/>
      <c r="C2085" s="953"/>
      <c r="D2085" s="953"/>
      <c r="E2085" s="953"/>
      <c r="F2085" s="953"/>
      <c r="G2085" s="953"/>
      <c r="H2085" s="953"/>
    </row>
    <row r="2086" spans="1:8" s="943" customFormat="1" x14ac:dyDescent="0.25">
      <c r="A2086" s="952"/>
      <c r="B2086" s="953"/>
      <c r="C2086" s="953"/>
      <c r="D2086" s="953"/>
      <c r="E2086" s="953"/>
      <c r="F2086" s="953"/>
      <c r="G2086" s="953"/>
      <c r="H2086" s="953"/>
    </row>
    <row r="2087" spans="1:8" s="943" customFormat="1" x14ac:dyDescent="0.25">
      <c r="A2087" s="952"/>
      <c r="B2087" s="953"/>
      <c r="C2087" s="953"/>
      <c r="D2087" s="953"/>
      <c r="E2087" s="953"/>
      <c r="F2087" s="953"/>
      <c r="G2087" s="953"/>
      <c r="H2087" s="953"/>
    </row>
    <row r="2088" spans="1:8" s="943" customFormat="1" x14ac:dyDescent="0.25">
      <c r="A2088" s="952"/>
      <c r="B2088" s="953"/>
      <c r="C2088" s="953"/>
      <c r="D2088" s="953"/>
      <c r="E2088" s="953"/>
      <c r="F2088" s="953"/>
      <c r="G2088" s="953"/>
      <c r="H2088" s="953"/>
    </row>
    <row r="2089" spans="1:8" s="943" customFormat="1" x14ac:dyDescent="0.25">
      <c r="A2089" s="952"/>
      <c r="B2089" s="953"/>
      <c r="C2089" s="953"/>
      <c r="D2089" s="953"/>
      <c r="E2089" s="953"/>
      <c r="F2089" s="953"/>
      <c r="G2089" s="953"/>
      <c r="H2089" s="953"/>
    </row>
    <row r="2090" spans="1:8" s="943" customFormat="1" x14ac:dyDescent="0.25">
      <c r="A2090" s="952"/>
      <c r="B2090" s="953"/>
      <c r="C2090" s="953"/>
      <c r="D2090" s="953"/>
      <c r="E2090" s="953"/>
      <c r="F2090" s="953"/>
      <c r="G2090" s="953"/>
      <c r="H2090" s="953"/>
    </row>
    <row r="2091" spans="1:8" s="943" customFormat="1" x14ac:dyDescent="0.25">
      <c r="A2091" s="952"/>
      <c r="B2091" s="953"/>
      <c r="C2091" s="953"/>
      <c r="D2091" s="953"/>
      <c r="E2091" s="953"/>
      <c r="F2091" s="953"/>
      <c r="G2091" s="953"/>
      <c r="H2091" s="953"/>
    </row>
    <row r="2092" spans="1:8" s="943" customFormat="1" x14ac:dyDescent="0.25">
      <c r="A2092" s="952"/>
      <c r="B2092" s="953"/>
      <c r="C2092" s="953"/>
      <c r="D2092" s="953"/>
      <c r="E2092" s="953"/>
      <c r="F2092" s="953"/>
      <c r="G2092" s="953"/>
      <c r="H2092" s="953"/>
    </row>
    <row r="2093" spans="1:8" s="943" customFormat="1" x14ac:dyDescent="0.25">
      <c r="A2093" s="952"/>
      <c r="B2093" s="953"/>
      <c r="C2093" s="953"/>
      <c r="D2093" s="953"/>
      <c r="E2093" s="953"/>
      <c r="F2093" s="953"/>
      <c r="G2093" s="953"/>
      <c r="H2093" s="953"/>
    </row>
    <row r="2094" spans="1:8" s="943" customFormat="1" x14ac:dyDescent="0.25">
      <c r="A2094" s="952"/>
      <c r="B2094" s="953"/>
      <c r="C2094" s="953"/>
      <c r="D2094" s="953"/>
      <c r="E2094" s="953"/>
      <c r="F2094" s="953"/>
      <c r="G2094" s="953"/>
      <c r="H2094" s="953"/>
    </row>
    <row r="2095" spans="1:8" s="943" customFormat="1" x14ac:dyDescent="0.25">
      <c r="A2095" s="952"/>
      <c r="B2095" s="953"/>
      <c r="C2095" s="953"/>
      <c r="D2095" s="953"/>
      <c r="E2095" s="953"/>
      <c r="F2095" s="953"/>
      <c r="G2095" s="953"/>
      <c r="H2095" s="953"/>
    </row>
    <row r="2096" spans="1:8" s="943" customFormat="1" x14ac:dyDescent="0.25">
      <c r="A2096" s="952"/>
      <c r="B2096" s="953"/>
      <c r="C2096" s="953"/>
      <c r="D2096" s="953"/>
      <c r="E2096" s="953"/>
      <c r="F2096" s="953"/>
      <c r="G2096" s="953"/>
      <c r="H2096" s="953"/>
    </row>
    <row r="2097" spans="1:8" s="943" customFormat="1" x14ac:dyDescent="0.25">
      <c r="A2097" s="952"/>
      <c r="B2097" s="953"/>
      <c r="C2097" s="953"/>
      <c r="D2097" s="953"/>
      <c r="E2097" s="953"/>
      <c r="F2097" s="953"/>
      <c r="G2097" s="953"/>
      <c r="H2097" s="953"/>
    </row>
    <row r="2098" spans="1:8" s="943" customFormat="1" x14ac:dyDescent="0.25">
      <c r="A2098" s="952"/>
      <c r="B2098" s="953"/>
      <c r="C2098" s="953"/>
      <c r="D2098" s="953"/>
      <c r="E2098" s="953"/>
      <c r="F2098" s="953"/>
      <c r="G2098" s="953"/>
      <c r="H2098" s="953"/>
    </row>
    <row r="2099" spans="1:8" s="943" customFormat="1" x14ac:dyDescent="0.25">
      <c r="A2099" s="952"/>
      <c r="B2099" s="953"/>
      <c r="C2099" s="953"/>
      <c r="D2099" s="953"/>
      <c r="E2099" s="953"/>
      <c r="F2099" s="953"/>
      <c r="G2099" s="953"/>
      <c r="H2099" s="953"/>
    </row>
    <row r="2100" spans="1:8" s="943" customFormat="1" x14ac:dyDescent="0.25">
      <c r="A2100" s="952"/>
      <c r="B2100" s="953"/>
      <c r="C2100" s="953"/>
      <c r="D2100" s="953"/>
      <c r="E2100" s="953"/>
      <c r="F2100" s="953"/>
      <c r="G2100" s="953"/>
      <c r="H2100" s="953"/>
    </row>
    <row r="2101" spans="1:8" s="943" customFormat="1" x14ac:dyDescent="0.25">
      <c r="A2101" s="952"/>
      <c r="B2101" s="953"/>
      <c r="C2101" s="953"/>
      <c r="D2101" s="953"/>
      <c r="E2101" s="953"/>
      <c r="F2101" s="953"/>
      <c r="G2101" s="953"/>
      <c r="H2101" s="953"/>
    </row>
    <row r="2102" spans="1:8" s="943" customFormat="1" x14ac:dyDescent="0.25">
      <c r="A2102" s="952"/>
      <c r="B2102" s="953"/>
      <c r="C2102" s="953"/>
      <c r="D2102" s="953"/>
      <c r="E2102" s="953"/>
      <c r="F2102" s="953"/>
      <c r="G2102" s="953"/>
      <c r="H2102" s="953"/>
    </row>
    <row r="2103" spans="1:8" s="943" customFormat="1" x14ac:dyDescent="0.25">
      <c r="A2103" s="952"/>
      <c r="B2103" s="953"/>
      <c r="C2103" s="953"/>
      <c r="D2103" s="953"/>
      <c r="E2103" s="953"/>
      <c r="F2103" s="953"/>
      <c r="G2103" s="953"/>
      <c r="H2103" s="953"/>
    </row>
    <row r="2104" spans="1:8" s="943" customFormat="1" x14ac:dyDescent="0.25">
      <c r="A2104" s="952"/>
      <c r="B2104" s="953"/>
      <c r="C2104" s="953"/>
      <c r="D2104" s="953"/>
      <c r="E2104" s="953"/>
      <c r="F2104" s="953"/>
      <c r="G2104" s="953"/>
      <c r="H2104" s="953"/>
    </row>
    <row r="2105" spans="1:8" s="943" customFormat="1" x14ac:dyDescent="0.25">
      <c r="A2105" s="952"/>
      <c r="B2105" s="953"/>
      <c r="C2105" s="953"/>
      <c r="D2105" s="953"/>
      <c r="E2105" s="953"/>
      <c r="F2105" s="953"/>
      <c r="G2105" s="953"/>
      <c r="H2105" s="953"/>
    </row>
    <row r="2106" spans="1:8" s="943" customFormat="1" x14ac:dyDescent="0.25">
      <c r="A2106" s="952"/>
      <c r="B2106" s="953"/>
      <c r="C2106" s="953"/>
      <c r="D2106" s="953"/>
      <c r="E2106" s="953"/>
      <c r="F2106" s="953"/>
      <c r="G2106" s="953"/>
      <c r="H2106" s="953"/>
    </row>
    <row r="2107" spans="1:8" s="943" customFormat="1" x14ac:dyDescent="0.25">
      <c r="A2107" s="952"/>
      <c r="B2107" s="953"/>
      <c r="C2107" s="953"/>
      <c r="D2107" s="953"/>
      <c r="E2107" s="953"/>
      <c r="F2107" s="953"/>
      <c r="G2107" s="953"/>
      <c r="H2107" s="953"/>
    </row>
    <row r="2108" spans="1:8" s="943" customFormat="1" x14ac:dyDescent="0.25">
      <c r="A2108" s="952"/>
      <c r="B2108" s="953"/>
      <c r="C2108" s="953"/>
      <c r="D2108" s="953"/>
      <c r="E2108" s="953"/>
      <c r="F2108" s="953"/>
      <c r="G2108" s="953"/>
      <c r="H2108" s="953"/>
    </row>
    <row r="2109" spans="1:8" s="943" customFormat="1" x14ac:dyDescent="0.25">
      <c r="A2109" s="952"/>
      <c r="B2109" s="953"/>
      <c r="C2109" s="953"/>
      <c r="D2109" s="953"/>
      <c r="E2109" s="953"/>
      <c r="F2109" s="953"/>
      <c r="G2109" s="953"/>
      <c r="H2109" s="953"/>
    </row>
    <row r="2110" spans="1:8" s="943" customFormat="1" x14ac:dyDescent="0.25">
      <c r="A2110" s="952"/>
      <c r="B2110" s="953"/>
      <c r="C2110" s="953"/>
      <c r="D2110" s="953"/>
      <c r="E2110" s="953"/>
      <c r="F2110" s="953"/>
      <c r="G2110" s="953"/>
      <c r="H2110" s="953"/>
    </row>
    <row r="2111" spans="1:8" s="943" customFormat="1" x14ac:dyDescent="0.25">
      <c r="A2111" s="952"/>
      <c r="B2111" s="953"/>
      <c r="C2111" s="953"/>
      <c r="D2111" s="953"/>
      <c r="E2111" s="953"/>
      <c r="F2111" s="953"/>
      <c r="G2111" s="953"/>
      <c r="H2111" s="953"/>
    </row>
    <row r="2112" spans="1:8" s="943" customFormat="1" x14ac:dyDescent="0.25">
      <c r="A2112" s="952"/>
      <c r="B2112" s="953"/>
      <c r="C2112" s="953"/>
      <c r="D2112" s="953"/>
      <c r="E2112" s="953"/>
      <c r="F2112" s="953"/>
      <c r="G2112" s="953"/>
      <c r="H2112" s="953"/>
    </row>
    <row r="2113" spans="1:8" s="943" customFormat="1" x14ac:dyDescent="0.25">
      <c r="A2113" s="952"/>
      <c r="B2113" s="953"/>
      <c r="C2113" s="953"/>
      <c r="D2113" s="953"/>
      <c r="E2113" s="953"/>
      <c r="F2113" s="953"/>
      <c r="G2113" s="953"/>
      <c r="H2113" s="953"/>
    </row>
    <row r="2114" spans="1:8" s="943" customFormat="1" x14ac:dyDescent="0.25">
      <c r="A2114" s="952"/>
      <c r="B2114" s="953"/>
      <c r="C2114" s="953"/>
      <c r="D2114" s="953"/>
      <c r="E2114" s="953"/>
      <c r="F2114" s="953"/>
      <c r="G2114" s="953"/>
      <c r="H2114" s="953"/>
    </row>
    <row r="2115" spans="1:8" s="943" customFormat="1" x14ac:dyDescent="0.25">
      <c r="A2115" s="952"/>
      <c r="B2115" s="953"/>
      <c r="C2115" s="953"/>
      <c r="D2115" s="953"/>
      <c r="E2115" s="953"/>
      <c r="F2115" s="953"/>
      <c r="G2115" s="953"/>
      <c r="H2115" s="953"/>
    </row>
    <row r="2116" spans="1:8" s="943" customFormat="1" x14ac:dyDescent="0.25">
      <c r="A2116" s="952"/>
      <c r="B2116" s="953"/>
      <c r="C2116" s="953"/>
      <c r="D2116" s="953"/>
      <c r="E2116" s="953"/>
      <c r="F2116" s="953"/>
      <c r="G2116" s="953"/>
      <c r="H2116" s="953"/>
    </row>
    <row r="2117" spans="1:8" s="943" customFormat="1" x14ac:dyDescent="0.25">
      <c r="A2117" s="952"/>
      <c r="B2117" s="953"/>
      <c r="C2117" s="953"/>
      <c r="D2117" s="953"/>
      <c r="E2117" s="953"/>
      <c r="F2117" s="953"/>
      <c r="G2117" s="953"/>
      <c r="H2117" s="953"/>
    </row>
    <row r="2118" spans="1:8" s="943" customFormat="1" x14ac:dyDescent="0.25">
      <c r="A2118" s="952"/>
      <c r="B2118" s="953"/>
      <c r="C2118" s="953"/>
      <c r="D2118" s="953"/>
      <c r="E2118" s="953"/>
      <c r="F2118" s="953"/>
      <c r="G2118" s="953"/>
      <c r="H2118" s="953"/>
    </row>
    <row r="2119" spans="1:8" s="943" customFormat="1" x14ac:dyDescent="0.25">
      <c r="A2119" s="952"/>
      <c r="B2119" s="953"/>
      <c r="C2119" s="953"/>
      <c r="D2119" s="953"/>
      <c r="E2119" s="953"/>
      <c r="F2119" s="953"/>
      <c r="G2119" s="953"/>
      <c r="H2119" s="953"/>
    </row>
    <row r="2120" spans="1:8" s="943" customFormat="1" x14ac:dyDescent="0.25">
      <c r="A2120" s="952"/>
      <c r="B2120" s="953"/>
      <c r="C2120" s="953"/>
      <c r="D2120" s="953"/>
      <c r="E2120" s="953"/>
      <c r="F2120" s="953"/>
      <c r="G2120" s="953"/>
      <c r="H2120" s="953"/>
    </row>
    <row r="2121" spans="1:8" s="943" customFormat="1" x14ac:dyDescent="0.25">
      <c r="A2121" s="952"/>
      <c r="B2121" s="953"/>
      <c r="C2121" s="953"/>
      <c r="D2121" s="953"/>
      <c r="E2121" s="953"/>
      <c r="F2121" s="953"/>
      <c r="G2121" s="953"/>
      <c r="H2121" s="953"/>
    </row>
    <row r="2122" spans="1:8" s="943" customFormat="1" x14ac:dyDescent="0.25">
      <c r="A2122" s="952"/>
      <c r="B2122" s="953"/>
      <c r="C2122" s="953"/>
      <c r="D2122" s="953"/>
      <c r="E2122" s="953"/>
      <c r="F2122" s="953"/>
      <c r="G2122" s="953"/>
      <c r="H2122" s="953"/>
    </row>
    <row r="2123" spans="1:8" s="943" customFormat="1" x14ac:dyDescent="0.25">
      <c r="A2123" s="952"/>
      <c r="B2123" s="953"/>
      <c r="C2123" s="953"/>
      <c r="D2123" s="953"/>
      <c r="E2123" s="953"/>
      <c r="F2123" s="953"/>
      <c r="G2123" s="953"/>
      <c r="H2123" s="953"/>
    </row>
    <row r="2124" spans="1:8" s="943" customFormat="1" x14ac:dyDescent="0.25">
      <c r="A2124" s="952"/>
      <c r="B2124" s="953"/>
      <c r="C2124" s="953"/>
      <c r="D2124" s="953"/>
      <c r="E2124" s="953"/>
      <c r="F2124" s="953"/>
      <c r="G2124" s="953"/>
      <c r="H2124" s="953"/>
    </row>
    <row r="2125" spans="1:8" s="943" customFormat="1" x14ac:dyDescent="0.25">
      <c r="A2125" s="952"/>
      <c r="B2125" s="953"/>
      <c r="C2125" s="953"/>
      <c r="D2125" s="953"/>
      <c r="E2125" s="953"/>
      <c r="F2125" s="953"/>
      <c r="G2125" s="953"/>
      <c r="H2125" s="953"/>
    </row>
    <row r="2126" spans="1:8" s="943" customFormat="1" x14ac:dyDescent="0.25">
      <c r="A2126" s="952"/>
      <c r="B2126" s="953"/>
      <c r="C2126" s="953"/>
      <c r="D2126" s="953"/>
      <c r="E2126" s="953"/>
      <c r="F2126" s="953"/>
      <c r="G2126" s="953"/>
      <c r="H2126" s="953"/>
    </row>
    <row r="2127" spans="1:8" s="943" customFormat="1" x14ac:dyDescent="0.25">
      <c r="A2127" s="952"/>
      <c r="B2127" s="953"/>
      <c r="C2127" s="953"/>
      <c r="D2127" s="953"/>
      <c r="E2127" s="953"/>
      <c r="F2127" s="953"/>
      <c r="G2127" s="953"/>
      <c r="H2127" s="953"/>
    </row>
    <row r="2128" spans="1:8" s="943" customFormat="1" x14ac:dyDescent="0.25">
      <c r="A2128" s="952"/>
      <c r="B2128" s="953"/>
      <c r="C2128" s="953"/>
      <c r="D2128" s="953"/>
      <c r="E2128" s="953"/>
      <c r="F2128" s="953"/>
      <c r="G2128" s="953"/>
      <c r="H2128" s="953"/>
    </row>
    <row r="2129" spans="1:8" s="943" customFormat="1" x14ac:dyDescent="0.25">
      <c r="A2129" s="952"/>
      <c r="B2129" s="953"/>
      <c r="C2129" s="953"/>
      <c r="D2129" s="953"/>
      <c r="E2129" s="953"/>
      <c r="F2129" s="953"/>
      <c r="G2129" s="953"/>
      <c r="H2129" s="953"/>
    </row>
    <row r="2130" spans="1:8" s="943" customFormat="1" x14ac:dyDescent="0.25">
      <c r="A2130" s="952"/>
      <c r="B2130" s="953"/>
      <c r="C2130" s="953"/>
      <c r="D2130" s="953"/>
      <c r="E2130" s="953"/>
      <c r="F2130" s="953"/>
      <c r="G2130" s="953"/>
      <c r="H2130" s="953"/>
    </row>
    <row r="2131" spans="1:8" s="943" customFormat="1" x14ac:dyDescent="0.25">
      <c r="A2131" s="952"/>
      <c r="B2131" s="953"/>
      <c r="C2131" s="953"/>
      <c r="D2131" s="953"/>
      <c r="E2131" s="953"/>
      <c r="F2131" s="953"/>
      <c r="G2131" s="953"/>
      <c r="H2131" s="953"/>
    </row>
    <row r="2132" spans="1:8" s="943" customFormat="1" x14ac:dyDescent="0.25">
      <c r="A2132" s="952"/>
      <c r="B2132" s="953"/>
      <c r="C2132" s="953"/>
      <c r="D2132" s="953"/>
      <c r="E2132" s="953"/>
      <c r="F2132" s="953"/>
      <c r="G2132" s="953"/>
      <c r="H2132" s="953"/>
    </row>
    <row r="2133" spans="1:8" s="943" customFormat="1" x14ac:dyDescent="0.25">
      <c r="A2133" s="952"/>
      <c r="B2133" s="953"/>
      <c r="C2133" s="953"/>
      <c r="D2133" s="953"/>
      <c r="E2133" s="953"/>
      <c r="F2133" s="953"/>
      <c r="G2133" s="953"/>
      <c r="H2133" s="953"/>
    </row>
    <row r="2134" spans="1:8" s="943" customFormat="1" x14ac:dyDescent="0.25">
      <c r="A2134" s="952"/>
      <c r="B2134" s="953"/>
      <c r="C2134" s="953"/>
      <c r="D2134" s="953"/>
      <c r="E2134" s="953"/>
      <c r="F2134" s="953"/>
      <c r="G2134" s="953"/>
      <c r="H2134" s="953"/>
    </row>
    <row r="2135" spans="1:8" s="943" customFormat="1" x14ac:dyDescent="0.25">
      <c r="A2135" s="952"/>
      <c r="B2135" s="953"/>
      <c r="C2135" s="953"/>
      <c r="D2135" s="953"/>
      <c r="E2135" s="953"/>
      <c r="F2135" s="953"/>
      <c r="G2135" s="953"/>
      <c r="H2135" s="953"/>
    </row>
    <row r="2136" spans="1:8" s="943" customFormat="1" x14ac:dyDescent="0.25">
      <c r="A2136" s="952"/>
      <c r="B2136" s="953"/>
      <c r="C2136" s="953"/>
      <c r="D2136" s="953"/>
      <c r="E2136" s="953"/>
      <c r="F2136" s="953"/>
      <c r="G2136" s="953"/>
      <c r="H2136" s="953"/>
    </row>
    <row r="2137" spans="1:8" s="943" customFormat="1" x14ac:dyDescent="0.25">
      <c r="A2137" s="952"/>
      <c r="B2137" s="953"/>
      <c r="C2137" s="953"/>
      <c r="D2137" s="953"/>
      <c r="E2137" s="953"/>
      <c r="F2137" s="953"/>
      <c r="G2137" s="953"/>
      <c r="H2137" s="953"/>
    </row>
    <row r="2138" spans="1:8" s="943" customFormat="1" x14ac:dyDescent="0.25">
      <c r="A2138" s="952"/>
      <c r="B2138" s="953"/>
      <c r="C2138" s="953"/>
      <c r="D2138" s="953"/>
      <c r="E2138" s="953"/>
      <c r="F2138" s="953"/>
      <c r="G2138" s="953"/>
      <c r="H2138" s="953"/>
    </row>
    <row r="2139" spans="1:8" s="943" customFormat="1" x14ac:dyDescent="0.25">
      <c r="A2139" s="952"/>
      <c r="B2139" s="953"/>
      <c r="C2139" s="953"/>
      <c r="D2139" s="953"/>
      <c r="E2139" s="953"/>
      <c r="F2139" s="953"/>
      <c r="G2139" s="953"/>
      <c r="H2139" s="953"/>
    </row>
    <row r="2140" spans="1:8" s="943" customFormat="1" x14ac:dyDescent="0.25">
      <c r="A2140" s="952"/>
      <c r="B2140" s="953"/>
      <c r="C2140" s="953"/>
      <c r="D2140" s="953"/>
      <c r="E2140" s="953"/>
      <c r="F2140" s="953"/>
      <c r="G2140" s="953"/>
      <c r="H2140" s="953"/>
    </row>
    <row r="2141" spans="1:8" s="943" customFormat="1" x14ac:dyDescent="0.25">
      <c r="A2141" s="952"/>
      <c r="B2141" s="953"/>
      <c r="C2141" s="953"/>
      <c r="D2141" s="953"/>
      <c r="E2141" s="953"/>
      <c r="F2141" s="953"/>
      <c r="G2141" s="953"/>
      <c r="H2141" s="953"/>
    </row>
    <row r="2142" spans="1:8" s="943" customFormat="1" x14ac:dyDescent="0.25">
      <c r="A2142" s="952"/>
      <c r="B2142" s="953"/>
      <c r="C2142" s="953"/>
      <c r="D2142" s="953"/>
      <c r="E2142" s="953"/>
      <c r="F2142" s="953"/>
      <c r="G2142" s="953"/>
      <c r="H2142" s="953"/>
    </row>
    <row r="2143" spans="1:8" s="943" customFormat="1" x14ac:dyDescent="0.25">
      <c r="A2143" s="952"/>
      <c r="B2143" s="953"/>
      <c r="C2143" s="953"/>
      <c r="D2143" s="953"/>
      <c r="E2143" s="953"/>
      <c r="F2143" s="953"/>
      <c r="G2143" s="953"/>
      <c r="H2143" s="953"/>
    </row>
    <row r="2144" spans="1:8" s="943" customFormat="1" x14ac:dyDescent="0.25">
      <c r="A2144" s="952"/>
      <c r="B2144" s="953"/>
      <c r="C2144" s="953"/>
      <c r="D2144" s="953"/>
      <c r="E2144" s="953"/>
      <c r="F2144" s="953"/>
      <c r="G2144" s="953"/>
      <c r="H2144" s="953"/>
    </row>
    <row r="2145" spans="1:8" s="943" customFormat="1" x14ac:dyDescent="0.25">
      <c r="A2145" s="952"/>
      <c r="B2145" s="953"/>
      <c r="C2145" s="953"/>
      <c r="D2145" s="953"/>
      <c r="E2145" s="953"/>
      <c r="F2145" s="953"/>
      <c r="G2145" s="953"/>
      <c r="H2145" s="953"/>
    </row>
    <row r="2146" spans="1:8" s="943" customFormat="1" x14ac:dyDescent="0.25">
      <c r="A2146" s="952"/>
      <c r="B2146" s="953"/>
      <c r="C2146" s="953"/>
      <c r="D2146" s="953"/>
      <c r="E2146" s="953"/>
      <c r="F2146" s="953"/>
      <c r="G2146" s="953"/>
      <c r="H2146" s="953"/>
    </row>
    <row r="2147" spans="1:8" s="943" customFormat="1" x14ac:dyDescent="0.25">
      <c r="A2147" s="952"/>
      <c r="B2147" s="953"/>
      <c r="C2147" s="953"/>
      <c r="D2147" s="953"/>
      <c r="E2147" s="953"/>
      <c r="F2147" s="953"/>
      <c r="G2147" s="953"/>
      <c r="H2147" s="953"/>
    </row>
    <row r="2148" spans="1:8" s="943" customFormat="1" x14ac:dyDescent="0.25">
      <c r="A2148" s="952"/>
      <c r="B2148" s="953"/>
      <c r="C2148" s="953"/>
      <c r="D2148" s="953"/>
      <c r="E2148" s="953"/>
      <c r="F2148" s="953"/>
      <c r="G2148" s="953"/>
      <c r="H2148" s="953"/>
    </row>
    <row r="2149" spans="1:8" s="943" customFormat="1" x14ac:dyDescent="0.25">
      <c r="A2149" s="952"/>
      <c r="B2149" s="953"/>
      <c r="C2149" s="953"/>
      <c r="D2149" s="953"/>
      <c r="E2149" s="953"/>
      <c r="F2149" s="953"/>
      <c r="G2149" s="953"/>
      <c r="H2149" s="953"/>
    </row>
    <row r="2150" spans="1:8" s="943" customFormat="1" x14ac:dyDescent="0.25">
      <c r="A2150" s="952"/>
      <c r="B2150" s="953"/>
      <c r="C2150" s="953"/>
      <c r="D2150" s="953"/>
      <c r="E2150" s="953"/>
      <c r="F2150" s="953"/>
      <c r="G2150" s="953"/>
      <c r="H2150" s="953"/>
    </row>
    <row r="2151" spans="1:8" s="943" customFormat="1" x14ac:dyDescent="0.25">
      <c r="A2151" s="952"/>
      <c r="B2151" s="953"/>
      <c r="C2151" s="953"/>
      <c r="D2151" s="953"/>
      <c r="E2151" s="953"/>
      <c r="F2151" s="953"/>
      <c r="G2151" s="953"/>
      <c r="H2151" s="953"/>
    </row>
    <row r="2152" spans="1:8" s="943" customFormat="1" x14ac:dyDescent="0.25">
      <c r="A2152" s="952"/>
      <c r="B2152" s="953"/>
      <c r="C2152" s="953"/>
      <c r="D2152" s="953"/>
      <c r="E2152" s="953"/>
      <c r="F2152" s="953"/>
      <c r="G2152" s="953"/>
      <c r="H2152" s="953"/>
    </row>
    <row r="2153" spans="1:8" s="943" customFormat="1" x14ac:dyDescent="0.25">
      <c r="A2153" s="952"/>
      <c r="B2153" s="953"/>
      <c r="C2153" s="953"/>
      <c r="D2153" s="953"/>
      <c r="E2153" s="953"/>
      <c r="F2153" s="953"/>
      <c r="G2153" s="953"/>
      <c r="H2153" s="953"/>
    </row>
    <row r="2154" spans="1:8" s="943" customFormat="1" x14ac:dyDescent="0.25">
      <c r="A2154" s="952"/>
      <c r="B2154" s="953"/>
      <c r="C2154" s="953"/>
      <c r="D2154" s="953"/>
      <c r="E2154" s="953"/>
      <c r="F2154" s="953"/>
      <c r="G2154" s="953"/>
      <c r="H2154" s="953"/>
    </row>
    <row r="2155" spans="1:8" s="943" customFormat="1" x14ac:dyDescent="0.25">
      <c r="A2155" s="952"/>
      <c r="B2155" s="953"/>
      <c r="C2155" s="953"/>
      <c r="D2155" s="953"/>
      <c r="E2155" s="953"/>
      <c r="F2155" s="953"/>
      <c r="G2155" s="953"/>
      <c r="H2155" s="953"/>
    </row>
    <row r="2156" spans="1:8" s="943" customFormat="1" x14ac:dyDescent="0.25">
      <c r="A2156" s="952"/>
      <c r="B2156" s="953"/>
      <c r="C2156" s="953"/>
      <c r="D2156" s="953"/>
      <c r="E2156" s="953"/>
      <c r="F2156" s="953"/>
      <c r="G2156" s="953"/>
      <c r="H2156" s="953"/>
    </row>
    <row r="2157" spans="1:8" s="943" customFormat="1" x14ac:dyDescent="0.25">
      <c r="A2157" s="952"/>
      <c r="B2157" s="953"/>
      <c r="C2157" s="953"/>
      <c r="D2157" s="953"/>
      <c r="E2157" s="953"/>
      <c r="F2157" s="953"/>
      <c r="G2157" s="953"/>
      <c r="H2157" s="953"/>
    </row>
    <row r="2158" spans="1:8" s="943" customFormat="1" x14ac:dyDescent="0.25">
      <c r="A2158" s="952"/>
      <c r="B2158" s="953"/>
      <c r="C2158" s="953"/>
      <c r="D2158" s="953"/>
      <c r="E2158" s="953"/>
      <c r="F2158" s="953"/>
      <c r="G2158" s="953"/>
      <c r="H2158" s="953"/>
    </row>
    <row r="2159" spans="1:8" s="943" customFormat="1" x14ac:dyDescent="0.25">
      <c r="A2159" s="952"/>
      <c r="B2159" s="953"/>
      <c r="C2159" s="953"/>
      <c r="D2159" s="953"/>
      <c r="E2159" s="953"/>
      <c r="F2159" s="953"/>
      <c r="G2159" s="953"/>
      <c r="H2159" s="953"/>
    </row>
    <row r="2160" spans="1:8" s="943" customFormat="1" x14ac:dyDescent="0.25">
      <c r="A2160" s="952"/>
      <c r="B2160" s="953"/>
      <c r="C2160" s="953"/>
      <c r="D2160" s="953"/>
      <c r="E2160" s="953"/>
      <c r="F2160" s="953"/>
      <c r="G2160" s="953"/>
      <c r="H2160" s="953"/>
    </row>
    <row r="2161" spans="1:8" s="943" customFormat="1" x14ac:dyDescent="0.25">
      <c r="A2161" s="952"/>
      <c r="B2161" s="953"/>
      <c r="C2161" s="953"/>
      <c r="D2161" s="953"/>
      <c r="E2161" s="953"/>
      <c r="F2161" s="953"/>
      <c r="G2161" s="953"/>
      <c r="H2161" s="953"/>
    </row>
    <row r="2162" spans="1:8" s="943" customFormat="1" x14ac:dyDescent="0.25">
      <c r="A2162" s="952"/>
      <c r="B2162" s="953"/>
      <c r="C2162" s="953"/>
      <c r="D2162" s="953"/>
      <c r="E2162" s="953"/>
      <c r="F2162" s="953"/>
      <c r="G2162" s="953"/>
      <c r="H2162" s="953"/>
    </row>
    <row r="2163" spans="1:8" s="943" customFormat="1" x14ac:dyDescent="0.25">
      <c r="A2163" s="952"/>
      <c r="B2163" s="953"/>
      <c r="C2163" s="953"/>
      <c r="D2163" s="953"/>
      <c r="E2163" s="953"/>
      <c r="F2163" s="953"/>
      <c r="G2163" s="953"/>
      <c r="H2163" s="953"/>
    </row>
    <row r="2164" spans="1:8" s="943" customFormat="1" x14ac:dyDescent="0.25">
      <c r="A2164" s="952"/>
      <c r="B2164" s="953"/>
      <c r="C2164" s="953"/>
      <c r="D2164" s="953"/>
      <c r="E2164" s="953"/>
      <c r="F2164" s="953"/>
      <c r="G2164" s="953"/>
      <c r="H2164" s="953"/>
    </row>
    <row r="2165" spans="1:8" s="943" customFormat="1" x14ac:dyDescent="0.25">
      <c r="A2165" s="952"/>
      <c r="B2165" s="953"/>
      <c r="C2165" s="953"/>
      <c r="D2165" s="953"/>
      <c r="E2165" s="953"/>
      <c r="F2165" s="953"/>
      <c r="G2165" s="953"/>
      <c r="H2165" s="953"/>
    </row>
    <row r="2166" spans="1:8" s="943" customFormat="1" x14ac:dyDescent="0.25">
      <c r="A2166" s="952"/>
      <c r="B2166" s="953"/>
      <c r="C2166" s="953"/>
      <c r="D2166" s="953"/>
      <c r="E2166" s="953"/>
      <c r="F2166" s="953"/>
      <c r="G2166" s="953"/>
      <c r="H2166" s="953"/>
    </row>
    <row r="2167" spans="1:8" s="943" customFormat="1" x14ac:dyDescent="0.25">
      <c r="A2167" s="952"/>
      <c r="B2167" s="953"/>
      <c r="C2167" s="953"/>
      <c r="D2167" s="953"/>
      <c r="E2167" s="953"/>
      <c r="F2167" s="953"/>
      <c r="G2167" s="953"/>
      <c r="H2167" s="953"/>
    </row>
    <row r="2168" spans="1:8" s="943" customFormat="1" x14ac:dyDescent="0.25">
      <c r="A2168" s="952"/>
      <c r="B2168" s="953"/>
      <c r="C2168" s="953"/>
      <c r="D2168" s="953"/>
      <c r="E2168" s="953"/>
      <c r="F2168" s="953"/>
      <c r="G2168" s="953"/>
      <c r="H2168" s="953"/>
    </row>
    <row r="2169" spans="1:8" s="943" customFormat="1" x14ac:dyDescent="0.25">
      <c r="A2169" s="952"/>
      <c r="B2169" s="953"/>
      <c r="C2169" s="953"/>
      <c r="D2169" s="953"/>
      <c r="E2169" s="953"/>
      <c r="F2169" s="953"/>
      <c r="G2169" s="953"/>
      <c r="H2169" s="953"/>
    </row>
    <row r="2170" spans="1:8" s="943" customFormat="1" x14ac:dyDescent="0.25">
      <c r="A2170" s="952"/>
      <c r="B2170" s="953"/>
      <c r="C2170" s="953"/>
      <c r="D2170" s="953"/>
      <c r="E2170" s="953"/>
      <c r="F2170" s="953"/>
      <c r="G2170" s="953"/>
      <c r="H2170" s="953"/>
    </row>
    <row r="2171" spans="1:8" s="943" customFormat="1" x14ac:dyDescent="0.25">
      <c r="A2171" s="952"/>
      <c r="B2171" s="953"/>
      <c r="C2171" s="953"/>
      <c r="D2171" s="953"/>
      <c r="E2171" s="953"/>
      <c r="F2171" s="953"/>
      <c r="G2171" s="953"/>
      <c r="H2171" s="953"/>
    </row>
    <row r="2172" spans="1:8" s="943" customFormat="1" x14ac:dyDescent="0.25">
      <c r="A2172" s="952"/>
      <c r="B2172" s="953"/>
      <c r="C2172" s="953"/>
      <c r="D2172" s="953"/>
      <c r="E2172" s="953"/>
      <c r="F2172" s="953"/>
      <c r="G2172" s="953"/>
      <c r="H2172" s="953"/>
    </row>
    <row r="2173" spans="1:8" s="943" customFormat="1" x14ac:dyDescent="0.25">
      <c r="A2173" s="952"/>
      <c r="B2173" s="953"/>
      <c r="C2173" s="953"/>
      <c r="D2173" s="953"/>
      <c r="E2173" s="953"/>
      <c r="F2173" s="953"/>
      <c r="G2173" s="953"/>
      <c r="H2173" s="953"/>
    </row>
    <row r="2174" spans="1:8" s="943" customFormat="1" x14ac:dyDescent="0.25">
      <c r="A2174" s="952"/>
      <c r="B2174" s="953"/>
      <c r="C2174" s="953"/>
      <c r="D2174" s="953"/>
      <c r="E2174" s="953"/>
      <c r="F2174" s="953"/>
      <c r="G2174" s="953"/>
      <c r="H2174" s="953"/>
    </row>
    <row r="2175" spans="1:8" s="943" customFormat="1" x14ac:dyDescent="0.25">
      <c r="A2175" s="952"/>
      <c r="B2175" s="953"/>
      <c r="C2175" s="953"/>
      <c r="D2175" s="953"/>
      <c r="E2175" s="953"/>
      <c r="F2175" s="953"/>
      <c r="G2175" s="953"/>
      <c r="H2175" s="953"/>
    </row>
    <row r="2176" spans="1:8" s="943" customFormat="1" x14ac:dyDescent="0.25">
      <c r="A2176" s="952"/>
      <c r="B2176" s="953"/>
      <c r="C2176" s="953"/>
      <c r="D2176" s="953"/>
      <c r="E2176" s="953"/>
      <c r="F2176" s="953"/>
      <c r="G2176" s="953"/>
      <c r="H2176" s="953"/>
    </row>
    <row r="2177" spans="1:8" s="943" customFormat="1" x14ac:dyDescent="0.25">
      <c r="A2177" s="952"/>
      <c r="B2177" s="953"/>
      <c r="C2177" s="953"/>
      <c r="D2177" s="953"/>
      <c r="E2177" s="953"/>
      <c r="F2177" s="953"/>
      <c r="G2177" s="953"/>
      <c r="H2177" s="953"/>
    </row>
    <row r="2178" spans="1:8" s="943" customFormat="1" x14ac:dyDescent="0.25">
      <c r="A2178" s="952"/>
      <c r="B2178" s="953"/>
      <c r="C2178" s="953"/>
      <c r="D2178" s="953"/>
      <c r="E2178" s="953"/>
      <c r="F2178" s="953"/>
      <c r="G2178" s="953"/>
      <c r="H2178" s="953"/>
    </row>
    <row r="2179" spans="1:8" s="943" customFormat="1" x14ac:dyDescent="0.25">
      <c r="A2179" s="952"/>
      <c r="B2179" s="953"/>
      <c r="C2179" s="953"/>
      <c r="D2179" s="953"/>
      <c r="E2179" s="953"/>
      <c r="F2179" s="953"/>
      <c r="G2179" s="953"/>
      <c r="H2179" s="953"/>
    </row>
    <row r="2180" spans="1:8" s="943" customFormat="1" x14ac:dyDescent="0.25">
      <c r="A2180" s="952"/>
      <c r="B2180" s="953"/>
      <c r="C2180" s="953"/>
      <c r="D2180" s="953"/>
      <c r="E2180" s="953"/>
      <c r="F2180" s="953"/>
      <c r="G2180" s="953"/>
      <c r="H2180" s="953"/>
    </row>
    <row r="2181" spans="1:8" s="943" customFormat="1" x14ac:dyDescent="0.25">
      <c r="A2181" s="952"/>
      <c r="B2181" s="953"/>
      <c r="C2181" s="953"/>
      <c r="D2181" s="953"/>
      <c r="E2181" s="953"/>
      <c r="F2181" s="953"/>
      <c r="G2181" s="953"/>
      <c r="H2181" s="953"/>
    </row>
    <row r="2182" spans="1:8" s="943" customFormat="1" x14ac:dyDescent="0.25">
      <c r="A2182" s="952"/>
      <c r="B2182" s="953"/>
      <c r="C2182" s="953"/>
      <c r="D2182" s="953"/>
      <c r="E2182" s="953"/>
      <c r="F2182" s="953"/>
      <c r="G2182" s="953"/>
      <c r="H2182" s="953"/>
    </row>
    <row r="2183" spans="1:8" s="943" customFormat="1" x14ac:dyDescent="0.25">
      <c r="A2183" s="952"/>
      <c r="B2183" s="953"/>
      <c r="C2183" s="953"/>
      <c r="D2183" s="953"/>
      <c r="E2183" s="953"/>
      <c r="F2183" s="953"/>
      <c r="G2183" s="953"/>
      <c r="H2183" s="953"/>
    </row>
    <row r="2184" spans="1:8" s="943" customFormat="1" x14ac:dyDescent="0.25">
      <c r="A2184" s="952"/>
      <c r="B2184" s="953"/>
      <c r="C2184" s="953"/>
      <c r="D2184" s="953"/>
      <c r="E2184" s="953"/>
      <c r="F2184" s="953"/>
      <c r="G2184" s="953"/>
      <c r="H2184" s="953"/>
    </row>
    <row r="2185" spans="1:8" s="943" customFormat="1" x14ac:dyDescent="0.25">
      <c r="A2185" s="952"/>
      <c r="B2185" s="953"/>
      <c r="C2185" s="953"/>
      <c r="D2185" s="953"/>
      <c r="E2185" s="953"/>
      <c r="F2185" s="953"/>
      <c r="G2185" s="953"/>
      <c r="H2185" s="953"/>
    </row>
    <row r="2186" spans="1:8" s="943" customFormat="1" x14ac:dyDescent="0.25">
      <c r="A2186" s="952"/>
      <c r="B2186" s="953"/>
      <c r="C2186" s="953"/>
      <c r="D2186" s="953"/>
      <c r="E2186" s="953"/>
      <c r="F2186" s="953"/>
      <c r="G2186" s="953"/>
      <c r="H2186" s="953"/>
    </row>
    <row r="2187" spans="1:8" s="943" customFormat="1" x14ac:dyDescent="0.25">
      <c r="A2187" s="952"/>
      <c r="B2187" s="953"/>
      <c r="C2187" s="953"/>
      <c r="D2187" s="953"/>
      <c r="E2187" s="953"/>
      <c r="F2187" s="953"/>
      <c r="G2187" s="953"/>
      <c r="H2187" s="953"/>
    </row>
    <row r="2188" spans="1:8" s="943" customFormat="1" x14ac:dyDescent="0.25">
      <c r="A2188" s="952"/>
      <c r="B2188" s="953"/>
      <c r="C2188" s="953"/>
      <c r="D2188" s="953"/>
      <c r="E2188" s="953"/>
      <c r="F2188" s="953"/>
      <c r="G2188" s="953"/>
      <c r="H2188" s="953"/>
    </row>
    <row r="2189" spans="1:8" s="943" customFormat="1" x14ac:dyDescent="0.25">
      <c r="A2189" s="952"/>
      <c r="B2189" s="953"/>
      <c r="C2189" s="953"/>
      <c r="D2189" s="953"/>
      <c r="E2189" s="953"/>
      <c r="F2189" s="953"/>
      <c r="G2189" s="953"/>
      <c r="H2189" s="953"/>
    </row>
    <row r="2190" spans="1:8" s="943" customFormat="1" x14ac:dyDescent="0.25">
      <c r="A2190" s="952"/>
      <c r="B2190" s="953"/>
      <c r="C2190" s="953"/>
      <c r="D2190" s="953"/>
      <c r="E2190" s="953"/>
      <c r="F2190" s="953"/>
      <c r="G2190" s="953"/>
      <c r="H2190" s="953"/>
    </row>
    <row r="2191" spans="1:8" s="943" customFormat="1" x14ac:dyDescent="0.25">
      <c r="A2191" s="952"/>
      <c r="B2191" s="953"/>
      <c r="C2191" s="953"/>
      <c r="D2191" s="953"/>
      <c r="E2191" s="953"/>
      <c r="F2191" s="953"/>
      <c r="G2191" s="953"/>
      <c r="H2191" s="953"/>
    </row>
    <row r="2192" spans="1:8" s="943" customFormat="1" x14ac:dyDescent="0.25">
      <c r="A2192" s="952"/>
      <c r="B2192" s="953"/>
      <c r="C2192" s="953"/>
      <c r="D2192" s="953"/>
      <c r="E2192" s="953"/>
      <c r="F2192" s="953"/>
      <c r="G2192" s="953"/>
      <c r="H2192" s="953"/>
    </row>
    <row r="2193" spans="1:8" s="943" customFormat="1" x14ac:dyDescent="0.25">
      <c r="A2193" s="952"/>
      <c r="B2193" s="953"/>
      <c r="C2193" s="953"/>
      <c r="D2193" s="953"/>
      <c r="E2193" s="953"/>
      <c r="F2193" s="953"/>
      <c r="G2193" s="953"/>
      <c r="H2193" s="953"/>
    </row>
    <row r="2194" spans="1:8" s="943" customFormat="1" x14ac:dyDescent="0.25">
      <c r="A2194" s="952"/>
      <c r="B2194" s="953"/>
      <c r="C2194" s="953"/>
      <c r="D2194" s="953"/>
      <c r="E2194" s="953"/>
      <c r="F2194" s="953"/>
      <c r="G2194" s="953"/>
      <c r="H2194" s="953"/>
    </row>
    <row r="2195" spans="1:8" s="943" customFormat="1" x14ac:dyDescent="0.25">
      <c r="A2195" s="952"/>
      <c r="B2195" s="953"/>
      <c r="C2195" s="953"/>
      <c r="D2195" s="953"/>
      <c r="E2195" s="953"/>
      <c r="F2195" s="953"/>
      <c r="G2195" s="953"/>
      <c r="H2195" s="953"/>
    </row>
    <row r="2196" spans="1:8" s="943" customFormat="1" x14ac:dyDescent="0.25">
      <c r="A2196" s="952"/>
      <c r="B2196" s="953"/>
      <c r="C2196" s="953"/>
      <c r="D2196" s="953"/>
      <c r="E2196" s="953"/>
      <c r="F2196" s="953"/>
      <c r="G2196" s="953"/>
      <c r="H2196" s="953"/>
    </row>
    <row r="2197" spans="1:8" s="943" customFormat="1" x14ac:dyDescent="0.25">
      <c r="A2197" s="952"/>
      <c r="B2197" s="953"/>
      <c r="C2197" s="953"/>
      <c r="D2197" s="953"/>
      <c r="E2197" s="953"/>
      <c r="F2197" s="953"/>
      <c r="G2197" s="953"/>
      <c r="H2197" s="953"/>
    </row>
    <row r="2198" spans="1:8" s="943" customFormat="1" x14ac:dyDescent="0.25">
      <c r="A2198" s="952"/>
      <c r="B2198" s="953"/>
      <c r="C2198" s="953"/>
      <c r="D2198" s="953"/>
      <c r="E2198" s="953"/>
      <c r="F2198" s="953"/>
      <c r="G2198" s="953"/>
      <c r="H2198" s="953"/>
    </row>
    <row r="2199" spans="1:8" s="943" customFormat="1" x14ac:dyDescent="0.25">
      <c r="A2199" s="952"/>
      <c r="B2199" s="953"/>
      <c r="C2199" s="953"/>
      <c r="D2199" s="953"/>
      <c r="E2199" s="953"/>
      <c r="F2199" s="953"/>
      <c r="G2199" s="953"/>
      <c r="H2199" s="953"/>
    </row>
    <row r="2200" spans="1:8" s="943" customFormat="1" x14ac:dyDescent="0.25">
      <c r="A2200" s="952"/>
      <c r="B2200" s="953"/>
      <c r="C2200" s="953"/>
      <c r="D2200" s="953"/>
      <c r="E2200" s="953"/>
      <c r="F2200" s="953"/>
      <c r="G2200" s="953"/>
      <c r="H2200" s="953"/>
    </row>
    <row r="2201" spans="1:8" s="943" customFormat="1" x14ac:dyDescent="0.25">
      <c r="A2201" s="952"/>
      <c r="B2201" s="953"/>
      <c r="C2201" s="953"/>
      <c r="D2201" s="953"/>
      <c r="E2201" s="953"/>
      <c r="F2201" s="953"/>
      <c r="G2201" s="953"/>
      <c r="H2201" s="953"/>
    </row>
    <row r="2202" spans="1:8" s="943" customFormat="1" x14ac:dyDescent="0.25">
      <c r="A2202" s="952"/>
      <c r="B2202" s="953"/>
      <c r="C2202" s="953"/>
      <c r="D2202" s="953"/>
      <c r="E2202" s="953"/>
      <c r="F2202" s="953"/>
      <c r="G2202" s="953"/>
      <c r="H2202" s="953"/>
    </row>
    <row r="2203" spans="1:8" s="943" customFormat="1" x14ac:dyDescent="0.25">
      <c r="A2203" s="952"/>
      <c r="B2203" s="953"/>
      <c r="C2203" s="953"/>
      <c r="D2203" s="953"/>
      <c r="E2203" s="953"/>
      <c r="F2203" s="953"/>
      <c r="G2203" s="953"/>
      <c r="H2203" s="953"/>
    </row>
    <row r="2204" spans="1:8" s="943" customFormat="1" x14ac:dyDescent="0.25">
      <c r="A2204" s="952"/>
      <c r="B2204" s="953"/>
      <c r="C2204" s="953"/>
      <c r="D2204" s="953"/>
      <c r="E2204" s="953"/>
      <c r="F2204" s="953"/>
      <c r="G2204" s="953"/>
      <c r="H2204" s="953"/>
    </row>
    <row r="2205" spans="1:8" s="943" customFormat="1" x14ac:dyDescent="0.25">
      <c r="A2205" s="952"/>
      <c r="B2205" s="953"/>
      <c r="C2205" s="953"/>
      <c r="D2205" s="953"/>
      <c r="E2205" s="953"/>
      <c r="F2205" s="953"/>
      <c r="G2205" s="953"/>
      <c r="H2205" s="953"/>
    </row>
    <row r="2206" spans="1:8" s="943" customFormat="1" x14ac:dyDescent="0.25">
      <c r="A2206" s="952"/>
      <c r="B2206" s="953"/>
      <c r="C2206" s="953"/>
      <c r="D2206" s="953"/>
      <c r="E2206" s="953"/>
      <c r="F2206" s="953"/>
      <c r="G2206" s="953"/>
      <c r="H2206" s="953"/>
    </row>
    <row r="2207" spans="1:8" s="943" customFormat="1" x14ac:dyDescent="0.25">
      <c r="A2207" s="952"/>
      <c r="B2207" s="953"/>
      <c r="C2207" s="953"/>
      <c r="D2207" s="953"/>
      <c r="E2207" s="953"/>
      <c r="F2207" s="953"/>
      <c r="G2207" s="953"/>
      <c r="H2207" s="953"/>
    </row>
    <row r="2208" spans="1:8" s="943" customFormat="1" x14ac:dyDescent="0.25">
      <c r="A2208" s="952"/>
      <c r="B2208" s="953"/>
      <c r="C2208" s="953"/>
      <c r="D2208" s="953"/>
      <c r="E2208" s="953"/>
      <c r="F2208" s="953"/>
      <c r="G2208" s="953"/>
      <c r="H2208" s="953"/>
    </row>
    <row r="2209" spans="1:8" s="943" customFormat="1" x14ac:dyDescent="0.25">
      <c r="A2209" s="952"/>
      <c r="B2209" s="953"/>
      <c r="C2209" s="953"/>
      <c r="D2209" s="953"/>
      <c r="E2209" s="953"/>
      <c r="F2209" s="953"/>
      <c r="G2209" s="953"/>
      <c r="H2209" s="953"/>
    </row>
    <row r="2210" spans="1:8" s="943" customFormat="1" x14ac:dyDescent="0.25">
      <c r="A2210" s="952"/>
      <c r="B2210" s="953"/>
      <c r="C2210" s="953"/>
      <c r="D2210" s="953"/>
      <c r="E2210" s="953"/>
      <c r="F2210" s="953"/>
      <c r="G2210" s="953"/>
      <c r="H2210" s="953"/>
    </row>
    <row r="2211" spans="1:8" s="943" customFormat="1" x14ac:dyDescent="0.25">
      <c r="A2211" s="952"/>
      <c r="B2211" s="953"/>
      <c r="C2211" s="953"/>
      <c r="D2211" s="953"/>
      <c r="E2211" s="953"/>
      <c r="F2211" s="953"/>
      <c r="G2211" s="953"/>
      <c r="H2211" s="953"/>
    </row>
    <row r="2212" spans="1:8" s="943" customFormat="1" x14ac:dyDescent="0.25">
      <c r="A2212" s="952"/>
      <c r="B2212" s="953"/>
      <c r="C2212" s="953"/>
      <c r="D2212" s="953"/>
      <c r="E2212" s="953"/>
      <c r="F2212" s="953"/>
      <c r="G2212" s="953"/>
      <c r="H2212" s="953"/>
    </row>
    <row r="2213" spans="1:8" s="943" customFormat="1" x14ac:dyDescent="0.25">
      <c r="A2213" s="952"/>
      <c r="B2213" s="953"/>
      <c r="C2213" s="953"/>
      <c r="D2213" s="953"/>
      <c r="E2213" s="953"/>
      <c r="F2213" s="953"/>
      <c r="G2213" s="953"/>
      <c r="H2213" s="953"/>
    </row>
    <row r="2214" spans="1:8" s="943" customFormat="1" x14ac:dyDescent="0.25">
      <c r="A2214" s="952"/>
      <c r="B2214" s="953"/>
      <c r="C2214" s="953"/>
      <c r="D2214" s="953"/>
      <c r="E2214" s="953"/>
      <c r="F2214" s="953"/>
      <c r="G2214" s="953"/>
      <c r="H2214" s="953"/>
    </row>
    <row r="2215" spans="1:8" s="943" customFormat="1" x14ac:dyDescent="0.25">
      <c r="A2215" s="952"/>
      <c r="B2215" s="953"/>
      <c r="C2215" s="953"/>
      <c r="D2215" s="953"/>
      <c r="E2215" s="953"/>
      <c r="F2215" s="953"/>
      <c r="G2215" s="953"/>
      <c r="H2215" s="953"/>
    </row>
    <row r="2216" spans="1:8" s="943" customFormat="1" x14ac:dyDescent="0.25">
      <c r="A2216" s="952"/>
      <c r="B2216" s="953"/>
      <c r="C2216" s="953"/>
      <c r="D2216" s="953"/>
      <c r="E2216" s="953"/>
      <c r="F2216" s="953"/>
      <c r="G2216" s="953"/>
      <c r="H2216" s="953"/>
    </row>
    <row r="2217" spans="1:8" s="943" customFormat="1" x14ac:dyDescent="0.25">
      <c r="A2217" s="952"/>
      <c r="B2217" s="953"/>
      <c r="C2217" s="953"/>
      <c r="D2217" s="953"/>
      <c r="E2217" s="953"/>
      <c r="F2217" s="953"/>
      <c r="G2217" s="953"/>
      <c r="H2217" s="953"/>
    </row>
    <row r="2218" spans="1:8" s="943" customFormat="1" x14ac:dyDescent="0.25">
      <c r="A2218" s="952"/>
      <c r="B2218" s="953"/>
      <c r="C2218" s="953"/>
      <c r="D2218" s="953"/>
      <c r="E2218" s="953"/>
      <c r="F2218" s="953"/>
      <c r="G2218" s="953"/>
      <c r="H2218" s="953"/>
    </row>
    <row r="2219" spans="1:8" s="943" customFormat="1" x14ac:dyDescent="0.25">
      <c r="A2219" s="952"/>
      <c r="B2219" s="953"/>
      <c r="C2219" s="953"/>
      <c r="D2219" s="953"/>
      <c r="E2219" s="953"/>
      <c r="F2219" s="953"/>
      <c r="G2219" s="953"/>
      <c r="H2219" s="953"/>
    </row>
    <row r="2220" spans="1:8" s="943" customFormat="1" x14ac:dyDescent="0.25">
      <c r="A2220" s="952"/>
      <c r="B2220" s="953"/>
      <c r="C2220" s="953"/>
      <c r="D2220" s="953"/>
      <c r="E2220" s="953"/>
      <c r="F2220" s="953"/>
      <c r="G2220" s="953"/>
      <c r="H2220" s="953"/>
    </row>
    <row r="2221" spans="1:8" s="943" customFormat="1" x14ac:dyDescent="0.25">
      <c r="A2221" s="952"/>
      <c r="B2221" s="953"/>
      <c r="C2221" s="953"/>
      <c r="D2221" s="953"/>
      <c r="E2221" s="953"/>
      <c r="F2221" s="953"/>
      <c r="G2221" s="953"/>
      <c r="H2221" s="953"/>
    </row>
    <row r="2222" spans="1:8" s="943" customFormat="1" x14ac:dyDescent="0.25">
      <c r="A2222" s="952"/>
      <c r="B2222" s="953"/>
      <c r="C2222" s="953"/>
      <c r="D2222" s="953"/>
      <c r="E2222" s="953"/>
      <c r="F2222" s="953"/>
      <c r="G2222" s="953"/>
      <c r="H2222" s="953"/>
    </row>
    <row r="2223" spans="1:8" s="943" customFormat="1" x14ac:dyDescent="0.25">
      <c r="A2223" s="952"/>
      <c r="B2223" s="953"/>
      <c r="C2223" s="953"/>
      <c r="D2223" s="953"/>
      <c r="E2223" s="953"/>
      <c r="F2223" s="953"/>
      <c r="G2223" s="953"/>
      <c r="H2223" s="953"/>
    </row>
    <row r="2224" spans="1:8" s="943" customFormat="1" x14ac:dyDescent="0.25">
      <c r="A2224" s="952"/>
      <c r="B2224" s="953"/>
      <c r="C2224" s="953"/>
      <c r="D2224" s="953"/>
      <c r="E2224" s="953"/>
      <c r="F2224" s="953"/>
      <c r="G2224" s="953"/>
      <c r="H2224" s="953"/>
    </row>
    <row r="2225" spans="1:8" s="943" customFormat="1" x14ac:dyDescent="0.25">
      <c r="A2225" s="952"/>
      <c r="B2225" s="953"/>
      <c r="C2225" s="953"/>
      <c r="D2225" s="953"/>
      <c r="E2225" s="953"/>
      <c r="F2225" s="953"/>
      <c r="G2225" s="953"/>
      <c r="H2225" s="953"/>
    </row>
    <row r="2226" spans="1:8" s="943" customFormat="1" x14ac:dyDescent="0.25">
      <c r="A2226" s="952"/>
      <c r="B2226" s="953"/>
      <c r="C2226" s="953"/>
      <c r="D2226" s="953"/>
      <c r="E2226" s="953"/>
      <c r="F2226" s="953"/>
      <c r="G2226" s="953"/>
      <c r="H2226" s="953"/>
    </row>
    <row r="2227" spans="1:8" s="943" customFormat="1" x14ac:dyDescent="0.25">
      <c r="A2227" s="952"/>
      <c r="B2227" s="953"/>
      <c r="C2227" s="953"/>
      <c r="D2227" s="953"/>
      <c r="E2227" s="953"/>
      <c r="F2227" s="953"/>
      <c r="G2227" s="953"/>
      <c r="H2227" s="953"/>
    </row>
    <row r="2228" spans="1:8" s="943" customFormat="1" x14ac:dyDescent="0.25">
      <c r="A2228" s="952"/>
      <c r="B2228" s="953"/>
      <c r="C2228" s="953"/>
      <c r="D2228" s="953"/>
      <c r="E2228" s="953"/>
      <c r="F2228" s="953"/>
      <c r="G2228" s="953"/>
      <c r="H2228" s="953"/>
    </row>
    <row r="2229" spans="1:8" s="943" customFormat="1" x14ac:dyDescent="0.25">
      <c r="A2229" s="952"/>
      <c r="B2229" s="953"/>
      <c r="C2229" s="953"/>
      <c r="D2229" s="953"/>
      <c r="E2229" s="953"/>
      <c r="F2229" s="953"/>
      <c r="G2229" s="953"/>
      <c r="H2229" s="953"/>
    </row>
    <row r="2230" spans="1:8" s="943" customFormat="1" x14ac:dyDescent="0.25">
      <c r="A2230" s="952"/>
      <c r="B2230" s="953"/>
      <c r="C2230" s="953"/>
      <c r="D2230" s="953"/>
      <c r="E2230" s="953"/>
      <c r="F2230" s="953"/>
      <c r="G2230" s="953"/>
      <c r="H2230" s="953"/>
    </row>
    <row r="2231" spans="1:8" s="943" customFormat="1" x14ac:dyDescent="0.25">
      <c r="A2231" s="952"/>
      <c r="B2231" s="953"/>
      <c r="C2231" s="953"/>
      <c r="D2231" s="953"/>
      <c r="E2231" s="953"/>
      <c r="F2231" s="953"/>
      <c r="G2231" s="953"/>
      <c r="H2231" s="953"/>
    </row>
    <row r="2232" spans="1:8" s="943" customFormat="1" x14ac:dyDescent="0.25">
      <c r="A2232" s="952"/>
      <c r="B2232" s="953"/>
      <c r="C2232" s="953"/>
      <c r="D2232" s="953"/>
      <c r="E2232" s="953"/>
      <c r="F2232" s="953"/>
      <c r="G2232" s="953"/>
      <c r="H2232" s="953"/>
    </row>
    <row r="2233" spans="1:8" s="943" customFormat="1" x14ac:dyDescent="0.25">
      <c r="A2233" s="952"/>
      <c r="B2233" s="953"/>
      <c r="C2233" s="953"/>
      <c r="D2233" s="953"/>
      <c r="E2233" s="953"/>
      <c r="F2233" s="953"/>
      <c r="G2233" s="953"/>
      <c r="H2233" s="953"/>
    </row>
    <row r="2234" spans="1:8" s="943" customFormat="1" x14ac:dyDescent="0.25">
      <c r="A2234" s="952"/>
      <c r="B2234" s="953"/>
      <c r="C2234" s="953"/>
      <c r="D2234" s="953"/>
      <c r="E2234" s="953"/>
      <c r="F2234" s="953"/>
      <c r="G2234" s="953"/>
      <c r="H2234" s="953"/>
    </row>
    <row r="2235" spans="1:8" s="943" customFormat="1" x14ac:dyDescent="0.25">
      <c r="A2235" s="952"/>
      <c r="B2235" s="953"/>
      <c r="C2235" s="953"/>
      <c r="D2235" s="953"/>
      <c r="E2235" s="953"/>
      <c r="F2235" s="953"/>
      <c r="G2235" s="953"/>
      <c r="H2235" s="953"/>
    </row>
    <row r="2236" spans="1:8" s="943" customFormat="1" x14ac:dyDescent="0.25">
      <c r="A2236" s="952"/>
      <c r="B2236" s="953"/>
      <c r="C2236" s="953"/>
      <c r="D2236" s="953"/>
      <c r="E2236" s="953"/>
      <c r="F2236" s="953"/>
      <c r="G2236" s="953"/>
      <c r="H2236" s="953"/>
    </row>
    <row r="2237" spans="1:8" s="943" customFormat="1" x14ac:dyDescent="0.25">
      <c r="A2237" s="952"/>
      <c r="B2237" s="953"/>
      <c r="C2237" s="953"/>
      <c r="D2237" s="953"/>
      <c r="E2237" s="953"/>
      <c r="F2237" s="953"/>
      <c r="G2237" s="953"/>
      <c r="H2237" s="953"/>
    </row>
    <row r="2238" spans="1:8" s="943" customFormat="1" x14ac:dyDescent="0.25">
      <c r="A2238" s="952"/>
      <c r="B2238" s="953"/>
      <c r="C2238" s="953"/>
      <c r="D2238" s="953"/>
      <c r="E2238" s="953"/>
      <c r="F2238" s="953"/>
      <c r="G2238" s="953"/>
      <c r="H2238" s="953"/>
    </row>
    <row r="2239" spans="1:8" s="943" customFormat="1" x14ac:dyDescent="0.25">
      <c r="A2239" s="952"/>
      <c r="B2239" s="953"/>
      <c r="C2239" s="953"/>
      <c r="D2239" s="953"/>
      <c r="E2239" s="953"/>
      <c r="F2239" s="953"/>
      <c r="G2239" s="953"/>
      <c r="H2239" s="953"/>
    </row>
    <row r="2240" spans="1:8" s="943" customFormat="1" x14ac:dyDescent="0.25">
      <c r="A2240" s="952"/>
      <c r="B2240" s="953"/>
      <c r="C2240" s="953"/>
      <c r="D2240" s="953"/>
      <c r="E2240" s="953"/>
      <c r="F2240" s="953"/>
      <c r="G2240" s="953"/>
      <c r="H2240" s="953"/>
    </row>
    <row r="2241" spans="1:8" s="943" customFormat="1" x14ac:dyDescent="0.25">
      <c r="A2241" s="952"/>
      <c r="B2241" s="953"/>
      <c r="C2241" s="953"/>
      <c r="D2241" s="953"/>
      <c r="E2241" s="953"/>
      <c r="F2241" s="953"/>
      <c r="G2241" s="953"/>
      <c r="H2241" s="953"/>
    </row>
    <row r="2242" spans="1:8" s="943" customFormat="1" x14ac:dyDescent="0.25">
      <c r="A2242" s="952"/>
      <c r="B2242" s="953"/>
      <c r="C2242" s="953"/>
      <c r="D2242" s="953"/>
      <c r="E2242" s="953"/>
      <c r="F2242" s="953"/>
      <c r="G2242" s="953"/>
      <c r="H2242" s="953"/>
    </row>
    <row r="2243" spans="1:8" s="943" customFormat="1" x14ac:dyDescent="0.25">
      <c r="A2243" s="952"/>
      <c r="B2243" s="953"/>
      <c r="C2243" s="953"/>
      <c r="D2243" s="953"/>
      <c r="E2243" s="953"/>
      <c r="F2243" s="953"/>
      <c r="G2243" s="953"/>
      <c r="H2243" s="953"/>
    </row>
    <row r="2244" spans="1:8" s="943" customFormat="1" x14ac:dyDescent="0.25">
      <c r="A2244" s="952"/>
      <c r="B2244" s="953"/>
      <c r="C2244" s="953"/>
      <c r="D2244" s="953"/>
      <c r="E2244" s="953"/>
      <c r="F2244" s="953"/>
      <c r="G2244" s="953"/>
      <c r="H2244" s="953"/>
    </row>
    <row r="2245" spans="1:8" s="943" customFormat="1" x14ac:dyDescent="0.25">
      <c r="A2245" s="952"/>
      <c r="B2245" s="953"/>
      <c r="C2245" s="953"/>
      <c r="D2245" s="953"/>
      <c r="E2245" s="953"/>
      <c r="F2245" s="953"/>
      <c r="G2245" s="953"/>
      <c r="H2245" s="953"/>
    </row>
    <row r="2246" spans="1:8" s="943" customFormat="1" x14ac:dyDescent="0.25">
      <c r="A2246" s="952"/>
      <c r="B2246" s="953"/>
      <c r="C2246" s="953"/>
      <c r="D2246" s="953"/>
      <c r="E2246" s="953"/>
      <c r="F2246" s="953"/>
      <c r="G2246" s="953"/>
      <c r="H2246" s="953"/>
    </row>
    <row r="2247" spans="1:8" s="943" customFormat="1" x14ac:dyDescent="0.25">
      <c r="A2247" s="952"/>
      <c r="B2247" s="953"/>
      <c r="C2247" s="953"/>
      <c r="D2247" s="953"/>
      <c r="E2247" s="953"/>
      <c r="F2247" s="953"/>
      <c r="G2247" s="953"/>
      <c r="H2247" s="953"/>
    </row>
    <row r="2248" spans="1:8" s="943" customFormat="1" x14ac:dyDescent="0.25">
      <c r="A2248" s="952"/>
      <c r="B2248" s="953"/>
      <c r="C2248" s="953"/>
      <c r="D2248" s="953"/>
      <c r="E2248" s="953"/>
      <c r="F2248" s="953"/>
      <c r="G2248" s="953"/>
      <c r="H2248" s="953"/>
    </row>
    <row r="2249" spans="1:8" s="943" customFormat="1" x14ac:dyDescent="0.25">
      <c r="A2249" s="952"/>
      <c r="B2249" s="953"/>
      <c r="C2249" s="953"/>
      <c r="D2249" s="953"/>
      <c r="E2249" s="953"/>
      <c r="F2249" s="953"/>
      <c r="G2249" s="953"/>
      <c r="H2249" s="953"/>
    </row>
    <row r="2250" spans="1:8" s="943" customFormat="1" x14ac:dyDescent="0.25">
      <c r="A2250" s="952"/>
      <c r="B2250" s="953"/>
      <c r="C2250" s="953"/>
      <c r="D2250" s="953"/>
      <c r="E2250" s="953"/>
      <c r="F2250" s="953"/>
      <c r="G2250" s="953"/>
      <c r="H2250" s="953"/>
    </row>
    <row r="2251" spans="1:8" s="943" customFormat="1" x14ac:dyDescent="0.25">
      <c r="A2251" s="952"/>
      <c r="B2251" s="953"/>
      <c r="C2251" s="953"/>
      <c r="D2251" s="953"/>
      <c r="E2251" s="953"/>
      <c r="F2251" s="953"/>
      <c r="G2251" s="953"/>
      <c r="H2251" s="953"/>
    </row>
    <row r="2252" spans="1:8" s="943" customFormat="1" x14ac:dyDescent="0.25">
      <c r="A2252" s="952"/>
      <c r="B2252" s="953"/>
      <c r="C2252" s="953"/>
      <c r="D2252" s="953"/>
      <c r="E2252" s="953"/>
      <c r="F2252" s="953"/>
      <c r="G2252" s="953"/>
      <c r="H2252" s="953"/>
    </row>
    <row r="2253" spans="1:8" s="943" customFormat="1" x14ac:dyDescent="0.25">
      <c r="A2253" s="952"/>
      <c r="B2253" s="953"/>
      <c r="C2253" s="953"/>
      <c r="D2253" s="953"/>
      <c r="E2253" s="953"/>
      <c r="F2253" s="953"/>
      <c r="G2253" s="953"/>
      <c r="H2253" s="953"/>
    </row>
    <row r="2254" spans="1:8" s="943" customFormat="1" x14ac:dyDescent="0.25">
      <c r="A2254" s="952"/>
      <c r="B2254" s="953"/>
      <c r="C2254" s="953"/>
      <c r="D2254" s="953"/>
      <c r="E2254" s="953"/>
      <c r="F2254" s="953"/>
      <c r="G2254" s="953"/>
      <c r="H2254" s="953"/>
    </row>
    <row r="2255" spans="1:8" s="943" customFormat="1" x14ac:dyDescent="0.25">
      <c r="A2255" s="952"/>
      <c r="B2255" s="953"/>
      <c r="C2255" s="953"/>
      <c r="D2255" s="953"/>
      <c r="E2255" s="953"/>
      <c r="F2255" s="953"/>
      <c r="G2255" s="953"/>
      <c r="H2255" s="953"/>
    </row>
    <row r="2256" spans="1:8" s="943" customFormat="1" x14ac:dyDescent="0.25">
      <c r="A2256" s="952"/>
      <c r="B2256" s="953"/>
      <c r="C2256" s="953"/>
      <c r="D2256" s="953"/>
      <c r="E2256" s="953"/>
      <c r="F2256" s="953"/>
      <c r="G2256" s="953"/>
      <c r="H2256" s="953"/>
    </row>
    <row r="2257" spans="1:8" s="943" customFormat="1" x14ac:dyDescent="0.25">
      <c r="A2257" s="952"/>
      <c r="B2257" s="953"/>
      <c r="C2257" s="953"/>
      <c r="D2257" s="953"/>
      <c r="E2257" s="953"/>
      <c r="F2257" s="953"/>
      <c r="G2257" s="953"/>
      <c r="H2257" s="953"/>
    </row>
    <row r="2258" spans="1:8" s="943" customFormat="1" x14ac:dyDescent="0.25">
      <c r="A2258" s="952"/>
      <c r="B2258" s="953"/>
      <c r="C2258" s="953"/>
      <c r="D2258" s="953"/>
      <c r="E2258" s="953"/>
      <c r="F2258" s="953"/>
      <c r="G2258" s="953"/>
      <c r="H2258" s="953"/>
    </row>
    <row r="2259" spans="1:8" s="943" customFormat="1" x14ac:dyDescent="0.25">
      <c r="A2259" s="952"/>
      <c r="B2259" s="953"/>
      <c r="C2259" s="953"/>
      <c r="D2259" s="953"/>
      <c r="E2259" s="953"/>
      <c r="F2259" s="953"/>
      <c r="G2259" s="953"/>
      <c r="H2259" s="953"/>
    </row>
    <row r="2260" spans="1:8" s="943" customFormat="1" x14ac:dyDescent="0.25">
      <c r="A2260" s="952"/>
      <c r="B2260" s="953"/>
      <c r="C2260" s="953"/>
      <c r="D2260" s="953"/>
      <c r="E2260" s="953"/>
      <c r="F2260" s="953"/>
      <c r="G2260" s="953"/>
      <c r="H2260" s="953"/>
    </row>
    <row r="2261" spans="1:8" s="943" customFormat="1" x14ac:dyDescent="0.25">
      <c r="A2261" s="952"/>
      <c r="B2261" s="953"/>
      <c r="C2261" s="953"/>
      <c r="D2261" s="953"/>
      <c r="E2261" s="953"/>
      <c r="F2261" s="953"/>
      <c r="G2261" s="953"/>
      <c r="H2261" s="953"/>
    </row>
    <row r="2262" spans="1:8" s="943" customFormat="1" x14ac:dyDescent="0.25">
      <c r="A2262" s="952"/>
      <c r="B2262" s="953"/>
      <c r="C2262" s="953"/>
      <c r="D2262" s="953"/>
      <c r="E2262" s="953"/>
      <c r="F2262" s="953"/>
      <c r="G2262" s="953"/>
      <c r="H2262" s="953"/>
    </row>
    <row r="2263" spans="1:8" s="943" customFormat="1" x14ac:dyDescent="0.25">
      <c r="A2263" s="952"/>
      <c r="B2263" s="953"/>
      <c r="C2263" s="953"/>
      <c r="D2263" s="953"/>
      <c r="E2263" s="953"/>
      <c r="F2263" s="953"/>
      <c r="G2263" s="953"/>
      <c r="H2263" s="953"/>
    </row>
    <row r="2264" spans="1:8" s="943" customFormat="1" x14ac:dyDescent="0.25">
      <c r="A2264" s="952"/>
      <c r="B2264" s="953"/>
      <c r="C2264" s="953"/>
      <c r="D2264" s="953"/>
      <c r="E2264" s="953"/>
      <c r="F2264" s="953"/>
      <c r="G2264" s="953"/>
      <c r="H2264" s="953"/>
    </row>
    <row r="2265" spans="1:8" s="943" customFormat="1" x14ac:dyDescent="0.25">
      <c r="A2265" s="952"/>
      <c r="B2265" s="953"/>
      <c r="C2265" s="953"/>
      <c r="D2265" s="953"/>
      <c r="E2265" s="953"/>
      <c r="F2265" s="953"/>
      <c r="G2265" s="953"/>
      <c r="H2265" s="953"/>
    </row>
    <row r="2266" spans="1:8" s="943" customFormat="1" x14ac:dyDescent="0.25">
      <c r="A2266" s="952"/>
      <c r="B2266" s="953"/>
      <c r="C2266" s="953"/>
      <c r="D2266" s="953"/>
      <c r="E2266" s="953"/>
      <c r="F2266" s="953"/>
      <c r="G2266" s="953"/>
      <c r="H2266" s="953"/>
    </row>
    <row r="2267" spans="1:8" s="943" customFormat="1" x14ac:dyDescent="0.25">
      <c r="A2267" s="952"/>
      <c r="B2267" s="953"/>
      <c r="C2267" s="953"/>
      <c r="D2267" s="953"/>
      <c r="E2267" s="953"/>
      <c r="F2267" s="953"/>
      <c r="G2267" s="953"/>
      <c r="H2267" s="953"/>
    </row>
    <row r="2268" spans="1:8" s="943" customFormat="1" x14ac:dyDescent="0.25">
      <c r="A2268" s="952"/>
      <c r="B2268" s="953"/>
      <c r="C2268" s="953"/>
      <c r="D2268" s="953"/>
      <c r="E2268" s="953"/>
      <c r="F2268" s="953"/>
      <c r="G2268" s="953"/>
      <c r="H2268" s="953"/>
    </row>
    <row r="2269" spans="1:8" s="943" customFormat="1" x14ac:dyDescent="0.25">
      <c r="A2269" s="952"/>
      <c r="B2269" s="953"/>
      <c r="C2269" s="953"/>
      <c r="D2269" s="953"/>
      <c r="E2269" s="953"/>
      <c r="F2269" s="953"/>
      <c r="G2269" s="953"/>
      <c r="H2269" s="953"/>
    </row>
    <row r="2270" spans="1:8" s="943" customFormat="1" x14ac:dyDescent="0.25">
      <c r="A2270" s="952"/>
      <c r="B2270" s="953"/>
      <c r="C2270" s="953"/>
      <c r="D2270" s="953"/>
      <c r="E2270" s="953"/>
      <c r="F2270" s="953"/>
      <c r="G2270" s="953"/>
      <c r="H2270" s="953"/>
    </row>
    <row r="2271" spans="1:8" s="943" customFormat="1" x14ac:dyDescent="0.25">
      <c r="A2271" s="952"/>
      <c r="B2271" s="953"/>
      <c r="C2271" s="953"/>
      <c r="D2271" s="953"/>
      <c r="E2271" s="953"/>
      <c r="F2271" s="953"/>
      <c r="G2271" s="953"/>
      <c r="H2271" s="953"/>
    </row>
    <row r="2272" spans="1:8" s="943" customFormat="1" x14ac:dyDescent="0.25">
      <c r="A2272" s="952"/>
      <c r="B2272" s="953"/>
      <c r="C2272" s="953"/>
      <c r="D2272" s="953"/>
      <c r="E2272" s="953"/>
      <c r="F2272" s="953"/>
      <c r="G2272" s="953"/>
      <c r="H2272" s="953"/>
    </row>
    <row r="2273" spans="1:8" s="943" customFormat="1" x14ac:dyDescent="0.25">
      <c r="A2273" s="952"/>
      <c r="B2273" s="953"/>
      <c r="C2273" s="953"/>
      <c r="D2273" s="953"/>
      <c r="E2273" s="953"/>
      <c r="F2273" s="953"/>
      <c r="G2273" s="953"/>
      <c r="H2273" s="953"/>
    </row>
    <row r="2274" spans="1:8" s="943" customFormat="1" x14ac:dyDescent="0.25">
      <c r="A2274" s="952"/>
      <c r="B2274" s="953"/>
      <c r="C2274" s="953"/>
      <c r="D2274" s="953"/>
      <c r="E2274" s="953"/>
      <c r="F2274" s="953"/>
      <c r="G2274" s="953"/>
      <c r="H2274" s="953"/>
    </row>
    <row r="2275" spans="1:8" s="943" customFormat="1" x14ac:dyDescent="0.25">
      <c r="A2275" s="952"/>
      <c r="B2275" s="953"/>
      <c r="C2275" s="953"/>
      <c r="D2275" s="953"/>
      <c r="E2275" s="953"/>
      <c r="F2275" s="953"/>
      <c r="G2275" s="953"/>
      <c r="H2275" s="953"/>
    </row>
    <row r="2276" spans="1:8" s="943" customFormat="1" x14ac:dyDescent="0.25">
      <c r="A2276" s="952"/>
      <c r="B2276" s="953"/>
      <c r="C2276" s="953"/>
      <c r="D2276" s="953"/>
      <c r="E2276" s="953"/>
      <c r="F2276" s="953"/>
      <c r="G2276" s="953"/>
      <c r="H2276" s="953"/>
    </row>
    <row r="2277" spans="1:8" s="943" customFormat="1" x14ac:dyDescent="0.25">
      <c r="A2277" s="952"/>
      <c r="B2277" s="953"/>
      <c r="C2277" s="953"/>
      <c r="D2277" s="953"/>
      <c r="E2277" s="953"/>
      <c r="F2277" s="953"/>
      <c r="G2277" s="953"/>
      <c r="H2277" s="953"/>
    </row>
    <row r="2278" spans="1:8" s="943" customFormat="1" x14ac:dyDescent="0.25">
      <c r="A2278" s="952"/>
      <c r="B2278" s="953"/>
      <c r="C2278" s="953"/>
      <c r="D2278" s="953"/>
      <c r="E2278" s="953"/>
      <c r="F2278" s="953"/>
      <c r="G2278" s="953"/>
      <c r="H2278" s="953"/>
    </row>
    <row r="2279" spans="1:8" s="943" customFormat="1" x14ac:dyDescent="0.25">
      <c r="A2279" s="952"/>
      <c r="B2279" s="953"/>
      <c r="C2279" s="953"/>
      <c r="D2279" s="953"/>
      <c r="E2279" s="953"/>
      <c r="F2279" s="953"/>
      <c r="G2279" s="953"/>
      <c r="H2279" s="953"/>
    </row>
    <row r="2280" spans="1:8" s="943" customFormat="1" x14ac:dyDescent="0.25">
      <c r="A2280" s="952"/>
      <c r="B2280" s="953"/>
      <c r="C2280" s="953"/>
      <c r="D2280" s="953"/>
      <c r="E2280" s="953"/>
      <c r="F2280" s="953"/>
      <c r="G2280" s="953"/>
      <c r="H2280" s="953"/>
    </row>
    <row r="2281" spans="1:8" s="943" customFormat="1" x14ac:dyDescent="0.25">
      <c r="A2281" s="952"/>
      <c r="B2281" s="953"/>
      <c r="C2281" s="953"/>
      <c r="D2281" s="953"/>
      <c r="E2281" s="953"/>
      <c r="F2281" s="953"/>
      <c r="G2281" s="953"/>
      <c r="H2281" s="953"/>
    </row>
    <row r="2282" spans="1:8" s="943" customFormat="1" x14ac:dyDescent="0.25">
      <c r="A2282" s="952"/>
      <c r="B2282" s="953"/>
      <c r="C2282" s="953"/>
      <c r="D2282" s="953"/>
      <c r="E2282" s="953"/>
      <c r="F2282" s="953"/>
      <c r="G2282" s="953"/>
      <c r="H2282" s="953"/>
    </row>
    <row r="2283" spans="1:8" s="943" customFormat="1" x14ac:dyDescent="0.25">
      <c r="A2283" s="952"/>
      <c r="B2283" s="953"/>
      <c r="C2283" s="953"/>
      <c r="D2283" s="953"/>
      <c r="E2283" s="953"/>
      <c r="F2283" s="953"/>
      <c r="G2283" s="953"/>
      <c r="H2283" s="953"/>
    </row>
    <row r="2284" spans="1:8" s="943" customFormat="1" x14ac:dyDescent="0.25">
      <c r="A2284" s="952"/>
      <c r="B2284" s="953"/>
      <c r="C2284" s="953"/>
      <c r="D2284" s="953"/>
      <c r="E2284" s="953"/>
      <c r="F2284" s="953"/>
      <c r="G2284" s="953"/>
      <c r="H2284" s="953"/>
    </row>
    <row r="2285" spans="1:8" s="943" customFormat="1" x14ac:dyDescent="0.25">
      <c r="A2285" s="952"/>
      <c r="B2285" s="953"/>
      <c r="C2285" s="953"/>
      <c r="D2285" s="953"/>
      <c r="E2285" s="953"/>
      <c r="F2285" s="953"/>
      <c r="G2285" s="953"/>
      <c r="H2285" s="953"/>
    </row>
    <row r="2286" spans="1:8" s="943" customFormat="1" x14ac:dyDescent="0.25">
      <c r="A2286" s="952"/>
      <c r="B2286" s="953"/>
      <c r="C2286" s="953"/>
      <c r="D2286" s="953"/>
      <c r="E2286" s="953"/>
      <c r="F2286" s="953"/>
      <c r="G2286" s="953"/>
      <c r="H2286" s="953"/>
    </row>
    <row r="2287" spans="1:8" s="943" customFormat="1" x14ac:dyDescent="0.25">
      <c r="A2287" s="952"/>
      <c r="B2287" s="953"/>
      <c r="C2287" s="953"/>
      <c r="D2287" s="953"/>
      <c r="E2287" s="953"/>
      <c r="F2287" s="953"/>
      <c r="G2287" s="953"/>
      <c r="H2287" s="953"/>
    </row>
    <row r="2288" spans="1:8" s="943" customFormat="1" x14ac:dyDescent="0.25">
      <c r="A2288" s="952"/>
      <c r="B2288" s="953"/>
      <c r="C2288" s="953"/>
      <c r="D2288" s="953"/>
      <c r="E2288" s="953"/>
      <c r="F2288" s="953"/>
      <c r="G2288" s="953"/>
      <c r="H2288" s="953"/>
    </row>
    <row r="2289" spans="1:8" s="943" customFormat="1" x14ac:dyDescent="0.25">
      <c r="A2289" s="952"/>
      <c r="B2289" s="953"/>
      <c r="C2289" s="953"/>
      <c r="D2289" s="953"/>
      <c r="E2289" s="953"/>
      <c r="F2289" s="953"/>
      <c r="G2289" s="953"/>
      <c r="H2289" s="953"/>
    </row>
    <row r="2290" spans="1:8" s="943" customFormat="1" x14ac:dyDescent="0.25">
      <c r="A2290" s="952"/>
      <c r="B2290" s="953"/>
      <c r="C2290" s="953"/>
      <c r="D2290" s="953"/>
      <c r="E2290" s="953"/>
      <c r="F2290" s="953"/>
      <c r="G2290" s="953"/>
      <c r="H2290" s="953"/>
    </row>
    <row r="2291" spans="1:8" s="943" customFormat="1" x14ac:dyDescent="0.25">
      <c r="A2291" s="952"/>
      <c r="B2291" s="953"/>
      <c r="C2291" s="953"/>
      <c r="D2291" s="953"/>
      <c r="E2291" s="953"/>
      <c r="F2291" s="953"/>
      <c r="G2291" s="953"/>
      <c r="H2291" s="953"/>
    </row>
    <row r="2292" spans="1:8" s="943" customFormat="1" x14ac:dyDescent="0.25">
      <c r="A2292" s="952"/>
      <c r="B2292" s="953"/>
      <c r="C2292" s="953"/>
      <c r="D2292" s="953"/>
      <c r="E2292" s="953"/>
      <c r="F2292" s="953"/>
      <c r="G2292" s="953"/>
      <c r="H2292" s="953"/>
    </row>
    <row r="2293" spans="1:8" s="943" customFormat="1" x14ac:dyDescent="0.25">
      <c r="A2293" s="952"/>
      <c r="B2293" s="953"/>
      <c r="C2293" s="953"/>
      <c r="D2293" s="953"/>
      <c r="E2293" s="953"/>
      <c r="F2293" s="953"/>
      <c r="G2293" s="953"/>
      <c r="H2293" s="953"/>
    </row>
    <row r="2294" spans="1:8" s="943" customFormat="1" x14ac:dyDescent="0.25">
      <c r="A2294" s="952"/>
      <c r="B2294" s="953"/>
      <c r="C2294" s="953"/>
      <c r="D2294" s="953"/>
      <c r="E2294" s="953"/>
      <c r="F2294" s="953"/>
      <c r="G2294" s="953"/>
      <c r="H2294" s="953"/>
    </row>
    <row r="2295" spans="1:8" s="943" customFormat="1" x14ac:dyDescent="0.25">
      <c r="A2295" s="952"/>
      <c r="B2295" s="953"/>
      <c r="C2295" s="953"/>
      <c r="D2295" s="953"/>
      <c r="E2295" s="953"/>
      <c r="F2295" s="953"/>
      <c r="G2295" s="953"/>
      <c r="H2295" s="953"/>
    </row>
    <row r="2296" spans="1:8" s="943" customFormat="1" x14ac:dyDescent="0.25">
      <c r="A2296" s="952"/>
      <c r="B2296" s="953"/>
      <c r="C2296" s="953"/>
      <c r="D2296" s="953"/>
      <c r="E2296" s="953"/>
      <c r="F2296" s="953"/>
      <c r="G2296" s="953"/>
      <c r="H2296" s="953"/>
    </row>
    <row r="2297" spans="1:8" s="943" customFormat="1" x14ac:dyDescent="0.25">
      <c r="A2297" s="952"/>
      <c r="B2297" s="953"/>
      <c r="C2297" s="953"/>
      <c r="D2297" s="953"/>
      <c r="E2297" s="953"/>
      <c r="F2297" s="953"/>
      <c r="G2297" s="953"/>
      <c r="H2297" s="953"/>
    </row>
    <row r="2298" spans="1:8" s="943" customFormat="1" x14ac:dyDescent="0.25">
      <c r="A2298" s="952"/>
      <c r="B2298" s="953"/>
      <c r="C2298" s="953"/>
      <c r="D2298" s="953"/>
      <c r="E2298" s="953"/>
      <c r="F2298" s="953"/>
      <c r="G2298" s="953"/>
      <c r="H2298" s="953"/>
    </row>
    <row r="2299" spans="1:8" s="943" customFormat="1" x14ac:dyDescent="0.25">
      <c r="A2299" s="952"/>
      <c r="B2299" s="953"/>
      <c r="C2299" s="953"/>
      <c r="D2299" s="953"/>
      <c r="E2299" s="953"/>
      <c r="F2299" s="953"/>
      <c r="G2299" s="953"/>
      <c r="H2299" s="953"/>
    </row>
    <row r="2300" spans="1:8" s="943" customFormat="1" x14ac:dyDescent="0.25">
      <c r="A2300" s="952"/>
      <c r="B2300" s="953"/>
      <c r="C2300" s="953"/>
      <c r="D2300" s="953"/>
      <c r="E2300" s="953"/>
      <c r="F2300" s="953"/>
      <c r="G2300" s="953"/>
      <c r="H2300" s="953"/>
    </row>
    <row r="2301" spans="1:8" s="943" customFormat="1" x14ac:dyDescent="0.25">
      <c r="A2301" s="952"/>
      <c r="B2301" s="953"/>
      <c r="C2301" s="953"/>
      <c r="D2301" s="953"/>
      <c r="E2301" s="953"/>
      <c r="F2301" s="953"/>
      <c r="G2301" s="953"/>
      <c r="H2301" s="953"/>
    </row>
    <row r="2302" spans="1:8" s="943" customFormat="1" x14ac:dyDescent="0.25">
      <c r="A2302" s="952"/>
      <c r="B2302" s="953"/>
      <c r="C2302" s="953"/>
      <c r="D2302" s="953"/>
      <c r="E2302" s="953"/>
      <c r="F2302" s="953"/>
      <c r="G2302" s="953"/>
      <c r="H2302" s="953"/>
    </row>
    <row r="2303" spans="1:8" s="943" customFormat="1" x14ac:dyDescent="0.25">
      <c r="A2303" s="952"/>
      <c r="B2303" s="953"/>
      <c r="C2303" s="953"/>
      <c r="D2303" s="953"/>
      <c r="E2303" s="953"/>
      <c r="F2303" s="953"/>
      <c r="G2303" s="953"/>
      <c r="H2303" s="953"/>
    </row>
    <row r="2304" spans="1:8" s="943" customFormat="1" x14ac:dyDescent="0.25">
      <c r="A2304" s="952"/>
      <c r="B2304" s="953"/>
      <c r="C2304" s="953"/>
      <c r="D2304" s="953"/>
      <c r="E2304" s="953"/>
      <c r="F2304" s="953"/>
      <c r="G2304" s="953"/>
      <c r="H2304" s="953"/>
    </row>
    <row r="2305" spans="1:8" s="943" customFormat="1" x14ac:dyDescent="0.25">
      <c r="A2305" s="952"/>
      <c r="B2305" s="953"/>
      <c r="C2305" s="953"/>
      <c r="D2305" s="953"/>
      <c r="E2305" s="953"/>
      <c r="F2305" s="953"/>
      <c r="G2305" s="953"/>
      <c r="H2305" s="953"/>
    </row>
    <row r="2306" spans="1:8" s="943" customFormat="1" x14ac:dyDescent="0.25">
      <c r="A2306" s="952"/>
      <c r="B2306" s="953"/>
      <c r="C2306" s="953"/>
      <c r="D2306" s="953"/>
      <c r="E2306" s="953"/>
      <c r="F2306" s="953"/>
      <c r="G2306" s="953"/>
      <c r="H2306" s="953"/>
    </row>
    <row r="2307" spans="1:8" s="943" customFormat="1" x14ac:dyDescent="0.25">
      <c r="A2307" s="952"/>
      <c r="B2307" s="953"/>
      <c r="C2307" s="953"/>
      <c r="D2307" s="953"/>
      <c r="E2307" s="953"/>
      <c r="F2307" s="953"/>
      <c r="G2307" s="953"/>
      <c r="H2307" s="953"/>
    </row>
    <row r="2308" spans="1:8" s="943" customFormat="1" x14ac:dyDescent="0.25">
      <c r="A2308" s="952"/>
      <c r="B2308" s="953"/>
      <c r="C2308" s="953"/>
      <c r="D2308" s="953"/>
      <c r="E2308" s="953"/>
      <c r="F2308" s="953"/>
      <c r="G2308" s="953"/>
      <c r="H2308" s="953"/>
    </row>
    <row r="2309" spans="1:8" s="943" customFormat="1" x14ac:dyDescent="0.25">
      <c r="A2309" s="952"/>
      <c r="B2309" s="953"/>
      <c r="C2309" s="953"/>
      <c r="D2309" s="953"/>
      <c r="E2309" s="953"/>
      <c r="F2309" s="953"/>
      <c r="G2309" s="953"/>
      <c r="H2309" s="953"/>
    </row>
    <row r="2310" spans="1:8" s="943" customFormat="1" x14ac:dyDescent="0.25">
      <c r="A2310" s="952"/>
      <c r="B2310" s="953"/>
      <c r="C2310" s="953"/>
      <c r="D2310" s="953"/>
      <c r="E2310" s="953"/>
      <c r="F2310" s="953"/>
      <c r="G2310" s="953"/>
      <c r="H2310" s="953"/>
    </row>
    <row r="2311" spans="1:8" s="943" customFormat="1" x14ac:dyDescent="0.25">
      <c r="A2311" s="952"/>
      <c r="B2311" s="953"/>
      <c r="C2311" s="953"/>
      <c r="D2311" s="953"/>
      <c r="E2311" s="953"/>
      <c r="F2311" s="953"/>
      <c r="G2311" s="953"/>
      <c r="H2311" s="953"/>
    </row>
    <row r="2312" spans="1:8" s="943" customFormat="1" x14ac:dyDescent="0.25">
      <c r="A2312" s="952"/>
      <c r="B2312" s="953"/>
      <c r="C2312" s="953"/>
      <c r="D2312" s="953"/>
      <c r="E2312" s="953"/>
      <c r="F2312" s="953"/>
      <c r="G2312" s="953"/>
      <c r="H2312" s="953"/>
    </row>
    <row r="2313" spans="1:8" s="943" customFormat="1" x14ac:dyDescent="0.25">
      <c r="A2313" s="952"/>
      <c r="B2313" s="953"/>
      <c r="C2313" s="953"/>
      <c r="D2313" s="953"/>
      <c r="E2313" s="953"/>
      <c r="F2313" s="953"/>
      <c r="G2313" s="953"/>
      <c r="H2313" s="953"/>
    </row>
    <row r="2314" spans="1:8" s="943" customFormat="1" x14ac:dyDescent="0.25">
      <c r="A2314" s="952"/>
      <c r="B2314" s="953"/>
      <c r="C2314" s="953"/>
      <c r="D2314" s="953"/>
      <c r="E2314" s="953"/>
      <c r="F2314" s="953"/>
      <c r="G2314" s="953"/>
      <c r="H2314" s="953"/>
    </row>
    <row r="2315" spans="1:8" s="943" customFormat="1" x14ac:dyDescent="0.25">
      <c r="A2315" s="952"/>
      <c r="B2315" s="953"/>
      <c r="C2315" s="953"/>
      <c r="D2315" s="953"/>
      <c r="E2315" s="953"/>
      <c r="F2315" s="953"/>
      <c r="G2315" s="953"/>
      <c r="H2315" s="953"/>
    </row>
    <row r="2316" spans="1:8" s="943" customFormat="1" x14ac:dyDescent="0.25">
      <c r="A2316" s="952"/>
      <c r="B2316" s="953"/>
      <c r="C2316" s="953"/>
      <c r="D2316" s="953"/>
      <c r="E2316" s="953"/>
      <c r="F2316" s="953"/>
      <c r="G2316" s="953"/>
      <c r="H2316" s="953"/>
    </row>
    <row r="2317" spans="1:8" s="943" customFormat="1" x14ac:dyDescent="0.25">
      <c r="A2317" s="952"/>
      <c r="B2317" s="953"/>
      <c r="C2317" s="953"/>
      <c r="D2317" s="953"/>
      <c r="E2317" s="953"/>
      <c r="F2317" s="953"/>
      <c r="G2317" s="953"/>
      <c r="H2317" s="953"/>
    </row>
    <row r="2318" spans="1:8" s="943" customFormat="1" x14ac:dyDescent="0.25">
      <c r="A2318" s="952"/>
      <c r="B2318" s="953"/>
      <c r="C2318" s="953"/>
      <c r="D2318" s="953"/>
      <c r="E2318" s="953"/>
      <c r="F2318" s="953"/>
      <c r="G2318" s="953"/>
      <c r="H2318" s="953"/>
    </row>
    <row r="2319" spans="1:8" s="943" customFormat="1" x14ac:dyDescent="0.25">
      <c r="A2319" s="952"/>
      <c r="B2319" s="953"/>
      <c r="C2319" s="953"/>
      <c r="D2319" s="953"/>
      <c r="E2319" s="953"/>
      <c r="F2319" s="953"/>
      <c r="G2319" s="953"/>
      <c r="H2319" s="953"/>
    </row>
    <row r="2320" spans="1:8" s="943" customFormat="1" x14ac:dyDescent="0.25">
      <c r="A2320" s="952"/>
      <c r="B2320" s="953"/>
      <c r="C2320" s="953"/>
      <c r="D2320" s="953"/>
      <c r="E2320" s="953"/>
      <c r="F2320" s="953"/>
      <c r="G2320" s="953"/>
      <c r="H2320" s="953"/>
    </row>
    <row r="2321" spans="1:8" s="943" customFormat="1" x14ac:dyDescent="0.25">
      <c r="A2321" s="952"/>
      <c r="B2321" s="953"/>
      <c r="C2321" s="953"/>
      <c r="D2321" s="953"/>
      <c r="E2321" s="953"/>
      <c r="F2321" s="953"/>
      <c r="G2321" s="953"/>
      <c r="H2321" s="953"/>
    </row>
    <row r="2322" spans="1:8" s="943" customFormat="1" x14ac:dyDescent="0.25">
      <c r="A2322" s="952"/>
      <c r="B2322" s="953"/>
      <c r="C2322" s="953"/>
      <c r="D2322" s="953"/>
      <c r="E2322" s="953"/>
      <c r="F2322" s="953"/>
      <c r="G2322" s="953"/>
      <c r="H2322" s="953"/>
    </row>
    <row r="2323" spans="1:8" s="943" customFormat="1" x14ac:dyDescent="0.25">
      <c r="A2323" s="952"/>
      <c r="B2323" s="953"/>
      <c r="C2323" s="953"/>
      <c r="D2323" s="953"/>
      <c r="E2323" s="953"/>
      <c r="F2323" s="953"/>
      <c r="G2323" s="953"/>
      <c r="H2323" s="953"/>
    </row>
    <row r="2324" spans="1:8" s="943" customFormat="1" x14ac:dyDescent="0.25">
      <c r="A2324" s="952"/>
      <c r="B2324" s="953"/>
      <c r="C2324" s="953"/>
      <c r="D2324" s="953"/>
      <c r="E2324" s="953"/>
      <c r="F2324" s="953"/>
      <c r="G2324" s="953"/>
      <c r="H2324" s="953"/>
    </row>
    <row r="2325" spans="1:8" s="943" customFormat="1" x14ac:dyDescent="0.25">
      <c r="A2325" s="952"/>
      <c r="B2325" s="953"/>
      <c r="C2325" s="953"/>
      <c r="D2325" s="953"/>
      <c r="E2325" s="953"/>
      <c r="F2325" s="953"/>
      <c r="G2325" s="953"/>
      <c r="H2325" s="953"/>
    </row>
    <row r="2326" spans="1:8" s="943" customFormat="1" x14ac:dyDescent="0.25">
      <c r="A2326" s="952"/>
      <c r="B2326" s="953"/>
      <c r="C2326" s="953"/>
      <c r="D2326" s="953"/>
      <c r="E2326" s="953"/>
      <c r="F2326" s="953"/>
      <c r="G2326" s="953"/>
      <c r="H2326" s="953"/>
    </row>
    <row r="2327" spans="1:8" s="943" customFormat="1" x14ac:dyDescent="0.25">
      <c r="A2327" s="952"/>
      <c r="B2327" s="953"/>
      <c r="C2327" s="953"/>
      <c r="D2327" s="953"/>
      <c r="E2327" s="953"/>
      <c r="F2327" s="953"/>
      <c r="G2327" s="953"/>
      <c r="H2327" s="953"/>
    </row>
    <row r="2328" spans="1:8" s="943" customFormat="1" x14ac:dyDescent="0.25">
      <c r="A2328" s="952"/>
      <c r="B2328" s="953"/>
      <c r="C2328" s="953"/>
      <c r="D2328" s="953"/>
      <c r="E2328" s="953"/>
      <c r="F2328" s="953"/>
      <c r="G2328" s="953"/>
      <c r="H2328" s="953"/>
    </row>
    <row r="2329" spans="1:8" s="943" customFormat="1" x14ac:dyDescent="0.25">
      <c r="A2329" s="952"/>
      <c r="B2329" s="953"/>
      <c r="C2329" s="953"/>
      <c r="D2329" s="953"/>
      <c r="E2329" s="953"/>
      <c r="F2329" s="953"/>
      <c r="G2329" s="953"/>
      <c r="H2329" s="953"/>
    </row>
    <row r="2330" spans="1:8" s="943" customFormat="1" x14ac:dyDescent="0.25">
      <c r="A2330" s="952"/>
      <c r="B2330" s="953"/>
      <c r="C2330" s="953"/>
      <c r="D2330" s="953"/>
      <c r="E2330" s="953"/>
      <c r="F2330" s="953"/>
      <c r="G2330" s="953"/>
      <c r="H2330" s="953"/>
    </row>
    <row r="2331" spans="1:8" s="943" customFormat="1" x14ac:dyDescent="0.25">
      <c r="A2331" s="952"/>
      <c r="B2331" s="953"/>
      <c r="C2331" s="953"/>
      <c r="D2331" s="953"/>
      <c r="E2331" s="953"/>
      <c r="F2331" s="953"/>
      <c r="G2331" s="953"/>
      <c r="H2331" s="953"/>
    </row>
    <row r="2332" spans="1:8" s="943" customFormat="1" x14ac:dyDescent="0.25">
      <c r="A2332" s="952"/>
      <c r="B2332" s="953"/>
      <c r="C2332" s="953"/>
      <c r="D2332" s="953"/>
      <c r="E2332" s="953"/>
      <c r="F2332" s="953"/>
      <c r="G2332" s="953"/>
      <c r="H2332" s="953"/>
    </row>
    <row r="2333" spans="1:8" s="943" customFormat="1" x14ac:dyDescent="0.25">
      <c r="A2333" s="952"/>
      <c r="B2333" s="953"/>
      <c r="C2333" s="953"/>
      <c r="D2333" s="953"/>
      <c r="E2333" s="953"/>
      <c r="F2333" s="953"/>
      <c r="G2333" s="953"/>
      <c r="H2333" s="953"/>
    </row>
    <row r="2334" spans="1:8" s="943" customFormat="1" x14ac:dyDescent="0.25">
      <c r="A2334" s="952"/>
      <c r="B2334" s="953"/>
      <c r="C2334" s="953"/>
      <c r="D2334" s="953"/>
      <c r="E2334" s="953"/>
      <c r="F2334" s="953"/>
      <c r="G2334" s="953"/>
      <c r="H2334" s="953"/>
    </row>
    <row r="2335" spans="1:8" s="943" customFormat="1" x14ac:dyDescent="0.25">
      <c r="A2335" s="952"/>
      <c r="B2335" s="953"/>
      <c r="C2335" s="953"/>
      <c r="D2335" s="953"/>
      <c r="E2335" s="953"/>
      <c r="F2335" s="953"/>
      <c r="G2335" s="953"/>
      <c r="H2335" s="953"/>
    </row>
    <row r="2336" spans="1:8" s="943" customFormat="1" x14ac:dyDescent="0.25">
      <c r="A2336" s="952"/>
      <c r="B2336" s="953"/>
      <c r="C2336" s="953"/>
      <c r="D2336" s="953"/>
      <c r="E2336" s="953"/>
      <c r="F2336" s="953"/>
      <c r="G2336" s="953"/>
      <c r="H2336" s="953"/>
    </row>
    <row r="2337" spans="1:8" s="943" customFormat="1" x14ac:dyDescent="0.25">
      <c r="A2337" s="952"/>
      <c r="B2337" s="953"/>
      <c r="C2337" s="953"/>
      <c r="D2337" s="953"/>
      <c r="E2337" s="953"/>
      <c r="F2337" s="953"/>
      <c r="G2337" s="953"/>
      <c r="H2337" s="953"/>
    </row>
    <row r="2338" spans="1:8" s="943" customFormat="1" x14ac:dyDescent="0.25">
      <c r="A2338" s="952"/>
      <c r="B2338" s="953"/>
      <c r="C2338" s="953"/>
      <c r="D2338" s="953"/>
      <c r="E2338" s="953"/>
      <c r="F2338" s="953"/>
      <c r="G2338" s="953"/>
      <c r="H2338" s="953"/>
    </row>
    <row r="2339" spans="1:8" s="943" customFormat="1" x14ac:dyDescent="0.25">
      <c r="A2339" s="952"/>
      <c r="B2339" s="953"/>
      <c r="C2339" s="953"/>
      <c r="D2339" s="953"/>
      <c r="E2339" s="953"/>
      <c r="F2339" s="953"/>
      <c r="G2339" s="953"/>
      <c r="H2339" s="953"/>
    </row>
    <row r="2340" spans="1:8" s="943" customFormat="1" x14ac:dyDescent="0.25">
      <c r="A2340" s="952"/>
      <c r="B2340" s="953"/>
      <c r="C2340" s="953"/>
      <c r="D2340" s="953"/>
      <c r="E2340" s="953"/>
      <c r="F2340" s="953"/>
      <c r="G2340" s="953"/>
      <c r="H2340" s="953"/>
    </row>
    <row r="2341" spans="1:8" s="943" customFormat="1" x14ac:dyDescent="0.25">
      <c r="A2341" s="952"/>
      <c r="B2341" s="953"/>
      <c r="C2341" s="953"/>
      <c r="D2341" s="953"/>
      <c r="E2341" s="953"/>
      <c r="F2341" s="953"/>
      <c r="G2341" s="953"/>
      <c r="H2341" s="953"/>
    </row>
    <row r="2342" spans="1:8" s="943" customFormat="1" x14ac:dyDescent="0.25">
      <c r="A2342" s="952"/>
      <c r="B2342" s="953"/>
      <c r="C2342" s="953"/>
      <c r="D2342" s="953"/>
      <c r="E2342" s="953"/>
      <c r="F2342" s="953"/>
      <c r="G2342" s="953"/>
      <c r="H2342" s="953"/>
    </row>
    <row r="2343" spans="1:8" s="943" customFormat="1" x14ac:dyDescent="0.25">
      <c r="A2343" s="952"/>
      <c r="B2343" s="953"/>
      <c r="C2343" s="953"/>
      <c r="D2343" s="953"/>
      <c r="E2343" s="953"/>
      <c r="F2343" s="953"/>
      <c r="G2343" s="953"/>
      <c r="H2343" s="953"/>
    </row>
    <row r="2344" spans="1:8" s="943" customFormat="1" x14ac:dyDescent="0.25">
      <c r="A2344" s="952"/>
      <c r="B2344" s="953"/>
      <c r="C2344" s="953"/>
      <c r="D2344" s="953"/>
      <c r="E2344" s="953"/>
      <c r="F2344" s="953"/>
      <c r="G2344" s="953"/>
      <c r="H2344" s="953"/>
    </row>
    <row r="2345" spans="1:8" s="943" customFormat="1" x14ac:dyDescent="0.25">
      <c r="A2345" s="952"/>
      <c r="B2345" s="953"/>
      <c r="C2345" s="953"/>
      <c r="D2345" s="953"/>
      <c r="E2345" s="953"/>
      <c r="F2345" s="953"/>
      <c r="G2345" s="953"/>
      <c r="H2345" s="953"/>
    </row>
    <row r="2346" spans="1:8" s="943" customFormat="1" x14ac:dyDescent="0.25">
      <c r="A2346" s="952"/>
      <c r="B2346" s="953"/>
      <c r="C2346" s="953"/>
      <c r="D2346" s="953"/>
      <c r="E2346" s="953"/>
      <c r="F2346" s="953"/>
      <c r="G2346" s="953"/>
      <c r="H2346" s="953"/>
    </row>
    <row r="2347" spans="1:8" s="943" customFormat="1" x14ac:dyDescent="0.25">
      <c r="A2347" s="952"/>
      <c r="B2347" s="953"/>
      <c r="C2347" s="953"/>
      <c r="D2347" s="953"/>
      <c r="E2347" s="953"/>
      <c r="F2347" s="953"/>
      <c r="G2347" s="953"/>
      <c r="H2347" s="953"/>
    </row>
    <row r="2348" spans="1:8" s="943" customFormat="1" x14ac:dyDescent="0.25">
      <c r="A2348" s="952"/>
      <c r="B2348" s="953"/>
      <c r="C2348" s="953"/>
      <c r="D2348" s="953"/>
      <c r="E2348" s="953"/>
      <c r="F2348" s="953"/>
      <c r="G2348" s="953"/>
      <c r="H2348" s="953"/>
    </row>
    <row r="2349" spans="1:8" s="943" customFormat="1" x14ac:dyDescent="0.25">
      <c r="A2349" s="952"/>
      <c r="B2349" s="953"/>
      <c r="C2349" s="953"/>
      <c r="D2349" s="953"/>
      <c r="E2349" s="953"/>
      <c r="F2349" s="953"/>
      <c r="G2349" s="953"/>
      <c r="H2349" s="953"/>
    </row>
    <row r="2350" spans="1:8" s="943" customFormat="1" x14ac:dyDescent="0.25">
      <c r="A2350" s="952"/>
      <c r="B2350" s="953"/>
      <c r="C2350" s="953"/>
      <c r="D2350" s="953"/>
      <c r="E2350" s="953"/>
      <c r="F2350" s="953"/>
      <c r="G2350" s="953"/>
      <c r="H2350" s="953"/>
    </row>
    <row r="2351" spans="1:8" s="943" customFormat="1" x14ac:dyDescent="0.25">
      <c r="A2351" s="952"/>
      <c r="B2351" s="953"/>
      <c r="C2351" s="953"/>
      <c r="D2351" s="953"/>
      <c r="E2351" s="953"/>
      <c r="F2351" s="953"/>
      <c r="G2351" s="953"/>
      <c r="H2351" s="953"/>
    </row>
    <row r="2352" spans="1:8" s="943" customFormat="1" x14ac:dyDescent="0.25">
      <c r="A2352" s="952"/>
      <c r="B2352" s="953"/>
      <c r="C2352" s="953"/>
      <c r="D2352" s="953"/>
      <c r="E2352" s="953"/>
      <c r="F2352" s="953"/>
      <c r="G2352" s="953"/>
      <c r="H2352" s="953"/>
    </row>
    <row r="2353" spans="1:8" s="943" customFormat="1" x14ac:dyDescent="0.25">
      <c r="A2353" s="952"/>
      <c r="B2353" s="953"/>
      <c r="C2353" s="953"/>
      <c r="D2353" s="953"/>
      <c r="E2353" s="953"/>
      <c r="F2353" s="953"/>
      <c r="G2353" s="953"/>
      <c r="H2353" s="953"/>
    </row>
    <row r="2354" spans="1:8" s="943" customFormat="1" x14ac:dyDescent="0.25">
      <c r="A2354" s="952"/>
      <c r="B2354" s="953"/>
      <c r="C2354" s="953"/>
      <c r="D2354" s="953"/>
      <c r="E2354" s="953"/>
      <c r="F2354" s="953"/>
      <c r="G2354" s="953"/>
      <c r="H2354" s="953"/>
    </row>
    <row r="2355" spans="1:8" s="943" customFormat="1" x14ac:dyDescent="0.25">
      <c r="A2355" s="952"/>
      <c r="B2355" s="953"/>
      <c r="C2355" s="953"/>
      <c r="D2355" s="953"/>
      <c r="E2355" s="953"/>
      <c r="F2355" s="953"/>
      <c r="G2355" s="953"/>
      <c r="H2355" s="953"/>
    </row>
    <row r="2356" spans="1:8" s="943" customFormat="1" x14ac:dyDescent="0.25">
      <c r="A2356" s="952"/>
      <c r="B2356" s="953"/>
      <c r="C2356" s="953"/>
      <c r="D2356" s="953"/>
      <c r="E2356" s="953"/>
      <c r="F2356" s="953"/>
      <c r="G2356" s="953"/>
      <c r="H2356" s="953"/>
    </row>
    <row r="2357" spans="1:8" s="943" customFormat="1" x14ac:dyDescent="0.25">
      <c r="A2357" s="952"/>
      <c r="B2357" s="953"/>
      <c r="C2357" s="953"/>
      <c r="D2357" s="953"/>
      <c r="E2357" s="953"/>
      <c r="F2357" s="953"/>
      <c r="G2357" s="953"/>
      <c r="H2357" s="953"/>
    </row>
    <row r="2358" spans="1:8" s="943" customFormat="1" x14ac:dyDescent="0.25">
      <c r="A2358" s="952"/>
      <c r="B2358" s="953"/>
      <c r="C2358" s="953"/>
      <c r="D2358" s="953"/>
      <c r="E2358" s="953"/>
      <c r="F2358" s="953"/>
      <c r="G2358" s="953"/>
      <c r="H2358" s="953"/>
    </row>
    <row r="2359" spans="1:8" s="943" customFormat="1" x14ac:dyDescent="0.25">
      <c r="A2359" s="952"/>
      <c r="B2359" s="953"/>
      <c r="C2359" s="953"/>
      <c r="D2359" s="953"/>
      <c r="E2359" s="953"/>
      <c r="F2359" s="953"/>
      <c r="G2359" s="953"/>
      <c r="H2359" s="953"/>
    </row>
    <row r="2360" spans="1:8" s="943" customFormat="1" x14ac:dyDescent="0.25">
      <c r="A2360" s="952"/>
      <c r="B2360" s="953"/>
      <c r="C2360" s="953"/>
      <c r="D2360" s="953"/>
      <c r="E2360" s="953"/>
      <c r="F2360" s="953"/>
      <c r="G2360" s="953"/>
      <c r="H2360" s="953"/>
    </row>
    <row r="2361" spans="1:8" s="943" customFormat="1" x14ac:dyDescent="0.25">
      <c r="A2361" s="952"/>
      <c r="B2361" s="953"/>
      <c r="C2361" s="953"/>
      <c r="D2361" s="953"/>
      <c r="E2361" s="953"/>
      <c r="F2361" s="953"/>
      <c r="G2361" s="953"/>
      <c r="H2361" s="953"/>
    </row>
    <row r="2362" spans="1:8" s="943" customFormat="1" x14ac:dyDescent="0.25">
      <c r="A2362" s="952"/>
      <c r="B2362" s="953"/>
      <c r="C2362" s="953"/>
      <c r="D2362" s="953"/>
      <c r="E2362" s="953"/>
      <c r="F2362" s="953"/>
      <c r="G2362" s="953"/>
      <c r="H2362" s="953"/>
    </row>
    <row r="2363" spans="1:8" s="943" customFormat="1" x14ac:dyDescent="0.25">
      <c r="A2363" s="952"/>
      <c r="B2363" s="953"/>
      <c r="C2363" s="953"/>
      <c r="D2363" s="953"/>
      <c r="E2363" s="953"/>
      <c r="F2363" s="953"/>
      <c r="G2363" s="953"/>
      <c r="H2363" s="953"/>
    </row>
    <row r="2364" spans="1:8" s="943" customFormat="1" x14ac:dyDescent="0.25">
      <c r="A2364" s="952"/>
      <c r="B2364" s="953"/>
      <c r="C2364" s="953"/>
      <c r="D2364" s="953"/>
      <c r="E2364" s="953"/>
      <c r="F2364" s="953"/>
      <c r="G2364" s="953"/>
      <c r="H2364" s="953"/>
    </row>
    <row r="2365" spans="1:8" s="943" customFormat="1" x14ac:dyDescent="0.25">
      <c r="A2365" s="952"/>
      <c r="B2365" s="953"/>
      <c r="C2365" s="953"/>
      <c r="D2365" s="953"/>
      <c r="E2365" s="953"/>
      <c r="F2365" s="953"/>
      <c r="G2365" s="953"/>
      <c r="H2365" s="953"/>
    </row>
    <row r="2366" spans="1:8" s="943" customFormat="1" x14ac:dyDescent="0.25">
      <c r="A2366" s="952"/>
      <c r="B2366" s="953"/>
      <c r="C2366" s="953"/>
      <c r="D2366" s="953"/>
      <c r="E2366" s="953"/>
      <c r="F2366" s="953"/>
      <c r="G2366" s="953"/>
      <c r="H2366" s="953"/>
    </row>
    <row r="2367" spans="1:8" s="943" customFormat="1" x14ac:dyDescent="0.25">
      <c r="A2367" s="952"/>
      <c r="B2367" s="953"/>
      <c r="C2367" s="953"/>
      <c r="D2367" s="953"/>
      <c r="E2367" s="953"/>
      <c r="F2367" s="953"/>
      <c r="G2367" s="953"/>
      <c r="H2367" s="953"/>
    </row>
    <row r="2368" spans="1:8" s="943" customFormat="1" x14ac:dyDescent="0.25">
      <c r="A2368" s="952"/>
      <c r="B2368" s="953"/>
      <c r="C2368" s="953"/>
      <c r="D2368" s="953"/>
      <c r="E2368" s="953"/>
      <c r="F2368" s="953"/>
      <c r="G2368" s="953"/>
      <c r="H2368" s="953"/>
    </row>
    <row r="2369" spans="1:8" s="943" customFormat="1" x14ac:dyDescent="0.25">
      <c r="A2369" s="952"/>
      <c r="B2369" s="953"/>
      <c r="C2369" s="953"/>
      <c r="D2369" s="953"/>
      <c r="E2369" s="953"/>
      <c r="F2369" s="953"/>
      <c r="G2369" s="953"/>
      <c r="H2369" s="953"/>
    </row>
    <row r="2370" spans="1:8" s="943" customFormat="1" x14ac:dyDescent="0.25">
      <c r="A2370" s="952"/>
      <c r="B2370" s="953"/>
      <c r="C2370" s="953"/>
      <c r="D2370" s="953"/>
      <c r="E2370" s="953"/>
      <c r="F2370" s="953"/>
      <c r="G2370" s="953"/>
      <c r="H2370" s="953"/>
    </row>
    <row r="2371" spans="1:8" s="943" customFormat="1" x14ac:dyDescent="0.25">
      <c r="A2371" s="952"/>
      <c r="B2371" s="953"/>
      <c r="C2371" s="953"/>
      <c r="D2371" s="953"/>
      <c r="E2371" s="953"/>
      <c r="F2371" s="953"/>
      <c r="G2371" s="953"/>
      <c r="H2371" s="953"/>
    </row>
    <row r="2372" spans="1:8" s="943" customFormat="1" x14ac:dyDescent="0.25">
      <c r="A2372" s="952"/>
      <c r="B2372" s="953"/>
      <c r="C2372" s="953"/>
      <c r="D2372" s="953"/>
      <c r="E2372" s="953"/>
      <c r="F2372" s="953"/>
      <c r="G2372" s="953"/>
      <c r="H2372" s="953"/>
    </row>
    <row r="2373" spans="1:8" s="943" customFormat="1" x14ac:dyDescent="0.25">
      <c r="A2373" s="952"/>
      <c r="B2373" s="953"/>
      <c r="C2373" s="953"/>
      <c r="D2373" s="953"/>
      <c r="E2373" s="953"/>
      <c r="F2373" s="953"/>
      <c r="G2373" s="953"/>
      <c r="H2373" s="953"/>
    </row>
    <row r="2374" spans="1:8" s="943" customFormat="1" x14ac:dyDescent="0.25">
      <c r="A2374" s="952"/>
      <c r="B2374" s="953"/>
      <c r="C2374" s="953"/>
      <c r="D2374" s="953"/>
      <c r="E2374" s="953"/>
      <c r="F2374" s="953"/>
      <c r="G2374" s="953"/>
      <c r="H2374" s="953"/>
    </row>
    <row r="2375" spans="1:8" s="943" customFormat="1" x14ac:dyDescent="0.25">
      <c r="A2375" s="952"/>
      <c r="B2375" s="953"/>
      <c r="C2375" s="953"/>
      <c r="D2375" s="953"/>
      <c r="E2375" s="953"/>
      <c r="F2375" s="953"/>
      <c r="G2375" s="953"/>
      <c r="H2375" s="953"/>
    </row>
    <row r="2376" spans="1:8" s="943" customFormat="1" x14ac:dyDescent="0.25">
      <c r="A2376" s="952"/>
      <c r="B2376" s="953"/>
      <c r="C2376" s="953"/>
      <c r="D2376" s="953"/>
      <c r="E2376" s="953"/>
      <c r="F2376" s="953"/>
      <c r="G2376" s="953"/>
      <c r="H2376" s="953"/>
    </row>
    <row r="2377" spans="1:8" s="943" customFormat="1" x14ac:dyDescent="0.25">
      <c r="A2377" s="952"/>
      <c r="B2377" s="953"/>
      <c r="C2377" s="953"/>
      <c r="D2377" s="953"/>
      <c r="E2377" s="953"/>
      <c r="F2377" s="953"/>
      <c r="G2377" s="953"/>
      <c r="H2377" s="953"/>
    </row>
    <row r="2378" spans="1:8" s="943" customFormat="1" x14ac:dyDescent="0.25">
      <c r="A2378" s="952"/>
      <c r="B2378" s="953"/>
      <c r="C2378" s="953"/>
      <c r="D2378" s="953"/>
      <c r="E2378" s="953"/>
      <c r="F2378" s="953"/>
      <c r="G2378" s="953"/>
      <c r="H2378" s="953"/>
    </row>
    <row r="2379" spans="1:8" s="943" customFormat="1" x14ac:dyDescent="0.25">
      <c r="A2379" s="952"/>
      <c r="B2379" s="953"/>
      <c r="C2379" s="953"/>
      <c r="D2379" s="953"/>
      <c r="E2379" s="953"/>
      <c r="F2379" s="953"/>
      <c r="G2379" s="953"/>
      <c r="H2379" s="953"/>
    </row>
    <row r="2380" spans="1:8" s="943" customFormat="1" x14ac:dyDescent="0.25">
      <c r="A2380" s="952"/>
      <c r="B2380" s="953"/>
      <c r="C2380" s="953"/>
      <c r="D2380" s="953"/>
      <c r="E2380" s="953"/>
      <c r="F2380" s="953"/>
      <c r="G2380" s="953"/>
      <c r="H2380" s="953"/>
    </row>
    <row r="2381" spans="1:8" s="943" customFormat="1" x14ac:dyDescent="0.25">
      <c r="A2381" s="952"/>
      <c r="B2381" s="953"/>
      <c r="C2381" s="953"/>
      <c r="D2381" s="953"/>
      <c r="E2381" s="953"/>
      <c r="F2381" s="953"/>
      <c r="G2381" s="953"/>
      <c r="H2381" s="953"/>
    </row>
    <row r="2382" spans="1:8" s="943" customFormat="1" x14ac:dyDescent="0.25">
      <c r="A2382" s="952"/>
      <c r="B2382" s="953"/>
      <c r="C2382" s="953"/>
      <c r="D2382" s="953"/>
      <c r="E2382" s="953"/>
      <c r="F2382" s="953"/>
      <c r="G2382" s="953"/>
      <c r="H2382" s="953"/>
    </row>
    <row r="2383" spans="1:8" s="943" customFormat="1" x14ac:dyDescent="0.25">
      <c r="A2383" s="952"/>
      <c r="B2383" s="953"/>
      <c r="C2383" s="953"/>
      <c r="D2383" s="953"/>
      <c r="E2383" s="953"/>
      <c r="F2383" s="953"/>
      <c r="G2383" s="953"/>
      <c r="H2383" s="953"/>
    </row>
    <row r="2384" spans="1:8" s="943" customFormat="1" x14ac:dyDescent="0.25">
      <c r="A2384" s="952"/>
      <c r="B2384" s="953"/>
      <c r="C2384" s="953"/>
      <c r="D2384" s="953"/>
      <c r="E2384" s="953"/>
      <c r="F2384" s="953"/>
      <c r="G2384" s="953"/>
      <c r="H2384" s="953"/>
    </row>
    <row r="2385" spans="1:8" s="943" customFormat="1" x14ac:dyDescent="0.25">
      <c r="A2385" s="952"/>
      <c r="B2385" s="953"/>
      <c r="C2385" s="953"/>
      <c r="D2385" s="953"/>
      <c r="E2385" s="953"/>
      <c r="F2385" s="953"/>
      <c r="G2385" s="953"/>
      <c r="H2385" s="953"/>
    </row>
    <row r="2386" spans="1:8" s="943" customFormat="1" x14ac:dyDescent="0.25">
      <c r="A2386" s="952"/>
      <c r="B2386" s="953"/>
      <c r="C2386" s="953"/>
      <c r="D2386" s="953"/>
      <c r="E2386" s="953"/>
      <c r="F2386" s="953"/>
      <c r="G2386" s="953"/>
      <c r="H2386" s="953"/>
    </row>
    <row r="2387" spans="1:8" s="943" customFormat="1" x14ac:dyDescent="0.25">
      <c r="A2387" s="952"/>
      <c r="B2387" s="953"/>
      <c r="C2387" s="953"/>
      <c r="D2387" s="953"/>
      <c r="E2387" s="953"/>
      <c r="F2387" s="953"/>
      <c r="G2387" s="953"/>
      <c r="H2387" s="953"/>
    </row>
    <row r="2388" spans="1:8" s="943" customFormat="1" x14ac:dyDescent="0.25">
      <c r="A2388" s="952"/>
      <c r="B2388" s="953"/>
      <c r="C2388" s="953"/>
      <c r="D2388" s="953"/>
      <c r="E2388" s="953"/>
      <c r="F2388" s="953"/>
      <c r="G2388" s="953"/>
      <c r="H2388" s="953"/>
    </row>
    <row r="2389" spans="1:8" s="943" customFormat="1" x14ac:dyDescent="0.25">
      <c r="A2389" s="952"/>
      <c r="B2389" s="953"/>
      <c r="C2389" s="953"/>
      <c r="D2389" s="953"/>
      <c r="E2389" s="953"/>
      <c r="F2389" s="953"/>
      <c r="G2389" s="953"/>
      <c r="H2389" s="953"/>
    </row>
    <row r="2390" spans="1:8" s="943" customFormat="1" x14ac:dyDescent="0.25">
      <c r="A2390" s="952"/>
      <c r="B2390" s="953"/>
      <c r="C2390" s="953"/>
      <c r="D2390" s="953"/>
      <c r="E2390" s="953"/>
      <c r="F2390" s="953"/>
      <c r="G2390" s="953"/>
      <c r="H2390" s="953"/>
    </row>
    <row r="2391" spans="1:8" s="943" customFormat="1" x14ac:dyDescent="0.25">
      <c r="A2391" s="952"/>
      <c r="B2391" s="953"/>
      <c r="C2391" s="953"/>
      <c r="D2391" s="953"/>
      <c r="E2391" s="953"/>
      <c r="F2391" s="953"/>
      <c r="G2391" s="953"/>
      <c r="H2391" s="953"/>
    </row>
    <row r="2392" spans="1:8" s="943" customFormat="1" x14ac:dyDescent="0.25">
      <c r="A2392" s="952"/>
      <c r="B2392" s="953"/>
      <c r="C2392" s="953"/>
      <c r="D2392" s="953"/>
      <c r="E2392" s="953"/>
      <c r="F2392" s="953"/>
      <c r="G2392" s="953"/>
      <c r="H2392" s="953"/>
    </row>
    <row r="2393" spans="1:8" s="943" customFormat="1" x14ac:dyDescent="0.25">
      <c r="A2393" s="952"/>
      <c r="B2393" s="953"/>
      <c r="C2393" s="953"/>
      <c r="D2393" s="953"/>
      <c r="E2393" s="953"/>
      <c r="F2393" s="953"/>
      <c r="G2393" s="953"/>
      <c r="H2393" s="953"/>
    </row>
    <row r="2394" spans="1:8" s="943" customFormat="1" x14ac:dyDescent="0.25">
      <c r="A2394" s="952"/>
      <c r="B2394" s="953"/>
      <c r="C2394" s="953"/>
      <c r="D2394" s="953"/>
      <c r="E2394" s="953"/>
      <c r="F2394" s="953"/>
      <c r="G2394" s="953"/>
      <c r="H2394" s="953"/>
    </row>
    <row r="2395" spans="1:8" s="943" customFormat="1" x14ac:dyDescent="0.25">
      <c r="A2395" s="952"/>
      <c r="B2395" s="953"/>
      <c r="C2395" s="953"/>
      <c r="D2395" s="953"/>
      <c r="E2395" s="953"/>
      <c r="F2395" s="953"/>
      <c r="G2395" s="953"/>
      <c r="H2395" s="953"/>
    </row>
    <row r="2396" spans="1:8" s="943" customFormat="1" x14ac:dyDescent="0.25">
      <c r="A2396" s="952"/>
      <c r="B2396" s="953"/>
      <c r="C2396" s="953"/>
      <c r="D2396" s="953"/>
      <c r="E2396" s="953"/>
      <c r="F2396" s="953"/>
      <c r="G2396" s="953"/>
      <c r="H2396" s="953"/>
    </row>
    <row r="2397" spans="1:8" s="943" customFormat="1" x14ac:dyDescent="0.25">
      <c r="A2397" s="952"/>
      <c r="B2397" s="953"/>
      <c r="C2397" s="953"/>
      <c r="D2397" s="953"/>
      <c r="E2397" s="953"/>
      <c r="F2397" s="953"/>
      <c r="G2397" s="953"/>
      <c r="H2397" s="953"/>
    </row>
    <row r="2398" spans="1:8" s="943" customFormat="1" x14ac:dyDescent="0.25">
      <c r="A2398" s="952"/>
      <c r="B2398" s="953"/>
      <c r="C2398" s="953"/>
      <c r="D2398" s="953"/>
      <c r="E2398" s="953"/>
      <c r="F2398" s="953"/>
      <c r="G2398" s="953"/>
      <c r="H2398" s="953"/>
    </row>
    <row r="2399" spans="1:8" s="943" customFormat="1" x14ac:dyDescent="0.25">
      <c r="A2399" s="952"/>
      <c r="B2399" s="953"/>
      <c r="C2399" s="953"/>
      <c r="D2399" s="953"/>
      <c r="E2399" s="953"/>
      <c r="F2399" s="953"/>
      <c r="G2399" s="953"/>
      <c r="H2399" s="953"/>
    </row>
    <row r="2400" spans="1:8" s="943" customFormat="1" x14ac:dyDescent="0.25">
      <c r="A2400" s="952"/>
      <c r="B2400" s="953"/>
      <c r="C2400" s="953"/>
      <c r="D2400" s="953"/>
      <c r="E2400" s="953"/>
      <c r="F2400" s="953"/>
      <c r="G2400" s="953"/>
      <c r="H2400" s="953"/>
    </row>
    <row r="2401" spans="1:8" s="943" customFormat="1" x14ac:dyDescent="0.25">
      <c r="A2401" s="952"/>
      <c r="B2401" s="953"/>
      <c r="C2401" s="953"/>
      <c r="D2401" s="953"/>
      <c r="E2401" s="953"/>
      <c r="F2401" s="953"/>
      <c r="G2401" s="953"/>
      <c r="H2401" s="953"/>
    </row>
    <row r="2402" spans="1:8" s="943" customFormat="1" x14ac:dyDescent="0.25">
      <c r="A2402" s="952"/>
      <c r="B2402" s="953"/>
      <c r="C2402" s="953"/>
      <c r="D2402" s="953"/>
      <c r="E2402" s="953"/>
      <c r="F2402" s="953"/>
      <c r="G2402" s="953"/>
      <c r="H2402" s="953"/>
    </row>
    <row r="2403" spans="1:8" s="943" customFormat="1" x14ac:dyDescent="0.25">
      <c r="A2403" s="952"/>
      <c r="B2403" s="953"/>
      <c r="C2403" s="953"/>
      <c r="D2403" s="953"/>
      <c r="E2403" s="953"/>
      <c r="F2403" s="953"/>
      <c r="G2403" s="953"/>
      <c r="H2403" s="953"/>
    </row>
    <row r="2404" spans="1:8" s="943" customFormat="1" x14ac:dyDescent="0.25">
      <c r="A2404" s="952"/>
      <c r="B2404" s="953"/>
      <c r="C2404" s="953"/>
      <c r="D2404" s="953"/>
      <c r="E2404" s="953"/>
      <c r="F2404" s="953"/>
      <c r="G2404" s="953"/>
      <c r="H2404" s="953"/>
    </row>
    <row r="2405" spans="1:8" s="943" customFormat="1" x14ac:dyDescent="0.25">
      <c r="A2405" s="952"/>
      <c r="B2405" s="953"/>
      <c r="C2405" s="953"/>
      <c r="D2405" s="953"/>
      <c r="E2405" s="953"/>
      <c r="F2405" s="953"/>
      <c r="G2405" s="953"/>
      <c r="H2405" s="953"/>
    </row>
    <row r="2406" spans="1:8" s="943" customFormat="1" x14ac:dyDescent="0.25">
      <c r="A2406" s="952"/>
      <c r="B2406" s="953"/>
      <c r="C2406" s="953"/>
      <c r="D2406" s="953"/>
      <c r="E2406" s="953"/>
      <c r="F2406" s="953"/>
      <c r="G2406" s="953"/>
      <c r="H2406" s="953"/>
    </row>
    <row r="2407" spans="1:8" s="943" customFormat="1" x14ac:dyDescent="0.25">
      <c r="A2407" s="952"/>
      <c r="B2407" s="953"/>
      <c r="C2407" s="953"/>
      <c r="D2407" s="953"/>
      <c r="E2407" s="953"/>
      <c r="F2407" s="953"/>
      <c r="G2407" s="953"/>
      <c r="H2407" s="953"/>
    </row>
    <row r="2408" spans="1:8" s="943" customFormat="1" x14ac:dyDescent="0.25">
      <c r="A2408" s="952"/>
      <c r="B2408" s="953"/>
      <c r="C2408" s="953"/>
      <c r="D2408" s="953"/>
      <c r="E2408" s="953"/>
      <c r="F2408" s="953"/>
      <c r="G2408" s="953"/>
      <c r="H2408" s="953"/>
    </row>
    <row r="2409" spans="1:8" s="943" customFormat="1" x14ac:dyDescent="0.25">
      <c r="A2409" s="952"/>
      <c r="B2409" s="953"/>
      <c r="C2409" s="953"/>
      <c r="D2409" s="953"/>
      <c r="E2409" s="953"/>
      <c r="F2409" s="953"/>
      <c r="G2409" s="953"/>
      <c r="H2409" s="953"/>
    </row>
    <row r="2410" spans="1:8" s="943" customFormat="1" x14ac:dyDescent="0.25">
      <c r="A2410" s="952"/>
      <c r="B2410" s="953"/>
      <c r="C2410" s="953"/>
      <c r="D2410" s="953"/>
      <c r="E2410" s="953"/>
      <c r="F2410" s="953"/>
      <c r="G2410" s="953"/>
      <c r="H2410" s="953"/>
    </row>
    <row r="2411" spans="1:8" s="943" customFormat="1" x14ac:dyDescent="0.25">
      <c r="A2411" s="952"/>
      <c r="B2411" s="953"/>
      <c r="C2411" s="953"/>
      <c r="D2411" s="953"/>
      <c r="E2411" s="953"/>
      <c r="F2411" s="953"/>
      <c r="G2411" s="953"/>
      <c r="H2411" s="953"/>
    </row>
    <row r="2412" spans="1:8" s="943" customFormat="1" x14ac:dyDescent="0.25">
      <c r="A2412" s="952"/>
      <c r="B2412" s="953"/>
      <c r="C2412" s="953"/>
      <c r="D2412" s="953"/>
      <c r="E2412" s="953"/>
      <c r="F2412" s="953"/>
      <c r="G2412" s="953"/>
      <c r="H2412" s="953"/>
    </row>
    <row r="2413" spans="1:8" s="943" customFormat="1" x14ac:dyDescent="0.25">
      <c r="A2413" s="952"/>
      <c r="B2413" s="953"/>
      <c r="C2413" s="953"/>
      <c r="D2413" s="953"/>
      <c r="E2413" s="953"/>
      <c r="F2413" s="953"/>
      <c r="G2413" s="953"/>
      <c r="H2413" s="953"/>
    </row>
    <row r="2414" spans="1:8" s="943" customFormat="1" x14ac:dyDescent="0.25">
      <c r="A2414" s="952"/>
      <c r="B2414" s="953"/>
      <c r="C2414" s="953"/>
      <c r="D2414" s="953"/>
      <c r="E2414" s="953"/>
      <c r="F2414" s="953"/>
      <c r="G2414" s="953"/>
      <c r="H2414" s="953"/>
    </row>
    <row r="2415" spans="1:8" s="943" customFormat="1" x14ac:dyDescent="0.25">
      <c r="A2415" s="952"/>
      <c r="B2415" s="953"/>
      <c r="C2415" s="953"/>
      <c r="D2415" s="953"/>
      <c r="E2415" s="953"/>
      <c r="F2415" s="953"/>
      <c r="G2415" s="953"/>
      <c r="H2415" s="953"/>
    </row>
    <row r="2416" spans="1:8" s="943" customFormat="1" x14ac:dyDescent="0.25">
      <c r="A2416" s="952"/>
      <c r="B2416" s="953"/>
      <c r="C2416" s="953"/>
      <c r="D2416" s="953"/>
      <c r="E2416" s="953"/>
      <c r="F2416" s="953"/>
      <c r="G2416" s="953"/>
      <c r="H2416" s="953"/>
    </row>
    <row r="2417" spans="1:8" s="943" customFormat="1" x14ac:dyDescent="0.25">
      <c r="A2417" s="952"/>
      <c r="B2417" s="953"/>
      <c r="C2417" s="953"/>
      <c r="D2417" s="953"/>
      <c r="E2417" s="953"/>
      <c r="F2417" s="953"/>
      <c r="G2417" s="953"/>
      <c r="H2417" s="953"/>
    </row>
    <row r="2418" spans="1:8" s="943" customFormat="1" x14ac:dyDescent="0.25">
      <c r="A2418" s="952"/>
      <c r="B2418" s="953"/>
      <c r="C2418" s="953"/>
      <c r="D2418" s="953"/>
      <c r="E2418" s="953"/>
      <c r="F2418" s="953"/>
      <c r="G2418" s="953"/>
      <c r="H2418" s="953"/>
    </row>
    <row r="2419" spans="1:8" s="943" customFormat="1" x14ac:dyDescent="0.25">
      <c r="A2419" s="952"/>
      <c r="B2419" s="953"/>
      <c r="C2419" s="953"/>
      <c r="D2419" s="953"/>
      <c r="E2419" s="953"/>
      <c r="F2419" s="953"/>
      <c r="G2419" s="953"/>
      <c r="H2419" s="953"/>
    </row>
    <row r="2420" spans="1:8" s="943" customFormat="1" x14ac:dyDescent="0.25">
      <c r="A2420" s="952"/>
      <c r="B2420" s="953"/>
      <c r="C2420" s="953"/>
      <c r="D2420" s="953"/>
      <c r="E2420" s="953"/>
      <c r="F2420" s="953"/>
      <c r="G2420" s="953"/>
      <c r="H2420" s="953"/>
    </row>
    <row r="2421" spans="1:8" s="943" customFormat="1" x14ac:dyDescent="0.25">
      <c r="A2421" s="952"/>
      <c r="B2421" s="953"/>
      <c r="C2421" s="953"/>
      <c r="D2421" s="953"/>
      <c r="E2421" s="953"/>
      <c r="F2421" s="953"/>
      <c r="G2421" s="953"/>
      <c r="H2421" s="953"/>
    </row>
    <row r="2422" spans="1:8" s="943" customFormat="1" x14ac:dyDescent="0.25">
      <c r="A2422" s="952"/>
      <c r="B2422" s="953"/>
      <c r="C2422" s="953"/>
      <c r="D2422" s="953"/>
      <c r="E2422" s="953"/>
      <c r="F2422" s="953"/>
      <c r="G2422" s="953"/>
      <c r="H2422" s="953"/>
    </row>
    <row r="2423" spans="1:8" s="943" customFormat="1" x14ac:dyDescent="0.25">
      <c r="A2423" s="952"/>
      <c r="B2423" s="953"/>
      <c r="C2423" s="953"/>
      <c r="D2423" s="953"/>
      <c r="E2423" s="953"/>
      <c r="F2423" s="953"/>
      <c r="G2423" s="953"/>
      <c r="H2423" s="953"/>
    </row>
    <row r="2424" spans="1:8" s="943" customFormat="1" x14ac:dyDescent="0.25">
      <c r="A2424" s="952"/>
      <c r="B2424" s="953"/>
      <c r="C2424" s="953"/>
      <c r="D2424" s="953"/>
      <c r="E2424" s="953"/>
      <c r="F2424" s="953"/>
      <c r="G2424" s="953"/>
      <c r="H2424" s="953"/>
    </row>
    <row r="2425" spans="1:8" s="943" customFormat="1" x14ac:dyDescent="0.25">
      <c r="A2425" s="952"/>
      <c r="B2425" s="953"/>
      <c r="C2425" s="953"/>
      <c r="D2425" s="953"/>
      <c r="E2425" s="953"/>
      <c r="F2425" s="953"/>
      <c r="G2425" s="953"/>
      <c r="H2425" s="953"/>
    </row>
    <row r="2426" spans="1:8" s="943" customFormat="1" x14ac:dyDescent="0.25">
      <c r="A2426" s="952"/>
      <c r="B2426" s="953"/>
      <c r="C2426" s="953"/>
      <c r="D2426" s="953"/>
      <c r="E2426" s="953"/>
      <c r="F2426" s="953"/>
      <c r="G2426" s="953"/>
      <c r="H2426" s="953"/>
    </row>
    <row r="2427" spans="1:8" s="943" customFormat="1" x14ac:dyDescent="0.25">
      <c r="A2427" s="952"/>
      <c r="B2427" s="953"/>
      <c r="C2427" s="953"/>
      <c r="D2427" s="953"/>
      <c r="E2427" s="953"/>
      <c r="F2427" s="953"/>
      <c r="G2427" s="953"/>
      <c r="H2427" s="953"/>
    </row>
    <row r="2428" spans="1:8" s="943" customFormat="1" x14ac:dyDescent="0.25">
      <c r="A2428" s="952"/>
      <c r="B2428" s="953"/>
      <c r="C2428" s="953"/>
      <c r="D2428" s="953"/>
      <c r="E2428" s="953"/>
      <c r="F2428" s="953"/>
      <c r="G2428" s="953"/>
      <c r="H2428" s="953"/>
    </row>
    <row r="2429" spans="1:8" s="943" customFormat="1" x14ac:dyDescent="0.25">
      <c r="A2429" s="952"/>
      <c r="B2429" s="953"/>
      <c r="C2429" s="953"/>
      <c r="D2429" s="953"/>
      <c r="E2429" s="953"/>
      <c r="F2429" s="953"/>
      <c r="G2429" s="953"/>
      <c r="H2429" s="953"/>
    </row>
    <row r="2430" spans="1:8" s="943" customFormat="1" x14ac:dyDescent="0.25">
      <c r="A2430" s="952"/>
      <c r="B2430" s="953"/>
      <c r="C2430" s="953"/>
      <c r="D2430" s="953"/>
      <c r="E2430" s="953"/>
      <c r="F2430" s="953"/>
      <c r="G2430" s="953"/>
      <c r="H2430" s="953"/>
    </row>
    <row r="2431" spans="1:8" s="943" customFormat="1" x14ac:dyDescent="0.25">
      <c r="A2431" s="952"/>
      <c r="B2431" s="953"/>
      <c r="C2431" s="953"/>
      <c r="D2431" s="953"/>
      <c r="E2431" s="953"/>
      <c r="F2431" s="953"/>
      <c r="G2431" s="953"/>
      <c r="H2431" s="953"/>
    </row>
    <row r="2432" spans="1:8" s="943" customFormat="1" x14ac:dyDescent="0.25">
      <c r="A2432" s="952"/>
      <c r="B2432" s="953"/>
      <c r="C2432" s="953"/>
      <c r="D2432" s="953"/>
      <c r="E2432" s="953"/>
      <c r="F2432" s="953"/>
      <c r="G2432" s="953"/>
      <c r="H2432" s="953"/>
    </row>
    <row r="2433" spans="1:8" s="943" customFormat="1" x14ac:dyDescent="0.25">
      <c r="A2433" s="952"/>
      <c r="B2433" s="953"/>
      <c r="C2433" s="953"/>
      <c r="D2433" s="953"/>
      <c r="E2433" s="953"/>
      <c r="F2433" s="953"/>
      <c r="G2433" s="953"/>
      <c r="H2433" s="953"/>
    </row>
    <row r="2434" spans="1:8" s="943" customFormat="1" x14ac:dyDescent="0.25">
      <c r="A2434" s="952"/>
      <c r="B2434" s="953"/>
      <c r="C2434" s="953"/>
      <c r="D2434" s="953"/>
      <c r="E2434" s="953"/>
      <c r="F2434" s="953"/>
      <c r="G2434" s="953"/>
      <c r="H2434" s="953"/>
    </row>
    <row r="2435" spans="1:8" s="943" customFormat="1" x14ac:dyDescent="0.25">
      <c r="A2435" s="952"/>
      <c r="B2435" s="953"/>
      <c r="C2435" s="953"/>
      <c r="D2435" s="953"/>
      <c r="E2435" s="953"/>
      <c r="F2435" s="953"/>
      <c r="G2435" s="953"/>
      <c r="H2435" s="953"/>
    </row>
    <row r="2436" spans="1:8" s="943" customFormat="1" x14ac:dyDescent="0.25">
      <c r="A2436" s="952"/>
      <c r="B2436" s="953"/>
      <c r="C2436" s="953"/>
      <c r="D2436" s="953"/>
      <c r="E2436" s="953"/>
      <c r="F2436" s="953"/>
      <c r="G2436" s="953"/>
      <c r="H2436" s="953"/>
    </row>
    <row r="2437" spans="1:8" s="943" customFormat="1" x14ac:dyDescent="0.25">
      <c r="A2437" s="952"/>
      <c r="B2437" s="953"/>
      <c r="C2437" s="953"/>
      <c r="D2437" s="953"/>
      <c r="E2437" s="953"/>
      <c r="F2437" s="953"/>
      <c r="G2437" s="953"/>
      <c r="H2437" s="953"/>
    </row>
    <row r="2438" spans="1:8" s="943" customFormat="1" x14ac:dyDescent="0.25">
      <c r="A2438" s="952"/>
      <c r="B2438" s="953"/>
      <c r="C2438" s="953"/>
      <c r="D2438" s="953"/>
      <c r="E2438" s="953"/>
      <c r="F2438" s="953"/>
      <c r="G2438" s="953"/>
      <c r="H2438" s="953"/>
    </row>
    <row r="2439" spans="1:8" s="943" customFormat="1" x14ac:dyDescent="0.25">
      <c r="A2439" s="952"/>
      <c r="B2439" s="953"/>
      <c r="C2439" s="953"/>
      <c r="D2439" s="953"/>
      <c r="E2439" s="953"/>
      <c r="F2439" s="953"/>
      <c r="G2439" s="953"/>
      <c r="H2439" s="953"/>
    </row>
    <row r="2440" spans="1:8" s="943" customFormat="1" x14ac:dyDescent="0.25">
      <c r="A2440" s="952"/>
      <c r="B2440" s="953"/>
      <c r="C2440" s="953"/>
      <c r="D2440" s="953"/>
      <c r="E2440" s="953"/>
      <c r="F2440" s="953"/>
      <c r="G2440" s="953"/>
      <c r="H2440" s="953"/>
    </row>
    <row r="2441" spans="1:8" s="943" customFormat="1" x14ac:dyDescent="0.25">
      <c r="A2441" s="952"/>
      <c r="B2441" s="953"/>
      <c r="C2441" s="953"/>
      <c r="D2441" s="953"/>
      <c r="E2441" s="953"/>
      <c r="F2441" s="953"/>
      <c r="G2441" s="953"/>
      <c r="H2441" s="953"/>
    </row>
    <row r="2442" spans="1:8" s="943" customFormat="1" x14ac:dyDescent="0.25">
      <c r="A2442" s="952"/>
      <c r="B2442" s="953"/>
      <c r="C2442" s="953"/>
      <c r="D2442" s="953"/>
      <c r="E2442" s="953"/>
      <c r="F2442" s="953"/>
      <c r="G2442" s="953"/>
      <c r="H2442" s="953"/>
    </row>
    <row r="2443" spans="1:8" s="943" customFormat="1" x14ac:dyDescent="0.25">
      <c r="A2443" s="952"/>
      <c r="B2443" s="953"/>
      <c r="C2443" s="953"/>
      <c r="D2443" s="953"/>
      <c r="E2443" s="953"/>
      <c r="F2443" s="953"/>
      <c r="G2443" s="953"/>
      <c r="H2443" s="953"/>
    </row>
    <row r="2444" spans="1:8" s="943" customFormat="1" x14ac:dyDescent="0.25">
      <c r="A2444" s="952"/>
      <c r="B2444" s="953"/>
      <c r="C2444" s="953"/>
      <c r="D2444" s="953"/>
      <c r="E2444" s="953"/>
      <c r="F2444" s="953"/>
      <c r="G2444" s="953"/>
      <c r="H2444" s="953"/>
    </row>
    <row r="2445" spans="1:8" s="943" customFormat="1" x14ac:dyDescent="0.25">
      <c r="A2445" s="952"/>
      <c r="B2445" s="953"/>
      <c r="C2445" s="953"/>
      <c r="D2445" s="953"/>
      <c r="E2445" s="953"/>
      <c r="F2445" s="953"/>
      <c r="G2445" s="953"/>
      <c r="H2445" s="953"/>
    </row>
    <row r="2446" spans="1:8" s="943" customFormat="1" x14ac:dyDescent="0.25">
      <c r="A2446" s="952"/>
      <c r="B2446" s="953"/>
      <c r="C2446" s="953"/>
      <c r="D2446" s="953"/>
      <c r="E2446" s="953"/>
      <c r="F2446" s="953"/>
      <c r="G2446" s="953"/>
      <c r="H2446" s="953"/>
    </row>
    <row r="2447" spans="1:8" s="943" customFormat="1" x14ac:dyDescent="0.25">
      <c r="A2447" s="952"/>
      <c r="B2447" s="953"/>
      <c r="C2447" s="953"/>
      <c r="D2447" s="953"/>
      <c r="E2447" s="953"/>
      <c r="F2447" s="953"/>
      <c r="G2447" s="953"/>
      <c r="H2447" s="953"/>
    </row>
    <row r="2448" spans="1:8" s="943" customFormat="1" x14ac:dyDescent="0.25">
      <c r="A2448" s="952"/>
      <c r="B2448" s="953"/>
      <c r="C2448" s="953"/>
      <c r="D2448" s="953"/>
      <c r="E2448" s="953"/>
      <c r="F2448" s="953"/>
      <c r="G2448" s="953"/>
      <c r="H2448" s="953"/>
    </row>
    <row r="2449" spans="1:8" s="943" customFormat="1" x14ac:dyDescent="0.25">
      <c r="A2449" s="952"/>
      <c r="B2449" s="953"/>
      <c r="C2449" s="953"/>
      <c r="D2449" s="953"/>
      <c r="E2449" s="953"/>
      <c r="F2449" s="953"/>
      <c r="G2449" s="953"/>
      <c r="H2449" s="953"/>
    </row>
    <row r="2450" spans="1:8" s="943" customFormat="1" x14ac:dyDescent="0.25">
      <c r="A2450" s="952"/>
      <c r="B2450" s="953"/>
      <c r="C2450" s="953"/>
      <c r="D2450" s="953"/>
      <c r="E2450" s="953"/>
      <c r="F2450" s="953"/>
      <c r="G2450" s="953"/>
      <c r="H2450" s="953"/>
    </row>
    <row r="2451" spans="1:8" s="943" customFormat="1" x14ac:dyDescent="0.25">
      <c r="A2451" s="952"/>
      <c r="B2451" s="953"/>
      <c r="C2451" s="953"/>
      <c r="D2451" s="953"/>
      <c r="E2451" s="953"/>
      <c r="F2451" s="953"/>
      <c r="G2451" s="953"/>
      <c r="H2451" s="953"/>
    </row>
    <row r="2452" spans="1:8" s="943" customFormat="1" x14ac:dyDescent="0.25">
      <c r="A2452" s="952"/>
      <c r="B2452" s="953"/>
      <c r="C2452" s="953"/>
      <c r="D2452" s="953"/>
      <c r="E2452" s="953"/>
      <c r="F2452" s="953"/>
      <c r="G2452" s="953"/>
      <c r="H2452" s="953"/>
    </row>
    <row r="2453" spans="1:8" s="943" customFormat="1" x14ac:dyDescent="0.25">
      <c r="A2453" s="952"/>
      <c r="B2453" s="953"/>
      <c r="C2453" s="953"/>
      <c r="D2453" s="953"/>
      <c r="E2453" s="953"/>
      <c r="F2453" s="953"/>
      <c r="G2453" s="953"/>
      <c r="H2453" s="953"/>
    </row>
    <row r="2454" spans="1:8" s="943" customFormat="1" x14ac:dyDescent="0.25">
      <c r="A2454" s="952"/>
      <c r="B2454" s="953"/>
      <c r="C2454" s="953"/>
      <c r="D2454" s="953"/>
      <c r="E2454" s="953"/>
      <c r="F2454" s="953"/>
      <c r="G2454" s="953"/>
      <c r="H2454" s="953"/>
    </row>
    <row r="2455" spans="1:8" s="943" customFormat="1" x14ac:dyDescent="0.25">
      <c r="A2455" s="952"/>
      <c r="B2455" s="953"/>
      <c r="C2455" s="953"/>
      <c r="D2455" s="953"/>
      <c r="E2455" s="953"/>
      <c r="F2455" s="953"/>
      <c r="G2455" s="953"/>
      <c r="H2455" s="953"/>
    </row>
    <row r="2456" spans="1:8" s="943" customFormat="1" x14ac:dyDescent="0.25">
      <c r="A2456" s="952"/>
      <c r="B2456" s="953"/>
      <c r="C2456" s="953"/>
      <c r="D2456" s="953"/>
      <c r="E2456" s="953"/>
      <c r="F2456" s="953"/>
      <c r="G2456" s="953"/>
      <c r="H2456" s="953"/>
    </row>
    <row r="2457" spans="1:8" s="943" customFormat="1" x14ac:dyDescent="0.25">
      <c r="A2457" s="952"/>
      <c r="B2457" s="953"/>
      <c r="C2457" s="953"/>
      <c r="D2457" s="953"/>
      <c r="E2457" s="953"/>
      <c r="F2457" s="953"/>
      <c r="G2457" s="953"/>
      <c r="H2457" s="953"/>
    </row>
    <row r="2458" spans="1:8" s="943" customFormat="1" x14ac:dyDescent="0.25">
      <c r="A2458" s="952"/>
      <c r="B2458" s="953"/>
      <c r="C2458" s="953"/>
      <c r="D2458" s="953"/>
      <c r="E2458" s="953"/>
      <c r="F2458" s="953"/>
      <c r="G2458" s="953"/>
      <c r="H2458" s="953"/>
    </row>
    <row r="2459" spans="1:8" s="943" customFormat="1" x14ac:dyDescent="0.25">
      <c r="A2459" s="952"/>
      <c r="B2459" s="953"/>
      <c r="C2459" s="953"/>
      <c r="D2459" s="953"/>
      <c r="E2459" s="953"/>
      <c r="F2459" s="953"/>
      <c r="G2459" s="953"/>
      <c r="H2459" s="953"/>
    </row>
    <row r="2460" spans="1:8" s="943" customFormat="1" x14ac:dyDescent="0.25">
      <c r="A2460" s="952"/>
      <c r="B2460" s="953"/>
      <c r="C2460" s="953"/>
      <c r="D2460" s="953"/>
      <c r="E2460" s="953"/>
      <c r="F2460" s="953"/>
      <c r="G2460" s="953"/>
      <c r="H2460" s="953"/>
    </row>
    <row r="2461" spans="1:8" s="943" customFormat="1" x14ac:dyDescent="0.25">
      <c r="A2461" s="952"/>
      <c r="B2461" s="953"/>
      <c r="C2461" s="953"/>
      <c r="D2461" s="953"/>
      <c r="E2461" s="953"/>
      <c r="F2461" s="953"/>
      <c r="G2461" s="953"/>
      <c r="H2461" s="953"/>
    </row>
    <row r="2462" spans="1:8" s="943" customFormat="1" x14ac:dyDescent="0.25">
      <c r="A2462" s="952"/>
      <c r="B2462" s="953"/>
      <c r="C2462" s="953"/>
      <c r="D2462" s="953"/>
      <c r="E2462" s="953"/>
      <c r="F2462" s="953"/>
      <c r="G2462" s="953"/>
      <c r="H2462" s="953"/>
    </row>
    <row r="2463" spans="1:8" s="943" customFormat="1" x14ac:dyDescent="0.25">
      <c r="A2463" s="952"/>
      <c r="B2463" s="953"/>
      <c r="C2463" s="953"/>
      <c r="D2463" s="953"/>
      <c r="E2463" s="953"/>
      <c r="F2463" s="953"/>
      <c r="G2463" s="953"/>
      <c r="H2463" s="953"/>
    </row>
    <row r="2464" spans="1:8" s="943" customFormat="1" x14ac:dyDescent="0.25">
      <c r="A2464" s="952"/>
      <c r="B2464" s="953"/>
      <c r="C2464" s="953"/>
      <c r="D2464" s="953"/>
      <c r="E2464" s="953"/>
      <c r="F2464" s="953"/>
      <c r="G2464" s="953"/>
      <c r="H2464" s="953"/>
    </row>
    <row r="2465" spans="1:8" s="943" customFormat="1" x14ac:dyDescent="0.25">
      <c r="A2465" s="952"/>
      <c r="B2465" s="953"/>
      <c r="C2465" s="953"/>
      <c r="D2465" s="953"/>
      <c r="E2465" s="953"/>
      <c r="F2465" s="953"/>
      <c r="G2465" s="953"/>
      <c r="H2465" s="953"/>
    </row>
    <row r="2466" spans="1:8" s="943" customFormat="1" x14ac:dyDescent="0.25">
      <c r="A2466" s="952"/>
      <c r="B2466" s="953"/>
      <c r="C2466" s="953"/>
      <c r="D2466" s="953"/>
      <c r="E2466" s="953"/>
      <c r="F2466" s="953"/>
      <c r="G2466" s="953"/>
      <c r="H2466" s="953"/>
    </row>
    <row r="2467" spans="1:8" s="943" customFormat="1" x14ac:dyDescent="0.25">
      <c r="A2467" s="952"/>
      <c r="B2467" s="953"/>
      <c r="C2467" s="953"/>
      <c r="D2467" s="953"/>
      <c r="E2467" s="953"/>
      <c r="F2467" s="953"/>
      <c r="G2467" s="953"/>
      <c r="H2467" s="953"/>
    </row>
    <row r="2468" spans="1:8" s="943" customFormat="1" x14ac:dyDescent="0.25">
      <c r="A2468" s="952"/>
      <c r="B2468" s="953"/>
      <c r="C2468" s="953"/>
      <c r="D2468" s="953"/>
      <c r="E2468" s="953"/>
      <c r="F2468" s="953"/>
      <c r="G2468" s="953"/>
      <c r="H2468" s="953"/>
    </row>
    <row r="2469" spans="1:8" s="943" customFormat="1" x14ac:dyDescent="0.25">
      <c r="A2469" s="952"/>
      <c r="B2469" s="953"/>
      <c r="C2469" s="953"/>
      <c r="D2469" s="953"/>
      <c r="E2469" s="953"/>
      <c r="F2469" s="953"/>
      <c r="G2469" s="953"/>
      <c r="H2469" s="953"/>
    </row>
    <row r="2470" spans="1:8" s="943" customFormat="1" x14ac:dyDescent="0.25">
      <c r="A2470" s="952"/>
      <c r="B2470" s="953"/>
      <c r="C2470" s="953"/>
      <c r="D2470" s="953"/>
      <c r="E2470" s="953"/>
      <c r="F2470" s="953"/>
      <c r="G2470" s="953"/>
      <c r="H2470" s="953"/>
    </row>
    <row r="2471" spans="1:8" s="943" customFormat="1" x14ac:dyDescent="0.25">
      <c r="A2471" s="952"/>
      <c r="B2471" s="953"/>
      <c r="C2471" s="953"/>
      <c r="D2471" s="953"/>
      <c r="E2471" s="953"/>
      <c r="F2471" s="953"/>
      <c r="G2471" s="953"/>
      <c r="H2471" s="953"/>
    </row>
    <row r="2472" spans="1:8" s="943" customFormat="1" x14ac:dyDescent="0.25">
      <c r="A2472" s="952"/>
      <c r="B2472" s="953"/>
      <c r="C2472" s="953"/>
      <c r="D2472" s="953"/>
      <c r="E2472" s="953"/>
      <c r="F2472" s="953"/>
      <c r="G2472" s="953"/>
      <c r="H2472" s="953"/>
    </row>
    <row r="2473" spans="1:8" s="943" customFormat="1" x14ac:dyDescent="0.25">
      <c r="A2473" s="952"/>
      <c r="B2473" s="953"/>
      <c r="C2473" s="953"/>
      <c r="D2473" s="953"/>
      <c r="E2473" s="953"/>
      <c r="F2473" s="953"/>
      <c r="G2473" s="953"/>
      <c r="H2473" s="953"/>
    </row>
    <row r="2474" spans="1:8" s="943" customFormat="1" x14ac:dyDescent="0.25">
      <c r="A2474" s="952"/>
      <c r="B2474" s="953"/>
      <c r="C2474" s="953"/>
      <c r="D2474" s="953"/>
      <c r="E2474" s="953"/>
      <c r="F2474" s="953"/>
      <c r="G2474" s="953"/>
      <c r="H2474" s="953"/>
    </row>
    <row r="2475" spans="1:8" s="943" customFormat="1" x14ac:dyDescent="0.25">
      <c r="A2475" s="952"/>
      <c r="B2475" s="953"/>
      <c r="C2475" s="953"/>
      <c r="D2475" s="953"/>
      <c r="E2475" s="953"/>
      <c r="F2475" s="953"/>
      <c r="G2475" s="953"/>
      <c r="H2475" s="953"/>
    </row>
    <row r="2476" spans="1:8" s="943" customFormat="1" x14ac:dyDescent="0.25">
      <c r="A2476" s="952"/>
      <c r="B2476" s="953"/>
      <c r="C2476" s="953"/>
      <c r="D2476" s="953"/>
      <c r="E2476" s="953"/>
      <c r="F2476" s="953"/>
      <c r="G2476" s="953"/>
      <c r="H2476" s="953"/>
    </row>
    <row r="2477" spans="1:8" s="943" customFormat="1" x14ac:dyDescent="0.25">
      <c r="A2477" s="952"/>
      <c r="B2477" s="953"/>
      <c r="C2477" s="953"/>
      <c r="D2477" s="953"/>
      <c r="E2477" s="953"/>
      <c r="F2477" s="953"/>
      <c r="G2477" s="953"/>
      <c r="H2477" s="953"/>
    </row>
    <row r="2478" spans="1:8" s="943" customFormat="1" x14ac:dyDescent="0.25">
      <c r="A2478" s="952"/>
      <c r="B2478" s="953"/>
      <c r="C2478" s="953"/>
      <c r="D2478" s="953"/>
      <c r="E2478" s="953"/>
      <c r="F2478" s="953"/>
      <c r="G2478" s="953"/>
      <c r="H2478" s="953"/>
    </row>
    <row r="2479" spans="1:8" s="943" customFormat="1" x14ac:dyDescent="0.25">
      <c r="A2479" s="952"/>
      <c r="B2479" s="953"/>
      <c r="C2479" s="953"/>
      <c r="D2479" s="953"/>
      <c r="E2479" s="953"/>
      <c r="F2479" s="953"/>
      <c r="G2479" s="953"/>
      <c r="H2479" s="953"/>
    </row>
    <row r="2480" spans="1:8" s="943" customFormat="1" x14ac:dyDescent="0.25">
      <c r="A2480" s="952"/>
      <c r="B2480" s="953"/>
      <c r="C2480" s="953"/>
      <c r="D2480" s="953"/>
      <c r="E2480" s="953"/>
      <c r="F2480" s="953"/>
      <c r="G2480" s="953"/>
      <c r="H2480" s="953"/>
    </row>
    <row r="2481" spans="1:8" s="943" customFormat="1" x14ac:dyDescent="0.25">
      <c r="A2481" s="952"/>
      <c r="B2481" s="953"/>
      <c r="C2481" s="953"/>
      <c r="D2481" s="953"/>
      <c r="E2481" s="953"/>
      <c r="F2481" s="953"/>
      <c r="G2481" s="953"/>
      <c r="H2481" s="953"/>
    </row>
    <row r="2482" spans="1:8" s="943" customFormat="1" x14ac:dyDescent="0.25">
      <c r="A2482" s="952"/>
      <c r="B2482" s="953"/>
      <c r="C2482" s="953"/>
      <c r="D2482" s="953"/>
      <c r="E2482" s="953"/>
      <c r="F2482" s="953"/>
      <c r="G2482" s="953"/>
      <c r="H2482" s="953"/>
    </row>
    <row r="2483" spans="1:8" s="943" customFormat="1" x14ac:dyDescent="0.25">
      <c r="A2483" s="952"/>
      <c r="B2483" s="953"/>
      <c r="C2483" s="953"/>
      <c r="D2483" s="953"/>
      <c r="E2483" s="953"/>
      <c r="F2483" s="953"/>
      <c r="G2483" s="953"/>
      <c r="H2483" s="953"/>
    </row>
    <row r="2484" spans="1:8" s="943" customFormat="1" x14ac:dyDescent="0.25">
      <c r="A2484" s="952"/>
      <c r="B2484" s="953"/>
      <c r="C2484" s="953"/>
      <c r="D2484" s="953"/>
      <c r="E2484" s="953"/>
      <c r="F2484" s="953"/>
      <c r="G2484" s="953"/>
      <c r="H2484" s="953"/>
    </row>
    <row r="2485" spans="1:8" s="943" customFormat="1" x14ac:dyDescent="0.25">
      <c r="A2485" s="952"/>
      <c r="B2485" s="953"/>
      <c r="C2485" s="953"/>
      <c r="D2485" s="953"/>
      <c r="E2485" s="953"/>
      <c r="F2485" s="953"/>
      <c r="G2485" s="953"/>
      <c r="H2485" s="953"/>
    </row>
    <row r="2486" spans="1:8" s="943" customFormat="1" x14ac:dyDescent="0.25">
      <c r="A2486" s="952"/>
      <c r="B2486" s="953"/>
      <c r="C2486" s="953"/>
      <c r="D2486" s="953"/>
      <c r="E2486" s="953"/>
      <c r="F2486" s="953"/>
      <c r="G2486" s="953"/>
      <c r="H2486" s="953"/>
    </row>
    <row r="2487" spans="1:8" s="943" customFormat="1" x14ac:dyDescent="0.25">
      <c r="A2487" s="952"/>
      <c r="B2487" s="953"/>
      <c r="C2487" s="953"/>
      <c r="D2487" s="953"/>
      <c r="E2487" s="953"/>
      <c r="F2487" s="953"/>
      <c r="G2487" s="953"/>
      <c r="H2487" s="953"/>
    </row>
    <row r="2488" spans="1:8" s="943" customFormat="1" x14ac:dyDescent="0.25">
      <c r="A2488" s="952"/>
      <c r="B2488" s="953"/>
      <c r="C2488" s="953"/>
      <c r="D2488" s="953"/>
      <c r="E2488" s="953"/>
      <c r="F2488" s="953"/>
      <c r="G2488" s="953"/>
      <c r="H2488" s="953"/>
    </row>
    <row r="2489" spans="1:8" s="943" customFormat="1" x14ac:dyDescent="0.25">
      <c r="A2489" s="952"/>
      <c r="B2489" s="953"/>
      <c r="C2489" s="953"/>
      <c r="D2489" s="953"/>
      <c r="E2489" s="953"/>
      <c r="F2489" s="953"/>
      <c r="G2489" s="953"/>
      <c r="H2489" s="953"/>
    </row>
    <row r="2490" spans="1:8" s="943" customFormat="1" x14ac:dyDescent="0.25">
      <c r="A2490" s="952"/>
      <c r="B2490" s="953"/>
      <c r="C2490" s="953"/>
      <c r="D2490" s="953"/>
      <c r="E2490" s="953"/>
      <c r="F2490" s="953"/>
      <c r="G2490" s="953"/>
      <c r="H2490" s="953"/>
    </row>
    <row r="2491" spans="1:8" s="943" customFormat="1" x14ac:dyDescent="0.25">
      <c r="A2491" s="952"/>
      <c r="B2491" s="953"/>
      <c r="C2491" s="953"/>
      <c r="D2491" s="953"/>
      <c r="E2491" s="953"/>
      <c r="F2491" s="953"/>
      <c r="G2491" s="953"/>
      <c r="H2491" s="953"/>
    </row>
    <row r="2492" spans="1:8" s="943" customFormat="1" x14ac:dyDescent="0.25">
      <c r="A2492" s="952"/>
      <c r="B2492" s="953"/>
      <c r="C2492" s="953"/>
      <c r="D2492" s="953"/>
      <c r="E2492" s="953"/>
      <c r="F2492" s="953"/>
      <c r="G2492" s="953"/>
      <c r="H2492" s="953"/>
    </row>
    <row r="2493" spans="1:8" s="943" customFormat="1" x14ac:dyDescent="0.25">
      <c r="A2493" s="952"/>
      <c r="B2493" s="953"/>
      <c r="C2493" s="953"/>
      <c r="D2493" s="953"/>
      <c r="E2493" s="953"/>
      <c r="F2493" s="953"/>
      <c r="G2493" s="953"/>
      <c r="H2493" s="953"/>
    </row>
    <row r="2494" spans="1:8" s="943" customFormat="1" x14ac:dyDescent="0.25">
      <c r="A2494" s="952"/>
      <c r="B2494" s="953"/>
      <c r="C2494" s="953"/>
      <c r="D2494" s="953"/>
      <c r="E2494" s="953"/>
      <c r="F2494" s="953"/>
      <c r="G2494" s="953"/>
      <c r="H2494" s="953"/>
    </row>
    <row r="2495" spans="1:8" s="943" customFormat="1" x14ac:dyDescent="0.25">
      <c r="A2495" s="952"/>
      <c r="B2495" s="953"/>
      <c r="C2495" s="953"/>
      <c r="D2495" s="953"/>
      <c r="E2495" s="953"/>
      <c r="F2495" s="953"/>
      <c r="G2495" s="953"/>
      <c r="H2495" s="953"/>
    </row>
    <row r="2496" spans="1:8" s="943" customFormat="1" x14ac:dyDescent="0.25">
      <c r="A2496" s="952"/>
      <c r="B2496" s="953"/>
      <c r="C2496" s="953"/>
      <c r="D2496" s="953"/>
      <c r="E2496" s="953"/>
      <c r="F2496" s="953"/>
      <c r="G2496" s="953"/>
      <c r="H2496" s="953"/>
    </row>
    <row r="2497" spans="1:8" s="943" customFormat="1" x14ac:dyDescent="0.25">
      <c r="A2497" s="952"/>
      <c r="B2497" s="953"/>
      <c r="C2497" s="953"/>
      <c r="D2497" s="953"/>
      <c r="E2497" s="953"/>
      <c r="F2497" s="953"/>
      <c r="G2497" s="953"/>
      <c r="H2497" s="953"/>
    </row>
    <row r="2498" spans="1:8" s="943" customFormat="1" x14ac:dyDescent="0.25">
      <c r="A2498" s="952"/>
      <c r="B2498" s="953"/>
      <c r="C2498" s="953"/>
      <c r="D2498" s="953"/>
      <c r="E2498" s="953"/>
      <c r="F2498" s="953"/>
      <c r="G2498" s="953"/>
      <c r="H2498" s="953"/>
    </row>
    <row r="2499" spans="1:8" s="943" customFormat="1" x14ac:dyDescent="0.25">
      <c r="A2499" s="952"/>
      <c r="B2499" s="953"/>
      <c r="C2499" s="953"/>
      <c r="D2499" s="953"/>
      <c r="E2499" s="953"/>
      <c r="F2499" s="953"/>
      <c r="G2499" s="953"/>
      <c r="H2499" s="953"/>
    </row>
    <row r="2500" spans="1:8" s="943" customFormat="1" x14ac:dyDescent="0.25">
      <c r="A2500" s="952"/>
      <c r="B2500" s="953"/>
      <c r="C2500" s="953"/>
      <c r="D2500" s="953"/>
      <c r="E2500" s="953"/>
      <c r="F2500" s="953"/>
      <c r="G2500" s="953"/>
      <c r="H2500" s="953"/>
    </row>
    <row r="2501" spans="1:8" s="943" customFormat="1" x14ac:dyDescent="0.25">
      <c r="A2501" s="952"/>
      <c r="B2501" s="953"/>
      <c r="C2501" s="953"/>
      <c r="D2501" s="953"/>
      <c r="E2501" s="953"/>
      <c r="F2501" s="953"/>
      <c r="G2501" s="953"/>
      <c r="H2501" s="953"/>
    </row>
    <row r="2502" spans="1:8" s="943" customFormat="1" x14ac:dyDescent="0.25">
      <c r="A2502" s="952"/>
      <c r="B2502" s="953"/>
      <c r="C2502" s="953"/>
      <c r="D2502" s="953"/>
      <c r="E2502" s="953"/>
      <c r="F2502" s="953"/>
      <c r="G2502" s="953"/>
      <c r="H2502" s="953"/>
    </row>
    <row r="2503" spans="1:8" s="943" customFormat="1" x14ac:dyDescent="0.25">
      <c r="A2503" s="952"/>
      <c r="B2503" s="953"/>
      <c r="C2503" s="953"/>
      <c r="D2503" s="953"/>
      <c r="E2503" s="953"/>
      <c r="F2503" s="953"/>
      <c r="G2503" s="953"/>
      <c r="H2503" s="953"/>
    </row>
    <row r="2504" spans="1:8" s="943" customFormat="1" x14ac:dyDescent="0.25">
      <c r="A2504" s="952"/>
      <c r="B2504" s="953"/>
      <c r="C2504" s="953"/>
      <c r="D2504" s="953"/>
      <c r="E2504" s="953"/>
      <c r="F2504" s="953"/>
      <c r="G2504" s="953"/>
      <c r="H2504" s="953"/>
    </row>
    <row r="2505" spans="1:8" s="943" customFormat="1" x14ac:dyDescent="0.25">
      <c r="A2505" s="952"/>
      <c r="B2505" s="953"/>
      <c r="C2505" s="953"/>
      <c r="D2505" s="953"/>
      <c r="E2505" s="953"/>
      <c r="F2505" s="953"/>
      <c r="G2505" s="953"/>
      <c r="H2505" s="953"/>
    </row>
    <row r="2506" spans="1:8" s="943" customFormat="1" x14ac:dyDescent="0.25">
      <c r="A2506" s="952"/>
      <c r="B2506" s="953"/>
      <c r="C2506" s="953"/>
      <c r="D2506" s="953"/>
      <c r="E2506" s="953"/>
      <c r="F2506" s="953"/>
      <c r="G2506" s="953"/>
      <c r="H2506" s="953"/>
    </row>
    <row r="2507" spans="1:8" s="943" customFormat="1" x14ac:dyDescent="0.25">
      <c r="A2507" s="952"/>
      <c r="B2507" s="953"/>
      <c r="C2507" s="953"/>
      <c r="D2507" s="953"/>
      <c r="E2507" s="953"/>
      <c r="F2507" s="953"/>
      <c r="G2507" s="953"/>
      <c r="H2507" s="953"/>
    </row>
    <row r="2508" spans="1:8" s="943" customFormat="1" x14ac:dyDescent="0.25">
      <c r="A2508" s="952"/>
      <c r="B2508" s="953"/>
      <c r="C2508" s="953"/>
      <c r="D2508" s="953"/>
      <c r="E2508" s="953"/>
      <c r="F2508" s="953"/>
      <c r="G2508" s="953"/>
      <c r="H2508" s="953"/>
    </row>
    <row r="2509" spans="1:8" s="943" customFormat="1" x14ac:dyDescent="0.25">
      <c r="A2509" s="952"/>
      <c r="B2509" s="953"/>
      <c r="C2509" s="953"/>
      <c r="D2509" s="953"/>
      <c r="E2509" s="953"/>
      <c r="F2509" s="953"/>
      <c r="G2509" s="953"/>
      <c r="H2509" s="953"/>
    </row>
    <row r="2510" spans="1:8" s="943" customFormat="1" x14ac:dyDescent="0.25">
      <c r="A2510" s="952"/>
      <c r="B2510" s="953"/>
      <c r="C2510" s="953"/>
      <c r="D2510" s="953"/>
      <c r="E2510" s="953"/>
      <c r="F2510" s="953"/>
      <c r="G2510" s="953"/>
      <c r="H2510" s="953"/>
    </row>
    <row r="2511" spans="1:8" s="943" customFormat="1" x14ac:dyDescent="0.25">
      <c r="A2511" s="952"/>
      <c r="B2511" s="953"/>
      <c r="C2511" s="953"/>
      <c r="D2511" s="953"/>
      <c r="E2511" s="953"/>
      <c r="F2511" s="953"/>
      <c r="G2511" s="953"/>
      <c r="H2511" s="953"/>
    </row>
    <row r="2512" spans="1:8" s="943" customFormat="1" x14ac:dyDescent="0.25">
      <c r="A2512" s="952"/>
      <c r="B2512" s="953"/>
      <c r="C2512" s="953"/>
      <c r="D2512" s="953"/>
      <c r="E2512" s="953"/>
      <c r="F2512" s="953"/>
      <c r="G2512" s="953"/>
      <c r="H2512" s="953"/>
    </row>
    <row r="2513" spans="1:8" s="943" customFormat="1" x14ac:dyDescent="0.25">
      <c r="A2513" s="952"/>
      <c r="B2513" s="953"/>
      <c r="C2513" s="953"/>
      <c r="D2513" s="953"/>
      <c r="E2513" s="953"/>
      <c r="F2513" s="953"/>
      <c r="G2513" s="953"/>
      <c r="H2513" s="953"/>
    </row>
    <row r="2514" spans="1:8" s="943" customFormat="1" x14ac:dyDescent="0.25">
      <c r="A2514" s="952"/>
      <c r="B2514" s="953"/>
      <c r="C2514" s="953"/>
      <c r="D2514" s="953"/>
      <c r="E2514" s="953"/>
      <c r="F2514" s="953"/>
      <c r="G2514" s="953"/>
      <c r="H2514" s="953"/>
    </row>
    <row r="2515" spans="1:8" s="943" customFormat="1" x14ac:dyDescent="0.25">
      <c r="A2515" s="952"/>
      <c r="B2515" s="953"/>
      <c r="C2515" s="953"/>
      <c r="D2515" s="953"/>
      <c r="E2515" s="953"/>
      <c r="F2515" s="953"/>
      <c r="G2515" s="953"/>
      <c r="H2515" s="953"/>
    </row>
    <row r="2516" spans="1:8" s="943" customFormat="1" x14ac:dyDescent="0.25">
      <c r="A2516" s="952"/>
      <c r="B2516" s="953"/>
      <c r="C2516" s="953"/>
      <c r="D2516" s="953"/>
      <c r="E2516" s="953"/>
      <c r="F2516" s="953"/>
      <c r="G2516" s="953"/>
      <c r="H2516" s="953"/>
    </row>
    <row r="2517" spans="1:8" s="943" customFormat="1" x14ac:dyDescent="0.25">
      <c r="A2517" s="952"/>
      <c r="B2517" s="953"/>
      <c r="C2517" s="953"/>
      <c r="D2517" s="953"/>
      <c r="E2517" s="953"/>
      <c r="F2517" s="953"/>
      <c r="G2517" s="953"/>
      <c r="H2517" s="953"/>
    </row>
    <row r="2518" spans="1:8" s="943" customFormat="1" x14ac:dyDescent="0.25">
      <c r="A2518" s="952"/>
      <c r="B2518" s="953"/>
      <c r="C2518" s="953"/>
      <c r="D2518" s="953"/>
      <c r="E2518" s="953"/>
      <c r="F2518" s="953"/>
      <c r="G2518" s="953"/>
      <c r="H2518" s="953"/>
    </row>
    <row r="2519" spans="1:8" s="943" customFormat="1" x14ac:dyDescent="0.25">
      <c r="A2519" s="952"/>
      <c r="B2519" s="953"/>
      <c r="C2519" s="953"/>
      <c r="D2519" s="953"/>
      <c r="E2519" s="953"/>
      <c r="F2519" s="953"/>
      <c r="G2519" s="953"/>
      <c r="H2519" s="953"/>
    </row>
    <row r="2520" spans="1:8" s="943" customFormat="1" x14ac:dyDescent="0.25">
      <c r="A2520" s="952"/>
      <c r="B2520" s="953"/>
      <c r="C2520" s="953"/>
      <c r="D2520" s="953"/>
      <c r="E2520" s="953"/>
      <c r="F2520" s="953"/>
      <c r="G2520" s="953"/>
      <c r="H2520" s="953"/>
    </row>
    <row r="2521" spans="1:8" s="943" customFormat="1" x14ac:dyDescent="0.25">
      <c r="A2521" s="952"/>
      <c r="B2521" s="953"/>
      <c r="C2521" s="953"/>
      <c r="D2521" s="953"/>
      <c r="E2521" s="953"/>
      <c r="F2521" s="953"/>
      <c r="G2521" s="953"/>
      <c r="H2521" s="953"/>
    </row>
    <row r="2522" spans="1:8" s="943" customFormat="1" x14ac:dyDescent="0.25">
      <c r="A2522" s="952"/>
      <c r="B2522" s="953"/>
      <c r="C2522" s="953"/>
      <c r="D2522" s="953"/>
      <c r="E2522" s="953"/>
      <c r="F2522" s="953"/>
      <c r="G2522" s="953"/>
      <c r="H2522" s="953"/>
    </row>
    <row r="2523" spans="1:8" s="943" customFormat="1" x14ac:dyDescent="0.25">
      <c r="A2523" s="952"/>
      <c r="B2523" s="953"/>
      <c r="C2523" s="953"/>
      <c r="D2523" s="953"/>
      <c r="E2523" s="953"/>
      <c r="F2523" s="953"/>
      <c r="G2523" s="953"/>
      <c r="H2523" s="953"/>
    </row>
    <row r="2524" spans="1:8" s="943" customFormat="1" x14ac:dyDescent="0.25">
      <c r="A2524" s="952"/>
      <c r="B2524" s="953"/>
      <c r="C2524" s="953"/>
      <c r="D2524" s="953"/>
      <c r="E2524" s="953"/>
      <c r="F2524" s="953"/>
      <c r="G2524" s="953"/>
      <c r="H2524" s="953"/>
    </row>
    <row r="2525" spans="1:8" s="943" customFormat="1" x14ac:dyDescent="0.25">
      <c r="A2525" s="952"/>
      <c r="B2525" s="953"/>
      <c r="C2525" s="953"/>
      <c r="D2525" s="953"/>
      <c r="E2525" s="953"/>
      <c r="F2525" s="953"/>
      <c r="G2525" s="953"/>
      <c r="H2525" s="953"/>
    </row>
    <row r="2526" spans="1:8" s="943" customFormat="1" x14ac:dyDescent="0.25">
      <c r="A2526" s="952"/>
      <c r="B2526" s="953"/>
      <c r="C2526" s="953"/>
      <c r="D2526" s="953"/>
      <c r="E2526" s="953"/>
      <c r="F2526" s="953"/>
      <c r="G2526" s="953"/>
      <c r="H2526" s="953"/>
    </row>
    <row r="2527" spans="1:8" s="943" customFormat="1" x14ac:dyDescent="0.25">
      <c r="A2527" s="952"/>
      <c r="B2527" s="953"/>
      <c r="C2527" s="953"/>
      <c r="D2527" s="953"/>
      <c r="E2527" s="953"/>
      <c r="F2527" s="953"/>
      <c r="G2527" s="953"/>
      <c r="H2527" s="953"/>
    </row>
    <row r="2528" spans="1:8" s="943" customFormat="1" x14ac:dyDescent="0.25">
      <c r="A2528" s="952"/>
      <c r="B2528" s="953"/>
      <c r="C2528" s="953"/>
      <c r="D2528" s="953"/>
      <c r="E2528" s="953"/>
      <c r="F2528" s="953"/>
      <c r="G2528" s="953"/>
      <c r="H2528" s="953"/>
    </row>
    <row r="2529" spans="1:8" s="943" customFormat="1" x14ac:dyDescent="0.25">
      <c r="A2529" s="952"/>
      <c r="B2529" s="953"/>
      <c r="C2529" s="953"/>
      <c r="D2529" s="953"/>
      <c r="E2529" s="953"/>
      <c r="F2529" s="953"/>
      <c r="G2529" s="953"/>
      <c r="H2529" s="953"/>
    </row>
    <row r="2530" spans="1:8" s="943" customFormat="1" x14ac:dyDescent="0.25">
      <c r="A2530" s="952"/>
      <c r="B2530" s="953"/>
      <c r="C2530" s="953"/>
      <c r="D2530" s="953"/>
      <c r="E2530" s="953"/>
      <c r="F2530" s="953"/>
      <c r="G2530" s="953"/>
      <c r="H2530" s="953"/>
    </row>
    <row r="2531" spans="1:8" s="943" customFormat="1" x14ac:dyDescent="0.25">
      <c r="A2531" s="952"/>
      <c r="B2531" s="953"/>
      <c r="C2531" s="953"/>
      <c r="D2531" s="953"/>
      <c r="E2531" s="953"/>
      <c r="F2531" s="953"/>
      <c r="G2531" s="953"/>
      <c r="H2531" s="953"/>
    </row>
    <row r="2532" spans="1:8" s="943" customFormat="1" x14ac:dyDescent="0.25">
      <c r="A2532" s="952"/>
      <c r="B2532" s="953"/>
      <c r="C2532" s="953"/>
      <c r="D2532" s="953"/>
      <c r="E2532" s="953"/>
      <c r="F2532" s="953"/>
      <c r="G2532" s="953"/>
      <c r="H2532" s="953"/>
    </row>
    <row r="2533" spans="1:8" s="943" customFormat="1" x14ac:dyDescent="0.25">
      <c r="A2533" s="952"/>
      <c r="B2533" s="953"/>
      <c r="C2533" s="953"/>
      <c r="D2533" s="953"/>
      <c r="E2533" s="953"/>
      <c r="F2533" s="953"/>
      <c r="G2533" s="953"/>
      <c r="H2533" s="953"/>
    </row>
    <row r="2534" spans="1:8" s="943" customFormat="1" x14ac:dyDescent="0.25">
      <c r="A2534" s="952"/>
      <c r="B2534" s="953"/>
      <c r="C2534" s="953"/>
      <c r="D2534" s="953"/>
      <c r="E2534" s="953"/>
      <c r="F2534" s="953"/>
      <c r="G2534" s="953"/>
      <c r="H2534" s="953"/>
    </row>
    <row r="2535" spans="1:8" s="943" customFormat="1" x14ac:dyDescent="0.25">
      <c r="A2535" s="952"/>
      <c r="B2535" s="953"/>
      <c r="C2535" s="953"/>
      <c r="D2535" s="953"/>
      <c r="E2535" s="953"/>
      <c r="F2535" s="953"/>
      <c r="G2535" s="953"/>
      <c r="H2535" s="953"/>
    </row>
    <row r="2536" spans="1:8" s="943" customFormat="1" x14ac:dyDescent="0.25">
      <c r="A2536" s="952"/>
      <c r="B2536" s="953"/>
      <c r="C2536" s="953"/>
      <c r="D2536" s="953"/>
      <c r="E2536" s="953"/>
      <c r="F2536" s="953"/>
      <c r="G2536" s="953"/>
      <c r="H2536" s="953"/>
    </row>
    <row r="2537" spans="1:8" s="943" customFormat="1" x14ac:dyDescent="0.25">
      <c r="A2537" s="952"/>
      <c r="B2537" s="953"/>
      <c r="C2537" s="953"/>
      <c r="D2537" s="953"/>
      <c r="E2537" s="953"/>
      <c r="F2537" s="953"/>
      <c r="G2537" s="953"/>
      <c r="H2537" s="953"/>
    </row>
    <row r="2538" spans="1:8" s="943" customFormat="1" x14ac:dyDescent="0.25">
      <c r="A2538" s="952"/>
      <c r="B2538" s="953"/>
      <c r="C2538" s="953"/>
      <c r="D2538" s="953"/>
      <c r="E2538" s="953"/>
      <c r="F2538" s="953"/>
      <c r="G2538" s="953"/>
      <c r="H2538" s="953"/>
    </row>
    <row r="2539" spans="1:8" s="943" customFormat="1" x14ac:dyDescent="0.25">
      <c r="A2539" s="952"/>
      <c r="B2539" s="953"/>
      <c r="C2539" s="953"/>
      <c r="D2539" s="953"/>
      <c r="E2539" s="953"/>
      <c r="F2539" s="953"/>
      <c r="G2539" s="953"/>
      <c r="H2539" s="953"/>
    </row>
    <row r="2540" spans="1:8" s="943" customFormat="1" x14ac:dyDescent="0.25">
      <c r="A2540" s="952"/>
      <c r="B2540" s="953"/>
      <c r="C2540" s="953"/>
      <c r="D2540" s="953"/>
      <c r="E2540" s="953"/>
      <c r="F2540" s="953"/>
      <c r="G2540" s="953"/>
      <c r="H2540" s="953"/>
    </row>
    <row r="2541" spans="1:8" s="943" customFormat="1" x14ac:dyDescent="0.25">
      <c r="A2541" s="952"/>
      <c r="B2541" s="953"/>
      <c r="C2541" s="953"/>
      <c r="D2541" s="953"/>
      <c r="E2541" s="953"/>
      <c r="F2541" s="953"/>
      <c r="G2541" s="953"/>
      <c r="H2541" s="953"/>
    </row>
    <row r="2542" spans="1:8" s="943" customFormat="1" x14ac:dyDescent="0.25">
      <c r="A2542" s="952"/>
      <c r="B2542" s="953"/>
      <c r="C2542" s="953"/>
      <c r="D2542" s="953"/>
      <c r="E2542" s="953"/>
      <c r="F2542" s="953"/>
      <c r="G2542" s="953"/>
      <c r="H2542" s="953"/>
    </row>
    <row r="2543" spans="1:8" s="943" customFormat="1" x14ac:dyDescent="0.25">
      <c r="A2543" s="952"/>
      <c r="B2543" s="953"/>
      <c r="C2543" s="953"/>
      <c r="D2543" s="953"/>
      <c r="E2543" s="953"/>
      <c r="F2543" s="953"/>
      <c r="G2543" s="953"/>
      <c r="H2543" s="953"/>
    </row>
    <row r="2544" spans="1:8" s="943" customFormat="1" x14ac:dyDescent="0.25">
      <c r="A2544" s="952"/>
      <c r="B2544" s="953"/>
      <c r="C2544" s="953"/>
      <c r="D2544" s="953"/>
      <c r="E2544" s="953"/>
      <c r="F2544" s="953"/>
      <c r="G2544" s="953"/>
      <c r="H2544" s="953"/>
    </row>
    <row r="2545" spans="1:8" s="943" customFormat="1" x14ac:dyDescent="0.25">
      <c r="A2545" s="952"/>
      <c r="B2545" s="953"/>
      <c r="C2545" s="953"/>
      <c r="D2545" s="953"/>
      <c r="E2545" s="953"/>
      <c r="F2545" s="953"/>
      <c r="G2545" s="953"/>
      <c r="H2545" s="953"/>
    </row>
    <row r="2546" spans="1:8" s="943" customFormat="1" x14ac:dyDescent="0.25">
      <c r="A2546" s="952"/>
      <c r="B2546" s="953"/>
      <c r="C2546" s="953"/>
      <c r="D2546" s="953"/>
      <c r="E2546" s="953"/>
      <c r="F2546" s="953"/>
      <c r="G2546" s="953"/>
      <c r="H2546" s="953"/>
    </row>
    <row r="2547" spans="1:8" s="943" customFormat="1" x14ac:dyDescent="0.25">
      <c r="A2547" s="952"/>
      <c r="B2547" s="953"/>
      <c r="C2547" s="953"/>
      <c r="D2547" s="953"/>
      <c r="E2547" s="953"/>
      <c r="F2547" s="953"/>
      <c r="G2547" s="953"/>
      <c r="H2547" s="953"/>
    </row>
    <row r="2548" spans="1:8" s="943" customFormat="1" x14ac:dyDescent="0.25">
      <c r="A2548" s="952"/>
      <c r="B2548" s="953"/>
      <c r="C2548" s="953"/>
      <c r="D2548" s="953"/>
      <c r="E2548" s="953"/>
      <c r="F2548" s="953"/>
      <c r="G2548" s="953"/>
      <c r="H2548" s="953"/>
    </row>
    <row r="2549" spans="1:8" s="943" customFormat="1" x14ac:dyDescent="0.25">
      <c r="A2549" s="952"/>
      <c r="B2549" s="953"/>
      <c r="C2549" s="953"/>
      <c r="D2549" s="953"/>
      <c r="E2549" s="953"/>
      <c r="F2549" s="953"/>
      <c r="G2549" s="953"/>
      <c r="H2549" s="953"/>
    </row>
    <row r="2550" spans="1:8" s="943" customFormat="1" x14ac:dyDescent="0.25">
      <c r="A2550" s="952"/>
      <c r="B2550" s="953"/>
      <c r="C2550" s="953"/>
      <c r="D2550" s="953"/>
      <c r="E2550" s="953"/>
      <c r="F2550" s="953"/>
      <c r="G2550" s="953"/>
      <c r="H2550" s="953"/>
    </row>
    <row r="2551" spans="1:8" s="943" customFormat="1" x14ac:dyDescent="0.25">
      <c r="A2551" s="952"/>
      <c r="B2551" s="953"/>
      <c r="C2551" s="953"/>
      <c r="D2551" s="953"/>
      <c r="E2551" s="953"/>
      <c r="F2551" s="953"/>
      <c r="G2551" s="953"/>
      <c r="H2551" s="953"/>
    </row>
    <row r="2552" spans="1:8" s="943" customFormat="1" x14ac:dyDescent="0.25">
      <c r="A2552" s="952"/>
      <c r="B2552" s="953"/>
      <c r="C2552" s="953"/>
      <c r="D2552" s="953"/>
      <c r="E2552" s="953"/>
      <c r="F2552" s="953"/>
      <c r="G2552" s="953"/>
      <c r="H2552" s="953"/>
    </row>
    <row r="2553" spans="1:8" s="943" customFormat="1" x14ac:dyDescent="0.25">
      <c r="A2553" s="952"/>
      <c r="B2553" s="953"/>
      <c r="C2553" s="953"/>
      <c r="D2553" s="953"/>
      <c r="E2553" s="953"/>
      <c r="F2553" s="953"/>
      <c r="G2553" s="953"/>
      <c r="H2553" s="953"/>
    </row>
    <row r="2554" spans="1:8" s="943" customFormat="1" x14ac:dyDescent="0.25">
      <c r="A2554" s="952"/>
      <c r="B2554" s="953"/>
      <c r="C2554" s="953"/>
      <c r="D2554" s="953"/>
      <c r="E2554" s="953"/>
      <c r="F2554" s="953"/>
      <c r="G2554" s="953"/>
      <c r="H2554" s="953"/>
    </row>
    <row r="2555" spans="1:8" s="943" customFormat="1" x14ac:dyDescent="0.25">
      <c r="A2555" s="952"/>
      <c r="B2555" s="953"/>
      <c r="C2555" s="953"/>
      <c r="D2555" s="953"/>
      <c r="E2555" s="953"/>
      <c r="F2555" s="953"/>
      <c r="G2555" s="953"/>
      <c r="H2555" s="953"/>
    </row>
    <row r="2556" spans="1:8" s="943" customFormat="1" x14ac:dyDescent="0.25">
      <c r="A2556" s="952"/>
      <c r="B2556" s="953"/>
      <c r="C2556" s="953"/>
      <c r="D2556" s="953"/>
      <c r="E2556" s="953"/>
      <c r="F2556" s="953"/>
      <c r="G2556" s="953"/>
      <c r="H2556" s="953"/>
    </row>
    <row r="2557" spans="1:8" s="943" customFormat="1" x14ac:dyDescent="0.25">
      <c r="A2557" s="952"/>
      <c r="B2557" s="953"/>
      <c r="C2557" s="953"/>
      <c r="D2557" s="953"/>
      <c r="E2557" s="953"/>
      <c r="F2557" s="953"/>
      <c r="G2557" s="953"/>
      <c r="H2557" s="953"/>
    </row>
    <row r="2558" spans="1:8" s="943" customFormat="1" x14ac:dyDescent="0.25">
      <c r="A2558" s="952"/>
      <c r="B2558" s="953"/>
      <c r="C2558" s="953"/>
      <c r="D2558" s="953"/>
      <c r="E2558" s="953"/>
      <c r="F2558" s="953"/>
      <c r="G2558" s="953"/>
      <c r="H2558" s="953"/>
    </row>
    <row r="2559" spans="1:8" s="943" customFormat="1" x14ac:dyDescent="0.25">
      <c r="A2559" s="952"/>
      <c r="B2559" s="953"/>
      <c r="C2559" s="953"/>
      <c r="D2559" s="953"/>
      <c r="E2559" s="953"/>
      <c r="F2559" s="953"/>
      <c r="G2559" s="953"/>
      <c r="H2559" s="953"/>
    </row>
    <row r="2560" spans="1:8" s="943" customFormat="1" x14ac:dyDescent="0.25">
      <c r="A2560" s="952"/>
      <c r="B2560" s="953"/>
      <c r="C2560" s="953"/>
      <c r="D2560" s="953"/>
      <c r="E2560" s="953"/>
      <c r="F2560" s="953"/>
      <c r="G2560" s="953"/>
      <c r="H2560" s="953"/>
    </row>
    <row r="2561" spans="1:8" s="943" customFormat="1" x14ac:dyDescent="0.25">
      <c r="A2561" s="952"/>
      <c r="B2561" s="953"/>
      <c r="C2561" s="953"/>
      <c r="D2561" s="953"/>
      <c r="E2561" s="953"/>
      <c r="F2561" s="953"/>
      <c r="G2561" s="953"/>
      <c r="H2561" s="953"/>
    </row>
    <row r="2562" spans="1:8" s="943" customFormat="1" x14ac:dyDescent="0.25">
      <c r="A2562" s="952"/>
      <c r="B2562" s="953"/>
      <c r="C2562" s="953"/>
      <c r="D2562" s="953"/>
      <c r="E2562" s="953"/>
      <c r="F2562" s="953"/>
      <c r="G2562" s="953"/>
      <c r="H2562" s="953"/>
    </row>
    <row r="2563" spans="1:8" s="943" customFormat="1" x14ac:dyDescent="0.25">
      <c r="A2563" s="952"/>
      <c r="B2563" s="953"/>
      <c r="C2563" s="953"/>
      <c r="D2563" s="953"/>
      <c r="E2563" s="953"/>
      <c r="F2563" s="953"/>
      <c r="G2563" s="953"/>
      <c r="H2563" s="953"/>
    </row>
    <row r="2564" spans="1:8" s="943" customFormat="1" x14ac:dyDescent="0.25">
      <c r="A2564" s="952"/>
      <c r="B2564" s="953"/>
      <c r="C2564" s="953"/>
      <c r="D2564" s="953"/>
      <c r="E2564" s="953"/>
      <c r="F2564" s="953"/>
      <c r="G2564" s="953"/>
      <c r="H2564" s="953"/>
    </row>
    <row r="2565" spans="1:8" s="943" customFormat="1" x14ac:dyDescent="0.25">
      <c r="A2565" s="952"/>
      <c r="B2565" s="953"/>
      <c r="C2565" s="953"/>
      <c r="D2565" s="953"/>
      <c r="E2565" s="953"/>
      <c r="F2565" s="953"/>
      <c r="G2565" s="953"/>
      <c r="H2565" s="953"/>
    </row>
    <row r="2566" spans="1:8" s="943" customFormat="1" x14ac:dyDescent="0.25">
      <c r="A2566" s="952"/>
      <c r="B2566" s="953"/>
      <c r="C2566" s="953"/>
      <c r="D2566" s="953"/>
      <c r="E2566" s="953"/>
      <c r="F2566" s="953"/>
      <c r="G2566" s="953"/>
      <c r="H2566" s="953"/>
    </row>
    <row r="2567" spans="1:8" s="943" customFormat="1" x14ac:dyDescent="0.25">
      <c r="A2567" s="952"/>
      <c r="B2567" s="953"/>
      <c r="C2567" s="953"/>
      <c r="D2567" s="953"/>
      <c r="E2567" s="953"/>
      <c r="F2567" s="953"/>
      <c r="G2567" s="953"/>
      <c r="H2567" s="953"/>
    </row>
    <row r="2568" spans="1:8" s="943" customFormat="1" x14ac:dyDescent="0.25">
      <c r="A2568" s="952"/>
      <c r="B2568" s="953"/>
      <c r="C2568" s="953"/>
      <c r="D2568" s="953"/>
      <c r="E2568" s="953"/>
      <c r="F2568" s="953"/>
      <c r="G2568" s="953"/>
      <c r="H2568" s="953"/>
    </row>
    <row r="2569" spans="1:8" s="943" customFormat="1" x14ac:dyDescent="0.25">
      <c r="A2569" s="952"/>
      <c r="B2569" s="953"/>
      <c r="C2569" s="953"/>
      <c r="D2569" s="953"/>
      <c r="E2569" s="953"/>
      <c r="F2569" s="953"/>
      <c r="G2569" s="953"/>
      <c r="H2569" s="953"/>
    </row>
    <row r="2570" spans="1:8" s="943" customFormat="1" x14ac:dyDescent="0.25">
      <c r="A2570" s="952"/>
      <c r="B2570" s="953"/>
      <c r="C2570" s="953"/>
      <c r="D2570" s="953"/>
      <c r="E2570" s="953"/>
      <c r="F2570" s="953"/>
      <c r="G2570" s="953"/>
      <c r="H2570" s="953"/>
    </row>
    <row r="2571" spans="1:8" s="943" customFormat="1" x14ac:dyDescent="0.25">
      <c r="A2571" s="952"/>
      <c r="B2571" s="953"/>
      <c r="C2571" s="953"/>
      <c r="D2571" s="953"/>
      <c r="E2571" s="953"/>
      <c r="F2571" s="953"/>
      <c r="G2571" s="953"/>
      <c r="H2571" s="953"/>
    </row>
    <row r="2572" spans="1:8" s="943" customFormat="1" x14ac:dyDescent="0.25">
      <c r="A2572" s="952"/>
      <c r="B2572" s="953"/>
      <c r="C2572" s="953"/>
      <c r="D2572" s="953"/>
      <c r="E2572" s="953"/>
      <c r="F2572" s="953"/>
      <c r="G2572" s="953"/>
      <c r="H2572" s="953"/>
    </row>
    <row r="2573" spans="1:8" s="943" customFormat="1" x14ac:dyDescent="0.25">
      <c r="A2573" s="952"/>
      <c r="B2573" s="953"/>
      <c r="C2573" s="953"/>
      <c r="D2573" s="953"/>
      <c r="E2573" s="953"/>
      <c r="F2573" s="953"/>
      <c r="G2573" s="953"/>
      <c r="H2573" s="953"/>
    </row>
    <row r="2574" spans="1:8" s="943" customFormat="1" x14ac:dyDescent="0.25">
      <c r="A2574" s="952"/>
      <c r="B2574" s="953"/>
      <c r="C2574" s="953"/>
      <c r="D2574" s="953"/>
      <c r="E2574" s="953"/>
      <c r="F2574" s="953"/>
      <c r="G2574" s="953"/>
      <c r="H2574" s="953"/>
    </row>
    <row r="2575" spans="1:8" s="943" customFormat="1" x14ac:dyDescent="0.25">
      <c r="A2575" s="952"/>
      <c r="B2575" s="953"/>
      <c r="C2575" s="953"/>
      <c r="D2575" s="953"/>
      <c r="E2575" s="953"/>
      <c r="F2575" s="953"/>
      <c r="G2575" s="953"/>
      <c r="H2575" s="953"/>
    </row>
    <row r="2576" spans="1:8" s="943" customFormat="1" x14ac:dyDescent="0.25">
      <c r="A2576" s="952"/>
      <c r="B2576" s="953"/>
      <c r="C2576" s="953"/>
      <c r="D2576" s="953"/>
      <c r="E2576" s="953"/>
      <c r="F2576" s="953"/>
      <c r="G2576" s="953"/>
      <c r="H2576" s="953"/>
    </row>
    <row r="2577" spans="1:8" s="943" customFormat="1" x14ac:dyDescent="0.25">
      <c r="A2577" s="952"/>
      <c r="B2577" s="953"/>
      <c r="C2577" s="953"/>
      <c r="D2577" s="953"/>
      <c r="E2577" s="953"/>
      <c r="F2577" s="953"/>
      <c r="G2577" s="953"/>
      <c r="H2577" s="953"/>
    </row>
    <row r="2578" spans="1:8" s="943" customFormat="1" x14ac:dyDescent="0.25">
      <c r="A2578" s="952"/>
      <c r="B2578" s="953"/>
      <c r="C2578" s="953"/>
      <c r="D2578" s="953"/>
      <c r="E2578" s="953"/>
      <c r="F2578" s="953"/>
      <c r="G2578" s="953"/>
      <c r="H2578" s="953"/>
    </row>
    <row r="2579" spans="1:8" s="943" customFormat="1" x14ac:dyDescent="0.25">
      <c r="A2579" s="952"/>
      <c r="B2579" s="953"/>
      <c r="C2579" s="953"/>
      <c r="D2579" s="953"/>
      <c r="E2579" s="953"/>
      <c r="F2579" s="953"/>
      <c r="G2579" s="953"/>
      <c r="H2579" s="953"/>
    </row>
    <row r="2580" spans="1:8" s="943" customFormat="1" x14ac:dyDescent="0.25">
      <c r="A2580" s="952"/>
      <c r="B2580" s="953"/>
      <c r="C2580" s="953"/>
      <c r="D2580" s="953"/>
      <c r="E2580" s="953"/>
      <c r="F2580" s="953"/>
      <c r="G2580" s="953"/>
      <c r="H2580" s="953"/>
    </row>
    <row r="2581" spans="1:8" s="943" customFormat="1" x14ac:dyDescent="0.25">
      <c r="A2581" s="952"/>
      <c r="B2581" s="953"/>
      <c r="C2581" s="953"/>
      <c r="D2581" s="953"/>
      <c r="E2581" s="953"/>
      <c r="F2581" s="953"/>
      <c r="G2581" s="953"/>
      <c r="H2581" s="953"/>
    </row>
    <row r="2582" spans="1:8" s="943" customFormat="1" x14ac:dyDescent="0.25">
      <c r="A2582" s="952"/>
      <c r="B2582" s="953"/>
      <c r="C2582" s="953"/>
      <c r="D2582" s="953"/>
      <c r="E2582" s="953"/>
      <c r="F2582" s="953"/>
      <c r="G2582" s="953"/>
      <c r="H2582" s="953"/>
    </row>
    <row r="2583" spans="1:8" s="943" customFormat="1" x14ac:dyDescent="0.25">
      <c r="A2583" s="952"/>
      <c r="B2583" s="953"/>
      <c r="C2583" s="953"/>
      <c r="D2583" s="953"/>
      <c r="E2583" s="953"/>
      <c r="F2583" s="953"/>
      <c r="G2583" s="953"/>
      <c r="H2583" s="953"/>
    </row>
    <row r="2584" spans="1:8" s="943" customFormat="1" x14ac:dyDescent="0.25">
      <c r="A2584" s="952"/>
      <c r="B2584" s="953"/>
      <c r="C2584" s="953"/>
      <c r="D2584" s="953"/>
      <c r="E2584" s="953"/>
      <c r="F2584" s="953"/>
      <c r="G2584" s="953"/>
      <c r="H2584" s="953"/>
    </row>
    <row r="2585" spans="1:8" s="943" customFormat="1" x14ac:dyDescent="0.25">
      <c r="A2585" s="952"/>
      <c r="B2585" s="953"/>
      <c r="C2585" s="953"/>
      <c r="D2585" s="953"/>
      <c r="E2585" s="953"/>
      <c r="F2585" s="953"/>
      <c r="G2585" s="953"/>
      <c r="H2585" s="953"/>
    </row>
    <row r="2586" spans="1:8" s="943" customFormat="1" x14ac:dyDescent="0.25">
      <c r="A2586" s="952"/>
      <c r="B2586" s="953"/>
      <c r="C2586" s="953"/>
      <c r="D2586" s="953"/>
      <c r="E2586" s="953"/>
      <c r="F2586" s="953"/>
      <c r="G2586" s="953"/>
      <c r="H2586" s="953"/>
    </row>
    <row r="2587" spans="1:8" s="943" customFormat="1" x14ac:dyDescent="0.25">
      <c r="A2587" s="952"/>
      <c r="B2587" s="953"/>
      <c r="C2587" s="953"/>
      <c r="D2587" s="953"/>
      <c r="E2587" s="953"/>
      <c r="F2587" s="953"/>
      <c r="G2587" s="953"/>
      <c r="H2587" s="953"/>
    </row>
    <row r="2588" spans="1:8" s="943" customFormat="1" x14ac:dyDescent="0.25">
      <c r="A2588" s="952"/>
      <c r="B2588" s="953"/>
      <c r="C2588" s="953"/>
      <c r="D2588" s="953"/>
      <c r="E2588" s="953"/>
      <c r="F2588" s="953"/>
      <c r="G2588" s="953"/>
      <c r="H2588" s="953"/>
    </row>
    <row r="2589" spans="1:8" s="943" customFormat="1" x14ac:dyDescent="0.25">
      <c r="A2589" s="952"/>
      <c r="B2589" s="953"/>
      <c r="C2589" s="953"/>
      <c r="D2589" s="953"/>
      <c r="E2589" s="953"/>
      <c r="F2589" s="953"/>
      <c r="G2589" s="953"/>
      <c r="H2589" s="953"/>
    </row>
    <row r="2590" spans="1:8" s="943" customFormat="1" x14ac:dyDescent="0.25">
      <c r="A2590" s="952"/>
      <c r="B2590" s="953"/>
      <c r="C2590" s="953"/>
      <c r="D2590" s="953"/>
      <c r="E2590" s="953"/>
      <c r="F2590" s="953"/>
      <c r="G2590" s="953"/>
      <c r="H2590" s="953"/>
    </row>
    <row r="2591" spans="1:8" s="943" customFormat="1" x14ac:dyDescent="0.25">
      <c r="A2591" s="952"/>
      <c r="B2591" s="953"/>
      <c r="C2591" s="953"/>
      <c r="D2591" s="953"/>
      <c r="E2591" s="953"/>
      <c r="F2591" s="953"/>
      <c r="G2591" s="953"/>
      <c r="H2591" s="953"/>
    </row>
    <row r="2592" spans="1:8" s="943" customFormat="1" x14ac:dyDescent="0.25">
      <c r="A2592" s="952"/>
      <c r="B2592" s="953"/>
      <c r="C2592" s="953"/>
      <c r="D2592" s="953"/>
      <c r="E2592" s="953"/>
      <c r="F2592" s="953"/>
      <c r="G2592" s="953"/>
      <c r="H2592" s="953"/>
    </row>
    <row r="2593" spans="1:8" s="943" customFormat="1" x14ac:dyDescent="0.25">
      <c r="A2593" s="952"/>
      <c r="B2593" s="953"/>
      <c r="C2593" s="953"/>
      <c r="D2593" s="953"/>
      <c r="E2593" s="953"/>
      <c r="F2593" s="953"/>
      <c r="G2593" s="953"/>
      <c r="H2593" s="953"/>
    </row>
    <row r="2594" spans="1:8" s="943" customFormat="1" x14ac:dyDescent="0.25">
      <c r="A2594" s="952"/>
      <c r="B2594" s="953"/>
      <c r="C2594" s="953"/>
      <c r="D2594" s="953"/>
      <c r="E2594" s="953"/>
      <c r="F2594" s="953"/>
      <c r="G2594" s="953"/>
      <c r="H2594" s="953"/>
    </row>
    <row r="2595" spans="1:8" s="943" customFormat="1" x14ac:dyDescent="0.25">
      <c r="A2595" s="952"/>
      <c r="B2595" s="953"/>
      <c r="C2595" s="953"/>
      <c r="D2595" s="953"/>
      <c r="E2595" s="953"/>
      <c r="F2595" s="953"/>
      <c r="G2595" s="953"/>
      <c r="H2595" s="953"/>
    </row>
    <row r="2596" spans="1:8" s="943" customFormat="1" x14ac:dyDescent="0.25">
      <c r="A2596" s="952"/>
      <c r="B2596" s="953"/>
      <c r="C2596" s="953"/>
      <c r="D2596" s="953"/>
      <c r="E2596" s="953"/>
      <c r="F2596" s="953"/>
      <c r="G2596" s="953"/>
      <c r="H2596" s="953"/>
    </row>
    <row r="2597" spans="1:8" s="943" customFormat="1" x14ac:dyDescent="0.25">
      <c r="A2597" s="952"/>
      <c r="B2597" s="953"/>
      <c r="C2597" s="953"/>
      <c r="D2597" s="953"/>
      <c r="E2597" s="953"/>
      <c r="F2597" s="953"/>
      <c r="G2597" s="953"/>
      <c r="H2597" s="953"/>
    </row>
    <row r="2598" spans="1:8" s="943" customFormat="1" x14ac:dyDescent="0.25">
      <c r="A2598" s="952"/>
      <c r="B2598" s="953"/>
      <c r="C2598" s="953"/>
      <c r="D2598" s="953"/>
      <c r="E2598" s="953"/>
      <c r="F2598" s="953"/>
      <c r="G2598" s="953"/>
      <c r="H2598" s="953"/>
    </row>
    <row r="2599" spans="1:8" s="943" customFormat="1" x14ac:dyDescent="0.25">
      <c r="A2599" s="952"/>
      <c r="B2599" s="953"/>
      <c r="C2599" s="953"/>
      <c r="D2599" s="953"/>
      <c r="E2599" s="953"/>
      <c r="F2599" s="953"/>
      <c r="G2599" s="953"/>
      <c r="H2599" s="953"/>
    </row>
    <row r="2600" spans="1:8" s="943" customFormat="1" x14ac:dyDescent="0.25">
      <c r="A2600" s="952"/>
      <c r="B2600" s="953"/>
      <c r="C2600" s="953"/>
      <c r="D2600" s="953"/>
      <c r="E2600" s="953"/>
      <c r="F2600" s="953"/>
      <c r="G2600" s="953"/>
      <c r="H2600" s="953"/>
    </row>
    <row r="2601" spans="1:8" s="943" customFormat="1" x14ac:dyDescent="0.25">
      <c r="A2601" s="952"/>
      <c r="B2601" s="953"/>
      <c r="C2601" s="953"/>
      <c r="D2601" s="953"/>
      <c r="E2601" s="953"/>
      <c r="F2601" s="953"/>
      <c r="G2601" s="953"/>
      <c r="H2601" s="953"/>
    </row>
    <row r="2602" spans="1:8" s="943" customFormat="1" x14ac:dyDescent="0.25">
      <c r="A2602" s="952"/>
      <c r="B2602" s="953"/>
      <c r="C2602" s="953"/>
      <c r="D2602" s="953"/>
      <c r="E2602" s="953"/>
      <c r="F2602" s="953"/>
      <c r="G2602" s="953"/>
      <c r="H2602" s="953"/>
    </row>
    <row r="2603" spans="1:8" s="943" customFormat="1" x14ac:dyDescent="0.25">
      <c r="A2603" s="952"/>
      <c r="B2603" s="953"/>
      <c r="C2603" s="953"/>
      <c r="D2603" s="953"/>
      <c r="E2603" s="953"/>
      <c r="F2603" s="953"/>
      <c r="G2603" s="953"/>
      <c r="H2603" s="953"/>
    </row>
    <row r="2604" spans="1:8" s="943" customFormat="1" x14ac:dyDescent="0.25">
      <c r="A2604" s="952"/>
      <c r="B2604" s="953"/>
      <c r="C2604" s="953"/>
      <c r="D2604" s="953"/>
      <c r="E2604" s="953"/>
      <c r="F2604" s="953"/>
      <c r="G2604" s="953"/>
      <c r="H2604" s="953"/>
    </row>
    <row r="2605" spans="1:8" s="943" customFormat="1" x14ac:dyDescent="0.25">
      <c r="A2605" s="952"/>
      <c r="B2605" s="953"/>
      <c r="C2605" s="953"/>
      <c r="D2605" s="953"/>
      <c r="E2605" s="953"/>
      <c r="F2605" s="953"/>
      <c r="G2605" s="953"/>
      <c r="H2605" s="953"/>
    </row>
    <row r="2606" spans="1:8" s="943" customFormat="1" x14ac:dyDescent="0.25">
      <c r="A2606" s="952"/>
      <c r="B2606" s="953"/>
      <c r="C2606" s="953"/>
      <c r="D2606" s="953"/>
      <c r="E2606" s="953"/>
      <c r="F2606" s="953"/>
      <c r="G2606" s="953"/>
      <c r="H2606" s="953"/>
    </row>
    <row r="2607" spans="1:8" s="943" customFormat="1" x14ac:dyDescent="0.25">
      <c r="A2607" s="952"/>
      <c r="B2607" s="953"/>
      <c r="C2607" s="953"/>
      <c r="D2607" s="953"/>
      <c r="E2607" s="953"/>
      <c r="F2607" s="953"/>
      <c r="G2607" s="953"/>
      <c r="H2607" s="953"/>
    </row>
    <row r="2608" spans="1:8" s="943" customFormat="1" x14ac:dyDescent="0.25">
      <c r="A2608" s="952"/>
      <c r="B2608" s="953"/>
      <c r="C2608" s="953"/>
      <c r="D2608" s="953"/>
      <c r="E2608" s="953"/>
      <c r="F2608" s="953"/>
      <c r="G2608" s="953"/>
      <c r="H2608" s="953"/>
    </row>
    <row r="2609" spans="1:8" s="943" customFormat="1" x14ac:dyDescent="0.25">
      <c r="A2609" s="952"/>
      <c r="B2609" s="953"/>
      <c r="C2609" s="953"/>
      <c r="D2609" s="953"/>
      <c r="E2609" s="953"/>
      <c r="F2609" s="953"/>
      <c r="G2609" s="953"/>
      <c r="H2609" s="953"/>
    </row>
    <row r="2610" spans="1:8" s="943" customFormat="1" x14ac:dyDescent="0.25">
      <c r="A2610" s="952"/>
      <c r="B2610" s="953"/>
      <c r="C2610" s="953"/>
      <c r="D2610" s="953"/>
      <c r="E2610" s="953"/>
      <c r="F2610" s="953"/>
      <c r="G2610" s="953"/>
      <c r="H2610" s="953"/>
    </row>
    <row r="2611" spans="1:8" s="943" customFormat="1" x14ac:dyDescent="0.25">
      <c r="A2611" s="952"/>
      <c r="B2611" s="953"/>
      <c r="C2611" s="953"/>
      <c r="D2611" s="953"/>
      <c r="E2611" s="953"/>
      <c r="F2611" s="953"/>
      <c r="G2611" s="953"/>
      <c r="H2611" s="953"/>
    </row>
    <row r="2612" spans="1:8" s="943" customFormat="1" x14ac:dyDescent="0.25">
      <c r="A2612" s="952"/>
      <c r="B2612" s="953"/>
      <c r="C2612" s="953"/>
      <c r="D2612" s="953"/>
      <c r="E2612" s="953"/>
      <c r="F2612" s="953"/>
      <c r="G2612" s="953"/>
      <c r="H2612" s="953"/>
    </row>
    <row r="2613" spans="1:8" s="943" customFormat="1" x14ac:dyDescent="0.25">
      <c r="A2613" s="952"/>
      <c r="B2613" s="953"/>
      <c r="C2613" s="953"/>
      <c r="D2613" s="953"/>
      <c r="E2613" s="953"/>
      <c r="F2613" s="953"/>
      <c r="G2613" s="953"/>
      <c r="H2613" s="953"/>
    </row>
    <row r="2614" spans="1:8" s="943" customFormat="1" x14ac:dyDescent="0.25">
      <c r="A2614" s="952"/>
      <c r="B2614" s="953"/>
      <c r="C2614" s="953"/>
      <c r="D2614" s="953"/>
      <c r="E2614" s="953"/>
      <c r="F2614" s="953"/>
      <c r="G2614" s="953"/>
      <c r="H2614" s="953"/>
    </row>
    <row r="2615" spans="1:8" s="943" customFormat="1" x14ac:dyDescent="0.25">
      <c r="A2615" s="952"/>
      <c r="B2615" s="953"/>
      <c r="C2615" s="953"/>
      <c r="D2615" s="953"/>
      <c r="E2615" s="953"/>
      <c r="F2615" s="953"/>
      <c r="G2615" s="953"/>
      <c r="H2615" s="953"/>
    </row>
    <row r="2616" spans="1:8" s="943" customFormat="1" x14ac:dyDescent="0.25">
      <c r="A2616" s="952"/>
      <c r="B2616" s="953"/>
      <c r="C2616" s="953"/>
      <c r="D2616" s="953"/>
      <c r="E2616" s="953"/>
      <c r="F2616" s="953"/>
      <c r="G2616" s="953"/>
      <c r="H2616" s="953"/>
    </row>
    <row r="2617" spans="1:8" s="943" customFormat="1" x14ac:dyDescent="0.25">
      <c r="A2617" s="952"/>
      <c r="B2617" s="953"/>
      <c r="C2617" s="953"/>
      <c r="D2617" s="953"/>
      <c r="E2617" s="953"/>
      <c r="F2617" s="953"/>
      <c r="G2617" s="953"/>
      <c r="H2617" s="953"/>
    </row>
    <row r="2618" spans="1:8" s="943" customFormat="1" x14ac:dyDescent="0.25">
      <c r="A2618" s="952"/>
      <c r="B2618" s="953"/>
      <c r="C2618" s="953"/>
      <c r="D2618" s="953"/>
      <c r="E2618" s="953"/>
      <c r="F2618" s="953"/>
      <c r="G2618" s="953"/>
      <c r="H2618" s="953"/>
    </row>
    <row r="2619" spans="1:8" s="943" customFormat="1" x14ac:dyDescent="0.25">
      <c r="A2619" s="952"/>
      <c r="B2619" s="953"/>
      <c r="C2619" s="953"/>
      <c r="D2619" s="953"/>
      <c r="E2619" s="953"/>
      <c r="F2619" s="953"/>
      <c r="G2619" s="953"/>
      <c r="H2619" s="953"/>
    </row>
    <row r="2620" spans="1:8" s="943" customFormat="1" x14ac:dyDescent="0.25">
      <c r="A2620" s="952"/>
      <c r="B2620" s="953"/>
      <c r="C2620" s="953"/>
      <c r="D2620" s="953"/>
      <c r="E2620" s="953"/>
      <c r="F2620" s="953"/>
      <c r="G2620" s="953"/>
      <c r="H2620" s="953"/>
    </row>
    <row r="2621" spans="1:8" s="943" customFormat="1" x14ac:dyDescent="0.25">
      <c r="A2621" s="952"/>
      <c r="B2621" s="953"/>
      <c r="C2621" s="953"/>
      <c r="D2621" s="953"/>
      <c r="E2621" s="953"/>
      <c r="F2621" s="953"/>
      <c r="G2621" s="953"/>
      <c r="H2621" s="953"/>
    </row>
    <row r="2622" spans="1:8" s="943" customFormat="1" x14ac:dyDescent="0.25">
      <c r="A2622" s="952"/>
      <c r="B2622" s="953"/>
      <c r="C2622" s="953"/>
      <c r="D2622" s="953"/>
      <c r="E2622" s="953"/>
      <c r="F2622" s="953"/>
      <c r="G2622" s="953"/>
      <c r="H2622" s="953"/>
    </row>
    <row r="2623" spans="1:8" s="943" customFormat="1" x14ac:dyDescent="0.25">
      <c r="A2623" s="952"/>
      <c r="B2623" s="953"/>
      <c r="C2623" s="953"/>
      <c r="D2623" s="953"/>
      <c r="E2623" s="953"/>
      <c r="F2623" s="953"/>
      <c r="G2623" s="953"/>
      <c r="H2623" s="953"/>
    </row>
    <row r="2624" spans="1:8" s="943" customFormat="1" x14ac:dyDescent="0.25">
      <c r="A2624" s="952"/>
      <c r="B2624" s="953"/>
      <c r="C2624" s="953"/>
      <c r="D2624" s="953"/>
      <c r="E2624" s="953"/>
      <c r="F2624" s="953"/>
      <c r="G2624" s="953"/>
      <c r="H2624" s="953"/>
    </row>
    <row r="2625" spans="1:8" s="943" customFormat="1" x14ac:dyDescent="0.25">
      <c r="A2625" s="952"/>
      <c r="B2625" s="953"/>
      <c r="C2625" s="953"/>
      <c r="D2625" s="953"/>
      <c r="E2625" s="953"/>
      <c r="F2625" s="953"/>
      <c r="G2625" s="953"/>
      <c r="H2625" s="953"/>
    </row>
    <row r="2626" spans="1:8" s="943" customFormat="1" x14ac:dyDescent="0.25">
      <c r="A2626" s="952"/>
      <c r="B2626" s="953"/>
      <c r="C2626" s="953"/>
      <c r="D2626" s="953"/>
      <c r="E2626" s="953"/>
      <c r="F2626" s="953"/>
      <c r="G2626" s="953"/>
      <c r="H2626" s="953"/>
    </row>
    <row r="2627" spans="1:8" s="943" customFormat="1" x14ac:dyDescent="0.25">
      <c r="A2627" s="952"/>
      <c r="B2627" s="953"/>
      <c r="C2627" s="953"/>
      <c r="D2627" s="953"/>
      <c r="E2627" s="953"/>
      <c r="F2627" s="953"/>
      <c r="G2627" s="953"/>
      <c r="H2627" s="953"/>
    </row>
    <row r="2628" spans="1:8" s="943" customFormat="1" x14ac:dyDescent="0.25">
      <c r="A2628" s="952"/>
      <c r="B2628" s="953"/>
      <c r="C2628" s="953"/>
      <c r="D2628" s="953"/>
      <c r="E2628" s="953"/>
      <c r="F2628" s="953"/>
      <c r="G2628" s="953"/>
      <c r="H2628" s="953"/>
    </row>
    <row r="2629" spans="1:8" s="943" customFormat="1" x14ac:dyDescent="0.25">
      <c r="A2629" s="952"/>
      <c r="B2629" s="953"/>
      <c r="C2629" s="953"/>
      <c r="D2629" s="953"/>
      <c r="E2629" s="953"/>
      <c r="F2629" s="953"/>
      <c r="G2629" s="953"/>
      <c r="H2629" s="953"/>
    </row>
    <row r="2630" spans="1:8" s="943" customFormat="1" x14ac:dyDescent="0.25">
      <c r="A2630" s="952"/>
      <c r="B2630" s="953"/>
      <c r="C2630" s="953"/>
      <c r="D2630" s="953"/>
      <c r="E2630" s="953"/>
      <c r="F2630" s="953"/>
      <c r="G2630" s="953"/>
      <c r="H2630" s="953"/>
    </row>
    <row r="2631" spans="1:8" s="943" customFormat="1" x14ac:dyDescent="0.25">
      <c r="A2631" s="952"/>
      <c r="B2631" s="953"/>
      <c r="C2631" s="953"/>
      <c r="D2631" s="953"/>
      <c r="E2631" s="953"/>
      <c r="F2631" s="953"/>
      <c r="G2631" s="953"/>
      <c r="H2631" s="953"/>
    </row>
    <row r="2632" spans="1:8" s="943" customFormat="1" x14ac:dyDescent="0.25">
      <c r="A2632" s="952"/>
      <c r="B2632" s="953"/>
      <c r="C2632" s="953"/>
      <c r="D2632" s="953"/>
      <c r="E2632" s="953"/>
      <c r="F2632" s="953"/>
      <c r="G2632" s="953"/>
      <c r="H2632" s="953"/>
    </row>
    <row r="2633" spans="1:8" s="943" customFormat="1" x14ac:dyDescent="0.25">
      <c r="A2633" s="952"/>
      <c r="B2633" s="953"/>
      <c r="C2633" s="953"/>
      <c r="D2633" s="953"/>
      <c r="E2633" s="953"/>
      <c r="F2633" s="953"/>
      <c r="G2633" s="953"/>
      <c r="H2633" s="953"/>
    </row>
    <row r="2634" spans="1:8" s="943" customFormat="1" x14ac:dyDescent="0.25">
      <c r="A2634" s="952"/>
      <c r="B2634" s="953"/>
      <c r="C2634" s="953"/>
      <c r="D2634" s="953"/>
      <c r="E2634" s="953"/>
      <c r="F2634" s="953"/>
      <c r="G2634" s="953"/>
      <c r="H2634" s="953"/>
    </row>
    <row r="2635" spans="1:8" s="943" customFormat="1" x14ac:dyDescent="0.25">
      <c r="A2635" s="952"/>
      <c r="B2635" s="953"/>
      <c r="C2635" s="953"/>
      <c r="D2635" s="953"/>
      <c r="E2635" s="953"/>
      <c r="F2635" s="953"/>
      <c r="G2635" s="953"/>
      <c r="H2635" s="953"/>
    </row>
    <row r="2636" spans="1:8" s="943" customFormat="1" x14ac:dyDescent="0.25">
      <c r="A2636" s="952"/>
      <c r="B2636" s="953"/>
      <c r="C2636" s="953"/>
      <c r="D2636" s="953"/>
      <c r="E2636" s="953"/>
      <c r="F2636" s="953"/>
      <c r="G2636" s="953"/>
      <c r="H2636" s="953"/>
    </row>
    <row r="2637" spans="1:8" s="943" customFormat="1" x14ac:dyDescent="0.25">
      <c r="A2637" s="952"/>
      <c r="B2637" s="953"/>
      <c r="C2637" s="953"/>
      <c r="D2637" s="953"/>
      <c r="E2637" s="953"/>
      <c r="F2637" s="953"/>
      <c r="G2637" s="953"/>
      <c r="H2637" s="953"/>
    </row>
    <row r="2638" spans="1:8" s="943" customFormat="1" x14ac:dyDescent="0.25">
      <c r="A2638" s="952"/>
      <c r="B2638" s="953"/>
      <c r="C2638" s="953"/>
      <c r="D2638" s="953"/>
      <c r="E2638" s="953"/>
      <c r="F2638" s="953"/>
      <c r="G2638" s="953"/>
      <c r="H2638" s="953"/>
    </row>
    <row r="2639" spans="1:8" s="943" customFormat="1" x14ac:dyDescent="0.25">
      <c r="A2639" s="952"/>
      <c r="B2639" s="953"/>
      <c r="C2639" s="953"/>
      <c r="D2639" s="953"/>
      <c r="E2639" s="953"/>
      <c r="F2639" s="953"/>
      <c r="G2639" s="953"/>
      <c r="H2639" s="953"/>
    </row>
    <row r="2640" spans="1:8" s="943" customFormat="1" x14ac:dyDescent="0.25">
      <c r="A2640" s="952"/>
      <c r="B2640" s="953"/>
      <c r="C2640" s="953"/>
      <c r="D2640" s="953"/>
      <c r="E2640" s="953"/>
      <c r="F2640" s="953"/>
      <c r="G2640" s="953"/>
      <c r="H2640" s="953"/>
    </row>
    <row r="2641" spans="1:8" s="943" customFormat="1" x14ac:dyDescent="0.25">
      <c r="A2641" s="952"/>
      <c r="B2641" s="953"/>
      <c r="C2641" s="953"/>
      <c r="D2641" s="953"/>
      <c r="E2641" s="953"/>
      <c r="F2641" s="953"/>
      <c r="G2641" s="953"/>
      <c r="H2641" s="953"/>
    </row>
    <row r="2642" spans="1:8" s="943" customFormat="1" x14ac:dyDescent="0.25">
      <c r="A2642" s="952"/>
      <c r="B2642" s="953"/>
      <c r="C2642" s="953"/>
      <c r="D2642" s="953"/>
      <c r="E2642" s="953"/>
      <c r="F2642" s="953"/>
      <c r="G2642" s="953"/>
      <c r="H2642" s="953"/>
    </row>
    <row r="2643" spans="1:8" s="943" customFormat="1" x14ac:dyDescent="0.25">
      <c r="A2643" s="952"/>
      <c r="B2643" s="953"/>
      <c r="C2643" s="953"/>
      <c r="D2643" s="953"/>
      <c r="E2643" s="953"/>
      <c r="F2643" s="953"/>
      <c r="G2643" s="953"/>
      <c r="H2643" s="953"/>
    </row>
    <row r="2644" spans="1:8" s="943" customFormat="1" x14ac:dyDescent="0.25">
      <c r="A2644" s="952"/>
      <c r="B2644" s="953"/>
      <c r="C2644" s="953"/>
      <c r="D2644" s="953"/>
      <c r="E2644" s="953"/>
      <c r="F2644" s="953"/>
      <c r="G2644" s="953"/>
      <c r="H2644" s="953"/>
    </row>
    <row r="2645" spans="1:8" s="943" customFormat="1" x14ac:dyDescent="0.25">
      <c r="A2645" s="952"/>
      <c r="B2645" s="953"/>
      <c r="C2645" s="953"/>
      <c r="D2645" s="953"/>
      <c r="E2645" s="953"/>
      <c r="F2645" s="953"/>
      <c r="G2645" s="953"/>
      <c r="H2645" s="953"/>
    </row>
    <row r="2646" spans="1:8" s="943" customFormat="1" x14ac:dyDescent="0.25">
      <c r="A2646" s="952"/>
      <c r="B2646" s="953"/>
      <c r="C2646" s="953"/>
      <c r="D2646" s="953"/>
      <c r="E2646" s="953"/>
      <c r="F2646" s="953"/>
      <c r="G2646" s="953"/>
      <c r="H2646" s="953"/>
    </row>
    <row r="2647" spans="1:8" s="943" customFormat="1" x14ac:dyDescent="0.25">
      <c r="A2647" s="952"/>
      <c r="B2647" s="953"/>
      <c r="C2647" s="953"/>
      <c r="D2647" s="953"/>
      <c r="E2647" s="953"/>
      <c r="F2647" s="953"/>
      <c r="G2647" s="953"/>
      <c r="H2647" s="953"/>
    </row>
    <row r="2648" spans="1:8" s="943" customFormat="1" x14ac:dyDescent="0.25">
      <c r="A2648" s="952"/>
      <c r="B2648" s="953"/>
      <c r="C2648" s="953"/>
      <c r="D2648" s="953"/>
      <c r="E2648" s="953"/>
      <c r="F2648" s="953"/>
      <c r="G2648" s="953"/>
      <c r="H2648" s="953"/>
    </row>
    <row r="2649" spans="1:8" s="943" customFormat="1" x14ac:dyDescent="0.25">
      <c r="A2649" s="952"/>
      <c r="B2649" s="953"/>
      <c r="C2649" s="953"/>
      <c r="D2649" s="953"/>
      <c r="E2649" s="953"/>
      <c r="F2649" s="953"/>
      <c r="G2649" s="953"/>
      <c r="H2649" s="953"/>
    </row>
    <row r="2650" spans="1:8" s="943" customFormat="1" x14ac:dyDescent="0.25">
      <c r="A2650" s="952"/>
      <c r="B2650" s="953"/>
      <c r="C2650" s="953"/>
      <c r="D2650" s="953"/>
      <c r="E2650" s="953"/>
      <c r="F2650" s="953"/>
      <c r="G2650" s="953"/>
      <c r="H2650" s="953"/>
    </row>
    <row r="2651" spans="1:8" s="943" customFormat="1" x14ac:dyDescent="0.25">
      <c r="A2651" s="952"/>
      <c r="B2651" s="953"/>
      <c r="C2651" s="953"/>
      <c r="D2651" s="953"/>
      <c r="E2651" s="953"/>
      <c r="F2651" s="953"/>
      <c r="G2651" s="953"/>
      <c r="H2651" s="953"/>
    </row>
    <row r="2652" spans="1:8" s="943" customFormat="1" x14ac:dyDescent="0.25">
      <c r="A2652" s="952"/>
      <c r="B2652" s="953"/>
      <c r="C2652" s="953"/>
      <c r="D2652" s="953"/>
      <c r="E2652" s="953"/>
      <c r="F2652" s="953"/>
      <c r="G2652" s="953"/>
      <c r="H2652" s="953"/>
    </row>
    <row r="2653" spans="1:8" s="943" customFormat="1" x14ac:dyDescent="0.25">
      <c r="A2653" s="952"/>
      <c r="B2653" s="953"/>
      <c r="C2653" s="953"/>
      <c r="D2653" s="953"/>
      <c r="E2653" s="953"/>
      <c r="F2653" s="953"/>
      <c r="G2653" s="953"/>
      <c r="H2653" s="953"/>
    </row>
    <row r="2654" spans="1:8" s="943" customFormat="1" x14ac:dyDescent="0.25">
      <c r="A2654" s="952"/>
      <c r="B2654" s="953"/>
      <c r="C2654" s="953"/>
      <c r="D2654" s="953"/>
      <c r="E2654" s="953"/>
      <c r="F2654" s="953"/>
      <c r="G2654" s="953"/>
      <c r="H2654" s="953"/>
    </row>
    <row r="2655" spans="1:8" s="943" customFormat="1" x14ac:dyDescent="0.25">
      <c r="A2655" s="952"/>
      <c r="B2655" s="953"/>
      <c r="C2655" s="953"/>
      <c r="D2655" s="953"/>
      <c r="E2655" s="953"/>
      <c r="F2655" s="953"/>
      <c r="G2655" s="953"/>
      <c r="H2655" s="953"/>
    </row>
    <row r="2656" spans="1:8" s="943" customFormat="1" x14ac:dyDescent="0.25">
      <c r="A2656" s="952"/>
      <c r="B2656" s="953"/>
      <c r="C2656" s="953"/>
      <c r="D2656" s="953"/>
      <c r="E2656" s="953"/>
      <c r="F2656" s="953"/>
      <c r="G2656" s="953"/>
      <c r="H2656" s="953"/>
    </row>
    <row r="2657" spans="1:8" s="943" customFormat="1" x14ac:dyDescent="0.25">
      <c r="A2657" s="952"/>
      <c r="B2657" s="953"/>
      <c r="C2657" s="953"/>
      <c r="D2657" s="953"/>
      <c r="E2657" s="953"/>
      <c r="F2657" s="953"/>
      <c r="G2657" s="953"/>
      <c r="H2657" s="953"/>
    </row>
    <row r="2658" spans="1:8" s="943" customFormat="1" x14ac:dyDescent="0.25">
      <c r="A2658" s="952"/>
      <c r="B2658" s="953"/>
      <c r="C2658" s="953"/>
      <c r="D2658" s="953"/>
      <c r="E2658" s="953"/>
      <c r="F2658" s="953"/>
      <c r="G2658" s="953"/>
      <c r="H2658" s="953"/>
    </row>
    <row r="2659" spans="1:8" s="943" customFormat="1" x14ac:dyDescent="0.25">
      <c r="A2659" s="952"/>
      <c r="B2659" s="953"/>
      <c r="C2659" s="953"/>
      <c r="D2659" s="953"/>
      <c r="E2659" s="953"/>
      <c r="F2659" s="953"/>
      <c r="G2659" s="953"/>
      <c r="H2659" s="953"/>
    </row>
    <row r="2660" spans="1:8" s="943" customFormat="1" x14ac:dyDescent="0.25">
      <c r="A2660" s="952"/>
      <c r="B2660" s="953"/>
      <c r="C2660" s="953"/>
      <c r="D2660" s="953"/>
      <c r="E2660" s="953"/>
      <c r="F2660" s="953"/>
      <c r="G2660" s="953"/>
      <c r="H2660" s="953"/>
    </row>
    <row r="2661" spans="1:8" s="943" customFormat="1" x14ac:dyDescent="0.25">
      <c r="A2661" s="952"/>
      <c r="B2661" s="953"/>
      <c r="C2661" s="953"/>
      <c r="D2661" s="953"/>
      <c r="E2661" s="953"/>
      <c r="F2661" s="953"/>
      <c r="G2661" s="953"/>
      <c r="H2661" s="953"/>
    </row>
    <row r="2662" spans="1:8" s="943" customFormat="1" x14ac:dyDescent="0.25">
      <c r="A2662" s="952"/>
      <c r="B2662" s="953"/>
      <c r="C2662" s="953"/>
      <c r="D2662" s="953"/>
      <c r="E2662" s="953"/>
      <c r="F2662" s="953"/>
      <c r="G2662" s="953"/>
      <c r="H2662" s="953"/>
    </row>
    <row r="2663" spans="1:8" s="943" customFormat="1" x14ac:dyDescent="0.25">
      <c r="A2663" s="952"/>
      <c r="B2663" s="953"/>
      <c r="C2663" s="953"/>
      <c r="D2663" s="953"/>
      <c r="E2663" s="953"/>
      <c r="F2663" s="953"/>
      <c r="G2663" s="953"/>
      <c r="H2663" s="953"/>
    </row>
    <row r="2664" spans="1:8" s="943" customFormat="1" x14ac:dyDescent="0.25">
      <c r="A2664" s="952"/>
      <c r="B2664" s="953"/>
      <c r="C2664" s="953"/>
      <c r="D2664" s="953"/>
      <c r="E2664" s="953"/>
      <c r="F2664" s="953"/>
      <c r="G2664" s="953"/>
      <c r="H2664" s="953"/>
    </row>
    <row r="2665" spans="1:8" s="943" customFormat="1" x14ac:dyDescent="0.25">
      <c r="A2665" s="952"/>
      <c r="B2665" s="953"/>
      <c r="C2665" s="953"/>
      <c r="D2665" s="953"/>
      <c r="E2665" s="953"/>
      <c r="F2665" s="953"/>
      <c r="G2665" s="953"/>
      <c r="H2665" s="953"/>
    </row>
    <row r="2666" spans="1:8" s="943" customFormat="1" x14ac:dyDescent="0.25">
      <c r="A2666" s="952"/>
      <c r="B2666" s="953"/>
      <c r="C2666" s="953"/>
      <c r="D2666" s="953"/>
      <c r="E2666" s="953"/>
      <c r="F2666" s="953"/>
      <c r="G2666" s="953"/>
      <c r="H2666" s="953"/>
    </row>
    <row r="2667" spans="1:8" s="943" customFormat="1" x14ac:dyDescent="0.25">
      <c r="A2667" s="952"/>
      <c r="B2667" s="953"/>
      <c r="C2667" s="953"/>
      <c r="D2667" s="953"/>
      <c r="E2667" s="953"/>
      <c r="F2667" s="953"/>
      <c r="G2667" s="953"/>
      <c r="H2667" s="953"/>
    </row>
    <row r="2668" spans="1:8" s="943" customFormat="1" x14ac:dyDescent="0.25">
      <c r="A2668" s="952"/>
      <c r="B2668" s="953"/>
      <c r="C2668" s="953"/>
      <c r="D2668" s="953"/>
      <c r="E2668" s="953"/>
      <c r="F2668" s="953"/>
      <c r="G2668" s="953"/>
      <c r="H2668" s="953"/>
    </row>
    <row r="2669" spans="1:8" s="943" customFormat="1" x14ac:dyDescent="0.25">
      <c r="A2669" s="952"/>
      <c r="B2669" s="953"/>
      <c r="C2669" s="953"/>
      <c r="D2669" s="953"/>
      <c r="E2669" s="953"/>
      <c r="F2669" s="953"/>
      <c r="G2669" s="953"/>
      <c r="H2669" s="953"/>
    </row>
    <row r="2670" spans="1:8" s="943" customFormat="1" x14ac:dyDescent="0.25">
      <c r="A2670" s="952"/>
      <c r="B2670" s="953"/>
      <c r="C2670" s="953"/>
      <c r="D2670" s="953"/>
      <c r="E2670" s="953"/>
      <c r="F2670" s="953"/>
      <c r="G2670" s="953"/>
      <c r="H2670" s="953"/>
    </row>
    <row r="2671" spans="1:8" s="943" customFormat="1" x14ac:dyDescent="0.25">
      <c r="A2671" s="952"/>
      <c r="B2671" s="953"/>
      <c r="C2671" s="953"/>
      <c r="D2671" s="953"/>
      <c r="E2671" s="953"/>
      <c r="F2671" s="953"/>
      <c r="G2671" s="953"/>
      <c r="H2671" s="953"/>
    </row>
    <row r="2672" spans="1:8" s="943" customFormat="1" x14ac:dyDescent="0.25">
      <c r="A2672" s="952"/>
      <c r="B2672" s="953"/>
      <c r="C2672" s="953"/>
      <c r="D2672" s="953"/>
      <c r="E2672" s="953"/>
      <c r="F2672" s="953"/>
      <c r="G2672" s="953"/>
      <c r="H2672" s="953"/>
    </row>
    <row r="2673" spans="1:8" s="943" customFormat="1" x14ac:dyDescent="0.25">
      <c r="A2673" s="952"/>
      <c r="B2673" s="953"/>
      <c r="C2673" s="953"/>
      <c r="D2673" s="953"/>
      <c r="E2673" s="953"/>
      <c r="F2673" s="953"/>
      <c r="G2673" s="953"/>
      <c r="H2673" s="953"/>
    </row>
    <row r="2674" spans="1:8" s="943" customFormat="1" x14ac:dyDescent="0.25">
      <c r="A2674" s="952"/>
      <c r="B2674" s="953"/>
      <c r="C2674" s="953"/>
      <c r="D2674" s="953"/>
      <c r="E2674" s="953"/>
      <c r="F2674" s="953"/>
      <c r="G2674" s="953"/>
      <c r="H2674" s="953"/>
    </row>
    <row r="2675" spans="1:8" s="943" customFormat="1" x14ac:dyDescent="0.25">
      <c r="A2675" s="952"/>
      <c r="B2675" s="953"/>
      <c r="C2675" s="953"/>
      <c r="D2675" s="953"/>
      <c r="E2675" s="953"/>
      <c r="F2675" s="953"/>
      <c r="G2675" s="953"/>
      <c r="H2675" s="953"/>
    </row>
    <row r="2676" spans="1:8" s="943" customFormat="1" x14ac:dyDescent="0.25">
      <c r="A2676" s="952"/>
      <c r="B2676" s="953"/>
      <c r="C2676" s="953"/>
      <c r="D2676" s="953"/>
      <c r="E2676" s="953"/>
      <c r="F2676" s="953"/>
      <c r="G2676" s="953"/>
      <c r="H2676" s="953"/>
    </row>
    <row r="2677" spans="1:8" s="943" customFormat="1" x14ac:dyDescent="0.25">
      <c r="A2677" s="952"/>
      <c r="B2677" s="953"/>
      <c r="C2677" s="953"/>
      <c r="D2677" s="953"/>
      <c r="E2677" s="953"/>
      <c r="F2677" s="953"/>
      <c r="G2677" s="953"/>
      <c r="H2677" s="953"/>
    </row>
    <row r="2678" spans="1:8" s="943" customFormat="1" x14ac:dyDescent="0.25">
      <c r="A2678" s="952"/>
      <c r="B2678" s="953"/>
      <c r="C2678" s="953"/>
      <c r="D2678" s="953"/>
      <c r="E2678" s="953"/>
      <c r="F2678" s="953"/>
      <c r="G2678" s="953"/>
      <c r="H2678" s="953"/>
    </row>
    <row r="2679" spans="1:8" s="943" customFormat="1" x14ac:dyDescent="0.25">
      <c r="A2679" s="952"/>
      <c r="B2679" s="953"/>
      <c r="C2679" s="953"/>
      <c r="D2679" s="953"/>
      <c r="E2679" s="953"/>
      <c r="F2679" s="953"/>
      <c r="G2679" s="953"/>
      <c r="H2679" s="953"/>
    </row>
    <row r="2680" spans="1:8" s="943" customFormat="1" x14ac:dyDescent="0.25">
      <c r="A2680" s="952"/>
      <c r="B2680" s="953"/>
      <c r="C2680" s="953"/>
      <c r="D2680" s="953"/>
      <c r="E2680" s="953"/>
      <c r="F2680" s="953"/>
      <c r="G2680" s="953"/>
      <c r="H2680" s="953"/>
    </row>
    <row r="2681" spans="1:8" s="943" customFormat="1" x14ac:dyDescent="0.25">
      <c r="A2681" s="952"/>
      <c r="B2681" s="953"/>
      <c r="C2681" s="953"/>
      <c r="D2681" s="953"/>
      <c r="E2681" s="953"/>
      <c r="F2681" s="953"/>
      <c r="G2681" s="953"/>
      <c r="H2681" s="953"/>
    </row>
    <row r="2682" spans="1:8" s="943" customFormat="1" x14ac:dyDescent="0.25">
      <c r="A2682" s="952"/>
      <c r="B2682" s="953"/>
      <c r="C2682" s="953"/>
      <c r="D2682" s="953"/>
      <c r="E2682" s="953"/>
      <c r="F2682" s="953"/>
      <c r="G2682" s="953"/>
      <c r="H2682" s="953"/>
    </row>
    <row r="2683" spans="1:8" s="943" customFormat="1" x14ac:dyDescent="0.25">
      <c r="A2683" s="952"/>
      <c r="B2683" s="953"/>
      <c r="C2683" s="953"/>
      <c r="D2683" s="953"/>
      <c r="E2683" s="953"/>
      <c r="F2683" s="953"/>
      <c r="G2683" s="953"/>
      <c r="H2683" s="953"/>
    </row>
    <row r="2684" spans="1:8" s="943" customFormat="1" x14ac:dyDescent="0.25">
      <c r="A2684" s="952"/>
      <c r="B2684" s="953"/>
      <c r="C2684" s="953"/>
      <c r="D2684" s="953"/>
      <c r="E2684" s="953"/>
      <c r="F2684" s="953"/>
      <c r="G2684" s="953"/>
      <c r="H2684" s="953"/>
    </row>
    <row r="2685" spans="1:8" s="943" customFormat="1" x14ac:dyDescent="0.25">
      <c r="A2685" s="952"/>
      <c r="B2685" s="953"/>
      <c r="C2685" s="953"/>
      <c r="D2685" s="953"/>
      <c r="E2685" s="953"/>
      <c r="F2685" s="953"/>
      <c r="G2685" s="953"/>
      <c r="H2685" s="953"/>
    </row>
    <row r="2686" spans="1:8" s="943" customFormat="1" x14ac:dyDescent="0.25">
      <c r="A2686" s="952"/>
      <c r="B2686" s="953"/>
      <c r="C2686" s="953"/>
      <c r="D2686" s="953"/>
      <c r="E2686" s="953"/>
      <c r="F2686" s="953"/>
      <c r="G2686" s="953"/>
      <c r="H2686" s="953"/>
    </row>
    <row r="2687" spans="1:8" s="943" customFormat="1" x14ac:dyDescent="0.25">
      <c r="A2687" s="952"/>
      <c r="B2687" s="953"/>
      <c r="C2687" s="953"/>
      <c r="D2687" s="953"/>
      <c r="E2687" s="953"/>
      <c r="F2687" s="953"/>
      <c r="G2687" s="953"/>
      <c r="H2687" s="953"/>
    </row>
    <row r="2688" spans="1:8" s="943" customFormat="1" x14ac:dyDescent="0.25">
      <c r="A2688" s="952"/>
      <c r="B2688" s="953"/>
      <c r="C2688" s="953"/>
      <c r="D2688" s="953"/>
      <c r="E2688" s="953"/>
      <c r="F2688" s="953"/>
      <c r="G2688" s="953"/>
      <c r="H2688" s="953"/>
    </row>
    <row r="2689" spans="1:8" s="943" customFormat="1" x14ac:dyDescent="0.25">
      <c r="A2689" s="952"/>
      <c r="B2689" s="953"/>
      <c r="C2689" s="953"/>
      <c r="D2689" s="953"/>
      <c r="E2689" s="953"/>
      <c r="F2689" s="953"/>
      <c r="G2689" s="953"/>
      <c r="H2689" s="953"/>
    </row>
    <row r="2690" spans="1:8" s="943" customFormat="1" x14ac:dyDescent="0.25">
      <c r="A2690" s="952"/>
      <c r="B2690" s="953"/>
      <c r="C2690" s="953"/>
      <c r="D2690" s="953"/>
      <c r="E2690" s="953"/>
      <c r="F2690" s="953"/>
      <c r="G2690" s="953"/>
      <c r="H2690" s="953"/>
    </row>
    <row r="2691" spans="1:8" s="943" customFormat="1" x14ac:dyDescent="0.25">
      <c r="A2691" s="952"/>
      <c r="B2691" s="953"/>
      <c r="C2691" s="953"/>
      <c r="D2691" s="953"/>
      <c r="E2691" s="953"/>
      <c r="F2691" s="953"/>
      <c r="G2691" s="953"/>
      <c r="H2691" s="953"/>
    </row>
    <row r="2692" spans="1:8" s="943" customFormat="1" x14ac:dyDescent="0.25">
      <c r="A2692" s="952"/>
      <c r="B2692" s="953"/>
      <c r="C2692" s="953"/>
      <c r="D2692" s="953"/>
      <c r="E2692" s="953"/>
      <c r="F2692" s="953"/>
      <c r="G2692" s="953"/>
      <c r="H2692" s="953"/>
    </row>
    <row r="2693" spans="1:8" s="943" customFormat="1" x14ac:dyDescent="0.25">
      <c r="A2693" s="952"/>
      <c r="B2693" s="953"/>
      <c r="C2693" s="953"/>
      <c r="D2693" s="953"/>
      <c r="E2693" s="953"/>
      <c r="F2693" s="953"/>
      <c r="G2693" s="953"/>
      <c r="H2693" s="953"/>
    </row>
    <row r="2694" spans="1:8" s="943" customFormat="1" x14ac:dyDescent="0.25">
      <c r="A2694" s="952"/>
      <c r="B2694" s="953"/>
      <c r="C2694" s="953"/>
      <c r="D2694" s="953"/>
      <c r="E2694" s="953"/>
      <c r="F2694" s="953"/>
      <c r="G2694" s="953"/>
      <c r="H2694" s="953"/>
    </row>
    <row r="2695" spans="1:8" s="943" customFormat="1" x14ac:dyDescent="0.25">
      <c r="A2695" s="952"/>
      <c r="B2695" s="953"/>
      <c r="C2695" s="953"/>
      <c r="D2695" s="953"/>
      <c r="E2695" s="953"/>
      <c r="F2695" s="953"/>
      <c r="G2695" s="953"/>
      <c r="H2695" s="953"/>
    </row>
    <row r="2696" spans="1:8" s="943" customFormat="1" x14ac:dyDescent="0.25">
      <c r="A2696" s="952"/>
      <c r="B2696" s="953"/>
      <c r="C2696" s="953"/>
      <c r="D2696" s="953"/>
      <c r="E2696" s="953"/>
      <c r="F2696" s="953"/>
      <c r="G2696" s="953"/>
      <c r="H2696" s="953"/>
    </row>
    <row r="2697" spans="1:8" s="943" customFormat="1" x14ac:dyDescent="0.25">
      <c r="A2697" s="952"/>
      <c r="B2697" s="953"/>
      <c r="C2697" s="953"/>
      <c r="D2697" s="953"/>
      <c r="E2697" s="953"/>
      <c r="F2697" s="953"/>
      <c r="G2697" s="953"/>
      <c r="H2697" s="953"/>
    </row>
    <row r="2698" spans="1:8" s="943" customFormat="1" x14ac:dyDescent="0.25">
      <c r="A2698" s="952"/>
      <c r="B2698" s="953"/>
      <c r="C2698" s="953"/>
      <c r="D2698" s="953"/>
      <c r="E2698" s="953"/>
      <c r="F2698" s="953"/>
      <c r="G2698" s="953"/>
      <c r="H2698" s="953"/>
    </row>
    <row r="2699" spans="1:8" s="943" customFormat="1" x14ac:dyDescent="0.25">
      <c r="A2699" s="952"/>
      <c r="B2699" s="953"/>
      <c r="C2699" s="953"/>
      <c r="D2699" s="953"/>
      <c r="E2699" s="953"/>
      <c r="F2699" s="953"/>
      <c r="G2699" s="953"/>
      <c r="H2699" s="953"/>
    </row>
    <row r="2700" spans="1:8" s="943" customFormat="1" x14ac:dyDescent="0.25">
      <c r="A2700" s="952"/>
      <c r="B2700" s="953"/>
      <c r="C2700" s="953"/>
      <c r="D2700" s="953"/>
      <c r="E2700" s="953"/>
      <c r="F2700" s="953"/>
      <c r="G2700" s="953"/>
      <c r="H2700" s="953"/>
    </row>
    <row r="2701" spans="1:8" s="943" customFormat="1" x14ac:dyDescent="0.25">
      <c r="A2701" s="952"/>
      <c r="B2701" s="953"/>
      <c r="C2701" s="953"/>
      <c r="D2701" s="953"/>
      <c r="E2701" s="953"/>
      <c r="F2701" s="953"/>
      <c r="G2701" s="953"/>
      <c r="H2701" s="953"/>
    </row>
    <row r="2702" spans="1:8" s="943" customFormat="1" x14ac:dyDescent="0.25">
      <c r="A2702" s="952"/>
      <c r="B2702" s="953"/>
      <c r="C2702" s="953"/>
      <c r="D2702" s="953"/>
      <c r="E2702" s="953"/>
      <c r="F2702" s="953"/>
      <c r="G2702" s="953"/>
      <c r="H2702" s="953"/>
    </row>
    <row r="2703" spans="1:8" s="943" customFormat="1" x14ac:dyDescent="0.25">
      <c r="A2703" s="952"/>
      <c r="B2703" s="953"/>
      <c r="C2703" s="953"/>
      <c r="D2703" s="953"/>
      <c r="E2703" s="953"/>
      <c r="F2703" s="953"/>
      <c r="G2703" s="953"/>
      <c r="H2703" s="953"/>
    </row>
    <row r="2704" spans="1:8" s="943" customFormat="1" x14ac:dyDescent="0.25">
      <c r="A2704" s="952"/>
      <c r="B2704" s="953"/>
      <c r="C2704" s="953"/>
      <c r="D2704" s="953"/>
      <c r="E2704" s="953"/>
      <c r="F2704" s="953"/>
      <c r="G2704" s="953"/>
      <c r="H2704" s="953"/>
    </row>
    <row r="2705" spans="1:8" s="943" customFormat="1" x14ac:dyDescent="0.25">
      <c r="A2705" s="952"/>
      <c r="B2705" s="953"/>
      <c r="C2705" s="953"/>
      <c r="D2705" s="953"/>
      <c r="E2705" s="953"/>
      <c r="F2705" s="953"/>
      <c r="G2705" s="953"/>
      <c r="H2705" s="953"/>
    </row>
    <row r="2706" spans="1:8" s="943" customFormat="1" x14ac:dyDescent="0.25">
      <c r="A2706" s="952"/>
      <c r="B2706" s="953"/>
      <c r="C2706" s="953"/>
      <c r="D2706" s="953"/>
      <c r="E2706" s="953"/>
      <c r="F2706" s="953"/>
      <c r="G2706" s="953"/>
      <c r="H2706" s="953"/>
    </row>
    <row r="2707" spans="1:8" s="943" customFormat="1" x14ac:dyDescent="0.25">
      <c r="A2707" s="952"/>
      <c r="B2707" s="953"/>
      <c r="C2707" s="953"/>
      <c r="D2707" s="953"/>
      <c r="E2707" s="953"/>
      <c r="F2707" s="953"/>
      <c r="G2707" s="953"/>
      <c r="H2707" s="953"/>
    </row>
    <row r="2708" spans="1:8" s="943" customFormat="1" x14ac:dyDescent="0.25">
      <c r="A2708" s="952"/>
      <c r="B2708" s="953"/>
      <c r="C2708" s="953"/>
      <c r="D2708" s="953"/>
      <c r="E2708" s="953"/>
      <c r="F2708" s="953"/>
      <c r="G2708" s="953"/>
      <c r="H2708" s="953"/>
    </row>
    <row r="2709" spans="1:8" s="943" customFormat="1" x14ac:dyDescent="0.25">
      <c r="A2709" s="952"/>
      <c r="B2709" s="953"/>
      <c r="C2709" s="953"/>
      <c r="D2709" s="953"/>
      <c r="E2709" s="953"/>
      <c r="F2709" s="953"/>
      <c r="G2709" s="953"/>
      <c r="H2709" s="953"/>
    </row>
    <row r="2710" spans="1:8" s="943" customFormat="1" x14ac:dyDescent="0.25">
      <c r="A2710" s="952"/>
      <c r="B2710" s="953"/>
      <c r="C2710" s="953"/>
      <c r="D2710" s="953"/>
      <c r="E2710" s="953"/>
      <c r="F2710" s="953"/>
      <c r="G2710" s="953"/>
      <c r="H2710" s="953"/>
    </row>
    <row r="2711" spans="1:8" s="943" customFormat="1" x14ac:dyDescent="0.25">
      <c r="A2711" s="952"/>
      <c r="B2711" s="953"/>
      <c r="C2711" s="953"/>
      <c r="D2711" s="953"/>
      <c r="E2711" s="953"/>
      <c r="F2711" s="953"/>
      <c r="G2711" s="953"/>
      <c r="H2711" s="953"/>
    </row>
    <row r="2712" spans="1:8" s="943" customFormat="1" x14ac:dyDescent="0.25">
      <c r="A2712" s="952"/>
      <c r="B2712" s="953"/>
      <c r="C2712" s="953"/>
      <c r="D2712" s="953"/>
      <c r="E2712" s="953"/>
      <c r="F2712" s="953"/>
      <c r="G2712" s="953"/>
      <c r="H2712" s="953"/>
    </row>
    <row r="2713" spans="1:8" s="943" customFormat="1" x14ac:dyDescent="0.25">
      <c r="A2713" s="952"/>
      <c r="B2713" s="953"/>
      <c r="C2713" s="953"/>
      <c r="D2713" s="953"/>
      <c r="E2713" s="953"/>
      <c r="F2713" s="953"/>
      <c r="G2713" s="953"/>
      <c r="H2713" s="953"/>
    </row>
    <row r="2714" spans="1:8" s="943" customFormat="1" x14ac:dyDescent="0.25">
      <c r="A2714" s="952"/>
      <c r="B2714" s="953"/>
      <c r="C2714" s="953"/>
      <c r="D2714" s="953"/>
      <c r="E2714" s="953"/>
      <c r="F2714" s="953"/>
      <c r="G2714" s="953"/>
      <c r="H2714" s="953"/>
    </row>
    <row r="2715" spans="1:8" s="943" customFormat="1" x14ac:dyDescent="0.25">
      <c r="A2715" s="952"/>
      <c r="B2715" s="953"/>
      <c r="C2715" s="953"/>
      <c r="D2715" s="953"/>
      <c r="E2715" s="953"/>
      <c r="F2715" s="953"/>
      <c r="G2715" s="953"/>
      <c r="H2715" s="953"/>
    </row>
    <row r="2716" spans="1:8" s="943" customFormat="1" x14ac:dyDescent="0.25">
      <c r="A2716" s="952"/>
      <c r="B2716" s="953"/>
      <c r="C2716" s="953"/>
      <c r="D2716" s="953"/>
      <c r="E2716" s="953"/>
      <c r="F2716" s="953"/>
      <c r="G2716" s="953"/>
      <c r="H2716" s="953"/>
    </row>
    <row r="2717" spans="1:8" s="943" customFormat="1" x14ac:dyDescent="0.25">
      <c r="A2717" s="952"/>
      <c r="B2717" s="953"/>
      <c r="C2717" s="953"/>
      <c r="D2717" s="953"/>
      <c r="E2717" s="953"/>
      <c r="F2717" s="953"/>
      <c r="G2717" s="953"/>
      <c r="H2717" s="953"/>
    </row>
    <row r="2718" spans="1:8" s="943" customFormat="1" x14ac:dyDescent="0.25">
      <c r="A2718" s="952"/>
      <c r="B2718" s="953"/>
      <c r="C2718" s="953"/>
      <c r="D2718" s="953"/>
      <c r="E2718" s="953"/>
      <c r="F2718" s="953"/>
      <c r="G2718" s="953"/>
      <c r="H2718" s="953"/>
    </row>
    <row r="2719" spans="1:8" s="943" customFormat="1" x14ac:dyDescent="0.25">
      <c r="A2719" s="952"/>
      <c r="B2719" s="953"/>
      <c r="C2719" s="953"/>
      <c r="D2719" s="953"/>
      <c r="E2719" s="953"/>
      <c r="F2719" s="953"/>
      <c r="G2719" s="953"/>
      <c r="H2719" s="953"/>
    </row>
    <row r="2720" spans="1:8" s="943" customFormat="1" x14ac:dyDescent="0.25">
      <c r="A2720" s="952"/>
      <c r="B2720" s="953"/>
      <c r="C2720" s="953"/>
      <c r="D2720" s="953"/>
      <c r="E2720" s="953"/>
      <c r="F2720" s="953"/>
      <c r="G2720" s="953"/>
      <c r="H2720" s="953"/>
    </row>
    <row r="2721" spans="1:8" s="943" customFormat="1" x14ac:dyDescent="0.25">
      <c r="A2721" s="952"/>
      <c r="B2721" s="953"/>
      <c r="C2721" s="953"/>
      <c r="D2721" s="953"/>
      <c r="E2721" s="953"/>
      <c r="F2721" s="953"/>
      <c r="G2721" s="953"/>
      <c r="H2721" s="953"/>
    </row>
    <row r="2722" spans="1:8" s="943" customFormat="1" x14ac:dyDescent="0.25">
      <c r="A2722" s="952"/>
      <c r="B2722" s="953"/>
      <c r="C2722" s="953"/>
      <c r="D2722" s="953"/>
      <c r="E2722" s="953"/>
      <c r="F2722" s="953"/>
      <c r="G2722" s="953"/>
      <c r="H2722" s="953"/>
    </row>
    <row r="2723" spans="1:8" s="943" customFormat="1" x14ac:dyDescent="0.25">
      <c r="A2723" s="952"/>
      <c r="B2723" s="953"/>
      <c r="C2723" s="953"/>
      <c r="D2723" s="953"/>
      <c r="E2723" s="953"/>
      <c r="F2723" s="953"/>
      <c r="G2723" s="953"/>
      <c r="H2723" s="953"/>
    </row>
    <row r="2724" spans="1:8" s="943" customFormat="1" x14ac:dyDescent="0.25">
      <c r="A2724" s="952"/>
      <c r="B2724" s="953"/>
      <c r="C2724" s="953"/>
      <c r="D2724" s="953"/>
      <c r="E2724" s="953"/>
      <c r="F2724" s="953"/>
      <c r="G2724" s="953"/>
      <c r="H2724" s="953"/>
    </row>
    <row r="2725" spans="1:8" s="943" customFormat="1" x14ac:dyDescent="0.25">
      <c r="A2725" s="952"/>
      <c r="B2725" s="953"/>
      <c r="C2725" s="953"/>
      <c r="D2725" s="953"/>
      <c r="E2725" s="953"/>
      <c r="F2725" s="953"/>
      <c r="G2725" s="953"/>
      <c r="H2725" s="953"/>
    </row>
    <row r="2726" spans="1:8" s="943" customFormat="1" x14ac:dyDescent="0.25">
      <c r="A2726" s="952"/>
      <c r="B2726" s="953"/>
      <c r="C2726" s="953"/>
      <c r="D2726" s="953"/>
      <c r="E2726" s="953"/>
      <c r="F2726" s="953"/>
      <c r="G2726" s="953"/>
      <c r="H2726" s="953"/>
    </row>
    <row r="2727" spans="1:8" s="943" customFormat="1" x14ac:dyDescent="0.25">
      <c r="A2727" s="952"/>
      <c r="B2727" s="953"/>
      <c r="C2727" s="953"/>
      <c r="D2727" s="953"/>
      <c r="E2727" s="953"/>
      <c r="F2727" s="953"/>
      <c r="G2727" s="953"/>
      <c r="H2727" s="953"/>
    </row>
    <row r="2728" spans="1:8" s="943" customFormat="1" x14ac:dyDescent="0.25">
      <c r="A2728" s="952"/>
      <c r="B2728" s="953"/>
      <c r="C2728" s="953"/>
      <c r="D2728" s="953"/>
      <c r="E2728" s="953"/>
      <c r="F2728" s="953"/>
      <c r="G2728" s="953"/>
      <c r="H2728" s="953"/>
    </row>
    <row r="2729" spans="1:8" s="943" customFormat="1" x14ac:dyDescent="0.25">
      <c r="A2729" s="952"/>
      <c r="B2729" s="953"/>
      <c r="C2729" s="953"/>
      <c r="D2729" s="953"/>
      <c r="E2729" s="953"/>
      <c r="F2729" s="953"/>
      <c r="G2729" s="953"/>
      <c r="H2729" s="953"/>
    </row>
    <row r="2730" spans="1:8" s="943" customFormat="1" x14ac:dyDescent="0.25">
      <c r="A2730" s="952"/>
      <c r="B2730" s="953"/>
      <c r="C2730" s="953"/>
      <c r="D2730" s="953"/>
      <c r="E2730" s="953"/>
      <c r="F2730" s="953"/>
      <c r="G2730" s="953"/>
      <c r="H2730" s="953"/>
    </row>
    <row r="2731" spans="1:8" s="943" customFormat="1" x14ac:dyDescent="0.25">
      <c r="A2731" s="952"/>
      <c r="B2731" s="953"/>
      <c r="C2731" s="953"/>
      <c r="D2731" s="953"/>
      <c r="E2731" s="953"/>
      <c r="F2731" s="953"/>
      <c r="G2731" s="953"/>
      <c r="H2731" s="953"/>
    </row>
    <row r="2732" spans="1:8" s="943" customFormat="1" x14ac:dyDescent="0.25">
      <c r="A2732" s="952"/>
      <c r="B2732" s="953"/>
      <c r="C2732" s="953"/>
      <c r="D2732" s="953"/>
      <c r="E2732" s="953"/>
      <c r="F2732" s="953"/>
      <c r="G2732" s="953"/>
      <c r="H2732" s="953"/>
    </row>
    <row r="2733" spans="1:8" s="943" customFormat="1" x14ac:dyDescent="0.25">
      <c r="A2733" s="952"/>
      <c r="B2733" s="953"/>
      <c r="C2733" s="953"/>
      <c r="D2733" s="953"/>
      <c r="E2733" s="953"/>
      <c r="F2733" s="953"/>
      <c r="G2733" s="953"/>
      <c r="H2733" s="953"/>
    </row>
    <row r="2734" spans="1:8" s="943" customFormat="1" x14ac:dyDescent="0.25">
      <c r="A2734" s="952"/>
      <c r="B2734" s="953"/>
      <c r="C2734" s="953"/>
      <c r="D2734" s="953"/>
      <c r="E2734" s="953"/>
      <c r="F2734" s="953"/>
      <c r="G2734" s="953"/>
      <c r="H2734" s="953"/>
    </row>
    <row r="2735" spans="1:8" s="943" customFormat="1" x14ac:dyDescent="0.25">
      <c r="A2735" s="952"/>
      <c r="B2735" s="953"/>
      <c r="C2735" s="953"/>
      <c r="D2735" s="953"/>
      <c r="E2735" s="953"/>
      <c r="F2735" s="953"/>
      <c r="G2735" s="953"/>
      <c r="H2735" s="953"/>
    </row>
    <row r="2736" spans="1:8" s="943" customFormat="1" x14ac:dyDescent="0.25">
      <c r="A2736" s="952"/>
      <c r="B2736" s="953"/>
      <c r="C2736" s="953"/>
      <c r="D2736" s="953"/>
      <c r="E2736" s="953"/>
      <c r="F2736" s="953"/>
      <c r="G2736" s="953"/>
      <c r="H2736" s="953"/>
    </row>
    <row r="2737" spans="1:8" s="943" customFormat="1" x14ac:dyDescent="0.25">
      <c r="A2737" s="952"/>
      <c r="B2737" s="953"/>
      <c r="C2737" s="953"/>
      <c r="D2737" s="953"/>
      <c r="E2737" s="953"/>
      <c r="F2737" s="953"/>
      <c r="G2737" s="953"/>
      <c r="H2737" s="953"/>
    </row>
    <row r="2738" spans="1:8" s="943" customFormat="1" x14ac:dyDescent="0.25">
      <c r="A2738" s="952"/>
      <c r="B2738" s="953"/>
      <c r="C2738" s="953"/>
      <c r="D2738" s="953"/>
      <c r="E2738" s="953"/>
      <c r="F2738" s="953"/>
      <c r="G2738" s="953"/>
      <c r="H2738" s="953"/>
    </row>
    <row r="2739" spans="1:8" s="943" customFormat="1" x14ac:dyDescent="0.25">
      <c r="A2739" s="952"/>
      <c r="B2739" s="953"/>
      <c r="C2739" s="953"/>
      <c r="D2739" s="953"/>
      <c r="E2739" s="953"/>
      <c r="F2739" s="953"/>
      <c r="G2739" s="953"/>
      <c r="H2739" s="953"/>
    </row>
    <row r="2740" spans="1:8" s="943" customFormat="1" x14ac:dyDescent="0.25">
      <c r="A2740" s="952"/>
      <c r="B2740" s="953"/>
      <c r="C2740" s="953"/>
      <c r="D2740" s="953"/>
      <c r="E2740" s="953"/>
      <c r="F2740" s="953"/>
      <c r="G2740" s="953"/>
      <c r="H2740" s="953"/>
    </row>
    <row r="2741" spans="1:8" s="943" customFormat="1" x14ac:dyDescent="0.25">
      <c r="A2741" s="952"/>
      <c r="B2741" s="953"/>
      <c r="C2741" s="953"/>
      <c r="D2741" s="953"/>
      <c r="E2741" s="953"/>
      <c r="F2741" s="953"/>
      <c r="G2741" s="953"/>
      <c r="H2741" s="953"/>
    </row>
    <row r="2742" spans="1:8" s="943" customFormat="1" x14ac:dyDescent="0.25">
      <c r="A2742" s="952"/>
      <c r="B2742" s="953"/>
      <c r="C2742" s="953"/>
      <c r="D2742" s="953"/>
      <c r="E2742" s="953"/>
      <c r="F2742" s="953"/>
      <c r="G2742" s="953"/>
      <c r="H2742" s="953"/>
    </row>
    <row r="2743" spans="1:8" s="943" customFormat="1" x14ac:dyDescent="0.25">
      <c r="A2743" s="952"/>
      <c r="B2743" s="953"/>
      <c r="C2743" s="953"/>
      <c r="D2743" s="953"/>
      <c r="E2743" s="953"/>
      <c r="F2743" s="953"/>
      <c r="G2743" s="953"/>
      <c r="H2743" s="953"/>
    </row>
    <row r="2744" spans="1:8" s="943" customFormat="1" x14ac:dyDescent="0.25">
      <c r="A2744" s="952"/>
      <c r="B2744" s="953"/>
      <c r="C2744" s="953"/>
      <c r="D2744" s="953"/>
      <c r="E2744" s="953"/>
      <c r="F2744" s="953"/>
      <c r="G2744" s="953"/>
      <c r="H2744" s="953"/>
    </row>
    <row r="2745" spans="1:8" s="943" customFormat="1" x14ac:dyDescent="0.25">
      <c r="A2745" s="952"/>
      <c r="B2745" s="953"/>
      <c r="C2745" s="953"/>
      <c r="D2745" s="953"/>
      <c r="E2745" s="953"/>
      <c r="F2745" s="953"/>
      <c r="G2745" s="953"/>
      <c r="H2745" s="953"/>
    </row>
    <row r="2746" spans="1:8" s="943" customFormat="1" x14ac:dyDescent="0.25">
      <c r="A2746" s="952"/>
      <c r="B2746" s="953"/>
      <c r="C2746" s="953"/>
      <c r="D2746" s="953"/>
      <c r="E2746" s="953"/>
      <c r="F2746" s="953"/>
      <c r="G2746" s="953"/>
      <c r="H2746" s="953"/>
    </row>
    <row r="2747" spans="1:8" s="943" customFormat="1" x14ac:dyDescent="0.25">
      <c r="A2747" s="952"/>
      <c r="B2747" s="953"/>
      <c r="C2747" s="953"/>
      <c r="D2747" s="953"/>
      <c r="E2747" s="953"/>
      <c r="F2747" s="953"/>
      <c r="G2747" s="953"/>
      <c r="H2747" s="953"/>
    </row>
    <row r="2748" spans="1:8" s="943" customFormat="1" x14ac:dyDescent="0.25">
      <c r="A2748" s="952"/>
      <c r="B2748" s="953"/>
      <c r="C2748" s="953"/>
      <c r="D2748" s="953"/>
      <c r="E2748" s="953"/>
      <c r="F2748" s="953"/>
      <c r="G2748" s="953"/>
      <c r="H2748" s="953"/>
    </row>
    <row r="2749" spans="1:8" s="943" customFormat="1" x14ac:dyDescent="0.25">
      <c r="A2749" s="952"/>
      <c r="B2749" s="953"/>
      <c r="C2749" s="953"/>
      <c r="D2749" s="953"/>
      <c r="E2749" s="953"/>
      <c r="F2749" s="953"/>
      <c r="G2749" s="953"/>
      <c r="H2749" s="953"/>
    </row>
    <row r="2750" spans="1:8" s="943" customFormat="1" x14ac:dyDescent="0.25">
      <c r="A2750" s="952"/>
      <c r="B2750" s="953"/>
      <c r="C2750" s="953"/>
      <c r="D2750" s="953"/>
      <c r="E2750" s="953"/>
      <c r="F2750" s="953"/>
      <c r="G2750" s="953"/>
      <c r="H2750" s="953"/>
    </row>
    <row r="2751" spans="1:8" s="943" customFormat="1" x14ac:dyDescent="0.25">
      <c r="A2751" s="952"/>
      <c r="B2751" s="953"/>
      <c r="C2751" s="953"/>
      <c r="D2751" s="953"/>
      <c r="E2751" s="953"/>
      <c r="F2751" s="953"/>
      <c r="G2751" s="953"/>
      <c r="H2751" s="953"/>
    </row>
    <row r="2752" spans="1:8" s="943" customFormat="1" x14ac:dyDescent="0.25">
      <c r="A2752" s="952"/>
      <c r="B2752" s="953"/>
      <c r="C2752" s="953"/>
      <c r="D2752" s="953"/>
      <c r="E2752" s="953"/>
      <c r="F2752" s="953"/>
      <c r="G2752" s="953"/>
      <c r="H2752" s="953"/>
    </row>
    <row r="2753" spans="1:8" s="943" customFormat="1" x14ac:dyDescent="0.25">
      <c r="A2753" s="952"/>
      <c r="B2753" s="953"/>
      <c r="C2753" s="953"/>
      <c r="D2753" s="953"/>
      <c r="E2753" s="953"/>
      <c r="F2753" s="953"/>
      <c r="G2753" s="953"/>
      <c r="H2753" s="953"/>
    </row>
    <row r="2754" spans="1:8" s="943" customFormat="1" x14ac:dyDescent="0.25">
      <c r="A2754" s="952"/>
      <c r="B2754" s="953"/>
      <c r="C2754" s="953"/>
      <c r="D2754" s="953"/>
      <c r="E2754" s="953"/>
      <c r="F2754" s="953"/>
      <c r="G2754" s="953"/>
      <c r="H2754" s="953"/>
    </row>
    <row r="2755" spans="1:8" s="943" customFormat="1" x14ac:dyDescent="0.25">
      <c r="A2755" s="952"/>
      <c r="B2755" s="953"/>
      <c r="C2755" s="953"/>
      <c r="D2755" s="953"/>
      <c r="E2755" s="953"/>
      <c r="F2755" s="953"/>
      <c r="G2755" s="953"/>
      <c r="H2755" s="953"/>
    </row>
    <row r="2756" spans="1:8" s="943" customFormat="1" x14ac:dyDescent="0.25">
      <c r="A2756" s="952"/>
      <c r="B2756" s="953"/>
      <c r="C2756" s="953"/>
      <c r="D2756" s="953"/>
      <c r="E2756" s="953"/>
      <c r="F2756" s="953"/>
      <c r="G2756" s="953"/>
      <c r="H2756" s="953"/>
    </row>
    <row r="2757" spans="1:8" s="943" customFormat="1" x14ac:dyDescent="0.25">
      <c r="A2757" s="952"/>
      <c r="B2757" s="953"/>
      <c r="C2757" s="953"/>
      <c r="D2757" s="953"/>
      <c r="E2757" s="953"/>
      <c r="F2757" s="953"/>
      <c r="G2757" s="953"/>
      <c r="H2757" s="953"/>
    </row>
    <row r="2758" spans="1:8" s="943" customFormat="1" x14ac:dyDescent="0.25">
      <c r="A2758" s="952"/>
      <c r="B2758" s="953"/>
      <c r="C2758" s="953"/>
      <c r="D2758" s="953"/>
      <c r="E2758" s="953"/>
      <c r="F2758" s="953"/>
      <c r="G2758" s="953"/>
      <c r="H2758" s="953"/>
    </row>
    <row r="2759" spans="1:8" s="943" customFormat="1" x14ac:dyDescent="0.25">
      <c r="A2759" s="952"/>
      <c r="B2759" s="953"/>
      <c r="C2759" s="953"/>
      <c r="D2759" s="953"/>
      <c r="E2759" s="953"/>
      <c r="F2759" s="953"/>
      <c r="G2759" s="953"/>
      <c r="H2759" s="953"/>
    </row>
    <row r="2760" spans="1:8" s="943" customFormat="1" x14ac:dyDescent="0.25">
      <c r="A2760" s="952"/>
      <c r="B2760" s="953"/>
      <c r="C2760" s="953"/>
      <c r="D2760" s="953"/>
      <c r="E2760" s="953"/>
      <c r="F2760" s="953"/>
      <c r="G2760" s="953"/>
      <c r="H2760" s="953"/>
    </row>
    <row r="2761" spans="1:8" s="943" customFormat="1" x14ac:dyDescent="0.25">
      <c r="A2761" s="952"/>
      <c r="B2761" s="953"/>
      <c r="C2761" s="953"/>
      <c r="D2761" s="953"/>
      <c r="E2761" s="953"/>
      <c r="F2761" s="953"/>
      <c r="G2761" s="953"/>
      <c r="H2761" s="953"/>
    </row>
    <row r="2762" spans="1:8" s="943" customFormat="1" x14ac:dyDescent="0.25">
      <c r="A2762" s="952"/>
      <c r="B2762" s="953"/>
      <c r="C2762" s="953"/>
      <c r="D2762" s="953"/>
      <c r="E2762" s="953"/>
      <c r="F2762" s="953"/>
      <c r="G2762" s="953"/>
      <c r="H2762" s="953"/>
    </row>
    <row r="2763" spans="1:8" s="943" customFormat="1" x14ac:dyDescent="0.25">
      <c r="A2763" s="952"/>
      <c r="B2763" s="953"/>
      <c r="C2763" s="953"/>
      <c r="D2763" s="953"/>
      <c r="E2763" s="953"/>
      <c r="F2763" s="953"/>
      <c r="G2763" s="953"/>
      <c r="H2763" s="953"/>
    </row>
    <row r="2764" spans="1:8" s="943" customFormat="1" x14ac:dyDescent="0.25">
      <c r="A2764" s="952"/>
      <c r="B2764" s="953"/>
      <c r="C2764" s="953"/>
      <c r="D2764" s="953"/>
      <c r="E2764" s="953"/>
      <c r="F2764" s="953"/>
      <c r="G2764" s="953"/>
      <c r="H2764" s="953"/>
    </row>
    <row r="2765" spans="1:8" s="943" customFormat="1" x14ac:dyDescent="0.25">
      <c r="A2765" s="952"/>
      <c r="B2765" s="953"/>
      <c r="C2765" s="953"/>
      <c r="D2765" s="953"/>
      <c r="E2765" s="953"/>
      <c r="F2765" s="953"/>
      <c r="G2765" s="953"/>
      <c r="H2765" s="953"/>
    </row>
    <row r="2766" spans="1:8" s="943" customFormat="1" x14ac:dyDescent="0.25">
      <c r="A2766" s="952"/>
      <c r="B2766" s="953"/>
      <c r="C2766" s="953"/>
      <c r="D2766" s="953"/>
      <c r="E2766" s="953"/>
      <c r="F2766" s="953"/>
      <c r="G2766" s="953"/>
      <c r="H2766" s="953"/>
    </row>
    <row r="2767" spans="1:8" s="943" customFormat="1" x14ac:dyDescent="0.25">
      <c r="A2767" s="952"/>
      <c r="B2767" s="953"/>
      <c r="C2767" s="953"/>
      <c r="D2767" s="953"/>
      <c r="E2767" s="953"/>
      <c r="F2767" s="953"/>
      <c r="G2767" s="953"/>
      <c r="H2767" s="953"/>
    </row>
    <row r="2768" spans="1:8" s="943" customFormat="1" x14ac:dyDescent="0.25">
      <c r="A2768" s="952"/>
      <c r="B2768" s="953"/>
      <c r="C2768" s="953"/>
      <c r="D2768" s="953"/>
      <c r="E2768" s="953"/>
      <c r="F2768" s="953"/>
      <c r="G2768" s="953"/>
      <c r="H2768" s="953"/>
    </row>
    <row r="2769" spans="1:8" s="943" customFormat="1" x14ac:dyDescent="0.25">
      <c r="A2769" s="952"/>
      <c r="B2769" s="953"/>
      <c r="C2769" s="953"/>
      <c r="D2769" s="953"/>
      <c r="E2769" s="953"/>
      <c r="F2769" s="953"/>
      <c r="G2769" s="953"/>
      <c r="H2769" s="953"/>
    </row>
    <row r="2770" spans="1:8" s="943" customFormat="1" x14ac:dyDescent="0.25">
      <c r="A2770" s="952"/>
      <c r="B2770" s="953"/>
      <c r="C2770" s="953"/>
      <c r="D2770" s="953"/>
      <c r="E2770" s="953"/>
      <c r="F2770" s="953"/>
      <c r="G2770" s="953"/>
      <c r="H2770" s="953"/>
    </row>
    <row r="2771" spans="1:8" s="943" customFormat="1" x14ac:dyDescent="0.25">
      <c r="A2771" s="952"/>
      <c r="B2771" s="953"/>
      <c r="C2771" s="953"/>
      <c r="D2771" s="953"/>
      <c r="E2771" s="953"/>
      <c r="F2771" s="953"/>
      <c r="G2771" s="953"/>
      <c r="H2771" s="953"/>
    </row>
    <row r="2772" spans="1:8" s="943" customFormat="1" x14ac:dyDescent="0.25">
      <c r="A2772" s="952"/>
      <c r="B2772" s="953"/>
      <c r="C2772" s="953"/>
      <c r="D2772" s="953"/>
      <c r="E2772" s="953"/>
      <c r="F2772" s="953"/>
      <c r="G2772" s="953"/>
      <c r="H2772" s="953"/>
    </row>
    <row r="2773" spans="1:8" s="943" customFormat="1" x14ac:dyDescent="0.25">
      <c r="A2773" s="952"/>
      <c r="B2773" s="953"/>
      <c r="C2773" s="953"/>
      <c r="D2773" s="953"/>
      <c r="E2773" s="953"/>
      <c r="F2773" s="953"/>
      <c r="G2773" s="953"/>
      <c r="H2773" s="953"/>
    </row>
    <row r="2774" spans="1:8" s="943" customFormat="1" x14ac:dyDescent="0.25">
      <c r="A2774" s="952"/>
      <c r="B2774" s="953"/>
      <c r="C2774" s="953"/>
      <c r="D2774" s="953"/>
      <c r="E2774" s="953"/>
      <c r="F2774" s="953"/>
      <c r="G2774" s="953"/>
      <c r="H2774" s="953"/>
    </row>
    <row r="2775" spans="1:8" s="943" customFormat="1" x14ac:dyDescent="0.25">
      <c r="A2775" s="952"/>
      <c r="B2775" s="953"/>
      <c r="C2775" s="953"/>
      <c r="D2775" s="953"/>
      <c r="E2775" s="953"/>
      <c r="F2775" s="953"/>
      <c r="G2775" s="953"/>
      <c r="H2775" s="953"/>
    </row>
    <row r="2776" spans="1:8" s="943" customFormat="1" x14ac:dyDescent="0.25">
      <c r="A2776" s="952"/>
      <c r="B2776" s="953"/>
      <c r="C2776" s="953"/>
      <c r="D2776" s="953"/>
      <c r="E2776" s="953"/>
      <c r="F2776" s="953"/>
      <c r="G2776" s="953"/>
      <c r="H2776" s="953"/>
    </row>
    <row r="2777" spans="1:8" s="943" customFormat="1" x14ac:dyDescent="0.25">
      <c r="A2777" s="952"/>
      <c r="B2777" s="953"/>
      <c r="C2777" s="953"/>
      <c r="D2777" s="953"/>
      <c r="E2777" s="953"/>
      <c r="F2777" s="953"/>
      <c r="G2777" s="953"/>
      <c r="H2777" s="953"/>
    </row>
    <row r="2778" spans="1:8" s="943" customFormat="1" x14ac:dyDescent="0.25">
      <c r="A2778" s="952"/>
      <c r="B2778" s="953"/>
      <c r="C2778" s="953"/>
      <c r="D2778" s="953"/>
      <c r="E2778" s="953"/>
      <c r="F2778" s="953"/>
      <c r="G2778" s="953"/>
      <c r="H2778" s="953"/>
    </row>
    <row r="2779" spans="1:8" s="943" customFormat="1" x14ac:dyDescent="0.25">
      <c r="A2779" s="952"/>
      <c r="B2779" s="953"/>
      <c r="C2779" s="953"/>
      <c r="D2779" s="953"/>
      <c r="E2779" s="953"/>
      <c r="F2779" s="953"/>
      <c r="G2779" s="953"/>
      <c r="H2779" s="953"/>
    </row>
    <row r="2780" spans="1:8" s="943" customFormat="1" x14ac:dyDescent="0.25">
      <c r="A2780" s="952"/>
      <c r="B2780" s="953"/>
      <c r="C2780" s="953"/>
      <c r="D2780" s="953"/>
      <c r="E2780" s="953"/>
      <c r="F2780" s="953"/>
      <c r="G2780" s="953"/>
      <c r="H2780" s="953"/>
    </row>
    <row r="2781" spans="1:8" s="943" customFormat="1" x14ac:dyDescent="0.25">
      <c r="A2781" s="952"/>
      <c r="B2781" s="953"/>
      <c r="C2781" s="953"/>
      <c r="D2781" s="953"/>
      <c r="E2781" s="953"/>
      <c r="F2781" s="953"/>
      <c r="G2781" s="953"/>
      <c r="H2781" s="953"/>
    </row>
    <row r="2782" spans="1:8" s="943" customFormat="1" x14ac:dyDescent="0.25">
      <c r="A2782" s="952"/>
      <c r="B2782" s="953"/>
      <c r="C2782" s="953"/>
      <c r="D2782" s="953"/>
      <c r="E2782" s="953"/>
      <c r="F2782" s="953"/>
      <c r="G2782" s="953"/>
      <c r="H2782" s="953"/>
    </row>
    <row r="2783" spans="1:8" s="943" customFormat="1" x14ac:dyDescent="0.25">
      <c r="A2783" s="952"/>
      <c r="B2783" s="953"/>
      <c r="C2783" s="953"/>
      <c r="D2783" s="953"/>
      <c r="E2783" s="953"/>
      <c r="F2783" s="953"/>
      <c r="G2783" s="953"/>
      <c r="H2783" s="953"/>
    </row>
    <row r="2784" spans="1:8" s="943" customFormat="1" x14ac:dyDescent="0.25">
      <c r="A2784" s="952"/>
      <c r="B2784" s="953"/>
      <c r="C2784" s="953"/>
      <c r="D2784" s="953"/>
      <c r="E2784" s="953"/>
      <c r="F2784" s="953"/>
      <c r="G2784" s="953"/>
      <c r="H2784" s="953"/>
    </row>
    <row r="2785" spans="1:8" s="943" customFormat="1" x14ac:dyDescent="0.25">
      <c r="A2785" s="952"/>
      <c r="B2785" s="953"/>
      <c r="C2785" s="953"/>
      <c r="D2785" s="953"/>
      <c r="E2785" s="953"/>
      <c r="F2785" s="953"/>
      <c r="G2785" s="953"/>
      <c r="H2785" s="953"/>
    </row>
    <row r="2786" spans="1:8" s="943" customFormat="1" x14ac:dyDescent="0.25">
      <c r="A2786" s="952"/>
      <c r="B2786" s="953"/>
      <c r="C2786" s="953"/>
      <c r="D2786" s="953"/>
      <c r="E2786" s="953"/>
      <c r="F2786" s="953"/>
      <c r="G2786" s="953"/>
      <c r="H2786" s="953"/>
    </row>
    <row r="2787" spans="1:8" s="943" customFormat="1" x14ac:dyDescent="0.25">
      <c r="A2787" s="952"/>
      <c r="B2787" s="953"/>
      <c r="C2787" s="953"/>
      <c r="D2787" s="953"/>
      <c r="E2787" s="953"/>
      <c r="F2787" s="953"/>
      <c r="G2787" s="953"/>
      <c r="H2787" s="953"/>
    </row>
    <row r="2788" spans="1:8" s="943" customFormat="1" x14ac:dyDescent="0.25">
      <c r="A2788" s="952"/>
      <c r="B2788" s="953"/>
      <c r="C2788" s="953"/>
      <c r="D2788" s="953"/>
      <c r="E2788" s="953"/>
      <c r="F2788" s="953"/>
      <c r="G2788" s="953"/>
      <c r="H2788" s="953"/>
    </row>
    <row r="2789" spans="1:8" s="943" customFormat="1" x14ac:dyDescent="0.25">
      <c r="A2789" s="952"/>
      <c r="B2789" s="953"/>
      <c r="C2789" s="953"/>
      <c r="D2789" s="953"/>
      <c r="E2789" s="953"/>
      <c r="F2789" s="953"/>
      <c r="G2789" s="953"/>
      <c r="H2789" s="953"/>
    </row>
    <row r="2790" spans="1:8" s="943" customFormat="1" x14ac:dyDescent="0.25">
      <c r="A2790" s="952"/>
      <c r="B2790" s="953"/>
      <c r="C2790" s="953"/>
      <c r="D2790" s="953"/>
      <c r="E2790" s="953"/>
      <c r="F2790" s="953"/>
      <c r="G2790" s="953"/>
      <c r="H2790" s="953"/>
    </row>
    <row r="2791" spans="1:8" s="943" customFormat="1" x14ac:dyDescent="0.25">
      <c r="A2791" s="952"/>
      <c r="B2791" s="953"/>
      <c r="C2791" s="953"/>
      <c r="D2791" s="953"/>
      <c r="E2791" s="953"/>
      <c r="F2791" s="953"/>
      <c r="G2791" s="953"/>
      <c r="H2791" s="953"/>
    </row>
    <row r="2792" spans="1:8" s="943" customFormat="1" x14ac:dyDescent="0.25">
      <c r="A2792" s="952"/>
      <c r="B2792" s="953"/>
      <c r="C2792" s="953"/>
      <c r="D2792" s="953"/>
      <c r="E2792" s="953"/>
      <c r="F2792" s="953"/>
      <c r="G2792" s="953"/>
      <c r="H2792" s="953"/>
    </row>
    <row r="2793" spans="1:8" s="943" customFormat="1" x14ac:dyDescent="0.25">
      <c r="A2793" s="952"/>
      <c r="B2793" s="953"/>
      <c r="C2793" s="953"/>
      <c r="D2793" s="953"/>
      <c r="E2793" s="953"/>
      <c r="F2793" s="953"/>
      <c r="G2793" s="953"/>
      <c r="H2793" s="953"/>
    </row>
    <row r="2794" spans="1:8" s="943" customFormat="1" x14ac:dyDescent="0.25">
      <c r="A2794" s="952"/>
      <c r="B2794" s="953"/>
      <c r="C2794" s="953"/>
      <c r="D2794" s="953"/>
      <c r="E2794" s="953"/>
      <c r="F2794" s="953"/>
      <c r="G2794" s="953"/>
      <c r="H2794" s="953"/>
    </row>
    <row r="2795" spans="1:8" s="943" customFormat="1" x14ac:dyDescent="0.25">
      <c r="A2795" s="952"/>
      <c r="B2795" s="953"/>
      <c r="C2795" s="953"/>
      <c r="D2795" s="953"/>
      <c r="E2795" s="953"/>
      <c r="F2795" s="953"/>
      <c r="G2795" s="953"/>
      <c r="H2795" s="953"/>
    </row>
    <row r="2796" spans="1:8" s="943" customFormat="1" x14ac:dyDescent="0.25">
      <c r="A2796" s="952"/>
      <c r="B2796" s="953"/>
      <c r="C2796" s="953"/>
      <c r="D2796" s="953"/>
      <c r="E2796" s="953"/>
      <c r="F2796" s="953"/>
      <c r="G2796" s="953"/>
      <c r="H2796" s="953"/>
    </row>
    <row r="2797" spans="1:8" s="943" customFormat="1" x14ac:dyDescent="0.25">
      <c r="A2797" s="952"/>
      <c r="B2797" s="953"/>
      <c r="C2797" s="953"/>
      <c r="D2797" s="953"/>
      <c r="E2797" s="953"/>
      <c r="F2797" s="953"/>
      <c r="G2797" s="953"/>
      <c r="H2797" s="953"/>
    </row>
    <row r="2798" spans="1:8" s="943" customFormat="1" x14ac:dyDescent="0.25">
      <c r="A2798" s="952"/>
      <c r="B2798" s="953"/>
      <c r="C2798" s="953"/>
      <c r="D2798" s="953"/>
      <c r="E2798" s="953"/>
      <c r="F2798" s="953"/>
      <c r="G2798" s="953"/>
      <c r="H2798" s="953"/>
    </row>
    <row r="2799" spans="1:8" s="943" customFormat="1" x14ac:dyDescent="0.25">
      <c r="A2799" s="952"/>
      <c r="B2799" s="953"/>
      <c r="C2799" s="953"/>
      <c r="D2799" s="953"/>
      <c r="E2799" s="953"/>
      <c r="F2799" s="953"/>
      <c r="G2799" s="953"/>
      <c r="H2799" s="953"/>
    </row>
    <row r="2800" spans="1:8" s="943" customFormat="1" x14ac:dyDescent="0.25">
      <c r="A2800" s="952"/>
      <c r="B2800" s="953"/>
      <c r="C2800" s="953"/>
      <c r="D2800" s="953"/>
      <c r="E2800" s="953"/>
      <c r="F2800" s="953"/>
      <c r="G2800" s="953"/>
      <c r="H2800" s="953"/>
    </row>
    <row r="2801" spans="1:8" s="943" customFormat="1" x14ac:dyDescent="0.25">
      <c r="A2801" s="952"/>
      <c r="B2801" s="953"/>
      <c r="C2801" s="953"/>
      <c r="D2801" s="953"/>
      <c r="E2801" s="953"/>
      <c r="F2801" s="953"/>
      <c r="G2801" s="953"/>
      <c r="H2801" s="953"/>
    </row>
    <row r="2802" spans="1:8" s="943" customFormat="1" x14ac:dyDescent="0.25">
      <c r="A2802" s="952"/>
      <c r="B2802" s="953"/>
      <c r="C2802" s="953"/>
      <c r="D2802" s="953"/>
      <c r="E2802" s="953"/>
      <c r="F2802" s="953"/>
      <c r="G2802" s="953"/>
      <c r="H2802" s="953"/>
    </row>
    <row r="2803" spans="1:8" s="943" customFormat="1" x14ac:dyDescent="0.25">
      <c r="A2803" s="952"/>
      <c r="B2803" s="953"/>
      <c r="C2803" s="953"/>
      <c r="D2803" s="953"/>
      <c r="E2803" s="953"/>
      <c r="F2803" s="953"/>
      <c r="G2803" s="953"/>
      <c r="H2803" s="953"/>
    </row>
    <row r="2804" spans="1:8" s="943" customFormat="1" x14ac:dyDescent="0.25">
      <c r="A2804" s="952"/>
      <c r="B2804" s="953"/>
      <c r="C2804" s="953"/>
      <c r="D2804" s="953"/>
      <c r="E2804" s="953"/>
      <c r="F2804" s="953"/>
      <c r="G2804" s="953"/>
      <c r="H2804" s="953"/>
    </row>
    <row r="2805" spans="1:8" s="943" customFormat="1" x14ac:dyDescent="0.25">
      <c r="A2805" s="952"/>
      <c r="B2805" s="953"/>
      <c r="C2805" s="953"/>
      <c r="D2805" s="953"/>
      <c r="E2805" s="953"/>
      <c r="F2805" s="953"/>
      <c r="G2805" s="953"/>
      <c r="H2805" s="953"/>
    </row>
    <row r="2806" spans="1:8" s="943" customFormat="1" x14ac:dyDescent="0.25">
      <c r="A2806" s="952"/>
      <c r="B2806" s="953"/>
      <c r="C2806" s="953"/>
      <c r="D2806" s="953"/>
      <c r="E2806" s="953"/>
      <c r="F2806" s="953"/>
      <c r="G2806" s="953"/>
      <c r="H2806" s="953"/>
    </row>
    <row r="2807" spans="1:8" s="943" customFormat="1" x14ac:dyDescent="0.25">
      <c r="A2807" s="952"/>
      <c r="B2807" s="953"/>
      <c r="C2807" s="953"/>
      <c r="D2807" s="953"/>
      <c r="E2807" s="953"/>
      <c r="F2807" s="953"/>
      <c r="G2807" s="953"/>
      <c r="H2807" s="953"/>
    </row>
    <row r="2808" spans="1:8" s="943" customFormat="1" x14ac:dyDescent="0.25">
      <c r="A2808" s="952"/>
      <c r="B2808" s="953"/>
      <c r="C2808" s="953"/>
      <c r="D2808" s="953"/>
      <c r="E2808" s="953"/>
      <c r="F2808" s="953"/>
      <c r="G2808" s="953"/>
      <c r="H2808" s="953"/>
    </row>
    <row r="2809" spans="1:8" s="943" customFormat="1" x14ac:dyDescent="0.25">
      <c r="A2809" s="952"/>
      <c r="B2809" s="953"/>
      <c r="C2809" s="953"/>
      <c r="D2809" s="953"/>
      <c r="E2809" s="953"/>
      <c r="F2809" s="953"/>
      <c r="G2809" s="953"/>
      <c r="H2809" s="953"/>
    </row>
    <row r="2810" spans="1:8" s="943" customFormat="1" x14ac:dyDescent="0.25">
      <c r="A2810" s="952"/>
      <c r="B2810" s="953"/>
      <c r="C2810" s="953"/>
      <c r="D2810" s="953"/>
      <c r="E2810" s="953"/>
      <c r="F2810" s="953"/>
      <c r="G2810" s="953"/>
      <c r="H2810" s="953"/>
    </row>
    <row r="2811" spans="1:8" s="943" customFormat="1" x14ac:dyDescent="0.25">
      <c r="A2811" s="952"/>
      <c r="B2811" s="953"/>
      <c r="C2811" s="953"/>
      <c r="D2811" s="953"/>
      <c r="E2811" s="953"/>
      <c r="F2811" s="953"/>
      <c r="G2811" s="953"/>
      <c r="H2811" s="953"/>
    </row>
    <row r="2812" spans="1:8" s="943" customFormat="1" x14ac:dyDescent="0.25">
      <c r="A2812" s="952"/>
      <c r="B2812" s="953"/>
      <c r="C2812" s="953"/>
      <c r="D2812" s="953"/>
      <c r="E2812" s="953"/>
      <c r="F2812" s="953"/>
      <c r="G2812" s="953"/>
      <c r="H2812" s="953"/>
    </row>
    <row r="2813" spans="1:8" s="943" customFormat="1" x14ac:dyDescent="0.25">
      <c r="A2813" s="952"/>
      <c r="B2813" s="953"/>
      <c r="C2813" s="953"/>
      <c r="D2813" s="953"/>
      <c r="E2813" s="953"/>
      <c r="F2813" s="953"/>
      <c r="G2813" s="953"/>
      <c r="H2813" s="953"/>
    </row>
    <row r="2814" spans="1:8" s="943" customFormat="1" x14ac:dyDescent="0.25">
      <c r="A2814" s="952"/>
      <c r="B2814" s="953"/>
      <c r="C2814" s="953"/>
      <c r="D2814" s="953"/>
      <c r="E2814" s="953"/>
      <c r="F2814" s="953"/>
      <c r="G2814" s="953"/>
      <c r="H2814" s="953"/>
    </row>
    <row r="2815" spans="1:8" s="943" customFormat="1" x14ac:dyDescent="0.25">
      <c r="A2815" s="952"/>
      <c r="B2815" s="953"/>
      <c r="C2815" s="953"/>
      <c r="D2815" s="953"/>
      <c r="E2815" s="953"/>
      <c r="F2815" s="953"/>
      <c r="G2815" s="953"/>
      <c r="H2815" s="953"/>
    </row>
    <row r="2816" spans="1:8" s="943" customFormat="1" x14ac:dyDescent="0.25">
      <c r="A2816" s="952"/>
      <c r="B2816" s="953"/>
      <c r="C2816" s="953"/>
      <c r="D2816" s="953"/>
      <c r="E2816" s="953"/>
      <c r="F2816" s="953"/>
      <c r="G2816" s="953"/>
      <c r="H2816" s="953"/>
    </row>
    <row r="2817" spans="1:8" s="943" customFormat="1" x14ac:dyDescent="0.25">
      <c r="A2817" s="952"/>
      <c r="B2817" s="953"/>
      <c r="C2817" s="953"/>
      <c r="D2817" s="953"/>
      <c r="E2817" s="953"/>
      <c r="F2817" s="953"/>
      <c r="G2817" s="953"/>
      <c r="H2817" s="953"/>
    </row>
    <row r="2818" spans="1:8" s="943" customFormat="1" x14ac:dyDescent="0.25">
      <c r="A2818" s="952"/>
      <c r="B2818" s="953"/>
      <c r="C2818" s="953"/>
      <c r="D2818" s="953"/>
      <c r="E2818" s="953"/>
      <c r="F2818" s="953"/>
      <c r="G2818" s="953"/>
      <c r="H2818" s="953"/>
    </row>
    <row r="2819" spans="1:8" s="943" customFormat="1" x14ac:dyDescent="0.25">
      <c r="A2819" s="952"/>
      <c r="B2819" s="953"/>
      <c r="C2819" s="953"/>
      <c r="D2819" s="953"/>
      <c r="E2819" s="953"/>
      <c r="F2819" s="953"/>
      <c r="G2819" s="953"/>
      <c r="H2819" s="953"/>
    </row>
    <row r="2820" spans="1:8" s="943" customFormat="1" x14ac:dyDescent="0.25">
      <c r="A2820" s="952"/>
      <c r="B2820" s="953"/>
      <c r="C2820" s="953"/>
      <c r="D2820" s="953"/>
      <c r="E2820" s="953"/>
      <c r="F2820" s="953"/>
      <c r="G2820" s="953"/>
      <c r="H2820" s="953"/>
    </row>
    <row r="2821" spans="1:8" s="943" customFormat="1" x14ac:dyDescent="0.25">
      <c r="A2821" s="952"/>
      <c r="B2821" s="953"/>
      <c r="C2821" s="953"/>
      <c r="D2821" s="953"/>
      <c r="E2821" s="953"/>
      <c r="F2821" s="953"/>
      <c r="G2821" s="953"/>
      <c r="H2821" s="953"/>
    </row>
    <row r="2822" spans="1:8" s="943" customFormat="1" x14ac:dyDescent="0.25">
      <c r="A2822" s="952"/>
      <c r="B2822" s="953"/>
      <c r="C2822" s="953"/>
      <c r="D2822" s="953"/>
      <c r="E2822" s="953"/>
      <c r="F2822" s="953"/>
      <c r="G2822" s="953"/>
      <c r="H2822" s="953"/>
    </row>
    <row r="2823" spans="1:8" s="943" customFormat="1" x14ac:dyDescent="0.25">
      <c r="A2823" s="952"/>
      <c r="B2823" s="953"/>
      <c r="C2823" s="953"/>
      <c r="D2823" s="953"/>
      <c r="E2823" s="953"/>
      <c r="F2823" s="953"/>
      <c r="G2823" s="953"/>
      <c r="H2823" s="953"/>
    </row>
    <row r="2824" spans="1:8" s="943" customFormat="1" x14ac:dyDescent="0.25">
      <c r="A2824" s="952"/>
      <c r="B2824" s="953"/>
      <c r="C2824" s="953"/>
      <c r="D2824" s="953"/>
      <c r="E2824" s="953"/>
      <c r="F2824" s="953"/>
      <c r="G2824" s="953"/>
      <c r="H2824" s="953"/>
    </row>
    <row r="2825" spans="1:8" s="943" customFormat="1" x14ac:dyDescent="0.25">
      <c r="A2825" s="952"/>
      <c r="B2825" s="953"/>
      <c r="C2825" s="953"/>
      <c r="D2825" s="953"/>
      <c r="E2825" s="953"/>
      <c r="F2825" s="953"/>
      <c r="G2825" s="953"/>
      <c r="H2825" s="953"/>
    </row>
    <row r="2826" spans="1:8" s="943" customFormat="1" x14ac:dyDescent="0.25">
      <c r="A2826" s="952"/>
      <c r="B2826" s="953"/>
      <c r="C2826" s="953"/>
      <c r="D2826" s="953"/>
      <c r="E2826" s="953"/>
      <c r="F2826" s="953"/>
      <c r="G2826" s="953"/>
      <c r="H2826" s="953"/>
    </row>
    <row r="2827" spans="1:8" s="943" customFormat="1" x14ac:dyDescent="0.25">
      <c r="A2827" s="952"/>
      <c r="B2827" s="953"/>
      <c r="C2827" s="953"/>
      <c r="D2827" s="953"/>
      <c r="E2827" s="953"/>
      <c r="F2827" s="953"/>
      <c r="G2827" s="953"/>
      <c r="H2827" s="953"/>
    </row>
    <row r="2828" spans="1:8" s="943" customFormat="1" x14ac:dyDescent="0.25">
      <c r="A2828" s="952"/>
      <c r="B2828" s="953"/>
      <c r="C2828" s="953"/>
      <c r="D2828" s="953"/>
      <c r="E2828" s="953"/>
      <c r="F2828" s="953"/>
      <c r="G2828" s="953"/>
      <c r="H2828" s="953"/>
    </row>
    <row r="2829" spans="1:8" s="943" customFormat="1" x14ac:dyDescent="0.25">
      <c r="A2829" s="952"/>
      <c r="B2829" s="953"/>
      <c r="C2829" s="953"/>
      <c r="D2829" s="953"/>
      <c r="E2829" s="953"/>
      <c r="F2829" s="953"/>
      <c r="G2829" s="953"/>
      <c r="H2829" s="953"/>
    </row>
    <row r="2830" spans="1:8" s="943" customFormat="1" x14ac:dyDescent="0.25">
      <c r="A2830" s="952"/>
      <c r="B2830" s="953"/>
      <c r="C2830" s="953"/>
      <c r="D2830" s="953"/>
      <c r="E2830" s="953"/>
      <c r="F2830" s="953"/>
      <c r="G2830" s="953"/>
      <c r="H2830" s="953"/>
    </row>
    <row r="2831" spans="1:8" s="943" customFormat="1" x14ac:dyDescent="0.25">
      <c r="A2831" s="952"/>
      <c r="B2831" s="953"/>
      <c r="C2831" s="953"/>
      <c r="D2831" s="953"/>
      <c r="E2831" s="953"/>
      <c r="F2831" s="953"/>
      <c r="G2831" s="953"/>
      <c r="H2831" s="953"/>
    </row>
    <row r="2832" spans="1:8" s="943" customFormat="1" x14ac:dyDescent="0.25">
      <c r="A2832" s="952"/>
      <c r="B2832" s="953"/>
      <c r="C2832" s="953"/>
      <c r="D2832" s="953"/>
      <c r="E2832" s="953"/>
      <c r="F2832" s="953"/>
      <c r="G2832" s="953"/>
      <c r="H2832" s="953"/>
    </row>
    <row r="2833" spans="1:8" s="943" customFormat="1" x14ac:dyDescent="0.25">
      <c r="A2833" s="952"/>
      <c r="B2833" s="953"/>
      <c r="C2833" s="953"/>
      <c r="D2833" s="953"/>
      <c r="E2833" s="953"/>
      <c r="F2833" s="953"/>
      <c r="G2833" s="953"/>
      <c r="H2833" s="953"/>
    </row>
    <row r="2834" spans="1:8" s="943" customFormat="1" x14ac:dyDescent="0.25">
      <c r="A2834" s="952"/>
      <c r="B2834" s="953"/>
      <c r="C2834" s="953"/>
      <c r="D2834" s="953"/>
      <c r="E2834" s="953"/>
      <c r="F2834" s="953"/>
      <c r="G2834" s="953"/>
      <c r="H2834" s="953"/>
    </row>
    <row r="2835" spans="1:8" s="943" customFormat="1" x14ac:dyDescent="0.25">
      <c r="A2835" s="952"/>
      <c r="B2835" s="953"/>
      <c r="C2835" s="953"/>
      <c r="D2835" s="953"/>
      <c r="E2835" s="953"/>
      <c r="F2835" s="953"/>
      <c r="G2835" s="953"/>
      <c r="H2835" s="953"/>
    </row>
    <row r="2836" spans="1:8" s="943" customFormat="1" x14ac:dyDescent="0.25">
      <c r="A2836" s="952"/>
      <c r="B2836" s="953"/>
      <c r="C2836" s="953"/>
      <c r="D2836" s="953"/>
      <c r="E2836" s="953"/>
      <c r="F2836" s="953"/>
      <c r="G2836" s="953"/>
      <c r="H2836" s="953"/>
    </row>
    <row r="2837" spans="1:8" s="943" customFormat="1" x14ac:dyDescent="0.25">
      <c r="A2837" s="952"/>
      <c r="B2837" s="953"/>
      <c r="C2837" s="953"/>
      <c r="D2837" s="953"/>
      <c r="E2837" s="953"/>
      <c r="F2837" s="953"/>
      <c r="G2837" s="953"/>
      <c r="H2837" s="953"/>
    </row>
    <row r="2838" spans="1:8" s="943" customFormat="1" x14ac:dyDescent="0.25">
      <c r="A2838" s="952"/>
      <c r="B2838" s="953"/>
      <c r="C2838" s="953"/>
      <c r="D2838" s="953"/>
      <c r="E2838" s="953"/>
      <c r="F2838" s="953"/>
      <c r="G2838" s="953"/>
      <c r="H2838" s="953"/>
    </row>
    <row r="2839" spans="1:8" s="943" customFormat="1" x14ac:dyDescent="0.25">
      <c r="A2839" s="952"/>
      <c r="B2839" s="953"/>
      <c r="C2839" s="953"/>
      <c r="D2839" s="953"/>
      <c r="E2839" s="953"/>
      <c r="F2839" s="953"/>
      <c r="G2839" s="953"/>
      <c r="H2839" s="953"/>
    </row>
    <row r="2840" spans="1:8" s="943" customFormat="1" x14ac:dyDescent="0.25">
      <c r="A2840" s="952"/>
      <c r="B2840" s="953"/>
      <c r="C2840" s="953"/>
      <c r="D2840" s="953"/>
      <c r="E2840" s="953"/>
      <c r="F2840" s="953"/>
      <c r="G2840" s="953"/>
      <c r="H2840" s="953"/>
    </row>
    <row r="2841" spans="1:8" s="943" customFormat="1" x14ac:dyDescent="0.25">
      <c r="A2841" s="952"/>
      <c r="B2841" s="953"/>
      <c r="C2841" s="953"/>
      <c r="D2841" s="953"/>
      <c r="E2841" s="953"/>
      <c r="F2841" s="953"/>
      <c r="G2841" s="953"/>
      <c r="H2841" s="953"/>
    </row>
    <row r="2842" spans="1:8" s="943" customFormat="1" x14ac:dyDescent="0.25">
      <c r="A2842" s="952"/>
      <c r="B2842" s="953"/>
      <c r="C2842" s="953"/>
      <c r="D2842" s="953"/>
      <c r="E2842" s="953"/>
      <c r="F2842" s="953"/>
      <c r="G2842" s="953"/>
      <c r="H2842" s="953"/>
    </row>
    <row r="2843" spans="1:8" s="943" customFormat="1" x14ac:dyDescent="0.25">
      <c r="A2843" s="952"/>
      <c r="B2843" s="953"/>
      <c r="C2843" s="953"/>
      <c r="D2843" s="953"/>
      <c r="E2843" s="953"/>
      <c r="F2843" s="953"/>
      <c r="G2843" s="953"/>
      <c r="H2843" s="953"/>
    </row>
    <row r="2844" spans="1:8" s="943" customFormat="1" x14ac:dyDescent="0.25">
      <c r="A2844" s="952"/>
      <c r="B2844" s="953"/>
      <c r="C2844" s="953"/>
      <c r="D2844" s="953"/>
      <c r="E2844" s="953"/>
      <c r="F2844" s="953"/>
      <c r="G2844" s="953"/>
      <c r="H2844" s="953"/>
    </row>
    <row r="2845" spans="1:8" s="943" customFormat="1" x14ac:dyDescent="0.25">
      <c r="A2845" s="952"/>
      <c r="B2845" s="953"/>
      <c r="C2845" s="953"/>
      <c r="D2845" s="953"/>
      <c r="E2845" s="953"/>
      <c r="F2845" s="953"/>
      <c r="G2845" s="953"/>
      <c r="H2845" s="953"/>
    </row>
    <row r="2846" spans="1:8" s="943" customFormat="1" x14ac:dyDescent="0.25">
      <c r="A2846" s="952"/>
      <c r="B2846" s="953"/>
      <c r="C2846" s="953"/>
      <c r="D2846" s="953"/>
      <c r="E2846" s="953"/>
      <c r="F2846" s="953"/>
      <c r="G2846" s="953"/>
      <c r="H2846" s="953"/>
    </row>
    <row r="2847" spans="1:8" s="943" customFormat="1" x14ac:dyDescent="0.25">
      <c r="A2847" s="952"/>
      <c r="B2847" s="953"/>
      <c r="C2847" s="953"/>
      <c r="D2847" s="953"/>
      <c r="E2847" s="953"/>
      <c r="F2847" s="953"/>
      <c r="G2847" s="953"/>
      <c r="H2847" s="953"/>
    </row>
    <row r="2848" spans="1:8" s="943" customFormat="1" x14ac:dyDescent="0.25">
      <c r="A2848" s="952"/>
      <c r="B2848" s="953"/>
      <c r="C2848" s="953"/>
      <c r="D2848" s="953"/>
      <c r="E2848" s="953"/>
      <c r="F2848" s="953"/>
      <c r="G2848" s="953"/>
      <c r="H2848" s="953"/>
    </row>
    <row r="2849" spans="1:8" s="943" customFormat="1" x14ac:dyDescent="0.25">
      <c r="A2849" s="952"/>
      <c r="B2849" s="953"/>
      <c r="C2849" s="953"/>
      <c r="D2849" s="953"/>
      <c r="E2849" s="953"/>
      <c r="F2849" s="953"/>
      <c r="G2849" s="953"/>
      <c r="H2849" s="953"/>
    </row>
    <row r="2850" spans="1:8" s="943" customFormat="1" x14ac:dyDescent="0.25">
      <c r="A2850" s="952"/>
      <c r="B2850" s="953"/>
      <c r="C2850" s="953"/>
      <c r="D2850" s="953"/>
      <c r="E2850" s="953"/>
      <c r="F2850" s="953"/>
      <c r="G2850" s="953"/>
      <c r="H2850" s="953"/>
    </row>
    <row r="2851" spans="1:8" s="943" customFormat="1" x14ac:dyDescent="0.25">
      <c r="A2851" s="952"/>
      <c r="B2851" s="953"/>
      <c r="C2851" s="953"/>
      <c r="D2851" s="953"/>
      <c r="E2851" s="953"/>
      <c r="F2851" s="953"/>
      <c r="G2851" s="953"/>
      <c r="H2851" s="953"/>
    </row>
    <row r="2852" spans="1:8" s="943" customFormat="1" x14ac:dyDescent="0.25">
      <c r="A2852" s="952"/>
      <c r="B2852" s="953"/>
      <c r="C2852" s="953"/>
      <c r="D2852" s="953"/>
      <c r="E2852" s="953"/>
      <c r="F2852" s="953"/>
      <c r="G2852" s="953"/>
      <c r="H2852" s="953"/>
    </row>
    <row r="2853" spans="1:8" s="943" customFormat="1" x14ac:dyDescent="0.25">
      <c r="A2853" s="952"/>
      <c r="B2853" s="953"/>
      <c r="C2853" s="953"/>
      <c r="D2853" s="953"/>
      <c r="E2853" s="953"/>
      <c r="F2853" s="953"/>
      <c r="G2853" s="953"/>
      <c r="H2853" s="953"/>
    </row>
    <row r="2854" spans="1:8" s="943" customFormat="1" x14ac:dyDescent="0.25">
      <c r="A2854" s="952"/>
      <c r="B2854" s="953"/>
      <c r="C2854" s="953"/>
      <c r="D2854" s="953"/>
      <c r="E2854" s="953"/>
      <c r="F2854" s="953"/>
      <c r="G2854" s="953"/>
      <c r="H2854" s="953"/>
    </row>
    <row r="2855" spans="1:8" s="943" customFormat="1" x14ac:dyDescent="0.25">
      <c r="A2855" s="952"/>
      <c r="B2855" s="953"/>
      <c r="C2855" s="953"/>
      <c r="D2855" s="953"/>
      <c r="E2855" s="953"/>
      <c r="F2855" s="953"/>
      <c r="G2855" s="953"/>
      <c r="H2855" s="953"/>
    </row>
    <row r="2856" spans="1:8" s="943" customFormat="1" x14ac:dyDescent="0.25">
      <c r="A2856" s="952"/>
      <c r="B2856" s="953"/>
      <c r="C2856" s="953"/>
      <c r="D2856" s="953"/>
      <c r="E2856" s="953"/>
      <c r="F2856" s="953"/>
      <c r="G2856" s="953"/>
      <c r="H2856" s="953"/>
    </row>
    <row r="2857" spans="1:8" s="943" customFormat="1" x14ac:dyDescent="0.25">
      <c r="A2857" s="952"/>
      <c r="B2857" s="953"/>
      <c r="C2857" s="953"/>
      <c r="D2857" s="953"/>
      <c r="E2857" s="953"/>
      <c r="F2857" s="953"/>
      <c r="G2857" s="953"/>
      <c r="H2857" s="953"/>
    </row>
    <row r="2858" spans="1:8" s="943" customFormat="1" x14ac:dyDescent="0.25">
      <c r="A2858" s="952"/>
      <c r="B2858" s="953"/>
      <c r="C2858" s="953"/>
      <c r="D2858" s="953"/>
      <c r="E2858" s="953"/>
      <c r="F2858" s="953"/>
      <c r="G2858" s="953"/>
      <c r="H2858" s="953"/>
    </row>
    <row r="2859" spans="1:8" s="943" customFormat="1" x14ac:dyDescent="0.25">
      <c r="A2859" s="952"/>
      <c r="B2859" s="953"/>
      <c r="C2859" s="953"/>
      <c r="D2859" s="953"/>
      <c r="E2859" s="953"/>
      <c r="F2859" s="953"/>
      <c r="G2859" s="953"/>
      <c r="H2859" s="953"/>
    </row>
    <row r="2860" spans="1:8" s="943" customFormat="1" x14ac:dyDescent="0.25">
      <c r="A2860" s="952"/>
      <c r="B2860" s="953"/>
      <c r="C2860" s="953"/>
      <c r="D2860" s="953"/>
      <c r="E2860" s="953"/>
      <c r="F2860" s="953"/>
      <c r="G2860" s="953"/>
      <c r="H2860" s="953"/>
    </row>
    <row r="2861" spans="1:8" s="943" customFormat="1" x14ac:dyDescent="0.25">
      <c r="A2861" s="952"/>
      <c r="B2861" s="953"/>
      <c r="C2861" s="953"/>
      <c r="D2861" s="953"/>
      <c r="E2861" s="953"/>
      <c r="F2861" s="953"/>
      <c r="G2861" s="953"/>
      <c r="H2861" s="953"/>
    </row>
    <row r="2862" spans="1:8" s="943" customFormat="1" x14ac:dyDescent="0.25">
      <c r="A2862" s="952"/>
      <c r="B2862" s="953"/>
      <c r="C2862" s="953"/>
      <c r="D2862" s="953"/>
      <c r="E2862" s="953"/>
      <c r="F2862" s="953"/>
      <c r="G2862" s="953"/>
      <c r="H2862" s="953"/>
    </row>
    <row r="2863" spans="1:8" s="943" customFormat="1" x14ac:dyDescent="0.25">
      <c r="A2863" s="952"/>
      <c r="B2863" s="953"/>
      <c r="C2863" s="953"/>
      <c r="D2863" s="953"/>
      <c r="E2863" s="953"/>
      <c r="F2863" s="953"/>
      <c r="G2863" s="953"/>
      <c r="H2863" s="953"/>
    </row>
    <row r="2864" spans="1:8" s="943" customFormat="1" x14ac:dyDescent="0.25">
      <c r="A2864" s="952"/>
      <c r="B2864" s="953"/>
      <c r="C2864" s="953"/>
      <c r="D2864" s="953"/>
      <c r="E2864" s="953"/>
      <c r="F2864" s="953"/>
      <c r="G2864" s="953"/>
      <c r="H2864" s="953"/>
    </row>
    <row r="2865" spans="1:8" s="943" customFormat="1" x14ac:dyDescent="0.25">
      <c r="A2865" s="952"/>
      <c r="B2865" s="953"/>
      <c r="C2865" s="953"/>
      <c r="D2865" s="953"/>
      <c r="E2865" s="953"/>
      <c r="F2865" s="953"/>
      <c r="G2865" s="953"/>
      <c r="H2865" s="953"/>
    </row>
    <row r="2866" spans="1:8" s="943" customFormat="1" x14ac:dyDescent="0.25">
      <c r="A2866" s="952"/>
      <c r="B2866" s="953"/>
      <c r="C2866" s="953"/>
      <c r="D2866" s="953"/>
      <c r="E2866" s="953"/>
      <c r="F2866" s="953"/>
      <c r="G2866" s="953"/>
      <c r="H2866" s="953"/>
    </row>
    <row r="2867" spans="1:8" s="943" customFormat="1" x14ac:dyDescent="0.25">
      <c r="A2867" s="952"/>
      <c r="B2867" s="953"/>
      <c r="C2867" s="953"/>
      <c r="D2867" s="953"/>
      <c r="E2867" s="953"/>
      <c r="F2867" s="953"/>
      <c r="G2867" s="953"/>
      <c r="H2867" s="953"/>
    </row>
    <row r="2868" spans="1:8" s="943" customFormat="1" x14ac:dyDescent="0.25">
      <c r="A2868" s="952"/>
      <c r="B2868" s="953"/>
      <c r="C2868" s="953"/>
      <c r="D2868" s="953"/>
      <c r="E2868" s="953"/>
      <c r="F2868" s="953"/>
      <c r="G2868" s="953"/>
      <c r="H2868" s="953"/>
    </row>
    <row r="2869" spans="1:8" s="943" customFormat="1" x14ac:dyDescent="0.25">
      <c r="A2869" s="952"/>
      <c r="B2869" s="953"/>
      <c r="C2869" s="953"/>
      <c r="D2869" s="953"/>
      <c r="E2869" s="953"/>
      <c r="F2869" s="953"/>
      <c r="G2869" s="953"/>
      <c r="H2869" s="953"/>
    </row>
    <row r="2870" spans="1:8" s="943" customFormat="1" x14ac:dyDescent="0.25">
      <c r="A2870" s="952"/>
      <c r="B2870" s="953"/>
      <c r="C2870" s="953"/>
      <c r="D2870" s="953"/>
      <c r="E2870" s="953"/>
      <c r="F2870" s="953"/>
      <c r="G2870" s="953"/>
      <c r="H2870" s="953"/>
    </row>
    <row r="2871" spans="1:8" s="943" customFormat="1" x14ac:dyDescent="0.25">
      <c r="A2871" s="952"/>
      <c r="B2871" s="953"/>
      <c r="C2871" s="953"/>
      <c r="D2871" s="953"/>
      <c r="E2871" s="953"/>
      <c r="F2871" s="953"/>
      <c r="G2871" s="953"/>
      <c r="H2871" s="953"/>
    </row>
    <row r="2872" spans="1:8" s="943" customFormat="1" x14ac:dyDescent="0.25">
      <c r="A2872" s="952"/>
      <c r="B2872" s="953"/>
      <c r="C2872" s="953"/>
      <c r="D2872" s="953"/>
      <c r="E2872" s="953"/>
      <c r="F2872" s="953"/>
      <c r="G2872" s="953"/>
      <c r="H2872" s="953"/>
    </row>
    <row r="2873" spans="1:8" s="943" customFormat="1" x14ac:dyDescent="0.25">
      <c r="A2873" s="952"/>
      <c r="B2873" s="953"/>
      <c r="C2873" s="953"/>
      <c r="D2873" s="953"/>
      <c r="E2873" s="953"/>
      <c r="F2873" s="953"/>
      <c r="G2873" s="953"/>
      <c r="H2873" s="953"/>
    </row>
    <row r="2874" spans="1:8" s="943" customFormat="1" x14ac:dyDescent="0.25">
      <c r="A2874" s="952"/>
      <c r="B2874" s="953"/>
      <c r="C2874" s="953"/>
      <c r="D2874" s="953"/>
      <c r="E2874" s="953"/>
      <c r="F2874" s="953"/>
      <c r="G2874" s="953"/>
      <c r="H2874" s="953"/>
    </row>
    <row r="2875" spans="1:8" s="943" customFormat="1" x14ac:dyDescent="0.25">
      <c r="A2875" s="952"/>
      <c r="B2875" s="953"/>
      <c r="C2875" s="953"/>
      <c r="D2875" s="953"/>
      <c r="E2875" s="953"/>
      <c r="F2875" s="953"/>
      <c r="G2875" s="953"/>
      <c r="H2875" s="953"/>
    </row>
    <row r="2876" spans="1:8" s="943" customFormat="1" x14ac:dyDescent="0.25">
      <c r="A2876" s="952"/>
      <c r="B2876" s="953"/>
      <c r="C2876" s="953"/>
      <c r="D2876" s="953"/>
      <c r="E2876" s="953"/>
      <c r="F2876" s="953"/>
      <c r="G2876" s="953"/>
      <c r="H2876" s="953"/>
    </row>
    <row r="2877" spans="1:8" s="943" customFormat="1" x14ac:dyDescent="0.25">
      <c r="A2877" s="952"/>
      <c r="B2877" s="953"/>
      <c r="C2877" s="953"/>
      <c r="D2877" s="953"/>
      <c r="E2877" s="953"/>
      <c r="F2877" s="953"/>
      <c r="G2877" s="953"/>
      <c r="H2877" s="953"/>
    </row>
    <row r="2878" spans="1:8" s="943" customFormat="1" x14ac:dyDescent="0.25">
      <c r="A2878" s="952"/>
      <c r="B2878" s="953"/>
      <c r="C2878" s="953"/>
      <c r="D2878" s="953"/>
      <c r="E2878" s="953"/>
      <c r="F2878" s="953"/>
      <c r="G2878" s="953"/>
      <c r="H2878" s="953"/>
    </row>
    <row r="2879" spans="1:8" s="943" customFormat="1" x14ac:dyDescent="0.25">
      <c r="A2879" s="952"/>
      <c r="B2879" s="953"/>
      <c r="C2879" s="953"/>
      <c r="D2879" s="953"/>
      <c r="E2879" s="953"/>
      <c r="F2879" s="953"/>
      <c r="G2879" s="953"/>
      <c r="H2879" s="953"/>
    </row>
    <row r="2880" spans="1:8" s="943" customFormat="1" x14ac:dyDescent="0.25">
      <c r="A2880" s="952"/>
      <c r="B2880" s="953"/>
      <c r="C2880" s="953"/>
      <c r="D2880" s="953"/>
      <c r="E2880" s="953"/>
      <c r="F2880" s="953"/>
      <c r="G2880" s="953"/>
      <c r="H2880" s="953"/>
    </row>
    <row r="2881" spans="1:8" s="943" customFormat="1" x14ac:dyDescent="0.25">
      <c r="A2881" s="952"/>
      <c r="B2881" s="953"/>
      <c r="C2881" s="953"/>
      <c r="D2881" s="953"/>
      <c r="E2881" s="953"/>
      <c r="F2881" s="953"/>
      <c r="G2881" s="953"/>
      <c r="H2881" s="953"/>
    </row>
    <row r="2882" spans="1:8" s="943" customFormat="1" x14ac:dyDescent="0.25">
      <c r="A2882" s="952"/>
      <c r="B2882" s="953"/>
      <c r="C2882" s="953"/>
      <c r="D2882" s="953"/>
      <c r="E2882" s="953"/>
      <c r="F2882" s="953"/>
      <c r="G2882" s="953"/>
      <c r="H2882" s="953"/>
    </row>
    <row r="2883" spans="1:8" s="943" customFormat="1" x14ac:dyDescent="0.25">
      <c r="A2883" s="952"/>
      <c r="B2883" s="953"/>
      <c r="C2883" s="953"/>
      <c r="D2883" s="953"/>
      <c r="E2883" s="953"/>
      <c r="F2883" s="953"/>
      <c r="G2883" s="953"/>
      <c r="H2883" s="953"/>
    </row>
    <row r="2884" spans="1:8" s="943" customFormat="1" x14ac:dyDescent="0.25">
      <c r="A2884" s="952"/>
      <c r="B2884" s="953"/>
      <c r="C2884" s="953"/>
      <c r="D2884" s="953"/>
      <c r="E2884" s="953"/>
      <c r="F2884" s="953"/>
      <c r="G2884" s="953"/>
      <c r="H2884" s="953"/>
    </row>
    <row r="2885" spans="1:8" s="943" customFormat="1" x14ac:dyDescent="0.25">
      <c r="A2885" s="952"/>
      <c r="B2885" s="953"/>
      <c r="C2885" s="953"/>
      <c r="D2885" s="953"/>
      <c r="E2885" s="953"/>
      <c r="F2885" s="953"/>
      <c r="G2885" s="953"/>
      <c r="H2885" s="953"/>
    </row>
    <row r="2886" spans="1:8" s="943" customFormat="1" x14ac:dyDescent="0.25">
      <c r="A2886" s="952"/>
      <c r="B2886" s="953"/>
      <c r="C2886" s="953"/>
      <c r="D2886" s="953"/>
      <c r="E2886" s="953"/>
      <c r="F2886" s="953"/>
      <c r="G2886" s="953"/>
      <c r="H2886" s="953"/>
    </row>
    <row r="2887" spans="1:8" s="943" customFormat="1" x14ac:dyDescent="0.25">
      <c r="A2887" s="952"/>
      <c r="B2887" s="953"/>
      <c r="C2887" s="953"/>
      <c r="D2887" s="953"/>
      <c r="E2887" s="953"/>
      <c r="F2887" s="953"/>
      <c r="G2887" s="953"/>
      <c r="H2887" s="953"/>
    </row>
    <row r="2888" spans="1:8" s="943" customFormat="1" x14ac:dyDescent="0.25">
      <c r="A2888" s="952"/>
      <c r="B2888" s="953"/>
      <c r="C2888" s="953"/>
      <c r="D2888" s="953"/>
      <c r="E2888" s="953"/>
      <c r="F2888" s="953"/>
      <c r="G2888" s="953"/>
      <c r="H2888" s="953"/>
    </row>
    <row r="2889" spans="1:8" s="943" customFormat="1" x14ac:dyDescent="0.25">
      <c r="A2889" s="952"/>
      <c r="B2889" s="953"/>
      <c r="C2889" s="953"/>
      <c r="D2889" s="953"/>
      <c r="E2889" s="953"/>
      <c r="F2889" s="953"/>
      <c r="G2889" s="953"/>
      <c r="H2889" s="953"/>
    </row>
    <row r="2890" spans="1:8" s="943" customFormat="1" x14ac:dyDescent="0.25">
      <c r="A2890" s="952"/>
      <c r="B2890" s="953"/>
      <c r="C2890" s="953"/>
      <c r="D2890" s="953"/>
      <c r="E2890" s="953"/>
      <c r="F2890" s="953"/>
      <c r="G2890" s="953"/>
      <c r="H2890" s="953"/>
    </row>
    <row r="2891" spans="1:8" s="943" customFormat="1" x14ac:dyDescent="0.25">
      <c r="A2891" s="952"/>
      <c r="B2891" s="953"/>
      <c r="C2891" s="953"/>
      <c r="D2891" s="953"/>
      <c r="E2891" s="953"/>
      <c r="F2891" s="953"/>
      <c r="G2891" s="953"/>
      <c r="H2891" s="953"/>
    </row>
    <row r="2892" spans="1:8" s="943" customFormat="1" x14ac:dyDescent="0.25">
      <c r="A2892" s="952"/>
      <c r="B2892" s="953"/>
      <c r="C2892" s="953"/>
      <c r="D2892" s="953"/>
      <c r="E2892" s="953"/>
      <c r="F2892" s="953"/>
      <c r="G2892" s="953"/>
      <c r="H2892" s="953"/>
    </row>
    <row r="2893" spans="1:8" s="943" customFormat="1" x14ac:dyDescent="0.25">
      <c r="A2893" s="952"/>
      <c r="B2893" s="953"/>
      <c r="C2893" s="953"/>
      <c r="D2893" s="953"/>
      <c r="E2893" s="953"/>
      <c r="F2893" s="953"/>
      <c r="G2893" s="953"/>
      <c r="H2893" s="953"/>
    </row>
    <row r="2894" spans="1:8" s="943" customFormat="1" x14ac:dyDescent="0.25">
      <c r="A2894" s="952"/>
      <c r="B2894" s="953"/>
      <c r="C2894" s="953"/>
      <c r="D2894" s="953"/>
      <c r="E2894" s="953"/>
      <c r="F2894" s="953"/>
      <c r="G2894" s="953"/>
      <c r="H2894" s="953"/>
    </row>
    <row r="2895" spans="1:8" s="943" customFormat="1" x14ac:dyDescent="0.25">
      <c r="A2895" s="952"/>
      <c r="B2895" s="953"/>
      <c r="C2895" s="953"/>
      <c r="D2895" s="953"/>
      <c r="E2895" s="953"/>
      <c r="F2895" s="953"/>
      <c r="G2895" s="953"/>
      <c r="H2895" s="953"/>
    </row>
    <row r="2896" spans="1:8" s="943" customFormat="1" x14ac:dyDescent="0.25">
      <c r="A2896" s="952"/>
      <c r="B2896" s="953"/>
      <c r="C2896" s="953"/>
      <c r="D2896" s="953"/>
      <c r="E2896" s="953"/>
      <c r="F2896" s="953"/>
      <c r="G2896" s="953"/>
      <c r="H2896" s="953"/>
    </row>
    <row r="2897" spans="1:8" s="943" customFormat="1" x14ac:dyDescent="0.25">
      <c r="A2897" s="952"/>
      <c r="B2897" s="953"/>
      <c r="C2897" s="953"/>
      <c r="D2897" s="953"/>
      <c r="E2897" s="953"/>
      <c r="F2897" s="953"/>
      <c r="G2897" s="953"/>
      <c r="H2897" s="953"/>
    </row>
    <row r="2898" spans="1:8" s="943" customFormat="1" x14ac:dyDescent="0.25">
      <c r="A2898" s="952"/>
      <c r="B2898" s="953"/>
      <c r="C2898" s="953"/>
      <c r="D2898" s="953"/>
      <c r="E2898" s="953"/>
      <c r="F2898" s="953"/>
      <c r="G2898" s="953"/>
      <c r="H2898" s="953"/>
    </row>
    <row r="2899" spans="1:8" s="943" customFormat="1" x14ac:dyDescent="0.25">
      <c r="A2899" s="952"/>
      <c r="B2899" s="953"/>
      <c r="C2899" s="953"/>
      <c r="D2899" s="953"/>
      <c r="E2899" s="953"/>
      <c r="F2899" s="953"/>
      <c r="G2899" s="953"/>
      <c r="H2899" s="953"/>
    </row>
    <row r="2900" spans="1:8" s="943" customFormat="1" x14ac:dyDescent="0.25">
      <c r="A2900" s="952"/>
      <c r="B2900" s="953"/>
      <c r="C2900" s="953"/>
      <c r="D2900" s="953"/>
      <c r="E2900" s="953"/>
      <c r="F2900" s="953"/>
      <c r="G2900" s="953"/>
      <c r="H2900" s="953"/>
    </row>
    <row r="2901" spans="1:8" s="943" customFormat="1" x14ac:dyDescent="0.25">
      <c r="A2901" s="952"/>
      <c r="B2901" s="953"/>
      <c r="C2901" s="953"/>
      <c r="D2901" s="953"/>
      <c r="E2901" s="953"/>
      <c r="F2901" s="953"/>
      <c r="G2901" s="953"/>
      <c r="H2901" s="953"/>
    </row>
    <row r="2902" spans="1:8" s="943" customFormat="1" x14ac:dyDescent="0.25">
      <c r="A2902" s="952"/>
      <c r="B2902" s="953"/>
      <c r="C2902" s="953"/>
      <c r="D2902" s="953"/>
      <c r="E2902" s="953"/>
      <c r="F2902" s="953"/>
      <c r="G2902" s="953"/>
      <c r="H2902" s="953"/>
    </row>
    <row r="2903" spans="1:8" s="943" customFormat="1" x14ac:dyDescent="0.25">
      <c r="A2903" s="952"/>
      <c r="B2903" s="953"/>
      <c r="C2903" s="953"/>
      <c r="D2903" s="953"/>
      <c r="E2903" s="953"/>
      <c r="F2903" s="953"/>
      <c r="G2903" s="953"/>
      <c r="H2903" s="953"/>
    </row>
    <row r="2904" spans="1:8" s="943" customFormat="1" x14ac:dyDescent="0.25">
      <c r="A2904" s="952"/>
      <c r="B2904" s="953"/>
      <c r="C2904" s="953"/>
      <c r="D2904" s="953"/>
      <c r="E2904" s="953"/>
      <c r="F2904" s="953"/>
      <c r="G2904" s="953"/>
      <c r="H2904" s="953"/>
    </row>
    <row r="2905" spans="1:8" s="943" customFormat="1" x14ac:dyDescent="0.25">
      <c r="A2905" s="952"/>
      <c r="B2905" s="953"/>
      <c r="C2905" s="953"/>
      <c r="D2905" s="953"/>
      <c r="E2905" s="953"/>
      <c r="F2905" s="953"/>
      <c r="G2905" s="953"/>
      <c r="H2905" s="953"/>
    </row>
    <row r="2906" spans="1:8" s="943" customFormat="1" x14ac:dyDescent="0.25">
      <c r="A2906" s="952"/>
      <c r="B2906" s="953"/>
      <c r="C2906" s="953"/>
      <c r="D2906" s="953"/>
      <c r="E2906" s="953"/>
      <c r="F2906" s="953"/>
      <c r="G2906" s="953"/>
      <c r="H2906" s="953"/>
    </row>
    <row r="2907" spans="1:8" s="943" customFormat="1" x14ac:dyDescent="0.25">
      <c r="A2907" s="952"/>
      <c r="B2907" s="953"/>
      <c r="C2907" s="953"/>
      <c r="D2907" s="953"/>
      <c r="E2907" s="953"/>
      <c r="F2907" s="953"/>
      <c r="G2907" s="953"/>
      <c r="H2907" s="953"/>
    </row>
    <row r="2908" spans="1:8" s="943" customFormat="1" x14ac:dyDescent="0.25">
      <c r="A2908" s="952"/>
      <c r="B2908" s="953"/>
      <c r="C2908" s="953"/>
      <c r="D2908" s="953"/>
      <c r="E2908" s="953"/>
      <c r="F2908" s="953"/>
      <c r="G2908" s="953"/>
      <c r="H2908" s="953"/>
    </row>
    <row r="2909" spans="1:8" s="943" customFormat="1" x14ac:dyDescent="0.25">
      <c r="A2909" s="952"/>
      <c r="B2909" s="953"/>
      <c r="C2909" s="953"/>
      <c r="D2909" s="953"/>
      <c r="E2909" s="953"/>
      <c r="F2909" s="953"/>
      <c r="G2909" s="953"/>
      <c r="H2909" s="953"/>
    </row>
    <row r="2910" spans="1:8" s="943" customFormat="1" x14ac:dyDescent="0.25">
      <c r="A2910" s="952"/>
      <c r="B2910" s="953"/>
      <c r="C2910" s="953"/>
      <c r="D2910" s="953"/>
      <c r="E2910" s="953"/>
      <c r="F2910" s="953"/>
      <c r="G2910" s="953"/>
      <c r="H2910" s="953"/>
    </row>
    <row r="2911" spans="1:8" s="943" customFormat="1" x14ac:dyDescent="0.25">
      <c r="A2911" s="952"/>
      <c r="B2911" s="953"/>
      <c r="C2911" s="953"/>
      <c r="D2911" s="953"/>
      <c r="E2911" s="953"/>
      <c r="F2911" s="953"/>
      <c r="G2911" s="953"/>
      <c r="H2911" s="953"/>
    </row>
    <row r="2912" spans="1:8" s="943" customFormat="1" x14ac:dyDescent="0.25">
      <c r="A2912" s="952"/>
      <c r="B2912" s="953"/>
      <c r="C2912" s="953"/>
      <c r="D2912" s="953"/>
      <c r="E2912" s="953"/>
      <c r="F2912" s="953"/>
      <c r="G2912" s="953"/>
      <c r="H2912" s="953"/>
    </row>
    <row r="2913" spans="1:8" s="943" customFormat="1" x14ac:dyDescent="0.25">
      <c r="A2913" s="952"/>
      <c r="B2913" s="953"/>
      <c r="C2913" s="953"/>
      <c r="D2913" s="953"/>
      <c r="E2913" s="953"/>
      <c r="F2913" s="953"/>
      <c r="G2913" s="953"/>
      <c r="H2913" s="953"/>
    </row>
    <row r="2914" spans="1:8" s="943" customFormat="1" x14ac:dyDescent="0.25">
      <c r="A2914" s="952"/>
      <c r="B2914" s="953"/>
      <c r="C2914" s="953"/>
      <c r="D2914" s="953"/>
      <c r="E2914" s="953"/>
      <c r="F2914" s="953"/>
      <c r="G2914" s="953"/>
      <c r="H2914" s="953"/>
    </row>
    <row r="2915" spans="1:8" s="943" customFormat="1" x14ac:dyDescent="0.25">
      <c r="A2915" s="952"/>
      <c r="B2915" s="953"/>
      <c r="C2915" s="953"/>
      <c r="D2915" s="953"/>
      <c r="E2915" s="953"/>
      <c r="F2915" s="953"/>
      <c r="G2915" s="953"/>
      <c r="H2915" s="953"/>
    </row>
    <row r="2916" spans="1:8" s="943" customFormat="1" x14ac:dyDescent="0.25">
      <c r="A2916" s="952"/>
      <c r="B2916" s="953"/>
      <c r="C2916" s="953"/>
      <c r="D2916" s="953"/>
      <c r="E2916" s="953"/>
      <c r="F2916" s="953"/>
      <c r="G2916" s="953"/>
      <c r="H2916" s="953"/>
    </row>
    <row r="2917" spans="1:8" s="943" customFormat="1" x14ac:dyDescent="0.25">
      <c r="A2917" s="952"/>
      <c r="B2917" s="953"/>
      <c r="C2917" s="953"/>
      <c r="D2917" s="953"/>
      <c r="E2917" s="953"/>
      <c r="F2917" s="953"/>
      <c r="G2917" s="953"/>
      <c r="H2917" s="953"/>
    </row>
    <row r="2918" spans="1:8" s="943" customFormat="1" x14ac:dyDescent="0.25">
      <c r="A2918" s="952"/>
      <c r="B2918" s="953"/>
      <c r="C2918" s="953"/>
      <c r="D2918" s="953"/>
      <c r="E2918" s="953"/>
      <c r="F2918" s="953"/>
      <c r="G2918" s="953"/>
      <c r="H2918" s="953"/>
    </row>
    <row r="2919" spans="1:8" s="943" customFormat="1" x14ac:dyDescent="0.25">
      <c r="A2919" s="952"/>
      <c r="B2919" s="953"/>
      <c r="C2919" s="953"/>
      <c r="D2919" s="953"/>
      <c r="E2919" s="953"/>
      <c r="F2919" s="953"/>
      <c r="G2919" s="953"/>
      <c r="H2919" s="953"/>
    </row>
    <row r="2920" spans="1:8" s="943" customFormat="1" x14ac:dyDescent="0.25">
      <c r="A2920" s="952"/>
      <c r="B2920" s="953"/>
      <c r="C2920" s="953"/>
      <c r="D2920" s="953"/>
      <c r="E2920" s="953"/>
      <c r="F2920" s="953"/>
      <c r="G2920" s="953"/>
      <c r="H2920" s="953"/>
    </row>
    <row r="2921" spans="1:8" s="943" customFormat="1" x14ac:dyDescent="0.25">
      <c r="A2921" s="952"/>
      <c r="B2921" s="953"/>
      <c r="C2921" s="953"/>
      <c r="D2921" s="953"/>
      <c r="E2921" s="953"/>
      <c r="F2921" s="953"/>
      <c r="G2921" s="953"/>
      <c r="H2921" s="953"/>
    </row>
    <row r="2922" spans="1:8" s="943" customFormat="1" x14ac:dyDescent="0.25">
      <c r="A2922" s="952"/>
      <c r="B2922" s="953"/>
      <c r="C2922" s="953"/>
      <c r="D2922" s="953"/>
      <c r="E2922" s="953"/>
      <c r="F2922" s="953"/>
      <c r="G2922" s="953"/>
      <c r="H2922" s="953"/>
    </row>
    <row r="2923" spans="1:8" s="943" customFormat="1" x14ac:dyDescent="0.25">
      <c r="A2923" s="952"/>
      <c r="B2923" s="953"/>
      <c r="C2923" s="953"/>
      <c r="D2923" s="953"/>
      <c r="E2923" s="953"/>
      <c r="F2923" s="953"/>
      <c r="G2923" s="953"/>
      <c r="H2923" s="953"/>
    </row>
    <row r="2924" spans="1:8" s="943" customFormat="1" x14ac:dyDescent="0.25">
      <c r="A2924" s="952"/>
      <c r="B2924" s="953"/>
      <c r="C2924" s="953"/>
      <c r="D2924" s="953"/>
      <c r="E2924" s="953"/>
      <c r="F2924" s="953"/>
      <c r="G2924" s="953"/>
      <c r="H2924" s="953"/>
    </row>
    <row r="2925" spans="1:8" s="943" customFormat="1" x14ac:dyDescent="0.25">
      <c r="A2925" s="952"/>
      <c r="B2925" s="953"/>
      <c r="C2925" s="953"/>
      <c r="D2925" s="953"/>
      <c r="E2925" s="953"/>
      <c r="F2925" s="953"/>
      <c r="G2925" s="953"/>
      <c r="H2925" s="953"/>
    </row>
    <row r="2926" spans="1:8" s="943" customFormat="1" x14ac:dyDescent="0.25">
      <c r="A2926" s="952"/>
      <c r="B2926" s="953"/>
      <c r="C2926" s="953"/>
      <c r="D2926" s="953"/>
      <c r="E2926" s="953"/>
      <c r="F2926" s="953"/>
      <c r="G2926" s="953"/>
      <c r="H2926" s="953"/>
    </row>
    <row r="2927" spans="1:8" s="943" customFormat="1" x14ac:dyDescent="0.25">
      <c r="A2927" s="952"/>
      <c r="B2927" s="953"/>
      <c r="C2927" s="953"/>
      <c r="D2927" s="953"/>
      <c r="E2927" s="953"/>
      <c r="F2927" s="953"/>
      <c r="G2927" s="953"/>
      <c r="H2927" s="953"/>
    </row>
    <row r="2928" spans="1:8" s="943" customFormat="1" x14ac:dyDescent="0.25">
      <c r="A2928" s="952"/>
      <c r="B2928" s="953"/>
      <c r="C2928" s="953"/>
      <c r="D2928" s="953"/>
      <c r="E2928" s="953"/>
      <c r="F2928" s="953"/>
      <c r="G2928" s="953"/>
      <c r="H2928" s="953"/>
    </row>
    <row r="2929" spans="1:8" s="943" customFormat="1" x14ac:dyDescent="0.25">
      <c r="A2929" s="952"/>
      <c r="B2929" s="953"/>
      <c r="C2929" s="953"/>
      <c r="D2929" s="953"/>
      <c r="E2929" s="953"/>
      <c r="F2929" s="953"/>
      <c r="G2929" s="953"/>
      <c r="H2929" s="953"/>
    </row>
    <row r="2930" spans="1:8" s="943" customFormat="1" x14ac:dyDescent="0.25">
      <c r="A2930" s="952"/>
      <c r="B2930" s="953"/>
      <c r="C2930" s="953"/>
      <c r="D2930" s="953"/>
      <c r="E2930" s="953"/>
      <c r="F2930" s="953"/>
      <c r="G2930" s="953"/>
      <c r="H2930" s="953"/>
    </row>
    <row r="2931" spans="1:8" s="943" customFormat="1" x14ac:dyDescent="0.25">
      <c r="A2931" s="952"/>
      <c r="B2931" s="953"/>
      <c r="C2931" s="953"/>
      <c r="D2931" s="953"/>
      <c r="E2931" s="953"/>
      <c r="F2931" s="953"/>
      <c r="G2931" s="953"/>
      <c r="H2931" s="953"/>
    </row>
    <row r="2932" spans="1:8" s="943" customFormat="1" x14ac:dyDescent="0.25">
      <c r="A2932" s="952"/>
      <c r="B2932" s="953"/>
      <c r="C2932" s="953"/>
      <c r="D2932" s="953"/>
      <c r="E2932" s="953"/>
      <c r="F2932" s="953"/>
      <c r="G2932" s="953"/>
      <c r="H2932" s="953"/>
    </row>
    <row r="2933" spans="1:8" s="943" customFormat="1" x14ac:dyDescent="0.25">
      <c r="A2933" s="952"/>
      <c r="B2933" s="953"/>
      <c r="C2933" s="953"/>
      <c r="D2933" s="953"/>
      <c r="E2933" s="953"/>
      <c r="F2933" s="953"/>
      <c r="G2933" s="953"/>
      <c r="H2933" s="953"/>
    </row>
    <row r="2934" spans="1:8" s="943" customFormat="1" x14ac:dyDescent="0.25">
      <c r="A2934" s="952"/>
      <c r="B2934" s="953"/>
      <c r="C2934" s="953"/>
      <c r="D2934" s="953"/>
      <c r="E2934" s="953"/>
      <c r="F2934" s="953"/>
      <c r="G2934" s="953"/>
      <c r="H2934" s="953"/>
    </row>
    <row r="2935" spans="1:8" s="943" customFormat="1" x14ac:dyDescent="0.25">
      <c r="A2935" s="952"/>
      <c r="B2935" s="953"/>
      <c r="C2935" s="953"/>
      <c r="D2935" s="953"/>
      <c r="E2935" s="953"/>
      <c r="F2935" s="953"/>
      <c r="G2935" s="953"/>
      <c r="H2935" s="953"/>
    </row>
    <row r="2936" spans="1:8" s="943" customFormat="1" x14ac:dyDescent="0.25">
      <c r="A2936" s="952"/>
      <c r="B2936" s="953"/>
      <c r="C2936" s="953"/>
      <c r="D2936" s="953"/>
      <c r="E2936" s="953"/>
      <c r="F2936" s="953"/>
      <c r="G2936" s="953"/>
      <c r="H2936" s="953"/>
    </row>
    <row r="2937" spans="1:8" s="943" customFormat="1" x14ac:dyDescent="0.25">
      <c r="A2937" s="952"/>
      <c r="B2937" s="953"/>
      <c r="C2937" s="953"/>
      <c r="D2937" s="953"/>
      <c r="E2937" s="953"/>
      <c r="F2937" s="953"/>
      <c r="G2937" s="953"/>
      <c r="H2937" s="953"/>
    </row>
    <row r="2938" spans="1:8" s="943" customFormat="1" x14ac:dyDescent="0.25">
      <c r="A2938" s="952"/>
      <c r="B2938" s="953"/>
      <c r="C2938" s="953"/>
      <c r="D2938" s="953"/>
      <c r="E2938" s="953"/>
      <c r="F2938" s="953"/>
      <c r="G2938" s="953"/>
      <c r="H2938" s="953"/>
    </row>
    <row r="2939" spans="1:8" s="943" customFormat="1" x14ac:dyDescent="0.25">
      <c r="A2939" s="952"/>
      <c r="B2939" s="953"/>
      <c r="C2939" s="953"/>
      <c r="D2939" s="953"/>
      <c r="E2939" s="953"/>
      <c r="F2939" s="953"/>
      <c r="G2939" s="953"/>
      <c r="H2939" s="953"/>
    </row>
    <row r="2940" spans="1:8" s="943" customFormat="1" x14ac:dyDescent="0.25">
      <c r="A2940" s="952"/>
      <c r="B2940" s="953"/>
      <c r="C2940" s="953"/>
      <c r="D2940" s="953"/>
      <c r="E2940" s="953"/>
      <c r="F2940" s="953"/>
      <c r="G2940" s="953"/>
      <c r="H2940" s="953"/>
    </row>
    <row r="2941" spans="1:8" s="943" customFormat="1" x14ac:dyDescent="0.25">
      <c r="A2941" s="952"/>
      <c r="B2941" s="953"/>
      <c r="C2941" s="953"/>
      <c r="D2941" s="953"/>
      <c r="E2941" s="953"/>
      <c r="F2941" s="953"/>
      <c r="G2941" s="953"/>
      <c r="H2941" s="953"/>
    </row>
    <row r="2942" spans="1:8" s="943" customFormat="1" x14ac:dyDescent="0.25">
      <c r="A2942" s="952"/>
      <c r="B2942" s="953"/>
      <c r="C2942" s="953"/>
      <c r="D2942" s="953"/>
      <c r="E2942" s="953"/>
      <c r="F2942" s="953"/>
      <c r="G2942" s="953"/>
      <c r="H2942" s="953"/>
    </row>
    <row r="2943" spans="1:8" s="943" customFormat="1" x14ac:dyDescent="0.25">
      <c r="A2943" s="952"/>
      <c r="B2943" s="953"/>
      <c r="C2943" s="953"/>
      <c r="D2943" s="953"/>
      <c r="E2943" s="953"/>
      <c r="F2943" s="953"/>
      <c r="G2943" s="953"/>
      <c r="H2943" s="953"/>
    </row>
    <row r="2944" spans="1:8" s="943" customFormat="1" x14ac:dyDescent="0.25">
      <c r="A2944" s="952"/>
      <c r="B2944" s="953"/>
      <c r="C2944" s="953"/>
      <c r="D2944" s="953"/>
      <c r="E2944" s="953"/>
      <c r="F2944" s="953"/>
      <c r="G2944" s="953"/>
      <c r="H2944" s="953"/>
    </row>
    <row r="2945" spans="1:8" s="943" customFormat="1" x14ac:dyDescent="0.25">
      <c r="A2945" s="952"/>
      <c r="B2945" s="953"/>
      <c r="C2945" s="953"/>
      <c r="D2945" s="953"/>
      <c r="E2945" s="953"/>
      <c r="F2945" s="953"/>
      <c r="G2945" s="953"/>
      <c r="H2945" s="953"/>
    </row>
    <row r="2946" spans="1:8" s="943" customFormat="1" x14ac:dyDescent="0.25">
      <c r="A2946" s="952"/>
      <c r="B2946" s="953"/>
      <c r="C2946" s="953"/>
      <c r="D2946" s="953"/>
      <c r="E2946" s="953"/>
      <c r="F2946" s="953"/>
      <c r="G2946" s="953"/>
      <c r="H2946" s="953"/>
    </row>
    <row r="2947" spans="1:8" s="943" customFormat="1" x14ac:dyDescent="0.25">
      <c r="A2947" s="952"/>
      <c r="B2947" s="953"/>
      <c r="C2947" s="953"/>
      <c r="D2947" s="953"/>
      <c r="E2947" s="953"/>
      <c r="F2947" s="953"/>
      <c r="G2947" s="953"/>
      <c r="H2947" s="953"/>
    </row>
    <row r="2948" spans="1:8" s="943" customFormat="1" x14ac:dyDescent="0.25">
      <c r="A2948" s="952"/>
      <c r="B2948" s="953"/>
      <c r="C2948" s="953"/>
      <c r="D2948" s="953"/>
      <c r="E2948" s="953"/>
      <c r="F2948" s="953"/>
      <c r="G2948" s="953"/>
      <c r="H2948" s="953"/>
    </row>
    <row r="2949" spans="1:8" s="943" customFormat="1" x14ac:dyDescent="0.25">
      <c r="A2949" s="952"/>
      <c r="B2949" s="953"/>
      <c r="C2949" s="953"/>
      <c r="D2949" s="953"/>
      <c r="E2949" s="953"/>
      <c r="F2949" s="953"/>
      <c r="G2949" s="953"/>
      <c r="H2949" s="953"/>
    </row>
    <row r="2950" spans="1:8" s="943" customFormat="1" x14ac:dyDescent="0.25">
      <c r="A2950" s="952"/>
      <c r="B2950" s="953"/>
      <c r="C2950" s="953"/>
      <c r="D2950" s="953"/>
      <c r="E2950" s="953"/>
      <c r="F2950" s="953"/>
      <c r="G2950" s="953"/>
      <c r="H2950" s="953"/>
    </row>
    <row r="2951" spans="1:8" s="943" customFormat="1" x14ac:dyDescent="0.25">
      <c r="A2951" s="952"/>
      <c r="B2951" s="953"/>
      <c r="C2951" s="953"/>
      <c r="D2951" s="953"/>
      <c r="E2951" s="953"/>
      <c r="F2951" s="953"/>
      <c r="G2951" s="953"/>
      <c r="H2951" s="953"/>
    </row>
    <row r="2952" spans="1:8" s="943" customFormat="1" x14ac:dyDescent="0.25">
      <c r="A2952" s="952"/>
      <c r="B2952" s="953"/>
      <c r="C2952" s="953"/>
      <c r="D2952" s="953"/>
      <c r="E2952" s="953"/>
      <c r="F2952" s="953"/>
      <c r="G2952" s="953"/>
      <c r="H2952" s="953"/>
    </row>
    <row r="2953" spans="1:8" s="943" customFormat="1" x14ac:dyDescent="0.25">
      <c r="A2953" s="952"/>
      <c r="B2953" s="953"/>
      <c r="C2953" s="953"/>
      <c r="D2953" s="953"/>
      <c r="E2953" s="953"/>
      <c r="F2953" s="953"/>
      <c r="G2953" s="953"/>
      <c r="H2953" s="953"/>
    </row>
    <row r="2954" spans="1:8" s="943" customFormat="1" x14ac:dyDescent="0.25">
      <c r="A2954" s="952"/>
      <c r="B2954" s="953"/>
      <c r="C2954" s="953"/>
      <c r="D2954" s="953"/>
      <c r="E2954" s="953"/>
      <c r="F2954" s="953"/>
      <c r="G2954" s="953"/>
      <c r="H2954" s="953"/>
    </row>
    <row r="2955" spans="1:8" s="943" customFormat="1" x14ac:dyDescent="0.25">
      <c r="A2955" s="952"/>
      <c r="B2955" s="953"/>
      <c r="C2955" s="953"/>
      <c r="D2955" s="953"/>
      <c r="E2955" s="953"/>
      <c r="F2955" s="953"/>
      <c r="G2955" s="953"/>
      <c r="H2955" s="953"/>
    </row>
    <row r="2956" spans="1:8" s="943" customFormat="1" x14ac:dyDescent="0.25">
      <c r="A2956" s="952"/>
      <c r="B2956" s="953"/>
      <c r="C2956" s="953"/>
      <c r="D2956" s="953"/>
      <c r="E2956" s="953"/>
      <c r="F2956" s="953"/>
      <c r="G2956" s="953"/>
      <c r="H2956" s="953"/>
    </row>
    <row r="2957" spans="1:8" s="943" customFormat="1" x14ac:dyDescent="0.25">
      <c r="A2957" s="952"/>
      <c r="B2957" s="953"/>
      <c r="C2957" s="953"/>
      <c r="D2957" s="953"/>
      <c r="E2957" s="953"/>
      <c r="F2957" s="953"/>
      <c r="G2957" s="953"/>
      <c r="H2957" s="953"/>
    </row>
    <row r="2958" spans="1:8" s="943" customFormat="1" x14ac:dyDescent="0.25">
      <c r="A2958" s="952"/>
      <c r="B2958" s="953"/>
      <c r="C2958" s="953"/>
      <c r="D2958" s="953"/>
      <c r="E2958" s="953"/>
      <c r="F2958" s="953"/>
      <c r="G2958" s="953"/>
      <c r="H2958" s="953"/>
    </row>
    <row r="2959" spans="1:8" s="943" customFormat="1" x14ac:dyDescent="0.25">
      <c r="A2959" s="952"/>
      <c r="B2959" s="953"/>
      <c r="C2959" s="953"/>
      <c r="D2959" s="953"/>
      <c r="E2959" s="953"/>
      <c r="F2959" s="953"/>
      <c r="G2959" s="953"/>
      <c r="H2959" s="953"/>
    </row>
    <row r="2960" spans="1:8" s="943" customFormat="1" x14ac:dyDescent="0.25">
      <c r="A2960" s="952"/>
      <c r="B2960" s="953"/>
      <c r="C2960" s="953"/>
      <c r="D2960" s="953"/>
      <c r="E2960" s="953"/>
      <c r="F2960" s="953"/>
      <c r="G2960" s="953"/>
      <c r="H2960" s="953"/>
    </row>
    <row r="2961" spans="1:8" s="943" customFormat="1" x14ac:dyDescent="0.25">
      <c r="A2961" s="952"/>
      <c r="B2961" s="953"/>
      <c r="C2961" s="953"/>
      <c r="D2961" s="953"/>
      <c r="E2961" s="953"/>
      <c r="F2961" s="953"/>
      <c r="G2961" s="953"/>
      <c r="H2961" s="953"/>
    </row>
    <row r="2962" spans="1:8" s="943" customFormat="1" x14ac:dyDescent="0.25">
      <c r="A2962" s="952"/>
      <c r="B2962" s="953"/>
      <c r="C2962" s="953"/>
      <c r="D2962" s="953"/>
      <c r="E2962" s="953"/>
      <c r="F2962" s="953"/>
      <c r="G2962" s="953"/>
      <c r="H2962" s="953"/>
    </row>
    <row r="2963" spans="1:8" s="943" customFormat="1" x14ac:dyDescent="0.25">
      <c r="A2963" s="952"/>
      <c r="B2963" s="953"/>
      <c r="C2963" s="953"/>
      <c r="D2963" s="953"/>
      <c r="E2963" s="953"/>
      <c r="F2963" s="953"/>
      <c r="G2963" s="953"/>
      <c r="H2963" s="953"/>
    </row>
    <row r="2964" spans="1:8" s="943" customFormat="1" x14ac:dyDescent="0.25">
      <c r="A2964" s="952"/>
      <c r="B2964" s="953"/>
      <c r="C2964" s="953"/>
      <c r="D2964" s="953"/>
      <c r="E2964" s="953"/>
      <c r="F2964" s="953"/>
      <c r="G2964" s="953"/>
      <c r="H2964" s="953"/>
    </row>
    <row r="2965" spans="1:8" s="943" customFormat="1" x14ac:dyDescent="0.25">
      <c r="A2965" s="952"/>
      <c r="B2965" s="953"/>
      <c r="C2965" s="953"/>
      <c r="D2965" s="953"/>
      <c r="E2965" s="953"/>
      <c r="F2965" s="953"/>
      <c r="G2965" s="953"/>
      <c r="H2965" s="953"/>
    </row>
    <row r="2966" spans="1:8" s="943" customFormat="1" x14ac:dyDescent="0.25">
      <c r="A2966" s="952"/>
      <c r="B2966" s="953"/>
      <c r="C2966" s="953"/>
      <c r="D2966" s="953"/>
      <c r="E2966" s="953"/>
      <c r="F2966" s="953"/>
      <c r="G2966" s="953"/>
      <c r="H2966" s="953"/>
    </row>
    <row r="2967" spans="1:8" s="943" customFormat="1" x14ac:dyDescent="0.25">
      <c r="A2967" s="952"/>
      <c r="B2967" s="953"/>
      <c r="C2967" s="953"/>
      <c r="D2967" s="953"/>
      <c r="E2967" s="953"/>
      <c r="F2967" s="953"/>
      <c r="G2967" s="953"/>
      <c r="H2967" s="953"/>
    </row>
    <row r="2968" spans="1:8" s="943" customFormat="1" x14ac:dyDescent="0.25">
      <c r="A2968" s="952"/>
      <c r="B2968" s="953"/>
      <c r="C2968" s="953"/>
      <c r="D2968" s="953"/>
      <c r="E2968" s="953"/>
      <c r="F2968" s="953"/>
      <c r="G2968" s="953"/>
      <c r="H2968" s="953"/>
    </row>
    <row r="2969" spans="1:8" s="943" customFormat="1" x14ac:dyDescent="0.25">
      <c r="A2969" s="952"/>
      <c r="B2969" s="953"/>
      <c r="C2969" s="953"/>
      <c r="D2969" s="953"/>
      <c r="E2969" s="953"/>
      <c r="F2969" s="953"/>
      <c r="G2969" s="953"/>
      <c r="H2969" s="953"/>
    </row>
    <row r="2970" spans="1:8" s="943" customFormat="1" x14ac:dyDescent="0.25">
      <c r="A2970" s="952"/>
      <c r="B2970" s="953"/>
      <c r="C2970" s="953"/>
      <c r="D2970" s="953"/>
      <c r="E2970" s="953"/>
      <c r="F2970" s="953"/>
      <c r="G2970" s="953"/>
      <c r="H2970" s="953"/>
    </row>
    <row r="2971" spans="1:8" s="943" customFormat="1" x14ac:dyDescent="0.25">
      <c r="A2971" s="952"/>
      <c r="B2971" s="953"/>
      <c r="C2971" s="953"/>
      <c r="D2971" s="953"/>
      <c r="E2971" s="953"/>
      <c r="F2971" s="953"/>
      <c r="G2971" s="953"/>
      <c r="H2971" s="953"/>
    </row>
    <row r="2972" spans="1:8" s="943" customFormat="1" x14ac:dyDescent="0.25">
      <c r="A2972" s="952"/>
      <c r="B2972" s="953"/>
      <c r="C2972" s="953"/>
      <c r="D2972" s="953"/>
      <c r="E2972" s="953"/>
      <c r="F2972" s="953"/>
      <c r="G2972" s="953"/>
      <c r="H2972" s="953"/>
    </row>
    <row r="2973" spans="1:8" s="943" customFormat="1" x14ac:dyDescent="0.25">
      <c r="A2973" s="952"/>
      <c r="B2973" s="953"/>
      <c r="C2973" s="953"/>
      <c r="D2973" s="953"/>
      <c r="E2973" s="953"/>
      <c r="F2973" s="953"/>
      <c r="G2973" s="953"/>
      <c r="H2973" s="953"/>
    </row>
    <row r="2974" spans="1:8" s="943" customFormat="1" x14ac:dyDescent="0.25">
      <c r="A2974" s="952"/>
      <c r="B2974" s="953"/>
      <c r="C2974" s="953"/>
      <c r="D2974" s="953"/>
      <c r="E2974" s="953"/>
      <c r="F2974" s="953"/>
      <c r="G2974" s="953"/>
      <c r="H2974" s="953"/>
    </row>
    <row r="2975" spans="1:8" s="943" customFormat="1" x14ac:dyDescent="0.25">
      <c r="A2975" s="952"/>
      <c r="B2975" s="953"/>
      <c r="C2975" s="953"/>
      <c r="D2975" s="953"/>
      <c r="E2975" s="953"/>
      <c r="F2975" s="953"/>
      <c r="G2975" s="953"/>
      <c r="H2975" s="953"/>
    </row>
    <row r="2976" spans="1:8" s="943" customFormat="1" x14ac:dyDescent="0.25">
      <c r="A2976" s="952"/>
      <c r="B2976" s="953"/>
      <c r="C2976" s="953"/>
      <c r="D2976" s="953"/>
      <c r="E2976" s="953"/>
      <c r="F2976" s="953"/>
      <c r="G2976" s="953"/>
      <c r="H2976" s="953"/>
    </row>
    <row r="2977" spans="1:8" s="943" customFormat="1" x14ac:dyDescent="0.25">
      <c r="A2977" s="952"/>
      <c r="B2977" s="953"/>
      <c r="C2977" s="953"/>
      <c r="D2977" s="953"/>
      <c r="E2977" s="953"/>
      <c r="F2977" s="953"/>
      <c r="G2977" s="953"/>
      <c r="H2977" s="953"/>
    </row>
    <row r="2978" spans="1:8" s="943" customFormat="1" x14ac:dyDescent="0.25">
      <c r="A2978" s="952"/>
      <c r="B2978" s="953"/>
      <c r="C2978" s="953"/>
      <c r="D2978" s="953"/>
      <c r="E2978" s="953"/>
      <c r="F2978" s="953"/>
      <c r="G2978" s="953"/>
      <c r="H2978" s="953"/>
    </row>
    <row r="2979" spans="1:8" s="943" customFormat="1" x14ac:dyDescent="0.25">
      <c r="A2979" s="952"/>
      <c r="B2979" s="953"/>
      <c r="C2979" s="953"/>
      <c r="D2979" s="953"/>
      <c r="E2979" s="953"/>
      <c r="F2979" s="953"/>
      <c r="G2979" s="953"/>
      <c r="H2979" s="953"/>
    </row>
    <row r="2980" spans="1:8" s="943" customFormat="1" x14ac:dyDescent="0.25">
      <c r="A2980" s="952"/>
      <c r="B2980" s="953"/>
      <c r="C2980" s="953"/>
      <c r="D2980" s="953"/>
      <c r="E2980" s="953"/>
      <c r="F2980" s="953"/>
      <c r="G2980" s="953"/>
      <c r="H2980" s="953"/>
    </row>
    <row r="2981" spans="1:8" s="943" customFormat="1" x14ac:dyDescent="0.25">
      <c r="A2981" s="952"/>
      <c r="B2981" s="953"/>
      <c r="C2981" s="953"/>
      <c r="D2981" s="953"/>
      <c r="E2981" s="953"/>
      <c r="F2981" s="953"/>
      <c r="G2981" s="953"/>
      <c r="H2981" s="953"/>
    </row>
    <row r="2982" spans="1:8" s="943" customFormat="1" x14ac:dyDescent="0.25">
      <c r="A2982" s="952"/>
      <c r="B2982" s="953"/>
      <c r="C2982" s="953"/>
      <c r="D2982" s="953"/>
      <c r="E2982" s="953"/>
      <c r="F2982" s="953"/>
      <c r="G2982" s="953"/>
      <c r="H2982" s="953"/>
    </row>
    <row r="2983" spans="1:8" s="943" customFormat="1" x14ac:dyDescent="0.25">
      <c r="A2983" s="952"/>
      <c r="B2983" s="953"/>
      <c r="C2983" s="953"/>
      <c r="D2983" s="953"/>
      <c r="E2983" s="953"/>
      <c r="F2983" s="953"/>
      <c r="G2983" s="953"/>
      <c r="H2983" s="953"/>
    </row>
    <row r="2984" spans="1:8" s="943" customFormat="1" x14ac:dyDescent="0.25">
      <c r="A2984" s="952"/>
      <c r="B2984" s="953"/>
      <c r="C2984" s="953"/>
      <c r="D2984" s="953"/>
      <c r="E2984" s="953"/>
      <c r="F2984" s="953"/>
      <c r="G2984" s="953"/>
      <c r="H2984" s="953"/>
    </row>
    <row r="2985" spans="1:8" s="943" customFormat="1" x14ac:dyDescent="0.25">
      <c r="A2985" s="952"/>
      <c r="B2985" s="953"/>
      <c r="C2985" s="953"/>
      <c r="D2985" s="953"/>
      <c r="E2985" s="953"/>
      <c r="F2985" s="953"/>
      <c r="G2985" s="953"/>
      <c r="H2985" s="953"/>
    </row>
    <row r="2986" spans="1:8" s="943" customFormat="1" x14ac:dyDescent="0.25">
      <c r="A2986" s="952"/>
      <c r="B2986" s="953"/>
      <c r="C2986" s="953"/>
      <c r="D2986" s="953"/>
      <c r="E2986" s="953"/>
      <c r="F2986" s="953"/>
      <c r="G2986" s="953"/>
      <c r="H2986" s="953"/>
    </row>
    <row r="2987" spans="1:8" s="943" customFormat="1" x14ac:dyDescent="0.25">
      <c r="A2987" s="952"/>
      <c r="B2987" s="953"/>
      <c r="C2987" s="953"/>
      <c r="D2987" s="953"/>
      <c r="E2987" s="953"/>
      <c r="F2987" s="953"/>
      <c r="G2987" s="953"/>
      <c r="H2987" s="953"/>
    </row>
    <row r="2988" spans="1:8" s="943" customFormat="1" x14ac:dyDescent="0.25">
      <c r="A2988" s="952"/>
      <c r="B2988" s="953"/>
      <c r="C2988" s="953"/>
      <c r="D2988" s="953"/>
      <c r="E2988" s="953"/>
      <c r="F2988" s="953"/>
      <c r="G2988" s="953"/>
      <c r="H2988" s="953"/>
    </row>
    <row r="2989" spans="1:8" s="943" customFormat="1" x14ac:dyDescent="0.25">
      <c r="A2989" s="952"/>
      <c r="B2989" s="953"/>
      <c r="C2989" s="953"/>
      <c r="D2989" s="953"/>
      <c r="E2989" s="953"/>
      <c r="F2989" s="953"/>
      <c r="G2989" s="953"/>
      <c r="H2989" s="953"/>
    </row>
    <row r="2990" spans="1:8" s="943" customFormat="1" x14ac:dyDescent="0.25">
      <c r="A2990" s="952"/>
      <c r="B2990" s="953"/>
      <c r="C2990" s="953"/>
      <c r="D2990" s="953"/>
      <c r="E2990" s="953"/>
      <c r="F2990" s="953"/>
      <c r="G2990" s="953"/>
      <c r="H2990" s="953"/>
    </row>
    <row r="2991" spans="1:8" s="943" customFormat="1" x14ac:dyDescent="0.25">
      <c r="A2991" s="952"/>
      <c r="B2991" s="953"/>
      <c r="C2991" s="953"/>
      <c r="D2991" s="953"/>
      <c r="E2991" s="953"/>
      <c r="F2991" s="953"/>
      <c r="G2991" s="953"/>
      <c r="H2991" s="953"/>
    </row>
    <row r="2992" spans="1:8" s="943" customFormat="1" x14ac:dyDescent="0.25">
      <c r="A2992" s="952"/>
      <c r="B2992" s="953"/>
      <c r="C2992" s="953"/>
      <c r="D2992" s="953"/>
      <c r="E2992" s="953"/>
      <c r="F2992" s="953"/>
      <c r="G2992" s="953"/>
      <c r="H2992" s="953"/>
    </row>
    <row r="2993" spans="1:8" s="943" customFormat="1" x14ac:dyDescent="0.25">
      <c r="A2993" s="952"/>
      <c r="B2993" s="953"/>
      <c r="C2993" s="953"/>
      <c r="D2993" s="953"/>
      <c r="E2993" s="953"/>
      <c r="F2993" s="953"/>
      <c r="G2993" s="953"/>
      <c r="H2993" s="953"/>
    </row>
    <row r="2994" spans="1:8" s="943" customFormat="1" x14ac:dyDescent="0.25">
      <c r="A2994" s="952"/>
      <c r="B2994" s="953"/>
      <c r="C2994" s="953"/>
      <c r="D2994" s="953"/>
      <c r="E2994" s="953"/>
      <c r="F2994" s="953"/>
      <c r="G2994" s="953"/>
      <c r="H2994" s="953"/>
    </row>
    <row r="2995" spans="1:8" s="943" customFormat="1" x14ac:dyDescent="0.25">
      <c r="A2995" s="952"/>
      <c r="B2995" s="953"/>
      <c r="C2995" s="953"/>
      <c r="D2995" s="953"/>
      <c r="E2995" s="953"/>
      <c r="F2995" s="953"/>
      <c r="G2995" s="953"/>
      <c r="H2995" s="953"/>
    </row>
    <row r="2996" spans="1:8" s="943" customFormat="1" x14ac:dyDescent="0.25">
      <c r="A2996" s="952"/>
      <c r="B2996" s="953"/>
      <c r="C2996" s="953"/>
      <c r="D2996" s="953"/>
      <c r="E2996" s="953"/>
      <c r="F2996" s="953"/>
      <c r="G2996" s="953"/>
      <c r="H2996" s="953"/>
    </row>
    <row r="2997" spans="1:8" s="943" customFormat="1" x14ac:dyDescent="0.25">
      <c r="A2997" s="952"/>
      <c r="B2997" s="953"/>
      <c r="C2997" s="953"/>
      <c r="D2997" s="953"/>
      <c r="E2997" s="953"/>
      <c r="F2997" s="953"/>
      <c r="G2997" s="953"/>
      <c r="H2997" s="953"/>
    </row>
    <row r="2998" spans="1:8" s="943" customFormat="1" x14ac:dyDescent="0.25">
      <c r="A2998" s="952"/>
      <c r="B2998" s="953"/>
      <c r="C2998" s="953"/>
      <c r="D2998" s="953"/>
      <c r="E2998" s="953"/>
      <c r="F2998" s="953"/>
      <c r="G2998" s="953"/>
      <c r="H2998" s="953"/>
    </row>
    <row r="2999" spans="1:8" s="943" customFormat="1" x14ac:dyDescent="0.25">
      <c r="A2999" s="952"/>
      <c r="B2999" s="953"/>
      <c r="C2999" s="953"/>
      <c r="D2999" s="953"/>
      <c r="E2999" s="953"/>
      <c r="F2999" s="953"/>
      <c r="G2999" s="953"/>
      <c r="H2999" s="953"/>
    </row>
    <row r="3000" spans="1:8" s="943" customFormat="1" x14ac:dyDescent="0.25">
      <c r="A3000" s="952"/>
      <c r="B3000" s="953"/>
      <c r="C3000" s="953"/>
      <c r="D3000" s="953"/>
      <c r="E3000" s="953"/>
      <c r="F3000" s="953"/>
      <c r="G3000" s="953"/>
      <c r="H3000" s="953"/>
    </row>
    <row r="3001" spans="1:8" s="943" customFormat="1" x14ac:dyDescent="0.25">
      <c r="A3001" s="952"/>
      <c r="B3001" s="953"/>
      <c r="C3001" s="953"/>
      <c r="D3001" s="953"/>
      <c r="E3001" s="953"/>
      <c r="F3001" s="953"/>
      <c r="G3001" s="953"/>
      <c r="H3001" s="953"/>
    </row>
    <row r="3002" spans="1:8" s="943" customFormat="1" x14ac:dyDescent="0.25">
      <c r="A3002" s="952"/>
      <c r="B3002" s="953"/>
      <c r="C3002" s="953"/>
      <c r="D3002" s="953"/>
      <c r="E3002" s="953"/>
      <c r="F3002" s="953"/>
      <c r="G3002" s="953"/>
      <c r="H3002" s="953"/>
    </row>
    <row r="3003" spans="1:8" s="943" customFormat="1" x14ac:dyDescent="0.25">
      <c r="A3003" s="952"/>
      <c r="B3003" s="953"/>
      <c r="C3003" s="953"/>
      <c r="D3003" s="953"/>
      <c r="E3003" s="953"/>
      <c r="F3003" s="953"/>
      <c r="G3003" s="953"/>
      <c r="H3003" s="953"/>
    </row>
    <row r="3004" spans="1:8" s="943" customFormat="1" x14ac:dyDescent="0.25">
      <c r="A3004" s="952"/>
      <c r="B3004" s="953"/>
      <c r="C3004" s="953"/>
      <c r="D3004" s="953"/>
      <c r="E3004" s="953"/>
      <c r="F3004" s="953"/>
      <c r="G3004" s="953"/>
      <c r="H3004" s="953"/>
    </row>
    <row r="3005" spans="1:8" s="943" customFormat="1" x14ac:dyDescent="0.25">
      <c r="A3005" s="952"/>
      <c r="B3005" s="953"/>
      <c r="C3005" s="953"/>
      <c r="D3005" s="953"/>
      <c r="E3005" s="953"/>
      <c r="F3005" s="953"/>
      <c r="G3005" s="953"/>
      <c r="H3005" s="953"/>
    </row>
    <row r="3006" spans="1:8" s="943" customFormat="1" x14ac:dyDescent="0.25">
      <c r="A3006" s="952"/>
      <c r="B3006" s="953"/>
      <c r="C3006" s="953"/>
      <c r="D3006" s="953"/>
      <c r="E3006" s="953"/>
      <c r="F3006" s="953"/>
      <c r="G3006" s="953"/>
      <c r="H3006" s="953"/>
    </row>
    <row r="3007" spans="1:8" s="943" customFormat="1" x14ac:dyDescent="0.25">
      <c r="A3007" s="952"/>
      <c r="B3007" s="953"/>
      <c r="C3007" s="953"/>
      <c r="D3007" s="953"/>
      <c r="E3007" s="953"/>
      <c r="F3007" s="953"/>
      <c r="G3007" s="953"/>
      <c r="H3007" s="953"/>
    </row>
    <row r="3008" spans="1:8" s="943" customFormat="1" x14ac:dyDescent="0.25">
      <c r="A3008" s="952"/>
      <c r="B3008" s="953"/>
      <c r="C3008" s="953"/>
      <c r="D3008" s="953"/>
      <c r="E3008" s="953"/>
      <c r="F3008" s="953"/>
      <c r="G3008" s="953"/>
      <c r="H3008" s="953"/>
    </row>
    <row r="3009" spans="1:8" s="943" customFormat="1" x14ac:dyDescent="0.25">
      <c r="A3009" s="952"/>
      <c r="B3009" s="953"/>
      <c r="C3009" s="953"/>
      <c r="D3009" s="953"/>
      <c r="E3009" s="953"/>
      <c r="F3009" s="953"/>
      <c r="G3009" s="953"/>
      <c r="H3009" s="953"/>
    </row>
    <row r="3010" spans="1:8" s="943" customFormat="1" x14ac:dyDescent="0.25">
      <c r="A3010" s="952"/>
      <c r="B3010" s="953"/>
      <c r="C3010" s="953"/>
      <c r="D3010" s="953"/>
      <c r="E3010" s="953"/>
      <c r="F3010" s="953"/>
      <c r="G3010" s="953"/>
      <c r="H3010" s="953"/>
    </row>
    <row r="3011" spans="1:8" s="943" customFormat="1" x14ac:dyDescent="0.25">
      <c r="A3011" s="952"/>
      <c r="B3011" s="953"/>
      <c r="C3011" s="953"/>
      <c r="D3011" s="953"/>
      <c r="E3011" s="953"/>
      <c r="F3011" s="953"/>
      <c r="G3011" s="953"/>
      <c r="H3011" s="953"/>
    </row>
    <row r="3012" spans="1:8" s="943" customFormat="1" x14ac:dyDescent="0.25">
      <c r="A3012" s="952"/>
      <c r="B3012" s="953"/>
      <c r="C3012" s="953"/>
      <c r="D3012" s="953"/>
      <c r="E3012" s="953"/>
      <c r="F3012" s="953"/>
      <c r="G3012" s="953"/>
      <c r="H3012" s="953"/>
    </row>
    <row r="3013" spans="1:8" s="943" customFormat="1" x14ac:dyDescent="0.25">
      <c r="A3013" s="952"/>
      <c r="B3013" s="953"/>
      <c r="C3013" s="953"/>
      <c r="D3013" s="953"/>
      <c r="E3013" s="953"/>
      <c r="F3013" s="953"/>
      <c r="G3013" s="953"/>
      <c r="H3013" s="953"/>
    </row>
    <row r="3014" spans="1:8" s="943" customFormat="1" x14ac:dyDescent="0.25">
      <c r="A3014" s="952"/>
      <c r="B3014" s="953"/>
      <c r="C3014" s="953"/>
      <c r="D3014" s="953"/>
      <c r="E3014" s="953"/>
      <c r="F3014" s="953"/>
      <c r="G3014" s="953"/>
      <c r="H3014" s="953"/>
    </row>
    <row r="3015" spans="1:8" s="943" customFormat="1" x14ac:dyDescent="0.25">
      <c r="A3015" s="952"/>
      <c r="B3015" s="953"/>
      <c r="C3015" s="953"/>
      <c r="D3015" s="953"/>
      <c r="E3015" s="953"/>
      <c r="F3015" s="953"/>
      <c r="G3015" s="953"/>
      <c r="H3015" s="953"/>
    </row>
    <row r="3016" spans="1:8" s="943" customFormat="1" x14ac:dyDescent="0.25">
      <c r="A3016" s="952"/>
      <c r="B3016" s="953"/>
      <c r="C3016" s="953"/>
      <c r="D3016" s="953"/>
      <c r="E3016" s="953"/>
      <c r="F3016" s="953"/>
      <c r="G3016" s="953"/>
      <c r="H3016" s="953"/>
    </row>
    <row r="3017" spans="1:8" s="943" customFormat="1" x14ac:dyDescent="0.25">
      <c r="A3017" s="952"/>
      <c r="B3017" s="953"/>
      <c r="C3017" s="953"/>
      <c r="D3017" s="953"/>
      <c r="E3017" s="953"/>
      <c r="F3017" s="953"/>
      <c r="G3017" s="953"/>
      <c r="H3017" s="953"/>
    </row>
    <row r="3018" spans="1:8" s="943" customFormat="1" x14ac:dyDescent="0.25">
      <c r="A3018" s="952"/>
      <c r="B3018" s="953"/>
      <c r="C3018" s="953"/>
      <c r="D3018" s="953"/>
      <c r="E3018" s="953"/>
      <c r="F3018" s="953"/>
      <c r="G3018" s="953"/>
      <c r="H3018" s="953"/>
    </row>
    <row r="3019" spans="1:8" s="943" customFormat="1" x14ac:dyDescent="0.25">
      <c r="A3019" s="952"/>
      <c r="B3019" s="953"/>
      <c r="C3019" s="953"/>
      <c r="D3019" s="953"/>
      <c r="E3019" s="953"/>
      <c r="F3019" s="953"/>
      <c r="G3019" s="953"/>
      <c r="H3019" s="953"/>
    </row>
    <row r="3020" spans="1:8" s="943" customFormat="1" x14ac:dyDescent="0.25">
      <c r="A3020" s="952"/>
      <c r="B3020" s="953"/>
      <c r="C3020" s="953"/>
      <c r="D3020" s="953"/>
      <c r="E3020" s="953"/>
      <c r="F3020" s="953"/>
      <c r="G3020" s="953"/>
      <c r="H3020" s="953"/>
    </row>
    <row r="3021" spans="1:8" s="943" customFormat="1" x14ac:dyDescent="0.25">
      <c r="A3021" s="952"/>
      <c r="B3021" s="953"/>
      <c r="C3021" s="953"/>
      <c r="D3021" s="953"/>
      <c r="E3021" s="953"/>
      <c r="F3021" s="953"/>
      <c r="G3021" s="953"/>
      <c r="H3021" s="953"/>
    </row>
    <row r="3022" spans="1:8" s="943" customFormat="1" x14ac:dyDescent="0.25">
      <c r="A3022" s="952"/>
      <c r="B3022" s="953"/>
      <c r="C3022" s="953"/>
      <c r="D3022" s="953"/>
      <c r="E3022" s="953"/>
      <c r="F3022" s="953"/>
      <c r="G3022" s="953"/>
      <c r="H3022" s="953"/>
    </row>
    <row r="3023" spans="1:8" s="943" customFormat="1" x14ac:dyDescent="0.25">
      <c r="A3023" s="952"/>
      <c r="B3023" s="953"/>
      <c r="C3023" s="953"/>
      <c r="D3023" s="953"/>
      <c r="E3023" s="953"/>
      <c r="F3023" s="953"/>
      <c r="G3023" s="953"/>
      <c r="H3023" s="953"/>
    </row>
    <row r="3024" spans="1:8" s="943" customFormat="1" x14ac:dyDescent="0.25">
      <c r="A3024" s="952"/>
      <c r="B3024" s="953"/>
      <c r="C3024" s="953"/>
      <c r="D3024" s="953"/>
      <c r="E3024" s="953"/>
      <c r="F3024" s="953"/>
      <c r="G3024" s="953"/>
      <c r="H3024" s="953"/>
    </row>
    <row r="3025" spans="1:8" s="943" customFormat="1" x14ac:dyDescent="0.25">
      <c r="A3025" s="952"/>
      <c r="B3025" s="953"/>
      <c r="C3025" s="953"/>
      <c r="D3025" s="953"/>
      <c r="E3025" s="953"/>
      <c r="F3025" s="953"/>
      <c r="G3025" s="953"/>
      <c r="H3025" s="953"/>
    </row>
    <row r="3026" spans="1:8" s="943" customFormat="1" x14ac:dyDescent="0.25">
      <c r="A3026" s="952"/>
      <c r="B3026" s="953"/>
      <c r="C3026" s="953"/>
      <c r="D3026" s="953"/>
      <c r="E3026" s="953"/>
      <c r="F3026" s="953"/>
      <c r="G3026" s="953"/>
      <c r="H3026" s="953"/>
    </row>
    <row r="3027" spans="1:8" s="943" customFormat="1" x14ac:dyDescent="0.25">
      <c r="A3027" s="952"/>
      <c r="B3027" s="953"/>
      <c r="C3027" s="953"/>
      <c r="D3027" s="953"/>
      <c r="E3027" s="953"/>
      <c r="F3027" s="953"/>
      <c r="G3027" s="953"/>
      <c r="H3027" s="953"/>
    </row>
    <row r="3028" spans="1:8" s="943" customFormat="1" x14ac:dyDescent="0.25">
      <c r="A3028" s="952"/>
      <c r="B3028" s="953"/>
      <c r="C3028" s="953"/>
      <c r="D3028" s="953"/>
      <c r="E3028" s="953"/>
      <c r="F3028" s="953"/>
      <c r="G3028" s="953"/>
      <c r="H3028" s="953"/>
    </row>
    <row r="3029" spans="1:8" s="943" customFormat="1" x14ac:dyDescent="0.25">
      <c r="A3029" s="952"/>
      <c r="B3029" s="953"/>
      <c r="C3029" s="953"/>
      <c r="D3029" s="953"/>
      <c r="E3029" s="953"/>
      <c r="F3029" s="953"/>
      <c r="G3029" s="953"/>
      <c r="H3029" s="953"/>
    </row>
    <row r="3030" spans="1:8" s="943" customFormat="1" x14ac:dyDescent="0.25">
      <c r="A3030" s="952"/>
      <c r="B3030" s="953"/>
      <c r="C3030" s="953"/>
      <c r="D3030" s="953"/>
      <c r="E3030" s="953"/>
      <c r="F3030" s="953"/>
      <c r="G3030" s="953"/>
      <c r="H3030" s="953"/>
    </row>
    <row r="3031" spans="1:8" s="943" customFormat="1" x14ac:dyDescent="0.25">
      <c r="A3031" s="952"/>
      <c r="B3031" s="953"/>
      <c r="C3031" s="953"/>
      <c r="D3031" s="953"/>
      <c r="E3031" s="953"/>
      <c r="F3031" s="953"/>
      <c r="G3031" s="953"/>
      <c r="H3031" s="953"/>
    </row>
    <row r="3032" spans="1:8" s="943" customFormat="1" x14ac:dyDescent="0.25">
      <c r="A3032" s="952"/>
      <c r="B3032" s="953"/>
      <c r="C3032" s="953"/>
      <c r="D3032" s="953"/>
      <c r="E3032" s="953"/>
      <c r="F3032" s="953"/>
      <c r="G3032" s="953"/>
      <c r="H3032" s="953"/>
    </row>
    <row r="3033" spans="1:8" s="943" customFormat="1" x14ac:dyDescent="0.25">
      <c r="A3033" s="952"/>
      <c r="B3033" s="953"/>
      <c r="C3033" s="953"/>
      <c r="D3033" s="953"/>
      <c r="E3033" s="953"/>
      <c r="F3033" s="953"/>
      <c r="G3033" s="953"/>
      <c r="H3033" s="953"/>
    </row>
    <row r="3034" spans="1:8" s="943" customFormat="1" x14ac:dyDescent="0.25">
      <c r="A3034" s="952"/>
      <c r="B3034" s="953"/>
      <c r="C3034" s="953"/>
      <c r="D3034" s="953"/>
      <c r="E3034" s="953"/>
      <c r="F3034" s="953"/>
      <c r="G3034" s="953"/>
      <c r="H3034" s="953"/>
    </row>
    <row r="3035" spans="1:8" s="943" customFormat="1" x14ac:dyDescent="0.25">
      <c r="A3035" s="952"/>
      <c r="B3035" s="953"/>
      <c r="C3035" s="953"/>
      <c r="D3035" s="953"/>
      <c r="E3035" s="953"/>
      <c r="F3035" s="953"/>
      <c r="G3035" s="953"/>
      <c r="H3035" s="953"/>
    </row>
    <row r="3036" spans="1:8" s="943" customFormat="1" x14ac:dyDescent="0.25">
      <c r="A3036" s="952"/>
      <c r="B3036" s="953"/>
      <c r="C3036" s="953"/>
      <c r="D3036" s="953"/>
      <c r="E3036" s="953"/>
      <c r="F3036" s="953"/>
      <c r="G3036" s="953"/>
      <c r="H3036" s="953"/>
    </row>
    <row r="3037" spans="1:8" s="943" customFormat="1" x14ac:dyDescent="0.25">
      <c r="A3037" s="952"/>
      <c r="B3037" s="953"/>
      <c r="C3037" s="953"/>
      <c r="D3037" s="953"/>
      <c r="E3037" s="953"/>
      <c r="F3037" s="953"/>
      <c r="G3037" s="953"/>
      <c r="H3037" s="953"/>
    </row>
    <row r="3038" spans="1:8" s="943" customFormat="1" x14ac:dyDescent="0.25">
      <c r="A3038" s="952"/>
      <c r="B3038" s="953"/>
      <c r="C3038" s="953"/>
      <c r="D3038" s="953"/>
      <c r="E3038" s="953"/>
      <c r="F3038" s="953"/>
      <c r="G3038" s="953"/>
      <c r="H3038" s="953"/>
    </row>
    <row r="3039" spans="1:8" s="943" customFormat="1" x14ac:dyDescent="0.25">
      <c r="A3039" s="952"/>
      <c r="B3039" s="953"/>
      <c r="C3039" s="953"/>
      <c r="D3039" s="953"/>
      <c r="E3039" s="953"/>
      <c r="F3039" s="953"/>
      <c r="G3039" s="953"/>
      <c r="H3039" s="953"/>
    </row>
    <row r="3040" spans="1:8" s="943" customFormat="1" x14ac:dyDescent="0.25">
      <c r="A3040" s="952"/>
      <c r="B3040" s="953"/>
      <c r="C3040" s="953"/>
      <c r="D3040" s="953"/>
      <c r="E3040" s="953"/>
      <c r="F3040" s="953"/>
      <c r="G3040" s="953"/>
      <c r="H3040" s="953"/>
    </row>
    <row r="3041" spans="1:8" s="943" customFormat="1" x14ac:dyDescent="0.25">
      <c r="A3041" s="952"/>
      <c r="B3041" s="953"/>
      <c r="C3041" s="953"/>
      <c r="D3041" s="953"/>
      <c r="E3041" s="953"/>
      <c r="F3041" s="953"/>
      <c r="G3041" s="953"/>
      <c r="H3041" s="953"/>
    </row>
    <row r="3042" spans="1:8" s="943" customFormat="1" x14ac:dyDescent="0.25">
      <c r="A3042" s="952"/>
      <c r="B3042" s="953"/>
      <c r="C3042" s="953"/>
      <c r="D3042" s="953"/>
      <c r="E3042" s="953"/>
      <c r="F3042" s="953"/>
      <c r="G3042" s="953"/>
      <c r="H3042" s="953"/>
    </row>
    <row r="3043" spans="1:8" s="943" customFormat="1" x14ac:dyDescent="0.25">
      <c r="A3043" s="952"/>
      <c r="B3043" s="953"/>
      <c r="C3043" s="953"/>
      <c r="D3043" s="953"/>
      <c r="E3043" s="953"/>
      <c r="F3043" s="953"/>
      <c r="G3043" s="953"/>
      <c r="H3043" s="953"/>
    </row>
    <row r="3044" spans="1:8" s="943" customFormat="1" x14ac:dyDescent="0.25">
      <c r="A3044" s="952"/>
      <c r="B3044" s="953"/>
      <c r="C3044" s="953"/>
      <c r="D3044" s="953"/>
      <c r="E3044" s="953"/>
      <c r="F3044" s="953"/>
      <c r="G3044" s="953"/>
      <c r="H3044" s="953"/>
    </row>
    <row r="3045" spans="1:8" s="943" customFormat="1" x14ac:dyDescent="0.25">
      <c r="A3045" s="952"/>
      <c r="B3045" s="953"/>
      <c r="C3045" s="953"/>
      <c r="D3045" s="953"/>
      <c r="E3045" s="953"/>
      <c r="F3045" s="953"/>
      <c r="G3045" s="953"/>
      <c r="H3045" s="953"/>
    </row>
    <row r="3046" spans="1:8" s="943" customFormat="1" x14ac:dyDescent="0.25">
      <c r="A3046" s="952"/>
      <c r="B3046" s="953"/>
      <c r="C3046" s="953"/>
      <c r="D3046" s="953"/>
      <c r="E3046" s="953"/>
      <c r="F3046" s="953"/>
      <c r="G3046" s="953"/>
      <c r="H3046" s="953"/>
    </row>
    <row r="3047" spans="1:8" s="943" customFormat="1" x14ac:dyDescent="0.25">
      <c r="A3047" s="952"/>
      <c r="B3047" s="953"/>
      <c r="C3047" s="953"/>
      <c r="D3047" s="953"/>
      <c r="E3047" s="953"/>
      <c r="F3047" s="953"/>
      <c r="G3047" s="953"/>
      <c r="H3047" s="953"/>
    </row>
    <row r="3048" spans="1:8" s="943" customFormat="1" x14ac:dyDescent="0.25">
      <c r="A3048" s="952"/>
      <c r="B3048" s="953"/>
      <c r="C3048" s="953"/>
      <c r="D3048" s="953"/>
      <c r="E3048" s="953"/>
      <c r="F3048" s="953"/>
      <c r="G3048" s="953"/>
      <c r="H3048" s="953"/>
    </row>
    <row r="3049" spans="1:8" s="943" customFormat="1" x14ac:dyDescent="0.25">
      <c r="A3049" s="952"/>
      <c r="B3049" s="953"/>
      <c r="C3049" s="953"/>
      <c r="D3049" s="953"/>
      <c r="E3049" s="953"/>
      <c r="F3049" s="953"/>
      <c r="G3049" s="953"/>
      <c r="H3049" s="953"/>
    </row>
    <row r="3050" spans="1:8" s="943" customFormat="1" x14ac:dyDescent="0.25">
      <c r="A3050" s="952"/>
      <c r="B3050" s="953"/>
      <c r="C3050" s="953"/>
      <c r="D3050" s="953"/>
      <c r="E3050" s="953"/>
      <c r="F3050" s="953"/>
      <c r="G3050" s="953"/>
      <c r="H3050" s="953"/>
    </row>
    <row r="3051" spans="1:8" s="943" customFormat="1" x14ac:dyDescent="0.25">
      <c r="A3051" s="952"/>
      <c r="B3051" s="953"/>
      <c r="C3051" s="953"/>
      <c r="D3051" s="953"/>
      <c r="E3051" s="953"/>
      <c r="F3051" s="953"/>
      <c r="G3051" s="953"/>
      <c r="H3051" s="953"/>
    </row>
    <row r="3052" spans="1:8" s="943" customFormat="1" x14ac:dyDescent="0.25">
      <c r="A3052" s="952"/>
      <c r="B3052" s="953"/>
      <c r="C3052" s="953"/>
      <c r="D3052" s="953"/>
      <c r="E3052" s="953"/>
      <c r="F3052" s="953"/>
      <c r="G3052" s="953"/>
      <c r="H3052" s="953"/>
    </row>
    <row r="3053" spans="1:8" s="943" customFormat="1" x14ac:dyDescent="0.25">
      <c r="A3053" s="952"/>
      <c r="B3053" s="953"/>
      <c r="C3053" s="953"/>
      <c r="D3053" s="953"/>
      <c r="E3053" s="953"/>
      <c r="F3053" s="953"/>
      <c r="G3053" s="953"/>
      <c r="H3053" s="953"/>
    </row>
    <row r="3054" spans="1:8" s="943" customFormat="1" x14ac:dyDescent="0.25">
      <c r="A3054" s="952"/>
      <c r="B3054" s="953"/>
      <c r="C3054" s="953"/>
      <c r="D3054" s="953"/>
      <c r="E3054" s="953"/>
      <c r="F3054" s="953"/>
      <c r="G3054" s="953"/>
      <c r="H3054" s="953"/>
    </row>
    <row r="3055" spans="1:8" s="943" customFormat="1" x14ac:dyDescent="0.25">
      <c r="A3055" s="952"/>
      <c r="B3055" s="953"/>
      <c r="C3055" s="953"/>
      <c r="D3055" s="953"/>
      <c r="E3055" s="953"/>
      <c r="F3055" s="953"/>
      <c r="G3055" s="953"/>
      <c r="H3055" s="953"/>
    </row>
    <row r="3056" spans="1:8" s="943" customFormat="1" x14ac:dyDescent="0.25">
      <c r="A3056" s="952"/>
      <c r="B3056" s="953"/>
      <c r="C3056" s="953"/>
      <c r="D3056" s="953"/>
      <c r="E3056" s="953"/>
      <c r="F3056" s="953"/>
      <c r="G3056" s="953"/>
      <c r="H3056" s="953"/>
    </row>
    <row r="3057" spans="1:8" s="943" customFormat="1" x14ac:dyDescent="0.25">
      <c r="A3057" s="952"/>
      <c r="B3057" s="953"/>
      <c r="C3057" s="953"/>
      <c r="D3057" s="953"/>
      <c r="E3057" s="953"/>
      <c r="F3057" s="953"/>
      <c r="G3057" s="953"/>
      <c r="H3057" s="953"/>
    </row>
    <row r="3058" spans="1:8" s="943" customFormat="1" x14ac:dyDescent="0.25">
      <c r="A3058" s="952"/>
      <c r="B3058" s="953"/>
      <c r="C3058" s="953"/>
      <c r="D3058" s="953"/>
      <c r="E3058" s="953"/>
      <c r="F3058" s="953"/>
      <c r="G3058" s="953"/>
      <c r="H3058" s="953"/>
    </row>
    <row r="3059" spans="1:8" s="943" customFormat="1" x14ac:dyDescent="0.25">
      <c r="A3059" s="952"/>
      <c r="B3059" s="953"/>
      <c r="C3059" s="953"/>
      <c r="D3059" s="953"/>
      <c r="E3059" s="953"/>
      <c r="F3059" s="953"/>
      <c r="G3059" s="953"/>
      <c r="H3059" s="953"/>
    </row>
    <row r="3060" spans="1:8" s="943" customFormat="1" x14ac:dyDescent="0.25">
      <c r="A3060" s="952"/>
      <c r="B3060" s="953"/>
      <c r="C3060" s="953"/>
      <c r="D3060" s="953"/>
      <c r="E3060" s="953"/>
      <c r="F3060" s="953"/>
      <c r="G3060" s="953"/>
      <c r="H3060" s="953"/>
    </row>
    <row r="3061" spans="1:8" s="943" customFormat="1" x14ac:dyDescent="0.25">
      <c r="A3061" s="952"/>
      <c r="B3061" s="953"/>
      <c r="C3061" s="953"/>
      <c r="D3061" s="953"/>
      <c r="E3061" s="953"/>
      <c r="F3061" s="953"/>
      <c r="G3061" s="953"/>
      <c r="H3061" s="953"/>
    </row>
    <row r="3062" spans="1:8" s="943" customFormat="1" x14ac:dyDescent="0.25">
      <c r="A3062" s="952"/>
      <c r="B3062" s="953"/>
      <c r="C3062" s="953"/>
      <c r="D3062" s="953"/>
      <c r="E3062" s="953"/>
      <c r="F3062" s="953"/>
      <c r="G3062" s="953"/>
      <c r="H3062" s="953"/>
    </row>
    <row r="3063" spans="1:8" s="943" customFormat="1" x14ac:dyDescent="0.25">
      <c r="A3063" s="952"/>
      <c r="B3063" s="953"/>
      <c r="C3063" s="953"/>
      <c r="D3063" s="953"/>
      <c r="E3063" s="953"/>
      <c r="F3063" s="953"/>
      <c r="G3063" s="953"/>
      <c r="H3063" s="953"/>
    </row>
    <row r="3064" spans="1:8" s="943" customFormat="1" x14ac:dyDescent="0.25">
      <c r="A3064" s="952"/>
      <c r="B3064" s="953"/>
      <c r="C3064" s="953"/>
      <c r="D3064" s="953"/>
      <c r="E3064" s="953"/>
      <c r="F3064" s="953"/>
      <c r="G3064" s="953"/>
      <c r="H3064" s="953"/>
    </row>
    <row r="3065" spans="1:8" s="943" customFormat="1" x14ac:dyDescent="0.25">
      <c r="A3065" s="952"/>
      <c r="B3065" s="953"/>
      <c r="C3065" s="953"/>
      <c r="D3065" s="953"/>
      <c r="E3065" s="953"/>
      <c r="F3065" s="953"/>
      <c r="G3065" s="953"/>
      <c r="H3065" s="953"/>
    </row>
    <row r="3066" spans="1:8" s="943" customFormat="1" x14ac:dyDescent="0.25">
      <c r="A3066" s="952"/>
      <c r="B3066" s="953"/>
      <c r="C3066" s="953"/>
      <c r="D3066" s="953"/>
      <c r="E3066" s="953"/>
      <c r="F3066" s="953"/>
      <c r="G3066" s="953"/>
      <c r="H3066" s="953"/>
    </row>
    <row r="3067" spans="1:8" s="943" customFormat="1" x14ac:dyDescent="0.25">
      <c r="A3067" s="952"/>
      <c r="B3067" s="953"/>
      <c r="C3067" s="953"/>
      <c r="D3067" s="953"/>
      <c r="E3067" s="953"/>
      <c r="F3067" s="953"/>
      <c r="G3067" s="953"/>
      <c r="H3067" s="953"/>
    </row>
    <row r="3068" spans="1:8" s="943" customFormat="1" x14ac:dyDescent="0.25">
      <c r="A3068" s="952"/>
      <c r="B3068" s="953"/>
      <c r="C3068" s="953"/>
      <c r="D3068" s="953"/>
      <c r="E3068" s="953"/>
      <c r="F3068" s="953"/>
      <c r="G3068" s="953"/>
      <c r="H3068" s="953"/>
    </row>
    <row r="3069" spans="1:8" s="943" customFormat="1" x14ac:dyDescent="0.25">
      <c r="A3069" s="952"/>
      <c r="B3069" s="953"/>
      <c r="C3069" s="953"/>
      <c r="D3069" s="953"/>
      <c r="E3069" s="953"/>
      <c r="F3069" s="953"/>
      <c r="G3069" s="953"/>
      <c r="H3069" s="953"/>
    </row>
    <row r="3070" spans="1:8" s="943" customFormat="1" x14ac:dyDescent="0.25">
      <c r="A3070" s="952"/>
      <c r="B3070" s="953"/>
      <c r="C3070" s="953"/>
      <c r="D3070" s="953"/>
      <c r="E3070" s="953"/>
      <c r="F3070" s="953"/>
      <c r="G3070" s="953"/>
      <c r="H3070" s="953"/>
    </row>
    <row r="3071" spans="1:8" s="943" customFormat="1" x14ac:dyDescent="0.25">
      <c r="A3071" s="952"/>
      <c r="B3071" s="953"/>
      <c r="C3071" s="953"/>
      <c r="D3071" s="953"/>
      <c r="E3071" s="953"/>
      <c r="F3071" s="953"/>
      <c r="G3071" s="953"/>
      <c r="H3071" s="953"/>
    </row>
    <row r="3072" spans="1:8" s="943" customFormat="1" x14ac:dyDescent="0.25">
      <c r="A3072" s="952"/>
      <c r="B3072" s="953"/>
      <c r="C3072" s="953"/>
      <c r="D3072" s="953"/>
      <c r="E3072" s="953"/>
      <c r="F3072" s="953"/>
      <c r="G3072" s="953"/>
      <c r="H3072" s="953"/>
    </row>
    <row r="3073" spans="1:8" s="943" customFormat="1" x14ac:dyDescent="0.25">
      <c r="A3073" s="952"/>
      <c r="B3073" s="953"/>
      <c r="C3073" s="953"/>
      <c r="D3073" s="953"/>
      <c r="E3073" s="953"/>
      <c r="F3073" s="953"/>
      <c r="G3073" s="953"/>
      <c r="H3073" s="953"/>
    </row>
    <row r="3074" spans="1:8" s="943" customFormat="1" x14ac:dyDescent="0.25">
      <c r="A3074" s="952"/>
      <c r="B3074" s="953"/>
      <c r="C3074" s="953"/>
      <c r="D3074" s="953"/>
      <c r="E3074" s="953"/>
      <c r="F3074" s="953"/>
      <c r="G3074" s="953"/>
      <c r="H3074" s="953"/>
    </row>
    <row r="3075" spans="1:8" s="943" customFormat="1" x14ac:dyDescent="0.25">
      <c r="A3075" s="952"/>
      <c r="B3075" s="953"/>
      <c r="C3075" s="953"/>
      <c r="D3075" s="953"/>
      <c r="E3075" s="953"/>
      <c r="F3075" s="953"/>
      <c r="G3075" s="953"/>
      <c r="H3075" s="953"/>
    </row>
    <row r="3076" spans="1:8" s="943" customFormat="1" x14ac:dyDescent="0.25">
      <c r="A3076" s="952"/>
      <c r="B3076" s="953"/>
      <c r="C3076" s="953"/>
      <c r="D3076" s="953"/>
      <c r="E3076" s="953"/>
      <c r="F3076" s="953"/>
      <c r="G3076" s="953"/>
      <c r="H3076" s="953"/>
    </row>
    <row r="3077" spans="1:8" s="943" customFormat="1" x14ac:dyDescent="0.25">
      <c r="A3077" s="952"/>
      <c r="B3077" s="953"/>
      <c r="C3077" s="953"/>
      <c r="D3077" s="953"/>
      <c r="E3077" s="953"/>
      <c r="F3077" s="953"/>
      <c r="G3077" s="953"/>
      <c r="H3077" s="953"/>
    </row>
    <row r="3078" spans="1:8" s="943" customFormat="1" x14ac:dyDescent="0.25">
      <c r="A3078" s="952"/>
      <c r="B3078" s="953"/>
      <c r="C3078" s="953"/>
      <c r="D3078" s="953"/>
      <c r="E3078" s="953"/>
      <c r="F3078" s="953"/>
      <c r="G3078" s="953"/>
      <c r="H3078" s="953"/>
    </row>
    <row r="3079" spans="1:8" s="943" customFormat="1" x14ac:dyDescent="0.25">
      <c r="A3079" s="952"/>
      <c r="B3079" s="953"/>
      <c r="C3079" s="953"/>
      <c r="D3079" s="953"/>
      <c r="E3079" s="953"/>
      <c r="F3079" s="953"/>
      <c r="G3079" s="953"/>
      <c r="H3079" s="953"/>
    </row>
    <row r="3080" spans="1:8" s="943" customFormat="1" x14ac:dyDescent="0.25">
      <c r="A3080" s="952"/>
      <c r="B3080" s="953"/>
      <c r="C3080" s="953"/>
      <c r="D3080" s="953"/>
      <c r="E3080" s="953"/>
      <c r="F3080" s="953"/>
      <c r="G3080" s="953"/>
      <c r="H3080" s="953"/>
    </row>
    <row r="3081" spans="1:8" s="943" customFormat="1" x14ac:dyDescent="0.25">
      <c r="A3081" s="952"/>
      <c r="B3081" s="953"/>
      <c r="C3081" s="953"/>
      <c r="D3081" s="953"/>
      <c r="E3081" s="953"/>
      <c r="F3081" s="953"/>
      <c r="G3081" s="953"/>
      <c r="H3081" s="953"/>
    </row>
    <row r="3082" spans="1:8" s="943" customFormat="1" x14ac:dyDescent="0.25">
      <c r="A3082" s="952"/>
      <c r="B3082" s="953"/>
      <c r="C3082" s="953"/>
      <c r="D3082" s="953"/>
      <c r="E3082" s="953"/>
      <c r="F3082" s="953"/>
      <c r="G3082" s="953"/>
      <c r="H3082" s="953"/>
    </row>
    <row r="3083" spans="1:8" s="943" customFormat="1" x14ac:dyDescent="0.25">
      <c r="A3083" s="952"/>
      <c r="B3083" s="953"/>
      <c r="C3083" s="953"/>
      <c r="D3083" s="953"/>
      <c r="E3083" s="953"/>
      <c r="F3083" s="953"/>
      <c r="G3083" s="953"/>
      <c r="H3083" s="953"/>
    </row>
    <row r="3084" spans="1:8" s="943" customFormat="1" x14ac:dyDescent="0.25">
      <c r="A3084" s="952"/>
      <c r="B3084" s="953"/>
      <c r="C3084" s="953"/>
      <c r="D3084" s="953"/>
      <c r="E3084" s="953"/>
      <c r="F3084" s="953"/>
      <c r="G3084" s="953"/>
      <c r="H3084" s="953"/>
    </row>
    <row r="3085" spans="1:8" s="943" customFormat="1" x14ac:dyDescent="0.25">
      <c r="A3085" s="952"/>
      <c r="B3085" s="953"/>
      <c r="C3085" s="953"/>
      <c r="D3085" s="953"/>
      <c r="E3085" s="953"/>
      <c r="F3085" s="953"/>
      <c r="G3085" s="953"/>
      <c r="H3085" s="953"/>
    </row>
    <row r="3086" spans="1:8" s="943" customFormat="1" x14ac:dyDescent="0.25">
      <c r="A3086" s="952"/>
      <c r="B3086" s="953"/>
      <c r="C3086" s="953"/>
      <c r="D3086" s="953"/>
      <c r="E3086" s="953"/>
      <c r="F3086" s="953"/>
      <c r="G3086" s="953"/>
      <c r="H3086" s="953"/>
    </row>
    <row r="3087" spans="1:8" s="943" customFormat="1" x14ac:dyDescent="0.25">
      <c r="A3087" s="952"/>
      <c r="B3087" s="953"/>
      <c r="C3087" s="953"/>
      <c r="D3087" s="953"/>
      <c r="E3087" s="953"/>
      <c r="F3087" s="953"/>
      <c r="G3087" s="953"/>
      <c r="H3087" s="953"/>
    </row>
    <row r="3088" spans="1:8" s="943" customFormat="1" x14ac:dyDescent="0.25">
      <c r="A3088" s="952"/>
      <c r="B3088" s="953"/>
      <c r="C3088" s="953"/>
      <c r="D3088" s="953"/>
      <c r="E3088" s="953"/>
      <c r="F3088" s="953"/>
      <c r="G3088" s="953"/>
      <c r="H3088" s="953"/>
    </row>
    <row r="3089" spans="1:8" s="943" customFormat="1" x14ac:dyDescent="0.25">
      <c r="A3089" s="952"/>
      <c r="B3089" s="953"/>
      <c r="C3089" s="953"/>
      <c r="D3089" s="953"/>
      <c r="E3089" s="953"/>
      <c r="F3089" s="953"/>
      <c r="G3089" s="953"/>
      <c r="H3089" s="953"/>
    </row>
    <row r="3090" spans="1:8" s="943" customFormat="1" x14ac:dyDescent="0.25">
      <c r="A3090" s="952"/>
      <c r="B3090" s="953"/>
      <c r="C3090" s="953"/>
      <c r="D3090" s="953"/>
      <c r="E3090" s="953"/>
      <c r="F3090" s="953"/>
      <c r="G3090" s="953"/>
      <c r="H3090" s="953"/>
    </row>
    <row r="3091" spans="1:8" s="943" customFormat="1" x14ac:dyDescent="0.25">
      <c r="A3091" s="952"/>
      <c r="B3091" s="953"/>
      <c r="C3091" s="953"/>
      <c r="D3091" s="953"/>
      <c r="E3091" s="953"/>
      <c r="F3091" s="953"/>
      <c r="G3091" s="953"/>
      <c r="H3091" s="953"/>
    </row>
    <row r="3092" spans="1:8" s="943" customFormat="1" x14ac:dyDescent="0.25">
      <c r="A3092" s="952"/>
      <c r="B3092" s="953"/>
      <c r="C3092" s="953"/>
      <c r="D3092" s="953"/>
      <c r="E3092" s="953"/>
      <c r="F3092" s="953"/>
      <c r="G3092" s="953"/>
      <c r="H3092" s="953"/>
    </row>
    <row r="3093" spans="1:8" s="943" customFormat="1" x14ac:dyDescent="0.25">
      <c r="A3093" s="952"/>
      <c r="B3093" s="953"/>
      <c r="C3093" s="953"/>
      <c r="D3093" s="953"/>
      <c r="E3093" s="953"/>
      <c r="F3093" s="953"/>
      <c r="G3093" s="953"/>
      <c r="H3093" s="953"/>
    </row>
    <row r="3094" spans="1:8" s="943" customFormat="1" x14ac:dyDescent="0.25">
      <c r="A3094" s="952"/>
      <c r="B3094" s="953"/>
      <c r="C3094" s="953"/>
      <c r="D3094" s="953"/>
      <c r="E3094" s="953"/>
      <c r="F3094" s="953"/>
      <c r="G3094" s="953"/>
      <c r="H3094" s="953"/>
    </row>
    <row r="3095" spans="1:8" s="943" customFormat="1" x14ac:dyDescent="0.25">
      <c r="A3095" s="952"/>
      <c r="B3095" s="953"/>
      <c r="C3095" s="953"/>
      <c r="D3095" s="953"/>
      <c r="E3095" s="953"/>
      <c r="F3095" s="953"/>
      <c r="G3095" s="953"/>
      <c r="H3095" s="953"/>
    </row>
    <row r="3096" spans="1:8" s="943" customFormat="1" x14ac:dyDescent="0.25">
      <c r="A3096" s="952"/>
      <c r="B3096" s="953"/>
      <c r="C3096" s="953"/>
      <c r="D3096" s="953"/>
      <c r="E3096" s="953"/>
      <c r="F3096" s="953"/>
      <c r="G3096" s="953"/>
      <c r="H3096" s="953"/>
    </row>
    <row r="3097" spans="1:8" s="943" customFormat="1" x14ac:dyDescent="0.25">
      <c r="A3097" s="952"/>
      <c r="B3097" s="953"/>
      <c r="C3097" s="953"/>
      <c r="D3097" s="953"/>
      <c r="E3097" s="953"/>
      <c r="F3097" s="953"/>
      <c r="G3097" s="953"/>
      <c r="H3097" s="953"/>
    </row>
    <row r="3098" spans="1:8" s="943" customFormat="1" x14ac:dyDescent="0.25">
      <c r="A3098" s="952"/>
      <c r="B3098" s="953"/>
      <c r="C3098" s="953"/>
      <c r="D3098" s="953"/>
      <c r="E3098" s="953"/>
      <c r="F3098" s="953"/>
      <c r="G3098" s="953"/>
      <c r="H3098" s="953"/>
    </row>
    <row r="3099" spans="1:8" s="943" customFormat="1" x14ac:dyDescent="0.25">
      <c r="A3099" s="952"/>
      <c r="B3099" s="953"/>
      <c r="C3099" s="953"/>
      <c r="D3099" s="953"/>
      <c r="E3099" s="953"/>
      <c r="F3099" s="953"/>
      <c r="G3099" s="953"/>
      <c r="H3099" s="953"/>
    </row>
    <row r="3100" spans="1:8" s="943" customFormat="1" x14ac:dyDescent="0.25">
      <c r="A3100" s="952"/>
      <c r="B3100" s="953"/>
      <c r="C3100" s="953"/>
      <c r="D3100" s="953"/>
      <c r="E3100" s="953"/>
      <c r="F3100" s="953"/>
      <c r="G3100" s="953"/>
      <c r="H3100" s="953"/>
    </row>
    <row r="3101" spans="1:8" s="943" customFormat="1" x14ac:dyDescent="0.25">
      <c r="A3101" s="952"/>
      <c r="B3101" s="953"/>
      <c r="C3101" s="953"/>
      <c r="D3101" s="953"/>
      <c r="E3101" s="953"/>
      <c r="F3101" s="953"/>
      <c r="G3101" s="953"/>
      <c r="H3101" s="953"/>
    </row>
    <row r="3102" spans="1:8" s="943" customFormat="1" x14ac:dyDescent="0.25">
      <c r="A3102" s="952"/>
      <c r="B3102" s="953"/>
      <c r="C3102" s="953"/>
      <c r="D3102" s="953"/>
      <c r="E3102" s="953"/>
      <c r="F3102" s="953"/>
      <c r="G3102" s="953"/>
      <c r="H3102" s="953"/>
    </row>
    <row r="3103" spans="1:8" s="943" customFormat="1" x14ac:dyDescent="0.25">
      <c r="A3103" s="952"/>
      <c r="B3103" s="953"/>
      <c r="C3103" s="953"/>
      <c r="D3103" s="953"/>
      <c r="E3103" s="953"/>
      <c r="F3103" s="953"/>
      <c r="G3103" s="953"/>
      <c r="H3103" s="953"/>
    </row>
    <row r="3104" spans="1:8" s="943" customFormat="1" x14ac:dyDescent="0.25">
      <c r="A3104" s="952"/>
      <c r="B3104" s="953"/>
      <c r="C3104" s="953"/>
      <c r="D3104" s="953"/>
      <c r="E3104" s="953"/>
      <c r="F3104" s="953"/>
      <c r="G3104" s="953"/>
      <c r="H3104" s="953"/>
    </row>
    <row r="3105" spans="1:8" s="943" customFormat="1" x14ac:dyDescent="0.25">
      <c r="A3105" s="952"/>
      <c r="B3105" s="953"/>
      <c r="C3105" s="953"/>
      <c r="D3105" s="953"/>
      <c r="E3105" s="953"/>
      <c r="F3105" s="953"/>
      <c r="G3105" s="953"/>
      <c r="H3105" s="953"/>
    </row>
    <row r="3106" spans="1:8" s="943" customFormat="1" x14ac:dyDescent="0.25">
      <c r="A3106" s="952"/>
      <c r="B3106" s="953"/>
      <c r="C3106" s="953"/>
      <c r="D3106" s="953"/>
      <c r="E3106" s="953"/>
      <c r="F3106" s="953"/>
      <c r="G3106" s="953"/>
      <c r="H3106" s="953"/>
    </row>
    <row r="3107" spans="1:8" s="943" customFormat="1" x14ac:dyDescent="0.25">
      <c r="A3107" s="952"/>
      <c r="B3107" s="953"/>
      <c r="C3107" s="953"/>
      <c r="D3107" s="953"/>
      <c r="E3107" s="953"/>
      <c r="F3107" s="953"/>
      <c r="G3107" s="953"/>
      <c r="H3107" s="953"/>
    </row>
    <row r="3108" spans="1:8" s="943" customFormat="1" x14ac:dyDescent="0.25">
      <c r="A3108" s="952"/>
      <c r="B3108" s="953"/>
      <c r="C3108" s="953"/>
      <c r="D3108" s="953"/>
      <c r="E3108" s="953"/>
      <c r="F3108" s="953"/>
      <c r="G3108" s="953"/>
      <c r="H3108" s="953"/>
    </row>
    <row r="3109" spans="1:8" s="943" customFormat="1" x14ac:dyDescent="0.25">
      <c r="A3109" s="952"/>
      <c r="B3109" s="953"/>
      <c r="C3109" s="953"/>
      <c r="D3109" s="953"/>
      <c r="E3109" s="953"/>
      <c r="F3109" s="953"/>
      <c r="G3109" s="953"/>
      <c r="H3109" s="953"/>
    </row>
    <row r="3110" spans="1:8" s="943" customFormat="1" x14ac:dyDescent="0.25">
      <c r="A3110" s="952"/>
      <c r="B3110" s="953"/>
      <c r="C3110" s="953"/>
      <c r="D3110" s="953"/>
      <c r="E3110" s="953"/>
      <c r="F3110" s="953"/>
      <c r="G3110" s="953"/>
      <c r="H3110" s="953"/>
    </row>
    <row r="3111" spans="1:8" s="943" customFormat="1" x14ac:dyDescent="0.25">
      <c r="A3111" s="952"/>
      <c r="B3111" s="953"/>
      <c r="C3111" s="953"/>
      <c r="D3111" s="953"/>
      <c r="E3111" s="953"/>
      <c r="F3111" s="953"/>
      <c r="G3111" s="953"/>
      <c r="H3111" s="953"/>
    </row>
    <row r="3112" spans="1:8" s="943" customFormat="1" x14ac:dyDescent="0.25">
      <c r="A3112" s="952"/>
      <c r="B3112" s="953"/>
      <c r="C3112" s="953"/>
      <c r="D3112" s="953"/>
      <c r="E3112" s="953"/>
      <c r="F3112" s="953"/>
      <c r="G3112" s="953"/>
      <c r="H3112" s="953"/>
    </row>
    <row r="3113" spans="1:8" s="943" customFormat="1" x14ac:dyDescent="0.25">
      <c r="A3113" s="952"/>
      <c r="B3113" s="953"/>
      <c r="C3113" s="953"/>
      <c r="D3113" s="953"/>
      <c r="E3113" s="953"/>
      <c r="F3113" s="953"/>
      <c r="G3113" s="953"/>
      <c r="H3113" s="953"/>
    </row>
    <row r="3114" spans="1:8" s="943" customFormat="1" x14ac:dyDescent="0.25">
      <c r="A3114" s="952"/>
      <c r="B3114" s="953"/>
      <c r="C3114" s="953"/>
      <c r="D3114" s="953"/>
      <c r="E3114" s="953"/>
      <c r="F3114" s="953"/>
      <c r="G3114" s="953"/>
      <c r="H3114" s="953"/>
    </row>
    <row r="3115" spans="1:8" s="943" customFormat="1" x14ac:dyDescent="0.25">
      <c r="A3115" s="952"/>
      <c r="B3115" s="953"/>
      <c r="C3115" s="953"/>
      <c r="D3115" s="953"/>
      <c r="E3115" s="953"/>
      <c r="F3115" s="953"/>
      <c r="G3115" s="953"/>
      <c r="H3115" s="953"/>
    </row>
    <row r="3116" spans="1:8" s="943" customFormat="1" x14ac:dyDescent="0.25">
      <c r="A3116" s="952"/>
      <c r="B3116" s="953"/>
      <c r="C3116" s="953"/>
      <c r="D3116" s="953"/>
      <c r="E3116" s="953"/>
      <c r="F3116" s="953"/>
      <c r="G3116" s="953"/>
      <c r="H3116" s="953"/>
    </row>
    <row r="3117" spans="1:8" s="943" customFormat="1" x14ac:dyDescent="0.25">
      <c r="A3117" s="952"/>
      <c r="B3117" s="953"/>
      <c r="C3117" s="953"/>
      <c r="D3117" s="953"/>
      <c r="E3117" s="953"/>
      <c r="F3117" s="953"/>
      <c r="G3117" s="953"/>
      <c r="H3117" s="953"/>
    </row>
    <row r="3118" spans="1:8" s="943" customFormat="1" x14ac:dyDescent="0.25">
      <c r="A3118" s="952"/>
      <c r="B3118" s="953"/>
      <c r="C3118" s="953"/>
      <c r="D3118" s="953"/>
      <c r="E3118" s="953"/>
      <c r="F3118" s="953"/>
      <c r="G3118" s="953"/>
      <c r="H3118" s="953"/>
    </row>
    <row r="3119" spans="1:8" s="943" customFormat="1" x14ac:dyDescent="0.25">
      <c r="A3119" s="952"/>
      <c r="B3119" s="953"/>
      <c r="C3119" s="953"/>
      <c r="D3119" s="953"/>
      <c r="E3119" s="953"/>
      <c r="F3119" s="953"/>
      <c r="G3119" s="953"/>
      <c r="H3119" s="953"/>
    </row>
    <row r="3120" spans="1:8" s="943" customFormat="1" x14ac:dyDescent="0.25">
      <c r="A3120" s="952"/>
      <c r="B3120" s="953"/>
      <c r="C3120" s="953"/>
      <c r="D3120" s="953"/>
      <c r="E3120" s="953"/>
      <c r="F3120" s="953"/>
      <c r="G3120" s="953"/>
      <c r="H3120" s="953"/>
    </row>
    <row r="3121" spans="1:8" s="943" customFormat="1" x14ac:dyDescent="0.25">
      <c r="A3121" s="952"/>
      <c r="B3121" s="953"/>
      <c r="C3121" s="953"/>
      <c r="D3121" s="953"/>
      <c r="E3121" s="953"/>
      <c r="F3121" s="953"/>
      <c r="G3121" s="953"/>
      <c r="H3121" s="953"/>
    </row>
    <row r="3122" spans="1:8" s="943" customFormat="1" x14ac:dyDescent="0.25">
      <c r="A3122" s="952"/>
      <c r="B3122" s="953"/>
      <c r="C3122" s="953"/>
      <c r="D3122" s="953"/>
      <c r="E3122" s="953"/>
      <c r="F3122" s="953"/>
      <c r="G3122" s="953"/>
      <c r="H3122" s="953"/>
    </row>
    <row r="3123" spans="1:8" s="943" customFormat="1" x14ac:dyDescent="0.25">
      <c r="A3123" s="952"/>
      <c r="B3123" s="953"/>
      <c r="C3123" s="953"/>
      <c r="D3123" s="953"/>
      <c r="E3123" s="953"/>
      <c r="F3123" s="953"/>
      <c r="G3123" s="953"/>
      <c r="H3123" s="953"/>
    </row>
    <row r="3124" spans="1:8" s="943" customFormat="1" x14ac:dyDescent="0.25">
      <c r="A3124" s="952"/>
      <c r="B3124" s="953"/>
      <c r="C3124" s="953"/>
      <c r="D3124" s="953"/>
      <c r="E3124" s="953"/>
      <c r="F3124" s="953"/>
      <c r="G3124" s="953"/>
      <c r="H3124" s="953"/>
    </row>
    <row r="3125" spans="1:8" s="943" customFormat="1" x14ac:dyDescent="0.25">
      <c r="A3125" s="952"/>
      <c r="B3125" s="953"/>
      <c r="C3125" s="953"/>
      <c r="D3125" s="953"/>
      <c r="E3125" s="953"/>
      <c r="F3125" s="953"/>
      <c r="G3125" s="953"/>
      <c r="H3125" s="953"/>
    </row>
    <row r="3126" spans="1:8" s="943" customFormat="1" x14ac:dyDescent="0.25">
      <c r="A3126" s="952"/>
      <c r="B3126" s="953"/>
      <c r="C3126" s="953"/>
      <c r="D3126" s="953"/>
      <c r="E3126" s="953"/>
      <c r="F3126" s="953"/>
      <c r="G3126" s="953"/>
      <c r="H3126" s="953"/>
    </row>
    <row r="3127" spans="1:8" s="943" customFormat="1" x14ac:dyDescent="0.25">
      <c r="A3127" s="952"/>
      <c r="B3127" s="953"/>
      <c r="C3127" s="953"/>
      <c r="D3127" s="953"/>
      <c r="E3127" s="953"/>
      <c r="F3127" s="953"/>
      <c r="G3127" s="953"/>
      <c r="H3127" s="953"/>
    </row>
    <row r="3128" spans="1:8" s="943" customFormat="1" x14ac:dyDescent="0.25">
      <c r="A3128" s="952"/>
      <c r="B3128" s="953"/>
      <c r="C3128" s="953"/>
      <c r="D3128" s="953"/>
      <c r="E3128" s="953"/>
      <c r="F3128" s="953"/>
      <c r="G3128" s="953"/>
      <c r="H3128" s="953"/>
    </row>
    <row r="3129" spans="1:8" s="943" customFormat="1" x14ac:dyDescent="0.25">
      <c r="A3129" s="952"/>
      <c r="B3129" s="953"/>
      <c r="C3129" s="953"/>
      <c r="D3129" s="953"/>
      <c r="E3129" s="953"/>
      <c r="F3129" s="953"/>
      <c r="G3129" s="953"/>
      <c r="H3129" s="953"/>
    </row>
    <row r="3130" spans="1:8" s="943" customFormat="1" x14ac:dyDescent="0.25">
      <c r="A3130" s="952"/>
      <c r="B3130" s="953"/>
      <c r="C3130" s="953"/>
      <c r="D3130" s="953"/>
      <c r="E3130" s="953"/>
      <c r="F3130" s="953"/>
      <c r="G3130" s="953"/>
      <c r="H3130" s="953"/>
    </row>
    <row r="3131" spans="1:8" s="943" customFormat="1" x14ac:dyDescent="0.25">
      <c r="A3131" s="952"/>
      <c r="B3131" s="953"/>
      <c r="C3131" s="953"/>
      <c r="D3131" s="953"/>
      <c r="E3131" s="953"/>
      <c r="F3131" s="953"/>
      <c r="G3131" s="953"/>
      <c r="H3131" s="953"/>
    </row>
    <row r="3132" spans="1:8" s="943" customFormat="1" x14ac:dyDescent="0.25">
      <c r="A3132" s="952"/>
      <c r="B3132" s="953"/>
      <c r="C3132" s="953"/>
      <c r="D3132" s="953"/>
      <c r="E3132" s="953"/>
      <c r="F3132" s="953"/>
      <c r="G3132" s="953"/>
      <c r="H3132" s="953"/>
    </row>
    <row r="3133" spans="1:8" s="943" customFormat="1" x14ac:dyDescent="0.25">
      <c r="A3133" s="952"/>
      <c r="B3133" s="953"/>
      <c r="C3133" s="953"/>
      <c r="D3133" s="953"/>
      <c r="E3133" s="953"/>
      <c r="F3133" s="953"/>
      <c r="G3133" s="953"/>
      <c r="H3133" s="953"/>
    </row>
    <row r="3134" spans="1:8" s="943" customFormat="1" x14ac:dyDescent="0.25">
      <c r="A3134" s="952"/>
      <c r="B3134" s="953"/>
      <c r="C3134" s="953"/>
      <c r="D3134" s="953"/>
      <c r="E3134" s="953"/>
      <c r="F3134" s="953"/>
      <c r="G3134" s="953"/>
      <c r="H3134" s="953"/>
    </row>
    <row r="3135" spans="1:8" s="943" customFormat="1" x14ac:dyDescent="0.25">
      <c r="A3135" s="952"/>
      <c r="B3135" s="953"/>
      <c r="C3135" s="953"/>
      <c r="D3135" s="953"/>
      <c r="E3135" s="953"/>
      <c r="F3135" s="953"/>
      <c r="G3135" s="953"/>
      <c r="H3135" s="953"/>
    </row>
    <row r="3136" spans="1:8" s="943" customFormat="1" x14ac:dyDescent="0.25">
      <c r="A3136" s="952"/>
      <c r="B3136" s="953"/>
      <c r="C3136" s="953"/>
      <c r="D3136" s="953"/>
      <c r="E3136" s="953"/>
      <c r="F3136" s="953"/>
      <c r="G3136" s="953"/>
      <c r="H3136" s="953"/>
    </row>
    <row r="3137" spans="1:8" s="943" customFormat="1" x14ac:dyDescent="0.25">
      <c r="A3137" s="952"/>
      <c r="B3137" s="953"/>
      <c r="C3137" s="953"/>
      <c r="D3137" s="953"/>
      <c r="E3137" s="953"/>
      <c r="F3137" s="953"/>
      <c r="G3137" s="953"/>
      <c r="H3137" s="953"/>
    </row>
    <row r="3138" spans="1:8" s="943" customFormat="1" x14ac:dyDescent="0.25">
      <c r="A3138" s="952"/>
      <c r="B3138" s="953"/>
      <c r="C3138" s="953"/>
      <c r="D3138" s="953"/>
      <c r="E3138" s="953"/>
      <c r="F3138" s="953"/>
      <c r="G3138" s="953"/>
      <c r="H3138" s="953"/>
    </row>
    <row r="3139" spans="1:8" s="943" customFormat="1" x14ac:dyDescent="0.25">
      <c r="A3139" s="952"/>
      <c r="B3139" s="953"/>
      <c r="C3139" s="953"/>
      <c r="D3139" s="953"/>
      <c r="E3139" s="953"/>
      <c r="F3139" s="953"/>
      <c r="G3139" s="953"/>
      <c r="H3139" s="953"/>
    </row>
    <row r="3140" spans="1:8" s="943" customFormat="1" x14ac:dyDescent="0.25">
      <c r="A3140" s="952"/>
      <c r="B3140" s="953"/>
      <c r="C3140" s="953"/>
      <c r="D3140" s="953"/>
      <c r="E3140" s="953"/>
      <c r="F3140" s="953"/>
      <c r="G3140" s="953"/>
      <c r="H3140" s="953"/>
    </row>
    <row r="3141" spans="1:8" s="943" customFormat="1" x14ac:dyDescent="0.25">
      <c r="A3141" s="952"/>
      <c r="B3141" s="953"/>
      <c r="C3141" s="953"/>
      <c r="D3141" s="953"/>
      <c r="E3141" s="953"/>
      <c r="F3141" s="953"/>
      <c r="G3141" s="953"/>
      <c r="H3141" s="953"/>
    </row>
    <row r="3142" spans="1:8" s="943" customFormat="1" x14ac:dyDescent="0.25">
      <c r="A3142" s="952"/>
      <c r="B3142" s="953"/>
      <c r="C3142" s="953"/>
      <c r="D3142" s="953"/>
      <c r="E3142" s="953"/>
      <c r="F3142" s="953"/>
      <c r="G3142" s="953"/>
      <c r="H3142" s="953"/>
    </row>
    <row r="3143" spans="1:8" s="943" customFormat="1" x14ac:dyDescent="0.25">
      <c r="A3143" s="952"/>
      <c r="B3143" s="953"/>
      <c r="C3143" s="953"/>
      <c r="D3143" s="953"/>
      <c r="E3143" s="953"/>
      <c r="F3143" s="953"/>
      <c r="G3143" s="953"/>
      <c r="H3143" s="953"/>
    </row>
    <row r="3144" spans="1:8" s="943" customFormat="1" x14ac:dyDescent="0.25">
      <c r="A3144" s="952"/>
      <c r="B3144" s="953"/>
      <c r="C3144" s="953"/>
      <c r="D3144" s="953"/>
      <c r="E3144" s="953"/>
      <c r="F3144" s="953"/>
      <c r="G3144" s="953"/>
      <c r="H3144" s="953"/>
    </row>
    <row r="3145" spans="1:8" s="943" customFormat="1" x14ac:dyDescent="0.25">
      <c r="A3145" s="952"/>
      <c r="B3145" s="953"/>
      <c r="C3145" s="953"/>
      <c r="D3145" s="953"/>
      <c r="E3145" s="953"/>
      <c r="F3145" s="953"/>
      <c r="G3145" s="953"/>
      <c r="H3145" s="953"/>
    </row>
    <row r="3146" spans="1:8" s="943" customFormat="1" x14ac:dyDescent="0.25">
      <c r="A3146" s="952"/>
      <c r="B3146" s="953"/>
      <c r="C3146" s="953"/>
      <c r="D3146" s="953"/>
      <c r="E3146" s="953"/>
      <c r="F3146" s="953"/>
      <c r="G3146" s="953"/>
      <c r="H3146" s="953"/>
    </row>
    <row r="3147" spans="1:8" s="943" customFormat="1" x14ac:dyDescent="0.25">
      <c r="A3147" s="952"/>
      <c r="B3147" s="953"/>
      <c r="C3147" s="953"/>
      <c r="D3147" s="953"/>
      <c r="E3147" s="953"/>
      <c r="F3147" s="953"/>
      <c r="G3147" s="953"/>
      <c r="H3147" s="953"/>
    </row>
    <row r="3148" spans="1:8" s="943" customFormat="1" x14ac:dyDescent="0.25">
      <c r="A3148" s="952"/>
      <c r="B3148" s="953"/>
      <c r="C3148" s="953"/>
      <c r="D3148" s="953"/>
      <c r="E3148" s="953"/>
      <c r="F3148" s="953"/>
      <c r="G3148" s="953"/>
      <c r="H3148" s="953"/>
    </row>
    <row r="3149" spans="1:8" s="943" customFormat="1" x14ac:dyDescent="0.25">
      <c r="A3149" s="952"/>
      <c r="B3149" s="953"/>
      <c r="C3149" s="953"/>
      <c r="D3149" s="953"/>
      <c r="E3149" s="953"/>
      <c r="F3149" s="953"/>
      <c r="G3149" s="953"/>
      <c r="H3149" s="953"/>
    </row>
    <row r="3150" spans="1:8" s="943" customFormat="1" x14ac:dyDescent="0.25">
      <c r="A3150" s="952"/>
      <c r="B3150" s="953"/>
      <c r="C3150" s="953"/>
      <c r="D3150" s="953"/>
      <c r="E3150" s="953"/>
      <c r="F3150" s="953"/>
      <c r="G3150" s="953"/>
      <c r="H3150" s="953"/>
    </row>
    <row r="3151" spans="1:8" s="943" customFormat="1" x14ac:dyDescent="0.25">
      <c r="A3151" s="952"/>
      <c r="B3151" s="953"/>
      <c r="C3151" s="953"/>
      <c r="D3151" s="953"/>
      <c r="E3151" s="953"/>
      <c r="F3151" s="953"/>
      <c r="G3151" s="953"/>
      <c r="H3151" s="953"/>
    </row>
    <row r="3152" spans="1:8" s="943" customFormat="1" x14ac:dyDescent="0.25">
      <c r="A3152" s="952"/>
      <c r="B3152" s="953"/>
      <c r="C3152" s="953"/>
      <c r="D3152" s="953"/>
      <c r="E3152" s="953"/>
      <c r="F3152" s="953"/>
      <c r="G3152" s="953"/>
      <c r="H3152" s="953"/>
    </row>
    <row r="3153" spans="1:8" s="943" customFormat="1" x14ac:dyDescent="0.25">
      <c r="A3153" s="952"/>
      <c r="B3153" s="953"/>
      <c r="C3153" s="953"/>
      <c r="D3153" s="953"/>
      <c r="E3153" s="953"/>
      <c r="F3153" s="953"/>
      <c r="G3153" s="953"/>
      <c r="H3153" s="953"/>
    </row>
    <row r="3154" spans="1:8" s="943" customFormat="1" x14ac:dyDescent="0.25">
      <c r="A3154" s="952"/>
      <c r="B3154" s="953"/>
      <c r="C3154" s="953"/>
      <c r="D3154" s="953"/>
      <c r="E3154" s="953"/>
      <c r="F3154" s="953"/>
      <c r="G3154" s="953"/>
      <c r="H3154" s="953"/>
    </row>
    <row r="3155" spans="1:8" s="943" customFormat="1" x14ac:dyDescent="0.25">
      <c r="A3155" s="952"/>
      <c r="B3155" s="953"/>
      <c r="C3155" s="953"/>
      <c r="D3155" s="953"/>
      <c r="E3155" s="953"/>
      <c r="F3155" s="953"/>
      <c r="G3155" s="953"/>
      <c r="H3155" s="953"/>
    </row>
    <row r="3156" spans="1:8" s="943" customFormat="1" x14ac:dyDescent="0.25">
      <c r="A3156" s="952"/>
      <c r="B3156" s="953"/>
      <c r="C3156" s="953"/>
      <c r="D3156" s="953"/>
      <c r="E3156" s="953"/>
      <c r="F3156" s="953"/>
      <c r="G3156" s="953"/>
      <c r="H3156" s="953"/>
    </row>
    <row r="3157" spans="1:8" s="943" customFormat="1" x14ac:dyDescent="0.25">
      <c r="A3157" s="952"/>
      <c r="B3157" s="953"/>
      <c r="C3157" s="953"/>
      <c r="D3157" s="953"/>
      <c r="E3157" s="953"/>
      <c r="F3157" s="953"/>
      <c r="G3157" s="953"/>
      <c r="H3157" s="953"/>
    </row>
    <row r="3158" spans="1:8" s="943" customFormat="1" x14ac:dyDescent="0.25">
      <c r="A3158" s="952"/>
      <c r="B3158" s="953"/>
      <c r="C3158" s="953"/>
      <c r="D3158" s="953"/>
      <c r="E3158" s="953"/>
      <c r="F3158" s="953"/>
      <c r="G3158" s="953"/>
      <c r="H3158" s="953"/>
    </row>
    <row r="3159" spans="1:8" s="943" customFormat="1" x14ac:dyDescent="0.25">
      <c r="A3159" s="952"/>
      <c r="B3159" s="953"/>
      <c r="C3159" s="953"/>
      <c r="D3159" s="953"/>
      <c r="E3159" s="953"/>
      <c r="F3159" s="953"/>
      <c r="G3159" s="953"/>
      <c r="H3159" s="953"/>
    </row>
    <row r="3160" spans="1:8" s="943" customFormat="1" x14ac:dyDescent="0.25">
      <c r="A3160" s="952"/>
      <c r="B3160" s="953"/>
      <c r="C3160" s="953"/>
      <c r="D3160" s="953"/>
      <c r="E3160" s="953"/>
      <c r="F3160" s="953"/>
      <c r="G3160" s="953"/>
      <c r="H3160" s="953"/>
    </row>
    <row r="3161" spans="1:8" s="943" customFormat="1" x14ac:dyDescent="0.25">
      <c r="A3161" s="952"/>
      <c r="B3161" s="953"/>
      <c r="C3161" s="953"/>
      <c r="D3161" s="953"/>
      <c r="E3161" s="953"/>
      <c r="F3161" s="953"/>
      <c r="G3161" s="953"/>
      <c r="H3161" s="953"/>
    </row>
    <row r="3162" spans="1:8" s="943" customFormat="1" x14ac:dyDescent="0.25">
      <c r="A3162" s="952"/>
      <c r="B3162" s="953"/>
      <c r="C3162" s="953"/>
      <c r="D3162" s="953"/>
      <c r="E3162" s="953"/>
      <c r="F3162" s="953"/>
      <c r="G3162" s="953"/>
      <c r="H3162" s="953"/>
    </row>
    <row r="3163" spans="1:8" s="943" customFormat="1" x14ac:dyDescent="0.25">
      <c r="A3163" s="952"/>
      <c r="B3163" s="953"/>
      <c r="C3163" s="953"/>
      <c r="D3163" s="953"/>
      <c r="E3163" s="953"/>
      <c r="F3163" s="953"/>
      <c r="G3163" s="953"/>
      <c r="H3163" s="953"/>
    </row>
    <row r="3164" spans="1:8" s="943" customFormat="1" x14ac:dyDescent="0.25">
      <c r="A3164" s="952"/>
      <c r="B3164" s="953"/>
      <c r="C3164" s="953"/>
      <c r="D3164" s="953"/>
      <c r="E3164" s="953"/>
      <c r="F3164" s="953"/>
      <c r="G3164" s="953"/>
      <c r="H3164" s="953"/>
    </row>
    <row r="3165" spans="1:8" s="943" customFormat="1" x14ac:dyDescent="0.25">
      <c r="A3165" s="952"/>
      <c r="B3165" s="953"/>
      <c r="C3165" s="953"/>
      <c r="D3165" s="953"/>
      <c r="E3165" s="953"/>
      <c r="F3165" s="953"/>
      <c r="G3165" s="953"/>
      <c r="H3165" s="953"/>
    </row>
    <row r="3166" spans="1:8" s="943" customFormat="1" x14ac:dyDescent="0.25">
      <c r="A3166" s="952"/>
      <c r="B3166" s="953"/>
      <c r="C3166" s="953"/>
      <c r="D3166" s="953"/>
      <c r="E3166" s="953"/>
      <c r="F3166" s="953"/>
      <c r="G3166" s="953"/>
      <c r="H3166" s="953"/>
    </row>
    <row r="3167" spans="1:8" s="943" customFormat="1" x14ac:dyDescent="0.25">
      <c r="A3167" s="952"/>
      <c r="B3167" s="953"/>
      <c r="C3167" s="953"/>
      <c r="D3167" s="953"/>
      <c r="E3167" s="953"/>
      <c r="F3167" s="953"/>
      <c r="G3167" s="953"/>
      <c r="H3167" s="953"/>
    </row>
    <row r="3168" spans="1:8" s="943" customFormat="1" x14ac:dyDescent="0.25">
      <c r="A3168" s="952"/>
      <c r="B3168" s="953"/>
      <c r="C3168" s="953"/>
      <c r="D3168" s="953"/>
      <c r="E3168" s="953"/>
      <c r="F3168" s="953"/>
      <c r="G3168" s="953"/>
      <c r="H3168" s="953"/>
    </row>
    <row r="3169" spans="1:8" s="943" customFormat="1" x14ac:dyDescent="0.25">
      <c r="A3169" s="952"/>
      <c r="B3169" s="953"/>
      <c r="C3169" s="953"/>
      <c r="D3169" s="953"/>
      <c r="E3169" s="953"/>
      <c r="F3169" s="953"/>
      <c r="G3169" s="953"/>
      <c r="H3169" s="953"/>
    </row>
    <row r="3170" spans="1:8" s="943" customFormat="1" x14ac:dyDescent="0.25">
      <c r="A3170" s="952"/>
      <c r="B3170" s="953"/>
      <c r="C3170" s="953"/>
      <c r="D3170" s="953"/>
      <c r="E3170" s="953"/>
      <c r="F3170" s="953"/>
      <c r="G3170" s="953"/>
      <c r="H3170" s="953"/>
    </row>
    <row r="3171" spans="1:8" s="943" customFormat="1" x14ac:dyDescent="0.25">
      <c r="A3171" s="952"/>
      <c r="B3171" s="953"/>
      <c r="C3171" s="953"/>
      <c r="D3171" s="953"/>
      <c r="E3171" s="953"/>
      <c r="F3171" s="953"/>
      <c r="G3171" s="953"/>
      <c r="H3171" s="953"/>
    </row>
    <row r="3172" spans="1:8" s="943" customFormat="1" x14ac:dyDescent="0.25">
      <c r="A3172" s="952"/>
      <c r="B3172" s="953"/>
      <c r="C3172" s="953"/>
      <c r="D3172" s="953"/>
      <c r="E3172" s="953"/>
      <c r="F3172" s="953"/>
      <c r="G3172" s="953"/>
      <c r="H3172" s="953"/>
    </row>
    <row r="3173" spans="1:8" s="943" customFormat="1" x14ac:dyDescent="0.25">
      <c r="A3173" s="952"/>
      <c r="B3173" s="953"/>
      <c r="C3173" s="953"/>
      <c r="D3173" s="953"/>
      <c r="E3173" s="953"/>
      <c r="F3173" s="953"/>
      <c r="G3173" s="953"/>
      <c r="H3173" s="953"/>
    </row>
    <row r="3174" spans="1:8" s="943" customFormat="1" x14ac:dyDescent="0.25">
      <c r="A3174" s="952"/>
      <c r="B3174" s="953"/>
      <c r="C3174" s="953"/>
      <c r="D3174" s="953"/>
      <c r="E3174" s="953"/>
      <c r="F3174" s="953"/>
      <c r="G3174" s="953"/>
      <c r="H3174" s="953"/>
    </row>
    <row r="3175" spans="1:8" s="943" customFormat="1" x14ac:dyDescent="0.25">
      <c r="A3175" s="952"/>
      <c r="B3175" s="953"/>
      <c r="C3175" s="953"/>
      <c r="D3175" s="953"/>
      <c r="E3175" s="953"/>
      <c r="F3175" s="953"/>
      <c r="G3175" s="953"/>
      <c r="H3175" s="953"/>
    </row>
    <row r="3176" spans="1:8" s="943" customFormat="1" x14ac:dyDescent="0.25">
      <c r="A3176" s="952"/>
      <c r="B3176" s="953"/>
      <c r="C3176" s="953"/>
      <c r="D3176" s="953"/>
      <c r="E3176" s="953"/>
      <c r="F3176" s="953"/>
      <c r="G3176" s="953"/>
      <c r="H3176" s="953"/>
    </row>
    <row r="3177" spans="1:8" s="943" customFormat="1" x14ac:dyDescent="0.25">
      <c r="A3177" s="952"/>
      <c r="B3177" s="953"/>
      <c r="C3177" s="953"/>
      <c r="D3177" s="953"/>
      <c r="E3177" s="953"/>
      <c r="F3177" s="953"/>
      <c r="G3177" s="953"/>
      <c r="H3177" s="953"/>
    </row>
    <row r="3178" spans="1:8" s="943" customFormat="1" x14ac:dyDescent="0.25">
      <c r="A3178" s="952"/>
      <c r="B3178" s="953"/>
      <c r="C3178" s="953"/>
      <c r="D3178" s="953"/>
      <c r="E3178" s="953"/>
      <c r="F3178" s="953"/>
      <c r="G3178" s="953"/>
      <c r="H3178" s="953"/>
    </row>
    <row r="3179" spans="1:8" s="943" customFormat="1" x14ac:dyDescent="0.25">
      <c r="A3179" s="952"/>
      <c r="B3179" s="953"/>
      <c r="C3179" s="953"/>
      <c r="D3179" s="953"/>
      <c r="E3179" s="953"/>
      <c r="F3179" s="953"/>
      <c r="G3179" s="953"/>
      <c r="H3179" s="953"/>
    </row>
    <row r="3180" spans="1:8" s="943" customFormat="1" x14ac:dyDescent="0.25">
      <c r="A3180" s="952"/>
      <c r="B3180" s="953"/>
      <c r="C3180" s="953"/>
      <c r="D3180" s="953"/>
      <c r="E3180" s="953"/>
      <c r="F3180" s="953"/>
      <c r="G3180" s="953"/>
      <c r="H3180" s="953"/>
    </row>
    <row r="3181" spans="1:8" s="943" customFormat="1" x14ac:dyDescent="0.25">
      <c r="A3181" s="952"/>
      <c r="B3181" s="953"/>
      <c r="C3181" s="953"/>
      <c r="D3181" s="953"/>
      <c r="E3181" s="953"/>
      <c r="F3181" s="953"/>
      <c r="G3181" s="953"/>
      <c r="H3181" s="953"/>
    </row>
    <row r="3182" spans="1:8" s="943" customFormat="1" x14ac:dyDescent="0.25">
      <c r="A3182" s="952"/>
      <c r="B3182" s="953"/>
      <c r="C3182" s="953"/>
      <c r="D3182" s="953"/>
      <c r="E3182" s="953"/>
      <c r="F3182" s="953"/>
      <c r="G3182" s="953"/>
      <c r="H3182" s="953"/>
    </row>
    <row r="3183" spans="1:8" s="943" customFormat="1" x14ac:dyDescent="0.25">
      <c r="A3183" s="952"/>
      <c r="B3183" s="953"/>
      <c r="C3183" s="953"/>
      <c r="D3183" s="953"/>
      <c r="E3183" s="953"/>
      <c r="F3183" s="953"/>
      <c r="G3183" s="953"/>
      <c r="H3183" s="953"/>
    </row>
    <row r="3184" spans="1:8" s="943" customFormat="1" x14ac:dyDescent="0.25">
      <c r="A3184" s="952"/>
      <c r="B3184" s="953"/>
      <c r="C3184" s="953"/>
      <c r="D3184" s="953"/>
      <c r="E3184" s="953"/>
      <c r="F3184" s="953"/>
      <c r="G3184" s="953"/>
      <c r="H3184" s="953"/>
    </row>
    <row r="3185" spans="1:8" s="943" customFormat="1" x14ac:dyDescent="0.25">
      <c r="A3185" s="952"/>
      <c r="B3185" s="953"/>
      <c r="C3185" s="953"/>
      <c r="D3185" s="953"/>
      <c r="E3185" s="953"/>
      <c r="F3185" s="953"/>
      <c r="G3185" s="953"/>
      <c r="H3185" s="953"/>
    </row>
    <row r="3186" spans="1:8" s="943" customFormat="1" x14ac:dyDescent="0.25">
      <c r="A3186" s="952"/>
      <c r="B3186" s="953"/>
      <c r="C3186" s="953"/>
      <c r="D3186" s="953"/>
      <c r="E3186" s="953"/>
      <c r="F3186" s="953"/>
      <c r="G3186" s="953"/>
      <c r="H3186" s="953"/>
    </row>
    <row r="3187" spans="1:8" s="943" customFormat="1" x14ac:dyDescent="0.25">
      <c r="A3187" s="952"/>
      <c r="B3187" s="953"/>
      <c r="C3187" s="953"/>
      <c r="D3187" s="953"/>
      <c r="E3187" s="953"/>
      <c r="F3187" s="953"/>
      <c r="G3187" s="953"/>
      <c r="H3187" s="953"/>
    </row>
    <row r="3188" spans="1:8" s="943" customFormat="1" x14ac:dyDescent="0.25">
      <c r="A3188" s="952"/>
      <c r="B3188" s="953"/>
      <c r="C3188" s="953"/>
      <c r="D3188" s="953"/>
      <c r="E3188" s="953"/>
      <c r="F3188" s="953"/>
      <c r="G3188" s="953"/>
      <c r="H3188" s="953"/>
    </row>
    <row r="3189" spans="1:8" s="943" customFormat="1" x14ac:dyDescent="0.25">
      <c r="A3189" s="952"/>
      <c r="B3189" s="953"/>
      <c r="C3189" s="953"/>
      <c r="D3189" s="953"/>
      <c r="E3189" s="953"/>
      <c r="F3189" s="953"/>
      <c r="G3189" s="953"/>
      <c r="H3189" s="953"/>
    </row>
    <row r="3190" spans="1:8" s="943" customFormat="1" x14ac:dyDescent="0.25">
      <c r="A3190" s="952"/>
      <c r="B3190" s="953"/>
      <c r="C3190" s="953"/>
      <c r="D3190" s="953"/>
      <c r="E3190" s="953"/>
      <c r="F3190" s="953"/>
      <c r="G3190" s="953"/>
      <c r="H3190" s="953"/>
    </row>
    <row r="3191" spans="1:8" s="943" customFormat="1" x14ac:dyDescent="0.25">
      <c r="A3191" s="952"/>
      <c r="B3191" s="953"/>
      <c r="C3191" s="953"/>
      <c r="D3191" s="953"/>
      <c r="E3191" s="953"/>
      <c r="F3191" s="953"/>
      <c r="G3191" s="953"/>
      <c r="H3191" s="953"/>
    </row>
    <row r="3192" spans="1:8" s="943" customFormat="1" x14ac:dyDescent="0.25">
      <c r="A3192" s="952"/>
      <c r="B3192" s="953"/>
      <c r="C3192" s="953"/>
      <c r="D3192" s="953"/>
      <c r="E3192" s="953"/>
      <c r="F3192" s="953"/>
      <c r="G3192" s="953"/>
      <c r="H3192" s="953"/>
    </row>
    <row r="3193" spans="1:8" s="943" customFormat="1" x14ac:dyDescent="0.25">
      <c r="A3193" s="952"/>
      <c r="B3193" s="953"/>
      <c r="C3193" s="953"/>
      <c r="D3193" s="953"/>
      <c r="E3193" s="953"/>
      <c r="F3193" s="953"/>
      <c r="G3193" s="953"/>
      <c r="H3193" s="953"/>
    </row>
    <row r="3194" spans="1:8" s="943" customFormat="1" x14ac:dyDescent="0.25">
      <c r="A3194" s="952"/>
      <c r="B3194" s="953"/>
      <c r="C3194" s="953"/>
      <c r="D3194" s="953"/>
      <c r="E3194" s="953"/>
      <c r="F3194" s="953"/>
      <c r="G3194" s="953"/>
      <c r="H3194" s="953"/>
    </row>
    <row r="3195" spans="1:8" s="943" customFormat="1" x14ac:dyDescent="0.25">
      <c r="A3195" s="952"/>
      <c r="B3195" s="953"/>
      <c r="C3195" s="953"/>
      <c r="D3195" s="953"/>
      <c r="E3195" s="953"/>
      <c r="F3195" s="953"/>
      <c r="G3195" s="953"/>
      <c r="H3195" s="953"/>
    </row>
    <row r="3196" spans="1:8" s="943" customFormat="1" x14ac:dyDescent="0.25">
      <c r="A3196" s="952"/>
      <c r="B3196" s="953"/>
      <c r="C3196" s="953"/>
      <c r="D3196" s="953"/>
      <c r="E3196" s="953"/>
      <c r="F3196" s="953"/>
      <c r="G3196" s="953"/>
      <c r="H3196" s="953"/>
    </row>
    <row r="3197" spans="1:8" s="943" customFormat="1" x14ac:dyDescent="0.25">
      <c r="A3197" s="952"/>
      <c r="B3197" s="953"/>
      <c r="C3197" s="953"/>
      <c r="D3197" s="953"/>
      <c r="E3197" s="953"/>
      <c r="F3197" s="953"/>
      <c r="G3197" s="953"/>
      <c r="H3197" s="953"/>
    </row>
    <row r="3198" spans="1:8" s="943" customFormat="1" x14ac:dyDescent="0.25">
      <c r="A3198" s="952"/>
      <c r="B3198" s="953"/>
      <c r="C3198" s="953"/>
      <c r="D3198" s="953"/>
      <c r="E3198" s="953"/>
      <c r="F3198" s="953"/>
      <c r="G3198" s="953"/>
      <c r="H3198" s="953"/>
    </row>
    <row r="3199" spans="1:8" s="943" customFormat="1" x14ac:dyDescent="0.25">
      <c r="A3199" s="952"/>
      <c r="B3199" s="953"/>
      <c r="C3199" s="953"/>
      <c r="D3199" s="953"/>
      <c r="E3199" s="953"/>
      <c r="F3199" s="953"/>
      <c r="G3199" s="953"/>
      <c r="H3199" s="953"/>
    </row>
    <row r="3200" spans="1:8" s="943" customFormat="1" x14ac:dyDescent="0.25">
      <c r="A3200" s="952"/>
      <c r="B3200" s="953"/>
      <c r="C3200" s="953"/>
      <c r="D3200" s="953"/>
      <c r="E3200" s="953"/>
      <c r="F3200" s="953"/>
      <c r="G3200" s="953"/>
      <c r="H3200" s="953"/>
    </row>
    <row r="3201" spans="1:8" s="943" customFormat="1" x14ac:dyDescent="0.25">
      <c r="A3201" s="952"/>
      <c r="B3201" s="953"/>
      <c r="C3201" s="953"/>
      <c r="D3201" s="953"/>
      <c r="E3201" s="953"/>
      <c r="F3201" s="953"/>
      <c r="G3201" s="953"/>
      <c r="H3201" s="953"/>
    </row>
    <row r="3202" spans="1:8" s="943" customFormat="1" x14ac:dyDescent="0.25">
      <c r="A3202" s="952"/>
      <c r="B3202" s="953"/>
      <c r="C3202" s="953"/>
      <c r="D3202" s="953"/>
      <c r="E3202" s="953"/>
      <c r="F3202" s="953"/>
      <c r="G3202" s="953"/>
      <c r="H3202" s="953"/>
    </row>
    <row r="3203" spans="1:8" s="943" customFormat="1" x14ac:dyDescent="0.25">
      <c r="A3203" s="952"/>
      <c r="B3203" s="953"/>
      <c r="C3203" s="953"/>
      <c r="D3203" s="953"/>
      <c r="E3203" s="953"/>
      <c r="F3203" s="953"/>
      <c r="G3203" s="953"/>
      <c r="H3203" s="953"/>
    </row>
    <row r="3204" spans="1:8" s="943" customFormat="1" x14ac:dyDescent="0.25">
      <c r="A3204" s="952"/>
      <c r="B3204" s="953"/>
      <c r="C3204" s="953"/>
      <c r="D3204" s="953"/>
      <c r="E3204" s="953"/>
      <c r="F3204" s="953"/>
      <c r="G3204" s="953"/>
      <c r="H3204" s="953"/>
    </row>
    <row r="3205" spans="1:8" s="943" customFormat="1" x14ac:dyDescent="0.25">
      <c r="A3205" s="952"/>
      <c r="B3205" s="953"/>
      <c r="C3205" s="953"/>
      <c r="D3205" s="953"/>
      <c r="E3205" s="953"/>
      <c r="F3205" s="953"/>
      <c r="G3205" s="953"/>
      <c r="H3205" s="953"/>
    </row>
    <row r="3206" spans="1:8" s="943" customFormat="1" x14ac:dyDescent="0.25">
      <c r="A3206" s="952"/>
      <c r="B3206" s="953"/>
      <c r="C3206" s="953"/>
      <c r="D3206" s="953"/>
      <c r="E3206" s="953"/>
      <c r="F3206" s="953"/>
      <c r="G3206" s="953"/>
      <c r="H3206" s="953"/>
    </row>
    <row r="3207" spans="1:8" s="943" customFormat="1" x14ac:dyDescent="0.25">
      <c r="A3207" s="952"/>
      <c r="B3207" s="953"/>
      <c r="C3207" s="953"/>
      <c r="D3207" s="953"/>
      <c r="E3207" s="953"/>
      <c r="F3207" s="953"/>
      <c r="G3207" s="953"/>
      <c r="H3207" s="953"/>
    </row>
    <row r="3208" spans="1:8" s="943" customFormat="1" x14ac:dyDescent="0.25">
      <c r="A3208" s="952"/>
      <c r="B3208" s="953"/>
      <c r="C3208" s="953"/>
      <c r="D3208" s="953"/>
      <c r="E3208" s="953"/>
      <c r="F3208" s="953"/>
      <c r="G3208" s="953"/>
      <c r="H3208" s="953"/>
    </row>
    <row r="3209" spans="1:8" s="943" customFormat="1" x14ac:dyDescent="0.25">
      <c r="A3209" s="952"/>
      <c r="B3209" s="953"/>
      <c r="C3209" s="953"/>
      <c r="D3209" s="953"/>
      <c r="E3209" s="953"/>
      <c r="F3209" s="953"/>
      <c r="G3209" s="953"/>
      <c r="H3209" s="953"/>
    </row>
    <row r="3210" spans="1:8" s="943" customFormat="1" x14ac:dyDescent="0.25">
      <c r="A3210" s="952"/>
      <c r="B3210" s="953"/>
      <c r="C3210" s="953"/>
      <c r="D3210" s="953"/>
      <c r="E3210" s="953"/>
      <c r="F3210" s="953"/>
      <c r="G3210" s="953"/>
      <c r="H3210" s="953"/>
    </row>
    <row r="3211" spans="1:8" s="943" customFormat="1" x14ac:dyDescent="0.25">
      <c r="A3211" s="952"/>
      <c r="B3211" s="953"/>
      <c r="C3211" s="953"/>
      <c r="D3211" s="953"/>
      <c r="E3211" s="953"/>
      <c r="F3211" s="953"/>
      <c r="G3211" s="953"/>
      <c r="H3211" s="953"/>
    </row>
    <row r="3212" spans="1:8" s="943" customFormat="1" x14ac:dyDescent="0.25">
      <c r="A3212" s="952"/>
      <c r="B3212" s="953"/>
      <c r="C3212" s="953"/>
      <c r="D3212" s="953"/>
      <c r="E3212" s="953"/>
      <c r="F3212" s="953"/>
      <c r="G3212" s="953"/>
      <c r="H3212" s="953"/>
    </row>
    <row r="3213" spans="1:8" s="943" customFormat="1" x14ac:dyDescent="0.25">
      <c r="A3213" s="952"/>
      <c r="B3213" s="953"/>
      <c r="C3213" s="953"/>
      <c r="D3213" s="953"/>
      <c r="E3213" s="953"/>
      <c r="F3213" s="953"/>
      <c r="G3213" s="953"/>
      <c r="H3213" s="953"/>
    </row>
    <row r="3214" spans="1:8" s="943" customFormat="1" x14ac:dyDescent="0.25">
      <c r="A3214" s="952"/>
      <c r="B3214" s="953"/>
      <c r="C3214" s="953"/>
      <c r="D3214" s="953"/>
      <c r="E3214" s="953"/>
      <c r="F3214" s="953"/>
      <c r="G3214" s="953"/>
      <c r="H3214" s="953"/>
    </row>
    <row r="3215" spans="1:8" s="943" customFormat="1" x14ac:dyDescent="0.25">
      <c r="A3215" s="952"/>
      <c r="B3215" s="953"/>
      <c r="C3215" s="953"/>
      <c r="D3215" s="953"/>
      <c r="E3215" s="953"/>
      <c r="F3215" s="953"/>
      <c r="G3215" s="953"/>
      <c r="H3215" s="953"/>
    </row>
    <row r="3216" spans="1:8" s="943" customFormat="1" x14ac:dyDescent="0.25">
      <c r="A3216" s="952"/>
      <c r="B3216" s="953"/>
      <c r="C3216" s="953"/>
      <c r="D3216" s="953"/>
      <c r="E3216" s="953"/>
      <c r="F3216" s="953"/>
      <c r="G3216" s="953"/>
      <c r="H3216" s="953"/>
    </row>
    <row r="3217" spans="1:8" s="943" customFormat="1" x14ac:dyDescent="0.25">
      <c r="A3217" s="952"/>
      <c r="B3217" s="953"/>
      <c r="C3217" s="953"/>
      <c r="D3217" s="953"/>
      <c r="E3217" s="953"/>
      <c r="F3217" s="953"/>
      <c r="G3217" s="953"/>
      <c r="H3217" s="953"/>
    </row>
    <row r="3218" spans="1:8" s="943" customFormat="1" x14ac:dyDescent="0.25">
      <c r="A3218" s="952"/>
      <c r="B3218" s="953"/>
      <c r="C3218" s="953"/>
      <c r="D3218" s="953"/>
      <c r="E3218" s="953"/>
      <c r="F3218" s="953"/>
      <c r="G3218" s="953"/>
      <c r="H3218" s="953"/>
    </row>
    <row r="3219" spans="1:8" s="943" customFormat="1" x14ac:dyDescent="0.25">
      <c r="A3219" s="952"/>
      <c r="B3219" s="953"/>
      <c r="C3219" s="953"/>
      <c r="D3219" s="953"/>
      <c r="E3219" s="953"/>
      <c r="F3219" s="953"/>
      <c r="G3219" s="953"/>
      <c r="H3219" s="953"/>
    </row>
    <row r="3220" spans="1:8" s="943" customFormat="1" x14ac:dyDescent="0.25">
      <c r="A3220" s="952"/>
      <c r="B3220" s="953"/>
      <c r="C3220" s="953"/>
      <c r="D3220" s="953"/>
      <c r="E3220" s="953"/>
      <c r="F3220" s="953"/>
      <c r="G3220" s="953"/>
      <c r="H3220" s="953"/>
    </row>
    <row r="3221" spans="1:8" s="943" customFormat="1" x14ac:dyDescent="0.25">
      <c r="A3221" s="952"/>
      <c r="B3221" s="953"/>
      <c r="C3221" s="953"/>
      <c r="D3221" s="953"/>
      <c r="E3221" s="953"/>
      <c r="F3221" s="953"/>
      <c r="G3221" s="953"/>
      <c r="H3221" s="953"/>
    </row>
    <row r="3222" spans="1:8" s="943" customFormat="1" x14ac:dyDescent="0.25">
      <c r="A3222" s="952"/>
      <c r="B3222" s="953"/>
      <c r="C3222" s="953"/>
      <c r="D3222" s="953"/>
      <c r="E3222" s="953"/>
      <c r="F3222" s="953"/>
      <c r="G3222" s="953"/>
      <c r="H3222" s="953"/>
    </row>
    <row r="3223" spans="1:8" s="943" customFormat="1" x14ac:dyDescent="0.25">
      <c r="A3223" s="952"/>
      <c r="B3223" s="953"/>
      <c r="C3223" s="953"/>
      <c r="D3223" s="953"/>
      <c r="E3223" s="953"/>
      <c r="F3223" s="953"/>
      <c r="G3223" s="953"/>
      <c r="H3223" s="953"/>
    </row>
    <row r="3224" spans="1:8" s="943" customFormat="1" x14ac:dyDescent="0.25">
      <c r="A3224" s="952"/>
      <c r="B3224" s="953"/>
      <c r="C3224" s="953"/>
      <c r="D3224" s="953"/>
      <c r="E3224" s="953"/>
      <c r="F3224" s="953"/>
      <c r="G3224" s="953"/>
      <c r="H3224" s="953"/>
    </row>
    <row r="3225" spans="1:8" s="943" customFormat="1" x14ac:dyDescent="0.25">
      <c r="A3225" s="952"/>
      <c r="B3225" s="953"/>
      <c r="C3225" s="953"/>
      <c r="D3225" s="953"/>
      <c r="E3225" s="953"/>
      <c r="F3225" s="953"/>
      <c r="G3225" s="953"/>
      <c r="H3225" s="953"/>
    </row>
    <row r="3226" spans="1:8" s="943" customFormat="1" x14ac:dyDescent="0.25">
      <c r="A3226" s="952"/>
      <c r="B3226" s="953"/>
      <c r="C3226" s="953"/>
      <c r="D3226" s="953"/>
      <c r="E3226" s="953"/>
      <c r="F3226" s="953"/>
      <c r="G3226" s="953"/>
      <c r="H3226" s="953"/>
    </row>
    <row r="3227" spans="1:8" s="943" customFormat="1" x14ac:dyDescent="0.25">
      <c r="A3227" s="952"/>
      <c r="B3227" s="953"/>
      <c r="C3227" s="953"/>
      <c r="D3227" s="953"/>
      <c r="E3227" s="953"/>
      <c r="F3227" s="953"/>
      <c r="G3227" s="953"/>
      <c r="H3227" s="953"/>
    </row>
    <row r="3228" spans="1:8" s="943" customFormat="1" x14ac:dyDescent="0.25">
      <c r="A3228" s="952"/>
      <c r="B3228" s="953"/>
      <c r="C3228" s="953"/>
      <c r="D3228" s="953"/>
      <c r="E3228" s="953"/>
      <c r="F3228" s="953"/>
      <c r="G3228" s="953"/>
      <c r="H3228" s="953"/>
    </row>
    <row r="3229" spans="1:8" s="943" customFormat="1" x14ac:dyDescent="0.25">
      <c r="A3229" s="952"/>
      <c r="B3229" s="953"/>
      <c r="C3229" s="953"/>
      <c r="D3229" s="953"/>
      <c r="E3229" s="953"/>
      <c r="F3229" s="953"/>
      <c r="G3229" s="953"/>
      <c r="H3229" s="953"/>
    </row>
    <row r="3230" spans="1:8" s="943" customFormat="1" x14ac:dyDescent="0.25">
      <c r="A3230" s="952"/>
      <c r="B3230" s="953"/>
      <c r="C3230" s="953"/>
      <c r="D3230" s="953"/>
      <c r="E3230" s="953"/>
      <c r="F3230" s="953"/>
      <c r="G3230" s="953"/>
      <c r="H3230" s="953"/>
    </row>
    <row r="3231" spans="1:8" s="943" customFormat="1" x14ac:dyDescent="0.25">
      <c r="A3231" s="952"/>
      <c r="B3231" s="953"/>
      <c r="C3231" s="953"/>
      <c r="D3231" s="953"/>
      <c r="E3231" s="953"/>
      <c r="F3231" s="953"/>
      <c r="G3231" s="953"/>
      <c r="H3231" s="953"/>
    </row>
    <row r="3232" spans="1:8" s="943" customFormat="1" x14ac:dyDescent="0.25">
      <c r="A3232" s="952"/>
      <c r="B3232" s="953"/>
      <c r="C3232" s="953"/>
      <c r="D3232" s="953"/>
      <c r="E3232" s="953"/>
      <c r="F3232" s="953"/>
      <c r="G3232" s="953"/>
      <c r="H3232" s="953"/>
    </row>
    <row r="3233" spans="1:8" s="943" customFormat="1" x14ac:dyDescent="0.25">
      <c r="A3233" s="952"/>
      <c r="B3233" s="953"/>
      <c r="C3233" s="953"/>
      <c r="D3233" s="953"/>
      <c r="E3233" s="953"/>
      <c r="F3233" s="953"/>
      <c r="G3233" s="953"/>
      <c r="H3233" s="953"/>
    </row>
    <row r="3234" spans="1:8" s="943" customFormat="1" x14ac:dyDescent="0.25">
      <c r="A3234" s="952"/>
      <c r="B3234" s="953"/>
      <c r="C3234" s="953"/>
      <c r="D3234" s="953"/>
      <c r="E3234" s="953"/>
      <c r="F3234" s="953"/>
      <c r="G3234" s="953"/>
      <c r="H3234" s="953"/>
    </row>
    <row r="3235" spans="1:8" s="943" customFormat="1" x14ac:dyDescent="0.25">
      <c r="A3235" s="952"/>
      <c r="B3235" s="953"/>
      <c r="C3235" s="953"/>
      <c r="D3235" s="953"/>
      <c r="E3235" s="953"/>
      <c r="F3235" s="953"/>
      <c r="G3235" s="953"/>
      <c r="H3235" s="953"/>
    </row>
    <row r="3236" spans="1:8" s="943" customFormat="1" x14ac:dyDescent="0.25">
      <c r="A3236" s="952"/>
      <c r="B3236" s="953"/>
      <c r="C3236" s="953"/>
      <c r="D3236" s="953"/>
      <c r="E3236" s="953"/>
      <c r="F3236" s="953"/>
      <c r="G3236" s="953"/>
      <c r="H3236" s="953"/>
    </row>
    <row r="3237" spans="1:8" s="943" customFormat="1" x14ac:dyDescent="0.25">
      <c r="A3237" s="952"/>
      <c r="B3237" s="953"/>
      <c r="C3237" s="953"/>
      <c r="D3237" s="953"/>
      <c r="E3237" s="953"/>
      <c r="F3237" s="953"/>
      <c r="G3237" s="953"/>
      <c r="H3237" s="953"/>
    </row>
    <row r="3238" spans="1:8" s="943" customFormat="1" x14ac:dyDescent="0.25">
      <c r="A3238" s="952"/>
      <c r="B3238" s="953"/>
      <c r="C3238" s="953"/>
      <c r="D3238" s="953"/>
      <c r="E3238" s="953"/>
      <c r="F3238" s="953"/>
      <c r="G3238" s="953"/>
      <c r="H3238" s="953"/>
    </row>
    <row r="3239" spans="1:8" s="943" customFormat="1" x14ac:dyDescent="0.25">
      <c r="A3239" s="952"/>
      <c r="B3239" s="953"/>
      <c r="C3239" s="953"/>
      <c r="D3239" s="953"/>
      <c r="E3239" s="953"/>
      <c r="F3239" s="953"/>
      <c r="G3239" s="953"/>
      <c r="H3239" s="953"/>
    </row>
    <row r="3240" spans="1:8" s="943" customFormat="1" x14ac:dyDescent="0.25">
      <c r="A3240" s="952"/>
      <c r="B3240" s="953"/>
      <c r="C3240" s="953"/>
      <c r="D3240" s="953"/>
      <c r="E3240" s="953"/>
      <c r="F3240" s="953"/>
      <c r="G3240" s="953"/>
      <c r="H3240" s="953"/>
    </row>
    <row r="3241" spans="1:8" s="943" customFormat="1" x14ac:dyDescent="0.25">
      <c r="A3241" s="952"/>
      <c r="B3241" s="953"/>
      <c r="C3241" s="953"/>
      <c r="D3241" s="953"/>
      <c r="E3241" s="953"/>
      <c r="F3241" s="953"/>
      <c r="G3241" s="953"/>
      <c r="H3241" s="953"/>
    </row>
    <row r="3242" spans="1:8" s="943" customFormat="1" x14ac:dyDescent="0.25">
      <c r="A3242" s="952"/>
      <c r="B3242" s="953"/>
      <c r="C3242" s="953"/>
      <c r="D3242" s="953"/>
      <c r="E3242" s="953"/>
      <c r="F3242" s="953"/>
      <c r="G3242" s="953"/>
      <c r="H3242" s="953"/>
    </row>
    <row r="3243" spans="1:8" s="943" customFormat="1" x14ac:dyDescent="0.25">
      <c r="A3243" s="952"/>
      <c r="B3243" s="953"/>
      <c r="C3243" s="953"/>
      <c r="D3243" s="953"/>
      <c r="E3243" s="953"/>
      <c r="F3243" s="953"/>
      <c r="G3243" s="953"/>
      <c r="H3243" s="953"/>
    </row>
    <row r="3244" spans="1:8" s="943" customFormat="1" x14ac:dyDescent="0.25">
      <c r="A3244" s="952"/>
      <c r="B3244" s="953"/>
      <c r="C3244" s="953"/>
      <c r="D3244" s="953"/>
      <c r="E3244" s="953"/>
      <c r="F3244" s="953"/>
      <c r="G3244" s="953"/>
      <c r="H3244" s="953"/>
    </row>
    <row r="3245" spans="1:8" s="943" customFormat="1" x14ac:dyDescent="0.25">
      <c r="A3245" s="952"/>
      <c r="B3245" s="953"/>
      <c r="C3245" s="953"/>
      <c r="D3245" s="953"/>
      <c r="E3245" s="953"/>
      <c r="F3245" s="953"/>
      <c r="G3245" s="953"/>
      <c r="H3245" s="953"/>
    </row>
    <row r="3246" spans="1:8" s="943" customFormat="1" x14ac:dyDescent="0.25">
      <c r="A3246" s="952"/>
      <c r="B3246" s="953"/>
      <c r="C3246" s="953"/>
      <c r="D3246" s="953"/>
      <c r="E3246" s="953"/>
      <c r="F3246" s="953"/>
      <c r="G3246" s="953"/>
      <c r="H3246" s="953"/>
    </row>
    <row r="3247" spans="1:8" s="943" customFormat="1" x14ac:dyDescent="0.25">
      <c r="A3247" s="952"/>
      <c r="B3247" s="953"/>
      <c r="C3247" s="953"/>
      <c r="D3247" s="953"/>
      <c r="E3247" s="953"/>
      <c r="F3247" s="953"/>
      <c r="G3247" s="953"/>
      <c r="H3247" s="953"/>
    </row>
    <row r="3248" spans="1:8" s="943" customFormat="1" x14ac:dyDescent="0.25">
      <c r="A3248" s="952"/>
      <c r="B3248" s="953"/>
      <c r="C3248" s="953"/>
      <c r="D3248" s="953"/>
      <c r="E3248" s="953"/>
      <c r="F3248" s="953"/>
      <c r="G3248" s="953"/>
      <c r="H3248" s="953"/>
    </row>
    <row r="3249" spans="1:8" s="943" customFormat="1" x14ac:dyDescent="0.25">
      <c r="A3249" s="952"/>
      <c r="B3249" s="953"/>
      <c r="C3249" s="953"/>
      <c r="D3249" s="953"/>
      <c r="E3249" s="953"/>
      <c r="F3249" s="953"/>
      <c r="G3249" s="953"/>
      <c r="H3249" s="953"/>
    </row>
    <row r="3250" spans="1:8" s="943" customFormat="1" x14ac:dyDescent="0.25">
      <c r="A3250" s="952"/>
      <c r="B3250" s="953"/>
      <c r="C3250" s="953"/>
      <c r="D3250" s="953"/>
      <c r="E3250" s="953"/>
      <c r="F3250" s="953"/>
      <c r="G3250" s="953"/>
      <c r="H3250" s="953"/>
    </row>
    <row r="3251" spans="1:8" s="943" customFormat="1" x14ac:dyDescent="0.25">
      <c r="A3251" s="952"/>
      <c r="B3251" s="953"/>
      <c r="C3251" s="953"/>
      <c r="D3251" s="953"/>
      <c r="E3251" s="953"/>
      <c r="F3251" s="953"/>
      <c r="G3251" s="953"/>
      <c r="H3251" s="953"/>
    </row>
    <row r="3252" spans="1:8" s="943" customFormat="1" x14ac:dyDescent="0.25">
      <c r="A3252" s="952"/>
      <c r="B3252" s="953"/>
      <c r="C3252" s="953"/>
      <c r="D3252" s="953"/>
      <c r="E3252" s="953"/>
      <c r="F3252" s="953"/>
      <c r="G3252" s="953"/>
      <c r="H3252" s="953"/>
    </row>
    <row r="3253" spans="1:8" s="943" customFormat="1" x14ac:dyDescent="0.25">
      <c r="A3253" s="952"/>
      <c r="B3253" s="953"/>
      <c r="C3253" s="953"/>
      <c r="D3253" s="953"/>
      <c r="E3253" s="953"/>
      <c r="F3253" s="953"/>
      <c r="G3253" s="953"/>
      <c r="H3253" s="953"/>
    </row>
    <row r="3254" spans="1:8" s="943" customFormat="1" x14ac:dyDescent="0.25">
      <c r="A3254" s="952"/>
      <c r="B3254" s="953"/>
      <c r="C3254" s="953"/>
      <c r="D3254" s="953"/>
      <c r="E3254" s="953"/>
      <c r="F3254" s="953"/>
      <c r="G3254" s="953"/>
      <c r="H3254" s="953"/>
    </row>
    <row r="3255" spans="1:8" s="943" customFormat="1" x14ac:dyDescent="0.25">
      <c r="A3255" s="952"/>
      <c r="B3255" s="953"/>
      <c r="C3255" s="953"/>
      <c r="D3255" s="953"/>
      <c r="E3255" s="953"/>
      <c r="F3255" s="953"/>
      <c r="G3255" s="953"/>
      <c r="H3255" s="953"/>
    </row>
    <row r="3256" spans="1:8" s="943" customFormat="1" x14ac:dyDescent="0.25">
      <c r="A3256" s="952"/>
      <c r="B3256" s="953"/>
      <c r="C3256" s="953"/>
      <c r="D3256" s="953"/>
      <c r="E3256" s="953"/>
      <c r="F3256" s="953"/>
      <c r="G3256" s="953"/>
      <c r="H3256" s="953"/>
    </row>
    <row r="3257" spans="1:8" s="943" customFormat="1" x14ac:dyDescent="0.25">
      <c r="A3257" s="952"/>
      <c r="B3257" s="953"/>
      <c r="C3257" s="953"/>
      <c r="D3257" s="953"/>
      <c r="E3257" s="953"/>
      <c r="F3257" s="953"/>
      <c r="G3257" s="953"/>
      <c r="H3257" s="953"/>
    </row>
    <row r="3258" spans="1:8" s="943" customFormat="1" x14ac:dyDescent="0.25">
      <c r="A3258" s="952"/>
      <c r="B3258" s="953"/>
      <c r="C3258" s="953"/>
      <c r="D3258" s="953"/>
      <c r="E3258" s="953"/>
      <c r="F3258" s="953"/>
      <c r="G3258" s="953"/>
      <c r="H3258" s="953"/>
    </row>
    <row r="3259" spans="1:8" s="943" customFormat="1" x14ac:dyDescent="0.25">
      <c r="A3259" s="952"/>
      <c r="B3259" s="953"/>
      <c r="C3259" s="953"/>
      <c r="D3259" s="953"/>
      <c r="E3259" s="953"/>
      <c r="F3259" s="953"/>
      <c r="G3259" s="953"/>
      <c r="H3259" s="953"/>
    </row>
    <row r="3260" spans="1:8" s="943" customFormat="1" x14ac:dyDescent="0.25">
      <c r="A3260" s="952"/>
      <c r="B3260" s="953"/>
      <c r="C3260" s="953"/>
      <c r="D3260" s="953"/>
      <c r="E3260" s="953"/>
      <c r="F3260" s="953"/>
      <c r="G3260" s="953"/>
      <c r="H3260" s="953"/>
    </row>
    <row r="3261" spans="1:8" s="943" customFormat="1" x14ac:dyDescent="0.25">
      <c r="A3261" s="952"/>
      <c r="B3261" s="953"/>
      <c r="C3261" s="953"/>
      <c r="D3261" s="953"/>
      <c r="E3261" s="953"/>
      <c r="F3261" s="953"/>
      <c r="G3261" s="953"/>
      <c r="H3261" s="953"/>
    </row>
    <row r="3262" spans="1:8" s="943" customFormat="1" x14ac:dyDescent="0.25">
      <c r="A3262" s="952"/>
      <c r="B3262" s="953"/>
      <c r="C3262" s="953"/>
      <c r="D3262" s="953"/>
      <c r="E3262" s="953"/>
      <c r="F3262" s="953"/>
      <c r="G3262" s="953"/>
      <c r="H3262" s="953"/>
    </row>
    <row r="3263" spans="1:8" s="943" customFormat="1" x14ac:dyDescent="0.25">
      <c r="A3263" s="952"/>
      <c r="B3263" s="953"/>
      <c r="C3263" s="953"/>
      <c r="D3263" s="953"/>
      <c r="E3263" s="953"/>
      <c r="F3263" s="953"/>
      <c r="G3263" s="953"/>
      <c r="H3263" s="953"/>
    </row>
    <row r="3264" spans="1:8" s="943" customFormat="1" x14ac:dyDescent="0.25">
      <c r="A3264" s="952"/>
      <c r="B3264" s="953"/>
      <c r="C3264" s="953"/>
      <c r="D3264" s="953"/>
      <c r="E3264" s="953"/>
      <c r="F3264" s="953"/>
      <c r="G3264" s="953"/>
      <c r="H3264" s="953"/>
    </row>
    <row r="3265" spans="1:8" s="943" customFormat="1" x14ac:dyDescent="0.25">
      <c r="A3265" s="952"/>
      <c r="B3265" s="953"/>
      <c r="C3265" s="953"/>
      <c r="D3265" s="953"/>
      <c r="E3265" s="953"/>
      <c r="F3265" s="953"/>
      <c r="G3265" s="953"/>
      <c r="H3265" s="953"/>
    </row>
    <row r="3266" spans="1:8" s="943" customFormat="1" x14ac:dyDescent="0.25">
      <c r="A3266" s="952"/>
      <c r="B3266" s="953"/>
      <c r="C3266" s="953"/>
      <c r="D3266" s="953"/>
      <c r="E3266" s="953"/>
      <c r="F3266" s="953"/>
      <c r="G3266" s="953"/>
      <c r="H3266" s="953"/>
    </row>
    <row r="3267" spans="1:8" s="943" customFormat="1" x14ac:dyDescent="0.25">
      <c r="A3267" s="952"/>
      <c r="B3267" s="953"/>
      <c r="C3267" s="953"/>
      <c r="D3267" s="953"/>
      <c r="E3267" s="953"/>
      <c r="F3267" s="953"/>
      <c r="G3267" s="953"/>
      <c r="H3267" s="953"/>
    </row>
    <row r="3268" spans="1:8" s="943" customFormat="1" x14ac:dyDescent="0.25">
      <c r="A3268" s="952"/>
      <c r="B3268" s="953"/>
      <c r="C3268" s="953"/>
      <c r="D3268" s="953"/>
      <c r="E3268" s="953"/>
      <c r="F3268" s="953"/>
      <c r="G3268" s="953"/>
      <c r="H3268" s="953"/>
    </row>
    <row r="3269" spans="1:8" s="943" customFormat="1" x14ac:dyDescent="0.25">
      <c r="A3269" s="952"/>
      <c r="B3269" s="953"/>
      <c r="C3269" s="953"/>
      <c r="D3269" s="953"/>
      <c r="E3269" s="953"/>
      <c r="F3269" s="953"/>
      <c r="G3269" s="953"/>
      <c r="H3269" s="953"/>
    </row>
    <row r="3270" spans="1:8" s="943" customFormat="1" x14ac:dyDescent="0.25">
      <c r="A3270" s="952"/>
      <c r="B3270" s="953"/>
      <c r="C3270" s="953"/>
      <c r="D3270" s="953"/>
      <c r="E3270" s="953"/>
      <c r="F3270" s="953"/>
      <c r="G3270" s="953"/>
      <c r="H3270" s="953"/>
    </row>
    <row r="3271" spans="1:8" s="943" customFormat="1" x14ac:dyDescent="0.25">
      <c r="A3271" s="952"/>
      <c r="B3271" s="953"/>
      <c r="C3271" s="953"/>
      <c r="D3271" s="953"/>
      <c r="E3271" s="953"/>
      <c r="F3271" s="953"/>
      <c r="G3271" s="953"/>
      <c r="H3271" s="953"/>
    </row>
    <row r="3272" spans="1:8" s="943" customFormat="1" x14ac:dyDescent="0.25">
      <c r="A3272" s="952"/>
      <c r="B3272" s="953"/>
      <c r="C3272" s="953"/>
      <c r="D3272" s="953"/>
      <c r="E3272" s="953"/>
      <c r="F3272" s="953"/>
      <c r="G3272" s="953"/>
      <c r="H3272" s="953"/>
    </row>
    <row r="3273" spans="1:8" s="943" customFormat="1" x14ac:dyDescent="0.25">
      <c r="A3273" s="952"/>
      <c r="B3273" s="953"/>
      <c r="C3273" s="953"/>
      <c r="D3273" s="953"/>
      <c r="E3273" s="953"/>
      <c r="F3273" s="953"/>
      <c r="G3273" s="953"/>
      <c r="H3273" s="953"/>
    </row>
    <row r="3274" spans="1:8" s="943" customFormat="1" x14ac:dyDescent="0.25">
      <c r="A3274" s="952"/>
      <c r="B3274" s="953"/>
      <c r="C3274" s="953"/>
      <c r="D3274" s="953"/>
      <c r="E3274" s="953"/>
      <c r="F3274" s="953"/>
      <c r="G3274" s="953"/>
      <c r="H3274" s="953"/>
    </row>
    <row r="3275" spans="1:8" s="943" customFormat="1" x14ac:dyDescent="0.25">
      <c r="A3275" s="952"/>
      <c r="B3275" s="953"/>
      <c r="C3275" s="953"/>
      <c r="D3275" s="953"/>
      <c r="E3275" s="953"/>
      <c r="F3275" s="953"/>
      <c r="G3275" s="953"/>
      <c r="H3275" s="953"/>
    </row>
    <row r="3276" spans="1:8" s="943" customFormat="1" x14ac:dyDescent="0.25">
      <c r="A3276" s="952"/>
      <c r="B3276" s="953"/>
      <c r="C3276" s="953"/>
      <c r="D3276" s="953"/>
      <c r="E3276" s="953"/>
      <c r="F3276" s="953"/>
      <c r="G3276" s="953"/>
      <c r="H3276" s="953"/>
    </row>
    <row r="3277" spans="1:8" s="943" customFormat="1" x14ac:dyDescent="0.25">
      <c r="A3277" s="952"/>
      <c r="B3277" s="953"/>
      <c r="C3277" s="953"/>
      <c r="D3277" s="953"/>
      <c r="E3277" s="953"/>
      <c r="F3277" s="953"/>
      <c r="G3277" s="953"/>
      <c r="H3277" s="953"/>
    </row>
    <row r="3278" spans="1:8" s="943" customFormat="1" x14ac:dyDescent="0.25">
      <c r="A3278" s="952"/>
      <c r="B3278" s="953"/>
      <c r="C3278" s="953"/>
      <c r="D3278" s="953"/>
      <c r="E3278" s="953"/>
      <c r="F3278" s="953"/>
      <c r="G3278" s="953"/>
      <c r="H3278" s="953"/>
    </row>
    <row r="3279" spans="1:8" s="943" customFormat="1" x14ac:dyDescent="0.25">
      <c r="A3279" s="952"/>
      <c r="B3279" s="953"/>
      <c r="C3279" s="953"/>
      <c r="D3279" s="953"/>
      <c r="E3279" s="953"/>
      <c r="F3279" s="953"/>
      <c r="G3279" s="953"/>
      <c r="H3279" s="953"/>
    </row>
    <row r="3280" spans="1:8" s="943" customFormat="1" x14ac:dyDescent="0.25">
      <c r="A3280" s="952"/>
      <c r="B3280" s="953"/>
      <c r="C3280" s="953"/>
      <c r="D3280" s="953"/>
      <c r="E3280" s="953"/>
      <c r="F3280" s="953"/>
      <c r="G3280" s="953"/>
      <c r="H3280" s="953"/>
    </row>
    <row r="3281" spans="1:8" s="943" customFormat="1" x14ac:dyDescent="0.25">
      <c r="A3281" s="952"/>
      <c r="B3281" s="953"/>
      <c r="C3281" s="953"/>
      <c r="D3281" s="953"/>
      <c r="E3281" s="953"/>
      <c r="F3281" s="953"/>
      <c r="G3281" s="953"/>
      <c r="H3281" s="953"/>
    </row>
    <row r="3282" spans="1:8" s="943" customFormat="1" x14ac:dyDescent="0.25">
      <c r="A3282" s="952"/>
      <c r="B3282" s="953"/>
      <c r="C3282" s="953"/>
      <c r="D3282" s="953"/>
      <c r="E3282" s="953"/>
      <c r="F3282" s="953"/>
      <c r="G3282" s="953"/>
      <c r="H3282" s="953"/>
    </row>
    <row r="3283" spans="1:8" s="943" customFormat="1" x14ac:dyDescent="0.25">
      <c r="A3283" s="952"/>
      <c r="B3283" s="953"/>
      <c r="C3283" s="953"/>
      <c r="D3283" s="953"/>
      <c r="E3283" s="953"/>
      <c r="F3283" s="953"/>
      <c r="G3283" s="953"/>
      <c r="H3283" s="953"/>
    </row>
    <row r="3284" spans="1:8" s="943" customFormat="1" x14ac:dyDescent="0.25">
      <c r="A3284" s="952"/>
      <c r="B3284" s="953"/>
      <c r="C3284" s="953"/>
      <c r="D3284" s="953"/>
      <c r="E3284" s="953"/>
      <c r="F3284" s="953"/>
      <c r="G3284" s="953"/>
      <c r="H3284" s="953"/>
    </row>
    <row r="3285" spans="1:8" s="943" customFormat="1" x14ac:dyDescent="0.25">
      <c r="A3285" s="952"/>
      <c r="B3285" s="953"/>
      <c r="C3285" s="953"/>
      <c r="D3285" s="953"/>
      <c r="E3285" s="953"/>
      <c r="F3285" s="953"/>
      <c r="G3285" s="953"/>
      <c r="H3285" s="953"/>
    </row>
    <row r="3286" spans="1:8" s="943" customFormat="1" x14ac:dyDescent="0.25">
      <c r="A3286" s="952"/>
      <c r="B3286" s="953"/>
      <c r="C3286" s="953"/>
      <c r="D3286" s="953"/>
      <c r="E3286" s="953"/>
      <c r="F3286" s="953"/>
      <c r="G3286" s="953"/>
      <c r="H3286" s="953"/>
    </row>
    <row r="3287" spans="1:8" s="943" customFormat="1" x14ac:dyDescent="0.25">
      <c r="A3287" s="952"/>
      <c r="B3287" s="953"/>
      <c r="C3287" s="953"/>
      <c r="D3287" s="953"/>
      <c r="E3287" s="953"/>
      <c r="F3287" s="953"/>
      <c r="G3287" s="953"/>
      <c r="H3287" s="953"/>
    </row>
    <row r="3288" spans="1:8" s="943" customFormat="1" x14ac:dyDescent="0.25">
      <c r="A3288" s="952"/>
      <c r="B3288" s="953"/>
      <c r="C3288" s="953"/>
      <c r="D3288" s="953"/>
      <c r="E3288" s="953"/>
      <c r="F3288" s="953"/>
      <c r="G3288" s="953"/>
      <c r="H3288" s="953"/>
    </row>
    <row r="3289" spans="1:8" s="943" customFormat="1" x14ac:dyDescent="0.25">
      <c r="A3289" s="952"/>
      <c r="B3289" s="953"/>
      <c r="C3289" s="953"/>
      <c r="D3289" s="953"/>
      <c r="E3289" s="953"/>
      <c r="F3289" s="953"/>
      <c r="G3289" s="953"/>
      <c r="H3289" s="953"/>
    </row>
    <row r="3290" spans="1:8" s="943" customFormat="1" x14ac:dyDescent="0.25">
      <c r="A3290" s="952"/>
      <c r="B3290" s="953"/>
      <c r="C3290" s="953"/>
      <c r="D3290" s="953"/>
      <c r="E3290" s="953"/>
      <c r="F3290" s="953"/>
      <c r="G3290" s="953"/>
      <c r="H3290" s="953"/>
    </row>
    <row r="3291" spans="1:8" s="943" customFormat="1" x14ac:dyDescent="0.25">
      <c r="A3291" s="952"/>
      <c r="B3291" s="953"/>
      <c r="C3291" s="953"/>
      <c r="D3291" s="953"/>
      <c r="E3291" s="953"/>
      <c r="F3291" s="953"/>
      <c r="G3291" s="953"/>
      <c r="H3291" s="953"/>
    </row>
    <row r="3292" spans="1:8" s="943" customFormat="1" x14ac:dyDescent="0.25">
      <c r="A3292" s="952"/>
      <c r="B3292" s="953"/>
      <c r="C3292" s="953"/>
      <c r="D3292" s="953"/>
      <c r="E3292" s="953"/>
      <c r="F3292" s="953"/>
      <c r="G3292" s="953"/>
      <c r="H3292" s="953"/>
    </row>
    <row r="3293" spans="1:8" s="943" customFormat="1" x14ac:dyDescent="0.25">
      <c r="A3293" s="952"/>
      <c r="B3293" s="953"/>
      <c r="C3293" s="953"/>
      <c r="D3293" s="953"/>
      <c r="E3293" s="953"/>
      <c r="F3293" s="953"/>
      <c r="G3293" s="953"/>
      <c r="H3293" s="953"/>
    </row>
    <row r="3294" spans="1:8" s="943" customFormat="1" x14ac:dyDescent="0.25">
      <c r="A3294" s="952"/>
      <c r="B3294" s="953"/>
      <c r="C3294" s="953"/>
      <c r="D3294" s="953"/>
      <c r="E3294" s="953"/>
      <c r="F3294" s="953"/>
      <c r="G3294" s="953"/>
      <c r="H3294" s="953"/>
    </row>
    <row r="3295" spans="1:8" s="943" customFormat="1" x14ac:dyDescent="0.25">
      <c r="A3295" s="952"/>
      <c r="B3295" s="953"/>
      <c r="C3295" s="953"/>
      <c r="D3295" s="953"/>
      <c r="E3295" s="953"/>
      <c r="F3295" s="953"/>
      <c r="G3295" s="953"/>
      <c r="H3295" s="953"/>
    </row>
    <row r="3296" spans="1:8" s="943" customFormat="1" x14ac:dyDescent="0.25">
      <c r="A3296" s="952"/>
      <c r="B3296" s="953"/>
      <c r="C3296" s="953"/>
      <c r="D3296" s="953"/>
      <c r="E3296" s="953"/>
      <c r="F3296" s="953"/>
      <c r="G3296" s="953"/>
      <c r="H3296" s="953"/>
    </row>
    <row r="3297" spans="1:8" s="943" customFormat="1" x14ac:dyDescent="0.25">
      <c r="A3297" s="952"/>
      <c r="B3297" s="953"/>
      <c r="C3297" s="953"/>
      <c r="D3297" s="953"/>
      <c r="E3297" s="953"/>
      <c r="F3297" s="953"/>
      <c r="G3297" s="953"/>
      <c r="H3297" s="953"/>
    </row>
    <row r="3298" spans="1:8" s="943" customFormat="1" x14ac:dyDescent="0.25">
      <c r="A3298" s="952"/>
      <c r="B3298" s="953"/>
      <c r="C3298" s="953"/>
      <c r="D3298" s="953"/>
      <c r="E3298" s="953"/>
      <c r="F3298" s="953"/>
      <c r="G3298" s="953"/>
      <c r="H3298" s="953"/>
    </row>
    <row r="3299" spans="1:8" s="943" customFormat="1" x14ac:dyDescent="0.25">
      <c r="A3299" s="952"/>
      <c r="B3299" s="953"/>
      <c r="C3299" s="953"/>
      <c r="D3299" s="953"/>
      <c r="E3299" s="953"/>
      <c r="F3299" s="953"/>
      <c r="G3299" s="953"/>
      <c r="H3299" s="953"/>
    </row>
    <row r="3300" spans="1:8" s="943" customFormat="1" x14ac:dyDescent="0.25">
      <c r="A3300" s="952"/>
      <c r="B3300" s="953"/>
      <c r="C3300" s="953"/>
      <c r="D3300" s="953"/>
      <c r="E3300" s="953"/>
      <c r="F3300" s="953"/>
      <c r="G3300" s="953"/>
      <c r="H3300" s="953"/>
    </row>
    <row r="3301" spans="1:8" s="943" customFormat="1" x14ac:dyDescent="0.25">
      <c r="A3301" s="952"/>
      <c r="B3301" s="953"/>
      <c r="C3301" s="953"/>
      <c r="D3301" s="953"/>
      <c r="E3301" s="953"/>
      <c r="F3301" s="953"/>
      <c r="G3301" s="953"/>
      <c r="H3301" s="953"/>
    </row>
    <row r="3302" spans="1:8" s="943" customFormat="1" x14ac:dyDescent="0.25">
      <c r="A3302" s="952"/>
      <c r="B3302" s="953"/>
      <c r="C3302" s="953"/>
      <c r="D3302" s="953"/>
      <c r="E3302" s="953"/>
      <c r="F3302" s="953"/>
      <c r="G3302" s="953"/>
      <c r="H3302" s="953"/>
    </row>
    <row r="3303" spans="1:8" s="943" customFormat="1" x14ac:dyDescent="0.25">
      <c r="A3303" s="952"/>
      <c r="B3303" s="953"/>
      <c r="C3303" s="953"/>
      <c r="D3303" s="953"/>
      <c r="E3303" s="953"/>
      <c r="F3303" s="953"/>
      <c r="G3303" s="953"/>
      <c r="H3303" s="953"/>
    </row>
    <row r="3304" spans="1:8" s="943" customFormat="1" x14ac:dyDescent="0.25">
      <c r="A3304" s="952"/>
      <c r="B3304" s="953"/>
      <c r="C3304" s="953"/>
      <c r="D3304" s="953"/>
      <c r="E3304" s="953"/>
      <c r="F3304" s="953"/>
      <c r="G3304" s="953"/>
      <c r="H3304" s="953"/>
    </row>
    <row r="3305" spans="1:8" s="943" customFormat="1" x14ac:dyDescent="0.25">
      <c r="A3305" s="952"/>
      <c r="B3305" s="953"/>
      <c r="C3305" s="953"/>
      <c r="D3305" s="953"/>
      <c r="E3305" s="953"/>
      <c r="F3305" s="953"/>
      <c r="G3305" s="953"/>
      <c r="H3305" s="953"/>
    </row>
    <row r="3306" spans="1:8" s="943" customFormat="1" x14ac:dyDescent="0.25">
      <c r="A3306" s="952"/>
      <c r="B3306" s="953"/>
      <c r="C3306" s="953"/>
      <c r="D3306" s="953"/>
      <c r="E3306" s="953"/>
      <c r="F3306" s="953"/>
      <c r="G3306" s="953"/>
      <c r="H3306" s="953"/>
    </row>
    <row r="3307" spans="1:8" s="943" customFormat="1" x14ac:dyDescent="0.25">
      <c r="A3307" s="952"/>
      <c r="B3307" s="953"/>
      <c r="C3307" s="953"/>
      <c r="D3307" s="953"/>
      <c r="E3307" s="953"/>
      <c r="F3307" s="953"/>
      <c r="G3307" s="953"/>
      <c r="H3307" s="953"/>
    </row>
    <row r="3308" spans="1:8" s="943" customFormat="1" x14ac:dyDescent="0.25">
      <c r="A3308" s="952"/>
      <c r="B3308" s="953"/>
      <c r="C3308" s="953"/>
      <c r="D3308" s="953"/>
      <c r="E3308" s="953"/>
      <c r="F3308" s="953"/>
      <c r="G3308" s="953"/>
      <c r="H3308" s="953"/>
    </row>
    <row r="3309" spans="1:8" s="943" customFormat="1" x14ac:dyDescent="0.25">
      <c r="A3309" s="952"/>
      <c r="B3309" s="953"/>
      <c r="C3309" s="953"/>
      <c r="D3309" s="953"/>
      <c r="E3309" s="953"/>
      <c r="F3309" s="953"/>
      <c r="G3309" s="953"/>
      <c r="H3309" s="953"/>
    </row>
    <row r="3310" spans="1:8" s="943" customFormat="1" x14ac:dyDescent="0.25">
      <c r="A3310" s="952"/>
      <c r="B3310" s="953"/>
      <c r="C3310" s="953"/>
      <c r="D3310" s="953"/>
      <c r="E3310" s="953"/>
      <c r="F3310" s="953"/>
      <c r="G3310" s="953"/>
      <c r="H3310" s="953"/>
    </row>
    <row r="3311" spans="1:8" s="943" customFormat="1" x14ac:dyDescent="0.25">
      <c r="A3311" s="952"/>
      <c r="B3311" s="953"/>
      <c r="C3311" s="953"/>
      <c r="D3311" s="953"/>
      <c r="E3311" s="953"/>
      <c r="F3311" s="953"/>
      <c r="G3311" s="953"/>
      <c r="H3311" s="953"/>
    </row>
    <row r="3312" spans="1:8" s="943" customFormat="1" x14ac:dyDescent="0.25">
      <c r="A3312" s="952"/>
      <c r="B3312" s="953"/>
      <c r="C3312" s="953"/>
      <c r="D3312" s="953"/>
      <c r="E3312" s="953"/>
      <c r="F3312" s="953"/>
      <c r="G3312" s="953"/>
      <c r="H3312" s="953"/>
    </row>
    <row r="3313" spans="1:8" s="943" customFormat="1" x14ac:dyDescent="0.25">
      <c r="A3313" s="952"/>
      <c r="B3313" s="953"/>
      <c r="C3313" s="953"/>
      <c r="D3313" s="953"/>
      <c r="E3313" s="953"/>
      <c r="F3313" s="953"/>
      <c r="G3313" s="953"/>
      <c r="H3313" s="953"/>
    </row>
    <row r="3314" spans="1:8" s="943" customFormat="1" x14ac:dyDescent="0.25">
      <c r="A3314" s="952"/>
      <c r="B3314" s="953"/>
      <c r="C3314" s="953"/>
      <c r="D3314" s="953"/>
      <c r="E3314" s="953"/>
      <c r="F3314" s="953"/>
      <c r="G3314" s="953"/>
      <c r="H3314" s="953"/>
    </row>
    <row r="3315" spans="1:8" s="943" customFormat="1" x14ac:dyDescent="0.25">
      <c r="A3315" s="952"/>
      <c r="B3315" s="953"/>
      <c r="C3315" s="953"/>
      <c r="D3315" s="953"/>
      <c r="E3315" s="953"/>
      <c r="F3315" s="953"/>
      <c r="G3315" s="953"/>
      <c r="H3315" s="953"/>
    </row>
    <row r="3316" spans="1:8" s="943" customFormat="1" x14ac:dyDescent="0.25">
      <c r="A3316" s="952"/>
      <c r="B3316" s="953"/>
      <c r="C3316" s="953"/>
      <c r="D3316" s="953"/>
      <c r="E3316" s="953"/>
      <c r="F3316" s="953"/>
      <c r="G3316" s="953"/>
      <c r="H3316" s="953"/>
    </row>
    <row r="3317" spans="1:8" s="943" customFormat="1" x14ac:dyDescent="0.25">
      <c r="A3317" s="952"/>
      <c r="B3317" s="953"/>
      <c r="C3317" s="953"/>
      <c r="D3317" s="953"/>
      <c r="E3317" s="953"/>
      <c r="F3317" s="953"/>
      <c r="G3317" s="953"/>
      <c r="H3317" s="953"/>
    </row>
    <row r="3318" spans="1:8" s="943" customFormat="1" x14ac:dyDescent="0.25">
      <c r="A3318" s="952"/>
      <c r="B3318" s="953"/>
      <c r="C3318" s="953"/>
      <c r="D3318" s="953"/>
      <c r="E3318" s="953"/>
      <c r="F3318" s="953"/>
      <c r="G3318" s="953"/>
      <c r="H3318" s="953"/>
    </row>
    <row r="3319" spans="1:8" s="943" customFormat="1" x14ac:dyDescent="0.25">
      <c r="A3319" s="952"/>
      <c r="B3319" s="953"/>
      <c r="C3319" s="953"/>
      <c r="D3319" s="953"/>
      <c r="E3319" s="953"/>
      <c r="F3319" s="953"/>
      <c r="G3319" s="953"/>
      <c r="H3319" s="953"/>
    </row>
    <row r="3320" spans="1:8" s="943" customFormat="1" x14ac:dyDescent="0.25">
      <c r="A3320" s="952"/>
      <c r="B3320" s="953"/>
      <c r="C3320" s="953"/>
      <c r="D3320" s="953"/>
      <c r="E3320" s="953"/>
      <c r="F3320" s="953"/>
      <c r="G3320" s="953"/>
      <c r="H3320" s="953"/>
    </row>
    <row r="3321" spans="1:8" s="943" customFormat="1" x14ac:dyDescent="0.25">
      <c r="A3321" s="952"/>
      <c r="B3321" s="953"/>
      <c r="C3321" s="953"/>
      <c r="D3321" s="953"/>
      <c r="E3321" s="953"/>
      <c r="F3321" s="953"/>
      <c r="G3321" s="953"/>
      <c r="H3321" s="953"/>
    </row>
    <row r="3322" spans="1:8" s="943" customFormat="1" x14ac:dyDescent="0.25">
      <c r="A3322" s="952"/>
      <c r="B3322" s="953"/>
      <c r="C3322" s="953"/>
      <c r="D3322" s="953"/>
      <c r="E3322" s="953"/>
      <c r="F3322" s="953"/>
      <c r="G3322" s="953"/>
      <c r="H3322" s="953"/>
    </row>
    <row r="3323" spans="1:8" s="943" customFormat="1" x14ac:dyDescent="0.25">
      <c r="A3323" s="952"/>
      <c r="B3323" s="953"/>
      <c r="C3323" s="953"/>
      <c r="D3323" s="953"/>
      <c r="E3323" s="953"/>
      <c r="F3323" s="953"/>
      <c r="G3323" s="953"/>
      <c r="H3323" s="953"/>
    </row>
    <row r="3324" spans="1:8" s="943" customFormat="1" x14ac:dyDescent="0.25">
      <c r="A3324" s="952"/>
      <c r="B3324" s="953"/>
      <c r="C3324" s="953"/>
      <c r="D3324" s="953"/>
      <c r="E3324" s="953"/>
      <c r="F3324" s="953"/>
      <c r="G3324" s="953"/>
      <c r="H3324" s="953"/>
    </row>
    <row r="3325" spans="1:8" s="943" customFormat="1" x14ac:dyDescent="0.25">
      <c r="A3325" s="952"/>
      <c r="B3325" s="953"/>
      <c r="C3325" s="953"/>
      <c r="D3325" s="953"/>
      <c r="E3325" s="953"/>
      <c r="F3325" s="953"/>
      <c r="G3325" s="953"/>
      <c r="H3325" s="953"/>
    </row>
    <row r="3326" spans="1:8" s="943" customFormat="1" x14ac:dyDescent="0.25">
      <c r="A3326" s="952"/>
      <c r="B3326" s="953"/>
      <c r="C3326" s="953"/>
      <c r="D3326" s="953"/>
      <c r="E3326" s="953"/>
      <c r="F3326" s="953"/>
      <c r="G3326" s="953"/>
      <c r="H3326" s="953"/>
    </row>
    <row r="3327" spans="1:8" s="943" customFormat="1" x14ac:dyDescent="0.25">
      <c r="A3327" s="952"/>
      <c r="B3327" s="953"/>
      <c r="C3327" s="953"/>
      <c r="D3327" s="953"/>
      <c r="E3327" s="953"/>
      <c r="F3327" s="953"/>
      <c r="G3327" s="953"/>
      <c r="H3327" s="953"/>
    </row>
    <row r="3328" spans="1:8" s="943" customFormat="1" x14ac:dyDescent="0.25">
      <c r="A3328" s="952"/>
      <c r="B3328" s="953"/>
      <c r="C3328" s="953"/>
      <c r="D3328" s="953"/>
      <c r="E3328" s="953"/>
      <c r="F3328" s="953"/>
      <c r="G3328" s="953"/>
      <c r="H3328" s="953"/>
    </row>
    <row r="3329" spans="1:8" s="943" customFormat="1" x14ac:dyDescent="0.25">
      <c r="A3329" s="952"/>
      <c r="B3329" s="953"/>
      <c r="C3329" s="953"/>
      <c r="D3329" s="953"/>
      <c r="E3329" s="953"/>
      <c r="F3329" s="953"/>
      <c r="G3329" s="953"/>
      <c r="H3329" s="953"/>
    </row>
    <row r="3330" spans="1:8" s="943" customFormat="1" x14ac:dyDescent="0.25">
      <c r="A3330" s="952"/>
      <c r="B3330" s="953"/>
      <c r="C3330" s="953"/>
      <c r="D3330" s="953"/>
      <c r="E3330" s="953"/>
      <c r="F3330" s="953"/>
      <c r="G3330" s="953"/>
      <c r="H3330" s="953"/>
    </row>
    <row r="3331" spans="1:8" s="943" customFormat="1" x14ac:dyDescent="0.25">
      <c r="A3331" s="952"/>
      <c r="B3331" s="953"/>
      <c r="C3331" s="953"/>
      <c r="D3331" s="953"/>
      <c r="E3331" s="953"/>
      <c r="F3331" s="953"/>
      <c r="G3331" s="953"/>
      <c r="H3331" s="953"/>
    </row>
    <row r="3332" spans="1:8" s="943" customFormat="1" x14ac:dyDescent="0.25">
      <c r="A3332" s="952"/>
      <c r="B3332" s="953"/>
      <c r="C3332" s="953"/>
      <c r="D3332" s="953"/>
      <c r="E3332" s="953"/>
      <c r="F3332" s="953"/>
      <c r="G3332" s="953"/>
      <c r="H3332" s="953"/>
    </row>
    <row r="3333" spans="1:8" s="943" customFormat="1" x14ac:dyDescent="0.25">
      <c r="A3333" s="952"/>
      <c r="B3333" s="953"/>
      <c r="C3333" s="953"/>
      <c r="D3333" s="953"/>
      <c r="E3333" s="953"/>
      <c r="F3333" s="953"/>
      <c r="G3333" s="953"/>
      <c r="H3333" s="953"/>
    </row>
    <row r="3334" spans="1:8" s="943" customFormat="1" x14ac:dyDescent="0.25">
      <c r="A3334" s="952"/>
      <c r="B3334" s="953"/>
      <c r="C3334" s="953"/>
      <c r="D3334" s="953"/>
      <c r="E3334" s="953"/>
      <c r="F3334" s="953"/>
      <c r="G3334" s="953"/>
      <c r="H3334" s="953"/>
    </row>
    <row r="3335" spans="1:8" s="943" customFormat="1" x14ac:dyDescent="0.25">
      <c r="A3335" s="952"/>
      <c r="B3335" s="953"/>
      <c r="C3335" s="953"/>
      <c r="D3335" s="953"/>
      <c r="E3335" s="953"/>
      <c r="F3335" s="953"/>
      <c r="G3335" s="953"/>
      <c r="H3335" s="953"/>
    </row>
    <row r="3336" spans="1:8" s="943" customFormat="1" x14ac:dyDescent="0.25">
      <c r="A3336" s="952"/>
      <c r="B3336" s="953"/>
      <c r="C3336" s="953"/>
      <c r="D3336" s="953"/>
      <c r="E3336" s="953"/>
      <c r="F3336" s="953"/>
      <c r="G3336" s="953"/>
      <c r="H3336" s="953"/>
    </row>
    <row r="3337" spans="1:8" s="943" customFormat="1" x14ac:dyDescent="0.25">
      <c r="A3337" s="952"/>
      <c r="B3337" s="953"/>
      <c r="C3337" s="953"/>
      <c r="D3337" s="953"/>
      <c r="E3337" s="953"/>
      <c r="F3337" s="953"/>
      <c r="G3337" s="953"/>
      <c r="H3337" s="953"/>
    </row>
    <row r="3338" spans="1:8" s="943" customFormat="1" x14ac:dyDescent="0.25">
      <c r="A3338" s="952"/>
      <c r="B3338" s="953"/>
      <c r="C3338" s="953"/>
      <c r="D3338" s="953"/>
      <c r="E3338" s="953"/>
      <c r="F3338" s="953"/>
      <c r="G3338" s="953"/>
      <c r="H3338" s="953"/>
    </row>
    <row r="3339" spans="1:8" s="943" customFormat="1" x14ac:dyDescent="0.25">
      <c r="A3339" s="952"/>
      <c r="B3339" s="953"/>
      <c r="C3339" s="953"/>
      <c r="D3339" s="953"/>
      <c r="E3339" s="953"/>
      <c r="F3339" s="953"/>
      <c r="G3339" s="953"/>
      <c r="H3339" s="953"/>
    </row>
    <row r="3340" spans="1:8" s="943" customFormat="1" x14ac:dyDescent="0.25">
      <c r="A3340" s="952"/>
      <c r="B3340" s="953"/>
      <c r="C3340" s="953"/>
      <c r="D3340" s="953"/>
      <c r="E3340" s="953"/>
      <c r="F3340" s="953"/>
      <c r="G3340" s="953"/>
      <c r="H3340" s="953"/>
    </row>
    <row r="3341" spans="1:8" s="943" customFormat="1" x14ac:dyDescent="0.25">
      <c r="A3341" s="952"/>
      <c r="B3341" s="953"/>
      <c r="C3341" s="953"/>
      <c r="D3341" s="953"/>
      <c r="E3341" s="953"/>
      <c r="F3341" s="953"/>
      <c r="G3341" s="953"/>
      <c r="H3341" s="953"/>
    </row>
    <row r="3342" spans="1:8" s="943" customFormat="1" x14ac:dyDescent="0.25">
      <c r="A3342" s="952"/>
      <c r="B3342" s="953"/>
      <c r="C3342" s="953"/>
      <c r="D3342" s="953"/>
      <c r="E3342" s="953"/>
      <c r="F3342" s="953"/>
      <c r="G3342" s="953"/>
      <c r="H3342" s="953"/>
    </row>
    <row r="3343" spans="1:8" s="943" customFormat="1" x14ac:dyDescent="0.25">
      <c r="A3343" s="952"/>
      <c r="B3343" s="953"/>
      <c r="C3343" s="953"/>
      <c r="D3343" s="953"/>
      <c r="E3343" s="953"/>
      <c r="F3343" s="953"/>
      <c r="G3343" s="953"/>
      <c r="H3343" s="953"/>
    </row>
    <row r="3344" spans="1:8" s="943" customFormat="1" x14ac:dyDescent="0.25">
      <c r="A3344" s="952"/>
      <c r="B3344" s="953"/>
      <c r="C3344" s="953"/>
      <c r="D3344" s="953"/>
      <c r="E3344" s="953"/>
      <c r="F3344" s="953"/>
      <c r="G3344" s="953"/>
      <c r="H3344" s="953"/>
    </row>
    <row r="3345" spans="1:8" s="943" customFormat="1" x14ac:dyDescent="0.25">
      <c r="A3345" s="952"/>
      <c r="B3345" s="953"/>
      <c r="C3345" s="953"/>
      <c r="D3345" s="953"/>
      <c r="E3345" s="953"/>
      <c r="F3345" s="953"/>
      <c r="G3345" s="953"/>
      <c r="H3345" s="953"/>
    </row>
    <row r="3346" spans="1:8" s="943" customFormat="1" x14ac:dyDescent="0.25">
      <c r="A3346" s="952"/>
      <c r="B3346" s="953"/>
      <c r="C3346" s="953"/>
      <c r="D3346" s="953"/>
      <c r="E3346" s="953"/>
      <c r="F3346" s="953"/>
      <c r="G3346" s="953"/>
      <c r="H3346" s="953"/>
    </row>
    <row r="3347" spans="1:8" s="943" customFormat="1" x14ac:dyDescent="0.25">
      <c r="A3347" s="952"/>
      <c r="B3347" s="953"/>
      <c r="C3347" s="953"/>
      <c r="D3347" s="953"/>
      <c r="E3347" s="953"/>
      <c r="F3347" s="953"/>
      <c r="G3347" s="953"/>
      <c r="H3347" s="953"/>
    </row>
    <row r="3348" spans="1:8" s="943" customFormat="1" x14ac:dyDescent="0.25">
      <c r="A3348" s="952"/>
      <c r="B3348" s="953"/>
      <c r="C3348" s="953"/>
      <c r="D3348" s="953"/>
      <c r="E3348" s="953"/>
      <c r="F3348" s="953"/>
      <c r="G3348" s="953"/>
      <c r="H3348" s="953"/>
    </row>
    <row r="3349" spans="1:8" s="943" customFormat="1" x14ac:dyDescent="0.25">
      <c r="A3349" s="952"/>
      <c r="B3349" s="953"/>
      <c r="C3349" s="953"/>
      <c r="D3349" s="953"/>
      <c r="E3349" s="953"/>
      <c r="F3349" s="953"/>
      <c r="G3349" s="953"/>
      <c r="H3349" s="953"/>
    </row>
    <row r="3350" spans="1:8" s="943" customFormat="1" x14ac:dyDescent="0.25">
      <c r="A3350" s="952"/>
      <c r="B3350" s="953"/>
      <c r="C3350" s="953"/>
      <c r="D3350" s="953"/>
      <c r="E3350" s="953"/>
      <c r="F3350" s="953"/>
      <c r="G3350" s="953"/>
      <c r="H3350" s="953"/>
    </row>
    <row r="3351" spans="1:8" s="943" customFormat="1" x14ac:dyDescent="0.25">
      <c r="A3351" s="952"/>
      <c r="B3351" s="953"/>
      <c r="C3351" s="953"/>
      <c r="D3351" s="953"/>
      <c r="E3351" s="953"/>
      <c r="F3351" s="953"/>
      <c r="G3351" s="953"/>
      <c r="H3351" s="953"/>
    </row>
    <row r="3352" spans="1:8" s="943" customFormat="1" x14ac:dyDescent="0.25">
      <c r="A3352" s="952"/>
      <c r="B3352" s="953"/>
      <c r="C3352" s="953"/>
      <c r="D3352" s="953"/>
      <c r="E3352" s="953"/>
      <c r="F3352" s="953"/>
      <c r="G3352" s="953"/>
      <c r="H3352" s="953"/>
    </row>
    <row r="3353" spans="1:8" s="943" customFormat="1" x14ac:dyDescent="0.25">
      <c r="A3353" s="952"/>
      <c r="B3353" s="953"/>
      <c r="C3353" s="953"/>
      <c r="D3353" s="953"/>
      <c r="E3353" s="953"/>
      <c r="F3353" s="953"/>
      <c r="G3353" s="953"/>
      <c r="H3353" s="953"/>
    </row>
    <row r="3354" spans="1:8" s="943" customFormat="1" x14ac:dyDescent="0.25">
      <c r="A3354" s="952"/>
      <c r="B3354" s="953"/>
      <c r="C3354" s="953"/>
      <c r="D3354" s="953"/>
      <c r="E3354" s="953"/>
      <c r="F3354" s="953"/>
      <c r="G3354" s="953"/>
      <c r="H3354" s="953"/>
    </row>
    <row r="3355" spans="1:8" s="943" customFormat="1" x14ac:dyDescent="0.25">
      <c r="A3355" s="952"/>
      <c r="B3355" s="953"/>
      <c r="C3355" s="953"/>
      <c r="D3355" s="953"/>
      <c r="E3355" s="953"/>
      <c r="F3355" s="953"/>
      <c r="G3355" s="953"/>
      <c r="H3355" s="953"/>
    </row>
    <row r="3356" spans="1:8" s="943" customFormat="1" x14ac:dyDescent="0.25">
      <c r="A3356" s="952"/>
      <c r="B3356" s="953"/>
      <c r="C3356" s="953"/>
      <c r="D3356" s="953"/>
      <c r="E3356" s="953"/>
      <c r="F3356" s="953"/>
      <c r="G3356" s="953"/>
      <c r="H3356" s="953"/>
    </row>
    <row r="3357" spans="1:8" s="943" customFormat="1" x14ac:dyDescent="0.25">
      <c r="A3357" s="952"/>
      <c r="B3357" s="953"/>
      <c r="C3357" s="953"/>
      <c r="D3357" s="953"/>
      <c r="E3357" s="953"/>
      <c r="F3357" s="953"/>
      <c r="G3357" s="953"/>
      <c r="H3357" s="953"/>
    </row>
    <row r="3358" spans="1:8" s="943" customFormat="1" x14ac:dyDescent="0.25">
      <c r="A3358" s="952"/>
      <c r="B3358" s="953"/>
      <c r="C3358" s="953"/>
      <c r="D3358" s="953"/>
      <c r="E3358" s="953"/>
      <c r="F3358" s="953"/>
      <c r="G3358" s="953"/>
      <c r="H3358" s="953"/>
    </row>
    <row r="3359" spans="1:8" s="943" customFormat="1" x14ac:dyDescent="0.25">
      <c r="A3359" s="952"/>
      <c r="B3359" s="953"/>
      <c r="C3359" s="953"/>
      <c r="D3359" s="953"/>
      <c r="E3359" s="953"/>
      <c r="F3359" s="953"/>
      <c r="G3359" s="953"/>
      <c r="H3359" s="953"/>
    </row>
    <row r="3360" spans="1:8" s="943" customFormat="1" x14ac:dyDescent="0.25">
      <c r="A3360" s="952"/>
      <c r="B3360" s="953"/>
      <c r="C3360" s="953"/>
      <c r="D3360" s="953"/>
      <c r="E3360" s="953"/>
      <c r="F3360" s="953"/>
      <c r="G3360" s="953"/>
      <c r="H3360" s="953"/>
    </row>
    <row r="3361" spans="1:8" s="943" customFormat="1" x14ac:dyDescent="0.25">
      <c r="A3361" s="952"/>
      <c r="B3361" s="953"/>
      <c r="C3361" s="953"/>
      <c r="D3361" s="953"/>
      <c r="E3361" s="953"/>
      <c r="F3361" s="953"/>
      <c r="G3361" s="953"/>
      <c r="H3361" s="953"/>
    </row>
    <row r="3362" spans="1:8" s="943" customFormat="1" x14ac:dyDescent="0.25">
      <c r="A3362" s="952"/>
      <c r="B3362" s="953"/>
      <c r="C3362" s="953"/>
      <c r="D3362" s="953"/>
      <c r="E3362" s="953"/>
      <c r="F3362" s="953"/>
      <c r="G3362" s="953"/>
      <c r="H3362" s="953"/>
    </row>
    <row r="3363" spans="1:8" s="943" customFormat="1" x14ac:dyDescent="0.25">
      <c r="A3363" s="952"/>
      <c r="B3363" s="953"/>
      <c r="C3363" s="953"/>
      <c r="D3363" s="953"/>
      <c r="E3363" s="953"/>
      <c r="F3363" s="953"/>
      <c r="G3363" s="953"/>
      <c r="H3363" s="953"/>
    </row>
    <row r="3364" spans="1:8" s="943" customFormat="1" x14ac:dyDescent="0.25">
      <c r="A3364" s="952"/>
      <c r="B3364" s="953"/>
      <c r="C3364" s="953"/>
      <c r="D3364" s="953"/>
      <c r="E3364" s="953"/>
      <c r="F3364" s="953"/>
      <c r="G3364" s="953"/>
      <c r="H3364" s="953"/>
    </row>
    <row r="3365" spans="1:8" s="943" customFormat="1" x14ac:dyDescent="0.25">
      <c r="A3365" s="952"/>
      <c r="B3365" s="953"/>
      <c r="C3365" s="953"/>
      <c r="D3365" s="953"/>
      <c r="E3365" s="953"/>
      <c r="F3365" s="953"/>
      <c r="G3365" s="953"/>
      <c r="H3365" s="953"/>
    </row>
    <row r="3366" spans="1:8" s="943" customFormat="1" x14ac:dyDescent="0.25">
      <c r="A3366" s="952"/>
      <c r="B3366" s="953"/>
      <c r="C3366" s="953"/>
      <c r="D3366" s="953"/>
      <c r="E3366" s="953"/>
      <c r="F3366" s="953"/>
      <c r="G3366" s="953"/>
      <c r="H3366" s="953"/>
    </row>
    <row r="3367" spans="1:8" s="943" customFormat="1" x14ac:dyDescent="0.25">
      <c r="A3367" s="952"/>
      <c r="B3367" s="953"/>
      <c r="C3367" s="953"/>
      <c r="D3367" s="953"/>
      <c r="E3367" s="953"/>
      <c r="F3367" s="953"/>
      <c r="G3367" s="953"/>
      <c r="H3367" s="953"/>
    </row>
    <row r="3368" spans="1:8" s="943" customFormat="1" x14ac:dyDescent="0.25">
      <c r="A3368" s="952"/>
      <c r="B3368" s="953"/>
      <c r="C3368" s="953"/>
      <c r="D3368" s="953"/>
      <c r="E3368" s="953"/>
      <c r="F3368" s="953"/>
      <c r="G3368" s="953"/>
      <c r="H3368" s="953"/>
    </row>
    <row r="3369" spans="1:8" s="943" customFormat="1" x14ac:dyDescent="0.25">
      <c r="A3369" s="952"/>
      <c r="B3369" s="953"/>
      <c r="C3369" s="953"/>
      <c r="D3369" s="953"/>
      <c r="E3369" s="953"/>
      <c r="F3369" s="953"/>
      <c r="G3369" s="953"/>
      <c r="H3369" s="953"/>
    </row>
    <row r="3370" spans="1:8" s="943" customFormat="1" x14ac:dyDescent="0.25">
      <c r="A3370" s="952"/>
      <c r="B3370" s="953"/>
      <c r="C3370" s="953"/>
      <c r="D3370" s="953"/>
      <c r="E3370" s="953"/>
      <c r="F3370" s="953"/>
      <c r="G3370" s="953"/>
      <c r="H3370" s="953"/>
    </row>
    <row r="3371" spans="1:8" s="943" customFormat="1" x14ac:dyDescent="0.25">
      <c r="A3371" s="952"/>
      <c r="B3371" s="953"/>
      <c r="C3371" s="953"/>
      <c r="D3371" s="953"/>
      <c r="E3371" s="953"/>
      <c r="F3371" s="953"/>
      <c r="G3371" s="953"/>
      <c r="H3371" s="953"/>
    </row>
    <row r="3372" spans="1:8" s="943" customFormat="1" x14ac:dyDescent="0.25">
      <c r="A3372" s="952"/>
      <c r="B3372" s="953"/>
      <c r="C3372" s="953"/>
      <c r="D3372" s="953"/>
      <c r="E3372" s="953"/>
      <c r="F3372" s="953"/>
      <c r="G3372" s="953"/>
      <c r="H3372" s="953"/>
    </row>
    <row r="3373" spans="1:8" s="943" customFormat="1" x14ac:dyDescent="0.25">
      <c r="A3373" s="952"/>
      <c r="B3373" s="953"/>
      <c r="C3373" s="953"/>
      <c r="D3373" s="953"/>
      <c r="E3373" s="953"/>
      <c r="F3373" s="953"/>
      <c r="G3373" s="953"/>
      <c r="H3373" s="953"/>
    </row>
    <row r="3374" spans="1:8" s="943" customFormat="1" x14ac:dyDescent="0.25">
      <c r="A3374" s="952"/>
      <c r="B3374" s="953"/>
      <c r="C3374" s="953"/>
      <c r="D3374" s="953"/>
      <c r="E3374" s="953"/>
      <c r="F3374" s="953"/>
      <c r="G3374" s="953"/>
      <c r="H3374" s="953"/>
    </row>
    <row r="3375" spans="1:8" s="943" customFormat="1" x14ac:dyDescent="0.25">
      <c r="A3375" s="952"/>
      <c r="B3375" s="953"/>
      <c r="C3375" s="953"/>
      <c r="D3375" s="953"/>
      <c r="E3375" s="953"/>
      <c r="F3375" s="953"/>
      <c r="G3375" s="953"/>
      <c r="H3375" s="953"/>
    </row>
    <row r="3376" spans="1:8" s="943" customFormat="1" x14ac:dyDescent="0.25">
      <c r="A3376" s="952"/>
      <c r="B3376" s="953"/>
      <c r="C3376" s="953"/>
      <c r="D3376" s="953"/>
      <c r="E3376" s="953"/>
      <c r="F3376" s="953"/>
      <c r="G3376" s="953"/>
      <c r="H3376" s="953"/>
    </row>
    <row r="3377" spans="1:8" s="943" customFormat="1" x14ac:dyDescent="0.25">
      <c r="A3377" s="952"/>
      <c r="B3377" s="953"/>
      <c r="C3377" s="953"/>
      <c r="D3377" s="953"/>
      <c r="E3377" s="953"/>
      <c r="F3377" s="953"/>
      <c r="G3377" s="953"/>
      <c r="H3377" s="953"/>
    </row>
    <row r="3378" spans="1:8" s="943" customFormat="1" x14ac:dyDescent="0.25">
      <c r="A3378" s="952"/>
      <c r="B3378" s="953"/>
      <c r="C3378" s="953"/>
      <c r="D3378" s="953"/>
      <c r="E3378" s="953"/>
      <c r="F3378" s="953"/>
      <c r="G3378" s="953"/>
      <c r="H3378" s="953"/>
    </row>
    <row r="3379" spans="1:8" s="943" customFormat="1" x14ac:dyDescent="0.25">
      <c r="A3379" s="952"/>
      <c r="B3379" s="953"/>
      <c r="C3379" s="953"/>
      <c r="D3379" s="953"/>
      <c r="E3379" s="953"/>
      <c r="F3379" s="953"/>
      <c r="G3379" s="953"/>
      <c r="H3379" s="953"/>
    </row>
    <row r="3380" spans="1:8" s="943" customFormat="1" x14ac:dyDescent="0.25">
      <c r="A3380" s="952"/>
      <c r="B3380" s="953"/>
      <c r="C3380" s="953"/>
      <c r="D3380" s="953"/>
      <c r="E3380" s="953"/>
      <c r="F3380" s="953"/>
      <c r="G3380" s="953"/>
      <c r="H3380" s="953"/>
    </row>
    <row r="3381" spans="1:8" s="943" customFormat="1" x14ac:dyDescent="0.25">
      <c r="A3381" s="952"/>
      <c r="B3381" s="953"/>
      <c r="C3381" s="953"/>
      <c r="D3381" s="953"/>
      <c r="E3381" s="953"/>
      <c r="F3381" s="953"/>
      <c r="G3381" s="953"/>
      <c r="H3381" s="953"/>
    </row>
    <row r="3382" spans="1:8" s="943" customFormat="1" x14ac:dyDescent="0.25">
      <c r="A3382" s="952"/>
      <c r="B3382" s="953"/>
      <c r="C3382" s="953"/>
      <c r="D3382" s="953"/>
      <c r="E3382" s="953"/>
      <c r="F3382" s="953"/>
      <c r="G3382" s="953"/>
      <c r="H3382" s="953"/>
    </row>
    <row r="3383" spans="1:8" s="943" customFormat="1" x14ac:dyDescent="0.25">
      <c r="A3383" s="952"/>
      <c r="B3383" s="953"/>
      <c r="C3383" s="953"/>
      <c r="D3383" s="953"/>
      <c r="E3383" s="953"/>
      <c r="F3383" s="953"/>
      <c r="G3383" s="953"/>
      <c r="H3383" s="953"/>
    </row>
    <row r="3384" spans="1:8" s="943" customFormat="1" x14ac:dyDescent="0.25">
      <c r="A3384" s="952"/>
      <c r="B3384" s="953"/>
      <c r="C3384" s="953"/>
      <c r="D3384" s="953"/>
      <c r="E3384" s="953"/>
      <c r="F3384" s="953"/>
      <c r="G3384" s="953"/>
      <c r="H3384" s="953"/>
    </row>
    <row r="3385" spans="1:8" s="943" customFormat="1" x14ac:dyDescent="0.25">
      <c r="A3385" s="952"/>
      <c r="B3385" s="953"/>
      <c r="C3385" s="953"/>
      <c r="D3385" s="953"/>
      <c r="E3385" s="953"/>
      <c r="F3385" s="953"/>
      <c r="G3385" s="953"/>
      <c r="H3385" s="953"/>
    </row>
    <row r="3386" spans="1:8" s="943" customFormat="1" x14ac:dyDescent="0.25">
      <c r="A3386" s="952"/>
      <c r="B3386" s="953"/>
      <c r="C3386" s="953"/>
      <c r="D3386" s="953"/>
      <c r="E3386" s="953"/>
      <c r="F3386" s="953"/>
      <c r="G3386" s="953"/>
      <c r="H3386" s="953"/>
    </row>
    <row r="3387" spans="1:8" s="943" customFormat="1" x14ac:dyDescent="0.25">
      <c r="A3387" s="952"/>
      <c r="B3387" s="953"/>
      <c r="C3387" s="953"/>
      <c r="D3387" s="953"/>
      <c r="E3387" s="953"/>
      <c r="F3387" s="953"/>
      <c r="G3387" s="953"/>
      <c r="H3387" s="953"/>
    </row>
    <row r="3388" spans="1:8" s="943" customFormat="1" x14ac:dyDescent="0.25">
      <c r="A3388" s="952"/>
      <c r="B3388" s="953"/>
      <c r="C3388" s="953"/>
      <c r="D3388" s="953"/>
      <c r="E3388" s="953"/>
      <c r="F3388" s="953"/>
      <c r="G3388" s="953"/>
      <c r="H3388" s="953"/>
    </row>
    <row r="3389" spans="1:8" s="943" customFormat="1" x14ac:dyDescent="0.25">
      <c r="A3389" s="952"/>
      <c r="B3389" s="953"/>
      <c r="C3389" s="953"/>
      <c r="D3389" s="953"/>
      <c r="E3389" s="953"/>
      <c r="F3389" s="953"/>
      <c r="G3389" s="953"/>
      <c r="H3389" s="953"/>
    </row>
    <row r="3390" spans="1:8" s="943" customFormat="1" x14ac:dyDescent="0.25">
      <c r="A3390" s="952"/>
      <c r="B3390" s="953"/>
      <c r="C3390" s="953"/>
      <c r="D3390" s="953"/>
      <c r="E3390" s="953"/>
      <c r="F3390" s="953"/>
      <c r="G3390" s="953"/>
      <c r="H3390" s="953"/>
    </row>
    <row r="3391" spans="1:8" s="943" customFormat="1" x14ac:dyDescent="0.25">
      <c r="A3391" s="952"/>
      <c r="B3391" s="953"/>
      <c r="C3391" s="953"/>
      <c r="D3391" s="953"/>
      <c r="E3391" s="953"/>
      <c r="F3391" s="953"/>
      <c r="G3391" s="953"/>
      <c r="H3391" s="953"/>
    </row>
    <row r="3392" spans="1:8" s="943" customFormat="1" x14ac:dyDescent="0.25">
      <c r="A3392" s="952"/>
      <c r="B3392" s="953"/>
      <c r="C3392" s="953"/>
      <c r="D3392" s="953"/>
      <c r="E3392" s="953"/>
      <c r="F3392" s="953"/>
      <c r="G3392" s="953"/>
      <c r="H3392" s="953"/>
    </row>
    <row r="3393" spans="1:8" s="943" customFormat="1" x14ac:dyDescent="0.25">
      <c r="A3393" s="952"/>
      <c r="B3393" s="953"/>
      <c r="C3393" s="953"/>
      <c r="D3393" s="953"/>
      <c r="E3393" s="953"/>
      <c r="F3393" s="953"/>
      <c r="G3393" s="953"/>
      <c r="H3393" s="953"/>
    </row>
    <row r="3394" spans="1:8" s="943" customFormat="1" x14ac:dyDescent="0.25">
      <c r="A3394" s="952"/>
      <c r="B3394" s="953"/>
      <c r="C3394" s="953"/>
      <c r="D3394" s="953"/>
      <c r="E3394" s="953"/>
      <c r="F3394" s="953"/>
      <c r="G3394" s="953"/>
      <c r="H3394" s="953"/>
    </row>
    <row r="3395" spans="1:8" s="943" customFormat="1" x14ac:dyDescent="0.25">
      <c r="A3395" s="952"/>
      <c r="B3395" s="953"/>
      <c r="C3395" s="953"/>
      <c r="D3395" s="953"/>
      <c r="E3395" s="953"/>
      <c r="F3395" s="953"/>
      <c r="G3395" s="953"/>
      <c r="H3395" s="953"/>
    </row>
    <row r="3396" spans="1:8" s="943" customFormat="1" x14ac:dyDescent="0.25">
      <c r="A3396" s="952"/>
      <c r="B3396" s="953"/>
      <c r="C3396" s="953"/>
      <c r="D3396" s="953"/>
      <c r="E3396" s="953"/>
      <c r="F3396" s="953"/>
      <c r="G3396" s="953"/>
      <c r="H3396" s="953"/>
    </row>
    <row r="3397" spans="1:8" s="943" customFormat="1" x14ac:dyDescent="0.25">
      <c r="A3397" s="952"/>
      <c r="B3397" s="953"/>
      <c r="C3397" s="953"/>
      <c r="D3397" s="953"/>
      <c r="E3397" s="953"/>
      <c r="F3397" s="953"/>
      <c r="G3397" s="953"/>
      <c r="H3397" s="953"/>
    </row>
    <row r="3398" spans="1:8" s="943" customFormat="1" x14ac:dyDescent="0.25">
      <c r="A3398" s="952"/>
      <c r="B3398" s="953"/>
      <c r="C3398" s="953"/>
      <c r="D3398" s="953"/>
      <c r="E3398" s="953"/>
      <c r="F3398" s="953"/>
      <c r="G3398" s="953"/>
      <c r="H3398" s="953"/>
    </row>
    <row r="3399" spans="1:8" s="943" customFormat="1" x14ac:dyDescent="0.25">
      <c r="A3399" s="952"/>
      <c r="B3399" s="953"/>
      <c r="C3399" s="953"/>
      <c r="D3399" s="953"/>
      <c r="E3399" s="953"/>
      <c r="F3399" s="953"/>
      <c r="G3399" s="953"/>
      <c r="H3399" s="953"/>
    </row>
    <row r="3400" spans="1:8" s="943" customFormat="1" x14ac:dyDescent="0.25">
      <c r="A3400" s="952"/>
      <c r="B3400" s="953"/>
      <c r="C3400" s="953"/>
      <c r="D3400" s="953"/>
      <c r="E3400" s="953"/>
      <c r="F3400" s="953"/>
      <c r="G3400" s="953"/>
      <c r="H3400" s="953"/>
    </row>
    <row r="3401" spans="1:8" s="943" customFormat="1" x14ac:dyDescent="0.25">
      <c r="A3401" s="952"/>
      <c r="B3401" s="953"/>
      <c r="C3401" s="953"/>
      <c r="D3401" s="953"/>
      <c r="E3401" s="953"/>
      <c r="F3401" s="953"/>
      <c r="G3401" s="953"/>
      <c r="H3401" s="953"/>
    </row>
    <row r="3402" spans="1:8" s="943" customFormat="1" x14ac:dyDescent="0.25">
      <c r="A3402" s="952"/>
      <c r="B3402" s="953"/>
      <c r="C3402" s="953"/>
      <c r="D3402" s="953"/>
      <c r="E3402" s="953"/>
      <c r="F3402" s="953"/>
      <c r="G3402" s="953"/>
      <c r="H3402" s="953"/>
    </row>
    <row r="3403" spans="1:8" s="943" customFormat="1" x14ac:dyDescent="0.25">
      <c r="A3403" s="952"/>
      <c r="B3403" s="953"/>
      <c r="C3403" s="953"/>
      <c r="D3403" s="953"/>
      <c r="E3403" s="953"/>
      <c r="F3403" s="953"/>
      <c r="G3403" s="953"/>
      <c r="H3403" s="953"/>
    </row>
    <row r="3404" spans="1:8" s="943" customFormat="1" x14ac:dyDescent="0.25">
      <c r="A3404" s="952"/>
      <c r="B3404" s="953"/>
      <c r="C3404" s="953"/>
      <c r="D3404" s="953"/>
      <c r="E3404" s="953"/>
      <c r="F3404" s="953"/>
      <c r="G3404" s="953"/>
      <c r="H3404" s="953"/>
    </row>
    <row r="3405" spans="1:8" s="943" customFormat="1" x14ac:dyDescent="0.25">
      <c r="A3405" s="952"/>
      <c r="B3405" s="953"/>
      <c r="C3405" s="953"/>
      <c r="D3405" s="953"/>
      <c r="E3405" s="953"/>
      <c r="F3405" s="953"/>
      <c r="G3405" s="953"/>
      <c r="H3405" s="953"/>
    </row>
    <row r="3406" spans="1:8" s="943" customFormat="1" x14ac:dyDescent="0.25">
      <c r="A3406" s="952"/>
      <c r="B3406" s="953"/>
      <c r="C3406" s="953"/>
      <c r="D3406" s="953"/>
      <c r="E3406" s="953"/>
      <c r="F3406" s="953"/>
      <c r="G3406" s="953"/>
      <c r="H3406" s="953"/>
    </row>
    <row r="3407" spans="1:8" s="943" customFormat="1" x14ac:dyDescent="0.25">
      <c r="A3407" s="952"/>
      <c r="B3407" s="953"/>
      <c r="C3407" s="953"/>
      <c r="D3407" s="953"/>
      <c r="E3407" s="953"/>
      <c r="F3407" s="953"/>
      <c r="G3407" s="953"/>
      <c r="H3407" s="953"/>
    </row>
    <row r="3408" spans="1:8" s="943" customFormat="1" x14ac:dyDescent="0.25">
      <c r="A3408" s="952"/>
      <c r="B3408" s="953"/>
      <c r="C3408" s="953"/>
      <c r="D3408" s="953"/>
      <c r="E3408" s="953"/>
      <c r="F3408" s="953"/>
      <c r="G3408" s="953"/>
      <c r="H3408" s="953"/>
    </row>
    <row r="3409" spans="1:8" s="943" customFormat="1" x14ac:dyDescent="0.25">
      <c r="A3409" s="952"/>
      <c r="B3409" s="953"/>
      <c r="C3409" s="953"/>
      <c r="D3409" s="953"/>
      <c r="E3409" s="953"/>
      <c r="F3409" s="953"/>
      <c r="G3409" s="953"/>
      <c r="H3409" s="953"/>
    </row>
    <row r="3410" spans="1:8" s="943" customFormat="1" x14ac:dyDescent="0.25">
      <c r="A3410" s="952"/>
      <c r="B3410" s="953"/>
      <c r="C3410" s="953"/>
      <c r="D3410" s="953"/>
      <c r="E3410" s="953"/>
      <c r="F3410" s="953"/>
      <c r="G3410" s="953"/>
      <c r="H3410" s="953"/>
    </row>
    <row r="3411" spans="1:8" s="943" customFormat="1" x14ac:dyDescent="0.25">
      <c r="A3411" s="952"/>
      <c r="B3411" s="953"/>
      <c r="C3411" s="953"/>
      <c r="D3411" s="953"/>
      <c r="E3411" s="953"/>
      <c r="F3411" s="953"/>
      <c r="G3411" s="953"/>
      <c r="H3411" s="953"/>
    </row>
    <row r="3412" spans="1:8" s="943" customFormat="1" x14ac:dyDescent="0.25">
      <c r="A3412" s="952"/>
      <c r="B3412" s="953"/>
      <c r="C3412" s="953"/>
      <c r="D3412" s="953"/>
      <c r="E3412" s="953"/>
      <c r="F3412" s="953"/>
      <c r="G3412" s="953"/>
      <c r="H3412" s="953"/>
    </row>
    <row r="3413" spans="1:8" s="943" customFormat="1" x14ac:dyDescent="0.25">
      <c r="A3413" s="952"/>
      <c r="B3413" s="953"/>
      <c r="C3413" s="953"/>
      <c r="D3413" s="953"/>
      <c r="E3413" s="953"/>
      <c r="F3413" s="953"/>
      <c r="G3413" s="953"/>
      <c r="H3413" s="953"/>
    </row>
    <row r="3414" spans="1:8" s="943" customFormat="1" x14ac:dyDescent="0.25">
      <c r="A3414" s="952"/>
      <c r="B3414" s="953"/>
      <c r="C3414" s="953"/>
      <c r="D3414" s="953"/>
      <c r="E3414" s="953"/>
      <c r="F3414" s="953"/>
      <c r="G3414" s="953"/>
      <c r="H3414" s="953"/>
    </row>
    <row r="3415" spans="1:8" s="943" customFormat="1" x14ac:dyDescent="0.25">
      <c r="A3415" s="952"/>
      <c r="B3415" s="953"/>
      <c r="C3415" s="953"/>
      <c r="D3415" s="953"/>
      <c r="E3415" s="953"/>
      <c r="F3415" s="953"/>
      <c r="G3415" s="953"/>
      <c r="H3415" s="953"/>
    </row>
    <row r="3416" spans="1:8" s="943" customFormat="1" x14ac:dyDescent="0.25">
      <c r="A3416" s="952"/>
      <c r="B3416" s="953"/>
      <c r="C3416" s="953"/>
      <c r="D3416" s="953"/>
      <c r="E3416" s="953"/>
      <c r="F3416" s="953"/>
      <c r="G3416" s="953"/>
      <c r="H3416" s="953"/>
    </row>
    <row r="3417" spans="1:8" s="943" customFormat="1" x14ac:dyDescent="0.25">
      <c r="A3417" s="952"/>
      <c r="B3417" s="953"/>
      <c r="C3417" s="953"/>
      <c r="D3417" s="953"/>
      <c r="E3417" s="953"/>
      <c r="F3417" s="953"/>
      <c r="G3417" s="953"/>
      <c r="H3417" s="953"/>
    </row>
    <row r="3418" spans="1:8" s="943" customFormat="1" x14ac:dyDescent="0.25">
      <c r="A3418" s="952"/>
      <c r="B3418" s="953"/>
      <c r="C3418" s="953"/>
      <c r="D3418" s="953"/>
      <c r="E3418" s="953"/>
      <c r="F3418" s="953"/>
      <c r="G3418" s="953"/>
      <c r="H3418" s="953"/>
    </row>
    <row r="3419" spans="1:8" s="943" customFormat="1" x14ac:dyDescent="0.25">
      <c r="A3419" s="952"/>
      <c r="B3419" s="953"/>
      <c r="C3419" s="953"/>
      <c r="D3419" s="953"/>
      <c r="E3419" s="953"/>
      <c r="F3419" s="953"/>
      <c r="G3419" s="953"/>
      <c r="H3419" s="953"/>
    </row>
    <row r="3420" spans="1:8" s="943" customFormat="1" x14ac:dyDescent="0.25">
      <c r="A3420" s="952"/>
      <c r="B3420" s="953"/>
      <c r="C3420" s="953"/>
      <c r="D3420" s="953"/>
      <c r="E3420" s="953"/>
      <c r="F3420" s="953"/>
      <c r="G3420" s="953"/>
      <c r="H3420" s="953"/>
    </row>
    <row r="3421" spans="1:8" s="943" customFormat="1" x14ac:dyDescent="0.25">
      <c r="A3421" s="952"/>
      <c r="B3421" s="953"/>
      <c r="C3421" s="953"/>
      <c r="D3421" s="953"/>
      <c r="E3421" s="953"/>
      <c r="F3421" s="953"/>
      <c r="G3421" s="953"/>
      <c r="H3421" s="953"/>
    </row>
    <row r="3422" spans="1:8" s="943" customFormat="1" x14ac:dyDescent="0.25">
      <c r="A3422" s="952"/>
      <c r="B3422" s="953"/>
      <c r="C3422" s="953"/>
      <c r="D3422" s="953"/>
      <c r="E3422" s="953"/>
      <c r="F3422" s="953"/>
      <c r="G3422" s="953"/>
      <c r="H3422" s="953"/>
    </row>
    <row r="3423" spans="1:8" s="943" customFormat="1" x14ac:dyDescent="0.25">
      <c r="A3423" s="952"/>
      <c r="B3423" s="953"/>
      <c r="C3423" s="953"/>
      <c r="D3423" s="953"/>
      <c r="E3423" s="953"/>
      <c r="F3423" s="953"/>
      <c r="G3423" s="953"/>
      <c r="H3423" s="953"/>
    </row>
    <row r="3424" spans="1:8" s="943" customFormat="1" x14ac:dyDescent="0.25">
      <c r="A3424" s="952"/>
      <c r="B3424" s="953"/>
      <c r="C3424" s="953"/>
      <c r="D3424" s="953"/>
      <c r="E3424" s="953"/>
      <c r="F3424" s="953"/>
      <c r="G3424" s="953"/>
      <c r="H3424" s="953"/>
    </row>
    <row r="3425" spans="1:8" s="943" customFormat="1" x14ac:dyDescent="0.25">
      <c r="A3425" s="952"/>
      <c r="B3425" s="953"/>
      <c r="C3425" s="953"/>
      <c r="D3425" s="953"/>
      <c r="E3425" s="953"/>
      <c r="F3425" s="953"/>
      <c r="G3425" s="953"/>
      <c r="H3425" s="953"/>
    </row>
    <row r="3426" spans="1:8" s="943" customFormat="1" x14ac:dyDescent="0.25">
      <c r="A3426" s="952"/>
      <c r="B3426" s="953"/>
      <c r="C3426" s="953"/>
      <c r="D3426" s="953"/>
      <c r="E3426" s="953"/>
      <c r="F3426" s="953"/>
      <c r="G3426" s="953"/>
      <c r="H3426" s="953"/>
    </row>
    <row r="3427" spans="1:8" s="943" customFormat="1" x14ac:dyDescent="0.25">
      <c r="A3427" s="952"/>
      <c r="B3427" s="953"/>
      <c r="C3427" s="953"/>
      <c r="D3427" s="953"/>
      <c r="E3427" s="953"/>
      <c r="F3427" s="953"/>
      <c r="G3427" s="953"/>
      <c r="H3427" s="953"/>
    </row>
    <row r="3428" spans="1:8" s="943" customFormat="1" x14ac:dyDescent="0.25">
      <c r="A3428" s="952"/>
      <c r="B3428" s="953"/>
      <c r="C3428" s="953"/>
      <c r="D3428" s="953"/>
      <c r="E3428" s="953"/>
      <c r="F3428" s="953"/>
      <c r="G3428" s="953"/>
      <c r="H3428" s="953"/>
    </row>
    <row r="3429" spans="1:8" s="943" customFormat="1" x14ac:dyDescent="0.25">
      <c r="A3429" s="952"/>
      <c r="B3429" s="953"/>
      <c r="C3429" s="953"/>
      <c r="D3429" s="953"/>
      <c r="E3429" s="953"/>
      <c r="F3429" s="953"/>
      <c r="G3429" s="953"/>
      <c r="H3429" s="953"/>
    </row>
    <row r="3430" spans="1:8" s="943" customFormat="1" x14ac:dyDescent="0.25">
      <c r="A3430" s="952"/>
      <c r="B3430" s="953"/>
      <c r="C3430" s="953"/>
      <c r="D3430" s="953"/>
      <c r="E3430" s="953"/>
      <c r="F3430" s="953"/>
      <c r="G3430" s="953"/>
      <c r="H3430" s="953"/>
    </row>
    <row r="3431" spans="1:8" s="943" customFormat="1" x14ac:dyDescent="0.25">
      <c r="A3431" s="952"/>
      <c r="B3431" s="953"/>
      <c r="C3431" s="953"/>
      <c r="D3431" s="953"/>
      <c r="E3431" s="953"/>
      <c r="F3431" s="953"/>
      <c r="G3431" s="953"/>
      <c r="H3431" s="953"/>
    </row>
    <row r="3432" spans="1:8" s="943" customFormat="1" x14ac:dyDescent="0.25">
      <c r="A3432" s="952"/>
      <c r="B3432" s="953"/>
      <c r="C3432" s="953"/>
      <c r="D3432" s="953"/>
      <c r="E3432" s="953"/>
      <c r="F3432" s="953"/>
      <c r="G3432" s="953"/>
      <c r="H3432" s="953"/>
    </row>
    <row r="3433" spans="1:8" s="943" customFormat="1" x14ac:dyDescent="0.25">
      <c r="A3433" s="952"/>
      <c r="B3433" s="953"/>
      <c r="C3433" s="953"/>
      <c r="D3433" s="953"/>
      <c r="E3433" s="953"/>
      <c r="F3433" s="953"/>
      <c r="G3433" s="953"/>
      <c r="H3433" s="953"/>
    </row>
    <row r="3434" spans="1:8" s="943" customFormat="1" x14ac:dyDescent="0.25">
      <c r="A3434" s="952"/>
      <c r="B3434" s="953"/>
      <c r="C3434" s="953"/>
      <c r="D3434" s="953"/>
      <c r="E3434" s="953"/>
      <c r="F3434" s="953"/>
      <c r="G3434" s="953"/>
      <c r="H3434" s="953"/>
    </row>
    <row r="3435" spans="1:8" s="943" customFormat="1" x14ac:dyDescent="0.25">
      <c r="A3435" s="952"/>
      <c r="B3435" s="953"/>
      <c r="C3435" s="953"/>
      <c r="D3435" s="953"/>
      <c r="E3435" s="953"/>
      <c r="F3435" s="953"/>
      <c r="G3435" s="953"/>
      <c r="H3435" s="953"/>
    </row>
    <row r="3436" spans="1:8" s="943" customFormat="1" x14ac:dyDescent="0.25">
      <c r="A3436" s="952"/>
      <c r="B3436" s="953"/>
      <c r="C3436" s="953"/>
      <c r="D3436" s="953"/>
      <c r="E3436" s="953"/>
      <c r="F3436" s="953"/>
      <c r="G3436" s="953"/>
      <c r="H3436" s="953"/>
    </row>
    <row r="3437" spans="1:8" s="943" customFormat="1" x14ac:dyDescent="0.25">
      <c r="A3437" s="952"/>
      <c r="B3437" s="953"/>
      <c r="C3437" s="953"/>
      <c r="D3437" s="953"/>
      <c r="E3437" s="953"/>
      <c r="F3437" s="953"/>
      <c r="G3437" s="953"/>
      <c r="H3437" s="953"/>
    </row>
    <row r="3438" spans="1:8" s="943" customFormat="1" x14ac:dyDescent="0.25">
      <c r="A3438" s="952"/>
      <c r="B3438" s="953"/>
      <c r="C3438" s="953"/>
      <c r="D3438" s="953"/>
      <c r="E3438" s="953"/>
      <c r="F3438" s="953"/>
      <c r="G3438" s="953"/>
      <c r="H3438" s="953"/>
    </row>
    <row r="3439" spans="1:8" s="943" customFormat="1" x14ac:dyDescent="0.25">
      <c r="A3439" s="952"/>
      <c r="B3439" s="953"/>
      <c r="C3439" s="953"/>
      <c r="D3439" s="953"/>
      <c r="E3439" s="953"/>
      <c r="F3439" s="953"/>
      <c r="G3439" s="953"/>
      <c r="H3439" s="953"/>
    </row>
    <row r="3440" spans="1:8" s="943" customFormat="1" x14ac:dyDescent="0.25">
      <c r="A3440" s="952"/>
      <c r="B3440" s="953"/>
      <c r="C3440" s="953"/>
      <c r="D3440" s="953"/>
      <c r="E3440" s="953"/>
      <c r="F3440" s="953"/>
      <c r="G3440" s="953"/>
      <c r="H3440" s="953"/>
    </row>
    <row r="3441" spans="1:8" s="943" customFormat="1" x14ac:dyDescent="0.25">
      <c r="A3441" s="952"/>
      <c r="B3441" s="953"/>
      <c r="C3441" s="953"/>
      <c r="D3441" s="953"/>
      <c r="E3441" s="953"/>
      <c r="F3441" s="953"/>
      <c r="G3441" s="953"/>
      <c r="H3441" s="953"/>
    </row>
    <row r="3442" spans="1:8" s="943" customFormat="1" x14ac:dyDescent="0.25">
      <c r="A3442" s="952"/>
      <c r="B3442" s="953"/>
      <c r="C3442" s="953"/>
      <c r="D3442" s="953"/>
      <c r="E3442" s="953"/>
      <c r="F3442" s="953"/>
      <c r="G3442" s="953"/>
      <c r="H3442" s="953"/>
    </row>
    <row r="3443" spans="1:8" s="943" customFormat="1" x14ac:dyDescent="0.25">
      <c r="A3443" s="952"/>
      <c r="B3443" s="953"/>
      <c r="C3443" s="953"/>
      <c r="D3443" s="953"/>
      <c r="E3443" s="953"/>
      <c r="F3443" s="953"/>
      <c r="G3443" s="953"/>
      <c r="H3443" s="953"/>
    </row>
    <row r="3444" spans="1:8" s="943" customFormat="1" x14ac:dyDescent="0.25">
      <c r="A3444" s="952"/>
      <c r="B3444" s="953"/>
      <c r="C3444" s="953"/>
      <c r="D3444" s="953"/>
      <c r="E3444" s="953"/>
      <c r="F3444" s="953"/>
      <c r="G3444" s="953"/>
      <c r="H3444" s="953"/>
    </row>
    <row r="3445" spans="1:8" s="943" customFormat="1" x14ac:dyDescent="0.25">
      <c r="A3445" s="952"/>
      <c r="B3445" s="953"/>
      <c r="C3445" s="953"/>
      <c r="D3445" s="953"/>
      <c r="E3445" s="953"/>
      <c r="F3445" s="953"/>
      <c r="G3445" s="953"/>
      <c r="H3445" s="953"/>
    </row>
    <row r="3446" spans="1:8" s="943" customFormat="1" x14ac:dyDescent="0.25">
      <c r="A3446" s="952"/>
      <c r="B3446" s="953"/>
      <c r="C3446" s="953"/>
      <c r="D3446" s="953"/>
      <c r="E3446" s="953"/>
      <c r="F3446" s="953"/>
      <c r="G3446" s="953"/>
      <c r="H3446" s="953"/>
    </row>
    <row r="3447" spans="1:8" s="943" customFormat="1" x14ac:dyDescent="0.25">
      <c r="A3447" s="952"/>
      <c r="B3447" s="953"/>
      <c r="C3447" s="953"/>
      <c r="D3447" s="953"/>
      <c r="E3447" s="953"/>
      <c r="F3447" s="953"/>
      <c r="G3447" s="953"/>
      <c r="H3447" s="953"/>
    </row>
    <row r="3448" spans="1:8" s="943" customFormat="1" x14ac:dyDescent="0.25">
      <c r="A3448" s="952"/>
      <c r="B3448" s="953"/>
      <c r="C3448" s="953"/>
      <c r="D3448" s="953"/>
      <c r="E3448" s="953"/>
      <c r="F3448" s="953"/>
      <c r="G3448" s="953"/>
      <c r="H3448" s="953"/>
    </row>
    <row r="3449" spans="1:8" s="943" customFormat="1" x14ac:dyDescent="0.25">
      <c r="A3449" s="952"/>
      <c r="B3449" s="953"/>
      <c r="C3449" s="953"/>
      <c r="D3449" s="953"/>
      <c r="E3449" s="953"/>
      <c r="F3449" s="953"/>
      <c r="G3449" s="953"/>
      <c r="H3449" s="953"/>
    </row>
    <row r="3450" spans="1:8" s="943" customFormat="1" x14ac:dyDescent="0.25">
      <c r="A3450" s="952"/>
      <c r="B3450" s="953"/>
      <c r="C3450" s="953"/>
      <c r="D3450" s="953"/>
      <c r="E3450" s="953"/>
      <c r="F3450" s="953"/>
      <c r="G3450" s="953"/>
      <c r="H3450" s="953"/>
    </row>
    <row r="3451" spans="1:8" s="943" customFormat="1" x14ac:dyDescent="0.25">
      <c r="A3451" s="952"/>
      <c r="B3451" s="953"/>
      <c r="C3451" s="953"/>
      <c r="D3451" s="953"/>
      <c r="E3451" s="953"/>
      <c r="F3451" s="953"/>
      <c r="G3451" s="953"/>
      <c r="H3451" s="953"/>
    </row>
    <row r="3452" spans="1:8" s="943" customFormat="1" x14ac:dyDescent="0.25">
      <c r="A3452" s="952"/>
      <c r="B3452" s="953"/>
      <c r="C3452" s="953"/>
      <c r="D3452" s="953"/>
      <c r="E3452" s="953"/>
      <c r="F3452" s="953"/>
      <c r="G3452" s="953"/>
      <c r="H3452" s="953"/>
    </row>
    <row r="3453" spans="1:8" s="943" customFormat="1" x14ac:dyDescent="0.25">
      <c r="A3453" s="952"/>
      <c r="B3453" s="953"/>
      <c r="C3453" s="953"/>
      <c r="D3453" s="953"/>
      <c r="E3453" s="953"/>
      <c r="F3453" s="953"/>
      <c r="G3453" s="953"/>
      <c r="H3453" s="953"/>
    </row>
    <row r="3454" spans="1:8" s="943" customFormat="1" x14ac:dyDescent="0.25">
      <c r="A3454" s="952"/>
      <c r="B3454" s="953"/>
      <c r="C3454" s="953"/>
      <c r="D3454" s="953"/>
      <c r="E3454" s="953"/>
      <c r="F3454" s="953"/>
      <c r="G3454" s="953"/>
      <c r="H3454" s="953"/>
    </row>
    <row r="3455" spans="1:8" s="943" customFormat="1" x14ac:dyDescent="0.25">
      <c r="A3455" s="952"/>
      <c r="B3455" s="953"/>
      <c r="C3455" s="953"/>
      <c r="D3455" s="953"/>
      <c r="E3455" s="953"/>
      <c r="F3455" s="953"/>
      <c r="G3455" s="953"/>
      <c r="H3455" s="953"/>
    </row>
    <row r="3456" spans="1:8" s="943" customFormat="1" x14ac:dyDescent="0.25">
      <c r="A3456" s="952"/>
      <c r="B3456" s="953"/>
      <c r="C3456" s="953"/>
      <c r="D3456" s="953"/>
      <c r="E3456" s="953"/>
      <c r="F3456" s="953"/>
      <c r="G3456" s="953"/>
      <c r="H3456" s="953"/>
    </row>
    <row r="3457" spans="1:8" s="943" customFormat="1" x14ac:dyDescent="0.25">
      <c r="A3457" s="952"/>
      <c r="B3457" s="953"/>
      <c r="C3457" s="953"/>
      <c r="D3457" s="953"/>
      <c r="E3457" s="953"/>
      <c r="F3457" s="953"/>
      <c r="G3457" s="953"/>
      <c r="H3457" s="953"/>
    </row>
    <row r="3458" spans="1:8" s="943" customFormat="1" x14ac:dyDescent="0.25">
      <c r="A3458" s="952"/>
      <c r="B3458" s="953"/>
      <c r="C3458" s="953"/>
      <c r="D3458" s="953"/>
      <c r="E3458" s="953"/>
      <c r="F3458" s="953"/>
      <c r="G3458" s="953"/>
      <c r="H3458" s="953"/>
    </row>
    <row r="3459" spans="1:8" s="943" customFormat="1" x14ac:dyDescent="0.25">
      <c r="A3459" s="952"/>
      <c r="B3459" s="953"/>
      <c r="C3459" s="953"/>
      <c r="D3459" s="953"/>
      <c r="E3459" s="953"/>
      <c r="F3459" s="953"/>
      <c r="G3459" s="953"/>
      <c r="H3459" s="953"/>
    </row>
    <row r="3460" spans="1:8" s="943" customFormat="1" x14ac:dyDescent="0.25">
      <c r="A3460" s="952"/>
      <c r="B3460" s="953"/>
      <c r="C3460" s="953"/>
      <c r="D3460" s="953"/>
      <c r="E3460" s="953"/>
      <c r="F3460" s="953"/>
      <c r="G3460" s="953"/>
      <c r="H3460" s="953"/>
    </row>
    <row r="3461" spans="1:8" s="943" customFormat="1" x14ac:dyDescent="0.25">
      <c r="A3461" s="952"/>
      <c r="B3461" s="953"/>
      <c r="C3461" s="953"/>
      <c r="D3461" s="953"/>
      <c r="E3461" s="953"/>
      <c r="F3461" s="953"/>
      <c r="G3461" s="953"/>
      <c r="H3461" s="953"/>
    </row>
    <row r="3462" spans="1:8" s="943" customFormat="1" x14ac:dyDescent="0.25">
      <c r="A3462" s="952"/>
      <c r="B3462" s="953"/>
      <c r="C3462" s="953"/>
      <c r="D3462" s="953"/>
      <c r="E3462" s="953"/>
      <c r="F3462" s="953"/>
      <c r="G3462" s="953"/>
      <c r="H3462" s="953"/>
    </row>
    <row r="3463" spans="1:8" s="943" customFormat="1" x14ac:dyDescent="0.25">
      <c r="A3463" s="952"/>
      <c r="B3463" s="953"/>
      <c r="C3463" s="953"/>
      <c r="D3463" s="953"/>
      <c r="E3463" s="953"/>
      <c r="F3463" s="953"/>
      <c r="G3463" s="953"/>
      <c r="H3463" s="953"/>
    </row>
    <row r="3464" spans="1:8" s="943" customFormat="1" x14ac:dyDescent="0.25">
      <c r="A3464" s="952"/>
      <c r="B3464" s="953"/>
      <c r="C3464" s="953"/>
      <c r="D3464" s="953"/>
      <c r="E3464" s="953"/>
      <c r="F3464" s="953"/>
      <c r="G3464" s="953"/>
      <c r="H3464" s="953"/>
    </row>
    <row r="3465" spans="1:8" s="943" customFormat="1" x14ac:dyDescent="0.25">
      <c r="A3465" s="952"/>
      <c r="B3465" s="953"/>
      <c r="C3465" s="953"/>
      <c r="D3465" s="953"/>
      <c r="E3465" s="953"/>
      <c r="F3465" s="953"/>
      <c r="G3465" s="953"/>
      <c r="H3465" s="953"/>
    </row>
    <row r="3466" spans="1:8" s="943" customFormat="1" x14ac:dyDescent="0.25">
      <c r="A3466" s="952"/>
      <c r="B3466" s="953"/>
      <c r="C3466" s="953"/>
      <c r="D3466" s="953"/>
      <c r="E3466" s="953"/>
      <c r="F3466" s="953"/>
      <c r="G3466" s="953"/>
      <c r="H3466" s="953"/>
    </row>
    <row r="3467" spans="1:8" s="943" customFormat="1" x14ac:dyDescent="0.25">
      <c r="A3467" s="952"/>
      <c r="B3467" s="953"/>
      <c r="C3467" s="953"/>
      <c r="D3467" s="953"/>
      <c r="E3467" s="953"/>
      <c r="F3467" s="953"/>
      <c r="G3467" s="953"/>
      <c r="H3467" s="953"/>
    </row>
    <row r="3468" spans="1:8" s="943" customFormat="1" x14ac:dyDescent="0.25">
      <c r="A3468" s="952"/>
      <c r="B3468" s="953"/>
      <c r="C3468" s="953"/>
      <c r="D3468" s="953"/>
      <c r="E3468" s="953"/>
      <c r="F3468" s="953"/>
      <c r="G3468" s="953"/>
      <c r="H3468" s="953"/>
    </row>
    <row r="3469" spans="1:8" s="943" customFormat="1" x14ac:dyDescent="0.25">
      <c r="A3469" s="952"/>
      <c r="B3469" s="953"/>
      <c r="C3469" s="953"/>
      <c r="D3469" s="953"/>
      <c r="E3469" s="953"/>
      <c r="F3469" s="953"/>
      <c r="G3469" s="953"/>
      <c r="H3469" s="953"/>
    </row>
    <row r="3470" spans="1:8" s="943" customFormat="1" x14ac:dyDescent="0.25">
      <c r="A3470" s="952"/>
      <c r="B3470" s="953"/>
      <c r="C3470" s="953"/>
      <c r="D3470" s="953"/>
      <c r="E3470" s="953"/>
      <c r="F3470" s="953"/>
      <c r="G3470" s="953"/>
      <c r="H3470" s="953"/>
    </row>
    <row r="3471" spans="1:8" s="943" customFormat="1" x14ac:dyDescent="0.25">
      <c r="A3471" s="952"/>
      <c r="B3471" s="953"/>
      <c r="C3471" s="953"/>
      <c r="D3471" s="953"/>
      <c r="E3471" s="953"/>
      <c r="F3471" s="953"/>
      <c r="G3471" s="953"/>
      <c r="H3471" s="953"/>
    </row>
    <row r="3472" spans="1:8" s="943" customFormat="1" x14ac:dyDescent="0.25">
      <c r="A3472" s="952"/>
      <c r="B3472" s="953"/>
      <c r="C3472" s="953"/>
      <c r="D3472" s="953"/>
      <c r="E3472" s="953"/>
      <c r="F3472" s="953"/>
      <c r="G3472" s="953"/>
      <c r="H3472" s="953"/>
    </row>
    <row r="3473" spans="1:8" s="943" customFormat="1" x14ac:dyDescent="0.25">
      <c r="A3473" s="952"/>
      <c r="B3473" s="953"/>
      <c r="C3473" s="953"/>
      <c r="D3473" s="953"/>
      <c r="E3473" s="953"/>
      <c r="F3473" s="953"/>
      <c r="G3473" s="953"/>
      <c r="H3473" s="953"/>
    </row>
    <row r="3474" spans="1:8" s="943" customFormat="1" x14ac:dyDescent="0.25">
      <c r="A3474" s="952"/>
      <c r="B3474" s="953"/>
      <c r="C3474" s="953"/>
      <c r="D3474" s="953"/>
      <c r="E3474" s="953"/>
      <c r="F3474" s="953"/>
      <c r="G3474" s="953"/>
      <c r="H3474" s="953"/>
    </row>
    <row r="3475" spans="1:8" s="943" customFormat="1" x14ac:dyDescent="0.25">
      <c r="A3475" s="952"/>
      <c r="B3475" s="953"/>
      <c r="C3475" s="953"/>
      <c r="D3475" s="953"/>
      <c r="E3475" s="953"/>
      <c r="F3475" s="953"/>
      <c r="G3475" s="953"/>
      <c r="H3475" s="953"/>
    </row>
    <row r="3476" spans="1:8" s="943" customFormat="1" x14ac:dyDescent="0.25">
      <c r="A3476" s="952"/>
      <c r="B3476" s="953"/>
      <c r="C3476" s="953"/>
      <c r="D3476" s="953"/>
      <c r="E3476" s="953"/>
      <c r="F3476" s="953"/>
      <c r="G3476" s="953"/>
      <c r="H3476" s="953"/>
    </row>
    <row r="3477" spans="1:8" s="943" customFormat="1" x14ac:dyDescent="0.25">
      <c r="A3477" s="952"/>
      <c r="B3477" s="953"/>
      <c r="C3477" s="953"/>
      <c r="D3477" s="953"/>
      <c r="E3477" s="953"/>
      <c r="F3477" s="953"/>
      <c r="G3477" s="953"/>
      <c r="H3477" s="953"/>
    </row>
    <row r="3478" spans="1:8" s="943" customFormat="1" x14ac:dyDescent="0.25">
      <c r="A3478" s="952"/>
      <c r="B3478" s="953"/>
      <c r="C3478" s="953"/>
      <c r="D3478" s="953"/>
      <c r="E3478" s="953"/>
      <c r="F3478" s="953"/>
      <c r="G3478" s="953"/>
      <c r="H3478" s="953"/>
    </row>
    <row r="3479" spans="1:8" s="943" customFormat="1" x14ac:dyDescent="0.25">
      <c r="A3479" s="952"/>
      <c r="B3479" s="953"/>
      <c r="C3479" s="953"/>
      <c r="D3479" s="953"/>
      <c r="E3479" s="953"/>
      <c r="F3479" s="953"/>
      <c r="G3479" s="953"/>
      <c r="H3479" s="953"/>
    </row>
    <row r="3480" spans="1:8" s="943" customFormat="1" x14ac:dyDescent="0.25">
      <c r="A3480" s="952"/>
      <c r="B3480" s="953"/>
      <c r="C3480" s="953"/>
      <c r="D3480" s="953"/>
      <c r="E3480" s="953"/>
      <c r="F3480" s="953"/>
      <c r="G3480" s="953"/>
      <c r="H3480" s="953"/>
    </row>
    <row r="3481" spans="1:8" s="943" customFormat="1" x14ac:dyDescent="0.25">
      <c r="A3481" s="952"/>
      <c r="B3481" s="953"/>
      <c r="C3481" s="953"/>
      <c r="D3481" s="953"/>
      <c r="E3481" s="953"/>
      <c r="F3481" s="953"/>
      <c r="G3481" s="953"/>
      <c r="H3481" s="953"/>
    </row>
    <row r="3482" spans="1:8" s="943" customFormat="1" x14ac:dyDescent="0.25">
      <c r="A3482" s="952"/>
      <c r="B3482" s="953"/>
      <c r="C3482" s="953"/>
      <c r="D3482" s="953"/>
      <c r="E3482" s="953"/>
      <c r="F3482" s="953"/>
      <c r="G3482" s="953"/>
      <c r="H3482" s="953"/>
    </row>
    <row r="3483" spans="1:8" s="943" customFormat="1" x14ac:dyDescent="0.25">
      <c r="A3483" s="952"/>
      <c r="B3483" s="953"/>
      <c r="C3483" s="953"/>
      <c r="D3483" s="953"/>
      <c r="E3483" s="953"/>
      <c r="F3483" s="953"/>
      <c r="G3483" s="953"/>
      <c r="H3483" s="953"/>
    </row>
    <row r="3484" spans="1:8" s="943" customFormat="1" x14ac:dyDescent="0.25">
      <c r="A3484" s="952"/>
      <c r="B3484" s="953"/>
      <c r="C3484" s="953"/>
      <c r="D3484" s="953"/>
      <c r="E3484" s="953"/>
      <c r="F3484" s="953"/>
      <c r="G3484" s="953"/>
      <c r="H3484" s="953"/>
    </row>
    <row r="3485" spans="1:8" s="943" customFormat="1" x14ac:dyDescent="0.25">
      <c r="A3485" s="952"/>
      <c r="B3485" s="953"/>
      <c r="C3485" s="953"/>
      <c r="D3485" s="953"/>
      <c r="E3485" s="953"/>
      <c r="F3485" s="953"/>
      <c r="G3485" s="953"/>
      <c r="H3485" s="953"/>
    </row>
    <row r="3486" spans="1:8" s="943" customFormat="1" x14ac:dyDescent="0.25">
      <c r="A3486" s="952"/>
      <c r="B3486" s="953"/>
      <c r="C3486" s="953"/>
      <c r="D3486" s="953"/>
      <c r="E3486" s="953"/>
      <c r="F3486" s="953"/>
      <c r="G3486" s="953"/>
      <c r="H3486" s="953"/>
    </row>
    <row r="3487" spans="1:8" s="943" customFormat="1" x14ac:dyDescent="0.25">
      <c r="A3487" s="952"/>
      <c r="B3487" s="953"/>
      <c r="C3487" s="953"/>
      <c r="D3487" s="953"/>
      <c r="E3487" s="953"/>
      <c r="F3487" s="953"/>
      <c r="G3487" s="953"/>
      <c r="H3487" s="953"/>
    </row>
    <row r="3488" spans="1:8" s="943" customFormat="1" x14ac:dyDescent="0.25">
      <c r="A3488" s="952"/>
      <c r="B3488" s="953"/>
      <c r="C3488" s="953"/>
      <c r="D3488" s="953"/>
      <c r="E3488" s="953"/>
      <c r="F3488" s="953"/>
      <c r="G3488" s="953"/>
      <c r="H3488" s="953"/>
    </row>
    <row r="3489" spans="1:8" s="943" customFormat="1" x14ac:dyDescent="0.25">
      <c r="A3489" s="952"/>
      <c r="B3489" s="953"/>
      <c r="C3489" s="953"/>
      <c r="D3489" s="953"/>
      <c r="E3489" s="953"/>
      <c r="F3489" s="953"/>
      <c r="G3489" s="953"/>
      <c r="H3489" s="953"/>
    </row>
    <row r="3490" spans="1:8" s="943" customFormat="1" x14ac:dyDescent="0.25">
      <c r="A3490" s="952"/>
      <c r="B3490" s="953"/>
      <c r="C3490" s="953"/>
      <c r="D3490" s="953"/>
      <c r="E3490" s="953"/>
      <c r="F3490" s="953"/>
      <c r="G3490" s="953"/>
      <c r="H3490" s="953"/>
    </row>
    <row r="3491" spans="1:8" s="943" customFormat="1" x14ac:dyDescent="0.25">
      <c r="A3491" s="952"/>
      <c r="B3491" s="953"/>
      <c r="C3491" s="953"/>
      <c r="D3491" s="953"/>
      <c r="E3491" s="953"/>
      <c r="F3491" s="953"/>
      <c r="G3491" s="953"/>
      <c r="H3491" s="953"/>
    </row>
    <row r="3492" spans="1:8" s="943" customFormat="1" x14ac:dyDescent="0.25">
      <c r="A3492" s="952"/>
      <c r="B3492" s="953"/>
      <c r="C3492" s="953"/>
      <c r="D3492" s="953"/>
      <c r="E3492" s="953"/>
      <c r="F3492" s="953"/>
      <c r="G3492" s="953"/>
      <c r="H3492" s="953"/>
    </row>
    <row r="3493" spans="1:8" s="943" customFormat="1" x14ac:dyDescent="0.25">
      <c r="A3493" s="952"/>
      <c r="B3493" s="953"/>
      <c r="C3493" s="953"/>
      <c r="D3493" s="953"/>
      <c r="E3493" s="953"/>
      <c r="F3493" s="953"/>
      <c r="G3493" s="953"/>
      <c r="H3493" s="953"/>
    </row>
    <row r="3494" spans="1:8" s="943" customFormat="1" x14ac:dyDescent="0.25">
      <c r="A3494" s="952"/>
      <c r="B3494" s="953"/>
      <c r="C3494" s="953"/>
      <c r="D3494" s="953"/>
      <c r="E3494" s="953"/>
      <c r="F3494" s="953"/>
      <c r="G3494" s="953"/>
      <c r="H3494" s="953"/>
    </row>
    <row r="3495" spans="1:8" s="943" customFormat="1" x14ac:dyDescent="0.25">
      <c r="A3495" s="952"/>
      <c r="B3495" s="953"/>
      <c r="C3495" s="953"/>
      <c r="D3495" s="953"/>
      <c r="E3495" s="953"/>
      <c r="F3495" s="953"/>
      <c r="G3495" s="953"/>
      <c r="H3495" s="953"/>
    </row>
    <row r="3496" spans="1:8" s="943" customFormat="1" x14ac:dyDescent="0.25">
      <c r="A3496" s="952"/>
      <c r="B3496" s="953"/>
      <c r="C3496" s="953"/>
      <c r="D3496" s="953"/>
      <c r="E3496" s="953"/>
      <c r="F3496" s="953"/>
      <c r="G3496" s="953"/>
      <c r="H3496" s="953"/>
    </row>
    <row r="3497" spans="1:8" s="943" customFormat="1" x14ac:dyDescent="0.25">
      <c r="A3497" s="952"/>
      <c r="B3497" s="953"/>
      <c r="C3497" s="953"/>
      <c r="D3497" s="953"/>
      <c r="E3497" s="953"/>
      <c r="F3497" s="953"/>
      <c r="G3497" s="953"/>
      <c r="H3497" s="953"/>
    </row>
    <row r="3498" spans="1:8" s="943" customFormat="1" x14ac:dyDescent="0.25">
      <c r="A3498" s="952"/>
      <c r="B3498" s="953"/>
      <c r="C3498" s="953"/>
      <c r="D3498" s="953"/>
      <c r="E3498" s="953"/>
      <c r="F3498" s="953"/>
      <c r="G3498" s="953"/>
      <c r="H3498" s="953"/>
    </row>
    <row r="3499" spans="1:8" s="943" customFormat="1" x14ac:dyDescent="0.25">
      <c r="A3499" s="952"/>
      <c r="B3499" s="953"/>
      <c r="C3499" s="953"/>
      <c r="D3499" s="953"/>
      <c r="E3499" s="953"/>
      <c r="F3499" s="953"/>
      <c r="G3499" s="953"/>
      <c r="H3499" s="953"/>
    </row>
    <row r="3500" spans="1:8" s="943" customFormat="1" x14ac:dyDescent="0.25">
      <c r="A3500" s="952"/>
      <c r="B3500" s="953"/>
      <c r="C3500" s="953"/>
      <c r="D3500" s="953"/>
      <c r="E3500" s="953"/>
      <c r="F3500" s="953"/>
      <c r="G3500" s="953"/>
      <c r="H3500" s="953"/>
    </row>
    <row r="3501" spans="1:8" s="943" customFormat="1" x14ac:dyDescent="0.25">
      <c r="A3501" s="952"/>
      <c r="B3501" s="953"/>
      <c r="C3501" s="953"/>
      <c r="D3501" s="953"/>
      <c r="E3501" s="953"/>
      <c r="F3501" s="953"/>
      <c r="G3501" s="953"/>
      <c r="H3501" s="953"/>
    </row>
    <row r="3502" spans="1:8" s="943" customFormat="1" x14ac:dyDescent="0.25">
      <c r="A3502" s="952"/>
      <c r="B3502" s="953"/>
      <c r="C3502" s="953"/>
      <c r="D3502" s="953"/>
      <c r="E3502" s="953"/>
      <c r="F3502" s="953"/>
      <c r="G3502" s="953"/>
      <c r="H3502" s="953"/>
    </row>
    <row r="3503" spans="1:8" s="943" customFormat="1" x14ac:dyDescent="0.25">
      <c r="A3503" s="952"/>
      <c r="B3503" s="953"/>
      <c r="C3503" s="953"/>
      <c r="D3503" s="953"/>
      <c r="E3503" s="953"/>
      <c r="F3503" s="953"/>
      <c r="G3503" s="953"/>
      <c r="H3503" s="953"/>
    </row>
    <row r="3504" spans="1:8" s="943" customFormat="1" x14ac:dyDescent="0.25">
      <c r="A3504" s="952"/>
      <c r="B3504" s="953"/>
      <c r="C3504" s="953"/>
      <c r="D3504" s="953"/>
      <c r="E3504" s="953"/>
      <c r="F3504" s="953"/>
      <c r="G3504" s="953"/>
      <c r="H3504" s="953"/>
    </row>
    <row r="3505" spans="1:8" s="943" customFormat="1" x14ac:dyDescent="0.25">
      <c r="A3505" s="952"/>
      <c r="B3505" s="953"/>
      <c r="C3505" s="953"/>
      <c r="D3505" s="953"/>
      <c r="E3505" s="953"/>
      <c r="F3505" s="953"/>
      <c r="G3505" s="953"/>
      <c r="H3505" s="953"/>
    </row>
    <row r="3506" spans="1:8" s="943" customFormat="1" x14ac:dyDescent="0.25">
      <c r="A3506" s="952"/>
      <c r="B3506" s="953"/>
      <c r="C3506" s="953"/>
      <c r="D3506" s="953"/>
      <c r="E3506" s="953"/>
      <c r="F3506" s="953"/>
      <c r="G3506" s="953"/>
      <c r="H3506" s="953"/>
    </row>
    <row r="3507" spans="1:8" s="943" customFormat="1" x14ac:dyDescent="0.25">
      <c r="A3507" s="952"/>
      <c r="B3507" s="953"/>
      <c r="C3507" s="953"/>
      <c r="D3507" s="953"/>
      <c r="E3507" s="953"/>
      <c r="F3507" s="953"/>
      <c r="G3507" s="953"/>
      <c r="H3507" s="953"/>
    </row>
    <row r="3508" spans="1:8" s="943" customFormat="1" x14ac:dyDescent="0.25">
      <c r="A3508" s="952"/>
      <c r="B3508" s="953"/>
      <c r="C3508" s="953"/>
      <c r="D3508" s="953"/>
      <c r="E3508" s="953"/>
      <c r="F3508" s="953"/>
      <c r="G3508" s="953"/>
      <c r="H3508" s="953"/>
    </row>
    <row r="3509" spans="1:8" s="943" customFormat="1" x14ac:dyDescent="0.25">
      <c r="A3509" s="952"/>
      <c r="B3509" s="953"/>
      <c r="C3509" s="953"/>
      <c r="D3509" s="953"/>
      <c r="E3509" s="953"/>
      <c r="F3509" s="953"/>
      <c r="G3509" s="953"/>
      <c r="H3509" s="953"/>
    </row>
    <row r="3510" spans="1:8" s="943" customFormat="1" x14ac:dyDescent="0.25">
      <c r="A3510" s="952"/>
      <c r="B3510" s="953"/>
      <c r="C3510" s="953"/>
      <c r="D3510" s="953"/>
      <c r="E3510" s="953"/>
      <c r="F3510" s="953"/>
      <c r="G3510" s="953"/>
      <c r="H3510" s="953"/>
    </row>
    <row r="3511" spans="1:8" s="943" customFormat="1" x14ac:dyDescent="0.25">
      <c r="A3511" s="952"/>
      <c r="B3511" s="953"/>
      <c r="C3511" s="953"/>
      <c r="D3511" s="953"/>
      <c r="E3511" s="953"/>
      <c r="F3511" s="953"/>
      <c r="G3511" s="953"/>
      <c r="H3511" s="953"/>
    </row>
    <row r="3512" spans="1:8" s="943" customFormat="1" x14ac:dyDescent="0.25">
      <c r="A3512" s="952"/>
      <c r="B3512" s="953"/>
      <c r="C3512" s="953"/>
      <c r="D3512" s="953"/>
      <c r="E3512" s="953"/>
      <c r="F3512" s="953"/>
      <c r="G3512" s="953"/>
      <c r="H3512" s="953"/>
    </row>
    <row r="3513" spans="1:8" s="943" customFormat="1" x14ac:dyDescent="0.25">
      <c r="A3513" s="952"/>
      <c r="B3513" s="953"/>
      <c r="C3513" s="953"/>
      <c r="D3513" s="953"/>
      <c r="E3513" s="953"/>
      <c r="F3513" s="953"/>
      <c r="G3513" s="953"/>
      <c r="H3513" s="953"/>
    </row>
    <row r="3514" spans="1:8" s="943" customFormat="1" x14ac:dyDescent="0.25">
      <c r="A3514" s="952"/>
      <c r="B3514" s="953"/>
      <c r="C3514" s="953"/>
      <c r="D3514" s="953"/>
      <c r="E3514" s="953"/>
      <c r="F3514" s="953"/>
      <c r="G3514" s="953"/>
      <c r="H3514" s="953"/>
    </row>
    <row r="3515" spans="1:8" s="943" customFormat="1" x14ac:dyDescent="0.25">
      <c r="A3515" s="952"/>
      <c r="B3515" s="953"/>
      <c r="C3515" s="953"/>
      <c r="D3515" s="953"/>
      <c r="E3515" s="953"/>
      <c r="F3515" s="953"/>
      <c r="G3515" s="953"/>
      <c r="H3515" s="953"/>
    </row>
    <row r="3516" spans="1:8" s="943" customFormat="1" x14ac:dyDescent="0.25">
      <c r="A3516" s="952"/>
      <c r="B3516" s="953"/>
      <c r="C3516" s="953"/>
      <c r="D3516" s="953"/>
      <c r="E3516" s="953"/>
      <c r="F3516" s="953"/>
      <c r="G3516" s="953"/>
      <c r="H3516" s="953"/>
    </row>
    <row r="3517" spans="1:8" s="943" customFormat="1" x14ac:dyDescent="0.25">
      <c r="A3517" s="952"/>
      <c r="B3517" s="953"/>
      <c r="C3517" s="953"/>
      <c r="D3517" s="953"/>
      <c r="E3517" s="953"/>
      <c r="F3517" s="953"/>
      <c r="G3517" s="953"/>
      <c r="H3517" s="953"/>
    </row>
    <row r="3518" spans="1:8" s="943" customFormat="1" x14ac:dyDescent="0.25">
      <c r="A3518" s="952"/>
      <c r="B3518" s="953"/>
      <c r="C3518" s="953"/>
      <c r="D3518" s="953"/>
      <c r="E3518" s="953"/>
      <c r="F3518" s="953"/>
      <c r="G3518" s="953"/>
      <c r="H3518" s="953"/>
    </row>
    <row r="3519" spans="1:8" s="943" customFormat="1" x14ac:dyDescent="0.25">
      <c r="A3519" s="952"/>
      <c r="B3519" s="953"/>
      <c r="C3519" s="953"/>
      <c r="D3519" s="953"/>
      <c r="E3519" s="953"/>
      <c r="F3519" s="953"/>
      <c r="G3519" s="953"/>
      <c r="H3519" s="953"/>
    </row>
    <row r="3520" spans="1:8" s="943" customFormat="1" x14ac:dyDescent="0.25">
      <c r="A3520" s="952"/>
      <c r="B3520" s="953"/>
      <c r="C3520" s="953"/>
      <c r="D3520" s="953"/>
      <c r="E3520" s="953"/>
      <c r="F3520" s="953"/>
      <c r="G3520" s="953"/>
      <c r="H3520" s="953"/>
    </row>
    <row r="3521" spans="1:8" s="943" customFormat="1" x14ac:dyDescent="0.25">
      <c r="A3521" s="952"/>
      <c r="B3521" s="953"/>
      <c r="C3521" s="953"/>
      <c r="D3521" s="953"/>
      <c r="E3521" s="953"/>
      <c r="F3521" s="953"/>
      <c r="G3521" s="953"/>
      <c r="H3521" s="953"/>
    </row>
    <row r="3522" spans="1:8" s="943" customFormat="1" x14ac:dyDescent="0.25">
      <c r="A3522" s="952"/>
      <c r="B3522" s="953"/>
      <c r="C3522" s="953"/>
      <c r="D3522" s="953"/>
      <c r="E3522" s="953"/>
      <c r="F3522" s="953"/>
      <c r="G3522" s="953"/>
      <c r="H3522" s="953"/>
    </row>
    <row r="3523" spans="1:8" s="943" customFormat="1" x14ac:dyDescent="0.25">
      <c r="A3523" s="952"/>
      <c r="B3523" s="953"/>
      <c r="C3523" s="953"/>
      <c r="D3523" s="953"/>
      <c r="E3523" s="953"/>
      <c r="F3523" s="953"/>
      <c r="G3523" s="953"/>
      <c r="H3523" s="953"/>
    </row>
    <row r="3524" spans="1:8" s="943" customFormat="1" x14ac:dyDescent="0.25">
      <c r="A3524" s="952"/>
      <c r="B3524" s="953"/>
      <c r="C3524" s="953"/>
      <c r="D3524" s="953"/>
      <c r="E3524" s="953"/>
      <c r="F3524" s="953"/>
      <c r="G3524" s="953"/>
      <c r="H3524" s="953"/>
    </row>
    <row r="3525" spans="1:8" s="943" customFormat="1" x14ac:dyDescent="0.25">
      <c r="A3525" s="952"/>
      <c r="B3525" s="953"/>
      <c r="C3525" s="953"/>
      <c r="D3525" s="953"/>
      <c r="E3525" s="953"/>
      <c r="F3525" s="953"/>
      <c r="G3525" s="953"/>
      <c r="H3525" s="953"/>
    </row>
    <row r="3526" spans="1:8" s="943" customFormat="1" x14ac:dyDescent="0.25">
      <c r="A3526" s="952"/>
      <c r="B3526" s="953"/>
      <c r="C3526" s="953"/>
      <c r="D3526" s="953"/>
      <c r="E3526" s="953"/>
      <c r="F3526" s="953"/>
      <c r="G3526" s="953"/>
      <c r="H3526" s="953"/>
    </row>
    <row r="3527" spans="1:8" s="943" customFormat="1" x14ac:dyDescent="0.25">
      <c r="A3527" s="952"/>
      <c r="B3527" s="953"/>
      <c r="C3527" s="953"/>
      <c r="D3527" s="953"/>
      <c r="E3527" s="953"/>
      <c r="F3527" s="953"/>
      <c r="G3527" s="953"/>
      <c r="H3527" s="953"/>
    </row>
    <row r="3528" spans="1:8" s="943" customFormat="1" x14ac:dyDescent="0.25">
      <c r="A3528" s="952"/>
      <c r="B3528" s="953"/>
      <c r="C3528" s="953"/>
      <c r="D3528" s="953"/>
      <c r="E3528" s="953"/>
      <c r="F3528" s="953"/>
      <c r="G3528" s="953"/>
      <c r="H3528" s="953"/>
    </row>
    <row r="3529" spans="1:8" s="943" customFormat="1" x14ac:dyDescent="0.25">
      <c r="A3529" s="952"/>
      <c r="B3529" s="953"/>
      <c r="C3529" s="953"/>
      <c r="D3529" s="953"/>
      <c r="E3529" s="953"/>
      <c r="F3529" s="953"/>
      <c r="G3529" s="953"/>
      <c r="H3529" s="953"/>
    </row>
    <row r="3530" spans="1:8" s="943" customFormat="1" x14ac:dyDescent="0.25">
      <c r="A3530" s="952"/>
      <c r="B3530" s="953"/>
      <c r="C3530" s="953"/>
      <c r="D3530" s="953"/>
      <c r="E3530" s="953"/>
      <c r="F3530" s="953"/>
      <c r="G3530" s="953"/>
      <c r="H3530" s="953"/>
    </row>
    <row r="3531" spans="1:8" s="943" customFormat="1" x14ac:dyDescent="0.25">
      <c r="A3531" s="952"/>
      <c r="B3531" s="953"/>
      <c r="C3531" s="953"/>
      <c r="D3531" s="953"/>
      <c r="E3531" s="953"/>
      <c r="F3531" s="953"/>
      <c r="G3531" s="953"/>
      <c r="H3531" s="953"/>
    </row>
    <row r="3532" spans="1:8" s="943" customFormat="1" x14ac:dyDescent="0.25">
      <c r="A3532" s="952"/>
      <c r="B3532" s="953"/>
      <c r="C3532" s="953"/>
      <c r="D3532" s="953"/>
      <c r="E3532" s="953"/>
      <c r="F3532" s="953"/>
      <c r="G3532" s="953"/>
      <c r="H3532" s="953"/>
    </row>
    <row r="3533" spans="1:8" s="943" customFormat="1" x14ac:dyDescent="0.25">
      <c r="A3533" s="952"/>
      <c r="B3533" s="953"/>
      <c r="C3533" s="953"/>
      <c r="D3533" s="953"/>
      <c r="E3533" s="953"/>
      <c r="F3533" s="953"/>
      <c r="G3533" s="953"/>
      <c r="H3533" s="953"/>
    </row>
    <row r="3534" spans="1:8" s="943" customFormat="1" x14ac:dyDescent="0.25">
      <c r="A3534" s="952"/>
      <c r="B3534" s="953"/>
      <c r="C3534" s="953"/>
      <c r="D3534" s="953"/>
      <c r="E3534" s="953"/>
      <c r="F3534" s="953"/>
      <c r="G3534" s="953"/>
      <c r="H3534" s="953"/>
    </row>
    <row r="3535" spans="1:8" s="943" customFormat="1" x14ac:dyDescent="0.25">
      <c r="A3535" s="952"/>
      <c r="B3535" s="953"/>
      <c r="C3535" s="953"/>
      <c r="D3535" s="953"/>
      <c r="E3535" s="953"/>
      <c r="F3535" s="953"/>
      <c r="G3535" s="953"/>
      <c r="H3535" s="953"/>
    </row>
    <row r="3536" spans="1:8" s="943" customFormat="1" x14ac:dyDescent="0.25">
      <c r="A3536" s="952"/>
      <c r="B3536" s="953"/>
      <c r="C3536" s="953"/>
      <c r="D3536" s="953"/>
      <c r="E3536" s="953"/>
      <c r="F3536" s="953"/>
      <c r="G3536" s="953"/>
      <c r="H3536" s="953"/>
    </row>
    <row r="3537" spans="1:8" s="943" customFormat="1" x14ac:dyDescent="0.25">
      <c r="A3537" s="952"/>
      <c r="B3537" s="953"/>
      <c r="C3537" s="953"/>
      <c r="D3537" s="953"/>
      <c r="E3537" s="953"/>
      <c r="F3537" s="953"/>
      <c r="G3537" s="953"/>
      <c r="H3537" s="953"/>
    </row>
    <row r="3538" spans="1:8" s="943" customFormat="1" x14ac:dyDescent="0.25">
      <c r="A3538" s="952"/>
      <c r="B3538" s="953"/>
      <c r="C3538" s="953"/>
      <c r="D3538" s="953"/>
      <c r="E3538" s="953"/>
      <c r="F3538" s="953"/>
      <c r="G3538" s="953"/>
      <c r="H3538" s="953"/>
    </row>
    <row r="3539" spans="1:8" s="943" customFormat="1" x14ac:dyDescent="0.25">
      <c r="A3539" s="952"/>
      <c r="B3539" s="953"/>
      <c r="C3539" s="953"/>
      <c r="D3539" s="953"/>
      <c r="E3539" s="953"/>
      <c r="F3539" s="953"/>
      <c r="G3539" s="953"/>
      <c r="H3539" s="953"/>
    </row>
    <row r="3540" spans="1:8" s="943" customFormat="1" x14ac:dyDescent="0.25">
      <c r="A3540" s="952"/>
      <c r="B3540" s="953"/>
      <c r="C3540" s="953"/>
      <c r="D3540" s="953"/>
      <c r="E3540" s="953"/>
      <c r="F3540" s="953"/>
      <c r="G3540" s="953"/>
      <c r="H3540" s="953"/>
    </row>
    <row r="3541" spans="1:8" s="943" customFormat="1" x14ac:dyDescent="0.25">
      <c r="A3541" s="952"/>
      <c r="B3541" s="953"/>
      <c r="C3541" s="953"/>
      <c r="D3541" s="953"/>
      <c r="E3541" s="953"/>
      <c r="F3541" s="953"/>
      <c r="G3541" s="953"/>
      <c r="H3541" s="953"/>
    </row>
    <row r="3542" spans="1:8" s="943" customFormat="1" x14ac:dyDescent="0.25">
      <c r="A3542" s="952"/>
      <c r="B3542" s="953"/>
      <c r="C3542" s="953"/>
      <c r="D3542" s="953"/>
      <c r="E3542" s="953"/>
      <c r="F3542" s="953"/>
      <c r="G3542" s="953"/>
      <c r="H3542" s="953"/>
    </row>
    <row r="3543" spans="1:8" s="943" customFormat="1" x14ac:dyDescent="0.25">
      <c r="A3543" s="952"/>
      <c r="B3543" s="953"/>
      <c r="C3543" s="953"/>
      <c r="D3543" s="953"/>
      <c r="E3543" s="953"/>
      <c r="F3543" s="953"/>
      <c r="G3543" s="953"/>
      <c r="H3543" s="953"/>
    </row>
    <row r="3544" spans="1:8" s="943" customFormat="1" x14ac:dyDescent="0.25">
      <c r="A3544" s="952"/>
      <c r="B3544" s="953"/>
      <c r="C3544" s="953"/>
      <c r="D3544" s="953"/>
      <c r="E3544" s="953"/>
      <c r="F3544" s="953"/>
      <c r="G3544" s="953"/>
      <c r="H3544" s="953"/>
    </row>
    <row r="3545" spans="1:8" s="943" customFormat="1" x14ac:dyDescent="0.25">
      <c r="A3545" s="952"/>
      <c r="B3545" s="953"/>
      <c r="C3545" s="953"/>
      <c r="D3545" s="953"/>
      <c r="E3545" s="953"/>
      <c r="F3545" s="953"/>
      <c r="G3545" s="953"/>
      <c r="H3545" s="953"/>
    </row>
    <row r="3546" spans="1:8" s="943" customFormat="1" x14ac:dyDescent="0.25">
      <c r="A3546" s="952"/>
      <c r="B3546" s="953"/>
      <c r="C3546" s="953"/>
      <c r="D3546" s="953"/>
      <c r="E3546" s="953"/>
      <c r="F3546" s="953"/>
      <c r="G3546" s="953"/>
      <c r="H3546" s="953"/>
    </row>
    <row r="3547" spans="1:8" s="943" customFormat="1" x14ac:dyDescent="0.25">
      <c r="A3547" s="952"/>
      <c r="B3547" s="953"/>
      <c r="C3547" s="953"/>
      <c r="D3547" s="953"/>
      <c r="E3547" s="953"/>
      <c r="F3547" s="953"/>
      <c r="G3547" s="953"/>
      <c r="H3547" s="953"/>
    </row>
    <row r="3548" spans="1:8" s="943" customFormat="1" x14ac:dyDescent="0.25">
      <c r="A3548" s="952"/>
      <c r="B3548" s="953"/>
      <c r="C3548" s="953"/>
      <c r="D3548" s="953"/>
      <c r="E3548" s="953"/>
      <c r="F3548" s="953"/>
      <c r="G3548" s="953"/>
      <c r="H3548" s="953"/>
    </row>
    <row r="3549" spans="1:8" s="943" customFormat="1" x14ac:dyDescent="0.25">
      <c r="A3549" s="952"/>
      <c r="B3549" s="953"/>
      <c r="C3549" s="953"/>
      <c r="D3549" s="953"/>
      <c r="E3549" s="953"/>
      <c r="F3549" s="953"/>
      <c r="G3549" s="953"/>
      <c r="H3549" s="953"/>
    </row>
    <row r="3550" spans="1:8" s="943" customFormat="1" x14ac:dyDescent="0.25">
      <c r="A3550" s="952"/>
      <c r="B3550" s="953"/>
      <c r="C3550" s="953"/>
      <c r="D3550" s="953"/>
      <c r="E3550" s="953"/>
      <c r="F3550" s="953"/>
      <c r="G3550" s="953"/>
      <c r="H3550" s="953"/>
    </row>
    <row r="3551" spans="1:8" s="943" customFormat="1" x14ac:dyDescent="0.25">
      <c r="A3551" s="952"/>
      <c r="B3551" s="953"/>
      <c r="C3551" s="953"/>
      <c r="D3551" s="953"/>
      <c r="E3551" s="953"/>
      <c r="F3551" s="953"/>
      <c r="G3551" s="953"/>
      <c r="H3551" s="953"/>
    </row>
    <row r="3552" spans="1:8" s="943" customFormat="1" x14ac:dyDescent="0.25">
      <c r="A3552" s="952"/>
      <c r="B3552" s="953"/>
      <c r="C3552" s="953"/>
      <c r="D3552" s="953"/>
      <c r="E3552" s="953"/>
      <c r="F3552" s="953"/>
      <c r="G3552" s="953"/>
      <c r="H3552" s="953"/>
    </row>
    <row r="3553" spans="1:8" s="943" customFormat="1" x14ac:dyDescent="0.25">
      <c r="A3553" s="952"/>
      <c r="B3553" s="953"/>
      <c r="C3553" s="953"/>
      <c r="D3553" s="953"/>
      <c r="E3553" s="953"/>
      <c r="F3553" s="953"/>
      <c r="G3553" s="953"/>
      <c r="H3553" s="953"/>
    </row>
    <row r="3554" spans="1:8" s="943" customFormat="1" x14ac:dyDescent="0.25">
      <c r="A3554" s="952"/>
      <c r="B3554" s="953"/>
      <c r="C3554" s="953"/>
      <c r="D3554" s="953"/>
      <c r="E3554" s="953"/>
      <c r="F3554" s="953"/>
      <c r="G3554" s="953"/>
      <c r="H3554" s="953"/>
    </row>
    <row r="3555" spans="1:8" s="943" customFormat="1" x14ac:dyDescent="0.25">
      <c r="A3555" s="952"/>
      <c r="B3555" s="953"/>
      <c r="C3555" s="953"/>
      <c r="D3555" s="953"/>
      <c r="E3555" s="953"/>
      <c r="F3555" s="953"/>
      <c r="G3555" s="953"/>
      <c r="H3555" s="953"/>
    </row>
    <row r="3556" spans="1:8" s="943" customFormat="1" x14ac:dyDescent="0.25">
      <c r="A3556" s="952"/>
      <c r="B3556" s="953"/>
      <c r="C3556" s="953"/>
      <c r="D3556" s="953"/>
      <c r="E3556" s="953"/>
      <c r="F3556" s="953"/>
      <c r="G3556" s="953"/>
      <c r="H3556" s="953"/>
    </row>
    <row r="3557" spans="1:8" s="943" customFormat="1" x14ac:dyDescent="0.25">
      <c r="A3557" s="952"/>
      <c r="B3557" s="953"/>
      <c r="C3557" s="953"/>
      <c r="D3557" s="953"/>
      <c r="E3557" s="953"/>
      <c r="F3557" s="953"/>
      <c r="G3557" s="953"/>
      <c r="H3557" s="953"/>
    </row>
    <row r="3558" spans="1:8" s="943" customFormat="1" x14ac:dyDescent="0.25">
      <c r="A3558" s="952"/>
      <c r="B3558" s="953"/>
      <c r="C3558" s="953"/>
      <c r="D3558" s="953"/>
      <c r="E3558" s="953"/>
      <c r="F3558" s="953"/>
      <c r="G3558" s="953"/>
      <c r="H3558" s="953"/>
    </row>
    <row r="3559" spans="1:8" s="943" customFormat="1" x14ac:dyDescent="0.25">
      <c r="A3559" s="952"/>
      <c r="B3559" s="953"/>
      <c r="C3559" s="953"/>
      <c r="D3559" s="953"/>
      <c r="E3559" s="953"/>
      <c r="F3559" s="953"/>
      <c r="G3559" s="953"/>
      <c r="H3559" s="953"/>
    </row>
    <row r="3560" spans="1:8" s="943" customFormat="1" x14ac:dyDescent="0.25">
      <c r="A3560" s="952"/>
      <c r="B3560" s="953"/>
      <c r="C3560" s="953"/>
      <c r="D3560" s="953"/>
      <c r="E3560" s="953"/>
      <c r="F3560" s="953"/>
      <c r="G3560" s="953"/>
      <c r="H3560" s="953"/>
    </row>
    <row r="3561" spans="1:8" s="943" customFormat="1" x14ac:dyDescent="0.25">
      <c r="A3561" s="952"/>
      <c r="B3561" s="953"/>
      <c r="C3561" s="953"/>
      <c r="D3561" s="953"/>
      <c r="E3561" s="953"/>
      <c r="F3561" s="953"/>
      <c r="G3561" s="953"/>
      <c r="H3561" s="953"/>
    </row>
    <row r="3562" spans="1:8" s="943" customFormat="1" x14ac:dyDescent="0.25">
      <c r="A3562" s="952"/>
      <c r="B3562" s="953"/>
      <c r="C3562" s="953"/>
      <c r="D3562" s="953"/>
      <c r="E3562" s="953"/>
      <c r="F3562" s="953"/>
      <c r="G3562" s="953"/>
      <c r="H3562" s="953"/>
    </row>
    <row r="3563" spans="1:8" s="943" customFormat="1" x14ac:dyDescent="0.25">
      <c r="A3563" s="952"/>
      <c r="B3563" s="953"/>
      <c r="C3563" s="953"/>
      <c r="D3563" s="953"/>
      <c r="E3563" s="953"/>
      <c r="F3563" s="953"/>
      <c r="G3563" s="953"/>
      <c r="H3563" s="953"/>
    </row>
    <row r="3564" spans="1:8" s="943" customFormat="1" x14ac:dyDescent="0.25">
      <c r="A3564" s="952"/>
      <c r="B3564" s="953"/>
      <c r="C3564" s="953"/>
      <c r="D3564" s="953"/>
      <c r="E3564" s="953"/>
      <c r="F3564" s="953"/>
      <c r="G3564" s="953"/>
      <c r="H3564" s="953"/>
    </row>
    <row r="3565" spans="1:8" s="943" customFormat="1" x14ac:dyDescent="0.25">
      <c r="A3565" s="952"/>
      <c r="B3565" s="953"/>
      <c r="C3565" s="953"/>
      <c r="D3565" s="953"/>
      <c r="E3565" s="953"/>
      <c r="F3565" s="953"/>
      <c r="G3565" s="953"/>
      <c r="H3565" s="953"/>
    </row>
    <row r="3566" spans="1:8" s="943" customFormat="1" x14ac:dyDescent="0.25">
      <c r="A3566" s="952"/>
      <c r="B3566" s="953"/>
      <c r="C3566" s="953"/>
      <c r="D3566" s="953"/>
      <c r="E3566" s="953"/>
      <c r="F3566" s="953"/>
      <c r="G3566" s="953"/>
      <c r="H3566" s="953"/>
    </row>
    <row r="3567" spans="1:8" s="943" customFormat="1" x14ac:dyDescent="0.25">
      <c r="A3567" s="952"/>
      <c r="B3567" s="953"/>
      <c r="C3567" s="953"/>
      <c r="D3567" s="953"/>
      <c r="E3567" s="953"/>
      <c r="F3567" s="953"/>
      <c r="G3567" s="953"/>
      <c r="H3567" s="953"/>
    </row>
    <row r="3568" spans="1:8" s="943" customFormat="1" x14ac:dyDescent="0.25">
      <c r="A3568" s="952"/>
      <c r="B3568" s="953"/>
      <c r="C3568" s="953"/>
      <c r="D3568" s="953"/>
      <c r="E3568" s="953"/>
      <c r="F3568" s="953"/>
      <c r="G3568" s="953"/>
      <c r="H3568" s="953"/>
    </row>
    <row r="3569" spans="1:8" s="943" customFormat="1" x14ac:dyDescent="0.25">
      <c r="A3569" s="952"/>
      <c r="B3569" s="953"/>
      <c r="C3569" s="953"/>
      <c r="D3569" s="953"/>
      <c r="E3569" s="953"/>
      <c r="F3569" s="953"/>
      <c r="G3569" s="953"/>
      <c r="H3569" s="953"/>
    </row>
    <row r="3570" spans="1:8" s="943" customFormat="1" x14ac:dyDescent="0.25">
      <c r="A3570" s="952"/>
      <c r="B3570" s="953"/>
      <c r="C3570" s="953"/>
      <c r="D3570" s="953"/>
      <c r="E3570" s="953"/>
      <c r="F3570" s="953"/>
      <c r="G3570" s="953"/>
      <c r="H3570" s="953"/>
    </row>
    <row r="3571" spans="1:8" s="943" customFormat="1" x14ac:dyDescent="0.25">
      <c r="A3571" s="952"/>
      <c r="B3571" s="953"/>
      <c r="C3571" s="953"/>
      <c r="D3571" s="953"/>
      <c r="E3571" s="953"/>
      <c r="F3571" s="953"/>
      <c r="G3571" s="953"/>
      <c r="H3571" s="953"/>
    </row>
    <row r="3572" spans="1:8" s="943" customFormat="1" x14ac:dyDescent="0.25">
      <c r="A3572" s="952"/>
      <c r="B3572" s="953"/>
      <c r="C3572" s="953"/>
      <c r="D3572" s="953"/>
      <c r="E3572" s="953"/>
      <c r="F3572" s="953"/>
      <c r="G3572" s="953"/>
      <c r="H3572" s="953"/>
    </row>
    <row r="3573" spans="1:8" s="943" customFormat="1" x14ac:dyDescent="0.25">
      <c r="A3573" s="952"/>
      <c r="B3573" s="953"/>
      <c r="C3573" s="953"/>
      <c r="D3573" s="953"/>
      <c r="E3573" s="953"/>
      <c r="F3573" s="953"/>
      <c r="G3573" s="953"/>
      <c r="H3573" s="953"/>
    </row>
    <row r="3574" spans="1:8" s="943" customFormat="1" x14ac:dyDescent="0.25">
      <c r="A3574" s="952"/>
      <c r="B3574" s="953"/>
      <c r="C3574" s="953"/>
      <c r="D3574" s="953"/>
      <c r="E3574" s="953"/>
      <c r="F3574" s="953"/>
      <c r="G3574" s="953"/>
      <c r="H3574" s="953"/>
    </row>
    <row r="3575" spans="1:8" s="943" customFormat="1" x14ac:dyDescent="0.25">
      <c r="A3575" s="952"/>
      <c r="B3575" s="953"/>
      <c r="C3575" s="953"/>
      <c r="D3575" s="953"/>
      <c r="E3575" s="953"/>
      <c r="F3575" s="953"/>
      <c r="G3575" s="953"/>
      <c r="H3575" s="953"/>
    </row>
    <row r="3576" spans="1:8" s="943" customFormat="1" x14ac:dyDescent="0.25">
      <c r="A3576" s="952"/>
      <c r="B3576" s="953"/>
      <c r="C3576" s="953"/>
      <c r="D3576" s="953"/>
      <c r="E3576" s="953"/>
      <c r="F3576" s="953"/>
      <c r="G3576" s="953"/>
      <c r="H3576" s="953"/>
    </row>
    <row r="3577" spans="1:8" s="943" customFormat="1" x14ac:dyDescent="0.25">
      <c r="A3577" s="952"/>
      <c r="B3577" s="953"/>
      <c r="C3577" s="953"/>
      <c r="D3577" s="953"/>
      <c r="E3577" s="953"/>
      <c r="F3577" s="953"/>
      <c r="G3577" s="953"/>
      <c r="H3577" s="953"/>
    </row>
    <row r="3578" spans="1:8" s="943" customFormat="1" x14ac:dyDescent="0.25">
      <c r="A3578" s="952"/>
      <c r="B3578" s="953"/>
      <c r="C3578" s="953"/>
      <c r="D3578" s="953"/>
      <c r="E3578" s="953"/>
      <c r="F3578" s="953"/>
      <c r="G3578" s="953"/>
      <c r="H3578" s="953"/>
    </row>
    <row r="3579" spans="1:8" s="943" customFormat="1" x14ac:dyDescent="0.25">
      <c r="A3579" s="952"/>
      <c r="B3579" s="953"/>
      <c r="C3579" s="953"/>
      <c r="D3579" s="953"/>
      <c r="E3579" s="953"/>
      <c r="F3579" s="953"/>
      <c r="G3579" s="953"/>
      <c r="H3579" s="953"/>
    </row>
    <row r="3580" spans="1:8" s="943" customFormat="1" x14ac:dyDescent="0.25">
      <c r="A3580" s="952"/>
      <c r="B3580" s="953"/>
      <c r="C3580" s="953"/>
      <c r="D3580" s="953"/>
      <c r="E3580" s="953"/>
      <c r="F3580" s="953"/>
      <c r="G3580" s="953"/>
      <c r="H3580" s="953"/>
    </row>
    <row r="3581" spans="1:8" s="943" customFormat="1" x14ac:dyDescent="0.25">
      <c r="A3581" s="952"/>
      <c r="B3581" s="953"/>
      <c r="C3581" s="953"/>
      <c r="D3581" s="953"/>
      <c r="E3581" s="953"/>
      <c r="F3581" s="953"/>
      <c r="G3581" s="953"/>
      <c r="H3581" s="953"/>
    </row>
    <row r="3582" spans="1:8" s="943" customFormat="1" x14ac:dyDescent="0.25">
      <c r="A3582" s="952"/>
      <c r="B3582" s="953"/>
      <c r="C3582" s="953"/>
      <c r="D3582" s="953"/>
      <c r="E3582" s="953"/>
      <c r="F3582" s="953"/>
      <c r="G3582" s="953"/>
      <c r="H3582" s="953"/>
    </row>
    <row r="3583" spans="1:8" s="943" customFormat="1" x14ac:dyDescent="0.25">
      <c r="A3583" s="952"/>
      <c r="B3583" s="953"/>
      <c r="C3583" s="953"/>
      <c r="D3583" s="953"/>
      <c r="E3583" s="953"/>
      <c r="F3583" s="953"/>
      <c r="G3583" s="953"/>
      <c r="H3583" s="953"/>
    </row>
    <row r="3584" spans="1:8" s="943" customFormat="1" x14ac:dyDescent="0.25">
      <c r="A3584" s="952"/>
      <c r="B3584" s="953"/>
      <c r="C3584" s="953"/>
      <c r="D3584" s="953"/>
      <c r="E3584" s="953"/>
      <c r="F3584" s="953"/>
      <c r="G3584" s="953"/>
      <c r="H3584" s="953"/>
    </row>
    <row r="3585" spans="1:8" s="943" customFormat="1" x14ac:dyDescent="0.25">
      <c r="A3585" s="952"/>
      <c r="B3585" s="953"/>
      <c r="C3585" s="953"/>
      <c r="D3585" s="953"/>
      <c r="E3585" s="953"/>
      <c r="F3585" s="953"/>
      <c r="G3585" s="953"/>
      <c r="H3585" s="953"/>
    </row>
    <row r="3586" spans="1:8" s="943" customFormat="1" x14ac:dyDescent="0.25">
      <c r="A3586" s="952"/>
      <c r="B3586" s="953"/>
      <c r="C3586" s="953"/>
      <c r="D3586" s="953"/>
      <c r="E3586" s="953"/>
      <c r="F3586" s="953"/>
      <c r="G3586" s="953"/>
      <c r="H3586" s="953"/>
    </row>
    <row r="3587" spans="1:8" s="943" customFormat="1" x14ac:dyDescent="0.25">
      <c r="A3587" s="952"/>
      <c r="B3587" s="953"/>
      <c r="C3587" s="953"/>
      <c r="D3587" s="953"/>
      <c r="E3587" s="953"/>
      <c r="F3587" s="953"/>
      <c r="G3587" s="953"/>
      <c r="H3587" s="953"/>
    </row>
    <row r="3588" spans="1:8" s="943" customFormat="1" x14ac:dyDescent="0.25">
      <c r="A3588" s="952"/>
      <c r="B3588" s="953"/>
      <c r="C3588" s="953"/>
      <c r="D3588" s="953"/>
      <c r="E3588" s="953"/>
      <c r="F3588" s="953"/>
      <c r="G3588" s="953"/>
      <c r="H3588" s="953"/>
    </row>
    <row r="3589" spans="1:8" s="943" customFormat="1" x14ac:dyDescent="0.25">
      <c r="A3589" s="952"/>
      <c r="B3589" s="953"/>
      <c r="C3589" s="953"/>
      <c r="D3589" s="953"/>
      <c r="E3589" s="953"/>
      <c r="F3589" s="953"/>
      <c r="G3589" s="953"/>
      <c r="H3589" s="953"/>
    </row>
    <row r="3590" spans="1:8" s="943" customFormat="1" x14ac:dyDescent="0.25">
      <c r="A3590" s="952"/>
      <c r="B3590" s="953"/>
      <c r="C3590" s="953"/>
      <c r="D3590" s="953"/>
      <c r="E3590" s="953"/>
      <c r="F3590" s="953"/>
      <c r="G3590" s="953"/>
      <c r="H3590" s="953"/>
    </row>
    <row r="3591" spans="1:8" s="943" customFormat="1" x14ac:dyDescent="0.25">
      <c r="A3591" s="952"/>
      <c r="B3591" s="953"/>
      <c r="C3591" s="953"/>
      <c r="D3591" s="953"/>
      <c r="E3591" s="953"/>
      <c r="F3591" s="953"/>
      <c r="G3591" s="953"/>
      <c r="H3591" s="953"/>
    </row>
    <row r="3592" spans="1:8" s="943" customFormat="1" x14ac:dyDescent="0.25">
      <c r="A3592" s="952"/>
      <c r="B3592" s="953"/>
      <c r="C3592" s="953"/>
      <c r="D3592" s="953"/>
      <c r="E3592" s="953"/>
      <c r="F3592" s="953"/>
      <c r="G3592" s="953"/>
      <c r="H3592" s="953"/>
    </row>
    <row r="3593" spans="1:8" s="943" customFormat="1" x14ac:dyDescent="0.25">
      <c r="A3593" s="952"/>
      <c r="B3593" s="953"/>
      <c r="C3593" s="953"/>
      <c r="D3593" s="953"/>
      <c r="E3593" s="953"/>
      <c r="F3593" s="953"/>
      <c r="G3593" s="953"/>
      <c r="H3593" s="953"/>
    </row>
    <row r="3594" spans="1:8" s="943" customFormat="1" x14ac:dyDescent="0.25">
      <c r="A3594" s="952"/>
      <c r="B3594" s="953"/>
      <c r="C3594" s="953"/>
      <c r="D3594" s="953"/>
      <c r="E3594" s="953"/>
      <c r="F3594" s="953"/>
      <c r="G3594" s="953"/>
      <c r="H3594" s="953"/>
    </row>
    <row r="3595" spans="1:8" s="943" customFormat="1" x14ac:dyDescent="0.25">
      <c r="A3595" s="952"/>
      <c r="B3595" s="953"/>
      <c r="C3595" s="953"/>
      <c r="D3595" s="953"/>
      <c r="E3595" s="953"/>
      <c r="F3595" s="953"/>
      <c r="G3595" s="953"/>
      <c r="H3595" s="953"/>
    </row>
    <row r="3596" spans="1:8" s="943" customFormat="1" x14ac:dyDescent="0.25">
      <c r="A3596" s="952"/>
      <c r="B3596" s="953"/>
      <c r="C3596" s="953"/>
      <c r="D3596" s="953"/>
      <c r="E3596" s="953"/>
      <c r="F3596" s="953"/>
      <c r="G3596" s="953"/>
      <c r="H3596" s="953"/>
    </row>
    <row r="3597" spans="1:8" s="943" customFormat="1" x14ac:dyDescent="0.25">
      <c r="A3597" s="952"/>
      <c r="B3597" s="953"/>
      <c r="C3597" s="953"/>
      <c r="D3597" s="953"/>
      <c r="E3597" s="953"/>
      <c r="F3597" s="953"/>
      <c r="G3597" s="953"/>
      <c r="H3597" s="953"/>
    </row>
    <row r="3598" spans="1:8" s="943" customFormat="1" x14ac:dyDescent="0.25">
      <c r="A3598" s="952"/>
      <c r="B3598" s="953"/>
      <c r="C3598" s="953"/>
      <c r="D3598" s="953"/>
      <c r="E3598" s="953"/>
      <c r="F3598" s="953"/>
      <c r="G3598" s="953"/>
      <c r="H3598" s="953"/>
    </row>
    <row r="3599" spans="1:8" s="943" customFormat="1" x14ac:dyDescent="0.25">
      <c r="A3599" s="952"/>
      <c r="B3599" s="953"/>
      <c r="C3599" s="953"/>
      <c r="D3599" s="953"/>
      <c r="E3599" s="953"/>
      <c r="F3599" s="953"/>
      <c r="G3599" s="953"/>
      <c r="H3599" s="953"/>
    </row>
    <row r="3600" spans="1:8" s="943" customFormat="1" x14ac:dyDescent="0.25">
      <c r="A3600" s="952"/>
      <c r="B3600" s="953"/>
      <c r="C3600" s="953"/>
      <c r="D3600" s="953"/>
      <c r="E3600" s="953"/>
      <c r="F3600" s="953"/>
      <c r="G3600" s="953"/>
      <c r="H3600" s="953"/>
    </row>
    <row r="3601" spans="1:8" s="943" customFormat="1" x14ac:dyDescent="0.25">
      <c r="A3601" s="952"/>
      <c r="B3601" s="953"/>
      <c r="C3601" s="953"/>
      <c r="D3601" s="953"/>
      <c r="E3601" s="953"/>
      <c r="F3601" s="953"/>
      <c r="G3601" s="953"/>
      <c r="H3601" s="953"/>
    </row>
    <row r="3602" spans="1:8" s="943" customFormat="1" x14ac:dyDescent="0.25">
      <c r="A3602" s="952"/>
      <c r="B3602" s="953"/>
      <c r="C3602" s="953"/>
      <c r="D3602" s="953"/>
      <c r="E3602" s="953"/>
      <c r="F3602" s="953"/>
      <c r="G3602" s="953"/>
      <c r="H3602" s="953"/>
    </row>
    <row r="3603" spans="1:8" s="943" customFormat="1" x14ac:dyDescent="0.25">
      <c r="A3603" s="952"/>
      <c r="B3603" s="953"/>
      <c r="C3603" s="953"/>
      <c r="D3603" s="953"/>
      <c r="E3603" s="953"/>
      <c r="F3603" s="953"/>
      <c r="G3603" s="953"/>
      <c r="H3603" s="953"/>
    </row>
    <row r="3604" spans="1:8" s="943" customFormat="1" x14ac:dyDescent="0.25">
      <c r="A3604" s="952"/>
      <c r="B3604" s="953"/>
      <c r="C3604" s="953"/>
      <c r="D3604" s="953"/>
      <c r="E3604" s="953"/>
      <c r="F3604" s="953"/>
      <c r="G3604" s="953"/>
      <c r="H3604" s="953"/>
    </row>
    <row r="3605" spans="1:8" s="943" customFormat="1" x14ac:dyDescent="0.25">
      <c r="A3605" s="952"/>
      <c r="B3605" s="953"/>
      <c r="C3605" s="953"/>
      <c r="D3605" s="953"/>
      <c r="E3605" s="953"/>
      <c r="F3605" s="953"/>
      <c r="G3605" s="953"/>
      <c r="H3605" s="953"/>
    </row>
    <row r="3606" spans="1:8" s="943" customFormat="1" x14ac:dyDescent="0.25">
      <c r="A3606" s="952"/>
      <c r="B3606" s="953"/>
      <c r="C3606" s="953"/>
      <c r="D3606" s="953"/>
      <c r="E3606" s="953"/>
      <c r="F3606" s="953"/>
      <c r="G3606" s="953"/>
      <c r="H3606" s="953"/>
    </row>
    <row r="3607" spans="1:8" s="943" customFormat="1" x14ac:dyDescent="0.25">
      <c r="A3607" s="952"/>
      <c r="B3607" s="953"/>
      <c r="C3607" s="953"/>
      <c r="D3607" s="953"/>
      <c r="E3607" s="953"/>
      <c r="F3607" s="953"/>
      <c r="G3607" s="953"/>
      <c r="H3607" s="953"/>
    </row>
    <row r="3608" spans="1:8" s="943" customFormat="1" x14ac:dyDescent="0.25">
      <c r="A3608" s="952"/>
      <c r="B3608" s="953"/>
      <c r="C3608" s="953"/>
      <c r="D3608" s="953"/>
      <c r="E3608" s="953"/>
      <c r="F3608" s="953"/>
      <c r="G3608" s="953"/>
      <c r="H3608" s="953"/>
    </row>
    <row r="3609" spans="1:8" s="943" customFormat="1" x14ac:dyDescent="0.25">
      <c r="A3609" s="952"/>
      <c r="B3609" s="953"/>
      <c r="C3609" s="953"/>
      <c r="D3609" s="953"/>
      <c r="E3609" s="953"/>
      <c r="F3609" s="953"/>
      <c r="G3609" s="953"/>
      <c r="H3609" s="953"/>
    </row>
    <row r="3610" spans="1:8" s="943" customFormat="1" x14ac:dyDescent="0.25">
      <c r="A3610" s="952"/>
      <c r="B3610" s="953"/>
      <c r="C3610" s="953"/>
      <c r="D3610" s="953"/>
      <c r="E3610" s="953"/>
      <c r="F3610" s="953"/>
      <c r="G3610" s="953"/>
      <c r="H3610" s="953"/>
    </row>
    <row r="3611" spans="1:8" s="943" customFormat="1" x14ac:dyDescent="0.25">
      <c r="A3611" s="952"/>
      <c r="B3611" s="953"/>
      <c r="C3611" s="953"/>
      <c r="D3611" s="953"/>
      <c r="E3611" s="953"/>
      <c r="F3611" s="953"/>
      <c r="G3611" s="953"/>
      <c r="H3611" s="953"/>
    </row>
    <row r="3612" spans="1:8" s="943" customFormat="1" x14ac:dyDescent="0.25">
      <c r="A3612" s="952"/>
      <c r="B3612" s="953"/>
      <c r="C3612" s="953"/>
      <c r="D3612" s="953"/>
      <c r="E3612" s="953"/>
      <c r="F3612" s="953"/>
      <c r="G3612" s="953"/>
      <c r="H3612" s="953"/>
    </row>
    <row r="3613" spans="1:8" s="943" customFormat="1" x14ac:dyDescent="0.25">
      <c r="A3613" s="952"/>
      <c r="B3613" s="953"/>
      <c r="C3613" s="953"/>
      <c r="D3613" s="953"/>
      <c r="E3613" s="953"/>
      <c r="F3613" s="953"/>
      <c r="G3613" s="953"/>
      <c r="H3613" s="953"/>
    </row>
    <row r="3614" spans="1:8" s="943" customFormat="1" x14ac:dyDescent="0.25">
      <c r="A3614" s="952"/>
      <c r="B3614" s="953"/>
      <c r="C3614" s="953"/>
      <c r="D3614" s="953"/>
      <c r="E3614" s="953"/>
      <c r="F3614" s="953"/>
      <c r="G3614" s="953"/>
      <c r="H3614" s="953"/>
    </row>
    <row r="3615" spans="1:8" s="943" customFormat="1" x14ac:dyDescent="0.25">
      <c r="A3615" s="952"/>
      <c r="B3615" s="953"/>
      <c r="C3615" s="953"/>
      <c r="D3615" s="953"/>
      <c r="E3615" s="953"/>
      <c r="F3615" s="953"/>
      <c r="G3615" s="953"/>
      <c r="H3615" s="953"/>
    </row>
    <row r="3616" spans="1:8" s="943" customFormat="1" x14ac:dyDescent="0.25">
      <c r="A3616" s="952"/>
      <c r="B3616" s="953"/>
      <c r="C3616" s="953"/>
      <c r="D3616" s="953"/>
      <c r="E3616" s="953"/>
      <c r="F3616" s="953"/>
      <c r="G3616" s="953"/>
      <c r="H3616" s="953"/>
    </row>
    <row r="3617" spans="1:8" s="943" customFormat="1" x14ac:dyDescent="0.25">
      <c r="A3617" s="952"/>
      <c r="B3617" s="953"/>
      <c r="C3617" s="953"/>
      <c r="D3617" s="953"/>
      <c r="E3617" s="953"/>
      <c r="F3617" s="953"/>
      <c r="G3617" s="953"/>
      <c r="H3617" s="953"/>
    </row>
    <row r="3618" spans="1:8" s="943" customFormat="1" x14ac:dyDescent="0.25">
      <c r="A3618" s="952"/>
      <c r="B3618" s="953"/>
      <c r="C3618" s="953"/>
      <c r="D3618" s="953"/>
      <c r="E3618" s="953"/>
      <c r="F3618" s="953"/>
      <c r="G3618" s="953"/>
      <c r="H3618" s="953"/>
    </row>
    <row r="3619" spans="1:8" s="943" customFormat="1" x14ac:dyDescent="0.25">
      <c r="A3619" s="952"/>
      <c r="B3619" s="953"/>
      <c r="C3619" s="953"/>
      <c r="D3619" s="953"/>
      <c r="E3619" s="953"/>
      <c r="F3619" s="953"/>
      <c r="G3619" s="953"/>
      <c r="H3619" s="953"/>
    </row>
    <row r="3620" spans="1:8" s="943" customFormat="1" x14ac:dyDescent="0.25">
      <c r="A3620" s="952"/>
      <c r="B3620" s="953"/>
      <c r="C3620" s="953"/>
      <c r="D3620" s="953"/>
      <c r="E3620" s="953"/>
      <c r="F3620" s="953"/>
      <c r="G3620" s="953"/>
      <c r="H3620" s="953"/>
    </row>
    <row r="3621" spans="1:8" s="943" customFormat="1" x14ac:dyDescent="0.25">
      <c r="A3621" s="952"/>
      <c r="B3621" s="953"/>
      <c r="C3621" s="953"/>
      <c r="D3621" s="953"/>
      <c r="E3621" s="953"/>
      <c r="F3621" s="953"/>
      <c r="G3621" s="953"/>
      <c r="H3621" s="953"/>
    </row>
    <row r="3622" spans="1:8" s="943" customFormat="1" x14ac:dyDescent="0.25">
      <c r="A3622" s="952"/>
      <c r="B3622" s="953"/>
      <c r="C3622" s="953"/>
      <c r="D3622" s="953"/>
      <c r="E3622" s="953"/>
      <c r="F3622" s="953"/>
      <c r="G3622" s="953"/>
      <c r="H3622" s="953"/>
    </row>
    <row r="3623" spans="1:8" s="943" customFormat="1" x14ac:dyDescent="0.25">
      <c r="A3623" s="952"/>
      <c r="B3623" s="953"/>
      <c r="C3623" s="953"/>
      <c r="D3623" s="953"/>
      <c r="E3623" s="953"/>
      <c r="F3623" s="953"/>
      <c r="G3623" s="953"/>
      <c r="H3623" s="953"/>
    </row>
    <row r="3624" spans="1:8" s="943" customFormat="1" x14ac:dyDescent="0.25">
      <c r="A3624" s="952"/>
      <c r="B3624" s="953"/>
      <c r="C3624" s="953"/>
      <c r="D3624" s="953"/>
      <c r="E3624" s="953"/>
      <c r="F3624" s="953"/>
      <c r="G3624" s="953"/>
      <c r="H3624" s="953"/>
    </row>
    <row r="3625" spans="1:8" s="943" customFormat="1" x14ac:dyDescent="0.25">
      <c r="A3625" s="952"/>
      <c r="B3625" s="953"/>
      <c r="C3625" s="953"/>
      <c r="D3625" s="953"/>
      <c r="E3625" s="953"/>
      <c r="F3625" s="953"/>
      <c r="G3625" s="953"/>
      <c r="H3625" s="953"/>
    </row>
    <row r="3626" spans="1:8" s="943" customFormat="1" x14ac:dyDescent="0.25">
      <c r="A3626" s="952"/>
      <c r="B3626" s="953"/>
      <c r="C3626" s="953"/>
      <c r="D3626" s="953"/>
      <c r="E3626" s="953"/>
      <c r="F3626" s="953"/>
      <c r="G3626" s="953"/>
      <c r="H3626" s="953"/>
    </row>
    <row r="3627" spans="1:8" s="943" customFormat="1" x14ac:dyDescent="0.25">
      <c r="A3627" s="952"/>
      <c r="B3627" s="953"/>
      <c r="C3627" s="953"/>
      <c r="D3627" s="953"/>
      <c r="E3627" s="953"/>
      <c r="F3627" s="953"/>
      <c r="G3627" s="953"/>
      <c r="H3627" s="953"/>
    </row>
    <row r="3628" spans="1:8" s="943" customFormat="1" x14ac:dyDescent="0.25">
      <c r="A3628" s="952"/>
      <c r="B3628" s="953"/>
      <c r="C3628" s="953"/>
      <c r="D3628" s="953"/>
      <c r="E3628" s="953"/>
      <c r="F3628" s="953"/>
      <c r="G3628" s="953"/>
      <c r="H3628" s="953"/>
    </row>
    <row r="3629" spans="1:8" s="943" customFormat="1" x14ac:dyDescent="0.25">
      <c r="A3629" s="952"/>
      <c r="B3629" s="953"/>
      <c r="C3629" s="953"/>
      <c r="D3629" s="953"/>
      <c r="E3629" s="953"/>
      <c r="F3629" s="953"/>
      <c r="G3629" s="953"/>
      <c r="H3629" s="953"/>
    </row>
    <row r="3630" spans="1:8" s="943" customFormat="1" x14ac:dyDescent="0.25">
      <c r="A3630" s="952"/>
      <c r="B3630" s="953"/>
      <c r="C3630" s="953"/>
      <c r="D3630" s="953"/>
      <c r="E3630" s="953"/>
      <c r="F3630" s="953"/>
      <c r="G3630" s="953"/>
      <c r="H3630" s="953"/>
    </row>
    <row r="3631" spans="1:8" s="943" customFormat="1" x14ac:dyDescent="0.25">
      <c r="A3631" s="952"/>
      <c r="B3631" s="953"/>
      <c r="C3631" s="953"/>
      <c r="D3631" s="953"/>
      <c r="E3631" s="953"/>
      <c r="F3631" s="953"/>
      <c r="G3631" s="953"/>
      <c r="H3631" s="953"/>
    </row>
    <row r="3632" spans="1:8" s="943" customFormat="1" x14ac:dyDescent="0.25">
      <c r="A3632" s="952"/>
      <c r="B3632" s="953"/>
      <c r="C3632" s="953"/>
      <c r="D3632" s="953"/>
      <c r="E3632" s="953"/>
      <c r="F3632" s="953"/>
      <c r="G3632" s="953"/>
      <c r="H3632" s="953"/>
    </row>
    <row r="3633" spans="1:8" s="943" customFormat="1" x14ac:dyDescent="0.25">
      <c r="A3633" s="952"/>
      <c r="B3633" s="953"/>
      <c r="C3633" s="953"/>
      <c r="D3633" s="953"/>
      <c r="E3633" s="953"/>
      <c r="F3633" s="953"/>
      <c r="G3633" s="953"/>
      <c r="H3633" s="953"/>
    </row>
    <row r="3634" spans="1:8" s="943" customFormat="1" x14ac:dyDescent="0.25">
      <c r="A3634" s="952"/>
      <c r="B3634" s="953"/>
      <c r="C3634" s="953"/>
      <c r="D3634" s="953"/>
      <c r="E3634" s="953"/>
      <c r="F3634" s="953"/>
      <c r="G3634" s="953"/>
      <c r="H3634" s="953"/>
    </row>
    <row r="3635" spans="1:8" s="943" customFormat="1" x14ac:dyDescent="0.25">
      <c r="A3635" s="952"/>
      <c r="B3635" s="953"/>
      <c r="C3635" s="953"/>
      <c r="D3635" s="953"/>
      <c r="E3635" s="953"/>
      <c r="F3635" s="953"/>
      <c r="G3635" s="953"/>
      <c r="H3635" s="953"/>
    </row>
    <row r="3636" spans="1:8" s="943" customFormat="1" x14ac:dyDescent="0.25">
      <c r="A3636" s="952"/>
      <c r="B3636" s="953"/>
      <c r="C3636" s="953"/>
      <c r="D3636" s="953"/>
      <c r="E3636" s="953"/>
      <c r="F3636" s="953"/>
      <c r="G3636" s="953"/>
      <c r="H3636" s="953"/>
    </row>
    <row r="3637" spans="1:8" s="943" customFormat="1" x14ac:dyDescent="0.25">
      <c r="A3637" s="952"/>
      <c r="B3637" s="953"/>
      <c r="C3637" s="953"/>
      <c r="D3637" s="953"/>
      <c r="E3637" s="953"/>
      <c r="F3637" s="953"/>
      <c r="G3637" s="953"/>
      <c r="H3637" s="953"/>
    </row>
    <row r="3638" spans="1:8" s="943" customFormat="1" x14ac:dyDescent="0.25">
      <c r="A3638" s="952"/>
      <c r="B3638" s="953"/>
      <c r="C3638" s="953"/>
      <c r="D3638" s="953"/>
      <c r="E3638" s="953"/>
      <c r="F3638" s="953"/>
      <c r="G3638" s="953"/>
      <c r="H3638" s="953"/>
    </row>
    <row r="3639" spans="1:8" s="943" customFormat="1" x14ac:dyDescent="0.25">
      <c r="A3639" s="952"/>
      <c r="B3639" s="953"/>
      <c r="C3639" s="953"/>
      <c r="D3639" s="953"/>
      <c r="E3639" s="953"/>
      <c r="F3639" s="953"/>
      <c r="G3639" s="953"/>
      <c r="H3639" s="953"/>
    </row>
    <row r="3640" spans="1:8" s="943" customFormat="1" x14ac:dyDescent="0.25">
      <c r="A3640" s="952"/>
      <c r="B3640" s="953"/>
      <c r="C3640" s="953"/>
      <c r="D3640" s="953"/>
      <c r="E3640" s="953"/>
      <c r="F3640" s="953"/>
      <c r="G3640" s="953"/>
      <c r="H3640" s="953"/>
    </row>
    <row r="3641" spans="1:8" s="943" customFormat="1" x14ac:dyDescent="0.25">
      <c r="A3641" s="952"/>
      <c r="B3641" s="953"/>
      <c r="C3641" s="953"/>
      <c r="D3641" s="953"/>
      <c r="E3641" s="953"/>
      <c r="F3641" s="953"/>
      <c r="G3641" s="953"/>
      <c r="H3641" s="953"/>
    </row>
    <row r="3642" spans="1:8" s="943" customFormat="1" x14ac:dyDescent="0.25">
      <c r="A3642" s="952"/>
      <c r="B3642" s="953"/>
      <c r="C3642" s="953"/>
      <c r="D3642" s="953"/>
      <c r="E3642" s="953"/>
      <c r="F3642" s="953"/>
      <c r="G3642" s="953"/>
      <c r="H3642" s="953"/>
    </row>
    <row r="3643" spans="1:8" s="943" customFormat="1" x14ac:dyDescent="0.25">
      <c r="A3643" s="952"/>
      <c r="B3643" s="953"/>
      <c r="C3643" s="953"/>
      <c r="D3643" s="953"/>
      <c r="E3643" s="953"/>
      <c r="F3643" s="953"/>
      <c r="G3643" s="953"/>
      <c r="H3643" s="953"/>
    </row>
    <row r="3644" spans="1:8" s="943" customFormat="1" x14ac:dyDescent="0.25">
      <c r="A3644" s="952"/>
      <c r="B3644" s="953"/>
      <c r="C3644" s="953"/>
      <c r="D3644" s="953"/>
      <c r="E3644" s="953"/>
      <c r="F3644" s="953"/>
      <c r="G3644" s="953"/>
      <c r="H3644" s="953"/>
    </row>
    <row r="3645" spans="1:8" s="943" customFormat="1" x14ac:dyDescent="0.25">
      <c r="A3645" s="952"/>
      <c r="B3645" s="953"/>
      <c r="C3645" s="953"/>
      <c r="D3645" s="953"/>
      <c r="E3645" s="953"/>
      <c r="F3645" s="953"/>
      <c r="G3645" s="953"/>
      <c r="H3645" s="953"/>
    </row>
    <row r="3646" spans="1:8" s="943" customFormat="1" x14ac:dyDescent="0.25">
      <c r="A3646" s="952"/>
      <c r="B3646" s="953"/>
      <c r="C3646" s="953"/>
      <c r="D3646" s="953"/>
      <c r="E3646" s="953"/>
      <c r="F3646" s="953"/>
      <c r="G3646" s="953"/>
      <c r="H3646" s="953"/>
    </row>
    <row r="3647" spans="1:8" s="943" customFormat="1" x14ac:dyDescent="0.25">
      <c r="A3647" s="952"/>
      <c r="B3647" s="953"/>
      <c r="C3647" s="953"/>
      <c r="D3647" s="953"/>
      <c r="E3647" s="953"/>
      <c r="F3647" s="953"/>
      <c r="G3647" s="953"/>
      <c r="H3647" s="953"/>
    </row>
    <row r="3648" spans="1:8" s="943" customFormat="1" x14ac:dyDescent="0.25">
      <c r="A3648" s="952"/>
      <c r="B3648" s="953"/>
      <c r="C3648" s="953"/>
      <c r="D3648" s="953"/>
      <c r="E3648" s="953"/>
      <c r="F3648" s="953"/>
      <c r="G3648" s="953"/>
      <c r="H3648" s="953"/>
    </row>
    <row r="3649" spans="1:8" s="943" customFormat="1" x14ac:dyDescent="0.25">
      <c r="A3649" s="952"/>
      <c r="B3649" s="953"/>
      <c r="C3649" s="953"/>
      <c r="D3649" s="953"/>
      <c r="E3649" s="953"/>
      <c r="F3649" s="953"/>
      <c r="G3649" s="953"/>
      <c r="H3649" s="953"/>
    </row>
    <row r="3650" spans="1:8" s="943" customFormat="1" x14ac:dyDescent="0.25">
      <c r="A3650" s="952"/>
      <c r="B3650" s="953"/>
      <c r="C3650" s="953"/>
      <c r="D3650" s="953"/>
      <c r="E3650" s="953"/>
      <c r="F3650" s="953"/>
      <c r="G3650" s="953"/>
      <c r="H3650" s="953"/>
    </row>
    <row r="3651" spans="1:8" s="943" customFormat="1" x14ac:dyDescent="0.25">
      <c r="A3651" s="952"/>
      <c r="B3651" s="953"/>
      <c r="C3651" s="953"/>
      <c r="D3651" s="953"/>
      <c r="E3651" s="953"/>
      <c r="F3651" s="953"/>
      <c r="G3651" s="953"/>
      <c r="H3651" s="953"/>
    </row>
    <row r="3652" spans="1:8" s="943" customFormat="1" x14ac:dyDescent="0.25">
      <c r="A3652" s="952"/>
      <c r="B3652" s="953"/>
      <c r="C3652" s="953"/>
      <c r="D3652" s="953"/>
      <c r="E3652" s="953"/>
      <c r="F3652" s="953"/>
      <c r="G3652" s="953"/>
      <c r="H3652" s="953"/>
    </row>
    <row r="3653" spans="1:8" s="943" customFormat="1" x14ac:dyDescent="0.25">
      <c r="A3653" s="952"/>
      <c r="B3653" s="953"/>
      <c r="C3653" s="953"/>
      <c r="D3653" s="953"/>
      <c r="E3653" s="953"/>
      <c r="F3653" s="953"/>
      <c r="G3653" s="953"/>
      <c r="H3653" s="953"/>
    </row>
    <row r="3654" spans="1:8" s="943" customFormat="1" x14ac:dyDescent="0.25">
      <c r="A3654" s="952"/>
      <c r="B3654" s="953"/>
      <c r="C3654" s="953"/>
      <c r="D3654" s="953"/>
      <c r="E3654" s="953"/>
      <c r="F3654" s="953"/>
      <c r="G3654" s="953"/>
      <c r="H3654" s="953"/>
    </row>
    <row r="3655" spans="1:8" s="943" customFormat="1" x14ac:dyDescent="0.25">
      <c r="A3655" s="952"/>
      <c r="B3655" s="953"/>
      <c r="C3655" s="953"/>
      <c r="D3655" s="953"/>
      <c r="E3655" s="953"/>
      <c r="F3655" s="953"/>
      <c r="G3655" s="953"/>
      <c r="H3655" s="953"/>
    </row>
    <row r="3656" spans="1:8" s="943" customFormat="1" x14ac:dyDescent="0.25">
      <c r="A3656" s="952"/>
      <c r="B3656" s="953"/>
      <c r="C3656" s="953"/>
      <c r="D3656" s="953"/>
      <c r="E3656" s="953"/>
      <c r="F3656" s="953"/>
      <c r="G3656" s="953"/>
      <c r="H3656" s="953"/>
    </row>
    <row r="3657" spans="1:8" s="943" customFormat="1" x14ac:dyDescent="0.25">
      <c r="A3657" s="952"/>
      <c r="B3657" s="953"/>
      <c r="C3657" s="953"/>
      <c r="D3657" s="953"/>
      <c r="E3657" s="953"/>
      <c r="F3657" s="953"/>
      <c r="G3657" s="953"/>
      <c r="H3657" s="953"/>
    </row>
    <row r="3658" spans="1:8" s="943" customFormat="1" x14ac:dyDescent="0.25">
      <c r="A3658" s="952"/>
      <c r="B3658" s="953"/>
      <c r="C3658" s="953"/>
      <c r="D3658" s="953"/>
      <c r="E3658" s="953"/>
      <c r="F3658" s="953"/>
      <c r="G3658" s="953"/>
      <c r="H3658" s="953"/>
    </row>
    <row r="3659" spans="1:8" s="943" customFormat="1" x14ac:dyDescent="0.25">
      <c r="A3659" s="952"/>
      <c r="B3659" s="953"/>
      <c r="C3659" s="953"/>
      <c r="D3659" s="953"/>
      <c r="E3659" s="953"/>
      <c r="F3659" s="953"/>
      <c r="G3659" s="953"/>
      <c r="H3659" s="953"/>
    </row>
    <row r="3660" spans="1:8" s="943" customFormat="1" x14ac:dyDescent="0.25">
      <c r="A3660" s="952"/>
      <c r="B3660" s="953"/>
      <c r="C3660" s="953"/>
      <c r="D3660" s="953"/>
      <c r="E3660" s="953"/>
      <c r="F3660" s="953"/>
      <c r="G3660" s="953"/>
      <c r="H3660" s="953"/>
    </row>
    <row r="3661" spans="1:8" s="943" customFormat="1" x14ac:dyDescent="0.25">
      <c r="A3661" s="952"/>
      <c r="B3661" s="953"/>
      <c r="C3661" s="953"/>
      <c r="D3661" s="953"/>
      <c r="E3661" s="953"/>
      <c r="F3661" s="953"/>
      <c r="G3661" s="953"/>
      <c r="H3661" s="953"/>
    </row>
    <row r="3662" spans="1:8" s="943" customFormat="1" x14ac:dyDescent="0.25">
      <c r="A3662" s="952"/>
      <c r="B3662" s="953"/>
      <c r="C3662" s="953"/>
      <c r="D3662" s="953"/>
      <c r="E3662" s="953"/>
      <c r="F3662" s="953"/>
      <c r="G3662" s="953"/>
      <c r="H3662" s="953"/>
    </row>
    <row r="3663" spans="1:8" s="943" customFormat="1" x14ac:dyDescent="0.25">
      <c r="A3663" s="952"/>
      <c r="B3663" s="953"/>
      <c r="C3663" s="953"/>
      <c r="D3663" s="953"/>
      <c r="E3663" s="953"/>
      <c r="F3663" s="953"/>
      <c r="G3663" s="953"/>
      <c r="H3663" s="953"/>
    </row>
    <row r="3664" spans="1:8" s="943" customFormat="1" x14ac:dyDescent="0.25">
      <c r="A3664" s="952"/>
      <c r="B3664" s="953"/>
      <c r="C3664" s="953"/>
      <c r="D3664" s="953"/>
      <c r="E3664" s="953"/>
      <c r="F3664" s="953"/>
      <c r="G3664" s="953"/>
      <c r="H3664" s="953"/>
    </row>
    <row r="3665" spans="1:8" s="943" customFormat="1" x14ac:dyDescent="0.25">
      <c r="A3665" s="952"/>
      <c r="B3665" s="953"/>
      <c r="C3665" s="953"/>
      <c r="D3665" s="953"/>
      <c r="E3665" s="953"/>
      <c r="F3665" s="953"/>
      <c r="G3665" s="953"/>
      <c r="H3665" s="953"/>
    </row>
    <row r="3666" spans="1:8" s="943" customFormat="1" x14ac:dyDescent="0.25">
      <c r="A3666" s="952"/>
      <c r="B3666" s="953"/>
      <c r="C3666" s="953"/>
      <c r="D3666" s="953"/>
      <c r="E3666" s="953"/>
      <c r="F3666" s="953"/>
      <c r="G3666" s="953"/>
      <c r="H3666" s="953"/>
    </row>
    <row r="3667" spans="1:8" s="943" customFormat="1" x14ac:dyDescent="0.25">
      <c r="A3667" s="952"/>
      <c r="B3667" s="953"/>
      <c r="C3667" s="953"/>
      <c r="D3667" s="953"/>
      <c r="E3667" s="953"/>
      <c r="F3667" s="953"/>
      <c r="G3667" s="953"/>
      <c r="H3667" s="953"/>
    </row>
    <row r="3668" spans="1:8" s="943" customFormat="1" x14ac:dyDescent="0.25">
      <c r="A3668" s="952"/>
      <c r="B3668" s="953"/>
      <c r="C3668" s="953"/>
      <c r="D3668" s="953"/>
      <c r="E3668" s="953"/>
      <c r="F3668" s="953"/>
      <c r="G3668" s="953"/>
      <c r="H3668" s="953"/>
    </row>
    <row r="3669" spans="1:8" s="943" customFormat="1" x14ac:dyDescent="0.25">
      <c r="A3669" s="952"/>
      <c r="B3669" s="953"/>
      <c r="C3669" s="953"/>
      <c r="D3669" s="953"/>
      <c r="E3669" s="953"/>
      <c r="F3669" s="953"/>
      <c r="G3669" s="953"/>
      <c r="H3669" s="953"/>
    </row>
    <row r="3670" spans="1:8" s="943" customFormat="1" x14ac:dyDescent="0.25">
      <c r="A3670" s="952"/>
      <c r="B3670" s="953"/>
      <c r="C3670" s="953"/>
      <c r="D3670" s="953"/>
      <c r="E3670" s="953"/>
      <c r="F3670" s="953"/>
      <c r="G3670" s="953"/>
      <c r="H3670" s="953"/>
    </row>
    <row r="3671" spans="1:8" s="943" customFormat="1" x14ac:dyDescent="0.25">
      <c r="A3671" s="952"/>
      <c r="B3671" s="953"/>
      <c r="C3671" s="953"/>
      <c r="D3671" s="953"/>
      <c r="E3671" s="953"/>
      <c r="F3671" s="953"/>
      <c r="G3671" s="953"/>
      <c r="H3671" s="953"/>
    </row>
    <row r="3672" spans="1:8" s="943" customFormat="1" x14ac:dyDescent="0.25">
      <c r="A3672" s="952"/>
      <c r="B3672" s="953"/>
      <c r="C3672" s="953"/>
      <c r="D3672" s="953"/>
      <c r="E3672" s="953"/>
      <c r="F3672" s="953"/>
      <c r="G3672" s="953"/>
      <c r="H3672" s="953"/>
    </row>
    <row r="3673" spans="1:8" s="943" customFormat="1" x14ac:dyDescent="0.25">
      <c r="A3673" s="952"/>
      <c r="B3673" s="953"/>
      <c r="C3673" s="953"/>
      <c r="D3673" s="953"/>
      <c r="E3673" s="953"/>
      <c r="F3673" s="953"/>
      <c r="G3673" s="953"/>
      <c r="H3673" s="953"/>
    </row>
    <row r="3674" spans="1:8" s="943" customFormat="1" x14ac:dyDescent="0.25">
      <c r="A3674" s="952"/>
      <c r="B3674" s="953"/>
      <c r="C3674" s="953"/>
      <c r="D3674" s="953"/>
      <c r="E3674" s="953"/>
      <c r="F3674" s="953"/>
      <c r="G3674" s="953"/>
      <c r="H3674" s="953"/>
    </row>
    <row r="3675" spans="1:8" s="943" customFormat="1" x14ac:dyDescent="0.25">
      <c r="A3675" s="952"/>
      <c r="B3675" s="953"/>
      <c r="C3675" s="953"/>
      <c r="D3675" s="953"/>
      <c r="E3675" s="953"/>
      <c r="F3675" s="953"/>
      <c r="G3675" s="953"/>
      <c r="H3675" s="953"/>
    </row>
    <row r="3676" spans="1:8" s="943" customFormat="1" x14ac:dyDescent="0.25">
      <c r="A3676" s="952"/>
      <c r="B3676" s="953"/>
      <c r="C3676" s="953"/>
      <c r="D3676" s="953"/>
      <c r="E3676" s="953"/>
      <c r="F3676" s="953"/>
      <c r="G3676" s="953"/>
      <c r="H3676" s="953"/>
    </row>
    <row r="3677" spans="1:8" s="943" customFormat="1" x14ac:dyDescent="0.25">
      <c r="A3677" s="952"/>
      <c r="B3677" s="953"/>
      <c r="C3677" s="953"/>
      <c r="D3677" s="953"/>
      <c r="E3677" s="953"/>
      <c r="F3677" s="953"/>
      <c r="G3677" s="953"/>
      <c r="H3677" s="953"/>
    </row>
    <row r="3678" spans="1:8" s="943" customFormat="1" x14ac:dyDescent="0.25">
      <c r="A3678" s="952"/>
      <c r="B3678" s="953"/>
      <c r="C3678" s="953"/>
      <c r="D3678" s="953"/>
      <c r="E3678" s="953"/>
      <c r="F3678" s="953"/>
      <c r="G3678" s="953"/>
      <c r="H3678" s="953"/>
    </row>
    <row r="3679" spans="1:8" s="943" customFormat="1" x14ac:dyDescent="0.25">
      <c r="A3679" s="952"/>
      <c r="B3679" s="953"/>
      <c r="C3679" s="953"/>
      <c r="D3679" s="953"/>
      <c r="E3679" s="953"/>
      <c r="F3679" s="953"/>
      <c r="G3679" s="953"/>
      <c r="H3679" s="953"/>
    </row>
    <row r="3680" spans="1:8" s="943" customFormat="1" x14ac:dyDescent="0.25">
      <c r="A3680" s="952"/>
      <c r="B3680" s="953"/>
      <c r="C3680" s="953"/>
      <c r="D3680" s="953"/>
      <c r="E3680" s="953"/>
      <c r="F3680" s="953"/>
      <c r="G3680" s="953"/>
      <c r="H3680" s="953"/>
    </row>
    <row r="3681" spans="1:8" s="943" customFormat="1" x14ac:dyDescent="0.25">
      <c r="A3681" s="952"/>
      <c r="B3681" s="953"/>
      <c r="C3681" s="953"/>
      <c r="D3681" s="953"/>
      <c r="E3681" s="953"/>
      <c r="F3681" s="953"/>
      <c r="G3681" s="953"/>
      <c r="H3681" s="953"/>
    </row>
    <row r="3682" spans="1:8" s="943" customFormat="1" x14ac:dyDescent="0.25">
      <c r="A3682" s="952"/>
      <c r="B3682" s="953"/>
      <c r="C3682" s="953"/>
      <c r="D3682" s="953"/>
      <c r="E3682" s="953"/>
      <c r="F3682" s="953"/>
      <c r="G3682" s="953"/>
      <c r="H3682" s="953"/>
    </row>
    <row r="3683" spans="1:8" s="943" customFormat="1" x14ac:dyDescent="0.25">
      <c r="A3683" s="952"/>
      <c r="B3683" s="953"/>
      <c r="C3683" s="953"/>
      <c r="D3683" s="953"/>
      <c r="E3683" s="953"/>
      <c r="F3683" s="953"/>
      <c r="G3683" s="953"/>
      <c r="H3683" s="953"/>
    </row>
    <row r="3684" spans="1:8" s="943" customFormat="1" x14ac:dyDescent="0.25">
      <c r="A3684" s="952"/>
      <c r="B3684" s="953"/>
      <c r="C3684" s="953"/>
      <c r="D3684" s="953"/>
      <c r="E3684" s="953"/>
      <c r="F3684" s="953"/>
      <c r="G3684" s="953"/>
      <c r="H3684" s="953"/>
    </row>
    <row r="3685" spans="1:8" s="943" customFormat="1" x14ac:dyDescent="0.25">
      <c r="A3685" s="952"/>
      <c r="B3685" s="953"/>
      <c r="C3685" s="953"/>
      <c r="D3685" s="953"/>
      <c r="E3685" s="953"/>
      <c r="F3685" s="953"/>
      <c r="G3685" s="953"/>
      <c r="H3685" s="953"/>
    </row>
    <row r="3686" spans="1:8" s="943" customFormat="1" x14ac:dyDescent="0.25">
      <c r="A3686" s="952"/>
      <c r="B3686" s="953"/>
      <c r="C3686" s="953"/>
      <c r="D3686" s="953"/>
      <c r="E3686" s="953"/>
      <c r="F3686" s="953"/>
      <c r="G3686" s="953"/>
      <c r="H3686" s="953"/>
    </row>
    <row r="3687" spans="1:8" s="943" customFormat="1" x14ac:dyDescent="0.25">
      <c r="A3687" s="952"/>
      <c r="B3687" s="953"/>
      <c r="C3687" s="953"/>
      <c r="D3687" s="953"/>
      <c r="E3687" s="953"/>
      <c r="F3687" s="953"/>
      <c r="G3687" s="953"/>
      <c r="H3687" s="953"/>
    </row>
    <row r="3688" spans="1:8" s="943" customFormat="1" x14ac:dyDescent="0.25">
      <c r="A3688" s="952"/>
      <c r="B3688" s="953"/>
      <c r="C3688" s="953"/>
      <c r="D3688" s="953"/>
      <c r="E3688" s="953"/>
      <c r="F3688" s="953"/>
      <c r="G3688" s="953"/>
      <c r="H3688" s="953"/>
    </row>
    <row r="3689" spans="1:8" s="943" customFormat="1" x14ac:dyDescent="0.25">
      <c r="A3689" s="952"/>
      <c r="B3689" s="953"/>
      <c r="C3689" s="953"/>
      <c r="D3689" s="953"/>
      <c r="E3689" s="953"/>
      <c r="F3689" s="953"/>
      <c r="G3689" s="953"/>
      <c r="H3689" s="953"/>
    </row>
    <row r="3690" spans="1:8" s="943" customFormat="1" x14ac:dyDescent="0.25">
      <c r="A3690" s="952"/>
      <c r="B3690" s="953"/>
      <c r="C3690" s="953"/>
      <c r="D3690" s="953"/>
      <c r="E3690" s="953"/>
      <c r="F3690" s="953"/>
      <c r="G3690" s="953"/>
      <c r="H3690" s="953"/>
    </row>
    <row r="3691" spans="1:8" s="943" customFormat="1" x14ac:dyDescent="0.25">
      <c r="A3691" s="952"/>
      <c r="B3691" s="953"/>
      <c r="C3691" s="953"/>
      <c r="D3691" s="953"/>
      <c r="E3691" s="953"/>
      <c r="F3691" s="953"/>
      <c r="G3691" s="953"/>
      <c r="H3691" s="953"/>
    </row>
    <row r="3692" spans="1:8" s="943" customFormat="1" x14ac:dyDescent="0.25">
      <c r="A3692" s="952"/>
      <c r="B3692" s="953"/>
      <c r="C3692" s="953"/>
      <c r="D3692" s="953"/>
      <c r="E3692" s="953"/>
      <c r="F3692" s="953"/>
      <c r="G3692" s="953"/>
      <c r="H3692" s="953"/>
    </row>
    <row r="3693" spans="1:8" s="943" customFormat="1" x14ac:dyDescent="0.25">
      <c r="A3693" s="952"/>
      <c r="B3693" s="953"/>
      <c r="C3693" s="953"/>
      <c r="D3693" s="953"/>
      <c r="E3693" s="953"/>
      <c r="F3693" s="953"/>
      <c r="G3693" s="953"/>
      <c r="H3693" s="953"/>
    </row>
    <row r="3694" spans="1:8" s="943" customFormat="1" x14ac:dyDescent="0.25">
      <c r="A3694" s="952"/>
      <c r="B3694" s="953"/>
      <c r="C3694" s="953"/>
      <c r="D3694" s="953"/>
      <c r="E3694" s="953"/>
      <c r="F3694" s="953"/>
      <c r="G3694" s="953"/>
      <c r="H3694" s="953"/>
    </row>
    <row r="3695" spans="1:8" s="943" customFormat="1" x14ac:dyDescent="0.25">
      <c r="A3695" s="952"/>
      <c r="B3695" s="953"/>
      <c r="C3695" s="953"/>
      <c r="D3695" s="953"/>
      <c r="E3695" s="953"/>
      <c r="F3695" s="953"/>
      <c r="G3695" s="953"/>
      <c r="H3695" s="953"/>
    </row>
    <row r="3696" spans="1:8" s="943" customFormat="1" x14ac:dyDescent="0.25">
      <c r="A3696" s="952"/>
      <c r="B3696" s="953"/>
      <c r="C3696" s="953"/>
      <c r="D3696" s="953"/>
      <c r="E3696" s="953"/>
      <c r="F3696" s="953"/>
      <c r="G3696" s="953"/>
      <c r="H3696" s="953"/>
    </row>
    <row r="3697" spans="1:8" s="943" customFormat="1" x14ac:dyDescent="0.25">
      <c r="A3697" s="952"/>
      <c r="B3697" s="953"/>
      <c r="C3697" s="953"/>
      <c r="D3697" s="953"/>
      <c r="E3697" s="953"/>
      <c r="F3697" s="953"/>
      <c r="G3697" s="953"/>
      <c r="H3697" s="953"/>
    </row>
    <row r="3698" spans="1:8" s="943" customFormat="1" x14ac:dyDescent="0.25">
      <c r="A3698" s="952"/>
      <c r="B3698" s="953"/>
      <c r="C3698" s="953"/>
      <c r="D3698" s="953"/>
      <c r="E3698" s="953"/>
      <c r="F3698" s="953"/>
      <c r="G3698" s="953"/>
      <c r="H3698" s="953"/>
    </row>
    <row r="3699" spans="1:8" s="943" customFormat="1" x14ac:dyDescent="0.25">
      <c r="A3699" s="952"/>
      <c r="B3699" s="953"/>
      <c r="C3699" s="953"/>
      <c r="D3699" s="953"/>
      <c r="E3699" s="953"/>
      <c r="F3699" s="953"/>
      <c r="G3699" s="953"/>
      <c r="H3699" s="953"/>
    </row>
    <row r="3700" spans="1:8" s="943" customFormat="1" x14ac:dyDescent="0.25">
      <c r="A3700" s="952"/>
      <c r="B3700" s="953"/>
      <c r="C3700" s="953"/>
      <c r="D3700" s="953"/>
      <c r="E3700" s="953"/>
      <c r="F3700" s="953"/>
      <c r="G3700" s="953"/>
      <c r="H3700" s="953"/>
    </row>
    <row r="3701" spans="1:8" s="943" customFormat="1" x14ac:dyDescent="0.25">
      <c r="A3701" s="952"/>
      <c r="B3701" s="953"/>
      <c r="C3701" s="953"/>
      <c r="D3701" s="953"/>
      <c r="E3701" s="953"/>
      <c r="F3701" s="953"/>
      <c r="G3701" s="953"/>
      <c r="H3701" s="953"/>
    </row>
    <row r="3702" spans="1:8" s="943" customFormat="1" x14ac:dyDescent="0.25">
      <c r="A3702" s="952"/>
      <c r="B3702" s="953"/>
      <c r="C3702" s="953"/>
      <c r="D3702" s="953"/>
      <c r="E3702" s="953"/>
      <c r="F3702" s="953"/>
      <c r="G3702" s="953"/>
      <c r="H3702" s="953"/>
    </row>
    <row r="3703" spans="1:8" s="943" customFormat="1" x14ac:dyDescent="0.25">
      <c r="A3703" s="952"/>
      <c r="B3703" s="953"/>
      <c r="C3703" s="953"/>
      <c r="D3703" s="953"/>
      <c r="E3703" s="953"/>
      <c r="F3703" s="953"/>
      <c r="G3703" s="953"/>
      <c r="H3703" s="953"/>
    </row>
    <row r="3704" spans="1:8" s="943" customFormat="1" x14ac:dyDescent="0.25">
      <c r="A3704" s="952"/>
      <c r="B3704" s="953"/>
      <c r="C3704" s="953"/>
      <c r="D3704" s="953"/>
      <c r="E3704" s="953"/>
      <c r="F3704" s="953"/>
      <c r="G3704" s="953"/>
      <c r="H3704" s="953"/>
    </row>
    <row r="3705" spans="1:8" s="943" customFormat="1" x14ac:dyDescent="0.25">
      <c r="A3705" s="952"/>
      <c r="B3705" s="953"/>
      <c r="C3705" s="953"/>
      <c r="D3705" s="953"/>
      <c r="E3705" s="953"/>
      <c r="F3705" s="953"/>
      <c r="G3705" s="953"/>
      <c r="H3705" s="953"/>
    </row>
    <row r="3706" spans="1:8" s="943" customFormat="1" x14ac:dyDescent="0.25">
      <c r="A3706" s="952"/>
      <c r="B3706" s="953"/>
      <c r="C3706" s="953"/>
      <c r="D3706" s="953"/>
      <c r="E3706" s="953"/>
      <c r="F3706" s="953"/>
      <c r="G3706" s="953"/>
      <c r="H3706" s="953"/>
    </row>
    <row r="3707" spans="1:8" s="943" customFormat="1" x14ac:dyDescent="0.25">
      <c r="A3707" s="952"/>
      <c r="B3707" s="953"/>
      <c r="C3707" s="953"/>
      <c r="D3707" s="953"/>
      <c r="E3707" s="953"/>
      <c r="F3707" s="953"/>
      <c r="G3707" s="953"/>
      <c r="H3707" s="953"/>
    </row>
    <row r="3708" spans="1:8" s="943" customFormat="1" x14ac:dyDescent="0.25">
      <c r="A3708" s="952"/>
      <c r="B3708" s="953"/>
      <c r="C3708" s="953"/>
      <c r="D3708" s="953"/>
      <c r="E3708" s="953"/>
      <c r="F3708" s="953"/>
      <c r="G3708" s="953"/>
      <c r="H3708" s="953"/>
    </row>
    <row r="3709" spans="1:8" s="943" customFormat="1" x14ac:dyDescent="0.25">
      <c r="A3709" s="952"/>
      <c r="B3709" s="953"/>
      <c r="C3709" s="953"/>
      <c r="D3709" s="953"/>
      <c r="E3709" s="953"/>
      <c r="F3709" s="953"/>
      <c r="G3709" s="953"/>
      <c r="H3709" s="953"/>
    </row>
    <row r="3710" spans="1:8" s="943" customFormat="1" x14ac:dyDescent="0.25">
      <c r="A3710" s="952"/>
      <c r="B3710" s="953"/>
      <c r="C3710" s="953"/>
      <c r="D3710" s="953"/>
      <c r="E3710" s="953"/>
      <c r="F3710" s="953"/>
      <c r="G3710" s="953"/>
      <c r="H3710" s="953"/>
    </row>
    <row r="3711" spans="1:8" s="943" customFormat="1" x14ac:dyDescent="0.25">
      <c r="A3711" s="952"/>
      <c r="B3711" s="953"/>
      <c r="C3711" s="953"/>
      <c r="D3711" s="953"/>
      <c r="E3711" s="953"/>
      <c r="F3711" s="953"/>
      <c r="G3711" s="953"/>
      <c r="H3711" s="953"/>
    </row>
    <row r="3712" spans="1:8" s="943" customFormat="1" x14ac:dyDescent="0.25">
      <c r="A3712" s="952"/>
      <c r="B3712" s="953"/>
      <c r="C3712" s="953"/>
      <c r="D3712" s="953"/>
      <c r="E3712" s="953"/>
      <c r="F3712" s="953"/>
      <c r="G3712" s="953"/>
      <c r="H3712" s="953"/>
    </row>
    <row r="3713" spans="1:8" s="943" customFormat="1" x14ac:dyDescent="0.25">
      <c r="A3713" s="952"/>
      <c r="B3713" s="953"/>
      <c r="C3713" s="953"/>
      <c r="D3713" s="953"/>
      <c r="E3713" s="953"/>
      <c r="F3713" s="953"/>
      <c r="G3713" s="953"/>
      <c r="H3713" s="953"/>
    </row>
    <row r="3714" spans="1:8" s="943" customFormat="1" x14ac:dyDescent="0.25">
      <c r="A3714" s="952"/>
      <c r="B3714" s="953"/>
      <c r="C3714" s="953"/>
      <c r="D3714" s="953"/>
      <c r="E3714" s="953"/>
      <c r="F3714" s="953"/>
      <c r="G3714" s="953"/>
      <c r="H3714" s="953"/>
    </row>
    <row r="3715" spans="1:8" s="943" customFormat="1" x14ac:dyDescent="0.25">
      <c r="A3715" s="952"/>
      <c r="B3715" s="953"/>
      <c r="C3715" s="953"/>
      <c r="D3715" s="953"/>
      <c r="E3715" s="953"/>
      <c r="F3715" s="953"/>
      <c r="G3715" s="953"/>
      <c r="H3715" s="953"/>
    </row>
    <row r="3716" spans="1:8" s="943" customFormat="1" x14ac:dyDescent="0.25">
      <c r="A3716" s="952"/>
      <c r="B3716" s="953"/>
      <c r="C3716" s="953"/>
      <c r="D3716" s="953"/>
      <c r="E3716" s="953"/>
      <c r="F3716" s="953"/>
      <c r="G3716" s="953"/>
      <c r="H3716" s="953"/>
    </row>
    <row r="3717" spans="1:8" s="943" customFormat="1" x14ac:dyDescent="0.25">
      <c r="A3717" s="952"/>
      <c r="B3717" s="953"/>
      <c r="C3717" s="953"/>
      <c r="D3717" s="953"/>
      <c r="E3717" s="953"/>
      <c r="F3717" s="953"/>
      <c r="G3717" s="953"/>
      <c r="H3717" s="953"/>
    </row>
    <row r="3718" spans="1:8" s="943" customFormat="1" x14ac:dyDescent="0.25">
      <c r="A3718" s="952"/>
      <c r="B3718" s="953"/>
      <c r="C3718" s="953"/>
      <c r="D3718" s="953"/>
      <c r="E3718" s="953"/>
      <c r="F3718" s="953"/>
      <c r="G3718" s="953"/>
      <c r="H3718" s="953"/>
    </row>
    <row r="3719" spans="1:8" s="943" customFormat="1" x14ac:dyDescent="0.25">
      <c r="A3719" s="952"/>
      <c r="B3719" s="953"/>
      <c r="C3719" s="953"/>
      <c r="D3719" s="953"/>
      <c r="E3719" s="953"/>
      <c r="F3719" s="953"/>
      <c r="G3719" s="953"/>
      <c r="H3719" s="953"/>
    </row>
    <row r="3720" spans="1:8" s="943" customFormat="1" x14ac:dyDescent="0.25">
      <c r="A3720" s="952"/>
      <c r="B3720" s="953"/>
      <c r="C3720" s="953"/>
      <c r="D3720" s="953"/>
      <c r="E3720" s="953"/>
      <c r="F3720" s="953"/>
      <c r="G3720" s="953"/>
      <c r="H3720" s="953"/>
    </row>
    <row r="3721" spans="1:8" s="943" customFormat="1" x14ac:dyDescent="0.25">
      <c r="A3721" s="952"/>
      <c r="B3721" s="953"/>
      <c r="C3721" s="953"/>
      <c r="D3721" s="953"/>
      <c r="E3721" s="953"/>
      <c r="F3721" s="953"/>
      <c r="G3721" s="953"/>
      <c r="H3721" s="953"/>
    </row>
    <row r="3722" spans="1:8" s="943" customFormat="1" x14ac:dyDescent="0.25">
      <c r="A3722" s="952"/>
      <c r="B3722" s="953"/>
      <c r="C3722" s="953"/>
      <c r="D3722" s="953"/>
      <c r="E3722" s="953"/>
      <c r="F3722" s="953"/>
      <c r="G3722" s="953"/>
      <c r="H3722" s="953"/>
    </row>
    <row r="3723" spans="1:8" s="943" customFormat="1" x14ac:dyDescent="0.25">
      <c r="A3723" s="952"/>
      <c r="B3723" s="953"/>
      <c r="C3723" s="953"/>
      <c r="D3723" s="953"/>
      <c r="E3723" s="953"/>
      <c r="F3723" s="953"/>
      <c r="G3723" s="953"/>
      <c r="H3723" s="953"/>
    </row>
    <row r="3724" spans="1:8" s="943" customFormat="1" x14ac:dyDescent="0.25">
      <c r="A3724" s="952"/>
      <c r="B3724" s="953"/>
      <c r="C3724" s="953"/>
      <c r="D3724" s="953"/>
      <c r="E3724" s="953"/>
      <c r="F3724" s="953"/>
      <c r="G3724" s="953"/>
      <c r="H3724" s="953"/>
    </row>
    <row r="3725" spans="1:8" s="943" customFormat="1" x14ac:dyDescent="0.25">
      <c r="A3725" s="952"/>
      <c r="B3725" s="953"/>
      <c r="C3725" s="953"/>
      <c r="D3725" s="953"/>
      <c r="E3725" s="953"/>
      <c r="F3725" s="953"/>
      <c r="G3725" s="953"/>
      <c r="H3725" s="953"/>
    </row>
    <row r="3726" spans="1:8" s="943" customFormat="1" x14ac:dyDescent="0.25">
      <c r="A3726" s="952"/>
      <c r="B3726" s="953"/>
      <c r="C3726" s="953"/>
      <c r="D3726" s="953"/>
      <c r="E3726" s="953"/>
      <c r="F3726" s="953"/>
      <c r="G3726" s="953"/>
      <c r="H3726" s="953"/>
    </row>
    <row r="3727" spans="1:8" s="943" customFormat="1" x14ac:dyDescent="0.25">
      <c r="A3727" s="952"/>
      <c r="B3727" s="953"/>
      <c r="C3727" s="953"/>
      <c r="D3727" s="953"/>
      <c r="E3727" s="953"/>
      <c r="F3727" s="953"/>
      <c r="G3727" s="953"/>
      <c r="H3727" s="953"/>
    </row>
    <row r="3728" spans="1:8" s="943" customFormat="1" x14ac:dyDescent="0.25">
      <c r="A3728" s="952"/>
      <c r="B3728" s="953"/>
      <c r="C3728" s="953"/>
      <c r="D3728" s="953"/>
      <c r="E3728" s="953"/>
      <c r="F3728" s="953"/>
      <c r="G3728" s="953"/>
      <c r="H3728" s="953"/>
    </row>
    <row r="3729" spans="1:8" s="943" customFormat="1" x14ac:dyDescent="0.25">
      <c r="A3729" s="952"/>
      <c r="B3729" s="953"/>
      <c r="C3729" s="953"/>
      <c r="D3729" s="953"/>
      <c r="E3729" s="953"/>
      <c r="F3729" s="953"/>
      <c r="G3729" s="953"/>
      <c r="H3729" s="953"/>
    </row>
    <row r="3730" spans="1:8" s="943" customFormat="1" x14ac:dyDescent="0.25">
      <c r="A3730" s="952"/>
      <c r="B3730" s="953"/>
      <c r="C3730" s="953"/>
      <c r="D3730" s="953"/>
      <c r="E3730" s="953"/>
      <c r="F3730" s="953"/>
      <c r="G3730" s="953"/>
      <c r="H3730" s="953"/>
    </row>
    <row r="3731" spans="1:8" s="943" customFormat="1" x14ac:dyDescent="0.25">
      <c r="A3731" s="952"/>
      <c r="B3731" s="953"/>
      <c r="C3731" s="953"/>
      <c r="D3731" s="953"/>
      <c r="E3731" s="953"/>
      <c r="F3731" s="953"/>
      <c r="G3731" s="953"/>
      <c r="H3731" s="953"/>
    </row>
    <row r="3732" spans="1:8" s="943" customFormat="1" x14ac:dyDescent="0.25">
      <c r="A3732" s="952"/>
      <c r="B3732" s="953"/>
      <c r="C3732" s="953"/>
      <c r="D3732" s="953"/>
      <c r="E3732" s="953"/>
      <c r="F3732" s="953"/>
      <c r="G3732" s="953"/>
      <c r="H3732" s="953"/>
    </row>
    <row r="3733" spans="1:8" s="943" customFormat="1" x14ac:dyDescent="0.25">
      <c r="A3733" s="952"/>
      <c r="B3733" s="953"/>
      <c r="C3733" s="953"/>
      <c r="D3733" s="953"/>
      <c r="E3733" s="953"/>
      <c r="F3733" s="953"/>
      <c r="G3733" s="953"/>
      <c r="H3733" s="953"/>
    </row>
    <row r="3734" spans="1:8" s="943" customFormat="1" x14ac:dyDescent="0.25">
      <c r="A3734" s="952"/>
      <c r="B3734" s="953"/>
      <c r="C3734" s="953"/>
      <c r="D3734" s="953"/>
      <c r="E3734" s="953"/>
      <c r="F3734" s="953"/>
      <c r="G3734" s="953"/>
      <c r="H3734" s="953"/>
    </row>
    <row r="3735" spans="1:8" s="943" customFormat="1" x14ac:dyDescent="0.25">
      <c r="A3735" s="952"/>
      <c r="B3735" s="953"/>
      <c r="C3735" s="953"/>
      <c r="D3735" s="953"/>
      <c r="E3735" s="953"/>
      <c r="F3735" s="953"/>
      <c r="G3735" s="953"/>
      <c r="H3735" s="953"/>
    </row>
    <row r="3736" spans="1:8" s="943" customFormat="1" x14ac:dyDescent="0.25">
      <c r="A3736" s="952"/>
      <c r="B3736" s="953"/>
      <c r="C3736" s="953"/>
      <c r="D3736" s="953"/>
      <c r="E3736" s="953"/>
      <c r="F3736" s="953"/>
      <c r="G3736" s="953"/>
      <c r="H3736" s="953"/>
    </row>
    <row r="3737" spans="1:8" s="943" customFormat="1" x14ac:dyDescent="0.25">
      <c r="A3737" s="952"/>
      <c r="B3737" s="953"/>
      <c r="C3737" s="953"/>
      <c r="D3737" s="953"/>
      <c r="E3737" s="953"/>
      <c r="F3737" s="953"/>
      <c r="G3737" s="953"/>
      <c r="H3737" s="953"/>
    </row>
    <row r="3738" spans="1:8" s="943" customFormat="1" x14ac:dyDescent="0.25">
      <c r="A3738" s="952"/>
      <c r="B3738" s="953"/>
      <c r="C3738" s="953"/>
      <c r="D3738" s="953"/>
      <c r="E3738" s="953"/>
      <c r="F3738" s="953"/>
      <c r="G3738" s="953"/>
      <c r="H3738" s="953"/>
    </row>
    <row r="3739" spans="1:8" s="943" customFormat="1" x14ac:dyDescent="0.25">
      <c r="A3739" s="952"/>
      <c r="B3739" s="953"/>
      <c r="C3739" s="953"/>
      <c r="D3739" s="953"/>
      <c r="E3739" s="953"/>
      <c r="F3739" s="953"/>
      <c r="G3739" s="953"/>
      <c r="H3739" s="953"/>
    </row>
    <row r="3740" spans="1:8" s="943" customFormat="1" x14ac:dyDescent="0.25">
      <c r="A3740" s="952"/>
      <c r="B3740" s="953"/>
      <c r="C3740" s="953"/>
      <c r="D3740" s="953"/>
      <c r="E3740" s="953"/>
      <c r="F3740" s="953"/>
      <c r="G3740" s="953"/>
      <c r="H3740" s="953"/>
    </row>
    <row r="3741" spans="1:8" s="943" customFormat="1" x14ac:dyDescent="0.25">
      <c r="A3741" s="952"/>
      <c r="B3741" s="953"/>
      <c r="C3741" s="953"/>
      <c r="D3741" s="953"/>
      <c r="E3741" s="953"/>
      <c r="F3741" s="953"/>
      <c r="G3741" s="953"/>
      <c r="H3741" s="953"/>
    </row>
    <row r="3742" spans="1:8" s="943" customFormat="1" x14ac:dyDescent="0.25">
      <c r="A3742" s="952"/>
      <c r="B3742" s="953"/>
      <c r="C3742" s="953"/>
      <c r="D3742" s="953"/>
      <c r="E3742" s="953"/>
      <c r="F3742" s="953"/>
      <c r="G3742" s="953"/>
      <c r="H3742" s="953"/>
    </row>
    <row r="3743" spans="1:8" s="943" customFormat="1" x14ac:dyDescent="0.25">
      <c r="A3743" s="952"/>
      <c r="B3743" s="953"/>
      <c r="C3743" s="953"/>
      <c r="D3743" s="953"/>
      <c r="E3743" s="953"/>
      <c r="F3743" s="953"/>
      <c r="G3743" s="953"/>
      <c r="H3743" s="953"/>
    </row>
    <row r="3744" spans="1:8" s="943" customFormat="1" x14ac:dyDescent="0.25">
      <c r="A3744" s="952"/>
      <c r="B3744" s="953"/>
      <c r="C3744" s="953"/>
      <c r="D3744" s="953"/>
      <c r="E3744" s="953"/>
      <c r="F3744" s="953"/>
      <c r="G3744" s="953"/>
      <c r="H3744" s="953"/>
    </row>
    <row r="3745" spans="1:8" s="943" customFormat="1" x14ac:dyDescent="0.25">
      <c r="A3745" s="952"/>
      <c r="B3745" s="953"/>
      <c r="C3745" s="953"/>
      <c r="D3745" s="953"/>
      <c r="E3745" s="953"/>
      <c r="F3745" s="953"/>
      <c r="G3745" s="953"/>
      <c r="H3745" s="953"/>
    </row>
    <row r="3746" spans="1:8" s="943" customFormat="1" x14ac:dyDescent="0.25">
      <c r="A3746" s="952"/>
      <c r="B3746" s="953"/>
      <c r="C3746" s="953"/>
      <c r="D3746" s="953"/>
      <c r="E3746" s="953"/>
      <c r="F3746" s="953"/>
      <c r="G3746" s="953"/>
      <c r="H3746" s="953"/>
    </row>
    <row r="3747" spans="1:8" s="943" customFormat="1" x14ac:dyDescent="0.25">
      <c r="A3747" s="952"/>
      <c r="B3747" s="953"/>
      <c r="C3747" s="953"/>
      <c r="D3747" s="953"/>
      <c r="E3747" s="953"/>
      <c r="F3747" s="953"/>
      <c r="G3747" s="953"/>
      <c r="H3747" s="953"/>
    </row>
    <row r="3748" spans="1:8" s="943" customFormat="1" x14ac:dyDescent="0.25">
      <c r="A3748" s="952"/>
      <c r="B3748" s="953"/>
      <c r="C3748" s="953"/>
      <c r="D3748" s="953"/>
      <c r="E3748" s="953"/>
      <c r="F3748" s="953"/>
      <c r="G3748" s="953"/>
      <c r="H3748" s="953"/>
    </row>
    <row r="3749" spans="1:8" s="943" customFormat="1" x14ac:dyDescent="0.25">
      <c r="A3749" s="952"/>
      <c r="B3749" s="953"/>
      <c r="C3749" s="953"/>
      <c r="D3749" s="953"/>
      <c r="E3749" s="953"/>
      <c r="F3749" s="953"/>
      <c r="G3749" s="953"/>
      <c r="H3749" s="953"/>
    </row>
    <row r="3750" spans="1:8" s="943" customFormat="1" x14ac:dyDescent="0.25">
      <c r="A3750" s="952"/>
      <c r="B3750" s="953"/>
      <c r="C3750" s="953"/>
      <c r="D3750" s="953"/>
      <c r="E3750" s="953"/>
      <c r="F3750" s="953"/>
      <c r="G3750" s="953"/>
      <c r="H3750" s="953"/>
    </row>
    <row r="3751" spans="1:8" s="943" customFormat="1" x14ac:dyDescent="0.25">
      <c r="A3751" s="952"/>
      <c r="B3751" s="953"/>
      <c r="C3751" s="953"/>
      <c r="D3751" s="953"/>
      <c r="E3751" s="953"/>
      <c r="F3751" s="953"/>
      <c r="G3751" s="953"/>
      <c r="H3751" s="953"/>
    </row>
    <row r="3752" spans="1:8" s="943" customFormat="1" x14ac:dyDescent="0.25">
      <c r="A3752" s="952"/>
      <c r="B3752" s="953"/>
      <c r="C3752" s="953"/>
      <c r="D3752" s="953"/>
      <c r="E3752" s="953"/>
      <c r="F3752" s="953"/>
      <c r="G3752" s="953"/>
      <c r="H3752" s="953"/>
    </row>
    <row r="3753" spans="1:8" s="943" customFormat="1" x14ac:dyDescent="0.25">
      <c r="A3753" s="952"/>
      <c r="B3753" s="953"/>
      <c r="C3753" s="953"/>
      <c r="D3753" s="953"/>
      <c r="E3753" s="953"/>
      <c r="F3753" s="953"/>
      <c r="G3753" s="953"/>
      <c r="H3753" s="953"/>
    </row>
    <row r="3754" spans="1:8" s="943" customFormat="1" x14ac:dyDescent="0.25">
      <c r="A3754" s="952"/>
      <c r="B3754" s="953"/>
      <c r="C3754" s="953"/>
      <c r="D3754" s="953"/>
      <c r="E3754" s="953"/>
      <c r="F3754" s="953"/>
      <c r="G3754" s="953"/>
      <c r="H3754" s="953"/>
    </row>
    <row r="3755" spans="1:8" s="943" customFormat="1" x14ac:dyDescent="0.25">
      <c r="A3755" s="952"/>
      <c r="B3755" s="953"/>
      <c r="C3755" s="953"/>
      <c r="D3755" s="953"/>
      <c r="E3755" s="953"/>
      <c r="F3755" s="953"/>
      <c r="G3755" s="953"/>
      <c r="H3755" s="953"/>
    </row>
    <row r="3756" spans="1:8" s="943" customFormat="1" x14ac:dyDescent="0.25">
      <c r="A3756" s="952"/>
      <c r="B3756" s="953"/>
      <c r="C3756" s="953"/>
      <c r="D3756" s="953"/>
      <c r="E3756" s="953"/>
      <c r="F3756" s="953"/>
      <c r="G3756" s="953"/>
      <c r="H3756" s="953"/>
    </row>
    <row r="3757" spans="1:8" s="943" customFormat="1" x14ac:dyDescent="0.25">
      <c r="A3757" s="952"/>
      <c r="B3757" s="953"/>
      <c r="C3757" s="953"/>
      <c r="D3757" s="953"/>
      <c r="E3757" s="953"/>
      <c r="F3757" s="953"/>
      <c r="G3757" s="953"/>
      <c r="H3757" s="953"/>
    </row>
    <row r="3758" spans="1:8" s="943" customFormat="1" x14ac:dyDescent="0.25">
      <c r="A3758" s="952"/>
      <c r="B3758" s="953"/>
      <c r="C3758" s="953"/>
      <c r="D3758" s="953"/>
      <c r="E3758" s="953"/>
      <c r="F3758" s="953"/>
      <c r="G3758" s="953"/>
      <c r="H3758" s="953"/>
    </row>
    <row r="3759" spans="1:8" s="943" customFormat="1" x14ac:dyDescent="0.25">
      <c r="A3759" s="952"/>
      <c r="B3759" s="953"/>
      <c r="C3759" s="953"/>
      <c r="D3759" s="953"/>
      <c r="E3759" s="953"/>
      <c r="F3759" s="953"/>
      <c r="G3759" s="953"/>
      <c r="H3759" s="953"/>
    </row>
    <row r="3760" spans="1:8" s="943" customFormat="1" x14ac:dyDescent="0.25">
      <c r="A3760" s="952"/>
      <c r="B3760" s="953"/>
      <c r="C3760" s="953"/>
      <c r="D3760" s="953"/>
      <c r="E3760" s="953"/>
      <c r="F3760" s="953"/>
      <c r="G3760" s="953"/>
      <c r="H3760" s="953"/>
    </row>
    <row r="3761" spans="1:8" s="943" customFormat="1" x14ac:dyDescent="0.25">
      <c r="A3761" s="952"/>
      <c r="B3761" s="953"/>
      <c r="C3761" s="953"/>
      <c r="D3761" s="953"/>
      <c r="E3761" s="953"/>
      <c r="F3761" s="953"/>
      <c r="G3761" s="953"/>
      <c r="H3761" s="953"/>
    </row>
    <row r="3762" spans="1:8" s="943" customFormat="1" x14ac:dyDescent="0.25">
      <c r="A3762" s="952"/>
      <c r="B3762" s="953"/>
      <c r="C3762" s="953"/>
      <c r="D3762" s="953"/>
      <c r="E3762" s="953"/>
      <c r="F3762" s="953"/>
      <c r="G3762" s="953"/>
      <c r="H3762" s="953"/>
    </row>
    <row r="3763" spans="1:8" s="943" customFormat="1" x14ac:dyDescent="0.25">
      <c r="A3763" s="952"/>
      <c r="B3763" s="953"/>
      <c r="C3763" s="953"/>
      <c r="D3763" s="953"/>
      <c r="E3763" s="953"/>
      <c r="F3763" s="953"/>
      <c r="G3763" s="953"/>
      <c r="H3763" s="953"/>
    </row>
    <row r="3764" spans="1:8" s="943" customFormat="1" x14ac:dyDescent="0.25">
      <c r="A3764" s="952"/>
      <c r="B3764" s="953"/>
      <c r="C3764" s="953"/>
      <c r="D3764" s="953"/>
      <c r="E3764" s="953"/>
      <c r="F3764" s="953"/>
      <c r="G3764" s="953"/>
      <c r="H3764" s="953"/>
    </row>
    <row r="3765" spans="1:8" s="943" customFormat="1" x14ac:dyDescent="0.25">
      <c r="A3765" s="952"/>
      <c r="B3765" s="953"/>
      <c r="C3765" s="953"/>
      <c r="D3765" s="953"/>
      <c r="E3765" s="953"/>
      <c r="F3765" s="953"/>
      <c r="G3765" s="953"/>
      <c r="H3765" s="953"/>
    </row>
    <row r="3766" spans="1:8" s="943" customFormat="1" x14ac:dyDescent="0.25">
      <c r="A3766" s="952"/>
      <c r="B3766" s="953"/>
      <c r="C3766" s="953"/>
      <c r="D3766" s="953"/>
      <c r="E3766" s="953"/>
      <c r="F3766" s="953"/>
      <c r="G3766" s="953"/>
      <c r="H3766" s="953"/>
    </row>
    <row r="3767" spans="1:8" s="943" customFormat="1" x14ac:dyDescent="0.25">
      <c r="A3767" s="952"/>
      <c r="B3767" s="953"/>
      <c r="C3767" s="953"/>
      <c r="D3767" s="953"/>
      <c r="E3767" s="953"/>
      <c r="F3767" s="953"/>
      <c r="G3767" s="953"/>
      <c r="H3767" s="953"/>
    </row>
    <row r="3768" spans="1:8" s="943" customFormat="1" x14ac:dyDescent="0.25">
      <c r="A3768" s="952"/>
      <c r="B3768" s="953"/>
      <c r="C3768" s="953"/>
      <c r="D3768" s="953"/>
      <c r="E3768" s="953"/>
      <c r="F3768" s="953"/>
      <c r="G3768" s="953"/>
      <c r="H3768" s="953"/>
    </row>
    <row r="3769" spans="1:8" s="943" customFormat="1" x14ac:dyDescent="0.25">
      <c r="A3769" s="952"/>
      <c r="B3769" s="953"/>
      <c r="C3769" s="953"/>
      <c r="D3769" s="953"/>
      <c r="E3769" s="953"/>
      <c r="F3769" s="953"/>
      <c r="G3769" s="953"/>
      <c r="H3769" s="953"/>
    </row>
    <row r="3770" spans="1:8" s="943" customFormat="1" x14ac:dyDescent="0.25">
      <c r="A3770" s="952"/>
      <c r="B3770" s="953"/>
      <c r="C3770" s="953"/>
      <c r="D3770" s="953"/>
      <c r="E3770" s="953"/>
      <c r="F3770" s="953"/>
      <c r="G3770" s="953"/>
      <c r="H3770" s="953"/>
    </row>
    <row r="3771" spans="1:8" s="943" customFormat="1" x14ac:dyDescent="0.25">
      <c r="A3771" s="952"/>
      <c r="B3771" s="953"/>
      <c r="C3771" s="953"/>
      <c r="D3771" s="953"/>
      <c r="E3771" s="953"/>
      <c r="F3771" s="953"/>
      <c r="G3771" s="953"/>
      <c r="H3771" s="953"/>
    </row>
    <row r="3772" spans="1:8" s="943" customFormat="1" x14ac:dyDescent="0.25">
      <c r="A3772" s="952"/>
      <c r="B3772" s="953"/>
      <c r="C3772" s="953"/>
      <c r="D3772" s="953"/>
      <c r="E3772" s="953"/>
      <c r="F3772" s="953"/>
      <c r="G3772" s="953"/>
      <c r="H3772" s="953"/>
    </row>
    <row r="3773" spans="1:8" s="943" customFormat="1" x14ac:dyDescent="0.25">
      <c r="A3773" s="952"/>
      <c r="B3773" s="953"/>
      <c r="C3773" s="953"/>
      <c r="D3773" s="953"/>
      <c r="E3773" s="953"/>
      <c r="F3773" s="953"/>
      <c r="G3773" s="953"/>
      <c r="H3773" s="953"/>
    </row>
    <row r="3774" spans="1:8" s="943" customFormat="1" x14ac:dyDescent="0.25">
      <c r="A3774" s="952"/>
      <c r="B3774" s="953"/>
      <c r="C3774" s="953"/>
      <c r="D3774" s="953"/>
      <c r="E3774" s="953"/>
      <c r="F3774" s="953"/>
      <c r="G3774" s="953"/>
      <c r="H3774" s="953"/>
    </row>
    <row r="3775" spans="1:8" s="943" customFormat="1" x14ac:dyDescent="0.25">
      <c r="A3775" s="952"/>
      <c r="B3775" s="953"/>
      <c r="C3775" s="953"/>
      <c r="D3775" s="953"/>
      <c r="E3775" s="953"/>
      <c r="F3775" s="953"/>
      <c r="G3775" s="953"/>
      <c r="H3775" s="953"/>
    </row>
    <row r="3776" spans="1:8" s="943" customFormat="1" x14ac:dyDescent="0.25">
      <c r="A3776" s="952"/>
      <c r="B3776" s="953"/>
      <c r="C3776" s="953"/>
      <c r="D3776" s="953"/>
      <c r="E3776" s="953"/>
      <c r="F3776" s="953"/>
      <c r="G3776" s="953"/>
      <c r="H3776" s="953"/>
    </row>
    <row r="3777" spans="1:8" s="943" customFormat="1" x14ac:dyDescent="0.25">
      <c r="A3777" s="952"/>
      <c r="B3777" s="953"/>
      <c r="C3777" s="953"/>
      <c r="D3777" s="953"/>
      <c r="E3777" s="953"/>
      <c r="F3777" s="953"/>
      <c r="G3777" s="953"/>
      <c r="H3777" s="953"/>
    </row>
    <row r="3778" spans="1:8" s="943" customFormat="1" x14ac:dyDescent="0.25">
      <c r="A3778" s="952"/>
      <c r="B3778" s="953"/>
      <c r="C3778" s="953"/>
      <c r="D3778" s="953"/>
      <c r="E3778" s="953"/>
      <c r="F3778" s="953"/>
      <c r="G3778" s="953"/>
      <c r="H3778" s="953"/>
    </row>
    <row r="3779" spans="1:8" s="943" customFormat="1" x14ac:dyDescent="0.25">
      <c r="A3779" s="952"/>
      <c r="B3779" s="953"/>
      <c r="C3779" s="953"/>
      <c r="D3779" s="953"/>
      <c r="E3779" s="953"/>
      <c r="F3779" s="953"/>
      <c r="G3779" s="953"/>
      <c r="H3779" s="953"/>
    </row>
    <row r="3780" spans="1:8" s="943" customFormat="1" x14ac:dyDescent="0.25">
      <c r="A3780" s="952"/>
      <c r="B3780" s="953"/>
      <c r="C3780" s="953"/>
      <c r="D3780" s="953"/>
      <c r="E3780" s="953"/>
      <c r="F3780" s="953"/>
      <c r="G3780" s="953"/>
      <c r="H3780" s="953"/>
    </row>
    <row r="3781" spans="1:8" s="943" customFormat="1" x14ac:dyDescent="0.25">
      <c r="A3781" s="952"/>
      <c r="B3781" s="953"/>
      <c r="C3781" s="953"/>
      <c r="D3781" s="953"/>
      <c r="E3781" s="953"/>
      <c r="F3781" s="953"/>
      <c r="G3781" s="953"/>
      <c r="H3781" s="953"/>
    </row>
    <row r="3782" spans="1:8" s="943" customFormat="1" x14ac:dyDescent="0.25">
      <c r="A3782" s="952"/>
      <c r="B3782" s="953"/>
      <c r="C3782" s="953"/>
      <c r="D3782" s="953"/>
      <c r="E3782" s="953"/>
      <c r="F3782" s="953"/>
      <c r="G3782" s="953"/>
      <c r="H3782" s="953"/>
    </row>
    <row r="3783" spans="1:8" s="943" customFormat="1" x14ac:dyDescent="0.25">
      <c r="A3783" s="952"/>
      <c r="B3783" s="953"/>
      <c r="C3783" s="953"/>
      <c r="D3783" s="953"/>
      <c r="E3783" s="953"/>
      <c r="F3783" s="953"/>
      <c r="G3783" s="953"/>
      <c r="H3783" s="953"/>
    </row>
    <row r="3784" spans="1:8" s="943" customFormat="1" x14ac:dyDescent="0.25">
      <c r="A3784" s="952"/>
      <c r="B3784" s="953"/>
      <c r="C3784" s="953"/>
      <c r="D3784" s="953"/>
      <c r="E3784" s="953"/>
      <c r="F3784" s="953"/>
      <c r="G3784" s="953"/>
      <c r="H3784" s="953"/>
    </row>
    <row r="3785" spans="1:8" s="943" customFormat="1" x14ac:dyDescent="0.25">
      <c r="A3785" s="952"/>
      <c r="B3785" s="953"/>
      <c r="C3785" s="953"/>
      <c r="D3785" s="953"/>
      <c r="E3785" s="953"/>
      <c r="F3785" s="953"/>
      <c r="G3785" s="953"/>
      <c r="H3785" s="953"/>
    </row>
    <row r="3786" spans="1:8" s="943" customFormat="1" x14ac:dyDescent="0.25">
      <c r="A3786" s="952"/>
      <c r="B3786" s="953"/>
      <c r="C3786" s="953"/>
      <c r="D3786" s="953"/>
      <c r="E3786" s="953"/>
      <c r="F3786" s="953"/>
      <c r="G3786" s="953"/>
      <c r="H3786" s="953"/>
    </row>
    <row r="3787" spans="1:8" s="943" customFormat="1" x14ac:dyDescent="0.25">
      <c r="A3787" s="952"/>
      <c r="B3787" s="953"/>
      <c r="C3787" s="953"/>
      <c r="D3787" s="953"/>
      <c r="E3787" s="953"/>
      <c r="F3787" s="953"/>
      <c r="G3787" s="953"/>
      <c r="H3787" s="953"/>
    </row>
    <row r="3788" spans="1:8" s="943" customFormat="1" x14ac:dyDescent="0.25">
      <c r="A3788" s="952"/>
      <c r="B3788" s="953"/>
      <c r="C3788" s="953"/>
      <c r="D3788" s="953"/>
      <c r="E3788" s="953"/>
      <c r="F3788" s="953"/>
      <c r="G3788" s="953"/>
      <c r="H3788" s="953"/>
    </row>
    <row r="3789" spans="1:8" s="943" customFormat="1" x14ac:dyDescent="0.25">
      <c r="A3789" s="952"/>
      <c r="B3789" s="953"/>
      <c r="C3789" s="953"/>
      <c r="D3789" s="953"/>
      <c r="E3789" s="953"/>
      <c r="F3789" s="953"/>
      <c r="G3789" s="953"/>
      <c r="H3789" s="953"/>
    </row>
    <row r="3790" spans="1:8" s="943" customFormat="1" x14ac:dyDescent="0.25">
      <c r="A3790" s="952"/>
      <c r="B3790" s="953"/>
      <c r="C3790" s="953"/>
      <c r="D3790" s="953"/>
      <c r="E3790" s="953"/>
      <c r="F3790" s="953"/>
      <c r="G3790" s="953"/>
      <c r="H3790" s="953"/>
    </row>
    <row r="3791" spans="1:8" s="943" customFormat="1" x14ac:dyDescent="0.25">
      <c r="A3791" s="952"/>
      <c r="B3791" s="953"/>
      <c r="C3791" s="953"/>
      <c r="D3791" s="953"/>
      <c r="E3791" s="953"/>
      <c r="F3791" s="953"/>
      <c r="G3791" s="953"/>
      <c r="H3791" s="953"/>
    </row>
    <row r="3792" spans="1:8" s="943" customFormat="1" x14ac:dyDescent="0.25">
      <c r="A3792" s="952"/>
      <c r="B3792" s="953"/>
      <c r="C3792" s="953"/>
      <c r="D3792" s="953"/>
      <c r="E3792" s="953"/>
      <c r="F3792" s="953"/>
      <c r="G3792" s="953"/>
      <c r="H3792" s="953"/>
    </row>
    <row r="3793" spans="1:8" s="943" customFormat="1" x14ac:dyDescent="0.25">
      <c r="A3793" s="952"/>
      <c r="B3793" s="953"/>
      <c r="C3793" s="953"/>
      <c r="D3793" s="953"/>
      <c r="E3793" s="953"/>
      <c r="F3793" s="953"/>
      <c r="G3793" s="953"/>
      <c r="H3793" s="953"/>
    </row>
    <row r="3794" spans="1:8" s="943" customFormat="1" x14ac:dyDescent="0.25">
      <c r="A3794" s="952"/>
      <c r="B3794" s="953"/>
      <c r="C3794" s="953"/>
      <c r="D3794" s="953"/>
      <c r="E3794" s="953"/>
      <c r="F3794" s="953"/>
      <c r="G3794" s="953"/>
      <c r="H3794" s="953"/>
    </row>
    <row r="3795" spans="1:8" s="943" customFormat="1" x14ac:dyDescent="0.25">
      <c r="A3795" s="952"/>
      <c r="B3795" s="953"/>
      <c r="C3795" s="953"/>
      <c r="D3795" s="953"/>
      <c r="E3795" s="953"/>
      <c r="F3795" s="953"/>
      <c r="G3795" s="953"/>
      <c r="H3795" s="953"/>
    </row>
    <row r="3796" spans="1:8" s="943" customFormat="1" x14ac:dyDescent="0.25">
      <c r="A3796" s="952"/>
      <c r="B3796" s="953"/>
      <c r="C3796" s="953"/>
      <c r="D3796" s="953"/>
      <c r="E3796" s="953"/>
      <c r="F3796" s="953"/>
      <c r="G3796" s="953"/>
      <c r="H3796" s="953"/>
    </row>
    <row r="3797" spans="1:8" s="943" customFormat="1" x14ac:dyDescent="0.25">
      <c r="A3797" s="952"/>
      <c r="B3797" s="953"/>
      <c r="C3797" s="953"/>
      <c r="D3797" s="953"/>
      <c r="E3797" s="953"/>
      <c r="F3797" s="953"/>
      <c r="G3797" s="953"/>
      <c r="H3797" s="953"/>
    </row>
    <row r="3798" spans="1:8" s="943" customFormat="1" x14ac:dyDescent="0.25">
      <c r="A3798" s="952"/>
      <c r="B3798" s="953"/>
      <c r="C3798" s="953"/>
      <c r="D3798" s="953"/>
      <c r="E3798" s="953"/>
      <c r="F3798" s="953"/>
      <c r="G3798" s="953"/>
      <c r="H3798" s="953"/>
    </row>
    <row r="3799" spans="1:8" s="943" customFormat="1" x14ac:dyDescent="0.25">
      <c r="A3799" s="952"/>
      <c r="B3799" s="953"/>
      <c r="C3799" s="953"/>
      <c r="D3799" s="953"/>
      <c r="E3799" s="953"/>
      <c r="F3799" s="953"/>
      <c r="G3799" s="953"/>
      <c r="H3799" s="953"/>
    </row>
    <row r="3800" spans="1:8" s="943" customFormat="1" x14ac:dyDescent="0.25">
      <c r="A3800" s="952"/>
      <c r="B3800" s="953"/>
      <c r="C3800" s="953"/>
      <c r="D3800" s="953"/>
      <c r="E3800" s="953"/>
      <c r="F3800" s="953"/>
      <c r="G3800" s="953"/>
      <c r="H3800" s="953"/>
    </row>
    <row r="3801" spans="1:8" s="943" customFormat="1" x14ac:dyDescent="0.25">
      <c r="A3801" s="952"/>
      <c r="B3801" s="953"/>
      <c r="C3801" s="953"/>
      <c r="D3801" s="953"/>
      <c r="E3801" s="953"/>
      <c r="F3801" s="953"/>
      <c r="G3801" s="953"/>
      <c r="H3801" s="953"/>
    </row>
    <row r="3802" spans="1:8" s="943" customFormat="1" x14ac:dyDescent="0.25">
      <c r="A3802" s="952"/>
      <c r="B3802" s="953"/>
      <c r="C3802" s="953"/>
      <c r="D3802" s="953"/>
      <c r="E3802" s="953"/>
      <c r="F3802" s="953"/>
      <c r="G3802" s="953"/>
      <c r="H3802" s="953"/>
    </row>
    <row r="3803" spans="1:8" s="943" customFormat="1" x14ac:dyDescent="0.25">
      <c r="A3803" s="952"/>
      <c r="B3803" s="953"/>
      <c r="C3803" s="953"/>
      <c r="D3803" s="953"/>
      <c r="E3803" s="953"/>
      <c r="F3803" s="953"/>
      <c r="G3803" s="953"/>
      <c r="H3803" s="953"/>
    </row>
    <row r="3804" spans="1:8" s="943" customFormat="1" x14ac:dyDescent="0.25">
      <c r="A3804" s="952"/>
      <c r="B3804" s="953"/>
      <c r="C3804" s="953"/>
      <c r="D3804" s="953"/>
      <c r="E3804" s="953"/>
      <c r="F3804" s="953"/>
      <c r="G3804" s="953"/>
      <c r="H3804" s="953"/>
    </row>
    <row r="3805" spans="1:8" s="943" customFormat="1" x14ac:dyDescent="0.25">
      <c r="A3805" s="952"/>
      <c r="B3805" s="953"/>
      <c r="C3805" s="953"/>
      <c r="D3805" s="953"/>
      <c r="E3805" s="953"/>
      <c r="F3805" s="953"/>
      <c r="G3805" s="953"/>
      <c r="H3805" s="953"/>
    </row>
    <row r="3806" spans="1:8" s="943" customFormat="1" x14ac:dyDescent="0.25">
      <c r="A3806" s="952"/>
      <c r="B3806" s="953"/>
      <c r="C3806" s="953"/>
      <c r="D3806" s="953"/>
      <c r="E3806" s="953"/>
      <c r="F3806" s="953"/>
      <c r="G3806" s="953"/>
      <c r="H3806" s="953"/>
    </row>
    <row r="3807" spans="1:8" s="943" customFormat="1" x14ac:dyDescent="0.25">
      <c r="A3807" s="952"/>
      <c r="B3807" s="953"/>
      <c r="C3807" s="953"/>
      <c r="D3807" s="953"/>
      <c r="E3807" s="953"/>
      <c r="F3807" s="953"/>
      <c r="G3807" s="953"/>
      <c r="H3807" s="953"/>
    </row>
    <row r="3808" spans="1:8" s="943" customFormat="1" x14ac:dyDescent="0.25">
      <c r="A3808" s="952"/>
      <c r="B3808" s="953"/>
      <c r="C3808" s="953"/>
      <c r="D3808" s="953"/>
      <c r="E3808" s="953"/>
      <c r="F3808" s="953"/>
      <c r="G3808" s="953"/>
      <c r="H3808" s="953"/>
    </row>
    <row r="3809" spans="1:8" s="943" customFormat="1" x14ac:dyDescent="0.25">
      <c r="A3809" s="952"/>
      <c r="B3809" s="953"/>
      <c r="C3809" s="953"/>
      <c r="D3809" s="953"/>
      <c r="E3809" s="953"/>
      <c r="F3809" s="953"/>
      <c r="G3809" s="953"/>
      <c r="H3809" s="953"/>
    </row>
    <row r="3810" spans="1:8" s="943" customFormat="1" x14ac:dyDescent="0.25">
      <c r="A3810" s="952"/>
      <c r="B3810" s="953"/>
      <c r="C3810" s="953"/>
      <c r="D3810" s="953"/>
      <c r="E3810" s="953"/>
      <c r="F3810" s="953"/>
      <c r="G3810" s="953"/>
      <c r="H3810" s="953"/>
    </row>
    <row r="3811" spans="1:8" s="943" customFormat="1" x14ac:dyDescent="0.25">
      <c r="A3811" s="952"/>
      <c r="B3811" s="953"/>
      <c r="C3811" s="953"/>
      <c r="D3811" s="953"/>
      <c r="E3811" s="953"/>
      <c r="F3811" s="953"/>
      <c r="G3811" s="953"/>
      <c r="H3811" s="953"/>
    </row>
    <row r="3812" spans="1:8" s="943" customFormat="1" x14ac:dyDescent="0.25">
      <c r="A3812" s="952"/>
      <c r="B3812" s="953"/>
      <c r="C3812" s="953"/>
      <c r="D3812" s="953"/>
      <c r="E3812" s="953"/>
      <c r="F3812" s="953"/>
      <c r="G3812" s="953"/>
      <c r="H3812" s="953"/>
    </row>
    <row r="3813" spans="1:8" s="943" customFormat="1" x14ac:dyDescent="0.25">
      <c r="A3813" s="952"/>
      <c r="B3813" s="953"/>
      <c r="C3813" s="953"/>
      <c r="D3813" s="953"/>
      <c r="E3813" s="953"/>
      <c r="F3813" s="953"/>
      <c r="G3813" s="953"/>
      <c r="H3813" s="953"/>
    </row>
    <row r="3814" spans="1:8" s="943" customFormat="1" x14ac:dyDescent="0.25">
      <c r="A3814" s="952"/>
      <c r="B3814" s="953"/>
      <c r="C3814" s="953"/>
      <c r="D3814" s="953"/>
      <c r="E3814" s="953"/>
      <c r="F3814" s="953"/>
      <c r="G3814" s="953"/>
      <c r="H3814" s="953"/>
    </row>
    <row r="3815" spans="1:8" s="943" customFormat="1" x14ac:dyDescent="0.25">
      <c r="A3815" s="952"/>
      <c r="B3815" s="953"/>
      <c r="C3815" s="953"/>
      <c r="D3815" s="953"/>
      <c r="E3815" s="953"/>
      <c r="F3815" s="953"/>
      <c r="G3815" s="953"/>
      <c r="H3815" s="953"/>
    </row>
    <row r="3816" spans="1:8" s="943" customFormat="1" x14ac:dyDescent="0.25">
      <c r="A3816" s="952"/>
      <c r="B3816" s="953"/>
      <c r="C3816" s="953"/>
      <c r="D3816" s="953"/>
      <c r="E3816" s="953"/>
      <c r="F3816" s="953"/>
      <c r="G3816" s="953"/>
      <c r="H3816" s="953"/>
    </row>
    <row r="3817" spans="1:8" s="943" customFormat="1" x14ac:dyDescent="0.25">
      <c r="A3817" s="952"/>
      <c r="B3817" s="953"/>
      <c r="C3817" s="953"/>
      <c r="D3817" s="953"/>
      <c r="E3817" s="953"/>
      <c r="F3817" s="953"/>
      <c r="G3817" s="953"/>
      <c r="H3817" s="953"/>
    </row>
    <row r="3818" spans="1:8" s="943" customFormat="1" x14ac:dyDescent="0.25">
      <c r="A3818" s="952"/>
      <c r="B3818" s="953"/>
      <c r="C3818" s="953"/>
      <c r="D3818" s="953"/>
      <c r="E3818" s="953"/>
      <c r="F3818" s="953"/>
      <c r="G3818" s="953"/>
      <c r="H3818" s="953"/>
    </row>
    <row r="3819" spans="1:8" s="943" customFormat="1" x14ac:dyDescent="0.25">
      <c r="A3819" s="952"/>
      <c r="B3819" s="953"/>
      <c r="C3819" s="953"/>
      <c r="D3819" s="953"/>
      <c r="E3819" s="953"/>
      <c r="F3819" s="953"/>
      <c r="G3819" s="953"/>
      <c r="H3819" s="953"/>
    </row>
    <row r="3820" spans="1:8" s="943" customFormat="1" x14ac:dyDescent="0.25">
      <c r="A3820" s="952"/>
      <c r="B3820" s="953"/>
      <c r="C3820" s="953"/>
      <c r="D3820" s="953"/>
      <c r="E3820" s="953"/>
      <c r="F3820" s="953"/>
      <c r="G3820" s="953"/>
      <c r="H3820" s="953"/>
    </row>
    <row r="3821" spans="1:8" s="943" customFormat="1" x14ac:dyDescent="0.25">
      <c r="A3821" s="952"/>
      <c r="B3821" s="953"/>
      <c r="C3821" s="953"/>
      <c r="D3821" s="953"/>
      <c r="E3821" s="953"/>
      <c r="F3821" s="953"/>
      <c r="G3821" s="953"/>
      <c r="H3821" s="953"/>
    </row>
    <row r="3822" spans="1:8" s="943" customFormat="1" x14ac:dyDescent="0.25">
      <c r="A3822" s="952"/>
      <c r="B3822" s="953"/>
      <c r="C3822" s="953"/>
      <c r="D3822" s="953"/>
      <c r="E3822" s="953"/>
      <c r="F3822" s="953"/>
      <c r="G3822" s="953"/>
      <c r="H3822" s="953"/>
    </row>
    <row r="3823" spans="1:8" s="943" customFormat="1" x14ac:dyDescent="0.25">
      <c r="A3823" s="952"/>
      <c r="B3823" s="953"/>
      <c r="C3823" s="953"/>
      <c r="D3823" s="953"/>
      <c r="E3823" s="953"/>
      <c r="F3823" s="953"/>
      <c r="G3823" s="953"/>
      <c r="H3823" s="953"/>
    </row>
    <row r="3824" spans="1:8" s="943" customFormat="1" x14ac:dyDescent="0.25">
      <c r="A3824" s="952"/>
      <c r="B3824" s="953"/>
      <c r="C3824" s="953"/>
      <c r="D3824" s="953"/>
      <c r="E3824" s="953"/>
      <c r="F3824" s="953"/>
      <c r="G3824" s="953"/>
      <c r="H3824" s="953"/>
    </row>
    <row r="3825" spans="1:8" s="943" customFormat="1" x14ac:dyDescent="0.25">
      <c r="A3825" s="952"/>
      <c r="B3825" s="953"/>
      <c r="C3825" s="953"/>
      <c r="D3825" s="953"/>
      <c r="E3825" s="953"/>
      <c r="F3825" s="953"/>
      <c r="G3825" s="953"/>
      <c r="H3825" s="953"/>
    </row>
    <row r="3826" spans="1:8" s="943" customFormat="1" x14ac:dyDescent="0.25">
      <c r="A3826" s="952"/>
      <c r="B3826" s="953"/>
      <c r="C3826" s="953"/>
      <c r="D3826" s="953"/>
      <c r="E3826" s="953"/>
      <c r="F3826" s="953"/>
      <c r="G3826" s="953"/>
      <c r="H3826" s="953"/>
    </row>
    <row r="3827" spans="1:8" s="943" customFormat="1" x14ac:dyDescent="0.25">
      <c r="A3827" s="952"/>
      <c r="B3827" s="953"/>
      <c r="C3827" s="953"/>
      <c r="D3827" s="953"/>
      <c r="E3827" s="953"/>
      <c r="F3827" s="953"/>
      <c r="G3827" s="953"/>
      <c r="H3827" s="953"/>
    </row>
    <row r="3828" spans="1:8" s="943" customFormat="1" x14ac:dyDescent="0.25">
      <c r="A3828" s="952"/>
      <c r="B3828" s="953"/>
      <c r="C3828" s="953"/>
      <c r="D3828" s="953"/>
      <c r="E3828" s="953"/>
      <c r="F3828" s="953"/>
      <c r="G3828" s="953"/>
      <c r="H3828" s="953"/>
    </row>
    <row r="3829" spans="1:8" s="943" customFormat="1" x14ac:dyDescent="0.25">
      <c r="A3829" s="952"/>
      <c r="B3829" s="953"/>
      <c r="C3829" s="953"/>
      <c r="D3829" s="953"/>
      <c r="E3829" s="953"/>
      <c r="F3829" s="953"/>
      <c r="G3829" s="953"/>
      <c r="H3829" s="953"/>
    </row>
    <row r="3830" spans="1:8" s="943" customFormat="1" x14ac:dyDescent="0.25">
      <c r="A3830" s="952"/>
      <c r="B3830" s="953"/>
      <c r="C3830" s="953"/>
      <c r="D3830" s="953"/>
      <c r="E3830" s="953"/>
      <c r="F3830" s="953"/>
      <c r="G3830" s="953"/>
      <c r="H3830" s="953"/>
    </row>
    <row r="3831" spans="1:8" s="943" customFormat="1" x14ac:dyDescent="0.25">
      <c r="A3831" s="952"/>
      <c r="B3831" s="953"/>
      <c r="C3831" s="953"/>
      <c r="D3831" s="953"/>
      <c r="E3831" s="953"/>
      <c r="F3831" s="953"/>
      <c r="G3831" s="953"/>
      <c r="H3831" s="953"/>
    </row>
    <row r="3832" spans="1:8" s="943" customFormat="1" x14ac:dyDescent="0.25">
      <c r="A3832" s="952"/>
      <c r="B3832" s="953"/>
      <c r="C3832" s="953"/>
      <c r="D3832" s="953"/>
      <c r="E3832" s="953"/>
      <c r="F3832" s="953"/>
      <c r="G3832" s="953"/>
      <c r="H3832" s="953"/>
    </row>
    <row r="3833" spans="1:8" s="943" customFormat="1" x14ac:dyDescent="0.25">
      <c r="A3833" s="952"/>
      <c r="B3833" s="953"/>
      <c r="C3833" s="953"/>
      <c r="D3833" s="953"/>
      <c r="E3833" s="953"/>
      <c r="F3833" s="953"/>
      <c r="G3833" s="953"/>
      <c r="H3833" s="953"/>
    </row>
    <row r="3834" spans="1:8" s="943" customFormat="1" x14ac:dyDescent="0.25">
      <c r="A3834" s="952"/>
      <c r="B3834" s="953"/>
      <c r="C3834" s="953"/>
      <c r="D3834" s="953"/>
      <c r="E3834" s="953"/>
      <c r="F3834" s="953"/>
      <c r="G3834" s="953"/>
      <c r="H3834" s="953"/>
    </row>
    <row r="3835" spans="1:8" s="943" customFormat="1" x14ac:dyDescent="0.25">
      <c r="A3835" s="952"/>
      <c r="B3835" s="953"/>
      <c r="C3835" s="953"/>
      <c r="D3835" s="953"/>
      <c r="E3835" s="953"/>
      <c r="F3835" s="953"/>
      <c r="G3835" s="953"/>
      <c r="H3835" s="953"/>
    </row>
    <row r="3836" spans="1:8" s="943" customFormat="1" x14ac:dyDescent="0.25">
      <c r="A3836" s="952"/>
      <c r="B3836" s="953"/>
      <c r="C3836" s="953"/>
      <c r="D3836" s="953"/>
      <c r="E3836" s="953"/>
      <c r="F3836" s="953"/>
      <c r="G3836" s="953"/>
      <c r="H3836" s="953"/>
    </row>
    <row r="3837" spans="1:8" s="943" customFormat="1" x14ac:dyDescent="0.25">
      <c r="A3837" s="952"/>
      <c r="B3837" s="953"/>
      <c r="C3837" s="953"/>
      <c r="D3837" s="953"/>
      <c r="E3837" s="953"/>
      <c r="F3837" s="953"/>
      <c r="G3837" s="953"/>
      <c r="H3837" s="953"/>
    </row>
    <row r="3838" spans="1:8" s="943" customFormat="1" x14ac:dyDescent="0.25">
      <c r="A3838" s="952"/>
      <c r="B3838" s="953"/>
      <c r="C3838" s="953"/>
      <c r="D3838" s="953"/>
      <c r="E3838" s="953"/>
      <c r="F3838" s="953"/>
      <c r="G3838" s="953"/>
      <c r="H3838" s="953"/>
    </row>
    <row r="3839" spans="1:8" s="943" customFormat="1" x14ac:dyDescent="0.25">
      <c r="A3839" s="952"/>
      <c r="B3839" s="953"/>
      <c r="C3839" s="953"/>
      <c r="D3839" s="953"/>
      <c r="E3839" s="953"/>
      <c r="F3839" s="953"/>
      <c r="G3839" s="953"/>
      <c r="H3839" s="953"/>
    </row>
    <row r="3840" spans="1:8" s="943" customFormat="1" x14ac:dyDescent="0.25">
      <c r="A3840" s="952"/>
      <c r="B3840" s="953"/>
      <c r="C3840" s="953"/>
      <c r="D3840" s="953"/>
      <c r="E3840" s="953"/>
      <c r="F3840" s="953"/>
      <c r="G3840" s="953"/>
      <c r="H3840" s="953"/>
    </row>
    <row r="3841" spans="1:8" s="943" customFormat="1" x14ac:dyDescent="0.25">
      <c r="A3841" s="952"/>
      <c r="B3841" s="953"/>
      <c r="C3841" s="953"/>
      <c r="D3841" s="953"/>
      <c r="E3841" s="953"/>
      <c r="F3841" s="953"/>
      <c r="G3841" s="953"/>
      <c r="H3841" s="953"/>
    </row>
    <row r="3842" spans="1:8" s="943" customFormat="1" x14ac:dyDescent="0.25">
      <c r="A3842" s="952"/>
      <c r="B3842" s="953"/>
      <c r="C3842" s="953"/>
      <c r="D3842" s="953"/>
      <c r="E3842" s="953"/>
      <c r="F3842" s="953"/>
      <c r="G3842" s="953"/>
      <c r="H3842" s="953"/>
    </row>
    <row r="3843" spans="1:8" s="943" customFormat="1" x14ac:dyDescent="0.25">
      <c r="A3843" s="952"/>
      <c r="B3843" s="953"/>
      <c r="C3843" s="953"/>
      <c r="D3843" s="953"/>
      <c r="E3843" s="953"/>
      <c r="F3843" s="953"/>
      <c r="G3843" s="953"/>
      <c r="H3843" s="953"/>
    </row>
    <row r="3844" spans="1:8" s="943" customFormat="1" x14ac:dyDescent="0.25">
      <c r="A3844" s="952"/>
      <c r="B3844" s="953"/>
      <c r="C3844" s="953"/>
      <c r="D3844" s="953"/>
      <c r="E3844" s="953"/>
      <c r="F3844" s="953"/>
      <c r="G3844" s="953"/>
      <c r="H3844" s="953"/>
    </row>
    <row r="3845" spans="1:8" s="943" customFormat="1" x14ac:dyDescent="0.25">
      <c r="A3845" s="952"/>
      <c r="B3845" s="953"/>
      <c r="C3845" s="953"/>
      <c r="D3845" s="953"/>
      <c r="E3845" s="953"/>
      <c r="F3845" s="953"/>
      <c r="G3845" s="953"/>
      <c r="H3845" s="953"/>
    </row>
    <row r="3846" spans="1:8" s="943" customFormat="1" x14ac:dyDescent="0.25">
      <c r="A3846" s="952"/>
      <c r="B3846" s="953"/>
      <c r="C3846" s="953"/>
      <c r="D3846" s="953"/>
      <c r="E3846" s="953"/>
      <c r="F3846" s="953"/>
      <c r="G3846" s="953"/>
      <c r="H3846" s="953"/>
    </row>
    <row r="3847" spans="1:8" s="943" customFormat="1" x14ac:dyDescent="0.25">
      <c r="A3847" s="952"/>
      <c r="B3847" s="953"/>
      <c r="C3847" s="953"/>
      <c r="D3847" s="953"/>
      <c r="E3847" s="953"/>
      <c r="F3847" s="953"/>
      <c r="G3847" s="953"/>
      <c r="H3847" s="953"/>
    </row>
    <row r="3848" spans="1:8" s="943" customFormat="1" x14ac:dyDescent="0.25">
      <c r="A3848" s="952"/>
      <c r="B3848" s="953"/>
      <c r="C3848" s="953"/>
      <c r="D3848" s="953"/>
      <c r="E3848" s="953"/>
      <c r="F3848" s="953"/>
      <c r="G3848" s="953"/>
      <c r="H3848" s="953"/>
    </row>
    <row r="3849" spans="1:8" s="943" customFormat="1" x14ac:dyDescent="0.25">
      <c r="A3849" s="952"/>
      <c r="B3849" s="953"/>
      <c r="C3849" s="953"/>
      <c r="D3849" s="953"/>
      <c r="E3849" s="953"/>
      <c r="F3849" s="953"/>
      <c r="G3849" s="953"/>
      <c r="H3849" s="953"/>
    </row>
    <row r="3850" spans="1:8" s="943" customFormat="1" x14ac:dyDescent="0.25">
      <c r="A3850" s="952"/>
      <c r="B3850" s="953"/>
      <c r="C3850" s="953"/>
      <c r="D3850" s="953"/>
      <c r="E3850" s="953"/>
      <c r="F3850" s="953"/>
      <c r="G3850" s="953"/>
      <c r="H3850" s="953"/>
    </row>
    <row r="3851" spans="1:8" s="943" customFormat="1" x14ac:dyDescent="0.25">
      <c r="A3851" s="952"/>
      <c r="B3851" s="953"/>
      <c r="C3851" s="953"/>
      <c r="D3851" s="953"/>
      <c r="E3851" s="953"/>
      <c r="F3851" s="953"/>
      <c r="G3851" s="953"/>
      <c r="H3851" s="953"/>
    </row>
    <row r="3852" spans="1:8" s="943" customFormat="1" x14ac:dyDescent="0.25">
      <c r="A3852" s="952"/>
      <c r="B3852" s="953"/>
      <c r="C3852" s="953"/>
      <c r="D3852" s="953"/>
      <c r="E3852" s="953"/>
      <c r="F3852" s="953"/>
      <c r="G3852" s="953"/>
      <c r="H3852" s="953"/>
    </row>
    <row r="3853" spans="1:8" s="943" customFormat="1" x14ac:dyDescent="0.25">
      <c r="A3853" s="952"/>
      <c r="B3853" s="953"/>
      <c r="C3853" s="953"/>
      <c r="D3853" s="953"/>
      <c r="E3853" s="953"/>
      <c r="F3853" s="953"/>
      <c r="G3853" s="953"/>
      <c r="H3853" s="953"/>
    </row>
    <row r="3854" spans="1:8" s="943" customFormat="1" x14ac:dyDescent="0.25">
      <c r="A3854" s="952"/>
      <c r="B3854" s="953"/>
      <c r="C3854" s="953"/>
      <c r="D3854" s="953"/>
      <c r="E3854" s="953"/>
      <c r="F3854" s="953"/>
      <c r="G3854" s="953"/>
      <c r="H3854" s="953"/>
    </row>
    <row r="3855" spans="1:8" s="943" customFormat="1" x14ac:dyDescent="0.25">
      <c r="A3855" s="952"/>
      <c r="B3855" s="953"/>
      <c r="C3855" s="953"/>
      <c r="D3855" s="953"/>
      <c r="E3855" s="953"/>
      <c r="F3855" s="953"/>
      <c r="G3855" s="953"/>
      <c r="H3855" s="953"/>
    </row>
    <row r="3856" spans="1:8" s="943" customFormat="1" x14ac:dyDescent="0.25">
      <c r="A3856" s="952"/>
      <c r="B3856" s="953"/>
      <c r="C3856" s="953"/>
      <c r="D3856" s="953"/>
      <c r="E3856" s="953"/>
      <c r="F3856" s="953"/>
      <c r="G3856" s="953"/>
      <c r="H3856" s="953"/>
    </row>
    <row r="3857" spans="1:8" s="943" customFormat="1" x14ac:dyDescent="0.25">
      <c r="A3857" s="952"/>
      <c r="B3857" s="953"/>
      <c r="C3857" s="953"/>
      <c r="D3857" s="953"/>
      <c r="E3857" s="953"/>
      <c r="F3857" s="953"/>
      <c r="G3857" s="953"/>
      <c r="H3857" s="953"/>
    </row>
    <row r="3858" spans="1:8" s="943" customFormat="1" x14ac:dyDescent="0.25">
      <c r="A3858" s="952"/>
      <c r="B3858" s="953"/>
      <c r="C3858" s="953"/>
      <c r="D3858" s="953"/>
      <c r="E3858" s="953"/>
      <c r="F3858" s="953"/>
      <c r="G3858" s="953"/>
      <c r="H3858" s="953"/>
    </row>
    <row r="3859" spans="1:8" s="943" customFormat="1" x14ac:dyDescent="0.25">
      <c r="A3859" s="952"/>
      <c r="B3859" s="953"/>
      <c r="C3859" s="953"/>
      <c r="D3859" s="953"/>
      <c r="E3859" s="953"/>
      <c r="F3859" s="953"/>
      <c r="G3859" s="953"/>
      <c r="H3859" s="953"/>
    </row>
    <row r="3860" spans="1:8" s="943" customFormat="1" x14ac:dyDescent="0.25">
      <c r="A3860" s="952"/>
      <c r="B3860" s="953"/>
      <c r="C3860" s="953"/>
      <c r="D3860" s="953"/>
      <c r="E3860" s="953"/>
      <c r="F3860" s="953"/>
      <c r="G3860" s="953"/>
      <c r="H3860" s="953"/>
    </row>
    <row r="3861" spans="1:8" s="943" customFormat="1" x14ac:dyDescent="0.25">
      <c r="A3861" s="952"/>
      <c r="B3861" s="953"/>
      <c r="C3861" s="953"/>
      <c r="D3861" s="953"/>
      <c r="E3861" s="953"/>
      <c r="F3861" s="953"/>
      <c r="G3861" s="953"/>
      <c r="H3861" s="953"/>
    </row>
    <row r="3862" spans="1:8" s="943" customFormat="1" x14ac:dyDescent="0.25">
      <c r="A3862" s="952"/>
      <c r="B3862" s="953"/>
      <c r="C3862" s="953"/>
      <c r="D3862" s="953"/>
      <c r="E3862" s="953"/>
      <c r="F3862" s="953"/>
      <c r="G3862" s="953"/>
      <c r="H3862" s="953"/>
    </row>
    <row r="3863" spans="1:8" s="943" customFormat="1" x14ac:dyDescent="0.25">
      <c r="A3863" s="952"/>
      <c r="B3863" s="953"/>
      <c r="C3863" s="953"/>
      <c r="D3863" s="953"/>
      <c r="E3863" s="953"/>
      <c r="F3863" s="953"/>
      <c r="G3863" s="953"/>
      <c r="H3863" s="953"/>
    </row>
    <row r="3864" spans="1:8" s="943" customFormat="1" x14ac:dyDescent="0.25">
      <c r="A3864" s="952"/>
      <c r="B3864" s="953"/>
      <c r="C3864" s="953"/>
      <c r="D3864" s="953"/>
      <c r="E3864" s="953"/>
      <c r="F3864" s="953"/>
      <c r="G3864" s="953"/>
      <c r="H3864" s="953"/>
    </row>
    <row r="3865" spans="1:8" s="943" customFormat="1" x14ac:dyDescent="0.25">
      <c r="A3865" s="952"/>
      <c r="B3865" s="953"/>
      <c r="C3865" s="953"/>
      <c r="D3865" s="953"/>
      <c r="E3865" s="953"/>
      <c r="F3865" s="953"/>
      <c r="G3865" s="953"/>
      <c r="H3865" s="953"/>
    </row>
    <row r="3866" spans="1:8" s="943" customFormat="1" x14ac:dyDescent="0.25">
      <c r="A3866" s="952"/>
      <c r="B3866" s="953"/>
      <c r="C3866" s="953"/>
      <c r="D3866" s="953"/>
      <c r="E3866" s="953"/>
      <c r="F3866" s="953"/>
      <c r="G3866" s="953"/>
      <c r="H3866" s="953"/>
    </row>
    <row r="3867" spans="1:8" s="943" customFormat="1" x14ac:dyDescent="0.25">
      <c r="A3867" s="952"/>
      <c r="B3867" s="953"/>
      <c r="C3867" s="953"/>
      <c r="D3867" s="953"/>
      <c r="E3867" s="953"/>
      <c r="F3867" s="953"/>
      <c r="G3867" s="953"/>
      <c r="H3867" s="953"/>
    </row>
    <row r="3868" spans="1:8" s="943" customFormat="1" x14ac:dyDescent="0.25">
      <c r="A3868" s="952"/>
      <c r="B3868" s="953"/>
      <c r="C3868" s="953"/>
      <c r="D3868" s="953"/>
      <c r="E3868" s="953"/>
      <c r="F3868" s="953"/>
      <c r="G3868" s="953"/>
      <c r="H3868" s="953"/>
    </row>
    <row r="3869" spans="1:8" s="943" customFormat="1" x14ac:dyDescent="0.25">
      <c r="A3869" s="952"/>
      <c r="B3869" s="953"/>
      <c r="C3869" s="953"/>
      <c r="D3869" s="953"/>
      <c r="E3869" s="953"/>
      <c r="F3869" s="953"/>
      <c r="G3869" s="953"/>
      <c r="H3869" s="953"/>
    </row>
    <row r="3870" spans="1:8" s="943" customFormat="1" x14ac:dyDescent="0.25">
      <c r="A3870" s="952"/>
      <c r="B3870" s="953"/>
      <c r="C3870" s="953"/>
      <c r="D3870" s="953"/>
      <c r="E3870" s="953"/>
      <c r="F3870" s="953"/>
      <c r="G3870" s="953"/>
      <c r="H3870" s="953"/>
    </row>
    <row r="3871" spans="1:8" s="943" customFormat="1" x14ac:dyDescent="0.25">
      <c r="A3871" s="952"/>
      <c r="B3871" s="953"/>
      <c r="C3871" s="953"/>
      <c r="D3871" s="953"/>
      <c r="E3871" s="953"/>
      <c r="F3871" s="953"/>
      <c r="G3871" s="953"/>
      <c r="H3871" s="953"/>
    </row>
    <row r="3872" spans="1:8" s="943" customFormat="1" x14ac:dyDescent="0.25">
      <c r="A3872" s="952"/>
      <c r="B3872" s="953"/>
      <c r="C3872" s="953"/>
      <c r="D3872" s="953"/>
      <c r="E3872" s="953"/>
      <c r="F3872" s="953"/>
      <c r="G3872" s="953"/>
      <c r="H3872" s="953"/>
    </row>
    <row r="3873" spans="1:8" s="943" customFormat="1" x14ac:dyDescent="0.25">
      <c r="A3873" s="952"/>
      <c r="B3873" s="953"/>
      <c r="C3873" s="953"/>
      <c r="D3873" s="953"/>
      <c r="E3873" s="953"/>
      <c r="F3873" s="953"/>
      <c r="G3873" s="953"/>
      <c r="H3873" s="953"/>
    </row>
    <row r="3874" spans="1:8" s="943" customFormat="1" x14ac:dyDescent="0.25">
      <c r="A3874" s="952"/>
      <c r="B3874" s="953"/>
      <c r="C3874" s="953"/>
      <c r="D3874" s="953"/>
      <c r="E3874" s="953"/>
      <c r="F3874" s="953"/>
      <c r="G3874" s="953"/>
      <c r="H3874" s="953"/>
    </row>
    <row r="3875" spans="1:8" s="943" customFormat="1" x14ac:dyDescent="0.25">
      <c r="A3875" s="952"/>
      <c r="B3875" s="953"/>
      <c r="C3875" s="953"/>
      <c r="D3875" s="953"/>
      <c r="E3875" s="953"/>
      <c r="F3875" s="953"/>
      <c r="G3875" s="953"/>
      <c r="H3875" s="953"/>
    </row>
    <row r="3876" spans="1:8" s="943" customFormat="1" x14ac:dyDescent="0.25">
      <c r="A3876" s="952"/>
      <c r="B3876" s="953"/>
      <c r="C3876" s="953"/>
      <c r="D3876" s="953"/>
      <c r="E3876" s="953"/>
      <c r="F3876" s="953"/>
      <c r="G3876" s="953"/>
      <c r="H3876" s="953"/>
    </row>
    <row r="3877" spans="1:8" s="943" customFormat="1" x14ac:dyDescent="0.25">
      <c r="A3877" s="952"/>
      <c r="B3877" s="953"/>
      <c r="C3877" s="953"/>
      <c r="D3877" s="953"/>
      <c r="E3877" s="953"/>
      <c r="F3877" s="953"/>
      <c r="G3877" s="953"/>
      <c r="H3877" s="953"/>
    </row>
    <row r="3878" spans="1:8" s="943" customFormat="1" x14ac:dyDescent="0.25">
      <c r="A3878" s="952"/>
      <c r="B3878" s="953"/>
      <c r="C3878" s="953"/>
      <c r="D3878" s="953"/>
      <c r="E3878" s="953"/>
      <c r="F3878" s="953"/>
      <c r="G3878" s="953"/>
      <c r="H3878" s="953"/>
    </row>
    <row r="3879" spans="1:8" s="943" customFormat="1" x14ac:dyDescent="0.25">
      <c r="A3879" s="952"/>
      <c r="B3879" s="953"/>
      <c r="C3879" s="953"/>
      <c r="D3879" s="953"/>
      <c r="E3879" s="953"/>
      <c r="F3879" s="953"/>
      <c r="G3879" s="953"/>
      <c r="H3879" s="953"/>
    </row>
    <row r="3880" spans="1:8" s="943" customFormat="1" x14ac:dyDescent="0.25">
      <c r="A3880" s="952"/>
      <c r="B3880" s="953"/>
      <c r="C3880" s="953"/>
      <c r="D3880" s="953"/>
      <c r="E3880" s="953"/>
      <c r="F3880" s="953"/>
      <c r="G3880" s="953"/>
      <c r="H3880" s="953"/>
    </row>
    <row r="3881" spans="1:8" s="943" customFormat="1" x14ac:dyDescent="0.25">
      <c r="A3881" s="952"/>
      <c r="B3881" s="953"/>
      <c r="C3881" s="953"/>
      <c r="D3881" s="953"/>
      <c r="E3881" s="953"/>
      <c r="F3881" s="953"/>
      <c r="G3881" s="953"/>
      <c r="H3881" s="953"/>
    </row>
    <row r="3882" spans="1:8" s="943" customFormat="1" x14ac:dyDescent="0.25">
      <c r="A3882" s="952"/>
      <c r="B3882" s="953"/>
      <c r="C3882" s="953"/>
      <c r="D3882" s="953"/>
      <c r="E3882" s="953"/>
      <c r="F3882" s="953"/>
      <c r="G3882" s="953"/>
      <c r="H3882" s="953"/>
    </row>
    <row r="3883" spans="1:8" s="943" customFormat="1" x14ac:dyDescent="0.25">
      <c r="A3883" s="952"/>
      <c r="B3883" s="953"/>
      <c r="C3883" s="953"/>
      <c r="D3883" s="953"/>
      <c r="E3883" s="953"/>
      <c r="F3883" s="953"/>
      <c r="G3883" s="953"/>
      <c r="H3883" s="953"/>
    </row>
    <row r="3884" spans="1:8" s="943" customFormat="1" x14ac:dyDescent="0.25">
      <c r="A3884" s="952"/>
      <c r="B3884" s="953"/>
      <c r="C3884" s="953"/>
      <c r="D3884" s="953"/>
      <c r="E3884" s="953"/>
      <c r="F3884" s="953"/>
      <c r="G3884" s="953"/>
      <c r="H3884" s="953"/>
    </row>
    <row r="3885" spans="1:8" s="943" customFormat="1" x14ac:dyDescent="0.25">
      <c r="A3885" s="952"/>
      <c r="B3885" s="953"/>
      <c r="C3885" s="953"/>
      <c r="D3885" s="953"/>
      <c r="E3885" s="953"/>
      <c r="F3885" s="953"/>
      <c r="G3885" s="953"/>
      <c r="H3885" s="953"/>
    </row>
    <row r="3886" spans="1:8" s="943" customFormat="1" x14ac:dyDescent="0.25">
      <c r="A3886" s="952"/>
      <c r="B3886" s="953"/>
      <c r="C3886" s="953"/>
      <c r="D3886" s="953"/>
      <c r="E3886" s="953"/>
      <c r="F3886" s="953"/>
      <c r="G3886" s="953"/>
      <c r="H3886" s="953"/>
    </row>
    <row r="3887" spans="1:8" s="943" customFormat="1" x14ac:dyDescent="0.25">
      <c r="A3887" s="952"/>
      <c r="B3887" s="953"/>
      <c r="C3887" s="953"/>
      <c r="D3887" s="953"/>
      <c r="E3887" s="953"/>
      <c r="F3887" s="953"/>
      <c r="G3887" s="953"/>
      <c r="H3887" s="953"/>
    </row>
    <row r="3888" spans="1:8" s="943" customFormat="1" x14ac:dyDescent="0.25">
      <c r="A3888" s="952"/>
      <c r="B3888" s="953"/>
      <c r="C3888" s="953"/>
      <c r="D3888" s="953"/>
      <c r="E3888" s="953"/>
      <c r="F3888" s="953"/>
      <c r="G3888" s="953"/>
      <c r="H3888" s="953"/>
    </row>
    <row r="3889" spans="1:8" s="943" customFormat="1" x14ac:dyDescent="0.25">
      <c r="A3889" s="952"/>
      <c r="B3889" s="953"/>
      <c r="C3889" s="953"/>
      <c r="D3889" s="953"/>
      <c r="E3889" s="953"/>
      <c r="F3889" s="953"/>
      <c r="G3889" s="953"/>
      <c r="H3889" s="953"/>
    </row>
    <row r="3890" spans="1:8" s="943" customFormat="1" x14ac:dyDescent="0.25">
      <c r="A3890" s="952"/>
      <c r="B3890" s="953"/>
      <c r="C3890" s="953"/>
      <c r="D3890" s="953"/>
      <c r="E3890" s="953"/>
      <c r="F3890" s="953"/>
      <c r="G3890" s="953"/>
      <c r="H3890" s="953"/>
    </row>
    <row r="3891" spans="1:8" s="943" customFormat="1" x14ac:dyDescent="0.25">
      <c r="A3891" s="952"/>
      <c r="B3891" s="953"/>
      <c r="C3891" s="953"/>
      <c r="D3891" s="953"/>
      <c r="E3891" s="953"/>
      <c r="F3891" s="953"/>
      <c r="G3891" s="953"/>
      <c r="H3891" s="953"/>
    </row>
    <row r="3892" spans="1:8" s="943" customFormat="1" x14ac:dyDescent="0.25">
      <c r="A3892" s="952"/>
      <c r="B3892" s="953"/>
      <c r="C3892" s="953"/>
      <c r="D3892" s="953"/>
      <c r="E3892" s="953"/>
      <c r="F3892" s="953"/>
      <c r="G3892" s="953"/>
      <c r="H3892" s="953"/>
    </row>
    <row r="3893" spans="1:8" s="943" customFormat="1" x14ac:dyDescent="0.25">
      <c r="A3893" s="952"/>
      <c r="B3893" s="953"/>
      <c r="C3893" s="953"/>
      <c r="D3893" s="953"/>
      <c r="E3893" s="953"/>
      <c r="F3893" s="953"/>
      <c r="G3893" s="953"/>
      <c r="H3893" s="953"/>
    </row>
    <row r="3894" spans="1:8" s="943" customFormat="1" x14ac:dyDescent="0.25">
      <c r="A3894" s="952"/>
      <c r="B3894" s="953"/>
      <c r="C3894" s="953"/>
      <c r="D3894" s="953"/>
      <c r="E3894" s="953"/>
      <c r="F3894" s="953"/>
      <c r="G3894" s="953"/>
      <c r="H3894" s="953"/>
    </row>
    <row r="3895" spans="1:8" s="943" customFormat="1" x14ac:dyDescent="0.25">
      <c r="A3895" s="952"/>
      <c r="B3895" s="953"/>
      <c r="C3895" s="953"/>
      <c r="D3895" s="953"/>
      <c r="E3895" s="953"/>
      <c r="F3895" s="953"/>
      <c r="G3895" s="953"/>
      <c r="H3895" s="953"/>
    </row>
    <row r="3896" spans="1:8" s="943" customFormat="1" x14ac:dyDescent="0.25">
      <c r="A3896" s="952"/>
      <c r="B3896" s="953"/>
      <c r="C3896" s="953"/>
      <c r="D3896" s="953"/>
      <c r="E3896" s="953"/>
      <c r="F3896" s="953"/>
      <c r="G3896" s="953"/>
      <c r="H3896" s="953"/>
    </row>
    <row r="3897" spans="1:8" s="943" customFormat="1" x14ac:dyDescent="0.25">
      <c r="A3897" s="952"/>
      <c r="B3897" s="953"/>
      <c r="C3897" s="953"/>
      <c r="D3897" s="953"/>
      <c r="E3897" s="953"/>
      <c r="F3897" s="953"/>
      <c r="G3897" s="953"/>
      <c r="H3897" s="953"/>
    </row>
    <row r="3898" spans="1:8" s="943" customFormat="1" x14ac:dyDescent="0.25">
      <c r="A3898" s="952"/>
      <c r="B3898" s="953"/>
      <c r="C3898" s="953"/>
      <c r="D3898" s="953"/>
      <c r="E3898" s="953"/>
      <c r="F3898" s="953"/>
      <c r="G3898" s="953"/>
      <c r="H3898" s="953"/>
    </row>
    <row r="3899" spans="1:8" s="943" customFormat="1" x14ac:dyDescent="0.25">
      <c r="A3899" s="952"/>
      <c r="B3899" s="953"/>
      <c r="C3899" s="953"/>
      <c r="D3899" s="953"/>
      <c r="E3899" s="953"/>
      <c r="F3899" s="953"/>
      <c r="G3899" s="953"/>
      <c r="H3899" s="953"/>
    </row>
    <row r="3900" spans="1:8" s="943" customFormat="1" x14ac:dyDescent="0.25">
      <c r="A3900" s="952"/>
      <c r="B3900" s="953"/>
      <c r="C3900" s="953"/>
      <c r="D3900" s="953"/>
      <c r="E3900" s="953"/>
      <c r="F3900" s="953"/>
      <c r="G3900" s="953"/>
      <c r="H3900" s="953"/>
    </row>
    <row r="3901" spans="1:8" s="943" customFormat="1" x14ac:dyDescent="0.25">
      <c r="A3901" s="952"/>
      <c r="B3901" s="953"/>
      <c r="C3901" s="953"/>
      <c r="D3901" s="953"/>
      <c r="E3901" s="953"/>
      <c r="F3901" s="953"/>
      <c r="G3901" s="953"/>
      <c r="H3901" s="953"/>
    </row>
    <row r="3902" spans="1:8" s="943" customFormat="1" x14ac:dyDescent="0.25">
      <c r="A3902" s="952"/>
      <c r="B3902" s="953"/>
      <c r="C3902" s="953"/>
      <c r="D3902" s="953"/>
      <c r="E3902" s="953"/>
      <c r="F3902" s="953"/>
      <c r="G3902" s="953"/>
      <c r="H3902" s="953"/>
    </row>
    <row r="3903" spans="1:8" s="943" customFormat="1" x14ac:dyDescent="0.25">
      <c r="A3903" s="952"/>
      <c r="B3903" s="953"/>
      <c r="C3903" s="953"/>
      <c r="D3903" s="953"/>
      <c r="E3903" s="953"/>
      <c r="F3903" s="953"/>
      <c r="G3903" s="953"/>
      <c r="H3903" s="953"/>
    </row>
    <row r="3904" spans="1:8" s="943" customFormat="1" x14ac:dyDescent="0.25">
      <c r="A3904" s="952"/>
      <c r="B3904" s="953"/>
      <c r="C3904" s="953"/>
      <c r="D3904" s="953"/>
      <c r="E3904" s="953"/>
      <c r="F3904" s="953"/>
      <c r="G3904" s="953"/>
      <c r="H3904" s="953"/>
    </row>
    <row r="3905" spans="1:8" s="943" customFormat="1" x14ac:dyDescent="0.25">
      <c r="A3905" s="952"/>
      <c r="B3905" s="953"/>
      <c r="C3905" s="953"/>
      <c r="D3905" s="953"/>
      <c r="E3905" s="953"/>
      <c r="F3905" s="953"/>
      <c r="G3905" s="953"/>
      <c r="H3905" s="953"/>
    </row>
    <row r="3906" spans="1:8" s="943" customFormat="1" x14ac:dyDescent="0.25">
      <c r="A3906" s="952"/>
      <c r="B3906" s="953"/>
      <c r="C3906" s="953"/>
      <c r="D3906" s="953"/>
      <c r="E3906" s="953"/>
      <c r="F3906" s="953"/>
      <c r="G3906" s="953"/>
      <c r="H3906" s="953"/>
    </row>
    <row r="3907" spans="1:8" s="943" customFormat="1" x14ac:dyDescent="0.25">
      <c r="A3907" s="952"/>
      <c r="B3907" s="953"/>
      <c r="C3907" s="953"/>
      <c r="D3907" s="953"/>
      <c r="E3907" s="953"/>
      <c r="F3907" s="953"/>
      <c r="G3907" s="953"/>
      <c r="H3907" s="953"/>
    </row>
    <row r="3908" spans="1:8" s="943" customFormat="1" x14ac:dyDescent="0.25">
      <c r="A3908" s="952"/>
      <c r="B3908" s="953"/>
      <c r="C3908" s="953"/>
      <c r="D3908" s="953"/>
      <c r="E3908" s="953"/>
      <c r="F3908" s="953"/>
      <c r="G3908" s="953"/>
      <c r="H3908" s="953"/>
    </row>
    <row r="3909" spans="1:8" s="943" customFormat="1" x14ac:dyDescent="0.25">
      <c r="A3909" s="952"/>
      <c r="B3909" s="953"/>
      <c r="C3909" s="953"/>
      <c r="D3909" s="953"/>
      <c r="E3909" s="953"/>
      <c r="F3909" s="953"/>
      <c r="G3909" s="953"/>
      <c r="H3909" s="953"/>
    </row>
    <row r="3910" spans="1:8" s="943" customFormat="1" x14ac:dyDescent="0.25">
      <c r="A3910" s="952"/>
      <c r="B3910" s="953"/>
      <c r="C3910" s="953"/>
      <c r="D3910" s="953"/>
      <c r="E3910" s="953"/>
      <c r="F3910" s="953"/>
      <c r="G3910" s="953"/>
      <c r="H3910" s="953"/>
    </row>
    <row r="3911" spans="1:8" s="943" customFormat="1" x14ac:dyDescent="0.25">
      <c r="A3911" s="952"/>
      <c r="B3911" s="953"/>
      <c r="C3911" s="953"/>
      <c r="D3911" s="953"/>
      <c r="E3911" s="953"/>
      <c r="F3911" s="953"/>
      <c r="G3911" s="953"/>
      <c r="H3911" s="953"/>
    </row>
    <row r="3912" spans="1:8" s="943" customFormat="1" x14ac:dyDescent="0.25">
      <c r="A3912" s="952"/>
      <c r="B3912" s="953"/>
      <c r="C3912" s="953"/>
      <c r="D3912" s="953"/>
      <c r="E3912" s="953"/>
      <c r="F3912" s="953"/>
      <c r="G3912" s="953"/>
      <c r="H3912" s="953"/>
    </row>
    <row r="3913" spans="1:8" s="943" customFormat="1" x14ac:dyDescent="0.25">
      <c r="A3913" s="952"/>
      <c r="B3913" s="953"/>
      <c r="C3913" s="953"/>
      <c r="D3913" s="953"/>
      <c r="E3913" s="953"/>
      <c r="F3913" s="953"/>
      <c r="G3913" s="953"/>
      <c r="H3913" s="953"/>
    </row>
    <row r="3914" spans="1:8" s="943" customFormat="1" x14ac:dyDescent="0.25">
      <c r="A3914" s="952"/>
      <c r="B3914" s="953"/>
      <c r="C3914" s="953"/>
      <c r="D3914" s="953"/>
      <c r="E3914" s="953"/>
      <c r="F3914" s="953"/>
      <c r="G3914" s="953"/>
      <c r="H3914" s="953"/>
    </row>
    <row r="3915" spans="1:8" s="943" customFormat="1" x14ac:dyDescent="0.25">
      <c r="A3915" s="952"/>
      <c r="B3915" s="953"/>
      <c r="C3915" s="953"/>
      <c r="D3915" s="953"/>
      <c r="E3915" s="953"/>
      <c r="F3915" s="953"/>
      <c r="G3915" s="953"/>
      <c r="H3915" s="953"/>
    </row>
    <row r="3916" spans="1:8" s="943" customFormat="1" x14ac:dyDescent="0.25">
      <c r="A3916" s="952"/>
      <c r="B3916" s="953"/>
      <c r="C3916" s="953"/>
      <c r="D3916" s="953"/>
      <c r="E3916" s="953"/>
      <c r="F3916" s="953"/>
      <c r="G3916" s="953"/>
      <c r="H3916" s="953"/>
    </row>
    <row r="3917" spans="1:8" s="943" customFormat="1" x14ac:dyDescent="0.25">
      <c r="A3917" s="952"/>
      <c r="B3917" s="953"/>
      <c r="C3917" s="953"/>
      <c r="D3917" s="953"/>
      <c r="E3917" s="953"/>
      <c r="F3917" s="953"/>
      <c r="G3917" s="953"/>
      <c r="H3917" s="953"/>
    </row>
    <row r="3918" spans="1:8" s="943" customFormat="1" x14ac:dyDescent="0.25">
      <c r="A3918" s="952"/>
      <c r="B3918" s="953"/>
      <c r="C3918" s="953"/>
      <c r="D3918" s="953"/>
      <c r="E3918" s="953"/>
      <c r="F3918" s="953"/>
      <c r="G3918" s="953"/>
      <c r="H3918" s="953"/>
    </row>
    <row r="3919" spans="1:8" s="943" customFormat="1" x14ac:dyDescent="0.25">
      <c r="A3919" s="952"/>
      <c r="B3919" s="953"/>
      <c r="C3919" s="953"/>
      <c r="D3919" s="953"/>
      <c r="E3919" s="953"/>
      <c r="F3919" s="953"/>
      <c r="G3919" s="953"/>
      <c r="H3919" s="953"/>
    </row>
    <row r="3920" spans="1:8" s="943" customFormat="1" x14ac:dyDescent="0.25">
      <c r="A3920" s="952"/>
      <c r="B3920" s="953"/>
      <c r="C3920" s="953"/>
      <c r="D3920" s="953"/>
      <c r="E3920" s="953"/>
      <c r="F3920" s="953"/>
      <c r="G3920" s="953"/>
      <c r="H3920" s="953"/>
    </row>
    <row r="3921" spans="1:8" s="943" customFormat="1" x14ac:dyDescent="0.25">
      <c r="A3921" s="952"/>
      <c r="B3921" s="953"/>
      <c r="C3921" s="953"/>
      <c r="D3921" s="953"/>
      <c r="E3921" s="953"/>
      <c r="F3921" s="953"/>
      <c r="G3921" s="953"/>
      <c r="H3921" s="953"/>
    </row>
    <row r="3922" spans="1:8" s="943" customFormat="1" x14ac:dyDescent="0.25">
      <c r="A3922" s="952"/>
      <c r="B3922" s="953"/>
      <c r="C3922" s="953"/>
      <c r="D3922" s="953"/>
      <c r="E3922" s="953"/>
      <c r="F3922" s="953"/>
      <c r="G3922" s="953"/>
      <c r="H3922" s="953"/>
    </row>
    <row r="3923" spans="1:8" s="943" customFormat="1" x14ac:dyDescent="0.25">
      <c r="A3923" s="952"/>
      <c r="B3923" s="953"/>
      <c r="C3923" s="953"/>
      <c r="D3923" s="953"/>
      <c r="E3923" s="953"/>
      <c r="F3923" s="953"/>
      <c r="G3923" s="953"/>
      <c r="H3923" s="953"/>
    </row>
    <row r="3924" spans="1:8" s="943" customFormat="1" x14ac:dyDescent="0.25">
      <c r="A3924" s="952"/>
      <c r="B3924" s="953"/>
      <c r="C3924" s="953"/>
      <c r="D3924" s="953"/>
      <c r="E3924" s="953"/>
      <c r="F3924" s="953"/>
      <c r="G3924" s="953"/>
      <c r="H3924" s="953"/>
    </row>
    <row r="3925" spans="1:8" s="943" customFormat="1" x14ac:dyDescent="0.25">
      <c r="A3925" s="952"/>
      <c r="B3925" s="953"/>
      <c r="C3925" s="953"/>
      <c r="D3925" s="953"/>
      <c r="E3925" s="953"/>
      <c r="F3925" s="953"/>
      <c r="G3925" s="953"/>
      <c r="H3925" s="953"/>
    </row>
    <row r="3926" spans="1:8" s="943" customFormat="1" x14ac:dyDescent="0.25">
      <c r="A3926" s="952"/>
      <c r="B3926" s="953"/>
      <c r="C3926" s="953"/>
      <c r="D3926" s="953"/>
      <c r="E3926" s="953"/>
      <c r="F3926" s="953"/>
      <c r="G3926" s="953"/>
      <c r="H3926" s="953"/>
    </row>
    <row r="3927" spans="1:8" s="943" customFormat="1" x14ac:dyDescent="0.25">
      <c r="A3927" s="952"/>
      <c r="B3927" s="953"/>
      <c r="C3927" s="953"/>
      <c r="D3927" s="953"/>
      <c r="E3927" s="953"/>
      <c r="F3927" s="953"/>
      <c r="G3927" s="953"/>
      <c r="H3927" s="953"/>
    </row>
    <row r="3928" spans="1:8" s="943" customFormat="1" x14ac:dyDescent="0.25">
      <c r="A3928" s="952"/>
      <c r="B3928" s="953"/>
      <c r="C3928" s="953"/>
      <c r="D3928" s="953"/>
      <c r="E3928" s="953"/>
      <c r="F3928" s="953"/>
      <c r="G3928" s="953"/>
      <c r="H3928" s="953"/>
    </row>
    <row r="3929" spans="1:8" s="943" customFormat="1" x14ac:dyDescent="0.25">
      <c r="A3929" s="952"/>
      <c r="B3929" s="953"/>
      <c r="C3929" s="953"/>
      <c r="D3929" s="953"/>
      <c r="E3929" s="953"/>
      <c r="F3929" s="953"/>
      <c r="G3929" s="953"/>
      <c r="H3929" s="953"/>
    </row>
    <row r="3930" spans="1:8" s="943" customFormat="1" x14ac:dyDescent="0.25">
      <c r="A3930" s="952"/>
      <c r="B3930" s="953"/>
      <c r="C3930" s="953"/>
      <c r="D3930" s="953"/>
      <c r="E3930" s="953"/>
      <c r="F3930" s="953"/>
      <c r="G3930" s="953"/>
      <c r="H3930" s="953"/>
    </row>
    <row r="3931" spans="1:8" s="943" customFormat="1" x14ac:dyDescent="0.25">
      <c r="A3931" s="952"/>
      <c r="B3931" s="953"/>
      <c r="C3931" s="953"/>
      <c r="D3931" s="953"/>
      <c r="E3931" s="953"/>
      <c r="F3931" s="953"/>
      <c r="G3931" s="953"/>
      <c r="H3931" s="953"/>
    </row>
    <row r="3932" spans="1:8" s="943" customFormat="1" x14ac:dyDescent="0.25">
      <c r="A3932" s="952"/>
      <c r="B3932" s="953"/>
      <c r="C3932" s="953"/>
      <c r="D3932" s="953"/>
      <c r="E3932" s="953"/>
      <c r="F3932" s="953"/>
      <c r="G3932" s="953"/>
      <c r="H3932" s="953"/>
    </row>
    <row r="3933" spans="1:8" s="943" customFormat="1" x14ac:dyDescent="0.25">
      <c r="A3933" s="952"/>
      <c r="B3933" s="953"/>
      <c r="C3933" s="953"/>
      <c r="D3933" s="953"/>
      <c r="E3933" s="953"/>
      <c r="F3933" s="953"/>
      <c r="G3933" s="953"/>
      <c r="H3933" s="953"/>
    </row>
    <row r="3934" spans="1:8" s="943" customFormat="1" x14ac:dyDescent="0.25">
      <c r="A3934" s="952"/>
      <c r="B3934" s="953"/>
      <c r="C3934" s="953"/>
      <c r="D3934" s="953"/>
      <c r="E3934" s="953"/>
      <c r="F3934" s="953"/>
      <c r="G3934" s="953"/>
      <c r="H3934" s="953"/>
    </row>
    <row r="3935" spans="1:8" s="943" customFormat="1" x14ac:dyDescent="0.25">
      <c r="A3935" s="952"/>
      <c r="B3935" s="953"/>
      <c r="C3935" s="953"/>
      <c r="D3935" s="953"/>
      <c r="E3935" s="953"/>
      <c r="F3935" s="953"/>
      <c r="G3935" s="953"/>
      <c r="H3935" s="953"/>
    </row>
    <row r="3936" spans="1:8" s="943" customFormat="1" x14ac:dyDescent="0.25">
      <c r="A3936" s="952"/>
      <c r="B3936" s="953"/>
      <c r="C3936" s="953"/>
      <c r="D3936" s="953"/>
      <c r="E3936" s="953"/>
      <c r="F3936" s="953"/>
      <c r="G3936" s="953"/>
      <c r="H3936" s="953"/>
    </row>
    <row r="3937" spans="1:8" s="943" customFormat="1" x14ac:dyDescent="0.25">
      <c r="A3937" s="952"/>
      <c r="B3937" s="953"/>
      <c r="C3937" s="953"/>
      <c r="D3937" s="953"/>
      <c r="E3937" s="953"/>
      <c r="F3937" s="953"/>
      <c r="G3937" s="953"/>
      <c r="H3937" s="953"/>
    </row>
    <row r="3938" spans="1:8" s="943" customFormat="1" x14ac:dyDescent="0.25">
      <c r="A3938" s="952"/>
      <c r="B3938" s="953"/>
      <c r="C3938" s="953"/>
      <c r="D3938" s="953"/>
      <c r="E3938" s="953"/>
      <c r="F3938" s="953"/>
      <c r="G3938" s="953"/>
      <c r="H3938" s="953"/>
    </row>
    <row r="3939" spans="1:8" s="943" customFormat="1" x14ac:dyDescent="0.25">
      <c r="A3939" s="952"/>
      <c r="B3939" s="953"/>
      <c r="C3939" s="953"/>
      <c r="D3939" s="953"/>
      <c r="E3939" s="953"/>
      <c r="F3939" s="953"/>
      <c r="G3939" s="953"/>
      <c r="H3939" s="953"/>
    </row>
    <row r="3940" spans="1:8" s="943" customFormat="1" x14ac:dyDescent="0.25">
      <c r="A3940" s="952"/>
      <c r="B3940" s="953"/>
      <c r="C3940" s="953"/>
      <c r="D3940" s="953"/>
      <c r="E3940" s="953"/>
      <c r="F3940" s="953"/>
      <c r="G3940" s="953"/>
      <c r="H3940" s="953"/>
    </row>
    <row r="3941" spans="1:8" s="943" customFormat="1" x14ac:dyDescent="0.25">
      <c r="A3941" s="952"/>
      <c r="B3941" s="953"/>
      <c r="C3941" s="953"/>
      <c r="D3941" s="953"/>
      <c r="E3941" s="953"/>
      <c r="F3941" s="953"/>
      <c r="G3941" s="953"/>
      <c r="H3941" s="953"/>
    </row>
    <row r="3942" spans="1:8" s="943" customFormat="1" x14ac:dyDescent="0.25">
      <c r="A3942" s="952"/>
      <c r="B3942" s="953"/>
      <c r="C3942" s="953"/>
      <c r="D3942" s="953"/>
      <c r="E3942" s="953"/>
      <c r="F3942" s="953"/>
      <c r="G3942" s="953"/>
      <c r="H3942" s="953"/>
    </row>
    <row r="3943" spans="1:8" s="943" customFormat="1" x14ac:dyDescent="0.25">
      <c r="A3943" s="952"/>
      <c r="B3943" s="953"/>
      <c r="C3943" s="953"/>
      <c r="D3943" s="953"/>
      <c r="E3943" s="953"/>
      <c r="F3943" s="953"/>
      <c r="G3943" s="953"/>
      <c r="H3943" s="953"/>
    </row>
    <row r="3944" spans="1:8" s="943" customFormat="1" x14ac:dyDescent="0.25">
      <c r="A3944" s="952"/>
      <c r="B3944" s="953"/>
      <c r="C3944" s="953"/>
      <c r="D3944" s="953"/>
      <c r="E3944" s="953"/>
      <c r="F3944" s="953"/>
      <c r="G3944" s="953"/>
      <c r="H3944" s="953"/>
    </row>
    <row r="3945" spans="1:8" s="943" customFormat="1" x14ac:dyDescent="0.25">
      <c r="A3945" s="952"/>
      <c r="B3945" s="953"/>
      <c r="C3945" s="953"/>
      <c r="D3945" s="953"/>
      <c r="E3945" s="953"/>
      <c r="F3945" s="953"/>
      <c r="G3945" s="953"/>
      <c r="H3945" s="953"/>
    </row>
    <row r="3946" spans="1:8" s="943" customFormat="1" x14ac:dyDescent="0.25">
      <c r="A3946" s="952"/>
      <c r="B3946" s="953"/>
      <c r="C3946" s="953"/>
      <c r="D3946" s="953"/>
      <c r="E3946" s="953"/>
      <c r="F3946" s="953"/>
      <c r="G3946" s="953"/>
      <c r="H3946" s="953"/>
    </row>
    <row r="3947" spans="1:8" s="943" customFormat="1" x14ac:dyDescent="0.25">
      <c r="A3947" s="952"/>
      <c r="B3947" s="953"/>
      <c r="C3947" s="953"/>
      <c r="D3947" s="953"/>
      <c r="E3947" s="953"/>
      <c r="F3947" s="953"/>
      <c r="G3947" s="953"/>
      <c r="H3947" s="953"/>
    </row>
    <row r="3948" spans="1:8" s="943" customFormat="1" x14ac:dyDescent="0.25">
      <c r="A3948" s="952"/>
      <c r="B3948" s="953"/>
      <c r="C3948" s="953"/>
      <c r="D3948" s="953"/>
      <c r="E3948" s="953"/>
      <c r="F3948" s="953"/>
      <c r="G3948" s="953"/>
      <c r="H3948" s="953"/>
    </row>
    <row r="3949" spans="1:8" s="943" customFormat="1" x14ac:dyDescent="0.25">
      <c r="A3949" s="952"/>
      <c r="B3949" s="953"/>
      <c r="C3949" s="953"/>
      <c r="D3949" s="953"/>
      <c r="E3949" s="953"/>
      <c r="F3949" s="953"/>
      <c r="G3949" s="953"/>
      <c r="H3949" s="953"/>
    </row>
    <row r="3950" spans="1:8" s="943" customFormat="1" x14ac:dyDescent="0.25">
      <c r="A3950" s="952"/>
      <c r="B3950" s="953"/>
      <c r="C3950" s="953"/>
      <c r="D3950" s="953"/>
      <c r="E3950" s="953"/>
      <c r="F3950" s="953"/>
      <c r="G3950" s="953"/>
      <c r="H3950" s="953"/>
    </row>
    <row r="3951" spans="1:8" s="943" customFormat="1" x14ac:dyDescent="0.25">
      <c r="A3951" s="952"/>
      <c r="B3951" s="953"/>
      <c r="C3951" s="953"/>
      <c r="D3951" s="953"/>
      <c r="E3951" s="953"/>
      <c r="F3951" s="953"/>
      <c r="G3951" s="953"/>
      <c r="H3951" s="953"/>
    </row>
    <row r="3952" spans="1:8" s="943" customFormat="1" x14ac:dyDescent="0.25">
      <c r="A3952" s="952"/>
      <c r="B3952" s="953"/>
      <c r="C3952" s="953"/>
      <c r="D3952" s="953"/>
      <c r="E3952" s="953"/>
      <c r="F3952" s="953"/>
      <c r="G3952" s="953"/>
      <c r="H3952" s="953"/>
    </row>
    <row r="3953" spans="1:8" s="943" customFormat="1" x14ac:dyDescent="0.25">
      <c r="A3953" s="952"/>
      <c r="B3953" s="953"/>
      <c r="C3953" s="953"/>
      <c r="D3953" s="953"/>
      <c r="E3953" s="953"/>
      <c r="F3953" s="953"/>
      <c r="G3953" s="953"/>
      <c r="H3953" s="953"/>
    </row>
    <row r="3954" spans="1:8" s="943" customFormat="1" x14ac:dyDescent="0.25">
      <c r="A3954" s="952"/>
      <c r="B3954" s="953"/>
      <c r="C3954" s="953"/>
      <c r="D3954" s="953"/>
      <c r="E3954" s="953"/>
      <c r="F3954" s="953"/>
      <c r="G3954" s="953"/>
      <c r="H3954" s="953"/>
    </row>
    <row r="3955" spans="1:8" s="943" customFormat="1" x14ac:dyDescent="0.25">
      <c r="A3955" s="952"/>
      <c r="B3955" s="953"/>
      <c r="C3955" s="953"/>
      <c r="D3955" s="953"/>
      <c r="E3955" s="953"/>
      <c r="F3955" s="953"/>
      <c r="G3955" s="953"/>
      <c r="H3955" s="953"/>
    </row>
    <row r="3956" spans="1:8" s="943" customFormat="1" x14ac:dyDescent="0.25">
      <c r="A3956" s="952"/>
      <c r="B3956" s="953"/>
      <c r="C3956" s="953"/>
      <c r="D3956" s="953"/>
      <c r="E3956" s="953"/>
      <c r="F3956" s="953"/>
      <c r="G3956" s="953"/>
      <c r="H3956" s="953"/>
    </row>
    <row r="3957" spans="1:8" s="943" customFormat="1" x14ac:dyDescent="0.25">
      <c r="A3957" s="952"/>
      <c r="B3957" s="953"/>
      <c r="C3957" s="953"/>
      <c r="D3957" s="953"/>
      <c r="E3957" s="953"/>
      <c r="F3957" s="953"/>
      <c r="G3957" s="953"/>
      <c r="H3957" s="953"/>
    </row>
    <row r="3958" spans="1:8" s="943" customFormat="1" x14ac:dyDescent="0.25">
      <c r="A3958" s="952"/>
      <c r="B3958" s="953"/>
      <c r="C3958" s="953"/>
      <c r="D3958" s="953"/>
      <c r="E3958" s="953"/>
      <c r="F3958" s="953"/>
      <c r="G3958" s="953"/>
      <c r="H3958" s="953"/>
    </row>
    <row r="3959" spans="1:8" s="943" customFormat="1" x14ac:dyDescent="0.25">
      <c r="A3959" s="952"/>
      <c r="B3959" s="953"/>
      <c r="C3959" s="953"/>
      <c r="D3959" s="953"/>
      <c r="E3959" s="953"/>
      <c r="F3959" s="953"/>
      <c r="G3959" s="953"/>
      <c r="H3959" s="953"/>
    </row>
    <row r="3960" spans="1:8" s="943" customFormat="1" x14ac:dyDescent="0.25">
      <c r="A3960" s="952"/>
      <c r="B3960" s="953"/>
      <c r="C3960" s="953"/>
      <c r="D3960" s="953"/>
      <c r="E3960" s="953"/>
      <c r="F3960" s="953"/>
      <c r="G3960" s="953"/>
      <c r="H3960" s="953"/>
    </row>
    <row r="3961" spans="1:8" s="943" customFormat="1" x14ac:dyDescent="0.25">
      <c r="A3961" s="952"/>
      <c r="B3961" s="953"/>
      <c r="C3961" s="953"/>
      <c r="D3961" s="953"/>
      <c r="E3961" s="953"/>
      <c r="F3961" s="953"/>
      <c r="G3961" s="953"/>
      <c r="H3961" s="953"/>
    </row>
    <row r="3962" spans="1:8" s="943" customFormat="1" x14ac:dyDescent="0.25">
      <c r="A3962" s="952"/>
      <c r="B3962" s="953"/>
      <c r="C3962" s="953"/>
      <c r="D3962" s="953"/>
      <c r="E3962" s="953"/>
      <c r="F3962" s="953"/>
      <c r="G3962" s="953"/>
      <c r="H3962" s="953"/>
    </row>
    <row r="3963" spans="1:8" s="943" customFormat="1" x14ac:dyDescent="0.25">
      <c r="A3963" s="952"/>
      <c r="B3963" s="953"/>
      <c r="C3963" s="953"/>
      <c r="D3963" s="953"/>
      <c r="E3963" s="953"/>
      <c r="F3963" s="953"/>
      <c r="G3963" s="953"/>
      <c r="H3963" s="953"/>
    </row>
    <row r="3964" spans="1:8" s="943" customFormat="1" x14ac:dyDescent="0.25">
      <c r="A3964" s="952"/>
      <c r="B3964" s="953"/>
      <c r="C3964" s="953"/>
      <c r="D3964" s="953"/>
      <c r="E3964" s="953"/>
      <c r="F3964" s="953"/>
      <c r="G3964" s="953"/>
      <c r="H3964" s="953"/>
    </row>
    <row r="3965" spans="1:8" s="943" customFormat="1" x14ac:dyDescent="0.25">
      <c r="A3965" s="952"/>
      <c r="B3965" s="953"/>
      <c r="C3965" s="953"/>
      <c r="D3965" s="953"/>
      <c r="E3965" s="953"/>
      <c r="F3965" s="953"/>
      <c r="G3965" s="953"/>
      <c r="H3965" s="953"/>
    </row>
    <row r="3966" spans="1:8" s="943" customFormat="1" x14ac:dyDescent="0.25">
      <c r="A3966" s="952"/>
      <c r="B3966" s="953"/>
      <c r="C3966" s="953"/>
      <c r="D3966" s="953"/>
      <c r="E3966" s="953"/>
      <c r="F3966" s="953"/>
      <c r="G3966" s="953"/>
      <c r="H3966" s="953"/>
    </row>
    <row r="3967" spans="1:8" s="943" customFormat="1" x14ac:dyDescent="0.25">
      <c r="A3967" s="952"/>
      <c r="B3967" s="953"/>
      <c r="C3967" s="953"/>
      <c r="D3967" s="953"/>
      <c r="E3967" s="953"/>
      <c r="F3967" s="953"/>
      <c r="G3967" s="953"/>
      <c r="H3967" s="953"/>
    </row>
    <row r="3968" spans="1:8" s="943" customFormat="1" x14ac:dyDescent="0.25">
      <c r="A3968" s="952"/>
      <c r="B3968" s="953"/>
      <c r="C3968" s="953"/>
      <c r="D3968" s="953"/>
      <c r="E3968" s="953"/>
      <c r="F3968" s="953"/>
      <c r="G3968" s="953"/>
      <c r="H3968" s="953"/>
    </row>
    <row r="3969" spans="1:8" s="943" customFormat="1" x14ac:dyDescent="0.25">
      <c r="A3969" s="952"/>
      <c r="B3969" s="953"/>
      <c r="C3969" s="953"/>
      <c r="D3969" s="953"/>
      <c r="E3969" s="953"/>
      <c r="F3969" s="953"/>
      <c r="G3969" s="953"/>
      <c r="H3969" s="953"/>
    </row>
    <row r="3970" spans="1:8" s="943" customFormat="1" x14ac:dyDescent="0.25">
      <c r="A3970" s="952"/>
      <c r="B3970" s="953"/>
      <c r="C3970" s="953"/>
      <c r="D3970" s="953"/>
      <c r="E3970" s="953"/>
      <c r="F3970" s="953"/>
      <c r="G3970" s="953"/>
      <c r="H3970" s="953"/>
    </row>
    <row r="3971" spans="1:8" s="943" customFormat="1" x14ac:dyDescent="0.25">
      <c r="A3971" s="952"/>
      <c r="B3971" s="953"/>
      <c r="C3971" s="953"/>
      <c r="D3971" s="953"/>
      <c r="E3971" s="953"/>
      <c r="F3971" s="953"/>
      <c r="G3971" s="953"/>
      <c r="H3971" s="953"/>
    </row>
    <row r="3972" spans="1:8" s="943" customFormat="1" x14ac:dyDescent="0.25">
      <c r="A3972" s="952"/>
      <c r="B3972" s="953"/>
      <c r="C3972" s="953"/>
      <c r="D3972" s="953"/>
      <c r="E3972" s="953"/>
      <c r="F3972" s="953"/>
      <c r="G3972" s="953"/>
      <c r="H3972" s="953"/>
    </row>
    <row r="3973" spans="1:8" s="943" customFormat="1" x14ac:dyDescent="0.25">
      <c r="A3973" s="952"/>
      <c r="B3973" s="953"/>
      <c r="C3973" s="953"/>
      <c r="D3973" s="953"/>
      <c r="E3973" s="953"/>
      <c r="F3973" s="953"/>
      <c r="G3973" s="953"/>
      <c r="H3973" s="953"/>
    </row>
    <row r="3974" spans="1:8" s="943" customFormat="1" x14ac:dyDescent="0.25">
      <c r="A3974" s="952"/>
      <c r="B3974" s="953"/>
      <c r="C3974" s="953"/>
      <c r="D3974" s="953"/>
      <c r="E3974" s="953"/>
      <c r="F3974" s="953"/>
      <c r="G3974" s="953"/>
      <c r="H3974" s="953"/>
    </row>
    <row r="3975" spans="1:8" s="943" customFormat="1" x14ac:dyDescent="0.25">
      <c r="A3975" s="952"/>
      <c r="B3975" s="953"/>
      <c r="C3975" s="953"/>
      <c r="D3975" s="953"/>
      <c r="E3975" s="953"/>
      <c r="F3975" s="953"/>
      <c r="G3975" s="953"/>
      <c r="H3975" s="953"/>
    </row>
    <row r="3976" spans="1:8" s="943" customFormat="1" x14ac:dyDescent="0.25">
      <c r="A3976" s="952"/>
      <c r="B3976" s="953"/>
      <c r="C3976" s="953"/>
      <c r="D3976" s="953"/>
      <c r="E3976" s="953"/>
      <c r="F3976" s="953"/>
      <c r="G3976" s="953"/>
      <c r="H3976" s="953"/>
    </row>
    <row r="3977" spans="1:8" s="943" customFormat="1" x14ac:dyDescent="0.25">
      <c r="A3977" s="952"/>
      <c r="B3977" s="953"/>
      <c r="C3977" s="953"/>
      <c r="D3977" s="953"/>
      <c r="E3977" s="953"/>
      <c r="F3977" s="953"/>
      <c r="G3977" s="953"/>
      <c r="H3977" s="953"/>
    </row>
    <row r="3978" spans="1:8" s="943" customFormat="1" x14ac:dyDescent="0.25">
      <c r="A3978" s="952"/>
      <c r="B3978" s="953"/>
      <c r="C3978" s="953"/>
      <c r="D3978" s="953"/>
      <c r="E3978" s="953"/>
      <c r="F3978" s="953"/>
      <c r="G3978" s="953"/>
      <c r="H3978" s="953"/>
    </row>
    <row r="3979" spans="1:8" s="943" customFormat="1" x14ac:dyDescent="0.25">
      <c r="A3979" s="952"/>
      <c r="B3979" s="953"/>
      <c r="C3979" s="953"/>
      <c r="D3979" s="953"/>
      <c r="E3979" s="953"/>
      <c r="F3979" s="953"/>
      <c r="G3979" s="953"/>
      <c r="H3979" s="953"/>
    </row>
    <row r="3980" spans="1:8" s="943" customFormat="1" x14ac:dyDescent="0.25">
      <c r="A3980" s="952"/>
      <c r="B3980" s="953"/>
      <c r="C3980" s="953"/>
      <c r="D3980" s="953"/>
      <c r="E3980" s="953"/>
      <c r="F3980" s="953"/>
      <c r="G3980" s="953"/>
      <c r="H3980" s="953"/>
    </row>
    <row r="3981" spans="1:8" s="943" customFormat="1" x14ac:dyDescent="0.25">
      <c r="A3981" s="952"/>
      <c r="B3981" s="953"/>
      <c r="C3981" s="953"/>
      <c r="D3981" s="953"/>
      <c r="E3981" s="953"/>
      <c r="F3981" s="953"/>
      <c r="G3981" s="953"/>
      <c r="H3981" s="953"/>
    </row>
    <row r="3982" spans="1:8" s="943" customFormat="1" x14ac:dyDescent="0.25">
      <c r="A3982" s="952"/>
      <c r="B3982" s="953"/>
      <c r="C3982" s="953"/>
      <c r="D3982" s="953"/>
      <c r="E3982" s="953"/>
      <c r="F3982" s="953"/>
      <c r="G3982" s="953"/>
      <c r="H3982" s="953"/>
    </row>
    <row r="3983" spans="1:8" s="943" customFormat="1" x14ac:dyDescent="0.25">
      <c r="A3983" s="952"/>
      <c r="B3983" s="953"/>
      <c r="C3983" s="953"/>
      <c r="D3983" s="953"/>
      <c r="E3983" s="953"/>
      <c r="F3983" s="953"/>
      <c r="G3983" s="953"/>
      <c r="H3983" s="953"/>
    </row>
    <row r="3984" spans="1:8" s="943" customFormat="1" x14ac:dyDescent="0.25">
      <c r="A3984" s="952"/>
      <c r="B3984" s="953"/>
      <c r="C3984" s="953"/>
      <c r="D3984" s="953"/>
      <c r="E3984" s="953"/>
      <c r="F3984" s="953"/>
      <c r="G3984" s="953"/>
      <c r="H3984" s="953"/>
    </row>
    <row r="3985" spans="1:8" s="943" customFormat="1" x14ac:dyDescent="0.25">
      <c r="A3985" s="952"/>
      <c r="B3985" s="953"/>
      <c r="C3985" s="953"/>
      <c r="D3985" s="953"/>
      <c r="E3985" s="953"/>
      <c r="F3985" s="953"/>
      <c r="G3985" s="953"/>
      <c r="H3985" s="953"/>
    </row>
    <row r="3986" spans="1:8" s="943" customFormat="1" x14ac:dyDescent="0.25">
      <c r="A3986" s="952"/>
      <c r="B3986" s="953"/>
      <c r="C3986" s="953"/>
      <c r="D3986" s="953"/>
      <c r="E3986" s="953"/>
      <c r="F3986" s="953"/>
      <c r="G3986" s="953"/>
      <c r="H3986" s="953"/>
    </row>
    <row r="3987" spans="1:8" s="943" customFormat="1" x14ac:dyDescent="0.25">
      <c r="A3987" s="952"/>
      <c r="B3987" s="953"/>
      <c r="C3987" s="953"/>
      <c r="D3987" s="953"/>
      <c r="E3987" s="953"/>
      <c r="F3987" s="953"/>
      <c r="G3987" s="953"/>
      <c r="H3987" s="953"/>
    </row>
    <row r="3988" spans="1:8" s="943" customFormat="1" x14ac:dyDescent="0.25">
      <c r="A3988" s="952"/>
      <c r="B3988" s="953"/>
      <c r="C3988" s="953"/>
      <c r="D3988" s="953"/>
      <c r="E3988" s="953"/>
      <c r="F3988" s="953"/>
      <c r="G3988" s="953"/>
      <c r="H3988" s="953"/>
    </row>
    <row r="3989" spans="1:8" s="943" customFormat="1" x14ac:dyDescent="0.25">
      <c r="A3989" s="952"/>
      <c r="B3989" s="953"/>
      <c r="C3989" s="953"/>
      <c r="D3989" s="953"/>
      <c r="E3989" s="953"/>
      <c r="F3989" s="953"/>
      <c r="G3989" s="953"/>
      <c r="H3989" s="953"/>
    </row>
    <row r="3990" spans="1:8" s="943" customFormat="1" x14ac:dyDescent="0.25">
      <c r="A3990" s="952"/>
      <c r="B3990" s="953"/>
      <c r="C3990" s="953"/>
      <c r="D3990" s="953"/>
      <c r="E3990" s="953"/>
      <c r="F3990" s="953"/>
      <c r="G3990" s="953"/>
      <c r="H3990" s="953"/>
    </row>
    <row r="3991" spans="1:8" s="943" customFormat="1" x14ac:dyDescent="0.25">
      <c r="A3991" s="952"/>
      <c r="B3991" s="953"/>
      <c r="C3991" s="953"/>
      <c r="D3991" s="953"/>
      <c r="E3991" s="953"/>
      <c r="F3991" s="953"/>
      <c r="G3991" s="953"/>
      <c r="H3991" s="953"/>
    </row>
    <row r="3992" spans="1:8" s="943" customFormat="1" x14ac:dyDescent="0.25">
      <c r="A3992" s="952"/>
      <c r="B3992" s="953"/>
      <c r="C3992" s="953"/>
      <c r="D3992" s="953"/>
      <c r="E3992" s="953"/>
      <c r="F3992" s="953"/>
      <c r="G3992" s="953"/>
      <c r="H3992" s="953"/>
    </row>
    <row r="3993" spans="1:8" s="943" customFormat="1" x14ac:dyDescent="0.25">
      <c r="A3993" s="952"/>
      <c r="B3993" s="953"/>
      <c r="C3993" s="953"/>
      <c r="D3993" s="953"/>
      <c r="E3993" s="953"/>
      <c r="F3993" s="953"/>
      <c r="G3993" s="953"/>
      <c r="H3993" s="953"/>
    </row>
    <row r="3994" spans="1:8" s="943" customFormat="1" x14ac:dyDescent="0.25">
      <c r="A3994" s="952"/>
      <c r="B3994" s="953"/>
      <c r="C3994" s="953"/>
      <c r="D3994" s="953"/>
      <c r="E3994" s="953"/>
      <c r="F3994" s="953"/>
      <c r="G3994" s="953"/>
      <c r="H3994" s="953"/>
    </row>
    <row r="3995" spans="1:8" s="943" customFormat="1" x14ac:dyDescent="0.25">
      <c r="A3995" s="952"/>
      <c r="B3995" s="953"/>
      <c r="C3995" s="953"/>
      <c r="D3995" s="953"/>
      <c r="E3995" s="953"/>
      <c r="F3995" s="953"/>
      <c r="G3995" s="953"/>
      <c r="H3995" s="953"/>
    </row>
    <row r="3996" spans="1:8" s="943" customFormat="1" x14ac:dyDescent="0.25">
      <c r="A3996" s="952"/>
      <c r="B3996" s="953"/>
      <c r="C3996" s="953"/>
      <c r="D3996" s="953"/>
      <c r="E3996" s="953"/>
      <c r="F3996" s="953"/>
      <c r="G3996" s="953"/>
      <c r="H3996" s="953"/>
    </row>
    <row r="3997" spans="1:8" s="943" customFormat="1" x14ac:dyDescent="0.25">
      <c r="A3997" s="952"/>
      <c r="B3997" s="953"/>
      <c r="C3997" s="953"/>
      <c r="D3997" s="953"/>
      <c r="E3997" s="953"/>
      <c r="F3997" s="953"/>
      <c r="G3997" s="953"/>
      <c r="H3997" s="953"/>
    </row>
    <row r="3998" spans="1:8" s="943" customFormat="1" x14ac:dyDescent="0.25">
      <c r="A3998" s="952"/>
      <c r="B3998" s="953"/>
      <c r="C3998" s="953"/>
      <c r="D3998" s="953"/>
      <c r="E3998" s="953"/>
      <c r="F3998" s="953"/>
      <c r="G3998" s="953"/>
      <c r="H3998" s="953"/>
    </row>
    <row r="3999" spans="1:8" s="943" customFormat="1" x14ac:dyDescent="0.25">
      <c r="A3999" s="952"/>
      <c r="B3999" s="953"/>
      <c r="C3999" s="953"/>
      <c r="D3999" s="953"/>
      <c r="E3999" s="953"/>
      <c r="F3999" s="953"/>
      <c r="G3999" s="953"/>
      <c r="H3999" s="953"/>
    </row>
    <row r="4000" spans="1:8" s="943" customFormat="1" x14ac:dyDescent="0.25">
      <c r="A4000" s="952"/>
      <c r="B4000" s="953"/>
      <c r="C4000" s="953"/>
      <c r="D4000" s="953"/>
      <c r="E4000" s="953"/>
      <c r="F4000" s="953"/>
      <c r="G4000" s="953"/>
      <c r="H4000" s="953"/>
    </row>
    <row r="4001" spans="1:8" s="943" customFormat="1" x14ac:dyDescent="0.25">
      <c r="A4001" s="952"/>
      <c r="B4001" s="953"/>
      <c r="C4001" s="953"/>
      <c r="D4001" s="953"/>
      <c r="E4001" s="953"/>
      <c r="F4001" s="953"/>
      <c r="G4001" s="953"/>
      <c r="H4001" s="953"/>
    </row>
    <row r="4002" spans="1:8" s="943" customFormat="1" x14ac:dyDescent="0.25">
      <c r="A4002" s="952"/>
      <c r="B4002" s="953"/>
      <c r="C4002" s="953"/>
      <c r="D4002" s="953"/>
      <c r="E4002" s="953"/>
      <c r="F4002" s="953"/>
      <c r="G4002" s="953"/>
      <c r="H4002" s="953"/>
    </row>
    <row r="4003" spans="1:8" s="943" customFormat="1" x14ac:dyDescent="0.25">
      <c r="A4003" s="952"/>
      <c r="B4003" s="953"/>
      <c r="C4003" s="953"/>
      <c r="D4003" s="953"/>
      <c r="E4003" s="953"/>
      <c r="F4003" s="953"/>
      <c r="G4003" s="953"/>
      <c r="H4003" s="953"/>
    </row>
    <row r="4004" spans="1:8" s="943" customFormat="1" x14ac:dyDescent="0.25">
      <c r="A4004" s="952"/>
      <c r="B4004" s="953"/>
      <c r="C4004" s="953"/>
      <c r="D4004" s="953"/>
      <c r="E4004" s="953"/>
      <c r="F4004" s="953"/>
      <c r="G4004" s="953"/>
      <c r="H4004" s="953"/>
    </row>
    <row r="4005" spans="1:8" s="943" customFormat="1" x14ac:dyDescent="0.25">
      <c r="A4005" s="952"/>
      <c r="B4005" s="953"/>
      <c r="C4005" s="953"/>
      <c r="D4005" s="953"/>
      <c r="E4005" s="953"/>
      <c r="F4005" s="953"/>
      <c r="G4005" s="953"/>
      <c r="H4005" s="953"/>
    </row>
    <row r="4006" spans="1:8" s="943" customFormat="1" x14ac:dyDescent="0.25">
      <c r="A4006" s="952"/>
      <c r="B4006" s="953"/>
      <c r="C4006" s="953"/>
      <c r="D4006" s="953"/>
      <c r="E4006" s="953"/>
      <c r="F4006" s="953"/>
      <c r="G4006" s="953"/>
      <c r="H4006" s="953"/>
    </row>
    <row r="4007" spans="1:8" s="943" customFormat="1" x14ac:dyDescent="0.25">
      <c r="A4007" s="952"/>
      <c r="B4007" s="953"/>
      <c r="C4007" s="953"/>
      <c r="D4007" s="953"/>
      <c r="E4007" s="953"/>
      <c r="F4007" s="953"/>
      <c r="G4007" s="953"/>
      <c r="H4007" s="953"/>
    </row>
    <row r="4008" spans="1:8" s="943" customFormat="1" x14ac:dyDescent="0.25">
      <c r="A4008" s="952"/>
      <c r="B4008" s="953"/>
      <c r="C4008" s="953"/>
      <c r="D4008" s="953"/>
      <c r="E4008" s="953"/>
      <c r="F4008" s="953"/>
      <c r="G4008" s="953"/>
      <c r="H4008" s="953"/>
    </row>
    <row r="4009" spans="1:8" s="943" customFormat="1" x14ac:dyDescent="0.25">
      <c r="A4009" s="952"/>
      <c r="B4009" s="953"/>
      <c r="C4009" s="953"/>
      <c r="D4009" s="953"/>
      <c r="E4009" s="953"/>
      <c r="F4009" s="953"/>
      <c r="G4009" s="953"/>
      <c r="H4009" s="953"/>
    </row>
    <row r="4010" spans="1:8" s="943" customFormat="1" x14ac:dyDescent="0.25">
      <c r="A4010" s="952"/>
      <c r="B4010" s="953"/>
      <c r="C4010" s="953"/>
      <c r="D4010" s="953"/>
      <c r="E4010" s="953"/>
      <c r="F4010" s="953"/>
      <c r="G4010" s="953"/>
      <c r="H4010" s="953"/>
    </row>
    <row r="4011" spans="1:8" s="943" customFormat="1" x14ac:dyDescent="0.25">
      <c r="A4011" s="952"/>
      <c r="B4011" s="953"/>
      <c r="C4011" s="953"/>
      <c r="D4011" s="953"/>
      <c r="E4011" s="953"/>
      <c r="F4011" s="953"/>
      <c r="G4011" s="953"/>
      <c r="H4011" s="953"/>
    </row>
    <row r="4012" spans="1:8" s="943" customFormat="1" x14ac:dyDescent="0.25">
      <c r="A4012" s="952"/>
      <c r="B4012" s="953"/>
      <c r="C4012" s="953"/>
      <c r="D4012" s="953"/>
      <c r="E4012" s="953"/>
      <c r="F4012" s="953"/>
      <c r="G4012" s="953"/>
      <c r="H4012" s="953"/>
    </row>
    <row r="4013" spans="1:8" s="943" customFormat="1" x14ac:dyDescent="0.25">
      <c r="A4013" s="952"/>
      <c r="B4013" s="953"/>
      <c r="C4013" s="953"/>
      <c r="D4013" s="953"/>
      <c r="E4013" s="953"/>
      <c r="F4013" s="953"/>
      <c r="G4013" s="953"/>
      <c r="H4013" s="953"/>
    </row>
    <row r="4014" spans="1:8" s="943" customFormat="1" x14ac:dyDescent="0.25">
      <c r="A4014" s="952"/>
      <c r="B4014" s="953"/>
      <c r="C4014" s="953"/>
      <c r="D4014" s="953"/>
      <c r="E4014" s="953"/>
      <c r="F4014" s="953"/>
      <c r="G4014" s="953"/>
      <c r="H4014" s="953"/>
    </row>
    <row r="4015" spans="1:8" s="943" customFormat="1" x14ac:dyDescent="0.25">
      <c r="A4015" s="952"/>
      <c r="B4015" s="953"/>
      <c r="C4015" s="953"/>
      <c r="D4015" s="953"/>
      <c r="E4015" s="953"/>
      <c r="F4015" s="953"/>
      <c r="G4015" s="953"/>
      <c r="H4015" s="953"/>
    </row>
    <row r="4016" spans="1:8" s="943" customFormat="1" x14ac:dyDescent="0.25">
      <c r="A4016" s="952"/>
      <c r="B4016" s="953"/>
      <c r="C4016" s="953"/>
      <c r="D4016" s="953"/>
      <c r="E4016" s="953"/>
      <c r="F4016" s="953"/>
      <c r="G4016" s="953"/>
      <c r="H4016" s="953"/>
    </row>
    <row r="4017" spans="1:8" s="943" customFormat="1" x14ac:dyDescent="0.25">
      <c r="A4017" s="952"/>
      <c r="B4017" s="953"/>
      <c r="C4017" s="953"/>
      <c r="D4017" s="953"/>
      <c r="E4017" s="953"/>
      <c r="F4017" s="953"/>
      <c r="G4017" s="953"/>
      <c r="H4017" s="953"/>
    </row>
    <row r="4018" spans="1:8" s="943" customFormat="1" x14ac:dyDescent="0.25">
      <c r="A4018" s="952"/>
      <c r="B4018" s="953"/>
      <c r="C4018" s="953"/>
      <c r="D4018" s="953"/>
      <c r="E4018" s="953"/>
      <c r="F4018" s="953"/>
      <c r="G4018" s="953"/>
      <c r="H4018" s="953"/>
    </row>
    <row r="4019" spans="1:8" s="943" customFormat="1" x14ac:dyDescent="0.25">
      <c r="A4019" s="952"/>
      <c r="B4019" s="953"/>
      <c r="C4019" s="953"/>
      <c r="D4019" s="953"/>
      <c r="E4019" s="953"/>
      <c r="F4019" s="953"/>
      <c r="G4019" s="953"/>
      <c r="H4019" s="953"/>
    </row>
    <row r="4020" spans="1:8" s="943" customFormat="1" x14ac:dyDescent="0.25">
      <c r="A4020" s="952"/>
      <c r="B4020" s="953"/>
      <c r="C4020" s="953"/>
      <c r="D4020" s="953"/>
      <c r="E4020" s="953"/>
      <c r="F4020" s="953"/>
      <c r="G4020" s="953"/>
      <c r="H4020" s="953"/>
    </row>
    <row r="4021" spans="1:8" s="943" customFormat="1" x14ac:dyDescent="0.25">
      <c r="A4021" s="952"/>
      <c r="B4021" s="953"/>
      <c r="C4021" s="953"/>
      <c r="D4021" s="953"/>
      <c r="E4021" s="953"/>
      <c r="F4021" s="953"/>
      <c r="G4021" s="953"/>
      <c r="H4021" s="953"/>
    </row>
    <row r="4022" spans="1:8" s="943" customFormat="1" x14ac:dyDescent="0.25">
      <c r="A4022" s="952"/>
      <c r="B4022" s="953"/>
      <c r="C4022" s="953"/>
      <c r="D4022" s="953"/>
      <c r="E4022" s="953"/>
      <c r="F4022" s="953"/>
      <c r="G4022" s="953"/>
      <c r="H4022" s="953"/>
    </row>
    <row r="4023" spans="1:8" s="943" customFormat="1" x14ac:dyDescent="0.25">
      <c r="A4023" s="952"/>
      <c r="B4023" s="953"/>
      <c r="C4023" s="953"/>
      <c r="D4023" s="953"/>
      <c r="E4023" s="953"/>
      <c r="F4023" s="953"/>
      <c r="G4023" s="953"/>
      <c r="H4023" s="953"/>
    </row>
    <row r="4024" spans="1:8" s="943" customFormat="1" x14ac:dyDescent="0.25">
      <c r="A4024" s="952"/>
      <c r="B4024" s="953"/>
      <c r="C4024" s="953"/>
      <c r="D4024" s="953"/>
      <c r="E4024" s="953"/>
      <c r="F4024" s="953"/>
      <c r="G4024" s="953"/>
      <c r="H4024" s="953"/>
    </row>
    <row r="4025" spans="1:8" s="943" customFormat="1" x14ac:dyDescent="0.25">
      <c r="A4025" s="952"/>
      <c r="B4025" s="953"/>
      <c r="C4025" s="953"/>
      <c r="D4025" s="953"/>
      <c r="E4025" s="953"/>
      <c r="F4025" s="953"/>
      <c r="G4025" s="953"/>
      <c r="H4025" s="953"/>
    </row>
    <row r="4026" spans="1:8" s="943" customFormat="1" x14ac:dyDescent="0.25">
      <c r="A4026" s="952"/>
      <c r="B4026" s="953"/>
      <c r="C4026" s="953"/>
      <c r="D4026" s="953"/>
      <c r="E4026" s="953"/>
      <c r="F4026" s="953"/>
      <c r="G4026" s="953"/>
      <c r="H4026" s="953"/>
    </row>
    <row r="4027" spans="1:8" s="943" customFormat="1" x14ac:dyDescent="0.25">
      <c r="A4027" s="952"/>
      <c r="B4027" s="953"/>
      <c r="C4027" s="953"/>
      <c r="D4027" s="953"/>
      <c r="E4027" s="953"/>
      <c r="F4027" s="953"/>
      <c r="G4027" s="953"/>
      <c r="H4027" s="953"/>
    </row>
    <row r="4028" spans="1:8" s="943" customFormat="1" x14ac:dyDescent="0.25">
      <c r="A4028" s="952"/>
      <c r="B4028" s="953"/>
      <c r="C4028" s="953"/>
      <c r="D4028" s="953"/>
      <c r="E4028" s="953"/>
      <c r="F4028" s="953"/>
      <c r="G4028" s="953"/>
      <c r="H4028" s="953"/>
    </row>
    <row r="4029" spans="1:8" s="943" customFormat="1" x14ac:dyDescent="0.25">
      <c r="A4029" s="952"/>
      <c r="B4029" s="953"/>
      <c r="C4029" s="953"/>
      <c r="D4029" s="953"/>
      <c r="E4029" s="953"/>
      <c r="F4029" s="953"/>
      <c r="G4029" s="953"/>
      <c r="H4029" s="953"/>
    </row>
    <row r="4030" spans="1:8" s="943" customFormat="1" x14ac:dyDescent="0.25">
      <c r="A4030" s="952"/>
      <c r="B4030" s="953"/>
      <c r="C4030" s="953"/>
      <c r="D4030" s="953"/>
      <c r="E4030" s="953"/>
      <c r="F4030" s="953"/>
      <c r="G4030" s="953"/>
      <c r="H4030" s="953"/>
    </row>
    <row r="4031" spans="1:8" s="943" customFormat="1" x14ac:dyDescent="0.25">
      <c r="A4031" s="952"/>
      <c r="B4031" s="953"/>
      <c r="C4031" s="953"/>
      <c r="D4031" s="953"/>
      <c r="E4031" s="953"/>
      <c r="F4031" s="953"/>
      <c r="G4031" s="953"/>
      <c r="H4031" s="953"/>
    </row>
    <row r="4032" spans="1:8" s="943" customFormat="1" x14ac:dyDescent="0.25">
      <c r="A4032" s="952"/>
      <c r="B4032" s="953"/>
      <c r="C4032" s="953"/>
      <c r="D4032" s="953"/>
      <c r="E4032" s="953"/>
      <c r="F4032" s="953"/>
      <c r="G4032" s="953"/>
      <c r="H4032" s="953"/>
    </row>
    <row r="4033" spans="1:8" s="943" customFormat="1" x14ac:dyDescent="0.25">
      <c r="A4033" s="952"/>
      <c r="B4033" s="953"/>
      <c r="C4033" s="953"/>
      <c r="D4033" s="953"/>
      <c r="E4033" s="953"/>
      <c r="F4033" s="953"/>
      <c r="G4033" s="953"/>
      <c r="H4033" s="953"/>
    </row>
    <row r="4034" spans="1:8" s="943" customFormat="1" x14ac:dyDescent="0.25">
      <c r="A4034" s="952"/>
      <c r="B4034" s="953"/>
      <c r="C4034" s="953"/>
      <c r="D4034" s="953"/>
      <c r="E4034" s="953"/>
      <c r="F4034" s="953"/>
      <c r="G4034" s="953"/>
      <c r="H4034" s="953"/>
    </row>
    <row r="4035" spans="1:8" s="943" customFormat="1" x14ac:dyDescent="0.25">
      <c r="A4035" s="952"/>
      <c r="B4035" s="953"/>
      <c r="C4035" s="953"/>
      <c r="D4035" s="953"/>
      <c r="E4035" s="953"/>
      <c r="F4035" s="953"/>
      <c r="G4035" s="953"/>
      <c r="H4035" s="953"/>
    </row>
    <row r="4036" spans="1:8" s="943" customFormat="1" x14ac:dyDescent="0.25">
      <c r="A4036" s="952"/>
      <c r="B4036" s="953"/>
      <c r="C4036" s="953"/>
      <c r="D4036" s="953"/>
      <c r="E4036" s="953"/>
      <c r="F4036" s="953"/>
      <c r="G4036" s="953"/>
      <c r="H4036" s="953"/>
    </row>
    <row r="4037" spans="1:8" s="943" customFormat="1" x14ac:dyDescent="0.25">
      <c r="A4037" s="952"/>
      <c r="B4037" s="953"/>
      <c r="C4037" s="953"/>
      <c r="D4037" s="953"/>
      <c r="E4037" s="953"/>
      <c r="F4037" s="953"/>
      <c r="G4037" s="953"/>
      <c r="H4037" s="953"/>
    </row>
    <row r="4038" spans="1:8" s="943" customFormat="1" x14ac:dyDescent="0.25">
      <c r="A4038" s="952"/>
      <c r="B4038" s="953"/>
      <c r="C4038" s="953"/>
      <c r="D4038" s="953"/>
      <c r="E4038" s="953"/>
      <c r="F4038" s="953"/>
      <c r="G4038" s="953"/>
      <c r="H4038" s="953"/>
    </row>
    <row r="4039" spans="1:8" s="943" customFormat="1" x14ac:dyDescent="0.25">
      <c r="A4039" s="952"/>
      <c r="B4039" s="953"/>
      <c r="C4039" s="953"/>
      <c r="D4039" s="953"/>
      <c r="E4039" s="953"/>
      <c r="F4039" s="953"/>
      <c r="G4039" s="953"/>
      <c r="H4039" s="953"/>
    </row>
    <row r="4040" spans="1:8" s="943" customFormat="1" x14ac:dyDescent="0.25">
      <c r="A4040" s="952"/>
      <c r="B4040" s="953"/>
      <c r="C4040" s="953"/>
      <c r="D4040" s="953"/>
      <c r="E4040" s="953"/>
      <c r="F4040" s="953"/>
      <c r="G4040" s="953"/>
      <c r="H4040" s="953"/>
    </row>
    <row r="4041" spans="1:8" s="943" customFormat="1" x14ac:dyDescent="0.25">
      <c r="A4041" s="952"/>
      <c r="B4041" s="953"/>
      <c r="C4041" s="953"/>
      <c r="D4041" s="953"/>
      <c r="E4041" s="953"/>
      <c r="F4041" s="953"/>
      <c r="G4041" s="953"/>
      <c r="H4041" s="953"/>
    </row>
    <row r="4042" spans="1:8" s="943" customFormat="1" x14ac:dyDescent="0.25">
      <c r="A4042" s="952"/>
      <c r="B4042" s="953"/>
      <c r="C4042" s="953"/>
      <c r="D4042" s="953"/>
      <c r="E4042" s="953"/>
      <c r="F4042" s="953"/>
      <c r="G4042" s="953"/>
      <c r="H4042" s="953"/>
    </row>
    <row r="4043" spans="1:8" s="943" customFormat="1" x14ac:dyDescent="0.25">
      <c r="A4043" s="952"/>
      <c r="B4043" s="953"/>
      <c r="C4043" s="953"/>
      <c r="D4043" s="953"/>
      <c r="E4043" s="953"/>
      <c r="F4043" s="953"/>
      <c r="G4043" s="953"/>
      <c r="H4043" s="953"/>
    </row>
    <row r="4044" spans="1:8" s="943" customFormat="1" x14ac:dyDescent="0.25">
      <c r="A4044" s="952"/>
      <c r="B4044" s="953"/>
      <c r="C4044" s="953"/>
      <c r="D4044" s="953"/>
      <c r="E4044" s="953"/>
      <c r="F4044" s="953"/>
      <c r="G4044" s="953"/>
      <c r="H4044" s="953"/>
    </row>
    <row r="4045" spans="1:8" s="943" customFormat="1" x14ac:dyDescent="0.25">
      <c r="A4045" s="952"/>
      <c r="B4045" s="953"/>
      <c r="C4045" s="953"/>
      <c r="D4045" s="953"/>
      <c r="E4045" s="953"/>
      <c r="F4045" s="953"/>
      <c r="G4045" s="953"/>
      <c r="H4045" s="953"/>
    </row>
    <row r="4046" spans="1:8" s="943" customFormat="1" x14ac:dyDescent="0.25">
      <c r="A4046" s="952"/>
      <c r="B4046" s="953"/>
      <c r="C4046" s="953"/>
      <c r="D4046" s="953"/>
      <c r="E4046" s="953"/>
      <c r="F4046" s="953"/>
      <c r="G4046" s="953"/>
      <c r="H4046" s="953"/>
    </row>
    <row r="4047" spans="1:8" s="943" customFormat="1" x14ac:dyDescent="0.25">
      <c r="A4047" s="952"/>
      <c r="B4047" s="953"/>
      <c r="C4047" s="953"/>
      <c r="D4047" s="953"/>
      <c r="E4047" s="953"/>
      <c r="F4047" s="953"/>
      <c r="G4047" s="953"/>
      <c r="H4047" s="953"/>
    </row>
    <row r="4048" spans="1:8" s="943" customFormat="1" x14ac:dyDescent="0.25">
      <c r="A4048" s="952"/>
      <c r="B4048" s="953"/>
      <c r="C4048" s="953"/>
      <c r="D4048" s="953"/>
      <c r="E4048" s="953"/>
      <c r="F4048" s="953"/>
      <c r="G4048" s="953"/>
      <c r="H4048" s="953"/>
    </row>
    <row r="4049" spans="1:8" s="943" customFormat="1" x14ac:dyDescent="0.25">
      <c r="A4049" s="952"/>
      <c r="B4049" s="953"/>
      <c r="C4049" s="953"/>
      <c r="D4049" s="953"/>
      <c r="E4049" s="953"/>
      <c r="F4049" s="953"/>
      <c r="G4049" s="953"/>
      <c r="H4049" s="953"/>
    </row>
    <row r="4050" spans="1:8" s="943" customFormat="1" x14ac:dyDescent="0.25">
      <c r="A4050" s="952"/>
      <c r="B4050" s="953"/>
      <c r="C4050" s="953"/>
      <c r="D4050" s="953"/>
      <c r="E4050" s="953"/>
      <c r="F4050" s="953"/>
      <c r="G4050" s="953"/>
      <c r="H4050" s="953"/>
    </row>
    <row r="4051" spans="1:8" s="943" customFormat="1" x14ac:dyDescent="0.25">
      <c r="A4051" s="952"/>
      <c r="B4051" s="953"/>
      <c r="C4051" s="953"/>
      <c r="D4051" s="953"/>
      <c r="E4051" s="953"/>
      <c r="F4051" s="953"/>
      <c r="G4051" s="953"/>
      <c r="H4051" s="953"/>
    </row>
    <row r="4052" spans="1:8" s="943" customFormat="1" x14ac:dyDescent="0.25">
      <c r="A4052" s="952"/>
      <c r="B4052" s="953"/>
      <c r="C4052" s="953"/>
      <c r="D4052" s="953"/>
      <c r="E4052" s="953"/>
      <c r="F4052" s="953"/>
      <c r="G4052" s="953"/>
      <c r="H4052" s="953"/>
    </row>
    <row r="4053" spans="1:8" s="943" customFormat="1" x14ac:dyDescent="0.25">
      <c r="A4053" s="952"/>
      <c r="B4053" s="953"/>
      <c r="C4053" s="953"/>
      <c r="D4053" s="953"/>
      <c r="E4053" s="953"/>
      <c r="F4053" s="953"/>
      <c r="G4053" s="953"/>
      <c r="H4053" s="953"/>
    </row>
    <row r="4054" spans="1:8" s="943" customFormat="1" x14ac:dyDescent="0.25">
      <c r="A4054" s="952"/>
      <c r="B4054" s="953"/>
      <c r="C4054" s="953"/>
      <c r="D4054" s="953"/>
      <c r="E4054" s="953"/>
      <c r="F4054" s="953"/>
      <c r="G4054" s="953"/>
      <c r="H4054" s="953"/>
    </row>
    <row r="4055" spans="1:8" s="943" customFormat="1" x14ac:dyDescent="0.25">
      <c r="A4055" s="952"/>
      <c r="B4055" s="953"/>
      <c r="C4055" s="953"/>
      <c r="D4055" s="953"/>
      <c r="E4055" s="953"/>
      <c r="F4055" s="953"/>
      <c r="G4055" s="953"/>
      <c r="H4055" s="953"/>
    </row>
    <row r="4056" spans="1:8" s="943" customFormat="1" x14ac:dyDescent="0.25">
      <c r="A4056" s="952"/>
      <c r="B4056" s="953"/>
      <c r="C4056" s="953"/>
      <c r="D4056" s="953"/>
      <c r="E4056" s="953"/>
      <c r="F4056" s="953"/>
      <c r="G4056" s="953"/>
      <c r="H4056" s="953"/>
    </row>
    <row r="4057" spans="1:8" s="943" customFormat="1" x14ac:dyDescent="0.25">
      <c r="A4057" s="952"/>
      <c r="B4057" s="953"/>
      <c r="C4057" s="953"/>
      <c r="D4057" s="953"/>
      <c r="E4057" s="953"/>
      <c r="F4057" s="953"/>
      <c r="G4057" s="953"/>
      <c r="H4057" s="953"/>
    </row>
    <row r="4058" spans="1:8" s="943" customFormat="1" x14ac:dyDescent="0.25">
      <c r="A4058" s="952"/>
      <c r="B4058" s="953"/>
      <c r="C4058" s="953"/>
      <c r="D4058" s="953"/>
      <c r="E4058" s="953"/>
      <c r="F4058" s="953"/>
      <c r="G4058" s="953"/>
      <c r="H4058" s="953"/>
    </row>
    <row r="4059" spans="1:8" s="943" customFormat="1" x14ac:dyDescent="0.25">
      <c r="A4059" s="952"/>
      <c r="B4059" s="953"/>
      <c r="C4059" s="953"/>
      <c r="D4059" s="953"/>
      <c r="E4059" s="953"/>
      <c r="F4059" s="953"/>
      <c r="G4059" s="953"/>
      <c r="H4059" s="953"/>
    </row>
    <row r="4060" spans="1:8" s="943" customFormat="1" x14ac:dyDescent="0.25">
      <c r="A4060" s="952"/>
      <c r="B4060" s="953"/>
      <c r="C4060" s="953"/>
      <c r="D4060" s="953"/>
      <c r="E4060" s="953"/>
      <c r="F4060" s="953"/>
      <c r="G4060" s="953"/>
      <c r="H4060" s="953"/>
    </row>
    <row r="4061" spans="1:8" s="943" customFormat="1" x14ac:dyDescent="0.25">
      <c r="A4061" s="952"/>
      <c r="B4061" s="953"/>
      <c r="C4061" s="953"/>
      <c r="D4061" s="953"/>
      <c r="E4061" s="953"/>
      <c r="F4061" s="953"/>
      <c r="G4061" s="953"/>
      <c r="H4061" s="953"/>
    </row>
    <row r="4062" spans="1:8" s="943" customFormat="1" x14ac:dyDescent="0.25">
      <c r="A4062" s="952"/>
      <c r="B4062" s="953"/>
      <c r="C4062" s="953"/>
      <c r="D4062" s="953"/>
      <c r="E4062" s="953"/>
      <c r="F4062" s="953"/>
      <c r="G4062" s="953"/>
      <c r="H4062" s="953"/>
    </row>
    <row r="4063" spans="1:8" s="943" customFormat="1" x14ac:dyDescent="0.25">
      <c r="A4063" s="952"/>
      <c r="B4063" s="953"/>
      <c r="C4063" s="953"/>
      <c r="D4063" s="953"/>
      <c r="E4063" s="953"/>
      <c r="F4063" s="953"/>
      <c r="G4063" s="953"/>
      <c r="H4063" s="953"/>
    </row>
    <row r="4064" spans="1:8" s="943" customFormat="1" x14ac:dyDescent="0.25">
      <c r="A4064" s="952"/>
      <c r="B4064" s="953"/>
      <c r="C4064" s="953"/>
      <c r="D4064" s="953"/>
      <c r="E4064" s="953"/>
      <c r="F4064" s="953"/>
      <c r="G4064" s="953"/>
      <c r="H4064" s="953"/>
    </row>
    <row r="4065" spans="1:8" s="943" customFormat="1" x14ac:dyDescent="0.25">
      <c r="A4065" s="952"/>
      <c r="B4065" s="953"/>
      <c r="C4065" s="953"/>
      <c r="D4065" s="953"/>
      <c r="E4065" s="953"/>
      <c r="F4065" s="953"/>
      <c r="G4065" s="953"/>
      <c r="H4065" s="953"/>
    </row>
    <row r="4066" spans="1:8" s="943" customFormat="1" x14ac:dyDescent="0.25">
      <c r="A4066" s="952"/>
      <c r="B4066" s="953"/>
      <c r="C4066" s="953"/>
      <c r="D4066" s="953"/>
      <c r="E4066" s="953"/>
      <c r="F4066" s="953"/>
      <c r="G4066" s="953"/>
      <c r="H4066" s="953"/>
    </row>
    <row r="4067" spans="1:8" s="943" customFormat="1" x14ac:dyDescent="0.25">
      <c r="A4067" s="952"/>
      <c r="B4067" s="953"/>
      <c r="C4067" s="953"/>
      <c r="D4067" s="953"/>
      <c r="E4067" s="953"/>
      <c r="F4067" s="953"/>
      <c r="G4067" s="953"/>
      <c r="H4067" s="953"/>
    </row>
    <row r="4068" spans="1:8" s="943" customFormat="1" x14ac:dyDescent="0.25">
      <c r="A4068" s="952"/>
      <c r="B4068" s="953"/>
      <c r="C4068" s="953"/>
      <c r="D4068" s="953"/>
      <c r="E4068" s="953"/>
      <c r="F4068" s="953"/>
      <c r="G4068" s="953"/>
      <c r="H4068" s="953"/>
    </row>
    <row r="4069" spans="1:8" s="943" customFormat="1" x14ac:dyDescent="0.25">
      <c r="A4069" s="952"/>
      <c r="B4069" s="953"/>
      <c r="C4069" s="953"/>
      <c r="D4069" s="953"/>
      <c r="E4069" s="953"/>
      <c r="F4069" s="953"/>
      <c r="G4069" s="953"/>
      <c r="H4069" s="953"/>
    </row>
    <row r="4070" spans="1:8" s="943" customFormat="1" x14ac:dyDescent="0.25">
      <c r="A4070" s="952"/>
      <c r="B4070" s="953"/>
      <c r="C4070" s="953"/>
      <c r="D4070" s="953"/>
      <c r="E4070" s="953"/>
      <c r="F4070" s="953"/>
      <c r="G4070" s="953"/>
      <c r="H4070" s="953"/>
    </row>
    <row r="4071" spans="1:8" s="943" customFormat="1" x14ac:dyDescent="0.25">
      <c r="A4071" s="952"/>
      <c r="B4071" s="953"/>
      <c r="C4071" s="953"/>
      <c r="D4071" s="953"/>
      <c r="E4071" s="953"/>
      <c r="F4071" s="953"/>
      <c r="G4071" s="953"/>
      <c r="H4071" s="953"/>
    </row>
    <row r="4072" spans="1:8" s="943" customFormat="1" x14ac:dyDescent="0.25">
      <c r="A4072" s="952"/>
      <c r="B4072" s="953"/>
      <c r="C4072" s="953"/>
      <c r="D4072" s="953"/>
      <c r="E4072" s="953"/>
      <c r="F4072" s="953"/>
      <c r="G4072" s="953"/>
      <c r="H4072" s="953"/>
    </row>
    <row r="4073" spans="1:8" s="943" customFormat="1" x14ac:dyDescent="0.25">
      <c r="A4073" s="952"/>
      <c r="B4073" s="953"/>
      <c r="C4073" s="953"/>
      <c r="D4073" s="953"/>
      <c r="E4073" s="953"/>
      <c r="F4073" s="953"/>
      <c r="G4073" s="953"/>
      <c r="H4073" s="953"/>
    </row>
    <row r="4074" spans="1:8" s="943" customFormat="1" x14ac:dyDescent="0.25">
      <c r="A4074" s="952"/>
      <c r="B4074" s="953"/>
      <c r="C4074" s="953"/>
      <c r="D4074" s="953"/>
      <c r="E4074" s="953"/>
      <c r="F4074" s="953"/>
      <c r="G4074" s="953"/>
      <c r="H4074" s="953"/>
    </row>
    <row r="4075" spans="1:8" s="943" customFormat="1" x14ac:dyDescent="0.25">
      <c r="A4075" s="952"/>
      <c r="B4075" s="953"/>
      <c r="C4075" s="953"/>
      <c r="D4075" s="953"/>
      <c r="E4075" s="953"/>
      <c r="F4075" s="953"/>
      <c r="G4075" s="953"/>
      <c r="H4075" s="953"/>
    </row>
    <row r="4076" spans="1:8" s="943" customFormat="1" x14ac:dyDescent="0.25">
      <c r="A4076" s="952"/>
      <c r="B4076" s="953"/>
      <c r="C4076" s="953"/>
      <c r="D4076" s="953"/>
      <c r="E4076" s="953"/>
      <c r="F4076" s="953"/>
      <c r="G4076" s="953"/>
      <c r="H4076" s="953"/>
    </row>
    <row r="4077" spans="1:8" s="943" customFormat="1" x14ac:dyDescent="0.25">
      <c r="A4077" s="952"/>
      <c r="B4077" s="953"/>
      <c r="C4077" s="953"/>
      <c r="D4077" s="953"/>
      <c r="E4077" s="953"/>
      <c r="F4077" s="953"/>
      <c r="G4077" s="953"/>
      <c r="H4077" s="953"/>
    </row>
    <row r="4078" spans="1:8" s="943" customFormat="1" x14ac:dyDescent="0.25">
      <c r="A4078" s="952"/>
      <c r="B4078" s="953"/>
      <c r="C4078" s="953"/>
      <c r="D4078" s="953"/>
      <c r="E4078" s="953"/>
      <c r="F4078" s="953"/>
      <c r="G4078" s="953"/>
      <c r="H4078" s="953"/>
    </row>
    <row r="4079" spans="1:8" s="943" customFormat="1" x14ac:dyDescent="0.25">
      <c r="A4079" s="952"/>
      <c r="B4079" s="953"/>
      <c r="C4079" s="953"/>
      <c r="D4079" s="953"/>
      <c r="E4079" s="953"/>
      <c r="F4079" s="953"/>
      <c r="G4079" s="953"/>
      <c r="H4079" s="953"/>
    </row>
    <row r="4080" spans="1:8" s="943" customFormat="1" x14ac:dyDescent="0.25">
      <c r="A4080" s="952"/>
      <c r="B4080" s="953"/>
      <c r="C4080" s="953"/>
      <c r="D4080" s="953"/>
      <c r="E4080" s="953"/>
      <c r="F4080" s="953"/>
      <c r="G4080" s="953"/>
      <c r="H4080" s="953"/>
    </row>
    <row r="4081" spans="1:8" s="943" customFormat="1" x14ac:dyDescent="0.25">
      <c r="A4081" s="952"/>
      <c r="B4081" s="953"/>
      <c r="C4081" s="953"/>
      <c r="D4081" s="953"/>
      <c r="E4081" s="953"/>
      <c r="F4081" s="953"/>
      <c r="G4081" s="953"/>
      <c r="H4081" s="953"/>
    </row>
    <row r="4082" spans="1:8" s="943" customFormat="1" x14ac:dyDescent="0.25">
      <c r="A4082" s="952"/>
      <c r="B4082" s="953"/>
      <c r="C4082" s="953"/>
      <c r="D4082" s="953"/>
      <c r="E4082" s="953"/>
      <c r="F4082" s="953"/>
      <c r="G4082" s="953"/>
      <c r="H4082" s="953"/>
    </row>
    <row r="4083" spans="1:8" s="943" customFormat="1" x14ac:dyDescent="0.25">
      <c r="A4083" s="952"/>
      <c r="B4083" s="953"/>
      <c r="C4083" s="953"/>
      <c r="D4083" s="953"/>
      <c r="E4083" s="953"/>
      <c r="F4083" s="953"/>
      <c r="G4083" s="953"/>
      <c r="H4083" s="953"/>
    </row>
    <row r="4084" spans="1:8" s="943" customFormat="1" x14ac:dyDescent="0.25">
      <c r="A4084" s="952"/>
      <c r="B4084" s="953"/>
      <c r="C4084" s="953"/>
      <c r="D4084" s="953"/>
      <c r="E4084" s="953"/>
      <c r="F4084" s="953"/>
      <c r="G4084" s="953"/>
      <c r="H4084" s="953"/>
    </row>
    <row r="4085" spans="1:8" s="943" customFormat="1" x14ac:dyDescent="0.25">
      <c r="A4085" s="952"/>
      <c r="B4085" s="953"/>
      <c r="C4085" s="953"/>
      <c r="D4085" s="953"/>
      <c r="E4085" s="953"/>
      <c r="F4085" s="953"/>
      <c r="G4085" s="953"/>
      <c r="H4085" s="953"/>
    </row>
    <row r="4086" spans="1:8" s="943" customFormat="1" x14ac:dyDescent="0.25">
      <c r="A4086" s="952"/>
      <c r="B4086" s="953"/>
      <c r="C4086" s="953"/>
      <c r="D4086" s="953"/>
      <c r="E4086" s="953"/>
      <c r="F4086" s="953"/>
      <c r="G4086" s="953"/>
      <c r="H4086" s="953"/>
    </row>
    <row r="4087" spans="1:8" s="943" customFormat="1" x14ac:dyDescent="0.25">
      <c r="A4087" s="952"/>
      <c r="B4087" s="953"/>
      <c r="C4087" s="953"/>
      <c r="D4087" s="953"/>
      <c r="E4087" s="953"/>
      <c r="F4087" s="953"/>
      <c r="G4087" s="953"/>
      <c r="H4087" s="953"/>
    </row>
    <row r="4088" spans="1:8" s="943" customFormat="1" x14ac:dyDescent="0.25">
      <c r="A4088" s="952"/>
      <c r="B4088" s="953"/>
      <c r="C4088" s="953"/>
      <c r="D4088" s="953"/>
      <c r="E4088" s="953"/>
      <c r="F4088" s="953"/>
      <c r="G4088" s="953"/>
      <c r="H4088" s="953"/>
    </row>
    <row r="4089" spans="1:8" s="943" customFormat="1" x14ac:dyDescent="0.25">
      <c r="A4089" s="952"/>
      <c r="B4089" s="953"/>
      <c r="C4089" s="953"/>
      <c r="D4089" s="953"/>
      <c r="E4089" s="953"/>
      <c r="F4089" s="953"/>
      <c r="G4089" s="953"/>
      <c r="H4089" s="953"/>
    </row>
    <row r="4090" spans="1:8" s="943" customFormat="1" x14ac:dyDescent="0.25">
      <c r="A4090" s="952"/>
      <c r="B4090" s="953"/>
      <c r="C4090" s="953"/>
      <c r="D4090" s="953"/>
      <c r="E4090" s="953"/>
      <c r="F4090" s="953"/>
      <c r="G4090" s="953"/>
      <c r="H4090" s="953"/>
    </row>
    <row r="4091" spans="1:8" s="943" customFormat="1" x14ac:dyDescent="0.25">
      <c r="A4091" s="952"/>
      <c r="B4091" s="953"/>
      <c r="C4091" s="953"/>
      <c r="D4091" s="953"/>
      <c r="E4091" s="953"/>
      <c r="F4091" s="953"/>
      <c r="G4091" s="953"/>
      <c r="H4091" s="953"/>
    </row>
    <row r="4092" spans="1:8" s="943" customFormat="1" x14ac:dyDescent="0.25">
      <c r="A4092" s="952"/>
      <c r="B4092" s="953"/>
      <c r="C4092" s="953"/>
      <c r="D4092" s="953"/>
      <c r="E4092" s="953"/>
      <c r="F4092" s="953"/>
      <c r="G4092" s="953"/>
      <c r="H4092" s="953"/>
    </row>
    <row r="4093" spans="1:8" s="943" customFormat="1" x14ac:dyDescent="0.25">
      <c r="A4093" s="952"/>
      <c r="B4093" s="953"/>
      <c r="C4093" s="953"/>
      <c r="D4093" s="953"/>
      <c r="E4093" s="953"/>
      <c r="F4093" s="953"/>
      <c r="G4093" s="953"/>
      <c r="H4093" s="953"/>
    </row>
    <row r="4094" spans="1:8" s="943" customFormat="1" x14ac:dyDescent="0.25">
      <c r="A4094" s="952"/>
      <c r="B4094" s="953"/>
      <c r="C4094" s="953"/>
      <c r="D4094" s="953"/>
      <c r="E4094" s="953"/>
      <c r="F4094" s="953"/>
      <c r="G4094" s="953"/>
      <c r="H4094" s="953"/>
    </row>
    <row r="4095" spans="1:8" s="943" customFormat="1" x14ac:dyDescent="0.25">
      <c r="A4095" s="952"/>
      <c r="B4095" s="953"/>
      <c r="C4095" s="953"/>
      <c r="D4095" s="953"/>
      <c r="E4095" s="953"/>
      <c r="F4095" s="953"/>
      <c r="G4095" s="953"/>
      <c r="H4095" s="953"/>
    </row>
    <row r="4096" spans="1:8" s="943" customFormat="1" x14ac:dyDescent="0.25">
      <c r="A4096" s="952"/>
      <c r="B4096" s="953"/>
      <c r="C4096" s="953"/>
      <c r="D4096" s="953"/>
      <c r="E4096" s="953"/>
      <c r="F4096" s="953"/>
      <c r="G4096" s="953"/>
      <c r="H4096" s="953"/>
    </row>
    <row r="4097" spans="1:8" s="943" customFormat="1" x14ac:dyDescent="0.25">
      <c r="A4097" s="952"/>
      <c r="B4097" s="953"/>
      <c r="C4097" s="953"/>
      <c r="D4097" s="953"/>
      <c r="E4097" s="953"/>
      <c r="F4097" s="953"/>
      <c r="G4097" s="953"/>
      <c r="H4097" s="953"/>
    </row>
    <row r="4098" spans="1:8" s="943" customFormat="1" x14ac:dyDescent="0.25">
      <c r="A4098" s="952"/>
      <c r="B4098" s="953"/>
      <c r="C4098" s="953"/>
      <c r="D4098" s="953"/>
      <c r="E4098" s="953"/>
      <c r="F4098" s="953"/>
      <c r="G4098" s="953"/>
      <c r="H4098" s="953"/>
    </row>
    <row r="4099" spans="1:8" s="943" customFormat="1" x14ac:dyDescent="0.25">
      <c r="A4099" s="952"/>
      <c r="B4099" s="953"/>
      <c r="C4099" s="953"/>
      <c r="D4099" s="953"/>
      <c r="E4099" s="953"/>
      <c r="F4099" s="953"/>
      <c r="G4099" s="953"/>
      <c r="H4099" s="953"/>
    </row>
    <row r="4100" spans="1:8" s="943" customFormat="1" x14ac:dyDescent="0.25">
      <c r="A4100" s="952"/>
      <c r="B4100" s="953"/>
      <c r="C4100" s="953"/>
      <c r="D4100" s="953"/>
      <c r="E4100" s="953"/>
      <c r="F4100" s="953"/>
      <c r="G4100" s="953"/>
      <c r="H4100" s="953"/>
    </row>
    <row r="4101" spans="1:8" s="943" customFormat="1" x14ac:dyDescent="0.25">
      <c r="A4101" s="952"/>
      <c r="B4101" s="953"/>
      <c r="C4101" s="953"/>
      <c r="D4101" s="953"/>
      <c r="E4101" s="953"/>
      <c r="F4101" s="953"/>
      <c r="G4101" s="953"/>
      <c r="H4101" s="953"/>
    </row>
    <row r="4102" spans="1:8" s="943" customFormat="1" x14ac:dyDescent="0.25">
      <c r="A4102" s="952"/>
      <c r="B4102" s="953"/>
      <c r="C4102" s="953"/>
      <c r="D4102" s="953"/>
      <c r="E4102" s="953"/>
      <c r="F4102" s="953"/>
      <c r="G4102" s="953"/>
      <c r="H4102" s="953"/>
    </row>
    <row r="4103" spans="1:8" s="943" customFormat="1" x14ac:dyDescent="0.25">
      <c r="A4103" s="952"/>
      <c r="B4103" s="953"/>
      <c r="C4103" s="953"/>
      <c r="D4103" s="953"/>
      <c r="E4103" s="953"/>
      <c r="F4103" s="953"/>
      <c r="G4103" s="953"/>
      <c r="H4103" s="953"/>
    </row>
    <row r="4104" spans="1:8" s="943" customFormat="1" x14ac:dyDescent="0.25">
      <c r="A4104" s="952"/>
      <c r="B4104" s="953"/>
      <c r="C4104" s="953"/>
      <c r="D4104" s="953"/>
      <c r="E4104" s="953"/>
      <c r="F4104" s="953"/>
      <c r="G4104" s="953"/>
      <c r="H4104" s="953"/>
    </row>
    <row r="4105" spans="1:8" s="943" customFormat="1" x14ac:dyDescent="0.25">
      <c r="A4105" s="952"/>
      <c r="B4105" s="953"/>
      <c r="C4105" s="953"/>
      <c r="D4105" s="953"/>
      <c r="E4105" s="953"/>
      <c r="F4105" s="953"/>
      <c r="G4105" s="953"/>
      <c r="H4105" s="953"/>
    </row>
    <row r="4106" spans="1:8" s="943" customFormat="1" x14ac:dyDescent="0.25">
      <c r="A4106" s="952"/>
      <c r="B4106" s="953"/>
      <c r="C4106" s="953"/>
      <c r="D4106" s="953"/>
      <c r="E4106" s="953"/>
      <c r="F4106" s="953"/>
      <c r="G4106" s="953"/>
      <c r="H4106" s="953"/>
    </row>
    <row r="4107" spans="1:8" s="943" customFormat="1" x14ac:dyDescent="0.25">
      <c r="A4107" s="952"/>
      <c r="B4107" s="953"/>
      <c r="C4107" s="953"/>
      <c r="D4107" s="953"/>
      <c r="E4107" s="953"/>
      <c r="F4107" s="953"/>
      <c r="G4107" s="953"/>
      <c r="H4107" s="953"/>
    </row>
    <row r="4108" spans="1:8" s="943" customFormat="1" x14ac:dyDescent="0.25">
      <c r="A4108" s="952"/>
      <c r="B4108" s="953"/>
      <c r="C4108" s="953"/>
      <c r="D4108" s="953"/>
      <c r="E4108" s="953"/>
      <c r="F4108" s="953"/>
      <c r="G4108" s="953"/>
      <c r="H4108" s="953"/>
    </row>
    <row r="4109" spans="1:8" s="943" customFormat="1" x14ac:dyDescent="0.25">
      <c r="A4109" s="952"/>
      <c r="B4109" s="953"/>
      <c r="C4109" s="953"/>
      <c r="D4109" s="953"/>
      <c r="E4109" s="953"/>
      <c r="F4109" s="953"/>
      <c r="G4109" s="953"/>
      <c r="H4109" s="953"/>
    </row>
    <row r="4110" spans="1:8" s="943" customFormat="1" x14ac:dyDescent="0.25">
      <c r="A4110" s="952"/>
      <c r="B4110" s="953"/>
      <c r="C4110" s="953"/>
      <c r="D4110" s="953"/>
      <c r="E4110" s="953"/>
      <c r="F4110" s="953"/>
      <c r="G4110" s="953"/>
      <c r="H4110" s="953"/>
    </row>
    <row r="4111" spans="1:8" s="943" customFormat="1" x14ac:dyDescent="0.25">
      <c r="A4111" s="952"/>
      <c r="B4111" s="953"/>
      <c r="C4111" s="953"/>
      <c r="D4111" s="953"/>
      <c r="E4111" s="953"/>
      <c r="F4111" s="953"/>
      <c r="G4111" s="953"/>
      <c r="H4111" s="953"/>
    </row>
    <row r="4112" spans="1:8" s="943" customFormat="1" x14ac:dyDescent="0.25">
      <c r="A4112" s="952"/>
      <c r="B4112" s="953"/>
      <c r="C4112" s="953"/>
      <c r="D4112" s="953"/>
      <c r="E4112" s="953"/>
      <c r="F4112" s="953"/>
      <c r="G4112" s="953"/>
      <c r="H4112" s="953"/>
    </row>
    <row r="4113" spans="1:8" s="943" customFormat="1" x14ac:dyDescent="0.25">
      <c r="A4113" s="952"/>
      <c r="B4113" s="953"/>
      <c r="C4113" s="953"/>
      <c r="D4113" s="953"/>
      <c r="E4113" s="953"/>
      <c r="F4113" s="953"/>
      <c r="G4113" s="953"/>
      <c r="H4113" s="953"/>
    </row>
    <row r="4114" spans="1:8" s="943" customFormat="1" x14ac:dyDescent="0.25">
      <c r="A4114" s="952"/>
      <c r="B4114" s="953"/>
      <c r="C4114" s="953"/>
      <c r="D4114" s="953"/>
      <c r="E4114" s="953"/>
      <c r="F4114" s="953"/>
      <c r="G4114" s="953"/>
      <c r="H4114" s="953"/>
    </row>
    <row r="4115" spans="1:8" s="943" customFormat="1" x14ac:dyDescent="0.25">
      <c r="A4115" s="952"/>
      <c r="B4115" s="953"/>
      <c r="C4115" s="953"/>
      <c r="D4115" s="953"/>
      <c r="E4115" s="953"/>
      <c r="F4115" s="953"/>
      <c r="G4115" s="953"/>
      <c r="H4115" s="953"/>
    </row>
    <row r="4116" spans="1:8" s="943" customFormat="1" x14ac:dyDescent="0.25">
      <c r="A4116" s="952"/>
      <c r="B4116" s="953"/>
      <c r="C4116" s="953"/>
      <c r="D4116" s="953"/>
      <c r="E4116" s="953"/>
      <c r="F4116" s="953"/>
      <c r="G4116" s="953"/>
      <c r="H4116" s="953"/>
    </row>
    <row r="4117" spans="1:8" s="943" customFormat="1" x14ac:dyDescent="0.25">
      <c r="A4117" s="952"/>
      <c r="B4117" s="953"/>
      <c r="C4117" s="953"/>
      <c r="D4117" s="953"/>
      <c r="E4117" s="953"/>
      <c r="F4117" s="953"/>
      <c r="G4117" s="953"/>
      <c r="H4117" s="953"/>
    </row>
    <row r="4118" spans="1:8" s="943" customFormat="1" x14ac:dyDescent="0.25">
      <c r="A4118" s="952"/>
      <c r="B4118" s="953"/>
      <c r="C4118" s="953"/>
      <c r="D4118" s="953"/>
      <c r="E4118" s="953"/>
      <c r="F4118" s="953"/>
      <c r="G4118" s="953"/>
      <c r="H4118" s="953"/>
    </row>
    <row r="4119" spans="1:8" s="943" customFormat="1" x14ac:dyDescent="0.25">
      <c r="A4119" s="952"/>
      <c r="B4119" s="953"/>
      <c r="C4119" s="953"/>
      <c r="D4119" s="953"/>
      <c r="E4119" s="953"/>
      <c r="F4119" s="953"/>
      <c r="G4119" s="953"/>
      <c r="H4119" s="953"/>
    </row>
    <row r="4120" spans="1:8" s="943" customFormat="1" x14ac:dyDescent="0.25">
      <c r="A4120" s="952"/>
      <c r="B4120" s="953"/>
      <c r="C4120" s="953"/>
      <c r="D4120" s="953"/>
      <c r="E4120" s="953"/>
      <c r="F4120" s="953"/>
      <c r="G4120" s="953"/>
      <c r="H4120" s="953"/>
    </row>
    <row r="4121" spans="1:8" s="943" customFormat="1" x14ac:dyDescent="0.25">
      <c r="A4121" s="952"/>
      <c r="B4121" s="953"/>
      <c r="C4121" s="953"/>
      <c r="D4121" s="953"/>
      <c r="E4121" s="953"/>
      <c r="F4121" s="953"/>
      <c r="G4121" s="953"/>
      <c r="H4121" s="953"/>
    </row>
    <row r="4122" spans="1:8" s="943" customFormat="1" x14ac:dyDescent="0.25">
      <c r="A4122" s="952"/>
      <c r="B4122" s="953"/>
      <c r="C4122" s="953"/>
      <c r="D4122" s="953"/>
      <c r="E4122" s="953"/>
      <c r="F4122" s="953"/>
      <c r="G4122" s="953"/>
      <c r="H4122" s="953"/>
    </row>
    <row r="4123" spans="1:8" s="943" customFormat="1" x14ac:dyDescent="0.25">
      <c r="A4123" s="952"/>
      <c r="B4123" s="953"/>
      <c r="C4123" s="953"/>
      <c r="D4123" s="953"/>
      <c r="E4123" s="953"/>
      <c r="F4123" s="953"/>
      <c r="G4123" s="953"/>
      <c r="H4123" s="953"/>
    </row>
    <row r="4124" spans="1:8" s="943" customFormat="1" x14ac:dyDescent="0.25">
      <c r="A4124" s="952"/>
      <c r="B4124" s="953"/>
      <c r="C4124" s="953"/>
      <c r="D4124" s="953"/>
      <c r="E4124" s="953"/>
      <c r="F4124" s="953"/>
      <c r="G4124" s="953"/>
      <c r="H4124" s="953"/>
    </row>
    <row r="4125" spans="1:8" s="943" customFormat="1" x14ac:dyDescent="0.25">
      <c r="A4125" s="952"/>
      <c r="B4125" s="953"/>
      <c r="C4125" s="953"/>
      <c r="D4125" s="953"/>
      <c r="E4125" s="953"/>
      <c r="F4125" s="953"/>
      <c r="G4125" s="953"/>
      <c r="H4125" s="953"/>
    </row>
    <row r="4126" spans="1:8" s="943" customFormat="1" x14ac:dyDescent="0.25">
      <c r="A4126" s="952"/>
      <c r="B4126" s="953"/>
      <c r="C4126" s="953"/>
      <c r="D4126" s="953"/>
      <c r="E4126" s="953"/>
      <c r="F4126" s="953"/>
      <c r="G4126" s="953"/>
      <c r="H4126" s="953"/>
    </row>
    <row r="4127" spans="1:8" s="943" customFormat="1" x14ac:dyDescent="0.25">
      <c r="A4127" s="952"/>
      <c r="B4127" s="953"/>
      <c r="C4127" s="953"/>
      <c r="D4127" s="953"/>
      <c r="E4127" s="953"/>
      <c r="F4127" s="953"/>
      <c r="G4127" s="953"/>
      <c r="H4127" s="953"/>
    </row>
    <row r="4128" spans="1:8" s="943" customFormat="1" x14ac:dyDescent="0.25">
      <c r="A4128" s="952"/>
      <c r="B4128" s="953"/>
      <c r="C4128" s="953"/>
      <c r="D4128" s="953"/>
      <c r="E4128" s="953"/>
      <c r="F4128" s="953"/>
      <c r="G4128" s="953"/>
      <c r="H4128" s="953"/>
    </row>
    <row r="4129" spans="1:8" s="943" customFormat="1" x14ac:dyDescent="0.25">
      <c r="A4129" s="952"/>
      <c r="B4129" s="953"/>
      <c r="C4129" s="953"/>
      <c r="D4129" s="953"/>
      <c r="E4129" s="953"/>
      <c r="F4129" s="953"/>
      <c r="G4129" s="953"/>
      <c r="H4129" s="953"/>
    </row>
    <row r="4130" spans="1:8" s="943" customFormat="1" x14ac:dyDescent="0.25">
      <c r="A4130" s="952"/>
      <c r="B4130" s="953"/>
      <c r="C4130" s="953"/>
      <c r="D4130" s="953"/>
      <c r="E4130" s="953"/>
      <c r="F4130" s="953"/>
      <c r="G4130" s="953"/>
      <c r="H4130" s="953"/>
    </row>
    <row r="4131" spans="1:8" s="943" customFormat="1" x14ac:dyDescent="0.25">
      <c r="A4131" s="952"/>
      <c r="B4131" s="953"/>
      <c r="C4131" s="953"/>
      <c r="D4131" s="953"/>
      <c r="E4131" s="953"/>
      <c r="F4131" s="953"/>
      <c r="G4131" s="953"/>
      <c r="H4131" s="953"/>
    </row>
    <row r="4132" spans="1:8" s="943" customFormat="1" x14ac:dyDescent="0.25">
      <c r="A4132" s="952"/>
      <c r="B4132" s="953"/>
      <c r="C4132" s="953"/>
      <c r="D4132" s="953"/>
      <c r="E4132" s="953"/>
      <c r="F4132" s="953"/>
      <c r="G4132" s="953"/>
      <c r="H4132" s="953"/>
    </row>
    <row r="4133" spans="1:8" s="943" customFormat="1" x14ac:dyDescent="0.25">
      <c r="A4133" s="952"/>
      <c r="B4133" s="953"/>
      <c r="C4133" s="953"/>
      <c r="D4133" s="953"/>
      <c r="E4133" s="953"/>
      <c r="F4133" s="953"/>
      <c r="G4133" s="953"/>
      <c r="H4133" s="953"/>
    </row>
    <row r="4134" spans="1:8" s="943" customFormat="1" x14ac:dyDescent="0.25">
      <c r="A4134" s="952"/>
      <c r="B4134" s="953"/>
      <c r="C4134" s="953"/>
      <c r="D4134" s="953"/>
      <c r="E4134" s="953"/>
      <c r="F4134" s="953"/>
      <c r="G4134" s="953"/>
      <c r="H4134" s="953"/>
    </row>
    <row r="4135" spans="1:8" s="943" customFormat="1" x14ac:dyDescent="0.25">
      <c r="A4135" s="952"/>
      <c r="B4135" s="953"/>
      <c r="C4135" s="953"/>
      <c r="D4135" s="953"/>
      <c r="E4135" s="953"/>
      <c r="F4135" s="953"/>
      <c r="G4135" s="953"/>
      <c r="H4135" s="953"/>
    </row>
    <row r="4136" spans="1:8" s="943" customFormat="1" x14ac:dyDescent="0.25">
      <c r="A4136" s="952"/>
      <c r="B4136" s="953"/>
      <c r="C4136" s="953"/>
      <c r="D4136" s="953"/>
      <c r="E4136" s="953"/>
      <c r="F4136" s="953"/>
      <c r="G4136" s="953"/>
      <c r="H4136" s="953"/>
    </row>
    <row r="4137" spans="1:8" s="943" customFormat="1" x14ac:dyDescent="0.25">
      <c r="A4137" s="952"/>
      <c r="B4137" s="953"/>
      <c r="C4137" s="953"/>
      <c r="D4137" s="953"/>
      <c r="E4137" s="953"/>
      <c r="F4137" s="953"/>
      <c r="G4137" s="953"/>
      <c r="H4137" s="953"/>
    </row>
    <row r="4138" spans="1:8" s="943" customFormat="1" x14ac:dyDescent="0.25">
      <c r="A4138" s="952"/>
      <c r="B4138" s="953"/>
      <c r="C4138" s="953"/>
      <c r="D4138" s="953"/>
      <c r="E4138" s="953"/>
      <c r="F4138" s="953"/>
      <c r="G4138" s="953"/>
      <c r="H4138" s="953"/>
    </row>
    <row r="4139" spans="1:8" s="943" customFormat="1" x14ac:dyDescent="0.25">
      <c r="A4139" s="952"/>
      <c r="B4139" s="953"/>
      <c r="C4139" s="953"/>
      <c r="D4139" s="953"/>
      <c r="E4139" s="953"/>
      <c r="F4139" s="953"/>
      <c r="G4139" s="953"/>
      <c r="H4139" s="953"/>
    </row>
    <row r="4140" spans="1:8" s="943" customFormat="1" x14ac:dyDescent="0.25">
      <c r="A4140" s="952"/>
      <c r="B4140" s="953"/>
      <c r="C4140" s="953"/>
      <c r="D4140" s="953"/>
      <c r="E4140" s="953"/>
      <c r="F4140" s="953"/>
      <c r="G4140" s="953"/>
      <c r="H4140" s="953"/>
    </row>
    <row r="4141" spans="1:8" s="943" customFormat="1" x14ac:dyDescent="0.25">
      <c r="A4141" s="952"/>
      <c r="B4141" s="953"/>
      <c r="C4141" s="953"/>
      <c r="D4141" s="953"/>
      <c r="E4141" s="953"/>
      <c r="F4141" s="953"/>
      <c r="G4141" s="953"/>
      <c r="H4141" s="953"/>
    </row>
    <row r="4142" spans="1:8" s="943" customFormat="1" x14ac:dyDescent="0.25">
      <c r="A4142" s="952"/>
      <c r="B4142" s="953"/>
      <c r="C4142" s="953"/>
      <c r="D4142" s="953"/>
      <c r="E4142" s="953"/>
      <c r="F4142" s="953"/>
      <c r="G4142" s="953"/>
      <c r="H4142" s="953"/>
    </row>
    <row r="4143" spans="1:8" s="943" customFormat="1" x14ac:dyDescent="0.25">
      <c r="A4143" s="952"/>
      <c r="B4143" s="953"/>
      <c r="C4143" s="953"/>
      <c r="D4143" s="953"/>
      <c r="E4143" s="953"/>
      <c r="F4143" s="953"/>
      <c r="G4143" s="953"/>
      <c r="H4143" s="953"/>
    </row>
    <row r="4144" spans="1:8" s="943" customFormat="1" x14ac:dyDescent="0.25">
      <c r="A4144" s="952"/>
      <c r="B4144" s="953"/>
      <c r="C4144" s="953"/>
      <c r="D4144" s="953"/>
      <c r="E4144" s="953"/>
      <c r="F4144" s="953"/>
      <c r="G4144" s="953"/>
      <c r="H4144" s="953"/>
    </row>
    <row r="4145" spans="1:8" s="943" customFormat="1" x14ac:dyDescent="0.25">
      <c r="A4145" s="952"/>
      <c r="B4145" s="953"/>
      <c r="C4145" s="953"/>
      <c r="D4145" s="953"/>
      <c r="E4145" s="953"/>
      <c r="F4145" s="953"/>
      <c r="G4145" s="953"/>
      <c r="H4145" s="953"/>
    </row>
    <row r="4146" spans="1:8" s="943" customFormat="1" x14ac:dyDescent="0.25">
      <c r="A4146" s="952"/>
      <c r="B4146" s="953"/>
      <c r="C4146" s="953"/>
      <c r="D4146" s="953"/>
      <c r="E4146" s="953"/>
      <c r="F4146" s="953"/>
      <c r="G4146" s="953"/>
      <c r="H4146" s="953"/>
    </row>
    <row r="4147" spans="1:8" s="943" customFormat="1" x14ac:dyDescent="0.25">
      <c r="A4147" s="952"/>
      <c r="B4147" s="953"/>
      <c r="C4147" s="953"/>
      <c r="D4147" s="953"/>
      <c r="E4147" s="953"/>
      <c r="F4147" s="953"/>
      <c r="G4147" s="953"/>
      <c r="H4147" s="953"/>
    </row>
    <row r="4148" spans="1:8" s="943" customFormat="1" x14ac:dyDescent="0.25">
      <c r="A4148" s="952"/>
      <c r="B4148" s="953"/>
      <c r="C4148" s="953"/>
      <c r="D4148" s="953"/>
      <c r="E4148" s="953"/>
      <c r="F4148" s="953"/>
      <c r="G4148" s="953"/>
      <c r="H4148" s="953"/>
    </row>
    <row r="4149" spans="1:8" s="943" customFormat="1" x14ac:dyDescent="0.25">
      <c r="A4149" s="952"/>
      <c r="B4149" s="953"/>
      <c r="C4149" s="953"/>
      <c r="D4149" s="953"/>
      <c r="E4149" s="953"/>
      <c r="F4149" s="953"/>
      <c r="G4149" s="953"/>
      <c r="H4149" s="953"/>
    </row>
    <row r="4150" spans="1:8" s="943" customFormat="1" x14ac:dyDescent="0.25">
      <c r="A4150" s="952"/>
      <c r="B4150" s="953"/>
      <c r="C4150" s="953"/>
      <c r="D4150" s="953"/>
      <c r="E4150" s="953"/>
      <c r="F4150" s="953"/>
      <c r="G4150" s="953"/>
      <c r="H4150" s="953"/>
    </row>
    <row r="4151" spans="1:8" s="943" customFormat="1" x14ac:dyDescent="0.25">
      <c r="A4151" s="952"/>
      <c r="B4151" s="953"/>
      <c r="C4151" s="953"/>
      <c r="D4151" s="953"/>
      <c r="E4151" s="953"/>
      <c r="F4151" s="953"/>
      <c r="G4151" s="953"/>
      <c r="H4151" s="953"/>
    </row>
    <row r="4152" spans="1:8" s="943" customFormat="1" x14ac:dyDescent="0.25">
      <c r="A4152" s="952"/>
      <c r="B4152" s="953"/>
      <c r="C4152" s="953"/>
      <c r="D4152" s="953"/>
      <c r="E4152" s="953"/>
      <c r="F4152" s="953"/>
      <c r="G4152" s="953"/>
      <c r="H4152" s="953"/>
    </row>
    <row r="4153" spans="1:8" s="943" customFormat="1" x14ac:dyDescent="0.25">
      <c r="A4153" s="952"/>
      <c r="B4153" s="953"/>
      <c r="C4153" s="953"/>
      <c r="D4153" s="953"/>
      <c r="E4153" s="953"/>
      <c r="F4153" s="953"/>
      <c r="G4153" s="953"/>
      <c r="H4153" s="953"/>
    </row>
    <row r="4154" spans="1:8" s="943" customFormat="1" x14ac:dyDescent="0.25">
      <c r="A4154" s="952"/>
      <c r="B4154" s="953"/>
      <c r="C4154" s="953"/>
      <c r="D4154" s="953"/>
      <c r="E4154" s="953"/>
      <c r="F4154" s="953"/>
      <c r="G4154" s="953"/>
      <c r="H4154" s="953"/>
    </row>
    <row r="4155" spans="1:8" s="943" customFormat="1" x14ac:dyDescent="0.25">
      <c r="A4155" s="952"/>
      <c r="B4155" s="953"/>
      <c r="C4155" s="953"/>
      <c r="D4155" s="953"/>
      <c r="E4155" s="953"/>
      <c r="F4155" s="953"/>
      <c r="G4155" s="953"/>
      <c r="H4155" s="953"/>
    </row>
    <row r="4156" spans="1:8" s="943" customFormat="1" x14ac:dyDescent="0.25">
      <c r="A4156" s="952"/>
      <c r="B4156" s="953"/>
      <c r="C4156" s="953"/>
      <c r="D4156" s="953"/>
      <c r="E4156" s="953"/>
      <c r="F4156" s="953"/>
      <c r="G4156" s="953"/>
      <c r="H4156" s="953"/>
    </row>
    <row r="4157" spans="1:8" s="943" customFormat="1" x14ac:dyDescent="0.25">
      <c r="A4157" s="952"/>
      <c r="B4157" s="953"/>
      <c r="C4157" s="953"/>
      <c r="D4157" s="953"/>
      <c r="E4157" s="953"/>
      <c r="F4157" s="953"/>
      <c r="G4157" s="953"/>
      <c r="H4157" s="953"/>
    </row>
    <row r="4158" spans="1:8" s="943" customFormat="1" x14ac:dyDescent="0.25">
      <c r="A4158" s="952"/>
      <c r="B4158" s="953"/>
      <c r="C4158" s="953"/>
      <c r="D4158" s="953"/>
      <c r="E4158" s="953"/>
      <c r="F4158" s="953"/>
      <c r="G4158" s="953"/>
      <c r="H4158" s="953"/>
    </row>
    <row r="4159" spans="1:8" s="943" customFormat="1" x14ac:dyDescent="0.25">
      <c r="A4159" s="952"/>
      <c r="B4159" s="953"/>
      <c r="C4159" s="953"/>
      <c r="D4159" s="953"/>
      <c r="E4159" s="953"/>
      <c r="F4159" s="953"/>
      <c r="G4159" s="953"/>
      <c r="H4159" s="953"/>
    </row>
    <row r="4160" spans="1:8" s="943" customFormat="1" x14ac:dyDescent="0.25">
      <c r="A4160" s="952"/>
      <c r="B4160" s="953"/>
      <c r="C4160" s="953"/>
      <c r="D4160" s="953"/>
      <c r="E4160" s="953"/>
      <c r="F4160" s="953"/>
      <c r="G4160" s="953"/>
      <c r="H4160" s="953"/>
    </row>
    <row r="4161" spans="1:8" s="943" customFormat="1" x14ac:dyDescent="0.25">
      <c r="A4161" s="952"/>
      <c r="B4161" s="953"/>
      <c r="C4161" s="953"/>
      <c r="D4161" s="953"/>
      <c r="E4161" s="953"/>
      <c r="F4161" s="953"/>
      <c r="G4161" s="953"/>
      <c r="H4161" s="953"/>
    </row>
    <row r="4162" spans="1:8" s="943" customFormat="1" x14ac:dyDescent="0.25">
      <c r="A4162" s="952"/>
      <c r="B4162" s="953"/>
      <c r="C4162" s="953"/>
      <c r="D4162" s="953"/>
      <c r="E4162" s="953"/>
      <c r="F4162" s="953"/>
      <c r="G4162" s="953"/>
      <c r="H4162" s="953"/>
    </row>
    <row r="4163" spans="1:8" s="943" customFormat="1" x14ac:dyDescent="0.25">
      <c r="A4163" s="952"/>
      <c r="B4163" s="953"/>
      <c r="C4163" s="953"/>
      <c r="D4163" s="953"/>
      <c r="E4163" s="953"/>
      <c r="F4163" s="953"/>
      <c r="G4163" s="953"/>
      <c r="H4163" s="953"/>
    </row>
    <row r="4164" spans="1:8" s="943" customFormat="1" x14ac:dyDescent="0.25">
      <c r="A4164" s="952"/>
      <c r="B4164" s="953"/>
      <c r="C4164" s="953"/>
      <c r="D4164" s="953"/>
      <c r="E4164" s="953"/>
      <c r="F4164" s="953"/>
      <c r="G4164" s="953"/>
      <c r="H4164" s="953"/>
    </row>
    <row r="4165" spans="1:8" s="943" customFormat="1" x14ac:dyDescent="0.25">
      <c r="A4165" s="952"/>
      <c r="B4165" s="953"/>
      <c r="C4165" s="953"/>
      <c r="D4165" s="953"/>
      <c r="E4165" s="953"/>
      <c r="F4165" s="953"/>
      <c r="G4165" s="953"/>
      <c r="H4165" s="953"/>
    </row>
    <row r="4166" spans="1:8" s="943" customFormat="1" x14ac:dyDescent="0.25">
      <c r="A4166" s="952"/>
      <c r="B4166" s="953"/>
      <c r="C4166" s="953"/>
      <c r="D4166" s="953"/>
      <c r="E4166" s="953"/>
      <c r="F4166" s="953"/>
      <c r="G4166" s="953"/>
      <c r="H4166" s="953"/>
    </row>
    <row r="4167" spans="1:8" s="943" customFormat="1" x14ac:dyDescent="0.25">
      <c r="A4167" s="952"/>
      <c r="B4167" s="953"/>
      <c r="C4167" s="953"/>
      <c r="D4167" s="953"/>
      <c r="E4167" s="953"/>
      <c r="F4167" s="953"/>
      <c r="G4167" s="953"/>
      <c r="H4167" s="953"/>
    </row>
    <row r="4168" spans="1:8" s="943" customFormat="1" x14ac:dyDescent="0.25">
      <c r="A4168" s="952"/>
      <c r="B4168" s="953"/>
      <c r="C4168" s="953"/>
      <c r="D4168" s="953"/>
      <c r="E4168" s="953"/>
      <c r="F4168" s="953"/>
      <c r="G4168" s="953"/>
      <c r="H4168" s="953"/>
    </row>
    <row r="4169" spans="1:8" s="943" customFormat="1" x14ac:dyDescent="0.25">
      <c r="A4169" s="952"/>
      <c r="B4169" s="953"/>
      <c r="C4169" s="953"/>
      <c r="D4169" s="953"/>
      <c r="E4169" s="953"/>
      <c r="F4169" s="953"/>
      <c r="G4169" s="953"/>
      <c r="H4169" s="953"/>
    </row>
    <row r="4170" spans="1:8" s="943" customFormat="1" x14ac:dyDescent="0.25">
      <c r="A4170" s="952"/>
      <c r="B4170" s="953"/>
      <c r="C4170" s="953"/>
      <c r="D4170" s="953"/>
      <c r="E4170" s="953"/>
      <c r="F4170" s="953"/>
      <c r="G4170" s="953"/>
      <c r="H4170" s="953"/>
    </row>
    <row r="4171" spans="1:8" s="943" customFormat="1" x14ac:dyDescent="0.25">
      <c r="A4171" s="952"/>
      <c r="B4171" s="953"/>
      <c r="C4171" s="953"/>
      <c r="D4171" s="953"/>
      <c r="E4171" s="953"/>
      <c r="F4171" s="953"/>
      <c r="G4171" s="953"/>
      <c r="H4171" s="953"/>
    </row>
    <row r="4172" spans="1:8" s="943" customFormat="1" x14ac:dyDescent="0.25">
      <c r="A4172" s="952"/>
      <c r="B4172" s="953"/>
      <c r="C4172" s="953"/>
      <c r="D4172" s="953"/>
      <c r="E4172" s="953"/>
      <c r="F4172" s="953"/>
      <c r="G4172" s="953"/>
      <c r="H4172" s="953"/>
    </row>
    <row r="4173" spans="1:8" s="943" customFormat="1" x14ac:dyDescent="0.25">
      <c r="A4173" s="952"/>
      <c r="B4173" s="953"/>
      <c r="C4173" s="953"/>
      <c r="D4173" s="953"/>
      <c r="E4173" s="953"/>
      <c r="F4173" s="953"/>
      <c r="G4173" s="953"/>
      <c r="H4173" s="953"/>
    </row>
    <row r="4174" spans="1:8" s="943" customFormat="1" x14ac:dyDescent="0.25">
      <c r="A4174" s="952"/>
      <c r="B4174" s="953"/>
      <c r="C4174" s="953"/>
      <c r="D4174" s="953"/>
      <c r="E4174" s="953"/>
      <c r="F4174" s="953"/>
      <c r="G4174" s="953"/>
      <c r="H4174" s="953"/>
    </row>
    <row r="4175" spans="1:8" s="943" customFormat="1" x14ac:dyDescent="0.25">
      <c r="A4175" s="952"/>
      <c r="B4175" s="953"/>
      <c r="C4175" s="953"/>
      <c r="D4175" s="953"/>
      <c r="E4175" s="953"/>
      <c r="F4175" s="953"/>
      <c r="G4175" s="953"/>
      <c r="H4175" s="953"/>
    </row>
    <row r="4176" spans="1:8" s="943" customFormat="1" x14ac:dyDescent="0.25">
      <c r="A4176" s="952"/>
      <c r="B4176" s="953"/>
      <c r="C4176" s="953"/>
      <c r="D4176" s="953"/>
      <c r="E4176" s="953"/>
      <c r="F4176" s="953"/>
      <c r="G4176" s="953"/>
      <c r="H4176" s="953"/>
    </row>
    <row r="4177" spans="1:8" s="943" customFormat="1" x14ac:dyDescent="0.25">
      <c r="A4177" s="952"/>
      <c r="B4177" s="953"/>
      <c r="C4177" s="953"/>
      <c r="D4177" s="953"/>
      <c r="E4177" s="953"/>
      <c r="F4177" s="953"/>
      <c r="G4177" s="953"/>
      <c r="H4177" s="953"/>
    </row>
    <row r="4178" spans="1:8" s="943" customFormat="1" x14ac:dyDescent="0.25">
      <c r="A4178" s="952"/>
      <c r="B4178" s="953"/>
      <c r="C4178" s="953"/>
      <c r="D4178" s="953"/>
      <c r="E4178" s="953"/>
      <c r="F4178" s="953"/>
      <c r="G4178" s="953"/>
      <c r="H4178" s="953"/>
    </row>
    <row r="4179" spans="1:8" s="943" customFormat="1" x14ac:dyDescent="0.25">
      <c r="A4179" s="952"/>
      <c r="B4179" s="953"/>
      <c r="C4179" s="953"/>
      <c r="D4179" s="953"/>
      <c r="E4179" s="953"/>
      <c r="F4179" s="953"/>
      <c r="G4179" s="953"/>
      <c r="H4179" s="953"/>
    </row>
    <row r="4180" spans="1:8" s="943" customFormat="1" x14ac:dyDescent="0.25">
      <c r="A4180" s="952"/>
      <c r="B4180" s="953"/>
      <c r="C4180" s="953"/>
      <c r="D4180" s="953"/>
      <c r="E4180" s="953"/>
      <c r="F4180" s="953"/>
      <c r="G4180" s="953"/>
      <c r="H4180" s="953"/>
    </row>
    <row r="4181" spans="1:8" s="943" customFormat="1" x14ac:dyDescent="0.25">
      <c r="A4181" s="952"/>
      <c r="B4181" s="953"/>
      <c r="C4181" s="953"/>
      <c r="D4181" s="953"/>
      <c r="E4181" s="953"/>
      <c r="F4181" s="953"/>
      <c r="G4181" s="953"/>
      <c r="H4181" s="953"/>
    </row>
    <row r="4182" spans="1:8" s="943" customFormat="1" x14ac:dyDescent="0.25">
      <c r="A4182" s="952"/>
      <c r="B4182" s="953"/>
      <c r="C4182" s="953"/>
      <c r="D4182" s="953"/>
      <c r="E4182" s="953"/>
      <c r="F4182" s="953"/>
      <c r="G4182" s="953"/>
      <c r="H4182" s="953"/>
    </row>
    <row r="4183" spans="1:8" s="943" customFormat="1" x14ac:dyDescent="0.25">
      <c r="A4183" s="952"/>
      <c r="B4183" s="953"/>
      <c r="C4183" s="953"/>
      <c r="D4183" s="953"/>
      <c r="E4183" s="953"/>
      <c r="F4183" s="953"/>
      <c r="G4183" s="953"/>
      <c r="H4183" s="953"/>
    </row>
    <row r="4184" spans="1:8" s="943" customFormat="1" x14ac:dyDescent="0.25">
      <c r="A4184" s="952"/>
      <c r="B4184" s="953"/>
      <c r="C4184" s="953"/>
      <c r="D4184" s="953"/>
      <c r="E4184" s="953"/>
      <c r="F4184" s="953"/>
      <c r="G4184" s="953"/>
      <c r="H4184" s="953"/>
    </row>
    <row r="4185" spans="1:8" s="943" customFormat="1" x14ac:dyDescent="0.25">
      <c r="A4185" s="952"/>
      <c r="B4185" s="953"/>
      <c r="C4185" s="953"/>
      <c r="D4185" s="953"/>
      <c r="E4185" s="953"/>
      <c r="F4185" s="953"/>
      <c r="G4185" s="953"/>
      <c r="H4185" s="953"/>
    </row>
    <row r="4186" spans="1:8" s="943" customFormat="1" x14ac:dyDescent="0.25">
      <c r="A4186" s="952"/>
      <c r="B4186" s="953"/>
      <c r="C4186" s="953"/>
      <c r="D4186" s="953"/>
      <c r="E4186" s="953"/>
      <c r="F4186" s="953"/>
      <c r="G4186" s="953"/>
      <c r="H4186" s="953"/>
    </row>
    <row r="4187" spans="1:8" s="943" customFormat="1" x14ac:dyDescent="0.25">
      <c r="A4187" s="952"/>
      <c r="B4187" s="953"/>
      <c r="C4187" s="953"/>
      <c r="D4187" s="953"/>
      <c r="E4187" s="953"/>
      <c r="F4187" s="953"/>
      <c r="G4187" s="953"/>
      <c r="H4187" s="953"/>
    </row>
    <row r="4188" spans="1:8" s="943" customFormat="1" x14ac:dyDescent="0.25">
      <c r="A4188" s="952"/>
      <c r="B4188" s="953"/>
      <c r="C4188" s="953"/>
      <c r="D4188" s="953"/>
      <c r="E4188" s="953"/>
      <c r="F4188" s="953"/>
      <c r="G4188" s="953"/>
      <c r="H4188" s="953"/>
    </row>
    <row r="4189" spans="1:8" s="943" customFormat="1" x14ac:dyDescent="0.25">
      <c r="A4189" s="952"/>
      <c r="B4189" s="953"/>
      <c r="C4189" s="953"/>
      <c r="D4189" s="953"/>
      <c r="E4189" s="953"/>
      <c r="F4189" s="953"/>
      <c r="G4189" s="953"/>
      <c r="H4189" s="953"/>
    </row>
    <row r="4190" spans="1:8" s="943" customFormat="1" x14ac:dyDescent="0.25">
      <c r="A4190" s="952"/>
      <c r="B4190" s="953"/>
      <c r="C4190" s="953"/>
      <c r="D4190" s="953"/>
      <c r="E4190" s="953"/>
      <c r="F4190" s="953"/>
      <c r="G4190" s="953"/>
      <c r="H4190" s="953"/>
    </row>
    <row r="4191" spans="1:8" s="943" customFormat="1" x14ac:dyDescent="0.25">
      <c r="A4191" s="952"/>
      <c r="B4191" s="953"/>
      <c r="C4191" s="953"/>
      <c r="D4191" s="953"/>
      <c r="E4191" s="953"/>
      <c r="F4191" s="953"/>
      <c r="G4191" s="953"/>
      <c r="H4191" s="953"/>
    </row>
    <row r="4192" spans="1:8" s="943" customFormat="1" x14ac:dyDescent="0.25">
      <c r="A4192" s="952"/>
      <c r="B4192" s="953"/>
      <c r="C4192" s="953"/>
      <c r="D4192" s="953"/>
      <c r="E4192" s="953"/>
      <c r="F4192" s="953"/>
      <c r="G4192" s="953"/>
      <c r="H4192" s="953"/>
    </row>
    <row r="4193" spans="1:8" s="943" customFormat="1" x14ac:dyDescent="0.25">
      <c r="A4193" s="952"/>
      <c r="B4193" s="953"/>
      <c r="C4193" s="953"/>
      <c r="D4193" s="953"/>
      <c r="E4193" s="953"/>
      <c r="F4193" s="953"/>
      <c r="G4193" s="953"/>
      <c r="H4193" s="953"/>
    </row>
    <row r="4194" spans="1:8" s="943" customFormat="1" x14ac:dyDescent="0.25">
      <c r="A4194" s="952"/>
      <c r="B4194" s="953"/>
      <c r="C4194" s="953"/>
      <c r="D4194" s="953"/>
      <c r="E4194" s="953"/>
      <c r="F4194" s="953"/>
      <c r="G4194" s="953"/>
      <c r="H4194" s="953"/>
    </row>
    <row r="4195" spans="1:8" s="943" customFormat="1" x14ac:dyDescent="0.25">
      <c r="A4195" s="952"/>
      <c r="B4195" s="953"/>
      <c r="C4195" s="953"/>
      <c r="D4195" s="953"/>
      <c r="E4195" s="953"/>
      <c r="F4195" s="953"/>
      <c r="G4195" s="953"/>
      <c r="H4195" s="953"/>
    </row>
    <row r="4196" spans="1:8" s="943" customFormat="1" x14ac:dyDescent="0.25">
      <c r="A4196" s="952"/>
      <c r="B4196" s="953"/>
      <c r="C4196" s="953"/>
      <c r="D4196" s="953"/>
      <c r="E4196" s="953"/>
      <c r="F4196" s="953"/>
      <c r="G4196" s="953"/>
      <c r="H4196" s="953"/>
    </row>
    <row r="4197" spans="1:8" s="943" customFormat="1" x14ac:dyDescent="0.25">
      <c r="A4197" s="952"/>
      <c r="B4197" s="953"/>
      <c r="C4197" s="953"/>
      <c r="D4197" s="953"/>
      <c r="E4197" s="953"/>
      <c r="F4197" s="953"/>
      <c r="G4197" s="953"/>
      <c r="H4197" s="953"/>
    </row>
    <row r="4198" spans="1:8" s="943" customFormat="1" x14ac:dyDescent="0.25">
      <c r="A4198" s="952"/>
      <c r="B4198" s="953"/>
      <c r="C4198" s="953"/>
      <c r="D4198" s="953"/>
      <c r="E4198" s="953"/>
      <c r="F4198" s="953"/>
      <c r="G4198" s="953"/>
      <c r="H4198" s="953"/>
    </row>
    <row r="4199" spans="1:8" s="943" customFormat="1" x14ac:dyDescent="0.25">
      <c r="A4199" s="952"/>
      <c r="B4199" s="953"/>
      <c r="C4199" s="953"/>
      <c r="D4199" s="953"/>
      <c r="E4199" s="953"/>
      <c r="F4199" s="953"/>
      <c r="G4199" s="953"/>
      <c r="H4199" s="953"/>
    </row>
    <row r="4200" spans="1:8" s="943" customFormat="1" x14ac:dyDescent="0.25">
      <c r="A4200" s="952"/>
      <c r="B4200" s="953"/>
      <c r="C4200" s="953"/>
      <c r="D4200" s="953"/>
      <c r="E4200" s="953"/>
      <c r="F4200" s="953"/>
      <c r="G4200" s="953"/>
      <c r="H4200" s="953"/>
    </row>
    <row r="4201" spans="1:8" s="943" customFormat="1" x14ac:dyDescent="0.25">
      <c r="A4201" s="952"/>
      <c r="B4201" s="953"/>
      <c r="C4201" s="953"/>
      <c r="D4201" s="953"/>
      <c r="E4201" s="953"/>
      <c r="F4201" s="953"/>
      <c r="G4201" s="953"/>
      <c r="H4201" s="953"/>
    </row>
    <row r="4202" spans="1:8" s="943" customFormat="1" x14ac:dyDescent="0.25">
      <c r="A4202" s="952"/>
      <c r="B4202" s="953"/>
      <c r="C4202" s="953"/>
      <c r="D4202" s="953"/>
      <c r="E4202" s="953"/>
      <c r="F4202" s="953"/>
      <c r="G4202" s="953"/>
      <c r="H4202" s="953"/>
    </row>
    <row r="4203" spans="1:8" s="943" customFormat="1" x14ac:dyDescent="0.25">
      <c r="A4203" s="952"/>
      <c r="B4203" s="953"/>
      <c r="C4203" s="953"/>
      <c r="D4203" s="953"/>
      <c r="E4203" s="953"/>
      <c r="F4203" s="953"/>
      <c r="G4203" s="953"/>
      <c r="H4203" s="953"/>
    </row>
    <row r="4204" spans="1:8" s="943" customFormat="1" x14ac:dyDescent="0.25">
      <c r="A4204" s="952"/>
      <c r="B4204" s="953"/>
      <c r="C4204" s="953"/>
      <c r="D4204" s="953"/>
      <c r="E4204" s="953"/>
      <c r="F4204" s="953"/>
      <c r="G4204" s="953"/>
      <c r="H4204" s="953"/>
    </row>
    <row r="4205" spans="1:8" s="943" customFormat="1" x14ac:dyDescent="0.25">
      <c r="A4205" s="952"/>
      <c r="B4205" s="953"/>
      <c r="C4205" s="953"/>
      <c r="D4205" s="953"/>
      <c r="E4205" s="953"/>
      <c r="F4205" s="953"/>
      <c r="G4205" s="953"/>
      <c r="H4205" s="953"/>
    </row>
    <row r="4206" spans="1:8" s="943" customFormat="1" x14ac:dyDescent="0.25">
      <c r="A4206" s="952"/>
      <c r="B4206" s="953"/>
      <c r="C4206" s="953"/>
      <c r="D4206" s="953"/>
      <c r="E4206" s="953"/>
      <c r="F4206" s="953"/>
      <c r="G4206" s="953"/>
      <c r="H4206" s="953"/>
    </row>
    <row r="4207" spans="1:8" s="943" customFormat="1" x14ac:dyDescent="0.25">
      <c r="A4207" s="952"/>
      <c r="B4207" s="953"/>
      <c r="C4207" s="953"/>
      <c r="D4207" s="953"/>
      <c r="E4207" s="953"/>
      <c r="F4207" s="953"/>
      <c r="G4207" s="953"/>
      <c r="H4207" s="953"/>
    </row>
    <row r="4208" spans="1:8" s="943" customFormat="1" x14ac:dyDescent="0.25">
      <c r="A4208" s="952"/>
      <c r="B4208" s="953"/>
      <c r="C4208" s="953"/>
      <c r="D4208" s="953"/>
      <c r="E4208" s="953"/>
      <c r="F4208" s="953"/>
      <c r="G4208" s="953"/>
      <c r="H4208" s="953"/>
    </row>
    <row r="4209" spans="1:8" s="943" customFormat="1" x14ac:dyDescent="0.25">
      <c r="A4209" s="952"/>
      <c r="B4209" s="953"/>
      <c r="C4209" s="953"/>
      <c r="D4209" s="953"/>
      <c r="E4209" s="953"/>
      <c r="F4209" s="953"/>
      <c r="G4209" s="953"/>
      <c r="H4209" s="953"/>
    </row>
    <row r="4210" spans="1:8" s="943" customFormat="1" x14ac:dyDescent="0.25">
      <c r="A4210" s="952"/>
      <c r="B4210" s="953"/>
      <c r="C4210" s="953"/>
      <c r="D4210" s="953"/>
      <c r="E4210" s="953"/>
      <c r="F4210" s="953"/>
      <c r="G4210" s="953"/>
      <c r="H4210" s="953"/>
    </row>
    <row r="4211" spans="1:8" s="943" customFormat="1" x14ac:dyDescent="0.25">
      <c r="A4211" s="952"/>
      <c r="B4211" s="953"/>
      <c r="C4211" s="953"/>
      <c r="D4211" s="953"/>
      <c r="E4211" s="953"/>
      <c r="F4211" s="953"/>
      <c r="G4211" s="953"/>
      <c r="H4211" s="953"/>
    </row>
    <row r="4212" spans="1:8" s="943" customFormat="1" x14ac:dyDescent="0.25">
      <c r="A4212" s="952"/>
      <c r="B4212" s="953"/>
      <c r="C4212" s="953"/>
      <c r="D4212" s="953"/>
      <c r="E4212" s="953"/>
      <c r="F4212" s="953"/>
      <c r="G4212" s="953"/>
      <c r="H4212" s="953"/>
    </row>
    <row r="4213" spans="1:8" s="943" customFormat="1" x14ac:dyDescent="0.25">
      <c r="A4213" s="952"/>
      <c r="B4213" s="953"/>
      <c r="C4213" s="953"/>
      <c r="D4213" s="953"/>
      <c r="E4213" s="953"/>
      <c r="F4213" s="953"/>
      <c r="G4213" s="953"/>
      <c r="H4213" s="953"/>
    </row>
    <row r="4214" spans="1:8" s="943" customFormat="1" x14ac:dyDescent="0.25">
      <c r="A4214" s="952"/>
      <c r="B4214" s="953"/>
      <c r="C4214" s="953"/>
      <c r="D4214" s="953"/>
      <c r="E4214" s="953"/>
      <c r="F4214" s="953"/>
      <c r="G4214" s="953"/>
      <c r="H4214" s="953"/>
    </row>
    <row r="4215" spans="1:8" s="943" customFormat="1" x14ac:dyDescent="0.25">
      <c r="A4215" s="952"/>
      <c r="B4215" s="953"/>
      <c r="C4215" s="953"/>
      <c r="D4215" s="953"/>
      <c r="E4215" s="953"/>
      <c r="F4215" s="953"/>
      <c r="G4215" s="953"/>
      <c r="H4215" s="953"/>
    </row>
    <row r="4216" spans="1:8" s="943" customFormat="1" x14ac:dyDescent="0.25">
      <c r="A4216" s="952"/>
      <c r="B4216" s="953"/>
      <c r="C4216" s="953"/>
      <c r="D4216" s="953"/>
      <c r="E4216" s="953"/>
      <c r="F4216" s="953"/>
      <c r="G4216" s="953"/>
      <c r="H4216" s="953"/>
    </row>
    <row r="4217" spans="1:8" s="943" customFormat="1" x14ac:dyDescent="0.25">
      <c r="A4217" s="952"/>
      <c r="B4217" s="953"/>
      <c r="C4217" s="953"/>
      <c r="D4217" s="953"/>
      <c r="E4217" s="953"/>
      <c r="F4217" s="953"/>
      <c r="G4217" s="953"/>
      <c r="H4217" s="953"/>
    </row>
    <row r="4218" spans="1:8" s="943" customFormat="1" x14ac:dyDescent="0.25">
      <c r="A4218" s="952"/>
      <c r="B4218" s="953"/>
      <c r="C4218" s="953"/>
      <c r="D4218" s="953"/>
      <c r="E4218" s="953"/>
      <c r="F4218" s="953"/>
      <c r="G4218" s="953"/>
      <c r="H4218" s="953"/>
    </row>
    <row r="4219" spans="1:8" s="943" customFormat="1" x14ac:dyDescent="0.25">
      <c r="A4219" s="952"/>
      <c r="B4219" s="953"/>
      <c r="C4219" s="953"/>
      <c r="D4219" s="953"/>
      <c r="E4219" s="953"/>
      <c r="F4219" s="953"/>
      <c r="G4219" s="953"/>
      <c r="H4219" s="953"/>
    </row>
    <row r="4220" spans="1:8" s="943" customFormat="1" x14ac:dyDescent="0.25">
      <c r="A4220" s="952"/>
      <c r="B4220" s="953"/>
      <c r="C4220" s="953"/>
      <c r="D4220" s="953"/>
      <c r="E4220" s="953"/>
      <c r="F4220" s="953"/>
      <c r="G4220" s="953"/>
      <c r="H4220" s="953"/>
    </row>
    <row r="4221" spans="1:8" s="943" customFormat="1" x14ac:dyDescent="0.25">
      <c r="A4221" s="952"/>
      <c r="B4221" s="953"/>
      <c r="C4221" s="953"/>
      <c r="D4221" s="953"/>
      <c r="E4221" s="953"/>
      <c r="F4221" s="953"/>
      <c r="G4221" s="953"/>
      <c r="H4221" s="953"/>
    </row>
    <row r="4222" spans="1:8" s="943" customFormat="1" x14ac:dyDescent="0.25">
      <c r="A4222" s="952"/>
      <c r="B4222" s="953"/>
      <c r="C4222" s="953"/>
      <c r="D4222" s="953"/>
      <c r="E4222" s="953"/>
      <c r="F4222" s="953"/>
      <c r="G4222" s="953"/>
      <c r="H4222" s="953"/>
    </row>
    <row r="4223" spans="1:8" s="943" customFormat="1" x14ac:dyDescent="0.25">
      <c r="A4223" s="952"/>
      <c r="B4223" s="953"/>
      <c r="C4223" s="953"/>
      <c r="D4223" s="953"/>
      <c r="E4223" s="953"/>
      <c r="F4223" s="953"/>
      <c r="G4223" s="953"/>
      <c r="H4223" s="953"/>
    </row>
    <row r="4224" spans="1:8" s="943" customFormat="1" x14ac:dyDescent="0.25">
      <c r="A4224" s="952"/>
      <c r="B4224" s="953"/>
      <c r="C4224" s="953"/>
      <c r="D4224" s="953"/>
      <c r="E4224" s="953"/>
      <c r="F4224" s="953"/>
      <c r="G4224" s="953"/>
      <c r="H4224" s="953"/>
    </row>
    <row r="4225" spans="1:8" s="943" customFormat="1" x14ac:dyDescent="0.25">
      <c r="A4225" s="952"/>
      <c r="B4225" s="953"/>
      <c r="C4225" s="953"/>
      <c r="D4225" s="953"/>
      <c r="E4225" s="953"/>
      <c r="F4225" s="953"/>
      <c r="G4225" s="953"/>
      <c r="H4225" s="953"/>
    </row>
    <row r="4226" spans="1:8" s="943" customFormat="1" x14ac:dyDescent="0.25">
      <c r="A4226" s="952"/>
      <c r="B4226" s="953"/>
      <c r="C4226" s="953"/>
      <c r="D4226" s="953"/>
      <c r="E4226" s="953"/>
      <c r="F4226" s="953"/>
      <c r="G4226" s="953"/>
      <c r="H4226" s="953"/>
    </row>
    <row r="4227" spans="1:8" s="943" customFormat="1" x14ac:dyDescent="0.25">
      <c r="A4227" s="952"/>
      <c r="B4227" s="953"/>
      <c r="C4227" s="953"/>
      <c r="D4227" s="953"/>
      <c r="E4227" s="953"/>
      <c r="F4227" s="953"/>
      <c r="G4227" s="953"/>
      <c r="H4227" s="953"/>
    </row>
    <row r="4228" spans="1:8" s="943" customFormat="1" x14ac:dyDescent="0.25">
      <c r="A4228" s="952"/>
      <c r="B4228" s="953"/>
      <c r="C4228" s="953"/>
      <c r="D4228" s="953"/>
      <c r="E4228" s="953"/>
      <c r="F4228" s="953"/>
      <c r="G4228" s="953"/>
      <c r="H4228" s="953"/>
    </row>
    <row r="4229" spans="1:8" s="943" customFormat="1" x14ac:dyDescent="0.25">
      <c r="A4229" s="952"/>
      <c r="B4229" s="953"/>
      <c r="C4229" s="953"/>
      <c r="D4229" s="953"/>
      <c r="E4229" s="953"/>
      <c r="F4229" s="953"/>
      <c r="G4229" s="953"/>
      <c r="H4229" s="953"/>
    </row>
    <row r="4230" spans="1:8" s="943" customFormat="1" x14ac:dyDescent="0.25">
      <c r="A4230" s="952"/>
      <c r="B4230" s="953"/>
      <c r="C4230" s="953"/>
      <c r="D4230" s="953"/>
      <c r="E4230" s="953"/>
      <c r="F4230" s="953"/>
      <c r="G4230" s="953"/>
      <c r="H4230" s="953"/>
    </row>
    <row r="4231" spans="1:8" s="943" customFormat="1" x14ac:dyDescent="0.25">
      <c r="A4231" s="952"/>
      <c r="B4231" s="953"/>
      <c r="C4231" s="953"/>
      <c r="D4231" s="953"/>
      <c r="E4231" s="953"/>
      <c r="F4231" s="953"/>
      <c r="G4231" s="953"/>
      <c r="H4231" s="953"/>
    </row>
    <row r="4232" spans="1:8" s="943" customFormat="1" x14ac:dyDescent="0.25">
      <c r="A4232" s="952"/>
      <c r="B4232" s="953"/>
      <c r="C4232" s="953"/>
      <c r="D4232" s="953"/>
      <c r="E4232" s="953"/>
      <c r="F4232" s="953"/>
      <c r="G4232" s="953"/>
      <c r="H4232" s="953"/>
    </row>
    <row r="4233" spans="1:8" s="943" customFormat="1" x14ac:dyDescent="0.25">
      <c r="A4233" s="952"/>
      <c r="B4233" s="953"/>
      <c r="C4233" s="953"/>
      <c r="D4233" s="953"/>
      <c r="E4233" s="953"/>
      <c r="F4233" s="953"/>
      <c r="G4233" s="953"/>
      <c r="H4233" s="953"/>
    </row>
    <row r="4234" spans="1:8" s="943" customFormat="1" x14ac:dyDescent="0.25">
      <c r="A4234" s="952"/>
      <c r="B4234" s="953"/>
      <c r="C4234" s="953"/>
      <c r="D4234" s="953"/>
      <c r="E4234" s="953"/>
      <c r="F4234" s="953"/>
      <c r="G4234" s="953"/>
      <c r="H4234" s="953"/>
    </row>
    <row r="4235" spans="1:8" s="943" customFormat="1" x14ac:dyDescent="0.25">
      <c r="A4235" s="952"/>
      <c r="B4235" s="953"/>
      <c r="C4235" s="953"/>
      <c r="D4235" s="953"/>
      <c r="E4235" s="953"/>
      <c r="F4235" s="953"/>
      <c r="G4235" s="953"/>
      <c r="H4235" s="953"/>
    </row>
    <row r="4236" spans="1:8" s="943" customFormat="1" x14ac:dyDescent="0.25">
      <c r="A4236" s="952"/>
      <c r="B4236" s="953"/>
      <c r="C4236" s="953"/>
      <c r="D4236" s="953"/>
      <c r="E4236" s="953"/>
      <c r="F4236" s="953"/>
      <c r="G4236" s="953"/>
      <c r="H4236" s="953"/>
    </row>
    <row r="4237" spans="1:8" s="943" customFormat="1" x14ac:dyDescent="0.25">
      <c r="A4237" s="952"/>
      <c r="B4237" s="953"/>
      <c r="C4237" s="953"/>
      <c r="D4237" s="953"/>
      <c r="E4237" s="953"/>
      <c r="F4237" s="953"/>
      <c r="G4237" s="953"/>
      <c r="H4237" s="953"/>
    </row>
    <row r="4238" spans="1:8" s="943" customFormat="1" x14ac:dyDescent="0.25">
      <c r="A4238" s="952"/>
      <c r="B4238" s="953"/>
      <c r="C4238" s="953"/>
      <c r="D4238" s="953"/>
      <c r="E4238" s="953"/>
      <c r="F4238" s="953"/>
      <c r="G4238" s="953"/>
      <c r="H4238" s="953"/>
    </row>
    <row r="4239" spans="1:8" s="943" customFormat="1" x14ac:dyDescent="0.25">
      <c r="A4239" s="952"/>
      <c r="B4239" s="953"/>
      <c r="C4239" s="953"/>
      <c r="D4239" s="953"/>
      <c r="E4239" s="953"/>
      <c r="F4239" s="953"/>
      <c r="G4239" s="953"/>
      <c r="H4239" s="953"/>
    </row>
    <row r="4240" spans="1:8" s="943" customFormat="1" x14ac:dyDescent="0.25">
      <c r="A4240" s="952"/>
      <c r="B4240" s="953"/>
      <c r="C4240" s="953"/>
      <c r="D4240" s="953"/>
      <c r="E4240" s="953"/>
      <c r="F4240" s="953"/>
      <c r="G4240" s="953"/>
      <c r="H4240" s="953"/>
    </row>
    <row r="4241" spans="1:8" s="943" customFormat="1" x14ac:dyDescent="0.25">
      <c r="A4241" s="952"/>
      <c r="B4241" s="953"/>
      <c r="C4241" s="953"/>
      <c r="D4241" s="953"/>
      <c r="E4241" s="953"/>
      <c r="F4241" s="953"/>
      <c r="G4241" s="953"/>
      <c r="H4241" s="953"/>
    </row>
    <row r="4242" spans="1:8" s="943" customFormat="1" x14ac:dyDescent="0.25">
      <c r="A4242" s="952"/>
      <c r="B4242" s="953"/>
      <c r="C4242" s="953"/>
      <c r="D4242" s="953"/>
      <c r="E4242" s="953"/>
      <c r="F4242" s="953"/>
      <c r="G4242" s="953"/>
      <c r="H4242" s="953"/>
    </row>
    <row r="4243" spans="1:8" s="943" customFormat="1" x14ac:dyDescent="0.25">
      <c r="A4243" s="952"/>
      <c r="B4243" s="953"/>
      <c r="C4243" s="953"/>
      <c r="D4243" s="953"/>
      <c r="E4243" s="953"/>
      <c r="F4243" s="953"/>
      <c r="G4243" s="953"/>
      <c r="H4243" s="953"/>
    </row>
    <row r="4244" spans="1:8" s="943" customFormat="1" x14ac:dyDescent="0.25">
      <c r="A4244" s="952"/>
      <c r="B4244" s="953"/>
      <c r="C4244" s="953"/>
      <c r="D4244" s="953"/>
      <c r="E4244" s="953"/>
      <c r="F4244" s="953"/>
      <c r="G4244" s="953"/>
      <c r="H4244" s="953"/>
    </row>
    <row r="4245" spans="1:8" s="943" customFormat="1" x14ac:dyDescent="0.25">
      <c r="A4245" s="952"/>
      <c r="B4245" s="953"/>
      <c r="C4245" s="953"/>
      <c r="D4245" s="953"/>
      <c r="E4245" s="953"/>
      <c r="F4245" s="953"/>
      <c r="G4245" s="953"/>
      <c r="H4245" s="953"/>
    </row>
    <row r="4246" spans="1:8" s="943" customFormat="1" x14ac:dyDescent="0.25">
      <c r="A4246" s="952"/>
      <c r="B4246" s="953"/>
      <c r="C4246" s="953"/>
      <c r="D4246" s="953"/>
      <c r="E4246" s="953"/>
      <c r="F4246" s="953"/>
      <c r="G4246" s="953"/>
      <c r="H4246" s="953"/>
    </row>
    <row r="4247" spans="1:8" s="943" customFormat="1" x14ac:dyDescent="0.25">
      <c r="A4247" s="952"/>
      <c r="B4247" s="953"/>
      <c r="C4247" s="953"/>
      <c r="D4247" s="953"/>
      <c r="E4247" s="953"/>
      <c r="F4247" s="953"/>
      <c r="G4247" s="953"/>
      <c r="H4247" s="953"/>
    </row>
    <row r="4248" spans="1:8" s="943" customFormat="1" x14ac:dyDescent="0.25">
      <c r="A4248" s="952"/>
      <c r="B4248" s="953"/>
      <c r="C4248" s="953"/>
      <c r="D4248" s="953"/>
      <c r="E4248" s="953"/>
      <c r="F4248" s="953"/>
      <c r="G4248" s="953"/>
      <c r="H4248" s="953"/>
    </row>
    <row r="4249" spans="1:8" s="943" customFormat="1" x14ac:dyDescent="0.25">
      <c r="A4249" s="952"/>
      <c r="B4249" s="953"/>
      <c r="C4249" s="953"/>
      <c r="D4249" s="953"/>
      <c r="E4249" s="953"/>
      <c r="F4249" s="953"/>
      <c r="G4249" s="953"/>
      <c r="H4249" s="953"/>
    </row>
    <row r="4250" spans="1:8" s="943" customFormat="1" x14ac:dyDescent="0.25">
      <c r="A4250" s="952"/>
      <c r="B4250" s="953"/>
      <c r="C4250" s="953"/>
      <c r="D4250" s="953"/>
      <c r="E4250" s="953"/>
      <c r="F4250" s="953"/>
      <c r="G4250" s="953"/>
      <c r="H4250" s="953"/>
    </row>
    <row r="4251" spans="1:8" s="943" customFormat="1" x14ac:dyDescent="0.25">
      <c r="A4251" s="952"/>
      <c r="B4251" s="953"/>
      <c r="C4251" s="953"/>
      <c r="D4251" s="953"/>
      <c r="E4251" s="953"/>
      <c r="F4251" s="953"/>
      <c r="G4251" s="953"/>
      <c r="H4251" s="953"/>
    </row>
    <row r="4252" spans="1:8" s="943" customFormat="1" x14ac:dyDescent="0.25">
      <c r="A4252" s="952"/>
      <c r="B4252" s="953"/>
      <c r="C4252" s="953"/>
      <c r="D4252" s="953"/>
      <c r="E4252" s="953"/>
      <c r="F4252" s="953"/>
      <c r="G4252" s="953"/>
      <c r="H4252" s="953"/>
    </row>
    <row r="4253" spans="1:8" s="943" customFormat="1" x14ac:dyDescent="0.25">
      <c r="A4253" s="952"/>
      <c r="B4253" s="953"/>
      <c r="C4253" s="953"/>
      <c r="D4253" s="953"/>
      <c r="E4253" s="953"/>
      <c r="F4253" s="953"/>
      <c r="G4253" s="953"/>
      <c r="H4253" s="953"/>
    </row>
    <row r="4254" spans="1:8" s="943" customFormat="1" x14ac:dyDescent="0.25">
      <c r="A4254" s="952"/>
      <c r="B4254" s="953"/>
      <c r="C4254" s="953"/>
      <c r="D4254" s="953"/>
      <c r="E4254" s="953"/>
      <c r="F4254" s="953"/>
      <c r="G4254" s="953"/>
      <c r="H4254" s="953"/>
    </row>
    <row r="4255" spans="1:8" s="943" customFormat="1" x14ac:dyDescent="0.25">
      <c r="A4255" s="952"/>
      <c r="B4255" s="953"/>
      <c r="C4255" s="953"/>
      <c r="D4255" s="953"/>
      <c r="E4255" s="953"/>
      <c r="F4255" s="953"/>
      <c r="G4255" s="953"/>
      <c r="H4255" s="953"/>
    </row>
    <row r="4256" spans="1:8" s="943" customFormat="1" x14ac:dyDescent="0.25">
      <c r="A4256" s="952"/>
      <c r="B4256" s="953"/>
      <c r="C4256" s="953"/>
      <c r="D4256" s="953"/>
      <c r="E4256" s="953"/>
      <c r="F4256" s="953"/>
      <c r="G4256" s="953"/>
      <c r="H4256" s="953"/>
    </row>
    <row r="4257" spans="1:8" s="943" customFormat="1" x14ac:dyDescent="0.25">
      <c r="A4257" s="952"/>
      <c r="B4257" s="953"/>
      <c r="C4257" s="953"/>
      <c r="D4257" s="953"/>
      <c r="E4257" s="953"/>
      <c r="F4257" s="953"/>
      <c r="G4257" s="953"/>
      <c r="H4257" s="953"/>
    </row>
    <row r="4258" spans="1:8" s="943" customFormat="1" x14ac:dyDescent="0.25">
      <c r="A4258" s="952"/>
      <c r="B4258" s="953"/>
      <c r="C4258" s="953"/>
      <c r="D4258" s="953"/>
      <c r="E4258" s="953"/>
      <c r="F4258" s="953"/>
      <c r="G4258" s="953"/>
      <c r="H4258" s="953"/>
    </row>
    <row r="4259" spans="1:8" s="943" customFormat="1" x14ac:dyDescent="0.25">
      <c r="A4259" s="952"/>
      <c r="B4259" s="953"/>
      <c r="C4259" s="953"/>
      <c r="D4259" s="953"/>
      <c r="E4259" s="953"/>
      <c r="F4259" s="953"/>
      <c r="G4259" s="953"/>
      <c r="H4259" s="953"/>
    </row>
    <row r="4260" spans="1:8" s="943" customFormat="1" x14ac:dyDescent="0.25">
      <c r="A4260" s="952"/>
      <c r="B4260" s="953"/>
      <c r="C4260" s="953"/>
      <c r="D4260" s="953"/>
      <c r="E4260" s="953"/>
      <c r="F4260" s="953"/>
      <c r="G4260" s="953"/>
      <c r="H4260" s="953"/>
    </row>
    <row r="4261" spans="1:8" s="943" customFormat="1" x14ac:dyDescent="0.25">
      <c r="A4261" s="952"/>
      <c r="B4261" s="953"/>
      <c r="C4261" s="953"/>
      <c r="D4261" s="953"/>
      <c r="E4261" s="953"/>
      <c r="F4261" s="953"/>
      <c r="G4261" s="953"/>
      <c r="H4261" s="953"/>
    </row>
    <row r="4262" spans="1:8" s="943" customFormat="1" x14ac:dyDescent="0.25">
      <c r="A4262" s="952"/>
      <c r="B4262" s="953"/>
      <c r="C4262" s="953"/>
      <c r="D4262" s="953"/>
      <c r="E4262" s="953"/>
      <c r="F4262" s="953"/>
      <c r="G4262" s="953"/>
      <c r="H4262" s="953"/>
    </row>
    <row r="4263" spans="1:8" s="943" customFormat="1" x14ac:dyDescent="0.25">
      <c r="A4263" s="952"/>
      <c r="B4263" s="953"/>
      <c r="C4263" s="953"/>
      <c r="D4263" s="953"/>
      <c r="E4263" s="953"/>
      <c r="F4263" s="953"/>
      <c r="G4263" s="953"/>
      <c r="H4263" s="953"/>
    </row>
    <row r="4264" spans="1:8" s="943" customFormat="1" x14ac:dyDescent="0.25">
      <c r="A4264" s="952"/>
      <c r="B4264" s="953"/>
      <c r="C4264" s="953"/>
      <c r="D4264" s="953"/>
      <c r="E4264" s="953"/>
      <c r="F4264" s="953"/>
      <c r="G4264" s="953"/>
      <c r="H4264" s="953"/>
    </row>
    <row r="4265" spans="1:8" s="943" customFormat="1" x14ac:dyDescent="0.25">
      <c r="A4265" s="952"/>
      <c r="B4265" s="953"/>
      <c r="C4265" s="953"/>
      <c r="D4265" s="953"/>
      <c r="E4265" s="953"/>
      <c r="F4265" s="953"/>
      <c r="G4265" s="953"/>
      <c r="H4265" s="953"/>
    </row>
    <row r="4266" spans="1:8" s="943" customFormat="1" x14ac:dyDescent="0.25">
      <c r="A4266" s="952"/>
      <c r="B4266" s="953"/>
      <c r="C4266" s="953"/>
      <c r="D4266" s="953"/>
      <c r="E4266" s="953"/>
      <c r="F4266" s="953"/>
      <c r="G4266" s="953"/>
      <c r="H4266" s="953"/>
    </row>
    <row r="4267" spans="1:8" s="943" customFormat="1" x14ac:dyDescent="0.25">
      <c r="A4267" s="952"/>
      <c r="B4267" s="953"/>
      <c r="C4267" s="953"/>
      <c r="D4267" s="953"/>
      <c r="E4267" s="953"/>
      <c r="F4267" s="953"/>
      <c r="G4267" s="953"/>
      <c r="H4267" s="953"/>
    </row>
    <row r="4268" spans="1:8" s="943" customFormat="1" x14ac:dyDescent="0.25">
      <c r="A4268" s="952"/>
      <c r="B4268" s="953"/>
      <c r="C4268" s="953"/>
      <c r="D4268" s="953"/>
      <c r="E4268" s="953"/>
      <c r="F4268" s="953"/>
      <c r="G4268" s="953"/>
      <c r="H4268" s="953"/>
    </row>
    <row r="4269" spans="1:8" s="943" customFormat="1" x14ac:dyDescent="0.25">
      <c r="A4269" s="952"/>
      <c r="B4269" s="953"/>
      <c r="C4269" s="953"/>
      <c r="D4269" s="953"/>
      <c r="E4269" s="953"/>
      <c r="F4269" s="953"/>
      <c r="G4269" s="953"/>
      <c r="H4269" s="953"/>
    </row>
    <row r="4270" spans="1:8" s="943" customFormat="1" x14ac:dyDescent="0.25">
      <c r="A4270" s="952"/>
      <c r="B4270" s="953"/>
      <c r="C4270" s="953"/>
      <c r="D4270" s="953"/>
      <c r="E4270" s="953"/>
      <c r="F4270" s="953"/>
      <c r="G4270" s="953"/>
      <c r="H4270" s="953"/>
    </row>
    <row r="4271" spans="1:8" s="943" customFormat="1" x14ac:dyDescent="0.25">
      <c r="A4271" s="952"/>
      <c r="B4271" s="953"/>
      <c r="C4271" s="953"/>
      <c r="D4271" s="953"/>
      <c r="E4271" s="953"/>
      <c r="F4271" s="953"/>
      <c r="G4271" s="953"/>
      <c r="H4271" s="953"/>
    </row>
    <row r="4272" spans="1:8" s="943" customFormat="1" x14ac:dyDescent="0.25">
      <c r="A4272" s="952"/>
      <c r="B4272" s="953"/>
      <c r="C4272" s="953"/>
      <c r="D4272" s="953"/>
      <c r="E4272" s="953"/>
      <c r="F4272" s="953"/>
      <c r="G4272" s="953"/>
      <c r="H4272" s="953"/>
    </row>
    <row r="4273" spans="1:8" s="943" customFormat="1" x14ac:dyDescent="0.25">
      <c r="A4273" s="952"/>
      <c r="B4273" s="953"/>
      <c r="C4273" s="953"/>
      <c r="D4273" s="953"/>
      <c r="E4273" s="953"/>
      <c r="F4273" s="953"/>
      <c r="G4273" s="953"/>
      <c r="H4273" s="953"/>
    </row>
    <row r="4274" spans="1:8" s="943" customFormat="1" x14ac:dyDescent="0.25">
      <c r="A4274" s="952"/>
      <c r="B4274" s="953"/>
      <c r="C4274" s="953"/>
      <c r="D4274" s="953"/>
      <c r="E4274" s="953"/>
      <c r="F4274" s="953"/>
      <c r="G4274" s="953"/>
      <c r="H4274" s="953"/>
    </row>
    <row r="4275" spans="1:8" s="943" customFormat="1" x14ac:dyDescent="0.25">
      <c r="A4275" s="952"/>
      <c r="B4275" s="953"/>
      <c r="C4275" s="953"/>
      <c r="D4275" s="953"/>
      <c r="E4275" s="953"/>
      <c r="F4275" s="953"/>
      <c r="G4275" s="953"/>
      <c r="H4275" s="953"/>
    </row>
    <row r="4276" spans="1:8" s="943" customFormat="1" x14ac:dyDescent="0.25">
      <c r="A4276" s="952"/>
      <c r="B4276" s="953"/>
      <c r="C4276" s="953"/>
      <c r="D4276" s="953"/>
      <c r="E4276" s="953"/>
      <c r="F4276" s="953"/>
      <c r="G4276" s="953"/>
      <c r="H4276" s="953"/>
    </row>
    <row r="4277" spans="1:8" s="943" customFormat="1" x14ac:dyDescent="0.25">
      <c r="A4277" s="952"/>
      <c r="B4277" s="953"/>
      <c r="C4277" s="953"/>
      <c r="D4277" s="953"/>
      <c r="E4277" s="953"/>
      <c r="F4277" s="953"/>
      <c r="G4277" s="953"/>
      <c r="H4277" s="953"/>
    </row>
    <row r="4278" spans="1:8" s="943" customFormat="1" x14ac:dyDescent="0.25">
      <c r="A4278" s="952"/>
      <c r="B4278" s="953"/>
      <c r="C4278" s="953"/>
      <c r="D4278" s="953"/>
      <c r="E4278" s="953"/>
      <c r="F4278" s="953"/>
      <c r="G4278" s="953"/>
      <c r="H4278" s="953"/>
    </row>
    <row r="4279" spans="1:8" s="943" customFormat="1" x14ac:dyDescent="0.25">
      <c r="A4279" s="952"/>
      <c r="B4279" s="953"/>
      <c r="C4279" s="953"/>
      <c r="D4279" s="953"/>
      <c r="E4279" s="953"/>
      <c r="F4279" s="953"/>
      <c r="G4279" s="953"/>
      <c r="H4279" s="953"/>
    </row>
    <row r="4280" spans="1:8" s="943" customFormat="1" x14ac:dyDescent="0.25">
      <c r="A4280" s="952"/>
      <c r="B4280" s="953"/>
      <c r="C4280" s="953"/>
      <c r="D4280" s="953"/>
      <c r="E4280" s="953"/>
      <c r="F4280" s="953"/>
      <c r="G4280" s="953"/>
      <c r="H4280" s="953"/>
    </row>
    <row r="4281" spans="1:8" s="943" customFormat="1" x14ac:dyDescent="0.25">
      <c r="A4281" s="952"/>
      <c r="B4281" s="953"/>
      <c r="C4281" s="953"/>
      <c r="D4281" s="953"/>
      <c r="E4281" s="953"/>
      <c r="F4281" s="953"/>
      <c r="G4281" s="953"/>
      <c r="H4281" s="953"/>
    </row>
    <row r="4282" spans="1:8" s="943" customFormat="1" x14ac:dyDescent="0.25">
      <c r="A4282" s="952"/>
      <c r="B4282" s="953"/>
      <c r="C4282" s="953"/>
      <c r="D4282" s="953"/>
      <c r="E4282" s="953"/>
      <c r="F4282" s="953"/>
      <c r="G4282" s="953"/>
      <c r="H4282" s="953"/>
    </row>
    <row r="4283" spans="1:8" s="943" customFormat="1" x14ac:dyDescent="0.25">
      <c r="A4283" s="952"/>
      <c r="B4283" s="953"/>
      <c r="C4283" s="953"/>
      <c r="D4283" s="953"/>
      <c r="E4283" s="953"/>
      <c r="F4283" s="953"/>
      <c r="G4283" s="953"/>
      <c r="H4283" s="953"/>
    </row>
    <row r="4284" spans="1:8" s="943" customFormat="1" x14ac:dyDescent="0.25">
      <c r="A4284" s="952"/>
      <c r="B4284" s="953"/>
      <c r="C4284" s="953"/>
      <c r="D4284" s="953"/>
      <c r="E4284" s="953"/>
      <c r="F4284" s="953"/>
      <c r="G4284" s="953"/>
      <c r="H4284" s="953"/>
    </row>
    <row r="4285" spans="1:8" s="943" customFormat="1" x14ac:dyDescent="0.25">
      <c r="A4285" s="952"/>
      <c r="B4285" s="953"/>
      <c r="C4285" s="953"/>
      <c r="D4285" s="953"/>
      <c r="E4285" s="953"/>
      <c r="F4285" s="953"/>
      <c r="G4285" s="953"/>
      <c r="H4285" s="953"/>
    </row>
    <row r="4286" spans="1:8" s="943" customFormat="1" x14ac:dyDescent="0.25">
      <c r="A4286" s="952"/>
      <c r="B4286" s="953"/>
      <c r="C4286" s="953"/>
      <c r="D4286" s="953"/>
      <c r="E4286" s="953"/>
      <c r="F4286" s="953"/>
      <c r="G4286" s="953"/>
      <c r="H4286" s="953"/>
    </row>
    <row r="4287" spans="1:8" s="943" customFormat="1" x14ac:dyDescent="0.25">
      <c r="A4287" s="952"/>
      <c r="B4287" s="953"/>
      <c r="C4287" s="953"/>
      <c r="D4287" s="953"/>
      <c r="E4287" s="953"/>
      <c r="F4287" s="953"/>
      <c r="G4287" s="953"/>
      <c r="H4287" s="953"/>
    </row>
    <row r="4288" spans="1:8" s="943" customFormat="1" x14ac:dyDescent="0.25">
      <c r="A4288" s="952"/>
      <c r="B4288" s="953"/>
      <c r="C4288" s="953"/>
      <c r="D4288" s="953"/>
      <c r="E4288" s="953"/>
      <c r="F4288" s="953"/>
      <c r="G4288" s="953"/>
      <c r="H4288" s="953"/>
    </row>
    <row r="4289" spans="1:8" s="943" customFormat="1" x14ac:dyDescent="0.25">
      <c r="A4289" s="952"/>
      <c r="B4289" s="953"/>
      <c r="C4289" s="953"/>
      <c r="D4289" s="953"/>
      <c r="E4289" s="953"/>
      <c r="F4289" s="953"/>
      <c r="G4289" s="953"/>
      <c r="H4289" s="953"/>
    </row>
    <row r="4290" spans="1:8" s="943" customFormat="1" x14ac:dyDescent="0.25">
      <c r="A4290" s="952"/>
      <c r="B4290" s="953"/>
      <c r="C4290" s="953"/>
      <c r="D4290" s="953"/>
      <c r="E4290" s="953"/>
      <c r="F4290" s="953"/>
      <c r="G4290" s="953"/>
      <c r="H4290" s="953"/>
    </row>
    <row r="4291" spans="1:8" s="943" customFormat="1" x14ac:dyDescent="0.25">
      <c r="A4291" s="952"/>
      <c r="B4291" s="953"/>
      <c r="C4291" s="953"/>
      <c r="D4291" s="953"/>
      <c r="E4291" s="953"/>
      <c r="F4291" s="953"/>
      <c r="G4291" s="953"/>
      <c r="H4291" s="953"/>
    </row>
    <row r="4292" spans="1:8" s="943" customFormat="1" x14ac:dyDescent="0.25">
      <c r="A4292" s="952"/>
      <c r="B4292" s="953"/>
      <c r="C4292" s="953"/>
      <c r="D4292" s="953"/>
      <c r="E4292" s="953"/>
      <c r="F4292" s="953"/>
      <c r="G4292" s="953"/>
      <c r="H4292" s="953"/>
    </row>
    <row r="4293" spans="1:8" s="943" customFormat="1" x14ac:dyDescent="0.25">
      <c r="A4293" s="952"/>
      <c r="B4293" s="953"/>
      <c r="C4293" s="953"/>
      <c r="D4293" s="953"/>
      <c r="E4293" s="953"/>
      <c r="F4293" s="953"/>
      <c r="G4293" s="953"/>
      <c r="H4293" s="953"/>
    </row>
    <row r="4294" spans="1:8" s="943" customFormat="1" x14ac:dyDescent="0.25">
      <c r="A4294" s="952"/>
      <c r="B4294" s="953"/>
      <c r="C4294" s="953"/>
      <c r="D4294" s="953"/>
      <c r="E4294" s="953"/>
      <c r="F4294" s="953"/>
      <c r="G4294" s="953"/>
      <c r="H4294" s="953"/>
    </row>
    <row r="4295" spans="1:8" s="943" customFormat="1" x14ac:dyDescent="0.25">
      <c r="A4295" s="952"/>
      <c r="B4295" s="953"/>
      <c r="C4295" s="953"/>
      <c r="D4295" s="953"/>
      <c r="E4295" s="953"/>
      <c r="F4295" s="953"/>
      <c r="G4295" s="953"/>
      <c r="H4295" s="953"/>
    </row>
    <row r="4296" spans="1:8" s="943" customFormat="1" x14ac:dyDescent="0.25">
      <c r="A4296" s="952"/>
      <c r="B4296" s="953"/>
      <c r="C4296" s="953"/>
      <c r="D4296" s="953"/>
      <c r="E4296" s="953"/>
      <c r="F4296" s="953"/>
      <c r="G4296" s="953"/>
      <c r="H4296" s="953"/>
    </row>
    <row r="4297" spans="1:8" s="943" customFormat="1" x14ac:dyDescent="0.25">
      <c r="A4297" s="952"/>
      <c r="B4297" s="953"/>
      <c r="C4297" s="953"/>
      <c r="D4297" s="953"/>
      <c r="E4297" s="953"/>
      <c r="F4297" s="953"/>
      <c r="G4297" s="953"/>
      <c r="H4297" s="953"/>
    </row>
    <row r="4298" spans="1:8" s="943" customFormat="1" x14ac:dyDescent="0.25">
      <c r="A4298" s="952"/>
      <c r="B4298" s="953"/>
      <c r="C4298" s="953"/>
      <c r="D4298" s="953"/>
      <c r="E4298" s="953"/>
      <c r="F4298" s="953"/>
      <c r="G4298" s="953"/>
      <c r="H4298" s="953"/>
    </row>
    <row r="4299" spans="1:8" s="943" customFormat="1" x14ac:dyDescent="0.25">
      <c r="A4299" s="952"/>
      <c r="B4299" s="953"/>
      <c r="C4299" s="953"/>
      <c r="D4299" s="953"/>
      <c r="E4299" s="953"/>
      <c r="F4299" s="953"/>
      <c r="G4299" s="953"/>
      <c r="H4299" s="953"/>
    </row>
    <row r="4300" spans="1:8" s="943" customFormat="1" x14ac:dyDescent="0.25">
      <c r="A4300" s="952"/>
      <c r="B4300" s="953"/>
      <c r="C4300" s="953"/>
      <c r="D4300" s="953"/>
      <c r="E4300" s="953"/>
      <c r="F4300" s="953"/>
      <c r="G4300" s="953"/>
      <c r="H4300" s="953"/>
    </row>
    <row r="4301" spans="1:8" s="943" customFormat="1" x14ac:dyDescent="0.25">
      <c r="A4301" s="952"/>
      <c r="B4301" s="953"/>
      <c r="C4301" s="953"/>
      <c r="D4301" s="953"/>
      <c r="E4301" s="953"/>
      <c r="F4301" s="953"/>
      <c r="G4301" s="953"/>
      <c r="H4301" s="953"/>
    </row>
    <row r="4302" spans="1:8" s="943" customFormat="1" x14ac:dyDescent="0.25">
      <c r="A4302" s="952"/>
      <c r="B4302" s="953"/>
      <c r="C4302" s="953"/>
      <c r="D4302" s="953"/>
      <c r="E4302" s="953"/>
      <c r="F4302" s="953"/>
      <c r="G4302" s="953"/>
      <c r="H4302" s="953"/>
    </row>
    <row r="4303" spans="1:8" s="943" customFormat="1" x14ac:dyDescent="0.25">
      <c r="A4303" s="952"/>
      <c r="B4303" s="953"/>
      <c r="C4303" s="953"/>
      <c r="D4303" s="953"/>
      <c r="E4303" s="953"/>
      <c r="F4303" s="953"/>
      <c r="G4303" s="953"/>
      <c r="H4303" s="953"/>
    </row>
    <row r="4304" spans="1:8" s="943" customFormat="1" x14ac:dyDescent="0.25">
      <c r="A4304" s="952"/>
      <c r="B4304" s="953"/>
      <c r="C4304" s="953"/>
      <c r="D4304" s="953"/>
      <c r="E4304" s="953"/>
      <c r="F4304" s="953"/>
      <c r="G4304" s="953"/>
      <c r="H4304" s="953"/>
    </row>
    <row r="4305" spans="1:8" s="943" customFormat="1" x14ac:dyDescent="0.25">
      <c r="A4305" s="952"/>
      <c r="B4305" s="953"/>
      <c r="C4305" s="953"/>
      <c r="D4305" s="953"/>
      <c r="E4305" s="953"/>
      <c r="F4305" s="953"/>
      <c r="G4305" s="953"/>
      <c r="H4305" s="953"/>
    </row>
    <row r="4306" spans="1:8" s="943" customFormat="1" x14ac:dyDescent="0.25">
      <c r="A4306" s="952"/>
      <c r="B4306" s="953"/>
      <c r="C4306" s="953"/>
      <c r="D4306" s="953"/>
      <c r="E4306" s="953"/>
      <c r="F4306" s="953"/>
      <c r="G4306" s="953"/>
      <c r="H4306" s="953"/>
    </row>
    <row r="4307" spans="1:8" s="943" customFormat="1" x14ac:dyDescent="0.25">
      <c r="A4307" s="952"/>
      <c r="B4307" s="953"/>
      <c r="C4307" s="953"/>
      <c r="D4307" s="953"/>
      <c r="E4307" s="953"/>
      <c r="F4307" s="953"/>
      <c r="G4307" s="953"/>
      <c r="H4307" s="953"/>
    </row>
    <row r="4308" spans="1:8" s="943" customFormat="1" x14ac:dyDescent="0.25">
      <c r="A4308" s="952"/>
      <c r="B4308" s="953"/>
      <c r="C4308" s="953"/>
      <c r="D4308" s="953"/>
      <c r="E4308" s="953"/>
      <c r="F4308" s="953"/>
      <c r="G4308" s="953"/>
      <c r="H4308" s="953"/>
    </row>
    <row r="4309" spans="1:8" s="943" customFormat="1" x14ac:dyDescent="0.25">
      <c r="A4309" s="952"/>
      <c r="B4309" s="953"/>
      <c r="C4309" s="953"/>
      <c r="D4309" s="953"/>
      <c r="E4309" s="953"/>
      <c r="F4309" s="953"/>
      <c r="G4309" s="953"/>
      <c r="H4309" s="953"/>
    </row>
    <row r="4310" spans="1:8" s="943" customFormat="1" x14ac:dyDescent="0.25">
      <c r="A4310" s="952"/>
      <c r="B4310" s="953"/>
      <c r="C4310" s="953"/>
      <c r="D4310" s="953"/>
      <c r="E4310" s="953"/>
      <c r="F4310" s="953"/>
      <c r="G4310" s="953"/>
      <c r="H4310" s="953"/>
    </row>
    <row r="4311" spans="1:8" s="943" customFormat="1" x14ac:dyDescent="0.25">
      <c r="A4311" s="952"/>
      <c r="B4311" s="953"/>
      <c r="C4311" s="953"/>
      <c r="D4311" s="953"/>
      <c r="E4311" s="953"/>
      <c r="F4311" s="953"/>
      <c r="G4311" s="953"/>
      <c r="H4311" s="953"/>
    </row>
    <row r="4312" spans="1:8" s="943" customFormat="1" x14ac:dyDescent="0.25">
      <c r="A4312" s="952"/>
      <c r="B4312" s="953"/>
      <c r="C4312" s="953"/>
      <c r="D4312" s="953"/>
      <c r="E4312" s="953"/>
      <c r="F4312" s="953"/>
      <c r="G4312" s="953"/>
      <c r="H4312" s="953"/>
    </row>
    <row r="4313" spans="1:8" s="943" customFormat="1" x14ac:dyDescent="0.25">
      <c r="A4313" s="952"/>
      <c r="B4313" s="953"/>
      <c r="C4313" s="953"/>
      <c r="D4313" s="953"/>
      <c r="E4313" s="953"/>
      <c r="F4313" s="953"/>
      <c r="G4313" s="953"/>
      <c r="H4313" s="953"/>
    </row>
    <row r="4314" spans="1:8" s="943" customFormat="1" x14ac:dyDescent="0.25">
      <c r="A4314" s="952"/>
      <c r="B4314" s="953"/>
      <c r="C4314" s="953"/>
      <c r="D4314" s="953"/>
      <c r="E4314" s="953"/>
      <c r="F4314" s="953"/>
      <c r="G4314" s="953"/>
      <c r="H4314" s="953"/>
    </row>
    <row r="4315" spans="1:8" s="943" customFormat="1" x14ac:dyDescent="0.25">
      <c r="A4315" s="952"/>
      <c r="B4315" s="953"/>
      <c r="C4315" s="953"/>
      <c r="D4315" s="953"/>
      <c r="E4315" s="953"/>
      <c r="F4315" s="953"/>
      <c r="G4315" s="953"/>
      <c r="H4315" s="953"/>
    </row>
    <row r="4316" spans="1:8" s="943" customFormat="1" x14ac:dyDescent="0.25">
      <c r="A4316" s="952"/>
      <c r="B4316" s="953"/>
      <c r="C4316" s="953"/>
      <c r="D4316" s="953"/>
      <c r="E4316" s="953"/>
      <c r="F4316" s="953"/>
      <c r="G4316" s="953"/>
      <c r="H4316" s="953"/>
    </row>
    <row r="4317" spans="1:8" s="943" customFormat="1" x14ac:dyDescent="0.25">
      <c r="A4317" s="952"/>
      <c r="B4317" s="953"/>
      <c r="C4317" s="953"/>
      <c r="D4317" s="953"/>
      <c r="E4317" s="953"/>
      <c r="F4317" s="953"/>
      <c r="G4317" s="953"/>
      <c r="H4317" s="953"/>
    </row>
    <row r="4318" spans="1:8" s="943" customFormat="1" x14ac:dyDescent="0.25">
      <c r="A4318" s="952"/>
      <c r="B4318" s="953"/>
      <c r="C4318" s="953"/>
      <c r="D4318" s="953"/>
      <c r="E4318" s="953"/>
      <c r="F4318" s="953"/>
      <c r="G4318" s="953"/>
      <c r="H4318" s="953"/>
    </row>
    <row r="4319" spans="1:8" s="943" customFormat="1" x14ac:dyDescent="0.25">
      <c r="A4319" s="952"/>
      <c r="B4319" s="953"/>
      <c r="C4319" s="953"/>
      <c r="D4319" s="953"/>
      <c r="E4319" s="953"/>
      <c r="F4319" s="953"/>
      <c r="G4319" s="953"/>
      <c r="H4319" s="953"/>
    </row>
    <row r="4320" spans="1:8" s="943" customFormat="1" x14ac:dyDescent="0.25">
      <c r="A4320" s="952"/>
      <c r="B4320" s="953"/>
      <c r="C4320" s="953"/>
      <c r="D4320" s="953"/>
      <c r="E4320" s="953"/>
      <c r="F4320" s="953"/>
      <c r="G4320" s="953"/>
      <c r="H4320" s="953"/>
    </row>
    <row r="4321" spans="1:8" s="943" customFormat="1" x14ac:dyDescent="0.25">
      <c r="A4321" s="952"/>
      <c r="B4321" s="953"/>
      <c r="C4321" s="953"/>
      <c r="D4321" s="953"/>
      <c r="E4321" s="953"/>
      <c r="F4321" s="953"/>
      <c r="G4321" s="953"/>
      <c r="H4321" s="953"/>
    </row>
    <row r="4322" spans="1:8" s="943" customFormat="1" x14ac:dyDescent="0.25">
      <c r="A4322" s="952"/>
      <c r="B4322" s="953"/>
      <c r="C4322" s="953"/>
      <c r="D4322" s="953"/>
      <c r="E4322" s="953"/>
      <c r="F4322" s="953"/>
      <c r="G4322" s="953"/>
      <c r="H4322" s="953"/>
    </row>
    <row r="4323" spans="1:8" s="943" customFormat="1" x14ac:dyDescent="0.25">
      <c r="A4323" s="952"/>
      <c r="B4323" s="953"/>
      <c r="C4323" s="953"/>
      <c r="D4323" s="953"/>
      <c r="E4323" s="953"/>
      <c r="F4323" s="953"/>
      <c r="G4323" s="953"/>
      <c r="H4323" s="953"/>
    </row>
    <row r="4324" spans="1:8" s="943" customFormat="1" x14ac:dyDescent="0.25">
      <c r="A4324" s="952"/>
      <c r="B4324" s="953"/>
      <c r="C4324" s="953"/>
      <c r="D4324" s="953"/>
      <c r="E4324" s="953"/>
      <c r="F4324" s="953"/>
      <c r="G4324" s="953"/>
      <c r="H4324" s="953"/>
    </row>
    <row r="4325" spans="1:8" s="943" customFormat="1" x14ac:dyDescent="0.25">
      <c r="A4325" s="952"/>
      <c r="B4325" s="953"/>
      <c r="C4325" s="953"/>
      <c r="D4325" s="953"/>
      <c r="E4325" s="953"/>
      <c r="F4325" s="953"/>
      <c r="G4325" s="953"/>
      <c r="H4325" s="953"/>
    </row>
    <row r="4326" spans="1:8" s="943" customFormat="1" x14ac:dyDescent="0.25">
      <c r="A4326" s="952"/>
      <c r="B4326" s="953"/>
      <c r="C4326" s="953"/>
      <c r="D4326" s="953"/>
      <c r="E4326" s="953"/>
      <c r="F4326" s="953"/>
      <c r="G4326" s="953"/>
      <c r="H4326" s="953"/>
    </row>
    <row r="4327" spans="1:8" s="943" customFormat="1" x14ac:dyDescent="0.25">
      <c r="A4327" s="952"/>
      <c r="B4327" s="953"/>
      <c r="C4327" s="953"/>
      <c r="D4327" s="953"/>
      <c r="E4327" s="953"/>
      <c r="F4327" s="953"/>
      <c r="G4327" s="953"/>
      <c r="H4327" s="953"/>
    </row>
    <row r="4328" spans="1:8" s="943" customFormat="1" x14ac:dyDescent="0.25">
      <c r="A4328" s="952"/>
      <c r="B4328" s="953"/>
      <c r="C4328" s="953"/>
      <c r="D4328" s="953"/>
      <c r="E4328" s="953"/>
      <c r="F4328" s="953"/>
      <c r="G4328" s="953"/>
      <c r="H4328" s="953"/>
    </row>
    <row r="4329" spans="1:8" s="943" customFormat="1" x14ac:dyDescent="0.25">
      <c r="A4329" s="952"/>
      <c r="B4329" s="953"/>
      <c r="C4329" s="953"/>
      <c r="D4329" s="953"/>
      <c r="E4329" s="953"/>
      <c r="F4329" s="953"/>
      <c r="G4329" s="953"/>
      <c r="H4329" s="953"/>
    </row>
    <row r="4330" spans="1:8" s="943" customFormat="1" x14ac:dyDescent="0.25">
      <c r="A4330" s="952"/>
      <c r="B4330" s="953"/>
      <c r="C4330" s="953"/>
      <c r="D4330" s="953"/>
      <c r="E4330" s="953"/>
      <c r="F4330" s="953"/>
      <c r="G4330" s="953"/>
      <c r="H4330" s="953"/>
    </row>
    <row r="4331" spans="1:8" s="943" customFormat="1" x14ac:dyDescent="0.25">
      <c r="A4331" s="952"/>
      <c r="B4331" s="953"/>
      <c r="C4331" s="953"/>
      <c r="D4331" s="953"/>
      <c r="E4331" s="953"/>
      <c r="F4331" s="953"/>
      <c r="G4331" s="953"/>
      <c r="H4331" s="953"/>
    </row>
    <row r="4332" spans="1:8" s="943" customFormat="1" x14ac:dyDescent="0.25">
      <c r="A4332" s="952"/>
      <c r="B4332" s="953"/>
      <c r="C4332" s="953"/>
      <c r="D4332" s="953"/>
      <c r="E4332" s="953"/>
      <c r="F4332" s="953"/>
      <c r="G4332" s="953"/>
      <c r="H4332" s="953"/>
    </row>
    <row r="4333" spans="1:8" s="943" customFormat="1" x14ac:dyDescent="0.25">
      <c r="A4333" s="952"/>
      <c r="B4333" s="953"/>
      <c r="C4333" s="953"/>
      <c r="D4333" s="953"/>
      <c r="E4333" s="953"/>
      <c r="F4333" s="953"/>
      <c r="G4333" s="953"/>
      <c r="H4333" s="953"/>
    </row>
    <row r="4334" spans="1:8" s="943" customFormat="1" x14ac:dyDescent="0.25">
      <c r="A4334" s="952"/>
      <c r="B4334" s="953"/>
      <c r="C4334" s="953"/>
      <c r="D4334" s="953"/>
      <c r="E4334" s="953"/>
      <c r="F4334" s="953"/>
      <c r="G4334" s="953"/>
      <c r="H4334" s="953"/>
    </row>
    <row r="4335" spans="1:8" s="943" customFormat="1" x14ac:dyDescent="0.25">
      <c r="A4335" s="952"/>
      <c r="B4335" s="953"/>
      <c r="C4335" s="953"/>
      <c r="D4335" s="953"/>
      <c r="E4335" s="953"/>
      <c r="F4335" s="953"/>
      <c r="G4335" s="953"/>
      <c r="H4335" s="953"/>
    </row>
    <row r="4336" spans="1:8" s="943" customFormat="1" x14ac:dyDescent="0.25">
      <c r="A4336" s="952"/>
      <c r="B4336" s="953"/>
      <c r="C4336" s="953"/>
      <c r="D4336" s="953"/>
      <c r="E4336" s="953"/>
      <c r="F4336" s="953"/>
      <c r="G4336" s="953"/>
      <c r="H4336" s="953"/>
    </row>
    <row r="4337" spans="1:8" s="943" customFormat="1" x14ac:dyDescent="0.25">
      <c r="A4337" s="952"/>
      <c r="B4337" s="953"/>
      <c r="C4337" s="953"/>
      <c r="D4337" s="953"/>
      <c r="E4337" s="953"/>
      <c r="F4337" s="953"/>
      <c r="G4337" s="953"/>
      <c r="H4337" s="953"/>
    </row>
    <row r="4338" spans="1:8" s="943" customFormat="1" x14ac:dyDescent="0.25">
      <c r="A4338" s="952"/>
      <c r="B4338" s="953"/>
      <c r="C4338" s="953"/>
      <c r="D4338" s="953"/>
      <c r="E4338" s="953"/>
      <c r="F4338" s="953"/>
      <c r="G4338" s="953"/>
      <c r="H4338" s="953"/>
    </row>
    <row r="4339" spans="1:8" s="943" customFormat="1" x14ac:dyDescent="0.25">
      <c r="A4339" s="952"/>
      <c r="B4339" s="953"/>
      <c r="C4339" s="953"/>
      <c r="D4339" s="953"/>
      <c r="E4339" s="953"/>
      <c r="F4339" s="953"/>
      <c r="G4339" s="953"/>
      <c r="H4339" s="953"/>
    </row>
    <row r="4340" spans="1:8" s="943" customFormat="1" x14ac:dyDescent="0.25">
      <c r="A4340" s="952"/>
      <c r="B4340" s="953"/>
      <c r="C4340" s="953"/>
      <c r="D4340" s="953"/>
      <c r="E4340" s="953"/>
      <c r="F4340" s="953"/>
      <c r="G4340" s="953"/>
      <c r="H4340" s="953"/>
    </row>
    <row r="4341" spans="1:8" s="943" customFormat="1" x14ac:dyDescent="0.25">
      <c r="A4341" s="952"/>
      <c r="B4341" s="953"/>
      <c r="C4341" s="953"/>
      <c r="D4341" s="953"/>
      <c r="E4341" s="953"/>
      <c r="F4341" s="953"/>
      <c r="G4341" s="953"/>
      <c r="H4341" s="953"/>
    </row>
    <row r="4342" spans="1:8" s="943" customFormat="1" x14ac:dyDescent="0.25">
      <c r="A4342" s="952"/>
      <c r="B4342" s="953"/>
      <c r="C4342" s="953"/>
      <c r="D4342" s="953"/>
      <c r="E4342" s="953"/>
      <c r="F4342" s="953"/>
      <c r="G4342" s="953"/>
      <c r="H4342" s="953"/>
    </row>
    <row r="4343" spans="1:8" s="943" customFormat="1" x14ac:dyDescent="0.25">
      <c r="A4343" s="952"/>
      <c r="B4343" s="953"/>
      <c r="C4343" s="953"/>
      <c r="D4343" s="953"/>
      <c r="E4343" s="953"/>
      <c r="F4343" s="953"/>
      <c r="G4343" s="953"/>
      <c r="H4343" s="953"/>
    </row>
    <row r="4344" spans="1:8" s="943" customFormat="1" x14ac:dyDescent="0.25">
      <c r="A4344" s="952"/>
      <c r="B4344" s="953"/>
      <c r="C4344" s="953"/>
      <c r="D4344" s="953"/>
      <c r="E4344" s="953"/>
      <c r="F4344" s="953"/>
      <c r="G4344" s="953"/>
      <c r="H4344" s="953"/>
    </row>
    <row r="4345" spans="1:8" s="943" customFormat="1" x14ac:dyDescent="0.25">
      <c r="A4345" s="952"/>
      <c r="B4345" s="953"/>
      <c r="C4345" s="953"/>
      <c r="D4345" s="953"/>
      <c r="E4345" s="953"/>
      <c r="F4345" s="953"/>
      <c r="G4345" s="953"/>
      <c r="H4345" s="953"/>
    </row>
    <row r="4346" spans="1:8" s="943" customFormat="1" x14ac:dyDescent="0.25">
      <c r="A4346" s="952"/>
      <c r="B4346" s="953"/>
      <c r="C4346" s="953"/>
      <c r="D4346" s="953"/>
      <c r="E4346" s="953"/>
      <c r="F4346" s="953"/>
      <c r="G4346" s="953"/>
      <c r="H4346" s="953"/>
    </row>
    <row r="4347" spans="1:8" s="943" customFormat="1" x14ac:dyDescent="0.25">
      <c r="A4347" s="952"/>
      <c r="B4347" s="953"/>
      <c r="C4347" s="953"/>
      <c r="D4347" s="953"/>
      <c r="E4347" s="953"/>
      <c r="F4347" s="953"/>
      <c r="G4347" s="953"/>
      <c r="H4347" s="953"/>
    </row>
    <row r="4348" spans="1:8" s="943" customFormat="1" x14ac:dyDescent="0.25">
      <c r="A4348" s="952"/>
      <c r="B4348" s="953"/>
      <c r="C4348" s="953"/>
      <c r="D4348" s="953"/>
      <c r="E4348" s="953"/>
      <c r="F4348" s="953"/>
      <c r="G4348" s="953"/>
      <c r="H4348" s="953"/>
    </row>
    <row r="4349" spans="1:8" s="943" customFormat="1" x14ac:dyDescent="0.25">
      <c r="A4349" s="952"/>
      <c r="B4349" s="953"/>
      <c r="C4349" s="953"/>
      <c r="D4349" s="953"/>
      <c r="E4349" s="953"/>
      <c r="F4349" s="953"/>
      <c r="G4349" s="953"/>
      <c r="H4349" s="953"/>
    </row>
    <row r="4350" spans="1:8" s="943" customFormat="1" x14ac:dyDescent="0.25">
      <c r="A4350" s="952"/>
      <c r="B4350" s="953"/>
      <c r="C4350" s="953"/>
      <c r="D4350" s="953"/>
      <c r="E4350" s="953"/>
      <c r="F4350" s="953"/>
      <c r="G4350" s="953"/>
      <c r="H4350" s="953"/>
    </row>
    <row r="4351" spans="1:8" s="943" customFormat="1" x14ac:dyDescent="0.25">
      <c r="A4351" s="952"/>
      <c r="B4351" s="953"/>
      <c r="C4351" s="953"/>
      <c r="D4351" s="953"/>
      <c r="E4351" s="953"/>
      <c r="F4351" s="953"/>
      <c r="G4351" s="953"/>
      <c r="H4351" s="953"/>
    </row>
    <row r="4352" spans="1:8" s="943" customFormat="1" x14ac:dyDescent="0.25">
      <c r="A4352" s="952"/>
      <c r="B4352" s="953"/>
      <c r="C4352" s="953"/>
      <c r="D4352" s="953"/>
      <c r="E4352" s="953"/>
      <c r="F4352" s="953"/>
      <c r="G4352" s="953"/>
      <c r="H4352" s="953"/>
    </row>
    <row r="4353" spans="1:8" s="943" customFormat="1" x14ac:dyDescent="0.25">
      <c r="A4353" s="952"/>
      <c r="B4353" s="953"/>
      <c r="C4353" s="953"/>
      <c r="D4353" s="953"/>
      <c r="E4353" s="953"/>
      <c r="F4353" s="953"/>
      <c r="G4353" s="953"/>
      <c r="H4353" s="953"/>
    </row>
    <row r="4354" spans="1:8" s="943" customFormat="1" x14ac:dyDescent="0.25">
      <c r="A4354" s="952"/>
      <c r="B4354" s="953"/>
      <c r="C4354" s="953"/>
      <c r="D4354" s="953"/>
      <c r="E4354" s="953"/>
      <c r="F4354" s="953"/>
      <c r="G4354" s="953"/>
      <c r="H4354" s="953"/>
    </row>
    <row r="4355" spans="1:8" s="943" customFormat="1" x14ac:dyDescent="0.25">
      <c r="A4355" s="952"/>
      <c r="B4355" s="953"/>
      <c r="C4355" s="953"/>
      <c r="D4355" s="953"/>
      <c r="E4355" s="953"/>
      <c r="F4355" s="953"/>
      <c r="G4355" s="953"/>
      <c r="H4355" s="953"/>
    </row>
    <row r="4356" spans="1:8" s="943" customFormat="1" x14ac:dyDescent="0.25">
      <c r="A4356" s="952"/>
      <c r="B4356" s="953"/>
      <c r="C4356" s="953"/>
      <c r="D4356" s="953"/>
      <c r="E4356" s="953"/>
      <c r="F4356" s="953"/>
      <c r="G4356" s="953"/>
      <c r="H4356" s="953"/>
    </row>
    <row r="4357" spans="1:8" s="943" customFormat="1" x14ac:dyDescent="0.25">
      <c r="A4357" s="952"/>
      <c r="B4357" s="953"/>
      <c r="C4357" s="953"/>
      <c r="D4357" s="953"/>
      <c r="E4357" s="953"/>
      <c r="F4357" s="953"/>
      <c r="G4357" s="953"/>
      <c r="H4357" s="953"/>
    </row>
    <row r="4358" spans="1:8" s="943" customFormat="1" x14ac:dyDescent="0.25">
      <c r="A4358" s="952"/>
      <c r="B4358" s="953"/>
      <c r="C4358" s="953"/>
      <c r="D4358" s="953"/>
      <c r="E4358" s="953"/>
      <c r="F4358" s="953"/>
      <c r="G4358" s="953"/>
      <c r="H4358" s="953"/>
    </row>
    <row r="4359" spans="1:8" s="943" customFormat="1" x14ac:dyDescent="0.25">
      <c r="A4359" s="952"/>
      <c r="B4359" s="953"/>
      <c r="C4359" s="953"/>
      <c r="D4359" s="953"/>
      <c r="E4359" s="953"/>
      <c r="F4359" s="953"/>
      <c r="G4359" s="953"/>
      <c r="H4359" s="953"/>
    </row>
    <row r="4360" spans="1:8" s="943" customFormat="1" x14ac:dyDescent="0.25">
      <c r="A4360" s="952"/>
      <c r="B4360" s="953"/>
      <c r="C4360" s="953"/>
      <c r="D4360" s="953"/>
      <c r="E4360" s="953"/>
      <c r="F4360" s="953"/>
      <c r="G4360" s="953"/>
      <c r="H4360" s="953"/>
    </row>
    <row r="4361" spans="1:8" s="943" customFormat="1" x14ac:dyDescent="0.25">
      <c r="A4361" s="952"/>
      <c r="B4361" s="953"/>
      <c r="C4361" s="953"/>
      <c r="D4361" s="953"/>
      <c r="E4361" s="953"/>
      <c r="F4361" s="953"/>
      <c r="G4361" s="953"/>
      <c r="H4361" s="953"/>
    </row>
    <row r="4362" spans="1:8" s="943" customFormat="1" x14ac:dyDescent="0.25">
      <c r="A4362" s="952"/>
      <c r="B4362" s="953"/>
      <c r="C4362" s="953"/>
      <c r="D4362" s="953"/>
      <c r="E4362" s="953"/>
      <c r="F4362" s="953"/>
      <c r="G4362" s="953"/>
      <c r="H4362" s="953"/>
    </row>
    <row r="4363" spans="1:8" s="943" customFormat="1" x14ac:dyDescent="0.25">
      <c r="A4363" s="952"/>
      <c r="B4363" s="953"/>
      <c r="C4363" s="953"/>
      <c r="D4363" s="953"/>
      <c r="E4363" s="953"/>
      <c r="F4363" s="953"/>
      <c r="G4363" s="953"/>
      <c r="H4363" s="953"/>
    </row>
    <row r="4364" spans="1:8" s="943" customFormat="1" x14ac:dyDescent="0.25">
      <c r="A4364" s="952"/>
      <c r="B4364" s="953"/>
      <c r="C4364" s="953"/>
      <c r="D4364" s="953"/>
      <c r="E4364" s="953"/>
      <c r="F4364" s="953"/>
      <c r="G4364" s="953"/>
      <c r="H4364" s="953"/>
    </row>
    <row r="4365" spans="1:8" s="943" customFormat="1" x14ac:dyDescent="0.25">
      <c r="A4365" s="952"/>
      <c r="B4365" s="953"/>
      <c r="C4365" s="953"/>
      <c r="D4365" s="953"/>
      <c r="E4365" s="953"/>
      <c r="F4365" s="953"/>
      <c r="G4365" s="953"/>
      <c r="H4365" s="953"/>
    </row>
    <row r="4366" spans="1:8" s="943" customFormat="1" x14ac:dyDescent="0.25">
      <c r="A4366" s="952"/>
      <c r="B4366" s="953"/>
      <c r="C4366" s="953"/>
      <c r="D4366" s="953"/>
      <c r="E4366" s="953"/>
      <c r="F4366" s="953"/>
      <c r="G4366" s="953"/>
      <c r="H4366" s="953"/>
    </row>
    <row r="4367" spans="1:8" s="943" customFormat="1" x14ac:dyDescent="0.25">
      <c r="A4367" s="952"/>
      <c r="B4367" s="953"/>
      <c r="C4367" s="953"/>
      <c r="D4367" s="953"/>
      <c r="E4367" s="953"/>
      <c r="F4367" s="953"/>
      <c r="G4367" s="953"/>
      <c r="H4367" s="953"/>
    </row>
    <row r="4368" spans="1:8" s="943" customFormat="1" x14ac:dyDescent="0.25">
      <c r="A4368" s="952"/>
      <c r="B4368" s="953"/>
      <c r="C4368" s="953"/>
      <c r="D4368" s="953"/>
      <c r="E4368" s="953"/>
      <c r="F4368" s="953"/>
      <c r="G4368" s="953"/>
      <c r="H4368" s="953"/>
    </row>
    <row r="4369" spans="1:8" s="943" customFormat="1" x14ac:dyDescent="0.25">
      <c r="A4369" s="952"/>
      <c r="B4369" s="953"/>
      <c r="C4369" s="953"/>
      <c r="D4369" s="953"/>
      <c r="E4369" s="953"/>
      <c r="F4369" s="953"/>
      <c r="G4369" s="953"/>
      <c r="H4369" s="953"/>
    </row>
    <row r="4370" spans="1:8" s="943" customFormat="1" x14ac:dyDescent="0.25">
      <c r="A4370" s="952"/>
      <c r="B4370" s="953"/>
      <c r="C4370" s="953"/>
      <c r="D4370" s="953"/>
      <c r="E4370" s="953"/>
      <c r="F4370" s="953"/>
      <c r="G4370" s="953"/>
      <c r="H4370" s="953"/>
    </row>
    <row r="4371" spans="1:8" s="943" customFormat="1" x14ac:dyDescent="0.25">
      <c r="A4371" s="952"/>
      <c r="B4371" s="953"/>
      <c r="C4371" s="953"/>
      <c r="D4371" s="953"/>
      <c r="E4371" s="953"/>
      <c r="F4371" s="953"/>
      <c r="G4371" s="953"/>
      <c r="H4371" s="953"/>
    </row>
    <row r="4372" spans="1:8" s="943" customFormat="1" x14ac:dyDescent="0.25">
      <c r="A4372" s="952"/>
      <c r="B4372" s="953"/>
      <c r="C4372" s="953"/>
      <c r="D4372" s="953"/>
      <c r="E4372" s="953"/>
      <c r="F4372" s="953"/>
      <c r="G4372" s="953"/>
      <c r="H4372" s="953"/>
    </row>
    <row r="4373" spans="1:8" s="943" customFormat="1" x14ac:dyDescent="0.25">
      <c r="A4373" s="952"/>
      <c r="B4373" s="953"/>
      <c r="C4373" s="953"/>
      <c r="D4373" s="953"/>
      <c r="E4373" s="953"/>
      <c r="F4373" s="953"/>
      <c r="G4373" s="953"/>
      <c r="H4373" s="953"/>
    </row>
    <row r="4374" spans="1:8" s="943" customFormat="1" x14ac:dyDescent="0.25">
      <c r="A4374" s="952"/>
      <c r="B4374" s="953"/>
      <c r="C4374" s="953"/>
      <c r="D4374" s="953"/>
      <c r="E4374" s="953"/>
      <c r="F4374" s="953"/>
      <c r="G4374" s="953"/>
      <c r="H4374" s="953"/>
    </row>
    <row r="4375" spans="1:8" s="943" customFormat="1" x14ac:dyDescent="0.25">
      <c r="A4375" s="952"/>
      <c r="B4375" s="953"/>
      <c r="C4375" s="953"/>
      <c r="D4375" s="953"/>
      <c r="E4375" s="953"/>
      <c r="F4375" s="953"/>
      <c r="G4375" s="953"/>
      <c r="H4375" s="953"/>
    </row>
    <row r="4376" spans="1:8" s="943" customFormat="1" x14ac:dyDescent="0.25">
      <c r="A4376" s="952"/>
      <c r="B4376" s="953"/>
      <c r="C4376" s="953"/>
      <c r="D4376" s="953"/>
      <c r="E4376" s="953"/>
      <c r="F4376" s="953"/>
      <c r="G4376" s="953"/>
      <c r="H4376" s="953"/>
    </row>
    <row r="4377" spans="1:8" s="943" customFormat="1" x14ac:dyDescent="0.25">
      <c r="A4377" s="952"/>
      <c r="B4377" s="953"/>
      <c r="C4377" s="953"/>
      <c r="D4377" s="953"/>
      <c r="E4377" s="953"/>
      <c r="F4377" s="953"/>
      <c r="G4377" s="953"/>
      <c r="H4377" s="953"/>
    </row>
    <row r="4378" spans="1:8" s="943" customFormat="1" x14ac:dyDescent="0.25">
      <c r="A4378" s="952"/>
      <c r="B4378" s="953"/>
      <c r="C4378" s="953"/>
      <c r="D4378" s="953"/>
      <c r="E4378" s="953"/>
      <c r="F4378" s="953"/>
      <c r="G4378" s="953"/>
      <c r="H4378" s="953"/>
    </row>
    <row r="4379" spans="1:8" s="943" customFormat="1" x14ac:dyDescent="0.25">
      <c r="A4379" s="952"/>
      <c r="B4379" s="953"/>
      <c r="C4379" s="953"/>
      <c r="D4379" s="953"/>
      <c r="E4379" s="953"/>
      <c r="F4379" s="953"/>
      <c r="G4379" s="953"/>
      <c r="H4379" s="953"/>
    </row>
    <row r="4380" spans="1:8" s="943" customFormat="1" x14ac:dyDescent="0.25">
      <c r="A4380" s="952"/>
      <c r="B4380" s="953"/>
      <c r="C4380" s="953"/>
      <c r="D4380" s="953"/>
      <c r="E4380" s="953"/>
      <c r="F4380" s="953"/>
      <c r="G4380" s="953"/>
      <c r="H4380" s="953"/>
    </row>
    <row r="4381" spans="1:8" s="943" customFormat="1" x14ac:dyDescent="0.25">
      <c r="A4381" s="952"/>
      <c r="B4381" s="953"/>
      <c r="C4381" s="953"/>
      <c r="D4381" s="953"/>
      <c r="E4381" s="953"/>
      <c r="F4381" s="953"/>
      <c r="G4381" s="953"/>
      <c r="H4381" s="953"/>
    </row>
    <row r="4382" spans="1:8" s="943" customFormat="1" x14ac:dyDescent="0.25">
      <c r="A4382" s="952"/>
      <c r="B4382" s="953"/>
      <c r="C4382" s="953"/>
      <c r="D4382" s="953"/>
      <c r="E4382" s="953"/>
      <c r="F4382" s="953"/>
      <c r="G4382" s="953"/>
      <c r="H4382" s="953"/>
    </row>
    <row r="4383" spans="1:8" s="943" customFormat="1" x14ac:dyDescent="0.25">
      <c r="A4383" s="952"/>
      <c r="B4383" s="953"/>
      <c r="C4383" s="953"/>
      <c r="D4383" s="953"/>
      <c r="E4383" s="953"/>
      <c r="F4383" s="953"/>
      <c r="G4383" s="953"/>
      <c r="H4383" s="953"/>
    </row>
    <row r="4384" spans="1:8" s="943" customFormat="1" x14ac:dyDescent="0.25">
      <c r="A4384" s="952"/>
      <c r="B4384" s="953"/>
      <c r="C4384" s="953"/>
      <c r="D4384" s="953"/>
      <c r="E4384" s="953"/>
      <c r="F4384" s="953"/>
      <c r="G4384" s="953"/>
      <c r="H4384" s="953"/>
    </row>
    <row r="4385" spans="1:8" s="943" customFormat="1" x14ac:dyDescent="0.25">
      <c r="A4385" s="952"/>
      <c r="B4385" s="953"/>
      <c r="C4385" s="953"/>
      <c r="D4385" s="953"/>
      <c r="E4385" s="953"/>
      <c r="F4385" s="953"/>
      <c r="G4385" s="953"/>
      <c r="H4385" s="953"/>
    </row>
    <row r="4386" spans="1:8" s="943" customFormat="1" x14ac:dyDescent="0.25">
      <c r="A4386" s="952"/>
      <c r="B4386" s="953"/>
      <c r="C4386" s="953"/>
      <c r="D4386" s="953"/>
      <c r="E4386" s="953"/>
      <c r="F4386" s="953"/>
      <c r="G4386" s="953"/>
      <c r="H4386" s="953"/>
    </row>
    <row r="4387" spans="1:8" s="943" customFormat="1" x14ac:dyDescent="0.25">
      <c r="A4387" s="952"/>
      <c r="B4387" s="953"/>
      <c r="C4387" s="953"/>
      <c r="D4387" s="953"/>
      <c r="E4387" s="953"/>
      <c r="F4387" s="953"/>
      <c r="G4387" s="953"/>
      <c r="H4387" s="953"/>
    </row>
    <row r="4388" spans="1:8" s="943" customFormat="1" x14ac:dyDescent="0.25">
      <c r="A4388" s="952"/>
      <c r="B4388" s="953"/>
      <c r="C4388" s="953"/>
      <c r="D4388" s="953"/>
      <c r="E4388" s="953"/>
      <c r="F4388" s="953"/>
      <c r="G4388" s="953"/>
      <c r="H4388" s="953"/>
    </row>
    <row r="4389" spans="1:8" s="943" customFormat="1" x14ac:dyDescent="0.25">
      <c r="A4389" s="952"/>
      <c r="B4389" s="953"/>
      <c r="C4389" s="953"/>
      <c r="D4389" s="953"/>
      <c r="E4389" s="953"/>
      <c r="F4389" s="953"/>
      <c r="G4389" s="953"/>
      <c r="H4389" s="953"/>
    </row>
    <row r="4390" spans="1:8" s="943" customFormat="1" x14ac:dyDescent="0.25">
      <c r="A4390" s="952"/>
      <c r="B4390" s="953"/>
      <c r="C4390" s="953"/>
      <c r="D4390" s="953"/>
      <c r="E4390" s="953"/>
      <c r="F4390" s="953"/>
      <c r="G4390" s="953"/>
      <c r="H4390" s="953"/>
    </row>
    <row r="4391" spans="1:8" s="943" customFormat="1" x14ac:dyDescent="0.25">
      <c r="A4391" s="952"/>
      <c r="B4391" s="953"/>
      <c r="C4391" s="953"/>
      <c r="D4391" s="953"/>
      <c r="E4391" s="953"/>
      <c r="F4391" s="953"/>
      <c r="G4391" s="953"/>
      <c r="H4391" s="953"/>
    </row>
    <row r="4392" spans="1:8" s="943" customFormat="1" x14ac:dyDescent="0.25">
      <c r="A4392" s="952"/>
      <c r="B4392" s="953"/>
      <c r="C4392" s="953"/>
      <c r="D4392" s="953"/>
      <c r="E4392" s="953"/>
      <c r="F4392" s="953"/>
      <c r="G4392" s="953"/>
      <c r="H4392" s="953"/>
    </row>
    <row r="4393" spans="1:8" s="943" customFormat="1" x14ac:dyDescent="0.25">
      <c r="A4393" s="952"/>
      <c r="B4393" s="953"/>
      <c r="C4393" s="953"/>
      <c r="D4393" s="953"/>
      <c r="E4393" s="953"/>
      <c r="F4393" s="953"/>
      <c r="G4393" s="953"/>
      <c r="H4393" s="953"/>
    </row>
    <row r="4394" spans="1:8" s="943" customFormat="1" x14ac:dyDescent="0.25">
      <c r="A4394" s="952"/>
      <c r="B4394" s="953"/>
      <c r="C4394" s="953"/>
      <c r="D4394" s="953"/>
      <c r="E4394" s="953"/>
      <c r="F4394" s="953"/>
      <c r="G4394" s="953"/>
      <c r="H4394" s="953"/>
    </row>
    <row r="4395" spans="1:8" s="943" customFormat="1" x14ac:dyDescent="0.25">
      <c r="A4395" s="952"/>
      <c r="B4395" s="953"/>
      <c r="C4395" s="953"/>
      <c r="D4395" s="953"/>
      <c r="E4395" s="953"/>
      <c r="F4395" s="953"/>
      <c r="G4395" s="953"/>
      <c r="H4395" s="953"/>
    </row>
    <row r="4396" spans="1:8" s="943" customFormat="1" x14ac:dyDescent="0.25">
      <c r="A4396" s="952"/>
      <c r="B4396" s="953"/>
      <c r="C4396" s="953"/>
      <c r="D4396" s="953"/>
      <c r="E4396" s="953"/>
      <c r="F4396" s="953"/>
      <c r="G4396" s="953"/>
      <c r="H4396" s="953"/>
    </row>
    <row r="4397" spans="1:8" s="943" customFormat="1" x14ac:dyDescent="0.25">
      <c r="A4397" s="952"/>
      <c r="B4397" s="953"/>
      <c r="C4397" s="953"/>
      <c r="D4397" s="953"/>
      <c r="E4397" s="953"/>
      <c r="F4397" s="953"/>
      <c r="G4397" s="953"/>
      <c r="H4397" s="953"/>
    </row>
    <row r="4398" spans="1:8" s="943" customFormat="1" x14ac:dyDescent="0.25">
      <c r="A4398" s="952"/>
      <c r="B4398" s="953"/>
      <c r="C4398" s="953"/>
      <c r="D4398" s="953"/>
      <c r="E4398" s="953"/>
      <c r="F4398" s="953"/>
      <c r="G4398" s="953"/>
      <c r="H4398" s="953"/>
    </row>
    <row r="4399" spans="1:8" s="943" customFormat="1" x14ac:dyDescent="0.25">
      <c r="A4399" s="952"/>
      <c r="B4399" s="953"/>
      <c r="C4399" s="953"/>
      <c r="D4399" s="953"/>
      <c r="E4399" s="953"/>
      <c r="F4399" s="953"/>
      <c r="G4399" s="953"/>
      <c r="H4399" s="953"/>
    </row>
    <row r="4400" spans="1:8" s="943" customFormat="1" x14ac:dyDescent="0.25">
      <c r="A4400" s="952"/>
      <c r="B4400" s="953"/>
      <c r="C4400" s="953"/>
      <c r="D4400" s="953"/>
      <c r="E4400" s="953"/>
      <c r="F4400" s="953"/>
      <c r="G4400" s="953"/>
      <c r="H4400" s="953"/>
    </row>
    <row r="4401" spans="1:8" s="943" customFormat="1" x14ac:dyDescent="0.25">
      <c r="A4401" s="952"/>
      <c r="B4401" s="953"/>
      <c r="C4401" s="953"/>
      <c r="D4401" s="953"/>
      <c r="E4401" s="953"/>
      <c r="F4401" s="953"/>
      <c r="G4401" s="953"/>
      <c r="H4401" s="953"/>
    </row>
    <row r="4402" spans="1:8" s="943" customFormat="1" x14ac:dyDescent="0.25">
      <c r="A4402" s="952"/>
      <c r="B4402" s="953"/>
      <c r="C4402" s="953"/>
      <c r="D4402" s="953"/>
      <c r="E4402" s="953"/>
      <c r="F4402" s="953"/>
      <c r="G4402" s="953"/>
      <c r="H4402" s="953"/>
    </row>
    <row r="4403" spans="1:8" s="943" customFormat="1" x14ac:dyDescent="0.25">
      <c r="A4403" s="952"/>
      <c r="B4403" s="953"/>
      <c r="C4403" s="953"/>
      <c r="D4403" s="953"/>
      <c r="E4403" s="953"/>
      <c r="F4403" s="953"/>
      <c r="G4403" s="953"/>
      <c r="H4403" s="953"/>
    </row>
    <row r="4404" spans="1:8" s="943" customFormat="1" x14ac:dyDescent="0.25">
      <c r="A4404" s="952"/>
      <c r="B4404" s="953"/>
      <c r="C4404" s="953"/>
      <c r="D4404" s="953"/>
      <c r="E4404" s="953"/>
      <c r="F4404" s="953"/>
      <c r="G4404" s="953"/>
      <c r="H4404" s="953"/>
    </row>
    <row r="4405" spans="1:8" s="943" customFormat="1" x14ac:dyDescent="0.25">
      <c r="A4405" s="952"/>
      <c r="B4405" s="953"/>
      <c r="C4405" s="953"/>
      <c r="D4405" s="953"/>
      <c r="E4405" s="953"/>
      <c r="F4405" s="953"/>
      <c r="G4405" s="953"/>
      <c r="H4405" s="953"/>
    </row>
    <row r="4406" spans="1:8" s="943" customFormat="1" x14ac:dyDescent="0.25">
      <c r="A4406" s="952"/>
      <c r="B4406" s="953"/>
      <c r="C4406" s="953"/>
      <c r="D4406" s="953"/>
      <c r="E4406" s="953"/>
      <c r="F4406" s="953"/>
      <c r="G4406" s="953"/>
      <c r="H4406" s="953"/>
    </row>
    <row r="4407" spans="1:8" s="943" customFormat="1" x14ac:dyDescent="0.25">
      <c r="A4407" s="952"/>
      <c r="B4407" s="953"/>
      <c r="C4407" s="953"/>
      <c r="D4407" s="953"/>
      <c r="E4407" s="953"/>
      <c r="F4407" s="953"/>
      <c r="G4407" s="953"/>
      <c r="H4407" s="953"/>
    </row>
    <row r="4408" spans="1:8" s="943" customFormat="1" x14ac:dyDescent="0.25">
      <c r="A4408" s="952"/>
      <c r="B4408" s="953"/>
      <c r="C4408" s="953"/>
      <c r="D4408" s="953"/>
      <c r="E4408" s="953"/>
      <c r="F4408" s="953"/>
      <c r="G4408" s="953"/>
      <c r="H4408" s="953"/>
    </row>
    <row r="4409" spans="1:8" s="943" customFormat="1" x14ac:dyDescent="0.25">
      <c r="A4409" s="952"/>
      <c r="B4409" s="953"/>
      <c r="C4409" s="953"/>
      <c r="D4409" s="953"/>
      <c r="E4409" s="953"/>
      <c r="F4409" s="953"/>
      <c r="G4409" s="953"/>
      <c r="H4409" s="953"/>
    </row>
    <row r="4410" spans="1:8" s="943" customFormat="1" x14ac:dyDescent="0.25">
      <c r="A4410" s="952"/>
      <c r="B4410" s="953"/>
      <c r="C4410" s="953"/>
      <c r="D4410" s="953"/>
      <c r="E4410" s="953"/>
      <c r="F4410" s="953"/>
      <c r="G4410" s="953"/>
      <c r="H4410" s="953"/>
    </row>
    <row r="4411" spans="1:8" s="943" customFormat="1" x14ac:dyDescent="0.25">
      <c r="A4411" s="952"/>
      <c r="B4411" s="953"/>
      <c r="C4411" s="953"/>
      <c r="D4411" s="953"/>
      <c r="E4411" s="953"/>
      <c r="F4411" s="953"/>
      <c r="G4411" s="953"/>
      <c r="H4411" s="953"/>
    </row>
    <row r="4412" spans="1:8" s="943" customFormat="1" x14ac:dyDescent="0.25">
      <c r="A4412" s="952"/>
      <c r="B4412" s="953"/>
      <c r="C4412" s="953"/>
      <c r="D4412" s="953"/>
      <c r="E4412" s="953"/>
      <c r="F4412" s="953"/>
      <c r="G4412" s="953"/>
      <c r="H4412" s="953"/>
    </row>
    <row r="4413" spans="1:8" s="943" customFormat="1" x14ac:dyDescent="0.25">
      <c r="A4413" s="952"/>
      <c r="B4413" s="953"/>
      <c r="C4413" s="953"/>
      <c r="D4413" s="953"/>
      <c r="E4413" s="953"/>
      <c r="F4413" s="953"/>
      <c r="G4413" s="953"/>
      <c r="H4413" s="953"/>
    </row>
    <row r="4414" spans="1:8" s="943" customFormat="1" x14ac:dyDescent="0.25">
      <c r="A4414" s="952"/>
      <c r="B4414" s="953"/>
      <c r="C4414" s="953"/>
      <c r="D4414" s="953"/>
      <c r="E4414" s="953"/>
      <c r="F4414" s="953"/>
      <c r="G4414" s="953"/>
      <c r="H4414" s="953"/>
    </row>
    <row r="4415" spans="1:8" s="943" customFormat="1" x14ac:dyDescent="0.25">
      <c r="A4415" s="952"/>
      <c r="B4415" s="953"/>
      <c r="C4415" s="953"/>
      <c r="D4415" s="953"/>
      <c r="E4415" s="953"/>
      <c r="F4415" s="953"/>
      <c r="G4415" s="953"/>
      <c r="H4415" s="953"/>
    </row>
    <row r="4416" spans="1:8" s="943" customFormat="1" x14ac:dyDescent="0.25">
      <c r="A4416" s="952"/>
      <c r="B4416" s="953"/>
      <c r="C4416" s="953"/>
      <c r="D4416" s="953"/>
      <c r="E4416" s="953"/>
      <c r="F4416" s="953"/>
      <c r="G4416" s="953"/>
      <c r="H4416" s="953"/>
    </row>
    <row r="4417" spans="1:8" s="943" customFormat="1" x14ac:dyDescent="0.25">
      <c r="A4417" s="952"/>
      <c r="B4417" s="953"/>
      <c r="C4417" s="953"/>
      <c r="D4417" s="953"/>
      <c r="E4417" s="953"/>
      <c r="F4417" s="953"/>
      <c r="G4417" s="953"/>
      <c r="H4417" s="953"/>
    </row>
    <row r="4418" spans="1:8" s="943" customFormat="1" x14ac:dyDescent="0.25">
      <c r="A4418" s="952"/>
      <c r="B4418" s="953"/>
      <c r="C4418" s="953"/>
      <c r="D4418" s="953"/>
      <c r="E4418" s="953"/>
      <c r="F4418" s="953"/>
      <c r="G4418" s="953"/>
      <c r="H4418" s="953"/>
    </row>
    <row r="4419" spans="1:8" s="943" customFormat="1" x14ac:dyDescent="0.25">
      <c r="A4419" s="952"/>
      <c r="B4419" s="953"/>
      <c r="C4419" s="953"/>
      <c r="D4419" s="953"/>
      <c r="E4419" s="953"/>
      <c r="F4419" s="953"/>
      <c r="G4419" s="953"/>
      <c r="H4419" s="953"/>
    </row>
    <row r="4420" spans="1:8" s="943" customFormat="1" x14ac:dyDescent="0.25">
      <c r="A4420" s="952"/>
      <c r="B4420" s="953"/>
      <c r="C4420" s="953"/>
      <c r="D4420" s="953"/>
      <c r="E4420" s="953"/>
      <c r="F4420" s="953"/>
      <c r="G4420" s="953"/>
      <c r="H4420" s="953"/>
    </row>
    <row r="4421" spans="1:8" s="943" customFormat="1" x14ac:dyDescent="0.25">
      <c r="A4421" s="952"/>
      <c r="B4421" s="953"/>
      <c r="C4421" s="953"/>
      <c r="D4421" s="953"/>
      <c r="E4421" s="953"/>
      <c r="F4421" s="953"/>
      <c r="G4421" s="953"/>
      <c r="H4421" s="953"/>
    </row>
    <row r="4422" spans="1:8" s="943" customFormat="1" x14ac:dyDescent="0.25">
      <c r="A4422" s="952"/>
      <c r="B4422" s="953"/>
      <c r="C4422" s="953"/>
      <c r="D4422" s="953"/>
      <c r="E4422" s="953"/>
      <c r="F4422" s="953"/>
      <c r="G4422" s="953"/>
      <c r="H4422" s="953"/>
    </row>
    <row r="4423" spans="1:8" s="943" customFormat="1" x14ac:dyDescent="0.25">
      <c r="A4423" s="952"/>
      <c r="B4423" s="953"/>
      <c r="C4423" s="953"/>
      <c r="D4423" s="953"/>
      <c r="E4423" s="953"/>
      <c r="F4423" s="953"/>
      <c r="G4423" s="953"/>
      <c r="H4423" s="953"/>
    </row>
    <row r="4424" spans="1:8" s="943" customFormat="1" x14ac:dyDescent="0.25">
      <c r="A4424" s="952"/>
      <c r="B4424" s="953"/>
      <c r="C4424" s="953"/>
      <c r="D4424" s="953"/>
      <c r="E4424" s="953"/>
      <c r="F4424" s="953"/>
      <c r="G4424" s="953"/>
      <c r="H4424" s="953"/>
    </row>
    <row r="4425" spans="1:8" s="943" customFormat="1" x14ac:dyDescent="0.25">
      <c r="A4425" s="952"/>
      <c r="B4425" s="953"/>
      <c r="C4425" s="953"/>
      <c r="D4425" s="953"/>
      <c r="E4425" s="953"/>
      <c r="F4425" s="953"/>
      <c r="G4425" s="953"/>
      <c r="H4425" s="953"/>
    </row>
    <row r="4426" spans="1:8" s="943" customFormat="1" x14ac:dyDescent="0.25">
      <c r="A4426" s="952"/>
      <c r="B4426" s="953"/>
      <c r="C4426" s="953"/>
      <c r="D4426" s="953"/>
      <c r="E4426" s="953"/>
      <c r="F4426" s="953"/>
      <c r="G4426" s="953"/>
      <c r="H4426" s="953"/>
    </row>
    <row r="4427" spans="1:8" s="943" customFormat="1" x14ac:dyDescent="0.25">
      <c r="A4427" s="952"/>
      <c r="B4427" s="953"/>
      <c r="C4427" s="953"/>
      <c r="D4427" s="953"/>
      <c r="E4427" s="953"/>
      <c r="F4427" s="953"/>
      <c r="G4427" s="953"/>
      <c r="H4427" s="953"/>
    </row>
    <row r="4428" spans="1:8" s="943" customFormat="1" x14ac:dyDescent="0.25">
      <c r="A4428" s="952"/>
      <c r="B4428" s="953"/>
      <c r="C4428" s="953"/>
      <c r="D4428" s="953"/>
      <c r="E4428" s="953"/>
      <c r="F4428" s="953"/>
      <c r="G4428" s="953"/>
      <c r="H4428" s="953"/>
    </row>
    <row r="4429" spans="1:8" s="943" customFormat="1" x14ac:dyDescent="0.25">
      <c r="A4429" s="952"/>
      <c r="B4429" s="953"/>
      <c r="C4429" s="953"/>
      <c r="D4429" s="953"/>
      <c r="E4429" s="953"/>
      <c r="F4429" s="953"/>
      <c r="G4429" s="953"/>
      <c r="H4429" s="953"/>
    </row>
    <row r="4430" spans="1:8" s="943" customFormat="1" x14ac:dyDescent="0.25">
      <c r="A4430" s="952"/>
      <c r="B4430" s="953"/>
      <c r="C4430" s="953"/>
      <c r="D4430" s="953"/>
      <c r="E4430" s="953"/>
      <c r="F4430" s="953"/>
      <c r="G4430" s="953"/>
      <c r="H4430" s="953"/>
    </row>
    <row r="4431" spans="1:8" s="943" customFormat="1" x14ac:dyDescent="0.25">
      <c r="A4431" s="952"/>
      <c r="B4431" s="953"/>
      <c r="C4431" s="953"/>
      <c r="D4431" s="953"/>
      <c r="E4431" s="953"/>
      <c r="F4431" s="953"/>
      <c r="G4431" s="953"/>
      <c r="H4431" s="953"/>
    </row>
    <row r="4432" spans="1:8" s="943" customFormat="1" x14ac:dyDescent="0.25">
      <c r="A4432" s="952"/>
      <c r="B4432" s="953"/>
      <c r="C4432" s="953"/>
      <c r="D4432" s="953"/>
      <c r="E4432" s="953"/>
      <c r="F4432" s="953"/>
      <c r="G4432" s="953"/>
      <c r="H4432" s="953"/>
    </row>
    <row r="4433" spans="1:8" s="943" customFormat="1" x14ac:dyDescent="0.25">
      <c r="A4433" s="952"/>
      <c r="B4433" s="953"/>
      <c r="C4433" s="953"/>
      <c r="D4433" s="953"/>
      <c r="E4433" s="953"/>
      <c r="F4433" s="953"/>
      <c r="G4433" s="953"/>
      <c r="H4433" s="953"/>
    </row>
    <row r="4434" spans="1:8" s="943" customFormat="1" x14ac:dyDescent="0.25">
      <c r="A4434" s="952"/>
      <c r="B4434" s="953"/>
      <c r="C4434" s="953"/>
      <c r="D4434" s="953"/>
      <c r="E4434" s="953"/>
      <c r="F4434" s="953"/>
      <c r="G4434" s="953"/>
      <c r="H4434" s="953"/>
    </row>
    <row r="4435" spans="1:8" s="943" customFormat="1" x14ac:dyDescent="0.25">
      <c r="A4435" s="952"/>
      <c r="B4435" s="953"/>
      <c r="C4435" s="953"/>
      <c r="D4435" s="953"/>
      <c r="E4435" s="953"/>
      <c r="F4435" s="953"/>
      <c r="G4435" s="953"/>
      <c r="H4435" s="953"/>
    </row>
    <row r="4436" spans="1:8" s="943" customFormat="1" x14ac:dyDescent="0.25">
      <c r="A4436" s="952"/>
      <c r="B4436" s="953"/>
      <c r="C4436" s="953"/>
      <c r="D4436" s="953"/>
      <c r="E4436" s="953"/>
      <c r="F4436" s="953"/>
      <c r="G4436" s="953"/>
      <c r="H4436" s="953"/>
    </row>
    <row r="4437" spans="1:8" s="943" customFormat="1" x14ac:dyDescent="0.25">
      <c r="A4437" s="952"/>
      <c r="B4437" s="953"/>
      <c r="C4437" s="953"/>
      <c r="D4437" s="953"/>
      <c r="E4437" s="953"/>
      <c r="F4437" s="953"/>
      <c r="G4437" s="953"/>
      <c r="H4437" s="953"/>
    </row>
    <row r="4438" spans="1:8" s="943" customFormat="1" x14ac:dyDescent="0.25">
      <c r="A4438" s="952"/>
      <c r="B4438" s="953"/>
      <c r="C4438" s="953"/>
      <c r="D4438" s="953"/>
      <c r="E4438" s="953"/>
      <c r="F4438" s="953"/>
      <c r="G4438" s="953"/>
      <c r="H4438" s="953"/>
    </row>
    <row r="4439" spans="1:8" s="943" customFormat="1" x14ac:dyDescent="0.25">
      <c r="A4439" s="952"/>
      <c r="B4439" s="953"/>
      <c r="C4439" s="953"/>
      <c r="D4439" s="953"/>
      <c r="E4439" s="953"/>
      <c r="F4439" s="953"/>
      <c r="G4439" s="953"/>
      <c r="H4439" s="953"/>
    </row>
    <row r="4440" spans="1:8" s="943" customFormat="1" x14ac:dyDescent="0.25">
      <c r="A4440" s="952"/>
      <c r="B4440" s="953"/>
      <c r="C4440" s="953"/>
      <c r="D4440" s="953"/>
      <c r="E4440" s="953"/>
      <c r="F4440" s="953"/>
      <c r="G4440" s="953"/>
      <c r="H4440" s="953"/>
    </row>
    <row r="4441" spans="1:8" s="943" customFormat="1" x14ac:dyDescent="0.25">
      <c r="A4441" s="952"/>
      <c r="B4441" s="953"/>
      <c r="C4441" s="953"/>
      <c r="D4441" s="953"/>
      <c r="E4441" s="953"/>
      <c r="F4441" s="953"/>
      <c r="G4441" s="953"/>
      <c r="H4441" s="953"/>
    </row>
    <row r="4442" spans="1:8" s="943" customFormat="1" x14ac:dyDescent="0.25">
      <c r="A4442" s="952"/>
      <c r="B4442" s="953"/>
      <c r="C4442" s="953"/>
      <c r="D4442" s="953"/>
      <c r="E4442" s="953"/>
      <c r="F4442" s="953"/>
      <c r="G4442" s="953"/>
      <c r="H4442" s="953"/>
    </row>
    <row r="4443" spans="1:8" s="943" customFormat="1" x14ac:dyDescent="0.25">
      <c r="A4443" s="952"/>
      <c r="B4443" s="953"/>
      <c r="C4443" s="953"/>
      <c r="D4443" s="953"/>
      <c r="E4443" s="953"/>
      <c r="F4443" s="953"/>
      <c r="G4443" s="953"/>
      <c r="H4443" s="953"/>
    </row>
    <row r="4444" spans="1:8" s="943" customFormat="1" x14ac:dyDescent="0.25">
      <c r="A4444" s="952"/>
      <c r="B4444" s="953"/>
      <c r="C4444" s="953"/>
      <c r="D4444" s="953"/>
      <c r="E4444" s="953"/>
      <c r="F4444" s="953"/>
      <c r="G4444" s="953"/>
      <c r="H4444" s="953"/>
    </row>
    <row r="4445" spans="1:8" s="943" customFormat="1" x14ac:dyDescent="0.25">
      <c r="A4445" s="952"/>
      <c r="B4445" s="953"/>
      <c r="C4445" s="953"/>
      <c r="D4445" s="953"/>
      <c r="E4445" s="953"/>
      <c r="F4445" s="953"/>
      <c r="G4445" s="953"/>
      <c r="H4445" s="953"/>
    </row>
    <row r="4446" spans="1:8" s="943" customFormat="1" x14ac:dyDescent="0.25">
      <c r="A4446" s="952"/>
      <c r="B4446" s="953"/>
      <c r="C4446" s="953"/>
      <c r="D4446" s="953"/>
      <c r="E4446" s="953"/>
      <c r="F4446" s="953"/>
      <c r="G4446" s="953"/>
      <c r="H4446" s="953"/>
    </row>
    <row r="4447" spans="1:8" s="943" customFormat="1" x14ac:dyDescent="0.25">
      <c r="A4447" s="952"/>
      <c r="B4447" s="953"/>
      <c r="C4447" s="953"/>
      <c r="D4447" s="953"/>
      <c r="E4447" s="953"/>
      <c r="F4447" s="953"/>
      <c r="G4447" s="953"/>
      <c r="H4447" s="953"/>
    </row>
    <row r="4448" spans="1:8" s="943" customFormat="1" x14ac:dyDescent="0.25">
      <c r="A4448" s="952"/>
      <c r="B4448" s="953"/>
      <c r="C4448" s="953"/>
      <c r="D4448" s="953"/>
      <c r="E4448" s="953"/>
      <c r="F4448" s="953"/>
      <c r="G4448" s="953"/>
      <c r="H4448" s="953"/>
    </row>
    <row r="4449" spans="1:8" s="943" customFormat="1" x14ac:dyDescent="0.25">
      <c r="A4449" s="952"/>
      <c r="B4449" s="953"/>
      <c r="C4449" s="953"/>
      <c r="D4449" s="953"/>
      <c r="E4449" s="953"/>
      <c r="F4449" s="953"/>
      <c r="G4449" s="953"/>
      <c r="H4449" s="953"/>
    </row>
    <row r="4450" spans="1:8" s="943" customFormat="1" x14ac:dyDescent="0.25">
      <c r="A4450" s="952"/>
      <c r="B4450" s="953"/>
      <c r="C4450" s="953"/>
      <c r="D4450" s="953"/>
      <c r="E4450" s="953"/>
      <c r="F4450" s="953"/>
      <c r="G4450" s="953"/>
      <c r="H4450" s="953"/>
    </row>
    <row r="4451" spans="1:8" s="943" customFormat="1" x14ac:dyDescent="0.25">
      <c r="A4451" s="952"/>
      <c r="B4451" s="953"/>
      <c r="C4451" s="953"/>
      <c r="D4451" s="953"/>
      <c r="E4451" s="953"/>
      <c r="F4451" s="953"/>
      <c r="G4451" s="953"/>
      <c r="H4451" s="953"/>
    </row>
    <row r="4452" spans="1:8" s="943" customFormat="1" x14ac:dyDescent="0.25">
      <c r="A4452" s="952"/>
      <c r="B4452" s="953"/>
      <c r="C4452" s="953"/>
      <c r="D4452" s="953"/>
      <c r="E4452" s="953"/>
      <c r="F4452" s="953"/>
      <c r="G4452" s="953"/>
      <c r="H4452" s="953"/>
    </row>
    <row r="4453" spans="1:8" s="943" customFormat="1" x14ac:dyDescent="0.25">
      <c r="A4453" s="952"/>
      <c r="B4453" s="953"/>
      <c r="C4453" s="953"/>
      <c r="D4453" s="953"/>
      <c r="E4453" s="953"/>
      <c r="F4453" s="953"/>
      <c r="G4453" s="953"/>
      <c r="H4453" s="953"/>
    </row>
    <row r="4454" spans="1:8" s="943" customFormat="1" x14ac:dyDescent="0.25">
      <c r="A4454" s="952"/>
      <c r="B4454" s="953"/>
      <c r="C4454" s="953"/>
      <c r="D4454" s="953"/>
      <c r="E4454" s="953"/>
      <c r="F4454" s="953"/>
      <c r="G4454" s="953"/>
      <c r="H4454" s="953"/>
    </row>
    <row r="4455" spans="1:8" s="943" customFormat="1" x14ac:dyDescent="0.25">
      <c r="A4455" s="952"/>
      <c r="B4455" s="953"/>
      <c r="C4455" s="953"/>
      <c r="D4455" s="953"/>
      <c r="E4455" s="953"/>
      <c r="F4455" s="953"/>
      <c r="G4455" s="953"/>
      <c r="H4455" s="953"/>
    </row>
    <row r="4456" spans="1:8" s="943" customFormat="1" x14ac:dyDescent="0.25">
      <c r="A4456" s="952"/>
      <c r="B4456" s="953"/>
      <c r="C4456" s="953"/>
      <c r="D4456" s="953"/>
      <c r="E4456" s="953"/>
      <c r="F4456" s="953"/>
      <c r="G4456" s="953"/>
      <c r="H4456" s="953"/>
    </row>
    <row r="4457" spans="1:8" s="943" customFormat="1" x14ac:dyDescent="0.25">
      <c r="A4457" s="952"/>
      <c r="B4457" s="953"/>
      <c r="C4457" s="953"/>
      <c r="D4457" s="953"/>
      <c r="E4457" s="953"/>
      <c r="F4457" s="953"/>
      <c r="G4457" s="953"/>
      <c r="H4457" s="953"/>
    </row>
    <row r="4458" spans="1:8" s="943" customFormat="1" x14ac:dyDescent="0.25">
      <c r="A4458" s="952"/>
      <c r="B4458" s="953"/>
      <c r="C4458" s="953"/>
      <c r="D4458" s="953"/>
      <c r="E4458" s="953"/>
      <c r="F4458" s="953"/>
      <c r="G4458" s="953"/>
      <c r="H4458" s="953"/>
    </row>
    <row r="4459" spans="1:8" s="943" customFormat="1" x14ac:dyDescent="0.25">
      <c r="A4459" s="952"/>
      <c r="B4459" s="953"/>
      <c r="C4459" s="953"/>
      <c r="D4459" s="953"/>
      <c r="E4459" s="953"/>
      <c r="F4459" s="953"/>
      <c r="G4459" s="953"/>
      <c r="H4459" s="953"/>
    </row>
    <row r="4460" spans="1:8" s="943" customFormat="1" x14ac:dyDescent="0.25">
      <c r="A4460" s="952"/>
      <c r="B4460" s="953"/>
      <c r="C4460" s="953"/>
      <c r="D4460" s="953"/>
      <c r="E4460" s="953"/>
      <c r="F4460" s="953"/>
      <c r="G4460" s="953"/>
      <c r="H4460" s="953"/>
    </row>
    <row r="4461" spans="1:8" s="943" customFormat="1" x14ac:dyDescent="0.25">
      <c r="A4461" s="952"/>
      <c r="B4461" s="953"/>
      <c r="C4461" s="953"/>
      <c r="D4461" s="953"/>
      <c r="E4461" s="953"/>
      <c r="F4461" s="953"/>
      <c r="G4461" s="953"/>
      <c r="H4461" s="953"/>
    </row>
    <row r="4462" spans="1:8" s="943" customFormat="1" x14ac:dyDescent="0.25">
      <c r="A4462" s="952"/>
      <c r="B4462" s="953"/>
      <c r="C4462" s="953"/>
      <c r="D4462" s="953"/>
      <c r="E4462" s="953"/>
      <c r="F4462" s="953"/>
      <c r="G4462" s="953"/>
      <c r="H4462" s="953"/>
    </row>
    <row r="4463" spans="1:8" s="943" customFormat="1" x14ac:dyDescent="0.25">
      <c r="A4463" s="952"/>
      <c r="B4463" s="953"/>
      <c r="C4463" s="953"/>
      <c r="D4463" s="953"/>
      <c r="E4463" s="953"/>
      <c r="F4463" s="953"/>
      <c r="G4463" s="953"/>
      <c r="H4463" s="953"/>
    </row>
    <row r="4464" spans="1:8" s="943" customFormat="1" x14ac:dyDescent="0.25">
      <c r="A4464" s="952"/>
      <c r="B4464" s="953"/>
      <c r="C4464" s="953"/>
      <c r="D4464" s="953"/>
      <c r="E4464" s="953"/>
      <c r="F4464" s="953"/>
      <c r="G4464" s="953"/>
      <c r="H4464" s="953"/>
    </row>
    <row r="4465" spans="1:8" s="943" customFormat="1" x14ac:dyDescent="0.25">
      <c r="A4465" s="952"/>
      <c r="B4465" s="953"/>
      <c r="C4465" s="953"/>
      <c r="D4465" s="953"/>
      <c r="E4465" s="953"/>
      <c r="F4465" s="953"/>
      <c r="G4465" s="953"/>
      <c r="H4465" s="953"/>
    </row>
    <row r="4466" spans="1:8" s="943" customFormat="1" x14ac:dyDescent="0.25">
      <c r="A4466" s="952"/>
      <c r="B4466" s="953"/>
      <c r="C4466" s="953"/>
      <c r="D4466" s="953"/>
      <c r="E4466" s="953"/>
      <c r="F4466" s="953"/>
      <c r="G4466" s="953"/>
      <c r="H4466" s="953"/>
    </row>
    <row r="4467" spans="1:8" s="943" customFormat="1" x14ac:dyDescent="0.25">
      <c r="A4467" s="952"/>
      <c r="B4467" s="953"/>
      <c r="C4467" s="953"/>
      <c r="D4467" s="953"/>
      <c r="E4467" s="953"/>
      <c r="F4467" s="953"/>
      <c r="G4467" s="953"/>
      <c r="H4467" s="953"/>
    </row>
    <row r="4468" spans="1:8" s="943" customFormat="1" x14ac:dyDescent="0.25">
      <c r="A4468" s="952"/>
      <c r="B4468" s="953"/>
      <c r="C4468" s="953"/>
      <c r="D4468" s="953"/>
      <c r="E4468" s="953"/>
      <c r="F4468" s="953"/>
      <c r="G4468" s="953"/>
      <c r="H4468" s="953"/>
    </row>
    <row r="4469" spans="1:8" s="943" customFormat="1" x14ac:dyDescent="0.25">
      <c r="A4469" s="952"/>
      <c r="B4469" s="953"/>
      <c r="C4469" s="953"/>
      <c r="D4469" s="953"/>
      <c r="E4469" s="953"/>
      <c r="F4469" s="953"/>
      <c r="G4469" s="953"/>
      <c r="H4469" s="953"/>
    </row>
    <row r="4470" spans="1:8" s="943" customFormat="1" x14ac:dyDescent="0.25">
      <c r="A4470" s="952"/>
      <c r="B4470" s="953"/>
      <c r="C4470" s="953"/>
      <c r="D4470" s="953"/>
      <c r="E4470" s="953"/>
      <c r="F4470" s="953"/>
      <c r="G4470" s="953"/>
      <c r="H4470" s="953"/>
    </row>
    <row r="4471" spans="1:8" s="943" customFormat="1" x14ac:dyDescent="0.25">
      <c r="A4471" s="952"/>
      <c r="B4471" s="953"/>
      <c r="C4471" s="953"/>
      <c r="D4471" s="953"/>
      <c r="E4471" s="953"/>
      <c r="F4471" s="953"/>
      <c r="G4471" s="953"/>
      <c r="H4471" s="953"/>
    </row>
    <row r="4472" spans="1:8" s="943" customFormat="1" x14ac:dyDescent="0.25">
      <c r="A4472" s="952"/>
      <c r="B4472" s="953"/>
      <c r="C4472" s="953"/>
      <c r="D4472" s="953"/>
      <c r="E4472" s="953"/>
      <c r="F4472" s="953"/>
      <c r="G4472" s="953"/>
      <c r="H4472" s="953"/>
    </row>
    <row r="4473" spans="1:8" s="943" customFormat="1" x14ac:dyDescent="0.25">
      <c r="A4473" s="952"/>
      <c r="B4473" s="953"/>
      <c r="C4473" s="953"/>
      <c r="D4473" s="953"/>
      <c r="E4473" s="953"/>
      <c r="F4473" s="953"/>
      <c r="G4473" s="953"/>
      <c r="H4473" s="953"/>
    </row>
    <row r="4474" spans="1:8" s="943" customFormat="1" x14ac:dyDescent="0.25">
      <c r="A4474" s="952"/>
      <c r="B4474" s="953"/>
      <c r="C4474" s="953"/>
      <c r="D4474" s="953"/>
      <c r="E4474" s="953"/>
      <c r="F4474" s="953"/>
      <c r="G4474" s="953"/>
      <c r="H4474" s="953"/>
    </row>
    <row r="4475" spans="1:8" s="943" customFormat="1" x14ac:dyDescent="0.25">
      <c r="A4475" s="952"/>
      <c r="B4475" s="953"/>
      <c r="C4475" s="953"/>
      <c r="D4475" s="953"/>
      <c r="E4475" s="953"/>
      <c r="F4475" s="953"/>
      <c r="G4475" s="953"/>
      <c r="H4475" s="953"/>
    </row>
    <row r="4476" spans="1:8" s="943" customFormat="1" x14ac:dyDescent="0.25">
      <c r="A4476" s="952"/>
      <c r="B4476" s="953"/>
      <c r="C4476" s="953"/>
      <c r="D4476" s="953"/>
      <c r="E4476" s="953"/>
      <c r="F4476" s="953"/>
      <c r="G4476" s="953"/>
      <c r="H4476" s="953"/>
    </row>
    <row r="4477" spans="1:8" s="943" customFormat="1" x14ac:dyDescent="0.25">
      <c r="A4477" s="952"/>
      <c r="B4477" s="953"/>
      <c r="C4477" s="953"/>
      <c r="D4477" s="953"/>
      <c r="E4477" s="953"/>
      <c r="F4477" s="953"/>
      <c r="G4477" s="953"/>
      <c r="H4477" s="953"/>
    </row>
    <row r="4478" spans="1:8" s="943" customFormat="1" x14ac:dyDescent="0.25">
      <c r="A4478" s="952"/>
      <c r="B4478" s="953"/>
      <c r="C4478" s="953"/>
      <c r="D4478" s="953"/>
      <c r="E4478" s="953"/>
      <c r="F4478" s="953"/>
      <c r="G4478" s="953"/>
      <c r="H4478" s="953"/>
    </row>
    <row r="4479" spans="1:8" s="943" customFormat="1" x14ac:dyDescent="0.25">
      <c r="A4479" s="952"/>
      <c r="B4479" s="953"/>
      <c r="C4479" s="953"/>
      <c r="D4479" s="953"/>
      <c r="E4479" s="953"/>
      <c r="F4479" s="953"/>
      <c r="G4479" s="953"/>
      <c r="H4479" s="953"/>
    </row>
    <row r="4480" spans="1:8" s="943" customFormat="1" x14ac:dyDescent="0.25">
      <c r="A4480" s="952"/>
      <c r="B4480" s="953"/>
      <c r="C4480" s="953"/>
      <c r="D4480" s="953"/>
      <c r="E4480" s="953"/>
      <c r="F4480" s="953"/>
      <c r="G4480" s="953"/>
      <c r="H4480" s="953"/>
    </row>
    <row r="4481" spans="1:8" s="943" customFormat="1" x14ac:dyDescent="0.25">
      <c r="A4481" s="952"/>
      <c r="B4481" s="953"/>
      <c r="C4481" s="953"/>
      <c r="D4481" s="953"/>
      <c r="E4481" s="953"/>
      <c r="F4481" s="953"/>
      <c r="G4481" s="953"/>
      <c r="H4481" s="953"/>
    </row>
    <row r="4482" spans="1:8" s="943" customFormat="1" x14ac:dyDescent="0.25">
      <c r="A4482" s="952"/>
      <c r="B4482" s="953"/>
      <c r="C4482" s="953"/>
      <c r="D4482" s="953"/>
      <c r="E4482" s="953"/>
      <c r="F4482" s="953"/>
      <c r="G4482" s="953"/>
      <c r="H4482" s="953"/>
    </row>
    <row r="4483" spans="1:8" s="943" customFormat="1" x14ac:dyDescent="0.25">
      <c r="A4483" s="952"/>
      <c r="B4483" s="953"/>
      <c r="C4483" s="953"/>
      <c r="D4483" s="953"/>
      <c r="E4483" s="953"/>
      <c r="F4483" s="953"/>
      <c r="G4483" s="953"/>
      <c r="H4483" s="953"/>
    </row>
    <row r="4484" spans="1:8" s="943" customFormat="1" x14ac:dyDescent="0.25">
      <c r="A4484" s="952"/>
      <c r="B4484" s="953"/>
      <c r="C4484" s="953"/>
      <c r="D4484" s="953"/>
      <c r="E4484" s="953"/>
      <c r="F4484" s="953"/>
      <c r="G4484" s="953"/>
      <c r="H4484" s="953"/>
    </row>
    <row r="4485" spans="1:8" s="943" customFormat="1" x14ac:dyDescent="0.25">
      <c r="A4485" s="952"/>
      <c r="B4485" s="953"/>
      <c r="C4485" s="953"/>
      <c r="D4485" s="953"/>
      <c r="E4485" s="953"/>
      <c r="F4485" s="953"/>
      <c r="G4485" s="953"/>
      <c r="H4485" s="953"/>
    </row>
    <row r="4486" spans="1:8" s="943" customFormat="1" x14ac:dyDescent="0.25">
      <c r="A4486" s="952"/>
      <c r="B4486" s="953"/>
      <c r="C4486" s="953"/>
      <c r="D4486" s="953"/>
      <c r="E4486" s="953"/>
      <c r="F4486" s="953"/>
      <c r="G4486" s="953"/>
      <c r="H4486" s="953"/>
    </row>
    <row r="4487" spans="1:8" s="943" customFormat="1" x14ac:dyDescent="0.25">
      <c r="A4487" s="952"/>
      <c r="B4487" s="953"/>
      <c r="C4487" s="953"/>
      <c r="D4487" s="953"/>
      <c r="E4487" s="953"/>
      <c r="F4487" s="953"/>
      <c r="G4487" s="953"/>
      <c r="H4487" s="953"/>
    </row>
    <row r="4488" spans="1:8" s="943" customFormat="1" x14ac:dyDescent="0.25">
      <c r="A4488" s="952"/>
      <c r="B4488" s="953"/>
      <c r="C4488" s="953"/>
      <c r="D4488" s="953"/>
      <c r="E4488" s="953"/>
      <c r="F4488" s="953"/>
      <c r="G4488" s="953"/>
      <c r="H4488" s="953"/>
    </row>
    <row r="4489" spans="1:8" s="943" customFormat="1" x14ac:dyDescent="0.25">
      <c r="A4489" s="952"/>
      <c r="B4489" s="953"/>
      <c r="C4489" s="953"/>
      <c r="D4489" s="953"/>
      <c r="E4489" s="953"/>
      <c r="F4489" s="953"/>
      <c r="G4489" s="953"/>
      <c r="H4489" s="953"/>
    </row>
    <row r="4490" spans="1:8" s="943" customFormat="1" x14ac:dyDescent="0.25">
      <c r="A4490" s="952"/>
      <c r="B4490" s="953"/>
      <c r="C4490" s="953"/>
      <c r="D4490" s="953"/>
      <c r="E4490" s="953"/>
      <c r="F4490" s="953"/>
      <c r="G4490" s="953"/>
      <c r="H4490" s="953"/>
    </row>
    <row r="4491" spans="1:8" s="943" customFormat="1" x14ac:dyDescent="0.25">
      <c r="A4491" s="952"/>
      <c r="B4491" s="953"/>
      <c r="C4491" s="953"/>
      <c r="D4491" s="953"/>
      <c r="E4491" s="953"/>
      <c r="F4491" s="953"/>
      <c r="G4491" s="953"/>
      <c r="H4491" s="953"/>
    </row>
    <row r="4492" spans="1:8" s="943" customFormat="1" x14ac:dyDescent="0.25">
      <c r="A4492" s="952"/>
      <c r="B4492" s="953"/>
      <c r="C4492" s="953"/>
      <c r="D4492" s="953"/>
      <c r="E4492" s="953"/>
      <c r="F4492" s="953"/>
      <c r="G4492" s="953"/>
      <c r="H4492" s="953"/>
    </row>
    <row r="4493" spans="1:8" s="943" customFormat="1" x14ac:dyDescent="0.25">
      <c r="A4493" s="952"/>
      <c r="B4493" s="953"/>
      <c r="C4493" s="953"/>
      <c r="D4493" s="953"/>
      <c r="E4493" s="953"/>
      <c r="F4493" s="953"/>
      <c r="G4493" s="953"/>
      <c r="H4493" s="953"/>
    </row>
    <row r="4494" spans="1:8" s="943" customFormat="1" x14ac:dyDescent="0.25">
      <c r="A4494" s="952"/>
      <c r="B4494" s="953"/>
      <c r="C4494" s="953"/>
      <c r="D4494" s="953"/>
      <c r="E4494" s="953"/>
      <c r="F4494" s="953"/>
      <c r="G4494" s="953"/>
      <c r="H4494" s="953"/>
    </row>
    <row r="4495" spans="1:8" s="943" customFormat="1" x14ac:dyDescent="0.25">
      <c r="A4495" s="952"/>
      <c r="B4495" s="953"/>
      <c r="C4495" s="953"/>
      <c r="D4495" s="953"/>
      <c r="E4495" s="953"/>
      <c r="F4495" s="953"/>
      <c r="G4495" s="953"/>
      <c r="H4495" s="953"/>
    </row>
    <row r="4496" spans="1:8" s="943" customFormat="1" x14ac:dyDescent="0.25">
      <c r="A4496" s="952"/>
      <c r="B4496" s="953"/>
      <c r="C4496" s="953"/>
      <c r="D4496" s="953"/>
      <c r="E4496" s="953"/>
      <c r="F4496" s="953"/>
      <c r="G4496" s="953"/>
      <c r="H4496" s="953"/>
    </row>
    <row r="4497" spans="1:8" s="943" customFormat="1" x14ac:dyDescent="0.25">
      <c r="A4497" s="952"/>
      <c r="B4497" s="953"/>
      <c r="C4497" s="953"/>
      <c r="D4497" s="953"/>
      <c r="E4497" s="953"/>
      <c r="F4497" s="953"/>
      <c r="G4497" s="953"/>
      <c r="H4497" s="953"/>
    </row>
    <row r="4498" spans="1:8" s="943" customFormat="1" x14ac:dyDescent="0.25">
      <c r="A4498" s="952"/>
      <c r="B4498" s="953"/>
      <c r="C4498" s="953"/>
      <c r="D4498" s="953"/>
      <c r="E4498" s="953"/>
      <c r="F4498" s="953"/>
      <c r="G4498" s="953"/>
      <c r="H4498" s="953"/>
    </row>
    <row r="4499" spans="1:8" s="943" customFormat="1" x14ac:dyDescent="0.25">
      <c r="A4499" s="952"/>
      <c r="B4499" s="953"/>
      <c r="C4499" s="953"/>
      <c r="D4499" s="953"/>
      <c r="E4499" s="953"/>
      <c r="F4499" s="953"/>
      <c r="G4499" s="953"/>
      <c r="H4499" s="953"/>
    </row>
    <row r="4500" spans="1:8" s="943" customFormat="1" x14ac:dyDescent="0.25">
      <c r="A4500" s="952"/>
      <c r="B4500" s="953"/>
      <c r="C4500" s="953"/>
      <c r="D4500" s="953"/>
      <c r="E4500" s="953"/>
      <c r="F4500" s="953"/>
      <c r="G4500" s="953"/>
      <c r="H4500" s="953"/>
    </row>
    <row r="4501" spans="1:8" s="943" customFormat="1" x14ac:dyDescent="0.25">
      <c r="A4501" s="952"/>
      <c r="B4501" s="953"/>
      <c r="C4501" s="953"/>
      <c r="D4501" s="953"/>
      <c r="E4501" s="953"/>
      <c r="F4501" s="953"/>
      <c r="G4501" s="953"/>
      <c r="H4501" s="953"/>
    </row>
    <row r="4502" spans="1:8" s="943" customFormat="1" x14ac:dyDescent="0.25">
      <c r="A4502" s="952"/>
      <c r="B4502" s="953"/>
      <c r="C4502" s="953"/>
      <c r="D4502" s="953"/>
      <c r="E4502" s="953"/>
      <c r="F4502" s="953"/>
      <c r="G4502" s="953"/>
      <c r="H4502" s="953"/>
    </row>
    <row r="4503" spans="1:8" s="943" customFormat="1" x14ac:dyDescent="0.25">
      <c r="A4503" s="952"/>
      <c r="B4503" s="953"/>
      <c r="C4503" s="953"/>
      <c r="D4503" s="953"/>
      <c r="E4503" s="953"/>
      <c r="F4503" s="953"/>
      <c r="G4503" s="953"/>
      <c r="H4503" s="953"/>
    </row>
    <row r="4504" spans="1:8" s="943" customFormat="1" x14ac:dyDescent="0.25">
      <c r="A4504" s="952"/>
      <c r="B4504" s="953"/>
      <c r="C4504" s="953"/>
      <c r="D4504" s="953"/>
      <c r="E4504" s="953"/>
      <c r="F4504" s="953"/>
      <c r="G4504" s="953"/>
      <c r="H4504" s="953"/>
    </row>
    <row r="4505" spans="1:8" s="943" customFormat="1" x14ac:dyDescent="0.25">
      <c r="A4505" s="952"/>
      <c r="B4505" s="953"/>
      <c r="C4505" s="953"/>
      <c r="D4505" s="953"/>
      <c r="E4505" s="953"/>
      <c r="F4505" s="953"/>
      <c r="G4505" s="953"/>
      <c r="H4505" s="953"/>
    </row>
    <row r="4506" spans="1:8" s="943" customFormat="1" x14ac:dyDescent="0.25">
      <c r="A4506" s="952"/>
      <c r="B4506" s="953"/>
      <c r="C4506" s="953"/>
      <c r="D4506" s="953"/>
      <c r="E4506" s="953"/>
      <c r="F4506" s="953"/>
      <c r="G4506" s="953"/>
      <c r="H4506" s="953"/>
    </row>
    <row r="4507" spans="1:8" s="943" customFormat="1" x14ac:dyDescent="0.25">
      <c r="A4507" s="952"/>
      <c r="B4507" s="953"/>
      <c r="C4507" s="953"/>
      <c r="D4507" s="953"/>
      <c r="E4507" s="953"/>
      <c r="F4507" s="953"/>
      <c r="G4507" s="953"/>
      <c r="H4507" s="953"/>
    </row>
    <row r="4508" spans="1:8" s="943" customFormat="1" x14ac:dyDescent="0.25">
      <c r="A4508" s="952"/>
      <c r="B4508" s="953"/>
      <c r="C4508" s="953"/>
      <c r="D4508" s="953"/>
      <c r="E4508" s="953"/>
      <c r="F4508" s="953"/>
      <c r="G4508" s="953"/>
      <c r="H4508" s="953"/>
    </row>
    <row r="4509" spans="1:8" s="943" customFormat="1" x14ac:dyDescent="0.25">
      <c r="A4509" s="952"/>
      <c r="B4509" s="953"/>
      <c r="C4509" s="953"/>
      <c r="D4509" s="953"/>
      <c r="E4509" s="953"/>
      <c r="F4509" s="953"/>
      <c r="G4509" s="953"/>
      <c r="H4509" s="953"/>
    </row>
    <row r="4510" spans="1:8" s="943" customFormat="1" x14ac:dyDescent="0.25">
      <c r="A4510" s="952"/>
      <c r="B4510" s="953"/>
      <c r="C4510" s="953"/>
      <c r="D4510" s="953"/>
      <c r="E4510" s="953"/>
      <c r="F4510" s="953"/>
      <c r="G4510" s="953"/>
      <c r="H4510" s="953"/>
    </row>
    <row r="4511" spans="1:8" s="943" customFormat="1" x14ac:dyDescent="0.25">
      <c r="A4511" s="952"/>
      <c r="B4511" s="953"/>
      <c r="C4511" s="953"/>
      <c r="D4511" s="953"/>
      <c r="E4511" s="953"/>
      <c r="F4511" s="953"/>
      <c r="G4511" s="953"/>
      <c r="H4511" s="953"/>
    </row>
    <row r="4512" spans="1:8" s="943" customFormat="1" x14ac:dyDescent="0.25">
      <c r="A4512" s="952"/>
      <c r="B4512" s="953"/>
      <c r="C4512" s="953"/>
      <c r="D4512" s="953"/>
      <c r="E4512" s="953"/>
      <c r="F4512" s="953"/>
      <c r="G4512" s="953"/>
      <c r="H4512" s="953"/>
    </row>
    <row r="4513" spans="1:8" s="943" customFormat="1" x14ac:dyDescent="0.25">
      <c r="A4513" s="952"/>
      <c r="B4513" s="953"/>
      <c r="C4513" s="953"/>
      <c r="D4513" s="953"/>
      <c r="E4513" s="953"/>
      <c r="F4513" s="953"/>
      <c r="G4513" s="953"/>
      <c r="H4513" s="953"/>
    </row>
    <row r="4514" spans="1:8" s="943" customFormat="1" x14ac:dyDescent="0.25">
      <c r="A4514" s="952"/>
      <c r="B4514" s="953"/>
      <c r="C4514" s="953"/>
      <c r="D4514" s="953"/>
      <c r="E4514" s="953"/>
      <c r="F4514" s="953"/>
      <c r="G4514" s="953"/>
      <c r="H4514" s="953"/>
    </row>
    <row r="4515" spans="1:8" s="943" customFormat="1" x14ac:dyDescent="0.25">
      <c r="A4515" s="952"/>
      <c r="B4515" s="953"/>
      <c r="C4515" s="953"/>
      <c r="D4515" s="953"/>
      <c r="E4515" s="953"/>
      <c r="F4515" s="953"/>
      <c r="G4515" s="953"/>
      <c r="H4515" s="953"/>
    </row>
    <row r="4516" spans="1:8" s="943" customFormat="1" x14ac:dyDescent="0.25">
      <c r="A4516" s="952"/>
      <c r="B4516" s="953"/>
      <c r="C4516" s="953"/>
      <c r="D4516" s="953"/>
      <c r="E4516" s="953"/>
      <c r="F4516" s="953"/>
      <c r="G4516" s="953"/>
      <c r="H4516" s="953"/>
    </row>
    <row r="4517" spans="1:8" s="943" customFormat="1" x14ac:dyDescent="0.25">
      <c r="A4517" s="952"/>
      <c r="B4517" s="953"/>
      <c r="C4517" s="953"/>
      <c r="D4517" s="953"/>
      <c r="E4517" s="953"/>
      <c r="F4517" s="953"/>
      <c r="G4517" s="953"/>
      <c r="H4517" s="953"/>
    </row>
    <row r="4518" spans="1:8" s="943" customFormat="1" x14ac:dyDescent="0.25">
      <c r="A4518" s="952"/>
      <c r="B4518" s="953"/>
      <c r="C4518" s="953"/>
      <c r="D4518" s="953"/>
      <c r="E4518" s="953"/>
      <c r="F4518" s="953"/>
      <c r="G4518" s="953"/>
      <c r="H4518" s="953"/>
    </row>
    <row r="4519" spans="1:8" s="943" customFormat="1" x14ac:dyDescent="0.25">
      <c r="A4519" s="952"/>
      <c r="B4519" s="953"/>
      <c r="C4519" s="953"/>
      <c r="D4519" s="953"/>
      <c r="E4519" s="953"/>
      <c r="F4519" s="953"/>
      <c r="G4519" s="953"/>
      <c r="H4519" s="953"/>
    </row>
    <row r="4520" spans="1:8" s="943" customFormat="1" x14ac:dyDescent="0.25">
      <c r="A4520" s="952"/>
      <c r="B4520" s="953"/>
      <c r="C4520" s="953"/>
      <c r="D4520" s="953"/>
      <c r="E4520" s="953"/>
      <c r="F4520" s="953"/>
      <c r="G4520" s="953"/>
      <c r="H4520" s="953"/>
    </row>
    <row r="4521" spans="1:8" s="943" customFormat="1" x14ac:dyDescent="0.25">
      <c r="A4521" s="952"/>
      <c r="B4521" s="953"/>
      <c r="C4521" s="953"/>
      <c r="D4521" s="953"/>
      <c r="E4521" s="953"/>
      <c r="F4521" s="953"/>
      <c r="G4521" s="953"/>
      <c r="H4521" s="953"/>
    </row>
    <row r="4522" spans="1:8" s="943" customFormat="1" x14ac:dyDescent="0.25">
      <c r="A4522" s="952"/>
      <c r="B4522" s="953"/>
      <c r="C4522" s="953"/>
      <c r="D4522" s="953"/>
      <c r="E4522" s="953"/>
      <c r="F4522" s="953"/>
      <c r="G4522" s="953"/>
      <c r="H4522" s="953"/>
    </row>
    <row r="4523" spans="1:8" s="943" customFormat="1" x14ac:dyDescent="0.25">
      <c r="A4523" s="952"/>
      <c r="B4523" s="953"/>
      <c r="C4523" s="953"/>
      <c r="D4523" s="953"/>
      <c r="E4523" s="953"/>
      <c r="F4523" s="953"/>
      <c r="G4523" s="953"/>
      <c r="H4523" s="953"/>
    </row>
    <row r="4524" spans="1:8" s="943" customFormat="1" x14ac:dyDescent="0.25">
      <c r="A4524" s="952"/>
      <c r="B4524" s="953"/>
      <c r="C4524" s="953"/>
      <c r="D4524" s="953"/>
      <c r="E4524" s="953"/>
      <c r="F4524" s="953"/>
      <c r="G4524" s="953"/>
      <c r="H4524" s="953"/>
    </row>
    <row r="4525" spans="1:8" s="943" customFormat="1" x14ac:dyDescent="0.25">
      <c r="A4525" s="952"/>
      <c r="B4525" s="953"/>
      <c r="C4525" s="953"/>
      <c r="D4525" s="953"/>
      <c r="E4525" s="953"/>
      <c r="F4525" s="953"/>
      <c r="G4525" s="953"/>
      <c r="H4525" s="953"/>
    </row>
    <row r="4526" spans="1:8" s="943" customFormat="1" x14ac:dyDescent="0.25">
      <c r="A4526" s="952"/>
      <c r="B4526" s="953"/>
      <c r="C4526" s="953"/>
      <c r="D4526" s="953"/>
      <c r="E4526" s="953"/>
      <c r="F4526" s="953"/>
      <c r="G4526" s="953"/>
      <c r="H4526" s="953"/>
    </row>
    <row r="4527" spans="1:8" s="943" customFormat="1" x14ac:dyDescent="0.25">
      <c r="A4527" s="952"/>
      <c r="B4527" s="953"/>
      <c r="C4527" s="953"/>
      <c r="D4527" s="953"/>
      <c r="E4527" s="953"/>
      <c r="F4527" s="953"/>
      <c r="G4527" s="953"/>
      <c r="H4527" s="953"/>
    </row>
    <row r="4528" spans="1:8" s="943" customFormat="1" x14ac:dyDescent="0.25">
      <c r="A4528" s="952"/>
      <c r="B4528" s="953"/>
      <c r="C4528" s="953"/>
      <c r="D4528" s="953"/>
      <c r="E4528" s="953"/>
      <c r="F4528" s="953"/>
      <c r="G4528" s="953"/>
      <c r="H4528" s="953"/>
    </row>
    <row r="4529" spans="1:8" s="943" customFormat="1" x14ac:dyDescent="0.25">
      <c r="A4529" s="952"/>
      <c r="B4529" s="953"/>
      <c r="C4529" s="953"/>
      <c r="D4529" s="953"/>
      <c r="E4529" s="953"/>
      <c r="F4529" s="953"/>
      <c r="G4529" s="953"/>
      <c r="H4529" s="953"/>
    </row>
    <row r="4530" spans="1:8" s="943" customFormat="1" x14ac:dyDescent="0.25">
      <c r="A4530" s="952"/>
      <c r="B4530" s="953"/>
      <c r="C4530" s="953"/>
      <c r="D4530" s="953"/>
      <c r="E4530" s="953"/>
      <c r="F4530" s="953"/>
      <c r="G4530" s="953"/>
      <c r="H4530" s="953"/>
    </row>
    <row r="4531" spans="1:8" s="943" customFormat="1" x14ac:dyDescent="0.25">
      <c r="A4531" s="952"/>
      <c r="B4531" s="953"/>
      <c r="C4531" s="953"/>
      <c r="D4531" s="953"/>
      <c r="E4531" s="953"/>
      <c r="F4531" s="953"/>
      <c r="G4531" s="953"/>
      <c r="H4531" s="953"/>
    </row>
    <row r="4532" spans="1:8" s="943" customFormat="1" x14ac:dyDescent="0.25">
      <c r="A4532" s="952"/>
      <c r="B4532" s="953"/>
      <c r="C4532" s="953"/>
      <c r="D4532" s="953"/>
      <c r="E4532" s="953"/>
      <c r="F4532" s="953"/>
      <c r="G4532" s="953"/>
      <c r="H4532" s="953"/>
    </row>
    <row r="4533" spans="1:8" s="943" customFormat="1" x14ac:dyDescent="0.25">
      <c r="A4533" s="952"/>
      <c r="B4533" s="953"/>
      <c r="C4533" s="953"/>
      <c r="D4533" s="953"/>
      <c r="E4533" s="953"/>
      <c r="F4533" s="953"/>
      <c r="G4533" s="953"/>
      <c r="H4533" s="953"/>
    </row>
    <row r="4534" spans="1:8" s="943" customFormat="1" x14ac:dyDescent="0.25">
      <c r="A4534" s="952"/>
      <c r="B4534" s="953"/>
      <c r="C4534" s="953"/>
      <c r="D4534" s="953"/>
      <c r="E4534" s="953"/>
      <c r="F4534" s="953"/>
      <c r="G4534" s="953"/>
      <c r="H4534" s="953"/>
    </row>
    <row r="4535" spans="1:8" s="943" customFormat="1" x14ac:dyDescent="0.25">
      <c r="A4535" s="952"/>
      <c r="B4535" s="953"/>
      <c r="C4535" s="953"/>
      <c r="D4535" s="953"/>
      <c r="E4535" s="953"/>
      <c r="F4535" s="953"/>
      <c r="G4535" s="953"/>
      <c r="H4535" s="953"/>
    </row>
    <row r="4536" spans="1:8" s="943" customFormat="1" x14ac:dyDescent="0.25">
      <c r="A4536" s="952"/>
      <c r="B4536" s="953"/>
      <c r="C4536" s="953"/>
      <c r="D4536" s="953"/>
      <c r="E4536" s="953"/>
      <c r="F4536" s="953"/>
      <c r="G4536" s="953"/>
      <c r="H4536" s="953"/>
    </row>
    <row r="4537" spans="1:8" s="943" customFormat="1" x14ac:dyDescent="0.25">
      <c r="A4537" s="952"/>
      <c r="B4537" s="953"/>
      <c r="C4537" s="953"/>
      <c r="D4537" s="953"/>
      <c r="E4537" s="953"/>
      <c r="F4537" s="953"/>
      <c r="G4537" s="953"/>
      <c r="H4537" s="953"/>
    </row>
    <row r="4538" spans="1:8" s="943" customFormat="1" x14ac:dyDescent="0.25">
      <c r="A4538" s="952"/>
      <c r="B4538" s="953"/>
      <c r="C4538" s="953"/>
      <c r="D4538" s="953"/>
      <c r="E4538" s="953"/>
      <c r="F4538" s="953"/>
      <c r="G4538" s="953"/>
      <c r="H4538" s="953"/>
    </row>
    <row r="4539" spans="1:8" s="943" customFormat="1" x14ac:dyDescent="0.25">
      <c r="A4539" s="952"/>
      <c r="B4539" s="953"/>
      <c r="C4539" s="953"/>
      <c r="D4539" s="953"/>
      <c r="E4539" s="953"/>
      <c r="F4539" s="953"/>
      <c r="G4539" s="953"/>
      <c r="H4539" s="953"/>
    </row>
    <row r="4540" spans="1:8" s="943" customFormat="1" x14ac:dyDescent="0.25">
      <c r="A4540" s="952"/>
      <c r="B4540" s="953"/>
      <c r="C4540" s="953"/>
      <c r="D4540" s="953"/>
      <c r="E4540" s="953"/>
      <c r="F4540" s="953"/>
      <c r="G4540" s="953"/>
      <c r="H4540" s="953"/>
    </row>
    <row r="4541" spans="1:8" s="943" customFormat="1" x14ac:dyDescent="0.25">
      <c r="A4541" s="952"/>
      <c r="B4541" s="953"/>
      <c r="C4541" s="953"/>
      <c r="D4541" s="953"/>
      <c r="E4541" s="953"/>
      <c r="F4541" s="953"/>
      <c r="G4541" s="953"/>
      <c r="H4541" s="953"/>
    </row>
    <row r="4542" spans="1:8" s="943" customFormat="1" x14ac:dyDescent="0.25">
      <c r="A4542" s="952"/>
      <c r="B4542" s="953"/>
      <c r="C4542" s="953"/>
      <c r="D4542" s="953"/>
      <c r="E4542" s="953"/>
      <c r="F4542" s="953"/>
      <c r="G4542" s="953"/>
      <c r="H4542" s="953"/>
    </row>
    <row r="4543" spans="1:8" s="943" customFormat="1" x14ac:dyDescent="0.25">
      <c r="A4543" s="952"/>
      <c r="B4543" s="953"/>
      <c r="C4543" s="953"/>
      <c r="D4543" s="953"/>
      <c r="E4543" s="953"/>
      <c r="F4543" s="953"/>
      <c r="G4543" s="953"/>
      <c r="H4543" s="953"/>
    </row>
    <row r="4544" spans="1:8" s="943" customFormat="1" x14ac:dyDescent="0.25">
      <c r="A4544" s="952"/>
      <c r="B4544" s="953"/>
      <c r="C4544" s="953"/>
      <c r="D4544" s="953"/>
      <c r="E4544" s="953"/>
      <c r="F4544" s="953"/>
      <c r="G4544" s="953"/>
      <c r="H4544" s="953"/>
    </row>
    <row r="4545" spans="1:8" s="943" customFormat="1" x14ac:dyDescent="0.25">
      <c r="A4545" s="952"/>
      <c r="B4545" s="953"/>
      <c r="C4545" s="953"/>
      <c r="D4545" s="953"/>
      <c r="E4545" s="953"/>
      <c r="F4545" s="953"/>
      <c r="G4545" s="953"/>
      <c r="H4545" s="953"/>
    </row>
    <row r="4546" spans="1:8" s="943" customFormat="1" x14ac:dyDescent="0.25">
      <c r="A4546" s="952"/>
      <c r="B4546" s="953"/>
      <c r="C4546" s="953"/>
      <c r="D4546" s="953"/>
      <c r="E4546" s="953"/>
      <c r="F4546" s="953"/>
      <c r="G4546" s="953"/>
      <c r="H4546" s="953"/>
    </row>
    <row r="4547" spans="1:8" s="943" customFormat="1" x14ac:dyDescent="0.25">
      <c r="A4547" s="952"/>
      <c r="B4547" s="953"/>
      <c r="C4547" s="953"/>
      <c r="D4547" s="953"/>
      <c r="E4547" s="953"/>
      <c r="F4547" s="953"/>
      <c r="G4547" s="953"/>
      <c r="H4547" s="953"/>
    </row>
    <row r="4548" spans="1:8" s="943" customFormat="1" x14ac:dyDescent="0.25">
      <c r="A4548" s="952"/>
      <c r="B4548" s="953"/>
      <c r="C4548" s="953"/>
      <c r="D4548" s="953"/>
      <c r="E4548" s="953"/>
      <c r="F4548" s="953"/>
      <c r="G4548" s="953"/>
      <c r="H4548" s="953"/>
    </row>
    <row r="4549" spans="1:8" s="943" customFormat="1" x14ac:dyDescent="0.25">
      <c r="A4549" s="952"/>
      <c r="B4549" s="953"/>
      <c r="C4549" s="953"/>
      <c r="D4549" s="953"/>
      <c r="E4549" s="953"/>
      <c r="F4549" s="953"/>
      <c r="G4549" s="953"/>
      <c r="H4549" s="953"/>
    </row>
    <row r="4550" spans="1:8" s="943" customFormat="1" x14ac:dyDescent="0.25">
      <c r="A4550" s="952"/>
      <c r="B4550" s="953"/>
      <c r="C4550" s="953"/>
      <c r="D4550" s="953"/>
      <c r="E4550" s="953"/>
      <c r="F4550" s="953"/>
      <c r="G4550" s="953"/>
      <c r="H4550" s="953"/>
    </row>
    <row r="4551" spans="1:8" s="943" customFormat="1" x14ac:dyDescent="0.25">
      <c r="A4551" s="952"/>
      <c r="B4551" s="953"/>
      <c r="C4551" s="953"/>
      <c r="D4551" s="953"/>
      <c r="E4551" s="953"/>
      <c r="F4551" s="953"/>
      <c r="G4551" s="953"/>
      <c r="H4551" s="953"/>
    </row>
    <row r="4552" spans="1:8" s="943" customFormat="1" x14ac:dyDescent="0.25">
      <c r="A4552" s="952"/>
      <c r="B4552" s="953"/>
      <c r="C4552" s="953"/>
      <c r="D4552" s="953"/>
      <c r="E4552" s="953"/>
      <c r="F4552" s="953"/>
      <c r="G4552" s="953"/>
      <c r="H4552" s="953"/>
    </row>
    <row r="4553" spans="1:8" s="943" customFormat="1" x14ac:dyDescent="0.25">
      <c r="A4553" s="952"/>
      <c r="B4553" s="953"/>
      <c r="C4553" s="953"/>
      <c r="D4553" s="953"/>
      <c r="E4553" s="953"/>
      <c r="F4553" s="953"/>
      <c r="G4553" s="953"/>
      <c r="H4553" s="953"/>
    </row>
    <row r="4554" spans="1:8" s="943" customFormat="1" x14ac:dyDescent="0.25">
      <c r="A4554" s="952"/>
      <c r="B4554" s="953"/>
      <c r="C4554" s="953"/>
      <c r="D4554" s="953"/>
      <c r="E4554" s="953"/>
      <c r="F4554" s="953"/>
      <c r="G4554" s="953"/>
      <c r="H4554" s="953"/>
    </row>
    <row r="4555" spans="1:8" s="943" customFormat="1" x14ac:dyDescent="0.25">
      <c r="A4555" s="952"/>
      <c r="B4555" s="953"/>
      <c r="C4555" s="953"/>
      <c r="D4555" s="953"/>
      <c r="E4555" s="953"/>
      <c r="F4555" s="953"/>
      <c r="G4555" s="953"/>
      <c r="H4555" s="953"/>
    </row>
    <row r="4556" spans="1:8" s="943" customFormat="1" x14ac:dyDescent="0.25">
      <c r="A4556" s="952"/>
      <c r="B4556" s="953"/>
      <c r="C4556" s="953"/>
      <c r="D4556" s="953"/>
      <c r="E4556" s="953"/>
      <c r="F4556" s="953"/>
      <c r="G4556" s="953"/>
      <c r="H4556" s="953"/>
    </row>
    <row r="4557" spans="1:8" s="943" customFormat="1" x14ac:dyDescent="0.25">
      <c r="A4557" s="952"/>
      <c r="B4557" s="953"/>
      <c r="C4557" s="953"/>
      <c r="D4557" s="953"/>
      <c r="E4557" s="953"/>
      <c r="F4557" s="953"/>
      <c r="G4557" s="953"/>
      <c r="H4557" s="953"/>
    </row>
    <row r="4558" spans="1:8" s="943" customFormat="1" x14ac:dyDescent="0.25">
      <c r="A4558" s="952"/>
      <c r="B4558" s="953"/>
      <c r="C4558" s="953"/>
      <c r="D4558" s="953"/>
      <c r="E4558" s="953"/>
      <c r="F4558" s="953"/>
      <c r="G4558" s="953"/>
      <c r="H4558" s="953"/>
    </row>
    <row r="4559" spans="1:8" s="943" customFormat="1" x14ac:dyDescent="0.25">
      <c r="A4559" s="952"/>
      <c r="B4559" s="953"/>
      <c r="C4559" s="953"/>
      <c r="D4559" s="953"/>
      <c r="E4559" s="953"/>
      <c r="F4559" s="953"/>
      <c r="G4559" s="953"/>
      <c r="H4559" s="953"/>
    </row>
    <row r="4560" spans="1:8" s="943" customFormat="1" x14ac:dyDescent="0.25">
      <c r="A4560" s="952"/>
      <c r="B4560" s="953"/>
      <c r="C4560" s="953"/>
      <c r="D4560" s="953"/>
      <c r="E4560" s="953"/>
      <c r="F4560" s="953"/>
      <c r="G4560" s="953"/>
      <c r="H4560" s="953"/>
    </row>
    <row r="4561" spans="1:8" s="943" customFormat="1" x14ac:dyDescent="0.25">
      <c r="A4561" s="952"/>
      <c r="B4561" s="953"/>
      <c r="C4561" s="953"/>
      <c r="D4561" s="953"/>
      <c r="E4561" s="953"/>
      <c r="F4561" s="953"/>
      <c r="G4561" s="953"/>
      <c r="H4561" s="953"/>
    </row>
    <row r="4562" spans="1:8" s="943" customFormat="1" x14ac:dyDescent="0.25">
      <c r="A4562" s="952"/>
      <c r="B4562" s="953"/>
      <c r="C4562" s="953"/>
      <c r="D4562" s="953"/>
      <c r="E4562" s="953"/>
      <c r="F4562" s="953"/>
      <c r="G4562" s="953"/>
      <c r="H4562" s="953"/>
    </row>
    <row r="4563" spans="1:8" s="943" customFormat="1" x14ac:dyDescent="0.25">
      <c r="A4563" s="952"/>
      <c r="B4563" s="953"/>
      <c r="C4563" s="953"/>
      <c r="D4563" s="953"/>
      <c r="E4563" s="953"/>
      <c r="F4563" s="953"/>
      <c r="G4563" s="953"/>
      <c r="H4563" s="953"/>
    </row>
    <row r="4564" spans="1:8" s="943" customFormat="1" x14ac:dyDescent="0.25">
      <c r="A4564" s="952"/>
      <c r="B4564" s="953"/>
      <c r="C4564" s="953"/>
      <c r="D4564" s="953"/>
      <c r="E4564" s="953"/>
      <c r="F4564" s="953"/>
      <c r="G4564" s="953"/>
      <c r="H4564" s="953"/>
    </row>
    <row r="4565" spans="1:8" s="943" customFormat="1" x14ac:dyDescent="0.25">
      <c r="A4565" s="952"/>
      <c r="B4565" s="953"/>
      <c r="C4565" s="953"/>
      <c r="D4565" s="953"/>
      <c r="E4565" s="953"/>
      <c r="F4565" s="953"/>
      <c r="G4565" s="953"/>
      <c r="H4565" s="953"/>
    </row>
    <row r="4566" spans="1:8" s="943" customFormat="1" x14ac:dyDescent="0.25">
      <c r="A4566" s="952"/>
      <c r="B4566" s="953"/>
      <c r="C4566" s="953"/>
      <c r="D4566" s="953"/>
      <c r="E4566" s="953"/>
      <c r="F4566" s="953"/>
      <c r="G4566" s="953"/>
      <c r="H4566" s="953"/>
    </row>
    <row r="4567" spans="1:8" s="943" customFormat="1" x14ac:dyDescent="0.25">
      <c r="A4567" s="952"/>
      <c r="B4567" s="953"/>
      <c r="C4567" s="953"/>
      <c r="D4567" s="953"/>
      <c r="E4567" s="953"/>
      <c r="F4567" s="953"/>
      <c r="G4567" s="953"/>
      <c r="H4567" s="953"/>
    </row>
    <row r="4568" spans="1:8" s="943" customFormat="1" x14ac:dyDescent="0.25">
      <c r="A4568" s="952"/>
      <c r="B4568" s="953"/>
      <c r="C4568" s="953"/>
      <c r="D4568" s="953"/>
      <c r="E4568" s="953"/>
      <c r="F4568" s="953"/>
      <c r="G4568" s="953"/>
      <c r="H4568" s="953"/>
    </row>
    <row r="4569" spans="1:8" s="943" customFormat="1" x14ac:dyDescent="0.25">
      <c r="A4569" s="952"/>
      <c r="B4569" s="953"/>
      <c r="C4569" s="953"/>
      <c r="D4569" s="953"/>
      <c r="E4569" s="953"/>
      <c r="F4569" s="953"/>
      <c r="G4569" s="953"/>
      <c r="H4569" s="953"/>
    </row>
    <row r="4570" spans="1:8" s="943" customFormat="1" x14ac:dyDescent="0.25">
      <c r="A4570" s="952"/>
      <c r="B4570" s="953"/>
      <c r="C4570" s="953"/>
      <c r="D4570" s="953"/>
      <c r="E4570" s="953"/>
      <c r="F4570" s="953"/>
      <c r="G4570" s="953"/>
      <c r="H4570" s="953"/>
    </row>
    <row r="4571" spans="1:8" s="943" customFormat="1" x14ac:dyDescent="0.25">
      <c r="A4571" s="952"/>
      <c r="B4571" s="953"/>
      <c r="C4571" s="953"/>
      <c r="D4571" s="953"/>
      <c r="E4571" s="953"/>
      <c r="F4571" s="953"/>
      <c r="G4571" s="953"/>
      <c r="H4571" s="953"/>
    </row>
    <row r="4572" spans="1:8" s="943" customFormat="1" x14ac:dyDescent="0.25">
      <c r="A4572" s="952"/>
      <c r="B4572" s="953"/>
      <c r="C4572" s="953"/>
      <c r="D4572" s="953"/>
      <c r="E4572" s="953"/>
      <c r="F4572" s="953"/>
      <c r="G4572" s="953"/>
      <c r="H4572" s="953"/>
    </row>
    <row r="4573" spans="1:8" s="943" customFormat="1" x14ac:dyDescent="0.25">
      <c r="A4573" s="952"/>
      <c r="B4573" s="953"/>
      <c r="C4573" s="953"/>
      <c r="D4573" s="953"/>
      <c r="E4573" s="953"/>
      <c r="F4573" s="953"/>
      <c r="G4573" s="953"/>
      <c r="H4573" s="953"/>
    </row>
    <row r="4574" spans="1:8" s="943" customFormat="1" x14ac:dyDescent="0.25">
      <c r="A4574" s="952"/>
      <c r="B4574" s="953"/>
      <c r="C4574" s="953"/>
      <c r="D4574" s="953"/>
      <c r="E4574" s="953"/>
      <c r="F4574" s="953"/>
      <c r="G4574" s="953"/>
      <c r="H4574" s="953"/>
    </row>
    <row r="4575" spans="1:8" s="943" customFormat="1" x14ac:dyDescent="0.25">
      <c r="A4575" s="952"/>
      <c r="B4575" s="953"/>
      <c r="C4575" s="953"/>
      <c r="D4575" s="953"/>
      <c r="E4575" s="953"/>
      <c r="F4575" s="953"/>
      <c r="G4575" s="953"/>
      <c r="H4575" s="953"/>
    </row>
    <row r="4576" spans="1:8" s="943" customFormat="1" x14ac:dyDescent="0.25">
      <c r="A4576" s="952"/>
      <c r="B4576" s="953"/>
      <c r="C4576" s="953"/>
      <c r="D4576" s="953"/>
      <c r="E4576" s="953"/>
      <c r="F4576" s="953"/>
      <c r="G4576" s="953"/>
      <c r="H4576" s="953"/>
    </row>
    <row r="4577" spans="1:8" s="943" customFormat="1" x14ac:dyDescent="0.25">
      <c r="A4577" s="952"/>
      <c r="B4577" s="953"/>
      <c r="C4577" s="953"/>
      <c r="D4577" s="953"/>
      <c r="E4577" s="953"/>
      <c r="F4577" s="953"/>
      <c r="G4577" s="953"/>
      <c r="H4577" s="953"/>
    </row>
    <row r="4578" spans="1:8" s="943" customFormat="1" x14ac:dyDescent="0.25">
      <c r="A4578" s="952"/>
      <c r="B4578" s="953"/>
      <c r="C4578" s="953"/>
      <c r="D4578" s="953"/>
      <c r="E4578" s="953"/>
      <c r="F4578" s="953"/>
      <c r="G4578" s="953"/>
      <c r="H4578" s="953"/>
    </row>
    <row r="4579" spans="1:8" s="943" customFormat="1" x14ac:dyDescent="0.25">
      <c r="A4579" s="952"/>
      <c r="B4579" s="953"/>
      <c r="C4579" s="953"/>
      <c r="D4579" s="953"/>
      <c r="E4579" s="953"/>
      <c r="F4579" s="953"/>
      <c r="G4579" s="953"/>
      <c r="H4579" s="953"/>
    </row>
    <row r="4580" spans="1:8" s="943" customFormat="1" x14ac:dyDescent="0.25">
      <c r="A4580" s="952"/>
      <c r="B4580" s="953"/>
      <c r="C4580" s="953"/>
      <c r="D4580" s="953"/>
      <c r="E4580" s="953"/>
      <c r="F4580" s="953"/>
      <c r="G4580" s="953"/>
      <c r="H4580" s="953"/>
    </row>
    <row r="4581" spans="1:8" s="943" customFormat="1" x14ac:dyDescent="0.25">
      <c r="A4581" s="952"/>
      <c r="B4581" s="953"/>
      <c r="C4581" s="953"/>
      <c r="D4581" s="953"/>
      <c r="E4581" s="953"/>
      <c r="F4581" s="953"/>
      <c r="G4581" s="953"/>
      <c r="H4581" s="953"/>
    </row>
    <row r="4582" spans="1:8" s="943" customFormat="1" x14ac:dyDescent="0.25">
      <c r="A4582" s="952"/>
      <c r="B4582" s="953"/>
      <c r="C4582" s="953"/>
      <c r="D4582" s="953"/>
      <c r="E4582" s="953"/>
      <c r="F4582" s="953"/>
      <c r="G4582" s="953"/>
      <c r="H4582" s="953"/>
    </row>
    <row r="4583" spans="1:8" s="943" customFormat="1" x14ac:dyDescent="0.25">
      <c r="A4583" s="952"/>
      <c r="B4583" s="953"/>
      <c r="C4583" s="953"/>
      <c r="D4583" s="953"/>
      <c r="E4583" s="953"/>
      <c r="F4583" s="953"/>
      <c r="G4583" s="953"/>
      <c r="H4583" s="953"/>
    </row>
    <row r="4584" spans="1:8" s="943" customFormat="1" x14ac:dyDescent="0.25">
      <c r="A4584" s="952"/>
      <c r="B4584" s="953"/>
      <c r="C4584" s="953"/>
      <c r="D4584" s="953"/>
      <c r="E4584" s="953"/>
      <c r="F4584" s="953"/>
      <c r="G4584" s="953"/>
      <c r="H4584" s="953"/>
    </row>
    <row r="4585" spans="1:8" s="943" customFormat="1" x14ac:dyDescent="0.25">
      <c r="A4585" s="952"/>
      <c r="B4585" s="953"/>
      <c r="C4585" s="953"/>
      <c r="D4585" s="953"/>
      <c r="E4585" s="953"/>
      <c r="F4585" s="953"/>
      <c r="G4585" s="953"/>
      <c r="H4585" s="953"/>
    </row>
    <row r="4586" spans="1:8" s="943" customFormat="1" x14ac:dyDescent="0.25">
      <c r="A4586" s="952"/>
      <c r="B4586" s="953"/>
      <c r="C4586" s="953"/>
      <c r="D4586" s="953"/>
      <c r="E4586" s="953"/>
      <c r="F4586" s="953"/>
      <c r="G4586" s="953"/>
      <c r="H4586" s="953"/>
    </row>
    <row r="4587" spans="1:8" s="943" customFormat="1" x14ac:dyDescent="0.25">
      <c r="A4587" s="952"/>
      <c r="B4587" s="953"/>
      <c r="C4587" s="953"/>
      <c r="D4587" s="953"/>
      <c r="E4587" s="953"/>
      <c r="F4587" s="953"/>
      <c r="G4587" s="953"/>
      <c r="H4587" s="953"/>
    </row>
    <row r="4588" spans="1:8" s="943" customFormat="1" x14ac:dyDescent="0.25">
      <c r="A4588" s="952"/>
      <c r="B4588" s="953"/>
      <c r="C4588" s="953"/>
      <c r="D4588" s="953"/>
      <c r="E4588" s="953"/>
      <c r="F4588" s="953"/>
      <c r="G4588" s="953"/>
      <c r="H4588" s="953"/>
    </row>
    <row r="4589" spans="1:8" s="943" customFormat="1" x14ac:dyDescent="0.25">
      <c r="A4589" s="952"/>
      <c r="B4589" s="953"/>
      <c r="C4589" s="953"/>
      <c r="D4589" s="953"/>
      <c r="E4589" s="953"/>
      <c r="F4589" s="953"/>
      <c r="G4589" s="953"/>
      <c r="H4589" s="953"/>
    </row>
    <row r="4590" spans="1:8" s="943" customFormat="1" x14ac:dyDescent="0.25">
      <c r="A4590" s="952"/>
      <c r="B4590" s="953"/>
      <c r="C4590" s="953"/>
      <c r="D4590" s="953"/>
      <c r="E4590" s="953"/>
      <c r="F4590" s="953"/>
      <c r="G4590" s="953"/>
      <c r="H4590" s="953"/>
    </row>
    <row r="4591" spans="1:8" s="943" customFormat="1" x14ac:dyDescent="0.25">
      <c r="A4591" s="952"/>
      <c r="B4591" s="953"/>
      <c r="C4591" s="953"/>
      <c r="D4591" s="953"/>
      <c r="E4591" s="953"/>
      <c r="F4591" s="953"/>
      <c r="G4591" s="953"/>
      <c r="H4591" s="953"/>
    </row>
    <row r="4592" spans="1:8" s="943" customFormat="1" x14ac:dyDescent="0.25">
      <c r="A4592" s="952"/>
      <c r="B4592" s="953"/>
      <c r="C4592" s="953"/>
      <c r="D4592" s="953"/>
      <c r="E4592" s="953"/>
      <c r="F4592" s="953"/>
      <c r="G4592" s="953"/>
      <c r="H4592" s="953"/>
    </row>
    <row r="4593" spans="1:8" s="943" customFormat="1" x14ac:dyDescent="0.25">
      <c r="A4593" s="952"/>
      <c r="B4593" s="953"/>
      <c r="C4593" s="953"/>
      <c r="D4593" s="953"/>
      <c r="E4593" s="953"/>
      <c r="F4593" s="953"/>
      <c r="G4593" s="953"/>
      <c r="H4593" s="953"/>
    </row>
    <row r="4594" spans="1:8" s="943" customFormat="1" x14ac:dyDescent="0.25">
      <c r="A4594" s="952"/>
      <c r="B4594" s="953"/>
      <c r="C4594" s="953"/>
      <c r="D4594" s="953"/>
      <c r="E4594" s="953"/>
      <c r="F4594" s="953"/>
      <c r="G4594" s="953"/>
      <c r="H4594" s="953"/>
    </row>
    <row r="4595" spans="1:8" s="943" customFormat="1" x14ac:dyDescent="0.25">
      <c r="A4595" s="952"/>
      <c r="B4595" s="953"/>
      <c r="C4595" s="953"/>
      <c r="D4595" s="953"/>
      <c r="E4595" s="953"/>
      <c r="F4595" s="953"/>
      <c r="G4595" s="953"/>
      <c r="H4595" s="953"/>
    </row>
    <row r="4596" spans="1:8" s="943" customFormat="1" x14ac:dyDescent="0.25">
      <c r="A4596" s="952"/>
      <c r="B4596" s="953"/>
      <c r="C4596" s="953"/>
      <c r="D4596" s="953"/>
      <c r="E4596" s="953"/>
      <c r="F4596" s="953"/>
      <c r="G4596" s="953"/>
      <c r="H4596" s="953"/>
    </row>
    <row r="4597" spans="1:8" s="943" customFormat="1" x14ac:dyDescent="0.25">
      <c r="A4597" s="952"/>
      <c r="B4597" s="953"/>
      <c r="C4597" s="953"/>
      <c r="D4597" s="953"/>
      <c r="E4597" s="953"/>
      <c r="F4597" s="953"/>
      <c r="G4597" s="953"/>
      <c r="H4597" s="953"/>
    </row>
    <row r="4598" spans="1:8" s="943" customFormat="1" x14ac:dyDescent="0.25">
      <c r="A4598" s="952"/>
      <c r="B4598" s="953"/>
      <c r="C4598" s="953"/>
      <c r="D4598" s="953"/>
      <c r="E4598" s="953"/>
      <c r="F4598" s="953"/>
      <c r="G4598" s="953"/>
      <c r="H4598" s="953"/>
    </row>
    <row r="4599" spans="1:8" s="943" customFormat="1" x14ac:dyDescent="0.25">
      <c r="A4599" s="952"/>
      <c r="B4599" s="953"/>
      <c r="C4599" s="953"/>
      <c r="D4599" s="953"/>
      <c r="E4599" s="953"/>
      <c r="F4599" s="953"/>
      <c r="G4599" s="953"/>
      <c r="H4599" s="953"/>
    </row>
    <row r="4600" spans="1:8" s="943" customFormat="1" x14ac:dyDescent="0.25">
      <c r="A4600" s="952"/>
      <c r="B4600" s="953"/>
      <c r="C4600" s="953"/>
      <c r="D4600" s="953"/>
      <c r="E4600" s="953"/>
      <c r="F4600" s="953"/>
      <c r="G4600" s="953"/>
      <c r="H4600" s="953"/>
    </row>
    <row r="4601" spans="1:8" s="943" customFormat="1" x14ac:dyDescent="0.25">
      <c r="A4601" s="952"/>
      <c r="B4601" s="953"/>
      <c r="C4601" s="953"/>
      <c r="D4601" s="953"/>
      <c r="E4601" s="953"/>
      <c r="F4601" s="953"/>
      <c r="G4601" s="953"/>
      <c r="H4601" s="953"/>
    </row>
    <row r="4602" spans="1:8" s="943" customFormat="1" x14ac:dyDescent="0.25">
      <c r="A4602" s="952"/>
      <c r="B4602" s="953"/>
      <c r="C4602" s="953"/>
      <c r="D4602" s="953"/>
      <c r="E4602" s="953"/>
      <c r="F4602" s="953"/>
      <c r="G4602" s="953"/>
      <c r="H4602" s="953"/>
    </row>
    <row r="4603" spans="1:8" s="943" customFormat="1" x14ac:dyDescent="0.25">
      <c r="A4603" s="952"/>
      <c r="B4603" s="953"/>
      <c r="C4603" s="953"/>
      <c r="D4603" s="953"/>
      <c r="E4603" s="953"/>
      <c r="F4603" s="953"/>
      <c r="G4603" s="953"/>
      <c r="H4603" s="953"/>
    </row>
    <row r="4604" spans="1:8" s="943" customFormat="1" x14ac:dyDescent="0.25">
      <c r="A4604" s="952"/>
      <c r="B4604" s="953"/>
      <c r="C4604" s="953"/>
      <c r="D4604" s="953"/>
      <c r="E4604" s="953"/>
      <c r="F4604" s="953"/>
      <c r="G4604" s="953"/>
      <c r="H4604" s="953"/>
    </row>
    <row r="4605" spans="1:8" s="943" customFormat="1" x14ac:dyDescent="0.25">
      <c r="A4605" s="952"/>
      <c r="B4605" s="953"/>
      <c r="C4605" s="953"/>
      <c r="D4605" s="953"/>
      <c r="E4605" s="953"/>
      <c r="F4605" s="953"/>
      <c r="G4605" s="953"/>
      <c r="H4605" s="953"/>
    </row>
    <row r="4606" spans="1:8" s="943" customFormat="1" x14ac:dyDescent="0.25">
      <c r="A4606" s="952"/>
      <c r="B4606" s="953"/>
      <c r="C4606" s="953"/>
      <c r="D4606" s="953"/>
      <c r="E4606" s="953"/>
      <c r="F4606" s="953"/>
      <c r="G4606" s="953"/>
      <c r="H4606" s="953"/>
    </row>
    <row r="4607" spans="1:8" s="943" customFormat="1" x14ac:dyDescent="0.25">
      <c r="A4607" s="952"/>
      <c r="B4607" s="953"/>
      <c r="C4607" s="953"/>
      <c r="D4607" s="953"/>
      <c r="E4607" s="953"/>
      <c r="F4607" s="953"/>
      <c r="G4607" s="953"/>
      <c r="H4607" s="953"/>
    </row>
    <row r="4608" spans="1:8" s="943" customFormat="1" x14ac:dyDescent="0.25">
      <c r="A4608" s="952"/>
      <c r="B4608" s="953"/>
      <c r="C4608" s="953"/>
      <c r="D4608" s="953"/>
      <c r="E4608" s="953"/>
      <c r="F4608" s="953"/>
      <c r="G4608" s="953"/>
      <c r="H4608" s="953"/>
    </row>
    <row r="4609" spans="1:8" s="943" customFormat="1" x14ac:dyDescent="0.25">
      <c r="A4609" s="952"/>
      <c r="B4609" s="953"/>
      <c r="C4609" s="953"/>
      <c r="D4609" s="953"/>
      <c r="E4609" s="953"/>
      <c r="F4609" s="953"/>
      <c r="G4609" s="953"/>
      <c r="H4609" s="953"/>
    </row>
    <row r="4610" spans="1:8" s="943" customFormat="1" x14ac:dyDescent="0.25">
      <c r="A4610" s="952"/>
      <c r="B4610" s="953"/>
      <c r="C4610" s="953"/>
      <c r="D4610" s="953"/>
      <c r="E4610" s="953"/>
      <c r="F4610" s="953"/>
      <c r="G4610" s="953"/>
      <c r="H4610" s="953"/>
    </row>
    <row r="4611" spans="1:8" s="943" customFormat="1" x14ac:dyDescent="0.25">
      <c r="A4611" s="952"/>
      <c r="B4611" s="953"/>
      <c r="C4611" s="953"/>
      <c r="D4611" s="953"/>
      <c r="E4611" s="953"/>
      <c r="F4611" s="953"/>
      <c r="G4611" s="953"/>
      <c r="H4611" s="953"/>
    </row>
    <row r="4612" spans="1:8" s="943" customFormat="1" x14ac:dyDescent="0.25">
      <c r="A4612" s="952"/>
      <c r="B4612" s="953"/>
      <c r="C4612" s="953"/>
      <c r="D4612" s="953"/>
      <c r="E4612" s="953"/>
      <c r="F4612" s="953"/>
      <c r="G4612" s="953"/>
      <c r="H4612" s="953"/>
    </row>
    <row r="4613" spans="1:8" s="943" customFormat="1" x14ac:dyDescent="0.25">
      <c r="A4613" s="952"/>
      <c r="B4613" s="953"/>
      <c r="C4613" s="953"/>
      <c r="D4613" s="953"/>
      <c r="E4613" s="953"/>
      <c r="F4613" s="953"/>
      <c r="G4613" s="953"/>
      <c r="H4613" s="953"/>
    </row>
    <row r="4614" spans="1:8" s="943" customFormat="1" x14ac:dyDescent="0.25">
      <c r="A4614" s="952"/>
      <c r="B4614" s="953"/>
      <c r="C4614" s="953"/>
      <c r="D4614" s="953"/>
      <c r="E4614" s="953"/>
      <c r="F4614" s="953"/>
      <c r="G4614" s="953"/>
      <c r="H4614" s="953"/>
    </row>
    <row r="4615" spans="1:8" s="943" customFormat="1" x14ac:dyDescent="0.25">
      <c r="A4615" s="952"/>
      <c r="B4615" s="953"/>
      <c r="C4615" s="953"/>
      <c r="D4615" s="953"/>
      <c r="E4615" s="953"/>
      <c r="F4615" s="953"/>
      <c r="G4615" s="953"/>
      <c r="H4615" s="953"/>
    </row>
    <row r="4616" spans="1:8" s="943" customFormat="1" x14ac:dyDescent="0.25">
      <c r="A4616" s="952"/>
      <c r="B4616" s="953"/>
      <c r="C4616" s="953"/>
      <c r="D4616" s="953"/>
      <c r="E4616" s="953"/>
      <c r="F4616" s="953"/>
      <c r="G4616" s="953"/>
      <c r="H4616" s="953"/>
    </row>
    <row r="4617" spans="1:8" s="943" customFormat="1" x14ac:dyDescent="0.25">
      <c r="A4617" s="952"/>
      <c r="B4617" s="953"/>
      <c r="C4617" s="953"/>
      <c r="D4617" s="953"/>
      <c r="E4617" s="953"/>
      <c r="F4617" s="953"/>
      <c r="G4617" s="953"/>
      <c r="H4617" s="953"/>
    </row>
    <row r="4618" spans="1:8" s="943" customFormat="1" x14ac:dyDescent="0.25">
      <c r="A4618" s="952"/>
      <c r="B4618" s="953"/>
      <c r="C4618" s="953"/>
      <c r="D4618" s="953"/>
      <c r="E4618" s="953"/>
      <c r="F4618" s="953"/>
      <c r="G4618" s="953"/>
      <c r="H4618" s="953"/>
    </row>
    <row r="4619" spans="1:8" s="943" customFormat="1" x14ac:dyDescent="0.25">
      <c r="A4619" s="952"/>
      <c r="B4619" s="953"/>
      <c r="C4619" s="953"/>
      <c r="D4619" s="953"/>
      <c r="E4619" s="953"/>
      <c r="F4619" s="953"/>
      <c r="G4619" s="953"/>
      <c r="H4619" s="953"/>
    </row>
    <row r="4620" spans="1:8" s="943" customFormat="1" x14ac:dyDescent="0.25">
      <c r="A4620" s="952"/>
      <c r="B4620" s="953"/>
      <c r="C4620" s="953"/>
      <c r="D4620" s="953"/>
      <c r="E4620" s="953"/>
      <c r="F4620" s="953"/>
      <c r="G4620" s="953"/>
      <c r="H4620" s="953"/>
    </row>
    <row r="4621" spans="1:8" s="943" customFormat="1" x14ac:dyDescent="0.25">
      <c r="A4621" s="952"/>
      <c r="B4621" s="953"/>
      <c r="C4621" s="953"/>
      <c r="D4621" s="953"/>
      <c r="E4621" s="953"/>
      <c r="F4621" s="953"/>
      <c r="G4621" s="953"/>
      <c r="H4621" s="953"/>
    </row>
    <row r="4622" spans="1:8" s="943" customFormat="1" x14ac:dyDescent="0.25">
      <c r="A4622" s="952"/>
      <c r="B4622" s="953"/>
      <c r="C4622" s="953"/>
      <c r="D4622" s="953"/>
      <c r="E4622" s="953"/>
      <c r="F4622" s="953"/>
      <c r="G4622" s="953"/>
      <c r="H4622" s="953"/>
    </row>
    <row r="4623" spans="1:8" s="943" customFormat="1" x14ac:dyDescent="0.25">
      <c r="A4623" s="952"/>
      <c r="B4623" s="953"/>
      <c r="C4623" s="953"/>
      <c r="D4623" s="953"/>
      <c r="E4623" s="953"/>
      <c r="F4623" s="953"/>
      <c r="G4623" s="953"/>
      <c r="H4623" s="953"/>
    </row>
    <row r="4624" spans="1:8" s="943" customFormat="1" x14ac:dyDescent="0.25">
      <c r="A4624" s="952"/>
      <c r="B4624" s="953"/>
      <c r="C4624" s="953"/>
      <c r="D4624" s="953"/>
      <c r="E4624" s="953"/>
      <c r="F4624" s="953"/>
      <c r="G4624" s="953"/>
      <c r="H4624" s="953"/>
    </row>
    <row r="4625" spans="1:8" s="943" customFormat="1" x14ac:dyDescent="0.25">
      <c r="A4625" s="952"/>
      <c r="B4625" s="953"/>
      <c r="C4625" s="953"/>
      <c r="D4625" s="953"/>
      <c r="E4625" s="953"/>
      <c r="F4625" s="953"/>
      <c r="G4625" s="953"/>
      <c r="H4625" s="953"/>
    </row>
    <row r="4626" spans="1:8" s="943" customFormat="1" x14ac:dyDescent="0.25">
      <c r="A4626" s="952"/>
      <c r="B4626" s="953"/>
      <c r="C4626" s="953"/>
      <c r="D4626" s="953"/>
      <c r="E4626" s="953"/>
      <c r="F4626" s="953"/>
      <c r="G4626" s="953"/>
      <c r="H4626" s="953"/>
    </row>
    <row r="4627" spans="1:8" s="943" customFormat="1" x14ac:dyDescent="0.25">
      <c r="A4627" s="952"/>
      <c r="B4627" s="953"/>
      <c r="C4627" s="953"/>
      <c r="D4627" s="953"/>
      <c r="E4627" s="953"/>
      <c r="F4627" s="953"/>
      <c r="G4627" s="953"/>
      <c r="H4627" s="953"/>
    </row>
    <row r="4628" spans="1:8" s="943" customFormat="1" x14ac:dyDescent="0.25">
      <c r="A4628" s="952"/>
      <c r="B4628" s="953"/>
      <c r="C4628" s="953"/>
      <c r="D4628" s="953"/>
      <c r="E4628" s="953"/>
      <c r="F4628" s="953"/>
      <c r="G4628" s="953"/>
      <c r="H4628" s="953"/>
    </row>
    <row r="4629" spans="1:8" s="943" customFormat="1" x14ac:dyDescent="0.25">
      <c r="A4629" s="952"/>
      <c r="B4629" s="953"/>
      <c r="C4629" s="953"/>
      <c r="D4629" s="953"/>
      <c r="E4629" s="953"/>
      <c r="F4629" s="953"/>
      <c r="G4629" s="953"/>
      <c r="H4629" s="953"/>
    </row>
    <row r="4630" spans="1:8" s="943" customFormat="1" x14ac:dyDescent="0.25">
      <c r="A4630" s="952"/>
      <c r="B4630" s="953"/>
      <c r="C4630" s="953"/>
      <c r="D4630" s="953"/>
      <c r="E4630" s="953"/>
      <c r="F4630" s="953"/>
      <c r="G4630" s="953"/>
      <c r="H4630" s="953"/>
    </row>
    <row r="4631" spans="1:8" s="943" customFormat="1" x14ac:dyDescent="0.25">
      <c r="A4631" s="952"/>
      <c r="B4631" s="953"/>
      <c r="C4631" s="953"/>
      <c r="D4631" s="953"/>
      <c r="E4631" s="953"/>
      <c r="F4631" s="953"/>
      <c r="G4631" s="953"/>
      <c r="H4631" s="953"/>
    </row>
    <row r="4632" spans="1:8" s="943" customFormat="1" x14ac:dyDescent="0.25">
      <c r="A4632" s="952"/>
      <c r="B4632" s="953"/>
      <c r="C4632" s="953"/>
      <c r="D4632" s="953"/>
      <c r="E4632" s="953"/>
      <c r="F4632" s="953"/>
      <c r="G4632" s="953"/>
      <c r="H4632" s="953"/>
    </row>
    <row r="4633" spans="1:8" s="943" customFormat="1" x14ac:dyDescent="0.25">
      <c r="A4633" s="952"/>
      <c r="B4633" s="953"/>
      <c r="C4633" s="953"/>
      <c r="D4633" s="953"/>
      <c r="E4633" s="953"/>
      <c r="F4633" s="953"/>
      <c r="G4633" s="953"/>
      <c r="H4633" s="953"/>
    </row>
    <row r="4634" spans="1:8" s="943" customFormat="1" x14ac:dyDescent="0.25">
      <c r="A4634" s="952"/>
      <c r="B4634" s="953"/>
      <c r="C4634" s="953"/>
      <c r="D4634" s="953"/>
      <c r="E4634" s="953"/>
      <c r="F4634" s="953"/>
      <c r="G4634" s="953"/>
      <c r="H4634" s="953"/>
    </row>
    <row r="4635" spans="1:8" s="943" customFormat="1" x14ac:dyDescent="0.25">
      <c r="A4635" s="952"/>
      <c r="B4635" s="953"/>
      <c r="C4635" s="953"/>
      <c r="D4635" s="953"/>
      <c r="E4635" s="953"/>
      <c r="F4635" s="953"/>
      <c r="G4635" s="953"/>
      <c r="H4635" s="953"/>
    </row>
    <row r="4636" spans="1:8" s="943" customFormat="1" x14ac:dyDescent="0.25">
      <c r="A4636" s="952"/>
      <c r="B4636" s="953"/>
      <c r="C4636" s="953"/>
      <c r="D4636" s="953"/>
      <c r="E4636" s="953"/>
      <c r="F4636" s="953"/>
      <c r="G4636" s="953"/>
      <c r="H4636" s="953"/>
    </row>
    <row r="4637" spans="1:8" s="943" customFormat="1" x14ac:dyDescent="0.25">
      <c r="A4637" s="952"/>
      <c r="B4637" s="953"/>
      <c r="C4637" s="953"/>
      <c r="D4637" s="953"/>
      <c r="E4637" s="953"/>
      <c r="F4637" s="953"/>
      <c r="G4637" s="953"/>
      <c r="H4637" s="953"/>
    </row>
    <row r="4638" spans="1:8" s="943" customFormat="1" x14ac:dyDescent="0.25">
      <c r="A4638" s="952"/>
      <c r="B4638" s="953"/>
      <c r="C4638" s="953"/>
      <c r="D4638" s="953"/>
      <c r="E4638" s="953"/>
      <c r="F4638" s="953"/>
      <c r="G4638" s="953"/>
      <c r="H4638" s="953"/>
    </row>
    <row r="4639" spans="1:8" s="943" customFormat="1" x14ac:dyDescent="0.25">
      <c r="A4639" s="952"/>
      <c r="B4639" s="953"/>
      <c r="C4639" s="953"/>
      <c r="D4639" s="953"/>
      <c r="E4639" s="953"/>
      <c r="F4639" s="953"/>
      <c r="G4639" s="953"/>
      <c r="H4639" s="953"/>
    </row>
    <row r="4640" spans="1:8" s="943" customFormat="1" x14ac:dyDescent="0.25">
      <c r="A4640" s="952"/>
      <c r="B4640" s="953"/>
      <c r="C4640" s="953"/>
      <c r="D4640" s="953"/>
      <c r="E4640" s="953"/>
      <c r="F4640" s="953"/>
      <c r="G4640" s="953"/>
      <c r="H4640" s="953"/>
    </row>
    <row r="4641" spans="1:8" s="943" customFormat="1" x14ac:dyDescent="0.25">
      <c r="A4641" s="952"/>
      <c r="B4641" s="953"/>
      <c r="C4641" s="953"/>
      <c r="D4641" s="953"/>
      <c r="E4641" s="953"/>
      <c r="F4641" s="953"/>
      <c r="G4641" s="953"/>
      <c r="H4641" s="953"/>
    </row>
    <row r="4642" spans="1:8" s="943" customFormat="1" x14ac:dyDescent="0.25">
      <c r="A4642" s="952"/>
      <c r="B4642" s="953"/>
      <c r="C4642" s="953"/>
      <c r="D4642" s="953"/>
      <c r="E4642" s="953"/>
      <c r="F4642" s="953"/>
      <c r="G4642" s="953"/>
      <c r="H4642" s="953"/>
    </row>
    <row r="4643" spans="1:8" s="943" customFormat="1" x14ac:dyDescent="0.25">
      <c r="A4643" s="952"/>
      <c r="B4643" s="953"/>
      <c r="C4643" s="953"/>
      <c r="D4643" s="953"/>
      <c r="E4643" s="953"/>
      <c r="F4643" s="953"/>
      <c r="G4643" s="953"/>
      <c r="H4643" s="953"/>
    </row>
    <row r="4644" spans="1:8" s="943" customFormat="1" x14ac:dyDescent="0.25">
      <c r="A4644" s="952"/>
      <c r="B4644" s="953"/>
      <c r="C4644" s="953"/>
      <c r="D4644" s="953"/>
      <c r="E4644" s="953"/>
      <c r="F4644" s="953"/>
      <c r="G4644" s="953"/>
      <c r="H4644" s="953"/>
    </row>
    <row r="4645" spans="1:8" s="943" customFormat="1" x14ac:dyDescent="0.25">
      <c r="A4645" s="952"/>
      <c r="B4645" s="953"/>
      <c r="C4645" s="953"/>
      <c r="D4645" s="953"/>
      <c r="E4645" s="953"/>
      <c r="F4645" s="953"/>
      <c r="G4645" s="953"/>
      <c r="H4645" s="953"/>
    </row>
    <row r="4646" spans="1:8" s="943" customFormat="1" x14ac:dyDescent="0.25">
      <c r="A4646" s="952"/>
      <c r="B4646" s="953"/>
      <c r="C4646" s="953"/>
      <c r="D4646" s="953"/>
      <c r="E4646" s="953"/>
      <c r="F4646" s="953"/>
      <c r="G4646" s="953"/>
      <c r="H4646" s="953"/>
    </row>
    <row r="4647" spans="1:8" s="943" customFormat="1" x14ac:dyDescent="0.25">
      <c r="A4647" s="952"/>
      <c r="B4647" s="953"/>
      <c r="C4647" s="953"/>
      <c r="D4647" s="953"/>
      <c r="E4647" s="953"/>
      <c r="F4647" s="953"/>
      <c r="G4647" s="953"/>
      <c r="H4647" s="953"/>
    </row>
    <row r="4648" spans="1:8" s="943" customFormat="1" x14ac:dyDescent="0.25">
      <c r="A4648" s="952"/>
      <c r="B4648" s="953"/>
      <c r="C4648" s="953"/>
      <c r="D4648" s="953"/>
      <c r="E4648" s="953"/>
      <c r="F4648" s="953"/>
      <c r="G4648" s="953"/>
      <c r="H4648" s="953"/>
    </row>
    <row r="4649" spans="1:8" s="943" customFormat="1" x14ac:dyDescent="0.25">
      <c r="A4649" s="952"/>
      <c r="B4649" s="953"/>
      <c r="C4649" s="953"/>
      <c r="D4649" s="953"/>
      <c r="E4649" s="953"/>
      <c r="F4649" s="953"/>
      <c r="G4649" s="953"/>
      <c r="H4649" s="953"/>
    </row>
    <row r="4650" spans="1:8" s="943" customFormat="1" x14ac:dyDescent="0.25">
      <c r="A4650" s="952"/>
      <c r="B4650" s="953"/>
      <c r="C4650" s="953"/>
      <c r="D4650" s="953"/>
      <c r="E4650" s="953"/>
      <c r="F4650" s="953"/>
      <c r="G4650" s="953"/>
      <c r="H4650" s="953"/>
    </row>
    <row r="4651" spans="1:8" s="943" customFormat="1" x14ac:dyDescent="0.25">
      <c r="A4651" s="952"/>
      <c r="B4651" s="953"/>
      <c r="C4651" s="953"/>
      <c r="D4651" s="953"/>
      <c r="E4651" s="953"/>
      <c r="F4651" s="953"/>
      <c r="G4651" s="953"/>
      <c r="H4651" s="953"/>
    </row>
    <row r="4652" spans="1:8" s="943" customFormat="1" x14ac:dyDescent="0.25">
      <c r="A4652" s="952"/>
      <c r="B4652" s="953"/>
      <c r="C4652" s="953"/>
      <c r="D4652" s="953"/>
      <c r="E4652" s="953"/>
      <c r="F4652" s="953"/>
      <c r="G4652" s="953"/>
      <c r="H4652" s="953"/>
    </row>
    <row r="4653" spans="1:8" s="943" customFormat="1" x14ac:dyDescent="0.25">
      <c r="A4653" s="952"/>
      <c r="B4653" s="953"/>
      <c r="C4653" s="953"/>
      <c r="D4653" s="953"/>
      <c r="E4653" s="953"/>
      <c r="F4653" s="953"/>
      <c r="G4653" s="953"/>
      <c r="H4653" s="953"/>
    </row>
    <row r="4654" spans="1:8" s="943" customFormat="1" x14ac:dyDescent="0.25">
      <c r="A4654" s="952"/>
      <c r="B4654" s="953"/>
      <c r="C4654" s="953"/>
      <c r="D4654" s="953"/>
      <c r="E4654" s="953"/>
      <c r="F4654" s="953"/>
      <c r="G4654" s="953"/>
      <c r="H4654" s="953"/>
    </row>
    <row r="4655" spans="1:8" s="943" customFormat="1" x14ac:dyDescent="0.25">
      <c r="A4655" s="952"/>
      <c r="B4655" s="953"/>
      <c r="C4655" s="953"/>
      <c r="D4655" s="953"/>
      <c r="E4655" s="953"/>
      <c r="F4655" s="953"/>
      <c r="G4655" s="953"/>
      <c r="H4655" s="953"/>
    </row>
    <row r="4656" spans="1:8" s="943" customFormat="1" x14ac:dyDescent="0.25">
      <c r="A4656" s="952"/>
      <c r="B4656" s="953"/>
      <c r="C4656" s="953"/>
      <c r="D4656" s="953"/>
      <c r="E4656" s="953"/>
      <c r="F4656" s="953"/>
      <c r="G4656" s="953"/>
      <c r="H4656" s="953"/>
    </row>
    <row r="4657" spans="1:8" s="943" customFormat="1" x14ac:dyDescent="0.25">
      <c r="A4657" s="952"/>
      <c r="B4657" s="953"/>
      <c r="C4657" s="953"/>
      <c r="D4657" s="953"/>
      <c r="E4657" s="953"/>
      <c r="F4657" s="953"/>
      <c r="G4657" s="953"/>
      <c r="H4657" s="953"/>
    </row>
    <row r="4658" spans="1:8" s="943" customFormat="1" x14ac:dyDescent="0.25">
      <c r="A4658" s="952"/>
      <c r="B4658" s="953"/>
      <c r="C4658" s="953"/>
      <c r="D4658" s="953"/>
      <c r="E4658" s="953"/>
      <c r="F4658" s="953"/>
      <c r="G4658" s="953"/>
      <c r="H4658" s="953"/>
    </row>
    <row r="4659" spans="1:8" s="943" customFormat="1" x14ac:dyDescent="0.25">
      <c r="A4659" s="952"/>
      <c r="B4659" s="953"/>
      <c r="C4659" s="953"/>
      <c r="D4659" s="953"/>
      <c r="E4659" s="953"/>
      <c r="F4659" s="953"/>
      <c r="G4659" s="953"/>
      <c r="H4659" s="953"/>
    </row>
    <row r="4660" spans="1:8" s="943" customFormat="1" x14ac:dyDescent="0.25">
      <c r="A4660" s="952"/>
      <c r="B4660" s="953"/>
      <c r="C4660" s="953"/>
      <c r="D4660" s="953"/>
      <c r="E4660" s="953"/>
      <c r="F4660" s="953"/>
      <c r="G4660" s="953"/>
      <c r="H4660" s="953"/>
    </row>
    <row r="4661" spans="1:8" s="943" customFormat="1" x14ac:dyDescent="0.25">
      <c r="A4661" s="952"/>
      <c r="B4661" s="953"/>
      <c r="C4661" s="953"/>
      <c r="D4661" s="953"/>
      <c r="E4661" s="953"/>
      <c r="F4661" s="953"/>
      <c r="G4661" s="953"/>
      <c r="H4661" s="953"/>
    </row>
    <row r="4662" spans="1:8" s="943" customFormat="1" x14ac:dyDescent="0.25">
      <c r="A4662" s="952"/>
      <c r="B4662" s="953"/>
      <c r="C4662" s="953"/>
      <c r="D4662" s="953"/>
      <c r="E4662" s="953"/>
      <c r="F4662" s="953"/>
      <c r="G4662" s="953"/>
      <c r="H4662" s="953"/>
    </row>
    <row r="4663" spans="1:8" s="943" customFormat="1" x14ac:dyDescent="0.25">
      <c r="A4663" s="952"/>
      <c r="B4663" s="953"/>
      <c r="C4663" s="953"/>
      <c r="D4663" s="953"/>
      <c r="E4663" s="953"/>
      <c r="F4663" s="953"/>
      <c r="G4663" s="953"/>
      <c r="H4663" s="953"/>
    </row>
    <row r="4664" spans="1:8" s="943" customFormat="1" x14ac:dyDescent="0.25">
      <c r="A4664" s="952"/>
      <c r="B4664" s="953"/>
      <c r="C4664" s="953"/>
      <c r="D4664" s="953"/>
      <c r="E4664" s="953"/>
      <c r="F4664" s="953"/>
      <c r="G4664" s="953"/>
      <c r="H4664" s="953"/>
    </row>
    <row r="4665" spans="1:8" s="943" customFormat="1" x14ac:dyDescent="0.25">
      <c r="A4665" s="952"/>
      <c r="B4665" s="953"/>
      <c r="C4665" s="953"/>
      <c r="D4665" s="953"/>
      <c r="E4665" s="953"/>
      <c r="F4665" s="953"/>
      <c r="G4665" s="953"/>
      <c r="H4665" s="953"/>
    </row>
    <row r="4666" spans="1:8" s="943" customFormat="1" x14ac:dyDescent="0.25">
      <c r="A4666" s="952"/>
      <c r="B4666" s="953"/>
      <c r="C4666" s="953"/>
      <c r="D4666" s="953"/>
      <c r="E4666" s="953"/>
      <c r="F4666" s="953"/>
      <c r="G4666" s="953"/>
      <c r="H4666" s="953"/>
    </row>
    <row r="4667" spans="1:8" s="943" customFormat="1" x14ac:dyDescent="0.25">
      <c r="A4667" s="952"/>
      <c r="B4667" s="953"/>
      <c r="C4667" s="953"/>
      <c r="D4667" s="953"/>
      <c r="E4667" s="953"/>
      <c r="F4667" s="953"/>
      <c r="G4667" s="953"/>
      <c r="H4667" s="953"/>
    </row>
    <row r="4668" spans="1:8" s="943" customFormat="1" x14ac:dyDescent="0.25">
      <c r="A4668" s="952"/>
      <c r="B4668" s="953"/>
      <c r="C4668" s="953"/>
      <c r="D4668" s="953"/>
      <c r="E4668" s="953"/>
      <c r="F4668" s="953"/>
      <c r="G4668" s="953"/>
      <c r="H4668" s="953"/>
    </row>
    <row r="4669" spans="1:8" s="943" customFormat="1" x14ac:dyDescent="0.25">
      <c r="A4669" s="952"/>
      <c r="B4669" s="953"/>
      <c r="C4669" s="953"/>
      <c r="D4669" s="953"/>
      <c r="E4669" s="953"/>
      <c r="F4669" s="953"/>
      <c r="G4669" s="953"/>
      <c r="H4669" s="953"/>
    </row>
    <row r="4670" spans="1:8" s="943" customFormat="1" x14ac:dyDescent="0.25">
      <c r="A4670" s="952"/>
      <c r="B4670" s="953"/>
      <c r="C4670" s="953"/>
      <c r="D4670" s="953"/>
      <c r="E4670" s="953"/>
      <c r="F4670" s="953"/>
      <c r="G4670" s="953"/>
      <c r="H4670" s="953"/>
    </row>
    <row r="4671" spans="1:8" s="943" customFormat="1" x14ac:dyDescent="0.25">
      <c r="A4671" s="952"/>
      <c r="B4671" s="953"/>
      <c r="C4671" s="953"/>
      <c r="D4671" s="953"/>
      <c r="E4671" s="953"/>
      <c r="F4671" s="953"/>
      <c r="G4671" s="953"/>
      <c r="H4671" s="953"/>
    </row>
    <row r="4672" spans="1:8" s="943" customFormat="1" x14ac:dyDescent="0.25">
      <c r="A4672" s="952"/>
      <c r="B4672" s="953"/>
      <c r="C4672" s="953"/>
      <c r="D4672" s="953"/>
      <c r="E4672" s="953"/>
      <c r="F4672" s="953"/>
      <c r="G4672" s="953"/>
      <c r="H4672" s="953"/>
    </row>
    <row r="4673" spans="1:8" s="943" customFormat="1" x14ac:dyDescent="0.25">
      <c r="A4673" s="952"/>
      <c r="B4673" s="953"/>
      <c r="C4673" s="953"/>
      <c r="D4673" s="953"/>
      <c r="E4673" s="953"/>
      <c r="F4673" s="953"/>
      <c r="G4673" s="953"/>
      <c r="H4673" s="953"/>
    </row>
    <row r="4674" spans="1:8" s="943" customFormat="1" x14ac:dyDescent="0.25">
      <c r="A4674" s="952"/>
      <c r="B4674" s="953"/>
      <c r="C4674" s="953"/>
      <c r="D4674" s="953"/>
      <c r="E4674" s="953"/>
      <c r="F4674" s="953"/>
      <c r="G4674" s="953"/>
      <c r="H4674" s="953"/>
    </row>
    <row r="4675" spans="1:8" s="943" customFormat="1" x14ac:dyDescent="0.25">
      <c r="A4675" s="952"/>
      <c r="B4675" s="953"/>
      <c r="C4675" s="953"/>
      <c r="D4675" s="953"/>
      <c r="E4675" s="953"/>
      <c r="F4675" s="953"/>
      <c r="G4675" s="953"/>
      <c r="H4675" s="953"/>
    </row>
    <row r="4676" spans="1:8" s="943" customFormat="1" x14ac:dyDescent="0.25">
      <c r="A4676" s="952"/>
      <c r="B4676" s="953"/>
      <c r="C4676" s="953"/>
      <c r="D4676" s="953"/>
      <c r="E4676" s="953"/>
      <c r="F4676" s="953"/>
      <c r="G4676" s="953"/>
      <c r="H4676" s="953"/>
    </row>
    <row r="4677" spans="1:8" s="943" customFormat="1" x14ac:dyDescent="0.25">
      <c r="A4677" s="952"/>
      <c r="B4677" s="953"/>
      <c r="C4677" s="953"/>
      <c r="D4677" s="953"/>
      <c r="E4677" s="953"/>
      <c r="F4677" s="953"/>
      <c r="G4677" s="953"/>
      <c r="H4677" s="953"/>
    </row>
    <row r="4678" spans="1:8" s="943" customFormat="1" x14ac:dyDescent="0.25">
      <c r="A4678" s="952"/>
      <c r="B4678" s="953"/>
      <c r="C4678" s="953"/>
      <c r="D4678" s="953"/>
      <c r="E4678" s="953"/>
      <c r="F4678" s="953"/>
      <c r="G4678" s="953"/>
      <c r="H4678" s="953"/>
    </row>
    <row r="4679" spans="1:8" s="943" customFormat="1" x14ac:dyDescent="0.25">
      <c r="A4679" s="952"/>
      <c r="B4679" s="953"/>
      <c r="C4679" s="953"/>
      <c r="D4679" s="953"/>
      <c r="E4679" s="953"/>
      <c r="F4679" s="953"/>
      <c r="G4679" s="953"/>
      <c r="H4679" s="953"/>
    </row>
    <row r="4680" spans="1:8" s="943" customFormat="1" x14ac:dyDescent="0.25">
      <c r="A4680" s="952"/>
      <c r="B4680" s="953"/>
      <c r="C4680" s="953"/>
      <c r="D4680" s="953"/>
      <c r="E4680" s="953"/>
      <c r="F4680" s="953"/>
      <c r="G4680" s="953"/>
      <c r="H4680" s="953"/>
    </row>
    <row r="4681" spans="1:8" s="943" customFormat="1" x14ac:dyDescent="0.25">
      <c r="A4681" s="952"/>
      <c r="B4681" s="953"/>
      <c r="C4681" s="953"/>
      <c r="D4681" s="953"/>
      <c r="E4681" s="953"/>
      <c r="F4681" s="953"/>
      <c r="G4681" s="953"/>
      <c r="H4681" s="953"/>
    </row>
    <row r="4682" spans="1:8" s="943" customFormat="1" x14ac:dyDescent="0.25">
      <c r="A4682" s="952"/>
      <c r="B4682" s="953"/>
      <c r="C4682" s="953"/>
      <c r="D4682" s="953"/>
      <c r="E4682" s="953"/>
      <c r="F4682" s="953"/>
      <c r="G4682" s="953"/>
      <c r="H4682" s="953"/>
    </row>
    <row r="4683" spans="1:8" s="943" customFormat="1" x14ac:dyDescent="0.25">
      <c r="A4683" s="952"/>
      <c r="B4683" s="953"/>
      <c r="C4683" s="953"/>
      <c r="D4683" s="953"/>
      <c r="E4683" s="953"/>
      <c r="F4683" s="953"/>
      <c r="G4683" s="953"/>
      <c r="H4683" s="953"/>
    </row>
    <row r="4684" spans="1:8" s="943" customFormat="1" x14ac:dyDescent="0.25">
      <c r="A4684" s="952"/>
      <c r="B4684" s="953"/>
      <c r="C4684" s="953"/>
      <c r="D4684" s="953"/>
      <c r="E4684" s="953"/>
      <c r="F4684" s="953"/>
      <c r="G4684" s="953"/>
      <c r="H4684" s="953"/>
    </row>
    <row r="4685" spans="1:8" s="943" customFormat="1" x14ac:dyDescent="0.25">
      <c r="A4685" s="952"/>
      <c r="B4685" s="953"/>
      <c r="C4685" s="953"/>
      <c r="D4685" s="953"/>
      <c r="E4685" s="953"/>
      <c r="F4685" s="953"/>
      <c r="G4685" s="953"/>
      <c r="H4685" s="953"/>
    </row>
    <row r="4686" spans="1:8" s="943" customFormat="1" x14ac:dyDescent="0.25">
      <c r="A4686" s="952"/>
      <c r="B4686" s="953"/>
      <c r="C4686" s="953"/>
      <c r="D4686" s="953"/>
      <c r="E4686" s="953"/>
      <c r="F4686" s="953"/>
      <c r="G4686" s="953"/>
      <c r="H4686" s="953"/>
    </row>
    <row r="4687" spans="1:8" s="943" customFormat="1" x14ac:dyDescent="0.25">
      <c r="A4687" s="952"/>
      <c r="B4687" s="953"/>
      <c r="C4687" s="953"/>
      <c r="D4687" s="953"/>
      <c r="E4687" s="953"/>
      <c r="F4687" s="953"/>
      <c r="G4687" s="953"/>
      <c r="H4687" s="953"/>
    </row>
    <row r="4688" spans="1:8" s="943" customFormat="1" x14ac:dyDescent="0.25">
      <c r="A4688" s="952"/>
      <c r="B4688" s="953"/>
      <c r="C4688" s="953"/>
      <c r="D4688" s="953"/>
      <c r="E4688" s="953"/>
      <c r="F4688" s="953"/>
      <c r="G4688" s="953"/>
      <c r="H4688" s="953"/>
    </row>
    <row r="4689" spans="1:8" s="943" customFormat="1" x14ac:dyDescent="0.25">
      <c r="A4689" s="952"/>
      <c r="B4689" s="953"/>
      <c r="C4689" s="953"/>
      <c r="D4689" s="953"/>
      <c r="E4689" s="953"/>
      <c r="F4689" s="953"/>
      <c r="G4689" s="953"/>
      <c r="H4689" s="953"/>
    </row>
    <row r="4690" spans="1:8" s="943" customFormat="1" x14ac:dyDescent="0.25">
      <c r="A4690" s="952"/>
      <c r="B4690" s="953"/>
      <c r="C4690" s="953"/>
      <c r="D4690" s="953"/>
      <c r="E4690" s="953"/>
      <c r="F4690" s="953"/>
      <c r="G4690" s="953"/>
      <c r="H4690" s="953"/>
    </row>
    <row r="4691" spans="1:8" s="943" customFormat="1" x14ac:dyDescent="0.25">
      <c r="A4691" s="952"/>
      <c r="B4691" s="953"/>
      <c r="C4691" s="953"/>
      <c r="D4691" s="953"/>
      <c r="E4691" s="953"/>
      <c r="F4691" s="953"/>
      <c r="G4691" s="953"/>
      <c r="H4691" s="953"/>
    </row>
    <row r="4692" spans="1:8" s="943" customFormat="1" x14ac:dyDescent="0.25">
      <c r="A4692" s="952"/>
      <c r="B4692" s="953"/>
      <c r="C4692" s="953"/>
      <c r="D4692" s="953"/>
      <c r="E4692" s="953"/>
      <c r="F4692" s="953"/>
      <c r="G4692" s="953"/>
      <c r="H4692" s="953"/>
    </row>
    <row r="4693" spans="1:8" s="943" customFormat="1" x14ac:dyDescent="0.25">
      <c r="A4693" s="952"/>
      <c r="B4693" s="953"/>
      <c r="C4693" s="953"/>
      <c r="D4693" s="953"/>
      <c r="E4693" s="953"/>
      <c r="F4693" s="953"/>
      <c r="G4693" s="953"/>
      <c r="H4693" s="953"/>
    </row>
    <row r="4694" spans="1:8" s="943" customFormat="1" x14ac:dyDescent="0.25">
      <c r="A4694" s="952"/>
      <c r="B4694" s="953"/>
      <c r="C4694" s="953"/>
      <c r="D4694" s="953"/>
      <c r="E4694" s="953"/>
      <c r="F4694" s="953"/>
      <c r="G4694" s="953"/>
      <c r="H4694" s="953"/>
    </row>
    <row r="4695" spans="1:8" s="943" customFormat="1" x14ac:dyDescent="0.25">
      <c r="A4695" s="952"/>
      <c r="B4695" s="953"/>
      <c r="C4695" s="953"/>
      <c r="D4695" s="953"/>
      <c r="E4695" s="953"/>
      <c r="F4695" s="953"/>
      <c r="G4695" s="953"/>
      <c r="H4695" s="953"/>
    </row>
    <row r="4696" spans="1:8" s="943" customFormat="1" x14ac:dyDescent="0.25">
      <c r="A4696" s="952"/>
      <c r="B4696" s="953"/>
      <c r="C4696" s="953"/>
      <c r="D4696" s="953"/>
      <c r="E4696" s="953"/>
      <c r="F4696" s="953"/>
      <c r="G4696" s="953"/>
      <c r="H4696" s="953"/>
    </row>
    <row r="4697" spans="1:8" s="943" customFormat="1" x14ac:dyDescent="0.25">
      <c r="A4697" s="952"/>
      <c r="B4697" s="953"/>
      <c r="C4697" s="953"/>
      <c r="D4697" s="953"/>
      <c r="E4697" s="953"/>
      <c r="F4697" s="953"/>
      <c r="G4697" s="953"/>
      <c r="H4697" s="953"/>
    </row>
    <row r="4698" spans="1:8" s="943" customFormat="1" x14ac:dyDescent="0.25">
      <c r="A4698" s="952"/>
      <c r="B4698" s="953"/>
      <c r="C4698" s="953"/>
      <c r="D4698" s="953"/>
      <c r="E4698" s="953"/>
      <c r="F4698" s="953"/>
      <c r="G4698" s="953"/>
      <c r="H4698" s="953"/>
    </row>
    <row r="4699" spans="1:8" s="943" customFormat="1" x14ac:dyDescent="0.25">
      <c r="A4699" s="952"/>
      <c r="B4699" s="953"/>
      <c r="C4699" s="953"/>
      <c r="D4699" s="953"/>
      <c r="E4699" s="953"/>
      <c r="F4699" s="953"/>
      <c r="G4699" s="953"/>
      <c r="H4699" s="953"/>
    </row>
    <row r="4700" spans="1:8" s="943" customFormat="1" x14ac:dyDescent="0.25">
      <c r="A4700" s="952"/>
      <c r="B4700" s="953"/>
      <c r="C4700" s="953"/>
      <c r="D4700" s="953"/>
      <c r="E4700" s="953"/>
      <c r="F4700" s="953"/>
      <c r="G4700" s="953"/>
      <c r="H4700" s="953"/>
    </row>
    <row r="4701" spans="1:8" s="943" customFormat="1" x14ac:dyDescent="0.25">
      <c r="A4701" s="952"/>
      <c r="B4701" s="953"/>
      <c r="C4701" s="953"/>
      <c r="D4701" s="953"/>
      <c r="E4701" s="953"/>
      <c r="F4701" s="953"/>
      <c r="G4701" s="953"/>
      <c r="H4701" s="953"/>
    </row>
    <row r="4702" spans="1:8" s="943" customFormat="1" x14ac:dyDescent="0.25">
      <c r="A4702" s="952"/>
      <c r="B4702" s="953"/>
      <c r="C4702" s="953"/>
      <c r="D4702" s="953"/>
      <c r="E4702" s="953"/>
      <c r="F4702" s="953"/>
      <c r="G4702" s="953"/>
      <c r="H4702" s="953"/>
    </row>
    <row r="4703" spans="1:8" s="943" customFormat="1" x14ac:dyDescent="0.25">
      <c r="A4703" s="952"/>
      <c r="B4703" s="953"/>
      <c r="C4703" s="953"/>
      <c r="D4703" s="953"/>
      <c r="E4703" s="953"/>
      <c r="F4703" s="953"/>
      <c r="G4703" s="953"/>
      <c r="H4703" s="953"/>
    </row>
    <row r="4704" spans="1:8" s="943" customFormat="1" x14ac:dyDescent="0.25">
      <c r="A4704" s="952"/>
      <c r="B4704" s="953"/>
      <c r="C4704" s="953"/>
      <c r="D4704" s="953"/>
      <c r="E4704" s="953"/>
      <c r="F4704" s="953"/>
      <c r="G4704" s="953"/>
      <c r="H4704" s="953"/>
    </row>
    <row r="4705" spans="1:8" s="943" customFormat="1" x14ac:dyDescent="0.25">
      <c r="A4705" s="952"/>
      <c r="B4705" s="953"/>
      <c r="C4705" s="953"/>
      <c r="D4705" s="953"/>
      <c r="E4705" s="953"/>
      <c r="F4705" s="953"/>
      <c r="G4705" s="953"/>
      <c r="H4705" s="953"/>
    </row>
    <row r="4706" spans="1:8" s="943" customFormat="1" x14ac:dyDescent="0.25">
      <c r="A4706" s="952"/>
      <c r="B4706" s="953"/>
      <c r="C4706" s="953"/>
      <c r="D4706" s="953"/>
      <c r="E4706" s="953"/>
      <c r="F4706" s="953"/>
      <c r="G4706" s="953"/>
      <c r="H4706" s="953"/>
    </row>
    <row r="4707" spans="1:8" s="943" customFormat="1" x14ac:dyDescent="0.25">
      <c r="A4707" s="952"/>
      <c r="B4707" s="953"/>
      <c r="C4707" s="953"/>
      <c r="D4707" s="953"/>
      <c r="E4707" s="953"/>
      <c r="F4707" s="953"/>
      <c r="G4707" s="953"/>
      <c r="H4707" s="953"/>
    </row>
    <row r="4708" spans="1:8" s="943" customFormat="1" x14ac:dyDescent="0.25">
      <c r="A4708" s="952"/>
      <c r="B4708" s="953"/>
      <c r="C4708" s="953"/>
      <c r="D4708" s="953"/>
      <c r="E4708" s="953"/>
      <c r="F4708" s="953"/>
      <c r="G4708" s="953"/>
      <c r="H4708" s="953"/>
    </row>
    <row r="4709" spans="1:8" s="943" customFormat="1" x14ac:dyDescent="0.25">
      <c r="A4709" s="952"/>
      <c r="B4709" s="953"/>
      <c r="C4709" s="953"/>
      <c r="D4709" s="953"/>
      <c r="E4709" s="953"/>
      <c r="F4709" s="953"/>
      <c r="G4709" s="953"/>
      <c r="H4709" s="953"/>
    </row>
    <row r="4710" spans="1:8" s="943" customFormat="1" x14ac:dyDescent="0.25">
      <c r="A4710" s="952"/>
      <c r="B4710" s="953"/>
      <c r="C4710" s="953"/>
      <c r="D4710" s="953"/>
      <c r="E4710" s="953"/>
      <c r="F4710" s="953"/>
      <c r="G4710" s="953"/>
      <c r="H4710" s="953"/>
    </row>
    <row r="4711" spans="1:8" s="943" customFormat="1" x14ac:dyDescent="0.25">
      <c r="A4711" s="952"/>
      <c r="B4711" s="953"/>
      <c r="C4711" s="953"/>
      <c r="D4711" s="953"/>
      <c r="E4711" s="953"/>
      <c r="F4711" s="953"/>
      <c r="G4711" s="953"/>
      <c r="H4711" s="953"/>
    </row>
    <row r="4712" spans="1:8" s="943" customFormat="1" x14ac:dyDescent="0.25">
      <c r="A4712" s="952"/>
      <c r="B4712" s="953"/>
      <c r="C4712" s="953"/>
      <c r="D4712" s="953"/>
      <c r="E4712" s="953"/>
      <c r="F4712" s="953"/>
      <c r="G4712" s="953"/>
      <c r="H4712" s="953"/>
    </row>
    <row r="4713" spans="1:8" s="943" customFormat="1" x14ac:dyDescent="0.25">
      <c r="A4713" s="952"/>
      <c r="B4713" s="953"/>
      <c r="C4713" s="953"/>
      <c r="D4713" s="953"/>
      <c r="E4713" s="953"/>
      <c r="F4713" s="953"/>
      <c r="G4713" s="953"/>
      <c r="H4713" s="953"/>
    </row>
    <row r="4714" spans="1:8" s="943" customFormat="1" x14ac:dyDescent="0.25">
      <c r="A4714" s="952"/>
      <c r="B4714" s="953"/>
      <c r="C4714" s="953"/>
      <c r="D4714" s="953"/>
      <c r="E4714" s="953"/>
      <c r="F4714" s="953"/>
      <c r="G4714" s="953"/>
      <c r="H4714" s="953"/>
    </row>
    <row r="4715" spans="1:8" s="943" customFormat="1" x14ac:dyDescent="0.25">
      <c r="A4715" s="952"/>
      <c r="B4715" s="953"/>
      <c r="C4715" s="953"/>
      <c r="D4715" s="953"/>
      <c r="E4715" s="953"/>
      <c r="F4715" s="953"/>
      <c r="G4715" s="953"/>
      <c r="H4715" s="953"/>
    </row>
    <row r="4716" spans="1:8" s="943" customFormat="1" x14ac:dyDescent="0.25">
      <c r="A4716" s="952"/>
      <c r="B4716" s="953"/>
      <c r="C4716" s="953"/>
      <c r="D4716" s="953"/>
      <c r="E4716" s="953"/>
      <c r="F4716" s="953"/>
      <c r="G4716" s="953"/>
      <c r="H4716" s="953"/>
    </row>
    <row r="4717" spans="1:8" s="943" customFormat="1" x14ac:dyDescent="0.25">
      <c r="A4717" s="952"/>
      <c r="B4717" s="953"/>
      <c r="C4717" s="953"/>
      <c r="D4717" s="953"/>
      <c r="E4717" s="953"/>
      <c r="F4717" s="953"/>
      <c r="G4717" s="953"/>
      <c r="H4717" s="953"/>
    </row>
    <row r="4718" spans="1:8" s="943" customFormat="1" x14ac:dyDescent="0.25">
      <c r="A4718" s="952"/>
      <c r="B4718" s="953"/>
      <c r="C4718" s="953"/>
      <c r="D4718" s="953"/>
      <c r="E4718" s="953"/>
      <c r="F4718" s="953"/>
      <c r="G4718" s="953"/>
      <c r="H4718" s="953"/>
    </row>
    <row r="4719" spans="1:8" s="943" customFormat="1" x14ac:dyDescent="0.25">
      <c r="A4719" s="952"/>
      <c r="B4719" s="953"/>
      <c r="C4719" s="953"/>
      <c r="D4719" s="953"/>
      <c r="E4719" s="953"/>
      <c r="F4719" s="953"/>
      <c r="G4719" s="953"/>
      <c r="H4719" s="953"/>
    </row>
    <row r="4720" spans="1:8" s="943" customFormat="1" x14ac:dyDescent="0.25">
      <c r="A4720" s="952"/>
      <c r="B4720" s="953"/>
      <c r="C4720" s="953"/>
      <c r="D4720" s="953"/>
      <c r="E4720" s="953"/>
      <c r="F4720" s="953"/>
      <c r="G4720" s="953"/>
      <c r="H4720" s="953"/>
    </row>
    <row r="4721" spans="1:8" s="943" customFormat="1" x14ac:dyDescent="0.25">
      <c r="A4721" s="952"/>
      <c r="B4721" s="953"/>
      <c r="C4721" s="953"/>
      <c r="D4721" s="953"/>
      <c r="E4721" s="953"/>
      <c r="F4721" s="953"/>
      <c r="G4721" s="953"/>
      <c r="H4721" s="953"/>
    </row>
    <row r="4722" spans="1:8" s="943" customFormat="1" x14ac:dyDescent="0.25">
      <c r="A4722" s="952"/>
      <c r="B4722" s="953"/>
      <c r="C4722" s="953"/>
      <c r="D4722" s="953"/>
      <c r="E4722" s="953"/>
      <c r="F4722" s="953"/>
      <c r="G4722" s="953"/>
      <c r="H4722" s="953"/>
    </row>
    <row r="4723" spans="1:8" s="943" customFormat="1" x14ac:dyDescent="0.25">
      <c r="A4723" s="952"/>
      <c r="B4723" s="953"/>
      <c r="C4723" s="953"/>
      <c r="D4723" s="953"/>
      <c r="E4723" s="953"/>
      <c r="F4723" s="953"/>
      <c r="G4723" s="953"/>
      <c r="H4723" s="953"/>
    </row>
    <row r="4724" spans="1:8" s="943" customFormat="1" x14ac:dyDescent="0.25">
      <c r="A4724" s="952"/>
      <c r="B4724" s="953"/>
      <c r="C4724" s="953"/>
      <c r="D4724" s="953"/>
      <c r="E4724" s="953"/>
      <c r="F4724" s="953"/>
      <c r="G4724" s="953"/>
      <c r="H4724" s="953"/>
    </row>
    <row r="4725" spans="1:8" s="943" customFormat="1" x14ac:dyDescent="0.25">
      <c r="A4725" s="952"/>
      <c r="B4725" s="953"/>
      <c r="C4725" s="953"/>
      <c r="D4725" s="953"/>
      <c r="E4725" s="953"/>
      <c r="F4725" s="953"/>
      <c r="G4725" s="953"/>
      <c r="H4725" s="953"/>
    </row>
    <row r="4726" spans="1:8" s="943" customFormat="1" x14ac:dyDescent="0.25">
      <c r="A4726" s="952"/>
      <c r="B4726" s="953"/>
      <c r="C4726" s="953"/>
      <c r="D4726" s="953"/>
      <c r="E4726" s="953"/>
      <c r="F4726" s="953"/>
      <c r="G4726" s="953"/>
      <c r="H4726" s="953"/>
    </row>
    <row r="4727" spans="1:8" s="943" customFormat="1" x14ac:dyDescent="0.25">
      <c r="A4727" s="952"/>
      <c r="B4727" s="953"/>
      <c r="C4727" s="953"/>
      <c r="D4727" s="953"/>
      <c r="E4727" s="953"/>
      <c r="F4727" s="953"/>
      <c r="G4727" s="953"/>
      <c r="H4727" s="953"/>
    </row>
    <row r="4728" spans="1:8" s="943" customFormat="1" x14ac:dyDescent="0.25">
      <c r="A4728" s="952"/>
      <c r="B4728" s="953"/>
      <c r="C4728" s="953"/>
      <c r="D4728" s="953"/>
      <c r="E4728" s="953"/>
      <c r="F4728" s="953"/>
      <c r="G4728" s="953"/>
      <c r="H4728" s="953"/>
    </row>
    <row r="4729" spans="1:8" s="943" customFormat="1" x14ac:dyDescent="0.25">
      <c r="A4729" s="952"/>
      <c r="B4729" s="953"/>
      <c r="C4729" s="953"/>
      <c r="D4729" s="953"/>
      <c r="E4729" s="953"/>
      <c r="F4729" s="953"/>
      <c r="G4729" s="953"/>
      <c r="H4729" s="953"/>
    </row>
    <row r="4730" spans="1:8" s="943" customFormat="1" x14ac:dyDescent="0.25">
      <c r="A4730" s="952"/>
      <c r="B4730" s="953"/>
      <c r="C4730" s="953"/>
      <c r="D4730" s="953"/>
      <c r="E4730" s="953"/>
      <c r="F4730" s="953"/>
      <c r="G4730" s="953"/>
      <c r="H4730" s="953"/>
    </row>
    <row r="4731" spans="1:8" s="943" customFormat="1" x14ac:dyDescent="0.25">
      <c r="A4731" s="952"/>
      <c r="B4731" s="953"/>
      <c r="C4731" s="953"/>
      <c r="D4731" s="953"/>
      <c r="E4731" s="953"/>
      <c r="F4731" s="953"/>
      <c r="G4731" s="953"/>
      <c r="H4731" s="953"/>
    </row>
    <row r="4732" spans="1:8" s="943" customFormat="1" x14ac:dyDescent="0.25">
      <c r="A4732" s="952"/>
      <c r="B4732" s="953"/>
      <c r="C4732" s="953"/>
      <c r="D4732" s="953"/>
      <c r="E4732" s="953"/>
      <c r="F4732" s="953"/>
      <c r="G4732" s="953"/>
      <c r="H4732" s="953"/>
    </row>
    <row r="4733" spans="1:8" s="943" customFormat="1" x14ac:dyDescent="0.25">
      <c r="A4733" s="952"/>
      <c r="B4733" s="953"/>
      <c r="C4733" s="953"/>
      <c r="D4733" s="953"/>
      <c r="E4733" s="953"/>
      <c r="F4733" s="953"/>
      <c r="G4733" s="953"/>
      <c r="H4733" s="953"/>
    </row>
    <row r="4734" spans="1:8" s="943" customFormat="1" x14ac:dyDescent="0.25">
      <c r="A4734" s="952"/>
      <c r="B4734" s="953"/>
      <c r="C4734" s="953"/>
      <c r="D4734" s="953"/>
      <c r="E4734" s="953"/>
      <c r="F4734" s="953"/>
      <c r="G4734" s="953"/>
      <c r="H4734" s="953"/>
    </row>
    <row r="4735" spans="1:8" s="943" customFormat="1" x14ac:dyDescent="0.25">
      <c r="A4735" s="952"/>
      <c r="B4735" s="953"/>
      <c r="C4735" s="953"/>
      <c r="D4735" s="953"/>
      <c r="E4735" s="953"/>
      <c r="F4735" s="953"/>
      <c r="G4735" s="953"/>
      <c r="H4735" s="953"/>
    </row>
    <row r="4736" spans="1:8" s="943" customFormat="1" x14ac:dyDescent="0.25">
      <c r="A4736" s="952"/>
      <c r="B4736" s="953"/>
      <c r="C4736" s="953"/>
      <c r="D4736" s="953"/>
      <c r="E4736" s="953"/>
      <c r="F4736" s="953"/>
      <c r="G4736" s="953"/>
      <c r="H4736" s="953"/>
    </row>
    <row r="4737" spans="1:8" s="943" customFormat="1" x14ac:dyDescent="0.25">
      <c r="A4737" s="952"/>
      <c r="B4737" s="953"/>
      <c r="C4737" s="953"/>
      <c r="D4737" s="953"/>
      <c r="E4737" s="953"/>
      <c r="F4737" s="953"/>
      <c r="G4737" s="953"/>
      <c r="H4737" s="953"/>
    </row>
    <row r="4738" spans="1:8" s="943" customFormat="1" x14ac:dyDescent="0.25">
      <c r="A4738" s="952"/>
      <c r="B4738" s="953"/>
      <c r="C4738" s="953"/>
      <c r="D4738" s="953"/>
      <c r="E4738" s="953"/>
      <c r="F4738" s="953"/>
      <c r="G4738" s="953"/>
      <c r="H4738" s="953"/>
    </row>
    <row r="4739" spans="1:8" s="943" customFormat="1" x14ac:dyDescent="0.25">
      <c r="A4739" s="952"/>
      <c r="B4739" s="953"/>
      <c r="C4739" s="953"/>
      <c r="D4739" s="953"/>
      <c r="E4739" s="953"/>
      <c r="F4739" s="953"/>
      <c r="G4739" s="953"/>
      <c r="H4739" s="953"/>
    </row>
    <row r="4740" spans="1:8" s="943" customFormat="1" x14ac:dyDescent="0.25">
      <c r="A4740" s="952"/>
      <c r="B4740" s="953"/>
      <c r="C4740" s="953"/>
      <c r="D4740" s="953"/>
      <c r="E4740" s="953"/>
      <c r="F4740" s="953"/>
      <c r="G4740" s="953"/>
      <c r="H4740" s="953"/>
    </row>
    <row r="4741" spans="1:8" s="943" customFormat="1" x14ac:dyDescent="0.25">
      <c r="A4741" s="952"/>
      <c r="B4741" s="953"/>
      <c r="C4741" s="953"/>
      <c r="D4741" s="953"/>
      <c r="E4741" s="953"/>
      <c r="F4741" s="953"/>
      <c r="G4741" s="953"/>
      <c r="H4741" s="953"/>
    </row>
    <row r="4742" spans="1:8" s="943" customFormat="1" x14ac:dyDescent="0.25">
      <c r="A4742" s="952"/>
      <c r="B4742" s="953"/>
      <c r="C4742" s="953"/>
      <c r="D4742" s="953"/>
      <c r="E4742" s="953"/>
      <c r="F4742" s="953"/>
      <c r="G4742" s="953"/>
      <c r="H4742" s="953"/>
    </row>
    <row r="4743" spans="1:8" s="943" customFormat="1" x14ac:dyDescent="0.25">
      <c r="A4743" s="952"/>
      <c r="B4743" s="953"/>
      <c r="C4743" s="953"/>
      <c r="D4743" s="953"/>
      <c r="E4743" s="953"/>
      <c r="F4743" s="953"/>
      <c r="G4743" s="953"/>
      <c r="H4743" s="953"/>
    </row>
    <row r="4744" spans="1:8" s="943" customFormat="1" x14ac:dyDescent="0.25">
      <c r="A4744" s="952"/>
      <c r="B4744" s="953"/>
      <c r="C4744" s="953"/>
      <c r="D4744" s="953"/>
      <c r="E4744" s="953"/>
      <c r="F4744" s="953"/>
      <c r="G4744" s="953"/>
      <c r="H4744" s="953"/>
    </row>
    <row r="4745" spans="1:8" s="943" customFormat="1" x14ac:dyDescent="0.25">
      <c r="A4745" s="952"/>
      <c r="B4745" s="953"/>
      <c r="C4745" s="953"/>
      <c r="D4745" s="953"/>
      <c r="E4745" s="953"/>
      <c r="F4745" s="953"/>
      <c r="G4745" s="953"/>
      <c r="H4745" s="953"/>
    </row>
    <row r="4746" spans="1:8" s="943" customFormat="1" x14ac:dyDescent="0.25">
      <c r="A4746" s="952"/>
      <c r="B4746" s="953"/>
      <c r="C4746" s="953"/>
      <c r="D4746" s="953"/>
      <c r="E4746" s="953"/>
      <c r="F4746" s="953"/>
      <c r="G4746" s="953"/>
      <c r="H4746" s="953"/>
    </row>
    <row r="4747" spans="1:8" s="943" customFormat="1" x14ac:dyDescent="0.25">
      <c r="A4747" s="952"/>
      <c r="B4747" s="953"/>
      <c r="C4747" s="953"/>
      <c r="D4747" s="953"/>
      <c r="E4747" s="953"/>
      <c r="F4747" s="953"/>
      <c r="G4747" s="953"/>
      <c r="H4747" s="953"/>
    </row>
    <row r="4748" spans="1:8" s="943" customFormat="1" x14ac:dyDescent="0.25">
      <c r="A4748" s="952"/>
      <c r="B4748" s="953"/>
      <c r="C4748" s="953"/>
      <c r="D4748" s="953"/>
      <c r="E4748" s="953"/>
      <c r="F4748" s="953"/>
      <c r="G4748" s="953"/>
      <c r="H4748" s="953"/>
    </row>
    <row r="4749" spans="1:8" s="943" customFormat="1" x14ac:dyDescent="0.25">
      <c r="A4749" s="952"/>
      <c r="B4749" s="953"/>
      <c r="C4749" s="953"/>
      <c r="D4749" s="953"/>
      <c r="E4749" s="953"/>
      <c r="F4749" s="953"/>
      <c r="G4749" s="953"/>
      <c r="H4749" s="953"/>
    </row>
    <row r="4750" spans="1:8" s="943" customFormat="1" x14ac:dyDescent="0.25">
      <c r="A4750" s="952"/>
      <c r="B4750" s="953"/>
      <c r="C4750" s="953"/>
      <c r="D4750" s="953"/>
      <c r="E4750" s="953"/>
      <c r="F4750" s="953"/>
      <c r="G4750" s="953"/>
      <c r="H4750" s="953"/>
    </row>
    <row r="4751" spans="1:8" s="943" customFormat="1" x14ac:dyDescent="0.25">
      <c r="A4751" s="952"/>
      <c r="B4751" s="953"/>
      <c r="C4751" s="953"/>
      <c r="D4751" s="953"/>
      <c r="E4751" s="953"/>
      <c r="F4751" s="953"/>
      <c r="G4751" s="953"/>
      <c r="H4751" s="953"/>
    </row>
    <row r="4752" spans="1:8" s="943" customFormat="1" x14ac:dyDescent="0.25">
      <c r="A4752" s="952"/>
      <c r="B4752" s="953"/>
      <c r="C4752" s="953"/>
      <c r="D4752" s="953"/>
      <c r="E4752" s="953"/>
      <c r="F4752" s="953"/>
      <c r="G4752" s="953"/>
      <c r="H4752" s="953"/>
    </row>
    <row r="4753" spans="1:8" s="943" customFormat="1" x14ac:dyDescent="0.25">
      <c r="A4753" s="952"/>
      <c r="B4753" s="953"/>
      <c r="C4753" s="953"/>
      <c r="D4753" s="953"/>
      <c r="E4753" s="953"/>
      <c r="F4753" s="953"/>
      <c r="G4753" s="953"/>
      <c r="H4753" s="953"/>
    </row>
    <row r="4754" spans="1:8" s="943" customFormat="1" x14ac:dyDescent="0.25">
      <c r="A4754" s="952"/>
      <c r="B4754" s="953"/>
      <c r="C4754" s="953"/>
      <c r="D4754" s="953"/>
      <c r="E4754" s="953"/>
      <c r="F4754" s="953"/>
      <c r="G4754" s="953"/>
      <c r="H4754" s="953"/>
    </row>
    <row r="4755" spans="1:8" s="943" customFormat="1" x14ac:dyDescent="0.25">
      <c r="A4755" s="952"/>
      <c r="B4755" s="953"/>
      <c r="C4755" s="953"/>
      <c r="D4755" s="953"/>
      <c r="E4755" s="953"/>
      <c r="F4755" s="953"/>
      <c r="G4755" s="953"/>
      <c r="H4755" s="953"/>
    </row>
    <row r="4756" spans="1:8" s="943" customFormat="1" x14ac:dyDescent="0.25">
      <c r="A4756" s="952"/>
      <c r="B4756" s="953"/>
      <c r="C4756" s="953"/>
      <c r="D4756" s="953"/>
      <c r="E4756" s="953"/>
      <c r="F4756" s="953"/>
      <c r="G4756" s="953"/>
      <c r="H4756" s="953"/>
    </row>
    <row r="4757" spans="1:8" s="943" customFormat="1" x14ac:dyDescent="0.25">
      <c r="A4757" s="952"/>
      <c r="B4757" s="953"/>
      <c r="C4757" s="953"/>
      <c r="D4757" s="953"/>
      <c r="E4757" s="953"/>
      <c r="F4757" s="953"/>
      <c r="G4757" s="953"/>
      <c r="H4757" s="953"/>
    </row>
    <row r="4758" spans="1:8" s="943" customFormat="1" x14ac:dyDescent="0.25">
      <c r="A4758" s="952"/>
      <c r="B4758" s="953"/>
      <c r="C4758" s="953"/>
      <c r="D4758" s="953"/>
      <c r="E4758" s="953"/>
      <c r="F4758" s="953"/>
      <c r="G4758" s="953"/>
      <c r="H4758" s="953"/>
    </row>
    <row r="4759" spans="1:8" s="943" customFormat="1" x14ac:dyDescent="0.25">
      <c r="A4759" s="952"/>
      <c r="B4759" s="953"/>
      <c r="C4759" s="953"/>
      <c r="D4759" s="953"/>
      <c r="E4759" s="953"/>
      <c r="F4759" s="953"/>
      <c r="G4759" s="953"/>
      <c r="H4759" s="953"/>
    </row>
    <row r="4760" spans="1:8" s="943" customFormat="1" x14ac:dyDescent="0.25">
      <c r="A4760" s="952"/>
      <c r="B4760" s="953"/>
      <c r="C4760" s="953"/>
      <c r="D4760" s="953"/>
      <c r="E4760" s="953"/>
      <c r="F4760" s="953"/>
      <c r="G4760" s="953"/>
      <c r="H4760" s="953"/>
    </row>
    <row r="4761" spans="1:8" s="943" customFormat="1" x14ac:dyDescent="0.25">
      <c r="A4761" s="952"/>
      <c r="B4761" s="953"/>
      <c r="C4761" s="953"/>
      <c r="D4761" s="953"/>
      <c r="E4761" s="953"/>
      <c r="F4761" s="953"/>
      <c r="G4761" s="953"/>
      <c r="H4761" s="953"/>
    </row>
    <row r="4762" spans="1:8" s="943" customFormat="1" x14ac:dyDescent="0.25">
      <c r="A4762" s="952"/>
      <c r="B4762" s="953"/>
      <c r="C4762" s="953"/>
      <c r="D4762" s="953"/>
      <c r="E4762" s="953"/>
      <c r="F4762" s="953"/>
      <c r="G4762" s="953"/>
      <c r="H4762" s="953"/>
    </row>
    <row r="4763" spans="1:8" s="943" customFormat="1" x14ac:dyDescent="0.25">
      <c r="A4763" s="952"/>
      <c r="B4763" s="953"/>
      <c r="C4763" s="953"/>
      <c r="D4763" s="953"/>
      <c r="E4763" s="953"/>
      <c r="F4763" s="953"/>
      <c r="G4763" s="953"/>
      <c r="H4763" s="953"/>
    </row>
    <row r="4764" spans="1:8" s="943" customFormat="1" x14ac:dyDescent="0.25">
      <c r="A4764" s="952"/>
      <c r="B4764" s="953"/>
      <c r="C4764" s="953"/>
      <c r="D4764" s="953"/>
      <c r="E4764" s="953"/>
      <c r="F4764" s="953"/>
      <c r="G4764" s="953"/>
      <c r="H4764" s="953"/>
    </row>
    <row r="4765" spans="1:8" s="943" customFormat="1" x14ac:dyDescent="0.25">
      <c r="A4765" s="952"/>
      <c r="B4765" s="953"/>
      <c r="C4765" s="953"/>
      <c r="D4765" s="953"/>
      <c r="E4765" s="953"/>
      <c r="F4765" s="953"/>
      <c r="G4765" s="953"/>
      <c r="H4765" s="953"/>
    </row>
    <row r="4766" spans="1:8" s="943" customFormat="1" x14ac:dyDescent="0.25">
      <c r="A4766" s="952"/>
      <c r="B4766" s="953"/>
      <c r="C4766" s="953"/>
      <c r="D4766" s="953"/>
      <c r="E4766" s="953"/>
      <c r="F4766" s="953"/>
      <c r="G4766" s="953"/>
      <c r="H4766" s="953"/>
    </row>
    <row r="4767" spans="1:8" s="943" customFormat="1" x14ac:dyDescent="0.25">
      <c r="A4767" s="952"/>
      <c r="B4767" s="953"/>
      <c r="C4767" s="953"/>
      <c r="D4767" s="953"/>
      <c r="E4767" s="953"/>
      <c r="F4767" s="953"/>
      <c r="G4767" s="953"/>
      <c r="H4767" s="953"/>
    </row>
    <row r="4768" spans="1:8" s="943" customFormat="1" x14ac:dyDescent="0.25">
      <c r="A4768" s="952"/>
      <c r="B4768" s="953"/>
      <c r="C4768" s="953"/>
      <c r="D4768" s="953"/>
      <c r="E4768" s="953"/>
      <c r="F4768" s="953"/>
      <c r="G4768" s="953"/>
      <c r="H4768" s="953"/>
    </row>
    <row r="4769" spans="1:8" s="943" customFormat="1" x14ac:dyDescent="0.25">
      <c r="A4769" s="952"/>
      <c r="B4769" s="953"/>
      <c r="C4769" s="953"/>
      <c r="D4769" s="953"/>
      <c r="E4769" s="953"/>
      <c r="F4769" s="953"/>
      <c r="G4769" s="953"/>
      <c r="H4769" s="953"/>
    </row>
    <row r="4770" spans="1:8" s="943" customFormat="1" x14ac:dyDescent="0.25">
      <c r="A4770" s="952"/>
      <c r="B4770" s="953"/>
      <c r="C4770" s="953"/>
      <c r="D4770" s="953"/>
      <c r="E4770" s="953"/>
      <c r="F4770" s="953"/>
      <c r="G4770" s="953"/>
      <c r="H4770" s="953"/>
    </row>
    <row r="4771" spans="1:8" s="943" customFormat="1" x14ac:dyDescent="0.25">
      <c r="A4771" s="952"/>
      <c r="B4771" s="953"/>
      <c r="C4771" s="953"/>
      <c r="D4771" s="953"/>
      <c r="E4771" s="953"/>
      <c r="F4771" s="953"/>
      <c r="G4771" s="953"/>
      <c r="H4771" s="953"/>
    </row>
    <row r="4772" spans="1:8" s="943" customFormat="1" x14ac:dyDescent="0.25">
      <c r="A4772" s="952"/>
      <c r="B4772" s="953"/>
      <c r="C4772" s="953"/>
      <c r="D4772" s="953"/>
      <c r="E4772" s="953"/>
      <c r="F4772" s="953"/>
      <c r="G4772" s="953"/>
      <c r="H4772" s="953"/>
    </row>
    <row r="4773" spans="1:8" s="943" customFormat="1" x14ac:dyDescent="0.25">
      <c r="A4773" s="952"/>
      <c r="B4773" s="953"/>
      <c r="C4773" s="953"/>
      <c r="D4773" s="953"/>
      <c r="E4773" s="953"/>
      <c r="F4773" s="953"/>
      <c r="G4773" s="953"/>
      <c r="H4773" s="953"/>
    </row>
    <row r="4774" spans="1:8" s="943" customFormat="1" x14ac:dyDescent="0.25">
      <c r="A4774" s="952"/>
      <c r="B4774" s="953"/>
      <c r="C4774" s="953"/>
      <c r="D4774" s="953"/>
      <c r="E4774" s="953"/>
      <c r="F4774" s="953"/>
      <c r="G4774" s="953"/>
      <c r="H4774" s="953"/>
    </row>
    <row r="4775" spans="1:8" s="943" customFormat="1" x14ac:dyDescent="0.25">
      <c r="A4775" s="952"/>
      <c r="B4775" s="953"/>
      <c r="C4775" s="953"/>
      <c r="D4775" s="953"/>
      <c r="E4775" s="953"/>
      <c r="F4775" s="953"/>
      <c r="G4775" s="953"/>
      <c r="H4775" s="953"/>
    </row>
    <row r="4776" spans="1:8" s="943" customFormat="1" x14ac:dyDescent="0.25">
      <c r="A4776" s="952"/>
      <c r="B4776" s="953"/>
      <c r="C4776" s="953"/>
      <c r="D4776" s="953"/>
      <c r="E4776" s="953"/>
      <c r="F4776" s="953"/>
      <c r="G4776" s="953"/>
      <c r="H4776" s="953"/>
    </row>
    <row r="4777" spans="1:8" s="943" customFormat="1" x14ac:dyDescent="0.25">
      <c r="A4777" s="952"/>
      <c r="B4777" s="953"/>
      <c r="C4777" s="953"/>
      <c r="D4777" s="953"/>
      <c r="E4777" s="953"/>
      <c r="F4777" s="953"/>
      <c r="G4777" s="953"/>
      <c r="H4777" s="953"/>
    </row>
    <row r="4778" spans="1:8" s="943" customFormat="1" x14ac:dyDescent="0.25">
      <c r="A4778" s="952"/>
      <c r="B4778" s="953"/>
      <c r="C4778" s="953"/>
      <c r="D4778" s="953"/>
      <c r="E4778" s="953"/>
      <c r="F4778" s="953"/>
      <c r="G4778" s="953"/>
      <c r="H4778" s="953"/>
    </row>
    <row r="4779" spans="1:8" s="943" customFormat="1" x14ac:dyDescent="0.25">
      <c r="A4779" s="952"/>
      <c r="B4779" s="953"/>
      <c r="C4779" s="953"/>
      <c r="D4779" s="953"/>
      <c r="E4779" s="953"/>
      <c r="F4779" s="953"/>
      <c r="G4779" s="953"/>
      <c r="H4779" s="953"/>
    </row>
    <row r="4780" spans="1:8" s="943" customFormat="1" x14ac:dyDescent="0.25">
      <c r="A4780" s="952"/>
      <c r="B4780" s="953"/>
      <c r="C4780" s="953"/>
      <c r="D4780" s="953"/>
      <c r="E4780" s="953"/>
      <c r="F4780" s="953"/>
      <c r="G4780" s="953"/>
      <c r="H4780" s="953"/>
    </row>
    <row r="4781" spans="1:8" s="943" customFormat="1" x14ac:dyDescent="0.25">
      <c r="A4781" s="952"/>
      <c r="B4781" s="953"/>
      <c r="C4781" s="953"/>
      <c r="D4781" s="953"/>
      <c r="E4781" s="953"/>
      <c r="F4781" s="953"/>
      <c r="G4781" s="953"/>
      <c r="H4781" s="953"/>
    </row>
    <row r="4782" spans="1:8" s="943" customFormat="1" x14ac:dyDescent="0.25">
      <c r="A4782" s="952"/>
      <c r="B4782" s="953"/>
      <c r="C4782" s="953"/>
      <c r="D4782" s="953"/>
      <c r="E4782" s="953"/>
      <c r="F4782" s="953"/>
      <c r="G4782" s="953"/>
      <c r="H4782" s="953"/>
    </row>
    <row r="4783" spans="1:8" s="943" customFormat="1" x14ac:dyDescent="0.25">
      <c r="A4783" s="952"/>
      <c r="B4783" s="953"/>
      <c r="C4783" s="953"/>
      <c r="D4783" s="953"/>
      <c r="E4783" s="953"/>
      <c r="F4783" s="953"/>
      <c r="G4783" s="953"/>
      <c r="H4783" s="953"/>
    </row>
    <row r="4784" spans="1:8" s="943" customFormat="1" x14ac:dyDescent="0.25">
      <c r="A4784" s="952"/>
      <c r="B4784" s="953"/>
      <c r="C4784" s="953"/>
      <c r="D4784" s="953"/>
      <c r="E4784" s="953"/>
      <c r="F4784" s="953"/>
      <c r="G4784" s="953"/>
      <c r="H4784" s="953"/>
    </row>
    <row r="4785" spans="1:8" s="943" customFormat="1" x14ac:dyDescent="0.25">
      <c r="A4785" s="952"/>
      <c r="B4785" s="953"/>
      <c r="C4785" s="953"/>
      <c r="D4785" s="953"/>
      <c r="E4785" s="953"/>
      <c r="F4785" s="953"/>
      <c r="G4785" s="953"/>
      <c r="H4785" s="953"/>
    </row>
    <row r="4786" spans="1:8" s="943" customFormat="1" x14ac:dyDescent="0.25">
      <c r="A4786" s="952"/>
      <c r="B4786" s="953"/>
      <c r="C4786" s="953"/>
      <c r="D4786" s="953"/>
      <c r="E4786" s="953"/>
      <c r="F4786" s="953"/>
      <c r="G4786" s="953"/>
      <c r="H4786" s="953"/>
    </row>
    <row r="4787" spans="1:8" s="943" customFormat="1" x14ac:dyDescent="0.25">
      <c r="A4787" s="952"/>
      <c r="B4787" s="953"/>
      <c r="C4787" s="953"/>
      <c r="D4787" s="953"/>
      <c r="E4787" s="953"/>
      <c r="F4787" s="953"/>
      <c r="G4787" s="953"/>
      <c r="H4787" s="953"/>
    </row>
    <row r="4788" spans="1:8" s="943" customFormat="1" x14ac:dyDescent="0.25">
      <c r="A4788" s="952"/>
      <c r="B4788" s="953"/>
      <c r="C4788" s="953"/>
      <c r="D4788" s="953"/>
      <c r="E4788" s="953"/>
      <c r="F4788" s="953"/>
      <c r="G4788" s="953"/>
      <c r="H4788" s="953"/>
    </row>
    <row r="4789" spans="1:8" s="943" customFormat="1" x14ac:dyDescent="0.25">
      <c r="A4789" s="952"/>
      <c r="B4789" s="953"/>
      <c r="C4789" s="953"/>
      <c r="D4789" s="953"/>
      <c r="E4789" s="953"/>
      <c r="F4789" s="953"/>
      <c r="G4789" s="953"/>
      <c r="H4789" s="953"/>
    </row>
    <row r="4790" spans="1:8" s="943" customFormat="1" x14ac:dyDescent="0.25">
      <c r="A4790" s="952"/>
      <c r="B4790" s="953"/>
      <c r="C4790" s="953"/>
      <c r="D4790" s="953"/>
      <c r="E4790" s="953"/>
      <c r="F4790" s="953"/>
      <c r="G4790" s="953"/>
      <c r="H4790" s="953"/>
    </row>
    <row r="4791" spans="1:8" s="943" customFormat="1" x14ac:dyDescent="0.25">
      <c r="A4791" s="952"/>
      <c r="B4791" s="953"/>
      <c r="C4791" s="953"/>
      <c r="D4791" s="953"/>
      <c r="E4791" s="953"/>
      <c r="F4791" s="953"/>
      <c r="G4791" s="953"/>
      <c r="H4791" s="953"/>
    </row>
    <row r="4792" spans="1:8" s="943" customFormat="1" x14ac:dyDescent="0.25">
      <c r="A4792" s="952"/>
      <c r="B4792" s="953"/>
      <c r="C4792" s="953"/>
      <c r="D4792" s="953"/>
      <c r="E4792" s="953"/>
      <c r="F4792" s="953"/>
      <c r="G4792" s="953"/>
      <c r="H4792" s="953"/>
    </row>
    <row r="4793" spans="1:8" s="943" customFormat="1" x14ac:dyDescent="0.25">
      <c r="A4793" s="952"/>
      <c r="B4793" s="953"/>
      <c r="C4793" s="953"/>
      <c r="D4793" s="953"/>
      <c r="E4793" s="953"/>
      <c r="F4793" s="953"/>
      <c r="G4793" s="953"/>
      <c r="H4793" s="953"/>
    </row>
    <row r="4794" spans="1:8" s="943" customFormat="1" x14ac:dyDescent="0.25">
      <c r="A4794" s="952"/>
      <c r="B4794" s="953"/>
      <c r="C4794" s="953"/>
      <c r="D4794" s="953"/>
      <c r="E4794" s="953"/>
      <c r="F4794" s="953"/>
      <c r="G4794" s="953"/>
      <c r="H4794" s="953"/>
    </row>
    <row r="4795" spans="1:8" s="943" customFormat="1" x14ac:dyDescent="0.25">
      <c r="A4795" s="952"/>
      <c r="B4795" s="953"/>
      <c r="C4795" s="953"/>
      <c r="D4795" s="953"/>
      <c r="E4795" s="953"/>
      <c r="F4795" s="953"/>
      <c r="G4795" s="953"/>
      <c r="H4795" s="953"/>
    </row>
    <row r="4796" spans="1:8" s="943" customFormat="1" x14ac:dyDescent="0.25">
      <c r="A4796" s="952"/>
      <c r="B4796" s="953"/>
      <c r="C4796" s="953"/>
      <c r="D4796" s="953"/>
      <c r="E4796" s="953"/>
      <c r="F4796" s="953"/>
      <c r="G4796" s="953"/>
      <c r="H4796" s="953"/>
    </row>
    <row r="4797" spans="1:8" s="943" customFormat="1" x14ac:dyDescent="0.25">
      <c r="A4797" s="952"/>
      <c r="B4797" s="953"/>
      <c r="C4797" s="953"/>
      <c r="D4797" s="953"/>
      <c r="E4797" s="953"/>
      <c r="F4797" s="953"/>
      <c r="G4797" s="953"/>
      <c r="H4797" s="953"/>
    </row>
    <row r="4798" spans="1:8" s="943" customFormat="1" x14ac:dyDescent="0.25">
      <c r="A4798" s="952"/>
      <c r="B4798" s="953"/>
      <c r="C4798" s="953"/>
      <c r="D4798" s="953"/>
      <c r="E4798" s="953"/>
      <c r="F4798" s="953"/>
      <c r="G4798" s="953"/>
      <c r="H4798" s="953"/>
    </row>
    <row r="4799" spans="1:8" s="943" customFormat="1" x14ac:dyDescent="0.25">
      <c r="A4799" s="952"/>
      <c r="B4799" s="953"/>
      <c r="C4799" s="953"/>
      <c r="D4799" s="953"/>
      <c r="E4799" s="953"/>
      <c r="F4799" s="953"/>
      <c r="G4799" s="953"/>
      <c r="H4799" s="953"/>
    </row>
    <row r="4800" spans="1:8" s="943" customFormat="1" x14ac:dyDescent="0.25">
      <c r="A4800" s="952"/>
      <c r="B4800" s="953"/>
      <c r="C4800" s="953"/>
      <c r="D4800" s="953"/>
      <c r="E4800" s="953"/>
      <c r="F4800" s="953"/>
      <c r="G4800" s="953"/>
      <c r="H4800" s="953"/>
    </row>
    <row r="4801" spans="1:8" s="943" customFormat="1" x14ac:dyDescent="0.25">
      <c r="A4801" s="952"/>
      <c r="B4801" s="953"/>
      <c r="C4801" s="953"/>
      <c r="D4801" s="953"/>
      <c r="E4801" s="953"/>
      <c r="F4801" s="953"/>
      <c r="G4801" s="953"/>
      <c r="H4801" s="953"/>
    </row>
    <row r="4802" spans="1:8" s="943" customFormat="1" x14ac:dyDescent="0.25">
      <c r="A4802" s="952"/>
      <c r="B4802" s="953"/>
      <c r="C4802" s="953"/>
      <c r="D4802" s="953"/>
      <c r="E4802" s="953"/>
      <c r="F4802" s="953"/>
      <c r="G4802" s="953"/>
      <c r="H4802" s="953"/>
    </row>
    <row r="4803" spans="1:8" s="943" customFormat="1" x14ac:dyDescent="0.25">
      <c r="A4803" s="952"/>
      <c r="B4803" s="953"/>
      <c r="C4803" s="953"/>
      <c r="D4803" s="953"/>
      <c r="E4803" s="953"/>
      <c r="F4803" s="953"/>
      <c r="G4803" s="953"/>
      <c r="H4803" s="953"/>
    </row>
    <row r="4804" spans="1:8" s="943" customFormat="1" x14ac:dyDescent="0.25">
      <c r="A4804" s="952"/>
      <c r="B4804" s="953"/>
      <c r="C4804" s="953"/>
      <c r="D4804" s="953"/>
      <c r="E4804" s="953"/>
      <c r="F4804" s="953"/>
      <c r="G4804" s="953"/>
      <c r="H4804" s="953"/>
    </row>
    <row r="4805" spans="1:8" s="943" customFormat="1" x14ac:dyDescent="0.25">
      <c r="A4805" s="952"/>
      <c r="B4805" s="953"/>
      <c r="C4805" s="953"/>
      <c r="D4805" s="953"/>
      <c r="E4805" s="953"/>
      <c r="F4805" s="953"/>
      <c r="G4805" s="953"/>
      <c r="H4805" s="953"/>
    </row>
    <row r="4806" spans="1:8" s="943" customFormat="1" x14ac:dyDescent="0.25">
      <c r="A4806" s="952"/>
      <c r="B4806" s="953"/>
      <c r="C4806" s="953"/>
      <c r="D4806" s="953"/>
      <c r="E4806" s="953"/>
      <c r="F4806" s="953"/>
      <c r="G4806" s="953"/>
      <c r="H4806" s="953"/>
    </row>
    <row r="4807" spans="1:8" s="943" customFormat="1" x14ac:dyDescent="0.25">
      <c r="A4807" s="952"/>
      <c r="B4807" s="953"/>
      <c r="C4807" s="953"/>
      <c r="D4807" s="953"/>
      <c r="E4807" s="953"/>
      <c r="F4807" s="953"/>
      <c r="G4807" s="953"/>
      <c r="H4807" s="953"/>
    </row>
    <row r="4808" spans="1:8" s="943" customFormat="1" x14ac:dyDescent="0.25">
      <c r="A4808" s="952"/>
      <c r="B4808" s="953"/>
      <c r="C4808" s="953"/>
      <c r="D4808" s="953"/>
      <c r="E4808" s="953"/>
      <c r="F4808" s="953"/>
      <c r="G4808" s="953"/>
      <c r="H4808" s="953"/>
    </row>
    <row r="4809" spans="1:8" s="943" customFormat="1" x14ac:dyDescent="0.25">
      <c r="A4809" s="952"/>
      <c r="B4809" s="953"/>
      <c r="C4809" s="953"/>
      <c r="D4809" s="953"/>
      <c r="E4809" s="953"/>
      <c r="F4809" s="953"/>
      <c r="G4809" s="953"/>
      <c r="H4809" s="953"/>
    </row>
    <row r="4810" spans="1:8" s="943" customFormat="1" x14ac:dyDescent="0.25">
      <c r="A4810" s="952"/>
      <c r="B4810" s="953"/>
      <c r="C4810" s="953"/>
      <c r="D4810" s="953"/>
      <c r="E4810" s="953"/>
      <c r="F4810" s="953"/>
      <c r="G4810" s="953"/>
      <c r="H4810" s="953"/>
    </row>
    <row r="4811" spans="1:8" s="943" customFormat="1" x14ac:dyDescent="0.25">
      <c r="A4811" s="952"/>
      <c r="B4811" s="953"/>
      <c r="C4811" s="953"/>
      <c r="D4811" s="953"/>
      <c r="E4811" s="953"/>
      <c r="F4811" s="953"/>
      <c r="G4811" s="953"/>
      <c r="H4811" s="953"/>
    </row>
    <row r="4812" spans="1:8" s="943" customFormat="1" x14ac:dyDescent="0.25">
      <c r="A4812" s="952"/>
      <c r="B4812" s="953"/>
      <c r="C4812" s="953"/>
      <c r="D4812" s="953"/>
      <c r="E4812" s="953"/>
      <c r="F4812" s="953"/>
      <c r="G4812" s="953"/>
      <c r="H4812" s="953"/>
    </row>
    <row r="4813" spans="1:8" s="943" customFormat="1" x14ac:dyDescent="0.25">
      <c r="A4813" s="952"/>
      <c r="B4813" s="953"/>
      <c r="C4813" s="953"/>
      <c r="D4813" s="953"/>
      <c r="E4813" s="953"/>
      <c r="F4813" s="953"/>
      <c r="G4813" s="953"/>
      <c r="H4813" s="953"/>
    </row>
    <row r="4814" spans="1:8" s="943" customFormat="1" x14ac:dyDescent="0.25">
      <c r="A4814" s="952"/>
      <c r="B4814" s="953"/>
      <c r="C4814" s="953"/>
      <c r="D4814" s="953"/>
      <c r="E4814" s="953"/>
      <c r="F4814" s="953"/>
      <c r="G4814" s="953"/>
      <c r="H4814" s="953"/>
    </row>
    <row r="4815" spans="1:8" s="943" customFormat="1" x14ac:dyDescent="0.25">
      <c r="A4815" s="952"/>
      <c r="B4815" s="953"/>
      <c r="C4815" s="953"/>
      <c r="D4815" s="953"/>
      <c r="E4815" s="953"/>
      <c r="F4815" s="953"/>
      <c r="G4815" s="953"/>
      <c r="H4815" s="953"/>
    </row>
    <row r="4816" spans="1:8" s="943" customFormat="1" x14ac:dyDescent="0.25">
      <c r="A4816" s="952"/>
      <c r="B4816" s="953"/>
      <c r="C4816" s="953"/>
      <c r="D4816" s="953"/>
      <c r="E4816" s="953"/>
      <c r="F4816" s="953"/>
      <c r="G4816" s="953"/>
      <c r="H4816" s="953"/>
    </row>
    <row r="4817" spans="1:8" s="943" customFormat="1" x14ac:dyDescent="0.25">
      <c r="A4817" s="952"/>
      <c r="B4817" s="953"/>
      <c r="C4817" s="953"/>
      <c r="D4817" s="953"/>
      <c r="E4817" s="953"/>
      <c r="F4817" s="953"/>
      <c r="G4817" s="953"/>
      <c r="H4817" s="953"/>
    </row>
    <row r="4818" spans="1:8" s="943" customFormat="1" x14ac:dyDescent="0.25">
      <c r="A4818" s="952"/>
      <c r="B4818" s="953"/>
      <c r="C4818" s="953"/>
      <c r="D4818" s="953"/>
      <c r="E4818" s="953"/>
      <c r="F4818" s="953"/>
      <c r="G4818" s="953"/>
      <c r="H4818" s="953"/>
    </row>
    <row r="4819" spans="1:8" s="943" customFormat="1" x14ac:dyDescent="0.25">
      <c r="A4819" s="952"/>
      <c r="B4819" s="953"/>
      <c r="C4819" s="953"/>
      <c r="D4819" s="953"/>
      <c r="E4819" s="953"/>
      <c r="F4819" s="953"/>
      <c r="G4819" s="953"/>
      <c r="H4819" s="953"/>
    </row>
    <row r="4820" spans="1:8" s="943" customFormat="1" x14ac:dyDescent="0.25">
      <c r="A4820" s="952"/>
      <c r="B4820" s="953"/>
      <c r="C4820" s="953"/>
      <c r="D4820" s="953"/>
      <c r="E4820" s="953"/>
      <c r="F4820" s="953"/>
      <c r="G4820" s="953"/>
      <c r="H4820" s="953"/>
    </row>
    <row r="4821" spans="1:8" s="943" customFormat="1" x14ac:dyDescent="0.25">
      <c r="A4821" s="952"/>
      <c r="B4821" s="953"/>
      <c r="C4821" s="953"/>
      <c r="D4821" s="953"/>
      <c r="E4821" s="953"/>
      <c r="F4821" s="953"/>
      <c r="G4821" s="953"/>
      <c r="H4821" s="953"/>
    </row>
    <row r="4822" spans="1:8" s="943" customFormat="1" x14ac:dyDescent="0.25">
      <c r="A4822" s="952"/>
      <c r="B4822" s="953"/>
      <c r="C4822" s="953"/>
      <c r="D4822" s="953"/>
      <c r="E4822" s="953"/>
      <c r="F4822" s="953"/>
      <c r="G4822" s="953"/>
      <c r="H4822" s="953"/>
    </row>
    <row r="4823" spans="1:8" s="943" customFormat="1" x14ac:dyDescent="0.25">
      <c r="A4823" s="952"/>
      <c r="B4823" s="953"/>
      <c r="C4823" s="953"/>
      <c r="D4823" s="953"/>
      <c r="E4823" s="953"/>
      <c r="F4823" s="953"/>
      <c r="G4823" s="953"/>
      <c r="H4823" s="953"/>
    </row>
    <row r="4824" spans="1:8" s="943" customFormat="1" x14ac:dyDescent="0.25">
      <c r="A4824" s="952"/>
      <c r="B4824" s="953"/>
      <c r="C4824" s="953"/>
      <c r="D4824" s="953"/>
      <c r="E4824" s="953"/>
      <c r="F4824" s="953"/>
      <c r="G4824" s="953"/>
      <c r="H4824" s="953"/>
    </row>
    <row r="4825" spans="1:8" s="943" customFormat="1" x14ac:dyDescent="0.25">
      <c r="A4825" s="952"/>
      <c r="B4825" s="953"/>
      <c r="C4825" s="953"/>
      <c r="D4825" s="953"/>
      <c r="E4825" s="953"/>
      <c r="F4825" s="953"/>
      <c r="G4825" s="953"/>
      <c r="H4825" s="953"/>
    </row>
    <row r="4826" spans="1:8" s="943" customFormat="1" x14ac:dyDescent="0.25">
      <c r="A4826" s="952"/>
      <c r="B4826" s="953"/>
      <c r="C4826" s="953"/>
      <c r="D4826" s="953"/>
      <c r="E4826" s="953"/>
      <c r="F4826" s="953"/>
      <c r="G4826" s="953"/>
      <c r="H4826" s="953"/>
    </row>
    <row r="4827" spans="1:8" s="943" customFormat="1" x14ac:dyDescent="0.25">
      <c r="A4827" s="952"/>
      <c r="B4827" s="953"/>
      <c r="C4827" s="953"/>
      <c r="D4827" s="953"/>
      <c r="E4827" s="953"/>
      <c r="F4827" s="953"/>
      <c r="G4827" s="953"/>
      <c r="H4827" s="953"/>
    </row>
    <row r="4828" spans="1:8" s="943" customFormat="1" x14ac:dyDescent="0.25">
      <c r="A4828" s="952"/>
      <c r="B4828" s="953"/>
      <c r="C4828" s="953"/>
      <c r="D4828" s="953"/>
      <c r="E4828" s="953"/>
      <c r="F4828" s="953"/>
      <c r="G4828" s="953"/>
      <c r="H4828" s="953"/>
    </row>
    <row r="4829" spans="1:8" s="943" customFormat="1" x14ac:dyDescent="0.25">
      <c r="A4829" s="952"/>
      <c r="B4829" s="953"/>
      <c r="C4829" s="953"/>
      <c r="D4829" s="953"/>
      <c r="E4829" s="953"/>
      <c r="F4829" s="953"/>
      <c r="G4829" s="953"/>
      <c r="H4829" s="953"/>
    </row>
    <row r="4830" spans="1:8" s="943" customFormat="1" x14ac:dyDescent="0.25">
      <c r="A4830" s="952"/>
      <c r="B4830" s="953"/>
      <c r="C4830" s="953"/>
      <c r="D4830" s="953"/>
      <c r="E4830" s="953"/>
      <c r="F4830" s="953"/>
      <c r="G4830" s="953"/>
      <c r="H4830" s="953"/>
    </row>
    <row r="4831" spans="1:8" s="943" customFormat="1" x14ac:dyDescent="0.25">
      <c r="A4831" s="952"/>
      <c r="B4831" s="953"/>
      <c r="C4831" s="953"/>
      <c r="D4831" s="953"/>
      <c r="E4831" s="953"/>
      <c r="F4831" s="953"/>
      <c r="G4831" s="953"/>
      <c r="H4831" s="953"/>
    </row>
    <row r="4832" spans="1:8" s="943" customFormat="1" x14ac:dyDescent="0.25">
      <c r="A4832" s="952"/>
      <c r="B4832" s="953"/>
      <c r="C4832" s="953"/>
      <c r="D4832" s="953"/>
      <c r="E4832" s="953"/>
      <c r="F4832" s="953"/>
      <c r="G4832" s="953"/>
      <c r="H4832" s="953"/>
    </row>
    <row r="4833" spans="1:8" s="943" customFormat="1" x14ac:dyDescent="0.25">
      <c r="A4833" s="952"/>
      <c r="B4833" s="953"/>
      <c r="C4833" s="953"/>
      <c r="D4833" s="953"/>
      <c r="E4833" s="953"/>
      <c r="F4833" s="953"/>
      <c r="G4833" s="953"/>
      <c r="H4833" s="953"/>
    </row>
    <row r="4834" spans="1:8" s="943" customFormat="1" x14ac:dyDescent="0.25">
      <c r="A4834" s="952"/>
      <c r="B4834" s="953"/>
      <c r="C4834" s="953"/>
      <c r="D4834" s="953"/>
      <c r="E4834" s="953"/>
      <c r="F4834" s="953"/>
      <c r="G4834" s="953"/>
      <c r="H4834" s="953"/>
    </row>
    <row r="4835" spans="1:8" s="943" customFormat="1" x14ac:dyDescent="0.25">
      <c r="A4835" s="952"/>
      <c r="B4835" s="953"/>
      <c r="C4835" s="953"/>
      <c r="D4835" s="953"/>
      <c r="E4835" s="953"/>
      <c r="F4835" s="953"/>
      <c r="G4835" s="953"/>
      <c r="H4835" s="953"/>
    </row>
    <row r="4836" spans="1:8" s="943" customFormat="1" x14ac:dyDescent="0.25">
      <c r="A4836" s="952"/>
      <c r="B4836" s="953"/>
      <c r="C4836" s="953"/>
      <c r="D4836" s="953"/>
      <c r="E4836" s="953"/>
      <c r="F4836" s="953"/>
      <c r="G4836" s="953"/>
      <c r="H4836" s="953"/>
    </row>
    <row r="4837" spans="1:8" s="943" customFormat="1" x14ac:dyDescent="0.25">
      <c r="A4837" s="952"/>
      <c r="B4837" s="953"/>
      <c r="C4837" s="953"/>
      <c r="D4837" s="953"/>
      <c r="E4837" s="953"/>
      <c r="F4837" s="953"/>
      <c r="G4837" s="953"/>
      <c r="H4837" s="953"/>
    </row>
    <row r="4838" spans="1:8" s="943" customFormat="1" x14ac:dyDescent="0.25">
      <c r="A4838" s="952"/>
      <c r="B4838" s="953"/>
      <c r="C4838" s="953"/>
      <c r="D4838" s="953"/>
      <c r="E4838" s="953"/>
      <c r="F4838" s="953"/>
      <c r="G4838" s="953"/>
      <c r="H4838" s="953"/>
    </row>
    <row r="4839" spans="1:8" s="943" customFormat="1" x14ac:dyDescent="0.25">
      <c r="A4839" s="952"/>
      <c r="B4839" s="953"/>
      <c r="C4839" s="953"/>
      <c r="D4839" s="953"/>
      <c r="E4839" s="953"/>
      <c r="F4839" s="953"/>
      <c r="G4839" s="953"/>
      <c r="H4839" s="953"/>
    </row>
    <row r="4840" spans="1:8" s="943" customFormat="1" x14ac:dyDescent="0.25">
      <c r="A4840" s="952"/>
      <c r="B4840" s="953"/>
      <c r="C4840" s="953"/>
      <c r="D4840" s="953"/>
      <c r="E4840" s="953"/>
      <c r="F4840" s="953"/>
      <c r="G4840" s="953"/>
      <c r="H4840" s="953"/>
    </row>
    <row r="4841" spans="1:8" s="943" customFormat="1" x14ac:dyDescent="0.25">
      <c r="A4841" s="952"/>
      <c r="B4841" s="953"/>
      <c r="C4841" s="953"/>
      <c r="D4841" s="953"/>
      <c r="E4841" s="953"/>
      <c r="F4841" s="953"/>
      <c r="G4841" s="953"/>
      <c r="H4841" s="953"/>
    </row>
    <row r="4842" spans="1:8" s="943" customFormat="1" x14ac:dyDescent="0.25">
      <c r="A4842" s="952"/>
      <c r="B4842" s="953"/>
      <c r="C4842" s="953"/>
      <c r="D4842" s="953"/>
      <c r="E4842" s="953"/>
      <c r="F4842" s="953"/>
      <c r="G4842" s="953"/>
      <c r="H4842" s="953"/>
    </row>
    <row r="4843" spans="1:8" s="943" customFormat="1" x14ac:dyDescent="0.25">
      <c r="A4843" s="952"/>
      <c r="B4843" s="953"/>
      <c r="C4843" s="953"/>
      <c r="D4843" s="953"/>
      <c r="E4843" s="953"/>
      <c r="F4843" s="953"/>
      <c r="G4843" s="953"/>
      <c r="H4843" s="953"/>
    </row>
    <row r="4844" spans="1:8" s="943" customFormat="1" x14ac:dyDescent="0.25">
      <c r="A4844" s="952"/>
      <c r="B4844" s="953"/>
      <c r="C4844" s="953"/>
      <c r="D4844" s="953"/>
      <c r="E4844" s="953"/>
      <c r="F4844" s="953"/>
      <c r="G4844" s="953"/>
      <c r="H4844" s="953"/>
    </row>
    <row r="4845" spans="1:8" s="943" customFormat="1" x14ac:dyDescent="0.25">
      <c r="A4845" s="952"/>
      <c r="B4845" s="953"/>
      <c r="C4845" s="953"/>
      <c r="D4845" s="953"/>
      <c r="E4845" s="953"/>
      <c r="F4845" s="953"/>
      <c r="G4845" s="953"/>
      <c r="H4845" s="953"/>
    </row>
    <row r="4846" spans="1:8" s="943" customFormat="1" x14ac:dyDescent="0.25">
      <c r="A4846" s="952"/>
      <c r="B4846" s="953"/>
      <c r="C4846" s="953"/>
      <c r="D4846" s="953"/>
      <c r="E4846" s="953"/>
      <c r="F4846" s="953"/>
      <c r="G4846" s="953"/>
      <c r="H4846" s="953"/>
    </row>
    <row r="4847" spans="1:8" s="943" customFormat="1" x14ac:dyDescent="0.25">
      <c r="A4847" s="952"/>
      <c r="B4847" s="953"/>
      <c r="C4847" s="953"/>
      <c r="D4847" s="953"/>
      <c r="E4847" s="953"/>
      <c r="F4847" s="953"/>
      <c r="G4847" s="953"/>
      <c r="H4847" s="953"/>
    </row>
    <row r="4848" spans="1:8" s="943" customFormat="1" x14ac:dyDescent="0.25">
      <c r="A4848" s="952"/>
      <c r="B4848" s="953"/>
      <c r="C4848" s="953"/>
      <c r="D4848" s="953"/>
      <c r="E4848" s="953"/>
      <c r="F4848" s="953"/>
      <c r="G4848" s="953"/>
      <c r="H4848" s="953"/>
    </row>
    <row r="4849" spans="1:8" s="943" customFormat="1" x14ac:dyDescent="0.25">
      <c r="A4849" s="952"/>
      <c r="B4849" s="953"/>
      <c r="C4849" s="953"/>
      <c r="D4849" s="953"/>
      <c r="E4849" s="953"/>
      <c r="F4849" s="953"/>
      <c r="G4849" s="953"/>
      <c r="H4849" s="953"/>
    </row>
    <row r="4850" spans="1:8" s="943" customFormat="1" x14ac:dyDescent="0.25">
      <c r="A4850" s="952"/>
      <c r="B4850" s="953"/>
      <c r="C4850" s="953"/>
      <c r="D4850" s="953"/>
      <c r="E4850" s="953"/>
      <c r="F4850" s="953"/>
      <c r="G4850" s="953"/>
      <c r="H4850" s="953"/>
    </row>
    <row r="4851" spans="1:8" s="943" customFormat="1" x14ac:dyDescent="0.25">
      <c r="A4851" s="952"/>
      <c r="B4851" s="953"/>
      <c r="C4851" s="953"/>
      <c r="D4851" s="953"/>
      <c r="E4851" s="953"/>
      <c r="F4851" s="953"/>
      <c r="G4851" s="953"/>
      <c r="H4851" s="953"/>
    </row>
    <row r="4852" spans="1:8" s="943" customFormat="1" x14ac:dyDescent="0.25">
      <c r="A4852" s="952"/>
      <c r="B4852" s="953"/>
      <c r="C4852" s="953"/>
      <c r="D4852" s="953"/>
      <c r="E4852" s="953"/>
      <c r="F4852" s="953"/>
      <c r="G4852" s="953"/>
      <c r="H4852" s="953"/>
    </row>
    <row r="4853" spans="1:8" s="943" customFormat="1" x14ac:dyDescent="0.25">
      <c r="A4853" s="952"/>
      <c r="B4853" s="953"/>
      <c r="C4853" s="953"/>
      <c r="D4853" s="953"/>
      <c r="E4853" s="953"/>
      <c r="F4853" s="953"/>
      <c r="G4853" s="953"/>
      <c r="H4853" s="953"/>
    </row>
    <row r="4854" spans="1:8" s="943" customFormat="1" x14ac:dyDescent="0.25">
      <c r="A4854" s="952"/>
      <c r="B4854" s="953"/>
      <c r="C4854" s="953"/>
      <c r="D4854" s="953"/>
      <c r="E4854" s="953"/>
      <c r="F4854" s="953"/>
      <c r="G4854" s="953"/>
      <c r="H4854" s="953"/>
    </row>
    <row r="4855" spans="1:8" s="943" customFormat="1" x14ac:dyDescent="0.25">
      <c r="A4855" s="952"/>
      <c r="B4855" s="953"/>
      <c r="C4855" s="953"/>
      <c r="D4855" s="953"/>
      <c r="E4855" s="953"/>
      <c r="F4855" s="953"/>
      <c r="G4855" s="953"/>
      <c r="H4855" s="953"/>
    </row>
    <row r="4856" spans="1:8" s="943" customFormat="1" x14ac:dyDescent="0.25">
      <c r="A4856" s="952"/>
      <c r="B4856" s="953"/>
      <c r="C4856" s="953"/>
      <c r="D4856" s="953"/>
      <c r="E4856" s="953"/>
      <c r="F4856" s="953"/>
      <c r="G4856" s="953"/>
      <c r="H4856" s="953"/>
    </row>
    <row r="4857" spans="1:8" s="943" customFormat="1" x14ac:dyDescent="0.25">
      <c r="A4857" s="952"/>
      <c r="B4857" s="953"/>
      <c r="C4857" s="953"/>
      <c r="D4857" s="953"/>
      <c r="E4857" s="953"/>
      <c r="F4857" s="953"/>
      <c r="G4857" s="953"/>
      <c r="H4857" s="953"/>
    </row>
    <row r="4858" spans="1:8" s="943" customFormat="1" x14ac:dyDescent="0.25">
      <c r="A4858" s="952"/>
      <c r="B4858" s="953"/>
      <c r="C4858" s="953"/>
      <c r="D4858" s="953"/>
      <c r="E4858" s="953"/>
      <c r="F4858" s="953"/>
      <c r="G4858" s="953"/>
      <c r="H4858" s="953"/>
    </row>
    <row r="4859" spans="1:8" s="943" customFormat="1" x14ac:dyDescent="0.25">
      <c r="A4859" s="952"/>
      <c r="B4859" s="953"/>
      <c r="C4859" s="953"/>
      <c r="D4859" s="953"/>
      <c r="E4859" s="953"/>
      <c r="F4859" s="953"/>
      <c r="G4859" s="953"/>
      <c r="H4859" s="953"/>
    </row>
    <row r="4860" spans="1:8" s="943" customFormat="1" x14ac:dyDescent="0.25">
      <c r="A4860" s="952"/>
      <c r="B4860" s="953"/>
      <c r="C4860" s="953"/>
      <c r="D4860" s="953"/>
      <c r="E4860" s="953"/>
      <c r="F4860" s="953"/>
      <c r="G4860" s="953"/>
      <c r="H4860" s="953"/>
    </row>
    <row r="4861" spans="1:8" s="943" customFormat="1" x14ac:dyDescent="0.25">
      <c r="A4861" s="952"/>
      <c r="B4861" s="953"/>
      <c r="C4861" s="953"/>
      <c r="D4861" s="953"/>
      <c r="E4861" s="953"/>
      <c r="F4861" s="953"/>
      <c r="G4861" s="953"/>
      <c r="H4861" s="953"/>
    </row>
    <row r="4862" spans="1:8" s="943" customFormat="1" x14ac:dyDescent="0.25">
      <c r="A4862" s="952"/>
      <c r="B4862" s="953"/>
      <c r="C4862" s="953"/>
      <c r="D4862" s="953"/>
      <c r="E4862" s="953"/>
      <c r="F4862" s="953"/>
      <c r="G4862" s="953"/>
      <c r="H4862" s="953"/>
    </row>
    <row r="4863" spans="1:8" s="943" customFormat="1" x14ac:dyDescent="0.25">
      <c r="A4863" s="952"/>
      <c r="B4863" s="953"/>
      <c r="C4863" s="953"/>
      <c r="D4863" s="953"/>
      <c r="E4863" s="953"/>
      <c r="F4863" s="953"/>
      <c r="G4863" s="953"/>
      <c r="H4863" s="953"/>
    </row>
    <row r="4864" spans="1:8" s="943" customFormat="1" x14ac:dyDescent="0.25">
      <c r="A4864" s="952"/>
      <c r="B4864" s="953"/>
      <c r="C4864" s="953"/>
      <c r="D4864" s="953"/>
      <c r="E4864" s="953"/>
      <c r="F4864" s="953"/>
      <c r="G4864" s="953"/>
      <c r="H4864" s="953"/>
    </row>
    <row r="4865" spans="1:8" s="943" customFormat="1" x14ac:dyDescent="0.25">
      <c r="A4865" s="952"/>
      <c r="B4865" s="953"/>
      <c r="C4865" s="953"/>
      <c r="D4865" s="953"/>
      <c r="E4865" s="953"/>
      <c r="F4865" s="953"/>
      <c r="G4865" s="953"/>
      <c r="H4865" s="953"/>
    </row>
    <row r="4866" spans="1:8" s="943" customFormat="1" x14ac:dyDescent="0.25">
      <c r="A4866" s="952"/>
      <c r="B4866" s="953"/>
      <c r="C4866" s="953"/>
      <c r="D4866" s="953"/>
      <c r="E4866" s="953"/>
      <c r="F4866" s="953"/>
      <c r="G4866" s="953"/>
      <c r="H4866" s="953"/>
    </row>
    <row r="4867" spans="1:8" s="943" customFormat="1" x14ac:dyDescent="0.25">
      <c r="A4867" s="952"/>
      <c r="B4867" s="953"/>
      <c r="C4867" s="953"/>
      <c r="D4867" s="953"/>
      <c r="E4867" s="953"/>
      <c r="F4867" s="953"/>
      <c r="G4867" s="953"/>
      <c r="H4867" s="953"/>
    </row>
    <row r="4868" spans="1:8" s="943" customFormat="1" x14ac:dyDescent="0.25">
      <c r="A4868" s="952"/>
      <c r="B4868" s="953"/>
      <c r="C4868" s="953"/>
      <c r="D4868" s="953"/>
      <c r="E4868" s="953"/>
      <c r="F4868" s="953"/>
      <c r="G4868" s="953"/>
      <c r="H4868" s="953"/>
    </row>
    <row r="4869" spans="1:8" s="943" customFormat="1" x14ac:dyDescent="0.25">
      <c r="A4869" s="952"/>
      <c r="B4869" s="953"/>
      <c r="C4869" s="953"/>
      <c r="D4869" s="953"/>
      <c r="E4869" s="953"/>
      <c r="F4869" s="953"/>
      <c r="G4869" s="953"/>
      <c r="H4869" s="953"/>
    </row>
    <row r="4870" spans="1:8" s="943" customFormat="1" x14ac:dyDescent="0.25">
      <c r="A4870" s="952"/>
      <c r="B4870" s="953"/>
      <c r="C4870" s="953"/>
      <c r="D4870" s="953"/>
      <c r="E4870" s="953"/>
      <c r="F4870" s="953"/>
      <c r="G4870" s="953"/>
      <c r="H4870" s="953"/>
    </row>
    <row r="4871" spans="1:8" s="943" customFormat="1" x14ac:dyDescent="0.25">
      <c r="A4871" s="952"/>
      <c r="B4871" s="953"/>
      <c r="C4871" s="953"/>
      <c r="D4871" s="953"/>
      <c r="E4871" s="953"/>
      <c r="F4871" s="953"/>
      <c r="G4871" s="953"/>
      <c r="H4871" s="953"/>
    </row>
    <row r="4872" spans="1:8" s="943" customFormat="1" x14ac:dyDescent="0.25">
      <c r="A4872" s="952"/>
      <c r="B4872" s="953"/>
      <c r="C4872" s="953"/>
      <c r="D4872" s="953"/>
      <c r="E4872" s="953"/>
      <c r="F4872" s="953"/>
      <c r="G4872" s="953"/>
      <c r="H4872" s="953"/>
    </row>
    <row r="4873" spans="1:8" s="943" customFormat="1" x14ac:dyDescent="0.25">
      <c r="A4873" s="952"/>
      <c r="B4873" s="953"/>
      <c r="C4873" s="953"/>
      <c r="D4873" s="953"/>
      <c r="E4873" s="953"/>
      <c r="F4873" s="953"/>
      <c r="G4873" s="953"/>
      <c r="H4873" s="953"/>
    </row>
    <row r="4874" spans="1:8" s="943" customFormat="1" x14ac:dyDescent="0.25">
      <c r="A4874" s="952"/>
      <c r="B4874" s="953"/>
      <c r="C4874" s="953"/>
      <c r="D4874" s="953"/>
      <c r="E4874" s="953"/>
      <c r="F4874" s="953"/>
      <c r="G4874" s="953"/>
      <c r="H4874" s="953"/>
    </row>
    <row r="4875" spans="1:8" s="943" customFormat="1" x14ac:dyDescent="0.25">
      <c r="A4875" s="952"/>
      <c r="B4875" s="953"/>
      <c r="C4875" s="953"/>
      <c r="D4875" s="953"/>
      <c r="E4875" s="953"/>
      <c r="F4875" s="953"/>
      <c r="G4875" s="953"/>
      <c r="H4875" s="953"/>
    </row>
    <row r="4876" spans="1:8" s="943" customFormat="1" x14ac:dyDescent="0.25">
      <c r="A4876" s="952"/>
      <c r="B4876" s="953"/>
      <c r="C4876" s="953"/>
      <c r="D4876" s="953"/>
      <c r="E4876" s="953"/>
      <c r="F4876" s="953"/>
      <c r="G4876" s="953"/>
      <c r="H4876" s="953"/>
    </row>
    <row r="4877" spans="1:8" s="943" customFormat="1" x14ac:dyDescent="0.25">
      <c r="A4877" s="952"/>
      <c r="B4877" s="953"/>
      <c r="C4877" s="953"/>
      <c r="D4877" s="953"/>
      <c r="E4877" s="953"/>
      <c r="F4877" s="953"/>
      <c r="G4877" s="953"/>
      <c r="H4877" s="953"/>
    </row>
    <row r="4878" spans="1:8" s="943" customFormat="1" x14ac:dyDescent="0.25">
      <c r="A4878" s="952"/>
      <c r="B4878" s="953"/>
      <c r="C4878" s="953"/>
      <c r="D4878" s="953"/>
      <c r="E4878" s="953"/>
      <c r="F4878" s="953"/>
      <c r="G4878" s="953"/>
      <c r="H4878" s="953"/>
    </row>
    <row r="4879" spans="1:8" s="943" customFormat="1" x14ac:dyDescent="0.25">
      <c r="A4879" s="952"/>
      <c r="B4879" s="953"/>
      <c r="C4879" s="953"/>
      <c r="D4879" s="953"/>
      <c r="E4879" s="953"/>
      <c r="F4879" s="953"/>
      <c r="G4879" s="953"/>
      <c r="H4879" s="953"/>
    </row>
    <row r="4880" spans="1:8" s="943" customFormat="1" x14ac:dyDescent="0.25">
      <c r="A4880" s="952"/>
      <c r="B4880" s="953"/>
      <c r="C4880" s="953"/>
      <c r="D4880" s="953"/>
      <c r="E4880" s="953"/>
      <c r="F4880" s="953"/>
      <c r="G4880" s="953"/>
      <c r="H4880" s="953"/>
    </row>
    <row r="4881" spans="1:8" s="943" customFormat="1" x14ac:dyDescent="0.25">
      <c r="A4881" s="952"/>
      <c r="B4881" s="953"/>
      <c r="C4881" s="953"/>
      <c r="D4881" s="953"/>
      <c r="E4881" s="953"/>
      <c r="F4881" s="953"/>
      <c r="G4881" s="953"/>
      <c r="H4881" s="953"/>
    </row>
    <row r="4882" spans="1:8" s="943" customFormat="1" x14ac:dyDescent="0.25">
      <c r="A4882" s="952"/>
      <c r="B4882" s="953"/>
      <c r="C4882" s="953"/>
      <c r="D4882" s="953"/>
      <c r="E4882" s="953"/>
      <c r="F4882" s="953"/>
      <c r="G4882" s="953"/>
      <c r="H4882" s="953"/>
    </row>
    <row r="4883" spans="1:8" s="943" customFormat="1" x14ac:dyDescent="0.25">
      <c r="A4883" s="952"/>
      <c r="B4883" s="953"/>
      <c r="C4883" s="953"/>
      <c r="D4883" s="953"/>
      <c r="E4883" s="953"/>
      <c r="F4883" s="953"/>
      <c r="G4883" s="953"/>
      <c r="H4883" s="953"/>
    </row>
    <row r="4884" spans="1:8" s="943" customFormat="1" x14ac:dyDescent="0.25">
      <c r="A4884" s="952"/>
      <c r="B4884" s="953"/>
      <c r="C4884" s="953"/>
      <c r="D4884" s="953"/>
      <c r="E4884" s="953"/>
      <c r="F4884" s="953"/>
      <c r="G4884" s="953"/>
      <c r="H4884" s="953"/>
    </row>
    <row r="4885" spans="1:8" s="943" customFormat="1" x14ac:dyDescent="0.25">
      <c r="A4885" s="952"/>
      <c r="B4885" s="953"/>
      <c r="C4885" s="953"/>
      <c r="D4885" s="953"/>
      <c r="E4885" s="953"/>
      <c r="F4885" s="953"/>
      <c r="G4885" s="953"/>
      <c r="H4885" s="953"/>
    </row>
    <row r="4886" spans="1:8" s="943" customFormat="1" x14ac:dyDescent="0.25">
      <c r="A4886" s="952"/>
      <c r="B4886" s="953"/>
      <c r="C4886" s="953"/>
      <c r="D4886" s="953"/>
      <c r="E4886" s="953"/>
      <c r="F4886" s="953"/>
      <c r="G4886" s="953"/>
      <c r="H4886" s="953"/>
    </row>
    <row r="4887" spans="1:8" s="943" customFormat="1" x14ac:dyDescent="0.25">
      <c r="A4887" s="952"/>
      <c r="B4887" s="953"/>
      <c r="C4887" s="953"/>
      <c r="D4887" s="953"/>
      <c r="E4887" s="953"/>
      <c r="F4887" s="953"/>
      <c r="G4887" s="953"/>
      <c r="H4887" s="953"/>
    </row>
    <row r="4888" spans="1:8" s="943" customFormat="1" x14ac:dyDescent="0.25">
      <c r="A4888" s="952"/>
      <c r="B4888" s="953"/>
      <c r="C4888" s="953"/>
      <c r="D4888" s="953"/>
      <c r="E4888" s="953"/>
      <c r="F4888" s="953"/>
      <c r="G4888" s="953"/>
      <c r="H4888" s="953"/>
    </row>
    <row r="4889" spans="1:8" s="943" customFormat="1" x14ac:dyDescent="0.25">
      <c r="A4889" s="952"/>
      <c r="B4889" s="953"/>
      <c r="C4889" s="953"/>
      <c r="D4889" s="953"/>
      <c r="E4889" s="953"/>
      <c r="F4889" s="953"/>
      <c r="G4889" s="953"/>
      <c r="H4889" s="953"/>
    </row>
    <row r="4890" spans="1:8" s="943" customFormat="1" x14ac:dyDescent="0.25">
      <c r="A4890" s="952"/>
      <c r="B4890" s="953"/>
      <c r="C4890" s="953"/>
      <c r="D4890" s="953"/>
      <c r="E4890" s="953"/>
      <c r="F4890" s="953"/>
      <c r="G4890" s="953"/>
      <c r="H4890" s="953"/>
    </row>
    <row r="4891" spans="1:8" s="943" customFormat="1" x14ac:dyDescent="0.25">
      <c r="A4891" s="952"/>
      <c r="B4891" s="953"/>
      <c r="C4891" s="953"/>
      <c r="D4891" s="953"/>
      <c r="E4891" s="953"/>
      <c r="F4891" s="953"/>
      <c r="G4891" s="953"/>
      <c r="H4891" s="953"/>
    </row>
    <row r="4892" spans="1:8" s="943" customFormat="1" x14ac:dyDescent="0.25">
      <c r="A4892" s="952"/>
      <c r="B4892" s="953"/>
      <c r="C4892" s="953"/>
      <c r="D4892" s="953"/>
      <c r="E4892" s="953"/>
      <c r="F4892" s="953"/>
      <c r="G4892" s="953"/>
      <c r="H4892" s="953"/>
    </row>
    <row r="4893" spans="1:8" s="943" customFormat="1" x14ac:dyDescent="0.25">
      <c r="A4893" s="952"/>
      <c r="B4893" s="953"/>
      <c r="C4893" s="953"/>
      <c r="D4893" s="953"/>
      <c r="E4893" s="953"/>
      <c r="F4893" s="953"/>
      <c r="G4893" s="953"/>
      <c r="H4893" s="953"/>
    </row>
    <row r="4894" spans="1:8" s="943" customFormat="1" x14ac:dyDescent="0.25">
      <c r="A4894" s="952"/>
      <c r="B4894" s="953"/>
      <c r="C4894" s="953"/>
      <c r="D4894" s="953"/>
      <c r="E4894" s="953"/>
      <c r="F4894" s="953"/>
      <c r="G4894" s="953"/>
      <c r="H4894" s="953"/>
    </row>
    <row r="4895" spans="1:8" s="943" customFormat="1" x14ac:dyDescent="0.25">
      <c r="A4895" s="952"/>
      <c r="B4895" s="953"/>
      <c r="C4895" s="953"/>
      <c r="D4895" s="953"/>
      <c r="E4895" s="953"/>
      <c r="F4895" s="953"/>
      <c r="G4895" s="953"/>
      <c r="H4895" s="953"/>
    </row>
    <row r="4896" spans="1:8" s="943" customFormat="1" x14ac:dyDescent="0.25">
      <c r="A4896" s="952"/>
      <c r="B4896" s="953"/>
      <c r="C4896" s="953"/>
      <c r="D4896" s="953"/>
      <c r="E4896" s="953"/>
      <c r="F4896" s="953"/>
      <c r="G4896" s="953"/>
      <c r="H4896" s="953"/>
    </row>
    <row r="4897" spans="1:8" s="943" customFormat="1" x14ac:dyDescent="0.25">
      <c r="A4897" s="952"/>
      <c r="B4897" s="953"/>
      <c r="C4897" s="953"/>
      <c r="D4897" s="953"/>
      <c r="E4897" s="953"/>
      <c r="F4897" s="953"/>
      <c r="G4897" s="953"/>
      <c r="H4897" s="953"/>
    </row>
    <row r="4898" spans="1:8" s="943" customFormat="1" x14ac:dyDescent="0.25">
      <c r="A4898" s="952"/>
      <c r="B4898" s="953"/>
      <c r="C4898" s="953"/>
      <c r="D4898" s="953"/>
      <c r="E4898" s="953"/>
      <c r="F4898" s="953"/>
      <c r="G4898" s="953"/>
      <c r="H4898" s="953"/>
    </row>
    <row r="4899" spans="1:8" s="943" customFormat="1" x14ac:dyDescent="0.25">
      <c r="A4899" s="952"/>
      <c r="B4899" s="953"/>
      <c r="C4899" s="953"/>
      <c r="D4899" s="953"/>
      <c r="E4899" s="953"/>
      <c r="F4899" s="953"/>
      <c r="G4899" s="953"/>
      <c r="H4899" s="953"/>
    </row>
    <row r="4900" spans="1:8" s="943" customFormat="1" x14ac:dyDescent="0.25">
      <c r="A4900" s="952"/>
      <c r="B4900" s="953"/>
      <c r="C4900" s="953"/>
      <c r="D4900" s="953"/>
      <c r="E4900" s="953"/>
      <c r="F4900" s="953"/>
      <c r="G4900" s="953"/>
      <c r="H4900" s="953"/>
    </row>
    <row r="4901" spans="1:8" s="943" customFormat="1" x14ac:dyDescent="0.25">
      <c r="A4901" s="952"/>
      <c r="B4901" s="953"/>
      <c r="C4901" s="953"/>
      <c r="D4901" s="953"/>
      <c r="E4901" s="953"/>
      <c r="F4901" s="953"/>
      <c r="G4901" s="953"/>
      <c r="H4901" s="953"/>
    </row>
    <row r="4902" spans="1:8" s="943" customFormat="1" x14ac:dyDescent="0.25">
      <c r="A4902" s="952"/>
      <c r="B4902" s="953"/>
      <c r="C4902" s="953"/>
      <c r="D4902" s="953"/>
      <c r="E4902" s="953"/>
      <c r="F4902" s="953"/>
      <c r="G4902" s="953"/>
      <c r="H4902" s="953"/>
    </row>
    <row r="4903" spans="1:8" s="943" customFormat="1" x14ac:dyDescent="0.25">
      <c r="A4903" s="952"/>
      <c r="B4903" s="953"/>
      <c r="C4903" s="953"/>
      <c r="D4903" s="953"/>
      <c r="E4903" s="953"/>
      <c r="F4903" s="953"/>
      <c r="G4903" s="953"/>
      <c r="H4903" s="953"/>
    </row>
    <row r="4904" spans="1:8" s="943" customFormat="1" x14ac:dyDescent="0.25">
      <c r="A4904" s="952"/>
      <c r="B4904" s="953"/>
      <c r="C4904" s="953"/>
      <c r="D4904" s="953"/>
      <c r="E4904" s="953"/>
      <c r="F4904" s="953"/>
      <c r="G4904" s="953"/>
      <c r="H4904" s="953"/>
    </row>
    <row r="4905" spans="1:8" s="943" customFormat="1" x14ac:dyDescent="0.25">
      <c r="A4905" s="952"/>
      <c r="B4905" s="953"/>
      <c r="C4905" s="953"/>
      <c r="D4905" s="953"/>
      <c r="E4905" s="953"/>
      <c r="F4905" s="953"/>
      <c r="G4905" s="953"/>
      <c r="H4905" s="953"/>
    </row>
    <row r="4906" spans="1:8" s="943" customFormat="1" x14ac:dyDescent="0.25">
      <c r="A4906" s="952"/>
      <c r="B4906" s="953"/>
      <c r="C4906" s="953"/>
      <c r="D4906" s="953"/>
      <c r="E4906" s="953"/>
      <c r="F4906" s="953"/>
      <c r="G4906" s="953"/>
      <c r="H4906" s="953"/>
    </row>
    <row r="4907" spans="1:8" s="943" customFormat="1" x14ac:dyDescent="0.25">
      <c r="A4907" s="952"/>
      <c r="B4907" s="953"/>
      <c r="C4907" s="953"/>
      <c r="D4907" s="953"/>
      <c r="E4907" s="953"/>
      <c r="F4907" s="953"/>
      <c r="G4907" s="953"/>
      <c r="H4907" s="953"/>
    </row>
    <row r="4908" spans="1:8" s="943" customFormat="1" x14ac:dyDescent="0.25">
      <c r="A4908" s="952"/>
      <c r="B4908" s="953"/>
      <c r="C4908" s="953"/>
      <c r="D4908" s="953"/>
      <c r="E4908" s="953"/>
      <c r="F4908" s="953"/>
      <c r="G4908" s="953"/>
      <c r="H4908" s="953"/>
    </row>
    <row r="4909" spans="1:8" s="943" customFormat="1" x14ac:dyDescent="0.25">
      <c r="A4909" s="952"/>
      <c r="B4909" s="953"/>
      <c r="C4909" s="953"/>
      <c r="D4909" s="953"/>
      <c r="E4909" s="953"/>
      <c r="F4909" s="953"/>
      <c r="G4909" s="953"/>
      <c r="H4909" s="953"/>
    </row>
    <row r="4910" spans="1:8" s="943" customFormat="1" x14ac:dyDescent="0.25">
      <c r="A4910" s="952"/>
      <c r="B4910" s="953"/>
      <c r="C4910" s="953"/>
      <c r="D4910" s="953"/>
      <c r="E4910" s="953"/>
      <c r="F4910" s="953"/>
      <c r="G4910" s="953"/>
      <c r="H4910" s="953"/>
    </row>
    <row r="4911" spans="1:8" s="943" customFormat="1" x14ac:dyDescent="0.25">
      <c r="A4911" s="952"/>
      <c r="B4911" s="953"/>
      <c r="C4911" s="953"/>
      <c r="D4911" s="953"/>
      <c r="E4911" s="953"/>
      <c r="F4911" s="953"/>
      <c r="G4911" s="953"/>
      <c r="H4911" s="953"/>
    </row>
    <row r="4912" spans="1:8" s="943" customFormat="1" x14ac:dyDescent="0.25">
      <c r="A4912" s="952"/>
      <c r="B4912" s="953"/>
      <c r="C4912" s="953"/>
      <c r="D4912" s="953"/>
      <c r="E4912" s="953"/>
      <c r="F4912" s="953"/>
      <c r="G4912" s="953"/>
      <c r="H4912" s="953"/>
    </row>
    <row r="4913" spans="1:8" s="943" customFormat="1" x14ac:dyDescent="0.25">
      <c r="A4913" s="952"/>
      <c r="B4913" s="953"/>
      <c r="C4913" s="953"/>
      <c r="D4913" s="953"/>
      <c r="E4913" s="953"/>
      <c r="F4913" s="953"/>
      <c r="G4913" s="953"/>
      <c r="H4913" s="953"/>
    </row>
    <row r="4914" spans="1:8" s="943" customFormat="1" x14ac:dyDescent="0.25">
      <c r="A4914" s="952"/>
      <c r="B4914" s="953"/>
      <c r="C4914" s="953"/>
      <c r="D4914" s="953"/>
      <c r="E4914" s="953"/>
      <c r="F4914" s="953"/>
      <c r="G4914" s="953"/>
      <c r="H4914" s="953"/>
    </row>
    <row r="4915" spans="1:8" s="943" customFormat="1" x14ac:dyDescent="0.25">
      <c r="A4915" s="952"/>
      <c r="B4915" s="953"/>
      <c r="C4915" s="953"/>
      <c r="D4915" s="953"/>
      <c r="E4915" s="953"/>
      <c r="F4915" s="953"/>
      <c r="G4915" s="953"/>
      <c r="H4915" s="953"/>
    </row>
    <row r="4916" spans="1:8" s="943" customFormat="1" x14ac:dyDescent="0.25">
      <c r="A4916" s="952"/>
      <c r="B4916" s="953"/>
      <c r="C4916" s="953"/>
      <c r="D4916" s="953"/>
      <c r="E4916" s="953"/>
      <c r="F4916" s="953"/>
      <c r="G4916" s="953"/>
      <c r="H4916" s="953"/>
    </row>
    <row r="4917" spans="1:8" s="943" customFormat="1" x14ac:dyDescent="0.25">
      <c r="A4917" s="952"/>
      <c r="B4917" s="953"/>
      <c r="C4917" s="953"/>
      <c r="D4917" s="953"/>
      <c r="E4917" s="953"/>
      <c r="F4917" s="953"/>
      <c r="G4917" s="953"/>
      <c r="H4917" s="953"/>
    </row>
    <row r="4918" spans="1:8" s="943" customFormat="1" x14ac:dyDescent="0.25">
      <c r="A4918" s="952"/>
      <c r="B4918" s="953"/>
      <c r="C4918" s="953"/>
      <c r="D4918" s="953"/>
      <c r="E4918" s="953"/>
      <c r="F4918" s="953"/>
      <c r="G4918" s="953"/>
      <c r="H4918" s="953"/>
    </row>
    <row r="4919" spans="1:8" s="943" customFormat="1" x14ac:dyDescent="0.25">
      <c r="A4919" s="952"/>
      <c r="B4919" s="953"/>
      <c r="C4919" s="953"/>
      <c r="D4919" s="953"/>
      <c r="E4919" s="953"/>
      <c r="F4919" s="953"/>
      <c r="G4919" s="953"/>
      <c r="H4919" s="953"/>
    </row>
    <row r="4920" spans="1:8" s="943" customFormat="1" x14ac:dyDescent="0.25">
      <c r="A4920" s="952"/>
      <c r="B4920" s="953"/>
      <c r="C4920" s="953"/>
      <c r="D4920" s="953"/>
      <c r="E4920" s="953"/>
      <c r="F4920" s="953"/>
      <c r="G4920" s="953"/>
      <c r="H4920" s="953"/>
    </row>
    <row r="4921" spans="1:8" s="943" customFormat="1" x14ac:dyDescent="0.25">
      <c r="A4921" s="952"/>
      <c r="B4921" s="953"/>
      <c r="C4921" s="953"/>
      <c r="D4921" s="953"/>
      <c r="E4921" s="953"/>
      <c r="F4921" s="953"/>
      <c r="G4921" s="953"/>
      <c r="H4921" s="953"/>
    </row>
    <row r="4922" spans="1:8" s="943" customFormat="1" x14ac:dyDescent="0.25">
      <c r="A4922" s="952"/>
      <c r="B4922" s="953"/>
      <c r="C4922" s="953"/>
      <c r="D4922" s="953"/>
      <c r="E4922" s="953"/>
      <c r="F4922" s="953"/>
      <c r="G4922" s="953"/>
      <c r="H4922" s="953"/>
    </row>
    <row r="4923" spans="1:8" s="943" customFormat="1" x14ac:dyDescent="0.25">
      <c r="A4923" s="952"/>
      <c r="B4923" s="953"/>
      <c r="C4923" s="953"/>
      <c r="D4923" s="953"/>
      <c r="E4923" s="953"/>
      <c r="F4923" s="953"/>
      <c r="G4923" s="953"/>
      <c r="H4923" s="953"/>
    </row>
    <row r="4924" spans="1:8" s="943" customFormat="1" x14ac:dyDescent="0.25">
      <c r="A4924" s="952"/>
      <c r="B4924" s="953"/>
      <c r="C4924" s="953"/>
      <c r="D4924" s="953"/>
      <c r="E4924" s="953"/>
      <c r="F4924" s="953"/>
      <c r="G4924" s="953"/>
      <c r="H4924" s="953"/>
    </row>
    <row r="4925" spans="1:8" s="943" customFormat="1" x14ac:dyDescent="0.25">
      <c r="A4925" s="952"/>
      <c r="B4925" s="953"/>
      <c r="C4925" s="953"/>
      <c r="D4925" s="953"/>
      <c r="E4925" s="953"/>
      <c r="F4925" s="953"/>
      <c r="G4925" s="953"/>
      <c r="H4925" s="953"/>
    </row>
    <row r="4926" spans="1:8" s="943" customFormat="1" x14ac:dyDescent="0.25">
      <c r="A4926" s="952"/>
      <c r="B4926" s="953"/>
      <c r="C4926" s="953"/>
      <c r="D4926" s="953"/>
      <c r="E4926" s="953"/>
      <c r="F4926" s="953"/>
      <c r="G4926" s="953"/>
      <c r="H4926" s="953"/>
    </row>
    <row r="4927" spans="1:8" s="943" customFormat="1" x14ac:dyDescent="0.25">
      <c r="A4927" s="952"/>
      <c r="B4927" s="953"/>
      <c r="C4927" s="953"/>
      <c r="D4927" s="953"/>
      <c r="E4927" s="953"/>
      <c r="F4927" s="953"/>
      <c r="G4927" s="953"/>
      <c r="H4927" s="953"/>
    </row>
    <row r="4928" spans="1:8" s="943" customFormat="1" x14ac:dyDescent="0.25">
      <c r="A4928" s="952"/>
      <c r="B4928" s="953"/>
      <c r="C4928" s="953"/>
      <c r="D4928" s="953"/>
      <c r="E4928" s="953"/>
      <c r="F4928" s="953"/>
      <c r="G4928" s="953"/>
      <c r="H4928" s="953"/>
    </row>
    <row r="4929" spans="1:8" s="943" customFormat="1" x14ac:dyDescent="0.25">
      <c r="A4929" s="952"/>
      <c r="B4929" s="953"/>
      <c r="C4929" s="953"/>
      <c r="D4929" s="953"/>
      <c r="E4929" s="953"/>
      <c r="F4929" s="953"/>
      <c r="G4929" s="953"/>
      <c r="H4929" s="953"/>
    </row>
    <row r="4930" spans="1:8" s="943" customFormat="1" x14ac:dyDescent="0.25">
      <c r="A4930" s="952"/>
      <c r="B4930" s="953"/>
      <c r="C4930" s="953"/>
      <c r="D4930" s="953"/>
      <c r="E4930" s="953"/>
      <c r="F4930" s="953"/>
      <c r="G4930" s="953"/>
      <c r="H4930" s="953"/>
    </row>
    <row r="4931" spans="1:8" s="943" customFormat="1" x14ac:dyDescent="0.25">
      <c r="A4931" s="952"/>
      <c r="B4931" s="953"/>
      <c r="C4931" s="953"/>
      <c r="D4931" s="953"/>
      <c r="E4931" s="953"/>
      <c r="F4931" s="953"/>
      <c r="G4931" s="953"/>
      <c r="H4931" s="953"/>
    </row>
    <row r="4932" spans="1:8" s="943" customFormat="1" x14ac:dyDescent="0.25">
      <c r="A4932" s="952"/>
      <c r="B4932" s="953"/>
      <c r="C4932" s="953"/>
      <c r="D4932" s="953"/>
      <c r="E4932" s="953"/>
      <c r="F4932" s="953"/>
      <c r="G4932" s="953"/>
      <c r="H4932" s="953"/>
    </row>
    <row r="4933" spans="1:8" s="943" customFormat="1" x14ac:dyDescent="0.25">
      <c r="A4933" s="952"/>
      <c r="B4933" s="953"/>
      <c r="C4933" s="953"/>
      <c r="D4933" s="953"/>
      <c r="E4933" s="953"/>
      <c r="F4933" s="953"/>
      <c r="G4933" s="953"/>
      <c r="H4933" s="953"/>
    </row>
    <row r="4934" spans="1:8" s="943" customFormat="1" x14ac:dyDescent="0.25">
      <c r="A4934" s="952"/>
      <c r="B4934" s="953"/>
      <c r="C4934" s="953"/>
      <c r="D4934" s="953"/>
      <c r="E4934" s="953"/>
      <c r="F4934" s="953"/>
      <c r="G4934" s="953"/>
      <c r="H4934" s="953"/>
    </row>
    <row r="4935" spans="1:8" s="943" customFormat="1" x14ac:dyDescent="0.25">
      <c r="A4935" s="952"/>
      <c r="B4935" s="953"/>
      <c r="C4935" s="953"/>
      <c r="D4935" s="953"/>
      <c r="E4935" s="953"/>
      <c r="F4935" s="953"/>
      <c r="G4935" s="953"/>
      <c r="H4935" s="953"/>
    </row>
    <row r="4936" spans="1:8" s="943" customFormat="1" x14ac:dyDescent="0.25">
      <c r="A4936" s="952"/>
      <c r="B4936" s="953"/>
      <c r="C4936" s="953"/>
      <c r="D4936" s="953"/>
      <c r="E4936" s="953"/>
      <c r="F4936" s="953"/>
      <c r="G4936" s="953"/>
      <c r="H4936" s="953"/>
    </row>
    <row r="4937" spans="1:8" s="943" customFormat="1" x14ac:dyDescent="0.25">
      <c r="A4937" s="952"/>
      <c r="B4937" s="953"/>
      <c r="C4937" s="953"/>
      <c r="D4937" s="953"/>
      <c r="E4937" s="953"/>
      <c r="F4937" s="953"/>
      <c r="G4937" s="953"/>
      <c r="H4937" s="953"/>
    </row>
    <row r="4938" spans="1:8" s="943" customFormat="1" x14ac:dyDescent="0.25">
      <c r="A4938" s="952"/>
      <c r="B4938" s="953"/>
      <c r="C4938" s="953"/>
      <c r="D4938" s="953"/>
      <c r="E4938" s="953"/>
      <c r="F4938" s="953"/>
      <c r="G4938" s="953"/>
      <c r="H4938" s="953"/>
    </row>
    <row r="4939" spans="1:8" s="943" customFormat="1" x14ac:dyDescent="0.25">
      <c r="A4939" s="952"/>
      <c r="B4939" s="953"/>
      <c r="C4939" s="953"/>
      <c r="D4939" s="953"/>
      <c r="E4939" s="953"/>
      <c r="F4939" s="953"/>
      <c r="G4939" s="953"/>
      <c r="H4939" s="953"/>
    </row>
    <row r="4940" spans="1:8" s="943" customFormat="1" x14ac:dyDescent="0.25">
      <c r="A4940" s="952"/>
      <c r="B4940" s="953"/>
      <c r="C4940" s="953"/>
      <c r="D4940" s="953"/>
      <c r="E4940" s="953"/>
      <c r="F4940" s="953"/>
      <c r="G4940" s="953"/>
      <c r="H4940" s="953"/>
    </row>
    <row r="4941" spans="1:8" s="943" customFormat="1" x14ac:dyDescent="0.25">
      <c r="A4941" s="952"/>
      <c r="B4941" s="953"/>
      <c r="C4941" s="953"/>
      <c r="D4941" s="953"/>
      <c r="E4941" s="953"/>
      <c r="F4941" s="953"/>
      <c r="G4941" s="953"/>
      <c r="H4941" s="953"/>
    </row>
    <row r="4942" spans="1:8" s="943" customFormat="1" x14ac:dyDescent="0.25">
      <c r="A4942" s="952"/>
      <c r="B4942" s="953"/>
      <c r="C4942" s="953"/>
      <c r="D4942" s="953"/>
      <c r="E4942" s="953"/>
      <c r="F4942" s="953"/>
      <c r="G4942" s="953"/>
      <c r="H4942" s="953"/>
    </row>
    <row r="4943" spans="1:8" s="943" customFormat="1" x14ac:dyDescent="0.25">
      <c r="A4943" s="952"/>
      <c r="B4943" s="953"/>
      <c r="C4943" s="953"/>
      <c r="D4943" s="953"/>
      <c r="E4943" s="953"/>
      <c r="F4943" s="953"/>
      <c r="G4943" s="953"/>
      <c r="H4943" s="953"/>
    </row>
    <row r="4944" spans="1:8" s="943" customFormat="1" x14ac:dyDescent="0.25">
      <c r="A4944" s="952"/>
      <c r="B4944" s="953"/>
      <c r="C4944" s="953"/>
      <c r="D4944" s="953"/>
      <c r="E4944" s="953"/>
      <c r="F4944" s="953"/>
      <c r="G4944" s="953"/>
      <c r="H4944" s="953"/>
    </row>
    <row r="4945" spans="1:8" s="943" customFormat="1" x14ac:dyDescent="0.25">
      <c r="A4945" s="952"/>
      <c r="B4945" s="953"/>
      <c r="C4945" s="953"/>
      <c r="D4945" s="953"/>
      <c r="E4945" s="953"/>
      <c r="F4945" s="953"/>
      <c r="G4945" s="953"/>
      <c r="H4945" s="953"/>
    </row>
    <row r="4946" spans="1:8" s="943" customFormat="1" x14ac:dyDescent="0.25">
      <c r="A4946" s="952"/>
      <c r="B4946" s="953"/>
      <c r="C4946" s="953"/>
      <c r="D4946" s="953"/>
      <c r="E4946" s="953"/>
      <c r="F4946" s="953"/>
      <c r="G4946" s="953"/>
      <c r="H4946" s="953"/>
    </row>
    <row r="4947" spans="1:8" s="943" customFormat="1" x14ac:dyDescent="0.25">
      <c r="A4947" s="952"/>
      <c r="B4947" s="953"/>
      <c r="C4947" s="953"/>
      <c r="D4947" s="953"/>
      <c r="E4947" s="953"/>
      <c r="F4947" s="953"/>
      <c r="G4947" s="953"/>
      <c r="H4947" s="953"/>
    </row>
    <row r="4948" spans="1:8" s="943" customFormat="1" x14ac:dyDescent="0.25">
      <c r="A4948" s="952"/>
      <c r="B4948" s="953"/>
      <c r="C4948" s="953"/>
      <c r="D4948" s="953"/>
      <c r="E4948" s="953"/>
      <c r="F4948" s="953"/>
      <c r="G4948" s="953"/>
      <c r="H4948" s="953"/>
    </row>
    <row r="4949" spans="1:8" s="943" customFormat="1" x14ac:dyDescent="0.25">
      <c r="A4949" s="952"/>
      <c r="B4949" s="953"/>
      <c r="C4949" s="953"/>
      <c r="D4949" s="953"/>
      <c r="E4949" s="953"/>
      <c r="F4949" s="953"/>
      <c r="G4949" s="953"/>
      <c r="H4949" s="953"/>
    </row>
    <row r="4950" spans="1:8" s="943" customFormat="1" x14ac:dyDescent="0.25">
      <c r="A4950" s="952"/>
      <c r="B4950" s="953"/>
      <c r="C4950" s="953"/>
      <c r="D4950" s="953"/>
      <c r="E4950" s="953"/>
      <c r="F4950" s="953"/>
      <c r="G4950" s="953"/>
      <c r="H4950" s="953"/>
    </row>
    <row r="4951" spans="1:8" s="943" customFormat="1" x14ac:dyDescent="0.25">
      <c r="A4951" s="952"/>
      <c r="B4951" s="953"/>
      <c r="C4951" s="953"/>
      <c r="D4951" s="953"/>
      <c r="E4951" s="953"/>
      <c r="F4951" s="953"/>
      <c r="G4951" s="953"/>
      <c r="H4951" s="953"/>
    </row>
    <row r="4952" spans="1:8" s="943" customFormat="1" x14ac:dyDescent="0.25">
      <c r="A4952" s="952"/>
      <c r="B4952" s="953"/>
      <c r="C4952" s="953"/>
      <c r="D4952" s="953"/>
      <c r="E4952" s="953"/>
      <c r="F4952" s="953"/>
      <c r="G4952" s="953"/>
      <c r="H4952" s="953"/>
    </row>
    <row r="4953" spans="1:8" s="943" customFormat="1" x14ac:dyDescent="0.25">
      <c r="A4953" s="952"/>
      <c r="B4953" s="953"/>
      <c r="C4953" s="953"/>
      <c r="D4953" s="953"/>
      <c r="E4953" s="953"/>
      <c r="F4953" s="953"/>
      <c r="G4953" s="953"/>
      <c r="H4953" s="953"/>
    </row>
    <row r="4954" spans="1:8" s="943" customFormat="1" x14ac:dyDescent="0.25">
      <c r="A4954" s="952"/>
      <c r="B4954" s="953"/>
      <c r="C4954" s="953"/>
      <c r="D4954" s="953"/>
      <c r="E4954" s="953"/>
      <c r="F4954" s="953"/>
      <c r="G4954" s="953"/>
      <c r="H4954" s="953"/>
    </row>
    <row r="4955" spans="1:8" s="943" customFormat="1" x14ac:dyDescent="0.25">
      <c r="A4955" s="952"/>
      <c r="B4955" s="953"/>
      <c r="C4955" s="953"/>
      <c r="D4955" s="953"/>
      <c r="E4955" s="953"/>
      <c r="F4955" s="953"/>
      <c r="G4955" s="953"/>
      <c r="H4955" s="953"/>
    </row>
    <row r="4956" spans="1:8" s="943" customFormat="1" x14ac:dyDescent="0.25">
      <c r="A4956" s="952"/>
      <c r="B4956" s="953"/>
      <c r="C4956" s="953"/>
      <c r="D4956" s="953"/>
      <c r="E4956" s="953"/>
      <c r="F4956" s="953"/>
      <c r="G4956" s="953"/>
      <c r="H4956" s="953"/>
    </row>
    <row r="4957" spans="1:8" s="943" customFormat="1" x14ac:dyDescent="0.25">
      <c r="A4957" s="952"/>
      <c r="B4957" s="953"/>
      <c r="C4957" s="953"/>
      <c r="D4957" s="953"/>
      <c r="E4957" s="953"/>
      <c r="F4957" s="953"/>
      <c r="G4957" s="953"/>
      <c r="H4957" s="953"/>
    </row>
    <row r="4958" spans="1:8" s="943" customFormat="1" x14ac:dyDescent="0.25">
      <c r="A4958" s="952"/>
      <c r="B4958" s="953"/>
      <c r="C4958" s="953"/>
      <c r="D4958" s="953"/>
      <c r="E4958" s="953"/>
      <c r="F4958" s="953"/>
      <c r="G4958" s="953"/>
      <c r="H4958" s="953"/>
    </row>
    <row r="4959" spans="1:8" s="943" customFormat="1" x14ac:dyDescent="0.25">
      <c r="A4959" s="952"/>
      <c r="B4959" s="953"/>
      <c r="C4959" s="953"/>
      <c r="D4959" s="953"/>
      <c r="E4959" s="953"/>
      <c r="F4959" s="953"/>
      <c r="G4959" s="953"/>
      <c r="H4959" s="953"/>
    </row>
    <row r="4960" spans="1:8" s="943" customFormat="1" x14ac:dyDescent="0.25">
      <c r="A4960" s="952"/>
      <c r="B4960" s="953"/>
      <c r="C4960" s="953"/>
      <c r="D4960" s="953"/>
      <c r="E4960" s="953"/>
      <c r="F4960" s="953"/>
      <c r="G4960" s="953"/>
      <c r="H4960" s="953"/>
    </row>
    <row r="4961" spans="1:8" s="943" customFormat="1" x14ac:dyDescent="0.25">
      <c r="A4961" s="952"/>
      <c r="B4961" s="953"/>
      <c r="C4961" s="953"/>
      <c r="D4961" s="953"/>
      <c r="E4961" s="953"/>
      <c r="F4961" s="953"/>
      <c r="G4961" s="953"/>
      <c r="H4961" s="953"/>
    </row>
    <row r="4962" spans="1:8" s="943" customFormat="1" x14ac:dyDescent="0.25">
      <c r="A4962" s="952"/>
      <c r="B4962" s="953"/>
      <c r="C4962" s="953"/>
      <c r="D4962" s="953"/>
      <c r="E4962" s="953"/>
      <c r="F4962" s="953"/>
      <c r="G4962" s="953"/>
      <c r="H4962" s="953"/>
    </row>
    <row r="4963" spans="1:8" s="943" customFormat="1" x14ac:dyDescent="0.25">
      <c r="A4963" s="952"/>
      <c r="B4963" s="953"/>
      <c r="C4963" s="953"/>
      <c r="D4963" s="953"/>
      <c r="E4963" s="953"/>
      <c r="F4963" s="953"/>
      <c r="G4963" s="953"/>
      <c r="H4963" s="953"/>
    </row>
    <row r="4964" spans="1:8" s="943" customFormat="1" x14ac:dyDescent="0.25">
      <c r="A4964" s="952"/>
      <c r="B4964" s="953"/>
      <c r="C4964" s="953"/>
      <c r="D4964" s="953"/>
      <c r="E4964" s="953"/>
      <c r="F4964" s="953"/>
      <c r="G4964" s="953"/>
      <c r="H4964" s="953"/>
    </row>
    <row r="4965" spans="1:8" s="943" customFormat="1" x14ac:dyDescent="0.25">
      <c r="A4965" s="952"/>
      <c r="B4965" s="953"/>
      <c r="C4965" s="953"/>
      <c r="D4965" s="953"/>
      <c r="E4965" s="953"/>
      <c r="F4965" s="953"/>
      <c r="G4965" s="953"/>
      <c r="H4965" s="953"/>
    </row>
    <row r="4966" spans="1:8" s="943" customFormat="1" x14ac:dyDescent="0.25">
      <c r="A4966" s="952"/>
      <c r="B4966" s="953"/>
      <c r="C4966" s="953"/>
      <c r="D4966" s="953"/>
      <c r="E4966" s="953"/>
      <c r="F4966" s="953"/>
      <c r="G4966" s="953"/>
      <c r="H4966" s="953"/>
    </row>
    <row r="4967" spans="1:8" s="943" customFormat="1" x14ac:dyDescent="0.25">
      <c r="A4967" s="952"/>
      <c r="B4967" s="953"/>
      <c r="C4967" s="953"/>
      <c r="D4967" s="953"/>
      <c r="E4967" s="953"/>
      <c r="F4967" s="953"/>
      <c r="G4967" s="953"/>
      <c r="H4967" s="953"/>
    </row>
    <row r="4968" spans="1:8" s="943" customFormat="1" x14ac:dyDescent="0.25">
      <c r="A4968" s="952"/>
      <c r="B4968" s="953"/>
      <c r="C4968" s="953"/>
      <c r="D4968" s="953"/>
      <c r="E4968" s="953"/>
      <c r="F4968" s="953"/>
      <c r="G4968" s="953"/>
      <c r="H4968" s="953"/>
    </row>
    <row r="4969" spans="1:8" s="943" customFormat="1" x14ac:dyDescent="0.25">
      <c r="A4969" s="952"/>
      <c r="B4969" s="953"/>
      <c r="C4969" s="953"/>
      <c r="D4969" s="953"/>
      <c r="E4969" s="953"/>
      <c r="F4969" s="953"/>
      <c r="G4969" s="953"/>
      <c r="H4969" s="953"/>
    </row>
    <row r="4970" spans="1:8" s="943" customFormat="1" x14ac:dyDescent="0.25">
      <c r="A4970" s="952"/>
      <c r="B4970" s="953"/>
      <c r="C4970" s="953"/>
      <c r="D4970" s="953"/>
      <c r="E4970" s="953"/>
      <c r="F4970" s="953"/>
      <c r="G4970" s="953"/>
      <c r="H4970" s="953"/>
    </row>
    <row r="4971" spans="1:8" s="943" customFormat="1" x14ac:dyDescent="0.25">
      <c r="A4971" s="952"/>
      <c r="B4971" s="953"/>
      <c r="C4971" s="953"/>
      <c r="D4971" s="953"/>
      <c r="E4971" s="953"/>
      <c r="F4971" s="953"/>
      <c r="G4971" s="953"/>
      <c r="H4971" s="953"/>
    </row>
    <row r="4972" spans="1:8" s="943" customFormat="1" x14ac:dyDescent="0.25">
      <c r="A4972" s="952"/>
      <c r="B4972" s="953"/>
      <c r="C4972" s="953"/>
      <c r="D4972" s="953"/>
      <c r="E4972" s="953"/>
      <c r="F4972" s="953"/>
      <c r="G4972" s="953"/>
      <c r="H4972" s="953"/>
    </row>
    <row r="4973" spans="1:8" s="943" customFormat="1" x14ac:dyDescent="0.25">
      <c r="A4973" s="952"/>
      <c r="B4973" s="953"/>
      <c r="C4973" s="953"/>
      <c r="D4973" s="953"/>
      <c r="E4973" s="953"/>
      <c r="F4973" s="953"/>
      <c r="G4973" s="953"/>
      <c r="H4973" s="953"/>
    </row>
    <row r="4974" spans="1:8" s="943" customFormat="1" x14ac:dyDescent="0.25">
      <c r="A4974" s="952"/>
      <c r="B4974" s="953"/>
      <c r="C4974" s="953"/>
      <c r="D4974" s="953"/>
      <c r="E4974" s="953"/>
      <c r="F4974" s="953"/>
      <c r="G4974" s="953"/>
      <c r="H4974" s="953"/>
    </row>
    <row r="4975" spans="1:8" s="943" customFormat="1" x14ac:dyDescent="0.25">
      <c r="A4975" s="952"/>
      <c r="B4975" s="953"/>
      <c r="C4975" s="953"/>
      <c r="D4975" s="953"/>
      <c r="E4975" s="953"/>
      <c r="F4975" s="953"/>
      <c r="G4975" s="953"/>
      <c r="H4975" s="953"/>
    </row>
    <row r="4976" spans="1:8" s="943" customFormat="1" x14ac:dyDescent="0.25">
      <c r="A4976" s="952"/>
      <c r="B4976" s="953"/>
      <c r="C4976" s="953"/>
      <c r="D4976" s="953"/>
      <c r="E4976" s="953"/>
      <c r="F4976" s="953"/>
      <c r="G4976" s="953"/>
      <c r="H4976" s="953"/>
    </row>
    <row r="4977" spans="1:8" s="943" customFormat="1" x14ac:dyDescent="0.25">
      <c r="A4977" s="952"/>
      <c r="B4977" s="953"/>
      <c r="C4977" s="953"/>
      <c r="D4977" s="953"/>
      <c r="E4977" s="953"/>
      <c r="F4977" s="953"/>
      <c r="G4977" s="953"/>
      <c r="H4977" s="953"/>
    </row>
    <row r="4978" spans="1:8" s="943" customFormat="1" x14ac:dyDescent="0.25">
      <c r="A4978" s="952"/>
      <c r="B4978" s="953"/>
      <c r="C4978" s="953"/>
      <c r="D4978" s="953"/>
      <c r="E4978" s="953"/>
      <c r="F4978" s="953"/>
      <c r="G4978" s="953"/>
      <c r="H4978" s="953"/>
    </row>
    <row r="4979" spans="1:8" s="943" customFormat="1" x14ac:dyDescent="0.25">
      <c r="A4979" s="952"/>
      <c r="B4979" s="953"/>
      <c r="C4979" s="953"/>
      <c r="D4979" s="953"/>
      <c r="E4979" s="953"/>
      <c r="F4979" s="953"/>
      <c r="G4979" s="953"/>
      <c r="H4979" s="953"/>
    </row>
    <row r="4980" spans="1:8" s="943" customFormat="1" x14ac:dyDescent="0.25">
      <c r="A4980" s="952"/>
      <c r="B4980" s="953"/>
      <c r="C4980" s="953"/>
      <c r="D4980" s="953"/>
      <c r="E4980" s="953"/>
      <c r="F4980" s="953"/>
      <c r="G4980" s="953"/>
      <c r="H4980" s="953"/>
    </row>
    <row r="4981" spans="1:8" s="943" customFormat="1" x14ac:dyDescent="0.25">
      <c r="A4981" s="952"/>
      <c r="B4981" s="953"/>
      <c r="C4981" s="953"/>
      <c r="D4981" s="953"/>
      <c r="E4981" s="953"/>
      <c r="F4981" s="953"/>
      <c r="G4981" s="953"/>
      <c r="H4981" s="953"/>
    </row>
    <row r="4982" spans="1:8" s="943" customFormat="1" x14ac:dyDescent="0.25">
      <c r="A4982" s="952"/>
      <c r="B4982" s="953"/>
      <c r="C4982" s="953"/>
      <c r="D4982" s="953"/>
      <c r="E4982" s="953"/>
      <c r="F4982" s="953"/>
      <c r="G4982" s="953"/>
      <c r="H4982" s="953"/>
    </row>
    <row r="4983" spans="1:8" s="943" customFormat="1" x14ac:dyDescent="0.25">
      <c r="A4983" s="952"/>
      <c r="B4983" s="953"/>
      <c r="C4983" s="953"/>
      <c r="D4983" s="953"/>
      <c r="E4983" s="953"/>
      <c r="F4983" s="953"/>
      <c r="G4983" s="953"/>
      <c r="H4983" s="953"/>
    </row>
    <row r="4984" spans="1:8" s="943" customFormat="1" x14ac:dyDescent="0.25">
      <c r="A4984" s="952"/>
      <c r="B4984" s="953"/>
      <c r="C4984" s="953"/>
      <c r="D4984" s="953"/>
      <c r="E4984" s="953"/>
      <c r="F4984" s="953"/>
      <c r="G4984" s="953"/>
      <c r="H4984" s="953"/>
    </row>
    <row r="4985" spans="1:8" s="943" customFormat="1" x14ac:dyDescent="0.25">
      <c r="A4985" s="952"/>
      <c r="B4985" s="953"/>
      <c r="C4985" s="953"/>
      <c r="D4985" s="953"/>
      <c r="E4985" s="953"/>
      <c r="F4985" s="953"/>
      <c r="G4985" s="953"/>
      <c r="H4985" s="953"/>
    </row>
    <row r="4986" spans="1:8" s="943" customFormat="1" x14ac:dyDescent="0.25">
      <c r="A4986" s="952"/>
      <c r="B4986" s="953"/>
      <c r="C4986" s="953"/>
      <c r="D4986" s="953"/>
      <c r="E4986" s="953"/>
      <c r="F4986" s="953"/>
      <c r="G4986" s="953"/>
      <c r="H4986" s="953"/>
    </row>
    <row r="4987" spans="1:8" s="943" customFormat="1" x14ac:dyDescent="0.25">
      <c r="A4987" s="952"/>
      <c r="B4987" s="953"/>
      <c r="C4987" s="953"/>
      <c r="D4987" s="953"/>
      <c r="E4987" s="953"/>
      <c r="F4987" s="953"/>
      <c r="G4987" s="953"/>
      <c r="H4987" s="953"/>
    </row>
    <row r="4988" spans="1:8" s="943" customFormat="1" x14ac:dyDescent="0.25">
      <c r="A4988" s="952"/>
      <c r="B4988" s="953"/>
      <c r="C4988" s="953"/>
      <c r="D4988" s="953"/>
      <c r="E4988" s="953"/>
      <c r="F4988" s="953"/>
      <c r="G4988" s="953"/>
      <c r="H4988" s="953"/>
    </row>
    <row r="4989" spans="1:8" s="943" customFormat="1" x14ac:dyDescent="0.25">
      <c r="A4989" s="952"/>
      <c r="B4989" s="953"/>
      <c r="C4989" s="953"/>
      <c r="D4989" s="953"/>
      <c r="E4989" s="953"/>
      <c r="F4989" s="953"/>
      <c r="G4989" s="953"/>
      <c r="H4989" s="953"/>
    </row>
    <row r="4990" spans="1:8" s="943" customFormat="1" x14ac:dyDescent="0.25">
      <c r="A4990" s="952"/>
      <c r="B4990" s="953"/>
      <c r="C4990" s="953"/>
      <c r="D4990" s="953"/>
      <c r="E4990" s="953"/>
      <c r="F4990" s="953"/>
      <c r="G4990" s="953"/>
      <c r="H4990" s="953"/>
    </row>
    <row r="4991" spans="1:8" s="943" customFormat="1" x14ac:dyDescent="0.25">
      <c r="A4991" s="952"/>
      <c r="B4991" s="953"/>
      <c r="C4991" s="953"/>
      <c r="D4991" s="953"/>
      <c r="E4991" s="953"/>
      <c r="F4991" s="953"/>
      <c r="G4991" s="953"/>
      <c r="H4991" s="953"/>
    </row>
    <row r="4992" spans="1:8" s="943" customFormat="1" x14ac:dyDescent="0.25">
      <c r="A4992" s="952"/>
      <c r="B4992" s="953"/>
      <c r="C4992" s="953"/>
      <c r="D4992" s="953"/>
      <c r="E4992" s="953"/>
      <c r="F4992" s="953"/>
      <c r="G4992" s="953"/>
      <c r="H4992" s="953"/>
    </row>
    <row r="4993" spans="1:8" s="943" customFormat="1" x14ac:dyDescent="0.25">
      <c r="A4993" s="952"/>
      <c r="B4993" s="953"/>
      <c r="C4993" s="953"/>
      <c r="D4993" s="953"/>
      <c r="E4993" s="953"/>
      <c r="F4993" s="953"/>
      <c r="G4993" s="953"/>
      <c r="H4993" s="953"/>
    </row>
    <row r="4994" spans="1:8" s="943" customFormat="1" x14ac:dyDescent="0.25">
      <c r="A4994" s="952"/>
      <c r="B4994" s="953"/>
      <c r="C4994" s="953"/>
      <c r="D4994" s="953"/>
      <c r="E4994" s="953"/>
      <c r="F4994" s="953"/>
      <c r="G4994" s="953"/>
      <c r="H4994" s="953"/>
    </row>
    <row r="4995" spans="1:8" s="943" customFormat="1" x14ac:dyDescent="0.25">
      <c r="A4995" s="952"/>
      <c r="B4995" s="953"/>
      <c r="C4995" s="953"/>
      <c r="D4995" s="953"/>
      <c r="E4995" s="953"/>
      <c r="F4995" s="953"/>
      <c r="G4995" s="953"/>
      <c r="H4995" s="953"/>
    </row>
    <row r="4996" spans="1:8" s="943" customFormat="1" x14ac:dyDescent="0.25">
      <c r="A4996" s="952"/>
      <c r="B4996" s="953"/>
      <c r="C4996" s="953"/>
      <c r="D4996" s="953"/>
      <c r="E4996" s="953"/>
      <c r="F4996" s="953"/>
      <c r="G4996" s="953"/>
      <c r="H4996" s="953"/>
    </row>
    <row r="4997" spans="1:8" s="943" customFormat="1" x14ac:dyDescent="0.25">
      <c r="A4997" s="952"/>
      <c r="B4997" s="953"/>
      <c r="C4997" s="953"/>
      <c r="D4997" s="953"/>
      <c r="E4997" s="953"/>
      <c r="F4997" s="953"/>
      <c r="G4997" s="953"/>
      <c r="H4997" s="953"/>
    </row>
    <row r="4998" spans="1:8" s="943" customFormat="1" x14ac:dyDescent="0.25">
      <c r="A4998" s="952"/>
      <c r="B4998" s="953"/>
      <c r="C4998" s="953"/>
      <c r="D4998" s="953"/>
      <c r="E4998" s="953"/>
      <c r="F4998" s="953"/>
      <c r="G4998" s="953"/>
      <c r="H4998" s="953"/>
    </row>
    <row r="4999" spans="1:8" s="943" customFormat="1" x14ac:dyDescent="0.25">
      <c r="A4999" s="952"/>
      <c r="B4999" s="953"/>
      <c r="C4999" s="953"/>
      <c r="D4999" s="953"/>
      <c r="E4999" s="953"/>
      <c r="F4999" s="953"/>
      <c r="G4999" s="953"/>
      <c r="H4999" s="953"/>
    </row>
    <row r="5000" spans="1:8" s="943" customFormat="1" x14ac:dyDescent="0.25">
      <c r="A5000" s="952"/>
      <c r="B5000" s="953"/>
      <c r="C5000" s="953"/>
      <c r="D5000" s="953"/>
      <c r="E5000" s="953"/>
      <c r="F5000" s="953"/>
      <c r="G5000" s="953"/>
      <c r="H5000" s="953"/>
    </row>
    <row r="5001" spans="1:8" s="943" customFormat="1" x14ac:dyDescent="0.25">
      <c r="A5001" s="952"/>
      <c r="B5001" s="953"/>
      <c r="C5001" s="953"/>
      <c r="D5001" s="953"/>
      <c r="E5001" s="953"/>
      <c r="F5001" s="953"/>
      <c r="G5001" s="953"/>
      <c r="H5001" s="953"/>
    </row>
    <row r="5002" spans="1:8" s="943" customFormat="1" x14ac:dyDescent="0.25">
      <c r="A5002" s="952"/>
      <c r="B5002" s="953"/>
      <c r="C5002" s="953"/>
      <c r="D5002" s="953"/>
      <c r="E5002" s="953"/>
      <c r="F5002" s="953"/>
      <c r="G5002" s="953"/>
      <c r="H5002" s="953"/>
    </row>
    <row r="5003" spans="1:8" s="943" customFormat="1" x14ac:dyDescent="0.25">
      <c r="A5003" s="952"/>
      <c r="B5003" s="953"/>
      <c r="C5003" s="953"/>
      <c r="D5003" s="953"/>
      <c r="E5003" s="953"/>
      <c r="F5003" s="953"/>
      <c r="G5003" s="953"/>
      <c r="H5003" s="953"/>
    </row>
    <row r="5004" spans="1:8" s="943" customFormat="1" x14ac:dyDescent="0.25">
      <c r="A5004" s="952"/>
      <c r="B5004" s="953"/>
      <c r="C5004" s="953"/>
      <c r="D5004" s="953"/>
      <c r="E5004" s="953"/>
      <c r="F5004" s="953"/>
      <c r="G5004" s="953"/>
      <c r="H5004" s="953"/>
    </row>
    <row r="5005" spans="1:8" s="943" customFormat="1" x14ac:dyDescent="0.25">
      <c r="A5005" s="952"/>
      <c r="B5005" s="953"/>
      <c r="C5005" s="953"/>
      <c r="D5005" s="953"/>
      <c r="E5005" s="953"/>
      <c r="F5005" s="953"/>
      <c r="G5005" s="953"/>
      <c r="H5005" s="953"/>
    </row>
    <row r="5006" spans="1:8" s="943" customFormat="1" x14ac:dyDescent="0.25">
      <c r="A5006" s="952"/>
      <c r="B5006" s="953"/>
      <c r="C5006" s="953"/>
      <c r="D5006" s="953"/>
      <c r="E5006" s="953"/>
      <c r="F5006" s="953"/>
      <c r="G5006" s="953"/>
      <c r="H5006" s="953"/>
    </row>
    <row r="5007" spans="1:8" s="943" customFormat="1" x14ac:dyDescent="0.25">
      <c r="A5007" s="952"/>
      <c r="B5007" s="953"/>
      <c r="C5007" s="953"/>
      <c r="D5007" s="953"/>
      <c r="E5007" s="953"/>
      <c r="F5007" s="953"/>
      <c r="G5007" s="953"/>
      <c r="H5007" s="953"/>
    </row>
    <row r="5008" spans="1:8" s="943" customFormat="1" x14ac:dyDescent="0.25">
      <c r="A5008" s="952"/>
      <c r="B5008" s="953"/>
      <c r="C5008" s="953"/>
      <c r="D5008" s="953"/>
      <c r="E5008" s="953"/>
      <c r="F5008" s="953"/>
      <c r="G5008" s="953"/>
      <c r="H5008" s="953"/>
    </row>
    <row r="5009" spans="1:8" s="943" customFormat="1" x14ac:dyDescent="0.25">
      <c r="A5009" s="952"/>
      <c r="B5009" s="953"/>
      <c r="C5009" s="953"/>
      <c r="D5009" s="953"/>
      <c r="E5009" s="953"/>
      <c r="F5009" s="953"/>
      <c r="G5009" s="953"/>
      <c r="H5009" s="953"/>
    </row>
    <row r="5010" spans="1:8" s="943" customFormat="1" x14ac:dyDescent="0.25">
      <c r="A5010" s="952"/>
      <c r="B5010" s="953"/>
      <c r="C5010" s="953"/>
      <c r="D5010" s="953"/>
      <c r="E5010" s="953"/>
      <c r="F5010" s="953"/>
      <c r="G5010" s="953"/>
      <c r="H5010" s="953"/>
    </row>
    <row r="5011" spans="1:8" s="943" customFormat="1" x14ac:dyDescent="0.25">
      <c r="A5011" s="952"/>
      <c r="B5011" s="953"/>
      <c r="C5011" s="953"/>
      <c r="D5011" s="953"/>
      <c r="E5011" s="953"/>
      <c r="F5011" s="953"/>
      <c r="G5011" s="953"/>
      <c r="H5011" s="953"/>
    </row>
    <row r="5012" spans="1:8" s="943" customFormat="1" x14ac:dyDescent="0.25">
      <c r="A5012" s="952"/>
      <c r="B5012" s="953"/>
      <c r="C5012" s="953"/>
      <c r="D5012" s="953"/>
      <c r="E5012" s="953"/>
      <c r="F5012" s="953"/>
      <c r="G5012" s="953"/>
      <c r="H5012" s="953"/>
    </row>
    <row r="5013" spans="1:8" s="943" customFormat="1" x14ac:dyDescent="0.25">
      <c r="A5013" s="952"/>
      <c r="B5013" s="953"/>
      <c r="C5013" s="953"/>
      <c r="D5013" s="953"/>
      <c r="E5013" s="953"/>
      <c r="F5013" s="953"/>
      <c r="G5013" s="953"/>
      <c r="H5013" s="953"/>
    </row>
    <row r="5014" spans="1:8" s="943" customFormat="1" x14ac:dyDescent="0.25">
      <c r="A5014" s="952"/>
      <c r="B5014" s="953"/>
      <c r="C5014" s="953"/>
      <c r="D5014" s="953"/>
      <c r="E5014" s="953"/>
      <c r="F5014" s="953"/>
      <c r="G5014" s="953"/>
      <c r="H5014" s="953"/>
    </row>
    <row r="5015" spans="1:8" s="943" customFormat="1" x14ac:dyDescent="0.25">
      <c r="A5015" s="952"/>
      <c r="B5015" s="953"/>
      <c r="C5015" s="953"/>
      <c r="D5015" s="953"/>
      <c r="E5015" s="953"/>
      <c r="F5015" s="953"/>
      <c r="G5015" s="953"/>
      <c r="H5015" s="953"/>
    </row>
    <row r="5016" spans="1:8" s="943" customFormat="1" x14ac:dyDescent="0.25">
      <c r="A5016" s="952"/>
      <c r="B5016" s="953"/>
      <c r="C5016" s="953"/>
      <c r="D5016" s="953"/>
      <c r="E5016" s="953"/>
      <c r="F5016" s="953"/>
      <c r="G5016" s="953"/>
      <c r="H5016" s="953"/>
    </row>
    <row r="5017" spans="1:8" s="943" customFormat="1" x14ac:dyDescent="0.25">
      <c r="A5017" s="952"/>
      <c r="B5017" s="953"/>
      <c r="C5017" s="953"/>
      <c r="D5017" s="953"/>
      <c r="E5017" s="953"/>
      <c r="F5017" s="953"/>
      <c r="G5017" s="953"/>
      <c r="H5017" s="953"/>
    </row>
    <row r="5018" spans="1:8" s="943" customFormat="1" x14ac:dyDescent="0.25">
      <c r="A5018" s="952"/>
      <c r="B5018" s="953"/>
      <c r="C5018" s="953"/>
      <c r="D5018" s="953"/>
      <c r="E5018" s="953"/>
      <c r="F5018" s="953"/>
      <c r="G5018" s="953"/>
      <c r="H5018" s="953"/>
    </row>
    <row r="5019" spans="1:8" s="943" customFormat="1" x14ac:dyDescent="0.25">
      <c r="A5019" s="952"/>
      <c r="B5019" s="953"/>
      <c r="C5019" s="953"/>
      <c r="D5019" s="953"/>
      <c r="E5019" s="953"/>
      <c r="F5019" s="953"/>
      <c r="G5019" s="953"/>
      <c r="H5019" s="953"/>
    </row>
    <row r="5020" spans="1:8" s="943" customFormat="1" x14ac:dyDescent="0.25">
      <c r="A5020" s="952"/>
      <c r="B5020" s="953"/>
      <c r="C5020" s="953"/>
      <c r="D5020" s="953"/>
      <c r="E5020" s="953"/>
      <c r="F5020" s="953"/>
      <c r="G5020" s="953"/>
      <c r="H5020" s="953"/>
    </row>
    <row r="5021" spans="1:8" s="943" customFormat="1" x14ac:dyDescent="0.25">
      <c r="A5021" s="952"/>
      <c r="B5021" s="953"/>
      <c r="C5021" s="953"/>
      <c r="D5021" s="953"/>
      <c r="E5021" s="953"/>
      <c r="F5021" s="953"/>
      <c r="G5021" s="953"/>
      <c r="H5021" s="953"/>
    </row>
    <row r="5022" spans="1:8" s="943" customFormat="1" x14ac:dyDescent="0.25">
      <c r="A5022" s="952"/>
      <c r="B5022" s="953"/>
      <c r="C5022" s="953"/>
      <c r="D5022" s="953"/>
      <c r="E5022" s="953"/>
      <c r="F5022" s="953"/>
      <c r="G5022" s="953"/>
      <c r="H5022" s="953"/>
    </row>
    <row r="5023" spans="1:8" s="943" customFormat="1" x14ac:dyDescent="0.25">
      <c r="A5023" s="952"/>
      <c r="B5023" s="953"/>
      <c r="C5023" s="953"/>
      <c r="D5023" s="953"/>
      <c r="E5023" s="953"/>
      <c r="F5023" s="953"/>
      <c r="G5023" s="953"/>
      <c r="H5023" s="953"/>
    </row>
    <row r="5024" spans="1:8" s="943" customFormat="1" x14ac:dyDescent="0.25">
      <c r="A5024" s="952"/>
      <c r="B5024" s="953"/>
      <c r="C5024" s="953"/>
      <c r="D5024" s="953"/>
      <c r="E5024" s="953"/>
      <c r="F5024" s="953"/>
      <c r="G5024" s="953"/>
      <c r="H5024" s="953"/>
    </row>
    <row r="5025" spans="1:8" s="943" customFormat="1" x14ac:dyDescent="0.25">
      <c r="A5025" s="952"/>
      <c r="B5025" s="953"/>
      <c r="C5025" s="953"/>
      <c r="D5025" s="953"/>
      <c r="E5025" s="953"/>
      <c r="F5025" s="953"/>
      <c r="G5025" s="953"/>
      <c r="H5025" s="953"/>
    </row>
    <row r="5026" spans="1:8" s="943" customFormat="1" x14ac:dyDescent="0.25">
      <c r="A5026" s="952"/>
      <c r="B5026" s="953"/>
      <c r="C5026" s="953"/>
      <c r="D5026" s="953"/>
      <c r="E5026" s="953"/>
      <c r="F5026" s="953"/>
      <c r="G5026" s="953"/>
      <c r="H5026" s="953"/>
    </row>
    <row r="5027" spans="1:8" s="943" customFormat="1" x14ac:dyDescent="0.25">
      <c r="A5027" s="952"/>
      <c r="B5027" s="953"/>
      <c r="C5027" s="953"/>
      <c r="D5027" s="953"/>
      <c r="E5027" s="953"/>
      <c r="F5027" s="953"/>
      <c r="G5027" s="953"/>
      <c r="H5027" s="953"/>
    </row>
    <row r="5028" spans="1:8" s="943" customFormat="1" x14ac:dyDescent="0.25">
      <c r="A5028" s="952"/>
      <c r="B5028" s="953"/>
      <c r="C5028" s="953"/>
      <c r="D5028" s="953"/>
      <c r="E5028" s="953"/>
      <c r="F5028" s="953"/>
      <c r="G5028" s="953"/>
      <c r="H5028" s="953"/>
    </row>
    <row r="5029" spans="1:8" s="943" customFormat="1" x14ac:dyDescent="0.25">
      <c r="A5029" s="952"/>
      <c r="B5029" s="953"/>
      <c r="C5029" s="953"/>
      <c r="D5029" s="953"/>
      <c r="E5029" s="953"/>
      <c r="F5029" s="953"/>
      <c r="G5029" s="953"/>
      <c r="H5029" s="953"/>
    </row>
    <row r="5030" spans="1:8" s="943" customFormat="1" x14ac:dyDescent="0.25">
      <c r="A5030" s="952"/>
      <c r="B5030" s="953"/>
      <c r="C5030" s="953"/>
      <c r="D5030" s="953"/>
      <c r="E5030" s="953"/>
      <c r="F5030" s="953"/>
      <c r="G5030" s="953"/>
      <c r="H5030" s="953"/>
    </row>
    <row r="5031" spans="1:8" s="943" customFormat="1" x14ac:dyDescent="0.25">
      <c r="A5031" s="952"/>
      <c r="B5031" s="953"/>
      <c r="C5031" s="953"/>
      <c r="D5031" s="953"/>
      <c r="E5031" s="953"/>
      <c r="F5031" s="953"/>
      <c r="G5031" s="953"/>
      <c r="H5031" s="953"/>
    </row>
    <row r="5032" spans="1:8" s="943" customFormat="1" x14ac:dyDescent="0.25">
      <c r="A5032" s="952"/>
      <c r="B5032" s="953"/>
      <c r="C5032" s="953"/>
      <c r="D5032" s="953"/>
      <c r="E5032" s="953"/>
      <c r="F5032" s="953"/>
      <c r="G5032" s="953"/>
      <c r="H5032" s="953"/>
    </row>
    <row r="5033" spans="1:8" s="943" customFormat="1" x14ac:dyDescent="0.25">
      <c r="A5033" s="952"/>
      <c r="B5033" s="953"/>
      <c r="C5033" s="953"/>
      <c r="D5033" s="953"/>
      <c r="E5033" s="953"/>
      <c r="F5033" s="953"/>
      <c r="G5033" s="953"/>
      <c r="H5033" s="953"/>
    </row>
    <row r="5034" spans="1:8" s="943" customFormat="1" x14ac:dyDescent="0.25">
      <c r="A5034" s="952"/>
      <c r="B5034" s="953"/>
      <c r="C5034" s="953"/>
      <c r="D5034" s="953"/>
      <c r="E5034" s="953"/>
      <c r="F5034" s="953"/>
      <c r="G5034" s="953"/>
      <c r="H5034" s="953"/>
    </row>
    <row r="5035" spans="1:8" s="943" customFormat="1" x14ac:dyDescent="0.25">
      <c r="A5035" s="952"/>
      <c r="B5035" s="953"/>
      <c r="C5035" s="953"/>
      <c r="D5035" s="953"/>
      <c r="E5035" s="953"/>
      <c r="F5035" s="953"/>
      <c r="G5035" s="953"/>
      <c r="H5035" s="953"/>
    </row>
    <row r="5036" spans="1:8" s="943" customFormat="1" x14ac:dyDescent="0.25">
      <c r="A5036" s="952"/>
      <c r="B5036" s="953"/>
      <c r="C5036" s="953"/>
      <c r="D5036" s="953"/>
      <c r="E5036" s="953"/>
      <c r="F5036" s="953"/>
      <c r="G5036" s="953"/>
      <c r="H5036" s="953"/>
    </row>
    <row r="5037" spans="1:8" s="943" customFormat="1" x14ac:dyDescent="0.25">
      <c r="A5037" s="952"/>
      <c r="B5037" s="953"/>
      <c r="C5037" s="953"/>
      <c r="D5037" s="953"/>
      <c r="E5037" s="953"/>
      <c r="F5037" s="953"/>
      <c r="G5037" s="953"/>
      <c r="H5037" s="953"/>
    </row>
    <row r="5038" spans="1:8" s="943" customFormat="1" x14ac:dyDescent="0.25">
      <c r="A5038" s="952"/>
      <c r="B5038" s="953"/>
      <c r="C5038" s="953"/>
      <c r="D5038" s="953"/>
      <c r="E5038" s="953"/>
      <c r="F5038" s="953"/>
      <c r="G5038" s="953"/>
      <c r="H5038" s="953"/>
    </row>
    <row r="5039" spans="1:8" s="943" customFormat="1" x14ac:dyDescent="0.25">
      <c r="A5039" s="952"/>
      <c r="B5039" s="953"/>
      <c r="C5039" s="953"/>
      <c r="D5039" s="953"/>
      <c r="E5039" s="953"/>
      <c r="F5039" s="953"/>
      <c r="G5039" s="953"/>
      <c r="H5039" s="953"/>
    </row>
    <row r="5040" spans="1:8" s="943" customFormat="1" x14ac:dyDescent="0.25">
      <c r="A5040" s="952"/>
      <c r="B5040" s="953"/>
      <c r="C5040" s="953"/>
      <c r="D5040" s="953"/>
      <c r="E5040" s="953"/>
      <c r="F5040" s="953"/>
      <c r="G5040" s="953"/>
      <c r="H5040" s="953"/>
    </row>
    <row r="5041" spans="1:8" s="943" customFormat="1" x14ac:dyDescent="0.25">
      <c r="A5041" s="952"/>
      <c r="B5041" s="953"/>
      <c r="C5041" s="953"/>
      <c r="D5041" s="953"/>
      <c r="E5041" s="953"/>
      <c r="F5041" s="953"/>
      <c r="G5041" s="953"/>
      <c r="H5041" s="953"/>
    </row>
    <row r="5042" spans="1:8" s="943" customFormat="1" x14ac:dyDescent="0.25">
      <c r="A5042" s="952"/>
      <c r="B5042" s="953"/>
      <c r="C5042" s="953"/>
      <c r="D5042" s="953"/>
      <c r="E5042" s="953"/>
      <c r="F5042" s="953"/>
      <c r="G5042" s="953"/>
      <c r="H5042" s="953"/>
    </row>
    <row r="5043" spans="1:8" s="943" customFormat="1" x14ac:dyDescent="0.25">
      <c r="A5043" s="952"/>
      <c r="B5043" s="953"/>
      <c r="C5043" s="953"/>
      <c r="D5043" s="953"/>
      <c r="E5043" s="953"/>
      <c r="F5043" s="953"/>
      <c r="G5043" s="953"/>
      <c r="H5043" s="953"/>
    </row>
    <row r="5044" spans="1:8" s="943" customFormat="1" x14ac:dyDescent="0.25">
      <c r="A5044" s="952"/>
      <c r="B5044" s="953"/>
      <c r="C5044" s="953"/>
      <c r="D5044" s="953"/>
      <c r="E5044" s="953"/>
      <c r="F5044" s="953"/>
      <c r="G5044" s="953"/>
      <c r="H5044" s="953"/>
    </row>
    <row r="5045" spans="1:8" s="943" customFormat="1" x14ac:dyDescent="0.25">
      <c r="A5045" s="952"/>
      <c r="B5045" s="953"/>
      <c r="C5045" s="953"/>
      <c r="D5045" s="953"/>
      <c r="E5045" s="953"/>
      <c r="F5045" s="953"/>
      <c r="G5045" s="953"/>
      <c r="H5045" s="953"/>
    </row>
    <row r="5046" spans="1:8" s="943" customFormat="1" x14ac:dyDescent="0.25">
      <c r="A5046" s="952"/>
      <c r="B5046" s="953"/>
      <c r="C5046" s="953"/>
      <c r="D5046" s="953"/>
      <c r="E5046" s="953"/>
      <c r="F5046" s="953"/>
      <c r="G5046" s="953"/>
      <c r="H5046" s="953"/>
    </row>
    <row r="5047" spans="1:8" s="943" customFormat="1" x14ac:dyDescent="0.25">
      <c r="A5047" s="952"/>
      <c r="B5047" s="953"/>
      <c r="C5047" s="953"/>
      <c r="D5047" s="953"/>
      <c r="E5047" s="953"/>
      <c r="F5047" s="953"/>
      <c r="G5047" s="953"/>
      <c r="H5047" s="953"/>
    </row>
    <row r="5048" spans="1:8" s="943" customFormat="1" x14ac:dyDescent="0.25">
      <c r="A5048" s="952"/>
      <c r="B5048" s="953"/>
      <c r="C5048" s="953"/>
      <c r="D5048" s="953"/>
      <c r="E5048" s="953"/>
      <c r="F5048" s="953"/>
      <c r="G5048" s="953"/>
      <c r="H5048" s="953"/>
    </row>
    <row r="5049" spans="1:8" s="943" customFormat="1" x14ac:dyDescent="0.25">
      <c r="A5049" s="952"/>
      <c r="B5049" s="953"/>
      <c r="C5049" s="953"/>
      <c r="D5049" s="953"/>
      <c r="E5049" s="953"/>
      <c r="F5049" s="953"/>
      <c r="G5049" s="953"/>
      <c r="H5049" s="953"/>
    </row>
    <row r="5050" spans="1:8" s="943" customFormat="1" x14ac:dyDescent="0.25">
      <c r="A5050" s="952"/>
      <c r="B5050" s="953"/>
      <c r="C5050" s="953"/>
      <c r="D5050" s="953"/>
      <c r="E5050" s="953"/>
      <c r="F5050" s="953"/>
      <c r="G5050" s="953"/>
      <c r="H5050" s="953"/>
    </row>
    <row r="5051" spans="1:8" s="943" customFormat="1" x14ac:dyDescent="0.25">
      <c r="A5051" s="952"/>
      <c r="B5051" s="953"/>
      <c r="C5051" s="953"/>
      <c r="D5051" s="953"/>
      <c r="E5051" s="953"/>
      <c r="F5051" s="953"/>
      <c r="G5051" s="953"/>
      <c r="H5051" s="953"/>
    </row>
    <row r="5052" spans="1:8" s="943" customFormat="1" x14ac:dyDescent="0.25">
      <c r="A5052" s="952"/>
      <c r="B5052" s="953"/>
      <c r="C5052" s="953"/>
      <c r="D5052" s="953"/>
      <c r="E5052" s="953"/>
      <c r="F5052" s="953"/>
      <c r="G5052" s="953"/>
      <c r="H5052" s="953"/>
    </row>
    <row r="5053" spans="1:8" s="943" customFormat="1" x14ac:dyDescent="0.25">
      <c r="A5053" s="952"/>
      <c r="B5053" s="953"/>
      <c r="C5053" s="953"/>
      <c r="D5053" s="953"/>
      <c r="E5053" s="953"/>
      <c r="F5053" s="953"/>
      <c r="G5053" s="953"/>
      <c r="H5053" s="953"/>
    </row>
    <row r="5054" spans="1:8" s="943" customFormat="1" x14ac:dyDescent="0.25">
      <c r="A5054" s="952"/>
      <c r="B5054" s="953"/>
      <c r="C5054" s="953"/>
      <c r="D5054" s="953"/>
      <c r="E5054" s="953"/>
      <c r="F5054" s="953"/>
      <c r="G5054" s="953"/>
      <c r="H5054" s="953"/>
    </row>
    <row r="5055" spans="1:8" s="943" customFormat="1" x14ac:dyDescent="0.25">
      <c r="A5055" s="952"/>
      <c r="B5055" s="953"/>
      <c r="C5055" s="953"/>
      <c r="D5055" s="953"/>
      <c r="E5055" s="953"/>
      <c r="F5055" s="953"/>
      <c r="G5055" s="953"/>
      <c r="H5055" s="953"/>
    </row>
    <row r="5056" spans="1:8" s="943" customFormat="1" x14ac:dyDescent="0.25">
      <c r="A5056" s="952"/>
      <c r="B5056" s="953"/>
      <c r="C5056" s="953"/>
      <c r="D5056" s="953"/>
      <c r="E5056" s="953"/>
      <c r="F5056" s="953"/>
      <c r="G5056" s="953"/>
      <c r="H5056" s="953"/>
    </row>
    <row r="5057" spans="1:8" s="943" customFormat="1" x14ac:dyDescent="0.25">
      <c r="A5057" s="952"/>
      <c r="B5057" s="953"/>
      <c r="C5057" s="953"/>
      <c r="D5057" s="953"/>
      <c r="E5057" s="953"/>
      <c r="F5057" s="953"/>
      <c r="G5057" s="953"/>
      <c r="H5057" s="953"/>
    </row>
    <row r="5058" spans="1:8" s="943" customFormat="1" x14ac:dyDescent="0.25">
      <c r="A5058" s="952"/>
      <c r="B5058" s="953"/>
      <c r="C5058" s="953"/>
      <c r="D5058" s="953"/>
      <c r="E5058" s="953"/>
      <c r="F5058" s="953"/>
      <c r="G5058" s="953"/>
      <c r="H5058" s="953"/>
    </row>
    <row r="5059" spans="1:8" s="943" customFormat="1" x14ac:dyDescent="0.25">
      <c r="A5059" s="952"/>
      <c r="B5059" s="953"/>
      <c r="C5059" s="953"/>
      <c r="D5059" s="953"/>
      <c r="E5059" s="953"/>
      <c r="F5059" s="953"/>
      <c r="G5059" s="953"/>
      <c r="H5059" s="953"/>
    </row>
    <row r="5060" spans="1:8" s="943" customFormat="1" x14ac:dyDescent="0.25">
      <c r="A5060" s="952"/>
      <c r="B5060" s="953"/>
      <c r="C5060" s="953"/>
      <c r="D5060" s="953"/>
      <c r="E5060" s="953"/>
      <c r="F5060" s="953"/>
      <c r="G5060" s="953"/>
      <c r="H5060" s="953"/>
    </row>
    <row r="5061" spans="1:8" s="943" customFormat="1" x14ac:dyDescent="0.25">
      <c r="A5061" s="952"/>
      <c r="B5061" s="953"/>
      <c r="C5061" s="953"/>
      <c r="D5061" s="953"/>
      <c r="E5061" s="953"/>
      <c r="F5061" s="953"/>
      <c r="G5061" s="953"/>
      <c r="H5061" s="953"/>
    </row>
    <row r="5062" spans="1:8" s="943" customFormat="1" x14ac:dyDescent="0.25">
      <c r="A5062" s="952"/>
      <c r="B5062" s="953"/>
      <c r="C5062" s="953"/>
      <c r="D5062" s="953"/>
      <c r="E5062" s="953"/>
      <c r="F5062" s="953"/>
      <c r="G5062" s="953"/>
      <c r="H5062" s="953"/>
    </row>
    <row r="5063" spans="1:8" s="943" customFormat="1" x14ac:dyDescent="0.25">
      <c r="A5063" s="952"/>
      <c r="B5063" s="953"/>
      <c r="C5063" s="953"/>
      <c r="D5063" s="953"/>
      <c r="E5063" s="953"/>
      <c r="F5063" s="953"/>
      <c r="G5063" s="953"/>
      <c r="H5063" s="953"/>
    </row>
    <row r="5064" spans="1:8" s="943" customFormat="1" x14ac:dyDescent="0.25">
      <c r="A5064" s="952"/>
      <c r="B5064" s="953"/>
      <c r="C5064" s="953"/>
      <c r="D5064" s="953"/>
      <c r="E5064" s="953"/>
      <c r="F5064" s="953"/>
      <c r="G5064" s="953"/>
      <c r="H5064" s="953"/>
    </row>
    <row r="5065" spans="1:8" s="943" customFormat="1" x14ac:dyDescent="0.25">
      <c r="A5065" s="952"/>
      <c r="B5065" s="953"/>
      <c r="C5065" s="953"/>
      <c r="D5065" s="953"/>
      <c r="E5065" s="953"/>
      <c r="F5065" s="953"/>
      <c r="G5065" s="953"/>
      <c r="H5065" s="953"/>
    </row>
    <row r="5066" spans="1:8" s="943" customFormat="1" x14ac:dyDescent="0.25">
      <c r="A5066" s="952"/>
      <c r="B5066" s="953"/>
      <c r="C5066" s="953"/>
      <c r="D5066" s="953"/>
      <c r="E5066" s="953"/>
      <c r="F5066" s="953"/>
      <c r="G5066" s="953"/>
      <c r="H5066" s="953"/>
    </row>
    <row r="5067" spans="1:8" s="943" customFormat="1" x14ac:dyDescent="0.25">
      <c r="A5067" s="952"/>
      <c r="B5067" s="953"/>
      <c r="C5067" s="953"/>
      <c r="D5067" s="953"/>
      <c r="E5067" s="953"/>
      <c r="F5067" s="953"/>
      <c r="G5067" s="953"/>
      <c r="H5067" s="953"/>
    </row>
    <row r="5068" spans="1:8" s="943" customFormat="1" x14ac:dyDescent="0.25">
      <c r="A5068" s="952"/>
      <c r="B5068" s="953"/>
      <c r="C5068" s="953"/>
      <c r="D5068" s="953"/>
      <c r="E5068" s="953"/>
      <c r="F5068" s="953"/>
      <c r="G5068" s="953"/>
      <c r="H5068" s="953"/>
    </row>
    <row r="5069" spans="1:8" s="943" customFormat="1" x14ac:dyDescent="0.25">
      <c r="A5069" s="952"/>
      <c r="B5069" s="953"/>
      <c r="C5069" s="953"/>
      <c r="D5069" s="953"/>
      <c r="E5069" s="953"/>
      <c r="F5069" s="953"/>
      <c r="G5069" s="953"/>
      <c r="H5069" s="953"/>
    </row>
    <row r="5070" spans="1:8" s="943" customFormat="1" x14ac:dyDescent="0.25">
      <c r="A5070" s="952"/>
      <c r="B5070" s="953"/>
      <c r="C5070" s="953"/>
      <c r="D5070" s="953"/>
      <c r="E5070" s="953"/>
      <c r="F5070" s="953"/>
      <c r="G5070" s="953"/>
      <c r="H5070" s="953"/>
    </row>
    <row r="5071" spans="1:8" s="943" customFormat="1" x14ac:dyDescent="0.25">
      <c r="A5071" s="952"/>
      <c r="B5071" s="953"/>
      <c r="C5071" s="953"/>
      <c r="D5071" s="953"/>
      <c r="E5071" s="953"/>
      <c r="F5071" s="953"/>
      <c r="G5071" s="953"/>
      <c r="H5071" s="953"/>
    </row>
    <row r="5072" spans="1:8" s="943" customFormat="1" x14ac:dyDescent="0.25">
      <c r="A5072" s="952"/>
      <c r="B5072" s="953"/>
      <c r="C5072" s="953"/>
      <c r="D5072" s="953"/>
      <c r="E5072" s="953"/>
      <c r="F5072" s="953"/>
      <c r="G5072" s="953"/>
      <c r="H5072" s="953"/>
    </row>
    <row r="5073" spans="1:8" s="943" customFormat="1" x14ac:dyDescent="0.25">
      <c r="A5073" s="952"/>
      <c r="B5073" s="953"/>
      <c r="C5073" s="953"/>
      <c r="D5073" s="953"/>
      <c r="E5073" s="953"/>
      <c r="F5073" s="953"/>
      <c r="G5073" s="953"/>
      <c r="H5073" s="953"/>
    </row>
    <row r="5074" spans="1:8" s="943" customFormat="1" x14ac:dyDescent="0.25">
      <c r="A5074" s="952"/>
      <c r="B5074" s="953"/>
      <c r="C5074" s="953"/>
      <c r="D5074" s="953"/>
      <c r="E5074" s="953"/>
      <c r="F5074" s="953"/>
      <c r="G5074" s="953"/>
      <c r="H5074" s="953"/>
    </row>
    <row r="5075" spans="1:8" s="943" customFormat="1" x14ac:dyDescent="0.25">
      <c r="A5075" s="952"/>
      <c r="B5075" s="953"/>
      <c r="C5075" s="953"/>
      <c r="D5075" s="953"/>
      <c r="E5075" s="953"/>
      <c r="F5075" s="953"/>
      <c r="G5075" s="953"/>
      <c r="H5075" s="953"/>
    </row>
    <row r="5076" spans="1:8" s="943" customFormat="1" x14ac:dyDescent="0.25">
      <c r="A5076" s="952"/>
      <c r="B5076" s="953"/>
      <c r="C5076" s="953"/>
      <c r="D5076" s="953"/>
      <c r="E5076" s="953"/>
      <c r="F5076" s="953"/>
      <c r="G5076" s="953"/>
      <c r="H5076" s="953"/>
    </row>
    <row r="5077" spans="1:8" s="943" customFormat="1" x14ac:dyDescent="0.25">
      <c r="A5077" s="952"/>
      <c r="B5077" s="953"/>
      <c r="C5077" s="953"/>
      <c r="D5077" s="953"/>
      <c r="E5077" s="953"/>
      <c r="F5077" s="953"/>
      <c r="G5077" s="953"/>
      <c r="H5077" s="953"/>
    </row>
    <row r="5078" spans="1:8" s="943" customFormat="1" x14ac:dyDescent="0.25">
      <c r="A5078" s="952"/>
      <c r="B5078" s="953"/>
      <c r="C5078" s="953"/>
      <c r="D5078" s="953"/>
      <c r="E5078" s="953"/>
      <c r="F5078" s="953"/>
      <c r="G5078" s="953"/>
      <c r="H5078" s="953"/>
    </row>
    <row r="5079" spans="1:8" s="943" customFormat="1" x14ac:dyDescent="0.25">
      <c r="A5079" s="952"/>
      <c r="B5079" s="953"/>
      <c r="C5079" s="953"/>
      <c r="D5079" s="953"/>
      <c r="E5079" s="953"/>
      <c r="F5079" s="953"/>
      <c r="G5079" s="953"/>
      <c r="H5079" s="953"/>
    </row>
    <row r="5080" spans="1:8" s="943" customFormat="1" x14ac:dyDescent="0.25">
      <c r="A5080" s="952"/>
      <c r="B5080" s="953"/>
      <c r="C5080" s="953"/>
      <c r="D5080" s="953"/>
      <c r="E5080" s="953"/>
      <c r="F5080" s="953"/>
      <c r="G5080" s="953"/>
      <c r="H5080" s="953"/>
    </row>
    <row r="5081" spans="1:8" s="943" customFormat="1" x14ac:dyDescent="0.25">
      <c r="A5081" s="952"/>
      <c r="B5081" s="953"/>
      <c r="C5081" s="953"/>
      <c r="D5081" s="953"/>
      <c r="E5081" s="953"/>
      <c r="F5081" s="953"/>
      <c r="G5081" s="953"/>
      <c r="H5081" s="953"/>
    </row>
    <row r="5082" spans="1:8" s="943" customFormat="1" x14ac:dyDescent="0.25">
      <c r="A5082" s="952"/>
      <c r="B5082" s="953"/>
      <c r="C5082" s="953"/>
      <c r="D5082" s="953"/>
      <c r="E5082" s="953"/>
      <c r="F5082" s="953"/>
      <c r="G5082" s="953"/>
      <c r="H5082" s="953"/>
    </row>
    <row r="5083" spans="1:8" s="943" customFormat="1" x14ac:dyDescent="0.25">
      <c r="A5083" s="952"/>
      <c r="B5083" s="953"/>
      <c r="C5083" s="953"/>
      <c r="D5083" s="953"/>
      <c r="E5083" s="953"/>
      <c r="F5083" s="953"/>
      <c r="G5083" s="953"/>
      <c r="H5083" s="953"/>
    </row>
    <row r="5084" spans="1:8" s="943" customFormat="1" x14ac:dyDescent="0.25">
      <c r="A5084" s="952"/>
      <c r="B5084" s="953"/>
      <c r="C5084" s="953"/>
      <c r="D5084" s="953"/>
      <c r="E5084" s="953"/>
      <c r="F5084" s="953"/>
      <c r="G5084" s="953"/>
      <c r="H5084" s="953"/>
    </row>
    <row r="5085" spans="1:8" s="943" customFormat="1" x14ac:dyDescent="0.25">
      <c r="A5085" s="952"/>
      <c r="B5085" s="953"/>
      <c r="C5085" s="953"/>
      <c r="D5085" s="953"/>
      <c r="E5085" s="953"/>
      <c r="F5085" s="953"/>
      <c r="G5085" s="953"/>
      <c r="H5085" s="953"/>
    </row>
    <row r="5086" spans="1:8" s="943" customFormat="1" x14ac:dyDescent="0.25">
      <c r="A5086" s="952"/>
      <c r="B5086" s="953"/>
      <c r="C5086" s="953"/>
      <c r="D5086" s="953"/>
      <c r="E5086" s="953"/>
      <c r="F5086" s="953"/>
      <c r="G5086" s="953"/>
      <c r="H5086" s="953"/>
    </row>
    <row r="5087" spans="1:8" s="943" customFormat="1" x14ac:dyDescent="0.25">
      <c r="A5087" s="952"/>
      <c r="B5087" s="953"/>
      <c r="C5087" s="953"/>
      <c r="D5087" s="953"/>
      <c r="E5087" s="953"/>
      <c r="F5087" s="953"/>
      <c r="G5087" s="953"/>
      <c r="H5087" s="953"/>
    </row>
    <row r="5088" spans="1:8" s="943" customFormat="1" x14ac:dyDescent="0.25">
      <c r="A5088" s="952"/>
      <c r="B5088" s="953"/>
      <c r="C5088" s="953"/>
      <c r="D5088" s="953"/>
      <c r="E5088" s="953"/>
      <c r="F5088" s="953"/>
      <c r="G5088" s="953"/>
      <c r="H5088" s="953"/>
    </row>
    <row r="5089" spans="1:8" s="943" customFormat="1" x14ac:dyDescent="0.25">
      <c r="A5089" s="952"/>
      <c r="B5089" s="953"/>
      <c r="C5089" s="953"/>
      <c r="D5089" s="953"/>
      <c r="E5089" s="953"/>
      <c r="F5089" s="953"/>
      <c r="G5089" s="953"/>
      <c r="H5089" s="953"/>
    </row>
    <row r="5090" spans="1:8" s="943" customFormat="1" x14ac:dyDescent="0.25">
      <c r="A5090" s="952"/>
      <c r="B5090" s="953"/>
      <c r="C5090" s="953"/>
      <c r="D5090" s="953"/>
      <c r="E5090" s="953"/>
      <c r="F5090" s="953"/>
      <c r="G5090" s="953"/>
      <c r="H5090" s="953"/>
    </row>
    <row r="5091" spans="1:8" s="943" customFormat="1" x14ac:dyDescent="0.25">
      <c r="A5091" s="952"/>
      <c r="B5091" s="953"/>
      <c r="C5091" s="953"/>
      <c r="D5091" s="953"/>
      <c r="E5091" s="953"/>
      <c r="F5091" s="953"/>
      <c r="G5091" s="953"/>
      <c r="H5091" s="953"/>
    </row>
    <row r="5092" spans="1:8" s="943" customFormat="1" x14ac:dyDescent="0.25">
      <c r="A5092" s="952"/>
      <c r="B5092" s="953"/>
      <c r="C5092" s="953"/>
      <c r="D5092" s="953"/>
      <c r="E5092" s="953"/>
      <c r="F5092" s="953"/>
      <c r="G5092" s="953"/>
      <c r="H5092" s="953"/>
    </row>
    <row r="5093" spans="1:8" s="943" customFormat="1" x14ac:dyDescent="0.25">
      <c r="A5093" s="952"/>
      <c r="B5093" s="953"/>
      <c r="C5093" s="953"/>
      <c r="D5093" s="953"/>
      <c r="E5093" s="953"/>
      <c r="F5093" s="953"/>
      <c r="G5093" s="953"/>
      <c r="H5093" s="953"/>
    </row>
    <row r="5094" spans="1:8" s="943" customFormat="1" x14ac:dyDescent="0.25">
      <c r="A5094" s="952"/>
      <c r="B5094" s="953"/>
      <c r="C5094" s="953"/>
      <c r="D5094" s="953"/>
      <c r="E5094" s="953"/>
      <c r="F5094" s="953"/>
      <c r="G5094" s="953"/>
      <c r="H5094" s="953"/>
    </row>
    <row r="5095" spans="1:8" s="943" customFormat="1" x14ac:dyDescent="0.25">
      <c r="A5095" s="952"/>
      <c r="B5095" s="953"/>
      <c r="C5095" s="953"/>
      <c r="D5095" s="953"/>
      <c r="E5095" s="953"/>
      <c r="F5095" s="953"/>
      <c r="G5095" s="953"/>
      <c r="H5095" s="953"/>
    </row>
    <row r="5096" spans="1:8" s="943" customFormat="1" x14ac:dyDescent="0.25">
      <c r="A5096" s="952"/>
      <c r="B5096" s="953"/>
      <c r="C5096" s="953"/>
      <c r="D5096" s="953"/>
      <c r="E5096" s="953"/>
      <c r="F5096" s="953"/>
      <c r="G5096" s="953"/>
      <c r="H5096" s="953"/>
    </row>
    <row r="5097" spans="1:8" s="943" customFormat="1" x14ac:dyDescent="0.25">
      <c r="A5097" s="952"/>
      <c r="B5097" s="953"/>
      <c r="C5097" s="953"/>
      <c r="D5097" s="953"/>
      <c r="E5097" s="953"/>
      <c r="F5097" s="953"/>
      <c r="G5097" s="953"/>
      <c r="H5097" s="953"/>
    </row>
    <row r="5098" spans="1:8" s="943" customFormat="1" x14ac:dyDescent="0.25">
      <c r="A5098" s="952"/>
      <c r="B5098" s="953"/>
      <c r="C5098" s="953"/>
      <c r="D5098" s="953"/>
      <c r="E5098" s="953"/>
      <c r="F5098" s="953"/>
      <c r="G5098" s="953"/>
      <c r="H5098" s="953"/>
    </row>
    <row r="5099" spans="1:8" s="943" customFormat="1" x14ac:dyDescent="0.25">
      <c r="A5099" s="952"/>
      <c r="B5099" s="953"/>
      <c r="C5099" s="953"/>
      <c r="D5099" s="953"/>
      <c r="E5099" s="953"/>
      <c r="F5099" s="953"/>
      <c r="G5099" s="953"/>
      <c r="H5099" s="953"/>
    </row>
    <row r="5100" spans="1:8" s="943" customFormat="1" x14ac:dyDescent="0.25">
      <c r="A5100" s="952"/>
      <c r="B5100" s="953"/>
      <c r="C5100" s="953"/>
      <c r="D5100" s="953"/>
      <c r="E5100" s="953"/>
      <c r="F5100" s="953"/>
      <c r="G5100" s="953"/>
      <c r="H5100" s="953"/>
    </row>
    <row r="5101" spans="1:8" s="943" customFormat="1" x14ac:dyDescent="0.25">
      <c r="A5101" s="952"/>
      <c r="B5101" s="953"/>
      <c r="C5101" s="953"/>
      <c r="D5101" s="953"/>
      <c r="E5101" s="953"/>
      <c r="F5101" s="953"/>
      <c r="G5101" s="953"/>
      <c r="H5101" s="953"/>
    </row>
    <row r="5102" spans="1:8" s="943" customFormat="1" x14ac:dyDescent="0.25">
      <c r="A5102" s="952"/>
      <c r="B5102" s="953"/>
      <c r="C5102" s="953"/>
      <c r="D5102" s="953"/>
      <c r="E5102" s="953"/>
      <c r="F5102" s="953"/>
      <c r="G5102" s="953"/>
      <c r="H5102" s="953"/>
    </row>
    <row r="5103" spans="1:8" s="943" customFormat="1" x14ac:dyDescent="0.25">
      <c r="A5103" s="952"/>
      <c r="B5103" s="953"/>
      <c r="C5103" s="953"/>
      <c r="D5103" s="953"/>
      <c r="E5103" s="953"/>
      <c r="F5103" s="953"/>
      <c r="G5103" s="953"/>
      <c r="H5103" s="953"/>
    </row>
    <row r="5104" spans="1:8" s="943" customFormat="1" x14ac:dyDescent="0.25">
      <c r="A5104" s="952"/>
      <c r="B5104" s="953"/>
      <c r="C5104" s="953"/>
      <c r="D5104" s="953"/>
      <c r="E5104" s="953"/>
      <c r="F5104" s="953"/>
      <c r="G5104" s="953"/>
      <c r="H5104" s="953"/>
    </row>
    <row r="5105" spans="1:8" s="943" customFormat="1" x14ac:dyDescent="0.25">
      <c r="A5105" s="952"/>
      <c r="B5105" s="953"/>
      <c r="C5105" s="953"/>
      <c r="D5105" s="953"/>
      <c r="E5105" s="953"/>
      <c r="F5105" s="953"/>
      <c r="G5105" s="953"/>
      <c r="H5105" s="953"/>
    </row>
    <row r="5106" spans="1:8" s="943" customFormat="1" x14ac:dyDescent="0.25">
      <c r="A5106" s="952"/>
      <c r="B5106" s="953"/>
      <c r="C5106" s="953"/>
      <c r="D5106" s="953"/>
      <c r="E5106" s="953"/>
      <c r="F5106" s="953"/>
      <c r="G5106" s="953"/>
      <c r="H5106" s="953"/>
    </row>
    <row r="5107" spans="1:8" s="943" customFormat="1" x14ac:dyDescent="0.25">
      <c r="A5107" s="952"/>
      <c r="B5107" s="953"/>
      <c r="C5107" s="953"/>
      <c r="D5107" s="953"/>
      <c r="E5107" s="953"/>
      <c r="F5107" s="953"/>
      <c r="G5107" s="953"/>
      <c r="H5107" s="953"/>
    </row>
    <row r="5108" spans="1:8" s="943" customFormat="1" x14ac:dyDescent="0.25">
      <c r="A5108" s="952"/>
      <c r="B5108" s="953"/>
      <c r="C5108" s="953"/>
      <c r="D5108" s="953"/>
      <c r="E5108" s="953"/>
      <c r="F5108" s="953"/>
      <c r="G5108" s="953"/>
      <c r="H5108" s="953"/>
    </row>
    <row r="5109" spans="1:8" s="943" customFormat="1" x14ac:dyDescent="0.25">
      <c r="A5109" s="952"/>
      <c r="B5109" s="953"/>
      <c r="C5109" s="953"/>
      <c r="D5109" s="953"/>
      <c r="E5109" s="953"/>
      <c r="F5109" s="953"/>
      <c r="G5109" s="953"/>
      <c r="H5109" s="953"/>
    </row>
    <row r="5110" spans="1:8" s="943" customFormat="1" x14ac:dyDescent="0.25">
      <c r="A5110" s="952"/>
      <c r="B5110" s="953"/>
      <c r="C5110" s="953"/>
      <c r="D5110" s="953"/>
      <c r="E5110" s="953"/>
      <c r="F5110" s="953"/>
      <c r="G5110" s="953"/>
      <c r="H5110" s="953"/>
    </row>
    <row r="5111" spans="1:8" s="943" customFormat="1" x14ac:dyDescent="0.25">
      <c r="A5111" s="952"/>
      <c r="B5111" s="953"/>
      <c r="C5111" s="953"/>
      <c r="D5111" s="953"/>
      <c r="E5111" s="953"/>
      <c r="F5111" s="953"/>
      <c r="G5111" s="953"/>
      <c r="H5111" s="953"/>
    </row>
    <row r="5112" spans="1:8" s="943" customFormat="1" x14ac:dyDescent="0.25">
      <c r="A5112" s="952"/>
      <c r="B5112" s="953"/>
      <c r="C5112" s="953"/>
      <c r="D5112" s="953"/>
      <c r="E5112" s="953"/>
      <c r="F5112" s="953"/>
      <c r="G5112" s="953"/>
      <c r="H5112" s="953"/>
    </row>
    <row r="5113" spans="1:8" s="943" customFormat="1" x14ac:dyDescent="0.25">
      <c r="A5113" s="952"/>
      <c r="B5113" s="953"/>
      <c r="C5113" s="953"/>
      <c r="D5113" s="953"/>
      <c r="E5113" s="953"/>
      <c r="F5113" s="953"/>
      <c r="G5113" s="953"/>
      <c r="H5113" s="953"/>
    </row>
    <row r="5114" spans="1:8" s="943" customFormat="1" x14ac:dyDescent="0.25">
      <c r="A5114" s="952"/>
      <c r="B5114" s="953"/>
      <c r="C5114" s="953"/>
      <c r="D5114" s="953"/>
      <c r="E5114" s="953"/>
      <c r="F5114" s="953"/>
      <c r="G5114" s="953"/>
      <c r="H5114" s="953"/>
    </row>
    <row r="5115" spans="1:8" s="943" customFormat="1" x14ac:dyDescent="0.25">
      <c r="A5115" s="952"/>
      <c r="B5115" s="953"/>
      <c r="C5115" s="953"/>
      <c r="D5115" s="953"/>
      <c r="E5115" s="953"/>
      <c r="F5115" s="953"/>
      <c r="G5115" s="953"/>
      <c r="H5115" s="953"/>
    </row>
    <row r="5116" spans="1:8" s="943" customFormat="1" x14ac:dyDescent="0.25">
      <c r="A5116" s="952"/>
      <c r="B5116" s="953"/>
      <c r="C5116" s="953"/>
      <c r="D5116" s="953"/>
      <c r="E5116" s="953"/>
      <c r="F5116" s="953"/>
      <c r="G5116" s="953"/>
      <c r="H5116" s="953"/>
    </row>
    <row r="5117" spans="1:8" s="943" customFormat="1" x14ac:dyDescent="0.25">
      <c r="A5117" s="952"/>
      <c r="B5117" s="953"/>
      <c r="C5117" s="953"/>
      <c r="D5117" s="953"/>
      <c r="E5117" s="953"/>
      <c r="F5117" s="953"/>
      <c r="G5117" s="953"/>
      <c r="H5117" s="953"/>
    </row>
    <row r="5118" spans="1:8" s="943" customFormat="1" x14ac:dyDescent="0.25">
      <c r="A5118" s="952"/>
      <c r="B5118" s="953"/>
      <c r="C5118" s="953"/>
      <c r="D5118" s="953"/>
      <c r="E5118" s="953"/>
      <c r="F5118" s="953"/>
      <c r="G5118" s="953"/>
      <c r="H5118" s="953"/>
    </row>
    <row r="5119" spans="1:8" s="943" customFormat="1" x14ac:dyDescent="0.25">
      <c r="A5119" s="952"/>
      <c r="B5119" s="953"/>
      <c r="C5119" s="953"/>
      <c r="D5119" s="953"/>
      <c r="E5119" s="953"/>
      <c r="F5119" s="953"/>
      <c r="G5119" s="953"/>
      <c r="H5119" s="953"/>
    </row>
    <row r="5120" spans="1:8" s="943" customFormat="1" x14ac:dyDescent="0.25">
      <c r="A5120" s="952"/>
      <c r="B5120" s="953"/>
      <c r="C5120" s="953"/>
      <c r="D5120" s="953"/>
      <c r="E5120" s="953"/>
      <c r="F5120" s="953"/>
      <c r="G5120" s="953"/>
      <c r="H5120" s="953"/>
    </row>
    <row r="5121" spans="1:8" s="943" customFormat="1" x14ac:dyDescent="0.25">
      <c r="A5121" s="952"/>
      <c r="B5121" s="953"/>
      <c r="C5121" s="953"/>
      <c r="D5121" s="953"/>
      <c r="E5121" s="953"/>
      <c r="F5121" s="953"/>
      <c r="G5121" s="953"/>
      <c r="H5121" s="953"/>
    </row>
    <row r="5122" spans="1:8" s="943" customFormat="1" x14ac:dyDescent="0.25">
      <c r="A5122" s="952"/>
      <c r="B5122" s="953"/>
      <c r="C5122" s="953"/>
      <c r="D5122" s="953"/>
      <c r="E5122" s="953"/>
      <c r="F5122" s="953"/>
      <c r="G5122" s="953"/>
      <c r="H5122" s="953"/>
    </row>
    <row r="5123" spans="1:8" s="943" customFormat="1" x14ac:dyDescent="0.25">
      <c r="A5123" s="952"/>
      <c r="B5123" s="953"/>
      <c r="C5123" s="953"/>
      <c r="D5123" s="953"/>
      <c r="E5123" s="953"/>
      <c r="F5123" s="953"/>
      <c r="G5123" s="953"/>
      <c r="H5123" s="953"/>
    </row>
    <row r="5124" spans="1:8" s="943" customFormat="1" x14ac:dyDescent="0.25">
      <c r="A5124" s="952"/>
      <c r="B5124" s="953"/>
      <c r="C5124" s="953"/>
      <c r="D5124" s="953"/>
      <c r="E5124" s="953"/>
      <c r="F5124" s="953"/>
      <c r="G5124" s="953"/>
      <c r="H5124" s="953"/>
    </row>
    <row r="5125" spans="1:8" s="943" customFormat="1" x14ac:dyDescent="0.25">
      <c r="A5125" s="952"/>
      <c r="B5125" s="953"/>
      <c r="C5125" s="953"/>
      <c r="D5125" s="953"/>
      <c r="E5125" s="953"/>
      <c r="F5125" s="953"/>
      <c r="G5125" s="953"/>
      <c r="H5125" s="953"/>
    </row>
    <row r="5126" spans="1:8" s="943" customFormat="1" x14ac:dyDescent="0.25">
      <c r="A5126" s="952"/>
      <c r="B5126" s="953"/>
      <c r="C5126" s="953"/>
      <c r="D5126" s="953"/>
      <c r="E5126" s="953"/>
      <c r="F5126" s="953"/>
      <c r="G5126" s="953"/>
      <c r="H5126" s="953"/>
    </row>
    <row r="5127" spans="1:8" s="943" customFormat="1" x14ac:dyDescent="0.25">
      <c r="A5127" s="952"/>
      <c r="B5127" s="953"/>
      <c r="C5127" s="953"/>
      <c r="D5127" s="953"/>
      <c r="E5127" s="953"/>
      <c r="F5127" s="953"/>
      <c r="G5127" s="953"/>
      <c r="H5127" s="953"/>
    </row>
    <row r="5128" spans="1:8" s="943" customFormat="1" x14ac:dyDescent="0.25">
      <c r="A5128" s="952"/>
      <c r="B5128" s="953"/>
      <c r="C5128" s="953"/>
      <c r="D5128" s="953"/>
      <c r="E5128" s="953"/>
      <c r="F5128" s="953"/>
      <c r="G5128" s="953"/>
      <c r="H5128" s="953"/>
    </row>
    <row r="5129" spans="1:8" s="943" customFormat="1" x14ac:dyDescent="0.25">
      <c r="A5129" s="952"/>
      <c r="B5129" s="953"/>
      <c r="C5129" s="953"/>
      <c r="D5129" s="953"/>
      <c r="E5129" s="953"/>
      <c r="F5129" s="953"/>
      <c r="G5129" s="953"/>
      <c r="H5129" s="953"/>
    </row>
    <row r="5130" spans="1:8" s="943" customFormat="1" x14ac:dyDescent="0.25">
      <c r="A5130" s="952"/>
      <c r="B5130" s="953"/>
      <c r="C5130" s="953"/>
      <c r="D5130" s="953"/>
      <c r="E5130" s="953"/>
      <c r="F5130" s="953"/>
      <c r="G5130" s="953"/>
      <c r="H5130" s="953"/>
    </row>
    <row r="5131" spans="1:8" s="943" customFormat="1" x14ac:dyDescent="0.25">
      <c r="A5131" s="952"/>
      <c r="B5131" s="953"/>
      <c r="C5131" s="953"/>
      <c r="D5131" s="953"/>
      <c r="E5131" s="953"/>
      <c r="F5131" s="953"/>
      <c r="G5131" s="953"/>
      <c r="H5131" s="953"/>
    </row>
    <row r="5132" spans="1:8" s="943" customFormat="1" x14ac:dyDescent="0.25">
      <c r="A5132" s="952"/>
      <c r="B5132" s="953"/>
      <c r="C5132" s="953"/>
      <c r="D5132" s="953"/>
      <c r="E5132" s="953"/>
      <c r="F5132" s="953"/>
      <c r="G5132" s="953"/>
      <c r="H5132" s="953"/>
    </row>
    <row r="5133" spans="1:8" s="943" customFormat="1" x14ac:dyDescent="0.25">
      <c r="A5133" s="952"/>
      <c r="B5133" s="953"/>
      <c r="C5133" s="953"/>
      <c r="D5133" s="953"/>
      <c r="E5133" s="953"/>
      <c r="F5133" s="953"/>
      <c r="G5133" s="953"/>
      <c r="H5133" s="953"/>
    </row>
    <row r="5134" spans="1:8" s="943" customFormat="1" x14ac:dyDescent="0.25">
      <c r="A5134" s="952"/>
      <c r="B5134" s="953"/>
      <c r="C5134" s="953"/>
      <c r="D5134" s="953"/>
      <c r="E5134" s="953"/>
      <c r="F5134" s="953"/>
      <c r="G5134" s="953"/>
      <c r="H5134" s="953"/>
    </row>
    <row r="5135" spans="1:8" s="943" customFormat="1" x14ac:dyDescent="0.25">
      <c r="A5135" s="952"/>
      <c r="B5135" s="953"/>
      <c r="C5135" s="953"/>
      <c r="D5135" s="953"/>
      <c r="E5135" s="953"/>
      <c r="F5135" s="953"/>
      <c r="G5135" s="953"/>
      <c r="H5135" s="953"/>
    </row>
    <row r="5136" spans="1:8" s="943" customFormat="1" x14ac:dyDescent="0.25">
      <c r="A5136" s="952"/>
      <c r="B5136" s="953"/>
      <c r="C5136" s="953"/>
      <c r="D5136" s="953"/>
      <c r="E5136" s="953"/>
      <c r="F5136" s="953"/>
      <c r="G5136" s="953"/>
      <c r="H5136" s="953"/>
    </row>
    <row r="5137" spans="1:8" s="943" customFormat="1" x14ac:dyDescent="0.25">
      <c r="A5137" s="952"/>
      <c r="B5137" s="953"/>
      <c r="C5137" s="953"/>
      <c r="D5137" s="953"/>
      <c r="E5137" s="953"/>
      <c r="F5137" s="953"/>
      <c r="G5137" s="953"/>
      <c r="H5137" s="953"/>
    </row>
    <row r="5138" spans="1:8" s="943" customFormat="1" x14ac:dyDescent="0.25">
      <c r="A5138" s="952"/>
      <c r="B5138" s="953"/>
      <c r="C5138" s="953"/>
      <c r="D5138" s="953"/>
      <c r="E5138" s="953"/>
      <c r="F5138" s="953"/>
      <c r="G5138" s="953"/>
      <c r="H5138" s="953"/>
    </row>
    <row r="5139" spans="1:8" s="943" customFormat="1" x14ac:dyDescent="0.25">
      <c r="A5139" s="952"/>
      <c r="B5139" s="953"/>
      <c r="C5139" s="953"/>
      <c r="D5139" s="953"/>
      <c r="E5139" s="953"/>
      <c r="F5139" s="953"/>
      <c r="G5139" s="953"/>
      <c r="H5139" s="953"/>
    </row>
    <row r="5140" spans="1:8" s="943" customFormat="1" x14ac:dyDescent="0.25">
      <c r="A5140" s="952"/>
      <c r="B5140" s="953"/>
      <c r="C5140" s="953"/>
      <c r="D5140" s="953"/>
      <c r="E5140" s="953"/>
      <c r="F5140" s="953"/>
      <c r="G5140" s="953"/>
      <c r="H5140" s="953"/>
    </row>
    <row r="5141" spans="1:8" s="943" customFormat="1" x14ac:dyDescent="0.25">
      <c r="A5141" s="952"/>
      <c r="B5141" s="953"/>
      <c r="C5141" s="953"/>
      <c r="D5141" s="953"/>
      <c r="E5141" s="953"/>
      <c r="F5141" s="953"/>
      <c r="G5141" s="953"/>
      <c r="H5141" s="953"/>
    </row>
    <row r="5142" spans="1:8" s="943" customFormat="1" x14ac:dyDescent="0.25">
      <c r="A5142" s="952"/>
      <c r="B5142" s="953"/>
      <c r="C5142" s="953"/>
      <c r="D5142" s="953"/>
      <c r="E5142" s="953"/>
      <c r="F5142" s="953"/>
      <c r="G5142" s="953"/>
      <c r="H5142" s="953"/>
    </row>
    <row r="5143" spans="1:8" s="943" customFormat="1" x14ac:dyDescent="0.25">
      <c r="A5143" s="952"/>
      <c r="B5143" s="953"/>
      <c r="C5143" s="953"/>
      <c r="D5143" s="953"/>
      <c r="E5143" s="953"/>
      <c r="F5143" s="953"/>
      <c r="G5143" s="953"/>
      <c r="H5143" s="953"/>
    </row>
    <row r="5144" spans="1:8" s="943" customFormat="1" x14ac:dyDescent="0.25">
      <c r="A5144" s="952"/>
      <c r="B5144" s="953"/>
      <c r="C5144" s="953"/>
      <c r="D5144" s="953"/>
      <c r="E5144" s="953"/>
      <c r="F5144" s="953"/>
      <c r="G5144" s="953"/>
      <c r="H5144" s="953"/>
    </row>
    <row r="5145" spans="1:8" s="943" customFormat="1" x14ac:dyDescent="0.25">
      <c r="A5145" s="952"/>
      <c r="B5145" s="953"/>
      <c r="C5145" s="953"/>
      <c r="D5145" s="953"/>
      <c r="E5145" s="953"/>
      <c r="F5145" s="953"/>
      <c r="G5145" s="953"/>
      <c r="H5145" s="953"/>
    </row>
    <row r="5146" spans="1:8" s="943" customFormat="1" x14ac:dyDescent="0.25">
      <c r="A5146" s="952"/>
      <c r="B5146" s="953"/>
      <c r="C5146" s="953"/>
      <c r="D5146" s="953"/>
      <c r="E5146" s="953"/>
      <c r="F5146" s="953"/>
      <c r="G5146" s="953"/>
      <c r="H5146" s="953"/>
    </row>
    <row r="5147" spans="1:8" s="943" customFormat="1" x14ac:dyDescent="0.25">
      <c r="A5147" s="952"/>
      <c r="B5147" s="953"/>
      <c r="C5147" s="953"/>
      <c r="D5147" s="953"/>
      <c r="E5147" s="953"/>
      <c r="F5147" s="953"/>
      <c r="G5147" s="953"/>
      <c r="H5147" s="953"/>
    </row>
    <row r="5148" spans="1:8" s="943" customFormat="1" x14ac:dyDescent="0.25">
      <c r="A5148" s="952"/>
      <c r="B5148" s="953"/>
      <c r="C5148" s="953"/>
      <c r="D5148" s="953"/>
      <c r="E5148" s="953"/>
      <c r="F5148" s="953"/>
      <c r="G5148" s="953"/>
      <c r="H5148" s="953"/>
    </row>
    <row r="5149" spans="1:8" s="943" customFormat="1" x14ac:dyDescent="0.25">
      <c r="A5149" s="952"/>
      <c r="B5149" s="953"/>
      <c r="C5149" s="953"/>
      <c r="D5149" s="953"/>
      <c r="E5149" s="953"/>
      <c r="F5149" s="953"/>
      <c r="G5149" s="953"/>
      <c r="H5149" s="953"/>
    </row>
    <row r="5150" spans="1:8" s="943" customFormat="1" x14ac:dyDescent="0.25">
      <c r="A5150" s="952"/>
      <c r="B5150" s="953"/>
      <c r="C5150" s="953"/>
      <c r="D5150" s="953"/>
      <c r="E5150" s="953"/>
      <c r="F5150" s="953"/>
      <c r="G5150" s="953"/>
      <c r="H5150" s="953"/>
    </row>
    <row r="5151" spans="1:8" s="943" customFormat="1" x14ac:dyDescent="0.25">
      <c r="A5151" s="952"/>
      <c r="B5151" s="953"/>
      <c r="C5151" s="953"/>
      <c r="D5151" s="953"/>
      <c r="E5151" s="953"/>
      <c r="F5151" s="953"/>
      <c r="G5151" s="953"/>
      <c r="H5151" s="953"/>
    </row>
    <row r="5152" spans="1:8" s="943" customFormat="1" x14ac:dyDescent="0.25">
      <c r="A5152" s="952"/>
      <c r="B5152" s="953"/>
      <c r="C5152" s="953"/>
      <c r="D5152" s="953"/>
      <c r="E5152" s="953"/>
      <c r="F5152" s="953"/>
      <c r="G5152" s="953"/>
      <c r="H5152" s="953"/>
    </row>
    <row r="5153" spans="1:8" s="943" customFormat="1" x14ac:dyDescent="0.25">
      <c r="A5153" s="952"/>
      <c r="B5153" s="953"/>
      <c r="C5153" s="953"/>
      <c r="D5153" s="953"/>
      <c r="E5153" s="953"/>
      <c r="F5153" s="953"/>
      <c r="G5153" s="953"/>
      <c r="H5153" s="953"/>
    </row>
    <row r="5154" spans="1:8" s="943" customFormat="1" x14ac:dyDescent="0.25">
      <c r="A5154" s="952"/>
      <c r="B5154" s="953"/>
      <c r="C5154" s="953"/>
      <c r="D5154" s="953"/>
      <c r="E5154" s="953"/>
      <c r="F5154" s="953"/>
      <c r="G5154" s="953"/>
      <c r="H5154" s="953"/>
    </row>
    <row r="5155" spans="1:8" s="943" customFormat="1" x14ac:dyDescent="0.25">
      <c r="A5155" s="952"/>
      <c r="B5155" s="953"/>
      <c r="C5155" s="953"/>
      <c r="D5155" s="953"/>
      <c r="E5155" s="953"/>
      <c r="F5155" s="953"/>
      <c r="G5155" s="953"/>
      <c r="H5155" s="953"/>
    </row>
    <row r="5156" spans="1:8" s="943" customFormat="1" x14ac:dyDescent="0.25">
      <c r="A5156" s="952"/>
      <c r="B5156" s="953"/>
      <c r="C5156" s="953"/>
      <c r="D5156" s="953"/>
      <c r="E5156" s="953"/>
      <c r="F5156" s="953"/>
      <c r="G5156" s="953"/>
      <c r="H5156" s="953"/>
    </row>
    <row r="5157" spans="1:8" s="943" customFormat="1" x14ac:dyDescent="0.25">
      <c r="A5157" s="952"/>
      <c r="B5157" s="953"/>
      <c r="C5157" s="953"/>
      <c r="D5157" s="953"/>
      <c r="E5157" s="953"/>
      <c r="F5157" s="953"/>
      <c r="G5157" s="953"/>
      <c r="H5157" s="953"/>
    </row>
    <row r="5158" spans="1:8" s="943" customFormat="1" x14ac:dyDescent="0.25">
      <c r="A5158" s="952"/>
      <c r="B5158" s="953"/>
      <c r="C5158" s="953"/>
      <c r="D5158" s="953"/>
      <c r="E5158" s="953"/>
      <c r="F5158" s="953"/>
      <c r="G5158" s="953"/>
      <c r="H5158" s="953"/>
    </row>
    <row r="5159" spans="1:8" s="943" customFormat="1" x14ac:dyDescent="0.25">
      <c r="A5159" s="952"/>
      <c r="B5159" s="953"/>
      <c r="C5159" s="953"/>
      <c r="D5159" s="953"/>
      <c r="E5159" s="953"/>
      <c r="F5159" s="953"/>
      <c r="G5159" s="953"/>
      <c r="H5159" s="953"/>
    </row>
    <row r="5160" spans="1:8" s="943" customFormat="1" x14ac:dyDescent="0.25">
      <c r="A5160" s="952"/>
      <c r="B5160" s="953"/>
      <c r="C5160" s="953"/>
      <c r="D5160" s="953"/>
      <c r="E5160" s="953"/>
      <c r="F5160" s="953"/>
      <c r="G5160" s="953"/>
      <c r="H5160" s="953"/>
    </row>
    <row r="5161" spans="1:8" s="943" customFormat="1" x14ac:dyDescent="0.25">
      <c r="A5161" s="952"/>
      <c r="B5161" s="953"/>
      <c r="C5161" s="953"/>
      <c r="D5161" s="953"/>
      <c r="E5161" s="953"/>
      <c r="F5161" s="953"/>
      <c r="G5161" s="953"/>
      <c r="H5161" s="953"/>
    </row>
    <row r="5162" spans="1:8" s="943" customFormat="1" x14ac:dyDescent="0.25">
      <c r="A5162" s="952"/>
      <c r="B5162" s="953"/>
      <c r="C5162" s="953"/>
      <c r="D5162" s="953"/>
      <c r="E5162" s="953"/>
      <c r="F5162" s="953"/>
      <c r="G5162" s="953"/>
      <c r="H5162" s="953"/>
    </row>
    <row r="5163" spans="1:8" s="943" customFormat="1" x14ac:dyDescent="0.25">
      <c r="A5163" s="952"/>
      <c r="B5163" s="953"/>
      <c r="C5163" s="953"/>
      <c r="D5163" s="953"/>
      <c r="E5163" s="953"/>
      <c r="F5163" s="953"/>
      <c r="G5163" s="953"/>
      <c r="H5163" s="953"/>
    </row>
    <row r="5164" spans="1:8" s="943" customFormat="1" x14ac:dyDescent="0.25">
      <c r="A5164" s="952"/>
      <c r="B5164" s="953"/>
      <c r="C5164" s="953"/>
      <c r="D5164" s="953"/>
      <c r="E5164" s="953"/>
      <c r="F5164" s="953"/>
      <c r="G5164" s="953"/>
      <c r="H5164" s="953"/>
    </row>
    <row r="5165" spans="1:8" s="943" customFormat="1" x14ac:dyDescent="0.25">
      <c r="A5165" s="952"/>
      <c r="B5165" s="953"/>
      <c r="C5165" s="953"/>
      <c r="D5165" s="953"/>
      <c r="E5165" s="953"/>
      <c r="F5165" s="953"/>
      <c r="G5165" s="953"/>
      <c r="H5165" s="953"/>
    </row>
    <row r="5166" spans="1:8" s="943" customFormat="1" x14ac:dyDescent="0.25">
      <c r="A5166" s="952"/>
      <c r="B5166" s="953"/>
      <c r="C5166" s="953"/>
      <c r="D5166" s="953"/>
      <c r="E5166" s="953"/>
      <c r="F5166" s="953"/>
      <c r="G5166" s="953"/>
      <c r="H5166" s="953"/>
    </row>
    <row r="5167" spans="1:8" s="943" customFormat="1" x14ac:dyDescent="0.25">
      <c r="A5167" s="952"/>
      <c r="B5167" s="953"/>
      <c r="C5167" s="953"/>
      <c r="D5167" s="953"/>
      <c r="E5167" s="953"/>
      <c r="F5167" s="953"/>
      <c r="G5167" s="953"/>
      <c r="H5167" s="953"/>
    </row>
    <row r="5168" spans="1:8" s="943" customFormat="1" x14ac:dyDescent="0.25">
      <c r="A5168" s="952"/>
      <c r="B5168" s="953"/>
      <c r="C5168" s="953"/>
      <c r="D5168" s="953"/>
      <c r="E5168" s="953"/>
      <c r="F5168" s="953"/>
      <c r="G5168" s="953"/>
      <c r="H5168" s="953"/>
    </row>
    <row r="5169" spans="1:8" s="943" customFormat="1" x14ac:dyDescent="0.25">
      <c r="A5169" s="952"/>
      <c r="B5169" s="953"/>
      <c r="C5169" s="953"/>
      <c r="D5169" s="953"/>
      <c r="E5169" s="953"/>
      <c r="F5169" s="953"/>
      <c r="G5169" s="953"/>
      <c r="H5169" s="953"/>
    </row>
    <row r="5170" spans="1:8" s="943" customFormat="1" x14ac:dyDescent="0.25">
      <c r="A5170" s="952"/>
      <c r="B5170" s="953"/>
      <c r="C5170" s="953"/>
      <c r="D5170" s="953"/>
      <c r="E5170" s="953"/>
      <c r="F5170" s="953"/>
      <c r="G5170" s="953"/>
      <c r="H5170" s="953"/>
    </row>
    <row r="5171" spans="1:8" s="943" customFormat="1" x14ac:dyDescent="0.25">
      <c r="A5171" s="952"/>
      <c r="B5171" s="953"/>
      <c r="C5171" s="953"/>
      <c r="D5171" s="953"/>
      <c r="E5171" s="953"/>
      <c r="F5171" s="953"/>
      <c r="G5171" s="953"/>
      <c r="H5171" s="953"/>
    </row>
    <row r="5172" spans="1:8" s="943" customFormat="1" x14ac:dyDescent="0.25">
      <c r="A5172" s="952"/>
      <c r="B5172" s="953"/>
      <c r="C5172" s="953"/>
      <c r="D5172" s="953"/>
      <c r="E5172" s="953"/>
      <c r="F5172" s="953"/>
      <c r="G5172" s="953"/>
      <c r="H5172" s="953"/>
    </row>
    <row r="5173" spans="1:8" s="943" customFormat="1" x14ac:dyDescent="0.25">
      <c r="A5173" s="952"/>
      <c r="B5173" s="953"/>
      <c r="C5173" s="953"/>
      <c r="D5173" s="953"/>
      <c r="E5173" s="953"/>
      <c r="F5173" s="953"/>
      <c r="G5173" s="953"/>
      <c r="H5173" s="953"/>
    </row>
    <row r="5174" spans="1:8" s="943" customFormat="1" x14ac:dyDescent="0.25">
      <c r="A5174" s="952"/>
      <c r="B5174" s="953"/>
      <c r="C5174" s="953"/>
      <c r="D5174" s="953"/>
      <c r="E5174" s="953"/>
      <c r="F5174" s="953"/>
      <c r="G5174" s="953"/>
      <c r="H5174" s="953"/>
    </row>
    <row r="5175" spans="1:8" s="943" customFormat="1" x14ac:dyDescent="0.25">
      <c r="A5175" s="952"/>
      <c r="B5175" s="953"/>
      <c r="C5175" s="953"/>
      <c r="D5175" s="953"/>
      <c r="E5175" s="953"/>
      <c r="F5175" s="953"/>
      <c r="G5175" s="953"/>
      <c r="H5175" s="953"/>
    </row>
    <row r="5176" spans="1:8" s="943" customFormat="1" x14ac:dyDescent="0.25">
      <c r="A5176" s="952"/>
      <c r="B5176" s="953"/>
      <c r="C5176" s="953"/>
      <c r="D5176" s="953"/>
      <c r="E5176" s="953"/>
      <c r="F5176" s="953"/>
      <c r="G5176" s="953"/>
      <c r="H5176" s="953"/>
    </row>
    <row r="5177" spans="1:8" s="943" customFormat="1" x14ac:dyDescent="0.25">
      <c r="A5177" s="952"/>
      <c r="B5177" s="953"/>
      <c r="C5177" s="953"/>
      <c r="D5177" s="953"/>
      <c r="E5177" s="953"/>
      <c r="F5177" s="953"/>
      <c r="G5177" s="953"/>
      <c r="H5177" s="953"/>
    </row>
    <row r="5178" spans="1:8" s="943" customFormat="1" x14ac:dyDescent="0.25">
      <c r="A5178" s="952"/>
      <c r="B5178" s="953"/>
      <c r="C5178" s="953"/>
      <c r="D5178" s="953"/>
      <c r="E5178" s="953"/>
      <c r="F5178" s="953"/>
      <c r="G5178" s="953"/>
      <c r="H5178" s="953"/>
    </row>
    <row r="5179" spans="1:8" s="943" customFormat="1" x14ac:dyDescent="0.25">
      <c r="A5179" s="952"/>
      <c r="B5179" s="953"/>
      <c r="C5179" s="953"/>
      <c r="D5179" s="953"/>
      <c r="E5179" s="953"/>
      <c r="F5179" s="953"/>
      <c r="G5179" s="953"/>
      <c r="H5179" s="953"/>
    </row>
    <row r="5180" spans="1:8" s="943" customFormat="1" x14ac:dyDescent="0.25">
      <c r="A5180" s="952"/>
      <c r="B5180" s="953"/>
      <c r="C5180" s="953"/>
      <c r="D5180" s="953"/>
      <c r="E5180" s="953"/>
      <c r="F5180" s="953"/>
      <c r="G5180" s="953"/>
      <c r="H5180" s="953"/>
    </row>
    <row r="5181" spans="1:8" s="943" customFormat="1" x14ac:dyDescent="0.25">
      <c r="A5181" s="952"/>
      <c r="B5181" s="953"/>
      <c r="C5181" s="953"/>
      <c r="D5181" s="953"/>
      <c r="E5181" s="953"/>
      <c r="F5181" s="953"/>
      <c r="G5181" s="953"/>
      <c r="H5181" s="953"/>
    </row>
    <row r="5182" spans="1:8" s="943" customFormat="1" x14ac:dyDescent="0.25">
      <c r="A5182" s="952"/>
      <c r="B5182" s="953"/>
      <c r="C5182" s="953"/>
      <c r="D5182" s="953"/>
      <c r="E5182" s="953"/>
      <c r="F5182" s="953"/>
      <c r="G5182" s="953"/>
      <c r="H5182" s="953"/>
    </row>
    <row r="5183" spans="1:8" s="943" customFormat="1" x14ac:dyDescent="0.25">
      <c r="A5183" s="952"/>
      <c r="B5183" s="953"/>
      <c r="C5183" s="953"/>
      <c r="D5183" s="953"/>
      <c r="E5183" s="953"/>
      <c r="F5183" s="953"/>
      <c r="G5183" s="953"/>
      <c r="H5183" s="953"/>
    </row>
    <row r="5184" spans="1:8" s="943" customFormat="1" x14ac:dyDescent="0.25">
      <c r="A5184" s="952"/>
      <c r="B5184" s="953"/>
      <c r="C5184" s="953"/>
      <c r="D5184" s="953"/>
      <c r="E5184" s="953"/>
      <c r="F5184" s="953"/>
      <c r="G5184" s="953"/>
      <c r="H5184" s="953"/>
    </row>
    <row r="5185" spans="1:8" s="943" customFormat="1" x14ac:dyDescent="0.25">
      <c r="A5185" s="952"/>
      <c r="B5185" s="953"/>
      <c r="C5185" s="953"/>
      <c r="D5185" s="953"/>
      <c r="E5185" s="953"/>
      <c r="F5185" s="953"/>
      <c r="G5185" s="953"/>
      <c r="H5185" s="953"/>
    </row>
    <row r="5186" spans="1:8" s="943" customFormat="1" x14ac:dyDescent="0.25">
      <c r="A5186" s="952"/>
      <c r="B5186" s="953"/>
      <c r="C5186" s="953"/>
      <c r="D5186" s="953"/>
      <c r="E5186" s="953"/>
      <c r="F5186" s="953"/>
      <c r="G5186" s="953"/>
      <c r="H5186" s="953"/>
    </row>
    <row r="5187" spans="1:8" s="943" customFormat="1" x14ac:dyDescent="0.25">
      <c r="A5187" s="952"/>
      <c r="B5187" s="953"/>
      <c r="C5187" s="953"/>
      <c r="D5187" s="953"/>
      <c r="E5187" s="953"/>
      <c r="F5187" s="953"/>
      <c r="G5187" s="953"/>
      <c r="H5187" s="953"/>
    </row>
    <row r="5188" spans="1:8" s="943" customFormat="1" x14ac:dyDescent="0.25">
      <c r="A5188" s="952"/>
      <c r="B5188" s="953"/>
      <c r="C5188" s="953"/>
      <c r="D5188" s="953"/>
      <c r="E5188" s="953"/>
      <c r="F5188" s="953"/>
      <c r="G5188" s="953"/>
      <c r="H5188" s="953"/>
    </row>
    <row r="5189" spans="1:8" s="943" customFormat="1" x14ac:dyDescent="0.25">
      <c r="A5189" s="952"/>
      <c r="B5189" s="953"/>
      <c r="C5189" s="953"/>
      <c r="D5189" s="953"/>
      <c r="E5189" s="953"/>
      <c r="F5189" s="953"/>
      <c r="G5189" s="953"/>
      <c r="H5189" s="953"/>
    </row>
    <row r="5190" spans="1:8" s="943" customFormat="1" x14ac:dyDescent="0.25">
      <c r="A5190" s="952"/>
      <c r="B5190" s="953"/>
      <c r="C5190" s="953"/>
      <c r="D5190" s="953"/>
      <c r="E5190" s="953"/>
      <c r="F5190" s="953"/>
      <c r="G5190" s="953"/>
      <c r="H5190" s="953"/>
    </row>
    <row r="5191" spans="1:8" s="943" customFormat="1" x14ac:dyDescent="0.25">
      <c r="A5191" s="952"/>
      <c r="B5191" s="953"/>
      <c r="C5191" s="953"/>
      <c r="D5191" s="953"/>
      <c r="E5191" s="953"/>
      <c r="F5191" s="953"/>
      <c r="G5191" s="953"/>
      <c r="H5191" s="953"/>
    </row>
    <row r="5192" spans="1:8" s="943" customFormat="1" x14ac:dyDescent="0.25">
      <c r="A5192" s="952"/>
      <c r="B5192" s="953"/>
      <c r="C5192" s="953"/>
      <c r="D5192" s="953"/>
      <c r="E5192" s="953"/>
      <c r="F5192" s="953"/>
      <c r="G5192" s="953"/>
      <c r="H5192" s="953"/>
    </row>
    <row r="5193" spans="1:8" s="943" customFormat="1" x14ac:dyDescent="0.25">
      <c r="A5193" s="952"/>
      <c r="B5193" s="953"/>
      <c r="C5193" s="953"/>
      <c r="D5193" s="953"/>
      <c r="E5193" s="953"/>
      <c r="F5193" s="953"/>
      <c r="G5193" s="953"/>
      <c r="H5193" s="953"/>
    </row>
    <row r="5194" spans="1:8" s="943" customFormat="1" x14ac:dyDescent="0.25">
      <c r="A5194" s="952"/>
      <c r="B5194" s="953"/>
      <c r="C5194" s="953"/>
      <c r="D5194" s="953"/>
      <c r="E5194" s="953"/>
      <c r="F5194" s="953"/>
      <c r="G5194" s="953"/>
      <c r="H5194" s="953"/>
    </row>
    <row r="5195" spans="1:8" s="943" customFormat="1" x14ac:dyDescent="0.25">
      <c r="A5195" s="952"/>
      <c r="B5195" s="953"/>
      <c r="C5195" s="953"/>
      <c r="D5195" s="953"/>
      <c r="E5195" s="953"/>
      <c r="F5195" s="953"/>
      <c r="G5195" s="953"/>
      <c r="H5195" s="953"/>
    </row>
    <row r="5196" spans="1:8" s="943" customFormat="1" x14ac:dyDescent="0.25">
      <c r="A5196" s="952"/>
      <c r="B5196" s="953"/>
      <c r="C5196" s="953"/>
      <c r="D5196" s="953"/>
      <c r="E5196" s="953"/>
      <c r="F5196" s="953"/>
      <c r="G5196" s="953"/>
      <c r="H5196" s="953"/>
    </row>
    <row r="5197" spans="1:8" s="943" customFormat="1" x14ac:dyDescent="0.25">
      <c r="A5197" s="952"/>
      <c r="B5197" s="953"/>
      <c r="C5197" s="953"/>
      <c r="D5197" s="953"/>
      <c r="E5197" s="953"/>
      <c r="F5197" s="953"/>
      <c r="G5197" s="953"/>
      <c r="H5197" s="953"/>
    </row>
    <row r="5198" spans="1:8" s="943" customFormat="1" x14ac:dyDescent="0.25">
      <c r="A5198" s="952"/>
      <c r="B5198" s="953"/>
      <c r="C5198" s="953"/>
      <c r="D5198" s="953"/>
      <c r="E5198" s="953"/>
      <c r="F5198" s="953"/>
      <c r="G5198" s="953"/>
      <c r="H5198" s="953"/>
    </row>
    <row r="5199" spans="1:8" s="943" customFormat="1" x14ac:dyDescent="0.25">
      <c r="A5199" s="952"/>
      <c r="B5199" s="953"/>
      <c r="C5199" s="953"/>
      <c r="D5199" s="953"/>
      <c r="E5199" s="953"/>
      <c r="F5199" s="953"/>
      <c r="G5199" s="953"/>
      <c r="H5199" s="953"/>
    </row>
    <row r="5200" spans="1:8" s="943" customFormat="1" x14ac:dyDescent="0.25">
      <c r="A5200" s="952"/>
      <c r="B5200" s="953"/>
      <c r="C5200" s="953"/>
      <c r="D5200" s="953"/>
      <c r="E5200" s="953"/>
      <c r="F5200" s="953"/>
      <c r="G5200" s="953"/>
      <c r="H5200" s="953"/>
    </row>
    <row r="5201" spans="1:8" s="943" customFormat="1" x14ac:dyDescent="0.25">
      <c r="A5201" s="952"/>
      <c r="B5201" s="953"/>
      <c r="C5201" s="953"/>
      <c r="D5201" s="953"/>
      <c r="E5201" s="953"/>
      <c r="F5201" s="953"/>
      <c r="G5201" s="953"/>
      <c r="H5201" s="953"/>
    </row>
    <row r="5202" spans="1:8" s="943" customFormat="1" x14ac:dyDescent="0.25">
      <c r="A5202" s="952"/>
      <c r="B5202" s="953"/>
      <c r="C5202" s="953"/>
      <c r="D5202" s="953"/>
      <c r="E5202" s="953"/>
      <c r="F5202" s="953"/>
      <c r="G5202" s="953"/>
      <c r="H5202" s="953"/>
    </row>
    <row r="5203" spans="1:8" s="943" customFormat="1" x14ac:dyDescent="0.25">
      <c r="A5203" s="952"/>
      <c r="B5203" s="953"/>
      <c r="C5203" s="953"/>
      <c r="D5203" s="953"/>
      <c r="E5203" s="953"/>
      <c r="F5203" s="953"/>
      <c r="G5203" s="953"/>
      <c r="H5203" s="953"/>
    </row>
    <row r="5204" spans="1:8" s="943" customFormat="1" x14ac:dyDescent="0.25">
      <c r="A5204" s="952"/>
      <c r="B5204" s="953"/>
      <c r="C5204" s="953"/>
      <c r="D5204" s="953"/>
      <c r="E5204" s="953"/>
      <c r="F5204" s="953"/>
      <c r="G5204" s="953"/>
      <c r="H5204" s="953"/>
    </row>
    <row r="5205" spans="1:8" s="943" customFormat="1" x14ac:dyDescent="0.25">
      <c r="A5205" s="952"/>
      <c r="B5205" s="953"/>
      <c r="C5205" s="953"/>
      <c r="D5205" s="953"/>
      <c r="E5205" s="953"/>
      <c r="F5205" s="953"/>
      <c r="G5205" s="953"/>
      <c r="H5205" s="953"/>
    </row>
    <row r="5206" spans="1:8" s="943" customFormat="1" x14ac:dyDescent="0.25">
      <c r="A5206" s="952"/>
      <c r="B5206" s="953"/>
      <c r="C5206" s="953"/>
      <c r="D5206" s="953"/>
      <c r="E5206" s="953"/>
      <c r="F5206" s="953"/>
      <c r="G5206" s="953"/>
      <c r="H5206" s="953"/>
    </row>
    <row r="5207" spans="1:8" s="943" customFormat="1" x14ac:dyDescent="0.25">
      <c r="A5207" s="952"/>
      <c r="B5207" s="953"/>
      <c r="C5207" s="953"/>
      <c r="D5207" s="953"/>
      <c r="E5207" s="953"/>
      <c r="F5207" s="953"/>
      <c r="G5207" s="953"/>
      <c r="H5207" s="953"/>
    </row>
    <row r="5208" spans="1:8" s="943" customFormat="1" x14ac:dyDescent="0.25">
      <c r="A5208" s="952"/>
      <c r="B5208" s="953"/>
      <c r="C5208" s="953"/>
      <c r="D5208" s="953"/>
      <c r="E5208" s="953"/>
      <c r="F5208" s="953"/>
      <c r="G5208" s="953"/>
      <c r="H5208" s="953"/>
    </row>
    <row r="5209" spans="1:8" s="943" customFormat="1" x14ac:dyDescent="0.25">
      <c r="A5209" s="952"/>
      <c r="B5209" s="953"/>
      <c r="C5209" s="953"/>
      <c r="D5209" s="953"/>
      <c r="E5209" s="953"/>
      <c r="F5209" s="953"/>
      <c r="G5209" s="953"/>
      <c r="H5209" s="953"/>
    </row>
    <row r="5210" spans="1:8" s="943" customFormat="1" x14ac:dyDescent="0.25">
      <c r="A5210" s="952"/>
      <c r="B5210" s="953"/>
      <c r="C5210" s="953"/>
      <c r="D5210" s="953"/>
      <c r="E5210" s="953"/>
      <c r="F5210" s="953"/>
      <c r="G5210" s="953"/>
      <c r="H5210" s="953"/>
    </row>
    <row r="5211" spans="1:8" s="943" customFormat="1" x14ac:dyDescent="0.25">
      <c r="A5211" s="952"/>
      <c r="B5211" s="953"/>
      <c r="C5211" s="953"/>
      <c r="D5211" s="953"/>
      <c r="E5211" s="953"/>
      <c r="F5211" s="953"/>
      <c r="G5211" s="953"/>
      <c r="H5211" s="953"/>
    </row>
    <row r="5212" spans="1:8" s="943" customFormat="1" x14ac:dyDescent="0.25">
      <c r="A5212" s="952"/>
      <c r="B5212" s="953"/>
      <c r="C5212" s="953"/>
      <c r="D5212" s="953"/>
      <c r="E5212" s="953"/>
      <c r="F5212" s="953"/>
      <c r="G5212" s="953"/>
      <c r="H5212" s="953"/>
    </row>
    <row r="5213" spans="1:8" s="943" customFormat="1" x14ac:dyDescent="0.25">
      <c r="A5213" s="952"/>
      <c r="B5213" s="953"/>
      <c r="C5213" s="953"/>
      <c r="D5213" s="953"/>
      <c r="E5213" s="953"/>
      <c r="F5213" s="953"/>
      <c r="G5213" s="953"/>
      <c r="H5213" s="953"/>
    </row>
    <row r="5214" spans="1:8" s="943" customFormat="1" x14ac:dyDescent="0.25">
      <c r="A5214" s="952"/>
      <c r="B5214" s="953"/>
      <c r="C5214" s="953"/>
      <c r="D5214" s="953"/>
      <c r="E5214" s="953"/>
      <c r="F5214" s="953"/>
      <c r="G5214" s="953"/>
      <c r="H5214" s="953"/>
    </row>
    <row r="5215" spans="1:8" s="943" customFormat="1" x14ac:dyDescent="0.25">
      <c r="A5215" s="952"/>
      <c r="B5215" s="953"/>
      <c r="C5215" s="953"/>
      <c r="D5215" s="953"/>
      <c r="E5215" s="953"/>
      <c r="F5215" s="953"/>
      <c r="G5215" s="953"/>
      <c r="H5215" s="953"/>
    </row>
    <row r="5216" spans="1:8" s="943" customFormat="1" x14ac:dyDescent="0.25">
      <c r="A5216" s="952"/>
      <c r="B5216" s="953"/>
      <c r="C5216" s="953"/>
      <c r="D5216" s="953"/>
      <c r="E5216" s="953"/>
      <c r="F5216" s="953"/>
      <c r="G5216" s="953"/>
      <c r="H5216" s="953"/>
    </row>
    <row r="5217" spans="1:8" s="943" customFormat="1" x14ac:dyDescent="0.25">
      <c r="A5217" s="952"/>
      <c r="B5217" s="953"/>
      <c r="C5217" s="953"/>
      <c r="D5217" s="953"/>
      <c r="E5217" s="953"/>
      <c r="F5217" s="953"/>
      <c r="G5217" s="953"/>
      <c r="H5217" s="953"/>
    </row>
    <row r="5218" spans="1:8" s="943" customFormat="1" x14ac:dyDescent="0.25">
      <c r="A5218" s="952"/>
      <c r="B5218" s="953"/>
      <c r="C5218" s="953"/>
      <c r="D5218" s="953"/>
      <c r="E5218" s="953"/>
      <c r="F5218" s="953"/>
      <c r="G5218" s="953"/>
      <c r="H5218" s="953"/>
    </row>
    <row r="5219" spans="1:8" s="943" customFormat="1" x14ac:dyDescent="0.25">
      <c r="A5219" s="952"/>
      <c r="B5219" s="953"/>
      <c r="C5219" s="953"/>
      <c r="D5219" s="953"/>
      <c r="E5219" s="953"/>
      <c r="F5219" s="953"/>
      <c r="G5219" s="953"/>
      <c r="H5219" s="953"/>
    </row>
    <row r="5220" spans="1:8" s="943" customFormat="1" x14ac:dyDescent="0.25">
      <c r="A5220" s="952"/>
      <c r="B5220" s="953"/>
      <c r="C5220" s="953"/>
      <c r="D5220" s="953"/>
      <c r="E5220" s="953"/>
      <c r="F5220" s="953"/>
      <c r="G5220" s="953"/>
      <c r="H5220" s="953"/>
    </row>
    <row r="5221" spans="1:8" s="943" customFormat="1" x14ac:dyDescent="0.25">
      <c r="A5221" s="952"/>
      <c r="B5221" s="953"/>
      <c r="C5221" s="953"/>
      <c r="D5221" s="953"/>
      <c r="E5221" s="953"/>
      <c r="F5221" s="953"/>
      <c r="G5221" s="953"/>
      <c r="H5221" s="953"/>
    </row>
    <row r="5222" spans="1:8" s="943" customFormat="1" x14ac:dyDescent="0.25">
      <c r="A5222" s="952"/>
      <c r="B5222" s="953"/>
      <c r="C5222" s="953"/>
      <c r="D5222" s="953"/>
      <c r="E5222" s="953"/>
      <c r="F5222" s="953"/>
      <c r="G5222" s="953"/>
      <c r="H5222" s="953"/>
    </row>
    <row r="5223" spans="1:8" s="943" customFormat="1" x14ac:dyDescent="0.25">
      <c r="A5223" s="952"/>
      <c r="B5223" s="953"/>
      <c r="C5223" s="953"/>
      <c r="D5223" s="953"/>
      <c r="E5223" s="953"/>
      <c r="F5223" s="953"/>
      <c r="G5223" s="953"/>
      <c r="H5223" s="953"/>
    </row>
    <row r="5224" spans="1:8" s="943" customFormat="1" x14ac:dyDescent="0.25">
      <c r="A5224" s="952"/>
      <c r="B5224" s="953"/>
      <c r="C5224" s="953"/>
      <c r="D5224" s="953"/>
      <c r="E5224" s="953"/>
      <c r="F5224" s="953"/>
      <c r="G5224" s="953"/>
      <c r="H5224" s="953"/>
    </row>
    <row r="5225" spans="1:8" s="943" customFormat="1" x14ac:dyDescent="0.25">
      <c r="A5225" s="952"/>
      <c r="B5225" s="953"/>
      <c r="C5225" s="953"/>
      <c r="D5225" s="953"/>
      <c r="E5225" s="953"/>
      <c r="F5225" s="953"/>
      <c r="G5225" s="953"/>
      <c r="H5225" s="953"/>
    </row>
    <row r="5226" spans="1:8" s="943" customFormat="1" x14ac:dyDescent="0.25">
      <c r="A5226" s="952"/>
      <c r="B5226" s="953"/>
      <c r="C5226" s="953"/>
      <c r="D5226" s="953"/>
      <c r="E5226" s="953"/>
      <c r="F5226" s="953"/>
      <c r="G5226" s="953"/>
      <c r="H5226" s="953"/>
    </row>
    <row r="5227" spans="1:8" s="943" customFormat="1" x14ac:dyDescent="0.25">
      <c r="A5227" s="952"/>
      <c r="B5227" s="953"/>
      <c r="C5227" s="953"/>
      <c r="D5227" s="953"/>
      <c r="E5227" s="953"/>
      <c r="F5227" s="953"/>
      <c r="G5227" s="953"/>
      <c r="H5227" s="953"/>
    </row>
    <row r="5228" spans="1:8" s="943" customFormat="1" x14ac:dyDescent="0.25">
      <c r="A5228" s="952"/>
      <c r="B5228" s="953"/>
      <c r="C5228" s="953"/>
      <c r="D5228" s="953"/>
      <c r="E5228" s="953"/>
      <c r="F5228" s="953"/>
      <c r="G5228" s="953"/>
      <c r="H5228" s="953"/>
    </row>
    <row r="5229" spans="1:8" s="943" customFormat="1" x14ac:dyDescent="0.25">
      <c r="A5229" s="952"/>
      <c r="B5229" s="953"/>
      <c r="C5229" s="953"/>
      <c r="D5229" s="953"/>
      <c r="E5229" s="953"/>
      <c r="F5229" s="953"/>
      <c r="G5229" s="953"/>
      <c r="H5229" s="953"/>
    </row>
    <row r="5230" spans="1:8" s="943" customFormat="1" x14ac:dyDescent="0.25">
      <c r="A5230" s="952"/>
      <c r="B5230" s="953"/>
      <c r="C5230" s="953"/>
      <c r="D5230" s="953"/>
      <c r="E5230" s="953"/>
      <c r="F5230" s="953"/>
      <c r="G5230" s="953"/>
      <c r="H5230" s="953"/>
    </row>
    <row r="5231" spans="1:8" s="943" customFormat="1" x14ac:dyDescent="0.25">
      <c r="A5231" s="952"/>
      <c r="B5231" s="953"/>
      <c r="C5231" s="953"/>
      <c r="D5231" s="953"/>
      <c r="E5231" s="953"/>
      <c r="F5231" s="953"/>
      <c r="G5231" s="953"/>
      <c r="H5231" s="953"/>
    </row>
    <row r="5232" spans="1:8" s="943" customFormat="1" x14ac:dyDescent="0.25">
      <c r="A5232" s="952"/>
      <c r="B5232" s="953"/>
      <c r="C5232" s="953"/>
      <c r="D5232" s="953"/>
      <c r="E5232" s="953"/>
      <c r="F5232" s="953"/>
      <c r="G5232" s="953"/>
      <c r="H5232" s="953"/>
    </row>
    <row r="5233" spans="1:8" s="943" customFormat="1" x14ac:dyDescent="0.25">
      <c r="A5233" s="952"/>
      <c r="B5233" s="953"/>
      <c r="C5233" s="953"/>
      <c r="D5233" s="953"/>
      <c r="E5233" s="953"/>
      <c r="F5233" s="953"/>
      <c r="G5233" s="953"/>
      <c r="H5233" s="953"/>
    </row>
    <row r="5234" spans="1:8" s="943" customFormat="1" x14ac:dyDescent="0.25">
      <c r="A5234" s="952"/>
      <c r="B5234" s="953"/>
      <c r="C5234" s="953"/>
      <c r="D5234" s="953"/>
      <c r="E5234" s="953"/>
      <c r="F5234" s="953"/>
      <c r="G5234" s="953"/>
      <c r="H5234" s="953"/>
    </row>
    <row r="5235" spans="1:8" s="943" customFormat="1" x14ac:dyDescent="0.25">
      <c r="A5235" s="952"/>
      <c r="B5235" s="953"/>
      <c r="C5235" s="953"/>
      <c r="D5235" s="953"/>
      <c r="E5235" s="953"/>
      <c r="F5235" s="953"/>
      <c r="G5235" s="953"/>
      <c r="H5235" s="953"/>
    </row>
    <row r="5236" spans="1:8" s="943" customFormat="1" x14ac:dyDescent="0.25">
      <c r="A5236" s="952"/>
      <c r="B5236" s="953"/>
      <c r="C5236" s="953"/>
      <c r="D5236" s="953"/>
      <c r="E5236" s="953"/>
      <c r="F5236" s="953"/>
      <c r="G5236" s="953"/>
      <c r="H5236" s="953"/>
    </row>
    <row r="5237" spans="1:8" s="943" customFormat="1" x14ac:dyDescent="0.25">
      <c r="A5237" s="952"/>
      <c r="B5237" s="953"/>
      <c r="C5237" s="953"/>
      <c r="D5237" s="953"/>
      <c r="E5237" s="953"/>
      <c r="F5237" s="953"/>
      <c r="G5237" s="953"/>
      <c r="H5237" s="953"/>
    </row>
    <row r="5238" spans="1:8" s="943" customFormat="1" x14ac:dyDescent="0.25">
      <c r="A5238" s="952"/>
      <c r="B5238" s="953"/>
      <c r="C5238" s="953"/>
      <c r="D5238" s="953"/>
      <c r="E5238" s="953"/>
      <c r="F5238" s="953"/>
      <c r="G5238" s="953"/>
      <c r="H5238" s="953"/>
    </row>
    <row r="5239" spans="1:8" s="943" customFormat="1" x14ac:dyDescent="0.25">
      <c r="A5239" s="952"/>
      <c r="B5239" s="953"/>
      <c r="C5239" s="953"/>
      <c r="D5239" s="953"/>
      <c r="E5239" s="953"/>
      <c r="F5239" s="953"/>
      <c r="G5239" s="953"/>
      <c r="H5239" s="953"/>
    </row>
    <row r="5240" spans="1:8" s="943" customFormat="1" x14ac:dyDescent="0.25">
      <c r="A5240" s="952"/>
      <c r="B5240" s="953"/>
      <c r="C5240" s="953"/>
      <c r="D5240" s="953"/>
      <c r="E5240" s="953"/>
      <c r="F5240" s="953"/>
      <c r="G5240" s="953"/>
      <c r="H5240" s="953"/>
    </row>
    <row r="5241" spans="1:8" s="943" customFormat="1" x14ac:dyDescent="0.25">
      <c r="A5241" s="952"/>
      <c r="B5241" s="953"/>
      <c r="C5241" s="953"/>
      <c r="D5241" s="953"/>
      <c r="E5241" s="953"/>
      <c r="F5241" s="953"/>
      <c r="G5241" s="953"/>
      <c r="H5241" s="953"/>
    </row>
    <row r="5242" spans="1:8" s="943" customFormat="1" x14ac:dyDescent="0.25">
      <c r="A5242" s="952"/>
      <c r="B5242" s="953"/>
      <c r="C5242" s="953"/>
      <c r="D5242" s="953"/>
      <c r="E5242" s="953"/>
      <c r="F5242" s="953"/>
      <c r="G5242" s="953"/>
      <c r="H5242" s="953"/>
    </row>
    <row r="5243" spans="1:8" s="943" customFormat="1" x14ac:dyDescent="0.25">
      <c r="A5243" s="952"/>
      <c r="B5243" s="953"/>
      <c r="C5243" s="953"/>
      <c r="D5243" s="953"/>
      <c r="E5243" s="953"/>
      <c r="F5243" s="953"/>
      <c r="G5243" s="953"/>
      <c r="H5243" s="953"/>
    </row>
    <row r="5244" spans="1:8" s="943" customFormat="1" x14ac:dyDescent="0.25">
      <c r="A5244" s="952"/>
      <c r="B5244" s="953"/>
      <c r="C5244" s="953"/>
      <c r="D5244" s="953"/>
      <c r="E5244" s="953"/>
      <c r="F5244" s="953"/>
      <c r="G5244" s="953"/>
      <c r="H5244" s="953"/>
    </row>
    <row r="5245" spans="1:8" s="943" customFormat="1" x14ac:dyDescent="0.25">
      <c r="A5245" s="952"/>
      <c r="B5245" s="953"/>
      <c r="C5245" s="953"/>
      <c r="D5245" s="953"/>
      <c r="E5245" s="953"/>
      <c r="F5245" s="953"/>
      <c r="G5245" s="953"/>
      <c r="H5245" s="953"/>
    </row>
    <row r="5246" spans="1:8" s="943" customFormat="1" x14ac:dyDescent="0.25">
      <c r="A5246" s="952"/>
      <c r="B5246" s="953"/>
      <c r="C5246" s="953"/>
      <c r="D5246" s="953"/>
      <c r="E5246" s="953"/>
      <c r="F5246" s="953"/>
      <c r="G5246" s="953"/>
      <c r="H5246" s="953"/>
    </row>
    <row r="5247" spans="1:8" s="943" customFormat="1" x14ac:dyDescent="0.25">
      <c r="A5247" s="952"/>
      <c r="B5247" s="953"/>
      <c r="C5247" s="953"/>
      <c r="D5247" s="953"/>
      <c r="E5247" s="953"/>
      <c r="F5247" s="953"/>
      <c r="G5247" s="953"/>
      <c r="H5247" s="953"/>
    </row>
    <row r="5248" spans="1:8" s="943" customFormat="1" x14ac:dyDescent="0.25">
      <c r="A5248" s="952"/>
      <c r="B5248" s="953"/>
      <c r="C5248" s="953"/>
      <c r="D5248" s="953"/>
      <c r="E5248" s="953"/>
      <c r="F5248" s="953"/>
      <c r="G5248" s="953"/>
      <c r="H5248" s="953"/>
    </row>
    <row r="5249" spans="1:8" s="943" customFormat="1" x14ac:dyDescent="0.25">
      <c r="A5249" s="952"/>
      <c r="B5249" s="953"/>
      <c r="C5249" s="953"/>
      <c r="D5249" s="953"/>
      <c r="E5249" s="953"/>
      <c r="F5249" s="953"/>
      <c r="G5249" s="953"/>
      <c r="H5249" s="953"/>
    </row>
    <row r="5250" spans="1:8" s="943" customFormat="1" x14ac:dyDescent="0.25">
      <c r="A5250" s="952"/>
      <c r="B5250" s="953"/>
      <c r="C5250" s="953"/>
      <c r="D5250" s="953"/>
      <c r="E5250" s="953"/>
      <c r="F5250" s="953"/>
      <c r="G5250" s="953"/>
      <c r="H5250" s="953"/>
    </row>
    <row r="5251" spans="1:8" s="943" customFormat="1" x14ac:dyDescent="0.25">
      <c r="A5251" s="952"/>
      <c r="B5251" s="953"/>
      <c r="C5251" s="953"/>
      <c r="D5251" s="953"/>
      <c r="E5251" s="953"/>
      <c r="F5251" s="953"/>
      <c r="G5251" s="953"/>
      <c r="H5251" s="953"/>
    </row>
    <row r="5252" spans="1:8" s="943" customFormat="1" x14ac:dyDescent="0.25">
      <c r="A5252" s="952"/>
      <c r="B5252" s="953"/>
      <c r="C5252" s="953"/>
      <c r="D5252" s="953"/>
      <c r="E5252" s="953"/>
      <c r="F5252" s="953"/>
      <c r="G5252" s="953"/>
      <c r="H5252" s="953"/>
    </row>
    <row r="5253" spans="1:8" s="943" customFormat="1" x14ac:dyDescent="0.25">
      <c r="A5253" s="952"/>
      <c r="B5253" s="953"/>
      <c r="C5253" s="953"/>
      <c r="D5253" s="953"/>
      <c r="E5253" s="953"/>
      <c r="F5253" s="953"/>
      <c r="G5253" s="953"/>
      <c r="H5253" s="953"/>
    </row>
    <row r="5254" spans="1:8" s="943" customFormat="1" x14ac:dyDescent="0.25">
      <c r="A5254" s="952"/>
      <c r="B5254" s="953"/>
      <c r="C5254" s="953"/>
      <c r="D5254" s="953"/>
      <c r="E5254" s="953"/>
      <c r="F5254" s="953"/>
      <c r="G5254" s="953"/>
      <c r="H5254" s="953"/>
    </row>
    <row r="5255" spans="1:8" s="943" customFormat="1" x14ac:dyDescent="0.25">
      <c r="A5255" s="952"/>
      <c r="B5255" s="953"/>
      <c r="C5255" s="953"/>
      <c r="D5255" s="953"/>
      <c r="E5255" s="953"/>
      <c r="F5255" s="953"/>
      <c r="G5255" s="953"/>
      <c r="H5255" s="953"/>
    </row>
    <row r="5256" spans="1:8" s="943" customFormat="1" x14ac:dyDescent="0.25">
      <c r="A5256" s="952"/>
      <c r="B5256" s="953"/>
      <c r="C5256" s="953"/>
      <c r="D5256" s="953"/>
      <c r="E5256" s="953"/>
      <c r="F5256" s="953"/>
      <c r="G5256" s="953"/>
      <c r="H5256" s="953"/>
    </row>
    <row r="5257" spans="1:8" s="943" customFormat="1" x14ac:dyDescent="0.25">
      <c r="A5257" s="952"/>
      <c r="B5257" s="953"/>
      <c r="C5257" s="953"/>
      <c r="D5257" s="953"/>
      <c r="E5257" s="953"/>
      <c r="F5257" s="953"/>
      <c r="G5257" s="953"/>
      <c r="H5257" s="953"/>
    </row>
    <row r="5258" spans="1:8" s="943" customFormat="1" x14ac:dyDescent="0.25">
      <c r="A5258" s="952"/>
      <c r="B5258" s="953"/>
      <c r="C5258" s="953"/>
      <c r="D5258" s="953"/>
      <c r="E5258" s="953"/>
      <c r="F5258" s="953"/>
      <c r="G5258" s="953"/>
      <c r="H5258" s="953"/>
    </row>
    <row r="5259" spans="1:8" s="943" customFormat="1" x14ac:dyDescent="0.25">
      <c r="A5259" s="952"/>
      <c r="B5259" s="953"/>
      <c r="C5259" s="953"/>
      <c r="D5259" s="953"/>
      <c r="E5259" s="953"/>
      <c r="F5259" s="953"/>
      <c r="G5259" s="953"/>
      <c r="H5259" s="953"/>
    </row>
    <row r="5260" spans="1:8" s="943" customFormat="1" x14ac:dyDescent="0.25">
      <c r="A5260" s="952"/>
      <c r="B5260" s="953"/>
      <c r="C5260" s="953"/>
      <c r="D5260" s="953"/>
      <c r="E5260" s="953"/>
      <c r="F5260" s="953"/>
      <c r="G5260" s="953"/>
      <c r="H5260" s="953"/>
    </row>
    <row r="5261" spans="1:8" s="943" customFormat="1" x14ac:dyDescent="0.25">
      <c r="A5261" s="952"/>
      <c r="B5261" s="953"/>
      <c r="C5261" s="953"/>
      <c r="D5261" s="953"/>
      <c r="E5261" s="953"/>
      <c r="F5261" s="953"/>
      <c r="G5261" s="953"/>
      <c r="H5261" s="953"/>
    </row>
    <row r="5262" spans="1:8" s="943" customFormat="1" x14ac:dyDescent="0.25">
      <c r="A5262" s="952"/>
      <c r="B5262" s="953"/>
      <c r="C5262" s="953"/>
      <c r="D5262" s="953"/>
      <c r="E5262" s="953"/>
      <c r="F5262" s="953"/>
      <c r="G5262" s="953"/>
      <c r="H5262" s="953"/>
    </row>
    <row r="5263" spans="1:8" s="943" customFormat="1" x14ac:dyDescent="0.25">
      <c r="A5263" s="952"/>
      <c r="B5263" s="953"/>
      <c r="C5263" s="953"/>
      <c r="D5263" s="953"/>
      <c r="E5263" s="953"/>
      <c r="F5263" s="953"/>
      <c r="G5263" s="953"/>
      <c r="H5263" s="953"/>
    </row>
    <row r="5264" spans="1:8" s="943" customFormat="1" x14ac:dyDescent="0.25">
      <c r="A5264" s="952"/>
      <c r="B5264" s="953"/>
      <c r="C5264" s="953"/>
      <c r="D5264" s="953"/>
      <c r="E5264" s="953"/>
      <c r="F5264" s="953"/>
      <c r="G5264" s="953"/>
      <c r="H5264" s="953"/>
    </row>
    <row r="5265" spans="1:8" s="943" customFormat="1" x14ac:dyDescent="0.25">
      <c r="A5265" s="952"/>
      <c r="B5265" s="953"/>
      <c r="C5265" s="953"/>
      <c r="D5265" s="953"/>
      <c r="E5265" s="953"/>
      <c r="F5265" s="953"/>
      <c r="G5265" s="953"/>
      <c r="H5265" s="953"/>
    </row>
    <row r="5266" spans="1:8" s="943" customFormat="1" x14ac:dyDescent="0.25">
      <c r="A5266" s="952"/>
      <c r="B5266" s="953"/>
      <c r="C5266" s="953"/>
      <c r="D5266" s="953"/>
      <c r="E5266" s="953"/>
      <c r="F5266" s="953"/>
      <c r="G5266" s="953"/>
      <c r="H5266" s="953"/>
    </row>
    <row r="5267" spans="1:8" s="943" customFormat="1" x14ac:dyDescent="0.25">
      <c r="A5267" s="952"/>
      <c r="B5267" s="953"/>
      <c r="C5267" s="953"/>
      <c r="D5267" s="953"/>
      <c r="E5267" s="953"/>
      <c r="F5267" s="953"/>
      <c r="G5267" s="953"/>
      <c r="H5267" s="953"/>
    </row>
    <row r="5268" spans="1:8" s="943" customFormat="1" x14ac:dyDescent="0.25">
      <c r="A5268" s="952"/>
      <c r="B5268" s="953"/>
      <c r="C5268" s="953"/>
      <c r="D5268" s="953"/>
      <c r="E5268" s="953"/>
      <c r="F5268" s="953"/>
      <c r="G5268" s="953"/>
      <c r="H5268" s="953"/>
    </row>
    <row r="5269" spans="1:8" s="943" customFormat="1" x14ac:dyDescent="0.25">
      <c r="A5269" s="952"/>
      <c r="B5269" s="953"/>
      <c r="C5269" s="953"/>
      <c r="D5269" s="953"/>
      <c r="E5269" s="953"/>
      <c r="F5269" s="953"/>
      <c r="G5269" s="953"/>
      <c r="H5269" s="953"/>
    </row>
    <row r="5270" spans="1:8" s="943" customFormat="1" x14ac:dyDescent="0.25">
      <c r="A5270" s="952"/>
      <c r="B5270" s="953"/>
      <c r="C5270" s="953"/>
      <c r="D5270" s="953"/>
      <c r="E5270" s="953"/>
      <c r="F5270" s="953"/>
      <c r="G5270" s="953"/>
      <c r="H5270" s="953"/>
    </row>
    <row r="5271" spans="1:8" s="943" customFormat="1" x14ac:dyDescent="0.25">
      <c r="A5271" s="952"/>
      <c r="B5271" s="953"/>
      <c r="C5271" s="953"/>
      <c r="D5271" s="953"/>
      <c r="E5271" s="953"/>
      <c r="F5271" s="953"/>
      <c r="G5271" s="953"/>
      <c r="H5271" s="953"/>
    </row>
    <row r="5272" spans="1:8" s="943" customFormat="1" x14ac:dyDescent="0.25">
      <c r="A5272" s="952"/>
      <c r="B5272" s="953"/>
      <c r="C5272" s="953"/>
      <c r="D5272" s="953"/>
      <c r="E5272" s="953"/>
      <c r="F5272" s="953"/>
      <c r="G5272" s="953"/>
      <c r="H5272" s="953"/>
    </row>
    <row r="5273" spans="1:8" s="943" customFormat="1" x14ac:dyDescent="0.25">
      <c r="A5273" s="952"/>
      <c r="B5273" s="953"/>
      <c r="C5273" s="953"/>
      <c r="D5273" s="953"/>
      <c r="E5273" s="953"/>
      <c r="F5273" s="953"/>
      <c r="G5273" s="953"/>
      <c r="H5273" s="953"/>
    </row>
    <row r="5274" spans="1:8" s="943" customFormat="1" x14ac:dyDescent="0.25">
      <c r="A5274" s="952"/>
      <c r="B5274" s="953"/>
      <c r="C5274" s="953"/>
      <c r="D5274" s="953"/>
      <c r="E5274" s="953"/>
      <c r="F5274" s="953"/>
      <c r="G5274" s="953"/>
      <c r="H5274" s="953"/>
    </row>
    <row r="5275" spans="1:8" s="943" customFormat="1" x14ac:dyDescent="0.25">
      <c r="A5275" s="952"/>
      <c r="B5275" s="953"/>
      <c r="C5275" s="953"/>
      <c r="D5275" s="953"/>
      <c r="E5275" s="953"/>
      <c r="F5275" s="953"/>
      <c r="G5275" s="953"/>
      <c r="H5275" s="953"/>
    </row>
    <row r="5276" spans="1:8" s="943" customFormat="1" x14ac:dyDescent="0.25">
      <c r="A5276" s="952"/>
      <c r="B5276" s="953"/>
      <c r="C5276" s="953"/>
      <c r="D5276" s="953"/>
      <c r="E5276" s="953"/>
      <c r="F5276" s="953"/>
      <c r="G5276" s="953"/>
      <c r="H5276" s="953"/>
    </row>
    <row r="5277" spans="1:8" s="943" customFormat="1" x14ac:dyDescent="0.25">
      <c r="A5277" s="952"/>
      <c r="B5277" s="953"/>
      <c r="C5277" s="953"/>
      <c r="D5277" s="953"/>
      <c r="E5277" s="953"/>
      <c r="F5277" s="953"/>
      <c r="G5277" s="953"/>
      <c r="H5277" s="953"/>
    </row>
    <row r="5278" spans="1:8" s="943" customFormat="1" x14ac:dyDescent="0.25">
      <c r="A5278" s="952"/>
      <c r="B5278" s="953"/>
      <c r="C5278" s="953"/>
      <c r="D5278" s="953"/>
      <c r="E5278" s="953"/>
      <c r="F5278" s="953"/>
      <c r="G5278" s="953"/>
      <c r="H5278" s="953"/>
    </row>
    <row r="5279" spans="1:8" s="943" customFormat="1" x14ac:dyDescent="0.25">
      <c r="A5279" s="952"/>
      <c r="B5279" s="953"/>
      <c r="C5279" s="953"/>
      <c r="D5279" s="953"/>
      <c r="E5279" s="953"/>
      <c r="F5279" s="953"/>
      <c r="G5279" s="953"/>
      <c r="H5279" s="953"/>
    </row>
    <row r="5280" spans="1:8" s="943" customFormat="1" x14ac:dyDescent="0.25">
      <c r="A5280" s="952"/>
      <c r="B5280" s="953"/>
      <c r="C5280" s="953"/>
      <c r="D5280" s="953"/>
      <c r="E5280" s="953"/>
      <c r="F5280" s="953"/>
      <c r="G5280" s="953"/>
      <c r="H5280" s="953"/>
    </row>
    <row r="5281" spans="1:8" s="943" customFormat="1" x14ac:dyDescent="0.25">
      <c r="A5281" s="952"/>
      <c r="B5281" s="953"/>
      <c r="C5281" s="953"/>
      <c r="D5281" s="953"/>
      <c r="E5281" s="953"/>
      <c r="F5281" s="953"/>
      <c r="G5281" s="953"/>
      <c r="H5281" s="953"/>
    </row>
    <row r="5282" spans="1:8" s="943" customFormat="1" x14ac:dyDescent="0.25">
      <c r="A5282" s="952"/>
      <c r="B5282" s="953"/>
      <c r="C5282" s="953"/>
      <c r="D5282" s="953"/>
      <c r="E5282" s="953"/>
      <c r="F5282" s="953"/>
      <c r="G5282" s="953"/>
      <c r="H5282" s="953"/>
    </row>
    <row r="5283" spans="1:8" s="943" customFormat="1" x14ac:dyDescent="0.25">
      <c r="A5283" s="952"/>
      <c r="B5283" s="953"/>
      <c r="C5283" s="953"/>
      <c r="D5283" s="953"/>
      <c r="E5283" s="953"/>
      <c r="F5283" s="953"/>
      <c r="G5283" s="953"/>
      <c r="H5283" s="953"/>
    </row>
    <row r="5284" spans="1:8" s="943" customFormat="1" x14ac:dyDescent="0.25">
      <c r="A5284" s="952"/>
      <c r="B5284" s="953"/>
      <c r="C5284" s="953"/>
      <c r="D5284" s="953"/>
      <c r="E5284" s="953"/>
      <c r="F5284" s="953"/>
      <c r="G5284" s="953"/>
      <c r="H5284" s="953"/>
    </row>
    <row r="5285" spans="1:8" s="943" customFormat="1" x14ac:dyDescent="0.25">
      <c r="A5285" s="952"/>
      <c r="B5285" s="953"/>
      <c r="C5285" s="953"/>
      <c r="D5285" s="953"/>
      <c r="E5285" s="953"/>
      <c r="F5285" s="953"/>
      <c r="G5285" s="953"/>
      <c r="H5285" s="953"/>
    </row>
    <row r="5286" spans="1:8" s="943" customFormat="1" x14ac:dyDescent="0.25">
      <c r="A5286" s="952"/>
      <c r="B5286" s="953"/>
      <c r="C5286" s="953"/>
      <c r="D5286" s="953"/>
      <c r="E5286" s="953"/>
      <c r="F5286" s="953"/>
      <c r="G5286" s="953"/>
      <c r="H5286" s="953"/>
    </row>
    <row r="5287" spans="1:8" s="943" customFormat="1" x14ac:dyDescent="0.25">
      <c r="A5287" s="952"/>
      <c r="B5287" s="953"/>
      <c r="C5287" s="953"/>
      <c r="D5287" s="953"/>
      <c r="E5287" s="953"/>
      <c r="F5287" s="953"/>
      <c r="G5287" s="953"/>
      <c r="H5287" s="953"/>
    </row>
    <row r="5288" spans="1:8" s="943" customFormat="1" x14ac:dyDescent="0.25">
      <c r="A5288" s="952"/>
      <c r="B5288" s="953"/>
      <c r="C5288" s="953"/>
      <c r="D5288" s="953"/>
      <c r="E5288" s="953"/>
      <c r="F5288" s="953"/>
      <c r="G5288" s="953"/>
      <c r="H5288" s="953"/>
    </row>
    <row r="5289" spans="1:8" s="943" customFormat="1" x14ac:dyDescent="0.25">
      <c r="A5289" s="952"/>
      <c r="B5289" s="953"/>
      <c r="C5289" s="953"/>
      <c r="D5289" s="953"/>
      <c r="E5289" s="953"/>
      <c r="F5289" s="953"/>
      <c r="G5289" s="953"/>
      <c r="H5289" s="953"/>
    </row>
    <row r="5290" spans="1:8" s="943" customFormat="1" x14ac:dyDescent="0.25">
      <c r="A5290" s="952"/>
      <c r="B5290" s="953"/>
      <c r="C5290" s="953"/>
      <c r="D5290" s="953"/>
      <c r="E5290" s="953"/>
      <c r="F5290" s="953"/>
      <c r="G5290" s="953"/>
      <c r="H5290" s="953"/>
    </row>
    <row r="5291" spans="1:8" s="943" customFormat="1" x14ac:dyDescent="0.25">
      <c r="A5291" s="952"/>
      <c r="B5291" s="953"/>
      <c r="C5291" s="953"/>
      <c r="D5291" s="953"/>
      <c r="E5291" s="953"/>
      <c r="F5291" s="953"/>
      <c r="G5291" s="953"/>
      <c r="H5291" s="953"/>
    </row>
    <row r="5292" spans="1:8" s="943" customFormat="1" x14ac:dyDescent="0.25">
      <c r="A5292" s="952"/>
      <c r="B5292" s="953"/>
      <c r="C5292" s="953"/>
      <c r="D5292" s="953"/>
      <c r="E5292" s="953"/>
      <c r="F5292" s="953"/>
      <c r="G5292" s="953"/>
      <c r="H5292" s="953"/>
    </row>
    <row r="5293" spans="1:8" s="943" customFormat="1" x14ac:dyDescent="0.25">
      <c r="A5293" s="952"/>
      <c r="B5293" s="953"/>
      <c r="C5293" s="953"/>
      <c r="D5293" s="953"/>
      <c r="E5293" s="953"/>
      <c r="F5293" s="953"/>
      <c r="G5293" s="953"/>
      <c r="H5293" s="953"/>
    </row>
    <row r="5294" spans="1:8" s="943" customFormat="1" x14ac:dyDescent="0.25">
      <c r="A5294" s="952"/>
      <c r="B5294" s="953"/>
      <c r="C5294" s="953"/>
      <c r="D5294" s="953"/>
      <c r="E5294" s="953"/>
      <c r="F5294" s="953"/>
      <c r="G5294" s="953"/>
      <c r="H5294" s="953"/>
    </row>
    <row r="5295" spans="1:8" s="943" customFormat="1" x14ac:dyDescent="0.25">
      <c r="A5295" s="952"/>
      <c r="B5295" s="953"/>
      <c r="C5295" s="953"/>
      <c r="D5295" s="953"/>
      <c r="E5295" s="953"/>
      <c r="F5295" s="953"/>
      <c r="G5295" s="953"/>
      <c r="H5295" s="953"/>
    </row>
    <row r="5296" spans="1:8" s="943" customFormat="1" x14ac:dyDescent="0.25">
      <c r="A5296" s="952"/>
      <c r="B5296" s="953"/>
      <c r="C5296" s="953"/>
      <c r="D5296" s="953"/>
      <c r="E5296" s="953"/>
      <c r="F5296" s="953"/>
      <c r="G5296" s="953"/>
      <c r="H5296" s="953"/>
    </row>
    <row r="5297" spans="1:8" s="943" customFormat="1" x14ac:dyDescent="0.25">
      <c r="A5297" s="952"/>
      <c r="B5297" s="953"/>
      <c r="C5297" s="953"/>
      <c r="D5297" s="953"/>
      <c r="E5297" s="953"/>
      <c r="F5297" s="953"/>
      <c r="G5297" s="953"/>
      <c r="H5297" s="953"/>
    </row>
    <row r="5298" spans="1:8" s="943" customFormat="1" x14ac:dyDescent="0.25">
      <c r="A5298" s="952"/>
      <c r="B5298" s="953"/>
      <c r="C5298" s="953"/>
      <c r="D5298" s="953"/>
      <c r="E5298" s="953"/>
      <c r="F5298" s="953"/>
      <c r="G5298" s="953"/>
      <c r="H5298" s="953"/>
    </row>
    <row r="5299" spans="1:8" s="943" customFormat="1" x14ac:dyDescent="0.25">
      <c r="A5299" s="952"/>
      <c r="B5299" s="953"/>
      <c r="C5299" s="953"/>
      <c r="D5299" s="953"/>
      <c r="E5299" s="953"/>
      <c r="F5299" s="953"/>
      <c r="G5299" s="953"/>
      <c r="H5299" s="953"/>
    </row>
    <row r="5300" spans="1:8" s="943" customFormat="1" x14ac:dyDescent="0.25">
      <c r="A5300" s="952"/>
      <c r="B5300" s="953"/>
      <c r="C5300" s="953"/>
      <c r="D5300" s="953"/>
      <c r="E5300" s="953"/>
      <c r="F5300" s="953"/>
      <c r="G5300" s="953"/>
      <c r="H5300" s="953"/>
    </row>
    <row r="5301" spans="1:8" s="943" customFormat="1" x14ac:dyDescent="0.25">
      <c r="A5301" s="952"/>
      <c r="B5301" s="953"/>
      <c r="C5301" s="953"/>
      <c r="D5301" s="953"/>
      <c r="E5301" s="953"/>
      <c r="F5301" s="953"/>
      <c r="G5301" s="953"/>
      <c r="H5301" s="953"/>
    </row>
    <row r="5302" spans="1:8" s="943" customFormat="1" x14ac:dyDescent="0.25">
      <c r="A5302" s="952"/>
      <c r="B5302" s="953"/>
      <c r="C5302" s="953"/>
      <c r="D5302" s="953"/>
      <c r="E5302" s="953"/>
      <c r="F5302" s="953"/>
      <c r="G5302" s="953"/>
      <c r="H5302" s="953"/>
    </row>
    <row r="5303" spans="1:8" s="943" customFormat="1" x14ac:dyDescent="0.25">
      <c r="A5303" s="952"/>
      <c r="B5303" s="953"/>
      <c r="C5303" s="953"/>
      <c r="D5303" s="953"/>
      <c r="E5303" s="953"/>
      <c r="F5303" s="953"/>
      <c r="G5303" s="953"/>
      <c r="H5303" s="953"/>
    </row>
    <row r="5304" spans="1:8" s="943" customFormat="1" x14ac:dyDescent="0.25">
      <c r="A5304" s="952"/>
      <c r="B5304" s="953"/>
      <c r="C5304" s="953"/>
      <c r="D5304" s="953"/>
      <c r="E5304" s="953"/>
      <c r="F5304" s="953"/>
      <c r="G5304" s="953"/>
      <c r="H5304" s="953"/>
    </row>
    <row r="5305" spans="1:8" s="943" customFormat="1" x14ac:dyDescent="0.25">
      <c r="A5305" s="952"/>
      <c r="B5305" s="953"/>
      <c r="C5305" s="953"/>
      <c r="D5305" s="953"/>
      <c r="E5305" s="953"/>
      <c r="F5305" s="953"/>
      <c r="G5305" s="953"/>
      <c r="H5305" s="953"/>
    </row>
    <row r="5306" spans="1:8" s="943" customFormat="1" x14ac:dyDescent="0.25">
      <c r="A5306" s="952"/>
      <c r="B5306" s="953"/>
      <c r="C5306" s="953"/>
      <c r="D5306" s="953"/>
      <c r="E5306" s="953"/>
      <c r="F5306" s="953"/>
      <c r="G5306" s="953"/>
      <c r="H5306" s="953"/>
    </row>
    <row r="5307" spans="1:8" s="943" customFormat="1" x14ac:dyDescent="0.25">
      <c r="A5307" s="952"/>
      <c r="B5307" s="953"/>
      <c r="C5307" s="953"/>
      <c r="D5307" s="953"/>
      <c r="E5307" s="953"/>
      <c r="F5307" s="953"/>
      <c r="G5307" s="953"/>
      <c r="H5307" s="953"/>
    </row>
    <row r="5308" spans="1:8" s="943" customFormat="1" x14ac:dyDescent="0.25">
      <c r="A5308" s="952"/>
      <c r="B5308" s="953"/>
      <c r="C5308" s="953"/>
      <c r="D5308" s="953"/>
      <c r="E5308" s="953"/>
      <c r="F5308" s="953"/>
      <c r="G5308" s="953"/>
      <c r="H5308" s="953"/>
    </row>
    <row r="5309" spans="1:8" s="943" customFormat="1" x14ac:dyDescent="0.25">
      <c r="A5309" s="952"/>
      <c r="B5309" s="953"/>
      <c r="C5309" s="953"/>
      <c r="D5309" s="953"/>
      <c r="E5309" s="953"/>
      <c r="F5309" s="953"/>
      <c r="G5309" s="953"/>
      <c r="H5309" s="953"/>
    </row>
    <row r="5310" spans="1:8" s="943" customFormat="1" x14ac:dyDescent="0.25">
      <c r="A5310" s="952"/>
      <c r="B5310" s="953"/>
      <c r="C5310" s="953"/>
      <c r="D5310" s="953"/>
      <c r="E5310" s="953"/>
      <c r="F5310" s="953"/>
      <c r="G5310" s="953"/>
      <c r="H5310" s="953"/>
    </row>
    <row r="5311" spans="1:8" s="943" customFormat="1" x14ac:dyDescent="0.25">
      <c r="A5311" s="952"/>
      <c r="B5311" s="953"/>
      <c r="C5311" s="953"/>
      <c r="D5311" s="953"/>
      <c r="E5311" s="953"/>
      <c r="F5311" s="953"/>
      <c r="G5311" s="953"/>
      <c r="H5311" s="953"/>
    </row>
    <row r="5312" spans="1:8" s="943" customFormat="1" x14ac:dyDescent="0.25">
      <c r="A5312" s="952"/>
      <c r="B5312" s="953"/>
      <c r="C5312" s="953"/>
      <c r="D5312" s="953"/>
      <c r="E5312" s="953"/>
      <c r="F5312" s="953"/>
      <c r="G5312" s="953"/>
      <c r="H5312" s="953"/>
    </row>
    <row r="5313" spans="1:8" s="943" customFormat="1" x14ac:dyDescent="0.25">
      <c r="A5313" s="952"/>
      <c r="B5313" s="953"/>
      <c r="C5313" s="953"/>
      <c r="D5313" s="953"/>
      <c r="E5313" s="953"/>
      <c r="F5313" s="953"/>
      <c r="G5313" s="953"/>
      <c r="H5313" s="953"/>
    </row>
    <row r="5314" spans="1:8" s="943" customFormat="1" x14ac:dyDescent="0.25">
      <c r="A5314" s="952"/>
      <c r="B5314" s="953"/>
      <c r="C5314" s="953"/>
      <c r="D5314" s="953"/>
      <c r="E5314" s="953"/>
      <c r="F5314" s="953"/>
      <c r="G5314" s="953"/>
      <c r="H5314" s="953"/>
    </row>
    <row r="5315" spans="1:8" s="943" customFormat="1" x14ac:dyDescent="0.25">
      <c r="A5315" s="952"/>
      <c r="B5315" s="953"/>
      <c r="C5315" s="953"/>
      <c r="D5315" s="953"/>
      <c r="E5315" s="953"/>
      <c r="F5315" s="953"/>
      <c r="G5315" s="953"/>
      <c r="H5315" s="953"/>
    </row>
    <row r="5316" spans="1:8" s="943" customFormat="1" x14ac:dyDescent="0.25">
      <c r="A5316" s="952"/>
      <c r="B5316" s="953"/>
      <c r="C5316" s="953"/>
      <c r="D5316" s="953"/>
      <c r="E5316" s="953"/>
      <c r="F5316" s="953"/>
      <c r="G5316" s="953"/>
      <c r="H5316" s="953"/>
    </row>
    <row r="5317" spans="1:8" s="943" customFormat="1" x14ac:dyDescent="0.25">
      <c r="A5317" s="952"/>
      <c r="B5317" s="953"/>
      <c r="C5317" s="953"/>
      <c r="D5317" s="953"/>
      <c r="E5317" s="953"/>
      <c r="F5317" s="953"/>
      <c r="G5317" s="953"/>
      <c r="H5317" s="953"/>
    </row>
    <row r="5318" spans="1:8" s="943" customFormat="1" x14ac:dyDescent="0.25">
      <c r="A5318" s="952"/>
      <c r="B5318" s="953"/>
      <c r="C5318" s="953"/>
      <c r="D5318" s="953"/>
      <c r="E5318" s="953"/>
      <c r="F5318" s="953"/>
      <c r="G5318" s="953"/>
      <c r="H5318" s="953"/>
    </row>
    <row r="5319" spans="1:8" s="943" customFormat="1" x14ac:dyDescent="0.25">
      <c r="A5319" s="952"/>
      <c r="B5319" s="953"/>
      <c r="C5319" s="953"/>
      <c r="D5319" s="953"/>
      <c r="E5319" s="953"/>
      <c r="F5319" s="953"/>
      <c r="G5319" s="953"/>
      <c r="H5319" s="953"/>
    </row>
    <row r="5320" spans="1:8" s="943" customFormat="1" x14ac:dyDescent="0.25">
      <c r="A5320" s="952"/>
      <c r="B5320" s="953"/>
      <c r="C5320" s="953"/>
      <c r="D5320" s="953"/>
      <c r="E5320" s="953"/>
      <c r="F5320" s="953"/>
      <c r="G5320" s="953"/>
      <c r="H5320" s="953"/>
    </row>
    <row r="5321" spans="1:8" s="943" customFormat="1" x14ac:dyDescent="0.25">
      <c r="A5321" s="952"/>
      <c r="B5321" s="953"/>
      <c r="C5321" s="953"/>
      <c r="D5321" s="953"/>
      <c r="E5321" s="953"/>
      <c r="F5321" s="953"/>
      <c r="G5321" s="953"/>
      <c r="H5321" s="953"/>
    </row>
    <row r="5322" spans="1:8" s="943" customFormat="1" x14ac:dyDescent="0.25">
      <c r="A5322" s="952"/>
      <c r="B5322" s="953"/>
      <c r="C5322" s="953"/>
      <c r="D5322" s="953"/>
      <c r="E5322" s="953"/>
      <c r="F5322" s="953"/>
      <c r="G5322" s="953"/>
      <c r="H5322" s="953"/>
    </row>
    <row r="5323" spans="1:8" s="943" customFormat="1" x14ac:dyDescent="0.25">
      <c r="A5323" s="952"/>
      <c r="B5323" s="953"/>
      <c r="C5323" s="953"/>
      <c r="D5323" s="953"/>
      <c r="E5323" s="953"/>
      <c r="F5323" s="953"/>
      <c r="G5323" s="953"/>
      <c r="H5323" s="953"/>
    </row>
    <row r="5324" spans="1:8" s="943" customFormat="1" x14ac:dyDescent="0.25">
      <c r="A5324" s="952"/>
      <c r="B5324" s="953"/>
      <c r="C5324" s="953"/>
      <c r="D5324" s="953"/>
      <c r="E5324" s="953"/>
      <c r="F5324" s="953"/>
      <c r="G5324" s="953"/>
      <c r="H5324" s="953"/>
    </row>
    <row r="5325" spans="1:8" s="943" customFormat="1" x14ac:dyDescent="0.25">
      <c r="A5325" s="952"/>
      <c r="B5325" s="953"/>
      <c r="C5325" s="953"/>
      <c r="D5325" s="953"/>
      <c r="E5325" s="953"/>
      <c r="F5325" s="953"/>
      <c r="G5325" s="953"/>
      <c r="H5325" s="953"/>
    </row>
    <row r="5326" spans="1:8" s="943" customFormat="1" x14ac:dyDescent="0.25">
      <c r="A5326" s="952"/>
      <c r="B5326" s="953"/>
      <c r="C5326" s="953"/>
      <c r="D5326" s="953"/>
      <c r="E5326" s="953"/>
      <c r="F5326" s="953"/>
      <c r="G5326" s="953"/>
      <c r="H5326" s="953"/>
    </row>
    <row r="5327" spans="1:8" s="943" customFormat="1" x14ac:dyDescent="0.25">
      <c r="A5327" s="952"/>
      <c r="B5327" s="953"/>
      <c r="C5327" s="953"/>
      <c r="D5327" s="953"/>
      <c r="E5327" s="953"/>
      <c r="F5327" s="953"/>
      <c r="G5327" s="953"/>
      <c r="H5327" s="953"/>
    </row>
    <row r="5328" spans="1:8" s="943" customFormat="1" x14ac:dyDescent="0.25">
      <c r="A5328" s="952"/>
      <c r="B5328" s="953"/>
      <c r="C5328" s="953"/>
      <c r="D5328" s="953"/>
      <c r="E5328" s="953"/>
      <c r="F5328" s="953"/>
      <c r="G5328" s="953"/>
      <c r="H5328" s="953"/>
    </row>
    <row r="5329" spans="1:8" s="943" customFormat="1" x14ac:dyDescent="0.25">
      <c r="A5329" s="952"/>
      <c r="B5329" s="953"/>
      <c r="C5329" s="953"/>
      <c r="D5329" s="953"/>
      <c r="E5329" s="953"/>
      <c r="F5329" s="953"/>
      <c r="G5329" s="953"/>
      <c r="H5329" s="953"/>
    </row>
    <row r="5330" spans="1:8" s="943" customFormat="1" x14ac:dyDescent="0.25">
      <c r="A5330" s="952"/>
      <c r="B5330" s="953"/>
      <c r="C5330" s="953"/>
      <c r="D5330" s="953"/>
      <c r="E5330" s="953"/>
      <c r="F5330" s="953"/>
      <c r="G5330" s="953"/>
      <c r="H5330" s="953"/>
    </row>
    <row r="5331" spans="1:8" s="943" customFormat="1" x14ac:dyDescent="0.25">
      <c r="A5331" s="952"/>
      <c r="B5331" s="953"/>
      <c r="C5331" s="953"/>
      <c r="D5331" s="953"/>
      <c r="E5331" s="953"/>
      <c r="F5331" s="953"/>
      <c r="G5331" s="953"/>
      <c r="H5331" s="953"/>
    </row>
    <row r="5332" spans="1:8" s="943" customFormat="1" x14ac:dyDescent="0.25">
      <c r="A5332" s="952"/>
      <c r="B5332" s="953"/>
      <c r="C5332" s="953"/>
      <c r="D5332" s="953"/>
      <c r="E5332" s="953"/>
      <c r="F5332" s="953"/>
      <c r="G5332" s="953"/>
      <c r="H5332" s="953"/>
    </row>
    <row r="5333" spans="1:8" s="943" customFormat="1" x14ac:dyDescent="0.25">
      <c r="A5333" s="952"/>
      <c r="B5333" s="953"/>
      <c r="C5333" s="953"/>
      <c r="D5333" s="953"/>
      <c r="E5333" s="953"/>
      <c r="F5333" s="953"/>
      <c r="G5333" s="953"/>
      <c r="H5333" s="953"/>
    </row>
    <row r="5334" spans="1:8" s="943" customFormat="1" x14ac:dyDescent="0.25">
      <c r="A5334" s="952"/>
      <c r="B5334" s="953"/>
      <c r="C5334" s="953"/>
      <c r="D5334" s="953"/>
      <c r="E5334" s="953"/>
      <c r="F5334" s="953"/>
      <c r="G5334" s="953"/>
      <c r="H5334" s="953"/>
    </row>
    <row r="5335" spans="1:8" s="943" customFormat="1" x14ac:dyDescent="0.25">
      <c r="A5335" s="952"/>
      <c r="B5335" s="953"/>
      <c r="C5335" s="953"/>
      <c r="D5335" s="953"/>
      <c r="E5335" s="953"/>
      <c r="F5335" s="953"/>
      <c r="G5335" s="953"/>
      <c r="H5335" s="953"/>
    </row>
    <row r="5336" spans="1:8" s="943" customFormat="1" x14ac:dyDescent="0.25">
      <c r="A5336" s="952"/>
      <c r="B5336" s="953"/>
      <c r="C5336" s="953"/>
      <c r="D5336" s="953"/>
      <c r="E5336" s="953"/>
      <c r="F5336" s="953"/>
      <c r="G5336" s="953"/>
      <c r="H5336" s="953"/>
    </row>
    <row r="5337" spans="1:8" s="943" customFormat="1" x14ac:dyDescent="0.25">
      <c r="A5337" s="952"/>
      <c r="B5337" s="953"/>
      <c r="C5337" s="953"/>
      <c r="D5337" s="953"/>
      <c r="E5337" s="953"/>
      <c r="F5337" s="953"/>
      <c r="G5337" s="953"/>
      <c r="H5337" s="953"/>
    </row>
    <row r="5338" spans="1:8" s="943" customFormat="1" x14ac:dyDescent="0.25">
      <c r="A5338" s="952"/>
      <c r="B5338" s="953"/>
      <c r="C5338" s="953"/>
      <c r="D5338" s="953"/>
      <c r="E5338" s="953"/>
      <c r="F5338" s="953"/>
      <c r="G5338" s="953"/>
      <c r="H5338" s="953"/>
    </row>
    <row r="5339" spans="1:8" s="943" customFormat="1" x14ac:dyDescent="0.25">
      <c r="A5339" s="952"/>
      <c r="B5339" s="953"/>
      <c r="C5339" s="953"/>
      <c r="D5339" s="953"/>
      <c r="E5339" s="953"/>
      <c r="F5339" s="953"/>
      <c r="G5339" s="953"/>
      <c r="H5339" s="953"/>
    </row>
    <row r="5340" spans="1:8" s="943" customFormat="1" x14ac:dyDescent="0.25">
      <c r="A5340" s="952"/>
      <c r="B5340" s="953"/>
      <c r="C5340" s="953"/>
      <c r="D5340" s="953"/>
      <c r="E5340" s="953"/>
      <c r="F5340" s="953"/>
      <c r="G5340" s="953"/>
      <c r="H5340" s="953"/>
    </row>
    <row r="5341" spans="1:8" s="943" customFormat="1" x14ac:dyDescent="0.25">
      <c r="A5341" s="952"/>
      <c r="B5341" s="953"/>
      <c r="C5341" s="953"/>
      <c r="D5341" s="953"/>
      <c r="E5341" s="953"/>
      <c r="F5341" s="953"/>
      <c r="G5341" s="953"/>
      <c r="H5341" s="953"/>
    </row>
    <row r="5342" spans="1:8" s="943" customFormat="1" x14ac:dyDescent="0.25">
      <c r="A5342" s="952"/>
      <c r="B5342" s="953"/>
      <c r="C5342" s="953"/>
      <c r="D5342" s="953"/>
      <c r="E5342" s="953"/>
      <c r="F5342" s="953"/>
      <c r="G5342" s="953"/>
      <c r="H5342" s="953"/>
    </row>
    <row r="5343" spans="1:8" s="943" customFormat="1" x14ac:dyDescent="0.25">
      <c r="A5343" s="952"/>
      <c r="B5343" s="953"/>
      <c r="C5343" s="953"/>
      <c r="D5343" s="953"/>
      <c r="E5343" s="953"/>
      <c r="F5343" s="953"/>
      <c r="G5343" s="953"/>
      <c r="H5343" s="953"/>
    </row>
    <row r="5344" spans="1:8" s="943" customFormat="1" x14ac:dyDescent="0.25">
      <c r="A5344" s="952"/>
      <c r="B5344" s="953"/>
      <c r="C5344" s="953"/>
      <c r="D5344" s="953"/>
      <c r="E5344" s="953"/>
      <c r="F5344" s="953"/>
      <c r="G5344" s="953"/>
      <c r="H5344" s="953"/>
    </row>
    <row r="5345" spans="1:8" s="943" customFormat="1" x14ac:dyDescent="0.25">
      <c r="A5345" s="952"/>
      <c r="B5345" s="953"/>
      <c r="C5345" s="953"/>
      <c r="D5345" s="953"/>
      <c r="E5345" s="953"/>
      <c r="F5345" s="953"/>
      <c r="G5345" s="953"/>
      <c r="H5345" s="953"/>
    </row>
    <row r="5346" spans="1:8" s="943" customFormat="1" x14ac:dyDescent="0.25">
      <c r="A5346" s="952"/>
      <c r="B5346" s="953"/>
      <c r="C5346" s="953"/>
      <c r="D5346" s="953"/>
      <c r="E5346" s="953"/>
      <c r="F5346" s="953"/>
      <c r="G5346" s="953"/>
      <c r="H5346" s="953"/>
    </row>
    <row r="5347" spans="1:8" s="943" customFormat="1" x14ac:dyDescent="0.25">
      <c r="A5347" s="952"/>
      <c r="B5347" s="953"/>
      <c r="C5347" s="953"/>
      <c r="D5347" s="953"/>
      <c r="E5347" s="953"/>
      <c r="F5347" s="953"/>
      <c r="G5347" s="953"/>
      <c r="H5347" s="953"/>
    </row>
    <row r="5348" spans="1:8" s="943" customFormat="1" x14ac:dyDescent="0.25">
      <c r="A5348" s="952"/>
      <c r="B5348" s="953"/>
      <c r="C5348" s="953"/>
      <c r="D5348" s="953"/>
      <c r="E5348" s="953"/>
      <c r="F5348" s="953"/>
      <c r="G5348" s="953"/>
      <c r="H5348" s="953"/>
    </row>
    <row r="5349" spans="1:8" s="943" customFormat="1" x14ac:dyDescent="0.25">
      <c r="A5349" s="952"/>
      <c r="B5349" s="953"/>
      <c r="C5349" s="953"/>
      <c r="D5349" s="953"/>
      <c r="E5349" s="953"/>
      <c r="F5349" s="953"/>
      <c r="G5349" s="953"/>
      <c r="H5349" s="953"/>
    </row>
    <row r="5350" spans="1:8" s="943" customFormat="1" x14ac:dyDescent="0.25">
      <c r="A5350" s="952"/>
      <c r="B5350" s="953"/>
      <c r="C5350" s="953"/>
      <c r="D5350" s="953"/>
      <c r="E5350" s="953"/>
      <c r="F5350" s="953"/>
      <c r="G5350" s="953"/>
      <c r="H5350" s="953"/>
    </row>
    <row r="5351" spans="1:8" s="943" customFormat="1" x14ac:dyDescent="0.25">
      <c r="A5351" s="952"/>
      <c r="B5351" s="953"/>
      <c r="C5351" s="953"/>
      <c r="D5351" s="953"/>
      <c r="E5351" s="953"/>
      <c r="F5351" s="953"/>
      <c r="G5351" s="953"/>
      <c r="H5351" s="953"/>
    </row>
    <row r="5352" spans="1:8" s="943" customFormat="1" x14ac:dyDescent="0.25">
      <c r="A5352" s="952"/>
      <c r="B5352" s="953"/>
      <c r="C5352" s="953"/>
      <c r="D5352" s="953"/>
      <c r="E5352" s="953"/>
      <c r="F5352" s="953"/>
      <c r="G5352" s="953"/>
      <c r="H5352" s="953"/>
    </row>
    <row r="5353" spans="1:8" s="943" customFormat="1" x14ac:dyDescent="0.25">
      <c r="A5353" s="952"/>
      <c r="B5353" s="953"/>
      <c r="C5353" s="953"/>
      <c r="D5353" s="953"/>
      <c r="E5353" s="953"/>
      <c r="F5353" s="953"/>
      <c r="G5353" s="953"/>
      <c r="H5353" s="953"/>
    </row>
    <row r="5354" spans="1:8" s="943" customFormat="1" x14ac:dyDescent="0.25">
      <c r="A5354" s="952"/>
      <c r="B5354" s="953"/>
      <c r="C5354" s="953"/>
      <c r="D5354" s="953"/>
      <c r="E5354" s="953"/>
      <c r="F5354" s="953"/>
      <c r="G5354" s="953"/>
      <c r="H5354" s="953"/>
    </row>
    <row r="5355" spans="1:8" s="943" customFormat="1" x14ac:dyDescent="0.25">
      <c r="A5355" s="952"/>
      <c r="B5355" s="953"/>
      <c r="C5355" s="953"/>
      <c r="D5355" s="953"/>
      <c r="E5355" s="953"/>
      <c r="F5355" s="953"/>
      <c r="G5355" s="953"/>
      <c r="H5355" s="953"/>
    </row>
    <row r="5356" spans="1:8" s="943" customFormat="1" x14ac:dyDescent="0.25">
      <c r="A5356" s="952"/>
      <c r="B5356" s="953"/>
      <c r="C5356" s="953"/>
      <c r="D5356" s="953"/>
      <c r="E5356" s="953"/>
      <c r="F5356" s="953"/>
      <c r="G5356" s="953"/>
      <c r="H5356" s="953"/>
    </row>
    <row r="5357" spans="1:8" s="943" customFormat="1" x14ac:dyDescent="0.25">
      <c r="A5357" s="952"/>
      <c r="B5357" s="953"/>
      <c r="C5357" s="953"/>
      <c r="D5357" s="953"/>
      <c r="E5357" s="953"/>
      <c r="F5357" s="953"/>
      <c r="G5357" s="953"/>
      <c r="H5357" s="953"/>
    </row>
    <row r="5358" spans="1:8" s="943" customFormat="1" x14ac:dyDescent="0.25">
      <c r="A5358" s="952"/>
      <c r="B5358" s="953"/>
      <c r="C5358" s="953"/>
      <c r="D5358" s="953"/>
      <c r="E5358" s="953"/>
      <c r="F5358" s="953"/>
      <c r="G5358" s="953"/>
      <c r="H5358" s="953"/>
    </row>
    <row r="5359" spans="1:8" s="943" customFormat="1" x14ac:dyDescent="0.25">
      <c r="A5359" s="952"/>
      <c r="B5359" s="953"/>
      <c r="C5359" s="953"/>
      <c r="D5359" s="953"/>
      <c r="E5359" s="953"/>
      <c r="F5359" s="953"/>
      <c r="G5359" s="953"/>
      <c r="H5359" s="953"/>
    </row>
    <row r="5360" spans="1:8" s="943" customFormat="1" x14ac:dyDescent="0.25">
      <c r="A5360" s="952"/>
      <c r="B5360" s="953"/>
      <c r="C5360" s="953"/>
      <c r="D5360" s="953"/>
      <c r="E5360" s="953"/>
      <c r="F5360" s="953"/>
      <c r="G5360" s="953"/>
      <c r="H5360" s="953"/>
    </row>
    <row r="5361" spans="1:8" s="943" customFormat="1" x14ac:dyDescent="0.25">
      <c r="A5361" s="952"/>
      <c r="B5361" s="953"/>
      <c r="C5361" s="953"/>
      <c r="D5361" s="953"/>
      <c r="E5361" s="953"/>
      <c r="F5361" s="953"/>
      <c r="G5361" s="953"/>
      <c r="H5361" s="953"/>
    </row>
    <row r="5362" spans="1:8" s="943" customFormat="1" x14ac:dyDescent="0.25">
      <c r="A5362" s="952"/>
      <c r="B5362" s="953"/>
      <c r="C5362" s="953"/>
      <c r="D5362" s="953"/>
      <c r="E5362" s="953"/>
      <c r="F5362" s="953"/>
      <c r="G5362" s="953"/>
      <c r="H5362" s="953"/>
    </row>
    <row r="5363" spans="1:8" s="943" customFormat="1" x14ac:dyDescent="0.25">
      <c r="A5363" s="952"/>
      <c r="B5363" s="953"/>
      <c r="C5363" s="953"/>
      <c r="D5363" s="953"/>
      <c r="E5363" s="953"/>
      <c r="F5363" s="953"/>
      <c r="G5363" s="953"/>
      <c r="H5363" s="953"/>
    </row>
    <row r="5364" spans="1:8" s="943" customFormat="1" x14ac:dyDescent="0.25">
      <c r="A5364" s="952"/>
      <c r="B5364" s="953"/>
      <c r="C5364" s="953"/>
      <c r="D5364" s="953"/>
      <c r="E5364" s="953"/>
      <c r="F5364" s="953"/>
      <c r="G5364" s="953"/>
      <c r="H5364" s="953"/>
    </row>
    <row r="5365" spans="1:8" s="943" customFormat="1" x14ac:dyDescent="0.25">
      <c r="A5365" s="952"/>
      <c r="B5365" s="953"/>
      <c r="C5365" s="953"/>
      <c r="D5365" s="953"/>
      <c r="E5365" s="953"/>
      <c r="F5365" s="953"/>
      <c r="G5365" s="953"/>
      <c r="H5365" s="953"/>
    </row>
    <row r="5366" spans="1:8" s="943" customFormat="1" x14ac:dyDescent="0.25">
      <c r="A5366" s="952"/>
      <c r="B5366" s="953"/>
      <c r="C5366" s="953"/>
      <c r="D5366" s="953"/>
      <c r="E5366" s="953"/>
      <c r="F5366" s="953"/>
      <c r="G5366" s="953"/>
      <c r="H5366" s="953"/>
    </row>
    <row r="5367" spans="1:8" s="943" customFormat="1" x14ac:dyDescent="0.25">
      <c r="A5367" s="952"/>
      <c r="B5367" s="953"/>
      <c r="C5367" s="953"/>
      <c r="D5367" s="953"/>
      <c r="E5367" s="953"/>
      <c r="F5367" s="953"/>
      <c r="G5367" s="953"/>
      <c r="H5367" s="953"/>
    </row>
    <row r="5368" spans="1:8" s="943" customFormat="1" x14ac:dyDescent="0.25">
      <c r="A5368" s="952"/>
      <c r="B5368" s="953"/>
      <c r="C5368" s="953"/>
      <c r="D5368" s="953"/>
      <c r="E5368" s="953"/>
      <c r="F5368" s="953"/>
      <c r="G5368" s="953"/>
      <c r="H5368" s="953"/>
    </row>
    <row r="5369" spans="1:8" s="943" customFormat="1" x14ac:dyDescent="0.25">
      <c r="A5369" s="952"/>
      <c r="B5369" s="953"/>
      <c r="C5369" s="953"/>
      <c r="D5369" s="953"/>
      <c r="E5369" s="953"/>
      <c r="F5369" s="953"/>
      <c r="G5369" s="953"/>
      <c r="H5369" s="953"/>
    </row>
    <row r="5370" spans="1:8" s="943" customFormat="1" x14ac:dyDescent="0.25">
      <c r="A5370" s="952"/>
      <c r="B5370" s="953"/>
      <c r="C5370" s="953"/>
      <c r="D5370" s="953"/>
      <c r="E5370" s="953"/>
      <c r="F5370" s="953"/>
      <c r="G5370" s="953"/>
      <c r="H5370" s="953"/>
    </row>
    <row r="5371" spans="1:8" s="943" customFormat="1" x14ac:dyDescent="0.25">
      <c r="A5371" s="952"/>
      <c r="B5371" s="953"/>
      <c r="C5371" s="953"/>
      <c r="D5371" s="953"/>
      <c r="E5371" s="953"/>
      <c r="F5371" s="953"/>
      <c r="G5371" s="953"/>
      <c r="H5371" s="953"/>
    </row>
    <row r="5372" spans="1:8" s="943" customFormat="1" x14ac:dyDescent="0.25">
      <c r="A5372" s="952"/>
      <c r="B5372" s="953"/>
      <c r="C5372" s="953"/>
      <c r="D5372" s="953"/>
      <c r="E5372" s="953"/>
      <c r="F5372" s="953"/>
      <c r="G5372" s="953"/>
      <c r="H5372" s="953"/>
    </row>
    <row r="5373" spans="1:8" s="943" customFormat="1" x14ac:dyDescent="0.25">
      <c r="A5373" s="952"/>
      <c r="B5373" s="953"/>
      <c r="C5373" s="953"/>
      <c r="D5373" s="953"/>
      <c r="E5373" s="953"/>
      <c r="F5373" s="953"/>
      <c r="G5373" s="953"/>
      <c r="H5373" s="953"/>
    </row>
    <row r="5374" spans="1:8" s="943" customFormat="1" x14ac:dyDescent="0.25">
      <c r="A5374" s="952"/>
      <c r="B5374" s="953"/>
      <c r="C5374" s="953"/>
      <c r="D5374" s="953"/>
      <c r="E5374" s="953"/>
      <c r="F5374" s="953"/>
      <c r="G5374" s="953"/>
      <c r="H5374" s="953"/>
    </row>
    <row r="5375" spans="1:8" s="943" customFormat="1" x14ac:dyDescent="0.25">
      <c r="A5375" s="952"/>
      <c r="B5375" s="953"/>
      <c r="C5375" s="953"/>
      <c r="D5375" s="953"/>
      <c r="E5375" s="953"/>
      <c r="F5375" s="953"/>
      <c r="G5375" s="953"/>
      <c r="H5375" s="953"/>
    </row>
    <row r="5376" spans="1:8" s="943" customFormat="1" x14ac:dyDescent="0.25">
      <c r="A5376" s="952"/>
      <c r="B5376" s="953"/>
      <c r="C5376" s="953"/>
      <c r="D5376" s="953"/>
      <c r="E5376" s="953"/>
      <c r="F5376" s="953"/>
      <c r="G5376" s="953"/>
      <c r="H5376" s="953"/>
    </row>
    <row r="5377" spans="1:8" s="943" customFormat="1" x14ac:dyDescent="0.25">
      <c r="A5377" s="952"/>
      <c r="B5377" s="953"/>
      <c r="C5377" s="953"/>
      <c r="D5377" s="953"/>
      <c r="E5377" s="953"/>
      <c r="F5377" s="953"/>
      <c r="G5377" s="953"/>
      <c r="H5377" s="953"/>
    </row>
    <row r="5378" spans="1:8" s="943" customFormat="1" x14ac:dyDescent="0.25">
      <c r="A5378" s="952"/>
      <c r="B5378" s="953"/>
      <c r="C5378" s="953"/>
      <c r="D5378" s="953"/>
      <c r="E5378" s="953"/>
      <c r="F5378" s="953"/>
      <c r="G5378" s="953"/>
      <c r="H5378" s="953"/>
    </row>
    <row r="5379" spans="1:8" s="943" customFormat="1" x14ac:dyDescent="0.25">
      <c r="A5379" s="952"/>
      <c r="B5379" s="953"/>
      <c r="C5379" s="953"/>
      <c r="D5379" s="953"/>
      <c r="E5379" s="953"/>
      <c r="F5379" s="953"/>
      <c r="G5379" s="953"/>
      <c r="H5379" s="953"/>
    </row>
    <row r="5380" spans="1:8" s="943" customFormat="1" x14ac:dyDescent="0.25">
      <c r="A5380" s="952"/>
      <c r="B5380" s="953"/>
      <c r="C5380" s="953"/>
      <c r="D5380" s="953"/>
      <c r="E5380" s="953"/>
      <c r="F5380" s="953"/>
      <c r="G5380" s="953"/>
      <c r="H5380" s="953"/>
    </row>
    <row r="5381" spans="1:8" s="943" customFormat="1" x14ac:dyDescent="0.25">
      <c r="A5381" s="952"/>
      <c r="B5381" s="953"/>
      <c r="C5381" s="953"/>
      <c r="D5381" s="953"/>
      <c r="E5381" s="953"/>
      <c r="F5381" s="953"/>
      <c r="G5381" s="953"/>
      <c r="H5381" s="953"/>
    </row>
    <row r="5382" spans="1:8" s="943" customFormat="1" x14ac:dyDescent="0.25">
      <c r="A5382" s="952"/>
      <c r="B5382" s="953"/>
      <c r="C5382" s="953"/>
      <c r="D5382" s="953"/>
      <c r="E5382" s="953"/>
      <c r="F5382" s="953"/>
      <c r="G5382" s="953"/>
      <c r="H5382" s="953"/>
    </row>
    <row r="5383" spans="1:8" s="943" customFormat="1" x14ac:dyDescent="0.25">
      <c r="A5383" s="952"/>
      <c r="B5383" s="953"/>
      <c r="C5383" s="953"/>
      <c r="D5383" s="953"/>
      <c r="E5383" s="953"/>
      <c r="F5383" s="953"/>
      <c r="G5383" s="953"/>
      <c r="H5383" s="953"/>
    </row>
    <row r="5384" spans="1:8" s="943" customFormat="1" x14ac:dyDescent="0.25">
      <c r="A5384" s="952"/>
      <c r="B5384" s="953"/>
      <c r="C5384" s="953"/>
      <c r="D5384" s="953"/>
      <c r="E5384" s="953"/>
      <c r="F5384" s="953"/>
      <c r="G5384" s="953"/>
      <c r="H5384" s="953"/>
    </row>
    <row r="5385" spans="1:8" s="943" customFormat="1" x14ac:dyDescent="0.25">
      <c r="A5385" s="952"/>
      <c r="B5385" s="953"/>
      <c r="C5385" s="953"/>
      <c r="D5385" s="953"/>
      <c r="E5385" s="953"/>
      <c r="F5385" s="953"/>
      <c r="G5385" s="953"/>
      <c r="H5385" s="953"/>
    </row>
    <row r="5386" spans="1:8" s="943" customFormat="1" x14ac:dyDescent="0.25">
      <c r="A5386" s="952"/>
      <c r="B5386" s="953"/>
      <c r="C5386" s="953"/>
      <c r="D5386" s="953"/>
      <c r="E5386" s="953"/>
      <c r="F5386" s="953"/>
      <c r="G5386" s="953"/>
      <c r="H5386" s="953"/>
    </row>
    <row r="5387" spans="1:8" s="943" customFormat="1" x14ac:dyDescent="0.25">
      <c r="A5387" s="952"/>
      <c r="B5387" s="953"/>
      <c r="C5387" s="953"/>
      <c r="D5387" s="953"/>
      <c r="E5387" s="953"/>
      <c r="F5387" s="953"/>
      <c r="G5387" s="953"/>
      <c r="H5387" s="953"/>
    </row>
    <row r="5388" spans="1:8" s="943" customFormat="1" x14ac:dyDescent="0.25">
      <c r="A5388" s="952"/>
      <c r="B5388" s="953"/>
      <c r="C5388" s="953"/>
      <c r="D5388" s="953"/>
      <c r="E5388" s="953"/>
      <c r="F5388" s="953"/>
      <c r="G5388" s="953"/>
      <c r="H5388" s="953"/>
    </row>
    <row r="5389" spans="1:8" s="943" customFormat="1" x14ac:dyDescent="0.25">
      <c r="A5389" s="952"/>
      <c r="B5389" s="953"/>
      <c r="C5389" s="953"/>
      <c r="D5389" s="953"/>
      <c r="E5389" s="953"/>
      <c r="F5389" s="953"/>
      <c r="G5389" s="953"/>
      <c r="H5389" s="953"/>
    </row>
    <row r="5390" spans="1:8" s="943" customFormat="1" x14ac:dyDescent="0.25">
      <c r="A5390" s="952"/>
      <c r="B5390" s="953"/>
      <c r="C5390" s="953"/>
      <c r="D5390" s="953"/>
      <c r="E5390" s="953"/>
      <c r="F5390" s="953"/>
      <c r="G5390" s="953"/>
      <c r="H5390" s="953"/>
    </row>
    <row r="5391" spans="1:8" s="943" customFormat="1" x14ac:dyDescent="0.25">
      <c r="A5391" s="952"/>
      <c r="B5391" s="953"/>
      <c r="C5391" s="953"/>
      <c r="D5391" s="953"/>
      <c r="E5391" s="953"/>
      <c r="F5391" s="953"/>
      <c r="G5391" s="953"/>
      <c r="H5391" s="953"/>
    </row>
    <row r="5392" spans="1:8" s="943" customFormat="1" x14ac:dyDescent="0.25">
      <c r="A5392" s="952"/>
      <c r="B5392" s="953"/>
      <c r="C5392" s="953"/>
      <c r="D5392" s="953"/>
      <c r="E5392" s="953"/>
      <c r="F5392" s="953"/>
      <c r="G5392" s="953"/>
      <c r="H5392" s="953"/>
    </row>
    <row r="5393" spans="1:8" s="943" customFormat="1" x14ac:dyDescent="0.25">
      <c r="A5393" s="952"/>
      <c r="B5393" s="953"/>
      <c r="C5393" s="953"/>
      <c r="D5393" s="953"/>
      <c r="E5393" s="953"/>
      <c r="F5393" s="953"/>
      <c r="G5393" s="953"/>
      <c r="H5393" s="953"/>
    </row>
    <row r="5394" spans="1:8" s="943" customFormat="1" x14ac:dyDescent="0.25">
      <c r="A5394" s="952"/>
      <c r="B5394" s="953"/>
      <c r="C5394" s="953"/>
      <c r="D5394" s="953"/>
      <c r="E5394" s="953"/>
      <c r="F5394" s="953"/>
      <c r="G5394" s="953"/>
      <c r="H5394" s="953"/>
    </row>
    <row r="5395" spans="1:8" s="943" customFormat="1" x14ac:dyDescent="0.25">
      <c r="A5395" s="952"/>
      <c r="B5395" s="953"/>
      <c r="C5395" s="953"/>
      <c r="D5395" s="953"/>
      <c r="E5395" s="953"/>
      <c r="F5395" s="953"/>
      <c r="G5395" s="953"/>
      <c r="H5395" s="953"/>
    </row>
    <row r="5396" spans="1:8" s="943" customFormat="1" x14ac:dyDescent="0.25">
      <c r="A5396" s="952"/>
      <c r="B5396" s="953"/>
      <c r="C5396" s="953"/>
      <c r="D5396" s="953"/>
      <c r="E5396" s="953"/>
      <c r="F5396" s="953"/>
      <c r="G5396" s="953"/>
      <c r="H5396" s="953"/>
    </row>
    <row r="5397" spans="1:8" s="943" customFormat="1" x14ac:dyDescent="0.25">
      <c r="A5397" s="952"/>
      <c r="B5397" s="953"/>
      <c r="C5397" s="953"/>
      <c r="D5397" s="953"/>
      <c r="E5397" s="953"/>
      <c r="F5397" s="953"/>
      <c r="G5397" s="953"/>
      <c r="H5397" s="953"/>
    </row>
    <row r="5398" spans="1:8" s="943" customFormat="1" x14ac:dyDescent="0.25">
      <c r="A5398" s="952"/>
      <c r="B5398" s="953"/>
      <c r="C5398" s="953"/>
      <c r="D5398" s="953"/>
      <c r="E5398" s="953"/>
      <c r="F5398" s="953"/>
      <c r="G5398" s="953"/>
      <c r="H5398" s="953"/>
    </row>
    <row r="5399" spans="1:8" s="943" customFormat="1" x14ac:dyDescent="0.25">
      <c r="A5399" s="952"/>
      <c r="B5399" s="953"/>
      <c r="C5399" s="953"/>
      <c r="D5399" s="953"/>
      <c r="E5399" s="953"/>
      <c r="F5399" s="953"/>
      <c r="G5399" s="953"/>
      <c r="H5399" s="953"/>
    </row>
    <row r="5400" spans="1:8" s="943" customFormat="1" x14ac:dyDescent="0.25">
      <c r="A5400" s="952"/>
      <c r="B5400" s="953"/>
      <c r="C5400" s="953"/>
      <c r="D5400" s="953"/>
      <c r="E5400" s="953"/>
      <c r="F5400" s="953"/>
      <c r="G5400" s="953"/>
      <c r="H5400" s="953"/>
    </row>
    <row r="5401" spans="1:8" s="943" customFormat="1" x14ac:dyDescent="0.25">
      <c r="A5401" s="952"/>
      <c r="B5401" s="953"/>
      <c r="C5401" s="953"/>
      <c r="D5401" s="953"/>
      <c r="E5401" s="953"/>
      <c r="F5401" s="953"/>
      <c r="G5401" s="953"/>
      <c r="H5401" s="953"/>
    </row>
    <row r="5402" spans="1:8" s="943" customFormat="1" x14ac:dyDescent="0.25">
      <c r="A5402" s="952"/>
      <c r="B5402" s="953"/>
      <c r="C5402" s="953"/>
      <c r="D5402" s="953"/>
      <c r="E5402" s="953"/>
      <c r="F5402" s="953"/>
      <c r="G5402" s="953"/>
      <c r="H5402" s="953"/>
    </row>
    <row r="5403" spans="1:8" s="943" customFormat="1" x14ac:dyDescent="0.25">
      <c r="A5403" s="952"/>
      <c r="B5403" s="953"/>
      <c r="C5403" s="953"/>
      <c r="D5403" s="953"/>
      <c r="E5403" s="953"/>
      <c r="F5403" s="953"/>
      <c r="G5403" s="953"/>
      <c r="H5403" s="953"/>
    </row>
    <row r="5404" spans="1:8" s="943" customFormat="1" x14ac:dyDescent="0.25">
      <c r="A5404" s="952"/>
      <c r="B5404" s="953"/>
      <c r="C5404" s="953"/>
      <c r="D5404" s="953"/>
      <c r="E5404" s="953"/>
      <c r="F5404" s="953"/>
      <c r="G5404" s="953"/>
      <c r="H5404" s="953"/>
    </row>
    <row r="5405" spans="1:8" s="943" customFormat="1" x14ac:dyDescent="0.25">
      <c r="A5405" s="952"/>
      <c r="B5405" s="953"/>
      <c r="C5405" s="953"/>
      <c r="D5405" s="953"/>
      <c r="E5405" s="953"/>
      <c r="F5405" s="953"/>
      <c r="G5405" s="953"/>
      <c r="H5405" s="953"/>
    </row>
    <row r="5406" spans="1:8" s="943" customFormat="1" x14ac:dyDescent="0.25">
      <c r="A5406" s="952"/>
      <c r="B5406" s="953"/>
      <c r="C5406" s="953"/>
      <c r="D5406" s="953"/>
      <c r="E5406" s="953"/>
      <c r="F5406" s="953"/>
      <c r="G5406" s="953"/>
      <c r="H5406" s="953"/>
    </row>
    <row r="5407" spans="1:8" s="943" customFormat="1" x14ac:dyDescent="0.25">
      <c r="A5407" s="952"/>
      <c r="B5407" s="953"/>
      <c r="C5407" s="953"/>
      <c r="D5407" s="953"/>
      <c r="E5407" s="953"/>
      <c r="F5407" s="953"/>
      <c r="G5407" s="953"/>
      <c r="H5407" s="953"/>
    </row>
    <row r="5408" spans="1:8" s="943" customFormat="1" x14ac:dyDescent="0.25">
      <c r="A5408" s="952"/>
      <c r="B5408" s="953"/>
      <c r="C5408" s="953"/>
      <c r="D5408" s="953"/>
      <c r="E5408" s="953"/>
      <c r="F5408" s="953"/>
      <c r="G5408" s="953"/>
      <c r="H5408" s="953"/>
    </row>
    <row r="5409" spans="1:8" s="943" customFormat="1" x14ac:dyDescent="0.25">
      <c r="A5409" s="952"/>
      <c r="B5409" s="953"/>
      <c r="C5409" s="953"/>
      <c r="D5409" s="953"/>
      <c r="E5409" s="953"/>
      <c r="F5409" s="953"/>
      <c r="G5409" s="953"/>
      <c r="H5409" s="953"/>
    </row>
    <row r="5410" spans="1:8" s="943" customFormat="1" x14ac:dyDescent="0.25">
      <c r="A5410" s="952"/>
      <c r="B5410" s="953"/>
      <c r="C5410" s="953"/>
      <c r="D5410" s="953"/>
      <c r="E5410" s="953"/>
      <c r="F5410" s="953"/>
      <c r="G5410" s="953"/>
      <c r="H5410" s="953"/>
    </row>
    <row r="5411" spans="1:8" s="943" customFormat="1" x14ac:dyDescent="0.25">
      <c r="A5411" s="952"/>
      <c r="B5411" s="953"/>
      <c r="C5411" s="953"/>
      <c r="D5411" s="953"/>
      <c r="E5411" s="953"/>
      <c r="F5411" s="953"/>
      <c r="G5411" s="953"/>
      <c r="H5411" s="953"/>
    </row>
    <row r="5412" spans="1:8" s="943" customFormat="1" x14ac:dyDescent="0.25">
      <c r="A5412" s="952"/>
      <c r="B5412" s="953"/>
      <c r="C5412" s="953"/>
      <c r="D5412" s="953"/>
      <c r="E5412" s="953"/>
      <c r="F5412" s="953"/>
      <c r="G5412" s="953"/>
      <c r="H5412" s="953"/>
    </row>
    <row r="5413" spans="1:8" s="943" customFormat="1" x14ac:dyDescent="0.25">
      <c r="A5413" s="952"/>
      <c r="B5413" s="953"/>
      <c r="C5413" s="953"/>
      <c r="D5413" s="953"/>
      <c r="E5413" s="953"/>
      <c r="F5413" s="953"/>
      <c r="G5413" s="953"/>
      <c r="H5413" s="953"/>
    </row>
    <row r="5414" spans="1:8" s="943" customFormat="1" x14ac:dyDescent="0.25">
      <c r="A5414" s="952"/>
      <c r="B5414" s="953"/>
      <c r="C5414" s="953"/>
      <c r="D5414" s="953"/>
      <c r="E5414" s="953"/>
      <c r="F5414" s="953"/>
      <c r="G5414" s="953"/>
      <c r="H5414" s="953"/>
    </row>
    <row r="5415" spans="1:8" s="943" customFormat="1" x14ac:dyDescent="0.25">
      <c r="A5415" s="952"/>
      <c r="B5415" s="953"/>
      <c r="C5415" s="953"/>
      <c r="D5415" s="953"/>
      <c r="E5415" s="953"/>
      <c r="F5415" s="953"/>
      <c r="G5415" s="953"/>
      <c r="H5415" s="953"/>
    </row>
    <row r="5416" spans="1:8" s="943" customFormat="1" x14ac:dyDescent="0.25">
      <c r="A5416" s="952"/>
      <c r="B5416" s="953"/>
      <c r="C5416" s="953"/>
      <c r="D5416" s="953"/>
      <c r="E5416" s="953"/>
      <c r="F5416" s="953"/>
      <c r="G5416" s="953"/>
      <c r="H5416" s="953"/>
    </row>
    <row r="5417" spans="1:8" s="943" customFormat="1" x14ac:dyDescent="0.25">
      <c r="A5417" s="952"/>
      <c r="B5417" s="953"/>
      <c r="C5417" s="953"/>
      <c r="D5417" s="953"/>
      <c r="E5417" s="953"/>
      <c r="F5417" s="953"/>
      <c r="G5417" s="953"/>
      <c r="H5417" s="953"/>
    </row>
    <row r="5418" spans="1:8" s="943" customFormat="1" x14ac:dyDescent="0.25">
      <c r="A5418" s="952"/>
      <c r="B5418" s="953"/>
      <c r="C5418" s="953"/>
      <c r="D5418" s="953"/>
      <c r="E5418" s="953"/>
      <c r="F5418" s="953"/>
      <c r="G5418" s="953"/>
      <c r="H5418" s="953"/>
    </row>
    <row r="5419" spans="1:8" s="943" customFormat="1" x14ac:dyDescent="0.25">
      <c r="A5419" s="952"/>
      <c r="B5419" s="953"/>
      <c r="C5419" s="953"/>
      <c r="D5419" s="953"/>
      <c r="E5419" s="953"/>
      <c r="F5419" s="953"/>
      <c r="G5419" s="953"/>
      <c r="H5419" s="953"/>
    </row>
    <row r="5420" spans="1:8" s="943" customFormat="1" x14ac:dyDescent="0.25">
      <c r="A5420" s="952"/>
      <c r="B5420" s="953"/>
      <c r="C5420" s="953"/>
      <c r="D5420" s="953"/>
      <c r="E5420" s="953"/>
      <c r="F5420" s="953"/>
      <c r="G5420" s="953"/>
      <c r="H5420" s="953"/>
    </row>
    <row r="5421" spans="1:8" s="943" customFormat="1" x14ac:dyDescent="0.25">
      <c r="A5421" s="952"/>
      <c r="B5421" s="953"/>
      <c r="C5421" s="953"/>
      <c r="D5421" s="953"/>
      <c r="E5421" s="953"/>
      <c r="F5421" s="953"/>
      <c r="G5421" s="953"/>
      <c r="H5421" s="953"/>
    </row>
    <row r="5422" spans="1:8" s="943" customFormat="1" x14ac:dyDescent="0.25">
      <c r="A5422" s="952"/>
      <c r="B5422" s="953"/>
      <c r="C5422" s="953"/>
      <c r="D5422" s="953"/>
      <c r="E5422" s="953"/>
      <c r="F5422" s="953"/>
      <c r="G5422" s="953"/>
      <c r="H5422" s="953"/>
    </row>
    <row r="5423" spans="1:8" s="943" customFormat="1" x14ac:dyDescent="0.25">
      <c r="A5423" s="952"/>
      <c r="B5423" s="953"/>
      <c r="C5423" s="953"/>
      <c r="D5423" s="953"/>
      <c r="E5423" s="953"/>
      <c r="F5423" s="953"/>
      <c r="G5423" s="953"/>
      <c r="H5423" s="953"/>
    </row>
    <row r="5424" spans="1:8" s="943" customFormat="1" x14ac:dyDescent="0.25">
      <c r="A5424" s="952"/>
      <c r="B5424" s="953"/>
      <c r="C5424" s="953"/>
      <c r="D5424" s="953"/>
      <c r="E5424" s="953"/>
      <c r="F5424" s="953"/>
      <c r="G5424" s="953"/>
      <c r="H5424" s="953"/>
    </row>
    <row r="5425" spans="1:8" s="943" customFormat="1" x14ac:dyDescent="0.25">
      <c r="A5425" s="952"/>
      <c r="B5425" s="953"/>
      <c r="C5425" s="953"/>
      <c r="D5425" s="953"/>
      <c r="E5425" s="953"/>
      <c r="F5425" s="953"/>
      <c r="G5425" s="953"/>
      <c r="H5425" s="953"/>
    </row>
    <row r="5426" spans="1:8" s="943" customFormat="1" x14ac:dyDescent="0.25">
      <c r="A5426" s="952"/>
      <c r="B5426" s="953"/>
      <c r="C5426" s="953"/>
      <c r="D5426" s="953"/>
      <c r="E5426" s="953"/>
      <c r="F5426" s="953"/>
      <c r="G5426" s="953"/>
      <c r="H5426" s="953"/>
    </row>
    <row r="5427" spans="1:8" s="943" customFormat="1" x14ac:dyDescent="0.25">
      <c r="A5427" s="952"/>
      <c r="B5427" s="953"/>
      <c r="C5427" s="953"/>
      <c r="D5427" s="953"/>
      <c r="E5427" s="953"/>
      <c r="F5427" s="953"/>
      <c r="G5427" s="953"/>
      <c r="H5427" s="953"/>
    </row>
    <row r="5428" spans="1:8" s="943" customFormat="1" x14ac:dyDescent="0.25">
      <c r="A5428" s="952"/>
      <c r="B5428" s="953"/>
      <c r="C5428" s="953"/>
      <c r="D5428" s="953"/>
      <c r="E5428" s="953"/>
      <c r="F5428" s="953"/>
      <c r="G5428" s="953"/>
      <c r="H5428" s="953"/>
    </row>
    <row r="5429" spans="1:8" s="943" customFormat="1" x14ac:dyDescent="0.25">
      <c r="A5429" s="952"/>
      <c r="B5429" s="953"/>
      <c r="C5429" s="953"/>
      <c r="D5429" s="953"/>
      <c r="E5429" s="953"/>
      <c r="F5429" s="953"/>
      <c r="G5429" s="953"/>
      <c r="H5429" s="953"/>
    </row>
    <row r="5430" spans="1:8" s="943" customFormat="1" x14ac:dyDescent="0.25">
      <c r="A5430" s="952"/>
      <c r="B5430" s="953"/>
      <c r="C5430" s="953"/>
      <c r="D5430" s="953"/>
      <c r="E5430" s="953"/>
      <c r="F5430" s="953"/>
      <c r="G5430" s="953"/>
      <c r="H5430" s="953"/>
    </row>
    <row r="5431" spans="1:8" s="943" customFormat="1" x14ac:dyDescent="0.25">
      <c r="A5431" s="952"/>
      <c r="B5431" s="953"/>
      <c r="C5431" s="953"/>
      <c r="D5431" s="953"/>
      <c r="E5431" s="953"/>
      <c r="F5431" s="953"/>
      <c r="G5431" s="953"/>
      <c r="H5431" s="953"/>
    </row>
    <row r="5432" spans="1:8" s="943" customFormat="1" x14ac:dyDescent="0.25">
      <c r="A5432" s="952"/>
      <c r="B5432" s="953"/>
      <c r="C5432" s="953"/>
      <c r="D5432" s="953"/>
      <c r="E5432" s="953"/>
      <c r="F5432" s="953"/>
      <c r="G5432" s="953"/>
      <c r="H5432" s="953"/>
    </row>
    <row r="5433" spans="1:8" s="943" customFormat="1" x14ac:dyDescent="0.25">
      <c r="A5433" s="952"/>
      <c r="B5433" s="953"/>
      <c r="C5433" s="953"/>
      <c r="D5433" s="953"/>
      <c r="E5433" s="953"/>
      <c r="F5433" s="953"/>
      <c r="G5433" s="953"/>
      <c r="H5433" s="953"/>
    </row>
    <row r="5434" spans="1:8" s="943" customFormat="1" x14ac:dyDescent="0.25">
      <c r="A5434" s="952"/>
      <c r="B5434" s="953"/>
      <c r="C5434" s="953"/>
      <c r="D5434" s="953"/>
      <c r="E5434" s="953"/>
      <c r="F5434" s="953"/>
      <c r="G5434" s="953"/>
      <c r="H5434" s="953"/>
    </row>
    <row r="5435" spans="1:8" s="943" customFormat="1" x14ac:dyDescent="0.25">
      <c r="A5435" s="952"/>
      <c r="B5435" s="953"/>
      <c r="C5435" s="953"/>
      <c r="D5435" s="953"/>
      <c r="E5435" s="953"/>
      <c r="F5435" s="953"/>
      <c r="G5435" s="953"/>
      <c r="H5435" s="953"/>
    </row>
    <row r="5436" spans="1:8" s="943" customFormat="1" x14ac:dyDescent="0.25">
      <c r="A5436" s="952"/>
      <c r="B5436" s="953"/>
      <c r="C5436" s="953"/>
      <c r="D5436" s="953"/>
      <c r="E5436" s="953"/>
      <c r="F5436" s="953"/>
      <c r="G5436" s="953"/>
      <c r="H5436" s="953"/>
    </row>
    <row r="5437" spans="1:8" s="943" customFormat="1" x14ac:dyDescent="0.25">
      <c r="A5437" s="952"/>
      <c r="B5437" s="953"/>
      <c r="C5437" s="953"/>
      <c r="D5437" s="953"/>
      <c r="E5437" s="953"/>
      <c r="F5437" s="953"/>
      <c r="G5437" s="953"/>
      <c r="H5437" s="953"/>
    </row>
    <row r="5438" spans="1:8" s="943" customFormat="1" x14ac:dyDescent="0.25">
      <c r="A5438" s="952"/>
      <c r="B5438" s="953"/>
      <c r="C5438" s="953"/>
      <c r="D5438" s="953"/>
      <c r="E5438" s="953"/>
      <c r="F5438" s="953"/>
      <c r="G5438" s="953"/>
      <c r="H5438" s="953"/>
    </row>
    <row r="5439" spans="1:8" s="943" customFormat="1" x14ac:dyDescent="0.25">
      <c r="A5439" s="952"/>
      <c r="B5439" s="953"/>
      <c r="C5439" s="953"/>
      <c r="D5439" s="953"/>
      <c r="E5439" s="953"/>
      <c r="F5439" s="953"/>
      <c r="G5439" s="953"/>
      <c r="H5439" s="953"/>
    </row>
    <row r="5440" spans="1:8" s="943" customFormat="1" x14ac:dyDescent="0.25">
      <c r="A5440" s="952"/>
      <c r="B5440" s="953"/>
      <c r="C5440" s="953"/>
      <c r="D5440" s="953"/>
      <c r="E5440" s="953"/>
      <c r="F5440" s="953"/>
      <c r="G5440" s="953"/>
      <c r="H5440" s="953"/>
    </row>
    <row r="5441" spans="1:8" s="943" customFormat="1" x14ac:dyDescent="0.25">
      <c r="A5441" s="952"/>
      <c r="B5441" s="953"/>
      <c r="C5441" s="953"/>
      <c r="D5441" s="953"/>
      <c r="E5441" s="953"/>
      <c r="F5441" s="953"/>
      <c r="G5441" s="953"/>
      <c r="H5441" s="953"/>
    </row>
    <row r="5442" spans="1:8" s="943" customFormat="1" x14ac:dyDescent="0.25">
      <c r="A5442" s="952"/>
      <c r="B5442" s="953"/>
      <c r="C5442" s="953"/>
      <c r="D5442" s="953"/>
      <c r="E5442" s="953"/>
      <c r="F5442" s="953"/>
      <c r="G5442" s="953"/>
      <c r="H5442" s="953"/>
    </row>
    <row r="5443" spans="1:8" s="943" customFormat="1" x14ac:dyDescent="0.25">
      <c r="A5443" s="952"/>
      <c r="B5443" s="953"/>
      <c r="C5443" s="953"/>
      <c r="D5443" s="953"/>
      <c r="E5443" s="953"/>
      <c r="F5443" s="953"/>
      <c r="G5443" s="953"/>
      <c r="H5443" s="953"/>
    </row>
    <row r="5444" spans="1:8" s="943" customFormat="1" x14ac:dyDescent="0.25">
      <c r="A5444" s="952"/>
      <c r="B5444" s="953"/>
      <c r="C5444" s="953"/>
      <c r="D5444" s="953"/>
      <c r="E5444" s="953"/>
      <c r="F5444" s="953"/>
      <c r="G5444" s="953"/>
      <c r="H5444" s="953"/>
    </row>
    <row r="5445" spans="1:8" s="943" customFormat="1" x14ac:dyDescent="0.25">
      <c r="A5445" s="952"/>
      <c r="B5445" s="953"/>
      <c r="C5445" s="953"/>
      <c r="D5445" s="953"/>
      <c r="E5445" s="953"/>
      <c r="F5445" s="953"/>
      <c r="G5445" s="953"/>
      <c r="H5445" s="953"/>
    </row>
    <row r="5446" spans="1:8" s="943" customFormat="1" x14ac:dyDescent="0.25">
      <c r="A5446" s="952"/>
      <c r="B5446" s="953"/>
      <c r="C5446" s="953"/>
      <c r="D5446" s="953"/>
      <c r="E5446" s="953"/>
      <c r="F5446" s="953"/>
      <c r="G5446" s="953"/>
      <c r="H5446" s="953"/>
    </row>
    <row r="5447" spans="1:8" s="943" customFormat="1" x14ac:dyDescent="0.25">
      <c r="A5447" s="952"/>
      <c r="B5447" s="953"/>
      <c r="C5447" s="953"/>
      <c r="D5447" s="953"/>
      <c r="E5447" s="953"/>
      <c r="F5447" s="953"/>
      <c r="G5447" s="953"/>
      <c r="H5447" s="953"/>
    </row>
    <row r="5448" spans="1:8" s="943" customFormat="1" x14ac:dyDescent="0.25">
      <c r="A5448" s="952"/>
      <c r="B5448" s="953"/>
      <c r="C5448" s="953"/>
      <c r="D5448" s="953"/>
      <c r="E5448" s="953"/>
      <c r="F5448" s="953"/>
      <c r="G5448" s="953"/>
      <c r="H5448" s="953"/>
    </row>
    <row r="5449" spans="1:8" s="943" customFormat="1" x14ac:dyDescent="0.25">
      <c r="A5449" s="952"/>
      <c r="B5449" s="953"/>
      <c r="C5449" s="953"/>
      <c r="D5449" s="953"/>
      <c r="E5449" s="953"/>
      <c r="F5449" s="953"/>
      <c r="G5449" s="953"/>
      <c r="H5449" s="953"/>
    </row>
    <row r="5450" spans="1:8" s="943" customFormat="1" x14ac:dyDescent="0.25">
      <c r="A5450" s="952"/>
      <c r="B5450" s="953"/>
      <c r="C5450" s="953"/>
      <c r="D5450" s="953"/>
      <c r="E5450" s="953"/>
      <c r="F5450" s="953"/>
      <c r="G5450" s="953"/>
      <c r="H5450" s="953"/>
    </row>
    <row r="5451" spans="1:8" s="943" customFormat="1" x14ac:dyDescent="0.25">
      <c r="A5451" s="952"/>
      <c r="B5451" s="953"/>
      <c r="C5451" s="953"/>
      <c r="D5451" s="953"/>
      <c r="E5451" s="953"/>
      <c r="F5451" s="953"/>
      <c r="G5451" s="953"/>
      <c r="H5451" s="953"/>
    </row>
    <row r="5452" spans="1:8" s="943" customFormat="1" x14ac:dyDescent="0.25">
      <c r="A5452" s="952"/>
      <c r="B5452" s="953"/>
      <c r="C5452" s="953"/>
      <c r="D5452" s="953"/>
      <c r="E5452" s="953"/>
      <c r="F5452" s="953"/>
      <c r="G5452" s="953"/>
      <c r="H5452" s="953"/>
    </row>
    <row r="5453" spans="1:8" s="943" customFormat="1" x14ac:dyDescent="0.25">
      <c r="A5453" s="952"/>
      <c r="B5453" s="953"/>
      <c r="C5453" s="953"/>
      <c r="D5453" s="953"/>
      <c r="E5453" s="953"/>
      <c r="F5453" s="953"/>
      <c r="G5453" s="953"/>
      <c r="H5453" s="953"/>
    </row>
    <row r="5454" spans="1:8" s="943" customFormat="1" x14ac:dyDescent="0.25">
      <c r="A5454" s="952"/>
      <c r="B5454" s="953"/>
      <c r="C5454" s="953"/>
      <c r="D5454" s="953"/>
      <c r="E5454" s="953"/>
      <c r="F5454" s="953"/>
      <c r="G5454" s="953"/>
      <c r="H5454" s="953"/>
    </row>
    <row r="5455" spans="1:8" s="943" customFormat="1" x14ac:dyDescent="0.25">
      <c r="A5455" s="952"/>
      <c r="B5455" s="953"/>
      <c r="C5455" s="953"/>
      <c r="D5455" s="953"/>
      <c r="E5455" s="953"/>
      <c r="F5455" s="953"/>
      <c r="G5455" s="953"/>
      <c r="H5455" s="953"/>
    </row>
    <row r="5456" spans="1:8" s="943" customFormat="1" x14ac:dyDescent="0.25">
      <c r="A5456" s="952"/>
      <c r="B5456" s="953"/>
      <c r="C5456" s="953"/>
      <c r="D5456" s="953"/>
      <c r="E5456" s="953"/>
      <c r="F5456" s="953"/>
      <c r="G5456" s="953"/>
      <c r="H5456" s="953"/>
    </row>
    <row r="5457" spans="1:8" s="943" customFormat="1" x14ac:dyDescent="0.25">
      <c r="A5457" s="952"/>
      <c r="B5457" s="953"/>
      <c r="C5457" s="953"/>
      <c r="D5457" s="953"/>
      <c r="E5457" s="953"/>
      <c r="F5457" s="953"/>
      <c r="G5457" s="953"/>
      <c r="H5457" s="953"/>
    </row>
    <row r="5458" spans="1:8" s="943" customFormat="1" x14ac:dyDescent="0.25">
      <c r="A5458" s="952"/>
      <c r="B5458" s="953"/>
      <c r="C5458" s="953"/>
      <c r="D5458" s="953"/>
      <c r="E5458" s="953"/>
      <c r="F5458" s="953"/>
      <c r="G5458" s="953"/>
      <c r="H5458" s="953"/>
    </row>
    <row r="5459" spans="1:8" s="943" customFormat="1" x14ac:dyDescent="0.25">
      <c r="A5459" s="952"/>
      <c r="B5459" s="953"/>
      <c r="C5459" s="953"/>
      <c r="D5459" s="953"/>
      <c r="E5459" s="953"/>
      <c r="F5459" s="953"/>
      <c r="G5459" s="953"/>
      <c r="H5459" s="953"/>
    </row>
    <row r="5460" spans="1:8" s="943" customFormat="1" x14ac:dyDescent="0.25">
      <c r="A5460" s="952"/>
      <c r="B5460" s="953"/>
      <c r="C5460" s="953"/>
      <c r="D5460" s="953"/>
      <c r="E5460" s="953"/>
      <c r="F5460" s="953"/>
      <c r="G5460" s="953"/>
      <c r="H5460" s="953"/>
    </row>
    <row r="5461" spans="1:8" s="943" customFormat="1" x14ac:dyDescent="0.25">
      <c r="A5461" s="952"/>
      <c r="B5461" s="953"/>
      <c r="C5461" s="953"/>
      <c r="D5461" s="953"/>
      <c r="E5461" s="953"/>
      <c r="F5461" s="953"/>
      <c r="G5461" s="953"/>
      <c r="H5461" s="953"/>
    </row>
    <row r="5462" spans="1:8" s="943" customFormat="1" x14ac:dyDescent="0.25">
      <c r="A5462" s="952"/>
      <c r="B5462" s="953"/>
      <c r="C5462" s="953"/>
      <c r="D5462" s="953"/>
      <c r="E5462" s="953"/>
      <c r="F5462" s="953"/>
      <c r="G5462" s="953"/>
      <c r="H5462" s="953"/>
    </row>
    <row r="5463" spans="1:8" s="943" customFormat="1" x14ac:dyDescent="0.25">
      <c r="A5463" s="952"/>
      <c r="B5463" s="953"/>
      <c r="C5463" s="953"/>
      <c r="D5463" s="953"/>
      <c r="E5463" s="953"/>
      <c r="F5463" s="953"/>
      <c r="G5463" s="953"/>
      <c r="H5463" s="953"/>
    </row>
    <row r="5464" spans="1:8" s="943" customFormat="1" x14ac:dyDescent="0.25">
      <c r="A5464" s="952"/>
      <c r="B5464" s="953"/>
      <c r="C5464" s="953"/>
      <c r="D5464" s="953"/>
      <c r="E5464" s="953"/>
      <c r="F5464" s="953"/>
      <c r="G5464" s="953"/>
      <c r="H5464" s="953"/>
    </row>
    <row r="5465" spans="1:8" s="943" customFormat="1" x14ac:dyDescent="0.25">
      <c r="A5465" s="952"/>
      <c r="B5465" s="953"/>
      <c r="C5465" s="953"/>
      <c r="D5465" s="953"/>
      <c r="E5465" s="953"/>
      <c r="F5465" s="953"/>
      <c r="G5465" s="953"/>
      <c r="H5465" s="953"/>
    </row>
    <row r="5466" spans="1:8" s="943" customFormat="1" x14ac:dyDescent="0.25">
      <c r="A5466" s="952"/>
      <c r="B5466" s="953"/>
      <c r="C5466" s="953"/>
      <c r="D5466" s="953"/>
      <c r="E5466" s="953"/>
      <c r="F5466" s="953"/>
      <c r="G5466" s="953"/>
      <c r="H5466" s="953"/>
    </row>
    <row r="5467" spans="1:8" s="943" customFormat="1" x14ac:dyDescent="0.25">
      <c r="A5467" s="952"/>
      <c r="B5467" s="953"/>
      <c r="C5467" s="953"/>
      <c r="D5467" s="953"/>
      <c r="E5467" s="953"/>
      <c r="F5467" s="953"/>
      <c r="G5467" s="953"/>
      <c r="H5467" s="953"/>
    </row>
    <row r="5468" spans="1:8" s="943" customFormat="1" x14ac:dyDescent="0.25">
      <c r="A5468" s="952"/>
      <c r="B5468" s="953"/>
      <c r="C5468" s="953"/>
      <c r="D5468" s="953"/>
      <c r="E5468" s="953"/>
      <c r="F5468" s="953"/>
      <c r="G5468" s="953"/>
      <c r="H5468" s="953"/>
    </row>
    <row r="5469" spans="1:8" s="943" customFormat="1" x14ac:dyDescent="0.25">
      <c r="A5469" s="952"/>
      <c r="B5469" s="953"/>
      <c r="C5469" s="953"/>
      <c r="D5469" s="953"/>
      <c r="E5469" s="953"/>
      <c r="F5469" s="953"/>
      <c r="G5469" s="953"/>
      <c r="H5469" s="953"/>
    </row>
    <row r="5470" spans="1:8" s="943" customFormat="1" x14ac:dyDescent="0.25">
      <c r="A5470" s="952"/>
      <c r="B5470" s="953"/>
      <c r="C5470" s="953"/>
      <c r="D5470" s="953"/>
      <c r="E5470" s="953"/>
      <c r="F5470" s="953"/>
      <c r="G5470" s="953"/>
      <c r="H5470" s="953"/>
    </row>
    <row r="5471" spans="1:8" s="943" customFormat="1" x14ac:dyDescent="0.25">
      <c r="A5471" s="952"/>
      <c r="B5471" s="953"/>
      <c r="C5471" s="953"/>
      <c r="D5471" s="953"/>
      <c r="E5471" s="953"/>
      <c r="F5471" s="953"/>
      <c r="G5471" s="953"/>
      <c r="H5471" s="953"/>
    </row>
    <row r="5472" spans="1:8" s="943" customFormat="1" x14ac:dyDescent="0.25">
      <c r="A5472" s="952"/>
      <c r="B5472" s="953"/>
      <c r="C5472" s="953"/>
      <c r="D5472" s="953"/>
      <c r="E5472" s="953"/>
      <c r="F5472" s="953"/>
      <c r="G5472" s="953"/>
      <c r="H5472" s="953"/>
    </row>
    <row r="5473" spans="1:8" s="943" customFormat="1" x14ac:dyDescent="0.25">
      <c r="A5473" s="952"/>
      <c r="B5473" s="953"/>
      <c r="C5473" s="953"/>
      <c r="D5473" s="953"/>
      <c r="E5473" s="953"/>
      <c r="F5473" s="953"/>
      <c r="G5473" s="953"/>
      <c r="H5473" s="953"/>
    </row>
    <row r="5474" spans="1:8" s="943" customFormat="1" x14ac:dyDescent="0.25">
      <c r="A5474" s="952"/>
      <c r="B5474" s="953"/>
      <c r="C5474" s="953"/>
      <c r="D5474" s="953"/>
      <c r="E5474" s="953"/>
      <c r="F5474" s="953"/>
      <c r="G5474" s="953"/>
      <c r="H5474" s="953"/>
    </row>
    <row r="5475" spans="1:8" s="943" customFormat="1" x14ac:dyDescent="0.25">
      <c r="A5475" s="952"/>
      <c r="B5475" s="953"/>
      <c r="C5475" s="953"/>
      <c r="D5475" s="953"/>
      <c r="E5475" s="953"/>
      <c r="F5475" s="953"/>
      <c r="G5475" s="953"/>
      <c r="H5475" s="953"/>
    </row>
    <row r="5476" spans="1:8" s="943" customFormat="1" x14ac:dyDescent="0.25">
      <c r="A5476" s="952"/>
      <c r="B5476" s="953"/>
      <c r="C5476" s="953"/>
      <c r="D5476" s="953"/>
      <c r="E5476" s="953"/>
      <c r="F5476" s="953"/>
      <c r="G5476" s="953"/>
      <c r="H5476" s="953"/>
    </row>
    <row r="5477" spans="1:8" s="943" customFormat="1" x14ac:dyDescent="0.25">
      <c r="A5477" s="952"/>
      <c r="B5477" s="953"/>
      <c r="C5477" s="953"/>
      <c r="D5477" s="953"/>
      <c r="E5477" s="953"/>
      <c r="F5477" s="953"/>
      <c r="G5477" s="953"/>
      <c r="H5477" s="953"/>
    </row>
    <row r="5478" spans="1:8" s="943" customFormat="1" x14ac:dyDescent="0.25">
      <c r="A5478" s="952"/>
      <c r="B5478" s="953"/>
      <c r="C5478" s="953"/>
      <c r="D5478" s="953"/>
      <c r="E5478" s="953"/>
      <c r="F5478" s="953"/>
      <c r="G5478" s="953"/>
      <c r="H5478" s="953"/>
    </row>
    <row r="5479" spans="1:8" s="943" customFormat="1" x14ac:dyDescent="0.25">
      <c r="A5479" s="952"/>
      <c r="B5479" s="953"/>
      <c r="C5479" s="953"/>
      <c r="D5479" s="953"/>
      <c r="E5479" s="953"/>
      <c r="F5479" s="953"/>
      <c r="G5479" s="953"/>
      <c r="H5479" s="953"/>
    </row>
    <row r="5480" spans="1:8" s="943" customFormat="1" x14ac:dyDescent="0.25">
      <c r="A5480" s="952"/>
      <c r="B5480" s="953"/>
      <c r="C5480" s="953"/>
      <c r="D5480" s="953"/>
      <c r="E5480" s="953"/>
      <c r="F5480" s="953"/>
      <c r="G5480" s="953"/>
      <c r="H5480" s="953"/>
    </row>
    <row r="5481" spans="1:8" s="943" customFormat="1" x14ac:dyDescent="0.25">
      <c r="A5481" s="952"/>
      <c r="B5481" s="953"/>
      <c r="C5481" s="953"/>
      <c r="D5481" s="953"/>
      <c r="E5481" s="953"/>
      <c r="F5481" s="953"/>
      <c r="G5481" s="953"/>
      <c r="H5481" s="953"/>
    </row>
    <row r="5482" spans="1:8" s="943" customFormat="1" x14ac:dyDescent="0.25">
      <c r="A5482" s="952"/>
      <c r="B5482" s="953"/>
      <c r="C5482" s="953"/>
      <c r="D5482" s="953"/>
      <c r="E5482" s="953"/>
      <c r="F5482" s="953"/>
      <c r="G5482" s="953"/>
      <c r="H5482" s="953"/>
    </row>
    <row r="5483" spans="1:8" s="943" customFormat="1" x14ac:dyDescent="0.25">
      <c r="A5483" s="952"/>
      <c r="B5483" s="953"/>
      <c r="C5483" s="953"/>
      <c r="D5483" s="953"/>
      <c r="E5483" s="953"/>
      <c r="F5483" s="953"/>
      <c r="G5483" s="953"/>
      <c r="H5483" s="953"/>
    </row>
    <row r="5484" spans="1:8" s="943" customFormat="1" x14ac:dyDescent="0.25">
      <c r="A5484" s="952"/>
      <c r="B5484" s="953"/>
      <c r="C5484" s="953"/>
      <c r="D5484" s="953"/>
      <c r="E5484" s="953"/>
      <c r="F5484" s="953"/>
      <c r="G5484" s="953"/>
      <c r="H5484" s="953"/>
    </row>
    <row r="5485" spans="1:8" s="943" customFormat="1" x14ac:dyDescent="0.25">
      <c r="A5485" s="952"/>
      <c r="B5485" s="953"/>
      <c r="C5485" s="953"/>
      <c r="D5485" s="953"/>
      <c r="E5485" s="953"/>
      <c r="F5485" s="953"/>
      <c r="G5485" s="953"/>
      <c r="H5485" s="953"/>
    </row>
    <row r="5486" spans="1:8" s="943" customFormat="1" x14ac:dyDescent="0.25">
      <c r="A5486" s="952"/>
      <c r="B5486" s="953"/>
      <c r="C5486" s="953"/>
      <c r="D5486" s="953"/>
      <c r="E5486" s="953"/>
      <c r="F5486" s="953"/>
      <c r="G5486" s="953"/>
      <c r="H5486" s="953"/>
    </row>
    <row r="5487" spans="1:8" s="943" customFormat="1" x14ac:dyDescent="0.25">
      <c r="A5487" s="952"/>
      <c r="B5487" s="953"/>
      <c r="C5487" s="953"/>
      <c r="D5487" s="953"/>
      <c r="E5487" s="953"/>
      <c r="F5487" s="953"/>
      <c r="G5487" s="953"/>
      <c r="H5487" s="953"/>
    </row>
    <row r="5488" spans="1:8" s="943" customFormat="1" x14ac:dyDescent="0.25">
      <c r="A5488" s="952"/>
      <c r="B5488" s="953"/>
      <c r="C5488" s="953"/>
      <c r="D5488" s="953"/>
      <c r="E5488" s="953"/>
      <c r="F5488" s="953"/>
      <c r="G5488" s="953"/>
      <c r="H5488" s="953"/>
    </row>
    <row r="5489" spans="1:8" s="943" customFormat="1" x14ac:dyDescent="0.25">
      <c r="A5489" s="952"/>
      <c r="B5489" s="953"/>
      <c r="C5489" s="953"/>
      <c r="D5489" s="953"/>
      <c r="E5489" s="953"/>
      <c r="F5489" s="953"/>
      <c r="G5489" s="953"/>
      <c r="H5489" s="953"/>
    </row>
    <row r="5490" spans="1:8" s="943" customFormat="1" x14ac:dyDescent="0.25">
      <c r="A5490" s="952"/>
      <c r="B5490" s="953"/>
      <c r="C5490" s="953"/>
      <c r="D5490" s="953"/>
      <c r="E5490" s="953"/>
      <c r="F5490" s="953"/>
      <c r="G5490" s="953"/>
      <c r="H5490" s="953"/>
    </row>
    <row r="5491" spans="1:8" s="943" customFormat="1" x14ac:dyDescent="0.25">
      <c r="A5491" s="952"/>
      <c r="B5491" s="953"/>
      <c r="C5491" s="953"/>
      <c r="D5491" s="953"/>
      <c r="E5491" s="953"/>
      <c r="F5491" s="953"/>
      <c r="G5491" s="953"/>
      <c r="H5491" s="953"/>
    </row>
    <row r="5492" spans="1:8" s="943" customFormat="1" x14ac:dyDescent="0.25">
      <c r="A5492" s="952"/>
      <c r="B5492" s="953"/>
      <c r="C5492" s="953"/>
      <c r="D5492" s="953"/>
      <c r="E5492" s="953"/>
      <c r="F5492" s="953"/>
      <c r="G5492" s="953"/>
      <c r="H5492" s="953"/>
    </row>
    <row r="5493" spans="1:8" s="943" customFormat="1" x14ac:dyDescent="0.25">
      <c r="A5493" s="952"/>
      <c r="B5493" s="953"/>
      <c r="C5493" s="953"/>
      <c r="D5493" s="953"/>
      <c r="E5493" s="953"/>
      <c r="F5493" s="953"/>
      <c r="G5493" s="953"/>
      <c r="H5493" s="953"/>
    </row>
    <row r="5494" spans="1:8" s="943" customFormat="1" x14ac:dyDescent="0.25">
      <c r="A5494" s="952"/>
      <c r="B5494" s="953"/>
      <c r="C5494" s="953"/>
      <c r="D5494" s="953"/>
      <c r="E5494" s="953"/>
      <c r="F5494" s="953"/>
      <c r="G5494" s="953"/>
      <c r="H5494" s="953"/>
    </row>
    <row r="5495" spans="1:8" s="943" customFormat="1" x14ac:dyDescent="0.25">
      <c r="A5495" s="952"/>
      <c r="B5495" s="953"/>
      <c r="C5495" s="953"/>
      <c r="D5495" s="953"/>
      <c r="E5495" s="953"/>
      <c r="F5495" s="953"/>
      <c r="G5495" s="953"/>
      <c r="H5495" s="953"/>
    </row>
    <row r="5496" spans="1:8" s="943" customFormat="1" x14ac:dyDescent="0.25">
      <c r="A5496" s="952"/>
      <c r="B5496" s="953"/>
      <c r="C5496" s="953"/>
      <c r="D5496" s="953"/>
      <c r="E5496" s="953"/>
      <c r="F5496" s="953"/>
      <c r="G5496" s="953"/>
      <c r="H5496" s="953"/>
    </row>
    <row r="5497" spans="1:8" s="943" customFormat="1" x14ac:dyDescent="0.25">
      <c r="A5497" s="952"/>
      <c r="B5497" s="953"/>
      <c r="C5497" s="953"/>
      <c r="D5497" s="953"/>
      <c r="E5497" s="953"/>
      <c r="F5497" s="953"/>
      <c r="G5497" s="953"/>
      <c r="H5497" s="953"/>
    </row>
    <row r="5498" spans="1:8" s="943" customFormat="1" x14ac:dyDescent="0.25">
      <c r="A5498" s="952"/>
      <c r="B5498" s="953"/>
      <c r="C5498" s="953"/>
      <c r="D5498" s="953"/>
      <c r="E5498" s="953"/>
      <c r="F5498" s="953"/>
      <c r="G5498" s="953"/>
      <c r="H5498" s="953"/>
    </row>
    <row r="5499" spans="1:8" s="943" customFormat="1" x14ac:dyDescent="0.25">
      <c r="A5499" s="952"/>
      <c r="B5499" s="953"/>
      <c r="C5499" s="953"/>
      <c r="D5499" s="953"/>
      <c r="E5499" s="953"/>
      <c r="F5499" s="953"/>
      <c r="G5499" s="953"/>
      <c r="H5499" s="953"/>
    </row>
    <row r="5500" spans="1:8" s="943" customFormat="1" x14ac:dyDescent="0.25">
      <c r="A5500" s="952"/>
      <c r="B5500" s="953"/>
      <c r="C5500" s="953"/>
      <c r="D5500" s="953"/>
      <c r="E5500" s="953"/>
      <c r="F5500" s="953"/>
      <c r="G5500" s="953"/>
      <c r="H5500" s="953"/>
    </row>
    <row r="5501" spans="1:8" s="943" customFormat="1" x14ac:dyDescent="0.25">
      <c r="A5501" s="952"/>
      <c r="B5501" s="953"/>
      <c r="C5501" s="953"/>
      <c r="D5501" s="953"/>
      <c r="E5501" s="953"/>
      <c r="F5501" s="953"/>
      <c r="G5501" s="953"/>
      <c r="H5501" s="953"/>
    </row>
    <row r="5502" spans="1:8" s="943" customFormat="1" x14ac:dyDescent="0.25">
      <c r="A5502" s="952"/>
      <c r="B5502" s="953"/>
      <c r="C5502" s="953"/>
      <c r="D5502" s="953"/>
      <c r="E5502" s="953"/>
      <c r="F5502" s="953"/>
      <c r="G5502" s="953"/>
      <c r="H5502" s="953"/>
    </row>
    <row r="5503" spans="1:8" s="943" customFormat="1" x14ac:dyDescent="0.25">
      <c r="A5503" s="952"/>
      <c r="B5503" s="953"/>
      <c r="C5503" s="953"/>
      <c r="D5503" s="953"/>
      <c r="E5503" s="953"/>
      <c r="F5503" s="953"/>
      <c r="G5503" s="953"/>
      <c r="H5503" s="953"/>
    </row>
    <row r="5504" spans="1:8" s="943" customFormat="1" x14ac:dyDescent="0.25">
      <c r="A5504" s="952"/>
      <c r="B5504" s="953"/>
      <c r="C5504" s="953"/>
      <c r="D5504" s="953"/>
      <c r="E5504" s="953"/>
      <c r="F5504" s="953"/>
      <c r="G5504" s="953"/>
      <c r="H5504" s="953"/>
    </row>
    <row r="5505" spans="1:8" s="943" customFormat="1" x14ac:dyDescent="0.25">
      <c r="A5505" s="952"/>
      <c r="B5505" s="953"/>
      <c r="C5505" s="953"/>
      <c r="D5505" s="953"/>
      <c r="E5505" s="953"/>
      <c r="F5505" s="953"/>
      <c r="G5505" s="953"/>
      <c r="H5505" s="953"/>
    </row>
    <row r="5506" spans="1:8" s="943" customFormat="1" x14ac:dyDescent="0.25">
      <c r="A5506" s="952"/>
      <c r="B5506" s="953"/>
      <c r="C5506" s="953"/>
      <c r="D5506" s="953"/>
      <c r="E5506" s="953"/>
      <c r="F5506" s="953"/>
      <c r="G5506" s="953"/>
      <c r="H5506" s="953"/>
    </row>
    <row r="5507" spans="1:8" s="943" customFormat="1" x14ac:dyDescent="0.25">
      <c r="A5507" s="952"/>
      <c r="B5507" s="953"/>
      <c r="C5507" s="953"/>
      <c r="D5507" s="953"/>
      <c r="E5507" s="953"/>
      <c r="F5507" s="953"/>
      <c r="G5507" s="953"/>
      <c r="H5507" s="953"/>
    </row>
    <row r="5508" spans="1:8" s="943" customFormat="1" x14ac:dyDescent="0.25">
      <c r="A5508" s="952"/>
      <c r="B5508" s="953"/>
      <c r="C5508" s="953"/>
      <c r="D5508" s="953"/>
      <c r="E5508" s="953"/>
      <c r="F5508" s="953"/>
      <c r="G5508" s="953"/>
      <c r="H5508" s="953"/>
    </row>
    <row r="5509" spans="1:8" s="943" customFormat="1" x14ac:dyDescent="0.25">
      <c r="A5509" s="952"/>
      <c r="B5509" s="953"/>
      <c r="C5509" s="953"/>
      <c r="D5509" s="953"/>
      <c r="E5509" s="953"/>
      <c r="F5509" s="953"/>
      <c r="G5509" s="953"/>
      <c r="H5509" s="953"/>
    </row>
    <row r="5510" spans="1:8" s="943" customFormat="1" x14ac:dyDescent="0.25">
      <c r="A5510" s="952"/>
      <c r="B5510" s="953"/>
      <c r="C5510" s="953"/>
      <c r="D5510" s="953"/>
      <c r="E5510" s="953"/>
      <c r="F5510" s="953"/>
      <c r="G5510" s="953"/>
      <c r="H5510" s="953"/>
    </row>
    <row r="5511" spans="1:8" s="943" customFormat="1" x14ac:dyDescent="0.25">
      <c r="A5511" s="952"/>
      <c r="B5511" s="953"/>
      <c r="C5511" s="953"/>
      <c r="D5511" s="953"/>
      <c r="E5511" s="953"/>
      <c r="F5511" s="953"/>
      <c r="G5511" s="953"/>
      <c r="H5511" s="953"/>
    </row>
    <row r="5512" spans="1:8" s="943" customFormat="1" x14ac:dyDescent="0.25">
      <c r="A5512" s="952"/>
      <c r="B5512" s="953"/>
      <c r="C5512" s="953"/>
      <c r="D5512" s="953"/>
      <c r="E5512" s="953"/>
      <c r="F5512" s="953"/>
      <c r="G5512" s="953"/>
      <c r="H5512" s="953"/>
    </row>
    <row r="5513" spans="1:8" s="943" customFormat="1" x14ac:dyDescent="0.25">
      <c r="A5513" s="952"/>
      <c r="B5513" s="953"/>
      <c r="C5513" s="953"/>
      <c r="D5513" s="953"/>
      <c r="E5513" s="953"/>
      <c r="F5513" s="953"/>
      <c r="G5513" s="953"/>
      <c r="H5513" s="953"/>
    </row>
    <row r="5514" spans="1:8" s="943" customFormat="1" x14ac:dyDescent="0.25">
      <c r="A5514" s="952"/>
      <c r="B5514" s="953"/>
      <c r="C5514" s="953"/>
      <c r="D5514" s="953"/>
      <c r="E5514" s="953"/>
      <c r="F5514" s="953"/>
      <c r="G5514" s="953"/>
      <c r="H5514" s="953"/>
    </row>
    <row r="5515" spans="1:8" s="943" customFormat="1" x14ac:dyDescent="0.25">
      <c r="A5515" s="952"/>
      <c r="B5515" s="953"/>
      <c r="C5515" s="953"/>
      <c r="D5515" s="953"/>
      <c r="E5515" s="953"/>
      <c r="F5515" s="953"/>
      <c r="G5515" s="953"/>
      <c r="H5515" s="953"/>
    </row>
    <row r="5516" spans="1:8" s="943" customFormat="1" x14ac:dyDescent="0.25">
      <c r="A5516" s="952"/>
      <c r="B5516" s="953"/>
      <c r="C5516" s="953"/>
      <c r="D5516" s="953"/>
      <c r="E5516" s="953"/>
      <c r="F5516" s="953"/>
      <c r="G5516" s="953"/>
      <c r="H5516" s="953"/>
    </row>
    <row r="5517" spans="1:8" s="943" customFormat="1" x14ac:dyDescent="0.25">
      <c r="A5517" s="952"/>
      <c r="B5517" s="953"/>
      <c r="C5517" s="953"/>
      <c r="D5517" s="953"/>
      <c r="E5517" s="953"/>
      <c r="F5517" s="953"/>
      <c r="G5517" s="953"/>
      <c r="H5517" s="953"/>
    </row>
    <row r="5518" spans="1:8" s="943" customFormat="1" x14ac:dyDescent="0.25">
      <c r="A5518" s="952"/>
      <c r="B5518" s="953"/>
      <c r="C5518" s="953"/>
      <c r="D5518" s="953"/>
      <c r="E5518" s="953"/>
      <c r="F5518" s="953"/>
      <c r="G5518" s="953"/>
      <c r="H5518" s="953"/>
    </row>
    <row r="5519" spans="1:8" s="943" customFormat="1" x14ac:dyDescent="0.25">
      <c r="A5519" s="952"/>
      <c r="B5519" s="953"/>
      <c r="C5519" s="953"/>
      <c r="D5519" s="953"/>
      <c r="E5519" s="953"/>
      <c r="F5519" s="953"/>
      <c r="G5519" s="953"/>
      <c r="H5519" s="953"/>
    </row>
    <row r="5520" spans="1:8" s="943" customFormat="1" x14ac:dyDescent="0.25">
      <c r="A5520" s="952"/>
      <c r="B5520" s="953"/>
      <c r="C5520" s="953"/>
      <c r="D5520" s="953"/>
      <c r="E5520" s="953"/>
      <c r="F5520" s="953"/>
      <c r="G5520" s="953"/>
      <c r="H5520" s="953"/>
    </row>
    <row r="5521" spans="1:8" s="943" customFormat="1" x14ac:dyDescent="0.25">
      <c r="A5521" s="952"/>
      <c r="B5521" s="953"/>
      <c r="C5521" s="953"/>
      <c r="D5521" s="953"/>
      <c r="E5521" s="953"/>
      <c r="F5521" s="953"/>
      <c r="G5521" s="953"/>
      <c r="H5521" s="953"/>
    </row>
    <row r="5522" spans="1:8" s="943" customFormat="1" x14ac:dyDescent="0.25">
      <c r="A5522" s="952"/>
      <c r="B5522" s="953"/>
      <c r="C5522" s="953"/>
      <c r="D5522" s="953"/>
      <c r="E5522" s="953"/>
      <c r="F5522" s="953"/>
      <c r="G5522" s="953"/>
      <c r="H5522" s="953"/>
    </row>
    <row r="5523" spans="1:8" s="943" customFormat="1" x14ac:dyDescent="0.25">
      <c r="A5523" s="952"/>
      <c r="B5523" s="953"/>
      <c r="C5523" s="953"/>
      <c r="D5523" s="953"/>
      <c r="E5523" s="953"/>
      <c r="F5523" s="953"/>
      <c r="G5523" s="953"/>
      <c r="H5523" s="953"/>
    </row>
    <row r="5524" spans="1:8" s="943" customFormat="1" x14ac:dyDescent="0.25">
      <c r="A5524" s="952"/>
      <c r="B5524" s="953"/>
      <c r="C5524" s="953"/>
      <c r="D5524" s="953"/>
      <c r="E5524" s="953"/>
      <c r="F5524" s="953"/>
      <c r="G5524" s="953"/>
      <c r="H5524" s="953"/>
    </row>
    <row r="5525" spans="1:8" s="943" customFormat="1" x14ac:dyDescent="0.25">
      <c r="A5525" s="952"/>
      <c r="B5525" s="953"/>
      <c r="C5525" s="953"/>
      <c r="D5525" s="953"/>
      <c r="E5525" s="953"/>
      <c r="F5525" s="953"/>
      <c r="G5525" s="953"/>
      <c r="H5525" s="953"/>
    </row>
    <row r="5526" spans="1:8" s="943" customFormat="1" x14ac:dyDescent="0.25">
      <c r="A5526" s="952"/>
      <c r="B5526" s="953"/>
      <c r="C5526" s="953"/>
      <c r="D5526" s="953"/>
      <c r="E5526" s="953"/>
      <c r="F5526" s="953"/>
      <c r="G5526" s="953"/>
      <c r="H5526" s="953"/>
    </row>
    <row r="5527" spans="1:8" s="943" customFormat="1" x14ac:dyDescent="0.25">
      <c r="A5527" s="952"/>
      <c r="B5527" s="953"/>
      <c r="C5527" s="953"/>
      <c r="D5527" s="953"/>
      <c r="E5527" s="953"/>
      <c r="F5527" s="953"/>
      <c r="G5527" s="953"/>
      <c r="H5527" s="953"/>
    </row>
    <row r="5528" spans="1:8" s="943" customFormat="1" x14ac:dyDescent="0.25">
      <c r="A5528" s="952"/>
      <c r="B5528" s="953"/>
      <c r="C5528" s="953"/>
      <c r="D5528" s="953"/>
      <c r="E5528" s="953"/>
      <c r="F5528" s="953"/>
      <c r="G5528" s="953"/>
      <c r="H5528" s="953"/>
    </row>
    <row r="5529" spans="1:8" s="943" customFormat="1" x14ac:dyDescent="0.25">
      <c r="A5529" s="952"/>
      <c r="B5529" s="953"/>
      <c r="C5529" s="953"/>
      <c r="D5529" s="953"/>
      <c r="E5529" s="953"/>
      <c r="F5529" s="953"/>
      <c r="G5529" s="953"/>
      <c r="H5529" s="953"/>
    </row>
    <row r="5530" spans="1:8" s="943" customFormat="1" x14ac:dyDescent="0.25">
      <c r="A5530" s="952"/>
      <c r="B5530" s="953"/>
      <c r="C5530" s="953"/>
      <c r="D5530" s="953"/>
      <c r="E5530" s="953"/>
      <c r="F5530" s="953"/>
      <c r="G5530" s="953"/>
      <c r="H5530" s="953"/>
    </row>
    <row r="5531" spans="1:8" s="943" customFormat="1" x14ac:dyDescent="0.25">
      <c r="A5531" s="952"/>
      <c r="B5531" s="953"/>
      <c r="C5531" s="953"/>
      <c r="D5531" s="953"/>
      <c r="E5531" s="953"/>
      <c r="F5531" s="953"/>
      <c r="G5531" s="953"/>
      <c r="H5531" s="953"/>
    </row>
    <row r="5532" spans="1:8" s="943" customFormat="1" x14ac:dyDescent="0.25">
      <c r="A5532" s="952"/>
      <c r="B5532" s="953"/>
      <c r="C5532" s="953"/>
      <c r="D5532" s="953"/>
      <c r="E5532" s="953"/>
      <c r="F5532" s="953"/>
      <c r="G5532" s="953"/>
      <c r="H5532" s="953"/>
    </row>
    <row r="5533" spans="1:8" s="943" customFormat="1" x14ac:dyDescent="0.25">
      <c r="A5533" s="952"/>
      <c r="B5533" s="953"/>
      <c r="C5533" s="953"/>
      <c r="D5533" s="953"/>
      <c r="E5533" s="953"/>
      <c r="F5533" s="953"/>
      <c r="G5533" s="953"/>
      <c r="H5533" s="953"/>
    </row>
    <row r="5534" spans="1:8" s="943" customFormat="1" x14ac:dyDescent="0.25">
      <c r="A5534" s="952"/>
      <c r="B5534" s="953"/>
      <c r="C5534" s="953"/>
      <c r="D5534" s="953"/>
      <c r="E5534" s="953"/>
      <c r="F5534" s="953"/>
      <c r="G5534" s="953"/>
      <c r="H5534" s="953"/>
    </row>
    <row r="5535" spans="1:8" s="943" customFormat="1" x14ac:dyDescent="0.25">
      <c r="A5535" s="952"/>
      <c r="B5535" s="953"/>
      <c r="C5535" s="953"/>
      <c r="D5535" s="953"/>
      <c r="E5535" s="953"/>
      <c r="F5535" s="953"/>
      <c r="G5535" s="953"/>
      <c r="H5535" s="953"/>
    </row>
    <row r="5536" spans="1:8" s="943" customFormat="1" x14ac:dyDescent="0.25">
      <c r="A5536" s="952"/>
      <c r="B5536" s="953"/>
      <c r="C5536" s="953"/>
      <c r="D5536" s="953"/>
      <c r="E5536" s="953"/>
      <c r="F5536" s="953"/>
      <c r="G5536" s="953"/>
      <c r="H5536" s="953"/>
    </row>
    <row r="5537" spans="1:8" s="943" customFormat="1" x14ac:dyDescent="0.25">
      <c r="A5537" s="952"/>
      <c r="B5537" s="953"/>
      <c r="C5537" s="953"/>
      <c r="D5537" s="953"/>
      <c r="E5537" s="953"/>
      <c r="F5537" s="953"/>
      <c r="G5537" s="953"/>
      <c r="H5537" s="953"/>
    </row>
    <row r="5538" spans="1:8" s="943" customFormat="1" x14ac:dyDescent="0.25">
      <c r="A5538" s="952"/>
      <c r="B5538" s="953"/>
      <c r="C5538" s="953"/>
      <c r="D5538" s="953"/>
      <c r="E5538" s="953"/>
      <c r="F5538" s="953"/>
      <c r="G5538" s="953"/>
      <c r="H5538" s="953"/>
    </row>
    <row r="5539" spans="1:8" s="943" customFormat="1" x14ac:dyDescent="0.25">
      <c r="A5539" s="952"/>
      <c r="B5539" s="953"/>
      <c r="C5539" s="953"/>
      <c r="D5539" s="953"/>
      <c r="E5539" s="953"/>
      <c r="F5539" s="953"/>
      <c r="G5539" s="953"/>
      <c r="H5539" s="953"/>
    </row>
    <row r="5540" spans="1:8" s="943" customFormat="1" x14ac:dyDescent="0.25">
      <c r="A5540" s="952"/>
      <c r="B5540" s="953"/>
      <c r="C5540" s="953"/>
      <c r="D5540" s="953"/>
      <c r="E5540" s="953"/>
      <c r="F5540" s="953"/>
      <c r="G5540" s="953"/>
      <c r="H5540" s="953"/>
    </row>
    <row r="5541" spans="1:8" s="943" customFormat="1" x14ac:dyDescent="0.25">
      <c r="A5541" s="952"/>
      <c r="B5541" s="953"/>
      <c r="C5541" s="953"/>
      <c r="D5541" s="953"/>
      <c r="E5541" s="953"/>
      <c r="F5541" s="953"/>
      <c r="G5541" s="953"/>
      <c r="H5541" s="953"/>
    </row>
    <row r="5542" spans="1:8" s="943" customFormat="1" x14ac:dyDescent="0.25">
      <c r="A5542" s="952"/>
      <c r="B5542" s="953"/>
      <c r="C5542" s="953"/>
      <c r="D5542" s="953"/>
      <c r="E5542" s="953"/>
      <c r="F5542" s="953"/>
      <c r="G5542" s="953"/>
      <c r="H5542" s="953"/>
    </row>
    <row r="5543" spans="1:8" s="943" customFormat="1" x14ac:dyDescent="0.25">
      <c r="A5543" s="952"/>
      <c r="B5543" s="953"/>
      <c r="C5543" s="953"/>
      <c r="D5543" s="953"/>
      <c r="E5543" s="953"/>
      <c r="F5543" s="953"/>
      <c r="G5543" s="953"/>
      <c r="H5543" s="953"/>
    </row>
    <row r="5544" spans="1:8" s="943" customFormat="1" x14ac:dyDescent="0.25">
      <c r="A5544" s="952"/>
      <c r="B5544" s="953"/>
      <c r="C5544" s="953"/>
      <c r="D5544" s="953"/>
      <c r="E5544" s="953"/>
      <c r="F5544" s="953"/>
      <c r="G5544" s="953"/>
      <c r="H5544" s="953"/>
    </row>
    <row r="5545" spans="1:8" s="943" customFormat="1" x14ac:dyDescent="0.25">
      <c r="A5545" s="952"/>
      <c r="B5545" s="953"/>
      <c r="C5545" s="953"/>
      <c r="D5545" s="953"/>
      <c r="E5545" s="953"/>
      <c r="F5545" s="953"/>
      <c r="G5545" s="953"/>
      <c r="H5545" s="953"/>
    </row>
    <row r="5546" spans="1:8" s="943" customFormat="1" x14ac:dyDescent="0.25">
      <c r="A5546" s="952"/>
      <c r="B5546" s="953"/>
      <c r="C5546" s="953"/>
      <c r="D5546" s="953"/>
      <c r="E5546" s="953"/>
      <c r="F5546" s="953"/>
      <c r="G5546" s="953"/>
      <c r="H5546" s="953"/>
    </row>
    <row r="5547" spans="1:8" s="943" customFormat="1" x14ac:dyDescent="0.25">
      <c r="A5547" s="952"/>
      <c r="B5547" s="953"/>
      <c r="C5547" s="953"/>
      <c r="D5547" s="953"/>
      <c r="E5547" s="953"/>
      <c r="F5547" s="953"/>
      <c r="G5547" s="953"/>
      <c r="H5547" s="953"/>
    </row>
    <row r="5548" spans="1:8" s="943" customFormat="1" x14ac:dyDescent="0.25">
      <c r="A5548" s="952"/>
      <c r="B5548" s="953"/>
      <c r="C5548" s="953"/>
      <c r="D5548" s="953"/>
      <c r="E5548" s="953"/>
      <c r="F5548" s="953"/>
      <c r="G5548" s="953"/>
      <c r="H5548" s="953"/>
    </row>
    <row r="5549" spans="1:8" s="943" customFormat="1" x14ac:dyDescent="0.25">
      <c r="A5549" s="952"/>
      <c r="B5549" s="953"/>
      <c r="C5549" s="953"/>
      <c r="D5549" s="953"/>
      <c r="E5549" s="953"/>
      <c r="F5549" s="953"/>
      <c r="G5549" s="953"/>
      <c r="H5549" s="953"/>
    </row>
    <row r="5550" spans="1:8" s="943" customFormat="1" x14ac:dyDescent="0.25">
      <c r="A5550" s="952"/>
      <c r="B5550" s="953"/>
      <c r="C5550" s="953"/>
      <c r="D5550" s="953"/>
      <c r="E5550" s="953"/>
      <c r="F5550" s="953"/>
      <c r="G5550" s="953"/>
      <c r="H5550" s="953"/>
    </row>
    <row r="5551" spans="1:8" s="943" customFormat="1" x14ac:dyDescent="0.25">
      <c r="A5551" s="952"/>
      <c r="B5551" s="953"/>
      <c r="C5551" s="953"/>
      <c r="D5551" s="953"/>
      <c r="E5551" s="953"/>
      <c r="F5551" s="953"/>
      <c r="G5551" s="953"/>
      <c r="H5551" s="953"/>
    </row>
    <row r="5552" spans="1:8" s="943" customFormat="1" x14ac:dyDescent="0.25">
      <c r="A5552" s="952"/>
      <c r="B5552" s="953"/>
      <c r="C5552" s="953"/>
      <c r="D5552" s="953"/>
      <c r="E5552" s="953"/>
      <c r="F5552" s="953"/>
      <c r="G5552" s="953"/>
      <c r="H5552" s="953"/>
    </row>
    <row r="5553" spans="1:8" s="943" customFormat="1" x14ac:dyDescent="0.25">
      <c r="A5553" s="952"/>
      <c r="B5553" s="953"/>
      <c r="C5553" s="953"/>
      <c r="D5553" s="953"/>
      <c r="E5553" s="953"/>
      <c r="F5553" s="953"/>
      <c r="G5553" s="953"/>
      <c r="H5553" s="953"/>
    </row>
    <row r="5554" spans="1:8" s="943" customFormat="1" x14ac:dyDescent="0.25">
      <c r="A5554" s="952"/>
      <c r="B5554" s="953"/>
      <c r="C5554" s="953"/>
      <c r="D5554" s="953"/>
      <c r="E5554" s="953"/>
      <c r="F5554" s="953"/>
      <c r="G5554" s="953"/>
      <c r="H5554" s="953"/>
    </row>
    <row r="5555" spans="1:8" s="943" customFormat="1" x14ac:dyDescent="0.25">
      <c r="A5555" s="952"/>
      <c r="B5555" s="953"/>
      <c r="C5555" s="953"/>
      <c r="D5555" s="953"/>
      <c r="E5555" s="953"/>
      <c r="F5555" s="953"/>
      <c r="G5555" s="953"/>
      <c r="H5555" s="953"/>
    </row>
    <row r="5556" spans="1:8" s="943" customFormat="1" x14ac:dyDescent="0.25">
      <c r="A5556" s="952"/>
      <c r="B5556" s="953"/>
      <c r="C5556" s="953"/>
      <c r="D5556" s="953"/>
      <c r="E5556" s="953"/>
      <c r="F5556" s="953"/>
      <c r="G5556" s="953"/>
      <c r="H5556" s="953"/>
    </row>
    <row r="5557" spans="1:8" s="943" customFormat="1" x14ac:dyDescent="0.25">
      <c r="A5557" s="952"/>
      <c r="B5557" s="953"/>
      <c r="C5557" s="953"/>
      <c r="D5557" s="953"/>
      <c r="E5557" s="953"/>
      <c r="F5557" s="953"/>
      <c r="G5557" s="953"/>
      <c r="H5557" s="953"/>
    </row>
    <row r="5558" spans="1:8" s="943" customFormat="1" x14ac:dyDescent="0.25">
      <c r="A5558" s="952"/>
      <c r="B5558" s="953"/>
      <c r="C5558" s="953"/>
      <c r="D5558" s="953"/>
      <c r="E5558" s="953"/>
      <c r="F5558" s="953"/>
      <c r="G5558" s="953"/>
      <c r="H5558" s="953"/>
    </row>
    <row r="5559" spans="1:8" s="943" customFormat="1" x14ac:dyDescent="0.25">
      <c r="A5559" s="952"/>
      <c r="B5559" s="953"/>
      <c r="C5559" s="953"/>
      <c r="D5559" s="953"/>
      <c r="E5559" s="953"/>
      <c r="F5559" s="953"/>
      <c r="G5559" s="953"/>
      <c r="H5559" s="953"/>
    </row>
    <row r="5560" spans="1:8" s="943" customFormat="1" x14ac:dyDescent="0.25">
      <c r="A5560" s="952"/>
      <c r="B5560" s="953"/>
      <c r="C5560" s="953"/>
      <c r="D5560" s="953"/>
      <c r="E5560" s="953"/>
      <c r="F5560" s="953"/>
      <c r="G5560" s="953"/>
      <c r="H5560" s="953"/>
    </row>
    <row r="5561" spans="1:8" s="943" customFormat="1" x14ac:dyDescent="0.25">
      <c r="A5561" s="952"/>
      <c r="B5561" s="953"/>
      <c r="C5561" s="953"/>
      <c r="D5561" s="953"/>
      <c r="E5561" s="953"/>
      <c r="F5561" s="953"/>
      <c r="G5561" s="953"/>
      <c r="H5561" s="953"/>
    </row>
    <row r="5562" spans="1:8" s="943" customFormat="1" x14ac:dyDescent="0.25">
      <c r="A5562" s="952"/>
      <c r="B5562" s="953"/>
      <c r="C5562" s="953"/>
      <c r="D5562" s="953"/>
      <c r="E5562" s="953"/>
      <c r="F5562" s="953"/>
      <c r="G5562" s="953"/>
      <c r="H5562" s="953"/>
    </row>
    <row r="5563" spans="1:8" s="943" customFormat="1" x14ac:dyDescent="0.25">
      <c r="A5563" s="952"/>
      <c r="B5563" s="953"/>
      <c r="C5563" s="953"/>
      <c r="D5563" s="953"/>
      <c r="E5563" s="953"/>
      <c r="F5563" s="953"/>
      <c r="G5563" s="953"/>
      <c r="H5563" s="953"/>
    </row>
    <row r="5564" spans="1:8" s="943" customFormat="1" x14ac:dyDescent="0.25">
      <c r="A5564" s="952"/>
      <c r="B5564" s="953"/>
      <c r="C5564" s="953"/>
      <c r="D5564" s="953"/>
      <c r="E5564" s="953"/>
      <c r="F5564" s="953"/>
      <c r="G5564" s="953"/>
      <c r="H5564" s="953"/>
    </row>
    <row r="5565" spans="1:8" s="943" customFormat="1" x14ac:dyDescent="0.25">
      <c r="A5565" s="952"/>
      <c r="B5565" s="953"/>
      <c r="C5565" s="953"/>
      <c r="D5565" s="953"/>
      <c r="E5565" s="953"/>
      <c r="F5565" s="953"/>
      <c r="G5565" s="953"/>
      <c r="H5565" s="953"/>
    </row>
    <row r="5566" spans="1:8" s="943" customFormat="1" x14ac:dyDescent="0.25">
      <c r="A5566" s="952"/>
      <c r="B5566" s="953"/>
      <c r="C5566" s="953"/>
      <c r="D5566" s="953"/>
      <c r="E5566" s="953"/>
      <c r="F5566" s="953"/>
      <c r="G5566" s="953"/>
      <c r="H5566" s="953"/>
    </row>
    <row r="5567" spans="1:8" s="943" customFormat="1" x14ac:dyDescent="0.25">
      <c r="A5567" s="952"/>
      <c r="B5567" s="953"/>
      <c r="C5567" s="953"/>
      <c r="D5567" s="953"/>
      <c r="E5567" s="953"/>
      <c r="F5567" s="953"/>
      <c r="G5567" s="953"/>
      <c r="H5567" s="953"/>
    </row>
    <row r="5568" spans="1:8" s="943" customFormat="1" x14ac:dyDescent="0.25">
      <c r="A5568" s="952"/>
      <c r="B5568" s="953"/>
      <c r="C5568" s="953"/>
      <c r="D5568" s="953"/>
      <c r="E5568" s="953"/>
      <c r="F5568" s="953"/>
      <c r="G5568" s="953"/>
      <c r="H5568" s="953"/>
    </row>
    <row r="5569" spans="1:8" s="943" customFormat="1" x14ac:dyDescent="0.25">
      <c r="A5569" s="952"/>
      <c r="B5569" s="953"/>
      <c r="C5569" s="953"/>
      <c r="D5569" s="953"/>
      <c r="E5569" s="953"/>
      <c r="F5569" s="953"/>
      <c r="G5569" s="953"/>
      <c r="H5569" s="953"/>
    </row>
    <row r="5570" spans="1:8" s="943" customFormat="1" x14ac:dyDescent="0.25">
      <c r="A5570" s="952"/>
      <c r="B5570" s="953"/>
      <c r="C5570" s="953"/>
      <c r="D5570" s="953"/>
      <c r="E5570" s="953"/>
      <c r="F5570" s="953"/>
      <c r="G5570" s="953"/>
      <c r="H5570" s="953"/>
    </row>
    <row r="5571" spans="1:8" s="943" customFormat="1" x14ac:dyDescent="0.25">
      <c r="A5571" s="952"/>
      <c r="B5571" s="953"/>
      <c r="C5571" s="953"/>
      <c r="D5571" s="953"/>
      <c r="E5571" s="953"/>
      <c r="F5571" s="953"/>
      <c r="G5571" s="953"/>
      <c r="H5571" s="953"/>
    </row>
    <row r="5572" spans="1:8" s="943" customFormat="1" x14ac:dyDescent="0.25">
      <c r="A5572" s="952"/>
      <c r="B5572" s="953"/>
      <c r="C5572" s="953"/>
      <c r="D5572" s="953"/>
      <c r="E5572" s="953"/>
      <c r="F5572" s="953"/>
      <c r="G5572" s="953"/>
      <c r="H5572" s="953"/>
    </row>
    <row r="5573" spans="1:8" s="943" customFormat="1" x14ac:dyDescent="0.25">
      <c r="A5573" s="952"/>
      <c r="B5573" s="953"/>
      <c r="C5573" s="953"/>
      <c r="D5573" s="953"/>
      <c r="E5573" s="953"/>
      <c r="F5573" s="953"/>
      <c r="G5573" s="953"/>
      <c r="H5573" s="953"/>
    </row>
    <row r="5574" spans="1:8" s="943" customFormat="1" x14ac:dyDescent="0.25">
      <c r="A5574" s="952"/>
      <c r="B5574" s="953"/>
      <c r="C5574" s="953"/>
      <c r="D5574" s="953"/>
      <c r="E5574" s="953"/>
      <c r="F5574" s="953"/>
      <c r="G5574" s="953"/>
      <c r="H5574" s="953"/>
    </row>
    <row r="5575" spans="1:8" s="943" customFormat="1" x14ac:dyDescent="0.25">
      <c r="A5575" s="952"/>
      <c r="B5575" s="953"/>
      <c r="C5575" s="953"/>
      <c r="D5575" s="953"/>
      <c r="E5575" s="953"/>
      <c r="F5575" s="953"/>
      <c r="G5575" s="953"/>
      <c r="H5575" s="953"/>
    </row>
    <row r="5576" spans="1:8" s="943" customFormat="1" x14ac:dyDescent="0.25">
      <c r="A5576" s="952"/>
      <c r="B5576" s="953"/>
      <c r="C5576" s="953"/>
      <c r="D5576" s="953"/>
      <c r="E5576" s="953"/>
      <c r="F5576" s="953"/>
      <c r="G5576" s="953"/>
      <c r="H5576" s="953"/>
    </row>
    <row r="5577" spans="1:8" s="943" customFormat="1" x14ac:dyDescent="0.25">
      <c r="A5577" s="952"/>
      <c r="B5577" s="953"/>
      <c r="C5577" s="953"/>
      <c r="D5577" s="953"/>
      <c r="E5577" s="953"/>
      <c r="F5577" s="953"/>
      <c r="G5577" s="953"/>
      <c r="H5577" s="953"/>
    </row>
    <row r="5578" spans="1:8" s="943" customFormat="1" x14ac:dyDescent="0.25">
      <c r="A5578" s="952"/>
      <c r="B5578" s="953"/>
      <c r="C5578" s="953"/>
      <c r="D5578" s="953"/>
      <c r="E5578" s="953"/>
      <c r="F5578" s="953"/>
      <c r="G5578" s="953"/>
      <c r="H5578" s="953"/>
    </row>
    <row r="5579" spans="1:8" s="943" customFormat="1" x14ac:dyDescent="0.25">
      <c r="A5579" s="952"/>
      <c r="B5579" s="953"/>
      <c r="C5579" s="953"/>
      <c r="D5579" s="953"/>
      <c r="E5579" s="953"/>
      <c r="F5579" s="953"/>
      <c r="G5579" s="953"/>
      <c r="H5579" s="953"/>
    </row>
    <row r="5580" spans="1:8" s="943" customFormat="1" x14ac:dyDescent="0.25">
      <c r="A5580" s="952"/>
      <c r="B5580" s="953"/>
      <c r="C5580" s="953"/>
      <c r="D5580" s="953"/>
      <c r="E5580" s="953"/>
      <c r="F5580" s="953"/>
      <c r="G5580" s="953"/>
      <c r="H5580" s="953"/>
    </row>
    <row r="5581" spans="1:8" s="943" customFormat="1" x14ac:dyDescent="0.25">
      <c r="A5581" s="952"/>
      <c r="B5581" s="953"/>
      <c r="C5581" s="953"/>
      <c r="D5581" s="953"/>
      <c r="E5581" s="953"/>
      <c r="F5581" s="953"/>
      <c r="G5581" s="953"/>
      <c r="H5581" s="953"/>
    </row>
    <row r="5582" spans="1:8" s="943" customFormat="1" x14ac:dyDescent="0.25">
      <c r="A5582" s="952"/>
      <c r="B5582" s="953"/>
      <c r="C5582" s="953"/>
      <c r="D5582" s="953"/>
      <c r="E5582" s="953"/>
      <c r="F5582" s="953"/>
      <c r="G5582" s="953"/>
      <c r="H5582" s="953"/>
    </row>
    <row r="5583" spans="1:8" s="943" customFormat="1" x14ac:dyDescent="0.25">
      <c r="A5583" s="952"/>
      <c r="B5583" s="953"/>
      <c r="C5583" s="953"/>
      <c r="D5583" s="953"/>
      <c r="E5583" s="953"/>
      <c r="F5583" s="953"/>
      <c r="G5583" s="953"/>
      <c r="H5583" s="953"/>
    </row>
    <row r="5584" spans="1:8" s="943" customFormat="1" x14ac:dyDescent="0.25">
      <c r="A5584" s="952"/>
      <c r="B5584" s="953"/>
      <c r="C5584" s="953"/>
      <c r="D5584" s="953"/>
      <c r="E5584" s="953"/>
      <c r="F5584" s="953"/>
      <c r="G5584" s="953"/>
      <c r="H5584" s="953"/>
    </row>
    <row r="5585" spans="1:8" s="943" customFormat="1" x14ac:dyDescent="0.25">
      <c r="A5585" s="952"/>
      <c r="B5585" s="953"/>
      <c r="C5585" s="953"/>
      <c r="D5585" s="953"/>
      <c r="E5585" s="953"/>
      <c r="F5585" s="953"/>
      <c r="G5585" s="953"/>
      <c r="H5585" s="953"/>
    </row>
    <row r="5586" spans="1:8" s="943" customFormat="1" x14ac:dyDescent="0.25">
      <c r="A5586" s="952"/>
      <c r="B5586" s="953"/>
      <c r="C5586" s="953"/>
      <c r="D5586" s="953"/>
      <c r="E5586" s="953"/>
      <c r="F5586" s="953"/>
      <c r="G5586" s="953"/>
      <c r="H5586" s="953"/>
    </row>
    <row r="5587" spans="1:8" s="943" customFormat="1" x14ac:dyDescent="0.25">
      <c r="A5587" s="952"/>
      <c r="B5587" s="953"/>
      <c r="C5587" s="953"/>
      <c r="D5587" s="953"/>
      <c r="E5587" s="953"/>
      <c r="F5587" s="953"/>
      <c r="G5587" s="953"/>
      <c r="H5587" s="953"/>
    </row>
    <row r="5588" spans="1:8" s="943" customFormat="1" x14ac:dyDescent="0.25">
      <c r="A5588" s="952"/>
      <c r="B5588" s="953"/>
      <c r="C5588" s="953"/>
      <c r="D5588" s="953"/>
      <c r="E5588" s="953"/>
      <c r="F5588" s="953"/>
      <c r="G5588" s="953"/>
      <c r="H5588" s="953"/>
    </row>
    <row r="5589" spans="1:8" s="943" customFormat="1" x14ac:dyDescent="0.25">
      <c r="A5589" s="952"/>
      <c r="B5589" s="953"/>
      <c r="C5589" s="953"/>
      <c r="D5589" s="953"/>
      <c r="E5589" s="953"/>
      <c r="F5589" s="953"/>
      <c r="G5589" s="953"/>
      <c r="H5589" s="953"/>
    </row>
    <row r="5590" spans="1:8" s="943" customFormat="1" x14ac:dyDescent="0.25">
      <c r="A5590" s="952"/>
      <c r="B5590" s="953"/>
      <c r="C5590" s="953"/>
      <c r="D5590" s="953"/>
      <c r="E5590" s="953"/>
      <c r="F5590" s="953"/>
      <c r="G5590" s="953"/>
      <c r="H5590" s="953"/>
    </row>
    <row r="5591" spans="1:8" s="943" customFormat="1" x14ac:dyDescent="0.25">
      <c r="A5591" s="952"/>
      <c r="B5591" s="953"/>
      <c r="C5591" s="953"/>
      <c r="D5591" s="953"/>
      <c r="E5591" s="953"/>
      <c r="F5591" s="953"/>
      <c r="G5591" s="953"/>
      <c r="H5591" s="953"/>
    </row>
    <row r="5592" spans="1:8" s="943" customFormat="1" x14ac:dyDescent="0.25">
      <c r="A5592" s="952"/>
      <c r="B5592" s="953"/>
      <c r="C5592" s="953"/>
      <c r="D5592" s="953"/>
      <c r="E5592" s="953"/>
      <c r="F5592" s="953"/>
      <c r="G5592" s="953"/>
      <c r="H5592" s="953"/>
    </row>
    <row r="5593" spans="1:8" s="943" customFormat="1" x14ac:dyDescent="0.25">
      <c r="A5593" s="952"/>
      <c r="B5593" s="953"/>
      <c r="C5593" s="953"/>
      <c r="D5593" s="953"/>
      <c r="E5593" s="953"/>
      <c r="F5593" s="953"/>
      <c r="G5593" s="953"/>
      <c r="H5593" s="953"/>
    </row>
    <row r="5594" spans="1:8" s="943" customFormat="1" x14ac:dyDescent="0.25">
      <c r="A5594" s="952"/>
      <c r="B5594" s="953"/>
      <c r="C5594" s="953"/>
      <c r="D5594" s="953"/>
      <c r="E5594" s="953"/>
      <c r="F5594" s="953"/>
      <c r="G5594" s="953"/>
      <c r="H5594" s="953"/>
    </row>
    <row r="5595" spans="1:8" s="943" customFormat="1" x14ac:dyDescent="0.25">
      <c r="A5595" s="952"/>
      <c r="B5595" s="953"/>
      <c r="C5595" s="953"/>
      <c r="D5595" s="953"/>
      <c r="E5595" s="953"/>
      <c r="F5595" s="953"/>
      <c r="G5595" s="953"/>
      <c r="H5595" s="953"/>
    </row>
    <row r="5596" spans="1:8" s="943" customFormat="1" x14ac:dyDescent="0.25">
      <c r="A5596" s="952"/>
      <c r="B5596" s="953"/>
      <c r="C5596" s="953"/>
      <c r="D5596" s="953"/>
      <c r="E5596" s="953"/>
      <c r="F5596" s="953"/>
      <c r="G5596" s="953"/>
      <c r="H5596" s="953"/>
    </row>
    <row r="5597" spans="1:8" s="943" customFormat="1" x14ac:dyDescent="0.25">
      <c r="A5597" s="952"/>
      <c r="B5597" s="953"/>
      <c r="C5597" s="953"/>
      <c r="D5597" s="953"/>
      <c r="E5597" s="953"/>
      <c r="F5597" s="953"/>
      <c r="G5597" s="953"/>
      <c r="H5597" s="953"/>
    </row>
    <row r="5598" spans="1:8" s="943" customFormat="1" x14ac:dyDescent="0.25">
      <c r="A5598" s="952"/>
      <c r="B5598" s="953"/>
      <c r="C5598" s="953"/>
      <c r="D5598" s="953"/>
      <c r="E5598" s="953"/>
      <c r="F5598" s="953"/>
      <c r="G5598" s="953"/>
      <c r="H5598" s="953"/>
    </row>
    <row r="5599" spans="1:8" s="943" customFormat="1" x14ac:dyDescent="0.25">
      <c r="A5599" s="952"/>
      <c r="B5599" s="953"/>
      <c r="C5599" s="953"/>
      <c r="D5599" s="953"/>
      <c r="E5599" s="953"/>
      <c r="F5599" s="953"/>
      <c r="G5599" s="953"/>
      <c r="H5599" s="953"/>
    </row>
    <row r="5600" spans="1:8" s="943" customFormat="1" x14ac:dyDescent="0.25">
      <c r="A5600" s="952"/>
      <c r="B5600" s="953"/>
      <c r="C5600" s="953"/>
      <c r="D5600" s="953"/>
      <c r="E5600" s="953"/>
      <c r="F5600" s="953"/>
      <c r="G5600" s="953"/>
      <c r="H5600" s="953"/>
    </row>
    <row r="5601" spans="1:8" s="943" customFormat="1" x14ac:dyDescent="0.25">
      <c r="A5601" s="952"/>
      <c r="B5601" s="953"/>
      <c r="C5601" s="953"/>
      <c r="D5601" s="953"/>
      <c r="E5601" s="953"/>
      <c r="F5601" s="953"/>
      <c r="G5601" s="953"/>
      <c r="H5601" s="953"/>
    </row>
    <row r="5602" spans="1:8" s="943" customFormat="1" x14ac:dyDescent="0.25">
      <c r="A5602" s="952"/>
      <c r="B5602" s="953"/>
      <c r="C5602" s="953"/>
      <c r="D5602" s="953"/>
      <c r="E5602" s="953"/>
      <c r="F5602" s="953"/>
      <c r="G5602" s="953"/>
      <c r="H5602" s="953"/>
    </row>
    <row r="5603" spans="1:8" s="943" customFormat="1" x14ac:dyDescent="0.25">
      <c r="A5603" s="952"/>
      <c r="B5603" s="953"/>
      <c r="C5603" s="953"/>
      <c r="D5603" s="953"/>
      <c r="E5603" s="953"/>
      <c r="F5603" s="953"/>
      <c r="G5603" s="953"/>
      <c r="H5603" s="953"/>
    </row>
    <row r="5604" spans="1:8" s="943" customFormat="1" x14ac:dyDescent="0.25">
      <c r="A5604" s="952"/>
      <c r="B5604" s="953"/>
      <c r="C5604" s="953"/>
      <c r="D5604" s="953"/>
      <c r="E5604" s="953"/>
      <c r="F5604" s="953"/>
      <c r="G5604" s="953"/>
      <c r="H5604" s="953"/>
    </row>
    <row r="5605" spans="1:8" s="943" customFormat="1" x14ac:dyDescent="0.25">
      <c r="A5605" s="952"/>
      <c r="B5605" s="953"/>
      <c r="C5605" s="953"/>
      <c r="D5605" s="953"/>
      <c r="E5605" s="953"/>
      <c r="F5605" s="953"/>
      <c r="G5605" s="953"/>
      <c r="H5605" s="953"/>
    </row>
    <row r="5606" spans="1:8" s="943" customFormat="1" x14ac:dyDescent="0.25">
      <c r="A5606" s="952"/>
      <c r="B5606" s="953"/>
      <c r="C5606" s="953"/>
      <c r="D5606" s="953"/>
      <c r="E5606" s="953"/>
      <c r="F5606" s="953"/>
      <c r="G5606" s="953"/>
      <c r="H5606" s="953"/>
    </row>
    <row r="5607" spans="1:8" s="943" customFormat="1" x14ac:dyDescent="0.25">
      <c r="A5607" s="952"/>
      <c r="B5607" s="953"/>
      <c r="C5607" s="953"/>
      <c r="D5607" s="953"/>
      <c r="E5607" s="953"/>
      <c r="F5607" s="953"/>
      <c r="G5607" s="953"/>
      <c r="H5607" s="953"/>
    </row>
    <row r="5608" spans="1:8" s="943" customFormat="1" x14ac:dyDescent="0.25">
      <c r="A5608" s="952"/>
      <c r="B5608" s="953"/>
      <c r="C5608" s="953"/>
      <c r="D5608" s="953"/>
      <c r="E5608" s="953"/>
      <c r="F5608" s="953"/>
      <c r="G5608" s="953"/>
      <c r="H5608" s="953"/>
    </row>
    <row r="5609" spans="1:8" s="943" customFormat="1" x14ac:dyDescent="0.25">
      <c r="A5609" s="952"/>
      <c r="B5609" s="953"/>
      <c r="C5609" s="953"/>
      <c r="D5609" s="953"/>
      <c r="E5609" s="953"/>
      <c r="F5609" s="953"/>
      <c r="G5609" s="953"/>
      <c r="H5609" s="953"/>
    </row>
    <row r="5610" spans="1:8" s="943" customFormat="1" x14ac:dyDescent="0.25">
      <c r="A5610" s="952"/>
      <c r="B5610" s="953"/>
      <c r="C5610" s="953"/>
      <c r="D5610" s="953"/>
      <c r="E5610" s="953"/>
      <c r="F5610" s="953"/>
      <c r="G5610" s="953"/>
      <c r="H5610" s="953"/>
    </row>
    <row r="5611" spans="1:8" s="943" customFormat="1" x14ac:dyDescent="0.25">
      <c r="A5611" s="952"/>
      <c r="B5611" s="953"/>
      <c r="C5611" s="953"/>
      <c r="D5611" s="953"/>
      <c r="E5611" s="953"/>
      <c r="F5611" s="953"/>
      <c r="G5611" s="953"/>
      <c r="H5611" s="953"/>
    </row>
    <row r="5612" spans="1:8" s="943" customFormat="1" x14ac:dyDescent="0.25">
      <c r="A5612" s="952"/>
      <c r="B5612" s="953"/>
      <c r="C5612" s="953"/>
      <c r="D5612" s="953"/>
      <c r="E5612" s="953"/>
      <c r="F5612" s="953"/>
      <c r="G5612" s="953"/>
      <c r="H5612" s="953"/>
    </row>
    <row r="5613" spans="1:8" s="943" customFormat="1" x14ac:dyDescent="0.25">
      <c r="A5613" s="952"/>
      <c r="B5613" s="953"/>
      <c r="C5613" s="953"/>
      <c r="D5613" s="953"/>
      <c r="E5613" s="953"/>
      <c r="F5613" s="953"/>
      <c r="G5613" s="953"/>
      <c r="H5613" s="953"/>
    </row>
    <row r="5614" spans="1:8" s="943" customFormat="1" x14ac:dyDescent="0.25">
      <c r="A5614" s="952"/>
      <c r="B5614" s="953"/>
      <c r="C5614" s="953"/>
      <c r="D5614" s="953"/>
      <c r="E5614" s="953"/>
      <c r="F5614" s="953"/>
      <c r="G5614" s="953"/>
      <c r="H5614" s="953"/>
    </row>
    <row r="5615" spans="1:8" s="943" customFormat="1" x14ac:dyDescent="0.25">
      <c r="A5615" s="952"/>
      <c r="B5615" s="953"/>
      <c r="C5615" s="953"/>
      <c r="D5615" s="953"/>
      <c r="E5615" s="953"/>
      <c r="F5615" s="953"/>
      <c r="G5615" s="953"/>
      <c r="H5615" s="953"/>
    </row>
    <row r="5616" spans="1:8" s="943" customFormat="1" x14ac:dyDescent="0.25">
      <c r="A5616" s="952"/>
      <c r="B5616" s="953"/>
      <c r="C5616" s="953"/>
      <c r="D5616" s="953"/>
      <c r="E5616" s="953"/>
      <c r="F5616" s="953"/>
      <c r="G5616" s="953"/>
      <c r="H5616" s="953"/>
    </row>
    <row r="5617" spans="1:8" s="943" customFormat="1" x14ac:dyDescent="0.25">
      <c r="A5617" s="952"/>
      <c r="B5617" s="953"/>
      <c r="C5617" s="953"/>
      <c r="D5617" s="953"/>
      <c r="E5617" s="953"/>
      <c r="F5617" s="953"/>
      <c r="G5617" s="953"/>
      <c r="H5617" s="953"/>
    </row>
    <row r="5618" spans="1:8" s="943" customFormat="1" x14ac:dyDescent="0.25">
      <c r="A5618" s="952"/>
      <c r="B5618" s="953"/>
      <c r="C5618" s="953"/>
      <c r="D5618" s="953"/>
      <c r="E5618" s="953"/>
      <c r="F5618" s="953"/>
      <c r="G5618" s="953"/>
      <c r="H5618" s="953"/>
    </row>
    <row r="5619" spans="1:8" s="943" customFormat="1" x14ac:dyDescent="0.25">
      <c r="A5619" s="952"/>
      <c r="B5619" s="953"/>
      <c r="C5619" s="953"/>
      <c r="D5619" s="953"/>
      <c r="E5619" s="953"/>
      <c r="F5619" s="953"/>
      <c r="G5619" s="953"/>
      <c r="H5619" s="953"/>
    </row>
    <row r="5620" spans="1:8" s="943" customFormat="1" x14ac:dyDescent="0.25">
      <c r="A5620" s="952"/>
      <c r="B5620" s="953"/>
      <c r="C5620" s="953"/>
      <c r="D5620" s="953"/>
      <c r="E5620" s="953"/>
      <c r="F5620" s="953"/>
      <c r="G5620" s="953"/>
      <c r="H5620" s="953"/>
    </row>
    <row r="5621" spans="1:8" s="943" customFormat="1" x14ac:dyDescent="0.25">
      <c r="A5621" s="952"/>
      <c r="B5621" s="953"/>
      <c r="C5621" s="953"/>
      <c r="D5621" s="953"/>
      <c r="E5621" s="953"/>
      <c r="F5621" s="953"/>
      <c r="G5621" s="953"/>
      <c r="H5621" s="953"/>
    </row>
    <row r="5622" spans="1:8" s="943" customFormat="1" x14ac:dyDescent="0.25">
      <c r="A5622" s="952"/>
      <c r="B5622" s="953"/>
      <c r="C5622" s="953"/>
      <c r="D5622" s="953"/>
      <c r="E5622" s="953"/>
      <c r="F5622" s="953"/>
      <c r="G5622" s="953"/>
      <c r="H5622" s="953"/>
    </row>
    <row r="5623" spans="1:8" s="943" customFormat="1" x14ac:dyDescent="0.25">
      <c r="A5623" s="952"/>
      <c r="B5623" s="953"/>
      <c r="C5623" s="953"/>
      <c r="D5623" s="953"/>
      <c r="E5623" s="953"/>
      <c r="F5623" s="953"/>
      <c r="G5623" s="953"/>
      <c r="H5623" s="953"/>
    </row>
    <row r="5624" spans="1:8" s="943" customFormat="1" x14ac:dyDescent="0.25">
      <c r="A5624" s="952"/>
      <c r="B5624" s="953"/>
      <c r="C5624" s="953"/>
      <c r="D5624" s="953"/>
      <c r="E5624" s="953"/>
      <c r="F5624" s="953"/>
      <c r="G5624" s="953"/>
      <c r="H5624" s="953"/>
    </row>
    <row r="5625" spans="1:8" s="943" customFormat="1" x14ac:dyDescent="0.25">
      <c r="A5625" s="952"/>
      <c r="B5625" s="953"/>
      <c r="C5625" s="953"/>
      <c r="D5625" s="953"/>
      <c r="E5625" s="953"/>
      <c r="F5625" s="953"/>
      <c r="G5625" s="953"/>
      <c r="H5625" s="953"/>
    </row>
    <row r="5626" spans="1:8" s="943" customFormat="1" x14ac:dyDescent="0.25">
      <c r="A5626" s="952"/>
      <c r="B5626" s="953"/>
      <c r="C5626" s="953"/>
      <c r="D5626" s="953"/>
      <c r="E5626" s="953"/>
      <c r="F5626" s="953"/>
      <c r="G5626" s="953"/>
      <c r="H5626" s="953"/>
    </row>
    <row r="5627" spans="1:8" s="943" customFormat="1" x14ac:dyDescent="0.25">
      <c r="A5627" s="952"/>
      <c r="B5627" s="953"/>
      <c r="C5627" s="953"/>
      <c r="D5627" s="953"/>
      <c r="E5627" s="953"/>
      <c r="F5627" s="953"/>
      <c r="G5627" s="953"/>
      <c r="H5627" s="953"/>
    </row>
    <row r="5628" spans="1:8" s="943" customFormat="1" x14ac:dyDescent="0.25">
      <c r="A5628" s="952"/>
      <c r="B5628" s="953"/>
      <c r="C5628" s="953"/>
      <c r="D5628" s="953"/>
      <c r="E5628" s="953"/>
      <c r="F5628" s="953"/>
      <c r="G5628" s="953"/>
      <c r="H5628" s="953"/>
    </row>
    <row r="5629" spans="1:8" s="943" customFormat="1" x14ac:dyDescent="0.25">
      <c r="A5629" s="952"/>
      <c r="B5629" s="953"/>
      <c r="C5629" s="953"/>
      <c r="D5629" s="953"/>
      <c r="E5629" s="953"/>
      <c r="F5629" s="953"/>
      <c r="G5629" s="953"/>
      <c r="H5629" s="953"/>
    </row>
    <row r="5630" spans="1:8" s="943" customFormat="1" x14ac:dyDescent="0.25">
      <c r="A5630" s="952"/>
      <c r="B5630" s="953"/>
      <c r="C5630" s="953"/>
      <c r="D5630" s="953"/>
      <c r="E5630" s="953"/>
      <c r="F5630" s="953"/>
      <c r="G5630" s="953"/>
      <c r="H5630" s="953"/>
    </row>
    <row r="5631" spans="1:8" s="943" customFormat="1" x14ac:dyDescent="0.25">
      <c r="A5631" s="952"/>
      <c r="B5631" s="953"/>
      <c r="C5631" s="953"/>
      <c r="D5631" s="953"/>
      <c r="E5631" s="953"/>
      <c r="F5631" s="953"/>
      <c r="G5631" s="953"/>
      <c r="H5631" s="953"/>
    </row>
    <row r="5632" spans="1:8" s="943" customFormat="1" x14ac:dyDescent="0.25">
      <c r="A5632" s="952"/>
      <c r="B5632" s="953"/>
      <c r="C5632" s="953"/>
      <c r="D5632" s="953"/>
      <c r="E5632" s="953"/>
      <c r="F5632" s="953"/>
      <c r="G5632" s="953"/>
      <c r="H5632" s="953"/>
    </row>
    <row r="5633" spans="1:8" s="943" customFormat="1" x14ac:dyDescent="0.25">
      <c r="A5633" s="952"/>
      <c r="B5633" s="953"/>
      <c r="C5633" s="953"/>
      <c r="D5633" s="953"/>
      <c r="E5633" s="953"/>
      <c r="F5633" s="953"/>
      <c r="G5633" s="953"/>
      <c r="H5633" s="953"/>
    </row>
    <row r="5634" spans="1:8" s="943" customFormat="1" x14ac:dyDescent="0.25">
      <c r="A5634" s="952"/>
      <c r="B5634" s="953"/>
      <c r="C5634" s="953"/>
      <c r="D5634" s="953"/>
      <c r="E5634" s="953"/>
      <c r="F5634" s="953"/>
      <c r="G5634" s="953"/>
      <c r="H5634" s="953"/>
    </row>
    <row r="5635" spans="1:8" s="943" customFormat="1" x14ac:dyDescent="0.25">
      <c r="A5635" s="952"/>
      <c r="B5635" s="953"/>
      <c r="C5635" s="953"/>
      <c r="D5635" s="953"/>
      <c r="E5635" s="953"/>
      <c r="F5635" s="953"/>
      <c r="G5635" s="953"/>
      <c r="H5635" s="953"/>
    </row>
    <row r="5636" spans="1:8" s="943" customFormat="1" x14ac:dyDescent="0.25">
      <c r="A5636" s="952"/>
      <c r="B5636" s="953"/>
      <c r="C5636" s="953"/>
      <c r="D5636" s="953"/>
      <c r="E5636" s="953"/>
      <c r="F5636" s="953"/>
      <c r="G5636" s="953"/>
      <c r="H5636" s="953"/>
    </row>
    <row r="5637" spans="1:8" s="943" customFormat="1" x14ac:dyDescent="0.25">
      <c r="A5637" s="952"/>
      <c r="B5637" s="953"/>
      <c r="C5637" s="953"/>
      <c r="D5637" s="953"/>
      <c r="E5637" s="953"/>
      <c r="F5637" s="953"/>
      <c r="G5637" s="953"/>
      <c r="H5637" s="953"/>
    </row>
    <row r="5638" spans="1:8" s="943" customFormat="1" x14ac:dyDescent="0.25">
      <c r="A5638" s="952"/>
      <c r="B5638" s="953"/>
      <c r="C5638" s="953"/>
      <c r="D5638" s="953"/>
      <c r="E5638" s="953"/>
      <c r="F5638" s="953"/>
      <c r="G5638" s="953"/>
      <c r="H5638" s="953"/>
    </row>
    <row r="5639" spans="1:8" s="943" customFormat="1" x14ac:dyDescent="0.25">
      <c r="A5639" s="952"/>
      <c r="B5639" s="953"/>
      <c r="C5639" s="953"/>
      <c r="D5639" s="953"/>
      <c r="E5639" s="953"/>
      <c r="F5639" s="953"/>
      <c r="G5639" s="953"/>
      <c r="H5639" s="953"/>
    </row>
    <row r="5640" spans="1:8" s="943" customFormat="1" x14ac:dyDescent="0.25">
      <c r="A5640" s="952"/>
      <c r="B5640" s="953"/>
      <c r="C5640" s="953"/>
      <c r="D5640" s="953"/>
      <c r="E5640" s="953"/>
      <c r="F5640" s="953"/>
      <c r="G5640" s="953"/>
      <c r="H5640" s="953"/>
    </row>
    <row r="5641" spans="1:8" s="943" customFormat="1" x14ac:dyDescent="0.25">
      <c r="A5641" s="952"/>
      <c r="B5641" s="953"/>
      <c r="C5641" s="953"/>
      <c r="D5641" s="953"/>
      <c r="E5641" s="953"/>
      <c r="F5641" s="953"/>
      <c r="G5641" s="953"/>
      <c r="H5641" s="953"/>
    </row>
    <row r="5642" spans="1:8" s="943" customFormat="1" x14ac:dyDescent="0.25">
      <c r="A5642" s="952"/>
      <c r="B5642" s="953"/>
      <c r="C5642" s="953"/>
      <c r="D5642" s="953"/>
      <c r="E5642" s="953"/>
      <c r="F5642" s="953"/>
      <c r="G5642" s="953"/>
      <c r="H5642" s="953"/>
    </row>
    <row r="5643" spans="1:8" s="943" customFormat="1" x14ac:dyDescent="0.25">
      <c r="A5643" s="952"/>
      <c r="B5643" s="953"/>
      <c r="C5643" s="953"/>
      <c r="D5643" s="953"/>
      <c r="E5643" s="953"/>
      <c r="F5643" s="953"/>
      <c r="G5643" s="953"/>
      <c r="H5643" s="953"/>
    </row>
    <row r="5644" spans="1:8" s="943" customFormat="1" x14ac:dyDescent="0.25">
      <c r="A5644" s="952"/>
      <c r="B5644" s="953"/>
      <c r="C5644" s="953"/>
      <c r="D5644" s="953"/>
      <c r="E5644" s="953"/>
      <c r="F5644" s="953"/>
      <c r="G5644" s="953"/>
      <c r="H5644" s="953"/>
    </row>
    <row r="5645" spans="1:8" s="943" customFormat="1" x14ac:dyDescent="0.25">
      <c r="A5645" s="952"/>
      <c r="B5645" s="953"/>
      <c r="C5645" s="953"/>
      <c r="D5645" s="953"/>
      <c r="E5645" s="953"/>
      <c r="F5645" s="953"/>
      <c r="G5645" s="953"/>
      <c r="H5645" s="953"/>
    </row>
    <row r="5646" spans="1:8" s="943" customFormat="1" x14ac:dyDescent="0.25">
      <c r="A5646" s="952"/>
      <c r="B5646" s="953"/>
      <c r="C5646" s="953"/>
      <c r="D5646" s="953"/>
      <c r="E5646" s="953"/>
      <c r="F5646" s="953"/>
      <c r="G5646" s="953"/>
      <c r="H5646" s="953"/>
    </row>
    <row r="5647" spans="1:8" s="943" customFormat="1" x14ac:dyDescent="0.25">
      <c r="A5647" s="952"/>
      <c r="B5647" s="953"/>
      <c r="C5647" s="953"/>
      <c r="D5647" s="953"/>
      <c r="E5647" s="953"/>
      <c r="F5647" s="953"/>
      <c r="G5647" s="953"/>
      <c r="H5647" s="953"/>
    </row>
    <row r="5648" spans="1:8" s="943" customFormat="1" x14ac:dyDescent="0.25">
      <c r="A5648" s="952"/>
      <c r="B5648" s="953"/>
      <c r="C5648" s="953"/>
      <c r="D5648" s="953"/>
      <c r="E5648" s="953"/>
      <c r="F5648" s="953"/>
      <c r="G5648" s="953"/>
      <c r="H5648" s="953"/>
    </row>
    <row r="5649" spans="1:8" s="943" customFormat="1" x14ac:dyDescent="0.25">
      <c r="A5649" s="952"/>
      <c r="B5649" s="953"/>
      <c r="C5649" s="953"/>
      <c r="D5649" s="953"/>
      <c r="E5649" s="953"/>
      <c r="F5649" s="953"/>
      <c r="G5649" s="953"/>
      <c r="H5649" s="953"/>
    </row>
    <row r="5650" spans="1:8" s="943" customFormat="1" x14ac:dyDescent="0.25">
      <c r="A5650" s="952"/>
      <c r="B5650" s="953"/>
      <c r="C5650" s="953"/>
      <c r="D5650" s="953"/>
      <c r="E5650" s="953"/>
      <c r="F5650" s="953"/>
      <c r="G5650" s="953"/>
      <c r="H5650" s="953"/>
    </row>
    <row r="5651" spans="1:8" s="943" customFormat="1" x14ac:dyDescent="0.25">
      <c r="A5651" s="952"/>
      <c r="B5651" s="953"/>
      <c r="C5651" s="953"/>
      <c r="D5651" s="953"/>
      <c r="E5651" s="953"/>
      <c r="F5651" s="953"/>
      <c r="G5651" s="953"/>
      <c r="H5651" s="953"/>
    </row>
    <row r="5652" spans="1:8" s="943" customFormat="1" x14ac:dyDescent="0.25">
      <c r="A5652" s="952"/>
      <c r="B5652" s="953"/>
      <c r="C5652" s="953"/>
      <c r="D5652" s="953"/>
      <c r="E5652" s="953"/>
      <c r="F5652" s="953"/>
      <c r="G5652" s="953"/>
      <c r="H5652" s="953"/>
    </row>
    <row r="5653" spans="1:8" s="943" customFormat="1" x14ac:dyDescent="0.25">
      <c r="A5653" s="952"/>
      <c r="B5653" s="953"/>
      <c r="C5653" s="953"/>
      <c r="D5653" s="953"/>
      <c r="E5653" s="953"/>
      <c r="F5653" s="953"/>
      <c r="G5653" s="953"/>
      <c r="H5653" s="953"/>
    </row>
    <row r="5654" spans="1:8" s="943" customFormat="1" x14ac:dyDescent="0.25">
      <c r="A5654" s="952"/>
      <c r="B5654" s="953"/>
      <c r="C5654" s="953"/>
      <c r="D5654" s="953"/>
      <c r="E5654" s="953"/>
      <c r="F5654" s="953"/>
      <c r="G5654" s="953"/>
      <c r="H5654" s="953"/>
    </row>
    <row r="5655" spans="1:8" s="943" customFormat="1" x14ac:dyDescent="0.25">
      <c r="A5655" s="952"/>
      <c r="B5655" s="953"/>
      <c r="C5655" s="953"/>
      <c r="D5655" s="953"/>
      <c r="E5655" s="953"/>
      <c r="F5655" s="953"/>
      <c r="G5655" s="953"/>
      <c r="H5655" s="953"/>
    </row>
    <row r="5656" spans="1:8" s="943" customFormat="1" x14ac:dyDescent="0.25">
      <c r="A5656" s="952"/>
      <c r="B5656" s="953"/>
      <c r="C5656" s="953"/>
      <c r="D5656" s="953"/>
      <c r="E5656" s="953"/>
      <c r="F5656" s="953"/>
      <c r="G5656" s="953"/>
      <c r="H5656" s="953"/>
    </row>
    <row r="5657" spans="1:8" s="943" customFormat="1" x14ac:dyDescent="0.25">
      <c r="A5657" s="952"/>
      <c r="B5657" s="953"/>
      <c r="C5657" s="953"/>
      <c r="D5657" s="953"/>
      <c r="E5657" s="953"/>
      <c r="F5657" s="953"/>
      <c r="G5657" s="953"/>
      <c r="H5657" s="953"/>
    </row>
    <row r="5658" spans="1:8" s="943" customFormat="1" x14ac:dyDescent="0.25">
      <c r="A5658" s="952"/>
      <c r="B5658" s="953"/>
      <c r="C5658" s="953"/>
      <c r="D5658" s="953"/>
      <c r="E5658" s="953"/>
      <c r="F5658" s="953"/>
      <c r="G5658" s="953"/>
      <c r="H5658" s="953"/>
    </row>
    <row r="5659" spans="1:8" s="943" customFormat="1" x14ac:dyDescent="0.25">
      <c r="A5659" s="952"/>
      <c r="B5659" s="953"/>
      <c r="C5659" s="953"/>
      <c r="D5659" s="953"/>
      <c r="E5659" s="953"/>
      <c r="F5659" s="953"/>
      <c r="G5659" s="953"/>
      <c r="H5659" s="953"/>
    </row>
    <row r="5660" spans="1:8" s="943" customFormat="1" x14ac:dyDescent="0.25">
      <c r="A5660" s="952"/>
      <c r="B5660" s="953"/>
      <c r="C5660" s="953"/>
      <c r="D5660" s="953"/>
      <c r="E5660" s="953"/>
      <c r="F5660" s="953"/>
      <c r="G5660" s="953"/>
      <c r="H5660" s="953"/>
    </row>
    <row r="5661" spans="1:8" s="943" customFormat="1" x14ac:dyDescent="0.25">
      <c r="A5661" s="952"/>
      <c r="B5661" s="953"/>
      <c r="C5661" s="953"/>
      <c r="D5661" s="953"/>
      <c r="E5661" s="953"/>
      <c r="F5661" s="953"/>
      <c r="G5661" s="953"/>
      <c r="H5661" s="953"/>
    </row>
    <row r="5662" spans="1:8" s="943" customFormat="1" x14ac:dyDescent="0.25">
      <c r="A5662" s="952"/>
      <c r="B5662" s="953"/>
      <c r="C5662" s="953"/>
      <c r="D5662" s="953"/>
      <c r="E5662" s="953"/>
      <c r="F5662" s="953"/>
      <c r="G5662" s="953"/>
      <c r="H5662" s="953"/>
    </row>
    <row r="5663" spans="1:8" s="943" customFormat="1" x14ac:dyDescent="0.25">
      <c r="A5663" s="952"/>
      <c r="B5663" s="953"/>
      <c r="C5663" s="953"/>
      <c r="D5663" s="953"/>
      <c r="E5663" s="953"/>
      <c r="F5663" s="953"/>
      <c r="G5663" s="953"/>
      <c r="H5663" s="953"/>
    </row>
    <row r="5664" spans="1:8" s="943" customFormat="1" x14ac:dyDescent="0.25">
      <c r="A5664" s="952"/>
      <c r="B5664" s="953"/>
      <c r="C5664" s="953"/>
      <c r="D5664" s="953"/>
      <c r="E5664" s="953"/>
      <c r="F5664" s="953"/>
      <c r="G5664" s="953"/>
      <c r="H5664" s="953"/>
    </row>
    <row r="5665" spans="1:8" s="943" customFormat="1" x14ac:dyDescent="0.25">
      <c r="A5665" s="952"/>
      <c r="B5665" s="953"/>
      <c r="C5665" s="953"/>
      <c r="D5665" s="953"/>
      <c r="E5665" s="953"/>
      <c r="F5665" s="953"/>
      <c r="G5665" s="953"/>
      <c r="H5665" s="953"/>
    </row>
    <row r="5666" spans="1:8" s="943" customFormat="1" x14ac:dyDescent="0.25">
      <c r="A5666" s="952"/>
      <c r="B5666" s="953"/>
      <c r="C5666" s="953"/>
      <c r="D5666" s="953"/>
      <c r="E5666" s="953"/>
      <c r="F5666" s="953"/>
      <c r="G5666" s="953"/>
      <c r="H5666" s="953"/>
    </row>
    <row r="5667" spans="1:8" s="943" customFormat="1" x14ac:dyDescent="0.25">
      <c r="A5667" s="952"/>
      <c r="B5667" s="953"/>
      <c r="C5667" s="953"/>
      <c r="D5667" s="953"/>
      <c r="E5667" s="953"/>
      <c r="F5667" s="953"/>
      <c r="G5667" s="953"/>
      <c r="H5667" s="953"/>
    </row>
    <row r="5668" spans="1:8" s="943" customFormat="1" x14ac:dyDescent="0.25">
      <c r="A5668" s="952"/>
      <c r="B5668" s="953"/>
      <c r="C5668" s="953"/>
      <c r="D5668" s="953"/>
      <c r="E5668" s="953"/>
      <c r="F5668" s="953"/>
      <c r="G5668" s="953"/>
      <c r="H5668" s="953"/>
    </row>
    <row r="5669" spans="1:8" s="943" customFormat="1" x14ac:dyDescent="0.25">
      <c r="A5669" s="952"/>
      <c r="B5669" s="953"/>
      <c r="C5669" s="953"/>
      <c r="D5669" s="953"/>
      <c r="E5669" s="953"/>
      <c r="F5669" s="953"/>
      <c r="G5669" s="953"/>
      <c r="H5669" s="953"/>
    </row>
    <row r="5670" spans="1:8" s="943" customFormat="1" x14ac:dyDescent="0.25">
      <c r="A5670" s="952"/>
      <c r="B5670" s="953"/>
      <c r="C5670" s="953"/>
      <c r="D5670" s="953"/>
      <c r="E5670" s="953"/>
      <c r="F5670" s="953"/>
      <c r="G5670" s="953"/>
      <c r="H5670" s="953"/>
    </row>
    <row r="5671" spans="1:8" s="943" customFormat="1" x14ac:dyDescent="0.25">
      <c r="A5671" s="952"/>
      <c r="B5671" s="953"/>
      <c r="C5671" s="953"/>
      <c r="D5671" s="953"/>
      <c r="E5671" s="953"/>
      <c r="F5671" s="953"/>
      <c r="G5671" s="953"/>
      <c r="H5671" s="953"/>
    </row>
    <row r="5672" spans="1:8" s="943" customFormat="1" x14ac:dyDescent="0.25">
      <c r="A5672" s="952"/>
      <c r="B5672" s="953"/>
      <c r="C5672" s="953"/>
      <c r="D5672" s="953"/>
      <c r="E5672" s="953"/>
      <c r="F5672" s="953"/>
      <c r="G5672" s="953"/>
      <c r="H5672" s="953"/>
    </row>
    <row r="5673" spans="1:8" s="943" customFormat="1" x14ac:dyDescent="0.25">
      <c r="A5673" s="952"/>
      <c r="B5673" s="953"/>
      <c r="C5673" s="953"/>
      <c r="D5673" s="953"/>
      <c r="E5673" s="953"/>
      <c r="F5673" s="953"/>
      <c r="G5673" s="953"/>
      <c r="H5673" s="953"/>
    </row>
    <row r="5674" spans="1:8" s="943" customFormat="1" x14ac:dyDescent="0.25">
      <c r="A5674" s="952"/>
      <c r="B5674" s="953"/>
      <c r="C5674" s="953"/>
      <c r="D5674" s="953"/>
      <c r="E5674" s="953"/>
      <c r="F5674" s="953"/>
      <c r="G5674" s="953"/>
      <c r="H5674" s="953"/>
    </row>
    <row r="5675" spans="1:8" s="943" customFormat="1" x14ac:dyDescent="0.25">
      <c r="A5675" s="952"/>
      <c r="B5675" s="953"/>
      <c r="C5675" s="953"/>
      <c r="D5675" s="953"/>
      <c r="E5675" s="953"/>
      <c r="F5675" s="953"/>
      <c r="G5675" s="953"/>
      <c r="H5675" s="953"/>
    </row>
    <row r="5676" spans="1:8" s="943" customFormat="1" x14ac:dyDescent="0.25">
      <c r="A5676" s="952"/>
      <c r="B5676" s="953"/>
      <c r="C5676" s="953"/>
      <c r="D5676" s="953"/>
      <c r="E5676" s="953"/>
      <c r="F5676" s="953"/>
      <c r="G5676" s="953"/>
      <c r="H5676" s="953"/>
    </row>
    <row r="5677" spans="1:8" s="943" customFormat="1" x14ac:dyDescent="0.25">
      <c r="A5677" s="952"/>
      <c r="B5677" s="953"/>
      <c r="C5677" s="953"/>
      <c r="D5677" s="953"/>
      <c r="E5677" s="953"/>
      <c r="F5677" s="953"/>
      <c r="G5677" s="953"/>
      <c r="H5677" s="953"/>
    </row>
    <row r="5678" spans="1:8" s="943" customFormat="1" x14ac:dyDescent="0.25">
      <c r="A5678" s="952"/>
      <c r="B5678" s="953"/>
      <c r="C5678" s="953"/>
      <c r="D5678" s="953"/>
      <c r="E5678" s="953"/>
      <c r="F5678" s="953"/>
      <c r="G5678" s="953"/>
      <c r="H5678" s="953"/>
    </row>
    <row r="5679" spans="1:8" s="943" customFormat="1" x14ac:dyDescent="0.25">
      <c r="A5679" s="952"/>
      <c r="B5679" s="953"/>
      <c r="C5679" s="953"/>
      <c r="D5679" s="953"/>
      <c r="E5679" s="953"/>
      <c r="F5679" s="953"/>
      <c r="G5679" s="953"/>
      <c r="H5679" s="953"/>
    </row>
    <row r="5680" spans="1:8" s="943" customFormat="1" x14ac:dyDescent="0.25">
      <c r="A5680" s="952"/>
      <c r="B5680" s="953"/>
      <c r="C5680" s="953"/>
      <c r="D5680" s="953"/>
      <c r="E5680" s="953"/>
      <c r="F5680" s="953"/>
      <c r="G5680" s="953"/>
      <c r="H5680" s="953"/>
    </row>
    <row r="5681" spans="1:8" s="943" customFormat="1" x14ac:dyDescent="0.25">
      <c r="A5681" s="952"/>
      <c r="B5681" s="953"/>
      <c r="C5681" s="953"/>
      <c r="D5681" s="953"/>
      <c r="E5681" s="953"/>
      <c r="F5681" s="953"/>
      <c r="G5681" s="953"/>
      <c r="H5681" s="953"/>
    </row>
    <row r="5682" spans="1:8" s="943" customFormat="1" x14ac:dyDescent="0.25">
      <c r="A5682" s="952"/>
      <c r="B5682" s="953"/>
      <c r="C5682" s="953"/>
      <c r="D5682" s="953"/>
      <c r="E5682" s="953"/>
      <c r="F5682" s="953"/>
      <c r="G5682" s="953"/>
      <c r="H5682" s="953"/>
    </row>
    <row r="5683" spans="1:8" s="943" customFormat="1" x14ac:dyDescent="0.25">
      <c r="A5683" s="952"/>
      <c r="B5683" s="953"/>
      <c r="C5683" s="953"/>
      <c r="D5683" s="953"/>
      <c r="E5683" s="953"/>
      <c r="F5683" s="953"/>
      <c r="G5683" s="953"/>
      <c r="H5683" s="953"/>
    </row>
    <row r="5684" spans="1:8" s="943" customFormat="1" x14ac:dyDescent="0.25">
      <c r="A5684" s="952"/>
      <c r="B5684" s="953"/>
      <c r="C5684" s="953"/>
      <c r="D5684" s="953"/>
      <c r="E5684" s="953"/>
      <c r="F5684" s="953"/>
      <c r="G5684" s="953"/>
      <c r="H5684" s="953"/>
    </row>
    <row r="5685" spans="1:8" s="943" customFormat="1" x14ac:dyDescent="0.25">
      <c r="A5685" s="952"/>
      <c r="B5685" s="953"/>
      <c r="C5685" s="953"/>
      <c r="D5685" s="953"/>
      <c r="E5685" s="953"/>
      <c r="F5685" s="953"/>
      <c r="G5685" s="953"/>
      <c r="H5685" s="953"/>
    </row>
    <row r="5686" spans="1:8" s="943" customFormat="1" x14ac:dyDescent="0.25">
      <c r="A5686" s="952"/>
      <c r="B5686" s="953"/>
      <c r="C5686" s="953"/>
      <c r="D5686" s="953"/>
      <c r="E5686" s="953"/>
      <c r="F5686" s="953"/>
      <c r="G5686" s="953"/>
      <c r="H5686" s="953"/>
    </row>
    <row r="5687" spans="1:8" s="943" customFormat="1" x14ac:dyDescent="0.25">
      <c r="A5687" s="952"/>
      <c r="B5687" s="953"/>
      <c r="C5687" s="953"/>
      <c r="D5687" s="953"/>
      <c r="E5687" s="953"/>
      <c r="F5687" s="953"/>
      <c r="G5687" s="953"/>
      <c r="H5687" s="953"/>
    </row>
    <row r="5688" spans="1:8" s="943" customFormat="1" x14ac:dyDescent="0.25">
      <c r="A5688" s="952"/>
      <c r="B5688" s="953"/>
      <c r="C5688" s="953"/>
      <c r="D5688" s="953"/>
      <c r="E5688" s="953"/>
      <c r="F5688" s="953"/>
      <c r="G5688" s="953"/>
      <c r="H5688" s="953"/>
    </row>
    <row r="5689" spans="1:8" s="943" customFormat="1" x14ac:dyDescent="0.25">
      <c r="A5689" s="952"/>
      <c r="B5689" s="953"/>
      <c r="C5689" s="953"/>
      <c r="D5689" s="953"/>
      <c r="E5689" s="953"/>
      <c r="F5689" s="953"/>
      <c r="G5689" s="953"/>
      <c r="H5689" s="953"/>
    </row>
    <row r="5690" spans="1:8" s="943" customFormat="1" x14ac:dyDescent="0.25">
      <c r="A5690" s="952"/>
      <c r="B5690" s="953"/>
      <c r="C5690" s="953"/>
      <c r="D5690" s="953"/>
      <c r="E5690" s="953"/>
      <c r="F5690" s="953"/>
      <c r="G5690" s="953"/>
      <c r="H5690" s="953"/>
    </row>
    <row r="5691" spans="1:8" s="943" customFormat="1" x14ac:dyDescent="0.25">
      <c r="A5691" s="952"/>
      <c r="B5691" s="953"/>
      <c r="C5691" s="953"/>
      <c r="D5691" s="953"/>
      <c r="E5691" s="953"/>
      <c r="F5691" s="953"/>
      <c r="G5691" s="953"/>
      <c r="H5691" s="953"/>
    </row>
    <row r="5692" spans="1:8" s="943" customFormat="1" x14ac:dyDescent="0.25">
      <c r="A5692" s="952"/>
      <c r="B5692" s="953"/>
      <c r="C5692" s="953"/>
      <c r="D5692" s="953"/>
      <c r="E5692" s="953"/>
      <c r="F5692" s="953"/>
      <c r="G5692" s="953"/>
      <c r="H5692" s="953"/>
    </row>
    <row r="5693" spans="1:8" s="943" customFormat="1" x14ac:dyDescent="0.25">
      <c r="A5693" s="952"/>
      <c r="B5693" s="953"/>
      <c r="C5693" s="953"/>
      <c r="D5693" s="953"/>
      <c r="E5693" s="953"/>
      <c r="F5693" s="953"/>
      <c r="G5693" s="953"/>
      <c r="H5693" s="953"/>
    </row>
    <row r="5694" spans="1:8" s="943" customFormat="1" x14ac:dyDescent="0.25">
      <c r="A5694" s="952"/>
      <c r="B5694" s="953"/>
      <c r="C5694" s="953"/>
      <c r="D5694" s="953"/>
      <c r="E5694" s="953"/>
      <c r="F5694" s="953"/>
      <c r="G5694" s="953"/>
      <c r="H5694" s="953"/>
    </row>
    <row r="5695" spans="1:8" s="943" customFormat="1" x14ac:dyDescent="0.25">
      <c r="A5695" s="952"/>
      <c r="B5695" s="953"/>
      <c r="C5695" s="953"/>
      <c r="D5695" s="953"/>
      <c r="E5695" s="953"/>
      <c r="F5695" s="953"/>
      <c r="G5695" s="953"/>
      <c r="H5695" s="953"/>
    </row>
    <row r="5696" spans="1:8" s="943" customFormat="1" x14ac:dyDescent="0.25">
      <c r="A5696" s="952"/>
      <c r="B5696" s="953"/>
      <c r="C5696" s="953"/>
      <c r="D5696" s="953"/>
      <c r="E5696" s="953"/>
      <c r="F5696" s="953"/>
      <c r="G5696" s="953"/>
      <c r="H5696" s="953"/>
    </row>
    <row r="5697" spans="1:8" s="943" customFormat="1" x14ac:dyDescent="0.25">
      <c r="A5697" s="952"/>
      <c r="B5697" s="953"/>
      <c r="C5697" s="953"/>
      <c r="D5697" s="953"/>
      <c r="E5697" s="953"/>
      <c r="F5697" s="953"/>
      <c r="G5697" s="953"/>
      <c r="H5697" s="953"/>
    </row>
    <row r="5698" spans="1:8" s="943" customFormat="1" x14ac:dyDescent="0.25">
      <c r="A5698" s="952"/>
      <c r="B5698" s="953"/>
      <c r="C5698" s="953"/>
      <c r="D5698" s="953"/>
      <c r="E5698" s="953"/>
      <c r="F5698" s="953"/>
      <c r="G5698" s="953"/>
      <c r="H5698" s="953"/>
    </row>
    <row r="5699" spans="1:8" s="943" customFormat="1" x14ac:dyDescent="0.25">
      <c r="A5699" s="952"/>
      <c r="B5699" s="953"/>
      <c r="C5699" s="953"/>
      <c r="D5699" s="953"/>
      <c r="E5699" s="953"/>
      <c r="F5699" s="953"/>
      <c r="G5699" s="953"/>
      <c r="H5699" s="953"/>
    </row>
    <row r="5700" spans="1:8" s="943" customFormat="1" x14ac:dyDescent="0.25">
      <c r="A5700" s="952"/>
      <c r="B5700" s="953"/>
      <c r="C5700" s="953"/>
      <c r="D5700" s="953"/>
      <c r="E5700" s="953"/>
      <c r="F5700" s="953"/>
      <c r="G5700" s="953"/>
      <c r="H5700" s="953"/>
    </row>
    <row r="5701" spans="1:8" s="943" customFormat="1" x14ac:dyDescent="0.25">
      <c r="A5701" s="952"/>
      <c r="B5701" s="953"/>
      <c r="C5701" s="953"/>
      <c r="D5701" s="953"/>
      <c r="E5701" s="953"/>
      <c r="F5701" s="953"/>
      <c r="G5701" s="953"/>
      <c r="H5701" s="953"/>
    </row>
    <row r="5702" spans="1:8" s="943" customFormat="1" x14ac:dyDescent="0.25">
      <c r="A5702" s="952"/>
      <c r="B5702" s="953"/>
      <c r="C5702" s="953"/>
      <c r="D5702" s="953"/>
      <c r="E5702" s="953"/>
      <c r="F5702" s="953"/>
      <c r="G5702" s="953"/>
      <c r="H5702" s="953"/>
    </row>
    <row r="5703" spans="1:8" s="943" customFormat="1" x14ac:dyDescent="0.25">
      <c r="A5703" s="952"/>
      <c r="B5703" s="953"/>
      <c r="C5703" s="953"/>
      <c r="D5703" s="953"/>
      <c r="E5703" s="953"/>
      <c r="F5703" s="953"/>
      <c r="G5703" s="953"/>
      <c r="H5703" s="953"/>
    </row>
    <row r="5704" spans="1:8" s="943" customFormat="1" x14ac:dyDescent="0.25">
      <c r="A5704" s="952"/>
      <c r="B5704" s="953"/>
      <c r="C5704" s="953"/>
      <c r="D5704" s="953"/>
      <c r="E5704" s="953"/>
      <c r="F5704" s="953"/>
      <c r="G5704" s="953"/>
      <c r="H5704" s="953"/>
    </row>
    <row r="5705" spans="1:8" s="943" customFormat="1" x14ac:dyDescent="0.25">
      <c r="A5705" s="952"/>
      <c r="B5705" s="953"/>
      <c r="C5705" s="953"/>
      <c r="D5705" s="953"/>
      <c r="E5705" s="953"/>
      <c r="F5705" s="953"/>
      <c r="G5705" s="953"/>
      <c r="H5705" s="953"/>
    </row>
    <row r="5706" spans="1:8" s="943" customFormat="1" x14ac:dyDescent="0.25">
      <c r="A5706" s="952"/>
      <c r="B5706" s="953"/>
      <c r="C5706" s="953"/>
      <c r="D5706" s="953"/>
      <c r="E5706" s="953"/>
      <c r="F5706" s="953"/>
      <c r="G5706" s="953"/>
      <c r="H5706" s="953"/>
    </row>
    <row r="5707" spans="1:8" s="943" customFormat="1" x14ac:dyDescent="0.25">
      <c r="A5707" s="952"/>
      <c r="B5707" s="953"/>
      <c r="C5707" s="953"/>
      <c r="D5707" s="953"/>
      <c r="E5707" s="953"/>
      <c r="F5707" s="953"/>
      <c r="G5707" s="953"/>
      <c r="H5707" s="953"/>
    </row>
    <row r="5708" spans="1:8" s="943" customFormat="1" x14ac:dyDescent="0.25">
      <c r="A5708" s="952"/>
      <c r="B5708" s="953"/>
      <c r="C5708" s="953"/>
      <c r="D5708" s="953"/>
      <c r="E5708" s="953"/>
      <c r="F5708" s="953"/>
      <c r="G5708" s="953"/>
      <c r="H5708" s="953"/>
    </row>
    <row r="5709" spans="1:8" s="943" customFormat="1" x14ac:dyDescent="0.25">
      <c r="A5709" s="952"/>
      <c r="B5709" s="953"/>
      <c r="C5709" s="953"/>
      <c r="D5709" s="953"/>
      <c r="E5709" s="953"/>
      <c r="F5709" s="953"/>
      <c r="G5709" s="953"/>
      <c r="H5709" s="953"/>
    </row>
    <row r="5710" spans="1:8" s="943" customFormat="1" x14ac:dyDescent="0.25">
      <c r="A5710" s="952"/>
      <c r="B5710" s="953"/>
      <c r="C5710" s="953"/>
      <c r="D5710" s="953"/>
      <c r="E5710" s="953"/>
      <c r="F5710" s="953"/>
      <c r="G5710" s="953"/>
      <c r="H5710" s="953"/>
    </row>
    <row r="5711" spans="1:8" s="943" customFormat="1" x14ac:dyDescent="0.25">
      <c r="A5711" s="952"/>
      <c r="B5711" s="953"/>
      <c r="C5711" s="953"/>
      <c r="D5711" s="953"/>
      <c r="E5711" s="953"/>
      <c r="F5711" s="953"/>
      <c r="G5711" s="953"/>
      <c r="H5711" s="953"/>
    </row>
    <row r="5712" spans="1:8" s="943" customFormat="1" x14ac:dyDescent="0.25">
      <c r="A5712" s="952"/>
      <c r="B5712" s="953"/>
      <c r="C5712" s="953"/>
      <c r="D5712" s="953"/>
      <c r="E5712" s="953"/>
      <c r="F5712" s="953"/>
      <c r="G5712" s="953"/>
      <c r="H5712" s="953"/>
    </row>
    <row r="5713" spans="1:8" s="943" customFormat="1" x14ac:dyDescent="0.25">
      <c r="A5713" s="952"/>
      <c r="B5713" s="953"/>
      <c r="C5713" s="953"/>
      <c r="D5713" s="953"/>
      <c r="E5713" s="953"/>
      <c r="F5713" s="953"/>
      <c r="G5713" s="953"/>
      <c r="H5713" s="953"/>
    </row>
    <row r="5714" spans="1:8" s="943" customFormat="1" x14ac:dyDescent="0.25">
      <c r="A5714" s="952"/>
      <c r="B5714" s="953"/>
      <c r="C5714" s="953"/>
      <c r="D5714" s="953"/>
      <c r="E5714" s="953"/>
      <c r="F5714" s="953"/>
      <c r="G5714" s="953"/>
      <c r="H5714" s="953"/>
    </row>
    <row r="5715" spans="1:8" s="943" customFormat="1" x14ac:dyDescent="0.25">
      <c r="A5715" s="952"/>
      <c r="B5715" s="953"/>
      <c r="C5715" s="953"/>
      <c r="D5715" s="953"/>
      <c r="E5715" s="953"/>
      <c r="F5715" s="953"/>
      <c r="G5715" s="953"/>
      <c r="H5715" s="953"/>
    </row>
    <row r="5716" spans="1:8" s="943" customFormat="1" x14ac:dyDescent="0.25">
      <c r="A5716" s="952"/>
      <c r="B5716" s="953"/>
      <c r="C5716" s="953"/>
      <c r="D5716" s="953"/>
      <c r="E5716" s="953"/>
      <c r="F5716" s="953"/>
      <c r="G5716" s="953"/>
      <c r="H5716" s="953"/>
    </row>
    <row r="5717" spans="1:8" s="943" customFormat="1" x14ac:dyDescent="0.25">
      <c r="A5717" s="952"/>
      <c r="B5717" s="953"/>
      <c r="C5717" s="953"/>
      <c r="D5717" s="953"/>
      <c r="E5717" s="953"/>
      <c r="F5717" s="953"/>
      <c r="G5717" s="953"/>
      <c r="H5717" s="953"/>
    </row>
    <row r="5718" spans="1:8" s="943" customFormat="1" x14ac:dyDescent="0.25">
      <c r="A5718" s="952"/>
      <c r="B5718" s="953"/>
      <c r="C5718" s="953"/>
      <c r="D5718" s="953"/>
      <c r="E5718" s="953"/>
      <c r="F5718" s="953"/>
      <c r="G5718" s="953"/>
      <c r="H5718" s="953"/>
    </row>
    <row r="5719" spans="1:8" s="943" customFormat="1" x14ac:dyDescent="0.25">
      <c r="A5719" s="952"/>
      <c r="B5719" s="953"/>
      <c r="C5719" s="953"/>
      <c r="D5719" s="953"/>
      <c r="E5719" s="953"/>
      <c r="F5719" s="953"/>
      <c r="G5719" s="953"/>
      <c r="H5719" s="953"/>
    </row>
    <row r="5720" spans="1:8" s="943" customFormat="1" x14ac:dyDescent="0.25">
      <c r="A5720" s="952"/>
      <c r="B5720" s="953"/>
      <c r="C5720" s="953"/>
      <c r="D5720" s="953"/>
      <c r="E5720" s="953"/>
      <c r="F5720" s="953"/>
      <c r="G5720" s="953"/>
      <c r="H5720" s="953"/>
    </row>
    <row r="5721" spans="1:8" s="943" customFormat="1" x14ac:dyDescent="0.25">
      <c r="A5721" s="952"/>
      <c r="B5721" s="953"/>
      <c r="C5721" s="953"/>
      <c r="D5721" s="953"/>
      <c r="E5721" s="953"/>
      <c r="F5721" s="953"/>
      <c r="G5721" s="953"/>
      <c r="H5721" s="953"/>
    </row>
    <row r="5722" spans="1:8" s="943" customFormat="1" x14ac:dyDescent="0.25">
      <c r="A5722" s="952"/>
      <c r="B5722" s="953"/>
      <c r="C5722" s="953"/>
      <c r="D5722" s="953"/>
      <c r="E5722" s="953"/>
      <c r="F5722" s="953"/>
      <c r="G5722" s="953"/>
      <c r="H5722" s="953"/>
    </row>
    <row r="5723" spans="1:8" s="943" customFormat="1" x14ac:dyDescent="0.25">
      <c r="A5723" s="952"/>
      <c r="B5723" s="953"/>
      <c r="C5723" s="953"/>
      <c r="D5723" s="953"/>
      <c r="E5723" s="953"/>
      <c r="F5723" s="953"/>
      <c r="G5723" s="953"/>
      <c r="H5723" s="953"/>
    </row>
    <row r="5724" spans="1:8" s="943" customFormat="1" x14ac:dyDescent="0.25">
      <c r="A5724" s="952"/>
      <c r="B5724" s="953"/>
      <c r="C5724" s="953"/>
      <c r="D5724" s="953"/>
      <c r="E5724" s="953"/>
      <c r="F5724" s="953"/>
      <c r="G5724" s="953"/>
      <c r="H5724" s="953"/>
    </row>
    <row r="5725" spans="1:8" s="943" customFormat="1" x14ac:dyDescent="0.25">
      <c r="A5725" s="952"/>
      <c r="B5725" s="953"/>
      <c r="C5725" s="953"/>
      <c r="D5725" s="953"/>
      <c r="E5725" s="953"/>
      <c r="F5725" s="953"/>
      <c r="G5725" s="953"/>
      <c r="H5725" s="953"/>
    </row>
    <row r="5726" spans="1:8" s="943" customFormat="1" x14ac:dyDescent="0.25">
      <c r="A5726" s="952"/>
      <c r="B5726" s="953"/>
      <c r="C5726" s="953"/>
      <c r="D5726" s="953"/>
      <c r="E5726" s="953"/>
      <c r="F5726" s="953"/>
      <c r="G5726" s="953"/>
      <c r="H5726" s="953"/>
    </row>
    <row r="5727" spans="1:8" s="943" customFormat="1" x14ac:dyDescent="0.25">
      <c r="A5727" s="952"/>
      <c r="B5727" s="953"/>
      <c r="C5727" s="953"/>
      <c r="D5727" s="953"/>
      <c r="E5727" s="953"/>
      <c r="F5727" s="953"/>
      <c r="G5727" s="953"/>
      <c r="H5727" s="953"/>
    </row>
    <row r="5728" spans="1:8" s="943" customFormat="1" x14ac:dyDescent="0.25">
      <c r="A5728" s="952"/>
      <c r="B5728" s="953"/>
      <c r="C5728" s="953"/>
      <c r="D5728" s="953"/>
      <c r="E5728" s="953"/>
      <c r="F5728" s="953"/>
      <c r="G5728" s="953"/>
      <c r="H5728" s="953"/>
    </row>
    <row r="5729" spans="1:8" s="943" customFormat="1" x14ac:dyDescent="0.25">
      <c r="A5729" s="952"/>
      <c r="B5729" s="953"/>
      <c r="C5729" s="953"/>
      <c r="D5729" s="953"/>
      <c r="E5729" s="953"/>
      <c r="F5729" s="953"/>
      <c r="G5729" s="953"/>
      <c r="H5729" s="953"/>
    </row>
    <row r="5730" spans="1:8" s="943" customFormat="1" x14ac:dyDescent="0.25">
      <c r="A5730" s="952"/>
      <c r="B5730" s="953"/>
      <c r="C5730" s="953"/>
      <c r="D5730" s="953"/>
      <c r="E5730" s="953"/>
      <c r="F5730" s="953"/>
      <c r="G5730" s="953"/>
      <c r="H5730" s="953"/>
    </row>
    <row r="5731" spans="1:8" s="943" customFormat="1" x14ac:dyDescent="0.25">
      <c r="A5731" s="952"/>
      <c r="B5731" s="953"/>
      <c r="C5731" s="953"/>
      <c r="D5731" s="953"/>
      <c r="E5731" s="953"/>
      <c r="F5731" s="953"/>
      <c r="G5731" s="953"/>
      <c r="H5731" s="953"/>
    </row>
    <row r="5732" spans="1:8" s="943" customFormat="1" x14ac:dyDescent="0.25">
      <c r="A5732" s="952"/>
      <c r="B5732" s="953"/>
      <c r="C5732" s="953"/>
      <c r="D5732" s="953"/>
      <c r="E5732" s="953"/>
      <c r="F5732" s="953"/>
      <c r="G5732" s="953"/>
      <c r="H5732" s="953"/>
    </row>
    <row r="5733" spans="1:8" s="943" customFormat="1" x14ac:dyDescent="0.25">
      <c r="A5733" s="952"/>
      <c r="B5733" s="953"/>
      <c r="C5733" s="953"/>
      <c r="D5733" s="953"/>
      <c r="E5733" s="953"/>
      <c r="F5733" s="953"/>
      <c r="G5733" s="953"/>
      <c r="H5733" s="953"/>
    </row>
    <row r="5734" spans="1:8" s="943" customFormat="1" x14ac:dyDescent="0.25">
      <c r="A5734" s="952"/>
      <c r="B5734" s="953"/>
      <c r="C5734" s="953"/>
      <c r="D5734" s="953"/>
      <c r="E5734" s="953"/>
      <c r="F5734" s="953"/>
      <c r="G5734" s="953"/>
      <c r="H5734" s="953"/>
    </row>
    <row r="5735" spans="1:8" s="943" customFormat="1" x14ac:dyDescent="0.25">
      <c r="A5735" s="952"/>
      <c r="B5735" s="953"/>
      <c r="C5735" s="953"/>
      <c r="D5735" s="953"/>
      <c r="E5735" s="953"/>
      <c r="F5735" s="953"/>
      <c r="G5735" s="953"/>
      <c r="H5735" s="953"/>
    </row>
    <row r="5736" spans="1:8" s="943" customFormat="1" x14ac:dyDescent="0.25">
      <c r="A5736" s="952"/>
      <c r="B5736" s="953"/>
      <c r="C5736" s="953"/>
      <c r="D5736" s="953"/>
      <c r="E5736" s="953"/>
      <c r="F5736" s="953"/>
      <c r="G5736" s="953"/>
      <c r="H5736" s="953"/>
    </row>
    <row r="5737" spans="1:8" s="943" customFormat="1" x14ac:dyDescent="0.25">
      <c r="A5737" s="952"/>
      <c r="B5737" s="953"/>
      <c r="C5737" s="953"/>
      <c r="D5737" s="953"/>
      <c r="E5737" s="953"/>
      <c r="F5737" s="953"/>
      <c r="G5737" s="953"/>
      <c r="H5737" s="953"/>
    </row>
    <row r="5738" spans="1:8" s="943" customFormat="1" x14ac:dyDescent="0.25">
      <c r="A5738" s="952"/>
      <c r="B5738" s="953"/>
      <c r="C5738" s="953"/>
      <c r="D5738" s="953"/>
      <c r="E5738" s="953"/>
      <c r="F5738" s="953"/>
      <c r="G5738" s="953"/>
      <c r="H5738" s="953"/>
    </row>
    <row r="5739" spans="1:8" s="943" customFormat="1" x14ac:dyDescent="0.25">
      <c r="A5739" s="952"/>
      <c r="B5739" s="953"/>
      <c r="C5739" s="953"/>
      <c r="D5739" s="953"/>
      <c r="E5739" s="953"/>
      <c r="F5739" s="953"/>
      <c r="G5739" s="953"/>
      <c r="H5739" s="953"/>
    </row>
    <row r="5740" spans="1:8" s="943" customFormat="1" x14ac:dyDescent="0.25">
      <c r="A5740" s="952"/>
      <c r="B5740" s="953"/>
      <c r="C5740" s="953"/>
      <c r="D5740" s="953"/>
      <c r="E5740" s="953"/>
      <c r="F5740" s="953"/>
      <c r="G5740" s="953"/>
      <c r="H5740" s="953"/>
    </row>
    <row r="5741" spans="1:8" s="943" customFormat="1" x14ac:dyDescent="0.25">
      <c r="A5741" s="952"/>
      <c r="B5741" s="953"/>
      <c r="C5741" s="953"/>
      <c r="D5741" s="953"/>
      <c r="E5741" s="953"/>
      <c r="F5741" s="953"/>
      <c r="G5741" s="953"/>
      <c r="H5741" s="953"/>
    </row>
    <row r="5742" spans="1:8" s="943" customFormat="1" x14ac:dyDescent="0.25">
      <c r="A5742" s="952"/>
      <c r="B5742" s="953"/>
      <c r="C5742" s="953"/>
      <c r="D5742" s="953"/>
      <c r="E5742" s="953"/>
      <c r="F5742" s="953"/>
      <c r="G5742" s="953"/>
      <c r="H5742" s="953"/>
    </row>
    <row r="5743" spans="1:8" s="943" customFormat="1" x14ac:dyDescent="0.25">
      <c r="A5743" s="952"/>
      <c r="B5743" s="953"/>
      <c r="C5743" s="953"/>
      <c r="D5743" s="953"/>
      <c r="E5743" s="953"/>
      <c r="F5743" s="953"/>
      <c r="G5743" s="953"/>
      <c r="H5743" s="953"/>
    </row>
    <row r="5744" spans="1:8" s="943" customFormat="1" x14ac:dyDescent="0.25">
      <c r="A5744" s="952"/>
      <c r="B5744" s="953"/>
      <c r="C5744" s="953"/>
      <c r="D5744" s="953"/>
      <c r="E5744" s="953"/>
      <c r="F5744" s="953"/>
      <c r="G5744" s="953"/>
      <c r="H5744" s="953"/>
    </row>
    <row r="5745" spans="1:8" s="943" customFormat="1" x14ac:dyDescent="0.25">
      <c r="A5745" s="952"/>
      <c r="B5745" s="953"/>
      <c r="C5745" s="953"/>
      <c r="D5745" s="953"/>
      <c r="E5745" s="953"/>
      <c r="F5745" s="953"/>
      <c r="G5745" s="953"/>
      <c r="H5745" s="953"/>
    </row>
    <row r="5746" spans="1:8" s="943" customFormat="1" x14ac:dyDescent="0.25">
      <c r="A5746" s="952"/>
      <c r="B5746" s="953"/>
      <c r="C5746" s="953"/>
      <c r="D5746" s="953"/>
      <c r="E5746" s="953"/>
      <c r="F5746" s="953"/>
      <c r="G5746" s="953"/>
      <c r="H5746" s="953"/>
    </row>
    <row r="5747" spans="1:8" s="943" customFormat="1" x14ac:dyDescent="0.25">
      <c r="A5747" s="952"/>
      <c r="B5747" s="953"/>
      <c r="C5747" s="953"/>
      <c r="D5747" s="953"/>
      <c r="E5747" s="953"/>
      <c r="F5747" s="953"/>
      <c r="G5747" s="953"/>
      <c r="H5747" s="953"/>
    </row>
    <row r="5748" spans="1:8" s="943" customFormat="1" x14ac:dyDescent="0.25">
      <c r="A5748" s="952"/>
      <c r="B5748" s="953"/>
      <c r="C5748" s="953"/>
      <c r="D5748" s="953"/>
      <c r="E5748" s="953"/>
      <c r="F5748" s="953"/>
      <c r="G5748" s="953"/>
      <c r="H5748" s="953"/>
    </row>
    <row r="5749" spans="1:8" s="943" customFormat="1" x14ac:dyDescent="0.25">
      <c r="A5749" s="952"/>
      <c r="B5749" s="953"/>
      <c r="C5749" s="953"/>
      <c r="D5749" s="953"/>
      <c r="E5749" s="953"/>
      <c r="F5749" s="953"/>
      <c r="G5749" s="953"/>
      <c r="H5749" s="953"/>
    </row>
    <row r="5750" spans="1:8" s="943" customFormat="1" x14ac:dyDescent="0.25">
      <c r="A5750" s="952"/>
      <c r="B5750" s="953"/>
      <c r="C5750" s="953"/>
      <c r="D5750" s="953"/>
      <c r="E5750" s="953"/>
      <c r="F5750" s="953"/>
      <c r="G5750" s="953"/>
      <c r="H5750" s="953"/>
    </row>
    <row r="5751" spans="1:8" s="943" customFormat="1" x14ac:dyDescent="0.25">
      <c r="A5751" s="952"/>
      <c r="B5751" s="953"/>
      <c r="C5751" s="953"/>
      <c r="D5751" s="953"/>
      <c r="E5751" s="953"/>
      <c r="F5751" s="953"/>
      <c r="G5751" s="953"/>
      <c r="H5751" s="953"/>
    </row>
    <row r="5752" spans="1:8" s="943" customFormat="1" x14ac:dyDescent="0.25">
      <c r="A5752" s="952"/>
      <c r="B5752" s="953"/>
      <c r="C5752" s="953"/>
      <c r="D5752" s="953"/>
      <c r="E5752" s="953"/>
      <c r="F5752" s="953"/>
      <c r="G5752" s="953"/>
      <c r="H5752" s="953"/>
    </row>
    <row r="5753" spans="1:8" s="943" customFormat="1" x14ac:dyDescent="0.25">
      <c r="A5753" s="952"/>
      <c r="B5753" s="953"/>
      <c r="C5753" s="953"/>
      <c r="D5753" s="953"/>
      <c r="E5753" s="953"/>
      <c r="F5753" s="953"/>
      <c r="G5753" s="953"/>
      <c r="H5753" s="953"/>
    </row>
    <row r="5754" spans="1:8" s="943" customFormat="1" x14ac:dyDescent="0.25">
      <c r="A5754" s="952"/>
      <c r="B5754" s="953"/>
      <c r="C5754" s="953"/>
      <c r="D5754" s="953"/>
      <c r="E5754" s="953"/>
      <c r="F5754" s="953"/>
      <c r="G5754" s="953"/>
      <c r="H5754" s="953"/>
    </row>
    <row r="5755" spans="1:8" s="943" customFormat="1" x14ac:dyDescent="0.25">
      <c r="A5755" s="952"/>
      <c r="B5755" s="953"/>
      <c r="C5755" s="953"/>
      <c r="D5755" s="953"/>
      <c r="E5755" s="953"/>
      <c r="F5755" s="953"/>
      <c r="G5755" s="953"/>
      <c r="H5755" s="953"/>
    </row>
    <row r="5756" spans="1:8" s="943" customFormat="1" x14ac:dyDescent="0.25">
      <c r="A5756" s="952"/>
      <c r="B5756" s="953"/>
      <c r="C5756" s="953"/>
      <c r="D5756" s="953"/>
      <c r="E5756" s="953"/>
      <c r="F5756" s="953"/>
      <c r="G5756" s="953"/>
      <c r="H5756" s="953"/>
    </row>
    <row r="5757" spans="1:8" s="943" customFormat="1" x14ac:dyDescent="0.25">
      <c r="A5757" s="952"/>
      <c r="B5757" s="953"/>
      <c r="C5757" s="953"/>
      <c r="D5757" s="953"/>
      <c r="E5757" s="953"/>
      <c r="F5757" s="953"/>
      <c r="G5757" s="953"/>
      <c r="H5757" s="953"/>
    </row>
    <row r="5758" spans="1:8" s="943" customFormat="1" x14ac:dyDescent="0.25">
      <c r="A5758" s="952"/>
      <c r="B5758" s="953"/>
      <c r="C5758" s="953"/>
      <c r="D5758" s="953"/>
      <c r="E5758" s="953"/>
      <c r="F5758" s="953"/>
      <c r="G5758" s="953"/>
      <c r="H5758" s="953"/>
    </row>
    <row r="5759" spans="1:8" s="943" customFormat="1" x14ac:dyDescent="0.25">
      <c r="A5759" s="952"/>
      <c r="B5759" s="953"/>
      <c r="C5759" s="953"/>
      <c r="D5759" s="953"/>
      <c r="E5759" s="953"/>
      <c r="F5759" s="953"/>
      <c r="G5759" s="953"/>
      <c r="H5759" s="953"/>
    </row>
    <row r="5760" spans="1:8" s="943" customFormat="1" x14ac:dyDescent="0.25">
      <c r="A5760" s="952"/>
      <c r="B5760" s="953"/>
      <c r="C5760" s="953"/>
      <c r="D5760" s="953"/>
      <c r="E5760" s="953"/>
      <c r="F5760" s="953"/>
      <c r="G5760" s="953"/>
      <c r="H5760" s="953"/>
    </row>
    <row r="5761" spans="1:8" s="943" customFormat="1" x14ac:dyDescent="0.25">
      <c r="A5761" s="952"/>
      <c r="B5761" s="953"/>
      <c r="C5761" s="953"/>
      <c r="D5761" s="953"/>
      <c r="E5761" s="953"/>
      <c r="F5761" s="953"/>
      <c r="G5761" s="953"/>
      <c r="H5761" s="953"/>
    </row>
    <row r="5762" spans="1:8" s="943" customFormat="1" x14ac:dyDescent="0.25">
      <c r="A5762" s="952"/>
      <c r="B5762" s="953"/>
      <c r="C5762" s="953"/>
      <c r="D5762" s="953"/>
      <c r="E5762" s="953"/>
      <c r="F5762" s="953"/>
      <c r="G5762" s="953"/>
      <c r="H5762" s="953"/>
    </row>
    <row r="5763" spans="1:8" s="943" customFormat="1" x14ac:dyDescent="0.25">
      <c r="A5763" s="952"/>
      <c r="B5763" s="953"/>
      <c r="C5763" s="953"/>
      <c r="D5763" s="953"/>
      <c r="E5763" s="953"/>
      <c r="F5763" s="953"/>
      <c r="G5763" s="953"/>
      <c r="H5763" s="953"/>
    </row>
    <row r="5764" spans="1:8" s="943" customFormat="1" x14ac:dyDescent="0.25">
      <c r="A5764" s="952"/>
      <c r="B5764" s="953"/>
      <c r="C5764" s="953"/>
      <c r="D5764" s="953"/>
      <c r="E5764" s="953"/>
      <c r="F5764" s="953"/>
      <c r="G5764" s="953"/>
      <c r="H5764" s="953"/>
    </row>
    <row r="5765" spans="1:8" s="943" customFormat="1" x14ac:dyDescent="0.25">
      <c r="A5765" s="952"/>
      <c r="B5765" s="953"/>
      <c r="C5765" s="953"/>
      <c r="D5765" s="953"/>
      <c r="E5765" s="953"/>
      <c r="F5765" s="953"/>
      <c r="G5765" s="953"/>
      <c r="H5765" s="953"/>
    </row>
    <row r="5766" spans="1:8" s="943" customFormat="1" x14ac:dyDescent="0.25">
      <c r="A5766" s="952"/>
      <c r="B5766" s="953"/>
      <c r="C5766" s="953"/>
      <c r="D5766" s="953"/>
      <c r="E5766" s="953"/>
      <c r="F5766" s="953"/>
      <c r="G5766" s="953"/>
      <c r="H5766" s="953"/>
    </row>
    <row r="5767" spans="1:8" s="943" customFormat="1" x14ac:dyDescent="0.25">
      <c r="A5767" s="952"/>
      <c r="B5767" s="953"/>
      <c r="C5767" s="953"/>
      <c r="D5767" s="953"/>
      <c r="E5767" s="953"/>
      <c r="F5767" s="953"/>
      <c r="G5767" s="953"/>
      <c r="H5767" s="953"/>
    </row>
    <row r="5768" spans="1:8" s="943" customFormat="1" x14ac:dyDescent="0.25">
      <c r="A5768" s="952"/>
      <c r="B5768" s="953"/>
      <c r="C5768" s="953"/>
      <c r="D5768" s="953"/>
      <c r="E5768" s="953"/>
      <c r="F5768" s="953"/>
      <c r="G5768" s="953"/>
      <c r="H5768" s="953"/>
    </row>
    <row r="5769" spans="1:8" s="943" customFormat="1" x14ac:dyDescent="0.25">
      <c r="A5769" s="952"/>
      <c r="B5769" s="953"/>
      <c r="C5769" s="953"/>
      <c r="D5769" s="953"/>
      <c r="E5769" s="953"/>
      <c r="F5769" s="953"/>
      <c r="G5769" s="953"/>
      <c r="H5769" s="953"/>
    </row>
    <row r="5770" spans="1:8" s="943" customFormat="1" x14ac:dyDescent="0.25">
      <c r="A5770" s="952"/>
      <c r="B5770" s="953"/>
      <c r="C5770" s="953"/>
      <c r="D5770" s="953"/>
      <c r="E5770" s="953"/>
      <c r="F5770" s="953"/>
      <c r="G5770" s="953"/>
      <c r="H5770" s="953"/>
    </row>
    <row r="5771" spans="1:8" s="943" customFormat="1" x14ac:dyDescent="0.25">
      <c r="A5771" s="952"/>
      <c r="B5771" s="953"/>
      <c r="C5771" s="953"/>
      <c r="D5771" s="953"/>
      <c r="E5771" s="953"/>
      <c r="F5771" s="953"/>
      <c r="G5771" s="953"/>
      <c r="H5771" s="953"/>
    </row>
    <row r="5772" spans="1:8" s="943" customFormat="1" x14ac:dyDescent="0.25">
      <c r="A5772" s="952"/>
      <c r="B5772" s="953"/>
      <c r="C5772" s="953"/>
      <c r="D5772" s="953"/>
      <c r="E5772" s="953"/>
      <c r="F5772" s="953"/>
      <c r="G5772" s="953"/>
      <c r="H5772" s="953"/>
    </row>
    <row r="5773" spans="1:8" s="943" customFormat="1" x14ac:dyDescent="0.25">
      <c r="A5773" s="952"/>
      <c r="B5773" s="953"/>
      <c r="C5773" s="953"/>
      <c r="D5773" s="953"/>
      <c r="E5773" s="953"/>
      <c r="F5773" s="953"/>
      <c r="G5773" s="953"/>
      <c r="H5773" s="953"/>
    </row>
    <row r="5774" spans="1:8" s="943" customFormat="1" x14ac:dyDescent="0.25">
      <c r="A5774" s="952"/>
      <c r="B5774" s="953"/>
      <c r="C5774" s="953"/>
      <c r="D5774" s="953"/>
      <c r="E5774" s="953"/>
      <c r="F5774" s="953"/>
      <c r="G5774" s="953"/>
      <c r="H5774" s="953"/>
    </row>
    <row r="5775" spans="1:8" s="943" customFormat="1" x14ac:dyDescent="0.25">
      <c r="A5775" s="952"/>
      <c r="B5775" s="953"/>
      <c r="C5775" s="953"/>
      <c r="D5775" s="953"/>
      <c r="E5775" s="953"/>
      <c r="F5775" s="953"/>
      <c r="G5775" s="953"/>
      <c r="H5775" s="953"/>
    </row>
    <row r="5776" spans="1:8" s="943" customFormat="1" x14ac:dyDescent="0.25">
      <c r="A5776" s="952"/>
      <c r="B5776" s="953"/>
      <c r="C5776" s="953"/>
      <c r="D5776" s="953"/>
      <c r="E5776" s="953"/>
      <c r="F5776" s="953"/>
      <c r="G5776" s="953"/>
      <c r="H5776" s="953"/>
    </row>
    <row r="5777" spans="1:8" s="943" customFormat="1" x14ac:dyDescent="0.25">
      <c r="A5777" s="952"/>
      <c r="B5777" s="953"/>
      <c r="C5777" s="953"/>
      <c r="D5777" s="953"/>
      <c r="E5777" s="953"/>
      <c r="F5777" s="953"/>
      <c r="G5777" s="953"/>
      <c r="H5777" s="953"/>
    </row>
    <row r="5778" spans="1:8" s="943" customFormat="1" x14ac:dyDescent="0.25">
      <c r="A5778" s="952"/>
      <c r="B5778" s="953"/>
      <c r="C5778" s="953"/>
      <c r="D5778" s="953"/>
      <c r="E5778" s="953"/>
      <c r="F5778" s="953"/>
      <c r="G5778" s="953"/>
      <c r="H5778" s="953"/>
    </row>
    <row r="5779" spans="1:8" s="943" customFormat="1" x14ac:dyDescent="0.25">
      <c r="A5779" s="952"/>
      <c r="B5779" s="953"/>
      <c r="C5779" s="953"/>
      <c r="D5779" s="953"/>
      <c r="E5779" s="953"/>
      <c r="F5779" s="953"/>
      <c r="G5779" s="953"/>
      <c r="H5779" s="953"/>
    </row>
    <row r="5780" spans="1:8" s="943" customFormat="1" x14ac:dyDescent="0.25">
      <c r="A5780" s="952"/>
      <c r="B5780" s="953"/>
      <c r="C5780" s="953"/>
      <c r="D5780" s="953"/>
      <c r="E5780" s="953"/>
      <c r="F5780" s="953"/>
      <c r="G5780" s="953"/>
      <c r="H5780" s="953"/>
    </row>
    <row r="5781" spans="1:8" s="943" customFormat="1" x14ac:dyDescent="0.25">
      <c r="A5781" s="952"/>
      <c r="B5781" s="953"/>
      <c r="C5781" s="953"/>
      <c r="D5781" s="953"/>
      <c r="E5781" s="953"/>
      <c r="F5781" s="953"/>
      <c r="G5781" s="953"/>
      <c r="H5781" s="953"/>
    </row>
    <row r="5782" spans="1:8" s="943" customFormat="1" x14ac:dyDescent="0.25">
      <c r="A5782" s="952"/>
      <c r="B5782" s="953"/>
      <c r="C5782" s="953"/>
      <c r="D5782" s="953"/>
      <c r="E5782" s="953"/>
      <c r="F5782" s="953"/>
      <c r="G5782" s="953"/>
      <c r="H5782" s="953"/>
    </row>
    <row r="5783" spans="1:8" s="943" customFormat="1" x14ac:dyDescent="0.25">
      <c r="A5783" s="952"/>
      <c r="B5783" s="953"/>
      <c r="C5783" s="953"/>
      <c r="D5783" s="953"/>
      <c r="E5783" s="953"/>
      <c r="F5783" s="953"/>
      <c r="G5783" s="953"/>
      <c r="H5783" s="953"/>
    </row>
    <row r="5784" spans="1:8" s="943" customFormat="1" x14ac:dyDescent="0.25">
      <c r="A5784" s="952"/>
      <c r="B5784" s="953"/>
      <c r="C5784" s="953"/>
      <c r="D5784" s="953"/>
      <c r="E5784" s="953"/>
      <c r="F5784" s="953"/>
      <c r="G5784" s="953"/>
      <c r="H5784" s="953"/>
    </row>
    <row r="5785" spans="1:8" s="943" customFormat="1" x14ac:dyDescent="0.25">
      <c r="A5785" s="952"/>
      <c r="B5785" s="953"/>
      <c r="C5785" s="953"/>
      <c r="D5785" s="953"/>
      <c r="E5785" s="953"/>
      <c r="F5785" s="953"/>
      <c r="G5785" s="953"/>
      <c r="H5785" s="953"/>
    </row>
    <row r="5786" spans="1:8" s="943" customFormat="1" x14ac:dyDescent="0.25">
      <c r="A5786" s="952"/>
      <c r="B5786" s="953"/>
      <c r="C5786" s="953"/>
      <c r="D5786" s="953"/>
      <c r="E5786" s="953"/>
      <c r="F5786" s="953"/>
      <c r="G5786" s="953"/>
      <c r="H5786" s="953"/>
    </row>
    <row r="5787" spans="1:8" s="943" customFormat="1" x14ac:dyDescent="0.25">
      <c r="A5787" s="952"/>
      <c r="B5787" s="953"/>
      <c r="C5787" s="953"/>
      <c r="D5787" s="953"/>
      <c r="E5787" s="953"/>
      <c r="F5787" s="953"/>
      <c r="G5787" s="953"/>
      <c r="H5787" s="953"/>
    </row>
    <row r="5788" spans="1:8" s="943" customFormat="1" x14ac:dyDescent="0.25">
      <c r="A5788" s="952"/>
      <c r="B5788" s="953"/>
      <c r="C5788" s="953"/>
      <c r="D5788" s="953"/>
      <c r="E5788" s="953"/>
      <c r="F5788" s="953"/>
      <c r="G5788" s="953"/>
      <c r="H5788" s="953"/>
    </row>
    <row r="5789" spans="1:8" s="943" customFormat="1" x14ac:dyDescent="0.25">
      <c r="A5789" s="952"/>
      <c r="B5789" s="953"/>
      <c r="C5789" s="953"/>
      <c r="D5789" s="953"/>
      <c r="E5789" s="953"/>
      <c r="F5789" s="953"/>
      <c r="G5789" s="953"/>
      <c r="H5789" s="953"/>
    </row>
    <row r="5790" spans="1:8" s="943" customFormat="1" x14ac:dyDescent="0.25">
      <c r="A5790" s="952"/>
      <c r="B5790" s="953"/>
      <c r="C5790" s="953"/>
      <c r="D5790" s="953"/>
      <c r="E5790" s="953"/>
      <c r="F5790" s="953"/>
      <c r="G5790" s="953"/>
      <c r="H5790" s="953"/>
    </row>
    <row r="5791" spans="1:8" s="943" customFormat="1" x14ac:dyDescent="0.25">
      <c r="A5791" s="952"/>
      <c r="B5791" s="953"/>
      <c r="C5791" s="953"/>
      <c r="D5791" s="953"/>
      <c r="E5791" s="953"/>
      <c r="F5791" s="953"/>
      <c r="G5791" s="953"/>
      <c r="H5791" s="953"/>
    </row>
    <row r="5792" spans="1:8" s="943" customFormat="1" x14ac:dyDescent="0.25">
      <c r="A5792" s="952"/>
      <c r="B5792" s="953"/>
      <c r="C5792" s="953"/>
      <c r="D5792" s="953"/>
      <c r="E5792" s="953"/>
      <c r="F5792" s="953"/>
      <c r="G5792" s="953"/>
      <c r="H5792" s="953"/>
    </row>
    <row r="5793" spans="1:8" s="943" customFormat="1" x14ac:dyDescent="0.25">
      <c r="A5793" s="952"/>
      <c r="B5793" s="953"/>
      <c r="C5793" s="953"/>
      <c r="D5793" s="953"/>
      <c r="E5793" s="953"/>
      <c r="F5793" s="953"/>
      <c r="G5793" s="953"/>
      <c r="H5793" s="953"/>
    </row>
    <row r="5794" spans="1:8" s="943" customFormat="1" x14ac:dyDescent="0.25">
      <c r="A5794" s="952"/>
      <c r="B5794" s="953"/>
      <c r="C5794" s="953"/>
      <c r="D5794" s="953"/>
      <c r="E5794" s="953"/>
      <c r="F5794" s="953"/>
      <c r="G5794" s="953"/>
      <c r="H5794" s="953"/>
    </row>
    <row r="5795" spans="1:8" s="943" customFormat="1" x14ac:dyDescent="0.25">
      <c r="A5795" s="952"/>
      <c r="B5795" s="953"/>
      <c r="C5795" s="953"/>
      <c r="D5795" s="953"/>
      <c r="E5795" s="953"/>
      <c r="F5795" s="953"/>
      <c r="G5795" s="953"/>
      <c r="H5795" s="953"/>
    </row>
    <row r="5796" spans="1:8" s="943" customFormat="1" x14ac:dyDescent="0.25">
      <c r="A5796" s="952"/>
      <c r="B5796" s="953"/>
      <c r="C5796" s="953"/>
      <c r="D5796" s="953"/>
      <c r="E5796" s="953"/>
      <c r="F5796" s="953"/>
      <c r="G5796" s="953"/>
      <c r="H5796" s="953"/>
    </row>
    <row r="5797" spans="1:8" s="943" customFormat="1" x14ac:dyDescent="0.25">
      <c r="A5797" s="952"/>
      <c r="B5797" s="953"/>
      <c r="C5797" s="953"/>
      <c r="D5797" s="953"/>
      <c r="E5797" s="953"/>
      <c r="F5797" s="953"/>
      <c r="G5797" s="953"/>
      <c r="H5797" s="953"/>
    </row>
    <row r="5798" spans="1:8" s="943" customFormat="1" x14ac:dyDescent="0.25">
      <c r="A5798" s="952"/>
      <c r="B5798" s="953"/>
      <c r="C5798" s="953"/>
      <c r="D5798" s="953"/>
      <c r="E5798" s="953"/>
      <c r="F5798" s="953"/>
      <c r="G5798" s="953"/>
      <c r="H5798" s="953"/>
    </row>
    <row r="5799" spans="1:8" s="943" customFormat="1" x14ac:dyDescent="0.25">
      <c r="A5799" s="952"/>
      <c r="B5799" s="953"/>
      <c r="C5799" s="953"/>
      <c r="D5799" s="953"/>
      <c r="E5799" s="953"/>
      <c r="F5799" s="953"/>
      <c r="G5799" s="953"/>
      <c r="H5799" s="953"/>
    </row>
    <row r="5800" spans="1:8" s="943" customFormat="1" x14ac:dyDescent="0.25">
      <c r="A5800" s="952"/>
      <c r="B5800" s="953"/>
      <c r="C5800" s="953"/>
      <c r="D5800" s="953"/>
      <c r="E5800" s="953"/>
      <c r="F5800" s="953"/>
      <c r="G5800" s="953"/>
      <c r="H5800" s="953"/>
    </row>
    <row r="5801" spans="1:8" s="943" customFormat="1" x14ac:dyDescent="0.25">
      <c r="A5801" s="952"/>
      <c r="B5801" s="953"/>
      <c r="C5801" s="953"/>
      <c r="D5801" s="953"/>
      <c r="E5801" s="953"/>
      <c r="F5801" s="953"/>
      <c r="G5801" s="953"/>
      <c r="H5801" s="953"/>
    </row>
    <row r="5802" spans="1:8" s="943" customFormat="1" x14ac:dyDescent="0.25">
      <c r="A5802" s="952"/>
      <c r="B5802" s="953"/>
      <c r="C5802" s="953"/>
      <c r="D5802" s="953"/>
      <c r="E5802" s="953"/>
      <c r="F5802" s="953"/>
      <c r="G5802" s="953"/>
      <c r="H5802" s="953"/>
    </row>
    <row r="5803" spans="1:8" s="943" customFormat="1" x14ac:dyDescent="0.25">
      <c r="A5803" s="952"/>
      <c r="B5803" s="953"/>
      <c r="C5803" s="953"/>
      <c r="D5803" s="953"/>
      <c r="E5803" s="953"/>
      <c r="F5803" s="953"/>
      <c r="G5803" s="953"/>
      <c r="H5803" s="953"/>
    </row>
    <row r="5804" spans="1:8" s="943" customFormat="1" x14ac:dyDescent="0.25">
      <c r="A5804" s="952"/>
      <c r="B5804" s="953"/>
      <c r="C5804" s="953"/>
      <c r="D5804" s="953"/>
      <c r="E5804" s="953"/>
      <c r="F5804" s="953"/>
      <c r="G5804" s="953"/>
      <c r="H5804" s="953"/>
    </row>
    <row r="5805" spans="1:8" s="943" customFormat="1" x14ac:dyDescent="0.25">
      <c r="A5805" s="952"/>
      <c r="B5805" s="953"/>
      <c r="C5805" s="953"/>
      <c r="D5805" s="953"/>
      <c r="E5805" s="953"/>
      <c r="F5805" s="953"/>
      <c r="G5805" s="953"/>
      <c r="H5805" s="953"/>
    </row>
    <row r="5806" spans="1:8" s="943" customFormat="1" x14ac:dyDescent="0.25">
      <c r="A5806" s="952"/>
      <c r="B5806" s="953"/>
      <c r="C5806" s="953"/>
      <c r="D5806" s="953"/>
      <c r="E5806" s="953"/>
      <c r="F5806" s="953"/>
      <c r="G5806" s="953"/>
      <c r="H5806" s="953"/>
    </row>
    <row r="5807" spans="1:8" s="943" customFormat="1" x14ac:dyDescent="0.25">
      <c r="A5807" s="952"/>
      <c r="B5807" s="953"/>
      <c r="C5807" s="953"/>
      <c r="D5807" s="953"/>
      <c r="E5807" s="953"/>
      <c r="F5807" s="953"/>
      <c r="G5807" s="953"/>
      <c r="H5807" s="953"/>
    </row>
    <row r="5808" spans="1:8" s="943" customFormat="1" x14ac:dyDescent="0.25">
      <c r="A5808" s="952"/>
      <c r="B5808" s="953"/>
      <c r="C5808" s="953"/>
      <c r="D5808" s="953"/>
      <c r="E5808" s="953"/>
      <c r="F5808" s="953"/>
      <c r="G5808" s="953"/>
      <c r="H5808" s="953"/>
    </row>
    <row r="5809" spans="1:8" s="943" customFormat="1" x14ac:dyDescent="0.25">
      <c r="A5809" s="952"/>
      <c r="B5809" s="953"/>
      <c r="C5809" s="953"/>
      <c r="D5809" s="953"/>
      <c r="E5809" s="953"/>
      <c r="F5809" s="953"/>
      <c r="G5809" s="953"/>
      <c r="H5809" s="953"/>
    </row>
    <row r="5810" spans="1:8" s="943" customFormat="1" x14ac:dyDescent="0.25">
      <c r="A5810" s="952"/>
      <c r="B5810" s="953"/>
      <c r="C5810" s="953"/>
      <c r="D5810" s="953"/>
      <c r="E5810" s="953"/>
      <c r="F5810" s="953"/>
      <c r="G5810" s="953"/>
      <c r="H5810" s="953"/>
    </row>
    <row r="5811" spans="1:8" s="943" customFormat="1" x14ac:dyDescent="0.25">
      <c r="A5811" s="952"/>
      <c r="B5811" s="953"/>
      <c r="C5811" s="953"/>
      <c r="D5811" s="953"/>
      <c r="E5811" s="953"/>
      <c r="F5811" s="953"/>
      <c r="G5811" s="953"/>
      <c r="H5811" s="953"/>
    </row>
    <row r="5812" spans="1:8" s="943" customFormat="1" x14ac:dyDescent="0.25">
      <c r="A5812" s="952"/>
      <c r="B5812" s="953"/>
      <c r="C5812" s="953"/>
      <c r="D5812" s="953"/>
      <c r="E5812" s="953"/>
      <c r="F5812" s="953"/>
      <c r="G5812" s="953"/>
      <c r="H5812" s="953"/>
    </row>
    <row r="5813" spans="1:8" s="943" customFormat="1" x14ac:dyDescent="0.25">
      <c r="A5813" s="952"/>
      <c r="B5813" s="953"/>
      <c r="C5813" s="953"/>
      <c r="D5813" s="953"/>
      <c r="E5813" s="953"/>
      <c r="F5813" s="953"/>
      <c r="G5813" s="953"/>
      <c r="H5813" s="953"/>
    </row>
    <row r="5814" spans="1:8" s="943" customFormat="1" x14ac:dyDescent="0.25">
      <c r="A5814" s="952"/>
      <c r="B5814" s="953"/>
      <c r="C5814" s="953"/>
      <c r="D5814" s="953"/>
      <c r="E5814" s="953"/>
      <c r="F5814" s="953"/>
      <c r="G5814" s="953"/>
      <c r="H5814" s="953"/>
    </row>
    <row r="5815" spans="1:8" s="943" customFormat="1" x14ac:dyDescent="0.25">
      <c r="A5815" s="952"/>
      <c r="B5815" s="953"/>
      <c r="C5815" s="953"/>
      <c r="D5815" s="953"/>
      <c r="E5815" s="953"/>
      <c r="F5815" s="953"/>
      <c r="G5815" s="953"/>
      <c r="H5815" s="953"/>
    </row>
    <row r="5816" spans="1:8" s="943" customFormat="1" x14ac:dyDescent="0.25">
      <c r="A5816" s="952"/>
      <c r="B5816" s="953"/>
      <c r="C5816" s="953"/>
      <c r="D5816" s="953"/>
      <c r="E5816" s="953"/>
      <c r="F5816" s="953"/>
      <c r="G5816" s="953"/>
      <c r="H5816" s="953"/>
    </row>
    <row r="5817" spans="1:8" s="943" customFormat="1" x14ac:dyDescent="0.25">
      <c r="A5817" s="952"/>
      <c r="B5817" s="953"/>
      <c r="C5817" s="953"/>
      <c r="D5817" s="953"/>
      <c r="E5817" s="953"/>
      <c r="F5817" s="953"/>
      <c r="G5817" s="953"/>
      <c r="H5817" s="953"/>
    </row>
    <row r="5818" spans="1:8" s="943" customFormat="1" x14ac:dyDescent="0.25">
      <c r="A5818" s="952"/>
      <c r="B5818" s="953"/>
      <c r="C5818" s="953"/>
      <c r="D5818" s="953"/>
      <c r="E5818" s="953"/>
      <c r="F5818" s="953"/>
      <c r="G5818" s="953"/>
      <c r="H5818" s="953"/>
    </row>
    <row r="5819" spans="1:8" s="943" customFormat="1" x14ac:dyDescent="0.25">
      <c r="A5819" s="952"/>
      <c r="B5819" s="953"/>
      <c r="C5819" s="953"/>
      <c r="D5819" s="953"/>
      <c r="E5819" s="953"/>
      <c r="F5819" s="953"/>
      <c r="G5819" s="953"/>
      <c r="H5819" s="953"/>
    </row>
    <row r="5820" spans="1:8" s="943" customFormat="1" x14ac:dyDescent="0.25">
      <c r="A5820" s="952"/>
      <c r="B5820" s="953"/>
      <c r="C5820" s="953"/>
      <c r="D5820" s="953"/>
      <c r="E5820" s="953"/>
      <c r="F5820" s="953"/>
      <c r="G5820" s="953"/>
      <c r="H5820" s="953"/>
    </row>
    <row r="5821" spans="1:8" s="943" customFormat="1" x14ac:dyDescent="0.25">
      <c r="A5821" s="952"/>
      <c r="B5821" s="953"/>
      <c r="C5821" s="953"/>
      <c r="D5821" s="953"/>
      <c r="E5821" s="953"/>
      <c r="F5821" s="953"/>
      <c r="G5821" s="953"/>
      <c r="H5821" s="953"/>
    </row>
    <row r="5822" spans="1:8" s="943" customFormat="1" x14ac:dyDescent="0.25">
      <c r="A5822" s="952"/>
      <c r="B5822" s="953"/>
      <c r="C5822" s="953"/>
      <c r="D5822" s="953"/>
      <c r="E5822" s="953"/>
      <c r="F5822" s="953"/>
      <c r="G5822" s="953"/>
      <c r="H5822" s="953"/>
    </row>
    <row r="5823" spans="1:8" s="943" customFormat="1" x14ac:dyDescent="0.25">
      <c r="A5823" s="952"/>
      <c r="B5823" s="953"/>
      <c r="C5823" s="953"/>
      <c r="D5823" s="953"/>
      <c r="E5823" s="953"/>
      <c r="F5823" s="953"/>
      <c r="G5823" s="953"/>
      <c r="H5823" s="953"/>
    </row>
    <row r="5824" spans="1:8" s="943" customFormat="1" x14ac:dyDescent="0.25">
      <c r="A5824" s="952"/>
      <c r="B5824" s="953"/>
      <c r="C5824" s="953"/>
      <c r="D5824" s="953"/>
      <c r="E5824" s="953"/>
      <c r="F5824" s="953"/>
      <c r="G5824" s="953"/>
      <c r="H5824" s="953"/>
    </row>
    <row r="5825" spans="1:8" s="943" customFormat="1" x14ac:dyDescent="0.25">
      <c r="A5825" s="952"/>
      <c r="B5825" s="953"/>
      <c r="C5825" s="953"/>
      <c r="D5825" s="953"/>
      <c r="E5825" s="953"/>
      <c r="F5825" s="953"/>
      <c r="G5825" s="953"/>
      <c r="H5825" s="953"/>
    </row>
    <row r="5826" spans="1:8" s="943" customFormat="1" x14ac:dyDescent="0.25">
      <c r="A5826" s="952"/>
      <c r="B5826" s="953"/>
      <c r="C5826" s="953"/>
      <c r="D5826" s="953"/>
      <c r="E5826" s="953"/>
      <c r="F5826" s="953"/>
      <c r="G5826" s="953"/>
      <c r="H5826" s="953"/>
    </row>
    <row r="5827" spans="1:8" s="943" customFormat="1" x14ac:dyDescent="0.25">
      <c r="A5827" s="952"/>
      <c r="B5827" s="953"/>
      <c r="C5827" s="953"/>
      <c r="D5827" s="953"/>
      <c r="E5827" s="953"/>
      <c r="F5827" s="953"/>
      <c r="G5827" s="953"/>
      <c r="H5827" s="953"/>
    </row>
    <row r="5828" spans="1:8" s="943" customFormat="1" x14ac:dyDescent="0.25">
      <c r="A5828" s="952"/>
      <c r="B5828" s="953"/>
      <c r="C5828" s="953"/>
      <c r="D5828" s="953"/>
      <c r="E5828" s="953"/>
      <c r="F5828" s="953"/>
      <c r="G5828" s="953"/>
      <c r="H5828" s="953"/>
    </row>
    <row r="5829" spans="1:8" s="943" customFormat="1" x14ac:dyDescent="0.25">
      <c r="A5829" s="952"/>
      <c r="B5829" s="953"/>
      <c r="C5829" s="953"/>
      <c r="D5829" s="953"/>
      <c r="E5829" s="953"/>
      <c r="F5829" s="953"/>
      <c r="G5829" s="953"/>
      <c r="H5829" s="953"/>
    </row>
    <row r="5830" spans="1:8" s="943" customFormat="1" x14ac:dyDescent="0.25">
      <c r="A5830" s="952"/>
      <c r="B5830" s="953"/>
      <c r="C5830" s="953"/>
      <c r="D5830" s="953"/>
      <c r="E5830" s="953"/>
      <c r="F5830" s="953"/>
      <c r="G5830" s="953"/>
      <c r="H5830" s="953"/>
    </row>
    <row r="5831" spans="1:8" s="943" customFormat="1" x14ac:dyDescent="0.25">
      <c r="A5831" s="952"/>
      <c r="B5831" s="953"/>
      <c r="C5831" s="953"/>
      <c r="D5831" s="953"/>
      <c r="E5831" s="953"/>
      <c r="F5831" s="953"/>
      <c r="G5831" s="953"/>
      <c r="H5831" s="953"/>
    </row>
    <row r="5832" spans="1:8" s="943" customFormat="1" x14ac:dyDescent="0.25">
      <c r="A5832" s="952"/>
      <c r="B5832" s="953"/>
      <c r="C5832" s="953"/>
      <c r="D5832" s="953"/>
      <c r="E5832" s="953"/>
      <c r="F5832" s="953"/>
      <c r="G5832" s="953"/>
      <c r="H5832" s="953"/>
    </row>
    <row r="5833" spans="1:8" s="943" customFormat="1" x14ac:dyDescent="0.25">
      <c r="A5833" s="952"/>
      <c r="B5833" s="953"/>
      <c r="C5833" s="953"/>
      <c r="D5833" s="953"/>
      <c r="E5833" s="953"/>
      <c r="F5833" s="953"/>
      <c r="G5833" s="953"/>
      <c r="H5833" s="953"/>
    </row>
    <row r="5834" spans="1:8" s="943" customFormat="1" x14ac:dyDescent="0.25">
      <c r="A5834" s="952"/>
      <c r="B5834" s="953"/>
      <c r="C5834" s="953"/>
      <c r="D5834" s="953"/>
      <c r="E5834" s="953"/>
      <c r="F5834" s="953"/>
      <c r="G5834" s="953"/>
      <c r="H5834" s="953"/>
    </row>
    <row r="5835" spans="1:8" s="943" customFormat="1" x14ac:dyDescent="0.25">
      <c r="A5835" s="952"/>
      <c r="B5835" s="953"/>
      <c r="C5835" s="953"/>
      <c r="D5835" s="953"/>
      <c r="E5835" s="953"/>
      <c r="F5835" s="953"/>
      <c r="G5835" s="953"/>
      <c r="H5835" s="953"/>
    </row>
    <row r="5836" spans="1:8" s="943" customFormat="1" x14ac:dyDescent="0.25">
      <c r="A5836" s="952"/>
      <c r="B5836" s="953"/>
      <c r="C5836" s="953"/>
      <c r="D5836" s="953"/>
      <c r="E5836" s="953"/>
      <c r="F5836" s="953"/>
      <c r="G5836" s="953"/>
      <c r="H5836" s="953"/>
    </row>
    <row r="5837" spans="1:8" s="943" customFormat="1" x14ac:dyDescent="0.25">
      <c r="A5837" s="952"/>
      <c r="B5837" s="953"/>
      <c r="C5837" s="953"/>
      <c r="D5837" s="953"/>
      <c r="E5837" s="953"/>
      <c r="F5837" s="953"/>
      <c r="G5837" s="953"/>
      <c r="H5837" s="953"/>
    </row>
    <row r="5838" spans="1:8" s="943" customFormat="1" x14ac:dyDescent="0.25">
      <c r="A5838" s="952"/>
      <c r="B5838" s="953"/>
      <c r="C5838" s="953"/>
      <c r="D5838" s="953"/>
      <c r="E5838" s="953"/>
      <c r="F5838" s="953"/>
      <c r="G5838" s="953"/>
      <c r="H5838" s="953"/>
    </row>
    <row r="5839" spans="1:8" s="943" customFormat="1" x14ac:dyDescent="0.25">
      <c r="A5839" s="952"/>
      <c r="B5839" s="953"/>
      <c r="C5839" s="953"/>
      <c r="D5839" s="953"/>
      <c r="E5839" s="953"/>
      <c r="F5839" s="953"/>
      <c r="G5839" s="953"/>
      <c r="H5839" s="953"/>
    </row>
    <row r="5840" spans="1:8" s="943" customFormat="1" x14ac:dyDescent="0.25">
      <c r="A5840" s="952"/>
      <c r="B5840" s="953"/>
      <c r="C5840" s="953"/>
      <c r="D5840" s="953"/>
      <c r="E5840" s="953"/>
      <c r="F5840" s="953"/>
      <c r="G5840" s="953"/>
      <c r="H5840" s="953"/>
    </row>
    <row r="5841" spans="1:8" s="943" customFormat="1" x14ac:dyDescent="0.25">
      <c r="A5841" s="952"/>
      <c r="B5841" s="953"/>
      <c r="C5841" s="953"/>
      <c r="D5841" s="953"/>
      <c r="E5841" s="953"/>
      <c r="F5841" s="953"/>
      <c r="G5841" s="953"/>
      <c r="H5841" s="953"/>
    </row>
    <row r="5842" spans="1:8" s="943" customFormat="1" x14ac:dyDescent="0.25">
      <c r="A5842" s="952"/>
      <c r="B5842" s="953"/>
      <c r="C5842" s="953"/>
      <c r="D5842" s="953"/>
      <c r="E5842" s="953"/>
      <c r="F5842" s="953"/>
      <c r="G5842" s="953"/>
      <c r="H5842" s="953"/>
    </row>
    <row r="5843" spans="1:8" s="943" customFormat="1" x14ac:dyDescent="0.25">
      <c r="A5843" s="952"/>
      <c r="B5843" s="953"/>
      <c r="C5843" s="953"/>
      <c r="D5843" s="953"/>
      <c r="E5843" s="953"/>
      <c r="F5843" s="953"/>
      <c r="G5843" s="953"/>
      <c r="H5843" s="953"/>
    </row>
    <row r="5844" spans="1:8" s="943" customFormat="1" x14ac:dyDescent="0.25">
      <c r="A5844" s="952"/>
      <c r="B5844" s="953"/>
      <c r="C5844" s="953"/>
      <c r="D5844" s="953"/>
      <c r="E5844" s="953"/>
      <c r="F5844" s="953"/>
      <c r="G5844" s="953"/>
      <c r="H5844" s="953"/>
    </row>
    <row r="5845" spans="1:8" s="943" customFormat="1" x14ac:dyDescent="0.25">
      <c r="A5845" s="952"/>
      <c r="B5845" s="953"/>
      <c r="C5845" s="953"/>
      <c r="D5845" s="953"/>
      <c r="E5845" s="953"/>
      <c r="F5845" s="953"/>
      <c r="G5845" s="953"/>
      <c r="H5845" s="953"/>
    </row>
    <row r="5846" spans="1:8" s="943" customFormat="1" x14ac:dyDescent="0.25">
      <c r="A5846" s="952"/>
      <c r="B5846" s="953"/>
      <c r="C5846" s="953"/>
      <c r="D5846" s="953"/>
      <c r="E5846" s="953"/>
      <c r="F5846" s="953"/>
      <c r="G5846" s="953"/>
      <c r="H5846" s="953"/>
    </row>
    <row r="5847" spans="1:8" s="943" customFormat="1" x14ac:dyDescent="0.25">
      <c r="A5847" s="952"/>
      <c r="B5847" s="953"/>
      <c r="C5847" s="953"/>
      <c r="D5847" s="953"/>
      <c r="E5847" s="953"/>
      <c r="F5847" s="953"/>
      <c r="G5847" s="953"/>
      <c r="H5847" s="953"/>
    </row>
    <row r="5848" spans="1:8" s="943" customFormat="1" x14ac:dyDescent="0.25">
      <c r="A5848" s="952"/>
      <c r="B5848" s="953"/>
      <c r="C5848" s="953"/>
      <c r="D5848" s="953"/>
      <c r="E5848" s="953"/>
      <c r="F5848" s="953"/>
      <c r="G5848" s="953"/>
      <c r="H5848" s="953"/>
    </row>
    <row r="5849" spans="1:8" s="943" customFormat="1" x14ac:dyDescent="0.25">
      <c r="A5849" s="952"/>
      <c r="B5849" s="953"/>
      <c r="C5849" s="953"/>
      <c r="D5849" s="953"/>
      <c r="E5849" s="953"/>
      <c r="F5849" s="953"/>
      <c r="G5849" s="953"/>
      <c r="H5849" s="953"/>
    </row>
    <row r="5850" spans="1:8" s="943" customFormat="1" x14ac:dyDescent="0.25">
      <c r="A5850" s="952"/>
      <c r="B5850" s="953"/>
      <c r="C5850" s="953"/>
      <c r="D5850" s="953"/>
      <c r="E5850" s="953"/>
      <c r="F5850" s="953"/>
      <c r="G5850" s="953"/>
      <c r="H5850" s="953"/>
    </row>
    <row r="5851" spans="1:8" s="943" customFormat="1" x14ac:dyDescent="0.25">
      <c r="A5851" s="952"/>
      <c r="B5851" s="953"/>
      <c r="C5851" s="953"/>
      <c r="D5851" s="953"/>
      <c r="E5851" s="953"/>
      <c r="F5851" s="953"/>
      <c r="G5851" s="953"/>
      <c r="H5851" s="953"/>
    </row>
    <row r="5852" spans="1:8" s="943" customFormat="1" x14ac:dyDescent="0.25">
      <c r="A5852" s="952"/>
      <c r="B5852" s="953"/>
      <c r="C5852" s="953"/>
      <c r="D5852" s="953"/>
      <c r="E5852" s="953"/>
      <c r="F5852" s="953"/>
      <c r="G5852" s="953"/>
      <c r="H5852" s="953"/>
    </row>
    <row r="5853" spans="1:8" s="943" customFormat="1" x14ac:dyDescent="0.25">
      <c r="A5853" s="952"/>
      <c r="B5853" s="953"/>
      <c r="C5853" s="953"/>
      <c r="D5853" s="953"/>
      <c r="E5853" s="953"/>
      <c r="F5853" s="953"/>
      <c r="G5853" s="953"/>
      <c r="H5853" s="953"/>
    </row>
    <row r="5854" spans="1:8" s="943" customFormat="1" x14ac:dyDescent="0.25">
      <c r="A5854" s="952"/>
      <c r="B5854" s="953"/>
      <c r="C5854" s="953"/>
      <c r="D5854" s="953"/>
      <c r="E5854" s="953"/>
      <c r="F5854" s="953"/>
      <c r="G5854" s="953"/>
      <c r="H5854" s="953"/>
    </row>
    <row r="5855" spans="1:8" s="943" customFormat="1" x14ac:dyDescent="0.25">
      <c r="A5855" s="952"/>
      <c r="B5855" s="953"/>
      <c r="C5855" s="953"/>
      <c r="D5855" s="953"/>
      <c r="E5855" s="953"/>
      <c r="F5855" s="953"/>
      <c r="G5855" s="953"/>
      <c r="H5855" s="953"/>
    </row>
    <row r="5856" spans="1:8" s="943" customFormat="1" x14ac:dyDescent="0.25">
      <c r="A5856" s="952"/>
      <c r="B5856" s="953"/>
      <c r="C5856" s="953"/>
      <c r="D5856" s="953"/>
      <c r="E5856" s="953"/>
      <c r="F5856" s="953"/>
      <c r="G5856" s="953"/>
      <c r="H5856" s="953"/>
    </row>
    <row r="5857" spans="1:8" s="943" customFormat="1" x14ac:dyDescent="0.25">
      <c r="A5857" s="952"/>
      <c r="B5857" s="953"/>
      <c r="C5857" s="953"/>
      <c r="D5857" s="953"/>
      <c r="E5857" s="953"/>
      <c r="F5857" s="953"/>
      <c r="G5857" s="953"/>
      <c r="H5857" s="953"/>
    </row>
    <row r="5858" spans="1:8" s="943" customFormat="1" x14ac:dyDescent="0.25">
      <c r="A5858" s="952"/>
      <c r="B5858" s="953"/>
      <c r="C5858" s="953"/>
      <c r="D5858" s="953"/>
      <c r="E5858" s="953"/>
      <c r="F5858" s="953"/>
      <c r="G5858" s="953"/>
      <c r="H5858" s="953"/>
    </row>
    <row r="5859" spans="1:8" s="943" customFormat="1" x14ac:dyDescent="0.25">
      <c r="A5859" s="952"/>
      <c r="B5859" s="953"/>
      <c r="C5859" s="953"/>
      <c r="D5859" s="953"/>
      <c r="E5859" s="953"/>
      <c r="F5859" s="953"/>
      <c r="G5859" s="953"/>
      <c r="H5859" s="953"/>
    </row>
    <row r="5860" spans="1:8" s="943" customFormat="1" x14ac:dyDescent="0.25">
      <c r="A5860" s="952"/>
      <c r="B5860" s="953"/>
      <c r="C5860" s="953"/>
      <c r="D5860" s="953"/>
      <c r="E5860" s="953"/>
      <c r="F5860" s="953"/>
      <c r="G5860" s="953"/>
      <c r="H5860" s="953"/>
    </row>
    <row r="5861" spans="1:8" s="943" customFormat="1" x14ac:dyDescent="0.25">
      <c r="A5861" s="952"/>
      <c r="B5861" s="953"/>
      <c r="C5861" s="953"/>
      <c r="D5861" s="953"/>
      <c r="E5861" s="953"/>
      <c r="F5861" s="953"/>
      <c r="G5861" s="953"/>
      <c r="H5861" s="953"/>
    </row>
    <row r="5862" spans="1:8" s="943" customFormat="1" x14ac:dyDescent="0.25">
      <c r="A5862" s="952"/>
      <c r="B5862" s="953"/>
      <c r="C5862" s="953"/>
      <c r="D5862" s="953"/>
      <c r="E5862" s="953"/>
      <c r="F5862" s="953"/>
      <c r="G5862" s="953"/>
      <c r="H5862" s="953"/>
    </row>
    <row r="5863" spans="1:8" s="943" customFormat="1" x14ac:dyDescent="0.25">
      <c r="A5863" s="952"/>
      <c r="B5863" s="953"/>
      <c r="C5863" s="953"/>
      <c r="D5863" s="953"/>
      <c r="E5863" s="953"/>
      <c r="F5863" s="953"/>
      <c r="G5863" s="953"/>
      <c r="H5863" s="953"/>
    </row>
    <row r="5864" spans="1:8" s="943" customFormat="1" x14ac:dyDescent="0.25">
      <c r="A5864" s="952"/>
      <c r="B5864" s="953"/>
      <c r="C5864" s="953"/>
      <c r="D5864" s="953"/>
      <c r="E5864" s="953"/>
      <c r="F5864" s="953"/>
      <c r="G5864" s="953"/>
      <c r="H5864" s="953"/>
    </row>
    <row r="5865" spans="1:8" s="943" customFormat="1" x14ac:dyDescent="0.25">
      <c r="A5865" s="952"/>
      <c r="B5865" s="953"/>
      <c r="C5865" s="953"/>
      <c r="D5865" s="953"/>
      <c r="E5865" s="953"/>
      <c r="F5865" s="953"/>
      <c r="G5865" s="953"/>
      <c r="H5865" s="953"/>
    </row>
    <row r="5866" spans="1:8" s="943" customFormat="1" x14ac:dyDescent="0.25">
      <c r="A5866" s="952"/>
      <c r="B5866" s="953"/>
      <c r="C5866" s="953"/>
      <c r="D5866" s="953"/>
      <c r="E5866" s="953"/>
      <c r="F5866" s="953"/>
      <c r="G5866" s="953"/>
      <c r="H5866" s="953"/>
    </row>
    <row r="5867" spans="1:8" s="943" customFormat="1" x14ac:dyDescent="0.25">
      <c r="A5867" s="952"/>
      <c r="B5867" s="953"/>
      <c r="C5867" s="953"/>
      <c r="D5867" s="953"/>
      <c r="E5867" s="953"/>
      <c r="F5867" s="953"/>
      <c r="G5867" s="953"/>
      <c r="H5867" s="953"/>
    </row>
    <row r="5868" spans="1:8" s="943" customFormat="1" x14ac:dyDescent="0.25">
      <c r="A5868" s="952"/>
      <c r="B5868" s="953"/>
      <c r="C5868" s="953"/>
      <c r="D5868" s="953"/>
      <c r="E5868" s="953"/>
      <c r="F5868" s="953"/>
      <c r="G5868" s="953"/>
      <c r="H5868" s="953"/>
    </row>
    <row r="5869" spans="1:8" s="943" customFormat="1" x14ac:dyDescent="0.25">
      <c r="A5869" s="952"/>
      <c r="B5869" s="953"/>
      <c r="C5869" s="953"/>
      <c r="D5869" s="953"/>
      <c r="E5869" s="953"/>
      <c r="F5869" s="953"/>
      <c r="G5869" s="953"/>
      <c r="H5869" s="953"/>
    </row>
    <row r="5870" spans="1:8" s="943" customFormat="1" x14ac:dyDescent="0.25">
      <c r="A5870" s="952"/>
      <c r="B5870" s="953"/>
      <c r="C5870" s="953"/>
      <c r="D5870" s="953"/>
      <c r="E5870" s="953"/>
      <c r="F5870" s="953"/>
      <c r="G5870" s="953"/>
      <c r="H5870" s="953"/>
    </row>
    <row r="5871" spans="1:8" s="943" customFormat="1" x14ac:dyDescent="0.25">
      <c r="A5871" s="952"/>
      <c r="B5871" s="953"/>
      <c r="C5871" s="953"/>
      <c r="D5871" s="953"/>
      <c r="E5871" s="953"/>
      <c r="F5871" s="953"/>
      <c r="G5871" s="953"/>
      <c r="H5871" s="953"/>
    </row>
    <row r="5872" spans="1:8" s="943" customFormat="1" x14ac:dyDescent="0.25">
      <c r="A5872" s="952"/>
      <c r="B5872" s="953"/>
      <c r="C5872" s="953"/>
      <c r="D5872" s="953"/>
      <c r="E5872" s="953"/>
      <c r="F5872" s="953"/>
      <c r="G5872" s="953"/>
      <c r="H5872" s="953"/>
    </row>
    <row r="5873" spans="1:8" s="943" customFormat="1" x14ac:dyDescent="0.25">
      <c r="A5873" s="952"/>
      <c r="B5873" s="953"/>
      <c r="C5873" s="953"/>
      <c r="D5873" s="953"/>
      <c r="E5873" s="953"/>
      <c r="F5873" s="953"/>
      <c r="G5873" s="953"/>
      <c r="H5873" s="953"/>
    </row>
    <row r="5874" spans="1:8" s="943" customFormat="1" x14ac:dyDescent="0.25">
      <c r="A5874" s="952"/>
      <c r="B5874" s="953"/>
      <c r="C5874" s="953"/>
      <c r="D5874" s="953"/>
      <c r="E5874" s="953"/>
      <c r="F5874" s="953"/>
      <c r="G5874" s="953"/>
      <c r="H5874" s="953"/>
    </row>
    <row r="5875" spans="1:8" s="943" customFormat="1" x14ac:dyDescent="0.25">
      <c r="A5875" s="952"/>
      <c r="B5875" s="953"/>
      <c r="C5875" s="953"/>
      <c r="D5875" s="953"/>
      <c r="E5875" s="953"/>
      <c r="F5875" s="953"/>
      <c r="G5875" s="953"/>
      <c r="H5875" s="953"/>
    </row>
    <row r="5876" spans="1:8" s="943" customFormat="1" x14ac:dyDescent="0.25">
      <c r="A5876" s="952"/>
      <c r="B5876" s="953"/>
      <c r="C5876" s="953"/>
      <c r="D5876" s="953"/>
      <c r="E5876" s="953"/>
      <c r="F5876" s="953"/>
      <c r="G5876" s="953"/>
      <c r="H5876" s="953"/>
    </row>
    <row r="5877" spans="1:8" s="943" customFormat="1" x14ac:dyDescent="0.25">
      <c r="A5877" s="952"/>
      <c r="B5877" s="953"/>
      <c r="C5877" s="953"/>
      <c r="D5877" s="953"/>
      <c r="E5877" s="953"/>
      <c r="F5877" s="953"/>
      <c r="G5877" s="953"/>
      <c r="H5877" s="953"/>
    </row>
    <row r="5878" spans="1:8" s="943" customFormat="1" x14ac:dyDescent="0.25">
      <c r="A5878" s="952"/>
      <c r="B5878" s="953"/>
      <c r="C5878" s="953"/>
      <c r="D5878" s="953"/>
      <c r="E5878" s="953"/>
      <c r="F5878" s="953"/>
      <c r="G5878" s="953"/>
      <c r="H5878" s="953"/>
    </row>
    <row r="5879" spans="1:8" s="943" customFormat="1" x14ac:dyDescent="0.25">
      <c r="A5879" s="952"/>
      <c r="B5879" s="953"/>
      <c r="C5879" s="953"/>
      <c r="D5879" s="953"/>
      <c r="E5879" s="953"/>
      <c r="F5879" s="953"/>
      <c r="G5879" s="953"/>
      <c r="H5879" s="953"/>
    </row>
    <row r="5880" spans="1:8" s="943" customFormat="1" x14ac:dyDescent="0.25">
      <c r="A5880" s="952"/>
      <c r="B5880" s="953"/>
      <c r="C5880" s="953"/>
      <c r="D5880" s="953"/>
      <c r="E5880" s="953"/>
      <c r="F5880" s="953"/>
      <c r="G5880" s="953"/>
      <c r="H5880" s="953"/>
    </row>
    <row r="5881" spans="1:8" s="943" customFormat="1" x14ac:dyDescent="0.25">
      <c r="A5881" s="952"/>
      <c r="B5881" s="953"/>
      <c r="C5881" s="953"/>
      <c r="D5881" s="953"/>
      <c r="E5881" s="953"/>
      <c r="F5881" s="953"/>
      <c r="G5881" s="953"/>
      <c r="H5881" s="953"/>
    </row>
    <row r="5882" spans="1:8" s="943" customFormat="1" x14ac:dyDescent="0.25">
      <c r="A5882" s="952"/>
      <c r="B5882" s="953"/>
      <c r="C5882" s="953"/>
      <c r="D5882" s="953"/>
      <c r="E5882" s="953"/>
      <c r="F5882" s="953"/>
      <c r="G5882" s="953"/>
      <c r="H5882" s="953"/>
    </row>
    <row r="5883" spans="1:8" s="943" customFormat="1" x14ac:dyDescent="0.25">
      <c r="A5883" s="952"/>
      <c r="B5883" s="953"/>
      <c r="C5883" s="953"/>
      <c r="D5883" s="953"/>
      <c r="E5883" s="953"/>
      <c r="F5883" s="953"/>
      <c r="G5883" s="953"/>
      <c r="H5883" s="953"/>
    </row>
    <row r="5884" spans="1:8" s="943" customFormat="1" x14ac:dyDescent="0.25">
      <c r="A5884" s="952"/>
      <c r="B5884" s="953"/>
      <c r="C5884" s="953"/>
      <c r="D5884" s="953"/>
      <c r="E5884" s="953"/>
      <c r="F5884" s="953"/>
      <c r="G5884" s="953"/>
      <c r="H5884" s="953"/>
    </row>
    <row r="5885" spans="1:8" s="943" customFormat="1" x14ac:dyDescent="0.25">
      <c r="A5885" s="952"/>
      <c r="B5885" s="953"/>
      <c r="C5885" s="953"/>
      <c r="D5885" s="953"/>
      <c r="E5885" s="953"/>
      <c r="F5885" s="953"/>
      <c r="G5885" s="953"/>
      <c r="H5885" s="953"/>
    </row>
    <row r="5886" spans="1:8" s="943" customFormat="1" x14ac:dyDescent="0.25">
      <c r="A5886" s="952"/>
      <c r="B5886" s="953"/>
      <c r="C5886" s="953"/>
      <c r="D5886" s="953"/>
      <c r="E5886" s="953"/>
      <c r="F5886" s="953"/>
      <c r="G5886" s="953"/>
      <c r="H5886" s="953"/>
    </row>
    <row r="5887" spans="1:8" s="943" customFormat="1" x14ac:dyDescent="0.25">
      <c r="A5887" s="952"/>
      <c r="B5887" s="953"/>
      <c r="C5887" s="953"/>
      <c r="D5887" s="953"/>
      <c r="E5887" s="953"/>
      <c r="F5887" s="953"/>
      <c r="G5887" s="953"/>
      <c r="H5887" s="953"/>
    </row>
    <row r="5888" spans="1:8" s="943" customFormat="1" x14ac:dyDescent="0.25">
      <c r="A5888" s="952"/>
      <c r="B5888" s="953"/>
      <c r="C5888" s="953"/>
      <c r="D5888" s="953"/>
      <c r="E5888" s="953"/>
      <c r="F5888" s="953"/>
      <c r="G5888" s="953"/>
      <c r="H5888" s="953"/>
    </row>
    <row r="5889" spans="1:8" s="943" customFormat="1" x14ac:dyDescent="0.25">
      <c r="A5889" s="952"/>
      <c r="B5889" s="953"/>
      <c r="C5889" s="953"/>
      <c r="D5889" s="953"/>
      <c r="E5889" s="953"/>
      <c r="F5889" s="953"/>
      <c r="G5889" s="953"/>
      <c r="H5889" s="953"/>
    </row>
    <row r="5890" spans="1:8" s="943" customFormat="1" x14ac:dyDescent="0.25">
      <c r="A5890" s="952"/>
      <c r="B5890" s="953"/>
      <c r="C5890" s="953"/>
      <c r="D5890" s="953"/>
      <c r="E5890" s="953"/>
      <c r="F5890" s="953"/>
      <c r="G5890" s="953"/>
      <c r="H5890" s="953"/>
    </row>
    <row r="5891" spans="1:8" s="943" customFormat="1" x14ac:dyDescent="0.25">
      <c r="A5891" s="952"/>
      <c r="B5891" s="953"/>
      <c r="C5891" s="953"/>
      <c r="D5891" s="953"/>
      <c r="E5891" s="953"/>
      <c r="F5891" s="953"/>
      <c r="G5891" s="953"/>
      <c r="H5891" s="953"/>
    </row>
    <row r="5892" spans="1:8" s="943" customFormat="1" x14ac:dyDescent="0.25">
      <c r="A5892" s="952"/>
      <c r="B5892" s="953"/>
      <c r="C5892" s="953"/>
      <c r="D5892" s="953"/>
      <c r="E5892" s="953"/>
      <c r="F5892" s="953"/>
      <c r="G5892" s="953"/>
      <c r="H5892" s="953"/>
    </row>
    <row r="5893" spans="1:8" s="943" customFormat="1" x14ac:dyDescent="0.25">
      <c r="A5893" s="952"/>
      <c r="B5893" s="953"/>
      <c r="C5893" s="953"/>
      <c r="D5893" s="953"/>
      <c r="E5893" s="953"/>
      <c r="F5893" s="953"/>
      <c r="G5893" s="953"/>
      <c r="H5893" s="953"/>
    </row>
    <row r="5894" spans="1:8" s="943" customFormat="1" x14ac:dyDescent="0.25">
      <c r="A5894" s="952"/>
      <c r="B5894" s="953"/>
      <c r="C5894" s="953"/>
      <c r="D5894" s="953"/>
      <c r="E5894" s="953"/>
      <c r="F5894" s="953"/>
      <c r="G5894" s="953"/>
      <c r="H5894" s="953"/>
    </row>
    <row r="5895" spans="1:8" s="943" customFormat="1" x14ac:dyDescent="0.25">
      <c r="A5895" s="952"/>
      <c r="B5895" s="953"/>
      <c r="C5895" s="953"/>
      <c r="D5895" s="953"/>
      <c r="E5895" s="953"/>
      <c r="F5895" s="953"/>
      <c r="G5895" s="953"/>
      <c r="H5895" s="953"/>
    </row>
    <row r="5896" spans="1:8" s="943" customFormat="1" x14ac:dyDescent="0.25">
      <c r="A5896" s="952"/>
      <c r="B5896" s="953"/>
      <c r="C5896" s="953"/>
      <c r="D5896" s="953"/>
      <c r="E5896" s="953"/>
      <c r="F5896" s="953"/>
      <c r="G5896" s="953"/>
      <c r="H5896" s="953"/>
    </row>
    <row r="5897" spans="1:8" s="943" customFormat="1" x14ac:dyDescent="0.25">
      <c r="A5897" s="952"/>
      <c r="B5897" s="953"/>
      <c r="C5897" s="953"/>
      <c r="D5897" s="953"/>
      <c r="E5897" s="953"/>
      <c r="F5897" s="953"/>
      <c r="G5897" s="953"/>
      <c r="H5897" s="953"/>
    </row>
    <row r="5898" spans="1:8" s="943" customFormat="1" x14ac:dyDescent="0.25">
      <c r="A5898" s="952"/>
      <c r="B5898" s="953"/>
      <c r="C5898" s="953"/>
      <c r="D5898" s="953"/>
      <c r="E5898" s="953"/>
      <c r="F5898" s="953"/>
      <c r="G5898" s="953"/>
      <c r="H5898" s="953"/>
    </row>
    <row r="5899" spans="1:8" s="943" customFormat="1" x14ac:dyDescent="0.25">
      <c r="A5899" s="952"/>
      <c r="B5899" s="953"/>
      <c r="C5899" s="953"/>
      <c r="D5899" s="953"/>
      <c r="E5899" s="953"/>
      <c r="F5899" s="953"/>
      <c r="G5899" s="953"/>
      <c r="H5899" s="953"/>
    </row>
    <row r="5900" spans="1:8" s="943" customFormat="1" x14ac:dyDescent="0.25">
      <c r="A5900" s="952"/>
      <c r="B5900" s="953"/>
      <c r="C5900" s="953"/>
      <c r="D5900" s="953"/>
      <c r="E5900" s="953"/>
      <c r="F5900" s="953"/>
      <c r="G5900" s="953"/>
      <c r="H5900" s="953"/>
    </row>
    <row r="5901" spans="1:8" s="943" customFormat="1" x14ac:dyDescent="0.25">
      <c r="A5901" s="952"/>
      <c r="B5901" s="953"/>
      <c r="C5901" s="953"/>
      <c r="D5901" s="953"/>
      <c r="E5901" s="953"/>
      <c r="F5901" s="953"/>
      <c r="G5901" s="953"/>
      <c r="H5901" s="953"/>
    </row>
    <row r="5902" spans="1:8" s="943" customFormat="1" x14ac:dyDescent="0.25">
      <c r="A5902" s="952"/>
      <c r="B5902" s="953"/>
      <c r="C5902" s="953"/>
      <c r="D5902" s="953"/>
      <c r="E5902" s="953"/>
      <c r="F5902" s="953"/>
      <c r="G5902" s="953"/>
      <c r="H5902" s="953"/>
    </row>
    <row r="5903" spans="1:8" s="943" customFormat="1" x14ac:dyDescent="0.25">
      <c r="A5903" s="952"/>
      <c r="B5903" s="953"/>
      <c r="C5903" s="953"/>
      <c r="D5903" s="953"/>
      <c r="E5903" s="953"/>
      <c r="F5903" s="953"/>
      <c r="G5903" s="953"/>
      <c r="H5903" s="953"/>
    </row>
    <row r="5904" spans="1:8" s="943" customFormat="1" x14ac:dyDescent="0.25">
      <c r="A5904" s="952"/>
      <c r="B5904" s="953"/>
      <c r="C5904" s="953"/>
      <c r="D5904" s="953"/>
      <c r="E5904" s="953"/>
      <c r="F5904" s="953"/>
      <c r="G5904" s="953"/>
      <c r="H5904" s="953"/>
    </row>
    <row r="5905" spans="1:8" s="943" customFormat="1" x14ac:dyDescent="0.25">
      <c r="A5905" s="952"/>
      <c r="B5905" s="953"/>
      <c r="C5905" s="953"/>
      <c r="D5905" s="953"/>
      <c r="E5905" s="953"/>
      <c r="F5905" s="953"/>
      <c r="G5905" s="953"/>
      <c r="H5905" s="953"/>
    </row>
    <row r="5906" spans="1:8" s="943" customFormat="1" x14ac:dyDescent="0.25">
      <c r="A5906" s="952"/>
      <c r="B5906" s="953"/>
      <c r="C5906" s="953"/>
      <c r="D5906" s="953"/>
      <c r="E5906" s="953"/>
      <c r="F5906" s="953"/>
      <c r="G5906" s="953"/>
      <c r="H5906" s="953"/>
    </row>
    <row r="5907" spans="1:8" s="943" customFormat="1" x14ac:dyDescent="0.25">
      <c r="A5907" s="952"/>
      <c r="B5907" s="953"/>
      <c r="C5907" s="953"/>
      <c r="D5907" s="953"/>
      <c r="E5907" s="953"/>
      <c r="F5907" s="953"/>
      <c r="G5907" s="953"/>
      <c r="H5907" s="953"/>
    </row>
    <row r="5908" spans="1:8" s="943" customFormat="1" x14ac:dyDescent="0.25">
      <c r="A5908" s="952"/>
      <c r="B5908" s="953"/>
      <c r="C5908" s="953"/>
      <c r="D5908" s="953"/>
      <c r="E5908" s="953"/>
      <c r="F5908" s="953"/>
      <c r="G5908" s="953"/>
      <c r="H5908" s="953"/>
    </row>
    <row r="5909" spans="1:8" s="943" customFormat="1" x14ac:dyDescent="0.25">
      <c r="A5909" s="952"/>
      <c r="B5909" s="953"/>
      <c r="C5909" s="953"/>
      <c r="D5909" s="953"/>
      <c r="E5909" s="953"/>
      <c r="F5909" s="953"/>
      <c r="G5909" s="953"/>
      <c r="H5909" s="953"/>
    </row>
    <row r="5910" spans="1:8" s="943" customFormat="1" x14ac:dyDescent="0.25">
      <c r="A5910" s="952"/>
      <c r="B5910" s="953"/>
      <c r="C5910" s="953"/>
      <c r="D5910" s="953"/>
      <c r="E5910" s="953"/>
      <c r="F5910" s="953"/>
      <c r="G5910" s="953"/>
      <c r="H5910" s="953"/>
    </row>
    <row r="5911" spans="1:8" s="943" customFormat="1" x14ac:dyDescent="0.25">
      <c r="A5911" s="952"/>
      <c r="B5911" s="953"/>
      <c r="C5911" s="953"/>
      <c r="D5911" s="953"/>
      <c r="E5911" s="953"/>
      <c r="F5911" s="953"/>
      <c r="G5911" s="953"/>
      <c r="H5911" s="953"/>
    </row>
    <row r="5912" spans="1:8" s="943" customFormat="1" x14ac:dyDescent="0.25">
      <c r="A5912" s="952"/>
      <c r="B5912" s="953"/>
      <c r="C5912" s="953"/>
      <c r="D5912" s="953"/>
      <c r="E5912" s="953"/>
      <c r="F5912" s="953"/>
      <c r="G5912" s="953"/>
      <c r="H5912" s="953"/>
    </row>
    <row r="5913" spans="1:8" s="943" customFormat="1" x14ac:dyDescent="0.25">
      <c r="A5913" s="952"/>
      <c r="B5913" s="953"/>
      <c r="C5913" s="953"/>
      <c r="D5913" s="953"/>
      <c r="E5913" s="953"/>
      <c r="F5913" s="953"/>
      <c r="G5913" s="953"/>
      <c r="H5913" s="953"/>
    </row>
    <row r="5914" spans="1:8" s="943" customFormat="1" x14ac:dyDescent="0.25">
      <c r="A5914" s="952"/>
      <c r="B5914" s="953"/>
      <c r="C5914" s="953"/>
      <c r="D5914" s="953"/>
      <c r="E5914" s="953"/>
      <c r="F5914" s="953"/>
      <c r="G5914" s="953"/>
      <c r="H5914" s="953"/>
    </row>
    <row r="5915" spans="1:8" s="943" customFormat="1" x14ac:dyDescent="0.25">
      <c r="A5915" s="952"/>
      <c r="B5915" s="953"/>
      <c r="C5915" s="953"/>
      <c r="D5915" s="953"/>
      <c r="E5915" s="953"/>
      <c r="F5915" s="953"/>
      <c r="G5915" s="953"/>
      <c r="H5915" s="953"/>
    </row>
    <row r="5916" spans="1:8" s="943" customFormat="1" x14ac:dyDescent="0.25">
      <c r="A5916" s="952"/>
      <c r="B5916" s="953"/>
      <c r="C5916" s="953"/>
      <c r="D5916" s="953"/>
      <c r="E5916" s="953"/>
      <c r="F5916" s="953"/>
      <c r="G5916" s="953"/>
      <c r="H5916" s="953"/>
    </row>
    <row r="5917" spans="1:8" s="943" customFormat="1" x14ac:dyDescent="0.25">
      <c r="A5917" s="952"/>
      <c r="B5917" s="953"/>
      <c r="C5917" s="953"/>
      <c r="D5917" s="953"/>
      <c r="E5917" s="953"/>
      <c r="F5917" s="953"/>
      <c r="G5917" s="953"/>
      <c r="H5917" s="953"/>
    </row>
    <row r="5918" spans="1:8" s="943" customFormat="1" x14ac:dyDescent="0.25">
      <c r="A5918" s="952"/>
      <c r="B5918" s="953"/>
      <c r="C5918" s="953"/>
      <c r="D5918" s="953"/>
      <c r="E5918" s="953"/>
      <c r="F5918" s="953"/>
      <c r="G5918" s="953"/>
      <c r="H5918" s="953"/>
    </row>
    <row r="5919" spans="1:8" s="943" customFormat="1" x14ac:dyDescent="0.25">
      <c r="A5919" s="952"/>
      <c r="B5919" s="953"/>
      <c r="C5919" s="953"/>
      <c r="D5919" s="953"/>
      <c r="E5919" s="953"/>
      <c r="F5919" s="953"/>
      <c r="G5919" s="953"/>
      <c r="H5919" s="953"/>
    </row>
    <row r="5920" spans="1:8" s="943" customFormat="1" x14ac:dyDescent="0.25">
      <c r="A5920" s="952"/>
      <c r="B5920" s="953"/>
      <c r="C5920" s="953"/>
      <c r="D5920" s="953"/>
      <c r="E5920" s="953"/>
      <c r="F5920" s="953"/>
      <c r="G5920" s="953"/>
      <c r="H5920" s="953"/>
    </row>
    <row r="5921" spans="1:8" s="943" customFormat="1" x14ac:dyDescent="0.25">
      <c r="A5921" s="952"/>
      <c r="B5921" s="953"/>
      <c r="C5921" s="953"/>
      <c r="D5921" s="953"/>
      <c r="E5921" s="953"/>
      <c r="F5921" s="953"/>
      <c r="G5921" s="953"/>
      <c r="H5921" s="953"/>
    </row>
    <row r="5922" spans="1:8" s="943" customFormat="1" x14ac:dyDescent="0.25">
      <c r="A5922" s="952"/>
      <c r="B5922" s="953"/>
      <c r="C5922" s="953"/>
      <c r="D5922" s="953"/>
      <c r="E5922" s="953"/>
      <c r="F5922" s="953"/>
      <c r="G5922" s="953"/>
      <c r="H5922" s="953"/>
    </row>
    <row r="5923" spans="1:8" s="943" customFormat="1" x14ac:dyDescent="0.25">
      <c r="A5923" s="952"/>
      <c r="B5923" s="953"/>
      <c r="C5923" s="953"/>
      <c r="D5923" s="953"/>
      <c r="E5923" s="953"/>
      <c r="F5923" s="953"/>
      <c r="G5923" s="953"/>
      <c r="H5923" s="953"/>
    </row>
    <row r="5924" spans="1:8" s="943" customFormat="1" x14ac:dyDescent="0.25">
      <c r="A5924" s="952"/>
      <c r="B5924" s="953"/>
      <c r="C5924" s="953"/>
      <c r="D5924" s="953"/>
      <c r="E5924" s="953"/>
      <c r="F5924" s="953"/>
      <c r="G5924" s="953"/>
      <c r="H5924" s="953"/>
    </row>
    <row r="5925" spans="1:8" s="943" customFormat="1" x14ac:dyDescent="0.25">
      <c r="A5925" s="952"/>
      <c r="B5925" s="953"/>
      <c r="C5925" s="953"/>
      <c r="D5925" s="953"/>
      <c r="E5925" s="953"/>
      <c r="F5925" s="953"/>
      <c r="G5925" s="953"/>
      <c r="H5925" s="953"/>
    </row>
    <row r="5926" spans="1:8" s="943" customFormat="1" x14ac:dyDescent="0.25">
      <c r="A5926" s="952"/>
      <c r="B5926" s="953"/>
      <c r="C5926" s="953"/>
      <c r="D5926" s="953"/>
      <c r="E5926" s="953"/>
      <c r="F5926" s="953"/>
      <c r="G5926" s="953"/>
      <c r="H5926" s="953"/>
    </row>
    <row r="5927" spans="1:8" s="943" customFormat="1" x14ac:dyDescent="0.25">
      <c r="A5927" s="952"/>
      <c r="B5927" s="953"/>
      <c r="C5927" s="953"/>
      <c r="D5927" s="953"/>
      <c r="E5927" s="953"/>
      <c r="F5927" s="953"/>
      <c r="G5927" s="953"/>
      <c r="H5927" s="953"/>
    </row>
    <row r="5928" spans="1:8" s="943" customFormat="1" x14ac:dyDescent="0.25">
      <c r="A5928" s="952"/>
      <c r="B5928" s="953"/>
      <c r="C5928" s="953"/>
      <c r="D5928" s="953"/>
      <c r="E5928" s="953"/>
      <c r="F5928" s="953"/>
      <c r="G5928" s="953"/>
      <c r="H5928" s="953"/>
    </row>
    <row r="5929" spans="1:8" s="943" customFormat="1" x14ac:dyDescent="0.25">
      <c r="A5929" s="952"/>
      <c r="B5929" s="953"/>
      <c r="C5929" s="953"/>
      <c r="D5929" s="953"/>
      <c r="E5929" s="953"/>
      <c r="F5929" s="953"/>
      <c r="G5929" s="953"/>
      <c r="H5929" s="953"/>
    </row>
    <row r="5930" spans="1:8" s="943" customFormat="1" x14ac:dyDescent="0.25">
      <c r="A5930" s="952"/>
      <c r="B5930" s="953"/>
      <c r="C5930" s="953"/>
      <c r="D5930" s="953"/>
      <c r="E5930" s="953"/>
      <c r="F5930" s="953"/>
      <c r="G5930" s="953"/>
      <c r="H5930" s="953"/>
    </row>
    <row r="5931" spans="1:8" s="943" customFormat="1" x14ac:dyDescent="0.25">
      <c r="A5931" s="952"/>
      <c r="B5931" s="953"/>
      <c r="C5931" s="953"/>
      <c r="D5931" s="953"/>
      <c r="E5931" s="953"/>
      <c r="F5931" s="953"/>
      <c r="G5931" s="953"/>
      <c r="H5931" s="953"/>
    </row>
    <row r="5932" spans="1:8" s="943" customFormat="1" x14ac:dyDescent="0.25">
      <c r="A5932" s="952"/>
      <c r="B5932" s="953"/>
      <c r="C5932" s="953"/>
      <c r="D5932" s="953"/>
      <c r="E5932" s="953"/>
      <c r="F5932" s="953"/>
      <c r="G5932" s="953"/>
      <c r="H5932" s="953"/>
    </row>
    <row r="5933" spans="1:8" s="943" customFormat="1" x14ac:dyDescent="0.25">
      <c r="A5933" s="952"/>
      <c r="B5933" s="953"/>
      <c r="C5933" s="953"/>
      <c r="D5933" s="953"/>
      <c r="E5933" s="953"/>
      <c r="F5933" s="953"/>
      <c r="G5933" s="953"/>
      <c r="H5933" s="953"/>
    </row>
    <row r="5934" spans="1:8" s="943" customFormat="1" x14ac:dyDescent="0.25">
      <c r="A5934" s="952"/>
      <c r="B5934" s="953"/>
      <c r="C5934" s="953"/>
      <c r="D5934" s="953"/>
      <c r="E5934" s="953"/>
      <c r="F5934" s="953"/>
      <c r="G5934" s="953"/>
      <c r="H5934" s="953"/>
    </row>
    <row r="5935" spans="1:8" s="943" customFormat="1" x14ac:dyDescent="0.25">
      <c r="A5935" s="952"/>
      <c r="B5935" s="953"/>
      <c r="C5935" s="953"/>
      <c r="D5935" s="953"/>
      <c r="E5935" s="953"/>
      <c r="F5935" s="953"/>
      <c r="G5935" s="953"/>
      <c r="H5935" s="953"/>
    </row>
    <row r="5936" spans="1:8" s="943" customFormat="1" x14ac:dyDescent="0.25">
      <c r="A5936" s="952"/>
      <c r="B5936" s="953"/>
      <c r="C5936" s="953"/>
      <c r="D5936" s="953"/>
      <c r="E5936" s="953"/>
      <c r="F5936" s="953"/>
      <c r="G5936" s="953"/>
      <c r="H5936" s="953"/>
    </row>
    <row r="5937" spans="1:8" s="943" customFormat="1" x14ac:dyDescent="0.25">
      <c r="A5937" s="952"/>
      <c r="B5937" s="953"/>
      <c r="C5937" s="953"/>
      <c r="D5937" s="953"/>
      <c r="E5937" s="953"/>
      <c r="F5937" s="953"/>
      <c r="G5937" s="953"/>
      <c r="H5937" s="953"/>
    </row>
    <row r="5938" spans="1:8" s="943" customFormat="1" x14ac:dyDescent="0.25">
      <c r="A5938" s="952"/>
      <c r="B5938" s="953"/>
      <c r="C5938" s="953"/>
      <c r="D5938" s="953"/>
      <c r="E5938" s="953"/>
      <c r="F5938" s="953"/>
      <c r="G5938" s="953"/>
      <c r="H5938" s="953"/>
    </row>
    <row r="5939" spans="1:8" s="943" customFormat="1" x14ac:dyDescent="0.25">
      <c r="A5939" s="952"/>
      <c r="B5939" s="953"/>
      <c r="C5939" s="953"/>
      <c r="D5939" s="953"/>
      <c r="E5939" s="953"/>
      <c r="F5939" s="953"/>
      <c r="G5939" s="953"/>
      <c r="H5939" s="953"/>
    </row>
    <row r="5940" spans="1:8" s="943" customFormat="1" x14ac:dyDescent="0.25">
      <c r="A5940" s="952"/>
      <c r="B5940" s="953"/>
      <c r="C5940" s="953"/>
      <c r="D5940" s="953"/>
      <c r="E5940" s="953"/>
      <c r="F5940" s="953"/>
      <c r="G5940" s="953"/>
      <c r="H5940" s="953"/>
    </row>
    <row r="5941" spans="1:8" s="943" customFormat="1" x14ac:dyDescent="0.25">
      <c r="A5941" s="952"/>
      <c r="B5941" s="953"/>
      <c r="C5941" s="953"/>
      <c r="D5941" s="953"/>
      <c r="E5941" s="953"/>
      <c r="F5941" s="953"/>
      <c r="G5941" s="953"/>
      <c r="H5941" s="953"/>
    </row>
    <row r="5942" spans="1:8" s="943" customFormat="1" x14ac:dyDescent="0.25">
      <c r="A5942" s="952"/>
      <c r="B5942" s="953"/>
      <c r="C5942" s="953"/>
      <c r="D5942" s="953"/>
      <c r="E5942" s="953"/>
      <c r="F5942" s="953"/>
      <c r="G5942" s="953"/>
      <c r="H5942" s="953"/>
    </row>
    <row r="5943" spans="1:8" s="943" customFormat="1" x14ac:dyDescent="0.25">
      <c r="A5943" s="952"/>
      <c r="B5943" s="953"/>
      <c r="C5943" s="953"/>
      <c r="D5943" s="953"/>
      <c r="E5943" s="953"/>
      <c r="F5943" s="953"/>
      <c r="G5943" s="953"/>
      <c r="H5943" s="953"/>
    </row>
    <row r="5944" spans="1:8" s="943" customFormat="1" x14ac:dyDescent="0.25">
      <c r="A5944" s="952"/>
      <c r="B5944" s="953"/>
      <c r="C5944" s="953"/>
      <c r="D5944" s="953"/>
      <c r="E5944" s="953"/>
      <c r="F5944" s="953"/>
      <c r="G5944" s="953"/>
      <c r="H5944" s="953"/>
    </row>
    <row r="5945" spans="1:8" s="943" customFormat="1" x14ac:dyDescent="0.25">
      <c r="A5945" s="952"/>
      <c r="B5945" s="953"/>
      <c r="C5945" s="953"/>
      <c r="D5945" s="953"/>
      <c r="E5945" s="953"/>
      <c r="F5945" s="953"/>
      <c r="G5945" s="953"/>
      <c r="H5945" s="953"/>
    </row>
    <row r="5946" spans="1:8" s="943" customFormat="1" x14ac:dyDescent="0.25">
      <c r="A5946" s="952"/>
      <c r="B5946" s="953"/>
      <c r="C5946" s="953"/>
      <c r="D5946" s="953"/>
      <c r="E5946" s="953"/>
      <c r="F5946" s="953"/>
      <c r="G5946" s="953"/>
      <c r="H5946" s="953"/>
    </row>
    <row r="5947" spans="1:8" s="943" customFormat="1" x14ac:dyDescent="0.25">
      <c r="A5947" s="952"/>
      <c r="B5947" s="953"/>
      <c r="C5947" s="953"/>
      <c r="D5947" s="953"/>
      <c r="E5947" s="953"/>
      <c r="F5947" s="953"/>
      <c r="G5947" s="953"/>
      <c r="H5947" s="953"/>
    </row>
    <row r="5948" spans="1:8" s="943" customFormat="1" x14ac:dyDescent="0.25">
      <c r="A5948" s="952"/>
      <c r="B5948" s="953"/>
      <c r="C5948" s="953"/>
      <c r="D5948" s="953"/>
      <c r="E5948" s="953"/>
      <c r="F5948" s="953"/>
      <c r="G5948" s="953"/>
      <c r="H5948" s="953"/>
    </row>
    <row r="5949" spans="1:8" s="943" customFormat="1" x14ac:dyDescent="0.25">
      <c r="A5949" s="952"/>
      <c r="B5949" s="953"/>
      <c r="C5949" s="953"/>
      <c r="D5949" s="953"/>
      <c r="E5949" s="953"/>
      <c r="F5949" s="953"/>
      <c r="G5949" s="953"/>
      <c r="H5949" s="953"/>
    </row>
    <row r="5950" spans="1:8" s="943" customFormat="1" x14ac:dyDescent="0.25">
      <c r="A5950" s="952"/>
      <c r="B5950" s="953"/>
      <c r="C5950" s="953"/>
      <c r="D5950" s="953"/>
      <c r="E5950" s="953"/>
      <c r="F5950" s="953"/>
      <c r="G5950" s="953"/>
      <c r="H5950" s="953"/>
    </row>
    <row r="5951" spans="1:8" s="943" customFormat="1" x14ac:dyDescent="0.25">
      <c r="A5951" s="952"/>
      <c r="B5951" s="953"/>
      <c r="C5951" s="953"/>
      <c r="D5951" s="953"/>
      <c r="E5951" s="953"/>
      <c r="F5951" s="953"/>
      <c r="G5951" s="953"/>
      <c r="H5951" s="953"/>
    </row>
    <row r="5952" spans="1:8" s="943" customFormat="1" x14ac:dyDescent="0.25">
      <c r="A5952" s="952"/>
      <c r="B5952" s="953"/>
      <c r="C5952" s="953"/>
      <c r="D5952" s="953"/>
      <c r="E5952" s="953"/>
      <c r="F5952" s="953"/>
      <c r="G5952" s="953"/>
      <c r="H5952" s="953"/>
    </row>
    <row r="5953" spans="1:8" s="943" customFormat="1" x14ac:dyDescent="0.25">
      <c r="A5953" s="952"/>
      <c r="B5953" s="953"/>
      <c r="C5953" s="953"/>
      <c r="D5953" s="953"/>
      <c r="E5953" s="953"/>
      <c r="F5953" s="953"/>
      <c r="G5953" s="953"/>
      <c r="H5953" s="953"/>
    </row>
    <row r="5954" spans="1:8" s="943" customFormat="1" x14ac:dyDescent="0.25">
      <c r="A5954" s="952"/>
      <c r="B5954" s="953"/>
      <c r="C5954" s="953"/>
      <c r="D5954" s="953"/>
      <c r="E5954" s="953"/>
      <c r="F5954" s="953"/>
      <c r="G5954" s="953"/>
      <c r="H5954" s="953"/>
    </row>
    <row r="5955" spans="1:8" s="943" customFormat="1" x14ac:dyDescent="0.25">
      <c r="A5955" s="952"/>
      <c r="B5955" s="953"/>
      <c r="C5955" s="953"/>
      <c r="D5955" s="953"/>
      <c r="E5955" s="953"/>
      <c r="F5955" s="953"/>
      <c r="G5955" s="953"/>
      <c r="H5955" s="953"/>
    </row>
    <row r="5956" spans="1:8" s="943" customFormat="1" x14ac:dyDescent="0.25">
      <c r="A5956" s="952"/>
      <c r="B5956" s="953"/>
      <c r="C5956" s="953"/>
      <c r="D5956" s="953"/>
      <c r="E5956" s="953"/>
      <c r="F5956" s="953"/>
      <c r="G5956" s="953"/>
      <c r="H5956" s="953"/>
    </row>
    <row r="5957" spans="1:8" s="943" customFormat="1" x14ac:dyDescent="0.25">
      <c r="A5957" s="952"/>
      <c r="B5957" s="953"/>
      <c r="C5957" s="953"/>
      <c r="D5957" s="953"/>
      <c r="E5957" s="953"/>
      <c r="F5957" s="953"/>
      <c r="G5957" s="953"/>
      <c r="H5957" s="953"/>
    </row>
    <row r="5958" spans="1:8" s="943" customFormat="1" x14ac:dyDescent="0.25">
      <c r="A5958" s="952"/>
      <c r="B5958" s="953"/>
      <c r="C5958" s="953"/>
      <c r="D5958" s="953"/>
      <c r="E5958" s="953"/>
      <c r="F5958" s="953"/>
      <c r="G5958" s="953"/>
      <c r="H5958" s="953"/>
    </row>
    <row r="5959" spans="1:8" s="943" customFormat="1" x14ac:dyDescent="0.25">
      <c r="A5959" s="952"/>
      <c r="B5959" s="953"/>
      <c r="C5959" s="953"/>
      <c r="D5959" s="953"/>
      <c r="E5959" s="953"/>
      <c r="F5959" s="953"/>
      <c r="G5959" s="953"/>
      <c r="H5959" s="953"/>
    </row>
    <row r="5960" spans="1:8" s="943" customFormat="1" x14ac:dyDescent="0.25">
      <c r="A5960" s="952"/>
      <c r="B5960" s="953"/>
      <c r="C5960" s="953"/>
      <c r="D5960" s="953"/>
      <c r="E5960" s="953"/>
      <c r="F5960" s="953"/>
      <c r="G5960" s="953"/>
      <c r="H5960" s="953"/>
    </row>
    <row r="5961" spans="1:8" s="943" customFormat="1" x14ac:dyDescent="0.25">
      <c r="A5961" s="952"/>
      <c r="B5961" s="953"/>
      <c r="C5961" s="953"/>
      <c r="D5961" s="953"/>
      <c r="E5961" s="953"/>
      <c r="F5961" s="953"/>
      <c r="G5961" s="953"/>
      <c r="H5961" s="953"/>
    </row>
    <row r="5962" spans="1:8" s="943" customFormat="1" x14ac:dyDescent="0.25">
      <c r="A5962" s="952"/>
      <c r="B5962" s="953"/>
      <c r="C5962" s="953"/>
      <c r="D5962" s="953"/>
      <c r="E5962" s="953"/>
      <c r="F5962" s="953"/>
      <c r="G5962" s="953"/>
      <c r="H5962" s="953"/>
    </row>
    <row r="5963" spans="1:8" s="943" customFormat="1" x14ac:dyDescent="0.25">
      <c r="A5963" s="952"/>
      <c r="B5963" s="953"/>
      <c r="C5963" s="953"/>
      <c r="D5963" s="953"/>
      <c r="E5963" s="953"/>
      <c r="F5963" s="953"/>
      <c r="G5963" s="953"/>
      <c r="H5963" s="953"/>
    </row>
    <row r="5964" spans="1:8" s="943" customFormat="1" x14ac:dyDescent="0.25">
      <c r="A5964" s="952"/>
      <c r="B5964" s="953"/>
      <c r="C5964" s="953"/>
      <c r="D5964" s="953"/>
      <c r="E5964" s="953"/>
      <c r="F5964" s="953"/>
      <c r="G5964" s="953"/>
      <c r="H5964" s="953"/>
    </row>
    <row r="5965" spans="1:8" s="943" customFormat="1" x14ac:dyDescent="0.25">
      <c r="A5965" s="952"/>
      <c r="B5965" s="953"/>
      <c r="C5965" s="953"/>
      <c r="D5965" s="953"/>
      <c r="E5965" s="953"/>
      <c r="F5965" s="953"/>
      <c r="G5965" s="953"/>
      <c r="H5965" s="953"/>
    </row>
    <row r="5966" spans="1:8" s="943" customFormat="1" x14ac:dyDescent="0.25">
      <c r="A5966" s="952"/>
      <c r="B5966" s="953"/>
      <c r="C5966" s="953"/>
      <c r="D5966" s="953"/>
      <c r="E5966" s="953"/>
      <c r="F5966" s="953"/>
      <c r="G5966" s="953"/>
      <c r="H5966" s="953"/>
    </row>
    <row r="5967" spans="1:8" s="943" customFormat="1" x14ac:dyDescent="0.25">
      <c r="A5967" s="952"/>
      <c r="B5967" s="953"/>
      <c r="C5967" s="953"/>
      <c r="D5967" s="953"/>
      <c r="E5967" s="953"/>
      <c r="F5967" s="953"/>
      <c r="G5967" s="953"/>
      <c r="H5967" s="953"/>
    </row>
    <row r="5968" spans="1:8" s="943" customFormat="1" x14ac:dyDescent="0.25">
      <c r="A5968" s="952"/>
      <c r="B5968" s="953"/>
      <c r="C5968" s="953"/>
      <c r="D5968" s="953"/>
      <c r="E5968" s="953"/>
      <c r="F5968" s="953"/>
      <c r="G5968" s="953"/>
      <c r="H5968" s="953"/>
    </row>
    <row r="5969" spans="1:8" s="943" customFormat="1" x14ac:dyDescent="0.25">
      <c r="A5969" s="952"/>
      <c r="B5969" s="953"/>
      <c r="C5969" s="953"/>
      <c r="D5969" s="953"/>
      <c r="E5969" s="953"/>
      <c r="F5969" s="953"/>
      <c r="G5969" s="953"/>
      <c r="H5969" s="953"/>
    </row>
    <row r="5970" spans="1:8" s="943" customFormat="1" x14ac:dyDescent="0.25">
      <c r="A5970" s="952"/>
      <c r="B5970" s="953"/>
      <c r="C5970" s="953"/>
      <c r="D5970" s="953"/>
      <c r="E5970" s="953"/>
      <c r="F5970" s="953"/>
      <c r="G5970" s="953"/>
      <c r="H5970" s="953"/>
    </row>
    <row r="5971" spans="1:8" s="943" customFormat="1" x14ac:dyDescent="0.25">
      <c r="A5971" s="952"/>
      <c r="B5971" s="953"/>
      <c r="C5971" s="953"/>
      <c r="D5971" s="953"/>
      <c r="E5971" s="953"/>
      <c r="F5971" s="953"/>
      <c r="G5971" s="953"/>
      <c r="H5971" s="953"/>
    </row>
    <row r="5972" spans="1:8" s="943" customFormat="1" x14ac:dyDescent="0.25">
      <c r="A5972" s="952"/>
      <c r="B5972" s="953"/>
      <c r="C5972" s="953"/>
      <c r="D5972" s="953"/>
      <c r="E5972" s="953"/>
      <c r="F5972" s="953"/>
      <c r="G5972" s="953"/>
      <c r="H5972" s="953"/>
    </row>
    <row r="5973" spans="1:8" s="943" customFormat="1" x14ac:dyDescent="0.25">
      <c r="A5973" s="952"/>
      <c r="B5973" s="953"/>
      <c r="C5973" s="953"/>
      <c r="D5973" s="953"/>
      <c r="E5973" s="953"/>
      <c r="F5973" s="953"/>
      <c r="G5973" s="953"/>
      <c r="H5973" s="953"/>
    </row>
    <row r="5974" spans="1:8" s="943" customFormat="1" x14ac:dyDescent="0.25">
      <c r="A5974" s="952"/>
      <c r="B5974" s="953"/>
      <c r="C5974" s="953"/>
      <c r="D5974" s="953"/>
      <c r="E5974" s="953"/>
      <c r="F5974" s="953"/>
      <c r="G5974" s="953"/>
      <c r="H5974" s="953"/>
    </row>
    <row r="5975" spans="1:8" s="943" customFormat="1" x14ac:dyDescent="0.25">
      <c r="A5975" s="952"/>
      <c r="B5975" s="953"/>
      <c r="C5975" s="953"/>
      <c r="D5975" s="953"/>
      <c r="E5975" s="953"/>
      <c r="F5975" s="953"/>
      <c r="G5975" s="953"/>
      <c r="H5975" s="953"/>
    </row>
    <row r="5976" spans="1:8" s="943" customFormat="1" x14ac:dyDescent="0.25">
      <c r="A5976" s="952"/>
      <c r="B5976" s="953"/>
      <c r="C5976" s="953"/>
      <c r="D5976" s="953"/>
      <c r="E5976" s="953"/>
      <c r="F5976" s="953"/>
      <c r="G5976" s="953"/>
      <c r="H5976" s="953"/>
    </row>
    <row r="5977" spans="1:8" s="943" customFormat="1" x14ac:dyDescent="0.25">
      <c r="A5977" s="952"/>
      <c r="B5977" s="953"/>
      <c r="C5977" s="953"/>
      <c r="D5977" s="953"/>
      <c r="E5977" s="953"/>
      <c r="F5977" s="953"/>
      <c r="G5977" s="953"/>
      <c r="H5977" s="953"/>
    </row>
    <row r="5978" spans="1:8" s="943" customFormat="1" x14ac:dyDescent="0.25">
      <c r="A5978" s="952"/>
      <c r="B5978" s="953"/>
      <c r="C5978" s="953"/>
      <c r="D5978" s="953"/>
      <c r="E5978" s="953"/>
      <c r="F5978" s="953"/>
      <c r="G5978" s="953"/>
      <c r="H5978" s="953"/>
    </row>
    <row r="5979" spans="1:8" s="943" customFormat="1" x14ac:dyDescent="0.25">
      <c r="A5979" s="952"/>
      <c r="B5979" s="953"/>
      <c r="C5979" s="953"/>
      <c r="D5979" s="953"/>
      <c r="E5979" s="953"/>
      <c r="F5979" s="953"/>
      <c r="G5979" s="953"/>
      <c r="H5979" s="953"/>
    </row>
    <row r="5980" spans="1:8" s="943" customFormat="1" x14ac:dyDescent="0.25">
      <c r="A5980" s="952"/>
      <c r="B5980" s="953"/>
      <c r="C5980" s="953"/>
      <c r="D5980" s="953"/>
      <c r="E5980" s="953"/>
      <c r="F5980" s="953"/>
      <c r="G5980" s="953"/>
      <c r="H5980" s="953"/>
    </row>
    <row r="5981" spans="1:8" s="943" customFormat="1" x14ac:dyDescent="0.25">
      <c r="A5981" s="952"/>
      <c r="B5981" s="953"/>
      <c r="C5981" s="953"/>
      <c r="D5981" s="953"/>
      <c r="E5981" s="953"/>
      <c r="F5981" s="953"/>
      <c r="G5981" s="953"/>
      <c r="H5981" s="953"/>
    </row>
    <row r="5982" spans="1:8" s="943" customFormat="1" x14ac:dyDescent="0.25">
      <c r="A5982" s="952"/>
      <c r="B5982" s="953"/>
      <c r="C5982" s="953"/>
      <c r="D5982" s="953"/>
      <c r="E5982" s="953"/>
      <c r="F5982" s="953"/>
      <c r="G5982" s="953"/>
      <c r="H5982" s="953"/>
    </row>
    <row r="5983" spans="1:8" s="943" customFormat="1" x14ac:dyDescent="0.25">
      <c r="A5983" s="952"/>
      <c r="B5983" s="953"/>
      <c r="C5983" s="953"/>
      <c r="D5983" s="953"/>
      <c r="E5983" s="953"/>
      <c r="F5983" s="953"/>
      <c r="G5983" s="953"/>
      <c r="H5983" s="953"/>
    </row>
    <row r="5984" spans="1:8" s="943" customFormat="1" x14ac:dyDescent="0.25">
      <c r="A5984" s="952"/>
      <c r="B5984" s="953"/>
      <c r="C5984" s="953"/>
      <c r="D5984" s="953"/>
      <c r="E5984" s="953"/>
      <c r="F5984" s="953"/>
      <c r="G5984" s="953"/>
      <c r="H5984" s="953"/>
    </row>
    <row r="5985" spans="1:8" s="943" customFormat="1" x14ac:dyDescent="0.25">
      <c r="A5985" s="952"/>
      <c r="B5985" s="953"/>
      <c r="C5985" s="953"/>
      <c r="D5985" s="953"/>
      <c r="E5985" s="953"/>
      <c r="F5985" s="953"/>
      <c r="G5985" s="953"/>
      <c r="H5985" s="953"/>
    </row>
    <row r="5986" spans="1:8" s="943" customFormat="1" x14ac:dyDescent="0.25">
      <c r="A5986" s="952"/>
      <c r="B5986" s="953"/>
      <c r="C5986" s="953"/>
      <c r="D5986" s="953"/>
      <c r="E5986" s="953"/>
      <c r="F5986" s="953"/>
      <c r="G5986" s="953"/>
      <c r="H5986" s="953"/>
    </row>
    <row r="5987" spans="1:8" s="943" customFormat="1" x14ac:dyDescent="0.25">
      <c r="A5987" s="952"/>
      <c r="B5987" s="953"/>
      <c r="C5987" s="953"/>
      <c r="D5987" s="953"/>
      <c r="E5987" s="953"/>
      <c r="F5987" s="953"/>
      <c r="G5987" s="953"/>
      <c r="H5987" s="953"/>
    </row>
    <row r="5988" spans="1:8" s="943" customFormat="1" x14ac:dyDescent="0.25">
      <c r="A5988" s="952"/>
      <c r="B5988" s="953"/>
      <c r="C5988" s="953"/>
      <c r="D5988" s="953"/>
      <c r="E5988" s="953"/>
      <c r="F5988" s="953"/>
      <c r="G5988" s="953"/>
      <c r="H5988" s="953"/>
    </row>
    <row r="5989" spans="1:8" s="943" customFormat="1" x14ac:dyDescent="0.25">
      <c r="A5989" s="952"/>
      <c r="B5989" s="953"/>
      <c r="C5989" s="953"/>
      <c r="D5989" s="953"/>
      <c r="E5989" s="953"/>
      <c r="F5989" s="953"/>
      <c r="G5989" s="953"/>
      <c r="H5989" s="953"/>
    </row>
    <row r="5990" spans="1:8" s="943" customFormat="1" x14ac:dyDescent="0.25">
      <c r="A5990" s="952"/>
      <c r="B5990" s="953"/>
      <c r="C5990" s="953"/>
      <c r="D5990" s="953"/>
      <c r="E5990" s="953"/>
      <c r="F5990" s="953"/>
      <c r="G5990" s="953"/>
      <c r="H5990" s="953"/>
    </row>
    <row r="5991" spans="1:8" s="943" customFormat="1" x14ac:dyDescent="0.25">
      <c r="A5991" s="952"/>
      <c r="B5991" s="953"/>
      <c r="C5991" s="953"/>
      <c r="D5991" s="953"/>
      <c r="E5991" s="953"/>
      <c r="F5991" s="953"/>
      <c r="G5991" s="953"/>
      <c r="H5991" s="953"/>
    </row>
    <row r="5992" spans="1:8" s="943" customFormat="1" x14ac:dyDescent="0.25">
      <c r="A5992" s="952"/>
      <c r="B5992" s="953"/>
      <c r="C5992" s="953"/>
      <c r="D5992" s="953"/>
      <c r="E5992" s="953"/>
      <c r="F5992" s="953"/>
      <c r="G5992" s="953"/>
      <c r="H5992" s="953"/>
    </row>
    <row r="5993" spans="1:8" s="943" customFormat="1" x14ac:dyDescent="0.25">
      <c r="A5993" s="952"/>
      <c r="B5993" s="953"/>
      <c r="C5993" s="953"/>
      <c r="D5993" s="953"/>
      <c r="E5993" s="953"/>
      <c r="F5993" s="953"/>
      <c r="G5993" s="953"/>
      <c r="H5993" s="953"/>
    </row>
    <row r="5994" spans="1:8" s="943" customFormat="1" x14ac:dyDescent="0.25">
      <c r="A5994" s="952"/>
      <c r="B5994" s="953"/>
      <c r="C5994" s="953"/>
      <c r="D5994" s="953"/>
      <c r="E5994" s="953"/>
      <c r="F5994" s="953"/>
      <c r="G5994" s="953"/>
      <c r="H5994" s="953"/>
    </row>
    <row r="5995" spans="1:8" s="943" customFormat="1" x14ac:dyDescent="0.25">
      <c r="A5995" s="952"/>
      <c r="B5995" s="953"/>
      <c r="C5995" s="953"/>
      <c r="D5995" s="953"/>
      <c r="E5995" s="953"/>
      <c r="F5995" s="953"/>
      <c r="G5995" s="953"/>
      <c r="H5995" s="953"/>
    </row>
    <row r="5996" spans="1:8" s="943" customFormat="1" x14ac:dyDescent="0.25">
      <c r="A5996" s="952"/>
      <c r="B5996" s="953"/>
      <c r="C5996" s="953"/>
      <c r="D5996" s="953"/>
      <c r="E5996" s="953"/>
      <c r="F5996" s="953"/>
      <c r="G5996" s="953"/>
      <c r="H5996" s="953"/>
    </row>
    <row r="5997" spans="1:8" s="943" customFormat="1" x14ac:dyDescent="0.25">
      <c r="A5997" s="952"/>
      <c r="B5997" s="953"/>
      <c r="C5997" s="953"/>
      <c r="D5997" s="953"/>
      <c r="E5997" s="953"/>
      <c r="F5997" s="953"/>
      <c r="G5997" s="953"/>
      <c r="H5997" s="953"/>
    </row>
    <row r="5998" spans="1:8" s="943" customFormat="1" x14ac:dyDescent="0.25">
      <c r="A5998" s="952"/>
      <c r="B5998" s="953"/>
      <c r="C5998" s="953"/>
      <c r="D5998" s="953"/>
      <c r="E5998" s="953"/>
      <c r="F5998" s="953"/>
      <c r="G5998" s="953"/>
      <c r="H5998" s="953"/>
    </row>
    <row r="5999" spans="1:8" s="943" customFormat="1" x14ac:dyDescent="0.25">
      <c r="A5999" s="952"/>
      <c r="B5999" s="953"/>
      <c r="C5999" s="953"/>
      <c r="D5999" s="953"/>
      <c r="E5999" s="953"/>
      <c r="F5999" s="953"/>
      <c r="G5999" s="953"/>
      <c r="H5999" s="953"/>
    </row>
    <row r="6000" spans="1:8" s="943" customFormat="1" x14ac:dyDescent="0.25">
      <c r="A6000" s="952"/>
      <c r="B6000" s="953"/>
      <c r="C6000" s="953"/>
      <c r="D6000" s="953"/>
      <c r="E6000" s="953"/>
      <c r="F6000" s="953"/>
      <c r="G6000" s="953"/>
      <c r="H6000" s="953"/>
    </row>
    <row r="6001" spans="1:8" s="943" customFormat="1" x14ac:dyDescent="0.25">
      <c r="A6001" s="952"/>
      <c r="B6001" s="953"/>
      <c r="C6001" s="953"/>
      <c r="D6001" s="953"/>
      <c r="E6001" s="953"/>
      <c r="F6001" s="953"/>
      <c r="G6001" s="953"/>
      <c r="H6001" s="953"/>
    </row>
    <row r="6002" spans="1:8" s="943" customFormat="1" x14ac:dyDescent="0.25">
      <c r="A6002" s="952"/>
      <c r="B6002" s="953"/>
      <c r="C6002" s="953"/>
      <c r="D6002" s="953"/>
      <c r="E6002" s="953"/>
      <c r="F6002" s="953"/>
      <c r="G6002" s="953"/>
      <c r="H6002" s="953"/>
    </row>
    <row r="6003" spans="1:8" s="943" customFormat="1" x14ac:dyDescent="0.25">
      <c r="A6003" s="952"/>
      <c r="B6003" s="953"/>
      <c r="C6003" s="953"/>
      <c r="D6003" s="953"/>
      <c r="E6003" s="953"/>
      <c r="F6003" s="953"/>
      <c r="G6003" s="953"/>
      <c r="H6003" s="953"/>
    </row>
    <row r="6004" spans="1:8" s="943" customFormat="1" x14ac:dyDescent="0.25">
      <c r="A6004" s="952"/>
      <c r="B6004" s="953"/>
      <c r="C6004" s="953"/>
      <c r="D6004" s="953"/>
      <c r="E6004" s="953"/>
      <c r="F6004" s="953"/>
      <c r="G6004" s="953"/>
      <c r="H6004" s="953"/>
    </row>
    <row r="6005" spans="1:8" s="943" customFormat="1" x14ac:dyDescent="0.25">
      <c r="A6005" s="952"/>
      <c r="B6005" s="953"/>
      <c r="C6005" s="953"/>
      <c r="D6005" s="953"/>
      <c r="E6005" s="953"/>
      <c r="F6005" s="953"/>
      <c r="G6005" s="953"/>
      <c r="H6005" s="953"/>
    </row>
    <row r="6006" spans="1:8" s="943" customFormat="1" x14ac:dyDescent="0.25">
      <c r="A6006" s="952"/>
      <c r="B6006" s="953"/>
      <c r="C6006" s="953"/>
      <c r="D6006" s="953"/>
      <c r="E6006" s="953"/>
      <c r="F6006" s="953"/>
      <c r="G6006" s="953"/>
      <c r="H6006" s="953"/>
    </row>
    <row r="6007" spans="1:8" s="943" customFormat="1" x14ac:dyDescent="0.25">
      <c r="A6007" s="952"/>
      <c r="B6007" s="953"/>
      <c r="C6007" s="953"/>
      <c r="D6007" s="953"/>
      <c r="E6007" s="953"/>
      <c r="F6007" s="953"/>
      <c r="G6007" s="953"/>
      <c r="H6007" s="953"/>
    </row>
    <row r="6008" spans="1:8" s="943" customFormat="1" x14ac:dyDescent="0.25">
      <c r="A6008" s="952"/>
      <c r="B6008" s="953"/>
      <c r="C6008" s="953"/>
      <c r="D6008" s="953"/>
      <c r="E6008" s="953"/>
      <c r="F6008" s="953"/>
      <c r="G6008" s="953"/>
      <c r="H6008" s="953"/>
    </row>
    <row r="6009" spans="1:8" s="943" customFormat="1" x14ac:dyDescent="0.25">
      <c r="A6009" s="952"/>
      <c r="B6009" s="953"/>
      <c r="C6009" s="953"/>
      <c r="D6009" s="953"/>
      <c r="E6009" s="953"/>
      <c r="F6009" s="953"/>
      <c r="G6009" s="953"/>
      <c r="H6009" s="953"/>
    </row>
    <row r="6010" spans="1:8" s="943" customFormat="1" x14ac:dyDescent="0.25">
      <c r="A6010" s="952"/>
      <c r="B6010" s="953"/>
      <c r="C6010" s="953"/>
      <c r="D6010" s="953"/>
      <c r="E6010" s="953"/>
      <c r="F6010" s="953"/>
      <c r="G6010" s="953"/>
      <c r="H6010" s="953"/>
    </row>
    <row r="6011" spans="1:8" s="943" customFormat="1" x14ac:dyDescent="0.25">
      <c r="A6011" s="952"/>
      <c r="B6011" s="953"/>
      <c r="C6011" s="953"/>
      <c r="D6011" s="953"/>
      <c r="E6011" s="953"/>
      <c r="F6011" s="953"/>
      <c r="G6011" s="953"/>
      <c r="H6011" s="953"/>
    </row>
    <row r="6012" spans="1:8" s="943" customFormat="1" x14ac:dyDescent="0.25">
      <c r="A6012" s="952"/>
      <c r="B6012" s="953"/>
      <c r="C6012" s="953"/>
      <c r="D6012" s="953"/>
      <c r="E6012" s="953"/>
      <c r="F6012" s="953"/>
      <c r="G6012" s="953"/>
      <c r="H6012" s="953"/>
    </row>
    <row r="6013" spans="1:8" s="943" customFormat="1" x14ac:dyDescent="0.25">
      <c r="A6013" s="952"/>
      <c r="B6013" s="953"/>
      <c r="C6013" s="953"/>
      <c r="D6013" s="953"/>
      <c r="E6013" s="953"/>
      <c r="F6013" s="953"/>
      <c r="G6013" s="953"/>
      <c r="H6013" s="953"/>
    </row>
    <row r="6014" spans="1:8" s="943" customFormat="1" x14ac:dyDescent="0.25">
      <c r="A6014" s="952"/>
      <c r="B6014" s="953"/>
      <c r="C6014" s="953"/>
      <c r="D6014" s="953"/>
      <c r="E6014" s="953"/>
      <c r="F6014" s="953"/>
      <c r="G6014" s="953"/>
      <c r="H6014" s="953"/>
    </row>
    <row r="6015" spans="1:8" s="943" customFormat="1" x14ac:dyDescent="0.25">
      <c r="A6015" s="952"/>
      <c r="B6015" s="953"/>
      <c r="C6015" s="953"/>
      <c r="D6015" s="953"/>
      <c r="E6015" s="953"/>
      <c r="F6015" s="953"/>
      <c r="G6015" s="953"/>
      <c r="H6015" s="953"/>
    </row>
    <row r="6016" spans="1:8" s="943" customFormat="1" x14ac:dyDescent="0.25">
      <c r="A6016" s="952"/>
      <c r="B6016" s="953"/>
      <c r="C6016" s="953"/>
      <c r="D6016" s="953"/>
      <c r="E6016" s="953"/>
      <c r="F6016" s="953"/>
      <c r="G6016" s="953"/>
      <c r="H6016" s="953"/>
    </row>
    <row r="6017" spans="1:8" s="943" customFormat="1" x14ac:dyDescent="0.25">
      <c r="A6017" s="952"/>
      <c r="B6017" s="953"/>
      <c r="C6017" s="953"/>
      <c r="D6017" s="953"/>
      <c r="E6017" s="953"/>
      <c r="F6017" s="953"/>
      <c r="G6017" s="953"/>
      <c r="H6017" s="953"/>
    </row>
    <row r="6018" spans="1:8" s="943" customFormat="1" x14ac:dyDescent="0.25">
      <c r="A6018" s="952"/>
      <c r="B6018" s="953"/>
      <c r="C6018" s="953"/>
      <c r="D6018" s="953"/>
      <c r="E6018" s="953"/>
      <c r="F6018" s="953"/>
      <c r="G6018" s="953"/>
      <c r="H6018" s="953"/>
    </row>
    <row r="6019" spans="1:8" s="943" customFormat="1" x14ac:dyDescent="0.25">
      <c r="A6019" s="952"/>
      <c r="B6019" s="953"/>
      <c r="C6019" s="953"/>
      <c r="D6019" s="953"/>
      <c r="E6019" s="953"/>
      <c r="F6019" s="953"/>
      <c r="G6019" s="953"/>
      <c r="H6019" s="953"/>
    </row>
    <row r="6020" spans="1:8" s="943" customFormat="1" x14ac:dyDescent="0.25">
      <c r="A6020" s="952"/>
      <c r="B6020" s="953"/>
      <c r="C6020" s="953"/>
      <c r="D6020" s="953"/>
      <c r="E6020" s="953"/>
      <c r="F6020" s="953"/>
      <c r="G6020" s="953"/>
      <c r="H6020" s="953"/>
    </row>
    <row r="6021" spans="1:8" s="943" customFormat="1" x14ac:dyDescent="0.25">
      <c r="A6021" s="952"/>
      <c r="B6021" s="953"/>
      <c r="C6021" s="953"/>
      <c r="D6021" s="953"/>
      <c r="E6021" s="953"/>
      <c r="F6021" s="953"/>
      <c r="G6021" s="953"/>
      <c r="H6021" s="953"/>
    </row>
    <row r="6022" spans="1:8" s="943" customFormat="1" x14ac:dyDescent="0.25">
      <c r="A6022" s="952"/>
      <c r="B6022" s="953"/>
      <c r="C6022" s="953"/>
      <c r="D6022" s="953"/>
      <c r="E6022" s="953"/>
      <c r="F6022" s="953"/>
      <c r="G6022" s="953"/>
      <c r="H6022" s="953"/>
    </row>
    <row r="6023" spans="1:8" s="943" customFormat="1" x14ac:dyDescent="0.25">
      <c r="A6023" s="952"/>
      <c r="B6023" s="953"/>
      <c r="C6023" s="953"/>
      <c r="D6023" s="953"/>
      <c r="E6023" s="953"/>
      <c r="F6023" s="953"/>
      <c r="G6023" s="953"/>
      <c r="H6023" s="953"/>
    </row>
    <row r="6024" spans="1:8" s="943" customFormat="1" x14ac:dyDescent="0.25">
      <c r="A6024" s="952"/>
      <c r="B6024" s="953"/>
      <c r="C6024" s="953"/>
      <c r="D6024" s="953"/>
      <c r="E6024" s="953"/>
      <c r="F6024" s="953"/>
      <c r="G6024" s="953"/>
      <c r="H6024" s="953"/>
    </row>
    <row r="6025" spans="1:8" s="943" customFormat="1" x14ac:dyDescent="0.25">
      <c r="A6025" s="952"/>
      <c r="B6025" s="953"/>
      <c r="C6025" s="953"/>
      <c r="D6025" s="953"/>
      <c r="E6025" s="953"/>
      <c r="F6025" s="953"/>
      <c r="G6025" s="953"/>
      <c r="H6025" s="953"/>
    </row>
    <row r="6026" spans="1:8" s="943" customFormat="1" x14ac:dyDescent="0.25">
      <c r="A6026" s="952"/>
      <c r="B6026" s="953"/>
      <c r="C6026" s="953"/>
      <c r="D6026" s="953"/>
      <c r="E6026" s="953"/>
      <c r="F6026" s="953"/>
      <c r="G6026" s="953"/>
      <c r="H6026" s="953"/>
    </row>
    <row r="6027" spans="1:8" s="943" customFormat="1" x14ac:dyDescent="0.25">
      <c r="A6027" s="952"/>
      <c r="B6027" s="953"/>
      <c r="C6027" s="953"/>
      <c r="D6027" s="953"/>
      <c r="E6027" s="953"/>
      <c r="F6027" s="953"/>
      <c r="G6027" s="953"/>
      <c r="H6027" s="953"/>
    </row>
    <row r="6028" spans="1:8" s="943" customFormat="1" x14ac:dyDescent="0.25">
      <c r="A6028" s="952"/>
      <c r="B6028" s="953"/>
      <c r="C6028" s="953"/>
      <c r="D6028" s="953"/>
      <c r="E6028" s="953"/>
      <c r="F6028" s="953"/>
      <c r="G6028" s="953"/>
      <c r="H6028" s="953"/>
    </row>
    <row r="6029" spans="1:8" s="943" customFormat="1" x14ac:dyDescent="0.25">
      <c r="A6029" s="952"/>
      <c r="B6029" s="953"/>
      <c r="C6029" s="953"/>
      <c r="D6029" s="953"/>
      <c r="E6029" s="953"/>
      <c r="F6029" s="953"/>
      <c r="G6029" s="953"/>
      <c r="H6029" s="953"/>
    </row>
    <row r="6030" spans="1:8" s="943" customFormat="1" x14ac:dyDescent="0.25">
      <c r="A6030" s="952"/>
      <c r="B6030" s="953"/>
      <c r="C6030" s="953"/>
      <c r="D6030" s="953"/>
      <c r="E6030" s="953"/>
      <c r="F6030" s="953"/>
      <c r="G6030" s="953"/>
      <c r="H6030" s="953"/>
    </row>
    <row r="6031" spans="1:8" s="943" customFormat="1" x14ac:dyDescent="0.25">
      <c r="A6031" s="952"/>
      <c r="B6031" s="953"/>
      <c r="C6031" s="953"/>
      <c r="D6031" s="953"/>
      <c r="E6031" s="953"/>
      <c r="F6031" s="953"/>
      <c r="G6031" s="953"/>
      <c r="H6031" s="953"/>
    </row>
    <row r="6032" spans="1:8" s="943" customFormat="1" x14ac:dyDescent="0.25">
      <c r="A6032" s="952"/>
      <c r="B6032" s="953"/>
      <c r="C6032" s="953"/>
      <c r="D6032" s="953"/>
      <c r="E6032" s="953"/>
      <c r="F6032" s="953"/>
      <c r="G6032" s="953"/>
      <c r="H6032" s="953"/>
    </row>
    <row r="6033" spans="1:8" s="943" customFormat="1" x14ac:dyDescent="0.25">
      <c r="A6033" s="952"/>
      <c r="B6033" s="953"/>
      <c r="C6033" s="953"/>
      <c r="D6033" s="953"/>
      <c r="E6033" s="953"/>
      <c r="F6033" s="953"/>
      <c r="G6033" s="953"/>
      <c r="H6033" s="953"/>
    </row>
    <row r="6034" spans="1:8" s="943" customFormat="1" x14ac:dyDescent="0.25">
      <c r="A6034" s="952"/>
      <c r="B6034" s="953"/>
      <c r="C6034" s="953"/>
      <c r="D6034" s="953"/>
      <c r="E6034" s="953"/>
      <c r="F6034" s="953"/>
      <c r="G6034" s="953"/>
      <c r="H6034" s="953"/>
    </row>
    <row r="6035" spans="1:8" s="943" customFormat="1" x14ac:dyDescent="0.25">
      <c r="A6035" s="952"/>
      <c r="B6035" s="953"/>
      <c r="C6035" s="953"/>
      <c r="D6035" s="953"/>
      <c r="E6035" s="953"/>
      <c r="F6035" s="953"/>
      <c r="G6035" s="953"/>
      <c r="H6035" s="953"/>
    </row>
    <row r="6036" spans="1:8" s="943" customFormat="1" x14ac:dyDescent="0.25">
      <c r="A6036" s="952"/>
      <c r="B6036" s="953"/>
      <c r="C6036" s="953"/>
      <c r="D6036" s="953"/>
      <c r="E6036" s="953"/>
      <c r="F6036" s="953"/>
      <c r="G6036" s="953"/>
      <c r="H6036" s="953"/>
    </row>
    <row r="6037" spans="1:8" s="943" customFormat="1" x14ac:dyDescent="0.25">
      <c r="A6037" s="952"/>
      <c r="B6037" s="953"/>
      <c r="C6037" s="953"/>
      <c r="D6037" s="953"/>
      <c r="E6037" s="953"/>
      <c r="F6037" s="953"/>
      <c r="G6037" s="953"/>
      <c r="H6037" s="953"/>
    </row>
    <row r="6038" spans="1:8" s="943" customFormat="1" x14ac:dyDescent="0.25">
      <c r="A6038" s="952"/>
      <c r="B6038" s="953"/>
      <c r="C6038" s="953"/>
      <c r="D6038" s="953"/>
      <c r="E6038" s="953"/>
      <c r="F6038" s="953"/>
      <c r="G6038" s="953"/>
      <c r="H6038" s="953"/>
    </row>
    <row r="6039" spans="1:8" s="943" customFormat="1" x14ac:dyDescent="0.25">
      <c r="A6039" s="952"/>
      <c r="B6039" s="953"/>
      <c r="C6039" s="953"/>
      <c r="D6039" s="953"/>
      <c r="E6039" s="953"/>
      <c r="F6039" s="953"/>
      <c r="G6039" s="953"/>
      <c r="H6039" s="953"/>
    </row>
    <row r="6040" spans="1:8" s="943" customFormat="1" x14ac:dyDescent="0.25">
      <c r="A6040" s="952"/>
      <c r="B6040" s="953"/>
      <c r="C6040" s="953"/>
      <c r="D6040" s="953"/>
      <c r="E6040" s="953"/>
      <c r="F6040" s="953"/>
      <c r="G6040" s="953"/>
      <c r="H6040" s="953"/>
    </row>
    <row r="6041" spans="1:8" s="943" customFormat="1" x14ac:dyDescent="0.25">
      <c r="A6041" s="952"/>
      <c r="B6041" s="953"/>
      <c r="C6041" s="953"/>
      <c r="D6041" s="953"/>
      <c r="E6041" s="953"/>
      <c r="F6041" s="953"/>
      <c r="G6041" s="953"/>
      <c r="H6041" s="953"/>
    </row>
    <row r="6042" spans="1:8" s="943" customFormat="1" x14ac:dyDescent="0.25">
      <c r="A6042" s="952"/>
      <c r="B6042" s="953"/>
      <c r="C6042" s="953"/>
      <c r="D6042" s="953"/>
      <c r="E6042" s="953"/>
      <c r="F6042" s="953"/>
      <c r="G6042" s="953"/>
      <c r="H6042" s="953"/>
    </row>
    <row r="6043" spans="1:8" s="943" customFormat="1" x14ac:dyDescent="0.25">
      <c r="A6043" s="952"/>
      <c r="B6043" s="953"/>
      <c r="C6043" s="953"/>
      <c r="D6043" s="953"/>
      <c r="E6043" s="953"/>
      <c r="F6043" s="953"/>
      <c r="G6043" s="953"/>
      <c r="H6043" s="953"/>
    </row>
    <row r="6044" spans="1:8" s="943" customFormat="1" x14ac:dyDescent="0.25">
      <c r="A6044" s="952"/>
      <c r="B6044" s="953"/>
      <c r="C6044" s="953"/>
      <c r="D6044" s="953"/>
      <c r="E6044" s="953"/>
      <c r="F6044" s="953"/>
      <c r="G6044" s="953"/>
      <c r="H6044" s="953"/>
    </row>
    <row r="6045" spans="1:8" s="943" customFormat="1" x14ac:dyDescent="0.25">
      <c r="A6045" s="952"/>
      <c r="B6045" s="953"/>
      <c r="C6045" s="953"/>
      <c r="D6045" s="953"/>
      <c r="E6045" s="953"/>
      <c r="F6045" s="953"/>
      <c r="G6045" s="953"/>
      <c r="H6045" s="953"/>
    </row>
    <row r="6046" spans="1:8" s="943" customFormat="1" x14ac:dyDescent="0.25">
      <c r="A6046" s="952"/>
      <c r="B6046" s="953"/>
      <c r="C6046" s="953"/>
      <c r="D6046" s="953"/>
      <c r="E6046" s="953"/>
      <c r="F6046" s="953"/>
      <c r="G6046" s="953"/>
      <c r="H6046" s="953"/>
    </row>
    <row r="6047" spans="1:8" s="943" customFormat="1" x14ac:dyDescent="0.25">
      <c r="A6047" s="952"/>
      <c r="B6047" s="953"/>
      <c r="C6047" s="953"/>
      <c r="D6047" s="953"/>
      <c r="E6047" s="953"/>
      <c r="F6047" s="953"/>
      <c r="G6047" s="953"/>
      <c r="H6047" s="953"/>
    </row>
    <row r="6048" spans="1:8" s="943" customFormat="1" x14ac:dyDescent="0.25">
      <c r="A6048" s="952"/>
      <c r="B6048" s="953"/>
      <c r="C6048" s="953"/>
      <c r="D6048" s="953"/>
      <c r="E6048" s="953"/>
      <c r="F6048" s="953"/>
      <c r="G6048" s="953"/>
      <c r="H6048" s="953"/>
    </row>
    <row r="6049" spans="1:8" s="943" customFormat="1" x14ac:dyDescent="0.25">
      <c r="A6049" s="952"/>
      <c r="B6049" s="953"/>
      <c r="C6049" s="953"/>
      <c r="D6049" s="953"/>
      <c r="E6049" s="953"/>
      <c r="F6049" s="953"/>
      <c r="G6049" s="953"/>
      <c r="H6049" s="953"/>
    </row>
    <row r="6050" spans="1:8" s="943" customFormat="1" x14ac:dyDescent="0.25">
      <c r="A6050" s="952"/>
      <c r="B6050" s="953"/>
      <c r="C6050" s="953"/>
      <c r="D6050" s="953"/>
      <c r="E6050" s="953"/>
      <c r="F6050" s="953"/>
      <c r="G6050" s="953"/>
      <c r="H6050" s="953"/>
    </row>
    <row r="6051" spans="1:8" s="943" customFormat="1" x14ac:dyDescent="0.25">
      <c r="A6051" s="952"/>
      <c r="B6051" s="953"/>
      <c r="C6051" s="953"/>
      <c r="D6051" s="953"/>
      <c r="E6051" s="953"/>
      <c r="F6051" s="953"/>
      <c r="G6051" s="953"/>
      <c r="H6051" s="953"/>
    </row>
    <row r="6052" spans="1:8" s="943" customFormat="1" x14ac:dyDescent="0.25">
      <c r="A6052" s="952"/>
      <c r="B6052" s="953"/>
      <c r="C6052" s="953"/>
      <c r="D6052" s="953"/>
      <c r="E6052" s="953"/>
      <c r="F6052" s="953"/>
      <c r="G6052" s="953"/>
      <c r="H6052" s="953"/>
    </row>
    <row r="6053" spans="1:8" s="943" customFormat="1" x14ac:dyDescent="0.25">
      <c r="A6053" s="952"/>
      <c r="B6053" s="953"/>
      <c r="C6053" s="953"/>
      <c r="D6053" s="953"/>
      <c r="E6053" s="953"/>
      <c r="F6053" s="953"/>
      <c r="G6053" s="953"/>
      <c r="H6053" s="953"/>
    </row>
    <row r="6054" spans="1:8" s="943" customFormat="1" x14ac:dyDescent="0.25">
      <c r="A6054" s="952"/>
      <c r="B6054" s="953"/>
      <c r="C6054" s="953"/>
      <c r="D6054" s="953"/>
      <c r="E6054" s="953"/>
      <c r="F6054" s="953"/>
      <c r="G6054" s="953"/>
      <c r="H6054" s="953"/>
    </row>
    <row r="6055" spans="1:8" s="943" customFormat="1" x14ac:dyDescent="0.25">
      <c r="A6055" s="952"/>
      <c r="B6055" s="953"/>
      <c r="C6055" s="953"/>
      <c r="D6055" s="953"/>
      <c r="E6055" s="953"/>
      <c r="F6055" s="953"/>
      <c r="G6055" s="953"/>
      <c r="H6055" s="953"/>
    </row>
    <row r="6056" spans="1:8" s="943" customFormat="1" x14ac:dyDescent="0.25">
      <c r="A6056" s="952"/>
      <c r="B6056" s="953"/>
      <c r="C6056" s="953"/>
      <c r="D6056" s="953"/>
      <c r="E6056" s="953"/>
      <c r="F6056" s="953"/>
      <c r="G6056" s="953"/>
      <c r="H6056" s="953"/>
    </row>
    <row r="6057" spans="1:8" s="943" customFormat="1" x14ac:dyDescent="0.25">
      <c r="A6057" s="952"/>
      <c r="B6057" s="953"/>
      <c r="C6057" s="953"/>
      <c r="D6057" s="953"/>
      <c r="E6057" s="953"/>
      <c r="F6057" s="953"/>
      <c r="G6057" s="953"/>
      <c r="H6057" s="953"/>
    </row>
    <row r="6058" spans="1:8" s="943" customFormat="1" x14ac:dyDescent="0.25">
      <c r="A6058" s="952"/>
      <c r="B6058" s="953"/>
      <c r="C6058" s="953"/>
      <c r="D6058" s="953"/>
      <c r="E6058" s="953"/>
      <c r="F6058" s="953"/>
      <c r="G6058" s="953"/>
      <c r="H6058" s="953"/>
    </row>
    <row r="6059" spans="1:8" s="943" customFormat="1" x14ac:dyDescent="0.25">
      <c r="A6059" s="952"/>
      <c r="B6059" s="953"/>
      <c r="C6059" s="953"/>
      <c r="D6059" s="953"/>
      <c r="E6059" s="953"/>
      <c r="F6059" s="953"/>
      <c r="G6059" s="953"/>
      <c r="H6059" s="953"/>
    </row>
    <row r="6060" spans="1:8" s="943" customFormat="1" x14ac:dyDescent="0.25">
      <c r="A6060" s="952"/>
      <c r="B6060" s="953"/>
      <c r="C6060" s="953"/>
      <c r="D6060" s="953"/>
      <c r="E6060" s="953"/>
      <c r="F6060" s="953"/>
      <c r="G6060" s="953"/>
      <c r="H6060" s="953"/>
    </row>
    <row r="6061" spans="1:8" s="943" customFormat="1" x14ac:dyDescent="0.25">
      <c r="A6061" s="952"/>
      <c r="B6061" s="953"/>
      <c r="C6061" s="953"/>
      <c r="D6061" s="953"/>
      <c r="E6061" s="953"/>
      <c r="F6061" s="953"/>
      <c r="G6061" s="953"/>
      <c r="H6061" s="953"/>
    </row>
    <row r="6062" spans="1:8" s="943" customFormat="1" x14ac:dyDescent="0.25">
      <c r="A6062" s="952"/>
      <c r="B6062" s="953"/>
      <c r="C6062" s="953"/>
      <c r="D6062" s="953"/>
      <c r="E6062" s="953"/>
      <c r="F6062" s="953"/>
      <c r="G6062" s="953"/>
      <c r="H6062" s="953"/>
    </row>
    <row r="6063" spans="1:8" s="943" customFormat="1" x14ac:dyDescent="0.25">
      <c r="A6063" s="952"/>
      <c r="B6063" s="953"/>
      <c r="C6063" s="953"/>
      <c r="D6063" s="953"/>
      <c r="E6063" s="953"/>
      <c r="F6063" s="953"/>
      <c r="G6063" s="953"/>
      <c r="H6063" s="953"/>
    </row>
    <row r="6064" spans="1:8" s="943" customFormat="1" x14ac:dyDescent="0.25">
      <c r="A6064" s="952"/>
      <c r="B6064" s="953"/>
      <c r="C6064" s="953"/>
      <c r="D6064" s="953"/>
      <c r="E6064" s="953"/>
      <c r="F6064" s="953"/>
      <c r="G6064" s="953"/>
      <c r="H6064" s="953"/>
    </row>
    <row r="6065" spans="1:8" s="943" customFormat="1" x14ac:dyDescent="0.25">
      <c r="A6065" s="952"/>
      <c r="B6065" s="953"/>
      <c r="C6065" s="953"/>
      <c r="D6065" s="953"/>
      <c r="E6065" s="953"/>
      <c r="F6065" s="953"/>
      <c r="G6065" s="953"/>
      <c r="H6065" s="953"/>
    </row>
    <row r="6066" spans="1:8" s="943" customFormat="1" x14ac:dyDescent="0.25">
      <c r="A6066" s="952"/>
      <c r="B6066" s="953"/>
      <c r="C6066" s="953"/>
      <c r="D6066" s="953"/>
      <c r="E6066" s="953"/>
      <c r="F6066" s="953"/>
      <c r="G6066" s="953"/>
      <c r="H6066" s="953"/>
    </row>
    <row r="6067" spans="1:8" s="943" customFormat="1" x14ac:dyDescent="0.25">
      <c r="A6067" s="952"/>
      <c r="B6067" s="953"/>
      <c r="C6067" s="953"/>
      <c r="D6067" s="953"/>
      <c r="E6067" s="953"/>
      <c r="F6067" s="953"/>
      <c r="G6067" s="953"/>
      <c r="H6067" s="953"/>
    </row>
    <row r="6068" spans="1:8" s="943" customFormat="1" x14ac:dyDescent="0.25">
      <c r="A6068" s="952"/>
      <c r="B6068" s="953"/>
      <c r="C6068" s="953"/>
      <c r="D6068" s="953"/>
      <c r="E6068" s="953"/>
      <c r="F6068" s="953"/>
      <c r="G6068" s="953"/>
      <c r="H6068" s="953"/>
    </row>
    <row r="6069" spans="1:8" s="943" customFormat="1" x14ac:dyDescent="0.25">
      <c r="A6069" s="952"/>
      <c r="B6069" s="953"/>
      <c r="C6069" s="953"/>
      <c r="D6069" s="953"/>
      <c r="E6069" s="953"/>
      <c r="F6069" s="953"/>
      <c r="G6069" s="953"/>
      <c r="H6069" s="953"/>
    </row>
    <row r="6070" spans="1:8" s="943" customFormat="1" x14ac:dyDescent="0.25">
      <c r="A6070" s="952"/>
      <c r="B6070" s="953"/>
      <c r="C6070" s="953"/>
      <c r="D6070" s="953"/>
      <c r="E6070" s="953"/>
      <c r="F6070" s="953"/>
      <c r="G6070" s="953"/>
      <c r="H6070" s="953"/>
    </row>
    <row r="6071" spans="1:8" s="943" customFormat="1" x14ac:dyDescent="0.25">
      <c r="A6071" s="952"/>
      <c r="B6071" s="953"/>
      <c r="C6071" s="953"/>
      <c r="D6071" s="953"/>
      <c r="E6071" s="953"/>
      <c r="F6071" s="953"/>
      <c r="G6071" s="953"/>
      <c r="H6071" s="953"/>
    </row>
    <row r="6072" spans="1:8" s="943" customFormat="1" x14ac:dyDescent="0.25">
      <c r="A6072" s="952"/>
      <c r="B6072" s="953"/>
      <c r="C6072" s="953"/>
      <c r="D6072" s="953"/>
      <c r="E6072" s="953"/>
      <c r="F6072" s="953"/>
      <c r="G6072" s="953"/>
      <c r="H6072" s="953"/>
    </row>
    <row r="6073" spans="1:8" s="943" customFormat="1" x14ac:dyDescent="0.25">
      <c r="A6073" s="952"/>
      <c r="B6073" s="953"/>
      <c r="C6073" s="953"/>
      <c r="D6073" s="953"/>
      <c r="E6073" s="953"/>
      <c r="F6073" s="953"/>
      <c r="G6073" s="953"/>
      <c r="H6073" s="953"/>
    </row>
    <row r="6074" spans="1:8" s="943" customFormat="1" x14ac:dyDescent="0.25">
      <c r="A6074" s="952"/>
      <c r="B6074" s="953"/>
      <c r="C6074" s="953"/>
      <c r="D6074" s="953"/>
      <c r="E6074" s="953"/>
      <c r="F6074" s="953"/>
      <c r="G6074" s="953"/>
      <c r="H6074" s="953"/>
    </row>
    <row r="6075" spans="1:8" s="943" customFormat="1" x14ac:dyDescent="0.25">
      <c r="A6075" s="952"/>
      <c r="B6075" s="953"/>
      <c r="C6075" s="953"/>
      <c r="D6075" s="953"/>
      <c r="E6075" s="953"/>
      <c r="F6075" s="953"/>
      <c r="G6075" s="953"/>
      <c r="H6075" s="953"/>
    </row>
    <row r="6076" spans="1:8" s="943" customFormat="1" x14ac:dyDescent="0.25">
      <c r="A6076" s="952"/>
      <c r="B6076" s="953"/>
      <c r="C6076" s="953"/>
      <c r="D6076" s="953"/>
      <c r="E6076" s="953"/>
      <c r="F6076" s="953"/>
      <c r="G6076" s="953"/>
      <c r="H6076" s="953"/>
    </row>
    <row r="6077" spans="1:8" s="943" customFormat="1" x14ac:dyDescent="0.25">
      <c r="A6077" s="952"/>
      <c r="B6077" s="953"/>
      <c r="C6077" s="953"/>
      <c r="D6077" s="953"/>
      <c r="E6077" s="953"/>
      <c r="F6077" s="953"/>
      <c r="G6077" s="953"/>
      <c r="H6077" s="953"/>
    </row>
    <row r="6078" spans="1:8" s="943" customFormat="1" x14ac:dyDescent="0.25">
      <c r="A6078" s="952"/>
      <c r="B6078" s="953"/>
      <c r="C6078" s="953"/>
      <c r="D6078" s="953"/>
      <c r="E6078" s="953"/>
      <c r="F6078" s="953"/>
      <c r="G6078" s="953"/>
      <c r="H6078" s="953"/>
    </row>
    <row r="6079" spans="1:8" s="943" customFormat="1" x14ac:dyDescent="0.25">
      <c r="A6079" s="952"/>
      <c r="B6079" s="953"/>
      <c r="C6079" s="953"/>
      <c r="D6079" s="953"/>
      <c r="E6079" s="953"/>
      <c r="F6079" s="953"/>
      <c r="G6079" s="953"/>
      <c r="H6079" s="953"/>
    </row>
    <row r="6080" spans="1:8" s="943" customFormat="1" x14ac:dyDescent="0.25">
      <c r="A6080" s="952"/>
      <c r="B6080" s="953"/>
      <c r="C6080" s="953"/>
      <c r="D6080" s="953"/>
      <c r="E6080" s="953"/>
      <c r="F6080" s="953"/>
      <c r="G6080" s="953"/>
      <c r="H6080" s="953"/>
    </row>
    <row r="6081" spans="1:8" s="943" customFormat="1" x14ac:dyDescent="0.25">
      <c r="A6081" s="952"/>
      <c r="B6081" s="953"/>
      <c r="C6081" s="953"/>
      <c r="D6081" s="953"/>
      <c r="E6081" s="953"/>
      <c r="F6081" s="953"/>
      <c r="G6081" s="953"/>
      <c r="H6081" s="953"/>
    </row>
    <row r="6082" spans="1:8" s="943" customFormat="1" x14ac:dyDescent="0.25">
      <c r="A6082" s="952"/>
      <c r="B6082" s="953"/>
      <c r="C6082" s="953"/>
      <c r="D6082" s="953"/>
      <c r="E6082" s="953"/>
      <c r="F6082" s="953"/>
      <c r="G6082" s="953"/>
      <c r="H6082" s="953"/>
    </row>
    <row r="6083" spans="1:8" s="943" customFormat="1" x14ac:dyDescent="0.25">
      <c r="A6083" s="952"/>
      <c r="B6083" s="953"/>
      <c r="C6083" s="953"/>
      <c r="D6083" s="953"/>
      <c r="E6083" s="953"/>
      <c r="F6083" s="953"/>
      <c r="G6083" s="953"/>
      <c r="H6083" s="953"/>
    </row>
    <row r="6084" spans="1:8" s="943" customFormat="1" x14ac:dyDescent="0.25">
      <c r="A6084" s="952"/>
      <c r="B6084" s="953"/>
      <c r="C6084" s="953"/>
      <c r="D6084" s="953"/>
      <c r="E6084" s="953"/>
      <c r="F6084" s="953"/>
      <c r="G6084" s="953"/>
      <c r="H6084" s="953"/>
    </row>
    <row r="6085" spans="1:8" s="943" customFormat="1" x14ac:dyDescent="0.25">
      <c r="A6085" s="952"/>
      <c r="B6085" s="953"/>
      <c r="C6085" s="953"/>
      <c r="D6085" s="953"/>
      <c r="E6085" s="953"/>
      <c r="F6085" s="953"/>
      <c r="G6085" s="953"/>
      <c r="H6085" s="953"/>
    </row>
    <row r="6086" spans="1:8" s="943" customFormat="1" x14ac:dyDescent="0.25">
      <c r="A6086" s="952"/>
      <c r="B6086" s="953"/>
      <c r="C6086" s="953"/>
      <c r="D6086" s="953"/>
      <c r="E6086" s="953"/>
      <c r="F6086" s="953"/>
      <c r="G6086" s="953"/>
      <c r="H6086" s="953"/>
    </row>
    <row r="6087" spans="1:8" s="943" customFormat="1" x14ac:dyDescent="0.25">
      <c r="A6087" s="952"/>
      <c r="B6087" s="953"/>
      <c r="C6087" s="953"/>
      <c r="D6087" s="953"/>
      <c r="E6087" s="953"/>
      <c r="F6087" s="953"/>
      <c r="G6087" s="953"/>
      <c r="H6087" s="953"/>
    </row>
    <row r="6088" spans="1:8" s="943" customFormat="1" x14ac:dyDescent="0.25">
      <c r="A6088" s="952"/>
      <c r="B6088" s="953"/>
      <c r="C6088" s="953"/>
      <c r="D6088" s="953"/>
      <c r="E6088" s="953"/>
      <c r="F6088" s="953"/>
      <c r="G6088" s="953"/>
      <c r="H6088" s="953"/>
    </row>
    <row r="6089" spans="1:8" s="943" customFormat="1" x14ac:dyDescent="0.25">
      <c r="A6089" s="952"/>
      <c r="B6089" s="953"/>
      <c r="C6089" s="953"/>
      <c r="D6089" s="953"/>
      <c r="E6089" s="953"/>
      <c r="F6089" s="953"/>
      <c r="G6089" s="953"/>
      <c r="H6089" s="953"/>
    </row>
    <row r="6090" spans="1:8" s="943" customFormat="1" x14ac:dyDescent="0.25">
      <c r="A6090" s="952"/>
      <c r="B6090" s="953"/>
      <c r="C6090" s="953"/>
      <c r="D6090" s="953"/>
      <c r="E6090" s="953"/>
      <c r="F6090" s="953"/>
      <c r="G6090" s="953"/>
      <c r="H6090" s="953"/>
    </row>
    <row r="6091" spans="1:8" s="943" customFormat="1" x14ac:dyDescent="0.25">
      <c r="A6091" s="952"/>
      <c r="B6091" s="953"/>
      <c r="C6091" s="953"/>
      <c r="D6091" s="953"/>
      <c r="E6091" s="953"/>
      <c r="F6091" s="953"/>
      <c r="G6091" s="953"/>
      <c r="H6091" s="953"/>
    </row>
    <row r="6092" spans="1:8" s="943" customFormat="1" x14ac:dyDescent="0.25">
      <c r="A6092" s="952"/>
      <c r="B6092" s="953"/>
      <c r="C6092" s="953"/>
      <c r="D6092" s="953"/>
      <c r="E6092" s="953"/>
      <c r="F6092" s="953"/>
      <c r="G6092" s="953"/>
      <c r="H6092" s="953"/>
    </row>
    <row r="6093" spans="1:8" s="943" customFormat="1" x14ac:dyDescent="0.25">
      <c r="A6093" s="952"/>
      <c r="B6093" s="953"/>
      <c r="C6093" s="953"/>
      <c r="D6093" s="953"/>
      <c r="E6093" s="953"/>
      <c r="F6093" s="953"/>
      <c r="G6093" s="953"/>
      <c r="H6093" s="953"/>
    </row>
    <row r="6094" spans="1:8" s="943" customFormat="1" x14ac:dyDescent="0.25">
      <c r="A6094" s="952"/>
      <c r="B6094" s="953"/>
      <c r="C6094" s="953"/>
      <c r="D6094" s="953"/>
      <c r="E6094" s="953"/>
      <c r="F6094" s="953"/>
      <c r="G6094" s="953"/>
      <c r="H6094" s="953"/>
    </row>
    <row r="6095" spans="1:8" s="943" customFormat="1" x14ac:dyDescent="0.25">
      <c r="A6095" s="952"/>
      <c r="B6095" s="953"/>
      <c r="C6095" s="953"/>
      <c r="D6095" s="953"/>
      <c r="E6095" s="953"/>
      <c r="F6095" s="953"/>
      <c r="G6095" s="953"/>
      <c r="H6095" s="953"/>
    </row>
    <row r="6096" spans="1:8" s="943" customFormat="1" x14ac:dyDescent="0.25">
      <c r="A6096" s="952"/>
      <c r="B6096" s="953"/>
      <c r="C6096" s="953"/>
      <c r="D6096" s="953"/>
      <c r="E6096" s="953"/>
      <c r="F6096" s="953"/>
      <c r="G6096" s="953"/>
      <c r="H6096" s="953"/>
    </row>
    <row r="6097" spans="1:8" s="943" customFormat="1" x14ac:dyDescent="0.25">
      <c r="A6097" s="952"/>
      <c r="B6097" s="953"/>
      <c r="C6097" s="953"/>
      <c r="D6097" s="953"/>
      <c r="E6097" s="953"/>
      <c r="F6097" s="953"/>
      <c r="G6097" s="953"/>
      <c r="H6097" s="953"/>
    </row>
    <row r="6098" spans="1:8" s="943" customFormat="1" x14ac:dyDescent="0.25">
      <c r="A6098" s="952"/>
      <c r="B6098" s="953"/>
      <c r="C6098" s="953"/>
      <c r="D6098" s="953"/>
      <c r="E6098" s="953"/>
      <c r="F6098" s="953"/>
      <c r="G6098" s="953"/>
      <c r="H6098" s="953"/>
    </row>
    <row r="6099" spans="1:8" s="943" customFormat="1" x14ac:dyDescent="0.25">
      <c r="A6099" s="952"/>
      <c r="B6099" s="953"/>
      <c r="C6099" s="953"/>
      <c r="D6099" s="953"/>
      <c r="E6099" s="953"/>
      <c r="F6099" s="953"/>
      <c r="G6099" s="953"/>
      <c r="H6099" s="953"/>
    </row>
    <row r="6100" spans="1:8" s="943" customFormat="1" x14ac:dyDescent="0.25">
      <c r="A6100" s="952"/>
      <c r="B6100" s="953"/>
      <c r="C6100" s="953"/>
      <c r="D6100" s="953"/>
      <c r="E6100" s="953"/>
      <c r="F6100" s="953"/>
      <c r="G6100" s="953"/>
      <c r="H6100" s="953"/>
    </row>
    <row r="6101" spans="1:8" s="943" customFormat="1" x14ac:dyDescent="0.25">
      <c r="A6101" s="952"/>
      <c r="B6101" s="953"/>
      <c r="C6101" s="953"/>
      <c r="D6101" s="953"/>
      <c r="E6101" s="953"/>
      <c r="F6101" s="953"/>
      <c r="G6101" s="953"/>
      <c r="H6101" s="953"/>
    </row>
    <row r="6102" spans="1:8" s="943" customFormat="1" x14ac:dyDescent="0.25">
      <c r="A6102" s="952"/>
      <c r="B6102" s="953"/>
      <c r="C6102" s="953"/>
      <c r="D6102" s="953"/>
      <c r="E6102" s="953"/>
      <c r="F6102" s="953"/>
      <c r="G6102" s="953"/>
      <c r="H6102" s="953"/>
    </row>
    <row r="6103" spans="1:8" s="943" customFormat="1" x14ac:dyDescent="0.25">
      <c r="A6103" s="952"/>
      <c r="B6103" s="953"/>
      <c r="C6103" s="953"/>
      <c r="D6103" s="953"/>
      <c r="E6103" s="953"/>
      <c r="F6103" s="953"/>
      <c r="G6103" s="953"/>
      <c r="H6103" s="953"/>
    </row>
    <row r="6104" spans="1:8" s="943" customFormat="1" x14ac:dyDescent="0.25">
      <c r="A6104" s="952"/>
      <c r="B6104" s="953"/>
      <c r="C6104" s="953"/>
      <c r="D6104" s="953"/>
      <c r="E6104" s="953"/>
      <c r="F6104" s="953"/>
      <c r="G6104" s="953"/>
      <c r="H6104" s="953"/>
    </row>
    <row r="6105" spans="1:8" s="943" customFormat="1" x14ac:dyDescent="0.25">
      <c r="A6105" s="952"/>
      <c r="B6105" s="953"/>
      <c r="C6105" s="953"/>
      <c r="D6105" s="953"/>
      <c r="E6105" s="953"/>
      <c r="F6105" s="953"/>
      <c r="G6105" s="953"/>
      <c r="H6105" s="953"/>
    </row>
    <row r="6106" spans="1:8" s="943" customFormat="1" x14ac:dyDescent="0.25">
      <c r="A6106" s="952"/>
      <c r="B6106" s="953"/>
      <c r="C6106" s="953"/>
      <c r="D6106" s="953"/>
      <c r="E6106" s="953"/>
      <c r="F6106" s="953"/>
      <c r="G6106" s="953"/>
      <c r="H6106" s="953"/>
    </row>
    <row r="6107" spans="1:8" s="943" customFormat="1" x14ac:dyDescent="0.25">
      <c r="A6107" s="952"/>
      <c r="B6107" s="953"/>
      <c r="C6107" s="953"/>
      <c r="D6107" s="953"/>
      <c r="E6107" s="953"/>
      <c r="F6107" s="953"/>
      <c r="G6107" s="953"/>
      <c r="H6107" s="953"/>
    </row>
    <row r="6108" spans="1:8" s="943" customFormat="1" x14ac:dyDescent="0.25">
      <c r="A6108" s="952"/>
      <c r="B6108" s="953"/>
      <c r="C6108" s="953"/>
      <c r="D6108" s="953"/>
      <c r="E6108" s="953"/>
      <c r="F6108" s="953"/>
      <c r="G6108" s="953"/>
      <c r="H6108" s="953"/>
    </row>
    <row r="6109" spans="1:8" s="943" customFormat="1" x14ac:dyDescent="0.25">
      <c r="A6109" s="952"/>
      <c r="B6109" s="953"/>
      <c r="C6109" s="953"/>
      <c r="D6109" s="953"/>
      <c r="E6109" s="953"/>
      <c r="F6109" s="953"/>
      <c r="G6109" s="953"/>
      <c r="H6109" s="953"/>
    </row>
    <row r="6110" spans="1:8" s="943" customFormat="1" x14ac:dyDescent="0.25">
      <c r="A6110" s="952"/>
      <c r="B6110" s="953"/>
      <c r="C6110" s="953"/>
      <c r="D6110" s="953"/>
      <c r="E6110" s="953"/>
      <c r="F6110" s="953"/>
      <c r="G6110" s="953"/>
      <c r="H6110" s="953"/>
    </row>
    <row r="6111" spans="1:8" s="943" customFormat="1" x14ac:dyDescent="0.25">
      <c r="A6111" s="952"/>
      <c r="B6111" s="953"/>
      <c r="C6111" s="953"/>
      <c r="D6111" s="953"/>
      <c r="E6111" s="953"/>
      <c r="F6111" s="953"/>
      <c r="G6111" s="953"/>
      <c r="H6111" s="953"/>
    </row>
    <row r="6112" spans="1:8" s="943" customFormat="1" x14ac:dyDescent="0.25">
      <c r="A6112" s="952"/>
      <c r="B6112" s="953"/>
      <c r="C6112" s="953"/>
      <c r="D6112" s="953"/>
      <c r="E6112" s="953"/>
      <c r="F6112" s="953"/>
      <c r="G6112" s="953"/>
      <c r="H6112" s="953"/>
    </row>
    <row r="6113" spans="1:8" s="943" customFormat="1" x14ac:dyDescent="0.25">
      <c r="A6113" s="952"/>
      <c r="B6113" s="953"/>
      <c r="C6113" s="953"/>
      <c r="D6113" s="953"/>
      <c r="E6113" s="953"/>
      <c r="F6113" s="953"/>
      <c r="G6113" s="953"/>
      <c r="H6113" s="953"/>
    </row>
    <row r="6114" spans="1:8" s="943" customFormat="1" x14ac:dyDescent="0.25">
      <c r="A6114" s="952"/>
      <c r="B6114" s="953"/>
      <c r="C6114" s="953"/>
      <c r="D6114" s="953"/>
      <c r="E6114" s="953"/>
      <c r="F6114" s="953"/>
      <c r="G6114" s="953"/>
      <c r="H6114" s="953"/>
    </row>
    <row r="6115" spans="1:8" s="943" customFormat="1" x14ac:dyDescent="0.25">
      <c r="A6115" s="952"/>
      <c r="B6115" s="953"/>
      <c r="C6115" s="953"/>
      <c r="D6115" s="953"/>
      <c r="E6115" s="953"/>
      <c r="F6115" s="953"/>
      <c r="G6115" s="953"/>
      <c r="H6115" s="953"/>
    </row>
    <row r="6116" spans="1:8" s="943" customFormat="1" x14ac:dyDescent="0.25">
      <c r="A6116" s="952"/>
      <c r="B6116" s="953"/>
      <c r="C6116" s="953"/>
      <c r="D6116" s="953"/>
      <c r="E6116" s="953"/>
      <c r="F6116" s="953"/>
      <c r="G6116" s="953"/>
      <c r="H6116" s="953"/>
    </row>
    <row r="6117" spans="1:8" s="943" customFormat="1" x14ac:dyDescent="0.25">
      <c r="A6117" s="952"/>
      <c r="B6117" s="953"/>
      <c r="C6117" s="953"/>
      <c r="D6117" s="953"/>
      <c r="E6117" s="953"/>
      <c r="F6117" s="953"/>
      <c r="G6117" s="953"/>
      <c r="H6117" s="953"/>
    </row>
    <row r="6118" spans="1:8" s="943" customFormat="1" x14ac:dyDescent="0.25">
      <c r="A6118" s="952"/>
      <c r="B6118" s="953"/>
      <c r="C6118" s="953"/>
      <c r="D6118" s="953"/>
      <c r="E6118" s="953"/>
      <c r="F6118" s="953"/>
      <c r="G6118" s="953"/>
      <c r="H6118" s="953"/>
    </row>
    <row r="6119" spans="1:8" s="943" customFormat="1" x14ac:dyDescent="0.25">
      <c r="A6119" s="952"/>
      <c r="B6119" s="953"/>
      <c r="C6119" s="953"/>
      <c r="D6119" s="953"/>
      <c r="E6119" s="953"/>
      <c r="F6119" s="953"/>
      <c r="G6119" s="953"/>
      <c r="H6119" s="953"/>
    </row>
    <row r="6120" spans="1:8" s="943" customFormat="1" x14ac:dyDescent="0.25">
      <c r="A6120" s="952"/>
      <c r="B6120" s="953"/>
      <c r="C6120" s="953"/>
      <c r="D6120" s="953"/>
      <c r="E6120" s="953"/>
      <c r="F6120" s="953"/>
      <c r="G6120" s="953"/>
      <c r="H6120" s="953"/>
    </row>
    <row r="6121" spans="1:8" s="943" customFormat="1" x14ac:dyDescent="0.25">
      <c r="A6121" s="952"/>
      <c r="B6121" s="953"/>
      <c r="C6121" s="953"/>
      <c r="D6121" s="953"/>
      <c r="E6121" s="953"/>
      <c r="F6121" s="953"/>
      <c r="G6121" s="953"/>
      <c r="H6121" s="953"/>
    </row>
    <row r="6122" spans="1:8" s="943" customFormat="1" x14ac:dyDescent="0.25">
      <c r="A6122" s="952"/>
      <c r="B6122" s="953"/>
      <c r="C6122" s="953"/>
      <c r="D6122" s="953"/>
      <c r="E6122" s="953"/>
      <c r="F6122" s="953"/>
      <c r="G6122" s="953"/>
      <c r="H6122" s="953"/>
    </row>
    <row r="6123" spans="1:8" s="943" customFormat="1" x14ac:dyDescent="0.25">
      <c r="A6123" s="952"/>
      <c r="B6123" s="953"/>
      <c r="C6123" s="953"/>
      <c r="D6123" s="953"/>
      <c r="E6123" s="953"/>
      <c r="F6123" s="953"/>
      <c r="G6123" s="953"/>
      <c r="H6123" s="953"/>
    </row>
    <row r="6124" spans="1:8" s="943" customFormat="1" x14ac:dyDescent="0.25">
      <c r="A6124" s="952"/>
      <c r="B6124" s="953"/>
      <c r="C6124" s="953"/>
      <c r="D6124" s="953"/>
      <c r="E6124" s="953"/>
      <c r="F6124" s="953"/>
      <c r="G6124" s="953"/>
      <c r="H6124" s="953"/>
    </row>
    <row r="6125" spans="1:8" s="943" customFormat="1" x14ac:dyDescent="0.25">
      <c r="A6125" s="952"/>
      <c r="B6125" s="953"/>
      <c r="C6125" s="953"/>
      <c r="D6125" s="953"/>
      <c r="E6125" s="953"/>
      <c r="F6125" s="953"/>
      <c r="G6125" s="953"/>
      <c r="H6125" s="953"/>
    </row>
    <row r="6126" spans="1:8" s="943" customFormat="1" x14ac:dyDescent="0.25">
      <c r="A6126" s="952"/>
      <c r="B6126" s="953"/>
      <c r="C6126" s="953"/>
      <c r="D6126" s="953"/>
      <c r="E6126" s="953"/>
      <c r="F6126" s="953"/>
      <c r="G6126" s="953"/>
      <c r="H6126" s="953"/>
    </row>
    <row r="6127" spans="1:8" s="943" customFormat="1" x14ac:dyDescent="0.25">
      <c r="A6127" s="952"/>
      <c r="B6127" s="953"/>
      <c r="C6127" s="953"/>
      <c r="D6127" s="953"/>
      <c r="E6127" s="953"/>
      <c r="F6127" s="953"/>
      <c r="G6127" s="953"/>
      <c r="H6127" s="953"/>
    </row>
    <row r="6128" spans="1:8" s="943" customFormat="1" x14ac:dyDescent="0.25">
      <c r="A6128" s="952"/>
      <c r="B6128" s="953"/>
      <c r="C6128" s="953"/>
      <c r="D6128" s="953"/>
      <c r="E6128" s="953"/>
      <c r="F6128" s="953"/>
      <c r="G6128" s="953"/>
      <c r="H6128" s="953"/>
    </row>
    <row r="6129" spans="1:8" s="943" customFormat="1" x14ac:dyDescent="0.25">
      <c r="A6129" s="952"/>
      <c r="B6129" s="953"/>
      <c r="C6129" s="953"/>
      <c r="D6129" s="953"/>
      <c r="E6129" s="953"/>
      <c r="F6129" s="953"/>
      <c r="G6129" s="953"/>
      <c r="H6129" s="953"/>
    </row>
    <row r="6130" spans="1:8" s="943" customFormat="1" x14ac:dyDescent="0.25">
      <c r="A6130" s="952"/>
      <c r="B6130" s="953"/>
      <c r="C6130" s="953"/>
      <c r="D6130" s="953"/>
      <c r="E6130" s="953"/>
      <c r="F6130" s="953"/>
      <c r="G6130" s="953"/>
      <c r="H6130" s="953"/>
    </row>
    <row r="6131" spans="1:8" s="943" customFormat="1" x14ac:dyDescent="0.25">
      <c r="A6131" s="952"/>
      <c r="B6131" s="953"/>
      <c r="C6131" s="953"/>
      <c r="D6131" s="953"/>
      <c r="E6131" s="953"/>
      <c r="F6131" s="953"/>
      <c r="G6131" s="953"/>
      <c r="H6131" s="953"/>
    </row>
    <row r="6132" spans="1:8" s="943" customFormat="1" x14ac:dyDescent="0.25">
      <c r="A6132" s="952"/>
      <c r="B6132" s="953"/>
      <c r="C6132" s="953"/>
      <c r="D6132" s="953"/>
      <c r="E6132" s="953"/>
      <c r="F6132" s="953"/>
      <c r="G6132" s="953"/>
      <c r="H6132" s="953"/>
    </row>
    <row r="6133" spans="1:8" s="943" customFormat="1" x14ac:dyDescent="0.25">
      <c r="A6133" s="952"/>
      <c r="B6133" s="953"/>
      <c r="C6133" s="953"/>
      <c r="D6133" s="953"/>
      <c r="E6133" s="953"/>
      <c r="F6133" s="953"/>
      <c r="G6133" s="953"/>
      <c r="H6133" s="953"/>
    </row>
    <row r="6134" spans="1:8" s="943" customFormat="1" x14ac:dyDescent="0.25">
      <c r="A6134" s="952"/>
      <c r="B6134" s="953"/>
      <c r="C6134" s="953"/>
      <c r="D6134" s="953"/>
      <c r="E6134" s="953"/>
      <c r="F6134" s="953"/>
      <c r="G6134" s="953"/>
      <c r="H6134" s="953"/>
    </row>
    <row r="6135" spans="1:8" s="943" customFormat="1" x14ac:dyDescent="0.25">
      <c r="A6135" s="952"/>
      <c r="B6135" s="953"/>
      <c r="C6135" s="953"/>
      <c r="D6135" s="953"/>
      <c r="E6135" s="953"/>
      <c r="F6135" s="953"/>
      <c r="G6135" s="953"/>
      <c r="H6135" s="953"/>
    </row>
    <row r="6136" spans="1:8" s="943" customFormat="1" x14ac:dyDescent="0.25">
      <c r="A6136" s="952"/>
      <c r="B6136" s="953"/>
      <c r="C6136" s="953"/>
      <c r="D6136" s="953"/>
      <c r="E6136" s="953"/>
      <c r="F6136" s="953"/>
      <c r="G6136" s="953"/>
      <c r="H6136" s="953"/>
    </row>
    <row r="6137" spans="1:8" s="943" customFormat="1" x14ac:dyDescent="0.25">
      <c r="A6137" s="952"/>
      <c r="B6137" s="953"/>
      <c r="C6137" s="953"/>
      <c r="D6137" s="953"/>
      <c r="E6137" s="953"/>
      <c r="F6137" s="953"/>
      <c r="G6137" s="953"/>
      <c r="H6137" s="953"/>
    </row>
    <row r="6138" spans="1:8" s="943" customFormat="1" x14ac:dyDescent="0.25">
      <c r="A6138" s="952"/>
      <c r="B6138" s="953"/>
      <c r="C6138" s="953"/>
      <c r="D6138" s="953"/>
      <c r="E6138" s="953"/>
      <c r="F6138" s="953"/>
      <c r="G6138" s="953"/>
      <c r="H6138" s="953"/>
    </row>
    <row r="6139" spans="1:8" s="943" customFormat="1" x14ac:dyDescent="0.25">
      <c r="A6139" s="952"/>
      <c r="B6139" s="953"/>
      <c r="C6139" s="953"/>
      <c r="D6139" s="953"/>
      <c r="E6139" s="953"/>
      <c r="F6139" s="953"/>
      <c r="G6139" s="953"/>
      <c r="H6139" s="953"/>
    </row>
    <row r="6140" spans="1:8" s="943" customFormat="1" x14ac:dyDescent="0.25">
      <c r="A6140" s="952"/>
      <c r="B6140" s="953"/>
      <c r="C6140" s="953"/>
      <c r="D6140" s="953"/>
      <c r="E6140" s="953"/>
      <c r="F6140" s="953"/>
      <c r="G6140" s="953"/>
      <c r="H6140" s="953"/>
    </row>
    <row r="6141" spans="1:8" s="943" customFormat="1" x14ac:dyDescent="0.25">
      <c r="A6141" s="952"/>
      <c r="B6141" s="953"/>
      <c r="C6141" s="953"/>
      <c r="D6141" s="953"/>
      <c r="E6141" s="953"/>
      <c r="F6141" s="953"/>
      <c r="G6141" s="953"/>
      <c r="H6141" s="953"/>
    </row>
    <row r="6142" spans="1:8" s="943" customFormat="1" x14ac:dyDescent="0.25">
      <c r="A6142" s="952"/>
      <c r="B6142" s="953"/>
      <c r="C6142" s="953"/>
      <c r="D6142" s="953"/>
      <c r="E6142" s="953"/>
      <c r="F6142" s="953"/>
      <c r="G6142" s="953"/>
      <c r="H6142" s="953"/>
    </row>
    <row r="6143" spans="1:8" s="943" customFormat="1" x14ac:dyDescent="0.25">
      <c r="A6143" s="952"/>
      <c r="B6143" s="953"/>
      <c r="C6143" s="953"/>
      <c r="D6143" s="953"/>
      <c r="E6143" s="953"/>
      <c r="F6143" s="953"/>
      <c r="G6143" s="953"/>
      <c r="H6143" s="953"/>
    </row>
    <row r="6144" spans="1:8" s="943" customFormat="1" x14ac:dyDescent="0.25">
      <c r="A6144" s="952"/>
      <c r="B6144" s="953"/>
      <c r="C6144" s="953"/>
      <c r="D6144" s="953"/>
      <c r="E6144" s="953"/>
      <c r="F6144" s="953"/>
      <c r="G6144" s="953"/>
      <c r="H6144" s="953"/>
    </row>
    <row r="6145" spans="1:8" s="943" customFormat="1" x14ac:dyDescent="0.25">
      <c r="A6145" s="952"/>
      <c r="B6145" s="953"/>
      <c r="C6145" s="953"/>
      <c r="D6145" s="953"/>
      <c r="E6145" s="953"/>
      <c r="F6145" s="953"/>
      <c r="G6145" s="953"/>
      <c r="H6145" s="953"/>
    </row>
    <row r="6146" spans="1:8" s="943" customFormat="1" x14ac:dyDescent="0.25">
      <c r="A6146" s="952"/>
      <c r="B6146" s="953"/>
      <c r="C6146" s="953"/>
      <c r="D6146" s="953"/>
      <c r="E6146" s="953"/>
      <c r="F6146" s="953"/>
      <c r="G6146" s="953"/>
      <c r="H6146" s="953"/>
    </row>
    <row r="6147" spans="1:8" s="943" customFormat="1" x14ac:dyDescent="0.25">
      <c r="A6147" s="952"/>
      <c r="B6147" s="953"/>
      <c r="C6147" s="953"/>
      <c r="D6147" s="953"/>
      <c r="E6147" s="953"/>
      <c r="F6147" s="953"/>
      <c r="G6147" s="953"/>
      <c r="H6147" s="953"/>
    </row>
    <row r="6148" spans="1:8" s="943" customFormat="1" x14ac:dyDescent="0.25">
      <c r="A6148" s="952"/>
      <c r="B6148" s="953"/>
      <c r="C6148" s="953"/>
      <c r="D6148" s="953"/>
      <c r="E6148" s="953"/>
      <c r="F6148" s="953"/>
      <c r="G6148" s="953"/>
      <c r="H6148" s="953"/>
    </row>
    <row r="6149" spans="1:8" s="943" customFormat="1" x14ac:dyDescent="0.25">
      <c r="A6149" s="952"/>
      <c r="B6149" s="953"/>
      <c r="C6149" s="953"/>
      <c r="D6149" s="953"/>
      <c r="E6149" s="953"/>
      <c r="F6149" s="953"/>
      <c r="G6149" s="953"/>
      <c r="H6149" s="953"/>
    </row>
    <row r="6150" spans="1:8" s="943" customFormat="1" x14ac:dyDescent="0.25">
      <c r="A6150" s="952"/>
      <c r="B6150" s="953"/>
      <c r="C6150" s="953"/>
      <c r="D6150" s="953"/>
      <c r="E6150" s="953"/>
      <c r="F6150" s="953"/>
      <c r="G6150" s="953"/>
      <c r="H6150" s="953"/>
    </row>
    <row r="6151" spans="1:8" s="943" customFormat="1" x14ac:dyDescent="0.25">
      <c r="A6151" s="952"/>
      <c r="B6151" s="953"/>
      <c r="C6151" s="953"/>
      <c r="D6151" s="953"/>
      <c r="E6151" s="953"/>
      <c r="F6151" s="953"/>
      <c r="G6151" s="953"/>
      <c r="H6151" s="953"/>
    </row>
    <row r="6152" spans="1:8" s="943" customFormat="1" x14ac:dyDescent="0.25">
      <c r="A6152" s="952"/>
      <c r="B6152" s="953"/>
      <c r="C6152" s="953"/>
      <c r="D6152" s="953"/>
      <c r="E6152" s="953"/>
      <c r="F6152" s="953"/>
      <c r="G6152" s="953"/>
      <c r="H6152" s="953"/>
    </row>
    <row r="6153" spans="1:8" s="943" customFormat="1" x14ac:dyDescent="0.25">
      <c r="A6153" s="952"/>
      <c r="B6153" s="953"/>
      <c r="C6153" s="953"/>
      <c r="D6153" s="953"/>
      <c r="E6153" s="953"/>
      <c r="F6153" s="953"/>
      <c r="G6153" s="953"/>
      <c r="H6153" s="953"/>
    </row>
    <row r="6154" spans="1:8" s="943" customFormat="1" x14ac:dyDescent="0.25">
      <c r="A6154" s="952"/>
      <c r="B6154" s="953"/>
      <c r="C6154" s="953"/>
      <c r="D6154" s="953"/>
      <c r="E6154" s="953"/>
      <c r="F6154" s="953"/>
      <c r="G6154" s="953"/>
      <c r="H6154" s="953"/>
    </row>
    <row r="6155" spans="1:8" s="943" customFormat="1" x14ac:dyDescent="0.25">
      <c r="A6155" s="952"/>
      <c r="B6155" s="953"/>
      <c r="C6155" s="953"/>
      <c r="D6155" s="953"/>
      <c r="E6155" s="953"/>
      <c r="F6155" s="953"/>
      <c r="G6155" s="953"/>
      <c r="H6155" s="953"/>
    </row>
    <row r="6156" spans="1:8" s="943" customFormat="1" x14ac:dyDescent="0.25">
      <c r="A6156" s="952"/>
      <c r="B6156" s="953"/>
      <c r="C6156" s="953"/>
      <c r="D6156" s="953"/>
      <c r="E6156" s="953"/>
      <c r="F6156" s="953"/>
      <c r="G6156" s="953"/>
      <c r="H6156" s="953"/>
    </row>
    <row r="6157" spans="1:8" s="943" customFormat="1" x14ac:dyDescent="0.25">
      <c r="A6157" s="952"/>
      <c r="B6157" s="953"/>
      <c r="C6157" s="953"/>
      <c r="D6157" s="953"/>
      <c r="E6157" s="953"/>
      <c r="F6157" s="953"/>
      <c r="G6157" s="953"/>
      <c r="H6157" s="953"/>
    </row>
    <row r="6158" spans="1:8" s="943" customFormat="1" x14ac:dyDescent="0.25">
      <c r="A6158" s="952"/>
      <c r="B6158" s="953"/>
      <c r="C6158" s="953"/>
      <c r="D6158" s="953"/>
      <c r="E6158" s="953"/>
      <c r="F6158" s="953"/>
      <c r="G6158" s="953"/>
      <c r="H6158" s="953"/>
    </row>
    <row r="6159" spans="1:8" s="943" customFormat="1" x14ac:dyDescent="0.25">
      <c r="A6159" s="952"/>
      <c r="B6159" s="953"/>
      <c r="C6159" s="953"/>
      <c r="D6159" s="953"/>
      <c r="E6159" s="953"/>
      <c r="F6159" s="953"/>
      <c r="G6159" s="953"/>
      <c r="H6159" s="953"/>
    </row>
    <row r="6160" spans="1:8" s="943" customFormat="1" x14ac:dyDescent="0.25">
      <c r="A6160" s="952"/>
      <c r="B6160" s="953"/>
      <c r="C6160" s="953"/>
      <c r="D6160" s="953"/>
      <c r="E6160" s="953"/>
      <c r="F6160" s="953"/>
      <c r="G6160" s="953"/>
      <c r="H6160" s="953"/>
    </row>
    <row r="6161" spans="1:8" s="943" customFormat="1" x14ac:dyDescent="0.25">
      <c r="A6161" s="952"/>
      <c r="B6161" s="953"/>
      <c r="C6161" s="953"/>
      <c r="D6161" s="953"/>
      <c r="E6161" s="953"/>
      <c r="F6161" s="953"/>
      <c r="G6161" s="953"/>
      <c r="H6161" s="953"/>
    </row>
    <row r="6162" spans="1:8" s="943" customFormat="1" x14ac:dyDescent="0.25">
      <c r="A6162" s="952"/>
      <c r="B6162" s="953"/>
      <c r="C6162" s="953"/>
      <c r="D6162" s="953"/>
      <c r="E6162" s="953"/>
      <c r="F6162" s="953"/>
      <c r="G6162" s="953"/>
      <c r="H6162" s="953"/>
    </row>
    <row r="6163" spans="1:8" s="943" customFormat="1" x14ac:dyDescent="0.25">
      <c r="A6163" s="952"/>
      <c r="B6163" s="953"/>
      <c r="C6163" s="953"/>
      <c r="D6163" s="953"/>
      <c r="E6163" s="953"/>
      <c r="F6163" s="953"/>
      <c r="G6163" s="953"/>
      <c r="H6163" s="953"/>
    </row>
    <row r="6164" spans="1:8" s="943" customFormat="1" x14ac:dyDescent="0.25">
      <c r="A6164" s="952"/>
      <c r="B6164" s="953"/>
      <c r="C6164" s="953"/>
      <c r="D6164" s="953"/>
      <c r="E6164" s="953"/>
      <c r="F6164" s="953"/>
      <c r="G6164" s="953"/>
      <c r="H6164" s="953"/>
    </row>
    <row r="6165" spans="1:8" s="943" customFormat="1" x14ac:dyDescent="0.25">
      <c r="A6165" s="952"/>
      <c r="B6165" s="953"/>
      <c r="C6165" s="953"/>
      <c r="D6165" s="953"/>
      <c r="E6165" s="953"/>
      <c r="F6165" s="953"/>
      <c r="G6165" s="953"/>
      <c r="H6165" s="953"/>
    </row>
    <row r="6166" spans="1:8" s="943" customFormat="1" x14ac:dyDescent="0.25">
      <c r="A6166" s="952"/>
      <c r="B6166" s="953"/>
      <c r="C6166" s="953"/>
      <c r="D6166" s="953"/>
      <c r="E6166" s="953"/>
      <c r="F6166" s="953"/>
      <c r="G6166" s="953"/>
      <c r="H6166" s="953"/>
    </row>
    <row r="6167" spans="1:8" s="943" customFormat="1" x14ac:dyDescent="0.25">
      <c r="A6167" s="952"/>
      <c r="B6167" s="953"/>
      <c r="C6167" s="953"/>
      <c r="D6167" s="953"/>
      <c r="E6167" s="953"/>
      <c r="F6167" s="953"/>
      <c r="G6167" s="953"/>
      <c r="H6167" s="953"/>
    </row>
    <row r="6168" spans="1:8" s="943" customFormat="1" x14ac:dyDescent="0.25">
      <c r="A6168" s="952"/>
      <c r="B6168" s="953"/>
      <c r="C6168" s="953"/>
      <c r="D6168" s="953"/>
      <c r="E6168" s="953"/>
      <c r="F6168" s="953"/>
      <c r="G6168" s="953"/>
      <c r="H6168" s="953"/>
    </row>
    <row r="6169" spans="1:8" s="943" customFormat="1" x14ac:dyDescent="0.25">
      <c r="A6169" s="952"/>
      <c r="B6169" s="953"/>
      <c r="C6169" s="953"/>
      <c r="D6169" s="953"/>
      <c r="E6169" s="953"/>
      <c r="F6169" s="953"/>
      <c r="G6169" s="953"/>
      <c r="H6169" s="953"/>
    </row>
    <row r="6170" spans="1:8" s="943" customFormat="1" x14ac:dyDescent="0.25">
      <c r="A6170" s="952"/>
      <c r="B6170" s="953"/>
      <c r="C6170" s="953"/>
      <c r="D6170" s="953"/>
      <c r="E6170" s="953"/>
      <c r="F6170" s="953"/>
      <c r="G6170" s="953"/>
      <c r="H6170" s="953"/>
    </row>
    <row r="6171" spans="1:8" s="943" customFormat="1" x14ac:dyDescent="0.25">
      <c r="A6171" s="952"/>
      <c r="B6171" s="953"/>
      <c r="C6171" s="953"/>
      <c r="D6171" s="953"/>
      <c r="E6171" s="953"/>
      <c r="F6171" s="953"/>
      <c r="G6171" s="953"/>
      <c r="H6171" s="953"/>
    </row>
    <row r="6172" spans="1:8" s="943" customFormat="1" x14ac:dyDescent="0.25">
      <c r="A6172" s="952"/>
      <c r="B6172" s="953"/>
      <c r="C6172" s="953"/>
      <c r="D6172" s="953"/>
      <c r="E6172" s="953"/>
      <c r="F6172" s="953"/>
      <c r="G6172" s="953"/>
      <c r="H6172" s="953"/>
    </row>
    <row r="6173" spans="1:8" s="943" customFormat="1" x14ac:dyDescent="0.25">
      <c r="A6173" s="952"/>
      <c r="B6173" s="953"/>
      <c r="C6173" s="953"/>
      <c r="D6173" s="953"/>
      <c r="E6173" s="953"/>
      <c r="F6173" s="953"/>
      <c r="G6173" s="953"/>
      <c r="H6173" s="953"/>
    </row>
    <row r="6174" spans="1:8" s="943" customFormat="1" x14ac:dyDescent="0.25">
      <c r="A6174" s="952"/>
      <c r="B6174" s="953"/>
      <c r="C6174" s="953"/>
      <c r="D6174" s="953"/>
      <c r="E6174" s="953"/>
      <c r="F6174" s="953"/>
      <c r="G6174" s="953"/>
      <c r="H6174" s="953"/>
    </row>
    <row r="6175" spans="1:8" s="943" customFormat="1" x14ac:dyDescent="0.25">
      <c r="A6175" s="952"/>
      <c r="B6175" s="953"/>
      <c r="C6175" s="953"/>
      <c r="D6175" s="953"/>
      <c r="E6175" s="953"/>
      <c r="F6175" s="953"/>
      <c r="G6175" s="953"/>
      <c r="H6175" s="953"/>
    </row>
    <row r="6176" spans="1:8" s="943" customFormat="1" x14ac:dyDescent="0.25">
      <c r="A6176" s="952"/>
      <c r="B6176" s="953"/>
      <c r="C6176" s="953"/>
      <c r="D6176" s="953"/>
      <c r="E6176" s="953"/>
      <c r="F6176" s="953"/>
      <c r="G6176" s="953"/>
      <c r="H6176" s="953"/>
    </row>
    <row r="6177" spans="1:8" s="943" customFormat="1" x14ac:dyDescent="0.25">
      <c r="A6177" s="952"/>
      <c r="B6177" s="953"/>
      <c r="C6177" s="953"/>
      <c r="D6177" s="953"/>
      <c r="E6177" s="953"/>
      <c r="F6177" s="953"/>
      <c r="G6177" s="953"/>
      <c r="H6177" s="953"/>
    </row>
    <row r="6178" spans="1:8" s="943" customFormat="1" x14ac:dyDescent="0.25">
      <c r="A6178" s="952"/>
      <c r="B6178" s="953"/>
      <c r="C6178" s="953"/>
      <c r="D6178" s="953"/>
      <c r="E6178" s="953"/>
      <c r="F6178" s="953"/>
      <c r="G6178" s="953"/>
      <c r="H6178" s="953"/>
    </row>
    <row r="6179" spans="1:8" s="943" customFormat="1" x14ac:dyDescent="0.25">
      <c r="A6179" s="952"/>
      <c r="B6179" s="953"/>
      <c r="C6179" s="953"/>
      <c r="D6179" s="953"/>
      <c r="E6179" s="953"/>
      <c r="F6179" s="953"/>
      <c r="G6179" s="953"/>
      <c r="H6179" s="953"/>
    </row>
    <row r="6180" spans="1:8" s="943" customFormat="1" x14ac:dyDescent="0.25">
      <c r="A6180" s="952"/>
      <c r="B6180" s="953"/>
      <c r="C6180" s="953"/>
      <c r="D6180" s="953"/>
      <c r="E6180" s="953"/>
      <c r="F6180" s="953"/>
      <c r="G6180" s="953"/>
      <c r="H6180" s="953"/>
    </row>
    <row r="6181" spans="1:8" s="943" customFormat="1" x14ac:dyDescent="0.25">
      <c r="A6181" s="952"/>
      <c r="B6181" s="953"/>
      <c r="C6181" s="953"/>
      <c r="D6181" s="953"/>
      <c r="E6181" s="953"/>
      <c r="F6181" s="953"/>
      <c r="G6181" s="953"/>
      <c r="H6181" s="953"/>
    </row>
    <row r="6182" spans="1:8" s="943" customFormat="1" x14ac:dyDescent="0.25">
      <c r="A6182" s="952"/>
      <c r="B6182" s="953"/>
      <c r="C6182" s="953"/>
      <c r="D6182" s="953"/>
      <c r="E6182" s="953"/>
      <c r="F6182" s="953"/>
      <c r="G6182" s="953"/>
      <c r="H6182" s="953"/>
    </row>
    <row r="6183" spans="1:8" s="943" customFormat="1" x14ac:dyDescent="0.25">
      <c r="A6183" s="952"/>
      <c r="B6183" s="953"/>
      <c r="C6183" s="953"/>
      <c r="D6183" s="953"/>
      <c r="E6183" s="953"/>
      <c r="F6183" s="953"/>
      <c r="G6183" s="953"/>
      <c r="H6183" s="953"/>
    </row>
    <row r="6184" spans="1:8" s="943" customFormat="1" x14ac:dyDescent="0.25">
      <c r="A6184" s="952"/>
      <c r="B6184" s="953"/>
      <c r="C6184" s="953"/>
      <c r="D6184" s="953"/>
      <c r="E6184" s="953"/>
      <c r="F6184" s="953"/>
      <c r="G6184" s="953"/>
      <c r="H6184" s="953"/>
    </row>
    <row r="6185" spans="1:8" s="943" customFormat="1" x14ac:dyDescent="0.25">
      <c r="A6185" s="952"/>
      <c r="B6185" s="953"/>
      <c r="C6185" s="953"/>
      <c r="D6185" s="953"/>
      <c r="E6185" s="953"/>
      <c r="F6185" s="953"/>
      <c r="G6185" s="953"/>
      <c r="H6185" s="953"/>
    </row>
    <row r="6186" spans="1:8" s="943" customFormat="1" x14ac:dyDescent="0.25">
      <c r="A6186" s="952"/>
      <c r="B6186" s="953"/>
      <c r="C6186" s="953"/>
      <c r="D6186" s="953"/>
      <c r="E6186" s="953"/>
      <c r="F6186" s="953"/>
      <c r="G6186" s="953"/>
      <c r="H6186" s="953"/>
    </row>
    <row r="6187" spans="1:8" s="943" customFormat="1" x14ac:dyDescent="0.25">
      <c r="A6187" s="952"/>
      <c r="B6187" s="953"/>
      <c r="C6187" s="953"/>
      <c r="D6187" s="953"/>
      <c r="E6187" s="953"/>
      <c r="F6187" s="953"/>
      <c r="G6187" s="953"/>
      <c r="H6187" s="953"/>
    </row>
    <row r="6188" spans="1:8" s="943" customFormat="1" x14ac:dyDescent="0.25">
      <c r="A6188" s="952"/>
      <c r="B6188" s="953"/>
      <c r="C6188" s="953"/>
      <c r="D6188" s="953"/>
      <c r="E6188" s="953"/>
      <c r="F6188" s="953"/>
      <c r="G6188" s="953"/>
      <c r="H6188" s="953"/>
    </row>
    <row r="6189" spans="1:8" s="943" customFormat="1" x14ac:dyDescent="0.25">
      <c r="A6189" s="952"/>
      <c r="B6189" s="953"/>
      <c r="C6189" s="953"/>
      <c r="D6189" s="953"/>
      <c r="E6189" s="953"/>
      <c r="F6189" s="953"/>
      <c r="G6189" s="953"/>
      <c r="H6189" s="953"/>
    </row>
    <row r="6190" spans="1:8" s="943" customFormat="1" x14ac:dyDescent="0.25">
      <c r="A6190" s="952"/>
      <c r="B6190" s="953"/>
      <c r="C6190" s="953"/>
      <c r="D6190" s="953"/>
      <c r="E6190" s="953"/>
      <c r="F6190" s="953"/>
      <c r="G6190" s="953"/>
      <c r="H6190" s="953"/>
    </row>
    <row r="6191" spans="1:8" s="943" customFormat="1" x14ac:dyDescent="0.25">
      <c r="A6191" s="952"/>
      <c r="B6191" s="953"/>
      <c r="C6191" s="953"/>
      <c r="D6191" s="953"/>
      <c r="E6191" s="953"/>
      <c r="F6191" s="953"/>
      <c r="G6191" s="953"/>
      <c r="H6191" s="953"/>
    </row>
    <row r="6192" spans="1:8" s="943" customFormat="1" x14ac:dyDescent="0.25">
      <c r="A6192" s="952"/>
      <c r="B6192" s="953"/>
      <c r="C6192" s="953"/>
      <c r="D6192" s="953"/>
      <c r="E6192" s="953"/>
      <c r="F6192" s="953"/>
      <c r="G6192" s="953"/>
      <c r="H6192" s="953"/>
    </row>
    <row r="6193" spans="1:8" s="943" customFormat="1" x14ac:dyDescent="0.25">
      <c r="A6193" s="952"/>
      <c r="B6193" s="953"/>
      <c r="C6193" s="953"/>
      <c r="D6193" s="953"/>
      <c r="E6193" s="953"/>
      <c r="F6193" s="953"/>
      <c r="G6193" s="953"/>
      <c r="H6193" s="953"/>
    </row>
    <row r="6194" spans="1:8" s="943" customFormat="1" x14ac:dyDescent="0.25">
      <c r="A6194" s="952"/>
      <c r="B6194" s="953"/>
      <c r="C6194" s="953"/>
      <c r="D6194" s="953"/>
      <c r="E6194" s="953"/>
      <c r="F6194" s="953"/>
      <c r="G6194" s="953"/>
      <c r="H6194" s="953"/>
    </row>
    <row r="6195" spans="1:8" s="943" customFormat="1" x14ac:dyDescent="0.25">
      <c r="A6195" s="952"/>
      <c r="B6195" s="953"/>
      <c r="C6195" s="953"/>
      <c r="D6195" s="953"/>
      <c r="E6195" s="953"/>
      <c r="F6195" s="953"/>
      <c r="G6195" s="953"/>
      <c r="H6195" s="953"/>
    </row>
    <row r="6196" spans="1:8" s="943" customFormat="1" x14ac:dyDescent="0.25">
      <c r="A6196" s="952"/>
      <c r="B6196" s="953"/>
      <c r="C6196" s="953"/>
      <c r="D6196" s="953"/>
      <c r="E6196" s="953"/>
      <c r="F6196" s="953"/>
      <c r="G6196" s="953"/>
      <c r="H6196" s="953"/>
    </row>
    <row r="6197" spans="1:8" s="943" customFormat="1" x14ac:dyDescent="0.25">
      <c r="A6197" s="952"/>
      <c r="B6197" s="953"/>
      <c r="C6197" s="953"/>
      <c r="D6197" s="953"/>
      <c r="E6197" s="953"/>
      <c r="F6197" s="953"/>
      <c r="G6197" s="953"/>
      <c r="H6197" s="953"/>
    </row>
    <row r="6198" spans="1:8" s="943" customFormat="1" x14ac:dyDescent="0.25">
      <c r="A6198" s="952"/>
      <c r="B6198" s="953"/>
      <c r="C6198" s="953"/>
      <c r="D6198" s="953"/>
      <c r="E6198" s="953"/>
      <c r="F6198" s="953"/>
      <c r="G6198" s="953"/>
      <c r="H6198" s="953"/>
    </row>
    <row r="6199" spans="1:8" s="943" customFormat="1" x14ac:dyDescent="0.25">
      <c r="A6199" s="952"/>
      <c r="B6199" s="953"/>
      <c r="C6199" s="953"/>
      <c r="D6199" s="953"/>
      <c r="E6199" s="953"/>
      <c r="F6199" s="953"/>
      <c r="G6199" s="953"/>
      <c r="H6199" s="953"/>
    </row>
    <row r="6200" spans="1:8" s="943" customFormat="1" x14ac:dyDescent="0.25">
      <c r="A6200" s="952"/>
      <c r="B6200" s="953"/>
      <c r="C6200" s="953"/>
      <c r="D6200" s="953"/>
      <c r="E6200" s="953"/>
      <c r="F6200" s="953"/>
      <c r="G6200" s="953"/>
      <c r="H6200" s="953"/>
    </row>
    <row r="6201" spans="1:8" s="943" customFormat="1" x14ac:dyDescent="0.25">
      <c r="A6201" s="952"/>
      <c r="B6201" s="953"/>
      <c r="C6201" s="953"/>
      <c r="D6201" s="953"/>
      <c r="E6201" s="953"/>
      <c r="F6201" s="953"/>
      <c r="G6201" s="953"/>
      <c r="H6201" s="953"/>
    </row>
    <row r="6202" spans="1:8" s="943" customFormat="1" x14ac:dyDescent="0.25">
      <c r="A6202" s="952"/>
      <c r="B6202" s="953"/>
      <c r="C6202" s="953"/>
      <c r="D6202" s="953"/>
      <c r="E6202" s="953"/>
      <c r="F6202" s="953"/>
      <c r="G6202" s="953"/>
      <c r="H6202" s="953"/>
    </row>
    <row r="6203" spans="1:8" s="943" customFormat="1" x14ac:dyDescent="0.25">
      <c r="A6203" s="952"/>
      <c r="B6203" s="953"/>
      <c r="C6203" s="953"/>
      <c r="D6203" s="953"/>
      <c r="E6203" s="953"/>
      <c r="F6203" s="953"/>
      <c r="G6203" s="953"/>
      <c r="H6203" s="953"/>
    </row>
    <row r="6204" spans="1:8" s="943" customFormat="1" x14ac:dyDescent="0.25">
      <c r="A6204" s="952"/>
      <c r="B6204" s="953"/>
      <c r="C6204" s="953"/>
      <c r="D6204" s="953"/>
      <c r="E6204" s="953"/>
      <c r="F6204" s="953"/>
      <c r="G6204" s="953"/>
      <c r="H6204" s="953"/>
    </row>
    <row r="6205" spans="1:8" s="943" customFormat="1" x14ac:dyDescent="0.25">
      <c r="A6205" s="952"/>
      <c r="B6205" s="953"/>
      <c r="C6205" s="953"/>
      <c r="D6205" s="953"/>
      <c r="E6205" s="953"/>
      <c r="F6205" s="953"/>
      <c r="G6205" s="953"/>
      <c r="H6205" s="953"/>
    </row>
    <row r="6206" spans="1:8" s="943" customFormat="1" x14ac:dyDescent="0.25">
      <c r="A6206" s="952"/>
      <c r="B6206" s="953"/>
      <c r="C6206" s="953"/>
      <c r="D6206" s="953"/>
      <c r="E6206" s="953"/>
      <c r="F6206" s="953"/>
      <c r="G6206" s="953"/>
      <c r="H6206" s="953"/>
    </row>
    <row r="6207" spans="1:8" s="943" customFormat="1" x14ac:dyDescent="0.25">
      <c r="A6207" s="952"/>
      <c r="B6207" s="953"/>
      <c r="C6207" s="953"/>
      <c r="D6207" s="953"/>
      <c r="E6207" s="953"/>
      <c r="F6207" s="953"/>
      <c r="G6207" s="953"/>
      <c r="H6207" s="953"/>
    </row>
    <row r="6208" spans="1:8" s="943" customFormat="1" x14ac:dyDescent="0.25">
      <c r="A6208" s="952"/>
      <c r="B6208" s="953"/>
      <c r="C6208" s="953"/>
      <c r="D6208" s="953"/>
      <c r="E6208" s="953"/>
      <c r="F6208" s="953"/>
      <c r="G6208" s="953"/>
      <c r="H6208" s="953"/>
    </row>
    <row r="6209" spans="1:8" s="943" customFormat="1" x14ac:dyDescent="0.25">
      <c r="A6209" s="952"/>
      <c r="B6209" s="953"/>
      <c r="C6209" s="953"/>
      <c r="D6209" s="953"/>
      <c r="E6209" s="953"/>
      <c r="F6209" s="953"/>
      <c r="G6209" s="953"/>
      <c r="H6209" s="953"/>
    </row>
    <row r="6210" spans="1:8" s="943" customFormat="1" x14ac:dyDescent="0.25">
      <c r="A6210" s="952"/>
      <c r="B6210" s="953"/>
      <c r="C6210" s="953"/>
      <c r="D6210" s="953"/>
      <c r="E6210" s="953"/>
      <c r="F6210" s="953"/>
      <c r="G6210" s="953"/>
      <c r="H6210" s="953"/>
    </row>
    <row r="6211" spans="1:8" s="943" customFormat="1" x14ac:dyDescent="0.25">
      <c r="A6211" s="952"/>
      <c r="B6211" s="953"/>
      <c r="C6211" s="953"/>
      <c r="D6211" s="953"/>
      <c r="E6211" s="953"/>
      <c r="F6211" s="953"/>
      <c r="G6211" s="953"/>
      <c r="H6211" s="953"/>
    </row>
    <row r="6212" spans="1:8" s="943" customFormat="1" x14ac:dyDescent="0.25">
      <c r="A6212" s="952"/>
      <c r="B6212" s="953"/>
      <c r="C6212" s="953"/>
      <c r="D6212" s="953"/>
      <c r="E6212" s="953"/>
      <c r="F6212" s="953"/>
      <c r="G6212" s="953"/>
      <c r="H6212" s="953"/>
    </row>
    <row r="6213" spans="1:8" s="943" customFormat="1" x14ac:dyDescent="0.25">
      <c r="A6213" s="952"/>
      <c r="B6213" s="953"/>
      <c r="C6213" s="953"/>
      <c r="D6213" s="953"/>
      <c r="E6213" s="953"/>
      <c r="F6213" s="953"/>
      <c r="G6213" s="953"/>
      <c r="H6213" s="953"/>
    </row>
    <row r="6214" spans="1:8" s="943" customFormat="1" x14ac:dyDescent="0.25">
      <c r="A6214" s="952"/>
      <c r="B6214" s="953"/>
      <c r="C6214" s="953"/>
      <c r="D6214" s="953"/>
      <c r="E6214" s="953"/>
      <c r="F6214" s="953"/>
      <c r="G6214" s="953"/>
      <c r="H6214" s="953"/>
    </row>
    <row r="6215" spans="1:8" s="943" customFormat="1" x14ac:dyDescent="0.25">
      <c r="A6215" s="952"/>
      <c r="B6215" s="953"/>
      <c r="C6215" s="953"/>
      <c r="D6215" s="953"/>
      <c r="E6215" s="953"/>
      <c r="F6215" s="953"/>
      <c r="G6215" s="953"/>
      <c r="H6215" s="953"/>
    </row>
    <row r="6216" spans="1:8" s="943" customFormat="1" x14ac:dyDescent="0.25">
      <c r="A6216" s="952"/>
      <c r="B6216" s="953"/>
      <c r="C6216" s="953"/>
      <c r="D6216" s="953"/>
      <c r="E6216" s="953"/>
      <c r="F6216" s="953"/>
      <c r="G6216" s="953"/>
      <c r="H6216" s="953"/>
    </row>
    <row r="6217" spans="1:8" s="943" customFormat="1" x14ac:dyDescent="0.25">
      <c r="A6217" s="952"/>
      <c r="B6217" s="953"/>
      <c r="C6217" s="953"/>
      <c r="D6217" s="953"/>
      <c r="E6217" s="953"/>
      <c r="F6217" s="953"/>
      <c r="G6217" s="953"/>
      <c r="H6217" s="953"/>
    </row>
    <row r="6218" spans="1:8" s="943" customFormat="1" x14ac:dyDescent="0.25">
      <c r="A6218" s="952"/>
      <c r="B6218" s="953"/>
      <c r="C6218" s="953"/>
      <c r="D6218" s="953"/>
      <c r="E6218" s="953"/>
      <c r="F6218" s="953"/>
      <c r="G6218" s="953"/>
      <c r="H6218" s="953"/>
    </row>
    <row r="6219" spans="1:8" s="943" customFormat="1" x14ac:dyDescent="0.25">
      <c r="A6219" s="952"/>
      <c r="B6219" s="953"/>
      <c r="C6219" s="953"/>
      <c r="D6219" s="953"/>
      <c r="E6219" s="953"/>
      <c r="F6219" s="953"/>
      <c r="G6219" s="953"/>
      <c r="H6219" s="953"/>
    </row>
    <row r="6220" spans="1:8" s="943" customFormat="1" x14ac:dyDescent="0.25">
      <c r="A6220" s="952"/>
      <c r="B6220" s="953"/>
      <c r="C6220" s="953"/>
      <c r="D6220" s="953"/>
      <c r="E6220" s="953"/>
      <c r="F6220" s="953"/>
      <c r="G6220" s="953"/>
      <c r="H6220" s="953"/>
    </row>
    <row r="6221" spans="1:8" s="943" customFormat="1" x14ac:dyDescent="0.25">
      <c r="A6221" s="952"/>
      <c r="B6221" s="953"/>
      <c r="C6221" s="953"/>
      <c r="D6221" s="953"/>
      <c r="E6221" s="953"/>
      <c r="F6221" s="953"/>
      <c r="G6221" s="953"/>
      <c r="H6221" s="953"/>
    </row>
    <row r="6222" spans="1:8" s="943" customFormat="1" x14ac:dyDescent="0.25">
      <c r="A6222" s="952"/>
      <c r="B6222" s="953"/>
      <c r="C6222" s="953"/>
      <c r="D6222" s="953"/>
      <c r="E6222" s="953"/>
      <c r="F6222" s="953"/>
      <c r="G6222" s="953"/>
      <c r="H6222" s="953"/>
    </row>
    <row r="6223" spans="1:8" s="943" customFormat="1" x14ac:dyDescent="0.25">
      <c r="A6223" s="952"/>
      <c r="B6223" s="953"/>
      <c r="C6223" s="953"/>
      <c r="D6223" s="953"/>
      <c r="E6223" s="953"/>
      <c r="F6223" s="953"/>
      <c r="G6223" s="953"/>
      <c r="H6223" s="953"/>
    </row>
    <row r="6224" spans="1:8" s="943" customFormat="1" x14ac:dyDescent="0.25">
      <c r="A6224" s="952"/>
      <c r="B6224" s="953"/>
      <c r="C6224" s="953"/>
      <c r="D6224" s="953"/>
      <c r="E6224" s="953"/>
      <c r="F6224" s="953"/>
      <c r="G6224" s="953"/>
      <c r="H6224" s="953"/>
    </row>
    <row r="6225" spans="1:8" s="943" customFormat="1" x14ac:dyDescent="0.25">
      <c r="A6225" s="952"/>
      <c r="B6225" s="953"/>
      <c r="C6225" s="953"/>
      <c r="D6225" s="953"/>
      <c r="E6225" s="953"/>
      <c r="F6225" s="953"/>
      <c r="G6225" s="953"/>
      <c r="H6225" s="953"/>
    </row>
    <row r="6226" spans="1:8" s="943" customFormat="1" x14ac:dyDescent="0.25">
      <c r="A6226" s="952"/>
      <c r="B6226" s="953"/>
      <c r="C6226" s="953"/>
      <c r="D6226" s="953"/>
      <c r="E6226" s="953"/>
      <c r="F6226" s="953"/>
      <c r="G6226" s="953"/>
      <c r="H6226" s="953"/>
    </row>
    <row r="6227" spans="1:8" s="943" customFormat="1" x14ac:dyDescent="0.25">
      <c r="A6227" s="952"/>
      <c r="B6227" s="953"/>
      <c r="C6227" s="953"/>
      <c r="D6227" s="953"/>
      <c r="E6227" s="953"/>
      <c r="F6227" s="953"/>
      <c r="G6227" s="953"/>
      <c r="H6227" s="953"/>
    </row>
    <row r="6228" spans="1:8" s="943" customFormat="1" x14ac:dyDescent="0.25">
      <c r="A6228" s="952"/>
      <c r="B6228" s="953"/>
      <c r="C6228" s="953"/>
      <c r="D6228" s="953"/>
      <c r="E6228" s="953"/>
      <c r="F6228" s="953"/>
      <c r="G6228" s="953"/>
      <c r="H6228" s="953"/>
    </row>
    <row r="6229" spans="1:8" s="943" customFormat="1" x14ac:dyDescent="0.25">
      <c r="A6229" s="952"/>
      <c r="B6229" s="953"/>
      <c r="C6229" s="953"/>
      <c r="D6229" s="953"/>
      <c r="E6229" s="953"/>
      <c r="F6229" s="953"/>
      <c r="G6229" s="953"/>
      <c r="H6229" s="953"/>
    </row>
    <row r="6230" spans="1:8" s="943" customFormat="1" x14ac:dyDescent="0.25">
      <c r="A6230" s="952"/>
      <c r="B6230" s="953"/>
      <c r="C6230" s="953"/>
      <c r="D6230" s="953"/>
      <c r="E6230" s="953"/>
      <c r="F6230" s="953"/>
      <c r="G6230" s="953"/>
      <c r="H6230" s="953"/>
    </row>
    <row r="6231" spans="1:8" s="943" customFormat="1" x14ac:dyDescent="0.25">
      <c r="A6231" s="952"/>
      <c r="B6231" s="953"/>
      <c r="C6231" s="953"/>
      <c r="D6231" s="953"/>
      <c r="E6231" s="953"/>
      <c r="F6231" s="953"/>
      <c r="G6231" s="953"/>
      <c r="H6231" s="953"/>
    </row>
    <row r="6232" spans="1:8" s="943" customFormat="1" x14ac:dyDescent="0.25">
      <c r="A6232" s="952"/>
      <c r="B6232" s="953"/>
      <c r="C6232" s="953"/>
      <c r="D6232" s="953"/>
      <c r="E6232" s="953"/>
      <c r="F6232" s="953"/>
      <c r="G6232" s="953"/>
      <c r="H6232" s="953"/>
    </row>
    <row r="6233" spans="1:8" s="943" customFormat="1" x14ac:dyDescent="0.25">
      <c r="A6233" s="952"/>
      <c r="B6233" s="953"/>
      <c r="C6233" s="953"/>
      <c r="D6233" s="953"/>
      <c r="E6233" s="953"/>
      <c r="F6233" s="953"/>
      <c r="G6233" s="953"/>
      <c r="H6233" s="953"/>
    </row>
    <row r="6234" spans="1:8" s="943" customFormat="1" x14ac:dyDescent="0.25">
      <c r="A6234" s="952"/>
      <c r="B6234" s="953"/>
      <c r="C6234" s="953"/>
      <c r="D6234" s="953"/>
      <c r="E6234" s="953"/>
      <c r="F6234" s="953"/>
      <c r="G6234" s="953"/>
      <c r="H6234" s="953"/>
    </row>
    <row r="6235" spans="1:8" s="943" customFormat="1" x14ac:dyDescent="0.25">
      <c r="A6235" s="952"/>
      <c r="B6235" s="953"/>
      <c r="C6235" s="953"/>
      <c r="D6235" s="953"/>
      <c r="E6235" s="953"/>
      <c r="F6235" s="953"/>
      <c r="G6235" s="953"/>
      <c r="H6235" s="953"/>
    </row>
    <row r="6236" spans="1:8" s="943" customFormat="1" x14ac:dyDescent="0.25">
      <c r="A6236" s="952"/>
      <c r="B6236" s="953"/>
      <c r="C6236" s="953"/>
      <c r="D6236" s="953"/>
      <c r="E6236" s="953"/>
      <c r="F6236" s="953"/>
      <c r="G6236" s="953"/>
      <c r="H6236" s="953"/>
    </row>
    <row r="6237" spans="1:8" s="943" customFormat="1" x14ac:dyDescent="0.25">
      <c r="A6237" s="952"/>
      <c r="B6237" s="953"/>
      <c r="C6237" s="953"/>
      <c r="D6237" s="953"/>
      <c r="E6237" s="953"/>
      <c r="F6237" s="953"/>
      <c r="G6237" s="953"/>
      <c r="H6237" s="953"/>
    </row>
    <row r="6238" spans="1:8" s="943" customFormat="1" x14ac:dyDescent="0.25">
      <c r="A6238" s="952"/>
      <c r="B6238" s="953"/>
      <c r="C6238" s="953"/>
      <c r="D6238" s="953"/>
      <c r="E6238" s="953"/>
      <c r="F6238" s="953"/>
      <c r="G6238" s="953"/>
      <c r="H6238" s="953"/>
    </row>
    <row r="6239" spans="1:8" s="943" customFormat="1" x14ac:dyDescent="0.25">
      <c r="A6239" s="952"/>
      <c r="B6239" s="953"/>
      <c r="C6239" s="953"/>
      <c r="D6239" s="953"/>
      <c r="E6239" s="953"/>
      <c r="F6239" s="953"/>
      <c r="G6239" s="953"/>
      <c r="H6239" s="953"/>
    </row>
    <row r="6240" spans="1:8" s="943" customFormat="1" x14ac:dyDescent="0.25">
      <c r="A6240" s="952"/>
      <c r="B6240" s="953"/>
      <c r="C6240" s="953"/>
      <c r="D6240" s="953"/>
      <c r="E6240" s="953"/>
      <c r="F6240" s="953"/>
      <c r="G6240" s="953"/>
      <c r="H6240" s="953"/>
    </row>
    <row r="6241" spans="1:8" s="943" customFormat="1" x14ac:dyDescent="0.25">
      <c r="A6241" s="952"/>
      <c r="B6241" s="953"/>
      <c r="C6241" s="953"/>
      <c r="D6241" s="953"/>
      <c r="E6241" s="953"/>
      <c r="F6241" s="953"/>
      <c r="G6241" s="953"/>
      <c r="H6241" s="953"/>
    </row>
    <row r="6242" spans="1:8" s="943" customFormat="1" x14ac:dyDescent="0.25">
      <c r="A6242" s="952"/>
      <c r="B6242" s="953"/>
      <c r="C6242" s="953"/>
      <c r="D6242" s="953"/>
      <c r="E6242" s="953"/>
      <c r="F6242" s="953"/>
      <c r="G6242" s="953"/>
      <c r="H6242" s="953"/>
    </row>
    <row r="6243" spans="1:8" s="943" customFormat="1" x14ac:dyDescent="0.25">
      <c r="A6243" s="952"/>
      <c r="B6243" s="953"/>
      <c r="C6243" s="953"/>
      <c r="D6243" s="953"/>
      <c r="E6243" s="953"/>
      <c r="F6243" s="953"/>
      <c r="G6243" s="953"/>
      <c r="H6243" s="953"/>
    </row>
    <row r="6244" spans="1:8" s="943" customFormat="1" x14ac:dyDescent="0.25">
      <c r="A6244" s="952"/>
      <c r="B6244" s="953"/>
      <c r="C6244" s="953"/>
      <c r="D6244" s="953"/>
      <c r="E6244" s="953"/>
      <c r="F6244" s="953"/>
      <c r="G6244" s="953"/>
      <c r="H6244" s="953"/>
    </row>
    <row r="6245" spans="1:8" s="943" customFormat="1" x14ac:dyDescent="0.25">
      <c r="A6245" s="952"/>
      <c r="B6245" s="953"/>
      <c r="C6245" s="953"/>
      <c r="D6245" s="953"/>
      <c r="E6245" s="953"/>
      <c r="F6245" s="953"/>
      <c r="G6245" s="953"/>
      <c r="H6245" s="953"/>
    </row>
    <row r="6246" spans="1:8" s="943" customFormat="1" x14ac:dyDescent="0.25">
      <c r="A6246" s="952"/>
      <c r="B6246" s="953"/>
      <c r="C6246" s="953"/>
      <c r="D6246" s="953"/>
      <c r="E6246" s="953"/>
      <c r="F6246" s="953"/>
      <c r="G6246" s="953"/>
      <c r="H6246" s="953"/>
    </row>
    <row r="6247" spans="1:8" s="943" customFormat="1" x14ac:dyDescent="0.25">
      <c r="A6247" s="952"/>
      <c r="B6247" s="953"/>
      <c r="C6247" s="953"/>
      <c r="D6247" s="953"/>
      <c r="E6247" s="953"/>
      <c r="F6247" s="953"/>
      <c r="G6247" s="953"/>
      <c r="H6247" s="953"/>
    </row>
    <row r="6248" spans="1:8" s="943" customFormat="1" x14ac:dyDescent="0.25">
      <c r="A6248" s="952"/>
      <c r="B6248" s="953"/>
      <c r="C6248" s="953"/>
      <c r="D6248" s="953"/>
      <c r="E6248" s="953"/>
      <c r="F6248" s="953"/>
      <c r="G6248" s="953"/>
      <c r="H6248" s="953"/>
    </row>
    <row r="6249" spans="1:8" s="943" customFormat="1" x14ac:dyDescent="0.25">
      <c r="A6249" s="952"/>
      <c r="B6249" s="953"/>
      <c r="C6249" s="953"/>
      <c r="D6249" s="953"/>
      <c r="E6249" s="953"/>
      <c r="F6249" s="953"/>
      <c r="G6249" s="953"/>
      <c r="H6249" s="953"/>
    </row>
    <row r="6250" spans="1:8" s="943" customFormat="1" x14ac:dyDescent="0.25">
      <c r="A6250" s="952"/>
      <c r="B6250" s="953"/>
      <c r="C6250" s="953"/>
      <c r="D6250" s="953"/>
      <c r="E6250" s="953"/>
      <c r="F6250" s="953"/>
      <c r="G6250" s="953"/>
      <c r="H6250" s="953"/>
    </row>
    <row r="6251" spans="1:8" s="943" customFormat="1" x14ac:dyDescent="0.25">
      <c r="A6251" s="952"/>
      <c r="B6251" s="953"/>
      <c r="C6251" s="953"/>
      <c r="D6251" s="953"/>
      <c r="E6251" s="953"/>
      <c r="F6251" s="953"/>
      <c r="G6251" s="953"/>
      <c r="H6251" s="953"/>
    </row>
    <row r="6252" spans="1:8" s="943" customFormat="1" x14ac:dyDescent="0.25">
      <c r="A6252" s="952"/>
      <c r="B6252" s="953"/>
      <c r="C6252" s="953"/>
      <c r="D6252" s="953"/>
      <c r="E6252" s="953"/>
      <c r="F6252" s="953"/>
      <c r="G6252" s="953"/>
      <c r="H6252" s="953"/>
    </row>
    <row r="6253" spans="1:8" s="943" customFormat="1" x14ac:dyDescent="0.25">
      <c r="A6253" s="952"/>
      <c r="B6253" s="953"/>
      <c r="C6253" s="953"/>
      <c r="D6253" s="953"/>
      <c r="E6253" s="953"/>
      <c r="F6253" s="953"/>
      <c r="G6253" s="953"/>
      <c r="H6253" s="953"/>
    </row>
    <row r="6254" spans="1:8" s="943" customFormat="1" x14ac:dyDescent="0.25">
      <c r="A6254" s="952"/>
      <c r="B6254" s="953"/>
      <c r="C6254" s="953"/>
      <c r="D6254" s="953"/>
      <c r="E6254" s="953"/>
      <c r="F6254" s="953"/>
      <c r="G6254" s="953"/>
      <c r="H6254" s="953"/>
    </row>
    <row r="6255" spans="1:8" s="943" customFormat="1" x14ac:dyDescent="0.25">
      <c r="A6255" s="952"/>
      <c r="B6255" s="953"/>
      <c r="C6255" s="953"/>
      <c r="D6255" s="953"/>
      <c r="E6255" s="953"/>
      <c r="F6255" s="953"/>
      <c r="G6255" s="953"/>
      <c r="H6255" s="953"/>
    </row>
    <row r="6256" spans="1:8" s="943" customFormat="1" x14ac:dyDescent="0.25">
      <c r="A6256" s="952"/>
      <c r="B6256" s="953"/>
      <c r="C6256" s="953"/>
      <c r="D6256" s="953"/>
      <c r="E6256" s="953"/>
      <c r="F6256" s="953"/>
      <c r="G6256" s="953"/>
      <c r="H6256" s="953"/>
    </row>
    <row r="6257" spans="1:8" s="943" customFormat="1" x14ac:dyDescent="0.25">
      <c r="A6257" s="952"/>
      <c r="B6257" s="953"/>
      <c r="C6257" s="953"/>
      <c r="D6257" s="953"/>
      <c r="E6257" s="953"/>
      <c r="F6257" s="953"/>
      <c r="G6257" s="953"/>
      <c r="H6257" s="953"/>
    </row>
    <row r="6258" spans="1:8" s="943" customFormat="1" x14ac:dyDescent="0.25">
      <c r="A6258" s="952"/>
      <c r="B6258" s="953"/>
      <c r="C6258" s="953"/>
      <c r="D6258" s="953"/>
      <c r="E6258" s="953"/>
      <c r="F6258" s="953"/>
      <c r="G6258" s="953"/>
      <c r="H6258" s="953"/>
    </row>
    <row r="6259" spans="1:8" s="943" customFormat="1" x14ac:dyDescent="0.25">
      <c r="A6259" s="952"/>
      <c r="B6259" s="953"/>
      <c r="C6259" s="953"/>
      <c r="D6259" s="953"/>
      <c r="E6259" s="953"/>
      <c r="F6259" s="953"/>
      <c r="G6259" s="953"/>
      <c r="H6259" s="953"/>
    </row>
    <row r="6260" spans="1:8" s="943" customFormat="1" x14ac:dyDescent="0.25">
      <c r="A6260" s="952"/>
      <c r="B6260" s="953"/>
      <c r="C6260" s="953"/>
      <c r="D6260" s="953"/>
      <c r="E6260" s="953"/>
      <c r="F6260" s="953"/>
      <c r="G6260" s="953"/>
      <c r="H6260" s="953"/>
    </row>
    <row r="6261" spans="1:8" s="943" customFormat="1" x14ac:dyDescent="0.25">
      <c r="A6261" s="952"/>
      <c r="B6261" s="953"/>
      <c r="C6261" s="953"/>
      <c r="D6261" s="953"/>
      <c r="E6261" s="953"/>
      <c r="F6261" s="953"/>
      <c r="G6261" s="953"/>
      <c r="H6261" s="953"/>
    </row>
    <row r="6262" spans="1:8" s="943" customFormat="1" x14ac:dyDescent="0.25">
      <c r="A6262" s="952"/>
      <c r="B6262" s="953"/>
      <c r="C6262" s="953"/>
      <c r="D6262" s="953"/>
      <c r="E6262" s="953"/>
      <c r="F6262" s="953"/>
      <c r="G6262" s="953"/>
      <c r="H6262" s="953"/>
    </row>
    <row r="6263" spans="1:8" s="943" customFormat="1" x14ac:dyDescent="0.25">
      <c r="A6263" s="952"/>
      <c r="B6263" s="953"/>
      <c r="C6263" s="953"/>
      <c r="D6263" s="953"/>
      <c r="E6263" s="953"/>
      <c r="F6263" s="953"/>
      <c r="G6263" s="953"/>
      <c r="H6263" s="953"/>
    </row>
    <row r="6264" spans="1:8" s="943" customFormat="1" x14ac:dyDescent="0.25">
      <c r="A6264" s="952"/>
      <c r="B6264" s="953"/>
      <c r="C6264" s="953"/>
      <c r="D6264" s="953"/>
      <c r="E6264" s="953"/>
      <c r="F6264" s="953"/>
      <c r="G6264" s="953"/>
      <c r="H6264" s="953"/>
    </row>
    <row r="6265" spans="1:8" s="943" customFormat="1" x14ac:dyDescent="0.25">
      <c r="A6265" s="952"/>
      <c r="B6265" s="953"/>
      <c r="C6265" s="953"/>
      <c r="D6265" s="953"/>
      <c r="E6265" s="953"/>
      <c r="F6265" s="953"/>
      <c r="G6265" s="953"/>
      <c r="H6265" s="953"/>
    </row>
    <row r="6266" spans="1:8" s="943" customFormat="1" x14ac:dyDescent="0.25">
      <c r="A6266" s="952"/>
      <c r="B6266" s="953"/>
      <c r="C6266" s="953"/>
      <c r="D6266" s="953"/>
      <c r="E6266" s="953"/>
      <c r="F6266" s="953"/>
      <c r="G6266" s="953"/>
      <c r="H6266" s="953"/>
    </row>
    <row r="6267" spans="1:8" s="943" customFormat="1" x14ac:dyDescent="0.25">
      <c r="A6267" s="952"/>
      <c r="B6267" s="953"/>
      <c r="C6267" s="953"/>
      <c r="D6267" s="953"/>
      <c r="E6267" s="953"/>
      <c r="F6267" s="953"/>
      <c r="G6267" s="953"/>
      <c r="H6267" s="953"/>
    </row>
    <row r="6268" spans="1:8" s="943" customFormat="1" x14ac:dyDescent="0.25">
      <c r="A6268" s="952"/>
      <c r="B6268" s="953"/>
      <c r="C6268" s="953"/>
      <c r="D6268" s="953"/>
      <c r="E6268" s="953"/>
      <c r="F6268" s="953"/>
      <c r="G6268" s="953"/>
      <c r="H6268" s="953"/>
    </row>
    <row r="6269" spans="1:8" s="943" customFormat="1" x14ac:dyDescent="0.25">
      <c r="A6269" s="952"/>
      <c r="B6269" s="953"/>
      <c r="C6269" s="953"/>
      <c r="D6269" s="953"/>
      <c r="E6269" s="953"/>
      <c r="F6269" s="953"/>
      <c r="G6269" s="953"/>
      <c r="H6269" s="953"/>
    </row>
    <row r="6270" spans="1:8" s="943" customFormat="1" x14ac:dyDescent="0.25">
      <c r="A6270" s="952"/>
      <c r="B6270" s="953"/>
      <c r="C6270" s="953"/>
      <c r="D6270" s="953"/>
      <c r="E6270" s="953"/>
      <c r="F6270" s="953"/>
      <c r="G6270" s="953"/>
      <c r="H6270" s="953"/>
    </row>
    <row r="6271" spans="1:8" s="943" customFormat="1" x14ac:dyDescent="0.25">
      <c r="A6271" s="952"/>
      <c r="B6271" s="953"/>
      <c r="C6271" s="953"/>
      <c r="D6271" s="953"/>
      <c r="E6271" s="953"/>
      <c r="F6271" s="953"/>
      <c r="G6271" s="953"/>
      <c r="H6271" s="953"/>
    </row>
    <row r="6272" spans="1:8" s="943" customFormat="1" x14ac:dyDescent="0.25">
      <c r="A6272" s="952"/>
      <c r="B6272" s="953"/>
      <c r="C6272" s="953"/>
      <c r="D6272" s="953"/>
      <c r="E6272" s="953"/>
      <c r="F6272" s="953"/>
      <c r="G6272" s="953"/>
      <c r="H6272" s="953"/>
    </row>
    <row r="6273" spans="1:8" s="943" customFormat="1" x14ac:dyDescent="0.25">
      <c r="A6273" s="952"/>
      <c r="B6273" s="953"/>
      <c r="C6273" s="953"/>
      <c r="D6273" s="953"/>
      <c r="E6273" s="953"/>
      <c r="F6273" s="953"/>
      <c r="G6273" s="953"/>
      <c r="H6273" s="953"/>
    </row>
    <row r="6274" spans="1:8" s="943" customFormat="1" x14ac:dyDescent="0.25">
      <c r="A6274" s="952"/>
      <c r="B6274" s="953"/>
      <c r="C6274" s="953"/>
      <c r="D6274" s="953"/>
      <c r="E6274" s="953"/>
      <c r="F6274" s="953"/>
      <c r="G6274" s="953"/>
      <c r="H6274" s="953"/>
    </row>
    <row r="6275" spans="1:8" s="943" customFormat="1" x14ac:dyDescent="0.25">
      <c r="A6275" s="952"/>
      <c r="B6275" s="953"/>
      <c r="C6275" s="953"/>
      <c r="D6275" s="953"/>
      <c r="E6275" s="953"/>
      <c r="F6275" s="953"/>
      <c r="G6275" s="953"/>
      <c r="H6275" s="953"/>
    </row>
    <row r="6276" spans="1:8" s="943" customFormat="1" x14ac:dyDescent="0.25">
      <c r="A6276" s="952"/>
      <c r="B6276" s="953"/>
      <c r="C6276" s="953"/>
      <c r="D6276" s="953"/>
      <c r="E6276" s="953"/>
      <c r="F6276" s="953"/>
      <c r="G6276" s="953"/>
      <c r="H6276" s="953"/>
    </row>
    <row r="6277" spans="1:8" s="943" customFormat="1" x14ac:dyDescent="0.25">
      <c r="A6277" s="952"/>
      <c r="B6277" s="953"/>
      <c r="C6277" s="953"/>
      <c r="D6277" s="953"/>
      <c r="E6277" s="953"/>
      <c r="F6277" s="953"/>
      <c r="G6277" s="953"/>
      <c r="H6277" s="953"/>
    </row>
    <row r="6278" spans="1:8" s="943" customFormat="1" x14ac:dyDescent="0.25">
      <c r="A6278" s="952"/>
      <c r="B6278" s="953"/>
      <c r="C6278" s="953"/>
      <c r="D6278" s="953"/>
      <c r="E6278" s="953"/>
      <c r="F6278" s="953"/>
      <c r="G6278" s="953"/>
      <c r="H6278" s="953"/>
    </row>
    <row r="6279" spans="1:8" s="943" customFormat="1" x14ac:dyDescent="0.25">
      <c r="A6279" s="952"/>
      <c r="B6279" s="953"/>
      <c r="C6279" s="953"/>
      <c r="D6279" s="953"/>
      <c r="E6279" s="953"/>
      <c r="F6279" s="953"/>
      <c r="G6279" s="953"/>
      <c r="H6279" s="953"/>
    </row>
    <row r="6280" spans="1:8" s="943" customFormat="1" x14ac:dyDescent="0.25">
      <c r="A6280" s="952"/>
      <c r="B6280" s="953"/>
      <c r="C6280" s="953"/>
      <c r="D6280" s="953"/>
      <c r="E6280" s="953"/>
      <c r="F6280" s="953"/>
      <c r="G6280" s="953"/>
      <c r="H6280" s="953"/>
    </row>
    <row r="6281" spans="1:8" s="943" customFormat="1" x14ac:dyDescent="0.25">
      <c r="A6281" s="952"/>
      <c r="B6281" s="953"/>
      <c r="C6281" s="953"/>
      <c r="D6281" s="953"/>
      <c r="E6281" s="953"/>
      <c r="F6281" s="953"/>
      <c r="G6281" s="953"/>
      <c r="H6281" s="953"/>
    </row>
    <row r="6282" spans="1:8" s="943" customFormat="1" x14ac:dyDescent="0.25">
      <c r="A6282" s="952"/>
      <c r="B6282" s="953"/>
      <c r="C6282" s="953"/>
      <c r="D6282" s="953"/>
      <c r="E6282" s="953"/>
      <c r="F6282" s="953"/>
      <c r="G6282" s="953"/>
      <c r="H6282" s="953"/>
    </row>
    <row r="6283" spans="1:8" s="943" customFormat="1" x14ac:dyDescent="0.25">
      <c r="A6283" s="952"/>
      <c r="B6283" s="953"/>
      <c r="C6283" s="953"/>
      <c r="D6283" s="953"/>
      <c r="E6283" s="953"/>
      <c r="F6283" s="953"/>
      <c r="G6283" s="953"/>
      <c r="H6283" s="953"/>
    </row>
    <row r="6284" spans="1:8" s="943" customFormat="1" x14ac:dyDescent="0.25">
      <c r="A6284" s="952"/>
      <c r="B6284" s="953"/>
      <c r="C6284" s="953"/>
      <c r="D6284" s="953"/>
      <c r="E6284" s="953"/>
      <c r="F6284" s="953"/>
      <c r="G6284" s="953"/>
      <c r="H6284" s="953"/>
    </row>
    <row r="6285" spans="1:8" s="943" customFormat="1" x14ac:dyDescent="0.25">
      <c r="A6285" s="952"/>
      <c r="B6285" s="953"/>
      <c r="C6285" s="953"/>
      <c r="D6285" s="953"/>
      <c r="E6285" s="953"/>
      <c r="F6285" s="953"/>
      <c r="G6285" s="953"/>
      <c r="H6285" s="953"/>
    </row>
    <row r="6286" spans="1:8" s="943" customFormat="1" x14ac:dyDescent="0.25">
      <c r="A6286" s="952"/>
      <c r="B6286" s="953"/>
      <c r="C6286" s="953"/>
      <c r="D6286" s="953"/>
      <c r="E6286" s="953"/>
      <c r="F6286" s="953"/>
      <c r="G6286" s="953"/>
      <c r="H6286" s="953"/>
    </row>
    <row r="6287" spans="1:8" s="943" customFormat="1" x14ac:dyDescent="0.25">
      <c r="A6287" s="952"/>
      <c r="B6287" s="953"/>
      <c r="C6287" s="953"/>
      <c r="D6287" s="953"/>
      <c r="E6287" s="953"/>
      <c r="F6287" s="953"/>
      <c r="G6287" s="953"/>
      <c r="H6287" s="953"/>
    </row>
    <row r="6288" spans="1:8" s="943" customFormat="1" x14ac:dyDescent="0.25">
      <c r="A6288" s="952"/>
      <c r="B6288" s="953"/>
      <c r="C6288" s="953"/>
      <c r="D6288" s="953"/>
      <c r="E6288" s="953"/>
      <c r="F6288" s="953"/>
      <c r="G6288" s="953"/>
      <c r="H6288" s="953"/>
    </row>
    <row r="6289" spans="1:8" s="943" customFormat="1" x14ac:dyDescent="0.25">
      <c r="A6289" s="952"/>
      <c r="B6289" s="953"/>
      <c r="C6289" s="953"/>
      <c r="D6289" s="953"/>
      <c r="E6289" s="953"/>
      <c r="F6289" s="953"/>
      <c r="G6289" s="953"/>
      <c r="H6289" s="953"/>
    </row>
    <row r="6290" spans="1:8" s="943" customFormat="1" x14ac:dyDescent="0.25">
      <c r="A6290" s="952"/>
      <c r="B6290" s="953"/>
      <c r="C6290" s="953"/>
      <c r="D6290" s="953"/>
      <c r="E6290" s="953"/>
      <c r="F6290" s="953"/>
      <c r="G6290" s="953"/>
      <c r="H6290" s="953"/>
    </row>
    <row r="6291" spans="1:8" s="943" customFormat="1" x14ac:dyDescent="0.25">
      <c r="A6291" s="952"/>
      <c r="B6291" s="953"/>
      <c r="C6291" s="953"/>
      <c r="D6291" s="953"/>
      <c r="E6291" s="953"/>
      <c r="F6291" s="953"/>
      <c r="G6291" s="953"/>
      <c r="H6291" s="953"/>
    </row>
    <row r="6292" spans="1:8" s="943" customFormat="1" x14ac:dyDescent="0.25">
      <c r="A6292" s="952"/>
      <c r="B6292" s="953"/>
      <c r="C6292" s="953"/>
      <c r="D6292" s="953"/>
      <c r="E6292" s="953"/>
      <c r="F6292" s="953"/>
      <c r="G6292" s="953"/>
      <c r="H6292" s="953"/>
    </row>
    <row r="6293" spans="1:8" s="943" customFormat="1" x14ac:dyDescent="0.25">
      <c r="A6293" s="952"/>
      <c r="B6293" s="953"/>
      <c r="C6293" s="953"/>
      <c r="D6293" s="953"/>
      <c r="E6293" s="953"/>
      <c r="F6293" s="953"/>
      <c r="G6293" s="953"/>
      <c r="H6293" s="953"/>
    </row>
    <row r="6294" spans="1:8" s="943" customFormat="1" x14ac:dyDescent="0.25">
      <c r="A6294" s="952"/>
      <c r="B6294" s="953"/>
      <c r="C6294" s="953"/>
      <c r="D6294" s="953"/>
      <c r="E6294" s="953"/>
      <c r="F6294" s="953"/>
      <c r="G6294" s="953"/>
      <c r="H6294" s="953"/>
    </row>
    <row r="6295" spans="1:8" s="943" customFormat="1" x14ac:dyDescent="0.25">
      <c r="A6295" s="952"/>
      <c r="B6295" s="953"/>
      <c r="C6295" s="953"/>
      <c r="D6295" s="953"/>
      <c r="E6295" s="953"/>
      <c r="F6295" s="953"/>
      <c r="G6295" s="953"/>
      <c r="H6295" s="953"/>
    </row>
    <row r="6296" spans="1:8" s="943" customFormat="1" x14ac:dyDescent="0.25">
      <c r="A6296" s="952"/>
      <c r="B6296" s="953"/>
      <c r="C6296" s="953"/>
      <c r="D6296" s="953"/>
      <c r="E6296" s="953"/>
      <c r="F6296" s="953"/>
      <c r="G6296" s="953"/>
      <c r="H6296" s="953"/>
    </row>
    <row r="6297" spans="1:8" s="943" customFormat="1" x14ac:dyDescent="0.25">
      <c r="A6297" s="952"/>
      <c r="B6297" s="953"/>
      <c r="C6297" s="953"/>
      <c r="D6297" s="953"/>
      <c r="E6297" s="953"/>
      <c r="F6297" s="953"/>
      <c r="G6297" s="953"/>
      <c r="H6297" s="953"/>
    </row>
    <row r="6298" spans="1:8" s="943" customFormat="1" x14ac:dyDescent="0.25">
      <c r="A6298" s="952"/>
      <c r="B6298" s="953"/>
      <c r="C6298" s="953"/>
      <c r="D6298" s="953"/>
      <c r="E6298" s="953"/>
      <c r="F6298" s="953"/>
      <c r="G6298" s="953"/>
      <c r="H6298" s="953"/>
    </row>
    <row r="6299" spans="1:8" s="943" customFormat="1" x14ac:dyDescent="0.25">
      <c r="A6299" s="952"/>
      <c r="B6299" s="953"/>
      <c r="C6299" s="953"/>
      <c r="D6299" s="953"/>
      <c r="E6299" s="953"/>
      <c r="F6299" s="953"/>
      <c r="G6299" s="953"/>
      <c r="H6299" s="953"/>
    </row>
    <row r="6300" spans="1:8" s="943" customFormat="1" x14ac:dyDescent="0.25">
      <c r="A6300" s="952"/>
      <c r="B6300" s="953"/>
      <c r="C6300" s="953"/>
      <c r="D6300" s="953"/>
      <c r="E6300" s="953"/>
      <c r="F6300" s="953"/>
      <c r="G6300" s="953"/>
      <c r="H6300" s="953"/>
    </row>
    <row r="6301" spans="1:8" s="943" customFormat="1" x14ac:dyDescent="0.25">
      <c r="A6301" s="952"/>
      <c r="B6301" s="953"/>
      <c r="C6301" s="953"/>
      <c r="D6301" s="953"/>
      <c r="E6301" s="953"/>
      <c r="F6301" s="953"/>
      <c r="G6301" s="953"/>
      <c r="H6301" s="953"/>
    </row>
    <row r="6302" spans="1:8" s="943" customFormat="1" x14ac:dyDescent="0.25">
      <c r="A6302" s="952"/>
      <c r="B6302" s="953"/>
      <c r="C6302" s="953"/>
      <c r="D6302" s="953"/>
      <c r="E6302" s="953"/>
      <c r="F6302" s="953"/>
      <c r="G6302" s="953"/>
      <c r="H6302" s="953"/>
    </row>
    <row r="6303" spans="1:8" s="943" customFormat="1" x14ac:dyDescent="0.25">
      <c r="A6303" s="952"/>
      <c r="B6303" s="953"/>
      <c r="C6303" s="953"/>
      <c r="D6303" s="953"/>
      <c r="E6303" s="953"/>
      <c r="F6303" s="953"/>
      <c r="G6303" s="953"/>
      <c r="H6303" s="953"/>
    </row>
    <row r="6304" spans="1:8" s="943" customFormat="1" x14ac:dyDescent="0.25">
      <c r="A6304" s="952"/>
      <c r="B6304" s="953"/>
      <c r="C6304" s="953"/>
      <c r="D6304" s="953"/>
      <c r="E6304" s="953"/>
      <c r="F6304" s="953"/>
      <c r="G6304" s="953"/>
      <c r="H6304" s="953"/>
    </row>
    <row r="6305" spans="1:8" s="943" customFormat="1" x14ac:dyDescent="0.25">
      <c r="A6305" s="952"/>
      <c r="B6305" s="953"/>
      <c r="C6305" s="953"/>
      <c r="D6305" s="953"/>
      <c r="E6305" s="953"/>
      <c r="F6305" s="953"/>
      <c r="G6305" s="953"/>
      <c r="H6305" s="953"/>
    </row>
    <row r="6306" spans="1:8" s="943" customFormat="1" x14ac:dyDescent="0.25">
      <c r="A6306" s="952"/>
      <c r="B6306" s="953"/>
      <c r="C6306" s="953"/>
      <c r="D6306" s="953"/>
      <c r="E6306" s="953"/>
      <c r="F6306" s="953"/>
      <c r="G6306" s="953"/>
      <c r="H6306" s="953"/>
    </row>
    <row r="6307" spans="1:8" s="943" customFormat="1" x14ac:dyDescent="0.25">
      <c r="A6307" s="952"/>
      <c r="B6307" s="953"/>
      <c r="C6307" s="953"/>
      <c r="D6307" s="953"/>
      <c r="E6307" s="953"/>
      <c r="F6307" s="953"/>
      <c r="G6307" s="953"/>
      <c r="H6307" s="953"/>
    </row>
    <row r="6308" spans="1:8" s="943" customFormat="1" x14ac:dyDescent="0.25">
      <c r="A6308" s="952"/>
      <c r="B6308" s="953"/>
      <c r="C6308" s="953"/>
      <c r="D6308" s="953"/>
      <c r="E6308" s="953"/>
      <c r="F6308" s="953"/>
      <c r="G6308" s="953"/>
      <c r="H6308" s="953"/>
    </row>
    <row r="6309" spans="1:8" s="943" customFormat="1" x14ac:dyDescent="0.25">
      <c r="A6309" s="952"/>
      <c r="B6309" s="953"/>
      <c r="C6309" s="953"/>
      <c r="D6309" s="953"/>
      <c r="E6309" s="953"/>
      <c r="F6309" s="953"/>
      <c r="G6309" s="953"/>
      <c r="H6309" s="953"/>
    </row>
    <row r="6310" spans="1:8" s="943" customFormat="1" x14ac:dyDescent="0.25">
      <c r="A6310" s="952"/>
      <c r="B6310" s="953"/>
      <c r="C6310" s="953"/>
      <c r="D6310" s="953"/>
      <c r="E6310" s="953"/>
      <c r="F6310" s="953"/>
      <c r="G6310" s="953"/>
      <c r="H6310" s="953"/>
    </row>
    <row r="6311" spans="1:8" s="943" customFormat="1" x14ac:dyDescent="0.25">
      <c r="A6311" s="952"/>
      <c r="B6311" s="953"/>
      <c r="C6311" s="953"/>
      <c r="D6311" s="953"/>
      <c r="E6311" s="953"/>
      <c r="F6311" s="953"/>
      <c r="G6311" s="953"/>
      <c r="H6311" s="953"/>
    </row>
    <row r="6312" spans="1:8" s="943" customFormat="1" x14ac:dyDescent="0.25">
      <c r="A6312" s="952"/>
      <c r="B6312" s="953"/>
      <c r="C6312" s="953"/>
      <c r="D6312" s="953"/>
      <c r="E6312" s="953"/>
      <c r="F6312" s="953"/>
      <c r="G6312" s="953"/>
      <c r="H6312" s="953"/>
    </row>
    <row r="6313" spans="1:8" s="943" customFormat="1" x14ac:dyDescent="0.25">
      <c r="A6313" s="952"/>
      <c r="B6313" s="953"/>
      <c r="C6313" s="953"/>
      <c r="D6313" s="953"/>
      <c r="E6313" s="953"/>
      <c r="F6313" s="953"/>
      <c r="G6313" s="953"/>
      <c r="H6313" s="953"/>
    </row>
    <row r="6314" spans="1:8" s="943" customFormat="1" x14ac:dyDescent="0.25">
      <c r="A6314" s="952"/>
      <c r="B6314" s="953"/>
      <c r="C6314" s="953"/>
      <c r="D6314" s="953"/>
      <c r="E6314" s="953"/>
      <c r="F6314" s="953"/>
      <c r="G6314" s="953"/>
      <c r="H6314" s="953"/>
    </row>
    <row r="6315" spans="1:8" s="943" customFormat="1" x14ac:dyDescent="0.25">
      <c r="A6315" s="952"/>
      <c r="B6315" s="953"/>
      <c r="C6315" s="953"/>
      <c r="D6315" s="953"/>
      <c r="E6315" s="953"/>
      <c r="F6315" s="953"/>
      <c r="G6315" s="953"/>
      <c r="H6315" s="953"/>
    </row>
    <row r="6316" spans="1:8" s="943" customFormat="1" x14ac:dyDescent="0.25">
      <c r="A6316" s="952"/>
      <c r="B6316" s="953"/>
      <c r="C6316" s="953"/>
      <c r="D6316" s="953"/>
      <c r="E6316" s="953"/>
      <c r="F6316" s="953"/>
      <c r="G6316" s="953"/>
      <c r="H6316" s="953"/>
    </row>
    <row r="6317" spans="1:8" s="943" customFormat="1" x14ac:dyDescent="0.25">
      <c r="A6317" s="952"/>
      <c r="B6317" s="953"/>
      <c r="C6317" s="953"/>
      <c r="D6317" s="953"/>
      <c r="E6317" s="953"/>
      <c r="F6317" s="953"/>
      <c r="G6317" s="953"/>
      <c r="H6317" s="953"/>
    </row>
    <row r="6318" spans="1:8" s="943" customFormat="1" x14ac:dyDescent="0.25">
      <c r="A6318" s="952"/>
      <c r="B6318" s="953"/>
      <c r="C6318" s="953"/>
      <c r="D6318" s="953"/>
      <c r="E6318" s="953"/>
      <c r="F6318" s="953"/>
      <c r="G6318" s="953"/>
      <c r="H6318" s="953"/>
    </row>
    <row r="6319" spans="1:8" s="943" customFormat="1" x14ac:dyDescent="0.25">
      <c r="A6319" s="952"/>
      <c r="B6319" s="953"/>
      <c r="C6319" s="953"/>
      <c r="D6319" s="953"/>
      <c r="E6319" s="953"/>
      <c r="F6319" s="953"/>
      <c r="G6319" s="953"/>
      <c r="H6319" s="953"/>
    </row>
    <row r="6320" spans="1:8" s="943" customFormat="1" x14ac:dyDescent="0.25">
      <c r="A6320" s="952"/>
      <c r="B6320" s="953"/>
      <c r="C6320" s="953"/>
      <c r="D6320" s="953"/>
      <c r="E6320" s="953"/>
      <c r="F6320" s="953"/>
      <c r="G6320" s="953"/>
      <c r="H6320" s="953"/>
    </row>
    <row r="6321" spans="1:8" s="943" customFormat="1" x14ac:dyDescent="0.25">
      <c r="A6321" s="952"/>
      <c r="B6321" s="953"/>
      <c r="C6321" s="953"/>
      <c r="D6321" s="953"/>
      <c r="E6321" s="953"/>
      <c r="F6321" s="953"/>
      <c r="G6321" s="953"/>
      <c r="H6321" s="953"/>
    </row>
    <row r="6322" spans="1:8" s="943" customFormat="1" x14ac:dyDescent="0.25">
      <c r="A6322" s="952"/>
      <c r="B6322" s="953"/>
      <c r="C6322" s="953"/>
      <c r="D6322" s="953"/>
      <c r="E6322" s="953"/>
      <c r="F6322" s="953"/>
      <c r="G6322" s="953"/>
      <c r="H6322" s="953"/>
    </row>
    <row r="6323" spans="1:8" s="943" customFormat="1" x14ac:dyDescent="0.25">
      <c r="A6323" s="952"/>
      <c r="B6323" s="953"/>
      <c r="C6323" s="953"/>
      <c r="D6323" s="953"/>
      <c r="E6323" s="953"/>
      <c r="F6323" s="953"/>
      <c r="G6323" s="953"/>
      <c r="H6323" s="953"/>
    </row>
    <row r="6324" spans="1:8" s="943" customFormat="1" x14ac:dyDescent="0.25">
      <c r="A6324" s="952"/>
      <c r="B6324" s="953"/>
      <c r="C6324" s="953"/>
      <c r="D6324" s="953"/>
      <c r="E6324" s="953"/>
      <c r="F6324" s="953"/>
      <c r="G6324" s="953"/>
      <c r="H6324" s="953"/>
    </row>
    <row r="6325" spans="1:8" s="943" customFormat="1" x14ac:dyDescent="0.25">
      <c r="A6325" s="952"/>
      <c r="B6325" s="953"/>
      <c r="C6325" s="953"/>
      <c r="D6325" s="953"/>
      <c r="E6325" s="953"/>
      <c r="F6325" s="953"/>
      <c r="G6325" s="953"/>
      <c r="H6325" s="953"/>
    </row>
    <row r="6326" spans="1:8" s="943" customFormat="1" x14ac:dyDescent="0.25">
      <c r="A6326" s="952"/>
      <c r="B6326" s="953"/>
      <c r="C6326" s="953"/>
      <c r="D6326" s="953"/>
      <c r="E6326" s="953"/>
      <c r="F6326" s="953"/>
      <c r="G6326" s="953"/>
      <c r="H6326" s="953"/>
    </row>
    <row r="6327" spans="1:8" s="943" customFormat="1" x14ac:dyDescent="0.25">
      <c r="A6327" s="952"/>
      <c r="B6327" s="953"/>
      <c r="C6327" s="953"/>
      <c r="D6327" s="953"/>
      <c r="E6327" s="953"/>
      <c r="F6327" s="953"/>
      <c r="G6327" s="953"/>
      <c r="H6327" s="953"/>
    </row>
    <row r="6328" spans="1:8" s="943" customFormat="1" x14ac:dyDescent="0.25">
      <c r="A6328" s="952"/>
      <c r="B6328" s="953"/>
      <c r="C6328" s="953"/>
      <c r="D6328" s="953"/>
      <c r="E6328" s="953"/>
      <c r="F6328" s="953"/>
      <c r="G6328" s="953"/>
      <c r="H6328" s="953"/>
    </row>
    <row r="6329" spans="1:8" s="943" customFormat="1" x14ac:dyDescent="0.25">
      <c r="A6329" s="952"/>
      <c r="B6329" s="953"/>
      <c r="C6329" s="953"/>
      <c r="D6329" s="953"/>
      <c r="E6329" s="953"/>
      <c r="F6329" s="953"/>
      <c r="G6329" s="953"/>
      <c r="H6329" s="953"/>
    </row>
    <row r="6330" spans="1:8" s="943" customFormat="1" x14ac:dyDescent="0.25">
      <c r="A6330" s="952"/>
      <c r="B6330" s="953"/>
      <c r="C6330" s="953"/>
      <c r="D6330" s="953"/>
      <c r="E6330" s="953"/>
      <c r="F6330" s="953"/>
      <c r="G6330" s="953"/>
      <c r="H6330" s="953"/>
    </row>
    <row r="6331" spans="1:8" s="943" customFormat="1" x14ac:dyDescent="0.25">
      <c r="A6331" s="952"/>
      <c r="B6331" s="953"/>
      <c r="C6331" s="953"/>
      <c r="D6331" s="953"/>
      <c r="E6331" s="953"/>
      <c r="F6331" s="953"/>
      <c r="G6331" s="953"/>
      <c r="H6331" s="953"/>
    </row>
    <row r="6332" spans="1:8" s="943" customFormat="1" x14ac:dyDescent="0.25">
      <c r="A6332" s="952"/>
      <c r="B6332" s="953"/>
      <c r="C6332" s="953"/>
      <c r="D6332" s="953"/>
      <c r="E6332" s="953"/>
      <c r="F6332" s="953"/>
      <c r="G6332" s="953"/>
      <c r="H6332" s="953"/>
    </row>
    <row r="6333" spans="1:8" s="943" customFormat="1" x14ac:dyDescent="0.25">
      <c r="A6333" s="952"/>
      <c r="B6333" s="953"/>
      <c r="C6333" s="953"/>
      <c r="D6333" s="953"/>
      <c r="E6333" s="953"/>
      <c r="F6333" s="953"/>
      <c r="G6333" s="953"/>
      <c r="H6333" s="953"/>
    </row>
    <row r="6334" spans="1:8" s="943" customFormat="1" x14ac:dyDescent="0.25">
      <c r="A6334" s="952"/>
      <c r="B6334" s="953"/>
      <c r="C6334" s="953"/>
      <c r="D6334" s="953"/>
      <c r="E6334" s="953"/>
      <c r="F6334" s="953"/>
      <c r="G6334" s="953"/>
      <c r="H6334" s="953"/>
    </row>
    <row r="6335" spans="1:8" s="943" customFormat="1" x14ac:dyDescent="0.25">
      <c r="A6335" s="952"/>
      <c r="B6335" s="953"/>
      <c r="C6335" s="953"/>
      <c r="D6335" s="953"/>
      <c r="E6335" s="953"/>
      <c r="F6335" s="953"/>
      <c r="G6335" s="953"/>
      <c r="H6335" s="953"/>
    </row>
    <row r="6336" spans="1:8" s="943" customFormat="1" x14ac:dyDescent="0.25">
      <c r="A6336" s="952"/>
      <c r="B6336" s="953"/>
      <c r="C6336" s="953"/>
      <c r="D6336" s="953"/>
      <c r="E6336" s="953"/>
      <c r="F6336" s="953"/>
      <c r="G6336" s="953"/>
      <c r="H6336" s="953"/>
    </row>
    <row r="6337" spans="1:8" s="943" customFormat="1" x14ac:dyDescent="0.25">
      <c r="A6337" s="952"/>
      <c r="B6337" s="953"/>
      <c r="C6337" s="953"/>
      <c r="D6337" s="953"/>
      <c r="E6337" s="953"/>
      <c r="F6337" s="953"/>
      <c r="G6337" s="953"/>
      <c r="H6337" s="953"/>
    </row>
    <row r="6338" spans="1:8" s="943" customFormat="1" x14ac:dyDescent="0.25">
      <c r="A6338" s="952"/>
      <c r="B6338" s="953"/>
      <c r="C6338" s="953"/>
      <c r="D6338" s="953"/>
      <c r="E6338" s="953"/>
      <c r="F6338" s="953"/>
      <c r="G6338" s="953"/>
      <c r="H6338" s="953"/>
    </row>
    <row r="6339" spans="1:8" s="943" customFormat="1" x14ac:dyDescent="0.25">
      <c r="A6339" s="952"/>
      <c r="B6339" s="953"/>
      <c r="C6339" s="953"/>
      <c r="D6339" s="953"/>
      <c r="E6339" s="953"/>
      <c r="F6339" s="953"/>
      <c r="G6339" s="953"/>
      <c r="H6339" s="953"/>
    </row>
    <row r="6340" spans="1:8" s="943" customFormat="1" x14ac:dyDescent="0.25">
      <c r="A6340" s="952"/>
      <c r="B6340" s="953"/>
      <c r="C6340" s="953"/>
      <c r="D6340" s="953"/>
      <c r="E6340" s="953"/>
      <c r="F6340" s="953"/>
      <c r="G6340" s="953"/>
      <c r="H6340" s="953"/>
    </row>
    <row r="6341" spans="1:8" s="943" customFormat="1" x14ac:dyDescent="0.25">
      <c r="A6341" s="952"/>
      <c r="B6341" s="953"/>
      <c r="C6341" s="953"/>
      <c r="D6341" s="953"/>
      <c r="E6341" s="953"/>
      <c r="F6341" s="953"/>
      <c r="G6341" s="953"/>
      <c r="H6341" s="953"/>
    </row>
    <row r="6342" spans="1:8" s="943" customFormat="1" x14ac:dyDescent="0.25">
      <c r="A6342" s="952"/>
      <c r="B6342" s="953"/>
      <c r="C6342" s="953"/>
      <c r="D6342" s="953"/>
      <c r="E6342" s="953"/>
      <c r="F6342" s="953"/>
      <c r="G6342" s="953"/>
      <c r="H6342" s="953"/>
    </row>
    <row r="6343" spans="1:8" s="943" customFormat="1" x14ac:dyDescent="0.25">
      <c r="A6343" s="952"/>
      <c r="B6343" s="953"/>
      <c r="C6343" s="953"/>
      <c r="D6343" s="953"/>
      <c r="E6343" s="953"/>
      <c r="F6343" s="953"/>
      <c r="G6343" s="953"/>
      <c r="H6343" s="953"/>
    </row>
    <row r="6344" spans="1:8" s="943" customFormat="1" x14ac:dyDescent="0.25">
      <c r="A6344" s="952"/>
      <c r="B6344" s="953"/>
      <c r="C6344" s="953"/>
      <c r="D6344" s="953"/>
      <c r="E6344" s="953"/>
      <c r="F6344" s="953"/>
      <c r="G6344" s="953"/>
      <c r="H6344" s="953"/>
    </row>
    <row r="6345" spans="1:8" s="943" customFormat="1" x14ac:dyDescent="0.25">
      <c r="A6345" s="952"/>
      <c r="B6345" s="953"/>
      <c r="C6345" s="953"/>
      <c r="D6345" s="953"/>
      <c r="E6345" s="953"/>
      <c r="F6345" s="953"/>
      <c r="G6345" s="953"/>
      <c r="H6345" s="953"/>
    </row>
    <row r="6346" spans="1:8" s="943" customFormat="1" x14ac:dyDescent="0.25">
      <c r="A6346" s="952"/>
      <c r="B6346" s="953"/>
      <c r="C6346" s="953"/>
      <c r="D6346" s="953"/>
      <c r="E6346" s="953"/>
      <c r="F6346" s="953"/>
      <c r="G6346" s="953"/>
      <c r="H6346" s="953"/>
    </row>
    <row r="6347" spans="1:8" s="943" customFormat="1" x14ac:dyDescent="0.25">
      <c r="A6347" s="952"/>
      <c r="B6347" s="953"/>
      <c r="C6347" s="953"/>
      <c r="D6347" s="953"/>
      <c r="E6347" s="953"/>
      <c r="F6347" s="953"/>
      <c r="G6347" s="953"/>
      <c r="H6347" s="953"/>
    </row>
    <row r="6348" spans="1:8" s="943" customFormat="1" x14ac:dyDescent="0.25">
      <c r="A6348" s="952"/>
      <c r="B6348" s="953"/>
      <c r="C6348" s="953"/>
      <c r="D6348" s="953"/>
      <c r="E6348" s="953"/>
      <c r="F6348" s="953"/>
      <c r="G6348" s="953"/>
      <c r="H6348" s="953"/>
    </row>
    <row r="6349" spans="1:8" s="943" customFormat="1" x14ac:dyDescent="0.25">
      <c r="A6349" s="952"/>
      <c r="B6349" s="953"/>
      <c r="C6349" s="953"/>
      <c r="D6349" s="953"/>
      <c r="E6349" s="953"/>
      <c r="F6349" s="953"/>
      <c r="G6349" s="953"/>
      <c r="H6349" s="953"/>
    </row>
    <row r="6350" spans="1:8" s="943" customFormat="1" x14ac:dyDescent="0.25">
      <c r="A6350" s="952"/>
      <c r="B6350" s="953"/>
      <c r="C6350" s="953"/>
      <c r="D6350" s="953"/>
      <c r="E6350" s="953"/>
      <c r="F6350" s="953"/>
      <c r="G6350" s="953"/>
      <c r="H6350" s="953"/>
    </row>
    <row r="6351" spans="1:8" s="943" customFormat="1" x14ac:dyDescent="0.25">
      <c r="A6351" s="952"/>
      <c r="B6351" s="953"/>
      <c r="C6351" s="953"/>
      <c r="D6351" s="953"/>
      <c r="E6351" s="953"/>
      <c r="F6351" s="953"/>
      <c r="G6351" s="953"/>
      <c r="H6351" s="953"/>
    </row>
    <row r="6352" spans="1:8" s="943" customFormat="1" x14ac:dyDescent="0.25">
      <c r="A6352" s="952"/>
      <c r="B6352" s="953"/>
      <c r="C6352" s="953"/>
      <c r="D6352" s="953"/>
      <c r="E6352" s="953"/>
      <c r="F6352" s="953"/>
      <c r="G6352" s="953"/>
      <c r="H6352" s="953"/>
    </row>
    <row r="6353" spans="1:8" s="943" customFormat="1" x14ac:dyDescent="0.25">
      <c r="A6353" s="952"/>
      <c r="B6353" s="953"/>
      <c r="C6353" s="953"/>
      <c r="D6353" s="953"/>
      <c r="E6353" s="953"/>
      <c r="F6353" s="953"/>
      <c r="G6353" s="953"/>
      <c r="H6353" s="953"/>
    </row>
    <row r="6354" spans="1:8" s="943" customFormat="1" x14ac:dyDescent="0.25">
      <c r="A6354" s="952"/>
      <c r="B6354" s="953"/>
      <c r="C6354" s="953"/>
      <c r="D6354" s="953"/>
      <c r="E6354" s="953"/>
      <c r="F6354" s="953"/>
      <c r="G6354" s="953"/>
      <c r="H6354" s="953"/>
    </row>
    <row r="6355" spans="1:8" s="943" customFormat="1" x14ac:dyDescent="0.25">
      <c r="A6355" s="952"/>
      <c r="B6355" s="953"/>
      <c r="C6355" s="953"/>
      <c r="D6355" s="953"/>
      <c r="E6355" s="953"/>
      <c r="F6355" s="953"/>
      <c r="G6355" s="953"/>
      <c r="H6355" s="953"/>
    </row>
    <row r="6356" spans="1:8" s="943" customFormat="1" x14ac:dyDescent="0.25">
      <c r="A6356" s="952"/>
      <c r="B6356" s="953"/>
      <c r="C6356" s="953"/>
      <c r="D6356" s="953"/>
      <c r="E6356" s="953"/>
      <c r="F6356" s="953"/>
      <c r="G6356" s="953"/>
      <c r="H6356" s="953"/>
    </row>
    <row r="6357" spans="1:8" s="943" customFormat="1" x14ac:dyDescent="0.25">
      <c r="A6357" s="952"/>
      <c r="B6357" s="953"/>
      <c r="C6357" s="953"/>
      <c r="D6357" s="953"/>
      <c r="E6357" s="953"/>
      <c r="F6357" s="953"/>
      <c r="G6357" s="953"/>
      <c r="H6357" s="953"/>
    </row>
    <row r="6358" spans="1:8" s="943" customFormat="1" x14ac:dyDescent="0.25">
      <c r="A6358" s="952"/>
      <c r="B6358" s="953"/>
      <c r="C6358" s="953"/>
      <c r="D6358" s="953"/>
      <c r="E6358" s="953"/>
      <c r="F6358" s="953"/>
      <c r="G6358" s="953"/>
      <c r="H6358" s="953"/>
    </row>
    <row r="6359" spans="1:8" s="943" customFormat="1" x14ac:dyDescent="0.25">
      <c r="A6359" s="952"/>
      <c r="B6359" s="953"/>
      <c r="C6359" s="953"/>
      <c r="D6359" s="953"/>
      <c r="E6359" s="953"/>
      <c r="F6359" s="953"/>
      <c r="G6359" s="953"/>
      <c r="H6359" s="953"/>
    </row>
    <row r="6360" spans="1:8" s="943" customFormat="1" x14ac:dyDescent="0.25">
      <c r="A6360" s="952"/>
      <c r="B6360" s="953"/>
      <c r="C6360" s="953"/>
      <c r="D6360" s="953"/>
      <c r="E6360" s="953"/>
      <c r="F6360" s="953"/>
      <c r="G6360" s="953"/>
      <c r="H6360" s="953"/>
    </row>
    <row r="6361" spans="1:8" s="943" customFormat="1" x14ac:dyDescent="0.25">
      <c r="A6361" s="952"/>
      <c r="B6361" s="953"/>
      <c r="C6361" s="953"/>
      <c r="D6361" s="953"/>
      <c r="E6361" s="953"/>
      <c r="F6361" s="953"/>
      <c r="G6361" s="953"/>
      <c r="H6361" s="953"/>
    </row>
    <row r="6362" spans="1:8" s="943" customFormat="1" x14ac:dyDescent="0.25">
      <c r="A6362" s="952"/>
      <c r="B6362" s="953"/>
      <c r="C6362" s="953"/>
      <c r="D6362" s="953"/>
      <c r="E6362" s="953"/>
      <c r="F6362" s="953"/>
      <c r="G6362" s="953"/>
      <c r="H6362" s="953"/>
    </row>
    <row r="6363" spans="1:8" s="943" customFormat="1" x14ac:dyDescent="0.25">
      <c r="A6363" s="952"/>
      <c r="B6363" s="953"/>
      <c r="C6363" s="953"/>
      <c r="D6363" s="953"/>
      <c r="E6363" s="953"/>
      <c r="F6363" s="953"/>
      <c r="G6363" s="953"/>
      <c r="H6363" s="953"/>
    </row>
    <row r="6364" spans="1:8" s="943" customFormat="1" x14ac:dyDescent="0.25">
      <c r="A6364" s="952"/>
      <c r="B6364" s="953"/>
      <c r="C6364" s="953"/>
      <c r="D6364" s="953"/>
      <c r="E6364" s="953"/>
      <c r="F6364" s="953"/>
      <c r="G6364" s="953"/>
      <c r="H6364" s="953"/>
    </row>
    <row r="6365" spans="1:8" s="943" customFormat="1" x14ac:dyDescent="0.25">
      <c r="A6365" s="952"/>
      <c r="B6365" s="953"/>
      <c r="C6365" s="953"/>
      <c r="D6365" s="953"/>
      <c r="E6365" s="953"/>
      <c r="F6365" s="953"/>
      <c r="G6365" s="953"/>
      <c r="H6365" s="953"/>
    </row>
    <row r="6366" spans="1:8" s="943" customFormat="1" x14ac:dyDescent="0.25">
      <c r="A6366" s="952"/>
      <c r="B6366" s="953"/>
      <c r="C6366" s="953"/>
      <c r="D6366" s="953"/>
      <c r="E6366" s="953"/>
      <c r="F6366" s="953"/>
      <c r="G6366" s="953"/>
      <c r="H6366" s="953"/>
    </row>
    <row r="6367" spans="1:8" s="943" customFormat="1" x14ac:dyDescent="0.25">
      <c r="A6367" s="952"/>
      <c r="B6367" s="953"/>
      <c r="C6367" s="953"/>
      <c r="D6367" s="953"/>
      <c r="E6367" s="953"/>
      <c r="F6367" s="953"/>
      <c r="G6367" s="953"/>
      <c r="H6367" s="953"/>
    </row>
    <row r="6368" spans="1:8" s="943" customFormat="1" x14ac:dyDescent="0.25">
      <c r="A6368" s="952"/>
      <c r="B6368" s="953"/>
      <c r="C6368" s="953"/>
      <c r="D6368" s="953"/>
      <c r="E6368" s="953"/>
      <c r="F6368" s="953"/>
      <c r="G6368" s="953"/>
      <c r="H6368" s="953"/>
    </row>
    <row r="6369" spans="1:8" s="943" customFormat="1" x14ac:dyDescent="0.25">
      <c r="A6369" s="952"/>
      <c r="B6369" s="953"/>
      <c r="C6369" s="953"/>
      <c r="D6369" s="953"/>
      <c r="E6369" s="953"/>
      <c r="F6369" s="953"/>
      <c r="G6369" s="953"/>
      <c r="H6369" s="953"/>
    </row>
    <row r="6370" spans="1:8" s="943" customFormat="1" x14ac:dyDescent="0.25">
      <c r="A6370" s="952"/>
      <c r="B6370" s="953"/>
      <c r="C6370" s="953"/>
      <c r="D6370" s="953"/>
      <c r="E6370" s="953"/>
      <c r="F6370" s="953"/>
      <c r="G6370" s="953"/>
      <c r="H6370" s="953"/>
    </row>
    <row r="6371" spans="1:8" s="943" customFormat="1" x14ac:dyDescent="0.25">
      <c r="A6371" s="952"/>
      <c r="B6371" s="953"/>
      <c r="C6371" s="953"/>
      <c r="D6371" s="953"/>
      <c r="E6371" s="953"/>
      <c r="F6371" s="953"/>
      <c r="G6371" s="953"/>
      <c r="H6371" s="953"/>
    </row>
    <row r="6372" spans="1:8" s="943" customFormat="1" x14ac:dyDescent="0.25">
      <c r="A6372" s="952"/>
      <c r="B6372" s="953"/>
      <c r="C6372" s="953"/>
      <c r="D6372" s="953"/>
      <c r="E6372" s="953"/>
      <c r="F6372" s="953"/>
      <c r="G6372" s="953"/>
      <c r="H6372" s="953"/>
    </row>
    <row r="6373" spans="1:8" s="943" customFormat="1" x14ac:dyDescent="0.25">
      <c r="A6373" s="952"/>
      <c r="B6373" s="953"/>
      <c r="C6373" s="953"/>
      <c r="D6373" s="953"/>
      <c r="E6373" s="953"/>
      <c r="F6373" s="953"/>
      <c r="G6373" s="953"/>
      <c r="H6373" s="953"/>
    </row>
    <row r="6374" spans="1:8" s="943" customFormat="1" x14ac:dyDescent="0.25">
      <c r="A6374" s="952"/>
      <c r="B6374" s="953"/>
      <c r="C6374" s="953"/>
      <c r="D6374" s="953"/>
      <c r="E6374" s="953"/>
      <c r="F6374" s="953"/>
      <c r="G6374" s="953"/>
      <c r="H6374" s="953"/>
    </row>
    <row r="6375" spans="1:8" s="943" customFormat="1" x14ac:dyDescent="0.25">
      <c r="A6375" s="952"/>
      <c r="B6375" s="953"/>
      <c r="C6375" s="953"/>
      <c r="D6375" s="953"/>
      <c r="E6375" s="953"/>
      <c r="F6375" s="953"/>
      <c r="G6375" s="953"/>
      <c r="H6375" s="953"/>
    </row>
    <row r="6376" spans="1:8" s="943" customFormat="1" x14ac:dyDescent="0.25">
      <c r="A6376" s="952"/>
      <c r="B6376" s="953"/>
      <c r="C6376" s="953"/>
      <c r="D6376" s="953"/>
      <c r="E6376" s="953"/>
      <c r="F6376" s="953"/>
      <c r="G6376" s="953"/>
      <c r="H6376" s="953"/>
    </row>
    <row r="6377" spans="1:8" s="943" customFormat="1" x14ac:dyDescent="0.25">
      <c r="A6377" s="952"/>
      <c r="B6377" s="953"/>
      <c r="C6377" s="953"/>
      <c r="D6377" s="953"/>
      <c r="E6377" s="953"/>
      <c r="F6377" s="953"/>
      <c r="G6377" s="953"/>
      <c r="H6377" s="953"/>
    </row>
    <row r="6378" spans="1:8" s="943" customFormat="1" x14ac:dyDescent="0.25">
      <c r="A6378" s="952"/>
      <c r="B6378" s="953"/>
      <c r="C6378" s="953"/>
      <c r="D6378" s="953"/>
      <c r="E6378" s="953"/>
      <c r="F6378" s="953"/>
      <c r="G6378" s="953"/>
      <c r="H6378" s="953"/>
    </row>
    <row r="6379" spans="1:8" s="943" customFormat="1" x14ac:dyDescent="0.25">
      <c r="A6379" s="952"/>
      <c r="B6379" s="953"/>
      <c r="C6379" s="953"/>
      <c r="D6379" s="953"/>
      <c r="E6379" s="953"/>
      <c r="F6379" s="953"/>
      <c r="G6379" s="953"/>
      <c r="H6379" s="953"/>
    </row>
    <row r="6380" spans="1:8" s="943" customFormat="1" x14ac:dyDescent="0.25">
      <c r="A6380" s="952"/>
      <c r="B6380" s="953"/>
      <c r="C6380" s="953"/>
      <c r="D6380" s="953"/>
      <c r="E6380" s="953"/>
      <c r="F6380" s="953"/>
      <c r="G6380" s="953"/>
      <c r="H6380" s="953"/>
    </row>
    <row r="6381" spans="1:8" s="943" customFormat="1" x14ac:dyDescent="0.25">
      <c r="A6381" s="952"/>
      <c r="B6381" s="953"/>
      <c r="C6381" s="953"/>
      <c r="D6381" s="953"/>
      <c r="E6381" s="953"/>
      <c r="F6381" s="953"/>
      <c r="G6381" s="953"/>
      <c r="H6381" s="953"/>
    </row>
    <row r="6382" spans="1:8" s="943" customFormat="1" x14ac:dyDescent="0.25">
      <c r="A6382" s="952"/>
      <c r="B6382" s="953"/>
      <c r="C6382" s="953"/>
      <c r="D6382" s="953"/>
      <c r="E6382" s="953"/>
      <c r="F6382" s="953"/>
      <c r="G6382" s="953"/>
      <c r="H6382" s="953"/>
    </row>
    <row r="6383" spans="1:8" s="943" customFormat="1" x14ac:dyDescent="0.25">
      <c r="A6383" s="952"/>
      <c r="B6383" s="953"/>
      <c r="C6383" s="953"/>
      <c r="D6383" s="953"/>
      <c r="E6383" s="953"/>
      <c r="F6383" s="953"/>
      <c r="G6383" s="953"/>
      <c r="H6383" s="953"/>
    </row>
    <row r="6384" spans="1:8" s="943" customFormat="1" x14ac:dyDescent="0.25">
      <c r="A6384" s="952"/>
      <c r="B6384" s="953"/>
      <c r="C6384" s="953"/>
      <c r="D6384" s="953"/>
      <c r="E6384" s="953"/>
      <c r="F6384" s="953"/>
      <c r="G6384" s="953"/>
      <c r="H6384" s="953"/>
    </row>
    <row r="6385" spans="1:8" s="943" customFormat="1" x14ac:dyDescent="0.25">
      <c r="A6385" s="952"/>
      <c r="B6385" s="953"/>
      <c r="C6385" s="953"/>
      <c r="D6385" s="953"/>
      <c r="E6385" s="953"/>
      <c r="F6385" s="953"/>
      <c r="G6385" s="953"/>
      <c r="H6385" s="953"/>
    </row>
    <row r="6386" spans="1:8" s="943" customFormat="1" x14ac:dyDescent="0.25">
      <c r="A6386" s="952"/>
      <c r="B6386" s="953"/>
      <c r="C6386" s="953"/>
      <c r="D6386" s="953"/>
      <c r="E6386" s="953"/>
      <c r="F6386" s="953"/>
      <c r="G6386" s="953"/>
      <c r="H6386" s="953"/>
    </row>
    <row r="6387" spans="1:8" s="943" customFormat="1" x14ac:dyDescent="0.25">
      <c r="A6387" s="952"/>
      <c r="B6387" s="953"/>
      <c r="C6387" s="953"/>
      <c r="D6387" s="953"/>
      <c r="E6387" s="953"/>
      <c r="F6387" s="953"/>
      <c r="G6387" s="953"/>
      <c r="H6387" s="953"/>
    </row>
    <row r="6388" spans="1:8" s="943" customFormat="1" x14ac:dyDescent="0.25">
      <c r="A6388" s="952"/>
      <c r="B6388" s="953"/>
      <c r="C6388" s="953"/>
      <c r="D6388" s="953"/>
      <c r="E6388" s="953"/>
      <c r="F6388" s="953"/>
      <c r="G6388" s="953"/>
      <c r="H6388" s="953"/>
    </row>
    <row r="6389" spans="1:8" s="943" customFormat="1" x14ac:dyDescent="0.25">
      <c r="A6389" s="952"/>
      <c r="B6389" s="953"/>
      <c r="C6389" s="953"/>
      <c r="D6389" s="953"/>
      <c r="E6389" s="953"/>
      <c r="F6389" s="953"/>
      <c r="G6389" s="953"/>
      <c r="H6389" s="953"/>
    </row>
    <row r="6390" spans="1:8" s="943" customFormat="1" x14ac:dyDescent="0.25">
      <c r="A6390" s="952"/>
      <c r="B6390" s="953"/>
      <c r="C6390" s="953"/>
      <c r="D6390" s="953"/>
      <c r="E6390" s="953"/>
      <c r="F6390" s="953"/>
      <c r="G6390" s="953"/>
      <c r="H6390" s="953"/>
    </row>
    <row r="6391" spans="1:8" s="943" customFormat="1" x14ac:dyDescent="0.25">
      <c r="A6391" s="952"/>
      <c r="B6391" s="953"/>
      <c r="C6391" s="953"/>
      <c r="D6391" s="953"/>
      <c r="E6391" s="953"/>
      <c r="F6391" s="953"/>
      <c r="G6391" s="953"/>
      <c r="H6391" s="953"/>
    </row>
    <row r="6392" spans="1:8" s="943" customFormat="1" x14ac:dyDescent="0.25">
      <c r="A6392" s="952"/>
      <c r="B6392" s="953"/>
      <c r="C6392" s="953"/>
      <c r="D6392" s="953"/>
      <c r="E6392" s="953"/>
      <c r="F6392" s="953"/>
      <c r="G6392" s="953"/>
      <c r="H6392" s="953"/>
    </row>
    <row r="6393" spans="1:8" s="943" customFormat="1" x14ac:dyDescent="0.25">
      <c r="A6393" s="952"/>
      <c r="B6393" s="953"/>
      <c r="C6393" s="953"/>
      <c r="D6393" s="953"/>
      <c r="E6393" s="953"/>
      <c r="F6393" s="953"/>
      <c r="G6393" s="953"/>
      <c r="H6393" s="953"/>
    </row>
    <row r="6394" spans="1:8" s="943" customFormat="1" x14ac:dyDescent="0.25">
      <c r="A6394" s="952"/>
      <c r="B6394" s="953"/>
      <c r="C6394" s="953"/>
      <c r="D6394" s="953"/>
      <c r="E6394" s="953"/>
      <c r="F6394" s="953"/>
      <c r="G6394" s="953"/>
      <c r="H6394" s="953"/>
    </row>
    <row r="6395" spans="1:8" s="943" customFormat="1" x14ac:dyDescent="0.25">
      <c r="A6395" s="952"/>
      <c r="B6395" s="953"/>
      <c r="C6395" s="953"/>
      <c r="D6395" s="953"/>
      <c r="E6395" s="953"/>
      <c r="F6395" s="953"/>
      <c r="G6395" s="953"/>
      <c r="H6395" s="953"/>
    </row>
    <row r="6396" spans="1:8" s="943" customFormat="1" x14ac:dyDescent="0.25">
      <c r="A6396" s="952"/>
      <c r="B6396" s="953"/>
      <c r="C6396" s="953"/>
      <c r="D6396" s="953"/>
      <c r="E6396" s="953"/>
      <c r="F6396" s="953"/>
      <c r="G6396" s="953"/>
      <c r="H6396" s="953"/>
    </row>
    <row r="6397" spans="1:8" s="943" customFormat="1" x14ac:dyDescent="0.25">
      <c r="A6397" s="952"/>
      <c r="B6397" s="953"/>
      <c r="C6397" s="953"/>
      <c r="D6397" s="953"/>
      <c r="E6397" s="953"/>
      <c r="F6397" s="953"/>
      <c r="G6397" s="953"/>
      <c r="H6397" s="953"/>
    </row>
    <row r="6398" spans="1:8" s="943" customFormat="1" x14ac:dyDescent="0.25">
      <c r="A6398" s="952"/>
      <c r="B6398" s="953"/>
      <c r="C6398" s="953"/>
      <c r="D6398" s="953"/>
      <c r="E6398" s="953"/>
      <c r="F6398" s="953"/>
      <c r="G6398" s="953"/>
      <c r="H6398" s="953"/>
    </row>
    <row r="6399" spans="1:8" s="943" customFormat="1" x14ac:dyDescent="0.25">
      <c r="A6399" s="952"/>
      <c r="B6399" s="953"/>
      <c r="C6399" s="953"/>
      <c r="D6399" s="953"/>
      <c r="E6399" s="953"/>
      <c r="F6399" s="953"/>
      <c r="G6399" s="953"/>
      <c r="H6399" s="953"/>
    </row>
    <row r="6400" spans="1:8" s="943" customFormat="1" x14ac:dyDescent="0.25">
      <c r="A6400" s="952"/>
      <c r="B6400" s="953"/>
      <c r="C6400" s="953"/>
      <c r="D6400" s="953"/>
      <c r="E6400" s="953"/>
      <c r="F6400" s="953"/>
      <c r="G6400" s="953"/>
      <c r="H6400" s="953"/>
    </row>
    <row r="6401" spans="1:8" s="943" customFormat="1" x14ac:dyDescent="0.25">
      <c r="A6401" s="952"/>
      <c r="B6401" s="953"/>
      <c r="C6401" s="953"/>
      <c r="D6401" s="953"/>
      <c r="E6401" s="953"/>
      <c r="F6401" s="953"/>
      <c r="G6401" s="953"/>
      <c r="H6401" s="953"/>
    </row>
    <row r="6402" spans="1:8" s="943" customFormat="1" x14ac:dyDescent="0.25">
      <c r="A6402" s="952"/>
      <c r="B6402" s="953"/>
      <c r="C6402" s="953"/>
      <c r="D6402" s="953"/>
      <c r="E6402" s="953"/>
      <c r="F6402" s="953"/>
      <c r="G6402" s="953"/>
      <c r="H6402" s="953"/>
    </row>
    <row r="6403" spans="1:8" s="943" customFormat="1" x14ac:dyDescent="0.25">
      <c r="A6403" s="952"/>
      <c r="B6403" s="953"/>
      <c r="C6403" s="953"/>
      <c r="D6403" s="953"/>
      <c r="E6403" s="953"/>
      <c r="F6403" s="953"/>
      <c r="G6403" s="953"/>
      <c r="H6403" s="953"/>
    </row>
    <row r="6404" spans="1:8" s="943" customFormat="1" x14ac:dyDescent="0.25">
      <c r="A6404" s="952"/>
      <c r="B6404" s="953"/>
      <c r="C6404" s="953"/>
      <c r="D6404" s="953"/>
      <c r="E6404" s="953"/>
      <c r="F6404" s="953"/>
      <c r="G6404" s="953"/>
      <c r="H6404" s="953"/>
    </row>
    <row r="6405" spans="1:8" s="943" customFormat="1" x14ac:dyDescent="0.25">
      <c r="A6405" s="952"/>
      <c r="B6405" s="953"/>
      <c r="C6405" s="953"/>
      <c r="D6405" s="953"/>
      <c r="E6405" s="953"/>
      <c r="F6405" s="953"/>
      <c r="G6405" s="953"/>
      <c r="H6405" s="953"/>
    </row>
    <row r="6406" spans="1:8" s="943" customFormat="1" x14ac:dyDescent="0.25">
      <c r="A6406" s="952"/>
      <c r="B6406" s="953"/>
      <c r="C6406" s="953"/>
      <c r="D6406" s="953"/>
      <c r="E6406" s="953"/>
      <c r="F6406" s="953"/>
      <c r="G6406" s="953"/>
      <c r="H6406" s="953"/>
    </row>
    <row r="6407" spans="1:8" s="943" customFormat="1" x14ac:dyDescent="0.25">
      <c r="A6407" s="952"/>
      <c r="B6407" s="953"/>
      <c r="C6407" s="953"/>
      <c r="D6407" s="953"/>
      <c r="E6407" s="953"/>
      <c r="F6407" s="953"/>
      <c r="G6407" s="953"/>
      <c r="H6407" s="953"/>
    </row>
    <row r="6408" spans="1:8" s="943" customFormat="1" x14ac:dyDescent="0.25">
      <c r="A6408" s="952"/>
      <c r="B6408" s="953"/>
      <c r="C6408" s="953"/>
      <c r="D6408" s="953"/>
      <c r="E6408" s="953"/>
      <c r="F6408" s="953"/>
      <c r="G6408" s="953"/>
      <c r="H6408" s="953"/>
    </row>
    <row r="6409" spans="1:8" s="943" customFormat="1" x14ac:dyDescent="0.25">
      <c r="A6409" s="952"/>
      <c r="B6409" s="953"/>
      <c r="C6409" s="953"/>
      <c r="D6409" s="953"/>
      <c r="E6409" s="953"/>
      <c r="F6409" s="953"/>
      <c r="G6409" s="953"/>
      <c r="H6409" s="953"/>
    </row>
    <row r="6410" spans="1:8" s="943" customFormat="1" x14ac:dyDescent="0.25">
      <c r="A6410" s="952"/>
      <c r="B6410" s="953"/>
      <c r="C6410" s="953"/>
      <c r="D6410" s="953"/>
      <c r="E6410" s="953"/>
      <c r="F6410" s="953"/>
      <c r="G6410" s="953"/>
      <c r="H6410" s="953"/>
    </row>
    <row r="6411" spans="1:8" s="943" customFormat="1" x14ac:dyDescent="0.25">
      <c r="A6411" s="952"/>
      <c r="B6411" s="953"/>
      <c r="C6411" s="953"/>
      <c r="D6411" s="953"/>
      <c r="E6411" s="953"/>
      <c r="F6411" s="953"/>
      <c r="G6411" s="953"/>
      <c r="H6411" s="953"/>
    </row>
    <row r="6412" spans="1:8" s="943" customFormat="1" x14ac:dyDescent="0.25">
      <c r="A6412" s="952"/>
      <c r="B6412" s="953"/>
      <c r="C6412" s="953"/>
      <c r="D6412" s="953"/>
      <c r="E6412" s="953"/>
      <c r="F6412" s="953"/>
      <c r="G6412" s="953"/>
      <c r="H6412" s="953"/>
    </row>
    <row r="6413" spans="1:8" s="943" customFormat="1" x14ac:dyDescent="0.25">
      <c r="A6413" s="952"/>
      <c r="B6413" s="953"/>
      <c r="C6413" s="953"/>
      <c r="D6413" s="953"/>
      <c r="E6413" s="953"/>
      <c r="F6413" s="953"/>
      <c r="G6413" s="953"/>
      <c r="H6413" s="953"/>
    </row>
    <row r="6414" spans="1:8" s="943" customFormat="1" x14ac:dyDescent="0.25">
      <c r="A6414" s="952"/>
      <c r="B6414" s="953"/>
      <c r="C6414" s="953"/>
      <c r="D6414" s="953"/>
      <c r="E6414" s="953"/>
      <c r="F6414" s="953"/>
      <c r="G6414" s="953"/>
      <c r="H6414" s="953"/>
    </row>
    <row r="6415" spans="1:8" s="943" customFormat="1" x14ac:dyDescent="0.25">
      <c r="A6415" s="952"/>
      <c r="B6415" s="953"/>
      <c r="C6415" s="953"/>
      <c r="D6415" s="953"/>
      <c r="E6415" s="953"/>
      <c r="F6415" s="953"/>
      <c r="G6415" s="953"/>
      <c r="H6415" s="953"/>
    </row>
    <row r="6416" spans="1:8" s="943" customFormat="1" x14ac:dyDescent="0.25">
      <c r="A6416" s="952"/>
      <c r="B6416" s="953"/>
      <c r="C6416" s="953"/>
      <c r="D6416" s="953"/>
      <c r="E6416" s="953"/>
      <c r="F6416" s="953"/>
      <c r="G6416" s="953"/>
      <c r="H6416" s="953"/>
    </row>
    <row r="6417" spans="1:8" s="943" customFormat="1" x14ac:dyDescent="0.25">
      <c r="A6417" s="952"/>
      <c r="B6417" s="953"/>
      <c r="C6417" s="953"/>
      <c r="D6417" s="953"/>
      <c r="E6417" s="953"/>
      <c r="F6417" s="953"/>
      <c r="G6417" s="953"/>
      <c r="H6417" s="953"/>
    </row>
    <row r="6418" spans="1:8" s="943" customFormat="1" x14ac:dyDescent="0.25">
      <c r="A6418" s="952"/>
      <c r="B6418" s="953"/>
      <c r="C6418" s="953"/>
      <c r="D6418" s="953"/>
      <c r="E6418" s="953"/>
      <c r="F6418" s="953"/>
      <c r="G6418" s="953"/>
      <c r="H6418" s="953"/>
    </row>
    <row r="6419" spans="1:8" s="943" customFormat="1" x14ac:dyDescent="0.25">
      <c r="A6419" s="952"/>
      <c r="B6419" s="953"/>
      <c r="C6419" s="953"/>
      <c r="D6419" s="953"/>
      <c r="E6419" s="953"/>
      <c r="F6419" s="953"/>
      <c r="G6419" s="953"/>
      <c r="H6419" s="953"/>
    </row>
    <row r="6420" spans="1:8" s="943" customFormat="1" x14ac:dyDescent="0.25">
      <c r="A6420" s="952"/>
      <c r="B6420" s="953"/>
      <c r="C6420" s="953"/>
      <c r="D6420" s="953"/>
      <c r="E6420" s="953"/>
      <c r="F6420" s="953"/>
      <c r="G6420" s="953"/>
      <c r="H6420" s="953"/>
    </row>
    <row r="6421" spans="1:8" s="943" customFormat="1" x14ac:dyDescent="0.25">
      <c r="A6421" s="952"/>
      <c r="B6421" s="953"/>
      <c r="C6421" s="953"/>
      <c r="D6421" s="953"/>
      <c r="E6421" s="953"/>
      <c r="F6421" s="953"/>
      <c r="G6421" s="953"/>
      <c r="H6421" s="953"/>
    </row>
    <row r="6422" spans="1:8" s="943" customFormat="1" x14ac:dyDescent="0.25">
      <c r="A6422" s="952"/>
      <c r="B6422" s="953"/>
      <c r="C6422" s="953"/>
      <c r="D6422" s="953"/>
      <c r="E6422" s="953"/>
      <c r="F6422" s="953"/>
      <c r="G6422" s="953"/>
      <c r="H6422" s="953"/>
    </row>
    <row r="6423" spans="1:8" s="943" customFormat="1" x14ac:dyDescent="0.25">
      <c r="A6423" s="952"/>
      <c r="B6423" s="953"/>
      <c r="C6423" s="953"/>
      <c r="D6423" s="953"/>
      <c r="E6423" s="953"/>
      <c r="F6423" s="953"/>
      <c r="G6423" s="953"/>
      <c r="H6423" s="953"/>
    </row>
    <row r="6424" spans="1:8" s="943" customFormat="1" x14ac:dyDescent="0.25">
      <c r="A6424" s="952"/>
      <c r="B6424" s="953"/>
      <c r="C6424" s="953"/>
      <c r="D6424" s="953"/>
      <c r="E6424" s="953"/>
      <c r="F6424" s="953"/>
      <c r="G6424" s="953"/>
      <c r="H6424" s="953"/>
    </row>
    <row r="6425" spans="1:8" s="943" customFormat="1" x14ac:dyDescent="0.25">
      <c r="A6425" s="952"/>
      <c r="B6425" s="953"/>
      <c r="C6425" s="953"/>
      <c r="D6425" s="953"/>
      <c r="E6425" s="953"/>
      <c r="F6425" s="953"/>
      <c r="G6425" s="953"/>
      <c r="H6425" s="953"/>
    </row>
    <row r="6426" spans="1:8" s="943" customFormat="1" x14ac:dyDescent="0.25">
      <c r="A6426" s="952"/>
      <c r="B6426" s="953"/>
      <c r="C6426" s="953"/>
      <c r="D6426" s="953"/>
      <c r="E6426" s="953"/>
      <c r="F6426" s="953"/>
      <c r="G6426" s="953"/>
      <c r="H6426" s="953"/>
    </row>
    <row r="6427" spans="1:8" s="943" customFormat="1" x14ac:dyDescent="0.25">
      <c r="A6427" s="952"/>
      <c r="B6427" s="953"/>
      <c r="C6427" s="953"/>
      <c r="D6427" s="953"/>
      <c r="E6427" s="953"/>
      <c r="F6427" s="953"/>
      <c r="G6427" s="953"/>
      <c r="H6427" s="953"/>
    </row>
    <row r="6428" spans="1:8" s="943" customFormat="1" x14ac:dyDescent="0.25">
      <c r="A6428" s="952"/>
      <c r="B6428" s="953"/>
      <c r="C6428" s="953"/>
      <c r="D6428" s="953"/>
      <c r="E6428" s="953"/>
      <c r="F6428" s="953"/>
      <c r="G6428" s="953"/>
      <c r="H6428" s="953"/>
    </row>
    <row r="6429" spans="1:8" s="943" customFormat="1" x14ac:dyDescent="0.25">
      <c r="A6429" s="952"/>
      <c r="B6429" s="953"/>
      <c r="C6429" s="953"/>
      <c r="D6429" s="953"/>
      <c r="E6429" s="953"/>
      <c r="F6429" s="953"/>
      <c r="G6429" s="953"/>
      <c r="H6429" s="953"/>
    </row>
    <row r="6430" spans="1:8" s="943" customFormat="1" x14ac:dyDescent="0.25">
      <c r="A6430" s="952"/>
      <c r="B6430" s="953"/>
      <c r="C6430" s="953"/>
      <c r="D6430" s="953"/>
      <c r="E6430" s="953"/>
      <c r="F6430" s="953"/>
      <c r="G6430" s="953"/>
      <c r="H6430" s="953"/>
    </row>
    <row r="6431" spans="1:8" s="943" customFormat="1" x14ac:dyDescent="0.25">
      <c r="A6431" s="952"/>
      <c r="B6431" s="953"/>
      <c r="C6431" s="953"/>
      <c r="D6431" s="953"/>
      <c r="E6431" s="953"/>
      <c r="F6431" s="953"/>
      <c r="G6431" s="953"/>
      <c r="H6431" s="953"/>
    </row>
    <row r="6432" spans="1:8" s="943" customFormat="1" x14ac:dyDescent="0.25">
      <c r="A6432" s="952"/>
      <c r="B6432" s="953"/>
      <c r="C6432" s="953"/>
      <c r="D6432" s="953"/>
      <c r="E6432" s="953"/>
      <c r="F6432" s="953"/>
      <c r="G6432" s="953"/>
      <c r="H6432" s="953"/>
    </row>
    <row r="6433" spans="1:8" s="943" customFormat="1" x14ac:dyDescent="0.25">
      <c r="A6433" s="952"/>
      <c r="B6433" s="953"/>
      <c r="C6433" s="953"/>
      <c r="D6433" s="953"/>
      <c r="E6433" s="953"/>
      <c r="F6433" s="953"/>
      <c r="G6433" s="953"/>
      <c r="H6433" s="953"/>
    </row>
    <row r="6434" spans="1:8" s="943" customFormat="1" x14ac:dyDescent="0.25">
      <c r="A6434" s="952"/>
      <c r="B6434" s="953"/>
      <c r="C6434" s="953"/>
      <c r="D6434" s="953"/>
      <c r="E6434" s="953"/>
      <c r="F6434" s="953"/>
      <c r="G6434" s="953"/>
      <c r="H6434" s="953"/>
    </row>
    <row r="6435" spans="1:8" s="943" customFormat="1" x14ac:dyDescent="0.25">
      <c r="A6435" s="952"/>
      <c r="B6435" s="953"/>
      <c r="C6435" s="953"/>
      <c r="D6435" s="953"/>
      <c r="E6435" s="953"/>
      <c r="F6435" s="953"/>
      <c r="G6435" s="953"/>
      <c r="H6435" s="953"/>
    </row>
    <row r="6436" spans="1:8" s="943" customFormat="1" x14ac:dyDescent="0.25">
      <c r="A6436" s="952"/>
      <c r="B6436" s="953"/>
      <c r="C6436" s="953"/>
      <c r="D6436" s="953"/>
      <c r="E6436" s="953"/>
      <c r="F6436" s="953"/>
      <c r="G6436" s="953"/>
      <c r="H6436" s="953"/>
    </row>
    <row r="6437" spans="1:8" s="943" customFormat="1" x14ac:dyDescent="0.25">
      <c r="A6437" s="952"/>
      <c r="B6437" s="953"/>
      <c r="C6437" s="953"/>
      <c r="D6437" s="953"/>
      <c r="E6437" s="953"/>
      <c r="F6437" s="953"/>
      <c r="G6437" s="953"/>
      <c r="H6437" s="953"/>
    </row>
    <row r="6438" spans="1:8" s="943" customFormat="1" x14ac:dyDescent="0.25">
      <c r="A6438" s="952"/>
      <c r="B6438" s="953"/>
      <c r="C6438" s="953"/>
      <c r="D6438" s="953"/>
      <c r="E6438" s="953"/>
      <c r="F6438" s="953"/>
      <c r="G6438" s="953"/>
      <c r="H6438" s="953"/>
    </row>
    <row r="6439" spans="1:8" s="943" customFormat="1" x14ac:dyDescent="0.25">
      <c r="A6439" s="952"/>
      <c r="B6439" s="953"/>
      <c r="C6439" s="953"/>
      <c r="D6439" s="953"/>
      <c r="E6439" s="953"/>
      <c r="F6439" s="953"/>
      <c r="G6439" s="953"/>
      <c r="H6439" s="953"/>
    </row>
    <row r="6440" spans="1:8" s="943" customFormat="1" x14ac:dyDescent="0.25">
      <c r="A6440" s="952"/>
      <c r="B6440" s="953"/>
      <c r="C6440" s="953"/>
      <c r="D6440" s="953"/>
      <c r="E6440" s="953"/>
      <c r="F6440" s="953"/>
      <c r="G6440" s="953"/>
      <c r="H6440" s="953"/>
    </row>
    <row r="6441" spans="1:8" s="943" customFormat="1" x14ac:dyDescent="0.25">
      <c r="A6441" s="952"/>
      <c r="B6441" s="953"/>
      <c r="C6441" s="953"/>
      <c r="D6441" s="953"/>
      <c r="E6441" s="953"/>
      <c r="F6441" s="953"/>
      <c r="G6441" s="953"/>
      <c r="H6441" s="953"/>
    </row>
    <row r="6442" spans="1:8" s="943" customFormat="1" x14ac:dyDescent="0.25">
      <c r="A6442" s="952"/>
      <c r="B6442" s="953"/>
      <c r="C6442" s="953"/>
      <c r="D6442" s="953"/>
      <c r="E6442" s="953"/>
      <c r="F6442" s="953"/>
      <c r="G6442" s="953"/>
      <c r="H6442" s="953"/>
    </row>
    <row r="6443" spans="1:8" s="943" customFormat="1" x14ac:dyDescent="0.25">
      <c r="A6443" s="952"/>
      <c r="B6443" s="953"/>
      <c r="C6443" s="953"/>
      <c r="D6443" s="953"/>
      <c r="E6443" s="953"/>
      <c r="F6443" s="953"/>
      <c r="G6443" s="953"/>
      <c r="H6443" s="953"/>
    </row>
    <row r="6444" spans="1:8" s="943" customFormat="1" x14ac:dyDescent="0.25">
      <c r="A6444" s="952"/>
      <c r="B6444" s="953"/>
      <c r="C6444" s="953"/>
      <c r="D6444" s="953"/>
      <c r="E6444" s="953"/>
      <c r="F6444" s="953"/>
      <c r="G6444" s="953"/>
      <c r="H6444" s="953"/>
    </row>
    <row r="6445" spans="1:8" s="943" customFormat="1" x14ac:dyDescent="0.25">
      <c r="A6445" s="952"/>
      <c r="B6445" s="953"/>
      <c r="C6445" s="953"/>
      <c r="D6445" s="953"/>
      <c r="E6445" s="953"/>
      <c r="F6445" s="953"/>
      <c r="G6445" s="953"/>
      <c r="H6445" s="953"/>
    </row>
    <row r="6446" spans="1:8" s="943" customFormat="1" x14ac:dyDescent="0.25">
      <c r="A6446" s="952"/>
      <c r="B6446" s="953"/>
      <c r="C6446" s="953"/>
      <c r="D6446" s="953"/>
      <c r="E6446" s="953"/>
      <c r="F6446" s="953"/>
      <c r="G6446" s="953"/>
      <c r="H6446" s="953"/>
    </row>
    <row r="6447" spans="1:8" s="943" customFormat="1" x14ac:dyDescent="0.25">
      <c r="A6447" s="952"/>
      <c r="B6447" s="953"/>
      <c r="C6447" s="953"/>
      <c r="D6447" s="953"/>
      <c r="E6447" s="953"/>
      <c r="F6447" s="953"/>
      <c r="G6447" s="953"/>
      <c r="H6447" s="953"/>
    </row>
    <row r="6448" spans="1:8" s="943" customFormat="1" x14ac:dyDescent="0.25">
      <c r="A6448" s="952"/>
      <c r="B6448" s="953"/>
      <c r="C6448" s="953"/>
      <c r="D6448" s="953"/>
      <c r="E6448" s="953"/>
      <c r="F6448" s="953"/>
      <c r="G6448" s="953"/>
      <c r="H6448" s="953"/>
    </row>
    <row r="6449" spans="1:8" s="943" customFormat="1" x14ac:dyDescent="0.25">
      <c r="A6449" s="952"/>
      <c r="B6449" s="953"/>
      <c r="C6449" s="953"/>
      <c r="D6449" s="953"/>
      <c r="E6449" s="953"/>
      <c r="F6449" s="953"/>
      <c r="G6449" s="953"/>
      <c r="H6449" s="953"/>
    </row>
    <row r="6450" spans="1:8" s="943" customFormat="1" x14ac:dyDescent="0.25">
      <c r="A6450" s="952"/>
      <c r="B6450" s="953"/>
      <c r="C6450" s="953"/>
      <c r="D6450" s="953"/>
      <c r="E6450" s="953"/>
      <c r="F6450" s="953"/>
      <c r="G6450" s="953"/>
      <c r="H6450" s="953"/>
    </row>
    <row r="6451" spans="1:8" s="943" customFormat="1" x14ac:dyDescent="0.25">
      <c r="A6451" s="952"/>
      <c r="B6451" s="953"/>
      <c r="C6451" s="953"/>
      <c r="D6451" s="953"/>
      <c r="E6451" s="953"/>
      <c r="F6451" s="953"/>
      <c r="G6451" s="953"/>
      <c r="H6451" s="953"/>
    </row>
    <row r="6452" spans="1:8" s="943" customFormat="1" x14ac:dyDescent="0.25">
      <c r="A6452" s="952"/>
      <c r="B6452" s="953"/>
      <c r="C6452" s="953"/>
      <c r="D6452" s="953"/>
      <c r="E6452" s="953"/>
      <c r="F6452" s="953"/>
      <c r="G6452" s="953"/>
      <c r="H6452" s="953"/>
    </row>
    <row r="6453" spans="1:8" s="943" customFormat="1" x14ac:dyDescent="0.25">
      <c r="A6453" s="952"/>
      <c r="B6453" s="953"/>
      <c r="C6453" s="953"/>
      <c r="D6453" s="953"/>
      <c r="E6453" s="953"/>
      <c r="F6453" s="953"/>
      <c r="G6453" s="953"/>
      <c r="H6453" s="953"/>
    </row>
    <row r="6454" spans="1:8" s="943" customFormat="1" x14ac:dyDescent="0.25">
      <c r="A6454" s="952"/>
      <c r="B6454" s="953"/>
      <c r="C6454" s="953"/>
      <c r="D6454" s="953"/>
      <c r="E6454" s="953"/>
      <c r="F6454" s="953"/>
      <c r="G6454" s="953"/>
      <c r="H6454" s="953"/>
    </row>
    <row r="6455" spans="1:8" s="943" customFormat="1" x14ac:dyDescent="0.25">
      <c r="A6455" s="952"/>
      <c r="B6455" s="953"/>
      <c r="C6455" s="953"/>
      <c r="D6455" s="953"/>
      <c r="E6455" s="953"/>
      <c r="F6455" s="953"/>
      <c r="G6455" s="953"/>
      <c r="H6455" s="953"/>
    </row>
    <row r="6456" spans="1:8" s="943" customFormat="1" x14ac:dyDescent="0.25">
      <c r="A6456" s="952"/>
      <c r="B6456" s="953"/>
      <c r="C6456" s="953"/>
      <c r="D6456" s="953"/>
      <c r="E6456" s="953"/>
      <c r="F6456" s="953"/>
      <c r="G6456" s="953"/>
      <c r="H6456" s="953"/>
    </row>
    <row r="6457" spans="1:8" s="943" customFormat="1" x14ac:dyDescent="0.25">
      <c r="A6457" s="952"/>
      <c r="B6457" s="953"/>
      <c r="C6457" s="953"/>
      <c r="D6457" s="953"/>
      <c r="E6457" s="953"/>
      <c r="F6457" s="953"/>
      <c r="G6457" s="953"/>
      <c r="H6457" s="953"/>
    </row>
    <row r="6458" spans="1:8" s="943" customFormat="1" x14ac:dyDescent="0.25">
      <c r="A6458" s="952"/>
      <c r="B6458" s="953"/>
      <c r="C6458" s="953"/>
      <c r="D6458" s="953"/>
      <c r="E6458" s="953"/>
      <c r="F6458" s="953"/>
      <c r="G6458" s="953"/>
      <c r="H6458" s="953"/>
    </row>
    <row r="6459" spans="1:8" s="943" customFormat="1" x14ac:dyDescent="0.25">
      <c r="A6459" s="952"/>
      <c r="B6459" s="953"/>
      <c r="C6459" s="953"/>
      <c r="D6459" s="953"/>
      <c r="E6459" s="953"/>
      <c r="F6459" s="953"/>
      <c r="G6459" s="953"/>
      <c r="H6459" s="953"/>
    </row>
    <row r="6460" spans="1:8" s="943" customFormat="1" x14ac:dyDescent="0.25">
      <c r="A6460" s="952"/>
      <c r="B6460" s="953"/>
      <c r="C6460" s="953"/>
      <c r="D6460" s="953"/>
      <c r="E6460" s="953"/>
      <c r="F6460" s="953"/>
      <c r="G6460" s="953"/>
      <c r="H6460" s="953"/>
    </row>
    <row r="6461" spans="1:8" s="943" customFormat="1" x14ac:dyDescent="0.25">
      <c r="A6461" s="952"/>
      <c r="B6461" s="953"/>
      <c r="C6461" s="953"/>
      <c r="D6461" s="953"/>
      <c r="E6461" s="953"/>
      <c r="F6461" s="953"/>
      <c r="G6461" s="953"/>
      <c r="H6461" s="953"/>
    </row>
    <row r="6462" spans="1:8" s="943" customFormat="1" x14ac:dyDescent="0.25">
      <c r="A6462" s="952"/>
      <c r="B6462" s="953"/>
      <c r="C6462" s="953"/>
      <c r="D6462" s="953"/>
      <c r="E6462" s="953"/>
      <c r="F6462" s="953"/>
      <c r="G6462" s="953"/>
      <c r="H6462" s="953"/>
    </row>
    <row r="6463" spans="1:8" s="943" customFormat="1" x14ac:dyDescent="0.25">
      <c r="A6463" s="952"/>
      <c r="B6463" s="953"/>
      <c r="C6463" s="953"/>
      <c r="D6463" s="953"/>
      <c r="E6463" s="953"/>
      <c r="F6463" s="953"/>
      <c r="G6463" s="953"/>
      <c r="H6463" s="953"/>
    </row>
    <row r="6464" spans="1:8" s="943" customFormat="1" x14ac:dyDescent="0.25">
      <c r="A6464" s="952"/>
      <c r="B6464" s="953"/>
      <c r="C6464" s="953"/>
      <c r="D6464" s="953"/>
      <c r="E6464" s="953"/>
      <c r="F6464" s="953"/>
      <c r="G6464" s="953"/>
      <c r="H6464" s="953"/>
    </row>
    <row r="6465" spans="1:8" s="943" customFormat="1" x14ac:dyDescent="0.25">
      <c r="A6465" s="952"/>
      <c r="B6465" s="953"/>
      <c r="C6465" s="953"/>
      <c r="D6465" s="953"/>
      <c r="E6465" s="953"/>
      <c r="F6465" s="953"/>
      <c r="G6465" s="953"/>
      <c r="H6465" s="953"/>
    </row>
    <row r="6466" spans="1:8" s="943" customFormat="1" x14ac:dyDescent="0.25">
      <c r="A6466" s="952"/>
      <c r="B6466" s="953"/>
      <c r="C6466" s="953"/>
      <c r="D6466" s="953"/>
      <c r="E6466" s="953"/>
      <c r="F6466" s="953"/>
      <c r="G6466" s="953"/>
      <c r="H6466" s="953"/>
    </row>
    <row r="6467" spans="1:8" s="943" customFormat="1" x14ac:dyDescent="0.25">
      <c r="A6467" s="952"/>
      <c r="B6467" s="953"/>
      <c r="C6467" s="953"/>
      <c r="D6467" s="953"/>
      <c r="E6467" s="953"/>
      <c r="F6467" s="953"/>
      <c r="G6467" s="953"/>
      <c r="H6467" s="953"/>
    </row>
    <row r="6468" spans="1:8" s="943" customFormat="1" x14ac:dyDescent="0.25">
      <c r="A6468" s="952"/>
      <c r="B6468" s="953"/>
      <c r="C6468" s="953"/>
      <c r="D6468" s="953"/>
      <c r="E6468" s="953"/>
      <c r="F6468" s="953"/>
      <c r="G6468" s="953"/>
      <c r="H6468" s="953"/>
    </row>
    <row r="6469" spans="1:8" s="943" customFormat="1" x14ac:dyDescent="0.25">
      <c r="A6469" s="952"/>
      <c r="B6469" s="953"/>
      <c r="C6469" s="953"/>
      <c r="D6469" s="953"/>
      <c r="E6469" s="953"/>
      <c r="F6469" s="953"/>
      <c r="G6469" s="953"/>
      <c r="H6469" s="953"/>
    </row>
    <row r="6470" spans="1:8" s="943" customFormat="1" x14ac:dyDescent="0.25">
      <c r="A6470" s="952"/>
      <c r="B6470" s="953"/>
      <c r="C6470" s="953"/>
      <c r="D6470" s="953"/>
      <c r="E6470" s="953"/>
      <c r="F6470" s="953"/>
      <c r="G6470" s="953"/>
      <c r="H6470" s="953"/>
    </row>
    <row r="6471" spans="1:8" s="943" customFormat="1" x14ac:dyDescent="0.25">
      <c r="A6471" s="952"/>
      <c r="B6471" s="953"/>
      <c r="C6471" s="953"/>
      <c r="D6471" s="953"/>
      <c r="E6471" s="953"/>
      <c r="F6471" s="953"/>
      <c r="G6471" s="953"/>
      <c r="H6471" s="953"/>
    </row>
    <row r="6472" spans="1:8" s="943" customFormat="1" x14ac:dyDescent="0.25">
      <c r="A6472" s="952"/>
      <c r="B6472" s="953"/>
      <c r="C6472" s="953"/>
      <c r="D6472" s="953"/>
      <c r="E6472" s="953"/>
      <c r="F6472" s="953"/>
      <c r="G6472" s="953"/>
      <c r="H6472" s="953"/>
    </row>
    <row r="6473" spans="1:8" s="943" customFormat="1" x14ac:dyDescent="0.25">
      <c r="A6473" s="952"/>
      <c r="B6473" s="953"/>
      <c r="C6473" s="953"/>
      <c r="D6473" s="953"/>
      <c r="E6473" s="953"/>
      <c r="F6473" s="953"/>
      <c r="G6473" s="953"/>
      <c r="H6473" s="953"/>
    </row>
    <row r="6474" spans="1:8" s="943" customFormat="1" x14ac:dyDescent="0.25">
      <c r="A6474" s="952"/>
      <c r="B6474" s="953"/>
      <c r="C6474" s="953"/>
      <c r="D6474" s="953"/>
      <c r="E6474" s="953"/>
      <c r="F6474" s="953"/>
      <c r="G6474" s="953"/>
      <c r="H6474" s="953"/>
    </row>
    <row r="6475" spans="1:8" s="943" customFormat="1" x14ac:dyDescent="0.25">
      <c r="A6475" s="952"/>
      <c r="B6475" s="953"/>
      <c r="C6475" s="953"/>
      <c r="D6475" s="953"/>
      <c r="E6475" s="953"/>
      <c r="F6475" s="953"/>
      <c r="G6475" s="953"/>
      <c r="H6475" s="953"/>
    </row>
    <row r="6476" spans="1:8" s="943" customFormat="1" x14ac:dyDescent="0.25">
      <c r="A6476" s="952"/>
      <c r="B6476" s="953"/>
      <c r="C6476" s="953"/>
      <c r="D6476" s="953"/>
      <c r="E6476" s="953"/>
      <c r="F6476" s="953"/>
      <c r="G6476" s="953"/>
      <c r="H6476" s="953"/>
    </row>
    <row r="6477" spans="1:8" s="943" customFormat="1" x14ac:dyDescent="0.25">
      <c r="A6477" s="952"/>
      <c r="B6477" s="953"/>
      <c r="C6477" s="953"/>
      <c r="D6477" s="953"/>
      <c r="E6477" s="953"/>
      <c r="F6477" s="953"/>
      <c r="G6477" s="953"/>
      <c r="H6477" s="953"/>
    </row>
    <row r="6478" spans="1:8" s="943" customFormat="1" x14ac:dyDescent="0.25">
      <c r="A6478" s="952"/>
      <c r="B6478" s="953"/>
      <c r="C6478" s="953"/>
      <c r="D6478" s="953"/>
      <c r="E6478" s="953"/>
      <c r="F6478" s="953"/>
      <c r="G6478" s="953"/>
      <c r="H6478" s="953"/>
    </row>
    <row r="6479" spans="1:8" s="943" customFormat="1" x14ac:dyDescent="0.25">
      <c r="A6479" s="952"/>
      <c r="B6479" s="953"/>
      <c r="C6479" s="953"/>
      <c r="D6479" s="953"/>
      <c r="E6479" s="953"/>
      <c r="F6479" s="953"/>
      <c r="G6479" s="953"/>
      <c r="H6479" s="953"/>
    </row>
    <row r="6480" spans="1:8" s="943" customFormat="1" x14ac:dyDescent="0.25">
      <c r="A6480" s="952"/>
      <c r="B6480" s="953"/>
      <c r="C6480" s="953"/>
      <c r="D6480" s="953"/>
      <c r="E6480" s="953"/>
      <c r="F6480" s="953"/>
      <c r="G6480" s="953"/>
      <c r="H6480" s="953"/>
    </row>
    <row r="6481" spans="1:8" s="943" customFormat="1" x14ac:dyDescent="0.25">
      <c r="A6481" s="952"/>
      <c r="B6481" s="953"/>
      <c r="C6481" s="953"/>
      <c r="D6481" s="953"/>
      <c r="E6481" s="953"/>
      <c r="F6481" s="953"/>
      <c r="G6481" s="953"/>
      <c r="H6481" s="953"/>
    </row>
    <row r="6482" spans="1:8" s="943" customFormat="1" x14ac:dyDescent="0.25">
      <c r="A6482" s="952"/>
      <c r="B6482" s="953"/>
      <c r="C6482" s="953"/>
      <c r="D6482" s="953"/>
      <c r="E6482" s="953"/>
      <c r="F6482" s="953"/>
      <c r="G6482" s="953"/>
      <c r="H6482" s="953"/>
    </row>
    <row r="6483" spans="1:8" s="943" customFormat="1" x14ac:dyDescent="0.25">
      <c r="A6483" s="952"/>
      <c r="B6483" s="953"/>
      <c r="C6483" s="953"/>
      <c r="D6483" s="953"/>
      <c r="E6483" s="953"/>
      <c r="F6483" s="953"/>
      <c r="G6483" s="953"/>
      <c r="H6483" s="953"/>
    </row>
    <row r="6484" spans="1:8" s="943" customFormat="1" x14ac:dyDescent="0.25">
      <c r="A6484" s="952"/>
      <c r="B6484" s="953"/>
      <c r="C6484" s="953"/>
      <c r="D6484" s="953"/>
      <c r="E6484" s="953"/>
      <c r="F6484" s="953"/>
      <c r="G6484" s="953"/>
      <c r="H6484" s="953"/>
    </row>
    <row r="6485" spans="1:8" s="943" customFormat="1" x14ac:dyDescent="0.25">
      <c r="A6485" s="952"/>
      <c r="B6485" s="953"/>
      <c r="C6485" s="953"/>
      <c r="D6485" s="953"/>
      <c r="E6485" s="953"/>
      <c r="F6485" s="953"/>
      <c r="G6485" s="953"/>
      <c r="H6485" s="953"/>
    </row>
    <row r="6486" spans="1:8" s="943" customFormat="1" x14ac:dyDescent="0.25">
      <c r="A6486" s="952"/>
      <c r="B6486" s="953"/>
      <c r="C6486" s="953"/>
      <c r="D6486" s="953"/>
      <c r="E6486" s="953"/>
      <c r="F6486" s="953"/>
      <c r="G6486" s="953"/>
      <c r="H6486" s="953"/>
    </row>
    <row r="6487" spans="1:8" s="943" customFormat="1" x14ac:dyDescent="0.25">
      <c r="A6487" s="952"/>
      <c r="B6487" s="953"/>
      <c r="C6487" s="953"/>
      <c r="D6487" s="953"/>
      <c r="E6487" s="953"/>
      <c r="F6487" s="953"/>
      <c r="G6487" s="953"/>
      <c r="H6487" s="953"/>
    </row>
    <row r="6488" spans="1:8" s="943" customFormat="1" x14ac:dyDescent="0.25">
      <c r="A6488" s="952"/>
      <c r="B6488" s="953"/>
      <c r="C6488" s="953"/>
      <c r="D6488" s="953"/>
      <c r="E6488" s="953"/>
      <c r="F6488" s="953"/>
      <c r="G6488" s="953"/>
      <c r="H6488" s="953"/>
    </row>
    <row r="6489" spans="1:8" s="943" customFormat="1" x14ac:dyDescent="0.25">
      <c r="A6489" s="952"/>
      <c r="B6489" s="953"/>
      <c r="C6489" s="953"/>
      <c r="D6489" s="953"/>
      <c r="E6489" s="953"/>
      <c r="F6489" s="953"/>
      <c r="G6489" s="953"/>
      <c r="H6489" s="953"/>
    </row>
    <row r="6490" spans="1:8" s="943" customFormat="1" x14ac:dyDescent="0.25">
      <c r="A6490" s="952"/>
      <c r="B6490" s="953"/>
      <c r="C6490" s="953"/>
      <c r="D6490" s="953"/>
      <c r="E6490" s="953"/>
      <c r="F6490" s="953"/>
      <c r="G6490" s="953"/>
      <c r="H6490" s="953"/>
    </row>
    <row r="6491" spans="1:8" s="943" customFormat="1" x14ac:dyDescent="0.25">
      <c r="A6491" s="952"/>
      <c r="B6491" s="953"/>
      <c r="C6491" s="953"/>
      <c r="D6491" s="953"/>
      <c r="E6491" s="953"/>
      <c r="F6491" s="953"/>
      <c r="G6491" s="953"/>
      <c r="H6491" s="953"/>
    </row>
    <row r="6492" spans="1:8" s="943" customFormat="1" x14ac:dyDescent="0.25">
      <c r="A6492" s="952"/>
      <c r="B6492" s="953"/>
      <c r="C6492" s="953"/>
      <c r="D6492" s="953"/>
      <c r="E6492" s="953"/>
      <c r="F6492" s="953"/>
      <c r="G6492" s="953"/>
      <c r="H6492" s="953"/>
    </row>
    <row r="6493" spans="1:8" s="943" customFormat="1" x14ac:dyDescent="0.25">
      <c r="A6493" s="952"/>
      <c r="B6493" s="953"/>
      <c r="C6493" s="953"/>
      <c r="D6493" s="953"/>
      <c r="E6493" s="953"/>
      <c r="F6493" s="953"/>
      <c r="G6493" s="953"/>
      <c r="H6493" s="953"/>
    </row>
    <row r="6494" spans="1:8" s="943" customFormat="1" x14ac:dyDescent="0.25">
      <c r="A6494" s="952"/>
      <c r="B6494" s="953"/>
      <c r="C6494" s="953"/>
      <c r="D6494" s="953"/>
      <c r="E6494" s="953"/>
      <c r="F6494" s="953"/>
      <c r="G6494" s="953"/>
      <c r="H6494" s="953"/>
    </row>
    <row r="6495" spans="1:8" s="943" customFormat="1" x14ac:dyDescent="0.25">
      <c r="A6495" s="952"/>
      <c r="B6495" s="953"/>
      <c r="C6495" s="953"/>
      <c r="D6495" s="953"/>
      <c r="E6495" s="953"/>
      <c r="F6495" s="953"/>
      <c r="G6495" s="953"/>
      <c r="H6495" s="953"/>
    </row>
    <row r="6496" spans="1:8" s="943" customFormat="1" x14ac:dyDescent="0.25">
      <c r="A6496" s="952"/>
      <c r="B6496" s="953"/>
      <c r="C6496" s="953"/>
      <c r="D6496" s="953"/>
      <c r="E6496" s="953"/>
      <c r="F6496" s="953"/>
      <c r="G6496" s="953"/>
      <c r="H6496" s="953"/>
    </row>
    <row r="6497" spans="1:8" s="943" customFormat="1" x14ac:dyDescent="0.25">
      <c r="A6497" s="952"/>
      <c r="B6497" s="953"/>
      <c r="C6497" s="953"/>
      <c r="D6497" s="953"/>
      <c r="E6497" s="953"/>
      <c r="F6497" s="953"/>
      <c r="G6497" s="953"/>
      <c r="H6497" s="953"/>
    </row>
    <row r="6498" spans="1:8" s="943" customFormat="1" x14ac:dyDescent="0.25">
      <c r="A6498" s="952"/>
      <c r="B6498" s="953"/>
      <c r="C6498" s="953"/>
      <c r="D6498" s="953"/>
      <c r="E6498" s="953"/>
      <c r="F6498" s="953"/>
      <c r="G6498" s="953"/>
      <c r="H6498" s="953"/>
    </row>
    <row r="6499" spans="1:8" s="943" customFormat="1" x14ac:dyDescent="0.25">
      <c r="A6499" s="952"/>
      <c r="B6499" s="953"/>
      <c r="C6499" s="953"/>
      <c r="D6499" s="953"/>
      <c r="E6499" s="953"/>
      <c r="F6499" s="953"/>
      <c r="G6499" s="953"/>
      <c r="H6499" s="953"/>
    </row>
    <row r="6500" spans="1:8" s="943" customFormat="1" x14ac:dyDescent="0.25">
      <c r="A6500" s="952"/>
      <c r="B6500" s="953"/>
      <c r="C6500" s="953"/>
      <c r="D6500" s="953"/>
      <c r="E6500" s="953"/>
      <c r="F6500" s="953"/>
      <c r="G6500" s="953"/>
      <c r="H6500" s="953"/>
    </row>
    <row r="6501" spans="1:8" s="943" customFormat="1" x14ac:dyDescent="0.25">
      <c r="A6501" s="952"/>
      <c r="B6501" s="953"/>
      <c r="C6501" s="953"/>
      <c r="D6501" s="953"/>
      <c r="E6501" s="953"/>
      <c r="F6501" s="953"/>
      <c r="G6501" s="953"/>
      <c r="H6501" s="953"/>
    </row>
    <row r="6502" spans="1:8" s="943" customFormat="1" x14ac:dyDescent="0.25">
      <c r="A6502" s="952"/>
      <c r="B6502" s="953"/>
      <c r="C6502" s="953"/>
      <c r="D6502" s="953"/>
      <c r="E6502" s="953"/>
      <c r="F6502" s="953"/>
      <c r="G6502" s="953"/>
      <c r="H6502" s="953"/>
    </row>
    <row r="6503" spans="1:8" s="943" customFormat="1" x14ac:dyDescent="0.25">
      <c r="A6503" s="952"/>
      <c r="B6503" s="953"/>
      <c r="C6503" s="953"/>
      <c r="D6503" s="953"/>
      <c r="E6503" s="953"/>
      <c r="F6503" s="953"/>
      <c r="G6503" s="953"/>
      <c r="H6503" s="953"/>
    </row>
    <row r="6504" spans="1:8" s="943" customFormat="1" x14ac:dyDescent="0.25">
      <c r="A6504" s="952"/>
      <c r="B6504" s="953"/>
      <c r="C6504" s="953"/>
      <c r="D6504" s="953"/>
      <c r="E6504" s="953"/>
      <c r="F6504" s="953"/>
      <c r="G6504" s="953"/>
      <c r="H6504" s="953"/>
    </row>
    <row r="6505" spans="1:8" s="943" customFormat="1" x14ac:dyDescent="0.25">
      <c r="A6505" s="952"/>
      <c r="B6505" s="953"/>
      <c r="C6505" s="953"/>
      <c r="D6505" s="953"/>
      <c r="E6505" s="953"/>
      <c r="F6505" s="953"/>
      <c r="G6505" s="953"/>
      <c r="H6505" s="953"/>
    </row>
    <row r="6506" spans="1:8" s="943" customFormat="1" x14ac:dyDescent="0.25">
      <c r="A6506" s="952"/>
      <c r="B6506" s="953"/>
      <c r="C6506" s="953"/>
      <c r="D6506" s="953"/>
      <c r="E6506" s="953"/>
      <c r="F6506" s="953"/>
      <c r="G6506" s="953"/>
      <c r="H6506" s="953"/>
    </row>
    <row r="6507" spans="1:8" s="943" customFormat="1" x14ac:dyDescent="0.25">
      <c r="A6507" s="952"/>
      <c r="B6507" s="953"/>
      <c r="C6507" s="953"/>
      <c r="D6507" s="953"/>
      <c r="E6507" s="953"/>
      <c r="F6507" s="953"/>
      <c r="G6507" s="953"/>
      <c r="H6507" s="953"/>
    </row>
    <row r="6508" spans="1:8" s="943" customFormat="1" x14ac:dyDescent="0.25">
      <c r="A6508" s="952"/>
      <c r="B6508" s="953"/>
      <c r="C6508" s="953"/>
      <c r="D6508" s="953"/>
      <c r="E6508" s="953"/>
      <c r="F6508" s="953"/>
      <c r="G6508" s="953"/>
      <c r="H6508" s="953"/>
    </row>
    <row r="6509" spans="1:8" s="943" customFormat="1" x14ac:dyDescent="0.25">
      <c r="A6509" s="952"/>
      <c r="B6509" s="953"/>
      <c r="C6509" s="953"/>
      <c r="D6509" s="953"/>
      <c r="E6509" s="953"/>
      <c r="F6509" s="953"/>
      <c r="G6509" s="953"/>
      <c r="H6509" s="953"/>
    </row>
    <row r="6510" spans="1:8" s="943" customFormat="1" x14ac:dyDescent="0.25">
      <c r="A6510" s="952"/>
      <c r="B6510" s="953"/>
      <c r="C6510" s="953"/>
      <c r="D6510" s="953"/>
      <c r="E6510" s="953"/>
      <c r="F6510" s="953"/>
      <c r="G6510" s="953"/>
      <c r="H6510" s="953"/>
    </row>
    <row r="6511" spans="1:8" s="943" customFormat="1" x14ac:dyDescent="0.25">
      <c r="A6511" s="952"/>
      <c r="B6511" s="953"/>
      <c r="C6511" s="953"/>
      <c r="D6511" s="953"/>
      <c r="E6511" s="953"/>
      <c r="F6511" s="953"/>
      <c r="G6511" s="953"/>
      <c r="H6511" s="953"/>
    </row>
    <row r="6512" spans="1:8" s="943" customFormat="1" x14ac:dyDescent="0.25">
      <c r="A6512" s="952"/>
      <c r="B6512" s="953"/>
      <c r="C6512" s="953"/>
      <c r="D6512" s="953"/>
      <c r="E6512" s="953"/>
      <c r="F6512" s="953"/>
      <c r="G6512" s="953"/>
      <c r="H6512" s="953"/>
    </row>
    <row r="6513" spans="1:8" s="943" customFormat="1" x14ac:dyDescent="0.25">
      <c r="A6513" s="952"/>
      <c r="B6513" s="953"/>
      <c r="C6513" s="953"/>
      <c r="D6513" s="953"/>
      <c r="E6513" s="953"/>
      <c r="F6513" s="953"/>
      <c r="G6513" s="953"/>
      <c r="H6513" s="953"/>
    </row>
    <row r="6514" spans="1:8" s="943" customFormat="1" x14ac:dyDescent="0.25">
      <c r="A6514" s="952"/>
      <c r="B6514" s="953"/>
      <c r="C6514" s="953"/>
      <c r="D6514" s="953"/>
      <c r="E6514" s="953"/>
      <c r="F6514" s="953"/>
      <c r="G6514" s="953"/>
      <c r="H6514" s="953"/>
    </row>
    <row r="6515" spans="1:8" s="943" customFormat="1" x14ac:dyDescent="0.25">
      <c r="A6515" s="952"/>
      <c r="B6515" s="953"/>
      <c r="C6515" s="953"/>
      <c r="D6515" s="953"/>
      <c r="E6515" s="953"/>
      <c r="F6515" s="953"/>
      <c r="G6515" s="953"/>
      <c r="H6515" s="953"/>
    </row>
    <row r="6516" spans="1:8" s="943" customFormat="1" x14ac:dyDescent="0.25">
      <c r="A6516" s="952"/>
      <c r="B6516" s="953"/>
      <c r="C6516" s="953"/>
      <c r="D6516" s="953"/>
      <c r="E6516" s="953"/>
      <c r="F6516" s="953"/>
      <c r="G6516" s="953"/>
      <c r="H6516" s="953"/>
    </row>
    <row r="6517" spans="1:8" s="943" customFormat="1" x14ac:dyDescent="0.25">
      <c r="A6517" s="952"/>
      <c r="B6517" s="953"/>
      <c r="C6517" s="953"/>
      <c r="D6517" s="953"/>
      <c r="E6517" s="953"/>
      <c r="F6517" s="953"/>
      <c r="G6517" s="953"/>
      <c r="H6517" s="953"/>
    </row>
    <row r="6518" spans="1:8" s="943" customFormat="1" x14ac:dyDescent="0.25">
      <c r="A6518" s="952"/>
      <c r="B6518" s="953"/>
      <c r="C6518" s="953"/>
      <c r="D6518" s="953"/>
      <c r="E6518" s="953"/>
      <c r="F6518" s="953"/>
      <c r="G6518" s="953"/>
      <c r="H6518" s="953"/>
    </row>
    <row r="6519" spans="1:8" s="943" customFormat="1" x14ac:dyDescent="0.25">
      <c r="A6519" s="952"/>
      <c r="B6519" s="953"/>
      <c r="C6519" s="953"/>
      <c r="D6519" s="953"/>
      <c r="E6519" s="953"/>
      <c r="F6519" s="953"/>
      <c r="G6519" s="953"/>
      <c r="H6519" s="953"/>
    </row>
    <row r="6520" spans="1:8" s="943" customFormat="1" x14ac:dyDescent="0.25">
      <c r="A6520" s="952"/>
      <c r="B6520" s="953"/>
      <c r="C6520" s="953"/>
      <c r="D6520" s="953"/>
      <c r="E6520" s="953"/>
      <c r="F6520" s="953"/>
      <c r="G6520" s="953"/>
      <c r="H6520" s="953"/>
    </row>
    <row r="6521" spans="1:8" s="943" customFormat="1" x14ac:dyDescent="0.25">
      <c r="A6521" s="952"/>
      <c r="B6521" s="953"/>
      <c r="C6521" s="953"/>
      <c r="D6521" s="953"/>
      <c r="E6521" s="953"/>
      <c r="F6521" s="953"/>
      <c r="G6521" s="953"/>
      <c r="H6521" s="953"/>
    </row>
    <row r="6522" spans="1:8" s="943" customFormat="1" x14ac:dyDescent="0.25">
      <c r="A6522" s="952"/>
      <c r="B6522" s="953"/>
      <c r="C6522" s="953"/>
      <c r="D6522" s="953"/>
      <c r="E6522" s="953"/>
      <c r="F6522" s="953"/>
      <c r="G6522" s="953"/>
      <c r="H6522" s="953"/>
    </row>
    <row r="6523" spans="1:8" s="943" customFormat="1" x14ac:dyDescent="0.25">
      <c r="A6523" s="952"/>
      <c r="B6523" s="953"/>
      <c r="C6523" s="953"/>
      <c r="D6523" s="953"/>
      <c r="E6523" s="953"/>
      <c r="F6523" s="953"/>
      <c r="G6523" s="953"/>
      <c r="H6523" s="953"/>
    </row>
    <row r="6524" spans="1:8" s="943" customFormat="1" x14ac:dyDescent="0.25">
      <c r="A6524" s="952"/>
      <c r="B6524" s="953"/>
      <c r="C6524" s="953"/>
      <c r="D6524" s="953"/>
      <c r="E6524" s="953"/>
      <c r="F6524" s="953"/>
      <c r="G6524" s="953"/>
      <c r="H6524" s="953"/>
    </row>
    <row r="6525" spans="1:8" s="943" customFormat="1" x14ac:dyDescent="0.25">
      <c r="A6525" s="952"/>
      <c r="B6525" s="953"/>
      <c r="C6525" s="953"/>
      <c r="D6525" s="953"/>
      <c r="E6525" s="953"/>
      <c r="F6525" s="953"/>
      <c r="G6525" s="953"/>
      <c r="H6525" s="953"/>
    </row>
    <row r="6526" spans="1:8" s="943" customFormat="1" x14ac:dyDescent="0.25">
      <c r="A6526" s="952"/>
      <c r="B6526" s="953"/>
      <c r="C6526" s="953"/>
      <c r="D6526" s="953"/>
      <c r="E6526" s="953"/>
      <c r="F6526" s="953"/>
      <c r="G6526" s="953"/>
      <c r="H6526" s="953"/>
    </row>
    <row r="6527" spans="1:8" s="943" customFormat="1" x14ac:dyDescent="0.25">
      <c r="A6527" s="952"/>
      <c r="B6527" s="953"/>
      <c r="C6527" s="953"/>
      <c r="D6527" s="953"/>
      <c r="E6527" s="953"/>
      <c r="F6527" s="953"/>
      <c r="G6527" s="953"/>
      <c r="H6527" s="953"/>
    </row>
    <row r="6528" spans="1:8" s="943" customFormat="1" x14ac:dyDescent="0.25">
      <c r="A6528" s="952"/>
      <c r="B6528" s="953"/>
      <c r="C6528" s="953"/>
      <c r="D6528" s="953"/>
      <c r="E6528" s="953"/>
      <c r="F6528" s="953"/>
      <c r="G6528" s="953"/>
      <c r="H6528" s="953"/>
    </row>
    <row r="6529" spans="1:8" s="943" customFormat="1" x14ac:dyDescent="0.25">
      <c r="A6529" s="952"/>
      <c r="B6529" s="953"/>
      <c r="C6529" s="953"/>
      <c r="D6529" s="953"/>
      <c r="E6529" s="953"/>
      <c r="F6529" s="953"/>
      <c r="G6529" s="953"/>
      <c r="H6529" s="953"/>
    </row>
    <row r="6530" spans="1:8" s="943" customFormat="1" x14ac:dyDescent="0.25">
      <c r="A6530" s="952"/>
      <c r="B6530" s="953"/>
      <c r="C6530" s="953"/>
      <c r="D6530" s="953"/>
      <c r="E6530" s="953"/>
      <c r="F6530" s="953"/>
      <c r="G6530" s="953"/>
      <c r="H6530" s="953"/>
    </row>
    <row r="6531" spans="1:8" s="943" customFormat="1" x14ac:dyDescent="0.25">
      <c r="A6531" s="952"/>
      <c r="B6531" s="953"/>
      <c r="C6531" s="953"/>
      <c r="D6531" s="953"/>
      <c r="E6531" s="953"/>
      <c r="F6531" s="953"/>
      <c r="G6531" s="953"/>
      <c r="H6531" s="953"/>
    </row>
    <row r="6532" spans="1:8" s="943" customFormat="1" x14ac:dyDescent="0.25">
      <c r="A6532" s="952"/>
      <c r="B6532" s="953"/>
      <c r="C6532" s="953"/>
      <c r="D6532" s="953"/>
      <c r="E6532" s="953"/>
      <c r="F6532" s="953"/>
      <c r="G6532" s="953"/>
      <c r="H6532" s="953"/>
    </row>
    <row r="6533" spans="1:8" s="943" customFormat="1" x14ac:dyDescent="0.25">
      <c r="A6533" s="952"/>
      <c r="B6533" s="953"/>
      <c r="C6533" s="953"/>
      <c r="D6533" s="953"/>
      <c r="E6533" s="953"/>
      <c r="F6533" s="953"/>
      <c r="G6533" s="953"/>
      <c r="H6533" s="953"/>
    </row>
    <row r="6534" spans="1:8" s="943" customFormat="1" x14ac:dyDescent="0.25">
      <c r="A6534" s="952"/>
      <c r="B6534" s="953"/>
      <c r="C6534" s="953"/>
      <c r="D6534" s="953"/>
      <c r="E6534" s="953"/>
      <c r="F6534" s="953"/>
      <c r="G6534" s="953"/>
      <c r="H6534" s="953"/>
    </row>
    <row r="6535" spans="1:8" s="943" customFormat="1" x14ac:dyDescent="0.25">
      <c r="A6535" s="952"/>
      <c r="B6535" s="953"/>
      <c r="C6535" s="953"/>
      <c r="D6535" s="953"/>
      <c r="E6535" s="953"/>
      <c r="F6535" s="953"/>
      <c r="G6535" s="953"/>
      <c r="H6535" s="953"/>
    </row>
    <row r="6536" spans="1:8" s="943" customFormat="1" x14ac:dyDescent="0.25">
      <c r="A6536" s="952"/>
      <c r="B6536" s="953"/>
      <c r="C6536" s="953"/>
      <c r="D6536" s="953"/>
      <c r="E6536" s="953"/>
      <c r="F6536" s="953"/>
      <c r="G6536" s="953"/>
      <c r="H6536" s="953"/>
    </row>
    <row r="6537" spans="1:8" s="943" customFormat="1" x14ac:dyDescent="0.25">
      <c r="A6537" s="952"/>
      <c r="B6537" s="953"/>
      <c r="C6537" s="953"/>
      <c r="D6537" s="953"/>
      <c r="E6537" s="953"/>
      <c r="F6537" s="953"/>
      <c r="G6537" s="953"/>
      <c r="H6537" s="953"/>
    </row>
    <row r="6538" spans="1:8" s="943" customFormat="1" x14ac:dyDescent="0.25">
      <c r="A6538" s="952"/>
      <c r="B6538" s="953"/>
      <c r="C6538" s="953"/>
      <c r="D6538" s="953"/>
      <c r="E6538" s="953"/>
      <c r="F6538" s="953"/>
      <c r="G6538" s="953"/>
      <c r="H6538" s="953"/>
    </row>
    <row r="6539" spans="1:8" s="943" customFormat="1" x14ac:dyDescent="0.25">
      <c r="A6539" s="952"/>
      <c r="B6539" s="953"/>
      <c r="C6539" s="953"/>
      <c r="D6539" s="953"/>
      <c r="E6539" s="953"/>
      <c r="F6539" s="953"/>
      <c r="G6539" s="953"/>
      <c r="H6539" s="953"/>
    </row>
    <row r="6540" spans="1:8" s="943" customFormat="1" x14ac:dyDescent="0.25">
      <c r="A6540" s="952"/>
      <c r="B6540" s="953"/>
      <c r="C6540" s="953"/>
      <c r="D6540" s="953"/>
      <c r="E6540" s="953"/>
      <c r="F6540" s="953"/>
      <c r="G6540" s="953"/>
      <c r="H6540" s="953"/>
    </row>
    <row r="6541" spans="1:8" s="943" customFormat="1" x14ac:dyDescent="0.25">
      <c r="A6541" s="952"/>
      <c r="B6541" s="953"/>
      <c r="C6541" s="953"/>
      <c r="D6541" s="953"/>
      <c r="E6541" s="953"/>
      <c r="F6541" s="953"/>
      <c r="G6541" s="953"/>
      <c r="H6541" s="953"/>
    </row>
    <row r="6542" spans="1:8" s="943" customFormat="1" x14ac:dyDescent="0.25">
      <c r="A6542" s="952"/>
      <c r="B6542" s="953"/>
      <c r="C6542" s="953"/>
      <c r="D6542" s="953"/>
      <c r="E6542" s="953"/>
      <c r="F6542" s="953"/>
      <c r="G6542" s="953"/>
      <c r="H6542" s="953"/>
    </row>
    <row r="6543" spans="1:8" s="943" customFormat="1" x14ac:dyDescent="0.25">
      <c r="A6543" s="952"/>
      <c r="B6543" s="953"/>
      <c r="C6543" s="953"/>
      <c r="D6543" s="953"/>
      <c r="E6543" s="953"/>
      <c r="F6543" s="953"/>
      <c r="G6543" s="953"/>
      <c r="H6543" s="953"/>
    </row>
    <row r="6544" spans="1:8" s="943" customFormat="1" x14ac:dyDescent="0.25">
      <c r="A6544" s="952"/>
      <c r="B6544" s="953"/>
      <c r="C6544" s="953"/>
      <c r="D6544" s="953"/>
      <c r="E6544" s="953"/>
      <c r="F6544" s="953"/>
      <c r="G6544" s="953"/>
      <c r="H6544" s="953"/>
    </row>
    <row r="6545" spans="1:8" s="943" customFormat="1" x14ac:dyDescent="0.25">
      <c r="A6545" s="952"/>
      <c r="B6545" s="953"/>
      <c r="C6545" s="953"/>
      <c r="D6545" s="953"/>
      <c r="E6545" s="953"/>
      <c r="F6545" s="953"/>
      <c r="G6545" s="953"/>
      <c r="H6545" s="953"/>
    </row>
    <row r="6546" spans="1:8" s="943" customFormat="1" x14ac:dyDescent="0.25">
      <c r="A6546" s="952"/>
      <c r="B6546" s="953"/>
      <c r="C6546" s="953"/>
      <c r="D6546" s="953"/>
      <c r="E6546" s="953"/>
      <c r="F6546" s="953"/>
      <c r="G6546" s="953"/>
      <c r="H6546" s="953"/>
    </row>
    <row r="6547" spans="1:8" s="943" customFormat="1" x14ac:dyDescent="0.25">
      <c r="A6547" s="952"/>
      <c r="B6547" s="953"/>
      <c r="C6547" s="953"/>
      <c r="D6547" s="953"/>
      <c r="E6547" s="953"/>
      <c r="F6547" s="953"/>
      <c r="G6547" s="953"/>
      <c r="H6547" s="953"/>
    </row>
    <row r="6548" spans="1:8" s="943" customFormat="1" x14ac:dyDescent="0.25">
      <c r="A6548" s="952"/>
      <c r="B6548" s="953"/>
      <c r="C6548" s="953"/>
      <c r="D6548" s="953"/>
      <c r="E6548" s="953"/>
      <c r="F6548" s="953"/>
      <c r="G6548" s="953"/>
      <c r="H6548" s="953"/>
    </row>
    <row r="6549" spans="1:8" s="943" customFormat="1" x14ac:dyDescent="0.25">
      <c r="A6549" s="952"/>
      <c r="B6549" s="953"/>
      <c r="C6549" s="953"/>
      <c r="D6549" s="953"/>
      <c r="E6549" s="953"/>
      <c r="F6549" s="953"/>
      <c r="G6549" s="953"/>
      <c r="H6549" s="953"/>
    </row>
    <row r="6550" spans="1:8" s="943" customFormat="1" x14ac:dyDescent="0.25">
      <c r="A6550" s="952"/>
      <c r="B6550" s="953"/>
      <c r="C6550" s="953"/>
      <c r="D6550" s="953"/>
      <c r="E6550" s="953"/>
      <c r="F6550" s="953"/>
      <c r="G6550" s="953"/>
      <c r="H6550" s="953"/>
    </row>
    <row r="6551" spans="1:8" s="943" customFormat="1" x14ac:dyDescent="0.25">
      <c r="A6551" s="952"/>
      <c r="B6551" s="953"/>
      <c r="C6551" s="953"/>
      <c r="D6551" s="953"/>
      <c r="E6551" s="953"/>
      <c r="F6551" s="953"/>
      <c r="G6551" s="953"/>
      <c r="H6551" s="953"/>
    </row>
    <row r="6552" spans="1:8" s="943" customFormat="1" x14ac:dyDescent="0.25">
      <c r="A6552" s="952"/>
      <c r="B6552" s="953"/>
      <c r="C6552" s="953"/>
      <c r="D6552" s="953"/>
      <c r="E6552" s="953"/>
      <c r="F6552" s="953"/>
      <c r="G6552" s="953"/>
      <c r="H6552" s="953"/>
    </row>
    <row r="6553" spans="1:8" s="943" customFormat="1" x14ac:dyDescent="0.25">
      <c r="A6553" s="952"/>
      <c r="B6553" s="953"/>
      <c r="C6553" s="953"/>
      <c r="D6553" s="953"/>
      <c r="E6553" s="953"/>
      <c r="F6553" s="953"/>
      <c r="G6553" s="953"/>
      <c r="H6553" s="953"/>
    </row>
    <row r="6554" spans="1:8" s="943" customFormat="1" x14ac:dyDescent="0.25">
      <c r="A6554" s="952"/>
      <c r="B6554" s="953"/>
      <c r="C6554" s="953"/>
      <c r="D6554" s="953"/>
      <c r="E6554" s="953"/>
      <c r="F6554" s="953"/>
      <c r="G6554" s="953"/>
      <c r="H6554" s="953"/>
    </row>
    <row r="6555" spans="1:8" s="943" customFormat="1" x14ac:dyDescent="0.25">
      <c r="A6555" s="952"/>
      <c r="B6555" s="953"/>
      <c r="C6555" s="953"/>
      <c r="D6555" s="953"/>
      <c r="E6555" s="953"/>
      <c r="F6555" s="953"/>
      <c r="G6555" s="953"/>
      <c r="H6555" s="953"/>
    </row>
    <row r="6556" spans="1:8" s="943" customFormat="1" x14ac:dyDescent="0.25">
      <c r="A6556" s="952"/>
      <c r="B6556" s="953"/>
      <c r="C6556" s="953"/>
      <c r="D6556" s="953"/>
      <c r="E6556" s="953"/>
      <c r="F6556" s="953"/>
      <c r="G6556" s="953"/>
      <c r="H6556" s="953"/>
    </row>
    <row r="6557" spans="1:8" s="943" customFormat="1" x14ac:dyDescent="0.25">
      <c r="A6557" s="952"/>
      <c r="B6557" s="953"/>
      <c r="C6557" s="953"/>
      <c r="D6557" s="953"/>
      <c r="E6557" s="953"/>
      <c r="F6557" s="953"/>
      <c r="G6557" s="953"/>
      <c r="H6557" s="953"/>
    </row>
    <row r="6558" spans="1:8" s="943" customFormat="1" x14ac:dyDescent="0.25">
      <c r="A6558" s="952"/>
      <c r="B6558" s="953"/>
      <c r="C6558" s="953"/>
      <c r="D6558" s="953"/>
      <c r="E6558" s="953"/>
      <c r="F6558" s="953"/>
      <c r="G6558" s="953"/>
      <c r="H6558" s="953"/>
    </row>
    <row r="6559" spans="1:8" s="943" customFormat="1" x14ac:dyDescent="0.25">
      <c r="A6559" s="952"/>
      <c r="B6559" s="953"/>
      <c r="C6559" s="953"/>
      <c r="D6559" s="953"/>
      <c r="E6559" s="953"/>
      <c r="F6559" s="953"/>
      <c r="G6559" s="953"/>
      <c r="H6559" s="953"/>
    </row>
    <row r="6560" spans="1:8" s="943" customFormat="1" x14ac:dyDescent="0.25">
      <c r="A6560" s="952"/>
      <c r="B6560" s="953"/>
      <c r="C6560" s="953"/>
      <c r="D6560" s="953"/>
      <c r="E6560" s="953"/>
      <c r="F6560" s="953"/>
      <c r="G6560" s="953"/>
      <c r="H6560" s="953"/>
    </row>
    <row r="6561" spans="1:8" s="943" customFormat="1" x14ac:dyDescent="0.25">
      <c r="A6561" s="952"/>
      <c r="B6561" s="953"/>
      <c r="C6561" s="953"/>
      <c r="D6561" s="953"/>
      <c r="E6561" s="953"/>
      <c r="F6561" s="953"/>
      <c r="G6561" s="953"/>
      <c r="H6561" s="953"/>
    </row>
    <row r="6562" spans="1:8" s="943" customFormat="1" x14ac:dyDescent="0.25">
      <c r="A6562" s="952"/>
      <c r="B6562" s="953"/>
      <c r="C6562" s="953"/>
      <c r="D6562" s="953"/>
      <c r="E6562" s="953"/>
      <c r="F6562" s="953"/>
      <c r="G6562" s="953"/>
      <c r="H6562" s="953"/>
    </row>
    <row r="6563" spans="1:8" s="943" customFormat="1" x14ac:dyDescent="0.25">
      <c r="A6563" s="952"/>
      <c r="B6563" s="953"/>
      <c r="C6563" s="953"/>
      <c r="D6563" s="953"/>
      <c r="E6563" s="953"/>
      <c r="F6563" s="953"/>
      <c r="G6563" s="953"/>
      <c r="H6563" s="953"/>
    </row>
    <row r="6564" spans="1:8" s="943" customFormat="1" x14ac:dyDescent="0.25">
      <c r="A6564" s="952"/>
      <c r="B6564" s="953"/>
      <c r="C6564" s="953"/>
      <c r="D6564" s="953"/>
      <c r="E6564" s="953"/>
      <c r="F6564" s="953"/>
      <c r="G6564" s="953"/>
      <c r="H6564" s="953"/>
    </row>
    <row r="6565" spans="1:8" s="943" customFormat="1" x14ac:dyDescent="0.25">
      <c r="A6565" s="952"/>
      <c r="B6565" s="953"/>
      <c r="C6565" s="953"/>
      <c r="D6565" s="953"/>
      <c r="E6565" s="953"/>
      <c r="F6565" s="953"/>
      <c r="G6565" s="953"/>
      <c r="H6565" s="953"/>
    </row>
    <row r="6566" spans="1:8" s="943" customFormat="1" x14ac:dyDescent="0.25">
      <c r="A6566" s="952"/>
      <c r="B6566" s="953"/>
      <c r="C6566" s="953"/>
      <c r="D6566" s="953"/>
      <c r="E6566" s="953"/>
      <c r="F6566" s="953"/>
      <c r="G6566" s="953"/>
      <c r="H6566" s="953"/>
    </row>
    <row r="6567" spans="1:8" s="943" customFormat="1" x14ac:dyDescent="0.25">
      <c r="A6567" s="952"/>
      <c r="B6567" s="953"/>
      <c r="C6567" s="953"/>
      <c r="D6567" s="953"/>
      <c r="E6567" s="953"/>
      <c r="F6567" s="953"/>
      <c r="G6567" s="953"/>
      <c r="H6567" s="953"/>
    </row>
    <row r="6568" spans="1:8" s="943" customFormat="1" x14ac:dyDescent="0.25">
      <c r="A6568" s="952"/>
      <c r="B6568" s="953"/>
      <c r="C6568" s="953"/>
      <c r="D6568" s="953"/>
      <c r="E6568" s="953"/>
      <c r="F6568" s="953"/>
      <c r="G6568" s="953"/>
      <c r="H6568" s="953"/>
    </row>
    <row r="6569" spans="1:8" s="943" customFormat="1" x14ac:dyDescent="0.25">
      <c r="A6569" s="952"/>
      <c r="B6569" s="953"/>
      <c r="C6569" s="953"/>
      <c r="D6569" s="953"/>
      <c r="E6569" s="953"/>
      <c r="F6569" s="953"/>
      <c r="G6569" s="953"/>
      <c r="H6569" s="953"/>
    </row>
    <row r="6570" spans="1:8" s="943" customFormat="1" x14ac:dyDescent="0.25">
      <c r="A6570" s="952"/>
      <c r="B6570" s="953"/>
      <c r="C6570" s="953"/>
      <c r="D6570" s="953"/>
      <c r="E6570" s="953"/>
      <c r="F6570" s="953"/>
      <c r="G6570" s="953"/>
      <c r="H6570" s="953"/>
    </row>
    <row r="6571" spans="1:8" s="943" customFormat="1" x14ac:dyDescent="0.25">
      <c r="A6571" s="952"/>
      <c r="B6571" s="953"/>
      <c r="C6571" s="953"/>
      <c r="D6571" s="953"/>
      <c r="E6571" s="953"/>
      <c r="F6571" s="953"/>
      <c r="G6571" s="953"/>
      <c r="H6571" s="953"/>
    </row>
    <row r="6572" spans="1:8" s="943" customFormat="1" x14ac:dyDescent="0.25">
      <c r="A6572" s="952"/>
      <c r="B6572" s="953"/>
      <c r="C6572" s="953"/>
      <c r="D6572" s="953"/>
      <c r="E6572" s="953"/>
      <c r="F6572" s="953"/>
      <c r="G6572" s="953"/>
      <c r="H6572" s="953"/>
    </row>
    <row r="6573" spans="1:8" s="943" customFormat="1" x14ac:dyDescent="0.25">
      <c r="A6573" s="952"/>
      <c r="B6573" s="953"/>
      <c r="C6573" s="953"/>
      <c r="D6573" s="953"/>
      <c r="E6573" s="953"/>
      <c r="F6573" s="953"/>
      <c r="G6573" s="953"/>
      <c r="H6573" s="953"/>
    </row>
    <row r="6574" spans="1:8" s="943" customFormat="1" x14ac:dyDescent="0.25">
      <c r="A6574" s="952"/>
      <c r="B6574" s="953"/>
      <c r="C6574" s="953"/>
      <c r="D6574" s="953"/>
      <c r="E6574" s="953"/>
      <c r="F6574" s="953"/>
      <c r="G6574" s="953"/>
      <c r="H6574" s="953"/>
    </row>
    <row r="6575" spans="1:8" s="943" customFormat="1" x14ac:dyDescent="0.25">
      <c r="A6575" s="952"/>
      <c r="B6575" s="953"/>
      <c r="C6575" s="953"/>
      <c r="D6575" s="953"/>
      <c r="E6575" s="953"/>
      <c r="F6575" s="953"/>
      <c r="G6575" s="953"/>
      <c r="H6575" s="953"/>
    </row>
    <row r="6576" spans="1:8" s="943" customFormat="1" x14ac:dyDescent="0.25">
      <c r="A6576" s="952"/>
      <c r="B6576" s="953"/>
      <c r="C6576" s="953"/>
      <c r="D6576" s="953"/>
      <c r="E6576" s="953"/>
      <c r="F6576" s="953"/>
      <c r="G6576" s="953"/>
      <c r="H6576" s="953"/>
    </row>
    <row r="6577" spans="1:8" s="943" customFormat="1" x14ac:dyDescent="0.25">
      <c r="A6577" s="952"/>
      <c r="B6577" s="953"/>
      <c r="C6577" s="953"/>
      <c r="D6577" s="953"/>
      <c r="E6577" s="953"/>
      <c r="F6577" s="953"/>
      <c r="G6577" s="953"/>
      <c r="H6577" s="953"/>
    </row>
    <row r="6578" spans="1:8" s="943" customFormat="1" x14ac:dyDescent="0.25">
      <c r="A6578" s="952"/>
      <c r="B6578" s="953"/>
      <c r="C6578" s="953"/>
      <c r="D6578" s="953"/>
      <c r="E6578" s="953"/>
      <c r="F6578" s="953"/>
      <c r="G6578" s="953"/>
      <c r="H6578" s="953"/>
    </row>
    <row r="6579" spans="1:8" s="943" customFormat="1" x14ac:dyDescent="0.25">
      <c r="A6579" s="952"/>
      <c r="B6579" s="953"/>
      <c r="C6579" s="953"/>
      <c r="D6579" s="953"/>
      <c r="E6579" s="953"/>
      <c r="F6579" s="953"/>
      <c r="G6579" s="953"/>
      <c r="H6579" s="953"/>
    </row>
    <row r="6580" spans="1:8" s="943" customFormat="1" x14ac:dyDescent="0.25">
      <c r="A6580" s="952"/>
      <c r="B6580" s="953"/>
      <c r="C6580" s="953"/>
      <c r="D6580" s="953"/>
      <c r="E6580" s="953"/>
      <c r="F6580" s="953"/>
      <c r="G6580" s="953"/>
      <c r="H6580" s="953"/>
    </row>
    <row r="6581" spans="1:8" s="943" customFormat="1" x14ac:dyDescent="0.25">
      <c r="A6581" s="952"/>
      <c r="B6581" s="953"/>
      <c r="C6581" s="953"/>
      <c r="D6581" s="953"/>
      <c r="E6581" s="953"/>
      <c r="F6581" s="953"/>
      <c r="G6581" s="953"/>
      <c r="H6581" s="953"/>
    </row>
    <row r="6582" spans="1:8" s="943" customFormat="1" x14ac:dyDescent="0.25">
      <c r="A6582" s="952"/>
      <c r="B6582" s="953"/>
      <c r="C6582" s="953"/>
      <c r="D6582" s="953"/>
      <c r="E6582" s="953"/>
      <c r="F6582" s="953"/>
      <c r="G6582" s="953"/>
      <c r="H6582" s="953"/>
    </row>
    <row r="6583" spans="1:8" s="943" customFormat="1" x14ac:dyDescent="0.25">
      <c r="A6583" s="952"/>
      <c r="B6583" s="953"/>
      <c r="C6583" s="953"/>
      <c r="D6583" s="953"/>
      <c r="E6583" s="953"/>
      <c r="F6583" s="953"/>
      <c r="G6583" s="953"/>
      <c r="H6583" s="953"/>
    </row>
    <row r="6584" spans="1:8" s="943" customFormat="1" x14ac:dyDescent="0.25">
      <c r="A6584" s="952"/>
      <c r="B6584" s="953"/>
      <c r="C6584" s="953"/>
      <c r="D6584" s="953"/>
      <c r="E6584" s="953"/>
      <c r="F6584" s="953"/>
      <c r="G6584" s="953"/>
      <c r="H6584" s="953"/>
    </row>
    <row r="6585" spans="1:8" s="943" customFormat="1" x14ac:dyDescent="0.25">
      <c r="A6585" s="952"/>
      <c r="B6585" s="953"/>
      <c r="C6585" s="953"/>
      <c r="D6585" s="953"/>
      <c r="E6585" s="953"/>
      <c r="F6585" s="953"/>
      <c r="G6585" s="953"/>
      <c r="H6585" s="953"/>
    </row>
    <row r="6586" spans="1:8" s="943" customFormat="1" x14ac:dyDescent="0.25">
      <c r="A6586" s="952"/>
      <c r="B6586" s="953"/>
      <c r="C6586" s="953"/>
      <c r="D6586" s="953"/>
      <c r="E6586" s="953"/>
      <c r="F6586" s="953"/>
      <c r="G6586" s="953"/>
      <c r="H6586" s="953"/>
    </row>
    <row r="6587" spans="1:8" s="943" customFormat="1" x14ac:dyDescent="0.25">
      <c r="A6587" s="952"/>
      <c r="B6587" s="953"/>
      <c r="C6587" s="953"/>
      <c r="D6587" s="953"/>
      <c r="E6587" s="953"/>
      <c r="F6587" s="953"/>
      <c r="G6587" s="953"/>
      <c r="H6587" s="953"/>
    </row>
    <row r="6588" spans="1:8" s="943" customFormat="1" x14ac:dyDescent="0.25">
      <c r="A6588" s="952"/>
      <c r="B6588" s="953"/>
      <c r="C6588" s="953"/>
      <c r="D6588" s="953"/>
      <c r="E6588" s="953"/>
      <c r="F6588" s="953"/>
      <c r="G6588" s="953"/>
      <c r="H6588" s="953"/>
    </row>
    <row r="6589" spans="1:8" s="943" customFormat="1" x14ac:dyDescent="0.25">
      <c r="A6589" s="952"/>
      <c r="B6589" s="953"/>
      <c r="C6589" s="953"/>
      <c r="D6589" s="953"/>
      <c r="E6589" s="953"/>
      <c r="F6589" s="953"/>
      <c r="G6589" s="953"/>
      <c r="H6589" s="953"/>
    </row>
    <row r="6590" spans="1:8" s="943" customFormat="1" x14ac:dyDescent="0.25">
      <c r="A6590" s="952"/>
      <c r="B6590" s="953"/>
      <c r="C6590" s="953"/>
      <c r="D6590" s="953"/>
      <c r="E6590" s="953"/>
      <c r="F6590" s="953"/>
      <c r="G6590" s="953"/>
      <c r="H6590" s="953"/>
    </row>
    <row r="6591" spans="1:8" s="943" customFormat="1" x14ac:dyDescent="0.25">
      <c r="A6591" s="952"/>
      <c r="B6591" s="953"/>
      <c r="C6591" s="953"/>
      <c r="D6591" s="953"/>
      <c r="E6591" s="953"/>
      <c r="F6591" s="953"/>
      <c r="G6591" s="953"/>
      <c r="H6591" s="953"/>
    </row>
    <row r="6592" spans="1:8" s="943" customFormat="1" x14ac:dyDescent="0.25">
      <c r="A6592" s="952"/>
      <c r="B6592" s="953"/>
      <c r="C6592" s="953"/>
      <c r="D6592" s="953"/>
      <c r="E6592" s="953"/>
      <c r="F6592" s="953"/>
      <c r="G6592" s="953"/>
      <c r="H6592" s="953"/>
    </row>
    <row r="6593" spans="1:8" s="943" customFormat="1" x14ac:dyDescent="0.25">
      <c r="A6593" s="952"/>
      <c r="B6593" s="953"/>
      <c r="C6593" s="953"/>
      <c r="D6593" s="953"/>
      <c r="E6593" s="953"/>
      <c r="F6593" s="953"/>
      <c r="G6593" s="953"/>
      <c r="H6593" s="953"/>
    </row>
    <row r="6594" spans="1:8" s="943" customFormat="1" x14ac:dyDescent="0.25">
      <c r="A6594" s="952"/>
      <c r="B6594" s="953"/>
      <c r="C6594" s="953"/>
      <c r="D6594" s="953"/>
      <c r="E6594" s="953"/>
      <c r="F6594" s="953"/>
      <c r="G6594" s="953"/>
      <c r="H6594" s="953"/>
    </row>
    <row r="6595" spans="1:8" s="943" customFormat="1" x14ac:dyDescent="0.25">
      <c r="A6595" s="952"/>
      <c r="B6595" s="953"/>
      <c r="C6595" s="953"/>
      <c r="D6595" s="953"/>
      <c r="E6595" s="953"/>
      <c r="F6595" s="953"/>
      <c r="G6595" s="953"/>
      <c r="H6595" s="953"/>
    </row>
    <row r="6596" spans="1:8" s="943" customFormat="1" x14ac:dyDescent="0.25">
      <c r="A6596" s="952"/>
      <c r="B6596" s="953"/>
      <c r="C6596" s="953"/>
      <c r="D6596" s="953"/>
      <c r="E6596" s="953"/>
      <c r="F6596" s="953"/>
      <c r="G6596" s="953"/>
      <c r="H6596" s="953"/>
    </row>
    <row r="6597" spans="1:8" s="943" customFormat="1" x14ac:dyDescent="0.25">
      <c r="A6597" s="952"/>
      <c r="B6597" s="953"/>
      <c r="C6597" s="953"/>
      <c r="D6597" s="953"/>
      <c r="E6597" s="953"/>
      <c r="F6597" s="953"/>
      <c r="G6597" s="953"/>
      <c r="H6597" s="953"/>
    </row>
    <row r="6598" spans="1:8" s="943" customFormat="1" x14ac:dyDescent="0.25">
      <c r="A6598" s="952"/>
      <c r="B6598" s="953"/>
      <c r="C6598" s="953"/>
      <c r="D6598" s="953"/>
      <c r="E6598" s="953"/>
      <c r="F6598" s="953"/>
      <c r="G6598" s="953"/>
      <c r="H6598" s="953"/>
    </row>
    <row r="6599" spans="1:8" s="943" customFormat="1" x14ac:dyDescent="0.25">
      <c r="A6599" s="952"/>
      <c r="B6599" s="953"/>
      <c r="C6599" s="953"/>
      <c r="D6599" s="953"/>
      <c r="E6599" s="953"/>
      <c r="F6599" s="953"/>
      <c r="G6599" s="953"/>
      <c r="H6599" s="953"/>
    </row>
    <row r="6600" spans="1:8" s="943" customFormat="1" x14ac:dyDescent="0.25">
      <c r="A6600" s="952"/>
      <c r="B6600" s="953"/>
      <c r="C6600" s="953"/>
      <c r="D6600" s="953"/>
      <c r="E6600" s="953"/>
      <c r="F6600" s="953"/>
      <c r="G6600" s="953"/>
      <c r="H6600" s="953"/>
    </row>
    <row r="6601" spans="1:8" s="943" customFormat="1" x14ac:dyDescent="0.25">
      <c r="A6601" s="952"/>
      <c r="B6601" s="953"/>
      <c r="C6601" s="953"/>
      <c r="D6601" s="953"/>
      <c r="E6601" s="953"/>
      <c r="F6601" s="953"/>
      <c r="G6601" s="953"/>
      <c r="H6601" s="953"/>
    </row>
    <row r="6602" spans="1:8" s="943" customFormat="1" x14ac:dyDescent="0.25">
      <c r="A6602" s="952"/>
      <c r="B6602" s="953"/>
      <c r="C6602" s="953"/>
      <c r="D6602" s="953"/>
      <c r="E6602" s="953"/>
      <c r="F6602" s="953"/>
      <c r="G6602" s="953"/>
      <c r="H6602" s="953"/>
    </row>
    <row r="6603" spans="1:8" s="943" customFormat="1" x14ac:dyDescent="0.25">
      <c r="A6603" s="952"/>
      <c r="B6603" s="953"/>
      <c r="C6603" s="953"/>
      <c r="D6603" s="953"/>
      <c r="E6603" s="953"/>
      <c r="F6603" s="953"/>
      <c r="G6603" s="953"/>
      <c r="H6603" s="953"/>
    </row>
    <row r="6604" spans="1:8" s="943" customFormat="1" x14ac:dyDescent="0.25">
      <c r="A6604" s="952"/>
      <c r="B6604" s="953"/>
      <c r="C6604" s="953"/>
      <c r="D6604" s="953"/>
      <c r="E6604" s="953"/>
      <c r="F6604" s="953"/>
      <c r="G6604" s="953"/>
      <c r="H6604" s="953"/>
    </row>
    <row r="6605" spans="1:8" s="943" customFormat="1" x14ac:dyDescent="0.25">
      <c r="A6605" s="952"/>
      <c r="B6605" s="953"/>
      <c r="C6605" s="953"/>
      <c r="D6605" s="953"/>
      <c r="E6605" s="953"/>
      <c r="F6605" s="953"/>
      <c r="G6605" s="953"/>
      <c r="H6605" s="953"/>
    </row>
    <row r="6606" spans="1:8" s="943" customFormat="1" x14ac:dyDescent="0.25">
      <c r="A6606" s="952"/>
      <c r="B6606" s="953"/>
      <c r="C6606" s="953"/>
      <c r="D6606" s="953"/>
      <c r="E6606" s="953"/>
      <c r="F6606" s="953"/>
      <c r="G6606" s="953"/>
      <c r="H6606" s="953"/>
    </row>
    <row r="6607" spans="1:8" s="943" customFormat="1" x14ac:dyDescent="0.25">
      <c r="A6607" s="952"/>
      <c r="B6607" s="953"/>
      <c r="C6607" s="953"/>
      <c r="D6607" s="953"/>
      <c r="E6607" s="953"/>
      <c r="F6607" s="953"/>
      <c r="G6607" s="953"/>
      <c r="H6607" s="953"/>
    </row>
    <row r="6608" spans="1:8" s="943" customFormat="1" x14ac:dyDescent="0.25">
      <c r="A6608" s="952"/>
      <c r="B6608" s="953"/>
      <c r="C6608" s="953"/>
      <c r="D6608" s="953"/>
      <c r="E6608" s="953"/>
      <c r="F6608" s="953"/>
      <c r="G6608" s="953"/>
      <c r="H6608" s="953"/>
    </row>
    <row r="6609" spans="1:8" s="943" customFormat="1" x14ac:dyDescent="0.25">
      <c r="A6609" s="952"/>
      <c r="B6609" s="953"/>
      <c r="C6609" s="953"/>
      <c r="D6609" s="953"/>
      <c r="E6609" s="953"/>
      <c r="F6609" s="953"/>
      <c r="G6609" s="953"/>
      <c r="H6609" s="953"/>
    </row>
    <row r="6610" spans="1:8" s="943" customFormat="1" x14ac:dyDescent="0.25">
      <c r="A6610" s="952"/>
      <c r="B6610" s="953"/>
      <c r="C6610" s="953"/>
      <c r="D6610" s="953"/>
      <c r="E6610" s="953"/>
      <c r="F6610" s="953"/>
      <c r="G6610" s="953"/>
      <c r="H6610" s="953"/>
    </row>
    <row r="6611" spans="1:8" s="943" customFormat="1" x14ac:dyDescent="0.25">
      <c r="A6611" s="952"/>
      <c r="B6611" s="953"/>
      <c r="C6611" s="953"/>
      <c r="D6611" s="953"/>
      <c r="E6611" s="953"/>
      <c r="F6611" s="953"/>
      <c r="G6611" s="953"/>
      <c r="H6611" s="953"/>
    </row>
    <row r="6612" spans="1:8" s="943" customFormat="1" x14ac:dyDescent="0.25">
      <c r="A6612" s="952"/>
      <c r="B6612" s="953"/>
      <c r="C6612" s="953"/>
      <c r="D6612" s="953"/>
      <c r="E6612" s="953"/>
      <c r="F6612" s="953"/>
      <c r="G6612" s="953"/>
      <c r="H6612" s="953"/>
    </row>
    <row r="6613" spans="1:8" s="943" customFormat="1" x14ac:dyDescent="0.25">
      <c r="A6613" s="952"/>
      <c r="B6613" s="953"/>
      <c r="C6613" s="953"/>
      <c r="D6613" s="953"/>
      <c r="E6613" s="953"/>
      <c r="F6613" s="953"/>
      <c r="G6613" s="953"/>
      <c r="H6613" s="953"/>
    </row>
    <row r="6614" spans="1:8" s="943" customFormat="1" x14ac:dyDescent="0.25">
      <c r="A6614" s="952"/>
      <c r="B6614" s="953"/>
      <c r="C6614" s="953"/>
      <c r="D6614" s="953"/>
      <c r="E6614" s="953"/>
      <c r="F6614" s="953"/>
      <c r="G6614" s="953"/>
      <c r="H6614" s="953"/>
    </row>
    <row r="6615" spans="1:8" s="943" customFormat="1" x14ac:dyDescent="0.25">
      <c r="A6615" s="952"/>
      <c r="B6615" s="953"/>
      <c r="C6615" s="953"/>
      <c r="D6615" s="953"/>
      <c r="E6615" s="953"/>
      <c r="F6615" s="953"/>
      <c r="G6615" s="953"/>
      <c r="H6615" s="953"/>
    </row>
    <row r="6616" spans="1:8" s="943" customFormat="1" x14ac:dyDescent="0.25">
      <c r="A6616" s="952"/>
      <c r="B6616" s="953"/>
      <c r="C6616" s="953"/>
      <c r="D6616" s="953"/>
      <c r="E6616" s="953"/>
      <c r="F6616" s="953"/>
      <c r="G6616" s="953"/>
      <c r="H6616" s="953"/>
    </row>
    <row r="6617" spans="1:8" s="943" customFormat="1" x14ac:dyDescent="0.25">
      <c r="A6617" s="952"/>
      <c r="B6617" s="953"/>
      <c r="C6617" s="953"/>
      <c r="D6617" s="953"/>
      <c r="E6617" s="953"/>
      <c r="F6617" s="953"/>
      <c r="G6617" s="953"/>
      <c r="H6617" s="953"/>
    </row>
    <row r="6618" spans="1:8" s="943" customFormat="1" x14ac:dyDescent="0.25">
      <c r="A6618" s="952"/>
      <c r="B6618" s="953"/>
      <c r="C6618" s="953"/>
      <c r="D6618" s="953"/>
      <c r="E6618" s="953"/>
      <c r="F6618" s="953"/>
      <c r="G6618" s="953"/>
      <c r="H6618" s="953"/>
    </row>
    <row r="6619" spans="1:8" s="943" customFormat="1" x14ac:dyDescent="0.25">
      <c r="A6619" s="952"/>
      <c r="B6619" s="953"/>
      <c r="C6619" s="953"/>
      <c r="D6619" s="953"/>
      <c r="E6619" s="953"/>
      <c r="F6619" s="953"/>
      <c r="G6619" s="953"/>
      <c r="H6619" s="953"/>
    </row>
    <row r="6620" spans="1:8" s="943" customFormat="1" x14ac:dyDescent="0.25">
      <c r="A6620" s="952"/>
      <c r="B6620" s="953"/>
      <c r="C6620" s="953"/>
      <c r="D6620" s="953"/>
      <c r="E6620" s="953"/>
      <c r="F6620" s="953"/>
      <c r="G6620" s="953"/>
      <c r="H6620" s="953"/>
    </row>
    <row r="6621" spans="1:8" s="943" customFormat="1" x14ac:dyDescent="0.25">
      <c r="A6621" s="952"/>
      <c r="B6621" s="953"/>
      <c r="C6621" s="953"/>
      <c r="D6621" s="953"/>
      <c r="E6621" s="953"/>
      <c r="F6621" s="953"/>
      <c r="G6621" s="953"/>
      <c r="H6621" s="953"/>
    </row>
    <row r="6622" spans="1:8" s="943" customFormat="1" x14ac:dyDescent="0.25">
      <c r="A6622" s="952"/>
      <c r="B6622" s="953"/>
      <c r="C6622" s="953"/>
      <c r="D6622" s="953"/>
      <c r="E6622" s="953"/>
      <c r="F6622" s="953"/>
      <c r="G6622" s="953"/>
      <c r="H6622" s="953"/>
    </row>
    <row r="6623" spans="1:8" s="943" customFormat="1" x14ac:dyDescent="0.25">
      <c r="A6623" s="952"/>
      <c r="B6623" s="953"/>
      <c r="C6623" s="953"/>
      <c r="D6623" s="953"/>
      <c r="E6623" s="953"/>
      <c r="F6623" s="953"/>
      <c r="G6623" s="953"/>
      <c r="H6623" s="953"/>
    </row>
    <row r="6624" spans="1:8" s="943" customFormat="1" x14ac:dyDescent="0.25">
      <c r="A6624" s="952"/>
      <c r="B6624" s="953"/>
      <c r="C6624" s="953"/>
      <c r="D6624" s="953"/>
      <c r="E6624" s="953"/>
      <c r="F6624" s="953"/>
      <c r="G6624" s="953"/>
      <c r="H6624" s="953"/>
    </row>
    <row r="6625" spans="1:8" s="943" customFormat="1" x14ac:dyDescent="0.25">
      <c r="A6625" s="952"/>
      <c r="B6625" s="953"/>
      <c r="C6625" s="953"/>
      <c r="D6625" s="953"/>
      <c r="E6625" s="953"/>
      <c r="F6625" s="953"/>
      <c r="G6625" s="953"/>
      <c r="H6625" s="953"/>
    </row>
    <row r="6626" spans="1:8" s="943" customFormat="1" x14ac:dyDescent="0.25">
      <c r="A6626" s="952"/>
      <c r="B6626" s="953"/>
      <c r="C6626" s="953"/>
      <c r="D6626" s="953"/>
      <c r="E6626" s="953"/>
      <c r="F6626" s="953"/>
      <c r="G6626" s="953"/>
      <c r="H6626" s="953"/>
    </row>
    <row r="6627" spans="1:8" s="943" customFormat="1" x14ac:dyDescent="0.25">
      <c r="A6627" s="952"/>
      <c r="B6627" s="953"/>
      <c r="C6627" s="953"/>
      <c r="D6627" s="953"/>
      <c r="E6627" s="953"/>
      <c r="F6627" s="953"/>
      <c r="G6627" s="953"/>
      <c r="H6627" s="953"/>
    </row>
    <row r="6628" spans="1:8" s="943" customFormat="1" x14ac:dyDescent="0.25">
      <c r="A6628" s="952"/>
      <c r="B6628" s="953"/>
      <c r="C6628" s="953"/>
      <c r="D6628" s="953"/>
      <c r="E6628" s="953"/>
      <c r="F6628" s="953"/>
      <c r="G6628" s="953"/>
      <c r="H6628" s="953"/>
    </row>
    <row r="6629" spans="1:8" s="943" customFormat="1" x14ac:dyDescent="0.25">
      <c r="A6629" s="952"/>
      <c r="B6629" s="953"/>
      <c r="C6629" s="953"/>
      <c r="D6629" s="953"/>
      <c r="E6629" s="953"/>
      <c r="F6629" s="953"/>
      <c r="G6629" s="953"/>
      <c r="H6629" s="953"/>
    </row>
    <row r="6630" spans="1:8" s="943" customFormat="1" x14ac:dyDescent="0.25">
      <c r="A6630" s="952"/>
      <c r="B6630" s="953"/>
      <c r="C6630" s="953"/>
      <c r="D6630" s="953"/>
      <c r="E6630" s="953"/>
      <c r="F6630" s="953"/>
      <c r="G6630" s="953"/>
      <c r="H6630" s="953"/>
    </row>
    <row r="6631" spans="1:8" s="943" customFormat="1" x14ac:dyDescent="0.25">
      <c r="A6631" s="952"/>
      <c r="B6631" s="953"/>
      <c r="C6631" s="953"/>
      <c r="D6631" s="953"/>
      <c r="E6631" s="953"/>
      <c r="F6631" s="953"/>
      <c r="G6631" s="953"/>
      <c r="H6631" s="953"/>
    </row>
    <row r="6632" spans="1:8" s="943" customFormat="1" x14ac:dyDescent="0.25">
      <c r="A6632" s="952"/>
      <c r="B6632" s="953"/>
      <c r="C6632" s="953"/>
      <c r="D6632" s="953"/>
      <c r="E6632" s="953"/>
      <c r="F6632" s="953"/>
      <c r="G6632" s="953"/>
      <c r="H6632" s="953"/>
    </row>
    <row r="6633" spans="1:8" s="943" customFormat="1" x14ac:dyDescent="0.25">
      <c r="A6633" s="952"/>
      <c r="B6633" s="953"/>
      <c r="C6633" s="953"/>
      <c r="D6633" s="953"/>
      <c r="E6633" s="953"/>
      <c r="F6633" s="953"/>
      <c r="G6633" s="953"/>
      <c r="H6633" s="953"/>
    </row>
    <row r="6634" spans="1:8" s="943" customFormat="1" x14ac:dyDescent="0.25">
      <c r="A6634" s="952"/>
      <c r="B6634" s="953"/>
      <c r="C6634" s="953"/>
      <c r="D6634" s="953"/>
      <c r="E6634" s="953"/>
      <c r="F6634" s="953"/>
      <c r="G6634" s="953"/>
      <c r="H6634" s="953"/>
    </row>
    <row r="6635" spans="1:8" s="943" customFormat="1" x14ac:dyDescent="0.25">
      <c r="A6635" s="952"/>
      <c r="B6635" s="953"/>
      <c r="C6635" s="953"/>
      <c r="D6635" s="953"/>
      <c r="E6635" s="953"/>
      <c r="F6635" s="953"/>
      <c r="G6635" s="953"/>
      <c r="H6635" s="953"/>
    </row>
    <row r="6636" spans="1:8" s="943" customFormat="1" x14ac:dyDescent="0.25">
      <c r="A6636" s="952"/>
      <c r="B6636" s="953"/>
      <c r="C6636" s="953"/>
      <c r="D6636" s="953"/>
      <c r="E6636" s="953"/>
      <c r="F6636" s="953"/>
      <c r="G6636" s="953"/>
      <c r="H6636" s="953"/>
    </row>
    <row r="6637" spans="1:8" s="943" customFormat="1" x14ac:dyDescent="0.25">
      <c r="A6637" s="952"/>
      <c r="B6637" s="953"/>
      <c r="C6637" s="953"/>
      <c r="D6637" s="953"/>
      <c r="E6637" s="953"/>
      <c r="F6637" s="953"/>
      <c r="G6637" s="953"/>
      <c r="H6637" s="953"/>
    </row>
    <row r="6638" spans="1:8" s="943" customFormat="1" x14ac:dyDescent="0.25">
      <c r="A6638" s="952"/>
      <c r="B6638" s="953"/>
      <c r="C6638" s="953"/>
      <c r="D6638" s="953"/>
      <c r="E6638" s="953"/>
      <c r="F6638" s="953"/>
      <c r="G6638" s="953"/>
      <c r="H6638" s="953"/>
    </row>
    <row r="6639" spans="1:8" s="943" customFormat="1" x14ac:dyDescent="0.25">
      <c r="A6639" s="952"/>
      <c r="B6639" s="953"/>
      <c r="C6639" s="953"/>
      <c r="D6639" s="953"/>
      <c r="E6639" s="953"/>
      <c r="F6639" s="953"/>
      <c r="G6639" s="953"/>
      <c r="H6639" s="953"/>
    </row>
    <row r="6640" spans="1:8" s="943" customFormat="1" x14ac:dyDescent="0.25">
      <c r="A6640" s="952"/>
      <c r="B6640" s="953"/>
      <c r="C6640" s="953"/>
      <c r="D6640" s="953"/>
      <c r="E6640" s="953"/>
      <c r="F6640" s="953"/>
      <c r="G6640" s="953"/>
      <c r="H6640" s="953"/>
    </row>
    <row r="6641" spans="1:8" s="943" customFormat="1" x14ac:dyDescent="0.25">
      <c r="A6641" s="952"/>
      <c r="B6641" s="953"/>
      <c r="C6641" s="953"/>
      <c r="D6641" s="953"/>
      <c r="E6641" s="953"/>
      <c r="F6641" s="953"/>
      <c r="G6641" s="953"/>
      <c r="H6641" s="953"/>
    </row>
    <row r="6642" spans="1:8" s="943" customFormat="1" x14ac:dyDescent="0.25">
      <c r="A6642" s="952"/>
      <c r="B6642" s="953"/>
      <c r="C6642" s="953"/>
      <c r="D6642" s="953"/>
      <c r="E6642" s="953"/>
      <c r="F6642" s="953"/>
      <c r="G6642" s="953"/>
      <c r="H6642" s="953"/>
    </row>
    <row r="6643" spans="1:8" s="943" customFormat="1" x14ac:dyDescent="0.25">
      <c r="A6643" s="952"/>
      <c r="B6643" s="953"/>
      <c r="C6643" s="953"/>
      <c r="D6643" s="953"/>
      <c r="E6643" s="953"/>
      <c r="F6643" s="953"/>
      <c r="G6643" s="953"/>
      <c r="H6643" s="953"/>
    </row>
    <row r="6644" spans="1:8" s="943" customFormat="1" x14ac:dyDescent="0.25">
      <c r="A6644" s="952"/>
      <c r="B6644" s="953"/>
      <c r="C6644" s="953"/>
      <c r="D6644" s="953"/>
      <c r="E6644" s="953"/>
      <c r="F6644" s="953"/>
      <c r="G6644" s="953"/>
      <c r="H6644" s="953"/>
    </row>
    <row r="6645" spans="1:8" s="943" customFormat="1" x14ac:dyDescent="0.25">
      <c r="A6645" s="952"/>
      <c r="B6645" s="953"/>
      <c r="C6645" s="953"/>
      <c r="D6645" s="953"/>
      <c r="E6645" s="953"/>
      <c r="F6645" s="953"/>
      <c r="G6645" s="953"/>
      <c r="H6645" s="953"/>
    </row>
    <row r="6646" spans="1:8" s="943" customFormat="1" x14ac:dyDescent="0.25">
      <c r="A6646" s="952"/>
      <c r="B6646" s="953"/>
      <c r="C6646" s="953"/>
      <c r="D6646" s="953"/>
      <c r="E6646" s="953"/>
      <c r="F6646" s="953"/>
      <c r="G6646" s="953"/>
      <c r="H6646" s="953"/>
    </row>
    <row r="6647" spans="1:8" s="943" customFormat="1" x14ac:dyDescent="0.25">
      <c r="A6647" s="952"/>
      <c r="B6647" s="953"/>
      <c r="C6647" s="953"/>
      <c r="D6647" s="953"/>
      <c r="E6647" s="953"/>
      <c r="F6647" s="953"/>
      <c r="G6647" s="953"/>
      <c r="H6647" s="953"/>
    </row>
    <row r="6648" spans="1:8" s="943" customFormat="1" x14ac:dyDescent="0.25">
      <c r="A6648" s="952"/>
      <c r="B6648" s="953"/>
      <c r="C6648" s="953"/>
      <c r="D6648" s="953"/>
      <c r="E6648" s="953"/>
      <c r="F6648" s="953"/>
      <c r="G6648" s="953"/>
      <c r="H6648" s="953"/>
    </row>
    <row r="6649" spans="1:8" s="943" customFormat="1" x14ac:dyDescent="0.25">
      <c r="A6649" s="952"/>
      <c r="B6649" s="953"/>
      <c r="C6649" s="953"/>
      <c r="D6649" s="953"/>
      <c r="E6649" s="953"/>
      <c r="F6649" s="953"/>
      <c r="G6649" s="953"/>
      <c r="H6649" s="953"/>
    </row>
    <row r="6650" spans="1:8" s="943" customFormat="1" x14ac:dyDescent="0.25">
      <c r="A6650" s="952"/>
      <c r="B6650" s="953"/>
      <c r="C6650" s="953"/>
      <c r="D6650" s="953"/>
      <c r="E6650" s="953"/>
      <c r="F6650" s="953"/>
      <c r="G6650" s="953"/>
      <c r="H6650" s="953"/>
    </row>
    <row r="6651" spans="1:8" s="943" customFormat="1" x14ac:dyDescent="0.25">
      <c r="A6651" s="952"/>
      <c r="B6651" s="953"/>
      <c r="C6651" s="953"/>
      <c r="D6651" s="953"/>
      <c r="E6651" s="953"/>
      <c r="F6651" s="953"/>
      <c r="G6651" s="953"/>
      <c r="H6651" s="953"/>
    </row>
    <row r="6652" spans="1:8" s="943" customFormat="1" x14ac:dyDescent="0.25">
      <c r="A6652" s="952"/>
      <c r="B6652" s="953"/>
      <c r="C6652" s="953"/>
      <c r="D6652" s="953"/>
      <c r="E6652" s="953"/>
      <c r="F6652" s="953"/>
      <c r="G6652" s="953"/>
      <c r="H6652" s="953"/>
    </row>
    <row r="6653" spans="1:8" s="943" customFormat="1" x14ac:dyDescent="0.25">
      <c r="A6653" s="952"/>
      <c r="B6653" s="953"/>
      <c r="C6653" s="953"/>
      <c r="D6653" s="953"/>
      <c r="E6653" s="953"/>
      <c r="F6653" s="953"/>
      <c r="G6653" s="953"/>
      <c r="H6653" s="953"/>
    </row>
    <row r="6654" spans="1:8" s="943" customFormat="1" x14ac:dyDescent="0.25">
      <c r="A6654" s="952"/>
      <c r="B6654" s="953"/>
      <c r="C6654" s="953"/>
      <c r="D6654" s="953"/>
      <c r="E6654" s="953"/>
      <c r="F6654" s="953"/>
      <c r="G6654" s="953"/>
      <c r="H6654" s="953"/>
    </row>
    <row r="6655" spans="1:8" s="943" customFormat="1" x14ac:dyDescent="0.25">
      <c r="A6655" s="952"/>
      <c r="B6655" s="953"/>
      <c r="C6655" s="953"/>
      <c r="D6655" s="953"/>
      <c r="E6655" s="953"/>
      <c r="F6655" s="953"/>
      <c r="G6655" s="953"/>
      <c r="H6655" s="953"/>
    </row>
    <row r="6656" spans="1:8" s="943" customFormat="1" x14ac:dyDescent="0.25">
      <c r="A6656" s="952"/>
      <c r="B6656" s="953"/>
      <c r="C6656" s="953"/>
      <c r="D6656" s="953"/>
      <c r="E6656" s="953"/>
      <c r="F6656" s="953"/>
      <c r="G6656" s="953"/>
      <c r="H6656" s="953"/>
    </row>
    <row r="6657" spans="1:8" s="943" customFormat="1" x14ac:dyDescent="0.25">
      <c r="A6657" s="952"/>
      <c r="B6657" s="953"/>
      <c r="C6657" s="953"/>
      <c r="D6657" s="953"/>
      <c r="E6657" s="953"/>
      <c r="F6657" s="953"/>
      <c r="G6657" s="953"/>
      <c r="H6657" s="953"/>
    </row>
    <row r="6658" spans="1:8" s="943" customFormat="1" x14ac:dyDescent="0.25">
      <c r="A6658" s="952"/>
      <c r="B6658" s="953"/>
      <c r="C6658" s="953"/>
      <c r="D6658" s="953"/>
      <c r="E6658" s="953"/>
      <c r="F6658" s="953"/>
      <c r="G6658" s="953"/>
      <c r="H6658" s="953"/>
    </row>
    <row r="6659" spans="1:8" s="943" customFormat="1" x14ac:dyDescent="0.25">
      <c r="A6659" s="952"/>
      <c r="B6659" s="953"/>
      <c r="C6659" s="953"/>
      <c r="D6659" s="953"/>
      <c r="E6659" s="953"/>
      <c r="F6659" s="953"/>
      <c r="G6659" s="953"/>
      <c r="H6659" s="953"/>
    </row>
    <row r="6660" spans="1:8" s="943" customFormat="1" x14ac:dyDescent="0.25">
      <c r="A6660" s="952"/>
      <c r="B6660" s="953"/>
      <c r="C6660" s="953"/>
      <c r="D6660" s="953"/>
      <c r="E6660" s="953"/>
      <c r="F6660" s="953"/>
      <c r="G6660" s="953"/>
      <c r="H6660" s="953"/>
    </row>
    <row r="6661" spans="1:8" s="943" customFormat="1" x14ac:dyDescent="0.25">
      <c r="A6661" s="952"/>
      <c r="B6661" s="953"/>
      <c r="C6661" s="953"/>
      <c r="D6661" s="953"/>
      <c r="E6661" s="953"/>
      <c r="F6661" s="953"/>
      <c r="G6661" s="953"/>
      <c r="H6661" s="953"/>
    </row>
    <row r="6662" spans="1:8" s="943" customFormat="1" x14ac:dyDescent="0.25">
      <c r="A6662" s="952"/>
      <c r="B6662" s="953"/>
      <c r="C6662" s="953"/>
      <c r="D6662" s="953"/>
      <c r="E6662" s="953"/>
      <c r="F6662" s="953"/>
      <c r="G6662" s="953"/>
      <c r="H6662" s="953"/>
    </row>
    <row r="6663" spans="1:8" s="943" customFormat="1" x14ac:dyDescent="0.25">
      <c r="A6663" s="952"/>
      <c r="B6663" s="953"/>
      <c r="C6663" s="953"/>
      <c r="D6663" s="953"/>
      <c r="E6663" s="953"/>
      <c r="F6663" s="953"/>
      <c r="G6663" s="953"/>
      <c r="H6663" s="953"/>
    </row>
    <row r="6664" spans="1:8" s="943" customFormat="1" x14ac:dyDescent="0.25">
      <c r="A6664" s="952"/>
      <c r="B6664" s="953"/>
      <c r="C6664" s="953"/>
      <c r="D6664" s="953"/>
      <c r="E6664" s="953"/>
      <c r="F6664" s="953"/>
      <c r="G6664" s="953"/>
      <c r="H6664" s="953"/>
    </row>
    <row r="6665" spans="1:8" s="943" customFormat="1" x14ac:dyDescent="0.25">
      <c r="A6665" s="952"/>
      <c r="B6665" s="953"/>
      <c r="C6665" s="953"/>
      <c r="D6665" s="953"/>
      <c r="E6665" s="953"/>
      <c r="F6665" s="953"/>
      <c r="G6665" s="953"/>
      <c r="H6665" s="953"/>
    </row>
    <row r="6666" spans="1:8" s="943" customFormat="1" x14ac:dyDescent="0.25">
      <c r="A6666" s="952"/>
      <c r="B6666" s="953"/>
      <c r="C6666" s="953"/>
      <c r="D6666" s="953"/>
      <c r="E6666" s="953"/>
      <c r="F6666" s="953"/>
      <c r="G6666" s="953"/>
      <c r="H6666" s="953"/>
    </row>
    <row r="6667" spans="1:8" s="943" customFormat="1" x14ac:dyDescent="0.25">
      <c r="A6667" s="952"/>
      <c r="B6667" s="953"/>
      <c r="C6667" s="953"/>
      <c r="D6667" s="953"/>
      <c r="E6667" s="953"/>
      <c r="F6667" s="953"/>
      <c r="G6667" s="953"/>
      <c r="H6667" s="953"/>
    </row>
    <row r="6668" spans="1:8" s="943" customFormat="1" x14ac:dyDescent="0.25">
      <c r="A6668" s="952"/>
      <c r="B6668" s="953"/>
      <c r="C6668" s="953"/>
      <c r="D6668" s="953"/>
      <c r="E6668" s="953"/>
      <c r="F6668" s="953"/>
      <c r="G6668" s="953"/>
      <c r="H6668" s="953"/>
    </row>
    <row r="6669" spans="1:8" s="943" customFormat="1" x14ac:dyDescent="0.25">
      <c r="A6669" s="952"/>
      <c r="B6669" s="953"/>
      <c r="C6669" s="953"/>
      <c r="D6669" s="953"/>
      <c r="E6669" s="953"/>
      <c r="F6669" s="953"/>
      <c r="G6669" s="953"/>
      <c r="H6669" s="953"/>
    </row>
    <row r="6670" spans="1:8" s="943" customFormat="1" x14ac:dyDescent="0.25">
      <c r="A6670" s="952"/>
      <c r="B6670" s="953"/>
      <c r="C6670" s="953"/>
      <c r="D6670" s="953"/>
      <c r="E6670" s="953"/>
      <c r="F6670" s="953"/>
      <c r="G6670" s="953"/>
      <c r="H6670" s="953"/>
    </row>
    <row r="6671" spans="1:8" s="943" customFormat="1" x14ac:dyDescent="0.25">
      <c r="A6671" s="952"/>
      <c r="B6671" s="953"/>
      <c r="C6671" s="953"/>
      <c r="D6671" s="953"/>
      <c r="E6671" s="953"/>
      <c r="F6671" s="953"/>
      <c r="G6671" s="953"/>
      <c r="H6671" s="953"/>
    </row>
    <row r="6672" spans="1:8" s="943" customFormat="1" x14ac:dyDescent="0.25">
      <c r="A6672" s="952"/>
      <c r="B6672" s="953"/>
      <c r="C6672" s="953"/>
      <c r="D6672" s="953"/>
      <c r="E6672" s="953"/>
      <c r="F6672" s="953"/>
      <c r="G6672" s="953"/>
      <c r="H6672" s="953"/>
    </row>
    <row r="6673" spans="1:8" s="943" customFormat="1" x14ac:dyDescent="0.25">
      <c r="A6673" s="952"/>
      <c r="B6673" s="953"/>
      <c r="C6673" s="953"/>
      <c r="D6673" s="953"/>
      <c r="E6673" s="953"/>
      <c r="F6673" s="953"/>
      <c r="G6673" s="953"/>
      <c r="H6673" s="953"/>
    </row>
    <row r="6674" spans="1:8" s="943" customFormat="1" x14ac:dyDescent="0.25">
      <c r="A6674" s="952"/>
      <c r="B6674" s="953"/>
      <c r="C6674" s="953"/>
      <c r="D6674" s="953"/>
      <c r="E6674" s="953"/>
      <c r="F6674" s="953"/>
      <c r="G6674" s="953"/>
      <c r="H6674" s="953"/>
    </row>
    <row r="6675" spans="1:8" s="943" customFormat="1" x14ac:dyDescent="0.25">
      <c r="A6675" s="952"/>
      <c r="B6675" s="953"/>
      <c r="C6675" s="953"/>
      <c r="D6675" s="953"/>
      <c r="E6675" s="953"/>
      <c r="F6675" s="953"/>
      <c r="G6675" s="953"/>
      <c r="H6675" s="953"/>
    </row>
    <row r="6676" spans="1:8" s="943" customFormat="1" x14ac:dyDescent="0.25">
      <c r="A6676" s="952"/>
      <c r="B6676" s="953"/>
      <c r="C6676" s="953"/>
      <c r="D6676" s="953"/>
      <c r="E6676" s="953"/>
      <c r="F6676" s="953"/>
      <c r="G6676" s="953"/>
      <c r="H6676" s="953"/>
    </row>
    <row r="6677" spans="1:8" s="943" customFormat="1" x14ac:dyDescent="0.25">
      <c r="A6677" s="952"/>
      <c r="B6677" s="953"/>
      <c r="C6677" s="953"/>
      <c r="D6677" s="953"/>
      <c r="E6677" s="953"/>
      <c r="F6677" s="953"/>
      <c r="G6677" s="953"/>
      <c r="H6677" s="953"/>
    </row>
    <row r="6678" spans="1:8" s="943" customFormat="1" x14ac:dyDescent="0.25">
      <c r="A6678" s="952"/>
      <c r="B6678" s="953"/>
      <c r="C6678" s="953"/>
      <c r="D6678" s="953"/>
      <c r="E6678" s="953"/>
      <c r="F6678" s="953"/>
      <c r="G6678" s="953"/>
      <c r="H6678" s="953"/>
    </row>
    <row r="6679" spans="1:8" s="943" customFormat="1" x14ac:dyDescent="0.25">
      <c r="A6679" s="952"/>
      <c r="B6679" s="953"/>
      <c r="C6679" s="953"/>
      <c r="D6679" s="953"/>
      <c r="E6679" s="953"/>
      <c r="F6679" s="953"/>
      <c r="G6679" s="953"/>
      <c r="H6679" s="953"/>
    </row>
    <row r="6680" spans="1:8" s="943" customFormat="1" x14ac:dyDescent="0.25">
      <c r="A6680" s="952"/>
      <c r="B6680" s="953"/>
      <c r="C6680" s="953"/>
      <c r="D6680" s="953"/>
      <c r="E6680" s="953"/>
      <c r="F6680" s="953"/>
      <c r="G6680" s="953"/>
      <c r="H6680" s="953"/>
    </row>
    <row r="6681" spans="1:8" s="943" customFormat="1" x14ac:dyDescent="0.25">
      <c r="A6681" s="952"/>
      <c r="B6681" s="953"/>
      <c r="C6681" s="953"/>
      <c r="D6681" s="953"/>
      <c r="E6681" s="953"/>
      <c r="F6681" s="953"/>
      <c r="G6681" s="953"/>
      <c r="H6681" s="953"/>
    </row>
    <row r="6682" spans="1:8" s="943" customFormat="1" x14ac:dyDescent="0.25">
      <c r="A6682" s="952"/>
      <c r="B6682" s="953"/>
      <c r="C6682" s="953"/>
      <c r="D6682" s="953"/>
      <c r="E6682" s="953"/>
      <c r="F6682" s="953"/>
      <c r="G6682" s="953"/>
      <c r="H6682" s="953"/>
    </row>
    <row r="6683" spans="1:8" s="943" customFormat="1" x14ac:dyDescent="0.25">
      <c r="A6683" s="952"/>
      <c r="B6683" s="953"/>
      <c r="C6683" s="953"/>
      <c r="D6683" s="953"/>
      <c r="E6683" s="953"/>
      <c r="F6683" s="953"/>
      <c r="G6683" s="953"/>
      <c r="H6683" s="953"/>
    </row>
    <row r="6684" spans="1:8" s="943" customFormat="1" x14ac:dyDescent="0.25">
      <c r="A6684" s="952"/>
      <c r="B6684" s="953"/>
      <c r="C6684" s="953"/>
      <c r="D6684" s="953"/>
      <c r="E6684" s="953"/>
      <c r="F6684" s="953"/>
      <c r="G6684" s="953"/>
      <c r="H6684" s="953"/>
    </row>
    <row r="6685" spans="1:8" s="943" customFormat="1" x14ac:dyDescent="0.25">
      <c r="A6685" s="952"/>
      <c r="B6685" s="953"/>
      <c r="C6685" s="953"/>
      <c r="D6685" s="953"/>
      <c r="E6685" s="953"/>
      <c r="F6685" s="953"/>
      <c r="G6685" s="953"/>
      <c r="H6685" s="953"/>
    </row>
    <row r="6686" spans="1:8" s="943" customFormat="1" x14ac:dyDescent="0.25">
      <c r="A6686" s="952"/>
      <c r="B6686" s="953"/>
      <c r="C6686" s="953"/>
      <c r="D6686" s="953"/>
      <c r="E6686" s="953"/>
      <c r="F6686" s="953"/>
      <c r="G6686" s="953"/>
      <c r="H6686" s="953"/>
    </row>
    <row r="6687" spans="1:8" s="943" customFormat="1" x14ac:dyDescent="0.25">
      <c r="A6687" s="952"/>
      <c r="B6687" s="953"/>
      <c r="C6687" s="953"/>
      <c r="D6687" s="953"/>
      <c r="E6687" s="953"/>
      <c r="F6687" s="953"/>
      <c r="G6687" s="953"/>
      <c r="H6687" s="953"/>
    </row>
    <row r="6688" spans="1:8" s="943" customFormat="1" x14ac:dyDescent="0.25">
      <c r="A6688" s="952"/>
      <c r="B6688" s="953"/>
      <c r="C6688" s="953"/>
      <c r="D6688" s="953"/>
      <c r="E6688" s="953"/>
      <c r="F6688" s="953"/>
      <c r="G6688" s="953"/>
      <c r="H6688" s="953"/>
    </row>
    <row r="6689" spans="1:8" s="943" customFormat="1" x14ac:dyDescent="0.25">
      <c r="A6689" s="952"/>
      <c r="B6689" s="953"/>
      <c r="C6689" s="953"/>
      <c r="D6689" s="953"/>
      <c r="E6689" s="953"/>
      <c r="F6689" s="953"/>
      <c r="G6689" s="953"/>
      <c r="H6689" s="953"/>
    </row>
    <row r="6690" spans="1:8" s="943" customFormat="1" x14ac:dyDescent="0.25">
      <c r="A6690" s="952"/>
      <c r="B6690" s="953"/>
      <c r="C6690" s="953"/>
      <c r="D6690" s="953"/>
      <c r="E6690" s="953"/>
      <c r="F6690" s="953"/>
      <c r="G6690" s="953"/>
      <c r="H6690" s="953"/>
    </row>
    <row r="6691" spans="1:8" s="943" customFormat="1" x14ac:dyDescent="0.25">
      <c r="A6691" s="952"/>
      <c r="B6691" s="953"/>
      <c r="C6691" s="953"/>
      <c r="D6691" s="953"/>
      <c r="E6691" s="953"/>
      <c r="F6691" s="953"/>
      <c r="G6691" s="953"/>
      <c r="H6691" s="953"/>
    </row>
    <row r="6692" spans="1:8" s="943" customFormat="1" x14ac:dyDescent="0.25">
      <c r="A6692" s="952"/>
      <c r="B6692" s="953"/>
      <c r="C6692" s="953"/>
      <c r="D6692" s="953"/>
      <c r="E6692" s="953"/>
      <c r="F6692" s="953"/>
      <c r="G6692" s="953"/>
      <c r="H6692" s="953"/>
    </row>
    <row r="6693" spans="1:8" s="943" customFormat="1" x14ac:dyDescent="0.25">
      <c r="A6693" s="952"/>
      <c r="B6693" s="953"/>
      <c r="C6693" s="953"/>
      <c r="D6693" s="953"/>
      <c r="E6693" s="953"/>
      <c r="F6693" s="953"/>
      <c r="G6693" s="953"/>
      <c r="H6693" s="953"/>
    </row>
    <row r="6694" spans="1:8" s="943" customFormat="1" x14ac:dyDescent="0.25">
      <c r="A6694" s="952"/>
      <c r="B6694" s="953"/>
      <c r="C6694" s="953"/>
      <c r="D6694" s="953"/>
      <c r="E6694" s="953"/>
      <c r="F6694" s="953"/>
      <c r="G6694" s="953"/>
      <c r="H6694" s="953"/>
    </row>
    <row r="6695" spans="1:8" s="943" customFormat="1" x14ac:dyDescent="0.25">
      <c r="A6695" s="952"/>
      <c r="B6695" s="953"/>
      <c r="C6695" s="953"/>
      <c r="D6695" s="953"/>
      <c r="E6695" s="953"/>
      <c r="F6695" s="953"/>
      <c r="G6695" s="953"/>
      <c r="H6695" s="953"/>
    </row>
    <row r="6696" spans="1:8" s="943" customFormat="1" x14ac:dyDescent="0.25">
      <c r="A6696" s="952"/>
      <c r="B6696" s="953"/>
      <c r="C6696" s="953"/>
      <c r="D6696" s="953"/>
      <c r="E6696" s="953"/>
      <c r="F6696" s="953"/>
      <c r="G6696" s="953"/>
      <c r="H6696" s="953"/>
    </row>
    <row r="6697" spans="1:8" s="943" customFormat="1" x14ac:dyDescent="0.25">
      <c r="A6697" s="952"/>
      <c r="B6697" s="953"/>
      <c r="C6697" s="953"/>
      <c r="D6697" s="953"/>
      <c r="E6697" s="953"/>
      <c r="F6697" s="953"/>
      <c r="G6697" s="953"/>
      <c r="H6697" s="953"/>
    </row>
    <row r="6698" spans="1:8" s="943" customFormat="1" x14ac:dyDescent="0.25">
      <c r="A6698" s="952"/>
      <c r="B6698" s="953"/>
      <c r="C6698" s="953"/>
      <c r="D6698" s="953"/>
      <c r="E6698" s="953"/>
      <c r="F6698" s="953"/>
      <c r="G6698" s="953"/>
      <c r="H6698" s="953"/>
    </row>
    <row r="6699" spans="1:8" s="943" customFormat="1" x14ac:dyDescent="0.25">
      <c r="A6699" s="952"/>
      <c r="B6699" s="953"/>
      <c r="C6699" s="953"/>
      <c r="D6699" s="953"/>
      <c r="E6699" s="953"/>
      <c r="F6699" s="953"/>
      <c r="G6699" s="953"/>
      <c r="H6699" s="953"/>
    </row>
    <row r="6700" spans="1:8" s="943" customFormat="1" x14ac:dyDescent="0.25">
      <c r="A6700" s="952"/>
      <c r="B6700" s="953"/>
      <c r="C6700" s="953"/>
      <c r="D6700" s="953"/>
      <c r="E6700" s="953"/>
      <c r="F6700" s="953"/>
      <c r="G6700" s="953"/>
      <c r="H6700" s="953"/>
    </row>
    <row r="6701" spans="1:8" s="943" customFormat="1" x14ac:dyDescent="0.25">
      <c r="A6701" s="952"/>
      <c r="B6701" s="953"/>
      <c r="C6701" s="953"/>
      <c r="D6701" s="953"/>
      <c r="E6701" s="953"/>
      <c r="F6701" s="953"/>
      <c r="G6701" s="953"/>
      <c r="H6701" s="953"/>
    </row>
    <row r="6702" spans="1:8" s="943" customFormat="1" x14ac:dyDescent="0.25">
      <c r="A6702" s="952"/>
      <c r="B6702" s="953"/>
      <c r="C6702" s="953"/>
      <c r="D6702" s="953"/>
      <c r="E6702" s="953"/>
      <c r="F6702" s="953"/>
      <c r="G6702" s="953"/>
      <c r="H6702" s="953"/>
    </row>
    <row r="6703" spans="1:8" s="943" customFormat="1" x14ac:dyDescent="0.25">
      <c r="A6703" s="952"/>
      <c r="B6703" s="953"/>
      <c r="C6703" s="953"/>
      <c r="D6703" s="953"/>
      <c r="E6703" s="953"/>
      <c r="F6703" s="953"/>
      <c r="G6703" s="953"/>
      <c r="H6703" s="953"/>
    </row>
    <row r="6704" spans="1:8" s="943" customFormat="1" x14ac:dyDescent="0.25">
      <c r="A6704" s="952"/>
      <c r="B6704" s="953"/>
      <c r="C6704" s="953"/>
      <c r="D6704" s="953"/>
      <c r="E6704" s="953"/>
      <c r="F6704" s="953"/>
      <c r="G6704" s="953"/>
      <c r="H6704" s="953"/>
    </row>
    <row r="6705" spans="1:8" s="943" customFormat="1" x14ac:dyDescent="0.25">
      <c r="A6705" s="952"/>
      <c r="B6705" s="953"/>
      <c r="C6705" s="953"/>
      <c r="D6705" s="953"/>
      <c r="E6705" s="953"/>
      <c r="F6705" s="953"/>
      <c r="G6705" s="953"/>
      <c r="H6705" s="953"/>
    </row>
    <row r="6706" spans="1:8" s="943" customFormat="1" x14ac:dyDescent="0.25">
      <c r="A6706" s="952"/>
      <c r="B6706" s="953"/>
      <c r="C6706" s="953"/>
      <c r="D6706" s="953"/>
      <c r="E6706" s="953"/>
      <c r="F6706" s="953"/>
      <c r="G6706" s="953"/>
      <c r="H6706" s="953"/>
    </row>
    <row r="6707" spans="1:8" s="943" customFormat="1" x14ac:dyDescent="0.25">
      <c r="A6707" s="952"/>
      <c r="B6707" s="953"/>
      <c r="C6707" s="953"/>
      <c r="D6707" s="953"/>
      <c r="E6707" s="953"/>
      <c r="F6707" s="953"/>
      <c r="G6707" s="953"/>
      <c r="H6707" s="953"/>
    </row>
    <row r="6708" spans="1:8" s="943" customFormat="1" x14ac:dyDescent="0.25">
      <c r="A6708" s="952"/>
      <c r="B6708" s="953"/>
      <c r="C6708" s="953"/>
      <c r="D6708" s="953"/>
      <c r="E6708" s="953"/>
      <c r="F6708" s="953"/>
      <c r="G6708" s="953"/>
      <c r="H6708" s="953"/>
    </row>
    <row r="6709" spans="1:8" s="943" customFormat="1" x14ac:dyDescent="0.25">
      <c r="A6709" s="952"/>
      <c r="B6709" s="953"/>
      <c r="C6709" s="953"/>
      <c r="D6709" s="953"/>
      <c r="E6709" s="953"/>
      <c r="F6709" s="953"/>
      <c r="G6709" s="953"/>
      <c r="H6709" s="953"/>
    </row>
    <row r="6710" spans="1:8" s="943" customFormat="1" x14ac:dyDescent="0.25">
      <c r="A6710" s="952"/>
      <c r="B6710" s="953"/>
      <c r="C6710" s="953"/>
      <c r="D6710" s="953"/>
      <c r="E6710" s="953"/>
      <c r="F6710" s="953"/>
      <c r="G6710" s="953"/>
      <c r="H6710" s="953"/>
    </row>
    <row r="6711" spans="1:8" s="943" customFormat="1" x14ac:dyDescent="0.25">
      <c r="A6711" s="952"/>
      <c r="B6711" s="953"/>
      <c r="C6711" s="953"/>
      <c r="D6711" s="953"/>
      <c r="E6711" s="953"/>
      <c r="F6711" s="953"/>
      <c r="G6711" s="953"/>
      <c r="H6711" s="953"/>
    </row>
    <row r="6712" spans="1:8" s="943" customFormat="1" x14ac:dyDescent="0.25">
      <c r="A6712" s="952"/>
      <c r="B6712" s="953"/>
      <c r="C6712" s="953"/>
      <c r="D6712" s="953"/>
      <c r="E6712" s="953"/>
      <c r="F6712" s="953"/>
      <c r="G6712" s="953"/>
      <c r="H6712" s="953"/>
    </row>
    <row r="6713" spans="1:8" s="943" customFormat="1" x14ac:dyDescent="0.25">
      <c r="A6713" s="952"/>
      <c r="B6713" s="953"/>
      <c r="C6713" s="953"/>
      <c r="D6713" s="953"/>
      <c r="E6713" s="953"/>
      <c r="F6713" s="953"/>
      <c r="G6713" s="953"/>
      <c r="H6713" s="953"/>
    </row>
    <row r="6714" spans="1:8" s="943" customFormat="1" x14ac:dyDescent="0.25">
      <c r="A6714" s="952"/>
      <c r="B6714" s="953"/>
      <c r="C6714" s="953"/>
      <c r="D6714" s="953"/>
      <c r="E6714" s="953"/>
      <c r="F6714" s="953"/>
      <c r="G6714" s="953"/>
      <c r="H6714" s="953"/>
    </row>
    <row r="6715" spans="1:8" s="943" customFormat="1" x14ac:dyDescent="0.25">
      <c r="A6715" s="952"/>
      <c r="B6715" s="953"/>
      <c r="C6715" s="953"/>
      <c r="D6715" s="953"/>
      <c r="E6715" s="953"/>
      <c r="F6715" s="953"/>
      <c r="G6715" s="953"/>
      <c r="H6715" s="953"/>
    </row>
    <row r="6716" spans="1:8" s="943" customFormat="1" x14ac:dyDescent="0.25">
      <c r="A6716" s="952"/>
      <c r="B6716" s="953"/>
      <c r="C6716" s="953"/>
      <c r="D6716" s="953"/>
      <c r="E6716" s="953"/>
      <c r="F6716" s="953"/>
      <c r="G6716" s="953"/>
      <c r="H6716" s="953"/>
    </row>
    <row r="6717" spans="1:8" s="943" customFormat="1" x14ac:dyDescent="0.25">
      <c r="A6717" s="952"/>
      <c r="B6717" s="953"/>
      <c r="C6717" s="953"/>
      <c r="D6717" s="953"/>
      <c r="E6717" s="953"/>
      <c r="F6717" s="953"/>
      <c r="G6717" s="953"/>
      <c r="H6717" s="953"/>
    </row>
    <row r="6718" spans="1:8" s="943" customFormat="1" x14ac:dyDescent="0.25">
      <c r="A6718" s="952"/>
      <c r="B6718" s="953"/>
      <c r="C6718" s="953"/>
      <c r="D6718" s="953"/>
      <c r="E6718" s="953"/>
      <c r="F6718" s="953"/>
      <c r="G6718" s="953"/>
      <c r="H6718" s="953"/>
    </row>
    <row r="6719" spans="1:8" s="943" customFormat="1" x14ac:dyDescent="0.25">
      <c r="A6719" s="952"/>
      <c r="B6719" s="953"/>
      <c r="C6719" s="953"/>
      <c r="D6719" s="953"/>
      <c r="E6719" s="953"/>
      <c r="F6719" s="953"/>
      <c r="G6719" s="953"/>
      <c r="H6719" s="953"/>
    </row>
    <row r="6720" spans="1:8" s="943" customFormat="1" x14ac:dyDescent="0.25">
      <c r="A6720" s="952"/>
      <c r="B6720" s="953"/>
      <c r="C6720" s="953"/>
      <c r="D6720" s="953"/>
      <c r="E6720" s="953"/>
      <c r="F6720" s="953"/>
      <c r="G6720" s="953"/>
      <c r="H6720" s="953"/>
    </row>
    <row r="6721" spans="1:8" s="943" customFormat="1" x14ac:dyDescent="0.25">
      <c r="A6721" s="952"/>
      <c r="B6721" s="953"/>
      <c r="C6721" s="953"/>
      <c r="D6721" s="953"/>
      <c r="E6721" s="953"/>
      <c r="F6721" s="953"/>
      <c r="G6721" s="953"/>
      <c r="H6721" s="953"/>
    </row>
    <row r="6722" spans="1:8" s="943" customFormat="1" x14ac:dyDescent="0.25">
      <c r="A6722" s="952"/>
      <c r="B6722" s="953"/>
      <c r="C6722" s="953"/>
      <c r="D6722" s="953"/>
      <c r="E6722" s="953"/>
      <c r="F6722" s="953"/>
      <c r="G6722" s="953"/>
      <c r="H6722" s="953"/>
    </row>
    <row r="6723" spans="1:8" s="943" customFormat="1" x14ac:dyDescent="0.25">
      <c r="A6723" s="952"/>
      <c r="B6723" s="953"/>
      <c r="C6723" s="953"/>
      <c r="D6723" s="953"/>
      <c r="E6723" s="953"/>
      <c r="F6723" s="953"/>
      <c r="G6723" s="953"/>
      <c r="H6723" s="953"/>
    </row>
    <row r="6724" spans="1:8" s="943" customFormat="1" x14ac:dyDescent="0.25">
      <c r="A6724" s="952"/>
      <c r="B6724" s="953"/>
      <c r="C6724" s="953"/>
      <c r="D6724" s="953"/>
      <c r="E6724" s="953"/>
      <c r="F6724" s="953"/>
      <c r="G6724" s="953"/>
      <c r="H6724" s="953"/>
    </row>
    <row r="6725" spans="1:8" s="943" customFormat="1" x14ac:dyDescent="0.25">
      <c r="A6725" s="952"/>
      <c r="B6725" s="953"/>
      <c r="C6725" s="953"/>
      <c r="D6725" s="953"/>
      <c r="E6725" s="953"/>
      <c r="F6725" s="953"/>
      <c r="G6725" s="953"/>
      <c r="H6725" s="953"/>
    </row>
    <row r="6726" spans="1:8" s="943" customFormat="1" x14ac:dyDescent="0.25">
      <c r="A6726" s="952"/>
      <c r="B6726" s="953"/>
      <c r="C6726" s="953"/>
      <c r="D6726" s="953"/>
      <c r="E6726" s="953"/>
      <c r="F6726" s="953"/>
      <c r="G6726" s="953"/>
      <c r="H6726" s="953"/>
    </row>
    <row r="6727" spans="1:8" s="943" customFormat="1" x14ac:dyDescent="0.25">
      <c r="A6727" s="952"/>
      <c r="B6727" s="953"/>
      <c r="C6727" s="953"/>
      <c r="D6727" s="953"/>
      <c r="E6727" s="953"/>
      <c r="F6727" s="953"/>
      <c r="G6727" s="953"/>
      <c r="H6727" s="953"/>
    </row>
    <row r="6728" spans="1:8" s="943" customFormat="1" x14ac:dyDescent="0.25">
      <c r="A6728" s="952"/>
      <c r="B6728" s="953"/>
      <c r="C6728" s="953"/>
      <c r="D6728" s="953"/>
      <c r="E6728" s="953"/>
      <c r="F6728" s="953"/>
      <c r="G6728" s="953"/>
      <c r="H6728" s="953"/>
    </row>
    <row r="6729" spans="1:8" s="943" customFormat="1" x14ac:dyDescent="0.25">
      <c r="A6729" s="952"/>
      <c r="B6729" s="953"/>
      <c r="C6729" s="953"/>
      <c r="D6729" s="953"/>
      <c r="E6729" s="953"/>
      <c r="F6729" s="953"/>
      <c r="G6729" s="953"/>
      <c r="H6729" s="953"/>
    </row>
    <row r="6730" spans="1:8" s="943" customFormat="1" x14ac:dyDescent="0.25">
      <c r="A6730" s="952"/>
      <c r="B6730" s="953"/>
      <c r="C6730" s="953"/>
      <c r="D6730" s="953"/>
      <c r="E6730" s="953"/>
      <c r="F6730" s="953"/>
      <c r="G6730" s="953"/>
      <c r="H6730" s="953"/>
    </row>
    <row r="6731" spans="1:8" s="943" customFormat="1" x14ac:dyDescent="0.25">
      <c r="A6731" s="952"/>
      <c r="B6731" s="953"/>
      <c r="C6731" s="953"/>
      <c r="D6731" s="953"/>
      <c r="E6731" s="953"/>
      <c r="F6731" s="953"/>
      <c r="G6731" s="953"/>
      <c r="H6731" s="953"/>
    </row>
    <row r="6732" spans="1:8" s="943" customFormat="1" x14ac:dyDescent="0.25">
      <c r="A6732" s="952"/>
      <c r="B6732" s="953"/>
      <c r="C6732" s="953"/>
      <c r="D6732" s="953"/>
      <c r="E6732" s="953"/>
      <c r="F6732" s="953"/>
      <c r="G6732" s="953"/>
      <c r="H6732" s="953"/>
    </row>
    <row r="6733" spans="1:8" s="943" customFormat="1" x14ac:dyDescent="0.25">
      <c r="A6733" s="952"/>
      <c r="B6733" s="953"/>
      <c r="C6733" s="953"/>
      <c r="D6733" s="953"/>
      <c r="E6733" s="953"/>
      <c r="F6733" s="953"/>
      <c r="G6733" s="953"/>
      <c r="H6733" s="953"/>
    </row>
    <row r="6734" spans="1:8" s="943" customFormat="1" x14ac:dyDescent="0.25">
      <c r="A6734" s="952"/>
      <c r="B6734" s="953"/>
      <c r="C6734" s="953"/>
      <c r="D6734" s="953"/>
      <c r="E6734" s="953"/>
      <c r="F6734" s="953"/>
      <c r="G6734" s="953"/>
      <c r="H6734" s="953"/>
    </row>
    <row r="6735" spans="1:8" s="943" customFormat="1" x14ac:dyDescent="0.25">
      <c r="A6735" s="952"/>
      <c r="B6735" s="953"/>
      <c r="C6735" s="953"/>
      <c r="D6735" s="953"/>
      <c r="E6735" s="953"/>
      <c r="F6735" s="953"/>
      <c r="G6735" s="953"/>
      <c r="H6735" s="953"/>
    </row>
    <row r="6736" spans="1:8" s="943" customFormat="1" x14ac:dyDescent="0.25">
      <c r="A6736" s="952"/>
      <c r="B6736" s="953"/>
      <c r="C6736" s="953"/>
      <c r="D6736" s="953"/>
      <c r="E6736" s="953"/>
      <c r="F6736" s="953"/>
      <c r="G6736" s="953"/>
      <c r="H6736" s="953"/>
    </row>
    <row r="6737" spans="1:8" s="943" customFormat="1" x14ac:dyDescent="0.25">
      <c r="A6737" s="952"/>
      <c r="B6737" s="953"/>
      <c r="C6737" s="953"/>
      <c r="D6737" s="953"/>
      <c r="E6737" s="953"/>
      <c r="F6737" s="953"/>
      <c r="G6737" s="953"/>
      <c r="H6737" s="953"/>
    </row>
    <row r="6738" spans="1:8" s="943" customFormat="1" x14ac:dyDescent="0.25">
      <c r="A6738" s="952"/>
      <c r="B6738" s="953"/>
      <c r="C6738" s="953"/>
      <c r="D6738" s="953"/>
      <c r="E6738" s="953"/>
      <c r="F6738" s="953"/>
      <c r="G6738" s="953"/>
      <c r="H6738" s="953"/>
    </row>
    <row r="6739" spans="1:8" s="943" customFormat="1" x14ac:dyDescent="0.25">
      <c r="A6739" s="952"/>
      <c r="B6739" s="953"/>
      <c r="C6739" s="953"/>
      <c r="D6739" s="953"/>
      <c r="E6739" s="953"/>
      <c r="F6739" s="953"/>
      <c r="G6739" s="953"/>
      <c r="H6739" s="953"/>
    </row>
    <row r="6740" spans="1:8" s="943" customFormat="1" x14ac:dyDescent="0.25">
      <c r="A6740" s="952"/>
      <c r="B6740" s="953"/>
      <c r="C6740" s="953"/>
      <c r="D6740" s="953"/>
      <c r="E6740" s="953"/>
      <c r="F6740" s="953"/>
      <c r="G6740" s="953"/>
      <c r="H6740" s="953"/>
    </row>
    <row r="6741" spans="1:8" s="943" customFormat="1" x14ac:dyDescent="0.25">
      <c r="A6741" s="952"/>
      <c r="B6741" s="953"/>
      <c r="C6741" s="953"/>
      <c r="D6741" s="953"/>
      <c r="E6741" s="953"/>
      <c r="F6741" s="953"/>
      <c r="G6741" s="953"/>
      <c r="H6741" s="953"/>
    </row>
    <row r="6742" spans="1:8" s="943" customFormat="1" x14ac:dyDescent="0.25">
      <c r="A6742" s="952"/>
      <c r="B6742" s="953"/>
      <c r="C6742" s="953"/>
      <c r="D6742" s="953"/>
      <c r="E6742" s="953"/>
      <c r="F6742" s="953"/>
      <c r="G6742" s="953"/>
      <c r="H6742" s="953"/>
    </row>
    <row r="6743" spans="1:8" s="943" customFormat="1" x14ac:dyDescent="0.25">
      <c r="A6743" s="952"/>
      <c r="B6743" s="953"/>
      <c r="C6743" s="953"/>
      <c r="D6743" s="953"/>
      <c r="E6743" s="953"/>
      <c r="F6743" s="953"/>
      <c r="G6743" s="953"/>
      <c r="H6743" s="953"/>
    </row>
    <row r="6744" spans="1:8" s="943" customFormat="1" x14ac:dyDescent="0.25">
      <c r="A6744" s="952"/>
      <c r="B6744" s="953"/>
      <c r="C6744" s="953"/>
      <c r="D6744" s="953"/>
      <c r="E6744" s="953"/>
      <c r="F6744" s="953"/>
      <c r="G6744" s="953"/>
      <c r="H6744" s="953"/>
    </row>
    <row r="6745" spans="1:8" s="943" customFormat="1" x14ac:dyDescent="0.25">
      <c r="A6745" s="952"/>
      <c r="B6745" s="953"/>
      <c r="C6745" s="953"/>
      <c r="D6745" s="953"/>
      <c r="E6745" s="953"/>
      <c r="F6745" s="953"/>
      <c r="G6745" s="953"/>
      <c r="H6745" s="953"/>
    </row>
    <row r="6746" spans="1:8" s="943" customFormat="1" x14ac:dyDescent="0.25">
      <c r="A6746" s="952"/>
      <c r="B6746" s="953"/>
      <c r="C6746" s="953"/>
      <c r="D6746" s="953"/>
      <c r="E6746" s="953"/>
      <c r="F6746" s="953"/>
      <c r="G6746" s="953"/>
      <c r="H6746" s="953"/>
    </row>
    <row r="6747" spans="1:8" s="943" customFormat="1" x14ac:dyDescent="0.25">
      <c r="A6747" s="952"/>
      <c r="B6747" s="953"/>
      <c r="C6747" s="953"/>
      <c r="D6747" s="953"/>
      <c r="E6747" s="953"/>
      <c r="F6747" s="953"/>
      <c r="G6747" s="953"/>
      <c r="H6747" s="953"/>
    </row>
    <row r="6748" spans="1:8" s="943" customFormat="1" x14ac:dyDescent="0.25">
      <c r="A6748" s="952"/>
      <c r="B6748" s="953"/>
      <c r="C6748" s="953"/>
      <c r="D6748" s="953"/>
      <c r="E6748" s="953"/>
      <c r="F6748" s="953"/>
      <c r="G6748" s="953"/>
      <c r="H6748" s="953"/>
    </row>
    <row r="6749" spans="1:8" s="943" customFormat="1" x14ac:dyDescent="0.25">
      <c r="A6749" s="952"/>
      <c r="B6749" s="953"/>
      <c r="C6749" s="953"/>
      <c r="D6749" s="953"/>
      <c r="E6749" s="953"/>
      <c r="F6749" s="953"/>
      <c r="G6749" s="953"/>
      <c r="H6749" s="953"/>
    </row>
    <row r="6750" spans="1:8" s="943" customFormat="1" x14ac:dyDescent="0.25">
      <c r="A6750" s="952"/>
      <c r="B6750" s="953"/>
      <c r="C6750" s="953"/>
      <c r="D6750" s="953"/>
      <c r="E6750" s="953"/>
      <c r="F6750" s="953"/>
      <c r="G6750" s="953"/>
      <c r="H6750" s="953"/>
    </row>
    <row r="6751" spans="1:8" s="943" customFormat="1" x14ac:dyDescent="0.25">
      <c r="A6751" s="952"/>
      <c r="B6751" s="953"/>
      <c r="C6751" s="953"/>
      <c r="D6751" s="953"/>
      <c r="E6751" s="953"/>
      <c r="F6751" s="953"/>
      <c r="G6751" s="953"/>
      <c r="H6751" s="953"/>
    </row>
    <row r="6752" spans="1:8" s="943" customFormat="1" x14ac:dyDescent="0.25">
      <c r="A6752" s="952"/>
      <c r="B6752" s="953"/>
      <c r="C6752" s="953"/>
      <c r="D6752" s="953"/>
      <c r="E6752" s="953"/>
      <c r="F6752" s="953"/>
      <c r="G6752" s="953"/>
      <c r="H6752" s="953"/>
    </row>
    <row r="6753" spans="1:8" s="943" customFormat="1" x14ac:dyDescent="0.25">
      <c r="A6753" s="952"/>
      <c r="B6753" s="953"/>
      <c r="C6753" s="953"/>
      <c r="D6753" s="953"/>
      <c r="E6753" s="953"/>
      <c r="F6753" s="953"/>
      <c r="G6753" s="953"/>
      <c r="H6753" s="953"/>
    </row>
    <row r="6754" spans="1:8" s="943" customFormat="1" x14ac:dyDescent="0.25">
      <c r="A6754" s="952"/>
      <c r="B6754" s="953"/>
      <c r="C6754" s="953"/>
      <c r="D6754" s="953"/>
      <c r="E6754" s="953"/>
      <c r="F6754" s="953"/>
      <c r="G6754" s="953"/>
      <c r="H6754" s="953"/>
    </row>
    <row r="6755" spans="1:8" s="943" customFormat="1" x14ac:dyDescent="0.25">
      <c r="A6755" s="952"/>
      <c r="B6755" s="953"/>
      <c r="C6755" s="953"/>
      <c r="D6755" s="953"/>
      <c r="E6755" s="953"/>
      <c r="F6755" s="953"/>
      <c r="G6755" s="953"/>
      <c r="H6755" s="953"/>
    </row>
    <row r="6756" spans="1:8" s="943" customFormat="1" x14ac:dyDescent="0.25">
      <c r="A6756" s="952"/>
      <c r="B6756" s="953"/>
      <c r="C6756" s="953"/>
      <c r="D6756" s="953"/>
      <c r="E6756" s="953"/>
      <c r="F6756" s="953"/>
      <c r="G6756" s="953"/>
      <c r="H6756" s="953"/>
    </row>
    <row r="6757" spans="1:8" s="943" customFormat="1" x14ac:dyDescent="0.25">
      <c r="A6757" s="952"/>
      <c r="B6757" s="953"/>
      <c r="C6757" s="953"/>
      <c r="D6757" s="953"/>
      <c r="E6757" s="953"/>
      <c r="F6757" s="953"/>
      <c r="G6757" s="953"/>
      <c r="H6757" s="953"/>
    </row>
    <row r="6758" spans="1:8" s="943" customFormat="1" x14ac:dyDescent="0.25">
      <c r="A6758" s="952"/>
      <c r="B6758" s="953"/>
      <c r="C6758" s="953"/>
      <c r="D6758" s="953"/>
      <c r="E6758" s="953"/>
      <c r="F6758" s="953"/>
      <c r="G6758" s="953"/>
      <c r="H6758" s="953"/>
    </row>
    <row r="6759" spans="1:8" s="943" customFormat="1" x14ac:dyDescent="0.25">
      <c r="A6759" s="952"/>
      <c r="B6759" s="953"/>
      <c r="C6759" s="953"/>
      <c r="D6759" s="953"/>
      <c r="E6759" s="953"/>
      <c r="F6759" s="953"/>
      <c r="G6759" s="953"/>
      <c r="H6759" s="953"/>
    </row>
    <row r="6760" spans="1:8" s="943" customFormat="1" x14ac:dyDescent="0.25">
      <c r="A6760" s="952"/>
      <c r="B6760" s="953"/>
      <c r="C6760" s="953"/>
      <c r="D6760" s="953"/>
      <c r="E6760" s="953"/>
      <c r="F6760" s="953"/>
      <c r="G6760" s="953"/>
      <c r="H6760" s="953"/>
    </row>
    <row r="6761" spans="1:8" s="943" customFormat="1" x14ac:dyDescent="0.25">
      <c r="A6761" s="952"/>
      <c r="B6761" s="953"/>
      <c r="C6761" s="953"/>
      <c r="D6761" s="953"/>
      <c r="E6761" s="953"/>
      <c r="F6761" s="953"/>
      <c r="G6761" s="953"/>
      <c r="H6761" s="953"/>
    </row>
    <row r="6762" spans="1:8" s="943" customFormat="1" x14ac:dyDescent="0.25">
      <c r="A6762" s="952"/>
      <c r="B6762" s="953"/>
      <c r="C6762" s="953"/>
      <c r="D6762" s="953"/>
      <c r="E6762" s="953"/>
      <c r="F6762" s="953"/>
      <c r="G6762" s="953"/>
      <c r="H6762" s="953"/>
    </row>
    <row r="6763" spans="1:8" s="943" customFormat="1" x14ac:dyDescent="0.25">
      <c r="A6763" s="952"/>
      <c r="B6763" s="953"/>
      <c r="C6763" s="953"/>
      <c r="D6763" s="953"/>
      <c r="E6763" s="953"/>
      <c r="F6763" s="953"/>
      <c r="G6763" s="953"/>
      <c r="H6763" s="953"/>
    </row>
    <row r="6764" spans="1:8" s="943" customFormat="1" x14ac:dyDescent="0.25">
      <c r="A6764" s="952"/>
      <c r="B6764" s="953"/>
      <c r="C6764" s="953"/>
      <c r="D6764" s="953"/>
      <c r="E6764" s="953"/>
      <c r="F6764" s="953"/>
      <c r="G6764" s="953"/>
      <c r="H6764" s="953"/>
    </row>
    <row r="6765" spans="1:8" s="943" customFormat="1" x14ac:dyDescent="0.25">
      <c r="A6765" s="952"/>
      <c r="B6765" s="953"/>
      <c r="C6765" s="953"/>
      <c r="D6765" s="953"/>
      <c r="E6765" s="953"/>
      <c r="F6765" s="953"/>
      <c r="G6765" s="953"/>
      <c r="H6765" s="953"/>
    </row>
    <row r="6766" spans="1:8" s="943" customFormat="1" x14ac:dyDescent="0.25">
      <c r="A6766" s="952"/>
      <c r="B6766" s="953"/>
      <c r="C6766" s="953"/>
      <c r="D6766" s="953"/>
      <c r="E6766" s="953"/>
      <c r="F6766" s="953"/>
      <c r="G6766" s="953"/>
      <c r="H6766" s="953"/>
    </row>
    <row r="6767" spans="1:8" s="943" customFormat="1" x14ac:dyDescent="0.25">
      <c r="A6767" s="952"/>
      <c r="B6767" s="953"/>
      <c r="C6767" s="953"/>
      <c r="D6767" s="953"/>
      <c r="E6767" s="953"/>
      <c r="F6767" s="953"/>
      <c r="G6767" s="953"/>
      <c r="H6767" s="953"/>
    </row>
    <row r="6768" spans="1:8" s="943" customFormat="1" x14ac:dyDescent="0.25">
      <c r="A6768" s="952"/>
      <c r="B6768" s="953"/>
      <c r="C6768" s="953"/>
      <c r="D6768" s="953"/>
      <c r="E6768" s="953"/>
      <c r="F6768" s="953"/>
      <c r="G6768" s="953"/>
      <c r="H6768" s="953"/>
    </row>
    <row r="6769" spans="1:8" s="943" customFormat="1" x14ac:dyDescent="0.25">
      <c r="A6769" s="952"/>
      <c r="B6769" s="953"/>
      <c r="C6769" s="953"/>
      <c r="D6769" s="953"/>
      <c r="E6769" s="953"/>
      <c r="F6769" s="953"/>
      <c r="G6769" s="953"/>
      <c r="H6769" s="953"/>
    </row>
    <row r="6770" spans="1:8" s="943" customFormat="1" x14ac:dyDescent="0.25">
      <c r="A6770" s="952"/>
      <c r="B6770" s="953"/>
      <c r="C6770" s="953"/>
      <c r="D6770" s="953"/>
      <c r="E6770" s="953"/>
      <c r="F6770" s="953"/>
      <c r="G6770" s="953"/>
      <c r="H6770" s="953"/>
    </row>
    <row r="6771" spans="1:8" s="943" customFormat="1" x14ac:dyDescent="0.25">
      <c r="A6771" s="952"/>
      <c r="B6771" s="953"/>
      <c r="C6771" s="953"/>
      <c r="D6771" s="953"/>
      <c r="E6771" s="953"/>
      <c r="F6771" s="953"/>
      <c r="G6771" s="953"/>
      <c r="H6771" s="953"/>
    </row>
    <row r="6772" spans="1:8" s="943" customFormat="1" x14ac:dyDescent="0.25">
      <c r="A6772" s="952"/>
      <c r="B6772" s="953"/>
      <c r="C6772" s="953"/>
      <c r="D6772" s="953"/>
      <c r="E6772" s="953"/>
      <c r="F6772" s="953"/>
      <c r="G6772" s="953"/>
      <c r="H6772" s="953"/>
    </row>
    <row r="6773" spans="1:8" s="943" customFormat="1" x14ac:dyDescent="0.25">
      <c r="A6773" s="952"/>
      <c r="B6773" s="953"/>
      <c r="C6773" s="953"/>
      <c r="D6773" s="953"/>
      <c r="E6773" s="953"/>
      <c r="F6773" s="953"/>
      <c r="G6773" s="953"/>
      <c r="H6773" s="953"/>
    </row>
    <row r="6774" spans="1:8" s="943" customFormat="1" x14ac:dyDescent="0.25">
      <c r="A6774" s="952"/>
      <c r="B6774" s="953"/>
      <c r="C6774" s="953"/>
      <c r="D6774" s="953"/>
      <c r="E6774" s="953"/>
      <c r="F6774" s="953"/>
      <c r="G6774" s="953"/>
      <c r="H6774" s="953"/>
    </row>
    <row r="6775" spans="1:8" s="943" customFormat="1" x14ac:dyDescent="0.25">
      <c r="A6775" s="952"/>
      <c r="B6775" s="953"/>
      <c r="C6775" s="953"/>
      <c r="D6775" s="953"/>
      <c r="E6775" s="953"/>
      <c r="F6775" s="953"/>
      <c r="G6775" s="953"/>
      <c r="H6775" s="953"/>
    </row>
    <row r="6776" spans="1:8" s="943" customFormat="1" x14ac:dyDescent="0.25">
      <c r="A6776" s="952"/>
      <c r="B6776" s="953"/>
      <c r="C6776" s="953"/>
      <c r="D6776" s="953"/>
      <c r="E6776" s="953"/>
      <c r="F6776" s="953"/>
      <c r="G6776" s="953"/>
      <c r="H6776" s="953"/>
    </row>
    <row r="6777" spans="1:8" s="943" customFormat="1" x14ac:dyDescent="0.25">
      <c r="A6777" s="952"/>
      <c r="B6777" s="953"/>
      <c r="C6777" s="953"/>
      <c r="D6777" s="953"/>
      <c r="E6777" s="953"/>
      <c r="F6777" s="953"/>
      <c r="G6777" s="953"/>
      <c r="H6777" s="953"/>
    </row>
    <row r="6778" spans="1:8" s="943" customFormat="1" x14ac:dyDescent="0.25">
      <c r="A6778" s="952"/>
      <c r="B6778" s="953"/>
      <c r="C6778" s="953"/>
      <c r="D6778" s="953"/>
      <c r="E6778" s="953"/>
      <c r="F6778" s="953"/>
      <c r="G6778" s="953"/>
      <c r="H6778" s="953"/>
    </row>
    <row r="6779" spans="1:8" s="943" customFormat="1" x14ac:dyDescent="0.25">
      <c r="A6779" s="952"/>
      <c r="B6779" s="953"/>
      <c r="C6779" s="953"/>
      <c r="D6779" s="953"/>
      <c r="E6779" s="953"/>
      <c r="F6779" s="953"/>
      <c r="G6779" s="953"/>
      <c r="H6779" s="953"/>
    </row>
    <row r="6780" spans="1:8" s="943" customFormat="1" x14ac:dyDescent="0.25">
      <c r="A6780" s="952"/>
      <c r="B6780" s="953"/>
      <c r="C6780" s="953"/>
      <c r="D6780" s="953"/>
      <c r="E6780" s="953"/>
      <c r="F6780" s="953"/>
      <c r="G6780" s="953"/>
      <c r="H6780" s="953"/>
    </row>
    <row r="6781" spans="1:8" s="943" customFormat="1" x14ac:dyDescent="0.25">
      <c r="A6781" s="952"/>
      <c r="B6781" s="953"/>
      <c r="C6781" s="953"/>
      <c r="D6781" s="953"/>
      <c r="E6781" s="953"/>
      <c r="F6781" s="953"/>
      <c r="G6781" s="953"/>
      <c r="H6781" s="953"/>
    </row>
    <row r="6782" spans="1:8" s="943" customFormat="1" x14ac:dyDescent="0.25">
      <c r="A6782" s="952"/>
      <c r="B6782" s="953"/>
      <c r="C6782" s="953"/>
      <c r="D6782" s="953"/>
      <c r="E6782" s="953"/>
      <c r="F6782" s="953"/>
      <c r="G6782" s="953"/>
      <c r="H6782" s="953"/>
    </row>
    <row r="6783" spans="1:8" s="943" customFormat="1" x14ac:dyDescent="0.25">
      <c r="A6783" s="952"/>
      <c r="B6783" s="953"/>
      <c r="C6783" s="953"/>
      <c r="D6783" s="953"/>
      <c r="E6783" s="953"/>
      <c r="F6783" s="953"/>
      <c r="G6783" s="953"/>
      <c r="H6783" s="953"/>
    </row>
    <row r="6784" spans="1:8" s="943" customFormat="1" x14ac:dyDescent="0.25">
      <c r="A6784" s="952"/>
      <c r="B6784" s="953"/>
      <c r="C6784" s="953"/>
      <c r="D6784" s="953"/>
      <c r="E6784" s="953"/>
      <c r="F6784" s="953"/>
      <c r="G6784" s="953"/>
      <c r="H6784" s="953"/>
    </row>
    <row r="6785" spans="1:8" s="943" customFormat="1" x14ac:dyDescent="0.25">
      <c r="A6785" s="952"/>
      <c r="B6785" s="953"/>
      <c r="C6785" s="953"/>
      <c r="D6785" s="953"/>
      <c r="E6785" s="953"/>
      <c r="F6785" s="953"/>
      <c r="G6785" s="953"/>
      <c r="H6785" s="953"/>
    </row>
    <row r="6786" spans="1:8" s="943" customFormat="1" x14ac:dyDescent="0.25">
      <c r="A6786" s="952"/>
      <c r="B6786" s="953"/>
      <c r="C6786" s="953"/>
      <c r="D6786" s="953"/>
      <c r="E6786" s="953"/>
      <c r="F6786" s="953"/>
      <c r="G6786" s="953"/>
      <c r="H6786" s="953"/>
    </row>
    <row r="6787" spans="1:8" s="943" customFormat="1" x14ac:dyDescent="0.25">
      <c r="A6787" s="952"/>
      <c r="B6787" s="953"/>
      <c r="C6787" s="953"/>
      <c r="D6787" s="953"/>
      <c r="E6787" s="953"/>
      <c r="F6787" s="953"/>
      <c r="G6787" s="953"/>
      <c r="H6787" s="953"/>
    </row>
    <row r="6788" spans="1:8" s="943" customFormat="1" x14ac:dyDescent="0.25">
      <c r="A6788" s="952"/>
      <c r="B6788" s="953"/>
      <c r="C6788" s="953"/>
      <c r="D6788" s="953"/>
      <c r="E6788" s="953"/>
      <c r="F6788" s="953"/>
      <c r="G6788" s="953"/>
      <c r="H6788" s="953"/>
    </row>
    <row r="6789" spans="1:8" s="943" customFormat="1" x14ac:dyDescent="0.25">
      <c r="A6789" s="952"/>
      <c r="B6789" s="953"/>
      <c r="C6789" s="953"/>
      <c r="D6789" s="953"/>
      <c r="E6789" s="953"/>
      <c r="F6789" s="953"/>
      <c r="G6789" s="953"/>
      <c r="H6789" s="953"/>
    </row>
    <row r="6790" spans="1:8" s="943" customFormat="1" x14ac:dyDescent="0.25">
      <c r="A6790" s="952"/>
      <c r="B6790" s="953"/>
      <c r="C6790" s="953"/>
      <c r="D6790" s="953"/>
      <c r="E6790" s="953"/>
      <c r="F6790" s="953"/>
      <c r="G6790" s="953"/>
      <c r="H6790" s="953"/>
    </row>
    <row r="6791" spans="1:8" s="943" customFormat="1" x14ac:dyDescent="0.25">
      <c r="A6791" s="952"/>
      <c r="B6791" s="953"/>
      <c r="C6791" s="953"/>
      <c r="D6791" s="953"/>
      <c r="E6791" s="953"/>
      <c r="F6791" s="953"/>
      <c r="G6791" s="953"/>
      <c r="H6791" s="953"/>
    </row>
    <row r="6792" spans="1:8" s="943" customFormat="1" x14ac:dyDescent="0.25">
      <c r="A6792" s="952"/>
      <c r="B6792" s="953"/>
      <c r="C6792" s="953"/>
      <c r="D6792" s="953"/>
      <c r="E6792" s="953"/>
      <c r="F6792" s="953"/>
      <c r="G6792" s="953"/>
      <c r="H6792" s="953"/>
    </row>
    <row r="6793" spans="1:8" s="943" customFormat="1" x14ac:dyDescent="0.25">
      <c r="A6793" s="952"/>
      <c r="B6793" s="953"/>
      <c r="C6793" s="953"/>
      <c r="D6793" s="953"/>
      <c r="E6793" s="953"/>
      <c r="F6793" s="953"/>
      <c r="G6793" s="953"/>
      <c r="H6793" s="953"/>
    </row>
    <row r="6794" spans="1:8" s="943" customFormat="1" x14ac:dyDescent="0.25">
      <c r="A6794" s="952"/>
      <c r="B6794" s="953"/>
      <c r="C6794" s="953"/>
      <c r="D6794" s="953"/>
      <c r="E6794" s="953"/>
      <c r="F6794" s="953"/>
      <c r="G6794" s="953"/>
      <c r="H6794" s="953"/>
    </row>
    <row r="6795" spans="1:8" s="943" customFormat="1" x14ac:dyDescent="0.25">
      <c r="A6795" s="952"/>
      <c r="B6795" s="953"/>
      <c r="C6795" s="953"/>
      <c r="D6795" s="953"/>
      <c r="E6795" s="953"/>
      <c r="F6795" s="953"/>
      <c r="G6795" s="953"/>
      <c r="H6795" s="953"/>
    </row>
    <row r="6796" spans="1:8" s="943" customFormat="1" x14ac:dyDescent="0.25">
      <c r="A6796" s="952"/>
      <c r="B6796" s="953"/>
      <c r="C6796" s="953"/>
      <c r="D6796" s="953"/>
      <c r="E6796" s="953"/>
      <c r="F6796" s="953"/>
      <c r="G6796" s="953"/>
      <c r="H6796" s="953"/>
    </row>
    <row r="6797" spans="1:8" s="943" customFormat="1" x14ac:dyDescent="0.25">
      <c r="A6797" s="952"/>
      <c r="B6797" s="953"/>
      <c r="C6797" s="953"/>
      <c r="D6797" s="953"/>
      <c r="E6797" s="953"/>
      <c r="F6797" s="953"/>
      <c r="G6797" s="953"/>
      <c r="H6797" s="953"/>
    </row>
    <row r="6798" spans="1:8" s="943" customFormat="1" x14ac:dyDescent="0.25">
      <c r="A6798" s="952"/>
      <c r="B6798" s="953"/>
      <c r="C6798" s="953"/>
      <c r="D6798" s="953"/>
      <c r="E6798" s="953"/>
      <c r="F6798" s="953"/>
      <c r="G6798" s="953"/>
      <c r="H6798" s="953"/>
    </row>
    <row r="6799" spans="1:8" s="943" customFormat="1" x14ac:dyDescent="0.25">
      <c r="A6799" s="952"/>
      <c r="B6799" s="953"/>
      <c r="C6799" s="953"/>
      <c r="D6799" s="953"/>
      <c r="E6799" s="953"/>
      <c r="F6799" s="953"/>
      <c r="G6799" s="953"/>
      <c r="H6799" s="953"/>
    </row>
    <row r="6800" spans="1:8" s="943" customFormat="1" x14ac:dyDescent="0.25">
      <c r="A6800" s="952"/>
      <c r="B6800" s="953"/>
      <c r="C6800" s="953"/>
      <c r="D6800" s="953"/>
      <c r="E6800" s="953"/>
      <c r="F6800" s="953"/>
      <c r="G6800" s="953"/>
      <c r="H6800" s="953"/>
    </row>
    <row r="6801" spans="1:8" s="943" customFormat="1" x14ac:dyDescent="0.25">
      <c r="A6801" s="952"/>
      <c r="B6801" s="953"/>
      <c r="C6801" s="953"/>
      <c r="D6801" s="953"/>
      <c r="E6801" s="953"/>
      <c r="F6801" s="953"/>
      <c r="G6801" s="953"/>
      <c r="H6801" s="953"/>
    </row>
    <row r="6802" spans="1:8" s="943" customFormat="1" x14ac:dyDescent="0.25">
      <c r="A6802" s="952"/>
      <c r="B6802" s="953"/>
      <c r="C6802" s="953"/>
      <c r="D6802" s="953"/>
      <c r="E6802" s="953"/>
      <c r="F6802" s="953"/>
      <c r="G6802" s="953"/>
      <c r="H6802" s="953"/>
    </row>
    <row r="6803" spans="1:8" s="943" customFormat="1" x14ac:dyDescent="0.25">
      <c r="A6803" s="952"/>
      <c r="B6803" s="953"/>
      <c r="C6803" s="953"/>
      <c r="D6803" s="953"/>
      <c r="E6803" s="953"/>
      <c r="F6803" s="953"/>
      <c r="G6803" s="953"/>
      <c r="H6803" s="953"/>
    </row>
    <row r="6804" spans="1:8" s="943" customFormat="1" x14ac:dyDescent="0.25">
      <c r="A6804" s="952"/>
      <c r="B6804" s="953"/>
      <c r="C6804" s="953"/>
      <c r="D6804" s="953"/>
      <c r="E6804" s="953"/>
      <c r="F6804" s="953"/>
      <c r="G6804" s="953"/>
      <c r="H6804" s="953"/>
    </row>
    <row r="6805" spans="1:8" s="943" customFormat="1" x14ac:dyDescent="0.25">
      <c r="A6805" s="952"/>
      <c r="B6805" s="953"/>
      <c r="C6805" s="953"/>
      <c r="D6805" s="953"/>
      <c r="E6805" s="953"/>
      <c r="F6805" s="953"/>
      <c r="G6805" s="953"/>
      <c r="H6805" s="953"/>
    </row>
    <row r="6806" spans="1:8" s="943" customFormat="1" x14ac:dyDescent="0.25">
      <c r="A6806" s="952"/>
      <c r="B6806" s="953"/>
      <c r="C6806" s="953"/>
      <c r="D6806" s="953"/>
      <c r="E6806" s="953"/>
      <c r="F6806" s="953"/>
      <c r="G6806" s="953"/>
      <c r="H6806" s="953"/>
    </row>
    <row r="6807" spans="1:8" s="943" customFormat="1" x14ac:dyDescent="0.25">
      <c r="A6807" s="952"/>
      <c r="B6807" s="953"/>
      <c r="C6807" s="953"/>
      <c r="D6807" s="953"/>
      <c r="E6807" s="953"/>
      <c r="F6807" s="953"/>
      <c r="G6807" s="953"/>
      <c r="H6807" s="953"/>
    </row>
    <row r="6808" spans="1:8" s="943" customFormat="1" x14ac:dyDescent="0.25">
      <c r="A6808" s="952"/>
      <c r="B6808" s="953"/>
      <c r="C6808" s="953"/>
      <c r="D6808" s="953"/>
      <c r="E6808" s="953"/>
      <c r="F6808" s="953"/>
      <c r="G6808" s="953"/>
      <c r="H6808" s="953"/>
    </row>
    <row r="6809" spans="1:8" s="943" customFormat="1" x14ac:dyDescent="0.25">
      <c r="A6809" s="952"/>
      <c r="B6809" s="953"/>
      <c r="C6809" s="953"/>
      <c r="D6809" s="953"/>
      <c r="E6809" s="953"/>
      <c r="F6809" s="953"/>
      <c r="G6809" s="953"/>
      <c r="H6809" s="953"/>
    </row>
    <row r="6810" spans="1:8" s="943" customFormat="1" x14ac:dyDescent="0.25">
      <c r="A6810" s="952"/>
      <c r="B6810" s="953"/>
      <c r="C6810" s="953"/>
      <c r="D6810" s="953"/>
      <c r="E6810" s="953"/>
      <c r="F6810" s="953"/>
      <c r="G6810" s="953"/>
      <c r="H6810" s="953"/>
    </row>
    <row r="6811" spans="1:8" s="943" customFormat="1" x14ac:dyDescent="0.25">
      <c r="A6811" s="952"/>
      <c r="B6811" s="953"/>
      <c r="C6811" s="953"/>
      <c r="D6811" s="953"/>
      <c r="E6811" s="953"/>
      <c r="F6811" s="953"/>
      <c r="G6811" s="953"/>
      <c r="H6811" s="953"/>
    </row>
    <row r="6812" spans="1:8" s="943" customFormat="1" x14ac:dyDescent="0.25">
      <c r="A6812" s="952"/>
      <c r="B6812" s="953"/>
      <c r="C6812" s="953"/>
      <c r="D6812" s="953"/>
      <c r="E6812" s="953"/>
      <c r="F6812" s="953"/>
      <c r="G6812" s="953"/>
      <c r="H6812" s="953"/>
    </row>
    <row r="6813" spans="1:8" s="943" customFormat="1" x14ac:dyDescent="0.25">
      <c r="A6813" s="952"/>
      <c r="B6813" s="953"/>
      <c r="C6813" s="953"/>
      <c r="D6813" s="953"/>
      <c r="E6813" s="953"/>
      <c r="F6813" s="953"/>
      <c r="G6813" s="953"/>
      <c r="H6813" s="953"/>
    </row>
    <row r="6814" spans="1:8" s="943" customFormat="1" x14ac:dyDescent="0.25">
      <c r="A6814" s="952"/>
      <c r="B6814" s="953"/>
      <c r="C6814" s="953"/>
      <c r="D6814" s="953"/>
      <c r="E6814" s="953"/>
      <c r="F6814" s="953"/>
      <c r="G6814" s="953"/>
      <c r="H6814" s="953"/>
    </row>
    <row r="6815" spans="1:8" s="943" customFormat="1" x14ac:dyDescent="0.25">
      <c r="A6815" s="952"/>
      <c r="B6815" s="953"/>
      <c r="C6815" s="953"/>
      <c r="D6815" s="953"/>
      <c r="E6815" s="953"/>
      <c r="F6815" s="953"/>
      <c r="G6815" s="953"/>
      <c r="H6815" s="953"/>
    </row>
    <row r="6816" spans="1:8" s="943" customFormat="1" x14ac:dyDescent="0.25">
      <c r="A6816" s="952"/>
      <c r="B6816" s="953"/>
      <c r="C6816" s="953"/>
      <c r="D6816" s="953"/>
      <c r="E6816" s="953"/>
      <c r="F6816" s="953"/>
      <c r="G6816" s="953"/>
      <c r="H6816" s="953"/>
    </row>
    <row r="6817" spans="1:8" s="943" customFormat="1" x14ac:dyDescent="0.25">
      <c r="A6817" s="952"/>
      <c r="B6817" s="953"/>
      <c r="C6817" s="953"/>
      <c r="D6817" s="953"/>
      <c r="E6817" s="953"/>
      <c r="F6817" s="953"/>
      <c r="G6817" s="953"/>
      <c r="H6817" s="953"/>
    </row>
    <row r="6818" spans="1:8" s="943" customFormat="1" x14ac:dyDescent="0.25">
      <c r="A6818" s="952"/>
      <c r="B6818" s="953"/>
      <c r="C6818" s="953"/>
      <c r="D6818" s="953"/>
      <c r="E6818" s="953"/>
      <c r="F6818" s="953"/>
      <c r="G6818" s="953"/>
      <c r="H6818" s="953"/>
    </row>
    <row r="6819" spans="1:8" s="943" customFormat="1" x14ac:dyDescent="0.25">
      <c r="A6819" s="952"/>
      <c r="B6819" s="953"/>
      <c r="C6819" s="953"/>
      <c r="D6819" s="953"/>
      <c r="E6819" s="953"/>
      <c r="F6819" s="953"/>
      <c r="G6819" s="953"/>
      <c r="H6819" s="953"/>
    </row>
    <row r="6820" spans="1:8" s="943" customFormat="1" x14ac:dyDescent="0.25">
      <c r="A6820" s="952"/>
      <c r="B6820" s="953"/>
      <c r="C6820" s="953"/>
      <c r="D6820" s="953"/>
      <c r="E6820" s="953"/>
      <c r="F6820" s="953"/>
      <c r="G6820" s="953"/>
      <c r="H6820" s="953"/>
    </row>
    <row r="6821" spans="1:8" s="943" customFormat="1" x14ac:dyDescent="0.25">
      <c r="A6821" s="952"/>
      <c r="B6821" s="953"/>
      <c r="C6821" s="953"/>
      <c r="D6821" s="953"/>
      <c r="E6821" s="953"/>
      <c r="F6821" s="953"/>
      <c r="G6821" s="953"/>
      <c r="H6821" s="953"/>
    </row>
    <row r="6822" spans="1:8" s="943" customFormat="1" x14ac:dyDescent="0.25">
      <c r="A6822" s="952"/>
      <c r="B6822" s="953"/>
      <c r="C6822" s="953"/>
      <c r="D6822" s="953"/>
      <c r="E6822" s="953"/>
      <c r="F6822" s="953"/>
      <c r="G6822" s="953"/>
      <c r="H6822" s="953"/>
    </row>
    <row r="6823" spans="1:8" s="943" customFormat="1" x14ac:dyDescent="0.25">
      <c r="A6823" s="952"/>
      <c r="B6823" s="953"/>
      <c r="C6823" s="953"/>
      <c r="D6823" s="953"/>
      <c r="E6823" s="953"/>
      <c r="F6823" s="953"/>
      <c r="G6823" s="953"/>
      <c r="H6823" s="953"/>
    </row>
    <row r="6824" spans="1:8" s="943" customFormat="1" x14ac:dyDescent="0.25">
      <c r="A6824" s="952"/>
      <c r="B6824" s="953"/>
      <c r="C6824" s="953"/>
      <c r="D6824" s="953"/>
      <c r="E6824" s="953"/>
      <c r="F6824" s="953"/>
      <c r="G6824" s="953"/>
      <c r="H6824" s="953"/>
    </row>
    <row r="6825" spans="1:8" s="943" customFormat="1" x14ac:dyDescent="0.25">
      <c r="A6825" s="952"/>
      <c r="B6825" s="953"/>
      <c r="C6825" s="953"/>
      <c r="D6825" s="953"/>
      <c r="E6825" s="953"/>
      <c r="F6825" s="953"/>
      <c r="G6825" s="953"/>
      <c r="H6825" s="953"/>
    </row>
    <row r="6826" spans="1:8" s="943" customFormat="1" x14ac:dyDescent="0.25">
      <c r="A6826" s="952"/>
      <c r="B6826" s="953"/>
      <c r="C6826" s="953"/>
      <c r="D6826" s="953"/>
      <c r="E6826" s="953"/>
      <c r="F6826" s="953"/>
      <c r="G6826" s="953"/>
      <c r="H6826" s="953"/>
    </row>
    <row r="6827" spans="1:8" s="943" customFormat="1" x14ac:dyDescent="0.25">
      <c r="A6827" s="952"/>
      <c r="B6827" s="953"/>
      <c r="C6827" s="953"/>
      <c r="D6827" s="953"/>
      <c r="E6827" s="953"/>
      <c r="F6827" s="953"/>
      <c r="G6827" s="953"/>
      <c r="H6827" s="953"/>
    </row>
    <row r="6828" spans="1:8" s="943" customFormat="1" x14ac:dyDescent="0.25">
      <c r="A6828" s="952"/>
      <c r="B6828" s="953"/>
      <c r="C6828" s="953"/>
      <c r="D6828" s="953"/>
      <c r="E6828" s="953"/>
      <c r="F6828" s="953"/>
      <c r="G6828" s="953"/>
      <c r="H6828" s="953"/>
    </row>
    <row r="6829" spans="1:8" s="943" customFormat="1" x14ac:dyDescent="0.25">
      <c r="A6829" s="952"/>
      <c r="B6829" s="953"/>
      <c r="C6829" s="953"/>
      <c r="D6829" s="953"/>
      <c r="E6829" s="953"/>
      <c r="F6829" s="953"/>
      <c r="G6829" s="953"/>
      <c r="H6829" s="953"/>
    </row>
    <row r="6830" spans="1:8" s="943" customFormat="1" x14ac:dyDescent="0.25">
      <c r="A6830" s="952"/>
      <c r="B6830" s="953"/>
      <c r="C6830" s="953"/>
      <c r="D6830" s="953"/>
      <c r="E6830" s="953"/>
      <c r="F6830" s="953"/>
      <c r="G6830" s="953"/>
      <c r="H6830" s="953"/>
    </row>
    <row r="6831" spans="1:8" s="943" customFormat="1" x14ac:dyDescent="0.25">
      <c r="A6831" s="952"/>
      <c r="B6831" s="953"/>
      <c r="C6831" s="953"/>
      <c r="D6831" s="953"/>
      <c r="E6831" s="953"/>
      <c r="F6831" s="953"/>
      <c r="G6831" s="953"/>
      <c r="H6831" s="953"/>
    </row>
    <row r="6832" spans="1:8" s="943" customFormat="1" x14ac:dyDescent="0.25">
      <c r="A6832" s="952"/>
      <c r="B6832" s="953"/>
      <c r="C6832" s="953"/>
      <c r="D6832" s="953"/>
      <c r="E6832" s="953"/>
      <c r="F6832" s="953"/>
      <c r="G6832" s="953"/>
      <c r="H6832" s="953"/>
    </row>
    <row r="6833" spans="1:8" s="943" customFormat="1" x14ac:dyDescent="0.25">
      <c r="A6833" s="952"/>
      <c r="B6833" s="953"/>
      <c r="C6833" s="953"/>
      <c r="D6833" s="953"/>
      <c r="E6833" s="953"/>
      <c r="F6833" s="953"/>
      <c r="G6833" s="953"/>
      <c r="H6833" s="953"/>
    </row>
    <row r="6834" spans="1:8" s="943" customFormat="1" x14ac:dyDescent="0.25">
      <c r="A6834" s="952"/>
      <c r="B6834" s="953"/>
      <c r="C6834" s="953"/>
      <c r="D6834" s="953"/>
      <c r="E6834" s="953"/>
      <c r="F6834" s="953"/>
      <c r="G6834" s="953"/>
      <c r="H6834" s="953"/>
    </row>
    <row r="6835" spans="1:8" s="943" customFormat="1" x14ac:dyDescent="0.25">
      <c r="A6835" s="952"/>
      <c r="B6835" s="953"/>
      <c r="C6835" s="953"/>
      <c r="D6835" s="953"/>
      <c r="E6835" s="953"/>
      <c r="F6835" s="953"/>
      <c r="G6835" s="953"/>
      <c r="H6835" s="953"/>
    </row>
    <row r="6836" spans="1:8" s="943" customFormat="1" x14ac:dyDescent="0.25">
      <c r="A6836" s="952"/>
      <c r="B6836" s="953"/>
      <c r="C6836" s="953"/>
      <c r="D6836" s="953"/>
      <c r="E6836" s="953"/>
      <c r="F6836" s="953"/>
      <c r="G6836" s="953"/>
      <c r="H6836" s="953"/>
    </row>
    <row r="6837" spans="1:8" s="943" customFormat="1" x14ac:dyDescent="0.25">
      <c r="A6837" s="952"/>
      <c r="B6837" s="953"/>
      <c r="C6837" s="953"/>
      <c r="D6837" s="953"/>
      <c r="E6837" s="953"/>
      <c r="F6837" s="953"/>
      <c r="G6837" s="953"/>
      <c r="H6837" s="953"/>
    </row>
    <row r="6838" spans="1:8" s="943" customFormat="1" x14ac:dyDescent="0.25">
      <c r="A6838" s="952"/>
      <c r="B6838" s="953"/>
      <c r="C6838" s="953"/>
      <c r="D6838" s="953"/>
      <c r="E6838" s="953"/>
      <c r="F6838" s="953"/>
      <c r="G6838" s="953"/>
      <c r="H6838" s="953"/>
    </row>
    <row r="6839" spans="1:8" s="943" customFormat="1" x14ac:dyDescent="0.25">
      <c r="A6839" s="952"/>
      <c r="B6839" s="953"/>
      <c r="C6839" s="953"/>
      <c r="D6839" s="953"/>
      <c r="E6839" s="953"/>
      <c r="F6839" s="953"/>
      <c r="G6839" s="953"/>
      <c r="H6839" s="953"/>
    </row>
    <row r="6840" spans="1:8" s="943" customFormat="1" x14ac:dyDescent="0.25">
      <c r="A6840" s="952"/>
      <c r="B6840" s="953"/>
      <c r="C6840" s="953"/>
      <c r="D6840" s="953"/>
      <c r="E6840" s="953"/>
      <c r="F6840" s="953"/>
      <c r="G6840" s="953"/>
      <c r="H6840" s="953"/>
    </row>
    <row r="6841" spans="1:8" s="943" customFormat="1" x14ac:dyDescent="0.25">
      <c r="A6841" s="952"/>
      <c r="B6841" s="953"/>
      <c r="C6841" s="953"/>
      <c r="D6841" s="953"/>
      <c r="E6841" s="953"/>
      <c r="F6841" s="953"/>
      <c r="G6841" s="953"/>
      <c r="H6841" s="953"/>
    </row>
    <row r="6842" spans="1:8" s="943" customFormat="1" x14ac:dyDescent="0.25">
      <c r="A6842" s="952"/>
      <c r="B6842" s="953"/>
      <c r="C6842" s="953"/>
      <c r="D6842" s="953"/>
      <c r="E6842" s="953"/>
      <c r="F6842" s="953"/>
      <c r="G6842" s="953"/>
      <c r="H6842" s="953"/>
    </row>
    <row r="6843" spans="1:8" s="943" customFormat="1" x14ac:dyDescent="0.25">
      <c r="A6843" s="952"/>
      <c r="B6843" s="953"/>
      <c r="C6843" s="953"/>
      <c r="D6843" s="953"/>
      <c r="E6843" s="953"/>
      <c r="F6843" s="953"/>
      <c r="G6843" s="953"/>
      <c r="H6843" s="953"/>
    </row>
    <row r="6844" spans="1:8" s="943" customFormat="1" x14ac:dyDescent="0.25">
      <c r="A6844" s="952"/>
      <c r="B6844" s="953"/>
      <c r="C6844" s="953"/>
      <c r="D6844" s="953"/>
      <c r="E6844" s="953"/>
      <c r="F6844" s="953"/>
      <c r="G6844" s="953"/>
      <c r="H6844" s="953"/>
    </row>
    <row r="6845" spans="1:8" s="943" customFormat="1" x14ac:dyDescent="0.25">
      <c r="A6845" s="952"/>
      <c r="B6845" s="953"/>
      <c r="C6845" s="953"/>
      <c r="D6845" s="953"/>
      <c r="E6845" s="953"/>
      <c r="F6845" s="953"/>
      <c r="G6845" s="953"/>
      <c r="H6845" s="953"/>
    </row>
    <row r="6846" spans="1:8" s="943" customFormat="1" x14ac:dyDescent="0.25">
      <c r="A6846" s="952"/>
      <c r="B6846" s="953"/>
      <c r="C6846" s="953"/>
      <c r="D6846" s="953"/>
      <c r="E6846" s="953"/>
      <c r="F6846" s="953"/>
      <c r="G6846" s="953"/>
      <c r="H6846" s="953"/>
    </row>
    <row r="6847" spans="1:8" s="943" customFormat="1" x14ac:dyDescent="0.25">
      <c r="A6847" s="952"/>
      <c r="B6847" s="953"/>
      <c r="C6847" s="953"/>
      <c r="D6847" s="953"/>
      <c r="E6847" s="953"/>
      <c r="F6847" s="953"/>
      <c r="G6847" s="953"/>
      <c r="H6847" s="953"/>
    </row>
    <row r="6848" spans="1:8" s="943" customFormat="1" x14ac:dyDescent="0.25">
      <c r="A6848" s="952"/>
      <c r="B6848" s="953"/>
      <c r="C6848" s="953"/>
      <c r="D6848" s="953"/>
      <c r="E6848" s="953"/>
      <c r="F6848" s="953"/>
      <c r="G6848" s="953"/>
      <c r="H6848" s="953"/>
    </row>
    <row r="6849" spans="1:8" s="943" customFormat="1" x14ac:dyDescent="0.25">
      <c r="A6849" s="952"/>
      <c r="B6849" s="953"/>
      <c r="C6849" s="953"/>
      <c r="D6849" s="953"/>
      <c r="E6849" s="953"/>
      <c r="F6849" s="953"/>
      <c r="G6849" s="953"/>
      <c r="H6849" s="953"/>
    </row>
    <row r="6850" spans="1:8" s="943" customFormat="1" x14ac:dyDescent="0.25">
      <c r="A6850" s="952"/>
      <c r="B6850" s="953"/>
      <c r="C6850" s="953"/>
      <c r="D6850" s="953"/>
      <c r="E6850" s="953"/>
      <c r="F6850" s="953"/>
      <c r="G6850" s="953"/>
      <c r="H6850" s="953"/>
    </row>
    <row r="6851" spans="1:8" s="943" customFormat="1" x14ac:dyDescent="0.25">
      <c r="A6851" s="952"/>
      <c r="B6851" s="953"/>
      <c r="C6851" s="953"/>
      <c r="D6851" s="953"/>
      <c r="E6851" s="953"/>
      <c r="F6851" s="953"/>
      <c r="G6851" s="953"/>
      <c r="H6851" s="953"/>
    </row>
    <row r="6852" spans="1:8" s="943" customFormat="1" x14ac:dyDescent="0.25">
      <c r="A6852" s="952"/>
      <c r="B6852" s="953"/>
      <c r="C6852" s="953"/>
      <c r="D6852" s="953"/>
      <c r="E6852" s="953"/>
      <c r="F6852" s="953"/>
      <c r="G6852" s="953"/>
      <c r="H6852" s="953"/>
    </row>
    <row r="6853" spans="1:8" s="943" customFormat="1" x14ac:dyDescent="0.25">
      <c r="A6853" s="952"/>
      <c r="B6853" s="953"/>
      <c r="C6853" s="953"/>
      <c r="D6853" s="953"/>
      <c r="E6853" s="953"/>
      <c r="F6853" s="953"/>
      <c r="G6853" s="953"/>
      <c r="H6853" s="953"/>
    </row>
    <row r="6854" spans="1:8" s="943" customFormat="1" x14ac:dyDescent="0.25">
      <c r="A6854" s="952"/>
      <c r="B6854" s="953"/>
      <c r="C6854" s="953"/>
      <c r="D6854" s="953"/>
      <c r="E6854" s="953"/>
      <c r="F6854" s="953"/>
      <c r="G6854" s="953"/>
      <c r="H6854" s="953"/>
    </row>
    <row r="6855" spans="1:8" s="943" customFormat="1" x14ac:dyDescent="0.25">
      <c r="A6855" s="952"/>
      <c r="B6855" s="953"/>
      <c r="C6855" s="953"/>
      <c r="D6855" s="953"/>
      <c r="E6855" s="953"/>
      <c r="F6855" s="953"/>
      <c r="G6855" s="953"/>
      <c r="H6855" s="953"/>
    </row>
    <row r="6856" spans="1:8" s="943" customFormat="1" x14ac:dyDescent="0.25">
      <c r="A6856" s="952"/>
      <c r="B6856" s="953"/>
      <c r="C6856" s="953"/>
      <c r="D6856" s="953"/>
      <c r="E6856" s="953"/>
      <c r="F6856" s="953"/>
      <c r="G6856" s="953"/>
      <c r="H6856" s="953"/>
    </row>
    <row r="6857" spans="1:8" s="943" customFormat="1" x14ac:dyDescent="0.25">
      <c r="A6857" s="952"/>
      <c r="B6857" s="953"/>
      <c r="C6857" s="953"/>
      <c r="D6857" s="953"/>
      <c r="E6857" s="953"/>
      <c r="F6857" s="953"/>
      <c r="G6857" s="953"/>
      <c r="H6857" s="953"/>
    </row>
    <row r="6858" spans="1:8" s="943" customFormat="1" x14ac:dyDescent="0.25">
      <c r="A6858" s="952"/>
      <c r="B6858" s="953"/>
      <c r="C6858" s="953"/>
      <c r="D6858" s="953"/>
      <c r="E6858" s="953"/>
      <c r="F6858" s="953"/>
      <c r="G6858" s="953"/>
      <c r="H6858" s="953"/>
    </row>
    <row r="6859" spans="1:8" s="943" customFormat="1" x14ac:dyDescent="0.25">
      <c r="A6859" s="952"/>
      <c r="B6859" s="953"/>
      <c r="C6859" s="953"/>
      <c r="D6859" s="953"/>
      <c r="E6859" s="953"/>
      <c r="F6859" s="953"/>
      <c r="G6859" s="953"/>
      <c r="H6859" s="953"/>
    </row>
    <row r="6860" spans="1:8" s="943" customFormat="1" x14ac:dyDescent="0.25">
      <c r="A6860" s="952"/>
      <c r="B6860" s="953"/>
      <c r="C6860" s="953"/>
      <c r="D6860" s="953"/>
      <c r="E6860" s="953"/>
      <c r="F6860" s="953"/>
      <c r="G6860" s="953"/>
      <c r="H6860" s="953"/>
    </row>
    <row r="6861" spans="1:8" s="943" customFormat="1" x14ac:dyDescent="0.25">
      <c r="A6861" s="952"/>
      <c r="B6861" s="953"/>
      <c r="C6861" s="953"/>
      <c r="D6861" s="953"/>
      <c r="E6861" s="953"/>
      <c r="F6861" s="953"/>
      <c r="G6861" s="953"/>
      <c r="H6861" s="953"/>
    </row>
    <row r="6862" spans="1:8" s="943" customFormat="1" x14ac:dyDescent="0.25">
      <c r="A6862" s="952"/>
      <c r="B6862" s="953"/>
      <c r="C6862" s="953"/>
      <c r="D6862" s="953"/>
      <c r="E6862" s="953"/>
      <c r="F6862" s="953"/>
      <c r="G6862" s="953"/>
      <c r="H6862" s="953"/>
    </row>
    <row r="6863" spans="1:8" s="943" customFormat="1" x14ac:dyDescent="0.25">
      <c r="A6863" s="952"/>
      <c r="B6863" s="953"/>
      <c r="C6863" s="953"/>
      <c r="D6863" s="953"/>
      <c r="E6863" s="953"/>
      <c r="F6863" s="953"/>
      <c r="G6863" s="953"/>
      <c r="H6863" s="953"/>
    </row>
    <row r="6864" spans="1:8" s="943" customFormat="1" x14ac:dyDescent="0.25">
      <c r="A6864" s="952"/>
      <c r="B6864" s="953"/>
      <c r="C6864" s="953"/>
      <c r="D6864" s="953"/>
      <c r="E6864" s="953"/>
      <c r="F6864" s="953"/>
      <c r="G6864" s="953"/>
      <c r="H6864" s="953"/>
    </row>
    <row r="6865" spans="1:8" s="943" customFormat="1" x14ac:dyDescent="0.25">
      <c r="A6865" s="952"/>
      <c r="B6865" s="953"/>
      <c r="C6865" s="953"/>
      <c r="D6865" s="953"/>
      <c r="E6865" s="953"/>
      <c r="F6865" s="953"/>
      <c r="G6865" s="953"/>
      <c r="H6865" s="953"/>
    </row>
    <row r="6866" spans="1:8" s="943" customFormat="1" x14ac:dyDescent="0.25">
      <c r="A6866" s="952"/>
      <c r="B6866" s="953"/>
      <c r="C6866" s="953"/>
      <c r="D6866" s="953"/>
      <c r="E6866" s="953"/>
      <c r="F6866" s="953"/>
      <c r="G6866" s="953"/>
      <c r="H6866" s="953"/>
    </row>
    <row r="6867" spans="1:8" s="943" customFormat="1" x14ac:dyDescent="0.25">
      <c r="A6867" s="952"/>
      <c r="B6867" s="953"/>
      <c r="C6867" s="953"/>
      <c r="D6867" s="953"/>
      <c r="E6867" s="953"/>
      <c r="F6867" s="953"/>
      <c r="G6867" s="953"/>
      <c r="H6867" s="953"/>
    </row>
    <row r="6868" spans="1:8" s="943" customFormat="1" x14ac:dyDescent="0.25">
      <c r="A6868" s="952"/>
      <c r="B6868" s="953"/>
      <c r="C6868" s="953"/>
      <c r="D6868" s="953"/>
      <c r="E6868" s="953"/>
      <c r="F6868" s="953"/>
      <c r="G6868" s="953"/>
      <c r="H6868" s="953"/>
    </row>
    <row r="6869" spans="1:8" s="943" customFormat="1" x14ac:dyDescent="0.25">
      <c r="A6869" s="952"/>
      <c r="B6869" s="953"/>
      <c r="C6869" s="953"/>
      <c r="D6869" s="953"/>
      <c r="E6869" s="953"/>
      <c r="F6869" s="953"/>
      <c r="G6869" s="953"/>
      <c r="H6869" s="953"/>
    </row>
    <row r="6870" spans="1:8" s="943" customFormat="1" x14ac:dyDescent="0.25">
      <c r="A6870" s="952"/>
      <c r="B6870" s="953"/>
      <c r="C6870" s="953"/>
      <c r="D6870" s="953"/>
      <c r="E6870" s="953"/>
      <c r="F6870" s="953"/>
      <c r="G6870" s="953"/>
      <c r="H6870" s="953"/>
    </row>
    <row r="6871" spans="1:8" s="943" customFormat="1" x14ac:dyDescent="0.25">
      <c r="A6871" s="952"/>
      <c r="B6871" s="953"/>
      <c r="C6871" s="953"/>
      <c r="D6871" s="953"/>
      <c r="E6871" s="953"/>
      <c r="F6871" s="953"/>
      <c r="G6871" s="953"/>
      <c r="H6871" s="953"/>
    </row>
    <row r="6872" spans="1:8" s="943" customFormat="1" x14ac:dyDescent="0.25">
      <c r="A6872" s="952"/>
      <c r="B6872" s="953"/>
      <c r="C6872" s="953"/>
      <c r="D6872" s="953"/>
      <c r="E6872" s="953"/>
      <c r="F6872" s="953"/>
      <c r="G6872" s="953"/>
      <c r="H6872" s="953"/>
    </row>
    <row r="6873" spans="1:8" s="943" customFormat="1" x14ac:dyDescent="0.25">
      <c r="A6873" s="952"/>
      <c r="B6873" s="953"/>
      <c r="C6873" s="953"/>
      <c r="D6873" s="953"/>
      <c r="E6873" s="953"/>
      <c r="F6873" s="953"/>
      <c r="G6873" s="953"/>
      <c r="H6873" s="953"/>
    </row>
    <row r="6874" spans="1:8" s="943" customFormat="1" x14ac:dyDescent="0.25">
      <c r="A6874" s="952"/>
      <c r="B6874" s="953"/>
      <c r="C6874" s="953"/>
      <c r="D6874" s="953"/>
      <c r="E6874" s="953"/>
      <c r="F6874" s="953"/>
      <c r="G6874" s="953"/>
      <c r="H6874" s="953"/>
    </row>
    <row r="6875" spans="1:8" s="943" customFormat="1" x14ac:dyDescent="0.25">
      <c r="A6875" s="952"/>
      <c r="B6875" s="953"/>
      <c r="C6875" s="953"/>
      <c r="D6875" s="953"/>
      <c r="E6875" s="953"/>
      <c r="F6875" s="953"/>
      <c r="G6875" s="953"/>
      <c r="H6875" s="953"/>
    </row>
    <row r="6876" spans="1:8" s="943" customFormat="1" x14ac:dyDescent="0.25">
      <c r="A6876" s="952"/>
      <c r="B6876" s="953"/>
      <c r="C6876" s="953"/>
      <c r="D6876" s="953"/>
      <c r="E6876" s="953"/>
      <c r="F6876" s="953"/>
      <c r="G6876" s="953"/>
      <c r="H6876" s="953"/>
    </row>
    <row r="6877" spans="1:8" s="943" customFormat="1" x14ac:dyDescent="0.25">
      <c r="A6877" s="952"/>
      <c r="B6877" s="953"/>
      <c r="C6877" s="953"/>
      <c r="D6877" s="953"/>
      <c r="E6877" s="953"/>
      <c r="F6877" s="953"/>
      <c r="G6877" s="953"/>
      <c r="H6877" s="953"/>
    </row>
    <row r="6878" spans="1:8" s="943" customFormat="1" x14ac:dyDescent="0.25">
      <c r="A6878" s="952"/>
      <c r="B6878" s="953"/>
      <c r="C6878" s="953"/>
      <c r="D6878" s="953"/>
      <c r="E6878" s="953"/>
      <c r="F6878" s="953"/>
      <c r="G6878" s="953"/>
      <c r="H6878" s="953"/>
    </row>
    <row r="6879" spans="1:8" s="943" customFormat="1" x14ac:dyDescent="0.25">
      <c r="A6879" s="952"/>
      <c r="B6879" s="953"/>
      <c r="C6879" s="953"/>
      <c r="D6879" s="953"/>
      <c r="E6879" s="953"/>
      <c r="F6879" s="953"/>
      <c r="G6879" s="953"/>
      <c r="H6879" s="953"/>
    </row>
    <row r="6880" spans="1:8" s="943" customFormat="1" x14ac:dyDescent="0.25">
      <c r="A6880" s="952"/>
      <c r="B6880" s="953"/>
      <c r="C6880" s="953"/>
      <c r="D6880" s="953"/>
      <c r="E6880" s="953"/>
      <c r="F6880" s="953"/>
      <c r="G6880" s="953"/>
      <c r="H6880" s="953"/>
    </row>
    <row r="6881" spans="1:8" s="943" customFormat="1" x14ac:dyDescent="0.25">
      <c r="A6881" s="952"/>
      <c r="B6881" s="953"/>
      <c r="C6881" s="953"/>
      <c r="D6881" s="953"/>
      <c r="E6881" s="953"/>
      <c r="F6881" s="953"/>
      <c r="G6881" s="953"/>
      <c r="H6881" s="953"/>
    </row>
    <row r="6882" spans="1:8" s="943" customFormat="1" x14ac:dyDescent="0.25">
      <c r="A6882" s="952"/>
      <c r="B6882" s="953"/>
      <c r="C6882" s="953"/>
      <c r="D6882" s="953"/>
      <c r="E6882" s="953"/>
      <c r="F6882" s="953"/>
      <c r="G6882" s="953"/>
      <c r="H6882" s="953"/>
    </row>
    <row r="6883" spans="1:8" s="943" customFormat="1" x14ac:dyDescent="0.25">
      <c r="A6883" s="952"/>
      <c r="B6883" s="953"/>
      <c r="C6883" s="953"/>
      <c r="D6883" s="953"/>
      <c r="E6883" s="953"/>
      <c r="F6883" s="953"/>
      <c r="G6883" s="953"/>
      <c r="H6883" s="953"/>
    </row>
    <row r="6884" spans="1:8" s="943" customFormat="1" x14ac:dyDescent="0.25">
      <c r="A6884" s="952"/>
      <c r="B6884" s="953"/>
      <c r="C6884" s="953"/>
      <c r="D6884" s="953"/>
      <c r="E6884" s="953"/>
      <c r="F6884" s="953"/>
      <c r="G6884" s="953"/>
      <c r="H6884" s="953"/>
    </row>
    <row r="6885" spans="1:8" s="943" customFormat="1" x14ac:dyDescent="0.25">
      <c r="A6885" s="952"/>
      <c r="B6885" s="953"/>
      <c r="C6885" s="953"/>
      <c r="D6885" s="953"/>
      <c r="E6885" s="953"/>
      <c r="F6885" s="953"/>
      <c r="G6885" s="953"/>
      <c r="H6885" s="953"/>
    </row>
    <row r="6886" spans="1:8" s="943" customFormat="1" x14ac:dyDescent="0.25">
      <c r="A6886" s="952"/>
      <c r="B6886" s="953"/>
      <c r="C6886" s="953"/>
      <c r="D6886" s="953"/>
      <c r="E6886" s="953"/>
      <c r="F6886" s="953"/>
      <c r="G6886" s="953"/>
      <c r="H6886" s="953"/>
    </row>
    <row r="6887" spans="1:8" s="943" customFormat="1" x14ac:dyDescent="0.25">
      <c r="A6887" s="952"/>
      <c r="B6887" s="953"/>
      <c r="C6887" s="953"/>
      <c r="D6887" s="953"/>
      <c r="E6887" s="953"/>
      <c r="F6887" s="953"/>
      <c r="G6887" s="953"/>
      <c r="H6887" s="953"/>
    </row>
    <row r="6888" spans="1:8" s="943" customFormat="1" x14ac:dyDescent="0.25">
      <c r="A6888" s="952"/>
      <c r="B6888" s="953"/>
      <c r="C6888" s="953"/>
      <c r="D6888" s="953"/>
      <c r="E6888" s="953"/>
      <c r="F6888" s="953"/>
      <c r="G6888" s="953"/>
      <c r="H6888" s="953"/>
    </row>
    <row r="6889" spans="1:8" s="943" customFormat="1" x14ac:dyDescent="0.25">
      <c r="A6889" s="952"/>
      <c r="B6889" s="953"/>
      <c r="C6889" s="953"/>
      <c r="D6889" s="953"/>
      <c r="E6889" s="953"/>
      <c r="F6889" s="953"/>
      <c r="G6889" s="953"/>
      <c r="H6889" s="953"/>
    </row>
    <row r="6890" spans="1:8" s="943" customFormat="1" x14ac:dyDescent="0.25">
      <c r="A6890" s="952"/>
      <c r="B6890" s="953"/>
      <c r="C6890" s="953"/>
      <c r="D6890" s="953"/>
      <c r="E6890" s="953"/>
      <c r="F6890" s="953"/>
      <c r="G6890" s="953"/>
      <c r="H6890" s="953"/>
    </row>
    <row r="6891" spans="1:8" s="943" customFormat="1" x14ac:dyDescent="0.25">
      <c r="A6891" s="952"/>
      <c r="B6891" s="953"/>
      <c r="C6891" s="953"/>
      <c r="D6891" s="953"/>
      <c r="E6891" s="953"/>
      <c r="F6891" s="953"/>
      <c r="G6891" s="953"/>
      <c r="H6891" s="953"/>
    </row>
    <row r="6892" spans="1:8" s="943" customFormat="1" x14ac:dyDescent="0.25">
      <c r="A6892" s="952"/>
      <c r="B6892" s="953"/>
      <c r="C6892" s="953"/>
      <c r="D6892" s="953"/>
      <c r="E6892" s="953"/>
      <c r="F6892" s="953"/>
      <c r="G6892" s="953"/>
      <c r="H6892" s="953"/>
    </row>
    <row r="6893" spans="1:8" s="943" customFormat="1" x14ac:dyDescent="0.25">
      <c r="A6893" s="952"/>
      <c r="B6893" s="953"/>
      <c r="C6893" s="953"/>
      <c r="D6893" s="953"/>
      <c r="E6893" s="953"/>
      <c r="F6893" s="953"/>
      <c r="G6893" s="953"/>
      <c r="H6893" s="953"/>
    </row>
    <row r="6894" spans="1:8" s="943" customFormat="1" x14ac:dyDescent="0.25">
      <c r="A6894" s="952"/>
      <c r="B6894" s="953"/>
      <c r="C6894" s="953"/>
      <c r="D6894" s="953"/>
      <c r="E6894" s="953"/>
      <c r="F6894" s="953"/>
      <c r="G6894" s="953"/>
      <c r="H6894" s="953"/>
    </row>
    <row r="6895" spans="1:8" s="943" customFormat="1" x14ac:dyDescent="0.25">
      <c r="A6895" s="952"/>
      <c r="B6895" s="953"/>
      <c r="C6895" s="953"/>
      <c r="D6895" s="953"/>
      <c r="E6895" s="953"/>
      <c r="F6895" s="953"/>
      <c r="G6895" s="953"/>
      <c r="H6895" s="953"/>
    </row>
    <row r="6896" spans="1:8" s="943" customFormat="1" x14ac:dyDescent="0.25">
      <c r="A6896" s="952"/>
      <c r="B6896" s="953"/>
      <c r="C6896" s="953"/>
      <c r="D6896" s="953"/>
      <c r="E6896" s="953"/>
      <c r="F6896" s="953"/>
      <c r="G6896" s="953"/>
      <c r="H6896" s="953"/>
    </row>
    <row r="6897" spans="1:8" s="943" customFormat="1" x14ac:dyDescent="0.25">
      <c r="A6897" s="952"/>
      <c r="B6897" s="953"/>
      <c r="C6897" s="953"/>
      <c r="D6897" s="953"/>
      <c r="E6897" s="953"/>
      <c r="F6897" s="953"/>
      <c r="G6897" s="953"/>
      <c r="H6897" s="953"/>
    </row>
    <row r="6898" spans="1:8" s="943" customFormat="1" x14ac:dyDescent="0.25">
      <c r="A6898" s="952"/>
      <c r="B6898" s="953"/>
      <c r="C6898" s="953"/>
      <c r="D6898" s="953"/>
      <c r="E6898" s="953"/>
      <c r="F6898" s="953"/>
      <c r="G6898" s="953"/>
      <c r="H6898" s="953"/>
    </row>
    <row r="6899" spans="1:8" s="943" customFormat="1" x14ac:dyDescent="0.25">
      <c r="A6899" s="952"/>
      <c r="B6899" s="953"/>
      <c r="C6899" s="953"/>
      <c r="D6899" s="953"/>
      <c r="E6899" s="953"/>
      <c r="F6899" s="953"/>
      <c r="G6899" s="953"/>
      <c r="H6899" s="953"/>
    </row>
    <row r="6900" spans="1:8" s="943" customFormat="1" x14ac:dyDescent="0.25">
      <c r="A6900" s="952"/>
      <c r="B6900" s="953"/>
      <c r="C6900" s="953"/>
      <c r="D6900" s="953"/>
      <c r="E6900" s="953"/>
      <c r="F6900" s="953"/>
      <c r="G6900" s="953"/>
      <c r="H6900" s="953"/>
    </row>
    <row r="6901" spans="1:8" s="943" customFormat="1" x14ac:dyDescent="0.25">
      <c r="A6901" s="952"/>
      <c r="B6901" s="953"/>
      <c r="C6901" s="953"/>
      <c r="D6901" s="953"/>
      <c r="E6901" s="953"/>
      <c r="F6901" s="953"/>
      <c r="G6901" s="953"/>
      <c r="H6901" s="953"/>
    </row>
    <row r="6902" spans="1:8" s="943" customFormat="1" x14ac:dyDescent="0.25">
      <c r="A6902" s="952"/>
      <c r="B6902" s="953"/>
      <c r="C6902" s="953"/>
      <c r="D6902" s="953"/>
      <c r="E6902" s="953"/>
      <c r="F6902" s="953"/>
      <c r="G6902" s="953"/>
      <c r="H6902" s="953"/>
    </row>
    <row r="6903" spans="1:8" s="943" customFormat="1" x14ac:dyDescent="0.25">
      <c r="A6903" s="952"/>
      <c r="B6903" s="953"/>
      <c r="C6903" s="953"/>
      <c r="D6903" s="953"/>
      <c r="E6903" s="953"/>
      <c r="F6903" s="953"/>
      <c r="G6903" s="953"/>
      <c r="H6903" s="953"/>
    </row>
    <row r="6904" spans="1:8" s="943" customFormat="1" x14ac:dyDescent="0.25">
      <c r="A6904" s="952"/>
      <c r="B6904" s="953"/>
      <c r="C6904" s="953"/>
      <c r="D6904" s="953"/>
      <c r="E6904" s="953"/>
      <c r="F6904" s="953"/>
      <c r="G6904" s="953"/>
      <c r="H6904" s="953"/>
    </row>
    <row r="6905" spans="1:8" s="943" customFormat="1" x14ac:dyDescent="0.25">
      <c r="A6905" s="952"/>
      <c r="B6905" s="953"/>
      <c r="C6905" s="953"/>
      <c r="D6905" s="953"/>
      <c r="E6905" s="953"/>
      <c r="F6905" s="953"/>
      <c r="G6905" s="953"/>
      <c r="H6905" s="953"/>
    </row>
    <row r="6906" spans="1:8" s="943" customFormat="1" x14ac:dyDescent="0.25">
      <c r="A6906" s="952"/>
      <c r="B6906" s="953"/>
      <c r="C6906" s="953"/>
      <c r="D6906" s="953"/>
      <c r="E6906" s="953"/>
      <c r="F6906" s="953"/>
      <c r="G6906" s="953"/>
      <c r="H6906" s="953"/>
    </row>
    <row r="6907" spans="1:8" s="943" customFormat="1" x14ac:dyDescent="0.25">
      <c r="A6907" s="952"/>
      <c r="B6907" s="953"/>
      <c r="C6907" s="953"/>
      <c r="D6907" s="953"/>
      <c r="E6907" s="953"/>
      <c r="F6907" s="953"/>
      <c r="G6907" s="953"/>
      <c r="H6907" s="953"/>
    </row>
    <row r="6908" spans="1:8" s="943" customFormat="1" x14ac:dyDescent="0.25">
      <c r="A6908" s="952"/>
      <c r="B6908" s="953"/>
      <c r="C6908" s="953"/>
      <c r="D6908" s="953"/>
      <c r="E6908" s="953"/>
      <c r="F6908" s="953"/>
      <c r="G6908" s="953"/>
      <c r="H6908" s="953"/>
    </row>
    <row r="6909" spans="1:8" s="943" customFormat="1" x14ac:dyDescent="0.25">
      <c r="A6909" s="952"/>
      <c r="B6909" s="953"/>
      <c r="C6909" s="953"/>
      <c r="D6909" s="953"/>
      <c r="E6909" s="953"/>
      <c r="F6909" s="953"/>
      <c r="G6909" s="953"/>
      <c r="H6909" s="953"/>
    </row>
    <row r="6910" spans="1:8" s="943" customFormat="1" x14ac:dyDescent="0.25">
      <c r="A6910" s="952"/>
      <c r="B6910" s="953"/>
      <c r="C6910" s="953"/>
      <c r="D6910" s="953"/>
      <c r="E6910" s="953"/>
      <c r="F6910" s="953"/>
      <c r="G6910" s="953"/>
      <c r="H6910" s="953"/>
    </row>
    <row r="6911" spans="1:8" s="943" customFormat="1" x14ac:dyDescent="0.25">
      <c r="A6911" s="952"/>
      <c r="B6911" s="953"/>
      <c r="C6911" s="953"/>
      <c r="D6911" s="953"/>
      <c r="E6911" s="953"/>
      <c r="F6911" s="953"/>
      <c r="G6911" s="953"/>
      <c r="H6911" s="953"/>
    </row>
    <row r="6912" spans="1:8" s="943" customFormat="1" x14ac:dyDescent="0.25">
      <c r="A6912" s="952"/>
      <c r="B6912" s="953"/>
      <c r="C6912" s="953"/>
      <c r="D6912" s="953"/>
      <c r="E6912" s="953"/>
      <c r="F6912" s="953"/>
      <c r="G6912" s="953"/>
      <c r="H6912" s="953"/>
    </row>
    <row r="6913" spans="1:8" s="943" customFormat="1" x14ac:dyDescent="0.25">
      <c r="A6913" s="952"/>
      <c r="B6913" s="953"/>
      <c r="C6913" s="953"/>
      <c r="D6913" s="953"/>
      <c r="E6913" s="953"/>
      <c r="F6913" s="953"/>
      <c r="G6913" s="953"/>
      <c r="H6913" s="953"/>
    </row>
    <row r="6914" spans="1:8" s="943" customFormat="1" x14ac:dyDescent="0.25">
      <c r="A6914" s="952"/>
      <c r="B6914" s="953"/>
      <c r="C6914" s="953"/>
      <c r="D6914" s="953"/>
      <c r="E6914" s="953"/>
      <c r="F6914" s="953"/>
      <c r="G6914" s="953"/>
      <c r="H6914" s="953"/>
    </row>
    <row r="6915" spans="1:8" s="943" customFormat="1" x14ac:dyDescent="0.25">
      <c r="A6915" s="952"/>
      <c r="B6915" s="953"/>
      <c r="C6915" s="953"/>
      <c r="D6915" s="953"/>
      <c r="E6915" s="953"/>
      <c r="F6915" s="953"/>
      <c r="G6915" s="953"/>
      <c r="H6915" s="953"/>
    </row>
    <row r="6916" spans="1:8" s="943" customFormat="1" x14ac:dyDescent="0.25">
      <c r="A6916" s="952"/>
      <c r="B6916" s="953"/>
      <c r="C6916" s="953"/>
      <c r="D6916" s="953"/>
      <c r="E6916" s="953"/>
      <c r="F6916" s="953"/>
      <c r="G6916" s="953"/>
      <c r="H6916" s="953"/>
    </row>
    <row r="6917" spans="1:8" s="943" customFormat="1" x14ac:dyDescent="0.25">
      <c r="A6917" s="952"/>
      <c r="B6917" s="953"/>
      <c r="C6917" s="953"/>
      <c r="D6917" s="953"/>
      <c r="E6917" s="953"/>
      <c r="F6917" s="953"/>
      <c r="G6917" s="953"/>
      <c r="H6917" s="953"/>
    </row>
    <row r="6918" spans="1:8" s="943" customFormat="1" x14ac:dyDescent="0.25">
      <c r="A6918" s="952"/>
      <c r="B6918" s="953"/>
      <c r="C6918" s="953"/>
      <c r="D6918" s="953"/>
      <c r="E6918" s="953"/>
      <c r="F6918" s="953"/>
      <c r="G6918" s="953"/>
      <c r="H6918" s="953"/>
    </row>
    <row r="6919" spans="1:8" s="943" customFormat="1" x14ac:dyDescent="0.25">
      <c r="A6919" s="952"/>
      <c r="B6919" s="953"/>
      <c r="C6919" s="953"/>
      <c r="D6919" s="953"/>
      <c r="E6919" s="953"/>
      <c r="F6919" s="953"/>
      <c r="G6919" s="953"/>
      <c r="H6919" s="953"/>
    </row>
    <row r="6920" spans="1:8" s="943" customFormat="1" x14ac:dyDescent="0.25">
      <c r="A6920" s="952"/>
      <c r="B6920" s="953"/>
      <c r="C6920" s="953"/>
      <c r="D6920" s="953"/>
      <c r="E6920" s="953"/>
      <c r="F6920" s="953"/>
      <c r="G6920" s="953"/>
      <c r="H6920" s="953"/>
    </row>
    <row r="6921" spans="1:8" s="943" customFormat="1" x14ac:dyDescent="0.25">
      <c r="A6921" s="952"/>
      <c r="B6921" s="953"/>
      <c r="C6921" s="953"/>
      <c r="D6921" s="953"/>
      <c r="E6921" s="953"/>
      <c r="F6921" s="953"/>
      <c r="G6921" s="953"/>
      <c r="H6921" s="953"/>
    </row>
    <row r="6922" spans="1:8" s="943" customFormat="1" x14ac:dyDescent="0.25">
      <c r="A6922" s="952"/>
      <c r="B6922" s="953"/>
      <c r="C6922" s="953"/>
      <c r="D6922" s="953"/>
      <c r="E6922" s="953"/>
      <c r="F6922" s="953"/>
      <c r="G6922" s="953"/>
      <c r="H6922" s="953"/>
    </row>
    <row r="6923" spans="1:8" s="943" customFormat="1" x14ac:dyDescent="0.25">
      <c r="A6923" s="952"/>
      <c r="B6923" s="953"/>
      <c r="C6923" s="953"/>
      <c r="D6923" s="953"/>
      <c r="E6923" s="953"/>
      <c r="F6923" s="953"/>
      <c r="G6923" s="953"/>
      <c r="H6923" s="953"/>
    </row>
    <row r="6924" spans="1:8" s="943" customFormat="1" x14ac:dyDescent="0.25">
      <c r="A6924" s="952"/>
      <c r="B6924" s="953"/>
      <c r="C6924" s="953"/>
      <c r="D6924" s="953"/>
      <c r="E6924" s="953"/>
      <c r="F6924" s="953"/>
      <c r="G6924" s="953"/>
      <c r="H6924" s="953"/>
    </row>
    <row r="6925" spans="1:8" s="943" customFormat="1" x14ac:dyDescent="0.25">
      <c r="A6925" s="952"/>
      <c r="B6925" s="953"/>
      <c r="C6925" s="953"/>
      <c r="D6925" s="953"/>
      <c r="E6925" s="953"/>
      <c r="F6925" s="953"/>
      <c r="G6925" s="953"/>
      <c r="H6925" s="953"/>
    </row>
    <row r="6926" spans="1:8" s="943" customFormat="1" x14ac:dyDescent="0.25">
      <c r="A6926" s="952"/>
      <c r="B6926" s="953"/>
      <c r="C6926" s="953"/>
      <c r="D6926" s="953"/>
      <c r="E6926" s="953"/>
      <c r="F6926" s="953"/>
      <c r="G6926" s="953"/>
      <c r="H6926" s="953"/>
    </row>
    <row r="6927" spans="1:8" s="943" customFormat="1" x14ac:dyDescent="0.25">
      <c r="A6927" s="952"/>
      <c r="B6927" s="953"/>
      <c r="C6927" s="953"/>
      <c r="D6927" s="953"/>
      <c r="E6927" s="953"/>
      <c r="F6927" s="953"/>
      <c r="G6927" s="953"/>
      <c r="H6927" s="953"/>
    </row>
    <row r="6928" spans="1:8" s="943" customFormat="1" x14ac:dyDescent="0.25">
      <c r="A6928" s="952"/>
      <c r="B6928" s="953"/>
      <c r="C6928" s="953"/>
      <c r="D6928" s="953"/>
      <c r="E6928" s="953"/>
      <c r="F6928" s="953"/>
      <c r="G6928" s="953"/>
      <c r="H6928" s="953"/>
    </row>
    <row r="6929" spans="1:8" s="943" customFormat="1" x14ac:dyDescent="0.25">
      <c r="A6929" s="952"/>
      <c r="B6929" s="953"/>
      <c r="C6929" s="953"/>
      <c r="D6929" s="953"/>
      <c r="E6929" s="953"/>
      <c r="F6929" s="953"/>
      <c r="G6929" s="953"/>
      <c r="H6929" s="953"/>
    </row>
    <row r="6930" spans="1:8" s="943" customFormat="1" x14ac:dyDescent="0.25">
      <c r="A6930" s="952"/>
      <c r="B6930" s="953"/>
      <c r="C6930" s="953"/>
      <c r="D6930" s="953"/>
      <c r="E6930" s="953"/>
      <c r="F6930" s="953"/>
      <c r="G6930" s="953"/>
      <c r="H6930" s="953"/>
    </row>
    <row r="6931" spans="1:8" s="943" customFormat="1" x14ac:dyDescent="0.25">
      <c r="A6931" s="952"/>
      <c r="B6931" s="953"/>
      <c r="C6931" s="953"/>
      <c r="D6931" s="953"/>
      <c r="E6931" s="953"/>
      <c r="F6931" s="953"/>
      <c r="G6931" s="953"/>
      <c r="H6931" s="953"/>
    </row>
    <row r="6932" spans="1:8" s="943" customFormat="1" x14ac:dyDescent="0.25">
      <c r="A6932" s="952"/>
      <c r="B6932" s="953"/>
      <c r="C6932" s="953"/>
      <c r="D6932" s="953"/>
      <c r="E6932" s="953"/>
      <c r="F6932" s="953"/>
      <c r="G6932" s="953"/>
      <c r="H6932" s="953"/>
    </row>
    <row r="6933" spans="1:8" s="943" customFormat="1" x14ac:dyDescent="0.25">
      <c r="A6933" s="952"/>
      <c r="B6933" s="953"/>
      <c r="C6933" s="953"/>
      <c r="D6933" s="953"/>
      <c r="E6933" s="953"/>
      <c r="F6933" s="953"/>
      <c r="G6933" s="953"/>
      <c r="H6933" s="953"/>
    </row>
    <row r="6934" spans="1:8" s="943" customFormat="1" x14ac:dyDescent="0.25">
      <c r="A6934" s="952"/>
      <c r="B6934" s="953"/>
      <c r="C6934" s="953"/>
      <c r="D6934" s="953"/>
      <c r="E6934" s="953"/>
      <c r="F6934" s="953"/>
      <c r="G6934" s="953"/>
      <c r="H6934" s="953"/>
    </row>
    <row r="6935" spans="1:8" s="943" customFormat="1" x14ac:dyDescent="0.25">
      <c r="A6935" s="952"/>
      <c r="B6935" s="953"/>
      <c r="C6935" s="953"/>
      <c r="D6935" s="953"/>
      <c r="E6935" s="953"/>
      <c r="F6935" s="953"/>
      <c r="G6935" s="953"/>
      <c r="H6935" s="953"/>
    </row>
    <row r="6936" spans="1:8" s="943" customFormat="1" x14ac:dyDescent="0.25">
      <c r="A6936" s="952"/>
      <c r="B6936" s="953"/>
      <c r="C6936" s="953"/>
      <c r="D6936" s="953"/>
      <c r="E6936" s="953"/>
      <c r="F6936" s="953"/>
      <c r="G6936" s="953"/>
      <c r="H6936" s="953"/>
    </row>
    <row r="6937" spans="1:8" s="943" customFormat="1" x14ac:dyDescent="0.25">
      <c r="A6937" s="952"/>
      <c r="B6937" s="953"/>
      <c r="C6937" s="953"/>
      <c r="D6937" s="953"/>
      <c r="E6937" s="953"/>
      <c r="F6937" s="953"/>
      <c r="G6937" s="953"/>
      <c r="H6937" s="953"/>
    </row>
    <row r="6938" spans="1:8" s="943" customFormat="1" x14ac:dyDescent="0.25">
      <c r="A6938" s="952"/>
      <c r="B6938" s="953"/>
      <c r="C6938" s="953"/>
      <c r="D6938" s="953"/>
      <c r="E6938" s="953"/>
      <c r="F6938" s="953"/>
      <c r="G6938" s="953"/>
      <c r="H6938" s="953"/>
    </row>
    <row r="6939" spans="1:8" s="943" customFormat="1" x14ac:dyDescent="0.25">
      <c r="A6939" s="952"/>
      <c r="B6939" s="953"/>
      <c r="C6939" s="953"/>
      <c r="D6939" s="953"/>
      <c r="E6939" s="953"/>
      <c r="F6939" s="953"/>
      <c r="G6939" s="953"/>
      <c r="H6939" s="953"/>
    </row>
    <row r="6940" spans="1:8" s="943" customFormat="1" x14ac:dyDescent="0.25">
      <c r="A6940" s="952"/>
      <c r="B6940" s="953"/>
      <c r="C6940" s="953"/>
      <c r="D6940" s="953"/>
      <c r="E6940" s="953"/>
      <c r="F6940" s="953"/>
      <c r="G6940" s="953"/>
      <c r="H6940" s="953"/>
    </row>
    <row r="6941" spans="1:8" s="943" customFormat="1" x14ac:dyDescent="0.25">
      <c r="A6941" s="952"/>
      <c r="B6941" s="953"/>
      <c r="C6941" s="953"/>
      <c r="D6941" s="953"/>
      <c r="E6941" s="953"/>
      <c r="F6941" s="953"/>
      <c r="G6941" s="953"/>
      <c r="H6941" s="953"/>
    </row>
    <row r="6942" spans="1:8" s="943" customFormat="1" x14ac:dyDescent="0.25">
      <c r="A6942" s="952"/>
      <c r="B6942" s="953"/>
      <c r="C6942" s="953"/>
      <c r="D6942" s="953"/>
      <c r="E6942" s="953"/>
      <c r="F6942" s="953"/>
      <c r="G6942" s="953"/>
      <c r="H6942" s="953"/>
    </row>
    <row r="6943" spans="1:8" s="943" customFormat="1" x14ac:dyDescent="0.25">
      <c r="A6943" s="952"/>
      <c r="B6943" s="953"/>
      <c r="C6943" s="953"/>
      <c r="D6943" s="953"/>
      <c r="E6943" s="953"/>
      <c r="F6943" s="953"/>
      <c r="G6943" s="953"/>
      <c r="H6943" s="953"/>
    </row>
    <row r="6944" spans="1:8" s="943" customFormat="1" x14ac:dyDescent="0.25">
      <c r="A6944" s="952"/>
      <c r="B6944" s="953"/>
      <c r="C6944" s="953"/>
      <c r="D6944" s="953"/>
      <c r="E6944" s="953"/>
      <c r="F6944" s="953"/>
      <c r="G6944" s="953"/>
      <c r="H6944" s="953"/>
    </row>
    <row r="6945" spans="1:8" s="943" customFormat="1" x14ac:dyDescent="0.25">
      <c r="A6945" s="952"/>
      <c r="B6945" s="953"/>
      <c r="C6945" s="953"/>
      <c r="D6945" s="953"/>
      <c r="E6945" s="953"/>
      <c r="F6945" s="953"/>
      <c r="G6945" s="953"/>
      <c r="H6945" s="953"/>
    </row>
    <row r="6946" spans="1:8" s="943" customFormat="1" x14ac:dyDescent="0.25">
      <c r="A6946" s="952"/>
      <c r="B6946" s="953"/>
      <c r="C6946" s="953"/>
      <c r="D6946" s="953"/>
      <c r="E6946" s="953"/>
      <c r="F6946" s="953"/>
      <c r="G6946" s="953"/>
      <c r="H6946" s="953"/>
    </row>
    <row r="6947" spans="1:8" s="943" customFormat="1" x14ac:dyDescent="0.25">
      <c r="A6947" s="952"/>
      <c r="B6947" s="953"/>
      <c r="C6947" s="953"/>
      <c r="D6947" s="953"/>
      <c r="E6947" s="953"/>
      <c r="F6947" s="953"/>
      <c r="G6947" s="953"/>
      <c r="H6947" s="953"/>
    </row>
    <row r="6948" spans="1:8" s="943" customFormat="1" x14ac:dyDescent="0.25">
      <c r="A6948" s="952"/>
      <c r="B6948" s="953"/>
      <c r="C6948" s="953"/>
      <c r="D6948" s="953"/>
      <c r="E6948" s="953"/>
      <c r="F6948" s="953"/>
      <c r="G6948" s="953"/>
      <c r="H6948" s="953"/>
    </row>
    <row r="6949" spans="1:8" s="943" customFormat="1" x14ac:dyDescent="0.25">
      <c r="A6949" s="952"/>
      <c r="B6949" s="953"/>
      <c r="C6949" s="953"/>
      <c r="D6949" s="953"/>
      <c r="E6949" s="953"/>
      <c r="F6949" s="953"/>
      <c r="G6949" s="953"/>
      <c r="H6949" s="953"/>
    </row>
    <row r="6950" spans="1:8" s="943" customFormat="1" x14ac:dyDescent="0.25">
      <c r="A6950" s="952"/>
      <c r="B6950" s="953"/>
      <c r="C6950" s="953"/>
      <c r="D6950" s="953"/>
      <c r="E6950" s="953"/>
      <c r="F6950" s="953"/>
      <c r="G6950" s="953"/>
      <c r="H6950" s="953"/>
    </row>
    <row r="6951" spans="1:8" s="943" customFormat="1" x14ac:dyDescent="0.25">
      <c r="A6951" s="952"/>
      <c r="B6951" s="953"/>
      <c r="C6951" s="953"/>
      <c r="D6951" s="953"/>
      <c r="E6951" s="953"/>
      <c r="F6951" s="953"/>
      <c r="G6951" s="953"/>
      <c r="H6951" s="953"/>
    </row>
    <row r="6952" spans="1:8" s="943" customFormat="1" x14ac:dyDescent="0.25">
      <c r="A6952" s="952"/>
      <c r="B6952" s="953"/>
      <c r="C6952" s="953"/>
      <c r="D6952" s="953"/>
      <c r="E6952" s="953"/>
      <c r="F6952" s="953"/>
      <c r="G6952" s="953"/>
      <c r="H6952" s="953"/>
    </row>
    <row r="6953" spans="1:8" s="943" customFormat="1" x14ac:dyDescent="0.25">
      <c r="A6953" s="952"/>
      <c r="B6953" s="953"/>
      <c r="C6953" s="953"/>
      <c r="D6953" s="953"/>
      <c r="E6953" s="953"/>
      <c r="F6953" s="953"/>
      <c r="G6953" s="953"/>
      <c r="H6953" s="953"/>
    </row>
    <row r="6954" spans="1:8" s="943" customFormat="1" x14ac:dyDescent="0.25">
      <c r="A6954" s="952"/>
      <c r="B6954" s="953"/>
      <c r="C6954" s="953"/>
      <c r="D6954" s="953"/>
      <c r="E6954" s="953"/>
      <c r="F6954" s="953"/>
      <c r="G6954" s="953"/>
      <c r="H6954" s="953"/>
    </row>
    <row r="6955" spans="1:8" s="943" customFormat="1" x14ac:dyDescent="0.25">
      <c r="A6955" s="952"/>
      <c r="B6955" s="953"/>
      <c r="C6955" s="953"/>
      <c r="D6955" s="953"/>
      <c r="E6955" s="953"/>
      <c r="F6955" s="953"/>
      <c r="G6955" s="953"/>
      <c r="H6955" s="953"/>
    </row>
    <row r="6956" spans="1:8" s="943" customFormat="1" x14ac:dyDescent="0.25">
      <c r="A6956" s="952"/>
      <c r="B6956" s="953"/>
      <c r="C6956" s="953"/>
      <c r="D6956" s="953"/>
      <c r="E6956" s="953"/>
      <c r="F6956" s="953"/>
      <c r="G6956" s="953"/>
      <c r="H6956" s="953"/>
    </row>
    <row r="6957" spans="1:8" s="943" customFormat="1" x14ac:dyDescent="0.25">
      <c r="A6957" s="952"/>
      <c r="B6957" s="953"/>
      <c r="C6957" s="953"/>
      <c r="D6957" s="953"/>
      <c r="E6957" s="953"/>
      <c r="F6957" s="953"/>
      <c r="G6957" s="953"/>
      <c r="H6957" s="953"/>
    </row>
    <row r="6958" spans="1:8" s="943" customFormat="1" x14ac:dyDescent="0.25">
      <c r="A6958" s="952"/>
      <c r="B6958" s="953"/>
      <c r="C6958" s="953"/>
      <c r="D6958" s="953"/>
      <c r="E6958" s="953"/>
      <c r="F6958" s="953"/>
      <c r="G6958" s="953"/>
      <c r="H6958" s="953"/>
    </row>
    <row r="6959" spans="1:8" s="943" customFormat="1" x14ac:dyDescent="0.25">
      <c r="A6959" s="952"/>
      <c r="B6959" s="953"/>
      <c r="C6959" s="953"/>
      <c r="D6959" s="953"/>
      <c r="E6959" s="953"/>
      <c r="F6959" s="953"/>
      <c r="G6959" s="953"/>
      <c r="H6959" s="953"/>
    </row>
    <row r="6960" spans="1:8" s="943" customFormat="1" x14ac:dyDescent="0.25">
      <c r="A6960" s="952"/>
      <c r="B6960" s="953"/>
      <c r="C6960" s="953"/>
      <c r="D6960" s="953"/>
      <c r="E6960" s="953"/>
      <c r="F6960" s="953"/>
      <c r="G6960" s="953"/>
      <c r="H6960" s="953"/>
    </row>
    <row r="6961" spans="1:8" s="943" customFormat="1" x14ac:dyDescent="0.25">
      <c r="A6961" s="952"/>
      <c r="B6961" s="953"/>
      <c r="C6961" s="953"/>
      <c r="D6961" s="953"/>
      <c r="E6961" s="953"/>
      <c r="F6961" s="953"/>
      <c r="G6961" s="953"/>
      <c r="H6961" s="953"/>
    </row>
    <row r="6962" spans="1:8" s="943" customFormat="1" x14ac:dyDescent="0.25">
      <c r="A6962" s="952"/>
      <c r="B6962" s="953"/>
      <c r="C6962" s="953"/>
      <c r="D6962" s="953"/>
      <c r="E6962" s="953"/>
      <c r="F6962" s="953"/>
      <c r="G6962" s="953"/>
      <c r="H6962" s="953"/>
    </row>
    <row r="6963" spans="1:8" s="943" customFormat="1" x14ac:dyDescent="0.25">
      <c r="A6963" s="952"/>
      <c r="B6963" s="953"/>
      <c r="C6963" s="953"/>
      <c r="D6963" s="953"/>
      <c r="E6963" s="953"/>
      <c r="F6963" s="953"/>
      <c r="G6963" s="953"/>
      <c r="H6963" s="953"/>
    </row>
    <row r="6964" spans="1:8" s="943" customFormat="1" x14ac:dyDescent="0.25">
      <c r="A6964" s="952"/>
      <c r="B6964" s="953"/>
      <c r="C6964" s="953"/>
      <c r="D6964" s="953"/>
      <c r="E6964" s="953"/>
      <c r="F6964" s="953"/>
      <c r="G6964" s="953"/>
      <c r="H6964" s="953"/>
    </row>
    <row r="6965" spans="1:8" s="943" customFormat="1" x14ac:dyDescent="0.25">
      <c r="A6965" s="952"/>
      <c r="B6965" s="953"/>
      <c r="C6965" s="953"/>
      <c r="D6965" s="953"/>
      <c r="E6965" s="953"/>
      <c r="F6965" s="953"/>
      <c r="G6965" s="953"/>
      <c r="H6965" s="953"/>
    </row>
    <row r="6966" spans="1:8" s="943" customFormat="1" x14ac:dyDescent="0.25">
      <c r="A6966" s="952"/>
      <c r="B6966" s="953"/>
      <c r="C6966" s="953"/>
      <c r="D6966" s="953"/>
      <c r="E6966" s="953"/>
      <c r="F6966" s="953"/>
      <c r="G6966" s="953"/>
      <c r="H6966" s="953"/>
    </row>
    <row r="6967" spans="1:8" s="943" customFormat="1" x14ac:dyDescent="0.25">
      <c r="A6967" s="952"/>
      <c r="B6967" s="953"/>
      <c r="C6967" s="953"/>
      <c r="D6967" s="953"/>
      <c r="E6967" s="953"/>
      <c r="F6967" s="953"/>
      <c r="G6967" s="953"/>
      <c r="H6967" s="953"/>
    </row>
    <row r="6968" spans="1:8" s="943" customFormat="1" x14ac:dyDescent="0.25">
      <c r="A6968" s="952"/>
      <c r="B6968" s="953"/>
      <c r="C6968" s="953"/>
      <c r="D6968" s="953"/>
      <c r="E6968" s="953"/>
      <c r="F6968" s="953"/>
      <c r="G6968" s="953"/>
      <c r="H6968" s="953"/>
    </row>
    <row r="6969" spans="1:8" s="943" customFormat="1" x14ac:dyDescent="0.25">
      <c r="A6969" s="952"/>
      <c r="B6969" s="953"/>
      <c r="C6969" s="953"/>
      <c r="D6969" s="953"/>
      <c r="E6969" s="953"/>
      <c r="F6969" s="953"/>
      <c r="G6969" s="953"/>
      <c r="H6969" s="953"/>
    </row>
    <row r="6970" spans="1:8" s="943" customFormat="1" x14ac:dyDescent="0.25">
      <c r="A6970" s="952"/>
      <c r="B6970" s="953"/>
      <c r="C6970" s="953"/>
      <c r="D6970" s="953"/>
      <c r="E6970" s="953"/>
      <c r="F6970" s="953"/>
      <c r="G6970" s="953"/>
      <c r="H6970" s="953"/>
    </row>
    <row r="6971" spans="1:8" s="943" customFormat="1" x14ac:dyDescent="0.25">
      <c r="A6971" s="952"/>
      <c r="B6971" s="953"/>
      <c r="C6971" s="953"/>
      <c r="D6971" s="953"/>
      <c r="E6971" s="953"/>
      <c r="F6971" s="953"/>
      <c r="G6971" s="953"/>
      <c r="H6971" s="953"/>
    </row>
    <row r="6972" spans="1:8" s="943" customFormat="1" x14ac:dyDescent="0.25">
      <c r="A6972" s="952"/>
      <c r="B6972" s="953"/>
      <c r="C6972" s="953"/>
      <c r="D6972" s="953"/>
      <c r="E6972" s="953"/>
      <c r="F6972" s="953"/>
      <c r="G6972" s="953"/>
      <c r="H6972" s="953"/>
    </row>
    <row r="6973" spans="1:8" s="943" customFormat="1" x14ac:dyDescent="0.25">
      <c r="A6973" s="952"/>
      <c r="B6973" s="953"/>
      <c r="C6973" s="953"/>
      <c r="D6973" s="953"/>
      <c r="E6973" s="953"/>
      <c r="F6973" s="953"/>
      <c r="G6973" s="953"/>
      <c r="H6973" s="953"/>
    </row>
    <row r="6974" spans="1:8" s="943" customFormat="1" x14ac:dyDescent="0.25">
      <c r="A6974" s="952"/>
      <c r="B6974" s="953"/>
      <c r="C6974" s="953"/>
      <c r="D6974" s="953"/>
      <c r="E6974" s="953"/>
      <c r="F6974" s="953"/>
      <c r="G6974" s="953"/>
      <c r="H6974" s="953"/>
    </row>
    <row r="6975" spans="1:8" s="943" customFormat="1" x14ac:dyDescent="0.25">
      <c r="A6975" s="952"/>
      <c r="B6975" s="953"/>
      <c r="C6975" s="953"/>
      <c r="D6975" s="953"/>
      <c r="E6975" s="953"/>
      <c r="F6975" s="953"/>
      <c r="G6975" s="953"/>
      <c r="H6975" s="953"/>
    </row>
    <row r="6976" spans="1:8" s="943" customFormat="1" x14ac:dyDescent="0.25">
      <c r="A6976" s="952"/>
      <c r="B6976" s="953"/>
      <c r="C6976" s="953"/>
      <c r="D6976" s="953"/>
      <c r="E6976" s="953"/>
      <c r="F6976" s="953"/>
      <c r="G6976" s="953"/>
      <c r="H6976" s="953"/>
    </row>
    <row r="6977" spans="1:8" s="943" customFormat="1" x14ac:dyDescent="0.25">
      <c r="A6977" s="952"/>
      <c r="B6977" s="953"/>
      <c r="C6977" s="953"/>
      <c r="D6977" s="953"/>
      <c r="E6977" s="953"/>
      <c r="F6977" s="953"/>
      <c r="G6977" s="953"/>
      <c r="H6977" s="953"/>
    </row>
    <row r="6978" spans="1:8" s="943" customFormat="1" x14ac:dyDescent="0.25">
      <c r="A6978" s="952"/>
      <c r="B6978" s="953"/>
      <c r="C6978" s="953"/>
      <c r="D6978" s="953"/>
      <c r="E6978" s="953"/>
      <c r="F6978" s="953"/>
      <c r="G6978" s="953"/>
      <c r="H6978" s="953"/>
    </row>
    <row r="6979" spans="1:8" s="943" customFormat="1" x14ac:dyDescent="0.25">
      <c r="A6979" s="952"/>
      <c r="B6979" s="953"/>
      <c r="C6979" s="953"/>
      <c r="D6979" s="953"/>
      <c r="E6979" s="953"/>
      <c r="F6979" s="953"/>
      <c r="G6979" s="953"/>
      <c r="H6979" s="953"/>
    </row>
    <row r="6980" spans="1:8" s="943" customFormat="1" x14ac:dyDescent="0.25">
      <c r="A6980" s="952"/>
      <c r="B6980" s="953"/>
      <c r="C6980" s="953"/>
      <c r="D6980" s="953"/>
      <c r="E6980" s="953"/>
      <c r="F6980" s="953"/>
      <c r="G6980" s="953"/>
      <c r="H6980" s="953"/>
    </row>
    <row r="6981" spans="1:8" s="943" customFormat="1" x14ac:dyDescent="0.25">
      <c r="A6981" s="952"/>
      <c r="B6981" s="953"/>
      <c r="C6981" s="953"/>
      <c r="D6981" s="953"/>
      <c r="E6981" s="953"/>
      <c r="F6981" s="953"/>
      <c r="G6981" s="953"/>
      <c r="H6981" s="953"/>
    </row>
    <row r="6982" spans="1:8" s="943" customFormat="1" x14ac:dyDescent="0.25">
      <c r="A6982" s="952"/>
      <c r="B6982" s="953"/>
      <c r="C6982" s="953"/>
      <c r="D6982" s="953"/>
      <c r="E6982" s="953"/>
      <c r="F6982" s="953"/>
      <c r="G6982" s="953"/>
      <c r="H6982" s="953"/>
    </row>
    <row r="6983" spans="1:8" s="943" customFormat="1" x14ac:dyDescent="0.25">
      <c r="A6983" s="952"/>
      <c r="B6983" s="953"/>
      <c r="C6983" s="953"/>
      <c r="D6983" s="953"/>
      <c r="E6983" s="953"/>
      <c r="F6983" s="953"/>
      <c r="G6983" s="953"/>
      <c r="H6983" s="953"/>
    </row>
    <row r="6984" spans="1:8" s="943" customFormat="1" x14ac:dyDescent="0.25">
      <c r="A6984" s="952"/>
      <c r="B6984" s="953"/>
      <c r="C6984" s="953"/>
      <c r="D6984" s="953"/>
      <c r="E6984" s="953"/>
      <c r="F6984" s="953"/>
      <c r="G6984" s="953"/>
      <c r="H6984" s="953"/>
    </row>
    <row r="6985" spans="1:8" s="943" customFormat="1" x14ac:dyDescent="0.25">
      <c r="A6985" s="952"/>
      <c r="B6985" s="953"/>
      <c r="C6985" s="953"/>
      <c r="D6985" s="953"/>
      <c r="E6985" s="953"/>
      <c r="F6985" s="953"/>
      <c r="G6985" s="953"/>
      <c r="H6985" s="953"/>
    </row>
    <row r="6986" spans="1:8" s="943" customFormat="1" x14ac:dyDescent="0.25">
      <c r="A6986" s="952"/>
      <c r="B6986" s="953"/>
      <c r="C6986" s="953"/>
      <c r="D6986" s="953"/>
      <c r="E6986" s="953"/>
      <c r="F6986" s="953"/>
      <c r="G6986" s="953"/>
      <c r="H6986" s="953"/>
    </row>
    <row r="6987" spans="1:8" s="943" customFormat="1" x14ac:dyDescent="0.25">
      <c r="A6987" s="952"/>
      <c r="B6987" s="953"/>
      <c r="C6987" s="953"/>
      <c r="D6987" s="953"/>
      <c r="E6987" s="953"/>
      <c r="F6987" s="953"/>
      <c r="G6987" s="953"/>
      <c r="H6987" s="953"/>
    </row>
    <row r="6988" spans="1:8" s="943" customFormat="1" x14ac:dyDescent="0.25">
      <c r="A6988" s="952"/>
      <c r="B6988" s="953"/>
      <c r="C6988" s="953"/>
      <c r="D6988" s="953"/>
      <c r="E6988" s="953"/>
      <c r="F6988" s="953"/>
      <c r="G6988" s="953"/>
      <c r="H6988" s="953"/>
    </row>
    <row r="6989" spans="1:8" s="943" customFormat="1" x14ac:dyDescent="0.25">
      <c r="A6989" s="952"/>
      <c r="B6989" s="953"/>
      <c r="C6989" s="953"/>
      <c r="D6989" s="953"/>
      <c r="E6989" s="953"/>
      <c r="F6989" s="953"/>
      <c r="G6989" s="953"/>
      <c r="H6989" s="953"/>
    </row>
    <row r="6990" spans="1:8" s="943" customFormat="1" x14ac:dyDescent="0.25">
      <c r="A6990" s="952"/>
      <c r="B6990" s="953"/>
      <c r="C6990" s="953"/>
      <c r="D6990" s="953"/>
      <c r="E6990" s="953"/>
      <c r="F6990" s="953"/>
      <c r="G6990" s="953"/>
      <c r="H6990" s="953"/>
    </row>
    <row r="6991" spans="1:8" s="943" customFormat="1" x14ac:dyDescent="0.25">
      <c r="A6991" s="952"/>
      <c r="B6991" s="953"/>
      <c r="C6991" s="953"/>
      <c r="D6991" s="953"/>
      <c r="E6991" s="953"/>
      <c r="F6991" s="953"/>
      <c r="G6991" s="953"/>
      <c r="H6991" s="953"/>
    </row>
    <row r="6992" spans="1:8" s="943" customFormat="1" x14ac:dyDescent="0.25">
      <c r="A6992" s="952"/>
      <c r="B6992" s="953"/>
      <c r="C6992" s="953"/>
      <c r="D6992" s="953"/>
      <c r="E6992" s="953"/>
      <c r="F6992" s="953"/>
      <c r="G6992" s="953"/>
      <c r="H6992" s="953"/>
    </row>
    <row r="6993" spans="1:8" s="943" customFormat="1" x14ac:dyDescent="0.25">
      <c r="A6993" s="952"/>
      <c r="B6993" s="953"/>
      <c r="C6993" s="953"/>
      <c r="D6993" s="953"/>
      <c r="E6993" s="953"/>
      <c r="F6993" s="953"/>
      <c r="G6993" s="953"/>
      <c r="H6993" s="953"/>
    </row>
    <row r="6994" spans="1:8" s="943" customFormat="1" x14ac:dyDescent="0.25">
      <c r="A6994" s="952"/>
      <c r="B6994" s="953"/>
      <c r="C6994" s="953"/>
      <c r="D6994" s="953"/>
      <c r="E6994" s="953"/>
      <c r="F6994" s="953"/>
      <c r="G6994" s="953"/>
      <c r="H6994" s="953"/>
    </row>
    <row r="6995" spans="1:8" s="943" customFormat="1" x14ac:dyDescent="0.25">
      <c r="A6995" s="952"/>
      <c r="B6995" s="953"/>
      <c r="C6995" s="953"/>
      <c r="D6995" s="953"/>
      <c r="E6995" s="953"/>
      <c r="F6995" s="953"/>
      <c r="G6995" s="953"/>
      <c r="H6995" s="953"/>
    </row>
    <row r="6996" spans="1:8" s="943" customFormat="1" x14ac:dyDescent="0.25">
      <c r="A6996" s="952"/>
      <c r="B6996" s="953"/>
      <c r="C6996" s="953"/>
      <c r="D6996" s="953"/>
      <c r="E6996" s="953"/>
      <c r="F6996" s="953"/>
      <c r="G6996" s="953"/>
      <c r="H6996" s="953"/>
    </row>
    <row r="6997" spans="1:8" s="943" customFormat="1" x14ac:dyDescent="0.25">
      <c r="A6997" s="952"/>
      <c r="B6997" s="953"/>
      <c r="C6997" s="953"/>
      <c r="D6997" s="953"/>
      <c r="E6997" s="953"/>
      <c r="F6997" s="953"/>
      <c r="G6997" s="953"/>
      <c r="H6997" s="953"/>
    </row>
    <row r="6998" spans="1:8" s="943" customFormat="1" x14ac:dyDescent="0.25">
      <c r="A6998" s="952"/>
      <c r="B6998" s="953"/>
      <c r="C6998" s="953"/>
      <c r="D6998" s="953"/>
      <c r="E6998" s="953"/>
      <c r="F6998" s="953"/>
      <c r="G6998" s="953"/>
      <c r="H6998" s="953"/>
    </row>
    <row r="6999" spans="1:8" s="943" customFormat="1" x14ac:dyDescent="0.25">
      <c r="A6999" s="952"/>
      <c r="B6999" s="953"/>
      <c r="C6999" s="953"/>
      <c r="D6999" s="953"/>
      <c r="E6999" s="953"/>
      <c r="F6999" s="953"/>
      <c r="G6999" s="953"/>
      <c r="H6999" s="953"/>
    </row>
    <row r="7000" spans="1:8" s="943" customFormat="1" x14ac:dyDescent="0.25">
      <c r="A7000" s="952"/>
      <c r="B7000" s="953"/>
      <c r="C7000" s="953"/>
      <c r="D7000" s="953"/>
      <c r="E7000" s="953"/>
      <c r="F7000" s="953"/>
      <c r="G7000" s="953"/>
      <c r="H7000" s="953"/>
    </row>
    <row r="7001" spans="1:8" s="943" customFormat="1" x14ac:dyDescent="0.25">
      <c r="A7001" s="952"/>
      <c r="B7001" s="953"/>
      <c r="C7001" s="953"/>
      <c r="D7001" s="953"/>
      <c r="E7001" s="953"/>
      <c r="F7001" s="953"/>
      <c r="G7001" s="953"/>
      <c r="H7001" s="953"/>
    </row>
    <row r="7002" spans="1:8" s="943" customFormat="1" x14ac:dyDescent="0.25">
      <c r="A7002" s="952"/>
      <c r="B7002" s="953"/>
      <c r="C7002" s="953"/>
      <c r="D7002" s="953"/>
      <c r="E7002" s="953"/>
      <c r="F7002" s="953"/>
      <c r="G7002" s="953"/>
      <c r="H7002" s="953"/>
    </row>
    <row r="7003" spans="1:8" s="943" customFormat="1" x14ac:dyDescent="0.25">
      <c r="A7003" s="952"/>
      <c r="B7003" s="953"/>
      <c r="C7003" s="953"/>
      <c r="D7003" s="953"/>
      <c r="E7003" s="953"/>
      <c r="F7003" s="953"/>
      <c r="G7003" s="953"/>
      <c r="H7003" s="953"/>
    </row>
    <row r="7004" spans="1:8" s="943" customFormat="1" x14ac:dyDescent="0.25">
      <c r="A7004" s="952"/>
      <c r="B7004" s="953"/>
      <c r="C7004" s="953"/>
      <c r="D7004" s="953"/>
      <c r="E7004" s="953"/>
      <c r="F7004" s="953"/>
      <c r="G7004" s="953"/>
      <c r="H7004" s="953"/>
    </row>
    <row r="7005" spans="1:8" s="943" customFormat="1" x14ac:dyDescent="0.25">
      <c r="A7005" s="952"/>
      <c r="B7005" s="953"/>
      <c r="C7005" s="953"/>
      <c r="D7005" s="953"/>
      <c r="E7005" s="953"/>
      <c r="F7005" s="953"/>
      <c r="G7005" s="953"/>
      <c r="H7005" s="953"/>
    </row>
    <row r="7006" spans="1:8" s="943" customFormat="1" x14ac:dyDescent="0.25">
      <c r="A7006" s="952"/>
      <c r="B7006" s="953"/>
      <c r="C7006" s="953"/>
      <c r="D7006" s="953"/>
      <c r="E7006" s="953"/>
      <c r="F7006" s="953"/>
      <c r="G7006" s="953"/>
      <c r="H7006" s="953"/>
    </row>
    <row r="7007" spans="1:8" s="943" customFormat="1" x14ac:dyDescent="0.25">
      <c r="A7007" s="952"/>
      <c r="B7007" s="953"/>
      <c r="C7007" s="953"/>
      <c r="D7007" s="953"/>
      <c r="E7007" s="953"/>
      <c r="F7007" s="953"/>
      <c r="G7007" s="953"/>
      <c r="H7007" s="953"/>
    </row>
    <row r="7008" spans="1:8" s="943" customFormat="1" x14ac:dyDescent="0.25">
      <c r="A7008" s="952"/>
      <c r="B7008" s="953"/>
      <c r="C7008" s="953"/>
      <c r="D7008" s="953"/>
      <c r="E7008" s="953"/>
      <c r="F7008" s="953"/>
      <c r="G7008" s="953"/>
      <c r="H7008" s="953"/>
    </row>
    <row r="7009" spans="1:8" s="943" customFormat="1" x14ac:dyDescent="0.25">
      <c r="A7009" s="952"/>
      <c r="B7009" s="953"/>
      <c r="C7009" s="953"/>
      <c r="D7009" s="953"/>
      <c r="E7009" s="953"/>
      <c r="F7009" s="953"/>
      <c r="G7009" s="953"/>
      <c r="H7009" s="953"/>
    </row>
    <row r="7010" spans="1:8" s="943" customFormat="1" x14ac:dyDescent="0.25">
      <c r="A7010" s="952"/>
      <c r="B7010" s="953"/>
      <c r="C7010" s="953"/>
      <c r="D7010" s="953"/>
      <c r="E7010" s="953"/>
      <c r="F7010" s="953"/>
      <c r="G7010" s="953"/>
      <c r="H7010" s="953"/>
    </row>
    <row r="7011" spans="1:8" s="943" customFormat="1" x14ac:dyDescent="0.25">
      <c r="A7011" s="952"/>
      <c r="B7011" s="953"/>
      <c r="C7011" s="953"/>
      <c r="D7011" s="953"/>
      <c r="E7011" s="953"/>
      <c r="F7011" s="953"/>
      <c r="G7011" s="953"/>
      <c r="H7011" s="953"/>
    </row>
    <row r="7012" spans="1:8" s="943" customFormat="1" x14ac:dyDescent="0.25">
      <c r="A7012" s="952"/>
      <c r="B7012" s="953"/>
      <c r="C7012" s="953"/>
      <c r="D7012" s="953"/>
      <c r="E7012" s="953"/>
      <c r="F7012" s="953"/>
      <c r="G7012" s="953"/>
      <c r="H7012" s="953"/>
    </row>
    <row r="7013" spans="1:8" s="943" customFormat="1" x14ac:dyDescent="0.25">
      <c r="A7013" s="952"/>
      <c r="B7013" s="953"/>
      <c r="C7013" s="953"/>
      <c r="D7013" s="953"/>
      <c r="E7013" s="953"/>
      <c r="F7013" s="953"/>
      <c r="G7013" s="953"/>
      <c r="H7013" s="953"/>
    </row>
    <row r="7014" spans="1:8" s="943" customFormat="1" x14ac:dyDescent="0.25">
      <c r="A7014" s="952"/>
      <c r="B7014" s="953"/>
      <c r="C7014" s="953"/>
      <c r="D7014" s="953"/>
      <c r="E7014" s="953"/>
      <c r="F7014" s="953"/>
      <c r="G7014" s="953"/>
      <c r="H7014" s="953"/>
    </row>
    <row r="7015" spans="1:8" s="943" customFormat="1" x14ac:dyDescent="0.25">
      <c r="A7015" s="952"/>
      <c r="B7015" s="953"/>
      <c r="C7015" s="953"/>
      <c r="D7015" s="953"/>
      <c r="E7015" s="953"/>
      <c r="F7015" s="953"/>
      <c r="G7015" s="953"/>
      <c r="H7015" s="953"/>
    </row>
    <row r="7016" spans="1:8" s="943" customFormat="1" x14ac:dyDescent="0.25">
      <c r="A7016" s="952"/>
      <c r="B7016" s="953"/>
      <c r="C7016" s="953"/>
      <c r="D7016" s="953"/>
      <c r="E7016" s="953"/>
      <c r="F7016" s="953"/>
      <c r="G7016" s="953"/>
      <c r="H7016" s="953"/>
    </row>
    <row r="7017" spans="1:8" s="943" customFormat="1" x14ac:dyDescent="0.25">
      <c r="A7017" s="952"/>
      <c r="B7017" s="953"/>
      <c r="C7017" s="953"/>
      <c r="D7017" s="953"/>
      <c r="E7017" s="953"/>
      <c r="F7017" s="953"/>
      <c r="G7017" s="953"/>
      <c r="H7017" s="953"/>
    </row>
    <row r="7018" spans="1:8" s="943" customFormat="1" x14ac:dyDescent="0.25">
      <c r="A7018" s="952"/>
      <c r="B7018" s="953"/>
      <c r="C7018" s="953"/>
      <c r="D7018" s="953"/>
      <c r="E7018" s="953"/>
      <c r="F7018" s="953"/>
      <c r="G7018" s="953"/>
      <c r="H7018" s="953"/>
    </row>
    <row r="7019" spans="1:8" s="943" customFormat="1" x14ac:dyDescent="0.25">
      <c r="A7019" s="952"/>
      <c r="B7019" s="953"/>
      <c r="C7019" s="953"/>
      <c r="D7019" s="953"/>
      <c r="E7019" s="953"/>
      <c r="F7019" s="953"/>
      <c r="G7019" s="953"/>
      <c r="H7019" s="953"/>
    </row>
    <row r="7020" spans="1:8" s="943" customFormat="1" x14ac:dyDescent="0.25">
      <c r="A7020" s="952"/>
      <c r="B7020" s="953"/>
      <c r="C7020" s="953"/>
      <c r="D7020" s="953"/>
      <c r="E7020" s="953"/>
      <c r="F7020" s="953"/>
      <c r="G7020" s="953"/>
      <c r="H7020" s="953"/>
    </row>
    <row r="7021" spans="1:8" s="943" customFormat="1" x14ac:dyDescent="0.25">
      <c r="A7021" s="952"/>
      <c r="B7021" s="953"/>
      <c r="C7021" s="953"/>
      <c r="D7021" s="953"/>
      <c r="E7021" s="953"/>
      <c r="F7021" s="953"/>
      <c r="G7021" s="953"/>
      <c r="H7021" s="953"/>
    </row>
    <row r="7022" spans="1:8" s="943" customFormat="1" x14ac:dyDescent="0.25">
      <c r="A7022" s="952"/>
      <c r="B7022" s="953"/>
      <c r="C7022" s="953"/>
      <c r="D7022" s="953"/>
      <c r="E7022" s="953"/>
      <c r="F7022" s="953"/>
      <c r="G7022" s="953"/>
      <c r="H7022" s="953"/>
    </row>
    <row r="7023" spans="1:8" s="943" customFormat="1" x14ac:dyDescent="0.25">
      <c r="A7023" s="952"/>
      <c r="B7023" s="953"/>
      <c r="C7023" s="953"/>
      <c r="D7023" s="953"/>
      <c r="E7023" s="953"/>
      <c r="F7023" s="953"/>
      <c r="G7023" s="953"/>
      <c r="H7023" s="953"/>
    </row>
    <row r="7024" spans="1:8" s="943" customFormat="1" x14ac:dyDescent="0.25">
      <c r="A7024" s="952"/>
      <c r="B7024" s="953"/>
      <c r="C7024" s="953"/>
      <c r="D7024" s="953"/>
      <c r="E7024" s="953"/>
      <c r="F7024" s="953"/>
      <c r="G7024" s="953"/>
      <c r="H7024" s="953"/>
    </row>
    <row r="7025" spans="1:8" s="943" customFormat="1" x14ac:dyDescent="0.25">
      <c r="A7025" s="952"/>
      <c r="B7025" s="953"/>
      <c r="C7025" s="953"/>
      <c r="D7025" s="953"/>
      <c r="E7025" s="953"/>
      <c r="F7025" s="953"/>
      <c r="G7025" s="953"/>
      <c r="H7025" s="953"/>
    </row>
    <row r="7026" spans="1:8" s="943" customFormat="1" x14ac:dyDescent="0.25">
      <c r="A7026" s="952"/>
      <c r="B7026" s="953"/>
      <c r="C7026" s="953"/>
      <c r="D7026" s="953"/>
      <c r="E7026" s="953"/>
      <c r="F7026" s="953"/>
      <c r="G7026" s="953"/>
      <c r="H7026" s="953"/>
    </row>
    <row r="7027" spans="1:8" s="943" customFormat="1" x14ac:dyDescent="0.25">
      <c r="A7027" s="952"/>
      <c r="B7027" s="953"/>
      <c r="C7027" s="953"/>
      <c r="D7027" s="953"/>
      <c r="E7027" s="953"/>
      <c r="F7027" s="953"/>
      <c r="G7027" s="953"/>
      <c r="H7027" s="953"/>
    </row>
    <row r="7028" spans="1:8" s="943" customFormat="1" x14ac:dyDescent="0.25">
      <c r="A7028" s="952"/>
      <c r="B7028" s="953"/>
      <c r="C7028" s="953"/>
      <c r="D7028" s="953"/>
      <c r="E7028" s="953"/>
      <c r="F7028" s="953"/>
      <c r="G7028" s="953"/>
      <c r="H7028" s="953"/>
    </row>
    <row r="7029" spans="1:8" s="943" customFormat="1" x14ac:dyDescent="0.25">
      <c r="A7029" s="952"/>
      <c r="B7029" s="953"/>
      <c r="C7029" s="953"/>
      <c r="D7029" s="953"/>
      <c r="E7029" s="953"/>
      <c r="F7029" s="953"/>
      <c r="G7029" s="953"/>
      <c r="H7029" s="953"/>
    </row>
    <row r="7030" spans="1:8" s="943" customFormat="1" x14ac:dyDescent="0.25">
      <c r="A7030" s="952"/>
      <c r="B7030" s="953"/>
      <c r="C7030" s="953"/>
      <c r="D7030" s="953"/>
      <c r="E7030" s="953"/>
      <c r="F7030" s="953"/>
      <c r="G7030" s="953"/>
      <c r="H7030" s="953"/>
    </row>
    <row r="7031" spans="1:8" s="943" customFormat="1" x14ac:dyDescent="0.25">
      <c r="A7031" s="952"/>
      <c r="B7031" s="953"/>
      <c r="C7031" s="953"/>
      <c r="D7031" s="953"/>
      <c r="E7031" s="953"/>
      <c r="F7031" s="953"/>
      <c r="G7031" s="953"/>
      <c r="H7031" s="953"/>
    </row>
    <row r="7032" spans="1:8" s="943" customFormat="1" x14ac:dyDescent="0.25">
      <c r="A7032" s="952"/>
      <c r="B7032" s="953"/>
      <c r="C7032" s="953"/>
      <c r="D7032" s="953"/>
      <c r="E7032" s="953"/>
      <c r="F7032" s="953"/>
      <c r="G7032" s="953"/>
      <c r="H7032" s="953"/>
    </row>
    <row r="7033" spans="1:8" s="943" customFormat="1" x14ac:dyDescent="0.25">
      <c r="A7033" s="952"/>
      <c r="B7033" s="953"/>
      <c r="C7033" s="953"/>
      <c r="D7033" s="953"/>
      <c r="E7033" s="953"/>
      <c r="F7033" s="953"/>
      <c r="G7033" s="953"/>
      <c r="H7033" s="953"/>
    </row>
    <row r="7034" spans="1:8" s="943" customFormat="1" x14ac:dyDescent="0.25">
      <c r="A7034" s="952"/>
      <c r="B7034" s="953"/>
      <c r="C7034" s="953"/>
      <c r="D7034" s="953"/>
      <c r="E7034" s="953"/>
      <c r="F7034" s="953"/>
      <c r="G7034" s="953"/>
      <c r="H7034" s="953"/>
    </row>
    <row r="7035" spans="1:8" s="943" customFormat="1" x14ac:dyDescent="0.25">
      <c r="A7035" s="952"/>
      <c r="B7035" s="953"/>
      <c r="C7035" s="953"/>
      <c r="D7035" s="953"/>
      <c r="E7035" s="953"/>
      <c r="F7035" s="953"/>
      <c r="G7035" s="953"/>
      <c r="H7035" s="953"/>
    </row>
    <row r="7036" spans="1:8" s="943" customFormat="1" x14ac:dyDescent="0.25">
      <c r="A7036" s="952"/>
      <c r="B7036" s="953"/>
      <c r="C7036" s="953"/>
      <c r="D7036" s="953"/>
      <c r="E7036" s="953"/>
      <c r="F7036" s="953"/>
      <c r="G7036" s="953"/>
      <c r="H7036" s="953"/>
    </row>
    <row r="7037" spans="1:8" s="943" customFormat="1" x14ac:dyDescent="0.25">
      <c r="A7037" s="952"/>
      <c r="B7037" s="953"/>
      <c r="C7037" s="953"/>
      <c r="D7037" s="953"/>
      <c r="E7037" s="953"/>
      <c r="F7037" s="953"/>
      <c r="G7037" s="953"/>
      <c r="H7037" s="953"/>
    </row>
    <row r="7038" spans="1:8" s="943" customFormat="1" x14ac:dyDescent="0.25">
      <c r="A7038" s="952"/>
      <c r="B7038" s="953"/>
      <c r="C7038" s="953"/>
      <c r="D7038" s="953"/>
      <c r="E7038" s="953"/>
      <c r="F7038" s="953"/>
      <c r="G7038" s="953"/>
      <c r="H7038" s="953"/>
    </row>
    <row r="7039" spans="1:8" s="943" customFormat="1" x14ac:dyDescent="0.25">
      <c r="A7039" s="952"/>
      <c r="B7039" s="953"/>
      <c r="C7039" s="953"/>
      <c r="D7039" s="953"/>
      <c r="E7039" s="953"/>
      <c r="F7039" s="953"/>
      <c r="G7039" s="953"/>
      <c r="H7039" s="953"/>
    </row>
    <row r="7040" spans="1:8" s="943" customFormat="1" x14ac:dyDescent="0.25">
      <c r="A7040" s="952"/>
      <c r="B7040" s="953"/>
      <c r="C7040" s="953"/>
      <c r="D7040" s="953"/>
      <c r="E7040" s="953"/>
      <c r="F7040" s="953"/>
      <c r="G7040" s="953"/>
      <c r="H7040" s="953"/>
    </row>
    <row r="7041" spans="1:8" s="943" customFormat="1" x14ac:dyDescent="0.25">
      <c r="A7041" s="952"/>
      <c r="B7041" s="953"/>
      <c r="C7041" s="953"/>
      <c r="D7041" s="953"/>
      <c r="E7041" s="953"/>
      <c r="F7041" s="953"/>
      <c r="G7041" s="953"/>
      <c r="H7041" s="953"/>
    </row>
    <row r="7042" spans="1:8" s="943" customFormat="1" x14ac:dyDescent="0.25">
      <c r="A7042" s="952"/>
      <c r="B7042" s="953"/>
      <c r="C7042" s="953"/>
      <c r="D7042" s="953"/>
      <c r="E7042" s="953"/>
      <c r="F7042" s="953"/>
      <c r="G7042" s="953"/>
      <c r="H7042" s="953"/>
    </row>
    <row r="7043" spans="1:8" s="943" customFormat="1" x14ac:dyDescent="0.25">
      <c r="A7043" s="952"/>
      <c r="B7043" s="953"/>
      <c r="C7043" s="953"/>
      <c r="D7043" s="953"/>
      <c r="E7043" s="953"/>
      <c r="F7043" s="953"/>
      <c r="G7043" s="953"/>
      <c r="H7043" s="953"/>
    </row>
    <row r="7044" spans="1:8" s="943" customFormat="1" x14ac:dyDescent="0.25">
      <c r="A7044" s="952"/>
      <c r="B7044" s="953"/>
      <c r="C7044" s="953"/>
      <c r="D7044" s="953"/>
      <c r="E7044" s="953"/>
      <c r="F7044" s="953"/>
      <c r="G7044" s="953"/>
      <c r="H7044" s="953"/>
    </row>
    <row r="7045" spans="1:8" s="943" customFormat="1" x14ac:dyDescent="0.25">
      <c r="A7045" s="952"/>
      <c r="B7045" s="953"/>
      <c r="C7045" s="953"/>
      <c r="D7045" s="953"/>
      <c r="E7045" s="953"/>
      <c r="F7045" s="953"/>
      <c r="G7045" s="953"/>
      <c r="H7045" s="953"/>
    </row>
    <row r="7046" spans="1:8" s="943" customFormat="1" x14ac:dyDescent="0.25">
      <c r="A7046" s="952"/>
      <c r="B7046" s="953"/>
      <c r="C7046" s="953"/>
      <c r="D7046" s="953"/>
      <c r="E7046" s="953"/>
      <c r="F7046" s="953"/>
      <c r="G7046" s="953"/>
      <c r="H7046" s="953"/>
    </row>
    <row r="7047" spans="1:8" s="943" customFormat="1" x14ac:dyDescent="0.25">
      <c r="A7047" s="952"/>
      <c r="B7047" s="953"/>
      <c r="C7047" s="953"/>
      <c r="D7047" s="953"/>
      <c r="E7047" s="953"/>
      <c r="F7047" s="953"/>
      <c r="G7047" s="953"/>
      <c r="H7047" s="953"/>
    </row>
    <row r="7048" spans="1:8" s="943" customFormat="1" x14ac:dyDescent="0.25">
      <c r="A7048" s="952"/>
      <c r="B7048" s="953"/>
      <c r="C7048" s="953"/>
      <c r="D7048" s="953"/>
      <c r="E7048" s="953"/>
      <c r="F7048" s="953"/>
      <c r="G7048" s="953"/>
      <c r="H7048" s="953"/>
    </row>
    <row r="7049" spans="1:8" s="943" customFormat="1" x14ac:dyDescent="0.25">
      <c r="A7049" s="952"/>
      <c r="B7049" s="953"/>
      <c r="C7049" s="953"/>
      <c r="D7049" s="953"/>
      <c r="E7049" s="953"/>
      <c r="F7049" s="953"/>
      <c r="G7049" s="953"/>
      <c r="H7049" s="953"/>
    </row>
    <row r="7050" spans="1:8" s="943" customFormat="1" x14ac:dyDescent="0.25">
      <c r="A7050" s="952"/>
      <c r="B7050" s="953"/>
      <c r="C7050" s="953"/>
      <c r="D7050" s="953"/>
      <c r="E7050" s="953"/>
      <c r="F7050" s="953"/>
      <c r="G7050" s="953"/>
      <c r="H7050" s="953"/>
    </row>
    <row r="7051" spans="1:8" s="943" customFormat="1" x14ac:dyDescent="0.25">
      <c r="A7051" s="952"/>
      <c r="B7051" s="953"/>
      <c r="C7051" s="953"/>
      <c r="D7051" s="953"/>
      <c r="E7051" s="953"/>
      <c r="F7051" s="953"/>
      <c r="G7051" s="953"/>
      <c r="H7051" s="953"/>
    </row>
    <row r="7052" spans="1:8" s="943" customFormat="1" x14ac:dyDescent="0.25">
      <c r="A7052" s="952"/>
      <c r="B7052" s="953"/>
      <c r="C7052" s="953"/>
      <c r="D7052" s="953"/>
      <c r="E7052" s="953"/>
      <c r="F7052" s="953"/>
      <c r="G7052" s="953"/>
      <c r="H7052" s="953"/>
    </row>
    <row r="7053" spans="1:8" s="943" customFormat="1" x14ac:dyDescent="0.25">
      <c r="A7053" s="952"/>
      <c r="B7053" s="953"/>
      <c r="C7053" s="953"/>
      <c r="D7053" s="953"/>
      <c r="E7053" s="953"/>
      <c r="F7053" s="953"/>
      <c r="G7053" s="953"/>
      <c r="H7053" s="953"/>
    </row>
    <row r="7054" spans="1:8" s="943" customFormat="1" x14ac:dyDescent="0.25">
      <c r="A7054" s="952"/>
      <c r="B7054" s="953"/>
      <c r="C7054" s="953"/>
      <c r="D7054" s="953"/>
      <c r="E7054" s="953"/>
      <c r="F7054" s="953"/>
      <c r="G7054" s="953"/>
      <c r="H7054" s="953"/>
    </row>
    <row r="7055" spans="1:8" s="943" customFormat="1" x14ac:dyDescent="0.25">
      <c r="A7055" s="952"/>
      <c r="B7055" s="953"/>
      <c r="C7055" s="953"/>
      <c r="D7055" s="953"/>
      <c r="E7055" s="953"/>
      <c r="F7055" s="953"/>
      <c r="G7055" s="953"/>
      <c r="H7055" s="953"/>
    </row>
    <row r="7056" spans="1:8" s="943" customFormat="1" x14ac:dyDescent="0.25">
      <c r="A7056" s="952"/>
      <c r="B7056" s="953"/>
      <c r="C7056" s="953"/>
      <c r="D7056" s="953"/>
      <c r="E7056" s="953"/>
      <c r="F7056" s="953"/>
      <c r="G7056" s="953"/>
      <c r="H7056" s="953"/>
    </row>
    <row r="7057" spans="1:8" s="943" customFormat="1" x14ac:dyDescent="0.25">
      <c r="A7057" s="952"/>
      <c r="B7057" s="953"/>
      <c r="C7057" s="953"/>
      <c r="D7057" s="953"/>
      <c r="E7057" s="953"/>
      <c r="F7057" s="953"/>
      <c r="G7057" s="953"/>
      <c r="H7057" s="953"/>
    </row>
    <row r="7058" spans="1:8" s="943" customFormat="1" x14ac:dyDescent="0.25">
      <c r="A7058" s="952"/>
      <c r="B7058" s="953"/>
      <c r="C7058" s="953"/>
      <c r="D7058" s="953"/>
      <c r="E7058" s="953"/>
      <c r="F7058" s="953"/>
      <c r="G7058" s="953"/>
      <c r="H7058" s="953"/>
    </row>
    <row r="7059" spans="1:8" s="943" customFormat="1" x14ac:dyDescent="0.25">
      <c r="A7059" s="952"/>
      <c r="B7059" s="953"/>
      <c r="C7059" s="953"/>
      <c r="D7059" s="953"/>
      <c r="E7059" s="953"/>
      <c r="F7059" s="953"/>
      <c r="G7059" s="953"/>
      <c r="H7059" s="953"/>
    </row>
    <row r="7060" spans="1:8" s="943" customFormat="1" x14ac:dyDescent="0.25">
      <c r="A7060" s="952"/>
      <c r="B7060" s="953"/>
      <c r="C7060" s="953"/>
      <c r="D7060" s="953"/>
      <c r="E7060" s="953"/>
      <c r="F7060" s="953"/>
      <c r="G7060" s="953"/>
      <c r="H7060" s="953"/>
    </row>
    <row r="7061" spans="1:8" s="943" customFormat="1" x14ac:dyDescent="0.25">
      <c r="A7061" s="952"/>
      <c r="B7061" s="953"/>
      <c r="C7061" s="953"/>
      <c r="D7061" s="953"/>
      <c r="E7061" s="953"/>
      <c r="F7061" s="953"/>
      <c r="G7061" s="953"/>
      <c r="H7061" s="953"/>
    </row>
    <row r="7062" spans="1:8" s="943" customFormat="1" x14ac:dyDescent="0.25">
      <c r="A7062" s="952"/>
      <c r="B7062" s="953"/>
      <c r="C7062" s="953"/>
      <c r="D7062" s="953"/>
      <c r="E7062" s="953"/>
      <c r="F7062" s="953"/>
      <c r="G7062" s="953"/>
      <c r="H7062" s="953"/>
    </row>
    <row r="7063" spans="1:8" s="943" customFormat="1" x14ac:dyDescent="0.25">
      <c r="A7063" s="952"/>
      <c r="B7063" s="953"/>
      <c r="C7063" s="953"/>
      <c r="D7063" s="953"/>
      <c r="E7063" s="953"/>
      <c r="F7063" s="953"/>
      <c r="G7063" s="953"/>
      <c r="H7063" s="953"/>
    </row>
    <row r="7064" spans="1:8" s="943" customFormat="1" x14ac:dyDescent="0.25">
      <c r="A7064" s="952"/>
      <c r="B7064" s="953"/>
      <c r="C7064" s="953"/>
      <c r="D7064" s="953"/>
      <c r="E7064" s="953"/>
      <c r="F7064" s="953"/>
      <c r="G7064" s="953"/>
      <c r="H7064" s="953"/>
    </row>
    <row r="7065" spans="1:8" s="943" customFormat="1" x14ac:dyDescent="0.25">
      <c r="A7065" s="952"/>
      <c r="B7065" s="953"/>
      <c r="C7065" s="953"/>
      <c r="D7065" s="953"/>
      <c r="E7065" s="953"/>
      <c r="F7065" s="953"/>
      <c r="G7065" s="953"/>
      <c r="H7065" s="953"/>
    </row>
    <row r="7066" spans="1:8" s="943" customFormat="1" x14ac:dyDescent="0.25">
      <c r="A7066" s="952"/>
      <c r="B7066" s="953"/>
      <c r="C7066" s="953"/>
      <c r="D7066" s="953"/>
      <c r="E7066" s="953"/>
      <c r="F7066" s="953"/>
      <c r="G7066" s="953"/>
      <c r="H7066" s="953"/>
    </row>
    <row r="7067" spans="1:8" s="943" customFormat="1" x14ac:dyDescent="0.25">
      <c r="A7067" s="952"/>
      <c r="B7067" s="953"/>
      <c r="C7067" s="953"/>
      <c r="D7067" s="953"/>
      <c r="E7067" s="953"/>
      <c r="F7067" s="953"/>
      <c r="G7067" s="953"/>
      <c r="H7067" s="953"/>
    </row>
    <row r="7068" spans="1:8" s="943" customFormat="1" x14ac:dyDescent="0.25">
      <c r="A7068" s="952"/>
      <c r="B7068" s="953"/>
      <c r="C7068" s="953"/>
      <c r="D7068" s="953"/>
      <c r="E7068" s="953"/>
      <c r="F7068" s="953"/>
      <c r="G7068" s="953"/>
      <c r="H7068" s="953"/>
    </row>
    <row r="7069" spans="1:8" s="943" customFormat="1" x14ac:dyDescent="0.25">
      <c r="A7069" s="952"/>
      <c r="B7069" s="953"/>
      <c r="C7069" s="953"/>
      <c r="D7069" s="953"/>
      <c r="E7069" s="953"/>
      <c r="F7069" s="953"/>
      <c r="G7069" s="953"/>
      <c r="H7069" s="953"/>
    </row>
    <row r="7070" spans="1:8" s="943" customFormat="1" x14ac:dyDescent="0.25">
      <c r="A7070" s="952"/>
      <c r="B7070" s="953"/>
      <c r="C7070" s="953"/>
      <c r="D7070" s="953"/>
      <c r="E7070" s="953"/>
      <c r="F7070" s="953"/>
      <c r="G7070" s="953"/>
      <c r="H7070" s="953"/>
    </row>
    <row r="7071" spans="1:8" s="943" customFormat="1" x14ac:dyDescent="0.25">
      <c r="A7071" s="952"/>
      <c r="B7071" s="953"/>
      <c r="C7071" s="953"/>
      <c r="D7071" s="953"/>
      <c r="E7071" s="953"/>
      <c r="F7071" s="953"/>
      <c r="G7071" s="953"/>
      <c r="H7071" s="953"/>
    </row>
    <row r="7072" spans="1:8" s="943" customFormat="1" x14ac:dyDescent="0.25">
      <c r="A7072" s="952"/>
      <c r="B7072" s="953"/>
      <c r="C7072" s="953"/>
      <c r="D7072" s="953"/>
      <c r="E7072" s="953"/>
      <c r="F7072" s="953"/>
      <c r="G7072" s="953"/>
      <c r="H7072" s="953"/>
    </row>
    <row r="7073" spans="1:8" s="943" customFormat="1" x14ac:dyDescent="0.25">
      <c r="A7073" s="952"/>
      <c r="B7073" s="953"/>
      <c r="C7073" s="953"/>
      <c r="D7073" s="953"/>
      <c r="E7073" s="953"/>
      <c r="F7073" s="953"/>
      <c r="G7073" s="953"/>
      <c r="H7073" s="953"/>
    </row>
    <row r="7074" spans="1:8" s="943" customFormat="1" x14ac:dyDescent="0.25">
      <c r="A7074" s="952"/>
      <c r="B7074" s="953"/>
      <c r="C7074" s="953"/>
      <c r="D7074" s="953"/>
      <c r="E7074" s="953"/>
      <c r="F7074" s="953"/>
      <c r="G7074" s="953"/>
      <c r="H7074" s="953"/>
    </row>
    <row r="7075" spans="1:8" s="943" customFormat="1" x14ac:dyDescent="0.25">
      <c r="A7075" s="952"/>
      <c r="B7075" s="953"/>
      <c r="C7075" s="953"/>
      <c r="D7075" s="953"/>
      <c r="E7075" s="953"/>
      <c r="F7075" s="953"/>
      <c r="G7075" s="953"/>
      <c r="H7075" s="953"/>
    </row>
    <row r="7076" spans="1:8" s="943" customFormat="1" x14ac:dyDescent="0.25">
      <c r="A7076" s="952"/>
      <c r="B7076" s="953"/>
      <c r="C7076" s="953"/>
      <c r="D7076" s="953"/>
      <c r="E7076" s="953"/>
      <c r="F7076" s="953"/>
      <c r="G7076" s="953"/>
      <c r="H7076" s="953"/>
    </row>
    <row r="7077" spans="1:8" s="943" customFormat="1" x14ac:dyDescent="0.25">
      <c r="A7077" s="952"/>
      <c r="B7077" s="953"/>
      <c r="C7077" s="953"/>
      <c r="D7077" s="953"/>
      <c r="E7077" s="953"/>
      <c r="F7077" s="953"/>
      <c r="G7077" s="953"/>
      <c r="H7077" s="953"/>
    </row>
    <row r="7078" spans="1:8" s="943" customFormat="1" x14ac:dyDescent="0.25">
      <c r="A7078" s="952"/>
      <c r="B7078" s="953"/>
      <c r="C7078" s="953"/>
      <c r="D7078" s="953"/>
      <c r="E7078" s="953"/>
      <c r="F7078" s="953"/>
      <c r="G7078" s="953"/>
      <c r="H7078" s="953"/>
    </row>
    <row r="7079" spans="1:8" s="943" customFormat="1" x14ac:dyDescent="0.25">
      <c r="A7079" s="952"/>
      <c r="B7079" s="953"/>
      <c r="C7079" s="953"/>
      <c r="D7079" s="953"/>
      <c r="E7079" s="953"/>
      <c r="F7079" s="953"/>
      <c r="G7079" s="953"/>
      <c r="H7079" s="953"/>
    </row>
    <row r="7080" spans="1:8" s="943" customFormat="1" x14ac:dyDescent="0.25">
      <c r="A7080" s="952"/>
      <c r="B7080" s="953"/>
      <c r="C7080" s="953"/>
      <c r="D7080" s="953"/>
      <c r="E7080" s="953"/>
      <c r="F7080" s="953"/>
      <c r="G7080" s="953"/>
      <c r="H7080" s="953"/>
    </row>
    <row r="7081" spans="1:8" s="943" customFormat="1" x14ac:dyDescent="0.25">
      <c r="A7081" s="952"/>
      <c r="B7081" s="953"/>
      <c r="C7081" s="953"/>
      <c r="D7081" s="953"/>
      <c r="E7081" s="953"/>
      <c r="F7081" s="953"/>
      <c r="G7081" s="953"/>
      <c r="H7081" s="953"/>
    </row>
    <row r="7082" spans="1:8" s="943" customFormat="1" x14ac:dyDescent="0.25">
      <c r="A7082" s="952"/>
      <c r="B7082" s="953"/>
      <c r="C7082" s="953"/>
      <c r="D7082" s="953"/>
      <c r="E7082" s="953"/>
      <c r="F7082" s="953"/>
      <c r="G7082" s="953"/>
      <c r="H7082" s="953"/>
    </row>
    <row r="7083" spans="1:8" s="943" customFormat="1" x14ac:dyDescent="0.25">
      <c r="A7083" s="952"/>
      <c r="B7083" s="953"/>
      <c r="C7083" s="953"/>
      <c r="D7083" s="953"/>
      <c r="E7083" s="953"/>
      <c r="F7083" s="953"/>
      <c r="G7083" s="953"/>
      <c r="H7083" s="953"/>
    </row>
    <row r="7084" spans="1:8" s="943" customFormat="1" x14ac:dyDescent="0.25">
      <c r="A7084" s="952"/>
      <c r="B7084" s="953"/>
      <c r="C7084" s="953"/>
      <c r="D7084" s="953"/>
      <c r="E7084" s="953"/>
      <c r="F7084" s="953"/>
      <c r="G7084" s="953"/>
      <c r="H7084" s="953"/>
    </row>
    <row r="7085" spans="1:8" s="943" customFormat="1" x14ac:dyDescent="0.25">
      <c r="A7085" s="952"/>
      <c r="B7085" s="953"/>
      <c r="C7085" s="953"/>
      <c r="D7085" s="953"/>
      <c r="E7085" s="953"/>
      <c r="F7085" s="953"/>
      <c r="G7085" s="953"/>
      <c r="H7085" s="953"/>
    </row>
    <row r="7086" spans="1:8" s="943" customFormat="1" x14ac:dyDescent="0.25">
      <c r="A7086" s="952"/>
      <c r="B7086" s="953"/>
      <c r="C7086" s="953"/>
      <c r="D7086" s="953"/>
      <c r="E7086" s="953"/>
      <c r="F7086" s="953"/>
      <c r="G7086" s="953"/>
      <c r="H7086" s="953"/>
    </row>
    <row r="7087" spans="1:8" s="943" customFormat="1" x14ac:dyDescent="0.25">
      <c r="A7087" s="952"/>
      <c r="B7087" s="953"/>
      <c r="C7087" s="953"/>
      <c r="D7087" s="953"/>
      <c r="E7087" s="953"/>
      <c r="F7087" s="953"/>
      <c r="G7087" s="953"/>
      <c r="H7087" s="953"/>
    </row>
    <row r="7088" spans="1:8" s="943" customFormat="1" x14ac:dyDescent="0.25">
      <c r="A7088" s="952"/>
      <c r="B7088" s="953"/>
      <c r="C7088" s="953"/>
      <c r="D7088" s="953"/>
      <c r="E7088" s="953"/>
      <c r="F7088" s="953"/>
      <c r="G7088" s="953"/>
      <c r="H7088" s="953"/>
    </row>
    <row r="7089" spans="1:8" s="943" customFormat="1" x14ac:dyDescent="0.25">
      <c r="A7089" s="952"/>
      <c r="B7089" s="953"/>
      <c r="C7089" s="953"/>
      <c r="D7089" s="953"/>
      <c r="E7089" s="953"/>
      <c r="F7089" s="953"/>
      <c r="G7089" s="953"/>
      <c r="H7089" s="953"/>
    </row>
    <row r="7090" spans="1:8" s="943" customFormat="1" x14ac:dyDescent="0.25">
      <c r="A7090" s="952"/>
      <c r="B7090" s="953"/>
      <c r="C7090" s="953"/>
      <c r="D7090" s="953"/>
      <c r="E7090" s="953"/>
      <c r="F7090" s="953"/>
      <c r="G7090" s="953"/>
      <c r="H7090" s="953"/>
    </row>
    <row r="7091" spans="1:8" s="943" customFormat="1" x14ac:dyDescent="0.25">
      <c r="A7091" s="952"/>
      <c r="B7091" s="953"/>
      <c r="C7091" s="953"/>
      <c r="D7091" s="953"/>
      <c r="E7091" s="953"/>
      <c r="F7091" s="953"/>
      <c r="G7091" s="953"/>
      <c r="H7091" s="953"/>
    </row>
    <row r="7092" spans="1:8" s="943" customFormat="1" x14ac:dyDescent="0.25">
      <c r="A7092" s="952"/>
      <c r="B7092" s="953"/>
      <c r="C7092" s="953"/>
      <c r="D7092" s="953"/>
      <c r="E7092" s="953"/>
      <c r="F7092" s="953"/>
      <c r="G7092" s="953"/>
      <c r="H7092" s="953"/>
    </row>
    <row r="7093" spans="1:8" s="943" customFormat="1" x14ac:dyDescent="0.25">
      <c r="A7093" s="952"/>
      <c r="B7093" s="953"/>
      <c r="C7093" s="953"/>
      <c r="D7093" s="953"/>
      <c r="E7093" s="953"/>
      <c r="F7093" s="953"/>
      <c r="G7093" s="953"/>
      <c r="H7093" s="953"/>
    </row>
    <row r="7094" spans="1:8" s="943" customFormat="1" x14ac:dyDescent="0.25">
      <c r="A7094" s="952"/>
      <c r="B7094" s="953"/>
      <c r="C7094" s="953"/>
      <c r="D7094" s="953"/>
      <c r="E7094" s="953"/>
      <c r="F7094" s="953"/>
      <c r="G7094" s="953"/>
      <c r="H7094" s="953"/>
    </row>
    <row r="7095" spans="1:8" s="943" customFormat="1" x14ac:dyDescent="0.25">
      <c r="A7095" s="952"/>
      <c r="B7095" s="953"/>
      <c r="C7095" s="953"/>
      <c r="D7095" s="953"/>
      <c r="E7095" s="953"/>
      <c r="F7095" s="953"/>
      <c r="G7095" s="953"/>
      <c r="H7095" s="953"/>
    </row>
    <row r="7096" spans="1:8" s="943" customFormat="1" x14ac:dyDescent="0.25">
      <c r="A7096" s="952"/>
      <c r="B7096" s="953"/>
      <c r="C7096" s="953"/>
      <c r="D7096" s="953"/>
      <c r="E7096" s="953"/>
      <c r="F7096" s="953"/>
      <c r="G7096" s="953"/>
      <c r="H7096" s="953"/>
    </row>
    <row r="7097" spans="1:8" s="943" customFormat="1" x14ac:dyDescent="0.25">
      <c r="A7097" s="952"/>
      <c r="B7097" s="953"/>
      <c r="C7097" s="953"/>
      <c r="D7097" s="953"/>
      <c r="E7097" s="953"/>
      <c r="F7097" s="953"/>
      <c r="G7097" s="953"/>
      <c r="H7097" s="953"/>
    </row>
    <row r="7098" spans="1:8" s="943" customFormat="1" x14ac:dyDescent="0.25">
      <c r="A7098" s="952"/>
      <c r="B7098" s="953"/>
      <c r="C7098" s="953"/>
      <c r="D7098" s="953"/>
      <c r="E7098" s="953"/>
      <c r="F7098" s="953"/>
      <c r="G7098" s="953"/>
      <c r="H7098" s="953"/>
    </row>
    <row r="7099" spans="1:8" s="943" customFormat="1" x14ac:dyDescent="0.25">
      <c r="A7099" s="952"/>
      <c r="B7099" s="953"/>
      <c r="C7099" s="953"/>
      <c r="D7099" s="953"/>
      <c r="E7099" s="953"/>
      <c r="F7099" s="953"/>
      <c r="G7099" s="953"/>
      <c r="H7099" s="953"/>
    </row>
    <row r="7100" spans="1:8" s="943" customFormat="1" x14ac:dyDescent="0.25">
      <c r="A7100" s="952"/>
      <c r="B7100" s="953"/>
      <c r="C7100" s="953"/>
      <c r="D7100" s="953"/>
      <c r="E7100" s="953"/>
      <c r="F7100" s="953"/>
      <c r="G7100" s="953"/>
      <c r="H7100" s="953"/>
    </row>
    <row r="7101" spans="1:8" s="943" customFormat="1" x14ac:dyDescent="0.25">
      <c r="A7101" s="952"/>
      <c r="B7101" s="953"/>
      <c r="C7101" s="953"/>
      <c r="D7101" s="953"/>
      <c r="E7101" s="953"/>
      <c r="F7101" s="953"/>
      <c r="G7101" s="953"/>
      <c r="H7101" s="953"/>
    </row>
    <row r="7102" spans="1:8" s="943" customFormat="1" x14ac:dyDescent="0.25">
      <c r="A7102" s="952"/>
      <c r="B7102" s="953"/>
      <c r="C7102" s="953"/>
      <c r="D7102" s="953"/>
      <c r="E7102" s="953"/>
      <c r="F7102" s="953"/>
      <c r="G7102" s="953"/>
      <c r="H7102" s="953"/>
    </row>
    <row r="7103" spans="1:8" s="943" customFormat="1" x14ac:dyDescent="0.25">
      <c r="A7103" s="952"/>
      <c r="B7103" s="953"/>
      <c r="C7103" s="953"/>
      <c r="D7103" s="953"/>
      <c r="E7103" s="953"/>
      <c r="F7103" s="953"/>
      <c r="G7103" s="953"/>
      <c r="H7103" s="953"/>
    </row>
    <row r="7104" spans="1:8" s="943" customFormat="1" x14ac:dyDescent="0.25">
      <c r="A7104" s="952"/>
      <c r="B7104" s="953"/>
      <c r="C7104" s="953"/>
      <c r="D7104" s="953"/>
      <c r="E7104" s="953"/>
      <c r="F7104" s="953"/>
      <c r="G7104" s="953"/>
      <c r="H7104" s="953"/>
    </row>
    <row r="7105" spans="1:8" s="943" customFormat="1" x14ac:dyDescent="0.25">
      <c r="A7105" s="952"/>
      <c r="B7105" s="953"/>
      <c r="C7105" s="953"/>
      <c r="D7105" s="953"/>
      <c r="E7105" s="953"/>
      <c r="F7105" s="953"/>
      <c r="G7105" s="953"/>
      <c r="H7105" s="953"/>
    </row>
    <row r="7106" spans="1:8" s="943" customFormat="1" x14ac:dyDescent="0.25">
      <c r="A7106" s="952"/>
      <c r="B7106" s="953"/>
      <c r="C7106" s="953"/>
      <c r="D7106" s="953"/>
      <c r="E7106" s="953"/>
      <c r="F7106" s="953"/>
      <c r="G7106" s="953"/>
      <c r="H7106" s="953"/>
    </row>
    <row r="7107" spans="1:8" s="943" customFormat="1" x14ac:dyDescent="0.25">
      <c r="A7107" s="952"/>
      <c r="B7107" s="953"/>
      <c r="C7107" s="953"/>
      <c r="D7107" s="953"/>
      <c r="E7107" s="953"/>
      <c r="F7107" s="953"/>
      <c r="G7107" s="953"/>
      <c r="H7107" s="953"/>
    </row>
    <row r="7108" spans="1:8" s="943" customFormat="1" x14ac:dyDescent="0.25">
      <c r="A7108" s="952"/>
      <c r="B7108" s="953"/>
      <c r="C7108" s="953"/>
      <c r="D7108" s="953"/>
      <c r="E7108" s="953"/>
      <c r="F7108" s="953"/>
      <c r="G7108" s="953"/>
      <c r="H7108" s="953"/>
    </row>
    <row r="7109" spans="1:8" s="943" customFormat="1" x14ac:dyDescent="0.25">
      <c r="A7109" s="952"/>
      <c r="B7109" s="953"/>
      <c r="C7109" s="953"/>
      <c r="D7109" s="953"/>
      <c r="E7109" s="953"/>
      <c r="F7109" s="953"/>
      <c r="G7109" s="953"/>
      <c r="H7109" s="953"/>
    </row>
    <row r="7110" spans="1:8" s="943" customFormat="1" x14ac:dyDescent="0.25">
      <c r="A7110" s="952"/>
      <c r="B7110" s="953"/>
      <c r="C7110" s="953"/>
      <c r="D7110" s="953"/>
      <c r="E7110" s="953"/>
      <c r="F7110" s="953"/>
      <c r="G7110" s="953"/>
      <c r="H7110" s="953"/>
    </row>
    <row r="7111" spans="1:8" s="943" customFormat="1" x14ac:dyDescent="0.25">
      <c r="A7111" s="952"/>
      <c r="B7111" s="953"/>
      <c r="C7111" s="953"/>
      <c r="D7111" s="953"/>
      <c r="E7111" s="953"/>
      <c r="F7111" s="953"/>
      <c r="G7111" s="953"/>
      <c r="H7111" s="953"/>
    </row>
    <row r="7112" spans="1:8" s="943" customFormat="1" x14ac:dyDescent="0.25">
      <c r="A7112" s="952"/>
      <c r="B7112" s="953"/>
      <c r="C7112" s="953"/>
      <c r="D7112" s="953"/>
      <c r="E7112" s="953"/>
      <c r="F7112" s="953"/>
      <c r="G7112" s="953"/>
      <c r="H7112" s="953"/>
    </row>
    <row r="7113" spans="1:8" s="943" customFormat="1" x14ac:dyDescent="0.25">
      <c r="A7113" s="952"/>
      <c r="B7113" s="953"/>
      <c r="C7113" s="953"/>
      <c r="D7113" s="953"/>
      <c r="E7113" s="953"/>
      <c r="F7113" s="953"/>
      <c r="G7113" s="953"/>
      <c r="H7113" s="953"/>
    </row>
    <row r="7114" spans="1:8" s="943" customFormat="1" x14ac:dyDescent="0.25">
      <c r="A7114" s="952"/>
      <c r="B7114" s="953"/>
      <c r="C7114" s="953"/>
      <c r="D7114" s="953"/>
      <c r="E7114" s="953"/>
      <c r="F7114" s="953"/>
      <c r="G7114" s="953"/>
      <c r="H7114" s="953"/>
    </row>
    <row r="7115" spans="1:8" s="943" customFormat="1" x14ac:dyDescent="0.25">
      <c r="A7115" s="952"/>
      <c r="B7115" s="953"/>
      <c r="C7115" s="953"/>
      <c r="D7115" s="953"/>
      <c r="E7115" s="953"/>
      <c r="F7115" s="953"/>
      <c r="G7115" s="953"/>
      <c r="H7115" s="953"/>
    </row>
    <row r="7116" spans="1:8" s="943" customFormat="1" x14ac:dyDescent="0.25">
      <c r="A7116" s="952"/>
      <c r="B7116" s="953"/>
      <c r="C7116" s="953"/>
      <c r="D7116" s="953"/>
      <c r="E7116" s="953"/>
      <c r="F7116" s="953"/>
      <c r="G7116" s="953"/>
      <c r="H7116" s="953"/>
    </row>
    <row r="7117" spans="1:8" s="943" customFormat="1" x14ac:dyDescent="0.25">
      <c r="A7117" s="952"/>
      <c r="B7117" s="953"/>
      <c r="C7117" s="953"/>
      <c r="D7117" s="953"/>
      <c r="E7117" s="953"/>
      <c r="F7117" s="953"/>
      <c r="G7117" s="953"/>
      <c r="H7117" s="953"/>
    </row>
    <row r="7118" spans="1:8" s="943" customFormat="1" x14ac:dyDescent="0.25">
      <c r="A7118" s="952"/>
      <c r="B7118" s="953"/>
      <c r="C7118" s="953"/>
      <c r="D7118" s="953"/>
      <c r="E7118" s="953"/>
      <c r="F7118" s="953"/>
      <c r="G7118" s="953"/>
      <c r="H7118" s="953"/>
    </row>
    <row r="7119" spans="1:8" s="943" customFormat="1" x14ac:dyDescent="0.25">
      <c r="A7119" s="952"/>
      <c r="B7119" s="953"/>
      <c r="C7119" s="953"/>
      <c r="D7119" s="953"/>
      <c r="E7119" s="953"/>
      <c r="F7119" s="953"/>
      <c r="G7119" s="953"/>
      <c r="H7119" s="953"/>
    </row>
    <row r="7120" spans="1:8" s="943" customFormat="1" x14ac:dyDescent="0.25">
      <c r="A7120" s="952"/>
      <c r="B7120" s="953"/>
      <c r="C7120" s="953"/>
      <c r="D7120" s="953"/>
      <c r="E7120" s="953"/>
      <c r="F7120" s="953"/>
      <c r="G7120" s="953"/>
      <c r="H7120" s="953"/>
    </row>
    <row r="7121" spans="1:8" s="943" customFormat="1" x14ac:dyDescent="0.25">
      <c r="A7121" s="952"/>
      <c r="B7121" s="953"/>
      <c r="C7121" s="953"/>
      <c r="D7121" s="953"/>
      <c r="E7121" s="953"/>
      <c r="F7121" s="953"/>
      <c r="G7121" s="953"/>
      <c r="H7121" s="953"/>
    </row>
    <row r="7122" spans="1:8" s="943" customFormat="1" x14ac:dyDescent="0.25">
      <c r="A7122" s="952"/>
      <c r="B7122" s="953"/>
      <c r="C7122" s="953"/>
      <c r="D7122" s="953"/>
      <c r="E7122" s="953"/>
      <c r="F7122" s="953"/>
      <c r="G7122" s="953"/>
      <c r="H7122" s="953"/>
    </row>
    <row r="7123" spans="1:8" s="943" customFormat="1" x14ac:dyDescent="0.25">
      <c r="A7123" s="952"/>
      <c r="B7123" s="953"/>
      <c r="C7123" s="953"/>
      <c r="D7123" s="953"/>
      <c r="E7123" s="953"/>
      <c r="F7123" s="953"/>
      <c r="G7123" s="953"/>
      <c r="H7123" s="953"/>
    </row>
    <row r="7124" spans="1:8" s="943" customFormat="1" x14ac:dyDescent="0.25">
      <c r="A7124" s="952"/>
      <c r="B7124" s="953"/>
      <c r="C7124" s="953"/>
      <c r="D7124" s="953"/>
      <c r="E7124" s="953"/>
      <c r="F7124" s="953"/>
      <c r="G7124" s="953"/>
      <c r="H7124" s="953"/>
    </row>
    <row r="7125" spans="1:8" s="943" customFormat="1" x14ac:dyDescent="0.25">
      <c r="A7125" s="952"/>
      <c r="B7125" s="953"/>
      <c r="C7125" s="953"/>
      <c r="D7125" s="953"/>
      <c r="E7125" s="953"/>
      <c r="F7125" s="953"/>
      <c r="G7125" s="953"/>
      <c r="H7125" s="953"/>
    </row>
    <row r="7126" spans="1:8" s="943" customFormat="1" x14ac:dyDescent="0.25">
      <c r="A7126" s="952"/>
      <c r="B7126" s="953"/>
      <c r="C7126" s="953"/>
      <c r="D7126" s="953"/>
      <c r="E7126" s="953"/>
      <c r="F7126" s="953"/>
      <c r="G7126" s="953"/>
      <c r="H7126" s="953"/>
    </row>
    <row r="7127" spans="1:8" s="943" customFormat="1" x14ac:dyDescent="0.25">
      <c r="A7127" s="952"/>
      <c r="B7127" s="953"/>
      <c r="C7127" s="953"/>
      <c r="D7127" s="953"/>
      <c r="E7127" s="953"/>
      <c r="F7127" s="953"/>
      <c r="G7127" s="953"/>
      <c r="H7127" s="953"/>
    </row>
    <row r="7128" spans="1:8" s="943" customFormat="1" x14ac:dyDescent="0.25">
      <c r="A7128" s="952"/>
      <c r="B7128" s="953"/>
      <c r="C7128" s="953"/>
      <c r="D7128" s="953"/>
      <c r="E7128" s="953"/>
      <c r="F7128" s="953"/>
      <c r="G7128" s="953"/>
      <c r="H7128" s="953"/>
    </row>
    <row r="7129" spans="1:8" s="943" customFormat="1" x14ac:dyDescent="0.25">
      <c r="A7129" s="952"/>
      <c r="B7129" s="953"/>
      <c r="C7129" s="953"/>
      <c r="D7129" s="953"/>
      <c r="E7129" s="953"/>
      <c r="F7129" s="953"/>
      <c r="G7129" s="953"/>
      <c r="H7129" s="953"/>
    </row>
    <row r="7130" spans="1:8" s="943" customFormat="1" x14ac:dyDescent="0.25">
      <c r="A7130" s="952"/>
      <c r="B7130" s="953"/>
      <c r="C7130" s="953"/>
      <c r="D7130" s="953"/>
      <c r="E7130" s="953"/>
      <c r="F7130" s="953"/>
      <c r="G7130" s="953"/>
      <c r="H7130" s="953"/>
    </row>
    <row r="7131" spans="1:8" s="943" customFormat="1" x14ac:dyDescent="0.25">
      <c r="A7131" s="952"/>
      <c r="B7131" s="953"/>
      <c r="C7131" s="953"/>
      <c r="D7131" s="953"/>
      <c r="E7131" s="953"/>
      <c r="F7131" s="953"/>
      <c r="G7131" s="953"/>
      <c r="H7131" s="953"/>
    </row>
    <row r="7132" spans="1:8" s="943" customFormat="1" x14ac:dyDescent="0.25">
      <c r="A7132" s="952"/>
      <c r="B7132" s="953"/>
      <c r="C7132" s="953"/>
      <c r="D7132" s="953"/>
      <c r="E7132" s="953"/>
      <c r="F7132" s="953"/>
      <c r="G7132" s="953"/>
      <c r="H7132" s="953"/>
    </row>
    <row r="7133" spans="1:8" s="943" customFormat="1" x14ac:dyDescent="0.25">
      <c r="A7133" s="952"/>
      <c r="B7133" s="953"/>
      <c r="C7133" s="953"/>
      <c r="D7133" s="953"/>
      <c r="E7133" s="953"/>
      <c r="F7133" s="953"/>
      <c r="G7133" s="953"/>
      <c r="H7133" s="953"/>
    </row>
    <row r="7134" spans="1:8" s="943" customFormat="1" x14ac:dyDescent="0.25">
      <c r="A7134" s="952"/>
      <c r="B7134" s="953"/>
      <c r="C7134" s="953"/>
      <c r="D7134" s="953"/>
      <c r="E7134" s="953"/>
      <c r="F7134" s="953"/>
      <c r="G7134" s="953"/>
      <c r="H7134" s="953"/>
    </row>
    <row r="7135" spans="1:8" s="943" customFormat="1" x14ac:dyDescent="0.25">
      <c r="A7135" s="952"/>
      <c r="B7135" s="953"/>
      <c r="C7135" s="953"/>
      <c r="D7135" s="953"/>
      <c r="E7135" s="953"/>
      <c r="F7135" s="953"/>
      <c r="G7135" s="953"/>
      <c r="H7135" s="953"/>
    </row>
    <row r="7136" spans="1:8" s="943" customFormat="1" x14ac:dyDescent="0.25">
      <c r="A7136" s="952"/>
      <c r="B7136" s="953"/>
      <c r="C7136" s="953"/>
      <c r="D7136" s="953"/>
      <c r="E7136" s="953"/>
      <c r="F7136" s="953"/>
      <c r="G7136" s="953"/>
      <c r="H7136" s="953"/>
    </row>
    <row r="7137" spans="1:8" s="943" customFormat="1" x14ac:dyDescent="0.25">
      <c r="A7137" s="952"/>
      <c r="B7137" s="953"/>
      <c r="C7137" s="953"/>
      <c r="D7137" s="953"/>
      <c r="E7137" s="953"/>
      <c r="F7137" s="953"/>
      <c r="G7137" s="953"/>
      <c r="H7137" s="953"/>
    </row>
    <row r="7138" spans="1:8" s="943" customFormat="1" x14ac:dyDescent="0.25">
      <c r="A7138" s="952"/>
      <c r="B7138" s="953"/>
      <c r="C7138" s="953"/>
      <c r="D7138" s="953"/>
      <c r="E7138" s="953"/>
      <c r="F7138" s="953"/>
      <c r="G7138" s="953"/>
      <c r="H7138" s="953"/>
    </row>
    <row r="7139" spans="1:8" s="943" customFormat="1" x14ac:dyDescent="0.25">
      <c r="A7139" s="952"/>
      <c r="B7139" s="953"/>
      <c r="C7139" s="953"/>
      <c r="D7139" s="953"/>
      <c r="E7139" s="953"/>
      <c r="F7139" s="953"/>
      <c r="G7139" s="953"/>
      <c r="H7139" s="953"/>
    </row>
    <row r="7140" spans="1:8" s="943" customFormat="1" x14ac:dyDescent="0.25">
      <c r="A7140" s="952"/>
      <c r="B7140" s="953"/>
      <c r="C7140" s="953"/>
      <c r="D7140" s="953"/>
      <c r="E7140" s="953"/>
      <c r="F7140" s="953"/>
      <c r="G7140" s="953"/>
      <c r="H7140" s="953"/>
    </row>
    <row r="7141" spans="1:8" s="943" customFormat="1" x14ac:dyDescent="0.25">
      <c r="A7141" s="952"/>
      <c r="B7141" s="953"/>
      <c r="C7141" s="953"/>
      <c r="D7141" s="953"/>
      <c r="E7141" s="953"/>
      <c r="F7141" s="953"/>
      <c r="G7141" s="953"/>
      <c r="H7141" s="953"/>
    </row>
    <row r="7142" spans="1:8" s="943" customFormat="1" x14ac:dyDescent="0.25">
      <c r="A7142" s="952"/>
      <c r="B7142" s="953"/>
      <c r="C7142" s="953"/>
      <c r="D7142" s="953"/>
      <c r="E7142" s="953"/>
      <c r="F7142" s="953"/>
      <c r="G7142" s="953"/>
      <c r="H7142" s="953"/>
    </row>
    <row r="7143" spans="1:8" s="943" customFormat="1" x14ac:dyDescent="0.25">
      <c r="A7143" s="952"/>
      <c r="B7143" s="953"/>
      <c r="C7143" s="953"/>
      <c r="D7143" s="953"/>
      <c r="E7143" s="953"/>
      <c r="F7143" s="953"/>
      <c r="G7143" s="953"/>
      <c r="H7143" s="953"/>
    </row>
    <row r="7144" spans="1:8" s="943" customFormat="1" x14ac:dyDescent="0.25">
      <c r="A7144" s="952"/>
      <c r="B7144" s="953"/>
      <c r="C7144" s="953"/>
      <c r="D7144" s="953"/>
      <c r="E7144" s="953"/>
      <c r="F7144" s="953"/>
      <c r="G7144" s="953"/>
      <c r="H7144" s="953"/>
    </row>
    <row r="7145" spans="1:8" s="943" customFormat="1" x14ac:dyDescent="0.25">
      <c r="A7145" s="952"/>
      <c r="B7145" s="953"/>
      <c r="C7145" s="953"/>
      <c r="D7145" s="953"/>
      <c r="E7145" s="953"/>
      <c r="F7145" s="953"/>
      <c r="G7145" s="953"/>
      <c r="H7145" s="953"/>
    </row>
    <row r="7146" spans="1:8" s="943" customFormat="1" x14ac:dyDescent="0.25">
      <c r="A7146" s="952"/>
      <c r="B7146" s="953"/>
      <c r="C7146" s="953"/>
      <c r="D7146" s="953"/>
      <c r="E7146" s="953"/>
      <c r="F7146" s="953"/>
      <c r="G7146" s="953"/>
      <c r="H7146" s="953"/>
    </row>
    <row r="7147" spans="1:8" s="943" customFormat="1" x14ac:dyDescent="0.25">
      <c r="A7147" s="952"/>
      <c r="B7147" s="953"/>
      <c r="C7147" s="953"/>
      <c r="D7147" s="953"/>
      <c r="E7147" s="953"/>
      <c r="F7147" s="953"/>
      <c r="G7147" s="953"/>
      <c r="H7147" s="953"/>
    </row>
    <row r="7148" spans="1:8" s="943" customFormat="1" x14ac:dyDescent="0.25">
      <c r="A7148" s="952"/>
      <c r="B7148" s="953"/>
      <c r="C7148" s="953"/>
      <c r="D7148" s="953"/>
      <c r="E7148" s="953"/>
      <c r="F7148" s="953"/>
      <c r="G7148" s="953"/>
      <c r="H7148" s="953"/>
    </row>
    <row r="7149" spans="1:8" s="943" customFormat="1" x14ac:dyDescent="0.25">
      <c r="A7149" s="952"/>
      <c r="B7149" s="953"/>
      <c r="C7149" s="953"/>
      <c r="D7149" s="953"/>
      <c r="E7149" s="953"/>
      <c r="F7149" s="953"/>
      <c r="G7149" s="953"/>
      <c r="H7149" s="953"/>
    </row>
    <row r="7150" spans="1:8" s="943" customFormat="1" x14ac:dyDescent="0.25">
      <c r="A7150" s="952"/>
      <c r="B7150" s="953"/>
      <c r="C7150" s="953"/>
      <c r="D7150" s="953"/>
      <c r="E7150" s="953"/>
      <c r="F7150" s="953"/>
      <c r="G7150" s="953"/>
      <c r="H7150" s="953"/>
    </row>
    <row r="7151" spans="1:8" s="943" customFormat="1" x14ac:dyDescent="0.25">
      <c r="A7151" s="952"/>
      <c r="B7151" s="953"/>
      <c r="C7151" s="953"/>
      <c r="D7151" s="953"/>
      <c r="E7151" s="953"/>
      <c r="F7151" s="953"/>
      <c r="G7151" s="953"/>
      <c r="H7151" s="953"/>
    </row>
    <row r="7152" spans="1:8" s="943" customFormat="1" x14ac:dyDescent="0.25">
      <c r="A7152" s="952"/>
      <c r="B7152" s="953"/>
      <c r="C7152" s="953"/>
      <c r="D7152" s="953"/>
      <c r="E7152" s="953"/>
      <c r="F7152" s="953"/>
      <c r="G7152" s="953"/>
      <c r="H7152" s="953"/>
    </row>
    <row r="7153" spans="1:8" s="943" customFormat="1" x14ac:dyDescent="0.25">
      <c r="A7153" s="952"/>
      <c r="B7153" s="953"/>
      <c r="C7153" s="953"/>
      <c r="D7153" s="953"/>
      <c r="E7153" s="953"/>
      <c r="F7153" s="953"/>
      <c r="G7153" s="953"/>
      <c r="H7153" s="953"/>
    </row>
    <row r="7154" spans="1:8" s="943" customFormat="1" x14ac:dyDescent="0.25">
      <c r="A7154" s="952"/>
      <c r="B7154" s="953"/>
      <c r="C7154" s="953"/>
      <c r="D7154" s="953"/>
      <c r="E7154" s="953"/>
      <c r="F7154" s="953"/>
      <c r="G7154" s="953"/>
      <c r="H7154" s="953"/>
    </row>
    <row r="7155" spans="1:8" s="943" customFormat="1" x14ac:dyDescent="0.25">
      <c r="A7155" s="952"/>
      <c r="B7155" s="953"/>
      <c r="C7155" s="953"/>
      <c r="D7155" s="953"/>
      <c r="E7155" s="953"/>
      <c r="F7155" s="953"/>
      <c r="G7155" s="953"/>
      <c r="H7155" s="953"/>
    </row>
    <row r="7156" spans="1:8" s="943" customFormat="1" x14ac:dyDescent="0.25">
      <c r="A7156" s="952"/>
      <c r="B7156" s="953"/>
      <c r="C7156" s="953"/>
      <c r="D7156" s="953"/>
      <c r="E7156" s="953"/>
      <c r="F7156" s="953"/>
      <c r="G7156" s="953"/>
      <c r="H7156" s="953"/>
    </row>
    <row r="7157" spans="1:8" s="943" customFormat="1" x14ac:dyDescent="0.25">
      <c r="A7157" s="952"/>
      <c r="B7157" s="953"/>
      <c r="C7157" s="953"/>
      <c r="D7157" s="953"/>
      <c r="E7157" s="953"/>
      <c r="F7157" s="953"/>
      <c r="G7157" s="953"/>
      <c r="H7157" s="953"/>
    </row>
    <row r="7158" spans="1:8" s="943" customFormat="1" x14ac:dyDescent="0.25">
      <c r="A7158" s="952"/>
      <c r="B7158" s="953"/>
      <c r="C7158" s="953"/>
      <c r="D7158" s="953"/>
      <c r="E7158" s="953"/>
      <c r="F7158" s="953"/>
      <c r="G7158" s="953"/>
      <c r="H7158" s="953"/>
    </row>
    <row r="7159" spans="1:8" s="943" customFormat="1" x14ac:dyDescent="0.25">
      <c r="A7159" s="952"/>
      <c r="B7159" s="953"/>
      <c r="C7159" s="953"/>
      <c r="D7159" s="953"/>
      <c r="E7159" s="953"/>
      <c r="F7159" s="953"/>
      <c r="G7159" s="953"/>
      <c r="H7159" s="953"/>
    </row>
    <row r="7160" spans="1:8" s="943" customFormat="1" x14ac:dyDescent="0.25">
      <c r="A7160" s="952"/>
      <c r="B7160" s="953"/>
      <c r="C7160" s="953"/>
      <c r="D7160" s="953"/>
      <c r="E7160" s="953"/>
      <c r="F7160" s="953"/>
      <c r="G7160" s="953"/>
      <c r="H7160" s="953"/>
    </row>
    <row r="7161" spans="1:8" s="943" customFormat="1" x14ac:dyDescent="0.25">
      <c r="A7161" s="952"/>
      <c r="B7161" s="953"/>
      <c r="C7161" s="953"/>
      <c r="D7161" s="953"/>
      <c r="E7161" s="953"/>
      <c r="F7161" s="953"/>
      <c r="G7161" s="953"/>
      <c r="H7161" s="953"/>
    </row>
    <row r="7162" spans="1:8" s="943" customFormat="1" x14ac:dyDescent="0.25">
      <c r="A7162" s="952"/>
      <c r="B7162" s="953"/>
      <c r="C7162" s="953"/>
      <c r="D7162" s="953"/>
      <c r="E7162" s="953"/>
      <c r="F7162" s="953"/>
      <c r="G7162" s="953"/>
      <c r="H7162" s="953"/>
    </row>
    <row r="7163" spans="1:8" s="943" customFormat="1" x14ac:dyDescent="0.25">
      <c r="A7163" s="952"/>
      <c r="B7163" s="953"/>
      <c r="C7163" s="953"/>
      <c r="D7163" s="953"/>
      <c r="E7163" s="953"/>
      <c r="F7163" s="953"/>
      <c r="G7163" s="953"/>
      <c r="H7163" s="953"/>
    </row>
    <row r="7164" spans="1:8" s="943" customFormat="1" x14ac:dyDescent="0.25">
      <c r="A7164" s="952"/>
      <c r="B7164" s="953"/>
      <c r="C7164" s="953"/>
      <c r="D7164" s="953"/>
      <c r="E7164" s="953"/>
      <c r="F7164" s="953"/>
      <c r="G7164" s="953"/>
      <c r="H7164" s="953"/>
    </row>
    <row r="7165" spans="1:8" s="943" customFormat="1" x14ac:dyDescent="0.25">
      <c r="A7165" s="952"/>
      <c r="B7165" s="953"/>
      <c r="C7165" s="953"/>
      <c r="D7165" s="953"/>
      <c r="E7165" s="953"/>
      <c r="F7165" s="953"/>
      <c r="G7165" s="953"/>
      <c r="H7165" s="953"/>
    </row>
    <row r="7166" spans="1:8" s="943" customFormat="1" x14ac:dyDescent="0.25">
      <c r="A7166" s="952"/>
      <c r="B7166" s="953"/>
      <c r="C7166" s="953"/>
      <c r="D7166" s="953"/>
      <c r="E7166" s="953"/>
      <c r="F7166" s="953"/>
      <c r="G7166" s="953"/>
      <c r="H7166" s="953"/>
    </row>
    <row r="7167" spans="1:8" s="943" customFormat="1" x14ac:dyDescent="0.25">
      <c r="A7167" s="952"/>
      <c r="B7167" s="953"/>
      <c r="C7167" s="953"/>
      <c r="D7167" s="953"/>
      <c r="E7167" s="953"/>
      <c r="F7167" s="953"/>
      <c r="G7167" s="953"/>
      <c r="H7167" s="953"/>
    </row>
    <row r="7168" spans="1:8" s="943" customFormat="1" x14ac:dyDescent="0.25">
      <c r="A7168" s="952"/>
      <c r="B7168" s="953"/>
      <c r="C7168" s="953"/>
      <c r="D7168" s="953"/>
      <c r="E7168" s="953"/>
      <c r="F7168" s="953"/>
      <c r="G7168" s="953"/>
      <c r="H7168" s="953"/>
    </row>
    <row r="7169" spans="1:8" s="943" customFormat="1" x14ac:dyDescent="0.25">
      <c r="A7169" s="952"/>
      <c r="B7169" s="953"/>
      <c r="C7169" s="953"/>
      <c r="D7169" s="953"/>
      <c r="E7169" s="953"/>
      <c r="F7169" s="953"/>
      <c r="G7169" s="953"/>
      <c r="H7169" s="953"/>
    </row>
    <row r="7170" spans="1:8" s="943" customFormat="1" x14ac:dyDescent="0.25">
      <c r="A7170" s="952"/>
      <c r="B7170" s="953"/>
      <c r="C7170" s="953"/>
      <c r="D7170" s="953"/>
      <c r="E7170" s="953"/>
      <c r="F7170" s="953"/>
      <c r="G7170" s="953"/>
      <c r="H7170" s="953"/>
    </row>
    <row r="7171" spans="1:8" s="943" customFormat="1" x14ac:dyDescent="0.25">
      <c r="A7171" s="952"/>
      <c r="B7171" s="953"/>
      <c r="C7171" s="953"/>
      <c r="D7171" s="953"/>
      <c r="E7171" s="953"/>
      <c r="F7171" s="953"/>
      <c r="G7171" s="953"/>
      <c r="H7171" s="953"/>
    </row>
    <row r="7172" spans="1:8" s="943" customFormat="1" x14ac:dyDescent="0.25">
      <c r="A7172" s="952"/>
      <c r="B7172" s="953"/>
      <c r="C7172" s="953"/>
      <c r="D7172" s="953"/>
      <c r="E7172" s="953"/>
      <c r="F7172" s="953"/>
      <c r="G7172" s="953"/>
      <c r="H7172" s="953"/>
    </row>
    <row r="7173" spans="1:8" s="943" customFormat="1" x14ac:dyDescent="0.25">
      <c r="A7173" s="952"/>
      <c r="B7173" s="953"/>
      <c r="C7173" s="953"/>
      <c r="D7173" s="953"/>
      <c r="E7173" s="953"/>
      <c r="F7173" s="953"/>
      <c r="G7173" s="953"/>
      <c r="H7173" s="953"/>
    </row>
    <row r="7174" spans="1:8" s="943" customFormat="1" x14ac:dyDescent="0.25">
      <c r="A7174" s="952"/>
      <c r="B7174" s="953"/>
      <c r="C7174" s="953"/>
      <c r="D7174" s="953"/>
      <c r="E7174" s="953"/>
      <c r="F7174" s="953"/>
      <c r="G7174" s="953"/>
      <c r="H7174" s="953"/>
    </row>
    <row r="7175" spans="1:8" s="943" customFormat="1" x14ac:dyDescent="0.25">
      <c r="A7175" s="952"/>
      <c r="B7175" s="953"/>
      <c r="C7175" s="953"/>
      <c r="D7175" s="953"/>
      <c r="E7175" s="953"/>
      <c r="F7175" s="953"/>
      <c r="G7175" s="953"/>
      <c r="H7175" s="953"/>
    </row>
    <row r="7176" spans="1:8" s="943" customFormat="1" x14ac:dyDescent="0.25">
      <c r="A7176" s="952"/>
      <c r="B7176" s="953"/>
      <c r="C7176" s="953"/>
      <c r="D7176" s="953"/>
      <c r="E7176" s="953"/>
      <c r="F7176" s="953"/>
      <c r="G7176" s="953"/>
      <c r="H7176" s="953"/>
    </row>
    <row r="7177" spans="1:8" s="943" customFormat="1" x14ac:dyDescent="0.25">
      <c r="A7177" s="952"/>
      <c r="B7177" s="953"/>
      <c r="C7177" s="953"/>
      <c r="D7177" s="953"/>
      <c r="E7177" s="953"/>
      <c r="F7177" s="953"/>
      <c r="G7177" s="953"/>
      <c r="H7177" s="953"/>
    </row>
    <row r="7178" spans="1:8" s="943" customFormat="1" x14ac:dyDescent="0.25">
      <c r="A7178" s="952"/>
      <c r="B7178" s="953"/>
      <c r="C7178" s="953"/>
      <c r="D7178" s="953"/>
      <c r="E7178" s="953"/>
      <c r="F7178" s="953"/>
      <c r="G7178" s="953"/>
      <c r="H7178" s="953"/>
    </row>
    <row r="7179" spans="1:8" s="943" customFormat="1" x14ac:dyDescent="0.25">
      <c r="A7179" s="952"/>
      <c r="B7179" s="953"/>
      <c r="C7179" s="953"/>
      <c r="D7179" s="953"/>
      <c r="E7179" s="953"/>
      <c r="F7179" s="953"/>
      <c r="G7179" s="953"/>
      <c r="H7179" s="953"/>
    </row>
    <row r="7180" spans="1:8" s="943" customFormat="1" x14ac:dyDescent="0.25">
      <c r="A7180" s="952"/>
      <c r="B7180" s="953"/>
      <c r="C7180" s="953"/>
      <c r="D7180" s="953"/>
      <c r="E7180" s="953"/>
      <c r="F7180" s="953"/>
      <c r="G7180" s="953"/>
      <c r="H7180" s="953"/>
    </row>
    <row r="7181" spans="1:8" s="943" customFormat="1" x14ac:dyDescent="0.25">
      <c r="A7181" s="952"/>
      <c r="B7181" s="953"/>
      <c r="C7181" s="953"/>
      <c r="D7181" s="953"/>
      <c r="E7181" s="953"/>
      <c r="F7181" s="953"/>
      <c r="G7181" s="953"/>
      <c r="H7181" s="953"/>
    </row>
    <row r="7182" spans="1:8" s="943" customFormat="1" x14ac:dyDescent="0.25">
      <c r="A7182" s="952"/>
      <c r="B7182" s="953"/>
      <c r="C7182" s="953"/>
      <c r="D7182" s="953"/>
      <c r="E7182" s="953"/>
      <c r="F7182" s="953"/>
      <c r="G7182" s="953"/>
      <c r="H7182" s="953"/>
    </row>
    <row r="7183" spans="1:8" s="943" customFormat="1" x14ac:dyDescent="0.25">
      <c r="A7183" s="952"/>
      <c r="B7183" s="953"/>
      <c r="C7183" s="953"/>
      <c r="D7183" s="953"/>
      <c r="E7183" s="953"/>
      <c r="F7183" s="953"/>
      <c r="G7183" s="953"/>
      <c r="H7183" s="953"/>
    </row>
    <row r="7184" spans="1:8" s="943" customFormat="1" x14ac:dyDescent="0.25">
      <c r="A7184" s="952"/>
      <c r="B7184" s="953"/>
      <c r="C7184" s="953"/>
      <c r="D7184" s="953"/>
      <c r="E7184" s="953"/>
      <c r="F7184" s="953"/>
      <c r="G7184" s="953"/>
      <c r="H7184" s="953"/>
    </row>
    <row r="7185" spans="1:8" s="943" customFormat="1" x14ac:dyDescent="0.25">
      <c r="A7185" s="952"/>
      <c r="B7185" s="953"/>
      <c r="C7185" s="953"/>
      <c r="D7185" s="953"/>
      <c r="E7185" s="953"/>
      <c r="F7185" s="953"/>
      <c r="G7185" s="953"/>
      <c r="H7185" s="953"/>
    </row>
    <row r="7186" spans="1:8" s="943" customFormat="1" x14ac:dyDescent="0.25">
      <c r="A7186" s="952"/>
      <c r="B7186" s="953"/>
      <c r="C7186" s="953"/>
      <c r="D7186" s="953"/>
      <c r="E7186" s="953"/>
      <c r="F7186" s="953"/>
      <c r="G7186" s="953"/>
      <c r="H7186" s="953"/>
    </row>
    <row r="7187" spans="1:8" s="943" customFormat="1" x14ac:dyDescent="0.25">
      <c r="A7187" s="952"/>
      <c r="B7187" s="953"/>
      <c r="C7187" s="953"/>
      <c r="D7187" s="953"/>
      <c r="E7187" s="953"/>
      <c r="F7187" s="953"/>
      <c r="G7187" s="953"/>
      <c r="H7187" s="953"/>
    </row>
    <row r="7188" spans="1:8" s="943" customFormat="1" x14ac:dyDescent="0.25">
      <c r="A7188" s="952"/>
      <c r="B7188" s="953"/>
      <c r="C7188" s="953"/>
      <c r="D7188" s="953"/>
      <c r="E7188" s="953"/>
      <c r="F7188" s="953"/>
      <c r="G7188" s="953"/>
      <c r="H7188" s="953"/>
    </row>
    <row r="7189" spans="1:8" s="943" customFormat="1" x14ac:dyDescent="0.25">
      <c r="A7189" s="952"/>
      <c r="B7189" s="953"/>
      <c r="C7189" s="953"/>
      <c r="D7189" s="953"/>
      <c r="E7189" s="953"/>
      <c r="F7189" s="953"/>
      <c r="G7189" s="953"/>
      <c r="H7189" s="953"/>
    </row>
    <row r="7190" spans="1:8" s="943" customFormat="1" x14ac:dyDescent="0.25">
      <c r="A7190" s="952"/>
      <c r="B7190" s="953"/>
      <c r="C7190" s="953"/>
      <c r="D7190" s="953"/>
      <c r="E7190" s="953"/>
      <c r="F7190" s="953"/>
      <c r="G7190" s="953"/>
      <c r="H7190" s="953"/>
    </row>
    <row r="7191" spans="1:8" s="943" customFormat="1" x14ac:dyDescent="0.25">
      <c r="A7191" s="952"/>
      <c r="B7191" s="953"/>
      <c r="C7191" s="953"/>
      <c r="D7191" s="953"/>
      <c r="E7191" s="953"/>
      <c r="F7191" s="953"/>
      <c r="G7191" s="953"/>
      <c r="H7191" s="953"/>
    </row>
    <row r="7192" spans="1:8" s="943" customFormat="1" x14ac:dyDescent="0.25">
      <c r="A7192" s="952"/>
      <c r="B7192" s="953"/>
      <c r="C7192" s="953"/>
      <c r="D7192" s="953"/>
      <c r="E7192" s="953"/>
      <c r="F7192" s="953"/>
      <c r="G7192" s="953"/>
      <c r="H7192" s="953"/>
    </row>
    <row r="7193" spans="1:8" s="943" customFormat="1" x14ac:dyDescent="0.25">
      <c r="A7193" s="952"/>
      <c r="B7193" s="953"/>
      <c r="C7193" s="953"/>
      <c r="D7193" s="953"/>
      <c r="E7193" s="953"/>
      <c r="F7193" s="953"/>
      <c r="G7193" s="953"/>
      <c r="H7193" s="953"/>
    </row>
    <row r="7194" spans="1:8" s="943" customFormat="1" x14ac:dyDescent="0.25">
      <c r="A7194" s="952"/>
      <c r="B7194" s="953"/>
      <c r="C7194" s="953"/>
      <c r="D7194" s="953"/>
      <c r="E7194" s="953"/>
      <c r="F7194" s="953"/>
      <c r="G7194" s="953"/>
      <c r="H7194" s="953"/>
    </row>
    <row r="7195" spans="1:8" s="943" customFormat="1" x14ac:dyDescent="0.25">
      <c r="A7195" s="952"/>
      <c r="B7195" s="953"/>
      <c r="C7195" s="953"/>
      <c r="D7195" s="953"/>
      <c r="E7195" s="953"/>
      <c r="F7195" s="953"/>
      <c r="G7195" s="953"/>
      <c r="H7195" s="953"/>
    </row>
    <row r="7196" spans="1:8" s="943" customFormat="1" x14ac:dyDescent="0.25">
      <c r="A7196" s="952"/>
      <c r="B7196" s="953"/>
      <c r="C7196" s="953"/>
      <c r="D7196" s="953"/>
      <c r="E7196" s="953"/>
      <c r="F7196" s="953"/>
      <c r="G7196" s="953"/>
      <c r="H7196" s="953"/>
    </row>
    <row r="7197" spans="1:8" s="943" customFormat="1" x14ac:dyDescent="0.25">
      <c r="A7197" s="952"/>
      <c r="B7197" s="953"/>
      <c r="C7197" s="953"/>
      <c r="D7197" s="953"/>
      <c r="E7197" s="953"/>
      <c r="F7197" s="953"/>
      <c r="G7197" s="953"/>
      <c r="H7197" s="953"/>
    </row>
    <row r="7198" spans="1:8" s="943" customFormat="1" x14ac:dyDescent="0.25">
      <c r="A7198" s="952"/>
      <c r="B7198" s="953"/>
      <c r="C7198" s="953"/>
      <c r="D7198" s="953"/>
      <c r="E7198" s="953"/>
      <c r="F7198" s="953"/>
      <c r="G7198" s="953"/>
      <c r="H7198" s="953"/>
    </row>
    <row r="7199" spans="1:8" s="943" customFormat="1" x14ac:dyDescent="0.25">
      <c r="A7199" s="952"/>
      <c r="B7199" s="953"/>
      <c r="C7199" s="953"/>
      <c r="D7199" s="953"/>
      <c r="E7199" s="953"/>
      <c r="F7199" s="953"/>
      <c r="G7199" s="953"/>
      <c r="H7199" s="953"/>
    </row>
    <row r="7200" spans="1:8" s="943" customFormat="1" x14ac:dyDescent="0.25">
      <c r="A7200" s="952"/>
      <c r="B7200" s="953"/>
      <c r="C7200" s="953"/>
      <c r="D7200" s="953"/>
      <c r="E7200" s="953"/>
      <c r="F7200" s="953"/>
      <c r="G7200" s="953"/>
      <c r="H7200" s="953"/>
    </row>
    <row r="7201" spans="1:8" s="943" customFormat="1" x14ac:dyDescent="0.25">
      <c r="A7201" s="952"/>
      <c r="B7201" s="953"/>
      <c r="C7201" s="953"/>
      <c r="D7201" s="953"/>
      <c r="E7201" s="953"/>
      <c r="F7201" s="953"/>
      <c r="G7201" s="953"/>
      <c r="H7201" s="953"/>
    </row>
    <row r="7202" spans="1:8" s="943" customFormat="1" x14ac:dyDescent="0.25">
      <c r="A7202" s="952"/>
      <c r="B7202" s="953"/>
      <c r="C7202" s="953"/>
      <c r="D7202" s="953"/>
      <c r="E7202" s="953"/>
      <c r="F7202" s="953"/>
      <c r="G7202" s="953"/>
      <c r="H7202" s="953"/>
    </row>
    <row r="7203" spans="1:8" s="943" customFormat="1" x14ac:dyDescent="0.25">
      <c r="A7203" s="952"/>
      <c r="B7203" s="953"/>
      <c r="C7203" s="953"/>
      <c r="D7203" s="953"/>
      <c r="E7203" s="953"/>
      <c r="F7203" s="953"/>
      <c r="G7203" s="953"/>
      <c r="H7203" s="953"/>
    </row>
    <row r="7204" spans="1:8" s="943" customFormat="1" x14ac:dyDescent="0.25">
      <c r="A7204" s="952"/>
      <c r="B7204" s="953"/>
      <c r="C7204" s="953"/>
      <c r="D7204" s="953"/>
      <c r="E7204" s="953"/>
      <c r="F7204" s="953"/>
      <c r="G7204" s="953"/>
      <c r="H7204" s="953"/>
    </row>
    <row r="7205" spans="1:8" s="943" customFormat="1" x14ac:dyDescent="0.25">
      <c r="A7205" s="952"/>
      <c r="B7205" s="953"/>
      <c r="C7205" s="953"/>
      <c r="D7205" s="953"/>
      <c r="E7205" s="953"/>
      <c r="F7205" s="953"/>
      <c r="G7205" s="953"/>
      <c r="H7205" s="953"/>
    </row>
    <row r="7206" spans="1:8" s="943" customFormat="1" x14ac:dyDescent="0.25">
      <c r="A7206" s="952"/>
      <c r="B7206" s="953"/>
      <c r="C7206" s="953"/>
      <c r="D7206" s="953"/>
      <c r="E7206" s="953"/>
      <c r="F7206" s="953"/>
      <c r="G7206" s="953"/>
      <c r="H7206" s="953"/>
    </row>
    <row r="7207" spans="1:8" s="943" customFormat="1" x14ac:dyDescent="0.25">
      <c r="A7207" s="952"/>
      <c r="B7207" s="953"/>
      <c r="C7207" s="953"/>
      <c r="D7207" s="953"/>
      <c r="E7207" s="953"/>
      <c r="F7207" s="953"/>
      <c r="G7207" s="953"/>
      <c r="H7207" s="953"/>
    </row>
    <row r="7208" spans="1:8" s="943" customFormat="1" x14ac:dyDescent="0.25">
      <c r="A7208" s="952"/>
      <c r="B7208" s="953"/>
      <c r="C7208" s="953"/>
      <c r="D7208" s="953"/>
      <c r="E7208" s="953"/>
      <c r="F7208" s="953"/>
      <c r="G7208" s="953"/>
      <c r="H7208" s="953"/>
    </row>
    <row r="7209" spans="1:8" s="943" customFormat="1" x14ac:dyDescent="0.25">
      <c r="A7209" s="952"/>
      <c r="B7209" s="953"/>
      <c r="C7209" s="953"/>
      <c r="D7209" s="953"/>
      <c r="E7209" s="953"/>
      <c r="F7209" s="953"/>
      <c r="G7209" s="953"/>
      <c r="H7209" s="953"/>
    </row>
    <row r="7210" spans="1:8" s="943" customFormat="1" x14ac:dyDescent="0.25">
      <c r="A7210" s="952"/>
      <c r="B7210" s="953"/>
      <c r="C7210" s="953"/>
      <c r="D7210" s="953"/>
      <c r="E7210" s="953"/>
      <c r="F7210" s="953"/>
      <c r="G7210" s="953"/>
      <c r="H7210" s="953"/>
    </row>
    <row r="7211" spans="1:8" s="943" customFormat="1" x14ac:dyDescent="0.25">
      <c r="A7211" s="952"/>
      <c r="B7211" s="953"/>
      <c r="C7211" s="953"/>
      <c r="D7211" s="953"/>
      <c r="E7211" s="953"/>
      <c r="F7211" s="953"/>
      <c r="G7211" s="953"/>
      <c r="H7211" s="953"/>
    </row>
    <row r="7212" spans="1:8" s="943" customFormat="1" x14ac:dyDescent="0.25">
      <c r="A7212" s="952"/>
      <c r="B7212" s="953"/>
      <c r="C7212" s="953"/>
      <c r="D7212" s="953"/>
      <c r="E7212" s="953"/>
      <c r="F7212" s="953"/>
      <c r="G7212" s="953"/>
      <c r="H7212" s="953"/>
    </row>
    <row r="7213" spans="1:8" s="943" customFormat="1" x14ac:dyDescent="0.25">
      <c r="A7213" s="952"/>
      <c r="B7213" s="953"/>
      <c r="C7213" s="953"/>
      <c r="D7213" s="953"/>
      <c r="E7213" s="953"/>
      <c r="F7213" s="953"/>
      <c r="G7213" s="953"/>
      <c r="H7213" s="953"/>
    </row>
    <row r="7214" spans="1:8" s="943" customFormat="1" x14ac:dyDescent="0.25">
      <c r="A7214" s="952"/>
      <c r="B7214" s="953"/>
      <c r="C7214" s="953"/>
      <c r="D7214" s="953"/>
      <c r="E7214" s="953"/>
      <c r="F7214" s="953"/>
      <c r="G7214" s="953"/>
      <c r="H7214" s="953"/>
    </row>
    <row r="7215" spans="1:8" s="943" customFormat="1" x14ac:dyDescent="0.25">
      <c r="A7215" s="952"/>
      <c r="B7215" s="953"/>
      <c r="C7215" s="953"/>
      <c r="D7215" s="953"/>
      <c r="E7215" s="953"/>
      <c r="F7215" s="953"/>
      <c r="G7215" s="953"/>
      <c r="H7215" s="953"/>
    </row>
    <row r="7216" spans="1:8" s="943" customFormat="1" x14ac:dyDescent="0.25">
      <c r="A7216" s="952"/>
      <c r="B7216" s="953"/>
      <c r="C7216" s="953"/>
      <c r="D7216" s="953"/>
      <c r="E7216" s="953"/>
      <c r="F7216" s="953"/>
      <c r="G7216" s="953"/>
      <c r="H7216" s="953"/>
    </row>
    <row r="7217" spans="1:8" s="943" customFormat="1" x14ac:dyDescent="0.25">
      <c r="A7217" s="952"/>
      <c r="B7217" s="953"/>
      <c r="C7217" s="953"/>
      <c r="D7217" s="953"/>
      <c r="E7217" s="953"/>
      <c r="F7217" s="953"/>
      <c r="G7217" s="953"/>
      <c r="H7217" s="953"/>
    </row>
    <row r="7218" spans="1:8" s="943" customFormat="1" x14ac:dyDescent="0.25">
      <c r="A7218" s="952"/>
      <c r="B7218" s="953"/>
      <c r="C7218" s="953"/>
      <c r="D7218" s="953"/>
      <c r="E7218" s="953"/>
      <c r="F7218" s="953"/>
      <c r="G7218" s="953"/>
      <c r="H7218" s="953"/>
    </row>
    <row r="7219" spans="1:8" s="943" customFormat="1" x14ac:dyDescent="0.25">
      <c r="A7219" s="952"/>
      <c r="B7219" s="953"/>
      <c r="C7219" s="953"/>
      <c r="D7219" s="953"/>
      <c r="E7219" s="953"/>
      <c r="F7219" s="953"/>
      <c r="G7219" s="953"/>
      <c r="H7219" s="953"/>
    </row>
    <row r="7220" spans="1:8" s="943" customFormat="1" x14ac:dyDescent="0.25">
      <c r="A7220" s="952"/>
      <c r="B7220" s="953"/>
      <c r="C7220" s="953"/>
      <c r="D7220" s="953"/>
      <c r="E7220" s="953"/>
      <c r="F7220" s="953"/>
      <c r="G7220" s="953"/>
      <c r="H7220" s="953"/>
    </row>
    <row r="7221" spans="1:8" s="943" customFormat="1" x14ac:dyDescent="0.25">
      <c r="A7221" s="952"/>
      <c r="B7221" s="953"/>
      <c r="C7221" s="953"/>
      <c r="D7221" s="953"/>
      <c r="E7221" s="953"/>
      <c r="F7221" s="953"/>
      <c r="G7221" s="953"/>
      <c r="H7221" s="953"/>
    </row>
    <row r="7222" spans="1:8" s="943" customFormat="1" x14ac:dyDescent="0.25">
      <c r="A7222" s="952"/>
      <c r="B7222" s="953"/>
      <c r="C7222" s="953"/>
      <c r="D7222" s="953"/>
      <c r="E7222" s="953"/>
      <c r="F7222" s="953"/>
      <c r="G7222" s="953"/>
      <c r="H7222" s="953"/>
    </row>
    <row r="7223" spans="1:8" s="943" customFormat="1" x14ac:dyDescent="0.25">
      <c r="A7223" s="952"/>
      <c r="B7223" s="953"/>
      <c r="C7223" s="953"/>
      <c r="D7223" s="953"/>
      <c r="E7223" s="953"/>
      <c r="F7223" s="953"/>
      <c r="G7223" s="953"/>
      <c r="H7223" s="953"/>
    </row>
    <row r="7224" spans="1:8" s="943" customFormat="1" x14ac:dyDescent="0.25">
      <c r="A7224" s="952"/>
      <c r="B7224" s="953"/>
      <c r="C7224" s="953"/>
      <c r="D7224" s="953"/>
      <c r="E7224" s="953"/>
      <c r="F7224" s="953"/>
      <c r="G7224" s="953"/>
      <c r="H7224" s="953"/>
    </row>
    <row r="7225" spans="1:8" s="943" customFormat="1" x14ac:dyDescent="0.25">
      <c r="A7225" s="952"/>
      <c r="B7225" s="953"/>
      <c r="C7225" s="953"/>
      <c r="D7225" s="953"/>
      <c r="E7225" s="953"/>
      <c r="F7225" s="953"/>
      <c r="G7225" s="953"/>
      <c r="H7225" s="953"/>
    </row>
    <row r="7226" spans="1:8" s="943" customFormat="1" x14ac:dyDescent="0.25">
      <c r="A7226" s="952"/>
      <c r="B7226" s="953"/>
      <c r="C7226" s="953"/>
      <c r="D7226" s="953"/>
      <c r="E7226" s="953"/>
      <c r="F7226" s="953"/>
      <c r="G7226" s="953"/>
      <c r="H7226" s="953"/>
    </row>
    <row r="7227" spans="1:8" s="943" customFormat="1" x14ac:dyDescent="0.25">
      <c r="A7227" s="952"/>
      <c r="B7227" s="953"/>
      <c r="C7227" s="953"/>
      <c r="D7227" s="953"/>
      <c r="E7227" s="953"/>
      <c r="F7227" s="953"/>
      <c r="G7227" s="953"/>
      <c r="H7227" s="953"/>
    </row>
    <row r="7228" spans="1:8" s="943" customFormat="1" x14ac:dyDescent="0.25">
      <c r="A7228" s="952"/>
      <c r="B7228" s="953"/>
      <c r="C7228" s="953"/>
      <c r="D7228" s="953"/>
      <c r="E7228" s="953"/>
      <c r="F7228" s="953"/>
      <c r="G7228" s="953"/>
      <c r="H7228" s="953"/>
    </row>
    <row r="7229" spans="1:8" s="943" customFormat="1" x14ac:dyDescent="0.25">
      <c r="A7229" s="952"/>
      <c r="B7229" s="953"/>
      <c r="C7229" s="953"/>
      <c r="D7229" s="953"/>
      <c r="E7229" s="953"/>
      <c r="F7229" s="953"/>
      <c r="G7229" s="953"/>
      <c r="H7229" s="953"/>
    </row>
    <row r="7230" spans="1:8" s="943" customFormat="1" x14ac:dyDescent="0.25">
      <c r="A7230" s="952"/>
      <c r="B7230" s="953"/>
      <c r="C7230" s="953"/>
      <c r="D7230" s="953"/>
      <c r="E7230" s="953"/>
      <c r="F7230" s="953"/>
      <c r="G7230" s="953"/>
      <c r="H7230" s="953"/>
    </row>
    <row r="7231" spans="1:8" s="943" customFormat="1" x14ac:dyDescent="0.25">
      <c r="A7231" s="952"/>
      <c r="B7231" s="953"/>
      <c r="C7231" s="953"/>
      <c r="D7231" s="953"/>
      <c r="E7231" s="953"/>
      <c r="F7231" s="953"/>
      <c r="G7231" s="953"/>
      <c r="H7231" s="953"/>
    </row>
    <row r="7232" spans="1:8" s="943" customFormat="1" x14ac:dyDescent="0.25">
      <c r="A7232" s="952"/>
      <c r="B7232" s="953"/>
      <c r="C7232" s="953"/>
      <c r="D7232" s="953"/>
      <c r="E7232" s="953"/>
      <c r="F7232" s="953"/>
      <c r="G7232" s="953"/>
      <c r="H7232" s="953"/>
    </row>
    <row r="7233" spans="1:8" s="943" customFormat="1" x14ac:dyDescent="0.25">
      <c r="A7233" s="952"/>
      <c r="B7233" s="953"/>
      <c r="C7233" s="953"/>
      <c r="D7233" s="953"/>
      <c r="E7233" s="953"/>
      <c r="F7233" s="953"/>
      <c r="G7233" s="953"/>
      <c r="H7233" s="953"/>
    </row>
    <row r="7234" spans="1:8" s="943" customFormat="1" x14ac:dyDescent="0.25">
      <c r="A7234" s="952"/>
      <c r="B7234" s="953"/>
      <c r="C7234" s="953"/>
      <c r="D7234" s="953"/>
      <c r="E7234" s="953"/>
      <c r="F7234" s="953"/>
      <c r="G7234" s="953"/>
      <c r="H7234" s="953"/>
    </row>
    <row r="7235" spans="1:8" s="943" customFormat="1" x14ac:dyDescent="0.25">
      <c r="A7235" s="952"/>
      <c r="B7235" s="953"/>
      <c r="C7235" s="953"/>
      <c r="D7235" s="953"/>
      <c r="E7235" s="953"/>
      <c r="F7235" s="953"/>
      <c r="G7235" s="953"/>
      <c r="H7235" s="953"/>
    </row>
    <row r="7236" spans="1:8" s="943" customFormat="1" x14ac:dyDescent="0.25">
      <c r="A7236" s="952"/>
      <c r="B7236" s="953"/>
      <c r="C7236" s="953"/>
      <c r="D7236" s="953"/>
      <c r="E7236" s="953"/>
      <c r="F7236" s="953"/>
      <c r="G7236" s="953"/>
      <c r="H7236" s="953"/>
    </row>
    <row r="7237" spans="1:8" s="943" customFormat="1" x14ac:dyDescent="0.25">
      <c r="A7237" s="952"/>
      <c r="B7237" s="953"/>
      <c r="C7237" s="953"/>
      <c r="D7237" s="953"/>
      <c r="E7237" s="953"/>
      <c r="F7237" s="953"/>
      <c r="G7237" s="953"/>
      <c r="H7237" s="953"/>
    </row>
    <row r="7238" spans="1:8" s="943" customFormat="1" x14ac:dyDescent="0.25">
      <c r="A7238" s="952"/>
      <c r="B7238" s="953"/>
      <c r="C7238" s="953"/>
      <c r="D7238" s="953"/>
      <c r="E7238" s="953"/>
      <c r="F7238" s="953"/>
      <c r="G7238" s="953"/>
      <c r="H7238" s="953"/>
    </row>
    <row r="7239" spans="1:8" s="943" customFormat="1" x14ac:dyDescent="0.25">
      <c r="A7239" s="952"/>
      <c r="B7239" s="953"/>
      <c r="C7239" s="953"/>
      <c r="D7239" s="953"/>
      <c r="E7239" s="953"/>
      <c r="F7239" s="953"/>
      <c r="G7239" s="953"/>
      <c r="H7239" s="953"/>
    </row>
    <row r="7240" spans="1:8" s="943" customFormat="1" x14ac:dyDescent="0.25">
      <c r="A7240" s="952"/>
      <c r="B7240" s="953"/>
      <c r="C7240" s="953"/>
      <c r="D7240" s="953"/>
      <c r="E7240" s="953"/>
      <c r="F7240" s="953"/>
      <c r="G7240" s="953"/>
      <c r="H7240" s="953"/>
    </row>
    <row r="7241" spans="1:8" s="943" customFormat="1" x14ac:dyDescent="0.25">
      <c r="A7241" s="952"/>
      <c r="B7241" s="953"/>
      <c r="C7241" s="953"/>
      <c r="D7241" s="953"/>
      <c r="E7241" s="953"/>
      <c r="F7241" s="953"/>
      <c r="G7241" s="953"/>
      <c r="H7241" s="953"/>
    </row>
    <row r="7242" spans="1:8" s="943" customFormat="1" x14ac:dyDescent="0.25">
      <c r="A7242" s="952"/>
      <c r="B7242" s="953"/>
      <c r="C7242" s="953"/>
      <c r="D7242" s="953"/>
      <c r="E7242" s="953"/>
      <c r="F7242" s="953"/>
      <c r="G7242" s="953"/>
      <c r="H7242" s="953"/>
    </row>
    <row r="7243" spans="1:8" s="943" customFormat="1" x14ac:dyDescent="0.25">
      <c r="A7243" s="952"/>
      <c r="B7243" s="953"/>
      <c r="C7243" s="953"/>
      <c r="D7243" s="953"/>
      <c r="E7243" s="953"/>
      <c r="F7243" s="953"/>
      <c r="G7243" s="953"/>
      <c r="H7243" s="953"/>
    </row>
    <row r="7244" spans="1:8" s="943" customFormat="1" x14ac:dyDescent="0.25">
      <c r="A7244" s="952"/>
      <c r="B7244" s="953"/>
      <c r="C7244" s="953"/>
      <c r="D7244" s="953"/>
      <c r="E7244" s="953"/>
      <c r="F7244" s="953"/>
      <c r="G7244" s="953"/>
      <c r="H7244" s="953"/>
    </row>
    <row r="7245" spans="1:8" s="943" customFormat="1" x14ac:dyDescent="0.25">
      <c r="A7245" s="952"/>
      <c r="B7245" s="953"/>
      <c r="C7245" s="953"/>
      <c r="D7245" s="953"/>
      <c r="E7245" s="953"/>
      <c r="F7245" s="953"/>
      <c r="G7245" s="953"/>
      <c r="H7245" s="953"/>
    </row>
    <row r="7246" spans="1:8" s="943" customFormat="1" x14ac:dyDescent="0.25">
      <c r="A7246" s="952"/>
      <c r="B7246" s="953"/>
      <c r="C7246" s="953"/>
      <c r="D7246" s="953"/>
      <c r="E7246" s="953"/>
      <c r="F7246" s="953"/>
      <c r="G7246" s="953"/>
      <c r="H7246" s="953"/>
    </row>
    <row r="7247" spans="1:8" s="943" customFormat="1" x14ac:dyDescent="0.25">
      <c r="A7247" s="952"/>
      <c r="B7247" s="953"/>
      <c r="C7247" s="953"/>
      <c r="D7247" s="953"/>
      <c r="E7247" s="953"/>
      <c r="F7247" s="953"/>
      <c r="G7247" s="953"/>
      <c r="H7247" s="953"/>
    </row>
    <row r="7248" spans="1:8" s="943" customFormat="1" x14ac:dyDescent="0.25">
      <c r="A7248" s="952"/>
      <c r="B7248" s="953"/>
      <c r="C7248" s="953"/>
      <c r="D7248" s="953"/>
      <c r="E7248" s="953"/>
      <c r="F7248" s="953"/>
      <c r="G7248" s="953"/>
      <c r="H7248" s="953"/>
    </row>
    <row r="7249" spans="1:8" s="943" customFormat="1" x14ac:dyDescent="0.25">
      <c r="A7249" s="952"/>
      <c r="B7249" s="953"/>
      <c r="C7249" s="953"/>
      <c r="D7249" s="953"/>
      <c r="E7249" s="953"/>
      <c r="F7249" s="953"/>
      <c r="G7249" s="953"/>
      <c r="H7249" s="953"/>
    </row>
    <row r="7250" spans="1:8" s="943" customFormat="1" x14ac:dyDescent="0.25">
      <c r="A7250" s="952"/>
      <c r="B7250" s="953"/>
      <c r="C7250" s="953"/>
      <c r="D7250" s="953"/>
      <c r="E7250" s="953"/>
      <c r="F7250" s="953"/>
      <c r="G7250" s="953"/>
      <c r="H7250" s="953"/>
    </row>
    <row r="7251" spans="1:8" s="943" customFormat="1" x14ac:dyDescent="0.25">
      <c r="A7251" s="952"/>
      <c r="B7251" s="953"/>
      <c r="C7251" s="953"/>
      <c r="D7251" s="953"/>
      <c r="E7251" s="953"/>
      <c r="F7251" s="953"/>
      <c r="G7251" s="953"/>
      <c r="H7251" s="953"/>
    </row>
    <row r="7252" spans="1:8" s="943" customFormat="1" x14ac:dyDescent="0.25">
      <c r="A7252" s="952"/>
      <c r="B7252" s="953"/>
      <c r="C7252" s="953"/>
      <c r="D7252" s="953"/>
      <c r="E7252" s="953"/>
      <c r="F7252" s="953"/>
      <c r="G7252" s="953"/>
      <c r="H7252" s="953"/>
    </row>
    <row r="7253" spans="1:8" s="943" customFormat="1" x14ac:dyDescent="0.25">
      <c r="A7253" s="952"/>
      <c r="B7253" s="953"/>
      <c r="C7253" s="953"/>
      <c r="D7253" s="953"/>
      <c r="E7253" s="953"/>
      <c r="F7253" s="953"/>
      <c r="G7253" s="953"/>
      <c r="H7253" s="953"/>
    </row>
    <row r="7254" spans="1:8" s="943" customFormat="1" x14ac:dyDescent="0.25">
      <c r="A7254" s="952"/>
      <c r="B7254" s="953"/>
      <c r="C7254" s="953"/>
      <c r="D7254" s="953"/>
      <c r="E7254" s="953"/>
      <c r="F7254" s="953"/>
      <c r="G7254" s="953"/>
      <c r="H7254" s="953"/>
    </row>
    <row r="7255" spans="1:8" s="943" customFormat="1" x14ac:dyDescent="0.25">
      <c r="A7255" s="952"/>
      <c r="B7255" s="953"/>
      <c r="C7255" s="953"/>
      <c r="D7255" s="953"/>
      <c r="E7255" s="953"/>
      <c r="F7255" s="953"/>
      <c r="G7255" s="953"/>
      <c r="H7255" s="953"/>
    </row>
    <row r="7256" spans="1:8" s="943" customFormat="1" x14ac:dyDescent="0.25">
      <c r="A7256" s="952"/>
      <c r="B7256" s="953"/>
      <c r="C7256" s="953"/>
      <c r="D7256" s="953"/>
      <c r="E7256" s="953"/>
      <c r="F7256" s="953"/>
      <c r="G7256" s="953"/>
      <c r="H7256" s="953"/>
    </row>
    <row r="7257" spans="1:8" s="943" customFormat="1" x14ac:dyDescent="0.25">
      <c r="A7257" s="952"/>
      <c r="B7257" s="953"/>
      <c r="C7257" s="953"/>
      <c r="D7257" s="953"/>
      <c r="E7257" s="953"/>
      <c r="F7257" s="953"/>
      <c r="G7257" s="953"/>
      <c r="H7257" s="953"/>
    </row>
    <row r="7258" spans="1:8" s="943" customFormat="1" x14ac:dyDescent="0.25">
      <c r="A7258" s="952"/>
      <c r="B7258" s="953"/>
      <c r="C7258" s="953"/>
      <c r="D7258" s="953"/>
      <c r="E7258" s="953"/>
      <c r="F7258" s="953"/>
      <c r="G7258" s="953"/>
      <c r="H7258" s="953"/>
    </row>
    <row r="7259" spans="1:8" s="943" customFormat="1" x14ac:dyDescent="0.25">
      <c r="A7259" s="952"/>
      <c r="B7259" s="953"/>
      <c r="C7259" s="953"/>
      <c r="D7259" s="953"/>
      <c r="E7259" s="953"/>
      <c r="F7259" s="953"/>
      <c r="G7259" s="953"/>
      <c r="H7259" s="953"/>
    </row>
    <row r="7260" spans="1:8" s="943" customFormat="1" x14ac:dyDescent="0.25">
      <c r="A7260" s="952"/>
      <c r="B7260" s="953"/>
      <c r="C7260" s="953"/>
      <c r="D7260" s="953"/>
      <c r="E7260" s="953"/>
      <c r="F7260" s="953"/>
      <c r="G7260" s="953"/>
      <c r="H7260" s="953"/>
    </row>
    <row r="7261" spans="1:8" s="943" customFormat="1" x14ac:dyDescent="0.25">
      <c r="A7261" s="952"/>
      <c r="B7261" s="953"/>
      <c r="C7261" s="953"/>
      <c r="D7261" s="953"/>
      <c r="E7261" s="953"/>
      <c r="F7261" s="953"/>
      <c r="G7261" s="953"/>
      <c r="H7261" s="953"/>
    </row>
    <row r="7262" spans="1:8" s="943" customFormat="1" x14ac:dyDescent="0.25">
      <c r="A7262" s="952"/>
      <c r="B7262" s="953"/>
      <c r="C7262" s="953"/>
      <c r="D7262" s="953"/>
      <c r="E7262" s="953"/>
      <c r="F7262" s="953"/>
      <c r="G7262" s="953"/>
      <c r="H7262" s="953"/>
    </row>
    <row r="7263" spans="1:8" s="943" customFormat="1" x14ac:dyDescent="0.25">
      <c r="A7263" s="952"/>
      <c r="B7263" s="953"/>
      <c r="C7263" s="953"/>
      <c r="D7263" s="953"/>
      <c r="E7263" s="953"/>
      <c r="F7263" s="953"/>
      <c r="G7263" s="953"/>
      <c r="H7263" s="953"/>
    </row>
    <row r="7264" spans="1:8" s="943" customFormat="1" x14ac:dyDescent="0.25">
      <c r="A7264" s="952"/>
      <c r="B7264" s="953"/>
      <c r="C7264" s="953"/>
      <c r="D7264" s="953"/>
      <c r="E7264" s="953"/>
      <c r="F7264" s="953"/>
      <c r="G7264" s="953"/>
      <c r="H7264" s="953"/>
    </row>
    <row r="7265" spans="1:8" s="943" customFormat="1" x14ac:dyDescent="0.25">
      <c r="A7265" s="952"/>
      <c r="B7265" s="953"/>
      <c r="C7265" s="953"/>
      <c r="D7265" s="953"/>
      <c r="E7265" s="953"/>
      <c r="F7265" s="953"/>
      <c r="G7265" s="953"/>
      <c r="H7265" s="953"/>
    </row>
    <row r="7266" spans="1:8" s="943" customFormat="1" x14ac:dyDescent="0.25">
      <c r="A7266" s="952"/>
      <c r="B7266" s="953"/>
      <c r="C7266" s="953"/>
      <c r="D7266" s="953"/>
      <c r="E7266" s="953"/>
      <c r="F7266" s="953"/>
      <c r="G7266" s="953"/>
      <c r="H7266" s="953"/>
    </row>
    <row r="7267" spans="1:8" s="943" customFormat="1" x14ac:dyDescent="0.25">
      <c r="A7267" s="952"/>
      <c r="B7267" s="953"/>
      <c r="C7267" s="953"/>
      <c r="D7267" s="953"/>
      <c r="E7267" s="953"/>
      <c r="F7267" s="953"/>
      <c r="G7267" s="953"/>
      <c r="H7267" s="953"/>
    </row>
    <row r="7268" spans="1:8" s="943" customFormat="1" x14ac:dyDescent="0.25">
      <c r="A7268" s="952"/>
      <c r="B7268" s="953"/>
      <c r="C7268" s="953"/>
      <c r="D7268" s="953"/>
      <c r="E7268" s="953"/>
      <c r="F7268" s="953"/>
      <c r="G7268" s="953"/>
      <c r="H7268" s="953"/>
    </row>
    <row r="7269" spans="1:8" s="943" customFormat="1" x14ac:dyDescent="0.25">
      <c r="A7269" s="952"/>
      <c r="B7269" s="953"/>
      <c r="C7269" s="953"/>
      <c r="D7269" s="953"/>
      <c r="E7269" s="953"/>
      <c r="F7269" s="953"/>
      <c r="G7269" s="953"/>
      <c r="H7269" s="953"/>
    </row>
    <row r="7270" spans="1:8" s="943" customFormat="1" x14ac:dyDescent="0.25">
      <c r="A7270" s="952"/>
      <c r="B7270" s="953"/>
      <c r="C7270" s="953"/>
      <c r="D7270" s="953"/>
      <c r="E7270" s="953"/>
      <c r="F7270" s="953"/>
      <c r="G7270" s="953"/>
      <c r="H7270" s="953"/>
    </row>
    <row r="7271" spans="1:8" s="943" customFormat="1" x14ac:dyDescent="0.25">
      <c r="A7271" s="952"/>
      <c r="B7271" s="953"/>
      <c r="C7271" s="953"/>
      <c r="D7271" s="953"/>
      <c r="E7271" s="953"/>
      <c r="F7271" s="953"/>
      <c r="G7271" s="953"/>
      <c r="H7271" s="953"/>
    </row>
    <row r="7272" spans="1:8" s="943" customFormat="1" x14ac:dyDescent="0.25">
      <c r="A7272" s="952"/>
      <c r="B7272" s="953"/>
      <c r="C7272" s="953"/>
      <c r="D7272" s="953"/>
      <c r="E7272" s="953"/>
      <c r="F7272" s="953"/>
      <c r="G7272" s="953"/>
      <c r="H7272" s="953"/>
    </row>
    <row r="7273" spans="1:8" s="943" customFormat="1" x14ac:dyDescent="0.25">
      <c r="A7273" s="952"/>
      <c r="B7273" s="953"/>
      <c r="C7273" s="953"/>
      <c r="D7273" s="953"/>
      <c r="E7273" s="953"/>
      <c r="F7273" s="953"/>
      <c r="G7273" s="953"/>
      <c r="H7273" s="953"/>
    </row>
    <row r="7274" spans="1:8" s="943" customFormat="1" x14ac:dyDescent="0.25">
      <c r="A7274" s="952"/>
      <c r="B7274" s="953"/>
      <c r="C7274" s="953"/>
      <c r="D7274" s="953"/>
      <c r="E7274" s="953"/>
      <c r="F7274" s="953"/>
      <c r="G7274" s="953"/>
      <c r="H7274" s="953"/>
    </row>
    <row r="7275" spans="1:8" s="943" customFormat="1" x14ac:dyDescent="0.25">
      <c r="A7275" s="952"/>
      <c r="B7275" s="953"/>
      <c r="C7275" s="953"/>
      <c r="D7275" s="953"/>
      <c r="E7275" s="953"/>
      <c r="F7275" s="953"/>
      <c r="G7275" s="953"/>
      <c r="H7275" s="953"/>
    </row>
    <row r="7276" spans="1:8" s="943" customFormat="1" x14ac:dyDescent="0.25">
      <c r="A7276" s="952"/>
      <c r="B7276" s="953"/>
      <c r="C7276" s="953"/>
      <c r="D7276" s="953"/>
      <c r="E7276" s="953"/>
      <c r="F7276" s="953"/>
      <c r="G7276" s="953"/>
      <c r="H7276" s="953"/>
    </row>
    <row r="7277" spans="1:8" s="943" customFormat="1" x14ac:dyDescent="0.25">
      <c r="A7277" s="952"/>
      <c r="B7277" s="953"/>
      <c r="C7277" s="953"/>
      <c r="D7277" s="953"/>
      <c r="E7277" s="953"/>
      <c r="F7277" s="953"/>
      <c r="G7277" s="953"/>
      <c r="H7277" s="953"/>
    </row>
    <row r="7278" spans="1:8" s="943" customFormat="1" x14ac:dyDescent="0.25">
      <c r="A7278" s="952"/>
      <c r="B7278" s="953"/>
      <c r="C7278" s="953"/>
      <c r="D7278" s="953"/>
      <c r="E7278" s="953"/>
      <c r="F7278" s="953"/>
      <c r="G7278" s="953"/>
      <c r="H7278" s="953"/>
    </row>
    <row r="7279" spans="1:8" s="943" customFormat="1" x14ac:dyDescent="0.25">
      <c r="A7279" s="952"/>
      <c r="B7279" s="953"/>
      <c r="C7279" s="953"/>
      <c r="D7279" s="953"/>
      <c r="E7279" s="953"/>
      <c r="F7279" s="953"/>
      <c r="G7279" s="953"/>
      <c r="H7279" s="953"/>
    </row>
    <row r="7280" spans="1:8" s="943" customFormat="1" x14ac:dyDescent="0.25">
      <c r="A7280" s="952"/>
      <c r="B7280" s="953"/>
      <c r="C7280" s="953"/>
      <c r="D7280" s="953"/>
      <c r="E7280" s="953"/>
      <c r="F7280" s="953"/>
      <c r="G7280" s="953"/>
      <c r="H7280" s="953"/>
    </row>
    <row r="7281" spans="1:8" s="943" customFormat="1" x14ac:dyDescent="0.25">
      <c r="A7281" s="952"/>
      <c r="B7281" s="953"/>
      <c r="C7281" s="953"/>
      <c r="D7281" s="953"/>
      <c r="E7281" s="953"/>
      <c r="F7281" s="953"/>
      <c r="G7281" s="953"/>
      <c r="H7281" s="953"/>
    </row>
    <row r="7282" spans="1:8" s="943" customFormat="1" x14ac:dyDescent="0.25">
      <c r="A7282" s="952"/>
      <c r="B7282" s="953"/>
      <c r="C7282" s="953"/>
      <c r="D7282" s="953"/>
      <c r="E7282" s="953"/>
      <c r="F7282" s="953"/>
      <c r="G7282" s="953"/>
      <c r="H7282" s="953"/>
    </row>
    <row r="7283" spans="1:8" s="943" customFormat="1" x14ac:dyDescent="0.25">
      <c r="A7283" s="952"/>
      <c r="B7283" s="953"/>
      <c r="C7283" s="953"/>
      <c r="D7283" s="953"/>
      <c r="E7283" s="953"/>
      <c r="F7283" s="953"/>
      <c r="G7283" s="953"/>
      <c r="H7283" s="953"/>
    </row>
    <row r="7284" spans="1:8" s="943" customFormat="1" x14ac:dyDescent="0.25">
      <c r="A7284" s="952"/>
      <c r="B7284" s="953"/>
      <c r="C7284" s="953"/>
      <c r="D7284" s="953"/>
      <c r="E7284" s="953"/>
      <c r="F7284" s="953"/>
      <c r="G7284" s="953"/>
      <c r="H7284" s="953"/>
    </row>
    <row r="7285" spans="1:8" s="943" customFormat="1" x14ac:dyDescent="0.25">
      <c r="A7285" s="952"/>
      <c r="B7285" s="953"/>
      <c r="C7285" s="953"/>
      <c r="D7285" s="953"/>
      <c r="E7285" s="953"/>
      <c r="F7285" s="953"/>
      <c r="G7285" s="953"/>
      <c r="H7285" s="953"/>
    </row>
    <row r="7286" spans="1:8" s="943" customFormat="1" x14ac:dyDescent="0.25">
      <c r="A7286" s="952"/>
      <c r="B7286" s="953"/>
      <c r="C7286" s="953"/>
      <c r="D7286" s="953"/>
      <c r="E7286" s="953"/>
      <c r="F7286" s="953"/>
      <c r="G7286" s="953"/>
      <c r="H7286" s="953"/>
    </row>
    <row r="7287" spans="1:8" s="943" customFormat="1" x14ac:dyDescent="0.25">
      <c r="A7287" s="952"/>
      <c r="B7287" s="953"/>
      <c r="C7287" s="953"/>
      <c r="D7287" s="953"/>
      <c r="E7287" s="953"/>
      <c r="F7287" s="953"/>
      <c r="G7287" s="953"/>
      <c r="H7287" s="953"/>
    </row>
    <row r="7288" spans="1:8" s="943" customFormat="1" x14ac:dyDescent="0.25">
      <c r="A7288" s="952"/>
      <c r="B7288" s="953"/>
      <c r="C7288" s="953"/>
      <c r="D7288" s="953"/>
      <c r="E7288" s="953"/>
      <c r="F7288" s="953"/>
      <c r="G7288" s="953"/>
      <c r="H7288" s="953"/>
    </row>
    <row r="7289" spans="1:8" s="943" customFormat="1" x14ac:dyDescent="0.25">
      <c r="A7289" s="952"/>
      <c r="B7289" s="953"/>
      <c r="C7289" s="953"/>
      <c r="D7289" s="953"/>
      <c r="E7289" s="953"/>
      <c r="F7289" s="953"/>
      <c r="G7289" s="953"/>
      <c r="H7289" s="953"/>
    </row>
    <row r="7290" spans="1:8" s="943" customFormat="1" x14ac:dyDescent="0.25">
      <c r="A7290" s="952"/>
      <c r="B7290" s="953"/>
      <c r="C7290" s="953"/>
      <c r="D7290" s="953"/>
      <c r="E7290" s="953"/>
      <c r="F7290" s="953"/>
      <c r="G7290" s="953"/>
      <c r="H7290" s="953"/>
    </row>
    <row r="7291" spans="1:8" s="943" customFormat="1" x14ac:dyDescent="0.25">
      <c r="A7291" s="952"/>
      <c r="B7291" s="953"/>
      <c r="C7291" s="953"/>
      <c r="D7291" s="953"/>
      <c r="E7291" s="953"/>
      <c r="F7291" s="953"/>
      <c r="G7291" s="953"/>
      <c r="H7291" s="953"/>
    </row>
    <row r="7292" spans="1:8" s="943" customFormat="1" x14ac:dyDescent="0.25">
      <c r="A7292" s="952"/>
      <c r="B7292" s="953"/>
      <c r="C7292" s="953"/>
      <c r="D7292" s="953"/>
      <c r="E7292" s="953"/>
      <c r="F7292" s="953"/>
      <c r="G7292" s="953"/>
      <c r="H7292" s="953"/>
    </row>
    <row r="7293" spans="1:8" s="943" customFormat="1" x14ac:dyDescent="0.25">
      <c r="A7293" s="952"/>
      <c r="B7293" s="953"/>
      <c r="C7293" s="953"/>
      <c r="D7293" s="953"/>
      <c r="E7293" s="953"/>
      <c r="F7293" s="953"/>
      <c r="G7293" s="953"/>
      <c r="H7293" s="953"/>
    </row>
    <row r="7294" spans="1:8" s="943" customFormat="1" x14ac:dyDescent="0.25">
      <c r="A7294" s="952"/>
      <c r="B7294" s="953"/>
      <c r="C7294" s="953"/>
      <c r="D7294" s="953"/>
      <c r="E7294" s="953"/>
      <c r="F7294" s="953"/>
      <c r="G7294" s="953"/>
      <c r="H7294" s="953"/>
    </row>
    <row r="7295" spans="1:8" s="943" customFormat="1" x14ac:dyDescent="0.25">
      <c r="A7295" s="952"/>
      <c r="B7295" s="953"/>
      <c r="C7295" s="953"/>
      <c r="D7295" s="953"/>
      <c r="E7295" s="953"/>
      <c r="F7295" s="953"/>
      <c r="G7295" s="953"/>
      <c r="H7295" s="953"/>
    </row>
    <row r="7296" spans="1:8" s="943" customFormat="1" x14ac:dyDescent="0.25">
      <c r="A7296" s="952"/>
      <c r="B7296" s="953"/>
      <c r="C7296" s="953"/>
      <c r="D7296" s="953"/>
      <c r="E7296" s="953"/>
      <c r="F7296" s="953"/>
      <c r="G7296" s="953"/>
      <c r="H7296" s="953"/>
    </row>
    <row r="7297" spans="1:8" s="943" customFormat="1" x14ac:dyDescent="0.25">
      <c r="A7297" s="952"/>
      <c r="B7297" s="953"/>
      <c r="C7297" s="953"/>
      <c r="D7297" s="953"/>
      <c r="E7297" s="953"/>
      <c r="F7297" s="953"/>
      <c r="G7297" s="953"/>
      <c r="H7297" s="953"/>
    </row>
    <row r="7298" spans="1:8" s="943" customFormat="1" x14ac:dyDescent="0.25">
      <c r="A7298" s="952"/>
      <c r="B7298" s="953"/>
      <c r="C7298" s="953"/>
      <c r="D7298" s="953"/>
      <c r="E7298" s="953"/>
      <c r="F7298" s="953"/>
      <c r="G7298" s="953"/>
      <c r="H7298" s="953"/>
    </row>
    <row r="7299" spans="1:8" s="943" customFormat="1" x14ac:dyDescent="0.25">
      <c r="A7299" s="952"/>
      <c r="B7299" s="953"/>
      <c r="C7299" s="953"/>
      <c r="D7299" s="953"/>
      <c r="E7299" s="953"/>
      <c r="F7299" s="953"/>
      <c r="G7299" s="953"/>
      <c r="H7299" s="953"/>
    </row>
    <row r="7300" spans="1:8" s="943" customFormat="1" x14ac:dyDescent="0.25">
      <c r="A7300" s="952"/>
      <c r="B7300" s="953"/>
      <c r="C7300" s="953"/>
      <c r="D7300" s="953"/>
      <c r="E7300" s="953"/>
      <c r="F7300" s="953"/>
      <c r="G7300" s="953"/>
      <c r="H7300" s="953"/>
    </row>
    <row r="7301" spans="1:8" s="943" customFormat="1" x14ac:dyDescent="0.25">
      <c r="A7301" s="952"/>
      <c r="B7301" s="953"/>
      <c r="C7301" s="953"/>
      <c r="D7301" s="953"/>
      <c r="E7301" s="953"/>
      <c r="F7301" s="953"/>
      <c r="G7301" s="953"/>
      <c r="H7301" s="953"/>
    </row>
    <row r="7302" spans="1:8" s="943" customFormat="1" x14ac:dyDescent="0.25">
      <c r="A7302" s="952"/>
      <c r="B7302" s="953"/>
      <c r="C7302" s="953"/>
      <c r="D7302" s="953"/>
      <c r="E7302" s="953"/>
      <c r="F7302" s="953"/>
      <c r="G7302" s="953"/>
      <c r="H7302" s="953"/>
    </row>
    <row r="7303" spans="1:8" s="943" customFormat="1" x14ac:dyDescent="0.25">
      <c r="A7303" s="952"/>
      <c r="B7303" s="953"/>
      <c r="C7303" s="953"/>
      <c r="D7303" s="953"/>
      <c r="E7303" s="953"/>
      <c r="F7303" s="953"/>
      <c r="G7303" s="953"/>
      <c r="H7303" s="953"/>
    </row>
    <row r="7304" spans="1:8" s="943" customFormat="1" x14ac:dyDescent="0.25">
      <c r="A7304" s="952"/>
      <c r="B7304" s="953"/>
      <c r="C7304" s="953"/>
      <c r="D7304" s="953"/>
      <c r="E7304" s="953"/>
      <c r="F7304" s="953"/>
      <c r="G7304" s="953"/>
      <c r="H7304" s="953"/>
    </row>
    <row r="7305" spans="1:8" s="943" customFormat="1" x14ac:dyDescent="0.25">
      <c r="A7305" s="952"/>
      <c r="B7305" s="953"/>
      <c r="C7305" s="953"/>
      <c r="D7305" s="953"/>
      <c r="E7305" s="953"/>
      <c r="F7305" s="953"/>
      <c r="G7305" s="953"/>
      <c r="H7305" s="953"/>
    </row>
    <row r="7306" spans="1:8" s="943" customFormat="1" x14ac:dyDescent="0.25">
      <c r="A7306" s="952"/>
      <c r="B7306" s="953"/>
      <c r="C7306" s="953"/>
      <c r="D7306" s="953"/>
      <c r="E7306" s="953"/>
      <c r="F7306" s="953"/>
      <c r="G7306" s="953"/>
      <c r="H7306" s="953"/>
    </row>
    <row r="7307" spans="1:8" s="943" customFormat="1" x14ac:dyDescent="0.25">
      <c r="A7307" s="952"/>
      <c r="B7307" s="953"/>
      <c r="C7307" s="953"/>
      <c r="D7307" s="953"/>
      <c r="E7307" s="953"/>
      <c r="F7307" s="953"/>
      <c r="G7307" s="953"/>
      <c r="H7307" s="953"/>
    </row>
    <row r="7308" spans="1:8" s="943" customFormat="1" x14ac:dyDescent="0.25">
      <c r="A7308" s="952"/>
      <c r="B7308" s="953"/>
      <c r="C7308" s="953"/>
      <c r="D7308" s="953"/>
      <c r="E7308" s="953"/>
      <c r="F7308" s="953"/>
      <c r="G7308" s="953"/>
      <c r="H7308" s="953"/>
    </row>
    <row r="7309" spans="1:8" s="943" customFormat="1" x14ac:dyDescent="0.25">
      <c r="A7309" s="952"/>
      <c r="B7309" s="953"/>
      <c r="C7309" s="953"/>
      <c r="D7309" s="953"/>
      <c r="E7309" s="953"/>
      <c r="F7309" s="953"/>
      <c r="G7309" s="953"/>
      <c r="H7309" s="953"/>
    </row>
    <row r="7310" spans="1:8" s="943" customFormat="1" x14ac:dyDescent="0.25">
      <c r="A7310" s="952"/>
      <c r="B7310" s="953"/>
      <c r="C7310" s="953"/>
      <c r="D7310" s="953"/>
      <c r="E7310" s="953"/>
      <c r="F7310" s="953"/>
      <c r="G7310" s="953"/>
      <c r="H7310" s="953"/>
    </row>
    <row r="7311" spans="1:8" s="943" customFormat="1" x14ac:dyDescent="0.25">
      <c r="A7311" s="952"/>
      <c r="B7311" s="953"/>
      <c r="C7311" s="953"/>
      <c r="D7311" s="953"/>
      <c r="E7311" s="953"/>
      <c r="F7311" s="953"/>
      <c r="G7311" s="953"/>
      <c r="H7311" s="953"/>
    </row>
    <row r="7312" spans="1:8" s="943" customFormat="1" x14ac:dyDescent="0.25">
      <c r="A7312" s="952"/>
      <c r="B7312" s="953"/>
      <c r="C7312" s="953"/>
      <c r="D7312" s="953"/>
      <c r="E7312" s="953"/>
      <c r="F7312" s="953"/>
      <c r="G7312" s="953"/>
      <c r="H7312" s="953"/>
    </row>
    <row r="7313" spans="1:8" s="943" customFormat="1" x14ac:dyDescent="0.25">
      <c r="A7313" s="952"/>
      <c r="B7313" s="953"/>
      <c r="C7313" s="953"/>
      <c r="D7313" s="953"/>
      <c r="E7313" s="953"/>
      <c r="F7313" s="953"/>
      <c r="G7313" s="953"/>
      <c r="H7313" s="953"/>
    </row>
    <row r="7314" spans="1:8" s="943" customFormat="1" x14ac:dyDescent="0.25">
      <c r="A7314" s="952"/>
      <c r="B7314" s="953"/>
      <c r="C7314" s="953"/>
      <c r="D7314" s="953"/>
      <c r="E7314" s="953"/>
      <c r="F7314" s="953"/>
      <c r="G7314" s="953"/>
      <c r="H7314" s="953"/>
    </row>
    <row r="7315" spans="1:8" s="943" customFormat="1" x14ac:dyDescent="0.25">
      <c r="A7315" s="952"/>
      <c r="B7315" s="953"/>
      <c r="C7315" s="953"/>
      <c r="D7315" s="953"/>
      <c r="E7315" s="953"/>
      <c r="F7315" s="953"/>
      <c r="G7315" s="953"/>
      <c r="H7315" s="953"/>
    </row>
    <row r="7316" spans="1:8" s="943" customFormat="1" x14ac:dyDescent="0.25">
      <c r="A7316" s="952"/>
      <c r="B7316" s="953"/>
      <c r="C7316" s="953"/>
      <c r="D7316" s="953"/>
      <c r="E7316" s="953"/>
      <c r="F7316" s="953"/>
      <c r="G7316" s="953"/>
      <c r="H7316" s="953"/>
    </row>
    <row r="7317" spans="1:8" s="943" customFormat="1" x14ac:dyDescent="0.25">
      <c r="A7317" s="952"/>
      <c r="B7317" s="953"/>
      <c r="C7317" s="953"/>
      <c r="D7317" s="953"/>
      <c r="E7317" s="953"/>
      <c r="F7317" s="953"/>
      <c r="G7317" s="953"/>
      <c r="H7317" s="953"/>
    </row>
    <row r="7318" spans="1:8" s="943" customFormat="1" x14ac:dyDescent="0.25">
      <c r="A7318" s="952"/>
      <c r="B7318" s="953"/>
      <c r="C7318" s="953"/>
      <c r="D7318" s="953"/>
      <c r="E7318" s="953"/>
      <c r="F7318" s="953"/>
      <c r="G7318" s="953"/>
      <c r="H7318" s="953"/>
    </row>
    <row r="7319" spans="1:8" s="943" customFormat="1" x14ac:dyDescent="0.25">
      <c r="A7319" s="952"/>
      <c r="B7319" s="953"/>
      <c r="C7319" s="953"/>
      <c r="D7319" s="953"/>
      <c r="E7319" s="953"/>
      <c r="F7319" s="953"/>
      <c r="G7319" s="953"/>
      <c r="H7319" s="953"/>
    </row>
    <row r="7320" spans="1:8" s="943" customFormat="1" x14ac:dyDescent="0.25">
      <c r="A7320" s="952"/>
      <c r="B7320" s="953"/>
      <c r="C7320" s="953"/>
      <c r="D7320" s="953"/>
      <c r="E7320" s="953"/>
      <c r="F7320" s="953"/>
      <c r="G7320" s="953"/>
      <c r="H7320" s="953"/>
    </row>
    <row r="7321" spans="1:8" s="943" customFormat="1" x14ac:dyDescent="0.25">
      <c r="A7321" s="952"/>
      <c r="B7321" s="953"/>
      <c r="C7321" s="953"/>
      <c r="D7321" s="953"/>
      <c r="E7321" s="953"/>
      <c r="F7321" s="953"/>
      <c r="G7321" s="953"/>
      <c r="H7321" s="953"/>
    </row>
    <row r="7322" spans="1:8" s="943" customFormat="1" x14ac:dyDescent="0.25">
      <c r="A7322" s="952"/>
      <c r="B7322" s="953"/>
      <c r="C7322" s="953"/>
      <c r="D7322" s="953"/>
      <c r="E7322" s="953"/>
      <c r="F7322" s="953"/>
      <c r="G7322" s="953"/>
      <c r="H7322" s="953"/>
    </row>
    <row r="7323" spans="1:8" s="943" customFormat="1" x14ac:dyDescent="0.25">
      <c r="A7323" s="952"/>
      <c r="B7323" s="953"/>
      <c r="C7323" s="953"/>
      <c r="D7323" s="953"/>
      <c r="E7323" s="953"/>
      <c r="F7323" s="953"/>
      <c r="G7323" s="953"/>
      <c r="H7323" s="953"/>
    </row>
    <row r="7324" spans="1:8" s="943" customFormat="1" x14ac:dyDescent="0.25">
      <c r="A7324" s="952"/>
      <c r="B7324" s="953"/>
      <c r="C7324" s="953"/>
      <c r="D7324" s="953"/>
      <c r="E7324" s="953"/>
      <c r="F7324" s="953"/>
      <c r="G7324" s="953"/>
      <c r="H7324" s="953"/>
    </row>
    <row r="7325" spans="1:8" s="943" customFormat="1" x14ac:dyDescent="0.25">
      <c r="A7325" s="952"/>
      <c r="B7325" s="953"/>
      <c r="C7325" s="953"/>
      <c r="D7325" s="953"/>
      <c r="E7325" s="953"/>
      <c r="F7325" s="953"/>
      <c r="G7325" s="953"/>
      <c r="H7325" s="953"/>
    </row>
    <row r="7326" spans="1:8" s="943" customFormat="1" x14ac:dyDescent="0.25">
      <c r="A7326" s="952"/>
      <c r="B7326" s="953"/>
      <c r="C7326" s="953"/>
      <c r="D7326" s="953"/>
      <c r="E7326" s="953"/>
      <c r="F7326" s="953"/>
      <c r="G7326" s="953"/>
      <c r="H7326" s="953"/>
    </row>
    <row r="7327" spans="1:8" s="943" customFormat="1" x14ac:dyDescent="0.25">
      <c r="A7327" s="952"/>
      <c r="B7327" s="953"/>
      <c r="C7327" s="953"/>
      <c r="D7327" s="953"/>
      <c r="E7327" s="953"/>
      <c r="F7327" s="953"/>
      <c r="G7327" s="953"/>
      <c r="H7327" s="953"/>
    </row>
    <row r="7328" spans="1:8" s="943" customFormat="1" x14ac:dyDescent="0.25">
      <c r="A7328" s="952"/>
      <c r="B7328" s="953"/>
      <c r="C7328" s="953"/>
      <c r="D7328" s="953"/>
      <c r="E7328" s="953"/>
      <c r="F7328" s="953"/>
      <c r="G7328" s="953"/>
      <c r="H7328" s="953"/>
    </row>
    <row r="7329" spans="1:8" s="943" customFormat="1" x14ac:dyDescent="0.25">
      <c r="A7329" s="952"/>
      <c r="B7329" s="953"/>
      <c r="C7329" s="953"/>
      <c r="D7329" s="953"/>
      <c r="E7329" s="953"/>
      <c r="F7329" s="953"/>
      <c r="G7329" s="953"/>
      <c r="H7329" s="953"/>
    </row>
    <row r="7330" spans="1:8" s="943" customFormat="1" x14ac:dyDescent="0.25">
      <c r="A7330" s="952"/>
      <c r="B7330" s="953"/>
      <c r="C7330" s="953"/>
      <c r="D7330" s="953"/>
      <c r="E7330" s="953"/>
      <c r="F7330" s="953"/>
      <c r="G7330" s="953"/>
      <c r="H7330" s="953"/>
    </row>
    <row r="7331" spans="1:8" s="943" customFormat="1" x14ac:dyDescent="0.25">
      <c r="A7331" s="952"/>
      <c r="B7331" s="953"/>
      <c r="C7331" s="953"/>
      <c r="D7331" s="953"/>
      <c r="E7331" s="953"/>
      <c r="F7331" s="953"/>
      <c r="G7331" s="953"/>
      <c r="H7331" s="953"/>
    </row>
    <row r="7332" spans="1:8" s="943" customFormat="1" x14ac:dyDescent="0.25">
      <c r="A7332" s="952"/>
      <c r="B7332" s="953"/>
      <c r="C7332" s="953"/>
      <c r="D7332" s="953"/>
      <c r="E7332" s="953"/>
      <c r="F7332" s="953"/>
      <c r="G7332" s="953"/>
      <c r="H7332" s="953"/>
    </row>
    <row r="7333" spans="1:8" s="943" customFormat="1" x14ac:dyDescent="0.25">
      <c r="A7333" s="952"/>
      <c r="B7333" s="953"/>
      <c r="C7333" s="953"/>
      <c r="D7333" s="953"/>
      <c r="E7333" s="953"/>
      <c r="F7333" s="953"/>
      <c r="G7333" s="953"/>
      <c r="H7333" s="953"/>
    </row>
    <row r="7334" spans="1:8" s="943" customFormat="1" x14ac:dyDescent="0.25">
      <c r="A7334" s="952"/>
      <c r="B7334" s="953"/>
      <c r="C7334" s="953"/>
      <c r="D7334" s="953"/>
      <c r="E7334" s="953"/>
      <c r="F7334" s="953"/>
      <c r="G7334" s="953"/>
      <c r="H7334" s="953"/>
    </row>
    <row r="7335" spans="1:8" s="943" customFormat="1" x14ac:dyDescent="0.25">
      <c r="A7335" s="952"/>
      <c r="B7335" s="953"/>
      <c r="C7335" s="953"/>
      <c r="D7335" s="953"/>
      <c r="E7335" s="953"/>
      <c r="F7335" s="953"/>
      <c r="G7335" s="953"/>
      <c r="H7335" s="953"/>
    </row>
    <row r="7336" spans="1:8" s="943" customFormat="1" x14ac:dyDescent="0.25">
      <c r="A7336" s="952"/>
      <c r="B7336" s="953"/>
      <c r="C7336" s="953"/>
      <c r="D7336" s="953"/>
      <c r="E7336" s="953"/>
      <c r="F7336" s="953"/>
      <c r="G7336" s="953"/>
      <c r="H7336" s="953"/>
    </row>
    <row r="7337" spans="1:8" s="943" customFormat="1" x14ac:dyDescent="0.25">
      <c r="A7337" s="952"/>
      <c r="B7337" s="953"/>
      <c r="C7337" s="953"/>
      <c r="D7337" s="953"/>
      <c r="E7337" s="953"/>
      <c r="F7337" s="953"/>
      <c r="G7337" s="953"/>
      <c r="H7337" s="953"/>
    </row>
    <row r="7338" spans="1:8" s="943" customFormat="1" x14ac:dyDescent="0.25">
      <c r="A7338" s="952"/>
      <c r="B7338" s="953"/>
      <c r="C7338" s="953"/>
      <c r="D7338" s="953"/>
      <c r="E7338" s="953"/>
      <c r="F7338" s="953"/>
      <c r="G7338" s="953"/>
      <c r="H7338" s="953"/>
    </row>
    <row r="7339" spans="1:8" s="943" customFormat="1" x14ac:dyDescent="0.25">
      <c r="A7339" s="952"/>
      <c r="B7339" s="953"/>
      <c r="C7339" s="953"/>
      <c r="D7339" s="953"/>
      <c r="E7339" s="953"/>
      <c r="F7339" s="953"/>
      <c r="G7339" s="953"/>
      <c r="H7339" s="953"/>
    </row>
    <row r="7340" spans="1:8" s="943" customFormat="1" x14ac:dyDescent="0.25">
      <c r="A7340" s="952"/>
      <c r="B7340" s="953"/>
      <c r="C7340" s="953"/>
      <c r="D7340" s="953"/>
      <c r="E7340" s="953"/>
      <c r="F7340" s="953"/>
      <c r="G7340" s="953"/>
      <c r="H7340" s="953"/>
    </row>
    <row r="7341" spans="1:8" s="943" customFormat="1" x14ac:dyDescent="0.25">
      <c r="A7341" s="952"/>
      <c r="B7341" s="953"/>
      <c r="C7341" s="953"/>
      <c r="D7341" s="953"/>
      <c r="E7341" s="953"/>
      <c r="F7341" s="953"/>
      <c r="G7341" s="953"/>
      <c r="H7341" s="953"/>
    </row>
    <row r="7342" spans="1:8" s="943" customFormat="1" x14ac:dyDescent="0.25">
      <c r="A7342" s="952"/>
      <c r="B7342" s="953"/>
      <c r="C7342" s="953"/>
      <c r="D7342" s="953"/>
      <c r="E7342" s="953"/>
      <c r="F7342" s="953"/>
      <c r="G7342" s="953"/>
      <c r="H7342" s="953"/>
    </row>
    <row r="7343" spans="1:8" s="943" customFormat="1" x14ac:dyDescent="0.25">
      <c r="A7343" s="952"/>
      <c r="B7343" s="953"/>
      <c r="C7343" s="953"/>
      <c r="D7343" s="953"/>
      <c r="E7343" s="953"/>
      <c r="F7343" s="953"/>
      <c r="G7343" s="953"/>
      <c r="H7343" s="953"/>
    </row>
    <row r="7344" spans="1:8" s="943" customFormat="1" x14ac:dyDescent="0.25">
      <c r="A7344" s="952"/>
      <c r="B7344" s="953"/>
      <c r="C7344" s="953"/>
      <c r="D7344" s="953"/>
      <c r="E7344" s="953"/>
      <c r="F7344" s="953"/>
      <c r="G7344" s="953"/>
      <c r="H7344" s="953"/>
    </row>
    <row r="7345" spans="1:8" s="943" customFormat="1" x14ac:dyDescent="0.25">
      <c r="A7345" s="952"/>
      <c r="B7345" s="953"/>
      <c r="C7345" s="953"/>
      <c r="D7345" s="953"/>
      <c r="E7345" s="953"/>
      <c r="F7345" s="953"/>
      <c r="G7345" s="953"/>
      <c r="H7345" s="953"/>
    </row>
    <row r="7346" spans="1:8" s="943" customFormat="1" x14ac:dyDescent="0.25">
      <c r="A7346" s="952"/>
      <c r="B7346" s="953"/>
      <c r="C7346" s="953"/>
      <c r="D7346" s="953"/>
      <c r="E7346" s="953"/>
      <c r="F7346" s="953"/>
      <c r="G7346" s="953"/>
      <c r="H7346" s="953"/>
    </row>
    <row r="7347" spans="1:8" s="943" customFormat="1" x14ac:dyDescent="0.25">
      <c r="A7347" s="952"/>
      <c r="B7347" s="953"/>
      <c r="C7347" s="953"/>
      <c r="D7347" s="953"/>
      <c r="E7347" s="953"/>
      <c r="F7347" s="953"/>
      <c r="G7347" s="953"/>
      <c r="H7347" s="953"/>
    </row>
    <row r="7348" spans="1:8" s="943" customFormat="1" x14ac:dyDescent="0.25">
      <c r="A7348" s="952"/>
      <c r="B7348" s="953"/>
      <c r="C7348" s="953"/>
      <c r="D7348" s="953"/>
      <c r="E7348" s="953"/>
      <c r="F7348" s="953"/>
      <c r="G7348" s="953"/>
      <c r="H7348" s="953"/>
    </row>
    <row r="7349" spans="1:8" s="943" customFormat="1" x14ac:dyDescent="0.25">
      <c r="A7349" s="952"/>
      <c r="B7349" s="953"/>
      <c r="C7349" s="953"/>
      <c r="D7349" s="953"/>
      <c r="E7349" s="953"/>
      <c r="F7349" s="953"/>
      <c r="G7349" s="953"/>
      <c r="H7349" s="953"/>
    </row>
    <row r="7350" spans="1:8" s="943" customFormat="1" x14ac:dyDescent="0.25">
      <c r="A7350" s="952"/>
      <c r="B7350" s="953"/>
      <c r="C7350" s="953"/>
      <c r="D7350" s="953"/>
      <c r="E7350" s="953"/>
      <c r="F7350" s="953"/>
      <c r="G7350" s="953"/>
      <c r="H7350" s="953"/>
    </row>
    <row r="7351" spans="1:8" s="943" customFormat="1" x14ac:dyDescent="0.25">
      <c r="A7351" s="952"/>
      <c r="B7351" s="953"/>
      <c r="C7351" s="953"/>
      <c r="D7351" s="953"/>
      <c r="E7351" s="953"/>
      <c r="F7351" s="953"/>
      <c r="G7351" s="953"/>
      <c r="H7351" s="953"/>
    </row>
    <row r="7352" spans="1:8" s="943" customFormat="1" x14ac:dyDescent="0.25">
      <c r="A7352" s="952"/>
      <c r="B7352" s="953"/>
      <c r="C7352" s="953"/>
      <c r="D7352" s="953"/>
      <c r="E7352" s="953"/>
      <c r="F7352" s="953"/>
      <c r="G7352" s="953"/>
      <c r="H7352" s="953"/>
    </row>
    <row r="7353" spans="1:8" s="943" customFormat="1" x14ac:dyDescent="0.25">
      <c r="A7353" s="952"/>
      <c r="B7353" s="953"/>
      <c r="C7353" s="953"/>
      <c r="D7353" s="953"/>
      <c r="E7353" s="953"/>
      <c r="F7353" s="953"/>
      <c r="G7353" s="953"/>
      <c r="H7353" s="953"/>
    </row>
    <row r="7354" spans="1:8" s="943" customFormat="1" x14ac:dyDescent="0.25">
      <c r="A7354" s="952"/>
      <c r="B7354" s="953"/>
      <c r="C7354" s="953"/>
      <c r="D7354" s="953"/>
      <c r="E7354" s="953"/>
      <c r="F7354" s="953"/>
      <c r="G7354" s="953"/>
      <c r="H7354" s="953"/>
    </row>
    <row r="7355" spans="1:8" s="943" customFormat="1" x14ac:dyDescent="0.25">
      <c r="A7355" s="952"/>
      <c r="B7355" s="953"/>
      <c r="C7355" s="953"/>
      <c r="D7355" s="953"/>
      <c r="E7355" s="953"/>
      <c r="F7355" s="953"/>
      <c r="G7355" s="953"/>
      <c r="H7355" s="953"/>
    </row>
    <row r="7356" spans="1:8" s="943" customFormat="1" x14ac:dyDescent="0.25">
      <c r="A7356" s="952"/>
      <c r="B7356" s="953"/>
      <c r="C7356" s="953"/>
      <c r="D7356" s="953"/>
      <c r="E7356" s="953"/>
      <c r="F7356" s="953"/>
      <c r="G7356" s="953"/>
      <c r="H7356" s="953"/>
    </row>
    <row r="7357" spans="1:8" s="943" customFormat="1" x14ac:dyDescent="0.25">
      <c r="A7357" s="952"/>
      <c r="B7357" s="953"/>
      <c r="C7357" s="953"/>
      <c r="D7357" s="953"/>
      <c r="E7357" s="953"/>
      <c r="F7357" s="953"/>
      <c r="G7357" s="953"/>
      <c r="H7357" s="953"/>
    </row>
    <row r="7358" spans="1:8" s="943" customFormat="1" x14ac:dyDescent="0.25">
      <c r="A7358" s="952"/>
      <c r="B7358" s="953"/>
      <c r="C7358" s="953"/>
      <c r="D7358" s="953"/>
      <c r="E7358" s="953"/>
      <c r="F7358" s="953"/>
      <c r="G7358" s="953"/>
      <c r="H7358" s="953"/>
    </row>
    <row r="7359" spans="1:8" s="943" customFormat="1" x14ac:dyDescent="0.25">
      <c r="A7359" s="952"/>
      <c r="B7359" s="953"/>
      <c r="C7359" s="953"/>
      <c r="D7359" s="953"/>
      <c r="E7359" s="953"/>
      <c r="F7359" s="953"/>
      <c r="G7359" s="953"/>
      <c r="H7359" s="953"/>
    </row>
    <row r="7360" spans="1:8" s="943" customFormat="1" x14ac:dyDescent="0.25">
      <c r="A7360" s="952"/>
      <c r="B7360" s="953"/>
      <c r="C7360" s="953"/>
      <c r="D7360" s="953"/>
      <c r="E7360" s="953"/>
      <c r="F7360" s="953"/>
      <c r="G7360" s="953"/>
      <c r="H7360" s="953"/>
    </row>
    <row r="7361" spans="1:8" s="943" customFormat="1" x14ac:dyDescent="0.25">
      <c r="A7361" s="952"/>
      <c r="B7361" s="953"/>
      <c r="C7361" s="953"/>
      <c r="D7361" s="953"/>
      <c r="E7361" s="953"/>
      <c r="F7361" s="953"/>
      <c r="G7361" s="953"/>
      <c r="H7361" s="953"/>
    </row>
    <row r="7362" spans="1:8" s="943" customFormat="1" x14ac:dyDescent="0.25">
      <c r="A7362" s="952"/>
      <c r="B7362" s="953"/>
      <c r="C7362" s="953"/>
      <c r="D7362" s="953"/>
      <c r="E7362" s="953"/>
      <c r="F7362" s="953"/>
      <c r="G7362" s="953"/>
      <c r="H7362" s="953"/>
    </row>
    <row r="7363" spans="1:8" s="943" customFormat="1" x14ac:dyDescent="0.25">
      <c r="A7363" s="952"/>
      <c r="B7363" s="953"/>
      <c r="C7363" s="953"/>
      <c r="D7363" s="953"/>
      <c r="E7363" s="953"/>
      <c r="F7363" s="953"/>
      <c r="G7363" s="953"/>
      <c r="H7363" s="953"/>
    </row>
    <row r="7364" spans="1:8" s="943" customFormat="1" x14ac:dyDescent="0.25">
      <c r="A7364" s="952"/>
      <c r="B7364" s="953"/>
      <c r="C7364" s="953"/>
      <c r="D7364" s="953"/>
      <c r="E7364" s="953"/>
      <c r="F7364" s="953"/>
      <c r="G7364" s="953"/>
      <c r="H7364" s="953"/>
    </row>
    <row r="7365" spans="1:8" s="943" customFormat="1" x14ac:dyDescent="0.25">
      <c r="A7365" s="952"/>
      <c r="B7365" s="953"/>
      <c r="C7365" s="953"/>
      <c r="D7365" s="953"/>
      <c r="E7365" s="953"/>
      <c r="F7365" s="953"/>
      <c r="G7365" s="953"/>
      <c r="H7365" s="953"/>
    </row>
    <row r="7366" spans="1:8" s="943" customFormat="1" x14ac:dyDescent="0.25">
      <c r="A7366" s="952"/>
      <c r="B7366" s="953"/>
      <c r="C7366" s="953"/>
      <c r="D7366" s="953"/>
      <c r="E7366" s="953"/>
      <c r="F7366" s="953"/>
      <c r="G7366" s="953"/>
      <c r="H7366" s="953"/>
    </row>
    <row r="7367" spans="1:8" s="943" customFormat="1" x14ac:dyDescent="0.25">
      <c r="A7367" s="952"/>
      <c r="B7367" s="953"/>
      <c r="C7367" s="953"/>
      <c r="D7367" s="953"/>
      <c r="E7367" s="953"/>
      <c r="F7367" s="953"/>
      <c r="G7367" s="953"/>
      <c r="H7367" s="953"/>
    </row>
    <row r="7368" spans="1:8" s="943" customFormat="1" x14ac:dyDescent="0.25">
      <c r="A7368" s="952"/>
      <c r="B7368" s="953"/>
      <c r="C7368" s="953"/>
      <c r="D7368" s="953"/>
      <c r="E7368" s="953"/>
      <c r="F7368" s="953"/>
      <c r="G7368" s="953"/>
      <c r="H7368" s="953"/>
    </row>
    <row r="7369" spans="1:8" s="943" customFormat="1" x14ac:dyDescent="0.25">
      <c r="A7369" s="952"/>
      <c r="B7369" s="953"/>
      <c r="C7369" s="953"/>
      <c r="D7369" s="953"/>
      <c r="E7369" s="953"/>
      <c r="F7369" s="953"/>
      <c r="G7369" s="953"/>
      <c r="H7369" s="953"/>
    </row>
    <row r="7370" spans="1:8" s="943" customFormat="1" x14ac:dyDescent="0.25">
      <c r="A7370" s="952"/>
      <c r="B7370" s="953"/>
      <c r="C7370" s="953"/>
      <c r="D7370" s="953"/>
      <c r="E7370" s="953"/>
      <c r="F7370" s="953"/>
      <c r="G7370" s="953"/>
      <c r="H7370" s="953"/>
    </row>
    <row r="7371" spans="1:8" s="943" customFormat="1" x14ac:dyDescent="0.25">
      <c r="A7371" s="952"/>
      <c r="B7371" s="953"/>
      <c r="C7371" s="953"/>
      <c r="D7371" s="953"/>
      <c r="E7371" s="953"/>
      <c r="F7371" s="953"/>
      <c r="G7371" s="953"/>
      <c r="H7371" s="953"/>
    </row>
    <row r="7372" spans="1:8" s="943" customFormat="1" x14ac:dyDescent="0.25">
      <c r="A7372" s="952"/>
      <c r="B7372" s="953"/>
      <c r="C7372" s="953"/>
      <c r="D7372" s="953"/>
      <c r="E7372" s="953"/>
      <c r="F7372" s="953"/>
      <c r="G7372" s="953"/>
      <c r="H7372" s="953"/>
    </row>
    <row r="7373" spans="1:8" s="943" customFormat="1" x14ac:dyDescent="0.25">
      <c r="A7373" s="952"/>
      <c r="B7373" s="953"/>
      <c r="C7373" s="953"/>
      <c r="D7373" s="953"/>
      <c r="E7373" s="953"/>
      <c r="F7373" s="953"/>
      <c r="G7373" s="953"/>
      <c r="H7373" s="953"/>
    </row>
    <row r="7374" spans="1:8" s="943" customFormat="1" x14ac:dyDescent="0.25">
      <c r="A7374" s="952"/>
      <c r="B7374" s="953"/>
      <c r="C7374" s="953"/>
      <c r="D7374" s="953"/>
      <c r="E7374" s="953"/>
      <c r="F7374" s="953"/>
      <c r="G7374" s="953"/>
      <c r="H7374" s="953"/>
    </row>
    <row r="7375" spans="1:8" s="943" customFormat="1" x14ac:dyDescent="0.25">
      <c r="A7375" s="952"/>
      <c r="B7375" s="953"/>
      <c r="C7375" s="953"/>
      <c r="D7375" s="953"/>
      <c r="E7375" s="953"/>
      <c r="F7375" s="953"/>
      <c r="G7375" s="953"/>
      <c r="H7375" s="953"/>
    </row>
    <row r="7376" spans="1:8" s="943" customFormat="1" x14ac:dyDescent="0.25">
      <c r="A7376" s="952"/>
      <c r="B7376" s="953"/>
      <c r="C7376" s="953"/>
      <c r="D7376" s="953"/>
      <c r="E7376" s="953"/>
      <c r="F7376" s="953"/>
      <c r="G7376" s="953"/>
      <c r="H7376" s="953"/>
    </row>
    <row r="7377" spans="1:8" s="943" customFormat="1" x14ac:dyDescent="0.25">
      <c r="A7377" s="952"/>
      <c r="B7377" s="953"/>
      <c r="C7377" s="953"/>
      <c r="D7377" s="953"/>
      <c r="E7377" s="953"/>
      <c r="F7377" s="953"/>
      <c r="G7377" s="953"/>
      <c r="H7377" s="953"/>
    </row>
    <row r="7378" spans="1:8" s="943" customFormat="1" x14ac:dyDescent="0.25">
      <c r="A7378" s="952"/>
      <c r="B7378" s="953"/>
      <c r="C7378" s="953"/>
      <c r="D7378" s="953"/>
      <c r="E7378" s="953"/>
      <c r="F7378" s="953"/>
      <c r="G7378" s="953"/>
      <c r="H7378" s="953"/>
    </row>
    <row r="7379" spans="1:8" s="943" customFormat="1" x14ac:dyDescent="0.25">
      <c r="A7379" s="952"/>
      <c r="B7379" s="953"/>
      <c r="C7379" s="953"/>
      <c r="D7379" s="953"/>
      <c r="E7379" s="953"/>
      <c r="F7379" s="953"/>
      <c r="G7379" s="953"/>
      <c r="H7379" s="953"/>
    </row>
    <row r="7380" spans="1:8" s="943" customFormat="1" x14ac:dyDescent="0.25">
      <c r="A7380" s="952"/>
      <c r="B7380" s="953"/>
      <c r="C7380" s="953"/>
      <c r="D7380" s="953"/>
      <c r="E7380" s="953"/>
      <c r="F7380" s="953"/>
      <c r="G7380" s="953"/>
      <c r="H7380" s="953"/>
    </row>
    <row r="7381" spans="1:8" s="943" customFormat="1" x14ac:dyDescent="0.25">
      <c r="A7381" s="952"/>
      <c r="B7381" s="953"/>
      <c r="C7381" s="953"/>
      <c r="D7381" s="953"/>
      <c r="E7381" s="953"/>
      <c r="F7381" s="953"/>
      <c r="G7381" s="953"/>
      <c r="H7381" s="953"/>
    </row>
    <row r="7382" spans="1:8" s="943" customFormat="1" x14ac:dyDescent="0.25">
      <c r="A7382" s="952"/>
      <c r="B7382" s="953"/>
      <c r="C7382" s="953"/>
      <c r="D7382" s="953"/>
      <c r="E7382" s="953"/>
      <c r="F7382" s="953"/>
      <c r="G7382" s="953"/>
      <c r="H7382" s="953"/>
    </row>
    <row r="7383" spans="1:8" s="943" customFormat="1" x14ac:dyDescent="0.25">
      <c r="A7383" s="952"/>
      <c r="B7383" s="953"/>
      <c r="C7383" s="953"/>
      <c r="D7383" s="953"/>
      <c r="E7383" s="953"/>
      <c r="F7383" s="953"/>
      <c r="G7383" s="953"/>
      <c r="H7383" s="953"/>
    </row>
    <row r="7384" spans="1:8" s="943" customFormat="1" x14ac:dyDescent="0.25">
      <c r="A7384" s="952"/>
      <c r="B7384" s="953"/>
      <c r="C7384" s="953"/>
      <c r="D7384" s="953"/>
      <c r="E7384" s="953"/>
      <c r="F7384" s="953"/>
      <c r="G7384" s="953"/>
      <c r="H7384" s="953"/>
    </row>
    <row r="7385" spans="1:8" s="943" customFormat="1" x14ac:dyDescent="0.25">
      <c r="A7385" s="952"/>
      <c r="B7385" s="953"/>
      <c r="C7385" s="953"/>
      <c r="D7385" s="953"/>
      <c r="E7385" s="953"/>
      <c r="F7385" s="953"/>
      <c r="G7385" s="953"/>
      <c r="H7385" s="953"/>
    </row>
    <row r="7386" spans="1:8" s="943" customFormat="1" x14ac:dyDescent="0.25">
      <c r="A7386" s="952"/>
      <c r="B7386" s="953"/>
      <c r="C7386" s="953"/>
      <c r="D7386" s="953"/>
      <c r="E7386" s="953"/>
      <c r="F7386" s="953"/>
      <c r="G7386" s="953"/>
      <c r="H7386" s="953"/>
    </row>
    <row r="7387" spans="1:8" s="943" customFormat="1" x14ac:dyDescent="0.25">
      <c r="A7387" s="952"/>
      <c r="B7387" s="953"/>
      <c r="C7387" s="953"/>
      <c r="D7387" s="953"/>
      <c r="E7387" s="953"/>
      <c r="F7387" s="953"/>
      <c r="G7387" s="953"/>
      <c r="H7387" s="953"/>
    </row>
    <row r="7388" spans="1:8" s="943" customFormat="1" x14ac:dyDescent="0.25">
      <c r="A7388" s="952"/>
      <c r="B7388" s="953"/>
      <c r="C7388" s="953"/>
      <c r="D7388" s="953"/>
      <c r="E7388" s="953"/>
      <c r="F7388" s="953"/>
      <c r="G7388" s="953"/>
      <c r="H7388" s="953"/>
    </row>
    <row r="7389" spans="1:8" s="943" customFormat="1" x14ac:dyDescent="0.25">
      <c r="A7389" s="952"/>
      <c r="B7389" s="953"/>
      <c r="C7389" s="953"/>
      <c r="D7389" s="953"/>
      <c r="E7389" s="953"/>
      <c r="F7389" s="953"/>
      <c r="G7389" s="953"/>
      <c r="H7389" s="953"/>
    </row>
    <row r="7390" spans="1:8" s="943" customFormat="1" x14ac:dyDescent="0.25">
      <c r="A7390" s="952"/>
      <c r="B7390" s="953"/>
      <c r="C7390" s="953"/>
      <c r="D7390" s="953"/>
      <c r="E7390" s="953"/>
      <c r="F7390" s="953"/>
      <c r="G7390" s="953"/>
      <c r="H7390" s="953"/>
    </row>
    <row r="7391" spans="1:8" s="943" customFormat="1" x14ac:dyDescent="0.25">
      <c r="A7391" s="952"/>
      <c r="B7391" s="953"/>
      <c r="C7391" s="953"/>
      <c r="D7391" s="953"/>
      <c r="E7391" s="953"/>
      <c r="F7391" s="953"/>
      <c r="G7391" s="953"/>
      <c r="H7391" s="953"/>
    </row>
    <row r="7392" spans="1:8" s="943" customFormat="1" x14ac:dyDescent="0.25">
      <c r="A7392" s="952"/>
      <c r="B7392" s="953"/>
      <c r="C7392" s="953"/>
      <c r="D7392" s="953"/>
      <c r="E7392" s="953"/>
      <c r="F7392" s="953"/>
      <c r="G7392" s="953"/>
      <c r="H7392" s="953"/>
    </row>
    <row r="7393" spans="1:8" s="943" customFormat="1" x14ac:dyDescent="0.25">
      <c r="A7393" s="952"/>
      <c r="B7393" s="953"/>
      <c r="C7393" s="953"/>
      <c r="D7393" s="953"/>
      <c r="E7393" s="953"/>
      <c r="F7393" s="953"/>
      <c r="G7393" s="953"/>
      <c r="H7393" s="953"/>
    </row>
    <row r="7394" spans="1:8" s="943" customFormat="1" x14ac:dyDescent="0.25">
      <c r="A7394" s="952"/>
      <c r="B7394" s="953"/>
      <c r="C7394" s="953"/>
      <c r="D7394" s="953"/>
      <c r="E7394" s="953"/>
      <c r="F7394" s="953"/>
      <c r="G7394" s="953"/>
      <c r="H7394" s="953"/>
    </row>
    <row r="7395" spans="1:8" s="943" customFormat="1" x14ac:dyDescent="0.25">
      <c r="A7395" s="952"/>
      <c r="B7395" s="953"/>
      <c r="C7395" s="953"/>
      <c r="D7395" s="953"/>
      <c r="E7395" s="953"/>
      <c r="F7395" s="953"/>
      <c r="G7395" s="953"/>
      <c r="H7395" s="953"/>
    </row>
    <row r="7396" spans="1:8" s="943" customFormat="1" x14ac:dyDescent="0.25">
      <c r="A7396" s="952"/>
      <c r="B7396" s="953"/>
      <c r="C7396" s="953"/>
      <c r="D7396" s="953"/>
      <c r="E7396" s="953"/>
      <c r="F7396" s="953"/>
      <c r="G7396" s="953"/>
      <c r="H7396" s="953"/>
    </row>
    <row r="7397" spans="1:8" s="943" customFormat="1" x14ac:dyDescent="0.25">
      <c r="A7397" s="952"/>
      <c r="B7397" s="953"/>
      <c r="C7397" s="953"/>
      <c r="D7397" s="953"/>
      <c r="E7397" s="953"/>
      <c r="F7397" s="953"/>
      <c r="G7397" s="953"/>
      <c r="H7397" s="953"/>
    </row>
    <row r="7398" spans="1:8" s="943" customFormat="1" x14ac:dyDescent="0.25">
      <c r="A7398" s="952"/>
      <c r="B7398" s="953"/>
      <c r="C7398" s="953"/>
      <c r="D7398" s="953"/>
      <c r="E7398" s="953"/>
      <c r="F7398" s="953"/>
      <c r="G7398" s="953"/>
      <c r="H7398" s="953"/>
    </row>
    <row r="7399" spans="1:8" s="943" customFormat="1" x14ac:dyDescent="0.25">
      <c r="A7399" s="952"/>
      <c r="B7399" s="953"/>
      <c r="C7399" s="953"/>
      <c r="D7399" s="953"/>
      <c r="E7399" s="953"/>
      <c r="F7399" s="953"/>
      <c r="G7399" s="953"/>
      <c r="H7399" s="953"/>
    </row>
    <row r="7400" spans="1:8" s="943" customFormat="1" x14ac:dyDescent="0.25">
      <c r="A7400" s="952"/>
      <c r="B7400" s="953"/>
      <c r="C7400" s="953"/>
      <c r="D7400" s="953"/>
      <c r="E7400" s="953"/>
      <c r="F7400" s="953"/>
      <c r="G7400" s="953"/>
      <c r="H7400" s="953"/>
    </row>
    <row r="7401" spans="1:8" s="943" customFormat="1" x14ac:dyDescent="0.25">
      <c r="A7401" s="952"/>
      <c r="B7401" s="953"/>
      <c r="C7401" s="953"/>
      <c r="D7401" s="953"/>
      <c r="E7401" s="953"/>
      <c r="F7401" s="953"/>
      <c r="G7401" s="953"/>
      <c r="H7401" s="953"/>
    </row>
    <row r="7402" spans="1:8" s="943" customFormat="1" x14ac:dyDescent="0.25">
      <c r="A7402" s="952"/>
      <c r="B7402" s="953"/>
      <c r="C7402" s="953"/>
      <c r="D7402" s="953"/>
      <c r="E7402" s="953"/>
      <c r="F7402" s="953"/>
      <c r="G7402" s="953"/>
      <c r="H7402" s="953"/>
    </row>
    <row r="7403" spans="1:8" s="943" customFormat="1" x14ac:dyDescent="0.25">
      <c r="A7403" s="952"/>
      <c r="B7403" s="953"/>
      <c r="C7403" s="953"/>
      <c r="D7403" s="953"/>
      <c r="E7403" s="953"/>
      <c r="F7403" s="953"/>
      <c r="G7403" s="953"/>
      <c r="H7403" s="953"/>
    </row>
    <row r="7404" spans="1:8" s="943" customFormat="1" x14ac:dyDescent="0.25">
      <c r="A7404" s="952"/>
      <c r="B7404" s="953"/>
      <c r="C7404" s="953"/>
      <c r="D7404" s="953"/>
      <c r="E7404" s="953"/>
      <c r="F7404" s="953"/>
      <c r="G7404" s="953"/>
      <c r="H7404" s="953"/>
    </row>
    <row r="7405" spans="1:8" s="943" customFormat="1" x14ac:dyDescent="0.25">
      <c r="A7405" s="952"/>
      <c r="B7405" s="953"/>
      <c r="C7405" s="953"/>
      <c r="D7405" s="953"/>
      <c r="E7405" s="953"/>
      <c r="F7405" s="953"/>
      <c r="G7405" s="953"/>
      <c r="H7405" s="953"/>
    </row>
    <row r="7406" spans="1:8" s="943" customFormat="1" x14ac:dyDescent="0.25">
      <c r="A7406" s="952"/>
      <c r="B7406" s="953"/>
      <c r="C7406" s="953"/>
      <c r="D7406" s="953"/>
      <c r="E7406" s="953"/>
      <c r="F7406" s="953"/>
      <c r="G7406" s="953"/>
      <c r="H7406" s="953"/>
    </row>
    <row r="7407" spans="1:8" s="943" customFormat="1" x14ac:dyDescent="0.25">
      <c r="A7407" s="952"/>
      <c r="B7407" s="953"/>
      <c r="C7407" s="953"/>
      <c r="D7407" s="953"/>
      <c r="E7407" s="953"/>
      <c r="F7407" s="953"/>
      <c r="G7407" s="953"/>
      <c r="H7407" s="953"/>
    </row>
    <row r="7408" spans="1:8" s="943" customFormat="1" x14ac:dyDescent="0.25">
      <c r="A7408" s="952"/>
      <c r="B7408" s="953"/>
      <c r="C7408" s="953"/>
      <c r="D7408" s="953"/>
      <c r="E7408" s="953"/>
      <c r="F7408" s="953"/>
      <c r="G7408" s="953"/>
      <c r="H7408" s="953"/>
    </row>
    <row r="7409" spans="1:8" s="943" customFormat="1" x14ac:dyDescent="0.25">
      <c r="A7409" s="952"/>
      <c r="B7409" s="953"/>
      <c r="C7409" s="953"/>
      <c r="D7409" s="953"/>
      <c r="E7409" s="953"/>
      <c r="F7409" s="953"/>
      <c r="G7409" s="953"/>
      <c r="H7409" s="953"/>
    </row>
    <row r="7410" spans="1:8" s="943" customFormat="1" x14ac:dyDescent="0.25">
      <c r="A7410" s="952"/>
      <c r="B7410" s="953"/>
      <c r="C7410" s="953"/>
      <c r="D7410" s="953"/>
      <c r="E7410" s="953"/>
      <c r="F7410" s="953"/>
      <c r="G7410" s="953"/>
      <c r="H7410" s="953"/>
    </row>
    <row r="7411" spans="1:8" s="943" customFormat="1" x14ac:dyDescent="0.25">
      <c r="A7411" s="952"/>
      <c r="B7411" s="953"/>
      <c r="C7411" s="953"/>
      <c r="D7411" s="953"/>
      <c r="E7411" s="953"/>
      <c r="F7411" s="953"/>
      <c r="G7411" s="953"/>
      <c r="H7411" s="953"/>
    </row>
    <row r="7412" spans="1:8" s="943" customFormat="1" x14ac:dyDescent="0.25">
      <c r="A7412" s="952"/>
      <c r="B7412" s="953"/>
      <c r="C7412" s="953"/>
      <c r="D7412" s="953"/>
      <c r="E7412" s="953"/>
      <c r="F7412" s="953"/>
      <c r="G7412" s="953"/>
      <c r="H7412" s="953"/>
    </row>
    <row r="7413" spans="1:8" s="943" customFormat="1" x14ac:dyDescent="0.25">
      <c r="A7413" s="952"/>
      <c r="B7413" s="953"/>
      <c r="C7413" s="953"/>
      <c r="D7413" s="953"/>
      <c r="E7413" s="953"/>
      <c r="F7413" s="953"/>
      <c r="G7413" s="953"/>
      <c r="H7413" s="953"/>
    </row>
    <row r="7414" spans="1:8" s="943" customFormat="1" x14ac:dyDescent="0.25">
      <c r="A7414" s="952"/>
      <c r="B7414" s="953"/>
      <c r="C7414" s="953"/>
      <c r="D7414" s="953"/>
      <c r="E7414" s="953"/>
      <c r="F7414" s="953"/>
      <c r="G7414" s="953"/>
      <c r="H7414" s="953"/>
    </row>
    <row r="7415" spans="1:8" s="943" customFormat="1" x14ac:dyDescent="0.25">
      <c r="A7415" s="952"/>
      <c r="B7415" s="953"/>
      <c r="C7415" s="953"/>
      <c r="D7415" s="953"/>
      <c r="E7415" s="953"/>
      <c r="F7415" s="953"/>
      <c r="G7415" s="953"/>
      <c r="H7415" s="953"/>
    </row>
    <row r="7416" spans="1:8" s="943" customFormat="1" x14ac:dyDescent="0.25">
      <c r="A7416" s="952"/>
      <c r="B7416" s="953"/>
      <c r="C7416" s="953"/>
      <c r="D7416" s="953"/>
      <c r="E7416" s="953"/>
      <c r="F7416" s="953"/>
      <c r="G7416" s="953"/>
      <c r="H7416" s="953"/>
    </row>
    <row r="7417" spans="1:8" s="943" customFormat="1" x14ac:dyDescent="0.25">
      <c r="A7417" s="952"/>
      <c r="B7417" s="953"/>
      <c r="C7417" s="953"/>
      <c r="D7417" s="953"/>
      <c r="E7417" s="953"/>
      <c r="F7417" s="953"/>
      <c r="G7417" s="953"/>
      <c r="H7417" s="953"/>
    </row>
    <row r="7418" spans="1:8" s="943" customFormat="1" x14ac:dyDescent="0.25">
      <c r="A7418" s="952"/>
      <c r="B7418" s="953"/>
      <c r="C7418" s="953"/>
      <c r="D7418" s="953"/>
      <c r="E7418" s="953"/>
      <c r="F7418" s="953"/>
      <c r="G7418" s="953"/>
      <c r="H7418" s="953"/>
    </row>
    <row r="7419" spans="1:8" s="943" customFormat="1" x14ac:dyDescent="0.25">
      <c r="A7419" s="952"/>
      <c r="B7419" s="953"/>
      <c r="C7419" s="953"/>
      <c r="D7419" s="953"/>
      <c r="E7419" s="953"/>
      <c r="F7419" s="953"/>
      <c r="G7419" s="953"/>
      <c r="H7419" s="953"/>
    </row>
    <row r="7420" spans="1:8" s="943" customFormat="1" x14ac:dyDescent="0.25">
      <c r="A7420" s="952"/>
      <c r="B7420" s="953"/>
      <c r="C7420" s="953"/>
      <c r="D7420" s="953"/>
      <c r="E7420" s="953"/>
      <c r="F7420" s="953"/>
      <c r="G7420" s="953"/>
      <c r="H7420" s="953"/>
    </row>
    <row r="7421" spans="1:8" s="943" customFormat="1" x14ac:dyDescent="0.25">
      <c r="A7421" s="952"/>
      <c r="B7421" s="953"/>
      <c r="C7421" s="953"/>
      <c r="D7421" s="953"/>
      <c r="E7421" s="953"/>
      <c r="F7421" s="953"/>
      <c r="G7421" s="953"/>
      <c r="H7421" s="953"/>
    </row>
    <row r="7422" spans="1:8" s="943" customFormat="1" x14ac:dyDescent="0.25">
      <c r="A7422" s="952"/>
      <c r="B7422" s="953"/>
      <c r="C7422" s="953"/>
      <c r="D7422" s="953"/>
      <c r="E7422" s="953"/>
      <c r="F7422" s="953"/>
      <c r="G7422" s="953"/>
      <c r="H7422" s="953"/>
    </row>
    <row r="7423" spans="1:8" s="943" customFormat="1" x14ac:dyDescent="0.25">
      <c r="A7423" s="952"/>
      <c r="B7423" s="953"/>
      <c r="C7423" s="953"/>
      <c r="D7423" s="953"/>
      <c r="E7423" s="953"/>
      <c r="F7423" s="953"/>
      <c r="G7423" s="953"/>
      <c r="H7423" s="953"/>
    </row>
    <row r="7424" spans="1:8" s="943" customFormat="1" x14ac:dyDescent="0.25">
      <c r="A7424" s="952"/>
      <c r="B7424" s="953"/>
      <c r="C7424" s="953"/>
      <c r="D7424" s="953"/>
      <c r="E7424" s="953"/>
      <c r="F7424" s="953"/>
      <c r="G7424" s="953"/>
      <c r="H7424" s="953"/>
    </row>
    <row r="7425" spans="1:8" s="943" customFormat="1" x14ac:dyDescent="0.25">
      <c r="A7425" s="952"/>
      <c r="B7425" s="953"/>
      <c r="C7425" s="953"/>
      <c r="D7425" s="953"/>
      <c r="E7425" s="953"/>
      <c r="F7425" s="953"/>
      <c r="G7425" s="953"/>
      <c r="H7425" s="953"/>
    </row>
    <row r="7426" spans="1:8" s="943" customFormat="1" x14ac:dyDescent="0.25">
      <c r="A7426" s="952"/>
      <c r="B7426" s="953"/>
      <c r="C7426" s="953"/>
      <c r="D7426" s="953"/>
      <c r="E7426" s="953"/>
      <c r="F7426" s="953"/>
      <c r="G7426" s="953"/>
      <c r="H7426" s="953"/>
    </row>
    <row r="7427" spans="1:8" s="943" customFormat="1" x14ac:dyDescent="0.25">
      <c r="A7427" s="952"/>
      <c r="B7427" s="953"/>
      <c r="C7427" s="953"/>
      <c r="D7427" s="953"/>
      <c r="E7427" s="953"/>
      <c r="F7427" s="953"/>
      <c r="G7427" s="953"/>
      <c r="H7427" s="953"/>
    </row>
    <row r="7428" spans="1:8" s="943" customFormat="1" x14ac:dyDescent="0.25">
      <c r="A7428" s="952"/>
      <c r="B7428" s="953"/>
      <c r="C7428" s="953"/>
      <c r="D7428" s="953"/>
      <c r="E7428" s="953"/>
      <c r="F7428" s="953"/>
      <c r="G7428" s="953"/>
      <c r="H7428" s="953"/>
    </row>
    <row r="7429" spans="1:8" s="943" customFormat="1" x14ac:dyDescent="0.25">
      <c r="A7429" s="952"/>
      <c r="B7429" s="953"/>
      <c r="C7429" s="953"/>
      <c r="D7429" s="953"/>
      <c r="E7429" s="953"/>
      <c r="F7429" s="953"/>
      <c r="G7429" s="953"/>
      <c r="H7429" s="953"/>
    </row>
    <row r="7430" spans="1:8" s="943" customFormat="1" x14ac:dyDescent="0.25">
      <c r="A7430" s="952"/>
      <c r="B7430" s="953"/>
      <c r="C7430" s="953"/>
      <c r="D7430" s="953"/>
      <c r="E7430" s="953"/>
      <c r="F7430" s="953"/>
      <c r="G7430" s="953"/>
      <c r="H7430" s="953"/>
    </row>
    <row r="7431" spans="1:8" s="943" customFormat="1" x14ac:dyDescent="0.25">
      <c r="A7431" s="952"/>
      <c r="B7431" s="953"/>
      <c r="C7431" s="953"/>
      <c r="D7431" s="953"/>
      <c r="E7431" s="953"/>
      <c r="F7431" s="953"/>
      <c r="G7431" s="953"/>
      <c r="H7431" s="953"/>
    </row>
    <row r="7432" spans="1:8" s="943" customFormat="1" x14ac:dyDescent="0.25">
      <c r="A7432" s="952"/>
      <c r="B7432" s="953"/>
      <c r="C7432" s="953"/>
      <c r="D7432" s="953"/>
      <c r="E7432" s="953"/>
      <c r="F7432" s="953"/>
      <c r="G7432" s="953"/>
      <c r="H7432" s="953"/>
    </row>
    <row r="7433" spans="1:8" s="943" customFormat="1" x14ac:dyDescent="0.25">
      <c r="A7433" s="952"/>
      <c r="B7433" s="953"/>
      <c r="C7433" s="953"/>
      <c r="D7433" s="953"/>
      <c r="E7433" s="953"/>
      <c r="F7433" s="953"/>
      <c r="G7433" s="953"/>
      <c r="H7433" s="953"/>
    </row>
    <row r="7434" spans="1:8" s="943" customFormat="1" x14ac:dyDescent="0.25">
      <c r="A7434" s="952"/>
      <c r="B7434" s="953"/>
      <c r="C7434" s="953"/>
      <c r="D7434" s="953"/>
      <c r="E7434" s="953"/>
      <c r="F7434" s="953"/>
      <c r="G7434" s="953"/>
      <c r="H7434" s="953"/>
    </row>
    <row r="7435" spans="1:8" s="943" customFormat="1" x14ac:dyDescent="0.25">
      <c r="A7435" s="952"/>
      <c r="B7435" s="953"/>
      <c r="C7435" s="953"/>
      <c r="D7435" s="953"/>
      <c r="E7435" s="953"/>
      <c r="F7435" s="953"/>
      <c r="G7435" s="953"/>
      <c r="H7435" s="953"/>
    </row>
    <row r="7436" spans="1:8" s="943" customFormat="1" x14ac:dyDescent="0.25">
      <c r="A7436" s="952"/>
      <c r="B7436" s="953"/>
      <c r="C7436" s="953"/>
      <c r="D7436" s="953"/>
      <c r="E7436" s="953"/>
      <c r="F7436" s="953"/>
      <c r="G7436" s="953"/>
      <c r="H7436" s="953"/>
    </row>
    <row r="7437" spans="1:8" s="943" customFormat="1" x14ac:dyDescent="0.25">
      <c r="A7437" s="952"/>
      <c r="B7437" s="953"/>
      <c r="C7437" s="953"/>
      <c r="D7437" s="953"/>
      <c r="E7437" s="953"/>
      <c r="F7437" s="953"/>
      <c r="G7437" s="953"/>
      <c r="H7437" s="953"/>
    </row>
    <row r="7438" spans="1:8" s="943" customFormat="1" x14ac:dyDescent="0.25">
      <c r="A7438" s="952"/>
      <c r="B7438" s="953"/>
      <c r="C7438" s="953"/>
      <c r="D7438" s="953"/>
      <c r="E7438" s="953"/>
      <c r="F7438" s="953"/>
      <c r="G7438" s="953"/>
      <c r="H7438" s="953"/>
    </row>
    <row r="7439" spans="1:8" s="943" customFormat="1" x14ac:dyDescent="0.25">
      <c r="A7439" s="952"/>
      <c r="B7439" s="953"/>
      <c r="C7439" s="953"/>
      <c r="D7439" s="953"/>
      <c r="E7439" s="953"/>
      <c r="F7439" s="953"/>
      <c r="G7439" s="953"/>
      <c r="H7439" s="953"/>
    </row>
    <row r="7440" spans="1:8" s="943" customFormat="1" x14ac:dyDescent="0.25">
      <c r="A7440" s="952"/>
      <c r="B7440" s="953"/>
      <c r="C7440" s="953"/>
      <c r="D7440" s="953"/>
      <c r="E7440" s="953"/>
      <c r="F7440" s="953"/>
      <c r="G7440" s="953"/>
      <c r="H7440" s="953"/>
    </row>
    <row r="7441" spans="1:8" s="943" customFormat="1" x14ac:dyDescent="0.25">
      <c r="A7441" s="952"/>
      <c r="B7441" s="953"/>
      <c r="C7441" s="953"/>
      <c r="D7441" s="953"/>
      <c r="E7441" s="953"/>
      <c r="F7441" s="953"/>
      <c r="G7441" s="953"/>
      <c r="H7441" s="953"/>
    </row>
    <row r="7442" spans="1:8" s="943" customFormat="1" x14ac:dyDescent="0.25">
      <c r="A7442" s="952"/>
      <c r="B7442" s="953"/>
      <c r="C7442" s="953"/>
      <c r="D7442" s="953"/>
      <c r="E7442" s="953"/>
      <c r="F7442" s="953"/>
      <c r="G7442" s="953"/>
      <c r="H7442" s="953"/>
    </row>
    <row r="7443" spans="1:8" s="943" customFormat="1" x14ac:dyDescent="0.25">
      <c r="A7443" s="952"/>
      <c r="B7443" s="953"/>
      <c r="C7443" s="953"/>
      <c r="D7443" s="953"/>
      <c r="E7443" s="953"/>
      <c r="F7443" s="953"/>
      <c r="G7443" s="953"/>
      <c r="H7443" s="953"/>
    </row>
    <row r="7444" spans="1:8" s="943" customFormat="1" x14ac:dyDescent="0.25">
      <c r="A7444" s="952"/>
      <c r="B7444" s="953"/>
      <c r="C7444" s="953"/>
      <c r="D7444" s="953"/>
      <c r="E7444" s="953"/>
      <c r="F7444" s="953"/>
      <c r="G7444" s="953"/>
      <c r="H7444" s="953"/>
    </row>
    <row r="7445" spans="1:8" s="943" customFormat="1" x14ac:dyDescent="0.25">
      <c r="A7445" s="952"/>
      <c r="B7445" s="953"/>
      <c r="C7445" s="953"/>
      <c r="D7445" s="953"/>
      <c r="E7445" s="953"/>
      <c r="F7445" s="953"/>
      <c r="G7445" s="953"/>
      <c r="H7445" s="953"/>
    </row>
    <row r="7446" spans="1:8" s="943" customFormat="1" x14ac:dyDescent="0.25">
      <c r="A7446" s="952"/>
      <c r="B7446" s="953"/>
      <c r="C7446" s="953"/>
      <c r="D7446" s="953"/>
      <c r="E7446" s="953"/>
      <c r="F7446" s="953"/>
      <c r="G7446" s="953"/>
      <c r="H7446" s="953"/>
    </row>
    <row r="7447" spans="1:8" s="943" customFormat="1" x14ac:dyDescent="0.25">
      <c r="A7447" s="952"/>
      <c r="B7447" s="953"/>
      <c r="C7447" s="953"/>
      <c r="D7447" s="953"/>
      <c r="E7447" s="953"/>
      <c r="F7447" s="953"/>
      <c r="G7447" s="953"/>
      <c r="H7447" s="953"/>
    </row>
    <row r="7448" spans="1:8" s="943" customFormat="1" x14ac:dyDescent="0.25">
      <c r="A7448" s="952"/>
      <c r="B7448" s="953"/>
      <c r="C7448" s="953"/>
      <c r="D7448" s="953"/>
      <c r="E7448" s="953"/>
      <c r="F7448" s="953"/>
      <c r="G7448" s="953"/>
      <c r="H7448" s="953"/>
    </row>
    <row r="7449" spans="1:8" s="943" customFormat="1" x14ac:dyDescent="0.25">
      <c r="A7449" s="952"/>
      <c r="B7449" s="953"/>
      <c r="C7449" s="953"/>
      <c r="D7449" s="953"/>
      <c r="E7449" s="953"/>
      <c r="F7449" s="953"/>
      <c r="G7449" s="953"/>
      <c r="H7449" s="953"/>
    </row>
    <row r="7450" spans="1:8" s="943" customFormat="1" x14ac:dyDescent="0.25">
      <c r="A7450" s="952"/>
      <c r="B7450" s="953"/>
      <c r="C7450" s="953"/>
      <c r="D7450" s="953"/>
      <c r="E7450" s="953"/>
      <c r="F7450" s="953"/>
      <c r="G7450" s="953"/>
      <c r="H7450" s="953"/>
    </row>
    <row r="7451" spans="1:8" s="943" customFormat="1" x14ac:dyDescent="0.25">
      <c r="A7451" s="952"/>
      <c r="B7451" s="953"/>
      <c r="C7451" s="953"/>
      <c r="D7451" s="953"/>
      <c r="E7451" s="953"/>
      <c r="F7451" s="953"/>
      <c r="G7451" s="953"/>
      <c r="H7451" s="953"/>
    </row>
    <row r="7452" spans="1:8" s="943" customFormat="1" x14ac:dyDescent="0.25">
      <c r="A7452" s="952"/>
      <c r="B7452" s="953"/>
      <c r="C7452" s="953"/>
      <c r="D7452" s="953"/>
      <c r="E7452" s="953"/>
      <c r="F7452" s="953"/>
      <c r="G7452" s="953"/>
      <c r="H7452" s="953"/>
    </row>
    <row r="7453" spans="1:8" s="943" customFormat="1" x14ac:dyDescent="0.25">
      <c r="A7453" s="952"/>
      <c r="B7453" s="953"/>
      <c r="C7453" s="953"/>
      <c r="D7453" s="953"/>
      <c r="E7453" s="953"/>
      <c r="F7453" s="953"/>
      <c r="G7453" s="953"/>
      <c r="H7453" s="953"/>
    </row>
    <row r="7454" spans="1:8" s="943" customFormat="1" x14ac:dyDescent="0.25">
      <c r="A7454" s="952"/>
      <c r="B7454" s="953"/>
      <c r="C7454" s="953"/>
      <c r="D7454" s="953"/>
      <c r="E7454" s="953"/>
      <c r="F7454" s="953"/>
      <c r="G7454" s="953"/>
      <c r="H7454" s="953"/>
    </row>
    <row r="7455" spans="1:8" s="943" customFormat="1" x14ac:dyDescent="0.25">
      <c r="A7455" s="952"/>
      <c r="B7455" s="953"/>
      <c r="C7455" s="953"/>
      <c r="D7455" s="953"/>
      <c r="E7455" s="953"/>
      <c r="F7455" s="953"/>
      <c r="G7455" s="953"/>
      <c r="H7455" s="953"/>
    </row>
    <row r="7456" spans="1:8" s="943" customFormat="1" x14ac:dyDescent="0.25">
      <c r="A7456" s="952"/>
      <c r="B7456" s="953"/>
      <c r="C7456" s="953"/>
      <c r="D7456" s="953"/>
      <c r="E7456" s="953"/>
      <c r="F7456" s="953"/>
      <c r="G7456" s="953"/>
      <c r="H7456" s="953"/>
    </row>
    <row r="7457" spans="1:8" s="943" customFormat="1" x14ac:dyDescent="0.25">
      <c r="A7457" s="952"/>
      <c r="B7457" s="953"/>
      <c r="C7457" s="953"/>
      <c r="D7457" s="953"/>
      <c r="E7457" s="953"/>
      <c r="F7457" s="953"/>
      <c r="G7457" s="953"/>
      <c r="H7457" s="953"/>
    </row>
    <row r="7458" spans="1:8" s="943" customFormat="1" x14ac:dyDescent="0.25">
      <c r="A7458" s="952"/>
      <c r="B7458" s="953"/>
      <c r="C7458" s="953"/>
      <c r="D7458" s="953"/>
      <c r="E7458" s="953"/>
      <c r="F7458" s="953"/>
      <c r="G7458" s="953"/>
      <c r="H7458" s="953"/>
    </row>
    <row r="7459" spans="1:8" s="943" customFormat="1" x14ac:dyDescent="0.25">
      <c r="A7459" s="952"/>
      <c r="B7459" s="953"/>
      <c r="C7459" s="953"/>
      <c r="D7459" s="953"/>
      <c r="E7459" s="953"/>
      <c r="F7459" s="953"/>
      <c r="G7459" s="953"/>
      <c r="H7459" s="953"/>
    </row>
    <row r="7460" spans="1:8" s="943" customFormat="1" x14ac:dyDescent="0.25">
      <c r="A7460" s="952"/>
      <c r="B7460" s="953"/>
      <c r="C7460" s="953"/>
      <c r="D7460" s="953"/>
      <c r="E7460" s="953"/>
      <c r="F7460" s="953"/>
      <c r="G7460" s="953"/>
      <c r="H7460" s="953"/>
    </row>
    <row r="7461" spans="1:8" s="943" customFormat="1" x14ac:dyDescent="0.25">
      <c r="A7461" s="952"/>
      <c r="B7461" s="953"/>
      <c r="C7461" s="953"/>
      <c r="D7461" s="953"/>
      <c r="E7461" s="953"/>
      <c r="F7461" s="953"/>
      <c r="G7461" s="953"/>
      <c r="H7461" s="953"/>
    </row>
    <row r="7462" spans="1:8" s="943" customFormat="1" x14ac:dyDescent="0.25">
      <c r="A7462" s="952"/>
      <c r="B7462" s="953"/>
      <c r="C7462" s="953"/>
      <c r="D7462" s="953"/>
      <c r="E7462" s="953"/>
      <c r="F7462" s="953"/>
      <c r="G7462" s="953"/>
      <c r="H7462" s="953"/>
    </row>
    <row r="7463" spans="1:8" s="943" customFormat="1" x14ac:dyDescent="0.25">
      <c r="A7463" s="952"/>
      <c r="B7463" s="953"/>
      <c r="C7463" s="953"/>
      <c r="D7463" s="953"/>
      <c r="E7463" s="953"/>
      <c r="F7463" s="953"/>
      <c r="G7463" s="953"/>
      <c r="H7463" s="953"/>
    </row>
    <row r="7464" spans="1:8" s="943" customFormat="1" x14ac:dyDescent="0.25">
      <c r="A7464" s="952"/>
      <c r="B7464" s="953"/>
      <c r="C7464" s="953"/>
      <c r="D7464" s="953"/>
      <c r="E7464" s="953"/>
      <c r="F7464" s="953"/>
      <c r="G7464" s="953"/>
      <c r="H7464" s="953"/>
    </row>
    <row r="7465" spans="1:8" s="943" customFormat="1" x14ac:dyDescent="0.25">
      <c r="A7465" s="952"/>
      <c r="B7465" s="953"/>
      <c r="C7465" s="953"/>
      <c r="D7465" s="953"/>
      <c r="E7465" s="953"/>
      <c r="F7465" s="953"/>
      <c r="G7465" s="953"/>
      <c r="H7465" s="953"/>
    </row>
    <row r="7466" spans="1:8" s="943" customFormat="1" x14ac:dyDescent="0.25">
      <c r="A7466" s="952"/>
      <c r="B7466" s="953"/>
      <c r="C7466" s="953"/>
      <c r="D7466" s="953"/>
      <c r="E7466" s="953"/>
      <c r="F7466" s="953"/>
      <c r="G7466" s="953"/>
      <c r="H7466" s="953"/>
    </row>
    <row r="7467" spans="1:8" s="943" customFormat="1" x14ac:dyDescent="0.25">
      <c r="A7467" s="952"/>
      <c r="B7467" s="953"/>
      <c r="C7467" s="953"/>
      <c r="D7467" s="953"/>
      <c r="E7467" s="953"/>
      <c r="F7467" s="953"/>
      <c r="G7467" s="953"/>
      <c r="H7467" s="953"/>
    </row>
    <row r="7468" spans="1:8" s="943" customFormat="1" x14ac:dyDescent="0.25">
      <c r="A7468" s="952"/>
      <c r="B7468" s="953"/>
      <c r="C7468" s="953"/>
      <c r="D7468" s="953"/>
      <c r="E7468" s="953"/>
      <c r="F7468" s="953"/>
      <c r="G7468" s="953"/>
      <c r="H7468" s="953"/>
    </row>
    <row r="7469" spans="1:8" s="943" customFormat="1" x14ac:dyDescent="0.25">
      <c r="A7469" s="952"/>
      <c r="B7469" s="953"/>
      <c r="C7469" s="953"/>
      <c r="D7469" s="953"/>
      <c r="E7469" s="953"/>
      <c r="F7469" s="953"/>
      <c r="G7469" s="953"/>
      <c r="H7469" s="953"/>
    </row>
    <row r="7470" spans="1:8" s="943" customFormat="1" x14ac:dyDescent="0.25">
      <c r="A7470" s="952"/>
      <c r="B7470" s="953"/>
      <c r="C7470" s="953"/>
      <c r="D7470" s="953"/>
      <c r="E7470" s="953"/>
      <c r="F7470" s="953"/>
      <c r="G7470" s="953"/>
      <c r="H7470" s="953"/>
    </row>
    <row r="7471" spans="1:8" s="943" customFormat="1" x14ac:dyDescent="0.25">
      <c r="A7471" s="952"/>
      <c r="B7471" s="953"/>
      <c r="C7471" s="953"/>
      <c r="D7471" s="953"/>
      <c r="E7471" s="953"/>
      <c r="F7471" s="953"/>
      <c r="G7471" s="953"/>
      <c r="H7471" s="953"/>
    </row>
    <row r="7472" spans="1:8" s="943" customFormat="1" x14ac:dyDescent="0.25">
      <c r="A7472" s="952"/>
      <c r="B7472" s="953"/>
      <c r="C7472" s="953"/>
      <c r="D7472" s="953"/>
      <c r="E7472" s="953"/>
      <c r="F7472" s="953"/>
      <c r="G7472" s="953"/>
      <c r="H7472" s="953"/>
    </row>
    <row r="7473" spans="1:8" s="943" customFormat="1" x14ac:dyDescent="0.25">
      <c r="A7473" s="952"/>
      <c r="B7473" s="953"/>
      <c r="C7473" s="953"/>
      <c r="D7473" s="953"/>
      <c r="E7473" s="953"/>
      <c r="F7473" s="953"/>
      <c r="G7473" s="953"/>
      <c r="H7473" s="953"/>
    </row>
    <row r="7474" spans="1:8" s="943" customFormat="1" x14ac:dyDescent="0.25">
      <c r="A7474" s="952"/>
      <c r="B7474" s="953"/>
      <c r="C7474" s="953"/>
      <c r="D7474" s="953"/>
      <c r="E7474" s="953"/>
      <c r="F7474" s="953"/>
      <c r="G7474" s="953"/>
      <c r="H7474" s="953"/>
    </row>
    <row r="7475" spans="1:8" s="943" customFormat="1" x14ac:dyDescent="0.25">
      <c r="A7475" s="952"/>
      <c r="B7475" s="953"/>
      <c r="C7475" s="953"/>
      <c r="D7475" s="953"/>
      <c r="E7475" s="953"/>
      <c r="F7475" s="953"/>
      <c r="G7475" s="953"/>
      <c r="H7475" s="953"/>
    </row>
    <row r="7476" spans="1:8" s="943" customFormat="1" x14ac:dyDescent="0.25">
      <c r="A7476" s="952"/>
      <c r="B7476" s="953"/>
      <c r="C7476" s="953"/>
      <c r="D7476" s="953"/>
      <c r="E7476" s="953"/>
      <c r="F7476" s="953"/>
      <c r="G7476" s="953"/>
      <c r="H7476" s="953"/>
    </row>
    <row r="7477" spans="1:8" s="943" customFormat="1" x14ac:dyDescent="0.25">
      <c r="A7477" s="952"/>
      <c r="B7477" s="953"/>
      <c r="C7477" s="953"/>
      <c r="D7477" s="953"/>
      <c r="E7477" s="953"/>
      <c r="F7477" s="953"/>
      <c r="G7477" s="953"/>
      <c r="H7477" s="953"/>
    </row>
    <row r="7478" spans="1:8" s="943" customFormat="1" x14ac:dyDescent="0.25">
      <c r="A7478" s="952"/>
      <c r="B7478" s="953"/>
      <c r="C7478" s="953"/>
      <c r="D7478" s="953"/>
      <c r="E7478" s="953"/>
      <c r="F7478" s="953"/>
      <c r="G7478" s="953"/>
      <c r="H7478" s="953"/>
    </row>
    <row r="7479" spans="1:8" s="943" customFormat="1" x14ac:dyDescent="0.25">
      <c r="A7479" s="952"/>
      <c r="B7479" s="953"/>
      <c r="C7479" s="953"/>
      <c r="D7479" s="953"/>
      <c r="E7479" s="953"/>
      <c r="F7479" s="953"/>
      <c r="G7479" s="953"/>
      <c r="H7479" s="953"/>
    </row>
    <row r="7480" spans="1:8" s="943" customFormat="1" x14ac:dyDescent="0.25">
      <c r="A7480" s="952"/>
      <c r="B7480" s="953"/>
      <c r="C7480" s="953"/>
      <c r="D7480" s="953"/>
      <c r="E7480" s="953"/>
      <c r="F7480" s="953"/>
      <c r="G7480" s="953"/>
      <c r="H7480" s="953"/>
    </row>
    <row r="7481" spans="1:8" s="943" customFormat="1" x14ac:dyDescent="0.25">
      <c r="A7481" s="952"/>
      <c r="B7481" s="953"/>
      <c r="C7481" s="953"/>
      <c r="D7481" s="953"/>
      <c r="E7481" s="953"/>
      <c r="F7481" s="953"/>
      <c r="G7481" s="953"/>
      <c r="H7481" s="953"/>
    </row>
    <row r="7482" spans="1:8" s="943" customFormat="1" x14ac:dyDescent="0.25">
      <c r="A7482" s="952"/>
      <c r="B7482" s="953"/>
      <c r="C7482" s="953"/>
      <c r="D7482" s="953"/>
      <c r="E7482" s="953"/>
      <c r="F7482" s="953"/>
      <c r="G7482" s="953"/>
      <c r="H7482" s="953"/>
    </row>
    <row r="7483" spans="1:8" s="943" customFormat="1" x14ac:dyDescent="0.25">
      <c r="A7483" s="952"/>
      <c r="B7483" s="953"/>
      <c r="C7483" s="953"/>
      <c r="D7483" s="953"/>
      <c r="E7483" s="953"/>
      <c r="F7483" s="953"/>
      <c r="G7483" s="953"/>
      <c r="H7483" s="953"/>
    </row>
    <row r="7484" spans="1:8" s="943" customFormat="1" x14ac:dyDescent="0.25">
      <c r="A7484" s="952"/>
      <c r="B7484" s="953"/>
      <c r="C7484" s="953"/>
      <c r="D7484" s="953"/>
      <c r="E7484" s="953"/>
      <c r="F7484" s="953"/>
      <c r="G7484" s="953"/>
      <c r="H7484" s="953"/>
    </row>
    <row r="7485" spans="1:8" s="943" customFormat="1" x14ac:dyDescent="0.25">
      <c r="A7485" s="952"/>
      <c r="B7485" s="953"/>
      <c r="C7485" s="953"/>
      <c r="D7485" s="953"/>
      <c r="E7485" s="953"/>
      <c r="F7485" s="953"/>
      <c r="G7485" s="953"/>
      <c r="H7485" s="953"/>
    </row>
    <row r="7486" spans="1:8" s="943" customFormat="1" x14ac:dyDescent="0.25">
      <c r="A7486" s="952"/>
      <c r="B7486" s="953"/>
      <c r="C7486" s="953"/>
      <c r="D7486" s="953"/>
      <c r="E7486" s="953"/>
      <c r="F7486" s="953"/>
      <c r="G7486" s="953"/>
      <c r="H7486" s="953"/>
    </row>
    <row r="7487" spans="1:8" s="943" customFormat="1" x14ac:dyDescent="0.25">
      <c r="A7487" s="952"/>
      <c r="B7487" s="953"/>
      <c r="C7487" s="953"/>
      <c r="D7487" s="953"/>
      <c r="E7487" s="953"/>
      <c r="F7487" s="953"/>
      <c r="G7487" s="953"/>
      <c r="H7487" s="953"/>
    </row>
    <row r="7488" spans="1:8" s="943" customFormat="1" x14ac:dyDescent="0.25">
      <c r="A7488" s="952"/>
      <c r="B7488" s="953"/>
      <c r="C7488" s="953"/>
      <c r="D7488" s="953"/>
      <c r="E7488" s="953"/>
      <c r="F7488" s="953"/>
      <c r="G7488" s="953"/>
      <c r="H7488" s="953"/>
    </row>
    <row r="7489" spans="1:8" s="943" customFormat="1" x14ac:dyDescent="0.25">
      <c r="A7489" s="952"/>
      <c r="B7489" s="953"/>
      <c r="C7489" s="953"/>
      <c r="D7489" s="953"/>
      <c r="E7489" s="953"/>
      <c r="F7489" s="953"/>
      <c r="G7489" s="953"/>
      <c r="H7489" s="953"/>
    </row>
    <row r="7490" spans="1:8" s="943" customFormat="1" x14ac:dyDescent="0.25">
      <c r="A7490" s="952"/>
      <c r="B7490" s="953"/>
      <c r="C7490" s="953"/>
      <c r="D7490" s="953"/>
      <c r="E7490" s="953"/>
      <c r="F7490" s="953"/>
      <c r="G7490" s="953"/>
      <c r="H7490" s="953"/>
    </row>
    <row r="7491" spans="1:8" s="943" customFormat="1" x14ac:dyDescent="0.25">
      <c r="A7491" s="952"/>
      <c r="B7491" s="953"/>
      <c r="C7491" s="953"/>
      <c r="D7491" s="953"/>
      <c r="E7491" s="953"/>
      <c r="F7491" s="953"/>
      <c r="G7491" s="953"/>
      <c r="H7491" s="953"/>
    </row>
    <row r="7492" spans="1:8" s="943" customFormat="1" x14ac:dyDescent="0.25">
      <c r="A7492" s="952"/>
      <c r="B7492" s="953"/>
      <c r="C7492" s="953"/>
      <c r="D7492" s="953"/>
      <c r="E7492" s="953"/>
      <c r="F7492" s="953"/>
      <c r="G7492" s="953"/>
      <c r="H7492" s="953"/>
    </row>
    <row r="7493" spans="1:8" s="943" customFormat="1" x14ac:dyDescent="0.25">
      <c r="A7493" s="952"/>
      <c r="B7493" s="953"/>
      <c r="C7493" s="953"/>
      <c r="D7493" s="953"/>
      <c r="E7493" s="953"/>
      <c r="F7493" s="953"/>
      <c r="G7493" s="953"/>
      <c r="H7493" s="953"/>
    </row>
    <row r="7494" spans="1:8" s="943" customFormat="1" x14ac:dyDescent="0.25">
      <c r="A7494" s="952"/>
      <c r="B7494" s="953"/>
      <c r="C7494" s="953"/>
      <c r="D7494" s="953"/>
      <c r="E7494" s="953"/>
      <c r="F7494" s="953"/>
      <c r="G7494" s="953"/>
      <c r="H7494" s="953"/>
    </row>
    <row r="7495" spans="1:8" s="943" customFormat="1" x14ac:dyDescent="0.25">
      <c r="A7495" s="952"/>
      <c r="B7495" s="953"/>
      <c r="C7495" s="953"/>
      <c r="D7495" s="953"/>
      <c r="E7495" s="953"/>
      <c r="F7495" s="953"/>
      <c r="G7495" s="953"/>
      <c r="H7495" s="953"/>
    </row>
    <row r="7496" spans="1:8" s="943" customFormat="1" x14ac:dyDescent="0.25">
      <c r="A7496" s="952"/>
      <c r="B7496" s="953"/>
      <c r="C7496" s="953"/>
      <c r="D7496" s="953"/>
      <c r="E7496" s="953"/>
      <c r="F7496" s="953"/>
      <c r="G7496" s="953"/>
      <c r="H7496" s="953"/>
    </row>
    <row r="7497" spans="1:8" s="943" customFormat="1" x14ac:dyDescent="0.25">
      <c r="A7497" s="952"/>
      <c r="B7497" s="953"/>
      <c r="C7497" s="953"/>
      <c r="D7497" s="953"/>
      <c r="E7497" s="953"/>
      <c r="F7497" s="953"/>
      <c r="G7497" s="953"/>
      <c r="H7497" s="953"/>
    </row>
    <row r="7498" spans="1:8" s="943" customFormat="1" x14ac:dyDescent="0.25">
      <c r="A7498" s="952"/>
      <c r="B7498" s="953"/>
      <c r="C7498" s="953"/>
      <c r="D7498" s="953"/>
      <c r="E7498" s="953"/>
      <c r="F7498" s="953"/>
      <c r="G7498" s="953"/>
      <c r="H7498" s="953"/>
    </row>
    <row r="7499" spans="1:8" s="943" customFormat="1" x14ac:dyDescent="0.25">
      <c r="A7499" s="952"/>
      <c r="B7499" s="953"/>
      <c r="C7499" s="953"/>
      <c r="D7499" s="953"/>
      <c r="E7499" s="953"/>
      <c r="F7499" s="953"/>
      <c r="G7499" s="953"/>
      <c r="H7499" s="953"/>
    </row>
    <row r="7500" spans="1:8" s="943" customFormat="1" x14ac:dyDescent="0.25">
      <c r="A7500" s="952"/>
      <c r="B7500" s="953"/>
      <c r="C7500" s="953"/>
      <c r="D7500" s="953"/>
      <c r="E7500" s="953"/>
      <c r="F7500" s="953"/>
      <c r="G7500" s="953"/>
      <c r="H7500" s="953"/>
    </row>
    <row r="7501" spans="1:8" s="943" customFormat="1" x14ac:dyDescent="0.25">
      <c r="A7501" s="952"/>
      <c r="B7501" s="953"/>
      <c r="C7501" s="953"/>
      <c r="D7501" s="953"/>
      <c r="E7501" s="953"/>
      <c r="F7501" s="953"/>
      <c r="G7501" s="953"/>
      <c r="H7501" s="953"/>
    </row>
    <row r="7502" spans="1:8" s="943" customFormat="1" x14ac:dyDescent="0.25">
      <c r="A7502" s="952"/>
      <c r="B7502" s="953"/>
      <c r="C7502" s="953"/>
      <c r="D7502" s="953"/>
      <c r="E7502" s="953"/>
      <c r="F7502" s="953"/>
      <c r="G7502" s="953"/>
      <c r="H7502" s="953"/>
    </row>
    <row r="7503" spans="1:8" s="943" customFormat="1" x14ac:dyDescent="0.25">
      <c r="A7503" s="952"/>
      <c r="B7503" s="953"/>
      <c r="C7503" s="953"/>
      <c r="D7503" s="953"/>
      <c r="E7503" s="953"/>
      <c r="F7503" s="953"/>
      <c r="G7503" s="953"/>
      <c r="H7503" s="953"/>
    </row>
    <row r="7504" spans="1:8" s="943" customFormat="1" x14ac:dyDescent="0.25">
      <c r="A7504" s="952"/>
      <c r="B7504" s="953"/>
      <c r="C7504" s="953"/>
      <c r="D7504" s="953"/>
      <c r="E7504" s="953"/>
      <c r="F7504" s="953"/>
      <c r="G7504" s="953"/>
      <c r="H7504" s="953"/>
    </row>
    <row r="7505" spans="1:8" s="943" customFormat="1" x14ac:dyDescent="0.25">
      <c r="A7505" s="952"/>
      <c r="B7505" s="953"/>
      <c r="C7505" s="953"/>
      <c r="D7505" s="953"/>
      <c r="E7505" s="953"/>
      <c r="F7505" s="953"/>
      <c r="G7505" s="953"/>
      <c r="H7505" s="953"/>
    </row>
    <row r="7506" spans="1:8" s="943" customFormat="1" x14ac:dyDescent="0.25">
      <c r="A7506" s="952"/>
      <c r="B7506" s="953"/>
      <c r="C7506" s="953"/>
      <c r="D7506" s="953"/>
      <c r="E7506" s="953"/>
      <c r="F7506" s="953"/>
      <c r="G7506" s="953"/>
      <c r="H7506" s="953"/>
    </row>
    <row r="7507" spans="1:8" s="943" customFormat="1" x14ac:dyDescent="0.25">
      <c r="A7507" s="952"/>
      <c r="B7507" s="953"/>
      <c r="C7507" s="953"/>
      <c r="D7507" s="953"/>
      <c r="E7507" s="953"/>
      <c r="F7507" s="953"/>
      <c r="G7507" s="953"/>
      <c r="H7507" s="953"/>
    </row>
    <row r="7508" spans="1:8" s="943" customFormat="1" x14ac:dyDescent="0.25">
      <c r="A7508" s="952"/>
      <c r="B7508" s="953"/>
      <c r="C7508" s="953"/>
      <c r="D7508" s="953"/>
      <c r="E7508" s="953"/>
      <c r="F7508" s="953"/>
      <c r="G7508" s="953"/>
      <c r="H7508" s="953"/>
    </row>
    <row r="7509" spans="1:8" s="943" customFormat="1" x14ac:dyDescent="0.25">
      <c r="A7509" s="952"/>
      <c r="B7509" s="953"/>
      <c r="C7509" s="953"/>
      <c r="D7509" s="953"/>
      <c r="E7509" s="953"/>
      <c r="F7509" s="953"/>
      <c r="G7509" s="953"/>
      <c r="H7509" s="953"/>
    </row>
    <row r="7510" spans="1:8" s="943" customFormat="1" x14ac:dyDescent="0.25">
      <c r="A7510" s="952"/>
      <c r="B7510" s="953"/>
      <c r="C7510" s="953"/>
      <c r="D7510" s="953"/>
      <c r="E7510" s="953"/>
      <c r="F7510" s="953"/>
      <c r="G7510" s="953"/>
      <c r="H7510" s="953"/>
    </row>
    <row r="7511" spans="1:8" s="943" customFormat="1" x14ac:dyDescent="0.25">
      <c r="A7511" s="952"/>
      <c r="B7511" s="953"/>
      <c r="C7511" s="953"/>
      <c r="D7511" s="953"/>
      <c r="E7511" s="953"/>
      <c r="F7511" s="953"/>
      <c r="G7511" s="953"/>
      <c r="H7511" s="953"/>
    </row>
    <row r="7512" spans="1:8" s="943" customFormat="1" x14ac:dyDescent="0.25">
      <c r="A7512" s="952"/>
      <c r="B7512" s="953"/>
      <c r="C7512" s="953"/>
      <c r="D7512" s="953"/>
      <c r="E7512" s="953"/>
      <c r="F7512" s="953"/>
      <c r="G7512" s="953"/>
      <c r="H7512" s="953"/>
    </row>
    <row r="7513" spans="1:8" s="943" customFormat="1" x14ac:dyDescent="0.25">
      <c r="A7513" s="952"/>
      <c r="B7513" s="953"/>
      <c r="C7513" s="953"/>
      <c r="D7513" s="953"/>
      <c r="E7513" s="953"/>
      <c r="F7513" s="953"/>
      <c r="G7513" s="953"/>
      <c r="H7513" s="953"/>
    </row>
    <row r="7514" spans="1:8" s="943" customFormat="1" x14ac:dyDescent="0.25">
      <c r="A7514" s="952"/>
      <c r="B7514" s="953"/>
      <c r="C7514" s="953"/>
      <c r="D7514" s="953"/>
      <c r="E7514" s="953"/>
      <c r="F7514" s="953"/>
      <c r="G7514" s="953"/>
      <c r="H7514" s="953"/>
    </row>
    <row r="7515" spans="1:8" s="943" customFormat="1" x14ac:dyDescent="0.25">
      <c r="A7515" s="952"/>
      <c r="B7515" s="953"/>
      <c r="C7515" s="953"/>
      <c r="D7515" s="953"/>
      <c r="E7515" s="953"/>
      <c r="F7515" s="953"/>
      <c r="G7515" s="953"/>
      <c r="H7515" s="953"/>
    </row>
    <row r="7516" spans="1:8" s="943" customFormat="1" x14ac:dyDescent="0.25">
      <c r="A7516" s="952"/>
      <c r="B7516" s="953"/>
      <c r="C7516" s="953"/>
      <c r="D7516" s="953"/>
      <c r="E7516" s="953"/>
      <c r="F7516" s="953"/>
      <c r="G7516" s="953"/>
      <c r="H7516" s="953"/>
    </row>
    <row r="7517" spans="1:8" s="943" customFormat="1" x14ac:dyDescent="0.25">
      <c r="A7517" s="952"/>
      <c r="B7517" s="953"/>
      <c r="C7517" s="953"/>
      <c r="D7517" s="953"/>
      <c r="E7517" s="953"/>
      <c r="F7517" s="953"/>
      <c r="G7517" s="953"/>
      <c r="H7517" s="953"/>
    </row>
    <row r="7518" spans="1:8" s="943" customFormat="1" x14ac:dyDescent="0.25">
      <c r="A7518" s="952"/>
      <c r="B7518" s="953"/>
      <c r="C7518" s="953"/>
      <c r="D7518" s="953"/>
      <c r="E7518" s="953"/>
      <c r="F7518" s="953"/>
      <c r="G7518" s="953"/>
      <c r="H7518" s="953"/>
    </row>
    <row r="7519" spans="1:8" s="943" customFormat="1" x14ac:dyDescent="0.25">
      <c r="A7519" s="952"/>
      <c r="B7519" s="953"/>
      <c r="C7519" s="953"/>
      <c r="D7519" s="953"/>
      <c r="E7519" s="953"/>
      <c r="F7519" s="953"/>
      <c r="G7519" s="953"/>
      <c r="H7519" s="953"/>
    </row>
    <row r="7520" spans="1:8" s="943" customFormat="1" x14ac:dyDescent="0.25">
      <c r="A7520" s="952"/>
      <c r="B7520" s="953"/>
      <c r="C7520" s="953"/>
      <c r="D7520" s="953"/>
      <c r="E7520" s="953"/>
      <c r="F7520" s="953"/>
      <c r="G7520" s="953"/>
      <c r="H7520" s="953"/>
    </row>
    <row r="7521" spans="1:8" s="943" customFormat="1" x14ac:dyDescent="0.25">
      <c r="A7521" s="952"/>
      <c r="B7521" s="953"/>
      <c r="C7521" s="953"/>
      <c r="D7521" s="953"/>
      <c r="E7521" s="953"/>
      <c r="F7521" s="953"/>
      <c r="G7521" s="953"/>
      <c r="H7521" s="953"/>
    </row>
    <row r="7522" spans="1:8" s="943" customFormat="1" x14ac:dyDescent="0.25">
      <c r="A7522" s="952"/>
      <c r="B7522" s="953"/>
      <c r="C7522" s="953"/>
      <c r="D7522" s="953"/>
      <c r="E7522" s="953"/>
      <c r="F7522" s="953"/>
      <c r="G7522" s="953"/>
      <c r="H7522" s="953"/>
    </row>
    <row r="7523" spans="1:8" s="943" customFormat="1" x14ac:dyDescent="0.25">
      <c r="A7523" s="952"/>
      <c r="B7523" s="953"/>
      <c r="C7523" s="953"/>
      <c r="D7523" s="953"/>
      <c r="E7523" s="953"/>
      <c r="F7523" s="953"/>
      <c r="G7523" s="953"/>
      <c r="H7523" s="953"/>
    </row>
    <row r="7524" spans="1:8" s="943" customFormat="1" x14ac:dyDescent="0.25">
      <c r="A7524" s="952"/>
      <c r="B7524" s="953"/>
      <c r="C7524" s="953"/>
      <c r="D7524" s="953"/>
      <c r="E7524" s="953"/>
      <c r="F7524" s="953"/>
      <c r="G7524" s="953"/>
      <c r="H7524" s="953"/>
    </row>
    <row r="7525" spans="1:8" s="943" customFormat="1" x14ac:dyDescent="0.25">
      <c r="A7525" s="952"/>
      <c r="B7525" s="953"/>
      <c r="C7525" s="953"/>
      <c r="D7525" s="953"/>
      <c r="E7525" s="953"/>
      <c r="F7525" s="953"/>
      <c r="G7525" s="953"/>
      <c r="H7525" s="953"/>
    </row>
    <row r="7526" spans="1:8" s="943" customFormat="1" x14ac:dyDescent="0.25">
      <c r="A7526" s="952"/>
      <c r="B7526" s="953"/>
      <c r="C7526" s="953"/>
      <c r="D7526" s="953"/>
      <c r="E7526" s="953"/>
      <c r="F7526" s="953"/>
      <c r="G7526" s="953"/>
      <c r="H7526" s="953"/>
    </row>
    <row r="7527" spans="1:8" s="943" customFormat="1" x14ac:dyDescent="0.25">
      <c r="A7527" s="952"/>
      <c r="B7527" s="953"/>
      <c r="C7527" s="953"/>
      <c r="D7527" s="953"/>
      <c r="E7527" s="953"/>
      <c r="F7527" s="953"/>
      <c r="G7527" s="953"/>
      <c r="H7527" s="953"/>
    </row>
    <row r="7528" spans="1:8" s="943" customFormat="1" x14ac:dyDescent="0.25">
      <c r="A7528" s="952"/>
      <c r="B7528" s="953"/>
      <c r="C7528" s="953"/>
      <c r="D7528" s="953"/>
      <c r="E7528" s="953"/>
      <c r="F7528" s="953"/>
      <c r="G7528" s="953"/>
      <c r="H7528" s="953"/>
    </row>
    <row r="7529" spans="1:8" s="943" customFormat="1" x14ac:dyDescent="0.25">
      <c r="A7529" s="952"/>
      <c r="B7529" s="953"/>
      <c r="C7529" s="953"/>
      <c r="D7529" s="953"/>
      <c r="E7529" s="953"/>
      <c r="F7529" s="953"/>
      <c r="G7529" s="953"/>
      <c r="H7529" s="953"/>
    </row>
    <row r="7530" spans="1:8" s="943" customFormat="1" x14ac:dyDescent="0.25">
      <c r="A7530" s="952"/>
      <c r="B7530" s="953"/>
      <c r="C7530" s="953"/>
      <c r="D7530" s="953"/>
      <c r="E7530" s="953"/>
      <c r="F7530" s="953"/>
      <c r="G7530" s="953"/>
      <c r="H7530" s="953"/>
    </row>
    <row r="7531" spans="1:8" s="943" customFormat="1" x14ac:dyDescent="0.25">
      <c r="A7531" s="952"/>
      <c r="B7531" s="953"/>
      <c r="C7531" s="953"/>
      <c r="D7531" s="953"/>
      <c r="E7531" s="953"/>
      <c r="F7531" s="953"/>
      <c r="G7531" s="953"/>
      <c r="H7531" s="953"/>
    </row>
    <row r="7532" spans="1:8" s="943" customFormat="1" x14ac:dyDescent="0.25">
      <c r="A7532" s="952"/>
      <c r="B7532" s="953"/>
      <c r="C7532" s="953"/>
      <c r="D7532" s="953"/>
      <c r="E7532" s="953"/>
      <c r="F7532" s="953"/>
      <c r="G7532" s="953"/>
      <c r="H7532" s="953"/>
    </row>
    <row r="7533" spans="1:8" s="943" customFormat="1" x14ac:dyDescent="0.25">
      <c r="A7533" s="952"/>
      <c r="B7533" s="953"/>
      <c r="C7533" s="953"/>
      <c r="D7533" s="953"/>
      <c r="E7533" s="953"/>
      <c r="F7533" s="953"/>
      <c r="G7533" s="953"/>
      <c r="H7533" s="953"/>
    </row>
    <row r="7534" spans="1:8" s="943" customFormat="1" x14ac:dyDescent="0.25">
      <c r="A7534" s="952"/>
      <c r="B7534" s="953"/>
      <c r="C7534" s="953"/>
      <c r="D7534" s="953"/>
      <c r="E7534" s="953"/>
      <c r="F7534" s="953"/>
      <c r="G7534" s="953"/>
      <c r="H7534" s="953"/>
    </row>
    <row r="7535" spans="1:8" s="943" customFormat="1" x14ac:dyDescent="0.25">
      <c r="A7535" s="952"/>
      <c r="B7535" s="953"/>
      <c r="C7535" s="953"/>
      <c r="D7535" s="953"/>
      <c r="E7535" s="953"/>
      <c r="F7535" s="953"/>
      <c r="G7535" s="953"/>
      <c r="H7535" s="953"/>
    </row>
    <row r="7536" spans="1:8" s="943" customFormat="1" x14ac:dyDescent="0.25">
      <c r="A7536" s="952"/>
      <c r="B7536" s="953"/>
      <c r="C7536" s="953"/>
      <c r="D7536" s="953"/>
      <c r="E7536" s="953"/>
      <c r="F7536" s="953"/>
      <c r="G7536" s="953"/>
      <c r="H7536" s="953"/>
    </row>
    <row r="7537" spans="1:8" s="943" customFormat="1" x14ac:dyDescent="0.25">
      <c r="A7537" s="952"/>
      <c r="B7537" s="953"/>
      <c r="C7537" s="953"/>
      <c r="D7537" s="953"/>
      <c r="E7537" s="953"/>
      <c r="F7537" s="953"/>
      <c r="G7537" s="953"/>
      <c r="H7537" s="953"/>
    </row>
    <row r="7538" spans="1:8" s="943" customFormat="1" x14ac:dyDescent="0.25">
      <c r="A7538" s="952"/>
      <c r="B7538" s="953"/>
      <c r="C7538" s="953"/>
      <c r="D7538" s="953"/>
      <c r="E7538" s="953"/>
      <c r="F7538" s="953"/>
      <c r="G7538" s="953"/>
      <c r="H7538" s="953"/>
    </row>
    <row r="7539" spans="1:8" s="943" customFormat="1" x14ac:dyDescent="0.25">
      <c r="A7539" s="952"/>
      <c r="B7539" s="953"/>
      <c r="C7539" s="953"/>
      <c r="D7539" s="953"/>
      <c r="E7539" s="953"/>
      <c r="F7539" s="953"/>
      <c r="G7539" s="953"/>
      <c r="H7539" s="953"/>
    </row>
    <row r="7540" spans="1:8" s="943" customFormat="1" x14ac:dyDescent="0.25">
      <c r="A7540" s="952"/>
      <c r="B7540" s="953"/>
      <c r="C7540" s="953"/>
      <c r="D7540" s="953"/>
      <c r="E7540" s="953"/>
      <c r="F7540" s="953"/>
      <c r="G7540" s="953"/>
      <c r="H7540" s="953"/>
    </row>
    <row r="7541" spans="1:8" s="943" customFormat="1" x14ac:dyDescent="0.25">
      <c r="A7541" s="952"/>
      <c r="B7541" s="953"/>
      <c r="C7541" s="953"/>
      <c r="D7541" s="953"/>
      <c r="E7541" s="953"/>
      <c r="F7541" s="953"/>
      <c r="G7541" s="953"/>
      <c r="H7541" s="953"/>
    </row>
    <row r="7542" spans="1:8" s="943" customFormat="1" x14ac:dyDescent="0.25">
      <c r="A7542" s="952"/>
      <c r="B7542" s="953"/>
      <c r="C7542" s="953"/>
      <c r="D7542" s="953"/>
      <c r="E7542" s="953"/>
      <c r="F7542" s="953"/>
      <c r="G7542" s="953"/>
      <c r="H7542" s="953"/>
    </row>
    <row r="7543" spans="1:8" s="943" customFormat="1" x14ac:dyDescent="0.25">
      <c r="A7543" s="952"/>
      <c r="B7543" s="953"/>
      <c r="C7543" s="953"/>
      <c r="D7543" s="953"/>
      <c r="E7543" s="953"/>
      <c r="F7543" s="953"/>
      <c r="G7543" s="953"/>
      <c r="H7543" s="953"/>
    </row>
    <row r="7544" spans="1:8" s="943" customFormat="1" x14ac:dyDescent="0.25">
      <c r="A7544" s="952"/>
      <c r="B7544" s="953"/>
      <c r="C7544" s="953"/>
      <c r="D7544" s="953"/>
      <c r="E7544" s="953"/>
      <c r="F7544" s="953"/>
      <c r="G7544" s="953"/>
      <c r="H7544" s="953"/>
    </row>
    <row r="7545" spans="1:8" s="943" customFormat="1" x14ac:dyDescent="0.25">
      <c r="A7545" s="952"/>
      <c r="B7545" s="953"/>
      <c r="C7545" s="953"/>
      <c r="D7545" s="953"/>
      <c r="E7545" s="953"/>
      <c r="F7545" s="953"/>
      <c r="G7545" s="953"/>
      <c r="H7545" s="953"/>
    </row>
    <row r="7546" spans="1:8" s="943" customFormat="1" x14ac:dyDescent="0.25">
      <c r="A7546" s="952"/>
      <c r="B7546" s="953"/>
      <c r="C7546" s="953"/>
      <c r="D7546" s="953"/>
      <c r="E7546" s="953"/>
      <c r="F7546" s="953"/>
      <c r="G7546" s="953"/>
      <c r="H7546" s="953"/>
    </row>
    <row r="7547" spans="1:8" s="943" customFormat="1" x14ac:dyDescent="0.25">
      <c r="A7547" s="952"/>
      <c r="B7547" s="953"/>
      <c r="C7547" s="953"/>
      <c r="D7547" s="953"/>
      <c r="E7547" s="953"/>
      <c r="F7547" s="953"/>
      <c r="G7547" s="953"/>
      <c r="H7547" s="953"/>
    </row>
    <row r="7548" spans="1:8" s="943" customFormat="1" x14ac:dyDescent="0.25">
      <c r="A7548" s="952"/>
      <c r="B7548" s="953"/>
      <c r="C7548" s="953"/>
      <c r="D7548" s="953"/>
      <c r="E7548" s="953"/>
      <c r="F7548" s="953"/>
      <c r="G7548" s="953"/>
      <c r="H7548" s="953"/>
    </row>
    <row r="7549" spans="1:8" s="943" customFormat="1" x14ac:dyDescent="0.25">
      <c r="A7549" s="952"/>
      <c r="B7549" s="953"/>
      <c r="C7549" s="953"/>
      <c r="D7549" s="953"/>
      <c r="E7549" s="953"/>
      <c r="F7549" s="953"/>
      <c r="G7549" s="953"/>
      <c r="H7549" s="953"/>
    </row>
    <row r="7550" spans="1:8" s="943" customFormat="1" x14ac:dyDescent="0.25">
      <c r="A7550" s="952"/>
      <c r="B7550" s="953"/>
      <c r="C7550" s="953"/>
      <c r="D7550" s="953"/>
      <c r="E7550" s="953"/>
      <c r="F7550" s="953"/>
      <c r="G7550" s="953"/>
      <c r="H7550" s="953"/>
    </row>
    <row r="7551" spans="1:8" s="943" customFormat="1" x14ac:dyDescent="0.25">
      <c r="A7551" s="952"/>
      <c r="B7551" s="953"/>
      <c r="C7551" s="953"/>
      <c r="D7551" s="953"/>
      <c r="E7551" s="953"/>
      <c r="F7551" s="953"/>
      <c r="G7551" s="953"/>
      <c r="H7551" s="953"/>
    </row>
    <row r="7552" spans="1:8" s="943" customFormat="1" x14ac:dyDescent="0.25">
      <c r="A7552" s="952"/>
      <c r="B7552" s="953"/>
      <c r="C7552" s="953"/>
      <c r="D7552" s="953"/>
      <c r="E7552" s="953"/>
      <c r="F7552" s="953"/>
      <c r="G7552" s="953"/>
      <c r="H7552" s="953"/>
    </row>
    <row r="7553" spans="1:8" s="943" customFormat="1" x14ac:dyDescent="0.25">
      <c r="A7553" s="952"/>
      <c r="B7553" s="953"/>
      <c r="C7553" s="953"/>
      <c r="D7553" s="953"/>
      <c r="E7553" s="953"/>
      <c r="F7553" s="953"/>
      <c r="G7553" s="953"/>
      <c r="H7553" s="953"/>
    </row>
    <row r="7554" spans="1:8" s="943" customFormat="1" x14ac:dyDescent="0.25">
      <c r="A7554" s="952"/>
      <c r="B7554" s="953"/>
      <c r="C7554" s="953"/>
      <c r="D7554" s="953"/>
      <c r="E7554" s="953"/>
      <c r="F7554" s="953"/>
      <c r="G7554" s="953"/>
      <c r="H7554" s="953"/>
    </row>
    <row r="7555" spans="1:8" s="943" customFormat="1" x14ac:dyDescent="0.25">
      <c r="A7555" s="952"/>
      <c r="B7555" s="953"/>
      <c r="C7555" s="953"/>
      <c r="D7555" s="953"/>
      <c r="E7555" s="953"/>
      <c r="F7555" s="953"/>
      <c r="G7555" s="953"/>
      <c r="H7555" s="953"/>
    </row>
    <row r="7556" spans="1:8" s="943" customFormat="1" x14ac:dyDescent="0.25">
      <c r="A7556" s="952"/>
      <c r="B7556" s="953"/>
      <c r="C7556" s="953"/>
      <c r="D7556" s="953"/>
      <c r="E7556" s="953"/>
      <c r="F7556" s="953"/>
      <c r="G7556" s="953"/>
      <c r="H7556" s="953"/>
    </row>
    <row r="7557" spans="1:8" s="943" customFormat="1" x14ac:dyDescent="0.25">
      <c r="A7557" s="952"/>
      <c r="B7557" s="953"/>
      <c r="C7557" s="953"/>
      <c r="D7557" s="953"/>
      <c r="E7557" s="953"/>
      <c r="F7557" s="953"/>
      <c r="G7557" s="953"/>
      <c r="H7557" s="953"/>
    </row>
    <row r="7558" spans="1:8" s="943" customFormat="1" x14ac:dyDescent="0.25">
      <c r="A7558" s="952"/>
      <c r="B7558" s="953"/>
      <c r="C7558" s="953"/>
      <c r="D7558" s="953"/>
      <c r="E7558" s="953"/>
      <c r="F7558" s="953"/>
      <c r="G7558" s="953"/>
      <c r="H7558" s="953"/>
    </row>
    <row r="7559" spans="1:8" s="943" customFormat="1" x14ac:dyDescent="0.25">
      <c r="A7559" s="952"/>
      <c r="B7559" s="953"/>
      <c r="C7559" s="953"/>
      <c r="D7559" s="953"/>
      <c r="E7559" s="953"/>
      <c r="F7559" s="953"/>
      <c r="G7559" s="953"/>
      <c r="H7559" s="953"/>
    </row>
    <row r="7560" spans="1:8" s="943" customFormat="1" x14ac:dyDescent="0.25">
      <c r="A7560" s="952"/>
      <c r="B7560" s="953"/>
      <c r="C7560" s="953"/>
      <c r="D7560" s="953"/>
      <c r="E7560" s="953"/>
      <c r="F7560" s="953"/>
      <c r="G7560" s="953"/>
      <c r="H7560" s="953"/>
    </row>
    <row r="7561" spans="1:8" s="943" customFormat="1" x14ac:dyDescent="0.25">
      <c r="A7561" s="952"/>
      <c r="B7561" s="953"/>
      <c r="C7561" s="953"/>
      <c r="D7561" s="953"/>
      <c r="E7561" s="953"/>
      <c r="F7561" s="953"/>
      <c r="G7561" s="953"/>
      <c r="H7561" s="953"/>
    </row>
    <row r="7562" spans="1:8" s="943" customFormat="1" x14ac:dyDescent="0.25">
      <c r="A7562" s="952"/>
      <c r="B7562" s="953"/>
      <c r="C7562" s="953"/>
      <c r="D7562" s="953"/>
      <c r="E7562" s="953"/>
      <c r="F7562" s="953"/>
      <c r="G7562" s="953"/>
      <c r="H7562" s="953"/>
    </row>
    <row r="7563" spans="1:8" s="943" customFormat="1" x14ac:dyDescent="0.25">
      <c r="A7563" s="952"/>
      <c r="B7563" s="953"/>
      <c r="C7563" s="953"/>
      <c r="D7563" s="953"/>
      <c r="E7563" s="953"/>
      <c r="F7563" s="953"/>
      <c r="G7563" s="953"/>
      <c r="H7563" s="953"/>
    </row>
    <row r="7564" spans="1:8" s="943" customFormat="1" x14ac:dyDescent="0.25">
      <c r="A7564" s="952"/>
      <c r="B7564" s="953"/>
      <c r="C7564" s="953"/>
      <c r="D7564" s="953"/>
      <c r="E7564" s="953"/>
      <c r="F7564" s="953"/>
      <c r="G7564" s="953"/>
      <c r="H7564" s="953"/>
    </row>
    <row r="7565" spans="1:8" s="943" customFormat="1" x14ac:dyDescent="0.25">
      <c r="A7565" s="952"/>
      <c r="B7565" s="953"/>
      <c r="C7565" s="953"/>
      <c r="D7565" s="953"/>
      <c r="E7565" s="953"/>
      <c r="F7565" s="953"/>
      <c r="G7565" s="953"/>
      <c r="H7565" s="953"/>
    </row>
    <row r="7566" spans="1:8" s="943" customFormat="1" x14ac:dyDescent="0.25">
      <c r="A7566" s="952"/>
      <c r="B7566" s="953"/>
      <c r="C7566" s="953"/>
      <c r="D7566" s="953"/>
      <c r="E7566" s="953"/>
      <c r="F7566" s="953"/>
      <c r="G7566" s="953"/>
      <c r="H7566" s="953"/>
    </row>
    <row r="7567" spans="1:8" s="943" customFormat="1" x14ac:dyDescent="0.25">
      <c r="A7567" s="952"/>
      <c r="B7567" s="953"/>
      <c r="C7567" s="953"/>
      <c r="D7567" s="953"/>
      <c r="E7567" s="953"/>
      <c r="F7567" s="953"/>
      <c r="G7567" s="953"/>
      <c r="H7567" s="953"/>
    </row>
    <row r="7568" spans="1:8" s="943" customFormat="1" x14ac:dyDescent="0.25">
      <c r="A7568" s="952"/>
      <c r="B7568" s="953"/>
      <c r="C7568" s="953"/>
      <c r="D7568" s="953"/>
      <c r="E7568" s="953"/>
      <c r="F7568" s="953"/>
      <c r="G7568" s="953"/>
      <c r="H7568" s="953"/>
    </row>
    <row r="7569" spans="1:8" s="943" customFormat="1" x14ac:dyDescent="0.25">
      <c r="A7569" s="952"/>
      <c r="B7569" s="953"/>
      <c r="C7569" s="953"/>
      <c r="D7569" s="953"/>
      <c r="E7569" s="953"/>
      <c r="F7569" s="953"/>
      <c r="G7569" s="953"/>
      <c r="H7569" s="953"/>
    </row>
    <row r="7570" spans="1:8" s="943" customFormat="1" x14ac:dyDescent="0.25">
      <c r="A7570" s="952"/>
      <c r="B7570" s="953"/>
      <c r="C7570" s="953"/>
      <c r="D7570" s="953"/>
      <c r="E7570" s="953"/>
      <c r="F7570" s="953"/>
      <c r="G7570" s="953"/>
      <c r="H7570" s="953"/>
    </row>
    <row r="7571" spans="1:8" s="943" customFormat="1" x14ac:dyDescent="0.25">
      <c r="A7571" s="952"/>
      <c r="B7571" s="953"/>
      <c r="C7571" s="953"/>
      <c r="D7571" s="953"/>
      <c r="E7571" s="953"/>
      <c r="F7571" s="953"/>
      <c r="G7571" s="953"/>
      <c r="H7571" s="953"/>
    </row>
    <row r="7572" spans="1:8" s="943" customFormat="1" x14ac:dyDescent="0.25">
      <c r="A7572" s="952"/>
      <c r="B7572" s="953"/>
      <c r="C7572" s="953"/>
      <c r="D7572" s="953"/>
      <c r="E7572" s="953"/>
      <c r="F7572" s="953"/>
      <c r="G7572" s="953"/>
      <c r="H7572" s="953"/>
    </row>
    <row r="7573" spans="1:8" s="943" customFormat="1" x14ac:dyDescent="0.25">
      <c r="A7573" s="952"/>
      <c r="B7573" s="953"/>
      <c r="C7573" s="953"/>
      <c r="D7573" s="953"/>
      <c r="E7573" s="953"/>
      <c r="F7573" s="953"/>
      <c r="G7573" s="953"/>
      <c r="H7573" s="953"/>
    </row>
    <row r="7574" spans="1:8" s="943" customFormat="1" x14ac:dyDescent="0.25">
      <c r="A7574" s="952"/>
      <c r="B7574" s="953"/>
      <c r="C7574" s="953"/>
      <c r="D7574" s="953"/>
      <c r="E7574" s="953"/>
      <c r="F7574" s="953"/>
      <c r="G7574" s="953"/>
      <c r="H7574" s="953"/>
    </row>
    <row r="7575" spans="1:8" s="943" customFormat="1" x14ac:dyDescent="0.25">
      <c r="A7575" s="952"/>
      <c r="B7575" s="953"/>
      <c r="C7575" s="953"/>
      <c r="D7575" s="953"/>
      <c r="E7575" s="953"/>
      <c r="F7575" s="953"/>
      <c r="G7575" s="953"/>
      <c r="H7575" s="953"/>
    </row>
    <row r="7576" spans="1:8" s="943" customFormat="1" x14ac:dyDescent="0.25">
      <c r="A7576" s="952"/>
      <c r="B7576" s="953"/>
      <c r="C7576" s="953"/>
      <c r="D7576" s="953"/>
      <c r="E7576" s="953"/>
      <c r="F7576" s="953"/>
      <c r="G7576" s="953"/>
      <c r="H7576" s="953"/>
    </row>
    <row r="7577" spans="1:8" s="943" customFormat="1" x14ac:dyDescent="0.25">
      <c r="A7577" s="952"/>
      <c r="B7577" s="953"/>
      <c r="C7577" s="953"/>
      <c r="D7577" s="953"/>
      <c r="E7577" s="953"/>
      <c r="F7577" s="953"/>
      <c r="G7577" s="953"/>
      <c r="H7577" s="953"/>
    </row>
    <row r="7578" spans="1:8" s="943" customFormat="1" x14ac:dyDescent="0.25">
      <c r="A7578" s="952"/>
      <c r="B7578" s="953"/>
      <c r="C7578" s="953"/>
      <c r="D7578" s="953"/>
      <c r="E7578" s="953"/>
      <c r="F7578" s="953"/>
      <c r="G7578" s="953"/>
      <c r="H7578" s="953"/>
    </row>
    <row r="7579" spans="1:8" s="943" customFormat="1" x14ac:dyDescent="0.25">
      <c r="A7579" s="952"/>
      <c r="B7579" s="953"/>
      <c r="C7579" s="953"/>
      <c r="D7579" s="953"/>
      <c r="E7579" s="953"/>
      <c r="F7579" s="953"/>
      <c r="G7579" s="953"/>
      <c r="H7579" s="953"/>
    </row>
    <row r="7580" spans="1:8" s="943" customFormat="1" x14ac:dyDescent="0.25">
      <c r="A7580" s="952"/>
      <c r="B7580" s="953"/>
      <c r="C7580" s="953"/>
      <c r="D7580" s="953"/>
      <c r="E7580" s="953"/>
      <c r="F7580" s="953"/>
      <c r="G7580" s="953"/>
      <c r="H7580" s="953"/>
    </row>
    <row r="7581" spans="1:8" s="943" customFormat="1" x14ac:dyDescent="0.25">
      <c r="A7581" s="952"/>
      <c r="B7581" s="953"/>
      <c r="C7581" s="953"/>
      <c r="D7581" s="953"/>
      <c r="E7581" s="953"/>
      <c r="F7581" s="953"/>
      <c r="G7581" s="953"/>
      <c r="H7581" s="953"/>
    </row>
    <row r="7582" spans="1:8" s="943" customFormat="1" x14ac:dyDescent="0.25">
      <c r="A7582" s="952"/>
      <c r="B7582" s="953"/>
      <c r="C7582" s="953"/>
      <c r="D7582" s="953"/>
      <c r="E7582" s="953"/>
      <c r="F7582" s="953"/>
      <c r="G7582" s="953"/>
      <c r="H7582" s="953"/>
    </row>
    <row r="7583" spans="1:8" s="943" customFormat="1" x14ac:dyDescent="0.25">
      <c r="A7583" s="952"/>
      <c r="B7583" s="953"/>
      <c r="C7583" s="953"/>
      <c r="D7583" s="953"/>
      <c r="E7583" s="953"/>
      <c r="F7583" s="953"/>
      <c r="G7583" s="953"/>
      <c r="H7583" s="953"/>
    </row>
    <row r="7584" spans="1:8" s="943" customFormat="1" x14ac:dyDescent="0.25">
      <c r="A7584" s="952"/>
      <c r="B7584" s="953"/>
      <c r="C7584" s="953"/>
      <c r="D7584" s="953"/>
      <c r="E7584" s="953"/>
      <c r="F7584" s="953"/>
      <c r="G7584" s="953"/>
      <c r="H7584" s="953"/>
    </row>
    <row r="7585" spans="1:8" s="943" customFormat="1" x14ac:dyDescent="0.25">
      <c r="A7585" s="952"/>
      <c r="B7585" s="953"/>
      <c r="C7585" s="953"/>
      <c r="D7585" s="953"/>
      <c r="E7585" s="953"/>
      <c r="F7585" s="953"/>
      <c r="G7585" s="953"/>
      <c r="H7585" s="953"/>
    </row>
    <row r="7586" spans="1:8" s="943" customFormat="1" x14ac:dyDescent="0.25">
      <c r="A7586" s="952"/>
      <c r="B7586" s="953"/>
      <c r="C7586" s="953"/>
      <c r="D7586" s="953"/>
      <c r="E7586" s="953"/>
      <c r="F7586" s="953"/>
      <c r="G7586" s="953"/>
      <c r="H7586" s="953"/>
    </row>
    <row r="7587" spans="1:8" s="943" customFormat="1" x14ac:dyDescent="0.25">
      <c r="A7587" s="952"/>
      <c r="B7587" s="953"/>
      <c r="C7587" s="953"/>
      <c r="D7587" s="953"/>
      <c r="E7587" s="953"/>
      <c r="F7587" s="953"/>
      <c r="G7587" s="953"/>
      <c r="H7587" s="953"/>
    </row>
    <row r="7588" spans="1:8" s="943" customFormat="1" x14ac:dyDescent="0.25">
      <c r="A7588" s="952"/>
      <c r="B7588" s="953"/>
      <c r="C7588" s="953"/>
      <c r="D7588" s="953"/>
      <c r="E7588" s="953"/>
      <c r="F7588" s="953"/>
      <c r="G7588" s="953"/>
      <c r="H7588" s="953"/>
    </row>
    <row r="7589" spans="1:8" s="943" customFormat="1" x14ac:dyDescent="0.25">
      <c r="A7589" s="952"/>
      <c r="B7589" s="953"/>
      <c r="C7589" s="953"/>
      <c r="D7589" s="953"/>
      <c r="E7589" s="953"/>
      <c r="F7589" s="953"/>
      <c r="G7589" s="953"/>
      <c r="H7589" s="953"/>
    </row>
    <row r="7590" spans="1:8" s="943" customFormat="1" x14ac:dyDescent="0.25">
      <c r="A7590" s="952"/>
      <c r="B7590" s="953"/>
      <c r="C7590" s="953"/>
      <c r="D7590" s="953"/>
      <c r="E7590" s="953"/>
      <c r="F7590" s="953"/>
      <c r="G7590" s="953"/>
      <c r="H7590" s="953"/>
    </row>
    <row r="7591" spans="1:8" s="943" customFormat="1" x14ac:dyDescent="0.25">
      <c r="A7591" s="952"/>
      <c r="B7591" s="953"/>
      <c r="C7591" s="953"/>
      <c r="D7591" s="953"/>
      <c r="E7591" s="953"/>
      <c r="F7591" s="953"/>
      <c r="G7591" s="953"/>
      <c r="H7591" s="953"/>
    </row>
    <row r="7592" spans="1:8" s="943" customFormat="1" x14ac:dyDescent="0.25">
      <c r="A7592" s="952"/>
      <c r="B7592" s="953"/>
      <c r="C7592" s="953"/>
      <c r="D7592" s="953"/>
      <c r="E7592" s="953"/>
      <c r="F7592" s="953"/>
      <c r="G7592" s="953"/>
      <c r="H7592" s="953"/>
    </row>
    <row r="7593" spans="1:8" s="943" customFormat="1" x14ac:dyDescent="0.25">
      <c r="A7593" s="952"/>
      <c r="B7593" s="953"/>
      <c r="C7593" s="953"/>
      <c r="D7593" s="953"/>
      <c r="E7593" s="953"/>
      <c r="F7593" s="953"/>
      <c r="G7593" s="953"/>
      <c r="H7593" s="953"/>
    </row>
    <row r="7594" spans="1:8" s="943" customFormat="1" x14ac:dyDescent="0.25">
      <c r="A7594" s="952"/>
      <c r="B7594" s="953"/>
      <c r="C7594" s="953"/>
      <c r="D7594" s="953"/>
      <c r="E7594" s="953"/>
      <c r="F7594" s="953"/>
      <c r="G7594" s="953"/>
      <c r="H7594" s="953"/>
    </row>
    <row r="7595" spans="1:8" s="943" customFormat="1" x14ac:dyDescent="0.25">
      <c r="A7595" s="952"/>
      <c r="B7595" s="953"/>
      <c r="C7595" s="953"/>
      <c r="D7595" s="953"/>
      <c r="E7595" s="953"/>
      <c r="F7595" s="953"/>
      <c r="G7595" s="953"/>
      <c r="H7595" s="953"/>
    </row>
    <row r="7596" spans="1:8" s="943" customFormat="1" x14ac:dyDescent="0.25">
      <c r="A7596" s="952"/>
      <c r="B7596" s="953"/>
      <c r="C7596" s="953"/>
      <c r="D7596" s="953"/>
      <c r="E7596" s="953"/>
      <c r="F7596" s="953"/>
      <c r="G7596" s="953"/>
      <c r="H7596" s="953"/>
    </row>
    <row r="7597" spans="1:8" s="943" customFormat="1" x14ac:dyDescent="0.25">
      <c r="A7597" s="952"/>
      <c r="B7597" s="953"/>
      <c r="C7597" s="953"/>
      <c r="D7597" s="953"/>
      <c r="E7597" s="953"/>
      <c r="F7597" s="953"/>
      <c r="G7597" s="953"/>
      <c r="H7597" s="953"/>
    </row>
    <row r="7598" spans="1:8" s="943" customFormat="1" x14ac:dyDescent="0.25">
      <c r="A7598" s="952"/>
      <c r="B7598" s="953"/>
      <c r="C7598" s="953"/>
      <c r="D7598" s="953"/>
      <c r="E7598" s="953"/>
      <c r="F7598" s="953"/>
      <c r="G7598" s="953"/>
      <c r="H7598" s="953"/>
    </row>
    <row r="7599" spans="1:8" s="943" customFormat="1" x14ac:dyDescent="0.25">
      <c r="A7599" s="952"/>
      <c r="B7599" s="953"/>
      <c r="C7599" s="953"/>
      <c r="D7599" s="953"/>
      <c r="E7599" s="953"/>
      <c r="F7599" s="953"/>
      <c r="G7599" s="953"/>
      <c r="H7599" s="953"/>
    </row>
    <row r="7600" spans="1:8" s="943" customFormat="1" x14ac:dyDescent="0.25">
      <c r="A7600" s="952"/>
      <c r="B7600" s="953"/>
      <c r="C7600" s="953"/>
      <c r="D7600" s="953"/>
      <c r="E7600" s="953"/>
      <c r="F7600" s="953"/>
      <c r="G7600" s="953"/>
      <c r="H7600" s="953"/>
    </row>
    <row r="7601" spans="1:8" s="943" customFormat="1" x14ac:dyDescent="0.25">
      <c r="A7601" s="952"/>
      <c r="B7601" s="953"/>
      <c r="C7601" s="953"/>
      <c r="D7601" s="953"/>
      <c r="E7601" s="953"/>
      <c r="F7601" s="953"/>
      <c r="G7601" s="953"/>
      <c r="H7601" s="953"/>
    </row>
    <row r="7602" spans="1:8" s="943" customFormat="1" x14ac:dyDescent="0.25">
      <c r="A7602" s="952"/>
      <c r="B7602" s="953"/>
      <c r="C7602" s="953"/>
      <c r="D7602" s="953"/>
      <c r="E7602" s="953"/>
      <c r="F7602" s="953"/>
      <c r="G7602" s="953"/>
      <c r="H7602" s="953"/>
    </row>
    <row r="7603" spans="1:8" s="943" customFormat="1" x14ac:dyDescent="0.25">
      <c r="A7603" s="952"/>
      <c r="B7603" s="953"/>
      <c r="C7603" s="953"/>
      <c r="D7603" s="953"/>
      <c r="E7603" s="953"/>
      <c r="F7603" s="953"/>
      <c r="G7603" s="953"/>
      <c r="H7603" s="953"/>
    </row>
    <row r="7604" spans="1:8" s="943" customFormat="1" x14ac:dyDescent="0.25">
      <c r="A7604" s="952"/>
      <c r="B7604" s="953"/>
      <c r="C7604" s="953"/>
      <c r="D7604" s="953"/>
      <c r="E7604" s="953"/>
      <c r="F7604" s="953"/>
      <c r="G7604" s="953"/>
      <c r="H7604" s="953"/>
    </row>
    <row r="7605" spans="1:8" s="943" customFormat="1" x14ac:dyDescent="0.25">
      <c r="A7605" s="952"/>
      <c r="B7605" s="953"/>
      <c r="C7605" s="953"/>
      <c r="D7605" s="953"/>
      <c r="E7605" s="953"/>
      <c r="F7605" s="953"/>
      <c r="G7605" s="953"/>
      <c r="H7605" s="953"/>
    </row>
    <row r="7606" spans="1:8" s="943" customFormat="1" x14ac:dyDescent="0.25">
      <c r="A7606" s="952"/>
      <c r="B7606" s="953"/>
      <c r="C7606" s="953"/>
      <c r="D7606" s="953"/>
      <c r="E7606" s="953"/>
      <c r="F7606" s="953"/>
      <c r="G7606" s="953"/>
      <c r="H7606" s="953"/>
    </row>
    <row r="7607" spans="1:8" s="943" customFormat="1" x14ac:dyDescent="0.25">
      <c r="A7607" s="952"/>
      <c r="B7607" s="953"/>
      <c r="C7607" s="953"/>
      <c r="D7607" s="953"/>
      <c r="E7607" s="953"/>
      <c r="F7607" s="953"/>
      <c r="G7607" s="953"/>
      <c r="H7607" s="953"/>
    </row>
    <row r="7608" spans="1:8" s="943" customFormat="1" x14ac:dyDescent="0.25">
      <c r="A7608" s="952"/>
      <c r="B7608" s="953"/>
      <c r="C7608" s="953"/>
      <c r="D7608" s="953"/>
      <c r="E7608" s="953"/>
      <c r="F7608" s="953"/>
      <c r="G7608" s="953"/>
      <c r="H7608" s="953"/>
    </row>
    <row r="7609" spans="1:8" s="943" customFormat="1" x14ac:dyDescent="0.25">
      <c r="A7609" s="952"/>
      <c r="B7609" s="953"/>
      <c r="C7609" s="953"/>
      <c r="D7609" s="953"/>
      <c r="E7609" s="953"/>
      <c r="F7609" s="953"/>
      <c r="G7609" s="953"/>
      <c r="H7609" s="953"/>
    </row>
    <row r="7610" spans="1:8" s="943" customFormat="1" x14ac:dyDescent="0.25">
      <c r="A7610" s="952"/>
      <c r="B7610" s="953"/>
      <c r="C7610" s="953"/>
      <c r="D7610" s="953"/>
      <c r="E7610" s="953"/>
      <c r="F7610" s="953"/>
      <c r="G7610" s="953"/>
      <c r="H7610" s="953"/>
    </row>
    <row r="7611" spans="1:8" s="943" customFormat="1" x14ac:dyDescent="0.25">
      <c r="A7611" s="952"/>
      <c r="B7611" s="953"/>
      <c r="C7611" s="953"/>
      <c r="D7611" s="953"/>
      <c r="E7611" s="953"/>
      <c r="F7611" s="953"/>
      <c r="G7611" s="953"/>
      <c r="H7611" s="953"/>
    </row>
    <row r="7612" spans="1:8" s="943" customFormat="1" x14ac:dyDescent="0.25">
      <c r="A7612" s="952"/>
      <c r="B7612" s="953"/>
      <c r="C7612" s="953"/>
      <c r="D7612" s="953"/>
      <c r="E7612" s="953"/>
      <c r="F7612" s="953"/>
      <c r="G7612" s="953"/>
      <c r="H7612" s="953"/>
    </row>
    <row r="7613" spans="1:8" s="943" customFormat="1" x14ac:dyDescent="0.25">
      <c r="A7613" s="952"/>
      <c r="B7613" s="953"/>
      <c r="C7613" s="953"/>
      <c r="D7613" s="953"/>
      <c r="E7613" s="953"/>
      <c r="F7613" s="953"/>
      <c r="G7613" s="953"/>
      <c r="H7613" s="953"/>
    </row>
    <row r="7614" spans="1:8" s="943" customFormat="1" x14ac:dyDescent="0.25">
      <c r="A7614" s="952"/>
      <c r="B7614" s="953"/>
      <c r="C7614" s="953"/>
      <c r="D7614" s="953"/>
      <c r="E7614" s="953"/>
      <c r="F7614" s="953"/>
      <c r="G7614" s="953"/>
      <c r="H7614" s="953"/>
    </row>
    <row r="7615" spans="1:8" s="943" customFormat="1" x14ac:dyDescent="0.25">
      <c r="A7615" s="952"/>
      <c r="B7615" s="953"/>
      <c r="C7615" s="953"/>
      <c r="D7615" s="953"/>
      <c r="E7615" s="953"/>
      <c r="F7615" s="953"/>
      <c r="G7615" s="953"/>
      <c r="H7615" s="953"/>
    </row>
    <row r="7616" spans="1:8" s="943" customFormat="1" x14ac:dyDescent="0.25">
      <c r="A7616" s="952"/>
      <c r="B7616" s="953"/>
      <c r="C7616" s="953"/>
      <c r="D7616" s="953"/>
      <c r="E7616" s="953"/>
      <c r="F7616" s="953"/>
      <c r="G7616" s="953"/>
      <c r="H7616" s="953"/>
    </row>
    <row r="7617" spans="1:8" s="943" customFormat="1" x14ac:dyDescent="0.25">
      <c r="A7617" s="952"/>
      <c r="B7617" s="953"/>
      <c r="C7617" s="953"/>
      <c r="D7617" s="953"/>
      <c r="E7617" s="953"/>
      <c r="F7617" s="953"/>
      <c r="G7617" s="953"/>
      <c r="H7617" s="953"/>
    </row>
    <row r="7618" spans="1:8" s="943" customFormat="1" x14ac:dyDescent="0.25">
      <c r="A7618" s="952"/>
      <c r="B7618" s="953"/>
      <c r="C7618" s="953"/>
      <c r="D7618" s="953"/>
      <c r="E7618" s="953"/>
      <c r="F7618" s="953"/>
      <c r="G7618" s="953"/>
      <c r="H7618" s="953"/>
    </row>
    <row r="7619" spans="1:8" s="943" customFormat="1" x14ac:dyDescent="0.25">
      <c r="A7619" s="952"/>
      <c r="B7619" s="953"/>
      <c r="C7619" s="953"/>
      <c r="D7619" s="953"/>
      <c r="E7619" s="953"/>
      <c r="F7619" s="953"/>
      <c r="G7619" s="953"/>
      <c r="H7619" s="953"/>
    </row>
    <row r="7620" spans="1:8" s="943" customFormat="1" x14ac:dyDescent="0.25">
      <c r="A7620" s="952"/>
      <c r="B7620" s="953"/>
      <c r="C7620" s="953"/>
      <c r="D7620" s="953"/>
      <c r="E7620" s="953"/>
      <c r="F7620" s="953"/>
      <c r="G7620" s="953"/>
      <c r="H7620" s="953"/>
    </row>
    <row r="7621" spans="1:8" s="943" customFormat="1" x14ac:dyDescent="0.25">
      <c r="A7621" s="952"/>
      <c r="B7621" s="953"/>
      <c r="C7621" s="953"/>
      <c r="D7621" s="953"/>
      <c r="E7621" s="953"/>
      <c r="F7621" s="953"/>
      <c r="G7621" s="953"/>
      <c r="H7621" s="953"/>
    </row>
    <row r="7622" spans="1:8" s="943" customFormat="1" x14ac:dyDescent="0.25">
      <c r="A7622" s="952"/>
      <c r="B7622" s="953"/>
      <c r="C7622" s="953"/>
      <c r="D7622" s="953"/>
      <c r="E7622" s="953"/>
      <c r="F7622" s="953"/>
      <c r="G7622" s="953"/>
      <c r="H7622" s="953"/>
    </row>
    <row r="7623" spans="1:8" s="943" customFormat="1" x14ac:dyDescent="0.25">
      <c r="A7623" s="952"/>
      <c r="B7623" s="953"/>
      <c r="C7623" s="953"/>
      <c r="D7623" s="953"/>
      <c r="E7623" s="953"/>
      <c r="F7623" s="953"/>
      <c r="G7623" s="953"/>
      <c r="H7623" s="953"/>
    </row>
    <row r="7624" spans="1:8" s="943" customFormat="1" x14ac:dyDescent="0.25">
      <c r="A7624" s="952"/>
      <c r="B7624" s="953"/>
      <c r="C7624" s="953"/>
      <c r="D7624" s="953"/>
      <c r="E7624" s="953"/>
      <c r="F7624" s="953"/>
      <c r="G7624" s="953"/>
      <c r="H7624" s="953"/>
    </row>
    <row r="7625" spans="1:8" s="943" customFormat="1" x14ac:dyDescent="0.25">
      <c r="A7625" s="952"/>
      <c r="B7625" s="953"/>
      <c r="C7625" s="953"/>
      <c r="D7625" s="953"/>
      <c r="E7625" s="953"/>
      <c r="F7625" s="953"/>
      <c r="G7625" s="953"/>
      <c r="H7625" s="953"/>
    </row>
    <row r="7626" spans="1:8" s="943" customFormat="1" x14ac:dyDescent="0.25">
      <c r="A7626" s="952"/>
      <c r="B7626" s="953"/>
      <c r="C7626" s="953"/>
      <c r="D7626" s="953"/>
      <c r="E7626" s="953"/>
      <c r="F7626" s="953"/>
      <c r="G7626" s="953"/>
      <c r="H7626" s="953"/>
    </row>
    <row r="7627" spans="1:8" s="943" customFormat="1" x14ac:dyDescent="0.25">
      <c r="A7627" s="952"/>
      <c r="B7627" s="953"/>
      <c r="C7627" s="953"/>
      <c r="D7627" s="953"/>
      <c r="E7627" s="953"/>
      <c r="F7627" s="953"/>
      <c r="G7627" s="953"/>
      <c r="H7627" s="953"/>
    </row>
    <row r="7628" spans="1:8" s="943" customFormat="1" x14ac:dyDescent="0.25">
      <c r="A7628" s="952"/>
      <c r="B7628" s="953"/>
      <c r="C7628" s="953"/>
      <c r="D7628" s="953"/>
      <c r="E7628" s="953"/>
      <c r="F7628" s="953"/>
      <c r="G7628" s="953"/>
      <c r="H7628" s="953"/>
    </row>
    <row r="7629" spans="1:8" s="943" customFormat="1" x14ac:dyDescent="0.25">
      <c r="A7629" s="952"/>
      <c r="B7629" s="953"/>
      <c r="C7629" s="953"/>
      <c r="D7629" s="953"/>
      <c r="E7629" s="953"/>
      <c r="F7629" s="953"/>
      <c r="G7629" s="953"/>
      <c r="H7629" s="953"/>
    </row>
    <row r="7630" spans="1:8" s="943" customFormat="1" x14ac:dyDescent="0.25">
      <c r="A7630" s="952"/>
      <c r="B7630" s="953"/>
      <c r="C7630" s="953"/>
      <c r="D7630" s="953"/>
      <c r="E7630" s="953"/>
      <c r="F7630" s="953"/>
      <c r="G7630" s="953"/>
      <c r="H7630" s="953"/>
    </row>
    <row r="7631" spans="1:8" s="943" customFormat="1" x14ac:dyDescent="0.25">
      <c r="A7631" s="952"/>
      <c r="B7631" s="953"/>
      <c r="C7631" s="953"/>
      <c r="D7631" s="953"/>
      <c r="E7631" s="953"/>
      <c r="F7631" s="953"/>
      <c r="G7631" s="953"/>
      <c r="H7631" s="953"/>
    </row>
    <row r="7632" spans="1:8" s="943" customFormat="1" x14ac:dyDescent="0.25">
      <c r="A7632" s="952"/>
      <c r="B7632" s="953"/>
      <c r="C7632" s="953"/>
      <c r="D7632" s="953"/>
      <c r="E7632" s="953"/>
      <c r="F7632" s="953"/>
      <c r="G7632" s="953"/>
      <c r="H7632" s="953"/>
    </row>
    <row r="7633" spans="1:8" s="943" customFormat="1" x14ac:dyDescent="0.25">
      <c r="A7633" s="952"/>
      <c r="B7633" s="953"/>
      <c r="C7633" s="953"/>
      <c r="D7633" s="953"/>
      <c r="E7633" s="953"/>
      <c r="F7633" s="953"/>
      <c r="G7633" s="953"/>
      <c r="H7633" s="953"/>
    </row>
    <row r="7634" spans="1:8" s="943" customFormat="1" x14ac:dyDescent="0.25">
      <c r="A7634" s="952"/>
      <c r="B7634" s="953"/>
      <c r="C7634" s="953"/>
      <c r="D7634" s="953"/>
      <c r="E7634" s="953"/>
      <c r="F7634" s="953"/>
      <c r="G7634" s="953"/>
      <c r="H7634" s="953"/>
    </row>
    <row r="7635" spans="1:8" s="943" customFormat="1" x14ac:dyDescent="0.25">
      <c r="A7635" s="952"/>
      <c r="B7635" s="953"/>
      <c r="C7635" s="953"/>
      <c r="D7635" s="953"/>
      <c r="E7635" s="953"/>
      <c r="F7635" s="953"/>
      <c r="G7635" s="953"/>
      <c r="H7635" s="953"/>
    </row>
    <row r="7636" spans="1:8" s="943" customFormat="1" x14ac:dyDescent="0.25">
      <c r="A7636" s="952"/>
      <c r="B7636" s="953"/>
      <c r="C7636" s="953"/>
      <c r="D7636" s="953"/>
      <c r="E7636" s="953"/>
      <c r="F7636" s="953"/>
      <c r="G7636" s="953"/>
      <c r="H7636" s="953"/>
    </row>
    <row r="7637" spans="1:8" s="943" customFormat="1" x14ac:dyDescent="0.25">
      <c r="A7637" s="952"/>
      <c r="B7637" s="953"/>
      <c r="C7637" s="953"/>
      <c r="D7637" s="953"/>
      <c r="E7637" s="953"/>
      <c r="F7637" s="953"/>
      <c r="G7637" s="953"/>
      <c r="H7637" s="953"/>
    </row>
    <row r="7638" spans="1:8" s="943" customFormat="1" x14ac:dyDescent="0.25">
      <c r="A7638" s="952"/>
      <c r="B7638" s="953"/>
      <c r="C7638" s="953"/>
      <c r="D7638" s="953"/>
      <c r="E7638" s="953"/>
      <c r="F7638" s="953"/>
      <c r="G7638" s="953"/>
      <c r="H7638" s="953"/>
    </row>
    <row r="7639" spans="1:8" s="943" customFormat="1" x14ac:dyDescent="0.25">
      <c r="A7639" s="952"/>
      <c r="B7639" s="953"/>
      <c r="C7639" s="953"/>
      <c r="D7639" s="953"/>
      <c r="E7639" s="953"/>
      <c r="F7639" s="953"/>
      <c r="G7639" s="953"/>
      <c r="H7639" s="953"/>
    </row>
    <row r="7640" spans="1:8" s="943" customFormat="1" x14ac:dyDescent="0.25">
      <c r="A7640" s="952"/>
      <c r="B7640" s="953"/>
      <c r="C7640" s="953"/>
      <c r="D7640" s="953"/>
      <c r="E7640" s="953"/>
      <c r="F7640" s="953"/>
      <c r="G7640" s="953"/>
      <c r="H7640" s="953"/>
    </row>
    <row r="7641" spans="1:8" s="943" customFormat="1" x14ac:dyDescent="0.25">
      <c r="A7641" s="952"/>
      <c r="B7641" s="953"/>
      <c r="C7641" s="953"/>
      <c r="D7641" s="953"/>
      <c r="E7641" s="953"/>
      <c r="F7641" s="953"/>
      <c r="G7641" s="953"/>
      <c r="H7641" s="953"/>
    </row>
    <row r="7642" spans="1:8" s="943" customFormat="1" x14ac:dyDescent="0.25">
      <c r="A7642" s="952"/>
      <c r="B7642" s="953"/>
      <c r="C7642" s="953"/>
      <c r="D7642" s="953"/>
      <c r="E7642" s="953"/>
      <c r="F7642" s="953"/>
      <c r="G7642" s="953"/>
      <c r="H7642" s="953"/>
    </row>
    <row r="7643" spans="1:8" s="943" customFormat="1" x14ac:dyDescent="0.25">
      <c r="A7643" s="952"/>
      <c r="B7643" s="953"/>
      <c r="C7643" s="953"/>
      <c r="D7643" s="953"/>
      <c r="E7643" s="953"/>
      <c r="F7643" s="953"/>
      <c r="G7643" s="953"/>
      <c r="H7643" s="953"/>
    </row>
    <row r="7644" spans="1:8" s="943" customFormat="1" x14ac:dyDescent="0.25">
      <c r="A7644" s="952"/>
      <c r="B7644" s="953"/>
      <c r="C7644" s="953"/>
      <c r="D7644" s="953"/>
      <c r="E7644" s="953"/>
      <c r="F7644" s="953"/>
      <c r="G7644" s="953"/>
      <c r="H7644" s="953"/>
    </row>
    <row r="7645" spans="1:8" s="943" customFormat="1" x14ac:dyDescent="0.25">
      <c r="A7645" s="952"/>
      <c r="B7645" s="953"/>
      <c r="C7645" s="953"/>
      <c r="D7645" s="953"/>
      <c r="E7645" s="953"/>
      <c r="F7645" s="953"/>
      <c r="G7645" s="953"/>
      <c r="H7645" s="953"/>
    </row>
    <row r="7646" spans="1:8" s="943" customFormat="1" x14ac:dyDescent="0.25">
      <c r="A7646" s="952"/>
      <c r="B7646" s="953"/>
      <c r="C7646" s="953"/>
      <c r="D7646" s="953"/>
      <c r="E7646" s="953"/>
      <c r="F7646" s="953"/>
      <c r="G7646" s="953"/>
      <c r="H7646" s="953"/>
    </row>
    <row r="7647" spans="1:8" s="943" customFormat="1" x14ac:dyDescent="0.25">
      <c r="A7647" s="952"/>
      <c r="B7647" s="953"/>
      <c r="C7647" s="953"/>
      <c r="D7647" s="953"/>
      <c r="E7647" s="953"/>
      <c r="F7647" s="953"/>
      <c r="G7647" s="953"/>
      <c r="H7647" s="953"/>
    </row>
    <row r="7648" spans="1:8" s="943" customFormat="1" x14ac:dyDescent="0.25">
      <c r="A7648" s="952"/>
      <c r="B7648" s="953"/>
      <c r="C7648" s="953"/>
      <c r="D7648" s="953"/>
      <c r="E7648" s="953"/>
      <c r="F7648" s="953"/>
      <c r="G7648" s="953"/>
      <c r="H7648" s="953"/>
    </row>
    <row r="7649" spans="1:8" s="943" customFormat="1" x14ac:dyDescent="0.25">
      <c r="A7649" s="952"/>
      <c r="B7649" s="953"/>
      <c r="C7649" s="953"/>
      <c r="D7649" s="953"/>
      <c r="E7649" s="953"/>
      <c r="F7649" s="953"/>
      <c r="G7649" s="953"/>
      <c r="H7649" s="953"/>
    </row>
    <row r="7650" spans="1:8" s="943" customFormat="1" x14ac:dyDescent="0.25">
      <c r="A7650" s="952"/>
      <c r="B7650" s="953"/>
      <c r="C7650" s="953"/>
      <c r="D7650" s="953"/>
      <c r="E7650" s="953"/>
      <c r="F7650" s="953"/>
      <c r="G7650" s="953"/>
      <c r="H7650" s="953"/>
    </row>
    <row r="7651" spans="1:8" s="943" customFormat="1" x14ac:dyDescent="0.25">
      <c r="A7651" s="952"/>
      <c r="B7651" s="953"/>
      <c r="C7651" s="953"/>
      <c r="D7651" s="953"/>
      <c r="E7651" s="953"/>
      <c r="F7651" s="953"/>
      <c r="G7651" s="953"/>
      <c r="H7651" s="953"/>
    </row>
    <row r="7652" spans="1:8" s="943" customFormat="1" x14ac:dyDescent="0.25">
      <c r="A7652" s="952"/>
      <c r="B7652" s="953"/>
      <c r="C7652" s="953"/>
      <c r="D7652" s="953"/>
      <c r="E7652" s="953"/>
      <c r="F7652" s="953"/>
      <c r="G7652" s="953"/>
      <c r="H7652" s="953"/>
    </row>
    <row r="7653" spans="1:8" s="943" customFormat="1" x14ac:dyDescent="0.25">
      <c r="A7653" s="952"/>
      <c r="B7653" s="953"/>
      <c r="C7653" s="953"/>
      <c r="D7653" s="953"/>
      <c r="E7653" s="953"/>
      <c r="F7653" s="953"/>
      <c r="G7653" s="953"/>
      <c r="H7653" s="953"/>
    </row>
    <row r="7654" spans="1:8" s="943" customFormat="1" x14ac:dyDescent="0.25">
      <c r="A7654" s="952"/>
      <c r="B7654" s="953"/>
      <c r="C7654" s="953"/>
      <c r="D7654" s="953"/>
      <c r="E7654" s="953"/>
      <c r="F7654" s="953"/>
      <c r="G7654" s="953"/>
      <c r="H7654" s="953"/>
    </row>
    <row r="7655" spans="1:8" s="943" customFormat="1" x14ac:dyDescent="0.25">
      <c r="A7655" s="952"/>
      <c r="B7655" s="953"/>
      <c r="C7655" s="953"/>
      <c r="D7655" s="953"/>
      <c r="E7655" s="953"/>
      <c r="F7655" s="953"/>
      <c r="G7655" s="953"/>
      <c r="H7655" s="953"/>
    </row>
    <row r="7656" spans="1:8" s="943" customFormat="1" x14ac:dyDescent="0.25">
      <c r="A7656" s="952"/>
      <c r="B7656" s="953"/>
      <c r="C7656" s="953"/>
      <c r="D7656" s="953"/>
      <c r="E7656" s="953"/>
      <c r="F7656" s="953"/>
      <c r="G7656" s="953"/>
      <c r="H7656" s="953"/>
    </row>
    <row r="7657" spans="1:8" s="943" customFormat="1" x14ac:dyDescent="0.25">
      <c r="A7657" s="952"/>
      <c r="B7657" s="953"/>
      <c r="C7657" s="953"/>
      <c r="D7657" s="953"/>
      <c r="E7657" s="953"/>
      <c r="F7657" s="953"/>
      <c r="G7657" s="953"/>
      <c r="H7657" s="953"/>
    </row>
    <row r="7658" spans="1:8" s="943" customFormat="1" x14ac:dyDescent="0.25">
      <c r="A7658" s="952"/>
      <c r="B7658" s="953"/>
      <c r="C7658" s="953"/>
      <c r="D7658" s="953"/>
      <c r="E7658" s="953"/>
      <c r="F7658" s="953"/>
      <c r="G7658" s="953"/>
      <c r="H7658" s="953"/>
    </row>
    <row r="7659" spans="1:8" s="943" customFormat="1" x14ac:dyDescent="0.25">
      <c r="A7659" s="952"/>
      <c r="B7659" s="953"/>
      <c r="C7659" s="953"/>
      <c r="D7659" s="953"/>
      <c r="E7659" s="953"/>
      <c r="F7659" s="953"/>
      <c r="G7659" s="953"/>
      <c r="H7659" s="953"/>
    </row>
    <row r="7660" spans="1:8" s="943" customFormat="1" x14ac:dyDescent="0.25">
      <c r="A7660" s="952"/>
      <c r="B7660" s="953"/>
      <c r="C7660" s="953"/>
      <c r="D7660" s="953"/>
      <c r="E7660" s="953"/>
      <c r="F7660" s="953"/>
      <c r="G7660" s="953"/>
      <c r="H7660" s="953"/>
    </row>
    <row r="7661" spans="1:8" s="943" customFormat="1" x14ac:dyDescent="0.25">
      <c r="A7661" s="952"/>
      <c r="B7661" s="953"/>
      <c r="C7661" s="953"/>
      <c r="D7661" s="953"/>
      <c r="E7661" s="953"/>
      <c r="F7661" s="953"/>
      <c r="G7661" s="953"/>
      <c r="H7661" s="953"/>
    </row>
    <row r="7662" spans="1:8" s="943" customFormat="1" x14ac:dyDescent="0.25">
      <c r="A7662" s="952"/>
      <c r="B7662" s="953"/>
      <c r="C7662" s="953"/>
      <c r="D7662" s="953"/>
      <c r="E7662" s="953"/>
      <c r="F7662" s="953"/>
      <c r="G7662" s="953"/>
      <c r="H7662" s="953"/>
    </row>
    <row r="7663" spans="1:8" s="943" customFormat="1" x14ac:dyDescent="0.25">
      <c r="A7663" s="952"/>
      <c r="B7663" s="953"/>
      <c r="C7663" s="953"/>
      <c r="D7663" s="953"/>
      <c r="E7663" s="953"/>
      <c r="F7663" s="953"/>
      <c r="G7663" s="953"/>
      <c r="H7663" s="953"/>
    </row>
    <row r="7664" spans="1:8" s="943" customFormat="1" x14ac:dyDescent="0.25">
      <c r="A7664" s="952"/>
      <c r="B7664" s="953"/>
      <c r="C7664" s="953"/>
      <c r="D7664" s="953"/>
      <c r="E7664" s="953"/>
      <c r="F7664" s="953"/>
      <c r="G7664" s="953"/>
      <c r="H7664" s="953"/>
    </row>
    <row r="7665" spans="1:8" s="943" customFormat="1" x14ac:dyDescent="0.25">
      <c r="A7665" s="952"/>
      <c r="B7665" s="953"/>
      <c r="C7665" s="953"/>
      <c r="D7665" s="953"/>
      <c r="E7665" s="953"/>
      <c r="F7665" s="953"/>
      <c r="G7665" s="953"/>
      <c r="H7665" s="953"/>
    </row>
    <row r="7666" spans="1:8" s="943" customFormat="1" x14ac:dyDescent="0.25">
      <c r="A7666" s="952"/>
      <c r="B7666" s="953"/>
      <c r="C7666" s="953"/>
      <c r="D7666" s="953"/>
      <c r="E7666" s="953"/>
      <c r="F7666" s="953"/>
      <c r="G7666" s="953"/>
      <c r="H7666" s="953"/>
    </row>
    <row r="7667" spans="1:8" s="943" customFormat="1" x14ac:dyDescent="0.25">
      <c r="A7667" s="952"/>
      <c r="B7667" s="953"/>
      <c r="C7667" s="953"/>
      <c r="D7667" s="953"/>
      <c r="E7667" s="953"/>
      <c r="F7667" s="953"/>
      <c r="G7667" s="953"/>
      <c r="H7667" s="953"/>
    </row>
    <row r="7668" spans="1:8" s="943" customFormat="1" x14ac:dyDescent="0.25">
      <c r="A7668" s="952"/>
      <c r="B7668" s="953"/>
      <c r="C7668" s="953"/>
      <c r="D7668" s="953"/>
      <c r="E7668" s="953"/>
      <c r="F7668" s="953"/>
      <c r="G7668" s="953"/>
      <c r="H7668" s="953"/>
    </row>
    <row r="7669" spans="1:8" s="943" customFormat="1" x14ac:dyDescent="0.25">
      <c r="A7669" s="952"/>
      <c r="B7669" s="953"/>
      <c r="C7669" s="953"/>
      <c r="D7669" s="953"/>
      <c r="E7669" s="953"/>
      <c r="F7669" s="953"/>
      <c r="G7669" s="953"/>
      <c r="H7669" s="953"/>
    </row>
    <row r="7670" spans="1:8" s="943" customFormat="1" x14ac:dyDescent="0.25">
      <c r="A7670" s="952"/>
      <c r="B7670" s="953"/>
      <c r="C7670" s="953"/>
      <c r="D7670" s="953"/>
      <c r="E7670" s="953"/>
      <c r="F7670" s="953"/>
      <c r="G7670" s="953"/>
      <c r="H7670" s="953"/>
    </row>
    <row r="7671" spans="1:8" s="943" customFormat="1" x14ac:dyDescent="0.25">
      <c r="A7671" s="952"/>
      <c r="B7671" s="953"/>
      <c r="C7671" s="953"/>
      <c r="D7671" s="953"/>
      <c r="E7671" s="953"/>
      <c r="F7671" s="953"/>
      <c r="G7671" s="953"/>
      <c r="H7671" s="953"/>
    </row>
    <row r="7672" spans="1:8" s="943" customFormat="1" x14ac:dyDescent="0.25">
      <c r="A7672" s="952"/>
      <c r="B7672" s="953"/>
      <c r="C7672" s="953"/>
      <c r="D7672" s="953"/>
      <c r="E7672" s="953"/>
      <c r="F7672" s="953"/>
      <c r="G7672" s="953"/>
      <c r="H7672" s="953"/>
    </row>
    <row r="7673" spans="1:8" s="943" customFormat="1" x14ac:dyDescent="0.25">
      <c r="A7673" s="952"/>
      <c r="B7673" s="953"/>
      <c r="C7673" s="953"/>
      <c r="D7673" s="953"/>
      <c r="E7673" s="953"/>
      <c r="F7673" s="953"/>
      <c r="G7673" s="953"/>
      <c r="H7673" s="953"/>
    </row>
    <row r="7674" spans="1:8" s="943" customFormat="1" x14ac:dyDescent="0.25">
      <c r="A7674" s="952"/>
      <c r="B7674" s="953"/>
      <c r="C7674" s="953"/>
      <c r="D7674" s="953"/>
      <c r="E7674" s="953"/>
      <c r="F7674" s="953"/>
      <c r="G7674" s="953"/>
      <c r="H7674" s="953"/>
    </row>
    <row r="7675" spans="1:8" s="943" customFormat="1" x14ac:dyDescent="0.25">
      <c r="A7675" s="952"/>
      <c r="B7675" s="953"/>
      <c r="C7675" s="953"/>
      <c r="D7675" s="953"/>
      <c r="E7675" s="953"/>
      <c r="F7675" s="953"/>
      <c r="G7675" s="953"/>
      <c r="H7675" s="953"/>
    </row>
    <row r="7676" spans="1:8" s="943" customFormat="1" x14ac:dyDescent="0.25">
      <c r="A7676" s="952"/>
      <c r="B7676" s="953"/>
      <c r="C7676" s="953"/>
      <c r="D7676" s="953"/>
      <c r="E7676" s="953"/>
      <c r="F7676" s="953"/>
      <c r="G7676" s="953"/>
      <c r="H7676" s="953"/>
    </row>
    <row r="7677" spans="1:8" s="943" customFormat="1" x14ac:dyDescent="0.25">
      <c r="A7677" s="952"/>
      <c r="B7677" s="953"/>
      <c r="C7677" s="953"/>
      <c r="D7677" s="953"/>
      <c r="E7677" s="953"/>
      <c r="F7677" s="953"/>
      <c r="G7677" s="953"/>
      <c r="H7677" s="953"/>
    </row>
    <row r="7678" spans="1:8" s="943" customFormat="1" x14ac:dyDescent="0.25">
      <c r="A7678" s="952"/>
      <c r="B7678" s="953"/>
      <c r="C7678" s="953"/>
      <c r="D7678" s="953"/>
      <c r="E7678" s="953"/>
      <c r="F7678" s="953"/>
      <c r="G7678" s="953"/>
      <c r="H7678" s="953"/>
    </row>
    <row r="7679" spans="1:8" s="943" customFormat="1" x14ac:dyDescent="0.25">
      <c r="A7679" s="952"/>
      <c r="B7679" s="953"/>
      <c r="C7679" s="953"/>
      <c r="D7679" s="953"/>
      <c r="E7679" s="953"/>
      <c r="F7679" s="953"/>
      <c r="G7679" s="953"/>
      <c r="H7679" s="953"/>
    </row>
    <row r="7680" spans="1:8" s="943" customFormat="1" x14ac:dyDescent="0.25">
      <c r="A7680" s="952"/>
      <c r="B7680" s="953"/>
      <c r="C7680" s="953"/>
      <c r="D7680" s="953"/>
      <c r="E7680" s="953"/>
      <c r="F7680" s="953"/>
      <c r="G7680" s="953"/>
      <c r="H7680" s="953"/>
    </row>
    <row r="7681" spans="1:8" s="943" customFormat="1" x14ac:dyDescent="0.25">
      <c r="A7681" s="952"/>
      <c r="B7681" s="953"/>
      <c r="C7681" s="953"/>
      <c r="D7681" s="953"/>
      <c r="E7681" s="953"/>
      <c r="F7681" s="953"/>
      <c r="G7681" s="953"/>
      <c r="H7681" s="953"/>
    </row>
    <row r="7682" spans="1:8" s="943" customFormat="1" x14ac:dyDescent="0.25">
      <c r="A7682" s="952"/>
      <c r="B7682" s="953"/>
      <c r="C7682" s="953"/>
      <c r="D7682" s="953"/>
      <c r="E7682" s="953"/>
      <c r="F7682" s="953"/>
      <c r="G7682" s="953"/>
      <c r="H7682" s="953"/>
    </row>
    <row r="7683" spans="1:8" s="943" customFormat="1" x14ac:dyDescent="0.25">
      <c r="A7683" s="952"/>
      <c r="B7683" s="953"/>
      <c r="C7683" s="953"/>
      <c r="D7683" s="953"/>
      <c r="E7683" s="953"/>
      <c r="F7683" s="953"/>
      <c r="G7683" s="953"/>
      <c r="H7683" s="953"/>
    </row>
    <row r="7684" spans="1:8" s="943" customFormat="1" x14ac:dyDescent="0.25">
      <c r="A7684" s="952"/>
      <c r="B7684" s="953"/>
      <c r="C7684" s="953"/>
      <c r="D7684" s="953"/>
      <c r="E7684" s="953"/>
      <c r="F7684" s="953"/>
      <c r="G7684" s="953"/>
      <c r="H7684" s="953"/>
    </row>
    <row r="7685" spans="1:8" s="943" customFormat="1" x14ac:dyDescent="0.25">
      <c r="A7685" s="952"/>
      <c r="B7685" s="953"/>
      <c r="C7685" s="953"/>
      <c r="D7685" s="953"/>
      <c r="E7685" s="953"/>
      <c r="F7685" s="953"/>
      <c r="G7685" s="953"/>
      <c r="H7685" s="953"/>
    </row>
    <row r="7686" spans="1:8" s="943" customFormat="1" x14ac:dyDescent="0.25">
      <c r="A7686" s="952"/>
      <c r="B7686" s="953"/>
      <c r="C7686" s="953"/>
      <c r="D7686" s="953"/>
      <c r="E7686" s="953"/>
      <c r="F7686" s="953"/>
      <c r="G7686" s="953"/>
      <c r="H7686" s="953"/>
    </row>
    <row r="7687" spans="1:8" s="943" customFormat="1" x14ac:dyDescent="0.25">
      <c r="A7687" s="952"/>
      <c r="B7687" s="953"/>
      <c r="C7687" s="953"/>
      <c r="D7687" s="953"/>
      <c r="E7687" s="953"/>
      <c r="F7687" s="953"/>
      <c r="G7687" s="953"/>
      <c r="H7687" s="953"/>
    </row>
    <row r="7688" spans="1:8" s="943" customFormat="1" x14ac:dyDescent="0.25">
      <c r="A7688" s="952"/>
      <c r="B7688" s="953"/>
      <c r="C7688" s="953"/>
      <c r="D7688" s="953"/>
      <c r="E7688" s="953"/>
      <c r="F7688" s="953"/>
      <c r="G7688" s="953"/>
      <c r="H7688" s="953"/>
    </row>
    <row r="7689" spans="1:8" s="943" customFormat="1" x14ac:dyDescent="0.25">
      <c r="A7689" s="952"/>
      <c r="B7689" s="953"/>
      <c r="C7689" s="953"/>
      <c r="D7689" s="953"/>
      <c r="E7689" s="953"/>
      <c r="F7689" s="953"/>
      <c r="G7689" s="953"/>
      <c r="H7689" s="953"/>
    </row>
    <row r="7690" spans="1:8" s="943" customFormat="1" x14ac:dyDescent="0.25">
      <c r="A7690" s="952"/>
      <c r="B7690" s="953"/>
      <c r="C7690" s="953"/>
      <c r="D7690" s="953"/>
      <c r="E7690" s="953"/>
      <c r="F7690" s="953"/>
      <c r="G7690" s="953"/>
      <c r="H7690" s="953"/>
    </row>
    <row r="7691" spans="1:8" s="943" customFormat="1" x14ac:dyDescent="0.25">
      <c r="A7691" s="952"/>
      <c r="B7691" s="953"/>
      <c r="C7691" s="953"/>
      <c r="D7691" s="953"/>
      <c r="E7691" s="953"/>
      <c r="F7691" s="953"/>
      <c r="G7691" s="953"/>
      <c r="H7691" s="953"/>
    </row>
    <row r="7692" spans="1:8" s="943" customFormat="1" x14ac:dyDescent="0.25">
      <c r="A7692" s="952"/>
      <c r="B7692" s="953"/>
      <c r="C7692" s="953"/>
      <c r="D7692" s="953"/>
      <c r="E7692" s="953"/>
      <c r="F7692" s="953"/>
      <c r="G7692" s="953"/>
      <c r="H7692" s="953"/>
    </row>
    <row r="7693" spans="1:8" s="943" customFormat="1" x14ac:dyDescent="0.25">
      <c r="A7693" s="952"/>
      <c r="B7693" s="953"/>
      <c r="C7693" s="953"/>
      <c r="D7693" s="953"/>
      <c r="E7693" s="953"/>
      <c r="F7693" s="953"/>
      <c r="G7693" s="953"/>
      <c r="H7693" s="953"/>
    </row>
    <row r="7694" spans="1:8" s="943" customFormat="1" x14ac:dyDescent="0.25">
      <c r="A7694" s="952"/>
      <c r="B7694" s="953"/>
      <c r="C7694" s="953"/>
      <c r="D7694" s="953"/>
      <c r="E7694" s="953"/>
      <c r="F7694" s="953"/>
      <c r="G7694" s="953"/>
      <c r="H7694" s="953"/>
    </row>
    <row r="7695" spans="1:8" s="943" customFormat="1" x14ac:dyDescent="0.25">
      <c r="A7695" s="952"/>
      <c r="B7695" s="953"/>
      <c r="C7695" s="953"/>
      <c r="D7695" s="953"/>
      <c r="E7695" s="953"/>
      <c r="F7695" s="953"/>
      <c r="G7695" s="953"/>
      <c r="H7695" s="953"/>
    </row>
    <row r="7696" spans="1:8" s="943" customFormat="1" x14ac:dyDescent="0.25">
      <c r="A7696" s="952"/>
      <c r="B7696" s="953"/>
      <c r="C7696" s="953"/>
      <c r="D7696" s="953"/>
      <c r="E7696" s="953"/>
      <c r="F7696" s="953"/>
      <c r="G7696" s="953"/>
      <c r="H7696" s="953"/>
    </row>
    <row r="7697" spans="1:8" s="943" customFormat="1" x14ac:dyDescent="0.25">
      <c r="A7697" s="952"/>
      <c r="B7697" s="953"/>
      <c r="C7697" s="953"/>
      <c r="D7697" s="953"/>
      <c r="E7697" s="953"/>
      <c r="F7697" s="953"/>
      <c r="G7697" s="953"/>
      <c r="H7697" s="953"/>
    </row>
    <row r="7698" spans="1:8" s="943" customFormat="1" x14ac:dyDescent="0.25">
      <c r="A7698" s="952"/>
      <c r="B7698" s="953"/>
      <c r="C7698" s="953"/>
      <c r="D7698" s="953"/>
      <c r="E7698" s="953"/>
      <c r="F7698" s="953"/>
      <c r="G7698" s="953"/>
      <c r="H7698" s="953"/>
    </row>
    <row r="7699" spans="1:8" s="943" customFormat="1" x14ac:dyDescent="0.25">
      <c r="A7699" s="952"/>
      <c r="B7699" s="953"/>
      <c r="C7699" s="953"/>
      <c r="D7699" s="953"/>
      <c r="E7699" s="953"/>
      <c r="F7699" s="953"/>
      <c r="G7699" s="953"/>
      <c r="H7699" s="953"/>
    </row>
    <row r="7700" spans="1:8" s="943" customFormat="1" x14ac:dyDescent="0.25">
      <c r="A7700" s="952"/>
      <c r="B7700" s="953"/>
      <c r="C7700" s="953"/>
      <c r="D7700" s="953"/>
      <c r="E7700" s="953"/>
      <c r="F7700" s="953"/>
      <c r="G7700" s="953"/>
      <c r="H7700" s="953"/>
    </row>
    <row r="7701" spans="1:8" s="943" customFormat="1" x14ac:dyDescent="0.25">
      <c r="A7701" s="952"/>
      <c r="B7701" s="953"/>
      <c r="C7701" s="953"/>
      <c r="D7701" s="953"/>
      <c r="E7701" s="953"/>
      <c r="F7701" s="953"/>
      <c r="G7701" s="953"/>
      <c r="H7701" s="953"/>
    </row>
    <row r="7702" spans="1:8" s="943" customFormat="1" x14ac:dyDescent="0.25">
      <c r="A7702" s="952"/>
      <c r="B7702" s="953"/>
      <c r="C7702" s="953"/>
      <c r="D7702" s="953"/>
      <c r="E7702" s="953"/>
      <c r="F7702" s="953"/>
      <c r="G7702" s="953"/>
      <c r="H7702" s="953"/>
    </row>
    <row r="7703" spans="1:8" s="943" customFormat="1" x14ac:dyDescent="0.25">
      <c r="A7703" s="952"/>
      <c r="B7703" s="953"/>
      <c r="C7703" s="953"/>
      <c r="D7703" s="953"/>
      <c r="E7703" s="953"/>
      <c r="F7703" s="953"/>
      <c r="G7703" s="953"/>
      <c r="H7703" s="953"/>
    </row>
    <row r="7704" spans="1:8" s="943" customFormat="1" x14ac:dyDescent="0.25">
      <c r="A7704" s="952"/>
      <c r="B7704" s="953"/>
      <c r="C7704" s="953"/>
      <c r="D7704" s="953"/>
      <c r="E7704" s="953"/>
      <c r="F7704" s="953"/>
      <c r="G7704" s="953"/>
      <c r="H7704" s="953"/>
    </row>
    <row r="7705" spans="1:8" s="943" customFormat="1" x14ac:dyDescent="0.25">
      <c r="A7705" s="952"/>
      <c r="B7705" s="953"/>
      <c r="C7705" s="953"/>
      <c r="D7705" s="953"/>
      <c r="E7705" s="953"/>
      <c r="F7705" s="953"/>
      <c r="G7705" s="953"/>
      <c r="H7705" s="953"/>
    </row>
    <row r="7706" spans="1:8" s="943" customFormat="1" x14ac:dyDescent="0.25">
      <c r="A7706" s="952"/>
      <c r="B7706" s="953"/>
      <c r="C7706" s="953"/>
      <c r="D7706" s="953"/>
      <c r="E7706" s="953"/>
      <c r="F7706" s="953"/>
      <c r="G7706" s="953"/>
      <c r="H7706" s="953"/>
    </row>
    <row r="7707" spans="1:8" s="943" customFormat="1" x14ac:dyDescent="0.25">
      <c r="A7707" s="952"/>
      <c r="B7707" s="953"/>
      <c r="C7707" s="953"/>
      <c r="D7707" s="953"/>
      <c r="E7707" s="953"/>
      <c r="F7707" s="953"/>
      <c r="G7707" s="953"/>
      <c r="H7707" s="953"/>
    </row>
    <row r="7708" spans="1:8" s="943" customFormat="1" x14ac:dyDescent="0.25">
      <c r="A7708" s="952"/>
      <c r="B7708" s="953"/>
      <c r="C7708" s="953"/>
      <c r="D7708" s="953"/>
      <c r="E7708" s="953"/>
      <c r="F7708" s="953"/>
      <c r="G7708" s="953"/>
      <c r="H7708" s="953"/>
    </row>
    <row r="7709" spans="1:8" s="943" customFormat="1" x14ac:dyDescent="0.25">
      <c r="A7709" s="952"/>
      <c r="B7709" s="953"/>
      <c r="C7709" s="953"/>
      <c r="D7709" s="953"/>
      <c r="E7709" s="953"/>
      <c r="F7709" s="953"/>
      <c r="G7709" s="953"/>
      <c r="H7709" s="953"/>
    </row>
    <row r="7710" spans="1:8" s="943" customFormat="1" x14ac:dyDescent="0.25">
      <c r="A7710" s="952"/>
      <c r="B7710" s="953"/>
      <c r="C7710" s="953"/>
      <c r="D7710" s="953"/>
      <c r="E7710" s="953"/>
      <c r="F7710" s="953"/>
      <c r="G7710" s="953"/>
      <c r="H7710" s="953"/>
    </row>
    <row r="7711" spans="1:8" s="943" customFormat="1" x14ac:dyDescent="0.25">
      <c r="A7711" s="952"/>
      <c r="B7711" s="953"/>
      <c r="C7711" s="953"/>
      <c r="D7711" s="953"/>
      <c r="E7711" s="953"/>
      <c r="F7711" s="953"/>
      <c r="G7711" s="953"/>
      <c r="H7711" s="953"/>
    </row>
    <row r="7712" spans="1:8" s="943" customFormat="1" x14ac:dyDescent="0.25">
      <c r="A7712" s="952"/>
      <c r="B7712" s="953"/>
      <c r="C7712" s="953"/>
      <c r="D7712" s="953"/>
      <c r="E7712" s="953"/>
      <c r="F7712" s="953"/>
      <c r="G7712" s="953"/>
      <c r="H7712" s="953"/>
    </row>
    <row r="7713" spans="1:8" s="943" customFormat="1" x14ac:dyDescent="0.25">
      <c r="A7713" s="952"/>
      <c r="B7713" s="953"/>
      <c r="C7713" s="953"/>
      <c r="D7713" s="953"/>
      <c r="E7713" s="953"/>
      <c r="F7713" s="953"/>
      <c r="G7713" s="953"/>
      <c r="H7713" s="953"/>
    </row>
    <row r="7714" spans="1:8" s="943" customFormat="1" x14ac:dyDescent="0.25">
      <c r="A7714" s="952"/>
      <c r="B7714" s="953"/>
      <c r="C7714" s="953"/>
      <c r="D7714" s="953"/>
      <c r="E7714" s="953"/>
      <c r="F7714" s="953"/>
      <c r="G7714" s="953"/>
      <c r="H7714" s="953"/>
    </row>
    <row r="7715" spans="1:8" s="943" customFormat="1" x14ac:dyDescent="0.25">
      <c r="A7715" s="952"/>
      <c r="B7715" s="953"/>
      <c r="C7715" s="953"/>
      <c r="D7715" s="953"/>
      <c r="E7715" s="953"/>
      <c r="F7715" s="953"/>
      <c r="G7715" s="953"/>
      <c r="H7715" s="953"/>
    </row>
    <row r="7716" spans="1:8" s="943" customFormat="1" x14ac:dyDescent="0.25">
      <c r="A7716" s="952"/>
      <c r="B7716" s="953"/>
      <c r="C7716" s="953"/>
      <c r="D7716" s="953"/>
      <c r="E7716" s="953"/>
      <c r="F7716" s="953"/>
      <c r="G7716" s="953"/>
      <c r="H7716" s="953"/>
    </row>
    <row r="7717" spans="1:8" s="943" customFormat="1" x14ac:dyDescent="0.25">
      <c r="A7717" s="952"/>
      <c r="B7717" s="953"/>
      <c r="C7717" s="953"/>
      <c r="D7717" s="953"/>
      <c r="E7717" s="953"/>
      <c r="F7717" s="953"/>
      <c r="G7717" s="953"/>
      <c r="H7717" s="953"/>
    </row>
    <row r="7718" spans="1:8" s="943" customFormat="1" x14ac:dyDescent="0.25">
      <c r="A7718" s="952"/>
      <c r="B7718" s="953"/>
      <c r="C7718" s="953"/>
      <c r="D7718" s="953"/>
      <c r="E7718" s="953"/>
      <c r="F7718" s="953"/>
      <c r="G7718" s="953"/>
      <c r="H7718" s="953"/>
    </row>
    <row r="7719" spans="1:8" s="943" customFormat="1" x14ac:dyDescent="0.25">
      <c r="A7719" s="952"/>
      <c r="B7719" s="953"/>
      <c r="C7719" s="953"/>
      <c r="D7719" s="953"/>
      <c r="E7719" s="953"/>
      <c r="F7719" s="953"/>
      <c r="G7719" s="953"/>
      <c r="H7719" s="953"/>
    </row>
    <row r="7720" spans="1:8" s="943" customFormat="1" x14ac:dyDescent="0.25">
      <c r="A7720" s="952"/>
      <c r="B7720" s="953"/>
      <c r="C7720" s="953"/>
      <c r="D7720" s="953"/>
      <c r="E7720" s="953"/>
      <c r="F7720" s="953"/>
      <c r="G7720" s="953"/>
      <c r="H7720" s="953"/>
    </row>
    <row r="7721" spans="1:8" s="943" customFormat="1" x14ac:dyDescent="0.25">
      <c r="A7721" s="952"/>
      <c r="B7721" s="953"/>
      <c r="C7721" s="953"/>
      <c r="D7721" s="953"/>
      <c r="E7721" s="953"/>
      <c r="F7721" s="953"/>
      <c r="G7721" s="953"/>
      <c r="H7721" s="953"/>
    </row>
    <row r="7722" spans="1:8" s="943" customFormat="1" x14ac:dyDescent="0.25">
      <c r="A7722" s="952"/>
      <c r="B7722" s="953"/>
      <c r="C7722" s="953"/>
      <c r="D7722" s="953"/>
      <c r="E7722" s="953"/>
      <c r="F7722" s="953"/>
      <c r="G7722" s="953"/>
      <c r="H7722" s="953"/>
    </row>
    <row r="7723" spans="1:8" s="943" customFormat="1" x14ac:dyDescent="0.25">
      <c r="A7723" s="952"/>
      <c r="B7723" s="953"/>
      <c r="C7723" s="953"/>
      <c r="D7723" s="953"/>
      <c r="E7723" s="953"/>
      <c r="F7723" s="953"/>
      <c r="G7723" s="953"/>
      <c r="H7723" s="953"/>
    </row>
    <row r="7724" spans="1:8" s="943" customFormat="1" x14ac:dyDescent="0.25">
      <c r="A7724" s="952"/>
      <c r="B7724" s="953"/>
      <c r="C7724" s="953"/>
      <c r="D7724" s="953"/>
      <c r="E7724" s="953"/>
      <c r="F7724" s="953"/>
      <c r="G7724" s="953"/>
      <c r="H7724" s="953"/>
    </row>
    <row r="7725" spans="1:8" s="943" customFormat="1" x14ac:dyDescent="0.25">
      <c r="A7725" s="952"/>
      <c r="B7725" s="953"/>
      <c r="C7725" s="953"/>
      <c r="D7725" s="953"/>
      <c r="E7725" s="953"/>
      <c r="F7725" s="953"/>
      <c r="G7725" s="953"/>
      <c r="H7725" s="953"/>
    </row>
    <row r="7726" spans="1:8" s="943" customFormat="1" x14ac:dyDescent="0.25">
      <c r="A7726" s="952"/>
      <c r="B7726" s="953"/>
      <c r="C7726" s="953"/>
      <c r="D7726" s="953"/>
      <c r="E7726" s="953"/>
      <c r="F7726" s="953"/>
      <c r="G7726" s="953"/>
      <c r="H7726" s="953"/>
    </row>
    <row r="7727" spans="1:8" s="943" customFormat="1" x14ac:dyDescent="0.25">
      <c r="A7727" s="952"/>
      <c r="B7727" s="953"/>
      <c r="C7727" s="953"/>
      <c r="D7727" s="953"/>
      <c r="E7727" s="953"/>
      <c r="F7727" s="953"/>
      <c r="G7727" s="953"/>
      <c r="H7727" s="953"/>
    </row>
    <row r="7728" spans="1:8" s="943" customFormat="1" x14ac:dyDescent="0.25">
      <c r="A7728" s="952"/>
      <c r="B7728" s="953"/>
      <c r="C7728" s="953"/>
      <c r="D7728" s="953"/>
      <c r="E7728" s="953"/>
      <c r="F7728" s="953"/>
      <c r="G7728" s="953"/>
      <c r="H7728" s="953"/>
    </row>
    <row r="7729" spans="1:8" s="943" customFormat="1" x14ac:dyDescent="0.25">
      <c r="A7729" s="952"/>
      <c r="B7729" s="953"/>
      <c r="C7729" s="953"/>
      <c r="D7729" s="953"/>
      <c r="E7729" s="953"/>
      <c r="F7729" s="953"/>
      <c r="G7729" s="953"/>
      <c r="H7729" s="953"/>
    </row>
    <row r="7730" spans="1:8" s="943" customFormat="1" x14ac:dyDescent="0.25">
      <c r="A7730" s="952"/>
      <c r="B7730" s="953"/>
      <c r="C7730" s="953"/>
      <c r="D7730" s="953"/>
      <c r="E7730" s="953"/>
      <c r="F7730" s="953"/>
      <c r="G7730" s="953"/>
      <c r="H7730" s="953"/>
    </row>
    <row r="7731" spans="1:8" s="943" customFormat="1" x14ac:dyDescent="0.25">
      <c r="A7731" s="952"/>
      <c r="B7731" s="953"/>
      <c r="C7731" s="953"/>
      <c r="D7731" s="953"/>
      <c r="E7731" s="953"/>
      <c r="F7731" s="953"/>
      <c r="G7731" s="953"/>
      <c r="H7731" s="953"/>
    </row>
    <row r="7732" spans="1:8" s="943" customFormat="1" x14ac:dyDescent="0.25">
      <c r="A7732" s="952"/>
      <c r="B7732" s="953"/>
      <c r="C7732" s="953"/>
      <c r="D7732" s="953"/>
      <c r="E7732" s="953"/>
      <c r="F7732" s="953"/>
      <c r="G7732" s="953"/>
      <c r="H7732" s="953"/>
    </row>
    <row r="7733" spans="1:8" s="943" customFormat="1" x14ac:dyDescent="0.25">
      <c r="A7733" s="952"/>
      <c r="B7733" s="953"/>
      <c r="C7733" s="953"/>
      <c r="D7733" s="953"/>
      <c r="E7733" s="953"/>
      <c r="F7733" s="953"/>
      <c r="G7733" s="953"/>
      <c r="H7733" s="953"/>
    </row>
    <row r="7734" spans="1:8" s="943" customFormat="1" x14ac:dyDescent="0.25">
      <c r="A7734" s="952"/>
      <c r="B7734" s="953"/>
      <c r="C7734" s="953"/>
      <c r="D7734" s="953"/>
      <c r="E7734" s="953"/>
      <c r="F7734" s="953"/>
      <c r="G7734" s="953"/>
      <c r="H7734" s="953"/>
    </row>
    <row r="7735" spans="1:8" s="943" customFormat="1" x14ac:dyDescent="0.25">
      <c r="A7735" s="952"/>
      <c r="B7735" s="953"/>
      <c r="C7735" s="953"/>
      <c r="D7735" s="953"/>
      <c r="E7735" s="953"/>
      <c r="F7735" s="953"/>
      <c r="G7735" s="953"/>
      <c r="H7735" s="953"/>
    </row>
    <row r="7736" spans="1:8" s="943" customFormat="1" x14ac:dyDescent="0.25">
      <c r="A7736" s="952"/>
      <c r="B7736" s="953"/>
      <c r="C7736" s="953"/>
      <c r="D7736" s="953"/>
      <c r="E7736" s="953"/>
      <c r="F7736" s="953"/>
      <c r="G7736" s="953"/>
      <c r="H7736" s="953"/>
    </row>
    <row r="7737" spans="1:8" s="943" customFormat="1" x14ac:dyDescent="0.25">
      <c r="A7737" s="952"/>
      <c r="B7737" s="953"/>
      <c r="C7737" s="953"/>
      <c r="D7737" s="953"/>
      <c r="E7737" s="953"/>
      <c r="F7737" s="953"/>
      <c r="G7737" s="953"/>
      <c r="H7737" s="953"/>
    </row>
    <row r="7738" spans="1:8" s="943" customFormat="1" x14ac:dyDescent="0.25">
      <c r="A7738" s="952"/>
      <c r="B7738" s="953"/>
      <c r="C7738" s="953"/>
      <c r="D7738" s="953"/>
      <c r="E7738" s="953"/>
      <c r="F7738" s="953"/>
      <c r="G7738" s="953"/>
      <c r="H7738" s="953"/>
    </row>
    <row r="7739" spans="1:8" s="943" customFormat="1" x14ac:dyDescent="0.25">
      <c r="A7739" s="952"/>
      <c r="B7739" s="953"/>
      <c r="C7739" s="953"/>
      <c r="D7739" s="953"/>
      <c r="E7739" s="953"/>
      <c r="F7739" s="953"/>
      <c r="G7739" s="953"/>
      <c r="H7739" s="953"/>
    </row>
    <row r="7740" spans="1:8" s="943" customFormat="1" x14ac:dyDescent="0.25">
      <c r="A7740" s="952"/>
      <c r="B7740" s="953"/>
      <c r="C7740" s="953"/>
      <c r="D7740" s="953"/>
      <c r="E7740" s="953"/>
      <c r="F7740" s="953"/>
      <c r="G7740" s="953"/>
      <c r="H7740" s="953"/>
    </row>
    <row r="7741" spans="1:8" s="943" customFormat="1" x14ac:dyDescent="0.25">
      <c r="A7741" s="952"/>
      <c r="B7741" s="953"/>
      <c r="C7741" s="953"/>
      <c r="D7741" s="953"/>
      <c r="E7741" s="953"/>
      <c r="F7741" s="953"/>
      <c r="G7741" s="953"/>
      <c r="H7741" s="953"/>
    </row>
    <row r="7742" spans="1:8" s="943" customFormat="1" x14ac:dyDescent="0.25">
      <c r="A7742" s="952"/>
      <c r="B7742" s="953"/>
      <c r="C7742" s="953"/>
      <c r="D7742" s="953"/>
      <c r="E7742" s="953"/>
      <c r="F7742" s="953"/>
      <c r="G7742" s="953"/>
      <c r="H7742" s="953"/>
    </row>
    <row r="7743" spans="1:8" s="943" customFormat="1" x14ac:dyDescent="0.25">
      <c r="A7743" s="952"/>
      <c r="B7743" s="953"/>
      <c r="C7743" s="953"/>
      <c r="D7743" s="953"/>
      <c r="E7743" s="953"/>
      <c r="F7743" s="953"/>
      <c r="G7743" s="953"/>
      <c r="H7743" s="953"/>
    </row>
    <row r="7744" spans="1:8" s="943" customFormat="1" x14ac:dyDescent="0.25">
      <c r="A7744" s="952"/>
      <c r="B7744" s="953"/>
      <c r="C7744" s="953"/>
      <c r="D7744" s="953"/>
      <c r="E7744" s="953"/>
      <c r="F7744" s="953"/>
      <c r="G7744" s="953"/>
      <c r="H7744" s="953"/>
    </row>
    <row r="7745" spans="1:8" s="943" customFormat="1" x14ac:dyDescent="0.25">
      <c r="A7745" s="952"/>
      <c r="B7745" s="953"/>
      <c r="C7745" s="953"/>
      <c r="D7745" s="953"/>
      <c r="E7745" s="953"/>
      <c r="F7745" s="953"/>
      <c r="G7745" s="953"/>
      <c r="H7745" s="953"/>
    </row>
    <row r="7746" spans="1:8" s="943" customFormat="1" x14ac:dyDescent="0.25">
      <c r="A7746" s="952"/>
      <c r="B7746" s="953"/>
      <c r="C7746" s="953"/>
      <c r="D7746" s="953"/>
      <c r="E7746" s="953"/>
      <c r="F7746" s="953"/>
      <c r="G7746" s="953"/>
      <c r="H7746" s="953"/>
    </row>
    <row r="7747" spans="1:8" s="943" customFormat="1" x14ac:dyDescent="0.25">
      <c r="A7747" s="952"/>
      <c r="B7747" s="953"/>
      <c r="C7747" s="953"/>
      <c r="D7747" s="953"/>
      <c r="E7747" s="953"/>
      <c r="F7747" s="953"/>
      <c r="G7747" s="953"/>
      <c r="H7747" s="953"/>
    </row>
    <row r="7748" spans="1:8" s="943" customFormat="1" x14ac:dyDescent="0.25">
      <c r="A7748" s="952"/>
      <c r="B7748" s="953"/>
      <c r="C7748" s="953"/>
      <c r="D7748" s="953"/>
      <c r="E7748" s="953"/>
      <c r="F7748" s="953"/>
      <c r="G7748" s="953"/>
      <c r="H7748" s="953"/>
    </row>
    <row r="7749" spans="1:8" s="943" customFormat="1" x14ac:dyDescent="0.25">
      <c r="A7749" s="952"/>
      <c r="B7749" s="953"/>
      <c r="C7749" s="953"/>
      <c r="D7749" s="953"/>
      <c r="E7749" s="953"/>
      <c r="F7749" s="953"/>
      <c r="G7749" s="953"/>
      <c r="H7749" s="953"/>
    </row>
    <row r="7750" spans="1:8" s="943" customFormat="1" x14ac:dyDescent="0.25">
      <c r="A7750" s="952"/>
      <c r="B7750" s="953"/>
      <c r="C7750" s="953"/>
      <c r="D7750" s="953"/>
      <c r="E7750" s="953"/>
      <c r="F7750" s="953"/>
      <c r="G7750" s="953"/>
      <c r="H7750" s="953"/>
    </row>
    <row r="7751" spans="1:8" s="943" customFormat="1" x14ac:dyDescent="0.25">
      <c r="A7751" s="952"/>
      <c r="B7751" s="953"/>
      <c r="C7751" s="953"/>
      <c r="D7751" s="953"/>
      <c r="E7751" s="953"/>
      <c r="F7751" s="953"/>
      <c r="G7751" s="953"/>
      <c r="H7751" s="953"/>
    </row>
    <row r="7752" spans="1:8" s="943" customFormat="1" x14ac:dyDescent="0.25">
      <c r="A7752" s="952"/>
      <c r="B7752" s="953"/>
      <c r="C7752" s="953"/>
      <c r="D7752" s="953"/>
      <c r="E7752" s="953"/>
      <c r="F7752" s="953"/>
      <c r="G7752" s="953"/>
      <c r="H7752" s="953"/>
    </row>
    <row r="7753" spans="1:8" s="943" customFormat="1" x14ac:dyDescent="0.25">
      <c r="A7753" s="952"/>
      <c r="B7753" s="953"/>
      <c r="C7753" s="953"/>
      <c r="D7753" s="953"/>
      <c r="E7753" s="953"/>
      <c r="F7753" s="953"/>
      <c r="G7753" s="953"/>
      <c r="H7753" s="953"/>
    </row>
    <row r="7754" spans="1:8" s="943" customFormat="1" x14ac:dyDescent="0.25">
      <c r="A7754" s="952"/>
      <c r="B7754" s="953"/>
      <c r="C7754" s="953"/>
      <c r="D7754" s="953"/>
      <c r="E7754" s="953"/>
      <c r="F7754" s="953"/>
      <c r="G7754" s="953"/>
      <c r="H7754" s="953"/>
    </row>
    <row r="7755" spans="1:8" s="943" customFormat="1" x14ac:dyDescent="0.25">
      <c r="A7755" s="952"/>
      <c r="B7755" s="953"/>
      <c r="C7755" s="953"/>
      <c r="D7755" s="953"/>
      <c r="E7755" s="953"/>
      <c r="F7755" s="953"/>
      <c r="G7755" s="953"/>
      <c r="H7755" s="953"/>
    </row>
    <row r="7756" spans="1:8" s="943" customFormat="1" x14ac:dyDescent="0.25">
      <c r="A7756" s="952"/>
      <c r="B7756" s="953"/>
      <c r="C7756" s="953"/>
      <c r="D7756" s="953"/>
      <c r="E7756" s="953"/>
      <c r="F7756" s="953"/>
      <c r="G7756" s="953"/>
      <c r="H7756" s="953"/>
    </row>
    <row r="7757" spans="1:8" s="943" customFormat="1" x14ac:dyDescent="0.25">
      <c r="A7757" s="952"/>
      <c r="B7757" s="953"/>
      <c r="C7757" s="953"/>
      <c r="D7757" s="953"/>
      <c r="E7757" s="953"/>
      <c r="F7757" s="953"/>
      <c r="G7757" s="953"/>
      <c r="H7757" s="953"/>
    </row>
    <row r="7758" spans="1:8" s="943" customFormat="1" x14ac:dyDescent="0.25">
      <c r="A7758" s="952"/>
      <c r="B7758" s="953"/>
      <c r="C7758" s="953"/>
      <c r="D7758" s="953"/>
      <c r="E7758" s="953"/>
      <c r="F7758" s="953"/>
      <c r="G7758" s="953"/>
      <c r="H7758" s="953"/>
    </row>
    <row r="7759" spans="1:8" s="943" customFormat="1" x14ac:dyDescent="0.25">
      <c r="A7759" s="952"/>
      <c r="B7759" s="953"/>
      <c r="C7759" s="953"/>
      <c r="D7759" s="953"/>
      <c r="E7759" s="953"/>
      <c r="F7759" s="953"/>
      <c r="G7759" s="953"/>
      <c r="H7759" s="953"/>
    </row>
    <row r="7760" spans="1:8" s="943" customFormat="1" x14ac:dyDescent="0.25">
      <c r="A7760" s="952"/>
      <c r="B7760" s="953"/>
      <c r="C7760" s="953"/>
      <c r="D7760" s="953"/>
      <c r="E7760" s="953"/>
      <c r="F7760" s="953"/>
      <c r="G7760" s="953"/>
      <c r="H7760" s="953"/>
    </row>
    <row r="7761" spans="1:8" s="943" customFormat="1" x14ac:dyDescent="0.25">
      <c r="A7761" s="952"/>
      <c r="B7761" s="953"/>
      <c r="C7761" s="953"/>
      <c r="D7761" s="953"/>
      <c r="E7761" s="953"/>
      <c r="F7761" s="953"/>
      <c r="G7761" s="953"/>
      <c r="H7761" s="953"/>
    </row>
    <row r="7762" spans="1:8" s="943" customFormat="1" x14ac:dyDescent="0.25">
      <c r="A7762" s="952"/>
      <c r="B7762" s="953"/>
      <c r="C7762" s="953"/>
      <c r="D7762" s="953"/>
      <c r="E7762" s="953"/>
      <c r="F7762" s="953"/>
      <c r="G7762" s="953"/>
      <c r="H7762" s="953"/>
    </row>
    <row r="7763" spans="1:8" s="943" customFormat="1" x14ac:dyDescent="0.25">
      <c r="A7763" s="952"/>
      <c r="B7763" s="953"/>
      <c r="C7763" s="953"/>
      <c r="D7763" s="953"/>
      <c r="E7763" s="953"/>
      <c r="F7763" s="953"/>
      <c r="G7763" s="953"/>
      <c r="H7763" s="953"/>
    </row>
    <row r="7764" spans="1:8" s="943" customFormat="1" x14ac:dyDescent="0.25">
      <c r="A7764" s="952"/>
      <c r="B7764" s="953"/>
      <c r="C7764" s="953"/>
      <c r="D7764" s="953"/>
      <c r="E7764" s="953"/>
      <c r="F7764" s="953"/>
      <c r="G7764" s="953"/>
      <c r="H7764" s="953"/>
    </row>
    <row r="7765" spans="1:8" s="943" customFormat="1" x14ac:dyDescent="0.25">
      <c r="A7765" s="952"/>
      <c r="B7765" s="953"/>
      <c r="C7765" s="953"/>
      <c r="D7765" s="953"/>
      <c r="E7765" s="953"/>
      <c r="F7765" s="953"/>
      <c r="G7765" s="953"/>
      <c r="H7765" s="953"/>
    </row>
    <row r="7766" spans="1:8" s="943" customFormat="1" x14ac:dyDescent="0.25">
      <c r="A7766" s="952"/>
      <c r="B7766" s="953"/>
      <c r="C7766" s="953"/>
      <c r="D7766" s="953"/>
      <c r="E7766" s="953"/>
      <c r="F7766" s="953"/>
      <c r="G7766" s="953"/>
      <c r="H7766" s="953"/>
    </row>
    <row r="7767" spans="1:8" s="943" customFormat="1" x14ac:dyDescent="0.25">
      <c r="A7767" s="952"/>
      <c r="B7767" s="953"/>
      <c r="C7767" s="953"/>
      <c r="D7767" s="953"/>
      <c r="E7767" s="953"/>
      <c r="F7767" s="953"/>
      <c r="G7767" s="953"/>
      <c r="H7767" s="953"/>
    </row>
    <row r="7768" spans="1:8" s="943" customFormat="1" x14ac:dyDescent="0.25">
      <c r="A7768" s="952"/>
      <c r="B7768" s="953"/>
      <c r="C7768" s="953"/>
      <c r="D7768" s="953"/>
      <c r="E7768" s="953"/>
      <c r="F7768" s="953"/>
      <c r="G7768" s="953"/>
      <c r="H7768" s="953"/>
    </row>
    <row r="7769" spans="1:8" s="943" customFormat="1" x14ac:dyDescent="0.25">
      <c r="A7769" s="952"/>
      <c r="B7769" s="953"/>
      <c r="C7769" s="953"/>
      <c r="D7769" s="953"/>
      <c r="E7769" s="953"/>
      <c r="F7769" s="953"/>
      <c r="G7769" s="953"/>
      <c r="H7769" s="953"/>
    </row>
    <row r="7770" spans="1:8" s="943" customFormat="1" x14ac:dyDescent="0.25">
      <c r="A7770" s="952"/>
      <c r="B7770" s="953"/>
      <c r="C7770" s="953"/>
      <c r="D7770" s="953"/>
      <c r="E7770" s="953"/>
      <c r="F7770" s="953"/>
      <c r="G7770" s="953"/>
      <c r="H7770" s="953"/>
    </row>
    <row r="7771" spans="1:8" s="943" customFormat="1" x14ac:dyDescent="0.25">
      <c r="A7771" s="952"/>
      <c r="B7771" s="953"/>
      <c r="C7771" s="953"/>
      <c r="D7771" s="953"/>
      <c r="E7771" s="953"/>
      <c r="F7771" s="953"/>
      <c r="G7771" s="953"/>
      <c r="H7771" s="953"/>
    </row>
    <row r="7772" spans="1:8" s="943" customFormat="1" x14ac:dyDescent="0.25">
      <c r="A7772" s="952"/>
      <c r="B7772" s="953"/>
      <c r="C7772" s="953"/>
      <c r="D7772" s="953"/>
      <c r="E7772" s="953"/>
      <c r="F7772" s="953"/>
      <c r="G7772" s="953"/>
      <c r="H7772" s="953"/>
    </row>
    <row r="7773" spans="1:8" s="943" customFormat="1" x14ac:dyDescent="0.25">
      <c r="A7773" s="952"/>
      <c r="B7773" s="953"/>
      <c r="C7773" s="953"/>
      <c r="D7773" s="953"/>
      <c r="E7773" s="953"/>
      <c r="F7773" s="953"/>
      <c r="G7773" s="953"/>
      <c r="H7773" s="953"/>
    </row>
    <row r="7774" spans="1:8" s="943" customFormat="1" x14ac:dyDescent="0.25">
      <c r="A7774" s="952"/>
      <c r="B7774" s="953"/>
      <c r="C7774" s="953"/>
      <c r="D7774" s="953"/>
      <c r="E7774" s="953"/>
      <c r="F7774" s="953"/>
      <c r="G7774" s="953"/>
      <c r="H7774" s="953"/>
    </row>
    <row r="7775" spans="1:8" s="943" customFormat="1" x14ac:dyDescent="0.25">
      <c r="A7775" s="952"/>
      <c r="B7775" s="953"/>
      <c r="C7775" s="953"/>
      <c r="D7775" s="953"/>
      <c r="E7775" s="953"/>
      <c r="F7775" s="953"/>
      <c r="G7775" s="953"/>
      <c r="H7775" s="953"/>
    </row>
    <row r="7776" spans="1:8" s="943" customFormat="1" x14ac:dyDescent="0.25">
      <c r="A7776" s="952"/>
      <c r="B7776" s="953"/>
      <c r="C7776" s="953"/>
      <c r="D7776" s="953"/>
      <c r="E7776" s="953"/>
      <c r="F7776" s="953"/>
      <c r="G7776" s="953"/>
      <c r="H7776" s="953"/>
    </row>
    <row r="7777" spans="1:8" s="943" customFormat="1" x14ac:dyDescent="0.25">
      <c r="A7777" s="952"/>
      <c r="B7777" s="953"/>
      <c r="C7777" s="953"/>
      <c r="D7777" s="953"/>
      <c r="E7777" s="953"/>
      <c r="F7777" s="953"/>
      <c r="G7777" s="953"/>
      <c r="H7777" s="953"/>
    </row>
    <row r="7778" spans="1:8" s="943" customFormat="1" x14ac:dyDescent="0.25">
      <c r="A7778" s="952"/>
      <c r="B7778" s="953"/>
      <c r="C7778" s="953"/>
      <c r="D7778" s="953"/>
      <c r="E7778" s="953"/>
      <c r="F7778" s="953"/>
      <c r="G7778" s="953"/>
      <c r="H7778" s="953"/>
    </row>
    <row r="7779" spans="1:8" s="943" customFormat="1" x14ac:dyDescent="0.25">
      <c r="A7779" s="952"/>
      <c r="B7779" s="953"/>
      <c r="C7779" s="953"/>
      <c r="D7779" s="953"/>
      <c r="E7779" s="953"/>
      <c r="F7779" s="953"/>
      <c r="G7779" s="953"/>
      <c r="H7779" s="953"/>
    </row>
    <row r="7780" spans="1:8" s="943" customFormat="1" x14ac:dyDescent="0.25">
      <c r="A7780" s="952"/>
      <c r="B7780" s="953"/>
      <c r="C7780" s="953"/>
      <c r="D7780" s="953"/>
      <c r="E7780" s="953"/>
      <c r="F7780" s="953"/>
      <c r="G7780" s="953"/>
      <c r="H7780" s="953"/>
    </row>
    <row r="7781" spans="1:8" s="943" customFormat="1" x14ac:dyDescent="0.25">
      <c r="A7781" s="952"/>
      <c r="B7781" s="953"/>
      <c r="C7781" s="953"/>
      <c r="D7781" s="953"/>
      <c r="E7781" s="953"/>
      <c r="F7781" s="953"/>
      <c r="G7781" s="953"/>
      <c r="H7781" s="953"/>
    </row>
    <row r="7782" spans="1:8" s="943" customFormat="1" x14ac:dyDescent="0.25">
      <c r="A7782" s="952"/>
      <c r="B7782" s="953"/>
      <c r="C7782" s="953"/>
      <c r="D7782" s="953"/>
      <c r="E7782" s="953"/>
      <c r="F7782" s="953"/>
      <c r="G7782" s="953"/>
      <c r="H7782" s="953"/>
    </row>
    <row r="7783" spans="1:8" s="943" customFormat="1" x14ac:dyDescent="0.25">
      <c r="A7783" s="952"/>
      <c r="B7783" s="953"/>
      <c r="C7783" s="953"/>
      <c r="D7783" s="953"/>
      <c r="E7783" s="953"/>
      <c r="F7783" s="953"/>
      <c r="G7783" s="953"/>
      <c r="H7783" s="953"/>
    </row>
    <row r="7784" spans="1:8" s="943" customFormat="1" x14ac:dyDescent="0.25">
      <c r="A7784" s="952"/>
      <c r="B7784" s="953"/>
      <c r="C7784" s="953"/>
      <c r="D7784" s="953"/>
      <c r="E7784" s="953"/>
      <c r="F7784" s="953"/>
      <c r="G7784" s="953"/>
      <c r="H7784" s="953"/>
    </row>
    <row r="7785" spans="1:8" s="943" customFormat="1" x14ac:dyDescent="0.25">
      <c r="A7785" s="952"/>
      <c r="B7785" s="953"/>
      <c r="C7785" s="953"/>
      <c r="D7785" s="953"/>
      <c r="E7785" s="953"/>
      <c r="F7785" s="953"/>
      <c r="G7785" s="953"/>
      <c r="H7785" s="953"/>
    </row>
    <row r="7786" spans="1:8" s="943" customFormat="1" x14ac:dyDescent="0.25">
      <c r="A7786" s="952"/>
      <c r="B7786" s="953"/>
      <c r="C7786" s="953"/>
      <c r="D7786" s="953"/>
      <c r="E7786" s="953"/>
      <c r="F7786" s="953"/>
      <c r="G7786" s="953"/>
      <c r="H7786" s="953"/>
    </row>
    <row r="7787" spans="1:8" s="943" customFormat="1" x14ac:dyDescent="0.25">
      <c r="A7787" s="952"/>
      <c r="B7787" s="953"/>
      <c r="C7787" s="953"/>
      <c r="D7787" s="953"/>
      <c r="E7787" s="953"/>
      <c r="F7787" s="953"/>
      <c r="G7787" s="953"/>
      <c r="H7787" s="953"/>
    </row>
    <row r="7788" spans="1:8" s="943" customFormat="1" x14ac:dyDescent="0.25">
      <c r="A7788" s="952"/>
      <c r="B7788" s="953"/>
      <c r="C7788" s="953"/>
      <c r="D7788" s="953"/>
      <c r="E7788" s="953"/>
      <c r="F7788" s="953"/>
      <c r="G7788" s="953"/>
      <c r="H7788" s="953"/>
    </row>
    <row r="7789" spans="1:8" s="943" customFormat="1" x14ac:dyDescent="0.25">
      <c r="A7789" s="952"/>
      <c r="B7789" s="953"/>
      <c r="C7789" s="953"/>
      <c r="D7789" s="953"/>
      <c r="E7789" s="953"/>
      <c r="F7789" s="953"/>
      <c r="G7789" s="953"/>
      <c r="H7789" s="953"/>
    </row>
    <row r="7790" spans="1:8" s="943" customFormat="1" x14ac:dyDescent="0.25">
      <c r="A7790" s="952"/>
      <c r="B7790" s="953"/>
      <c r="C7790" s="953"/>
      <c r="D7790" s="953"/>
      <c r="E7790" s="953"/>
      <c r="F7790" s="953"/>
      <c r="G7790" s="953"/>
      <c r="H7790" s="953"/>
    </row>
    <row r="7791" spans="1:8" s="943" customFormat="1" x14ac:dyDescent="0.25">
      <c r="A7791" s="952"/>
      <c r="B7791" s="953"/>
      <c r="C7791" s="953"/>
      <c r="D7791" s="953"/>
      <c r="E7791" s="953"/>
      <c r="F7791" s="953"/>
      <c r="G7791" s="953"/>
      <c r="H7791" s="953"/>
    </row>
    <row r="7792" spans="1:8" s="943" customFormat="1" x14ac:dyDescent="0.25">
      <c r="A7792" s="952"/>
      <c r="B7792" s="953"/>
      <c r="C7792" s="953"/>
      <c r="D7792" s="953"/>
      <c r="E7792" s="953"/>
      <c r="F7792" s="953"/>
      <c r="G7792" s="953"/>
      <c r="H7792" s="953"/>
    </row>
    <row r="7793" spans="1:8" s="943" customFormat="1" x14ac:dyDescent="0.25">
      <c r="A7793" s="952"/>
      <c r="B7793" s="953"/>
      <c r="C7793" s="953"/>
      <c r="D7793" s="953"/>
      <c r="E7793" s="953"/>
      <c r="F7793" s="953"/>
      <c r="G7793" s="953"/>
      <c r="H7793" s="953"/>
    </row>
    <row r="7794" spans="1:8" s="943" customFormat="1" x14ac:dyDescent="0.25">
      <c r="A7794" s="952"/>
      <c r="B7794" s="953"/>
      <c r="C7794" s="953"/>
      <c r="D7794" s="953"/>
      <c r="E7794" s="953"/>
      <c r="F7794" s="953"/>
      <c r="G7794" s="953"/>
      <c r="H7794" s="953"/>
    </row>
    <row r="7795" spans="1:8" s="943" customFormat="1" x14ac:dyDescent="0.25">
      <c r="A7795" s="952"/>
      <c r="B7795" s="953"/>
      <c r="C7795" s="953"/>
      <c r="D7795" s="953"/>
      <c r="E7795" s="953"/>
      <c r="F7795" s="953"/>
      <c r="G7795" s="953"/>
      <c r="H7795" s="953"/>
    </row>
    <row r="7796" spans="1:8" s="943" customFormat="1" x14ac:dyDescent="0.25">
      <c r="A7796" s="952"/>
      <c r="B7796" s="953"/>
      <c r="C7796" s="953"/>
      <c r="D7796" s="953"/>
      <c r="E7796" s="953"/>
      <c r="F7796" s="953"/>
      <c r="G7796" s="953"/>
      <c r="H7796" s="953"/>
    </row>
    <row r="7797" spans="1:8" s="943" customFormat="1" x14ac:dyDescent="0.25">
      <c r="A7797" s="952"/>
      <c r="B7797" s="953"/>
      <c r="C7797" s="953"/>
      <c r="D7797" s="953"/>
      <c r="E7797" s="953"/>
      <c r="F7797" s="953"/>
      <c r="G7797" s="953"/>
      <c r="H7797" s="953"/>
    </row>
    <row r="7798" spans="1:8" s="943" customFormat="1" x14ac:dyDescent="0.25">
      <c r="A7798" s="952"/>
      <c r="B7798" s="953"/>
      <c r="C7798" s="953"/>
      <c r="D7798" s="953"/>
      <c r="E7798" s="953"/>
      <c r="F7798" s="953"/>
      <c r="G7798" s="953"/>
      <c r="H7798" s="953"/>
    </row>
    <row r="7799" spans="1:8" s="943" customFormat="1" x14ac:dyDescent="0.25">
      <c r="A7799" s="952"/>
      <c r="B7799" s="953"/>
      <c r="C7799" s="953"/>
      <c r="D7799" s="953"/>
      <c r="E7799" s="953"/>
      <c r="F7799" s="953"/>
      <c r="G7799" s="953"/>
      <c r="H7799" s="953"/>
    </row>
    <row r="7800" spans="1:8" s="943" customFormat="1" x14ac:dyDescent="0.25">
      <c r="A7800" s="952"/>
      <c r="B7800" s="953"/>
      <c r="C7800" s="953"/>
      <c r="D7800" s="953"/>
      <c r="E7800" s="953"/>
      <c r="F7800" s="953"/>
      <c r="G7800" s="953"/>
      <c r="H7800" s="953"/>
    </row>
    <row r="7801" spans="1:8" s="943" customFormat="1" x14ac:dyDescent="0.25">
      <c r="A7801" s="952"/>
      <c r="B7801" s="953"/>
      <c r="C7801" s="953"/>
      <c r="D7801" s="953"/>
      <c r="E7801" s="953"/>
      <c r="F7801" s="953"/>
      <c r="G7801" s="953"/>
      <c r="H7801" s="953"/>
    </row>
    <row r="7802" spans="1:8" s="943" customFormat="1" x14ac:dyDescent="0.25">
      <c r="A7802" s="952"/>
      <c r="B7802" s="953"/>
      <c r="C7802" s="953"/>
      <c r="D7802" s="953"/>
      <c r="E7802" s="953"/>
      <c r="F7802" s="953"/>
      <c r="G7802" s="953"/>
      <c r="H7802" s="953"/>
    </row>
    <row r="7803" spans="1:8" s="943" customFormat="1" x14ac:dyDescent="0.25">
      <c r="A7803" s="952"/>
      <c r="B7803" s="953"/>
      <c r="C7803" s="953"/>
      <c r="D7803" s="953"/>
      <c r="E7803" s="953"/>
      <c r="F7803" s="953"/>
      <c r="G7803" s="953"/>
      <c r="H7803" s="953"/>
    </row>
    <row r="7804" spans="1:8" s="943" customFormat="1" x14ac:dyDescent="0.25">
      <c r="A7804" s="952"/>
      <c r="B7804" s="953"/>
      <c r="C7804" s="953"/>
      <c r="D7804" s="953"/>
      <c r="E7804" s="953"/>
      <c r="F7804" s="953"/>
      <c r="G7804" s="953"/>
      <c r="H7804" s="953"/>
    </row>
    <row r="7805" spans="1:8" s="943" customFormat="1" x14ac:dyDescent="0.25">
      <c r="A7805" s="952"/>
      <c r="B7805" s="953"/>
      <c r="C7805" s="953"/>
      <c r="D7805" s="953"/>
      <c r="E7805" s="953"/>
      <c r="F7805" s="953"/>
      <c r="G7805" s="953"/>
      <c r="H7805" s="953"/>
    </row>
    <row r="7806" spans="1:8" s="943" customFormat="1" x14ac:dyDescent="0.25">
      <c r="A7806" s="952"/>
      <c r="B7806" s="953"/>
      <c r="C7806" s="953"/>
      <c r="D7806" s="953"/>
      <c r="E7806" s="953"/>
      <c r="F7806" s="953"/>
      <c r="G7806" s="953"/>
      <c r="H7806" s="953"/>
    </row>
    <row r="7807" spans="1:8" s="943" customFormat="1" x14ac:dyDescent="0.25">
      <c r="A7807" s="952"/>
      <c r="B7807" s="953"/>
      <c r="C7807" s="953"/>
      <c r="D7807" s="953"/>
      <c r="E7807" s="953"/>
      <c r="F7807" s="953"/>
      <c r="G7807" s="953"/>
      <c r="H7807" s="953"/>
    </row>
    <row r="7808" spans="1:8" s="943" customFormat="1" x14ac:dyDescent="0.25">
      <c r="A7808" s="952"/>
      <c r="B7808" s="953"/>
      <c r="C7808" s="953"/>
      <c r="D7808" s="953"/>
      <c r="E7808" s="953"/>
      <c r="F7808" s="953"/>
      <c r="G7808" s="953"/>
      <c r="H7808" s="953"/>
    </row>
    <row r="7809" spans="1:8" s="943" customFormat="1" x14ac:dyDescent="0.25">
      <c r="A7809" s="952"/>
      <c r="B7809" s="953"/>
      <c r="C7809" s="953"/>
      <c r="D7809" s="953"/>
      <c r="E7809" s="953"/>
      <c r="F7809" s="953"/>
      <c r="G7809" s="953"/>
      <c r="H7809" s="953"/>
    </row>
    <row r="7810" spans="1:8" s="943" customFormat="1" x14ac:dyDescent="0.25">
      <c r="A7810" s="952"/>
      <c r="B7810" s="953"/>
      <c r="C7810" s="953"/>
      <c r="D7810" s="953"/>
      <c r="E7810" s="953"/>
      <c r="F7810" s="953"/>
      <c r="G7810" s="953"/>
      <c r="H7810" s="953"/>
    </row>
    <row r="7811" spans="1:8" s="943" customFormat="1" x14ac:dyDescent="0.25">
      <c r="A7811" s="952"/>
      <c r="B7811" s="953"/>
      <c r="C7811" s="953"/>
      <c r="D7811" s="953"/>
      <c r="E7811" s="953"/>
      <c r="F7811" s="953"/>
      <c r="G7811" s="953"/>
      <c r="H7811" s="953"/>
    </row>
    <row r="7812" spans="1:8" s="943" customFormat="1" x14ac:dyDescent="0.25">
      <c r="A7812" s="952"/>
      <c r="B7812" s="953"/>
      <c r="C7812" s="953"/>
      <c r="D7812" s="953"/>
      <c r="E7812" s="953"/>
      <c r="F7812" s="953"/>
      <c r="G7812" s="953"/>
      <c r="H7812" s="953"/>
    </row>
    <row r="7813" spans="1:8" s="943" customFormat="1" x14ac:dyDescent="0.25">
      <c r="A7813" s="952"/>
      <c r="B7813" s="953"/>
      <c r="C7813" s="953"/>
      <c r="D7813" s="953"/>
      <c r="E7813" s="953"/>
      <c r="F7813" s="953"/>
      <c r="G7813" s="953"/>
      <c r="H7813" s="953"/>
    </row>
    <row r="7814" spans="1:8" s="943" customFormat="1" x14ac:dyDescent="0.25">
      <c r="A7814" s="952"/>
      <c r="B7814" s="953"/>
      <c r="C7814" s="953"/>
      <c r="D7814" s="953"/>
      <c r="E7814" s="953"/>
      <c r="F7814" s="953"/>
      <c r="G7814" s="953"/>
      <c r="H7814" s="953"/>
    </row>
    <row r="7815" spans="1:8" s="943" customFormat="1" x14ac:dyDescent="0.25">
      <c r="A7815" s="952"/>
      <c r="B7815" s="953"/>
      <c r="C7815" s="953"/>
      <c r="D7815" s="953"/>
      <c r="E7815" s="953"/>
      <c r="F7815" s="953"/>
      <c r="G7815" s="953"/>
      <c r="H7815" s="953"/>
    </row>
    <row r="7816" spans="1:8" s="943" customFormat="1" x14ac:dyDescent="0.25">
      <c r="A7816" s="952"/>
      <c r="B7816" s="953"/>
      <c r="C7816" s="953"/>
      <c r="D7816" s="953"/>
      <c r="E7816" s="953"/>
      <c r="F7816" s="953"/>
      <c r="G7816" s="953"/>
      <c r="H7816" s="953"/>
    </row>
    <row r="7817" spans="1:8" s="943" customFormat="1" x14ac:dyDescent="0.25">
      <c r="A7817" s="952"/>
      <c r="B7817" s="953"/>
      <c r="C7817" s="953"/>
      <c r="D7817" s="953"/>
      <c r="E7817" s="953"/>
      <c r="F7817" s="953"/>
      <c r="G7817" s="953"/>
      <c r="H7817" s="953"/>
    </row>
    <row r="7818" spans="1:8" s="943" customFormat="1" x14ac:dyDescent="0.25">
      <c r="A7818" s="952"/>
      <c r="B7818" s="953"/>
      <c r="C7818" s="953"/>
      <c r="D7818" s="953"/>
      <c r="E7818" s="953"/>
      <c r="F7818" s="953"/>
      <c r="G7818" s="953"/>
      <c r="H7818" s="953"/>
    </row>
    <row r="7819" spans="1:8" s="943" customFormat="1" x14ac:dyDescent="0.25">
      <c r="A7819" s="952"/>
      <c r="B7819" s="953"/>
      <c r="C7819" s="953"/>
      <c r="D7819" s="953"/>
      <c r="E7819" s="953"/>
      <c r="F7819" s="953"/>
      <c r="G7819" s="953"/>
      <c r="H7819" s="953"/>
    </row>
    <row r="7820" spans="1:8" s="943" customFormat="1" x14ac:dyDescent="0.25">
      <c r="A7820" s="952"/>
      <c r="B7820" s="953"/>
      <c r="C7820" s="953"/>
      <c r="D7820" s="953"/>
      <c r="E7820" s="953"/>
      <c r="F7820" s="953"/>
      <c r="G7820" s="953"/>
      <c r="H7820" s="953"/>
    </row>
    <row r="7821" spans="1:8" s="943" customFormat="1" x14ac:dyDescent="0.25">
      <c r="A7821" s="952"/>
      <c r="B7821" s="953"/>
      <c r="C7821" s="953"/>
      <c r="D7821" s="953"/>
      <c r="E7821" s="953"/>
      <c r="F7821" s="953"/>
      <c r="G7821" s="953"/>
      <c r="H7821" s="953"/>
    </row>
    <row r="7822" spans="1:8" s="943" customFormat="1" x14ac:dyDescent="0.25">
      <c r="A7822" s="952"/>
      <c r="B7822" s="953"/>
      <c r="C7822" s="953"/>
      <c r="D7822" s="953"/>
      <c r="E7822" s="953"/>
      <c r="F7822" s="953"/>
      <c r="G7822" s="953"/>
      <c r="H7822" s="953"/>
    </row>
    <row r="7823" spans="1:8" s="943" customFormat="1" x14ac:dyDescent="0.25">
      <c r="A7823" s="952"/>
      <c r="B7823" s="953"/>
      <c r="C7823" s="953"/>
      <c r="D7823" s="953"/>
      <c r="E7823" s="953"/>
      <c r="F7823" s="953"/>
      <c r="G7823" s="953"/>
      <c r="H7823" s="953"/>
    </row>
    <row r="7824" spans="1:8" s="943" customFormat="1" x14ac:dyDescent="0.25">
      <c r="A7824" s="952"/>
      <c r="B7824" s="953"/>
      <c r="C7824" s="953"/>
      <c r="D7824" s="953"/>
      <c r="E7824" s="953"/>
      <c r="F7824" s="953"/>
      <c r="G7824" s="953"/>
      <c r="H7824" s="953"/>
    </row>
    <row r="7825" spans="1:8" s="943" customFormat="1" x14ac:dyDescent="0.25">
      <c r="A7825" s="952"/>
      <c r="B7825" s="953"/>
      <c r="C7825" s="953"/>
      <c r="D7825" s="953"/>
      <c r="E7825" s="953"/>
      <c r="F7825" s="953"/>
      <c r="G7825" s="953"/>
      <c r="H7825" s="953"/>
    </row>
    <row r="7826" spans="1:8" s="943" customFormat="1" x14ac:dyDescent="0.25">
      <c r="A7826" s="952"/>
      <c r="B7826" s="953"/>
      <c r="C7826" s="953"/>
      <c r="D7826" s="953"/>
      <c r="E7826" s="953"/>
      <c r="F7826" s="953"/>
      <c r="G7826" s="953"/>
      <c r="H7826" s="953"/>
    </row>
    <row r="7827" spans="1:8" s="943" customFormat="1" x14ac:dyDescent="0.25">
      <c r="A7827" s="952"/>
      <c r="B7827" s="953"/>
      <c r="C7827" s="953"/>
      <c r="D7827" s="953"/>
      <c r="E7827" s="953"/>
      <c r="F7827" s="953"/>
      <c r="G7827" s="953"/>
      <c r="H7827" s="953"/>
    </row>
    <row r="7828" spans="1:8" s="943" customFormat="1" x14ac:dyDescent="0.25">
      <c r="A7828" s="952"/>
      <c r="B7828" s="953"/>
      <c r="C7828" s="953"/>
      <c r="D7828" s="953"/>
      <c r="E7828" s="953"/>
      <c r="F7828" s="953"/>
      <c r="G7828" s="953"/>
      <c r="H7828" s="953"/>
    </row>
    <row r="7829" spans="1:8" s="943" customFormat="1" x14ac:dyDescent="0.25">
      <c r="A7829" s="952"/>
      <c r="B7829" s="953"/>
      <c r="C7829" s="953"/>
      <c r="D7829" s="953"/>
      <c r="E7829" s="953"/>
      <c r="F7829" s="953"/>
      <c r="G7829" s="953"/>
      <c r="H7829" s="953"/>
    </row>
    <row r="7830" spans="1:8" s="943" customFormat="1" x14ac:dyDescent="0.25">
      <c r="A7830" s="952"/>
      <c r="B7830" s="953"/>
      <c r="C7830" s="953"/>
      <c r="D7830" s="953"/>
      <c r="E7830" s="953"/>
      <c r="F7830" s="953"/>
      <c r="G7830" s="953"/>
      <c r="H7830" s="953"/>
    </row>
    <row r="7831" spans="1:8" s="943" customFormat="1" x14ac:dyDescent="0.25">
      <c r="A7831" s="952"/>
      <c r="B7831" s="953"/>
      <c r="C7831" s="953"/>
      <c r="D7831" s="953"/>
      <c r="E7831" s="953"/>
      <c r="F7831" s="953"/>
      <c r="G7831" s="953"/>
      <c r="H7831" s="953"/>
    </row>
    <row r="7832" spans="1:8" s="943" customFormat="1" x14ac:dyDescent="0.25">
      <c r="A7832" s="952"/>
      <c r="B7832" s="953"/>
      <c r="C7832" s="953"/>
      <c r="D7832" s="953"/>
      <c r="E7832" s="953"/>
      <c r="F7832" s="953"/>
      <c r="G7832" s="953"/>
      <c r="H7832" s="953"/>
    </row>
    <row r="7833" spans="1:8" s="943" customFormat="1" x14ac:dyDescent="0.25">
      <c r="A7833" s="952"/>
      <c r="B7833" s="953"/>
      <c r="C7833" s="953"/>
      <c r="D7833" s="953"/>
      <c r="E7833" s="953"/>
      <c r="F7833" s="953"/>
      <c r="G7833" s="953"/>
      <c r="H7833" s="953"/>
    </row>
    <row r="7834" spans="1:8" s="943" customFormat="1" x14ac:dyDescent="0.25">
      <c r="A7834" s="952"/>
      <c r="B7834" s="953"/>
      <c r="C7834" s="953"/>
      <c r="D7834" s="953"/>
      <c r="E7834" s="953"/>
      <c r="F7834" s="953"/>
      <c r="G7834" s="953"/>
      <c r="H7834" s="953"/>
    </row>
    <row r="7835" spans="1:8" s="943" customFormat="1" x14ac:dyDescent="0.25">
      <c r="A7835" s="952"/>
      <c r="B7835" s="953"/>
      <c r="C7835" s="953"/>
      <c r="D7835" s="953"/>
      <c r="E7835" s="953"/>
      <c r="F7835" s="953"/>
      <c r="G7835" s="953"/>
      <c r="H7835" s="953"/>
    </row>
    <row r="7836" spans="1:8" s="943" customFormat="1" x14ac:dyDescent="0.25">
      <c r="A7836" s="952"/>
      <c r="B7836" s="953"/>
      <c r="C7836" s="953"/>
      <c r="D7836" s="953"/>
      <c r="E7836" s="953"/>
      <c r="F7836" s="953"/>
      <c r="G7836" s="953"/>
      <c r="H7836" s="953"/>
    </row>
    <row r="7837" spans="1:8" s="943" customFormat="1" x14ac:dyDescent="0.25">
      <c r="A7837" s="952"/>
      <c r="B7837" s="953"/>
      <c r="C7837" s="953"/>
      <c r="D7837" s="953"/>
      <c r="E7837" s="953"/>
      <c r="F7837" s="953"/>
      <c r="G7837" s="953"/>
      <c r="H7837" s="953"/>
    </row>
    <row r="7838" spans="1:8" s="943" customFormat="1" x14ac:dyDescent="0.25">
      <c r="A7838" s="952"/>
      <c r="B7838" s="953"/>
      <c r="C7838" s="953"/>
      <c r="D7838" s="953"/>
      <c r="E7838" s="953"/>
      <c r="F7838" s="953"/>
      <c r="G7838" s="953"/>
      <c r="H7838" s="953"/>
    </row>
    <row r="7839" spans="1:8" s="943" customFormat="1" x14ac:dyDescent="0.25">
      <c r="A7839" s="952"/>
      <c r="B7839" s="953"/>
      <c r="C7839" s="953"/>
      <c r="D7839" s="953"/>
      <c r="E7839" s="953"/>
      <c r="F7839" s="953"/>
      <c r="G7839" s="953"/>
      <c r="H7839" s="953"/>
    </row>
    <row r="7840" spans="1:8" s="943" customFormat="1" x14ac:dyDescent="0.25">
      <c r="A7840" s="952"/>
      <c r="B7840" s="953"/>
      <c r="C7840" s="953"/>
      <c r="D7840" s="953"/>
      <c r="E7840" s="953"/>
      <c r="F7840" s="953"/>
      <c r="G7840" s="953"/>
      <c r="H7840" s="953"/>
    </row>
    <row r="7841" spans="1:8" s="943" customFormat="1" x14ac:dyDescent="0.25">
      <c r="A7841" s="952"/>
      <c r="B7841" s="953"/>
      <c r="C7841" s="953"/>
      <c r="D7841" s="953"/>
      <c r="E7841" s="953"/>
      <c r="F7841" s="953"/>
      <c r="G7841" s="953"/>
      <c r="H7841" s="953"/>
    </row>
    <row r="7842" spans="1:8" s="943" customFormat="1" x14ac:dyDescent="0.25">
      <c r="A7842" s="952"/>
      <c r="B7842" s="953"/>
      <c r="C7842" s="953"/>
      <c r="D7842" s="953"/>
      <c r="E7842" s="953"/>
      <c r="F7842" s="953"/>
      <c r="G7842" s="953"/>
      <c r="H7842" s="953"/>
    </row>
    <row r="7843" spans="1:8" s="943" customFormat="1" x14ac:dyDescent="0.25">
      <c r="A7843" s="952"/>
      <c r="B7843" s="953"/>
      <c r="C7843" s="953"/>
      <c r="D7843" s="953"/>
      <c r="E7843" s="953"/>
      <c r="F7843" s="953"/>
      <c r="G7843" s="953"/>
      <c r="H7843" s="953"/>
    </row>
    <row r="7844" spans="1:8" s="943" customFormat="1" x14ac:dyDescent="0.25">
      <c r="A7844" s="952"/>
      <c r="B7844" s="953"/>
      <c r="C7844" s="953"/>
      <c r="D7844" s="953"/>
      <c r="E7844" s="953"/>
      <c r="F7844" s="953"/>
      <c r="G7844" s="953"/>
      <c r="H7844" s="953"/>
    </row>
    <row r="7845" spans="1:8" s="943" customFormat="1" x14ac:dyDescent="0.25">
      <c r="A7845" s="952"/>
      <c r="B7845" s="953"/>
      <c r="C7845" s="953"/>
      <c r="D7845" s="953"/>
      <c r="E7845" s="953"/>
      <c r="F7845" s="953"/>
      <c r="G7845" s="953"/>
      <c r="H7845" s="953"/>
    </row>
    <row r="7846" spans="1:8" s="943" customFormat="1" x14ac:dyDescent="0.25">
      <c r="A7846" s="952"/>
      <c r="B7846" s="953"/>
      <c r="C7846" s="953"/>
      <c r="D7846" s="953"/>
      <c r="E7846" s="953"/>
      <c r="F7846" s="953"/>
      <c r="G7846" s="953"/>
      <c r="H7846" s="953"/>
    </row>
    <row r="7847" spans="1:8" s="943" customFormat="1" x14ac:dyDescent="0.25">
      <c r="A7847" s="952"/>
      <c r="B7847" s="953"/>
      <c r="C7847" s="953"/>
      <c r="D7847" s="953"/>
      <c r="E7847" s="953"/>
      <c r="F7847" s="953"/>
      <c r="G7847" s="953"/>
      <c r="H7847" s="953"/>
    </row>
    <row r="7848" spans="1:8" s="943" customFormat="1" x14ac:dyDescent="0.25">
      <c r="A7848" s="952"/>
      <c r="B7848" s="953"/>
      <c r="C7848" s="953"/>
      <c r="D7848" s="953"/>
      <c r="E7848" s="953"/>
      <c r="F7848" s="953"/>
      <c r="G7848" s="953"/>
      <c r="H7848" s="953"/>
    </row>
    <row r="7849" spans="1:8" s="943" customFormat="1" x14ac:dyDescent="0.25">
      <c r="A7849" s="952"/>
      <c r="B7849" s="953"/>
      <c r="C7849" s="953"/>
      <c r="D7849" s="953"/>
      <c r="E7849" s="953"/>
      <c r="F7849" s="953"/>
      <c r="G7849" s="953"/>
      <c r="H7849" s="953"/>
    </row>
    <row r="7850" spans="1:8" s="943" customFormat="1" x14ac:dyDescent="0.25">
      <c r="A7850" s="952"/>
      <c r="B7850" s="953"/>
      <c r="C7850" s="953"/>
      <c r="D7850" s="953"/>
      <c r="E7850" s="953"/>
      <c r="F7850" s="953"/>
      <c r="G7850" s="953"/>
      <c r="H7850" s="953"/>
    </row>
    <row r="7851" spans="1:8" s="943" customFormat="1" x14ac:dyDescent="0.25">
      <c r="A7851" s="952"/>
      <c r="B7851" s="953"/>
      <c r="C7851" s="953"/>
      <c r="D7851" s="953"/>
      <c r="E7851" s="953"/>
      <c r="F7851" s="953"/>
      <c r="G7851" s="953"/>
      <c r="H7851" s="953"/>
    </row>
    <row r="7852" spans="1:8" s="943" customFormat="1" x14ac:dyDescent="0.25">
      <c r="A7852" s="952"/>
      <c r="B7852" s="953"/>
      <c r="C7852" s="953"/>
      <c r="D7852" s="953"/>
      <c r="E7852" s="953"/>
      <c r="F7852" s="953"/>
      <c r="G7852" s="953"/>
      <c r="H7852" s="953"/>
    </row>
    <row r="7853" spans="1:8" s="943" customFormat="1" x14ac:dyDescent="0.25">
      <c r="A7853" s="952"/>
      <c r="B7853" s="953"/>
      <c r="C7853" s="953"/>
      <c r="D7853" s="953"/>
      <c r="E7853" s="953"/>
      <c r="F7853" s="953"/>
      <c r="G7853" s="953"/>
      <c r="H7853" s="953"/>
    </row>
    <row r="7854" spans="1:8" s="943" customFormat="1" x14ac:dyDescent="0.25">
      <c r="A7854" s="952"/>
      <c r="B7854" s="953"/>
      <c r="C7854" s="953"/>
      <c r="D7854" s="953"/>
      <c r="E7854" s="953"/>
      <c r="F7854" s="953"/>
      <c r="G7854" s="953"/>
      <c r="H7854" s="953"/>
    </row>
    <row r="7855" spans="1:8" s="943" customFormat="1" x14ac:dyDescent="0.25">
      <c r="A7855" s="952"/>
      <c r="B7855" s="953"/>
      <c r="C7855" s="953"/>
      <c r="D7855" s="953"/>
      <c r="E7855" s="953"/>
      <c r="F7855" s="953"/>
      <c r="G7855" s="953"/>
      <c r="H7855" s="953"/>
    </row>
    <row r="7856" spans="1:8" s="943" customFormat="1" x14ac:dyDescent="0.25">
      <c r="A7856" s="952"/>
      <c r="B7856" s="953"/>
      <c r="C7856" s="953"/>
      <c r="D7856" s="953"/>
      <c r="E7856" s="953"/>
      <c r="F7856" s="953"/>
      <c r="G7856" s="953"/>
      <c r="H7856" s="953"/>
    </row>
    <row r="7857" spans="1:8" s="943" customFormat="1" x14ac:dyDescent="0.25">
      <c r="A7857" s="952"/>
      <c r="B7857" s="953"/>
      <c r="C7857" s="953"/>
      <c r="D7857" s="953"/>
      <c r="E7857" s="953"/>
      <c r="F7857" s="953"/>
      <c r="G7857" s="953"/>
      <c r="H7857" s="953"/>
    </row>
    <row r="7858" spans="1:8" s="943" customFormat="1" x14ac:dyDescent="0.25">
      <c r="A7858" s="952"/>
      <c r="B7858" s="953"/>
      <c r="C7858" s="953"/>
      <c r="D7858" s="953"/>
      <c r="E7858" s="953"/>
      <c r="F7858" s="953"/>
      <c r="G7858" s="953"/>
      <c r="H7858" s="953"/>
    </row>
    <row r="7859" spans="1:8" s="943" customFormat="1" x14ac:dyDescent="0.25">
      <c r="A7859" s="952"/>
      <c r="B7859" s="953"/>
      <c r="C7859" s="953"/>
      <c r="D7859" s="953"/>
      <c r="E7859" s="953"/>
      <c r="F7859" s="953"/>
      <c r="G7859" s="953"/>
      <c r="H7859" s="953"/>
    </row>
    <row r="7860" spans="1:8" s="943" customFormat="1" x14ac:dyDescent="0.25">
      <c r="A7860" s="952"/>
      <c r="B7860" s="953"/>
      <c r="C7860" s="953"/>
      <c r="D7860" s="953"/>
      <c r="E7860" s="953"/>
      <c r="F7860" s="953"/>
      <c r="G7860" s="953"/>
      <c r="H7860" s="953"/>
    </row>
    <row r="7861" spans="1:8" s="943" customFormat="1" x14ac:dyDescent="0.25">
      <c r="A7861" s="952"/>
      <c r="B7861" s="953"/>
      <c r="C7861" s="953"/>
      <c r="D7861" s="953"/>
      <c r="E7861" s="953"/>
      <c r="F7861" s="953"/>
      <c r="G7861" s="953"/>
      <c r="H7861" s="953"/>
    </row>
    <row r="7862" spans="1:8" s="943" customFormat="1" x14ac:dyDescent="0.25">
      <c r="A7862" s="952"/>
      <c r="B7862" s="953"/>
      <c r="C7862" s="953"/>
      <c r="D7862" s="953"/>
      <c r="E7862" s="953"/>
      <c r="F7862" s="953"/>
      <c r="G7862" s="953"/>
      <c r="H7862" s="953"/>
    </row>
    <row r="7863" spans="1:8" s="943" customFormat="1" x14ac:dyDescent="0.25">
      <c r="A7863" s="952"/>
      <c r="B7863" s="953"/>
      <c r="C7863" s="953"/>
      <c r="D7863" s="953"/>
      <c r="E7863" s="953"/>
      <c r="F7863" s="953"/>
      <c r="G7863" s="953"/>
      <c r="H7863" s="953"/>
    </row>
    <row r="7864" spans="1:8" s="943" customFormat="1" x14ac:dyDescent="0.25">
      <c r="A7864" s="952"/>
      <c r="B7864" s="953"/>
      <c r="C7864" s="953"/>
      <c r="D7864" s="953"/>
      <c r="E7864" s="953"/>
      <c r="F7864" s="953"/>
      <c r="G7864" s="953"/>
      <c r="H7864" s="953"/>
    </row>
    <row r="7865" spans="1:8" s="943" customFormat="1" x14ac:dyDescent="0.25">
      <c r="A7865" s="952"/>
      <c r="B7865" s="953"/>
      <c r="C7865" s="953"/>
      <c r="D7865" s="953"/>
      <c r="E7865" s="953"/>
      <c r="F7865" s="953"/>
      <c r="G7865" s="953"/>
      <c r="H7865" s="953"/>
    </row>
    <row r="7866" spans="1:8" s="943" customFormat="1" x14ac:dyDescent="0.25">
      <c r="A7866" s="952"/>
      <c r="B7866" s="953"/>
      <c r="C7866" s="953"/>
      <c r="D7866" s="953"/>
      <c r="E7866" s="953"/>
      <c r="F7866" s="953"/>
      <c r="G7866" s="953"/>
      <c r="H7866" s="953"/>
    </row>
    <row r="7867" spans="1:8" s="943" customFormat="1" x14ac:dyDescent="0.25">
      <c r="A7867" s="952"/>
      <c r="B7867" s="953"/>
      <c r="C7867" s="953"/>
      <c r="D7867" s="953"/>
      <c r="E7867" s="953"/>
      <c r="F7867" s="953"/>
      <c r="G7867" s="953"/>
      <c r="H7867" s="953"/>
    </row>
    <row r="7868" spans="1:8" s="943" customFormat="1" x14ac:dyDescent="0.25">
      <c r="A7868" s="952"/>
      <c r="B7868" s="953"/>
      <c r="C7868" s="953"/>
      <c r="D7868" s="953"/>
      <c r="E7868" s="953"/>
      <c r="F7868" s="953"/>
      <c r="G7868" s="953"/>
      <c r="H7868" s="953"/>
    </row>
    <row r="7869" spans="1:8" s="943" customFormat="1" x14ac:dyDescent="0.25">
      <c r="A7869" s="952"/>
      <c r="B7869" s="953"/>
      <c r="C7869" s="953"/>
      <c r="D7869" s="953"/>
      <c r="E7869" s="953"/>
      <c r="F7869" s="953"/>
      <c r="G7869" s="953"/>
      <c r="H7869" s="953"/>
    </row>
    <row r="7870" spans="1:8" s="943" customFormat="1" x14ac:dyDescent="0.25">
      <c r="A7870" s="952"/>
      <c r="B7870" s="953"/>
      <c r="C7870" s="953"/>
      <c r="D7870" s="953"/>
      <c r="E7870" s="953"/>
      <c r="F7870" s="953"/>
      <c r="G7870" s="953"/>
      <c r="H7870" s="953"/>
    </row>
    <row r="7871" spans="1:8" s="943" customFormat="1" x14ac:dyDescent="0.25">
      <c r="A7871" s="952"/>
      <c r="B7871" s="953"/>
      <c r="C7871" s="953"/>
      <c r="D7871" s="953"/>
      <c r="E7871" s="953"/>
      <c r="F7871" s="953"/>
      <c r="G7871" s="953"/>
      <c r="H7871" s="953"/>
    </row>
    <row r="7872" spans="1:8" s="943" customFormat="1" x14ac:dyDescent="0.25">
      <c r="A7872" s="952"/>
      <c r="B7872" s="953"/>
      <c r="C7872" s="953"/>
      <c r="D7872" s="953"/>
      <c r="E7872" s="953"/>
      <c r="F7872" s="953"/>
      <c r="G7872" s="953"/>
      <c r="H7872" s="953"/>
    </row>
    <row r="7873" spans="1:8" s="943" customFormat="1" x14ac:dyDescent="0.25">
      <c r="A7873" s="952"/>
      <c r="B7873" s="953"/>
      <c r="C7873" s="953"/>
      <c r="D7873" s="953"/>
      <c r="E7873" s="953"/>
      <c r="F7873" s="953"/>
      <c r="G7873" s="953"/>
      <c r="H7873" s="953"/>
    </row>
    <row r="7874" spans="1:8" s="943" customFormat="1" x14ac:dyDescent="0.25">
      <c r="A7874" s="952"/>
      <c r="B7874" s="953"/>
      <c r="C7874" s="953"/>
      <c r="D7874" s="953"/>
      <c r="E7874" s="953"/>
      <c r="F7874" s="953"/>
      <c r="G7874" s="953"/>
      <c r="H7874" s="953"/>
    </row>
    <row r="7875" spans="1:8" s="943" customFormat="1" x14ac:dyDescent="0.25">
      <c r="A7875" s="952"/>
      <c r="B7875" s="953"/>
      <c r="C7875" s="953"/>
      <c r="D7875" s="953"/>
      <c r="E7875" s="953"/>
      <c r="F7875" s="953"/>
      <c r="G7875" s="953"/>
      <c r="H7875" s="953"/>
    </row>
    <row r="7876" spans="1:8" s="943" customFormat="1" x14ac:dyDescent="0.25">
      <c r="A7876" s="952"/>
      <c r="B7876" s="953"/>
      <c r="C7876" s="953"/>
      <c r="D7876" s="953"/>
      <c r="E7876" s="953"/>
      <c r="F7876" s="953"/>
      <c r="G7876" s="953"/>
      <c r="H7876" s="953"/>
    </row>
    <row r="7877" spans="1:8" s="943" customFormat="1" x14ac:dyDescent="0.25">
      <c r="A7877" s="952"/>
      <c r="B7877" s="953"/>
      <c r="C7877" s="953"/>
      <c r="D7877" s="953"/>
      <c r="E7877" s="953"/>
      <c r="F7877" s="953"/>
      <c r="G7877" s="953"/>
      <c r="H7877" s="953"/>
    </row>
    <row r="7878" spans="1:8" s="943" customFormat="1" x14ac:dyDescent="0.25">
      <c r="A7878" s="952"/>
      <c r="B7878" s="953"/>
      <c r="C7878" s="953"/>
      <c r="D7878" s="953"/>
      <c r="E7878" s="953"/>
      <c r="F7878" s="953"/>
      <c r="G7878" s="953"/>
      <c r="H7878" s="953"/>
    </row>
    <row r="7879" spans="1:8" s="943" customFormat="1" x14ac:dyDescent="0.25">
      <c r="A7879" s="952"/>
      <c r="B7879" s="953"/>
      <c r="C7879" s="953"/>
      <c r="D7879" s="953"/>
      <c r="E7879" s="953"/>
      <c r="F7879" s="953"/>
      <c r="G7879" s="953"/>
      <c r="H7879" s="953"/>
    </row>
    <row r="7880" spans="1:8" s="943" customFormat="1" x14ac:dyDescent="0.25">
      <c r="A7880" s="952"/>
      <c r="B7880" s="953"/>
      <c r="C7880" s="953"/>
      <c r="D7880" s="953"/>
      <c r="E7880" s="953"/>
      <c r="F7880" s="953"/>
      <c r="G7880" s="953"/>
      <c r="H7880" s="953"/>
    </row>
    <row r="7881" spans="1:8" s="943" customFormat="1" x14ac:dyDescent="0.25">
      <c r="A7881" s="952"/>
      <c r="B7881" s="953"/>
      <c r="C7881" s="953"/>
      <c r="D7881" s="953"/>
      <c r="E7881" s="953"/>
      <c r="F7881" s="953"/>
      <c r="G7881" s="953"/>
      <c r="H7881" s="953"/>
    </row>
    <row r="7882" spans="1:8" s="943" customFormat="1" x14ac:dyDescent="0.25">
      <c r="A7882" s="952"/>
      <c r="B7882" s="953"/>
      <c r="C7882" s="953"/>
      <c r="D7882" s="953"/>
      <c r="E7882" s="953"/>
      <c r="F7882" s="953"/>
      <c r="G7882" s="953"/>
      <c r="H7882" s="953"/>
    </row>
    <row r="7883" spans="1:8" s="943" customFormat="1" x14ac:dyDescent="0.25">
      <c r="A7883" s="952"/>
      <c r="B7883" s="953"/>
      <c r="C7883" s="953"/>
      <c r="D7883" s="953"/>
      <c r="E7883" s="953"/>
      <c r="F7883" s="953"/>
      <c r="G7883" s="953"/>
      <c r="H7883" s="953"/>
    </row>
    <row r="7884" spans="1:8" s="943" customFormat="1" x14ac:dyDescent="0.25">
      <c r="A7884" s="952"/>
      <c r="B7884" s="953"/>
      <c r="C7884" s="953"/>
      <c r="D7884" s="953"/>
      <c r="E7884" s="953"/>
      <c r="F7884" s="953"/>
      <c r="G7884" s="953"/>
      <c r="H7884" s="953"/>
    </row>
    <row r="7885" spans="1:8" s="943" customFormat="1" x14ac:dyDescent="0.25">
      <c r="A7885" s="952"/>
      <c r="B7885" s="953"/>
      <c r="C7885" s="953"/>
      <c r="D7885" s="953"/>
      <c r="E7885" s="953"/>
      <c r="F7885" s="953"/>
      <c r="G7885" s="953"/>
      <c r="H7885" s="953"/>
    </row>
    <row r="7886" spans="1:8" s="943" customFormat="1" x14ac:dyDescent="0.25">
      <c r="A7886" s="952"/>
      <c r="B7886" s="953"/>
      <c r="C7886" s="953"/>
      <c r="D7886" s="953"/>
      <c r="E7886" s="953"/>
      <c r="F7886" s="953"/>
      <c r="G7886" s="953"/>
      <c r="H7886" s="953"/>
    </row>
    <row r="7887" spans="1:8" s="943" customFormat="1" x14ac:dyDescent="0.25">
      <c r="A7887" s="952"/>
      <c r="B7887" s="953"/>
      <c r="C7887" s="953"/>
      <c r="D7887" s="953"/>
      <c r="E7887" s="953"/>
      <c r="F7887" s="953"/>
      <c r="G7887" s="953"/>
      <c r="H7887" s="953"/>
    </row>
    <row r="7888" spans="1:8" s="943" customFormat="1" x14ac:dyDescent="0.25">
      <c r="A7888" s="952"/>
      <c r="B7888" s="953"/>
      <c r="C7888" s="953"/>
      <c r="D7888" s="953"/>
      <c r="E7888" s="953"/>
      <c r="F7888" s="953"/>
      <c r="G7888" s="953"/>
      <c r="H7888" s="953"/>
    </row>
    <row r="7889" spans="1:8" s="943" customFormat="1" x14ac:dyDescent="0.25">
      <c r="A7889" s="952"/>
      <c r="B7889" s="953"/>
      <c r="C7889" s="953"/>
      <c r="D7889" s="953"/>
      <c r="E7889" s="953"/>
      <c r="F7889" s="953"/>
      <c r="G7889" s="953"/>
      <c r="H7889" s="953"/>
    </row>
    <row r="7890" spans="1:8" s="943" customFormat="1" x14ac:dyDescent="0.25">
      <c r="A7890" s="952"/>
      <c r="B7890" s="953"/>
      <c r="C7890" s="953"/>
      <c r="D7890" s="953"/>
      <c r="E7890" s="953"/>
      <c r="F7890" s="953"/>
      <c r="G7890" s="953"/>
      <c r="H7890" s="953"/>
    </row>
    <row r="7891" spans="1:8" s="943" customFormat="1" x14ac:dyDescent="0.25">
      <c r="A7891" s="952"/>
      <c r="B7891" s="953"/>
      <c r="C7891" s="953"/>
      <c r="D7891" s="953"/>
      <c r="E7891" s="953"/>
      <c r="F7891" s="953"/>
      <c r="G7891" s="953"/>
      <c r="H7891" s="953"/>
    </row>
    <row r="7892" spans="1:8" s="943" customFormat="1" x14ac:dyDescent="0.25">
      <c r="A7892" s="952"/>
      <c r="B7892" s="953"/>
      <c r="C7892" s="953"/>
      <c r="D7892" s="953"/>
      <c r="E7892" s="953"/>
      <c r="F7892" s="953"/>
      <c r="G7892" s="953"/>
      <c r="H7892" s="953"/>
    </row>
    <row r="7893" spans="1:8" s="943" customFormat="1" x14ac:dyDescent="0.25">
      <c r="A7893" s="952"/>
      <c r="B7893" s="953"/>
      <c r="C7893" s="953"/>
      <c r="D7893" s="953"/>
      <c r="E7893" s="953"/>
      <c r="F7893" s="953"/>
      <c r="G7893" s="953"/>
      <c r="H7893" s="953"/>
    </row>
    <row r="7894" spans="1:8" s="943" customFormat="1" x14ac:dyDescent="0.25">
      <c r="A7894" s="952"/>
      <c r="B7894" s="953"/>
      <c r="C7894" s="953"/>
      <c r="D7894" s="953"/>
      <c r="E7894" s="953"/>
      <c r="F7894" s="953"/>
      <c r="G7894" s="953"/>
      <c r="H7894" s="953"/>
    </row>
    <row r="7895" spans="1:8" s="943" customFormat="1" x14ac:dyDescent="0.25">
      <c r="A7895" s="952"/>
      <c r="B7895" s="953"/>
      <c r="C7895" s="953"/>
      <c r="D7895" s="953"/>
      <c r="E7895" s="953"/>
      <c r="F7895" s="953"/>
      <c r="G7895" s="953"/>
      <c r="H7895" s="953"/>
    </row>
    <row r="7896" spans="1:8" s="943" customFormat="1" x14ac:dyDescent="0.25">
      <c r="A7896" s="952"/>
      <c r="B7896" s="953"/>
      <c r="C7896" s="953"/>
      <c r="D7896" s="953"/>
      <c r="E7896" s="953"/>
      <c r="F7896" s="953"/>
      <c r="G7896" s="953"/>
      <c r="H7896" s="953"/>
    </row>
    <row r="7897" spans="1:8" s="943" customFormat="1" x14ac:dyDescent="0.25">
      <c r="A7897" s="952"/>
      <c r="B7897" s="953"/>
      <c r="C7897" s="953"/>
      <c r="D7897" s="953"/>
      <c r="E7897" s="953"/>
      <c r="F7897" s="953"/>
      <c r="G7897" s="953"/>
      <c r="H7897" s="953"/>
    </row>
    <row r="7898" spans="1:8" s="943" customFormat="1" x14ac:dyDescent="0.25">
      <c r="A7898" s="952"/>
      <c r="B7898" s="953"/>
      <c r="C7898" s="953"/>
      <c r="D7898" s="953"/>
      <c r="E7898" s="953"/>
      <c r="F7898" s="953"/>
      <c r="G7898" s="953"/>
      <c r="H7898" s="953"/>
    </row>
    <row r="7899" spans="1:8" s="943" customFormat="1" x14ac:dyDescent="0.25">
      <c r="A7899" s="952"/>
      <c r="B7899" s="953"/>
      <c r="C7899" s="953"/>
      <c r="D7899" s="953"/>
      <c r="E7899" s="953"/>
      <c r="F7899" s="953"/>
      <c r="G7899" s="953"/>
      <c r="H7899" s="953"/>
    </row>
    <row r="7900" spans="1:8" s="943" customFormat="1" x14ac:dyDescent="0.25">
      <c r="A7900" s="952"/>
      <c r="B7900" s="953"/>
      <c r="C7900" s="953"/>
      <c r="D7900" s="953"/>
      <c r="E7900" s="953"/>
      <c r="F7900" s="953"/>
      <c r="G7900" s="953"/>
      <c r="H7900" s="953"/>
    </row>
    <row r="7901" spans="1:8" s="943" customFormat="1" x14ac:dyDescent="0.25">
      <c r="A7901" s="952"/>
      <c r="B7901" s="953"/>
      <c r="C7901" s="953"/>
      <c r="D7901" s="953"/>
      <c r="E7901" s="953"/>
      <c r="F7901" s="953"/>
      <c r="G7901" s="953"/>
      <c r="H7901" s="953"/>
    </row>
    <row r="7902" spans="1:8" s="943" customFormat="1" x14ac:dyDescent="0.25">
      <c r="A7902" s="952"/>
      <c r="B7902" s="953"/>
      <c r="C7902" s="953"/>
      <c r="D7902" s="953"/>
      <c r="E7902" s="953"/>
      <c r="F7902" s="953"/>
      <c r="G7902" s="953"/>
      <c r="H7902" s="953"/>
    </row>
    <row r="7903" spans="1:8" s="943" customFormat="1" x14ac:dyDescent="0.25">
      <c r="A7903" s="952"/>
      <c r="B7903" s="953"/>
      <c r="C7903" s="953"/>
      <c r="D7903" s="953"/>
      <c r="E7903" s="953"/>
      <c r="F7903" s="953"/>
      <c r="G7903" s="953"/>
      <c r="H7903" s="953"/>
    </row>
    <row r="7904" spans="1:8" s="943" customFormat="1" x14ac:dyDescent="0.25">
      <c r="A7904" s="952"/>
      <c r="B7904" s="953"/>
      <c r="C7904" s="953"/>
      <c r="D7904" s="953"/>
      <c r="E7904" s="953"/>
      <c r="F7904" s="953"/>
      <c r="G7904" s="953"/>
      <c r="H7904" s="953"/>
    </row>
    <row r="7905" spans="1:8" s="943" customFormat="1" x14ac:dyDescent="0.25">
      <c r="A7905" s="952"/>
      <c r="B7905" s="953"/>
      <c r="C7905" s="953"/>
      <c r="D7905" s="953"/>
      <c r="E7905" s="953"/>
      <c r="F7905" s="953"/>
      <c r="G7905" s="953"/>
      <c r="H7905" s="953"/>
    </row>
    <row r="7906" spans="1:8" s="943" customFormat="1" x14ac:dyDescent="0.25">
      <c r="A7906" s="952"/>
      <c r="B7906" s="953"/>
      <c r="C7906" s="953"/>
      <c r="D7906" s="953"/>
      <c r="E7906" s="953"/>
      <c r="F7906" s="953"/>
      <c r="G7906" s="953"/>
      <c r="H7906" s="953"/>
    </row>
    <row r="7907" spans="1:8" s="943" customFormat="1" x14ac:dyDescent="0.25">
      <c r="A7907" s="952"/>
      <c r="B7907" s="953"/>
      <c r="C7907" s="953"/>
      <c r="D7907" s="953"/>
      <c r="E7907" s="953"/>
      <c r="F7907" s="953"/>
      <c r="G7907" s="953"/>
      <c r="H7907" s="953"/>
    </row>
    <row r="7908" spans="1:8" s="943" customFormat="1" x14ac:dyDescent="0.25">
      <c r="A7908" s="952"/>
      <c r="B7908" s="953"/>
      <c r="C7908" s="953"/>
      <c r="D7908" s="953"/>
      <c r="E7908" s="953"/>
      <c r="F7908" s="953"/>
      <c r="G7908" s="953"/>
      <c r="H7908" s="953"/>
    </row>
    <row r="7909" spans="1:8" s="943" customFormat="1" x14ac:dyDescent="0.25">
      <c r="A7909" s="952"/>
      <c r="B7909" s="953"/>
      <c r="C7909" s="953"/>
      <c r="D7909" s="953"/>
      <c r="E7909" s="953"/>
      <c r="F7909" s="953"/>
      <c r="G7909" s="953"/>
      <c r="H7909" s="953"/>
    </row>
    <row r="7910" spans="1:8" s="943" customFormat="1" x14ac:dyDescent="0.25">
      <c r="A7910" s="952"/>
      <c r="B7910" s="953"/>
      <c r="C7910" s="953"/>
      <c r="D7910" s="953"/>
      <c r="E7910" s="953"/>
      <c r="F7910" s="953"/>
      <c r="G7910" s="953"/>
      <c r="H7910" s="953"/>
    </row>
    <row r="7911" spans="1:8" s="943" customFormat="1" x14ac:dyDescent="0.25">
      <c r="A7911" s="952"/>
      <c r="B7911" s="953"/>
      <c r="C7911" s="953"/>
      <c r="D7911" s="953"/>
      <c r="E7911" s="953"/>
      <c r="F7911" s="953"/>
      <c r="G7911" s="953"/>
      <c r="H7911" s="953"/>
    </row>
    <row r="7912" spans="1:8" s="943" customFormat="1" x14ac:dyDescent="0.25">
      <c r="A7912" s="952"/>
      <c r="B7912" s="953"/>
      <c r="C7912" s="953"/>
      <c r="D7912" s="953"/>
      <c r="E7912" s="953"/>
      <c r="F7912" s="953"/>
      <c r="G7912" s="953"/>
      <c r="H7912" s="953"/>
    </row>
    <row r="7913" spans="1:8" s="943" customFormat="1" x14ac:dyDescent="0.25">
      <c r="A7913" s="952"/>
      <c r="B7913" s="953"/>
      <c r="C7913" s="953"/>
      <c r="D7913" s="953"/>
      <c r="E7913" s="953"/>
      <c r="F7913" s="953"/>
      <c r="G7913" s="953"/>
      <c r="H7913" s="953"/>
    </row>
    <row r="7914" spans="1:8" s="943" customFormat="1" x14ac:dyDescent="0.25">
      <c r="A7914" s="952"/>
      <c r="B7914" s="953"/>
      <c r="C7914" s="953"/>
      <c r="D7914" s="953"/>
      <c r="E7914" s="953"/>
      <c r="F7914" s="953"/>
      <c r="G7914" s="953"/>
      <c r="H7914" s="953"/>
    </row>
    <row r="7915" spans="1:8" s="943" customFormat="1" x14ac:dyDescent="0.25">
      <c r="A7915" s="952"/>
      <c r="B7915" s="953"/>
      <c r="C7915" s="953"/>
      <c r="D7915" s="953"/>
      <c r="E7915" s="953"/>
      <c r="F7915" s="953"/>
      <c r="G7915" s="953"/>
      <c r="H7915" s="953"/>
    </row>
    <row r="7916" spans="1:8" s="943" customFormat="1" x14ac:dyDescent="0.25">
      <c r="A7916" s="952"/>
      <c r="B7916" s="953"/>
      <c r="C7916" s="953"/>
      <c r="D7916" s="953"/>
      <c r="E7916" s="953"/>
      <c r="F7916" s="953"/>
      <c r="G7916" s="953"/>
      <c r="H7916" s="953"/>
    </row>
    <row r="7917" spans="1:8" s="943" customFormat="1" x14ac:dyDescent="0.25">
      <c r="A7917" s="952"/>
      <c r="B7917" s="953"/>
      <c r="C7917" s="953"/>
      <c r="D7917" s="953"/>
      <c r="E7917" s="953"/>
      <c r="F7917" s="953"/>
      <c r="G7917" s="953"/>
      <c r="H7917" s="953"/>
    </row>
    <row r="7918" spans="1:8" s="943" customFormat="1" x14ac:dyDescent="0.25">
      <c r="A7918" s="952"/>
      <c r="B7918" s="953"/>
      <c r="C7918" s="953"/>
      <c r="D7918" s="953"/>
      <c r="E7918" s="953"/>
      <c r="F7918" s="953"/>
      <c r="G7918" s="953"/>
      <c r="H7918" s="953"/>
    </row>
    <row r="7919" spans="1:8" s="943" customFormat="1" x14ac:dyDescent="0.25">
      <c r="A7919" s="952"/>
      <c r="B7919" s="953"/>
      <c r="C7919" s="953"/>
      <c r="D7919" s="953"/>
      <c r="E7919" s="953"/>
      <c r="F7919" s="953"/>
      <c r="G7919" s="953"/>
      <c r="H7919" s="953"/>
    </row>
    <row r="7920" spans="1:8" s="943" customFormat="1" x14ac:dyDescent="0.25">
      <c r="A7920" s="952"/>
      <c r="B7920" s="953"/>
      <c r="C7920" s="953"/>
      <c r="D7920" s="953"/>
      <c r="E7920" s="953"/>
      <c r="F7920" s="953"/>
      <c r="G7920" s="953"/>
      <c r="H7920" s="953"/>
    </row>
    <row r="7921" spans="1:8" s="943" customFormat="1" x14ac:dyDescent="0.25">
      <c r="A7921" s="952"/>
      <c r="B7921" s="953"/>
      <c r="C7921" s="953"/>
      <c r="D7921" s="953"/>
      <c r="E7921" s="953"/>
      <c r="F7921" s="953"/>
      <c r="G7921" s="953"/>
      <c r="H7921" s="953"/>
    </row>
    <row r="7922" spans="1:8" s="943" customFormat="1" x14ac:dyDescent="0.25">
      <c r="A7922" s="952"/>
      <c r="B7922" s="953"/>
      <c r="C7922" s="953"/>
      <c r="D7922" s="953"/>
      <c r="E7922" s="953"/>
      <c r="F7922" s="953"/>
      <c r="G7922" s="953"/>
      <c r="H7922" s="953"/>
    </row>
    <row r="7923" spans="1:8" s="943" customFormat="1" x14ac:dyDescent="0.25">
      <c r="A7923" s="952"/>
      <c r="B7923" s="953"/>
      <c r="C7923" s="953"/>
      <c r="D7923" s="953"/>
      <c r="E7923" s="953"/>
      <c r="F7923" s="953"/>
      <c r="G7923" s="953"/>
      <c r="H7923" s="953"/>
    </row>
    <row r="7924" spans="1:8" s="943" customFormat="1" x14ac:dyDescent="0.25">
      <c r="A7924" s="952"/>
      <c r="B7924" s="953"/>
      <c r="C7924" s="953"/>
      <c r="D7924" s="953"/>
      <c r="E7924" s="953"/>
      <c r="F7924" s="953"/>
      <c r="G7924" s="953"/>
      <c r="H7924" s="953"/>
    </row>
    <row r="7925" spans="1:8" s="943" customFormat="1" x14ac:dyDescent="0.25">
      <c r="A7925" s="952"/>
      <c r="B7925" s="953"/>
      <c r="C7925" s="953"/>
      <c r="D7925" s="953"/>
      <c r="E7925" s="953"/>
      <c r="F7925" s="953"/>
      <c r="G7925" s="953"/>
      <c r="H7925" s="953"/>
    </row>
    <row r="7926" spans="1:8" s="943" customFormat="1" x14ac:dyDescent="0.25">
      <c r="A7926" s="952"/>
      <c r="B7926" s="953"/>
      <c r="C7926" s="953"/>
      <c r="D7926" s="953"/>
      <c r="E7926" s="953"/>
      <c r="F7926" s="953"/>
      <c r="G7926" s="953"/>
      <c r="H7926" s="953"/>
    </row>
    <row r="7927" spans="1:8" s="943" customFormat="1" x14ac:dyDescent="0.25">
      <c r="A7927" s="952"/>
      <c r="B7927" s="953"/>
      <c r="C7927" s="953"/>
      <c r="D7927" s="953"/>
      <c r="E7927" s="953"/>
      <c r="F7927" s="953"/>
      <c r="G7927" s="953"/>
      <c r="H7927" s="953"/>
    </row>
    <row r="7928" spans="1:8" s="943" customFormat="1" x14ac:dyDescent="0.25">
      <c r="A7928" s="952"/>
      <c r="B7928" s="953"/>
      <c r="C7928" s="953"/>
      <c r="D7928" s="953"/>
      <c r="E7928" s="953"/>
      <c r="F7928" s="953"/>
      <c r="G7928" s="953"/>
      <c r="H7928" s="953"/>
    </row>
    <row r="7929" spans="1:8" s="943" customFormat="1" x14ac:dyDescent="0.25">
      <c r="A7929" s="952"/>
      <c r="B7929" s="953"/>
      <c r="C7929" s="953"/>
      <c r="D7929" s="953"/>
      <c r="E7929" s="953"/>
      <c r="F7929" s="953"/>
      <c r="G7929" s="953"/>
      <c r="H7929" s="953"/>
    </row>
    <row r="7930" spans="1:8" s="943" customFormat="1" x14ac:dyDescent="0.25">
      <c r="A7930" s="952"/>
      <c r="B7930" s="953"/>
      <c r="C7930" s="953"/>
      <c r="D7930" s="953"/>
      <c r="E7930" s="953"/>
      <c r="F7930" s="953"/>
      <c r="G7930" s="953"/>
      <c r="H7930" s="953"/>
    </row>
    <row r="7931" spans="1:8" s="943" customFormat="1" x14ac:dyDescent="0.25">
      <c r="A7931" s="952"/>
      <c r="B7931" s="953"/>
      <c r="C7931" s="953"/>
      <c r="D7931" s="953"/>
      <c r="E7931" s="953"/>
      <c r="F7931" s="953"/>
      <c r="G7931" s="953"/>
      <c r="H7931" s="953"/>
    </row>
    <row r="7932" spans="1:8" s="943" customFormat="1" x14ac:dyDescent="0.25">
      <c r="A7932" s="952"/>
      <c r="B7932" s="953"/>
      <c r="C7932" s="953"/>
      <c r="D7932" s="953"/>
      <c r="E7932" s="953"/>
      <c r="F7932" s="953"/>
      <c r="G7932" s="953"/>
      <c r="H7932" s="953"/>
    </row>
    <row r="7933" spans="1:8" s="943" customFormat="1" x14ac:dyDescent="0.25">
      <c r="A7933" s="952"/>
      <c r="B7933" s="953"/>
      <c r="C7933" s="953"/>
      <c r="D7933" s="953"/>
      <c r="E7933" s="953"/>
      <c r="F7933" s="953"/>
      <c r="G7933" s="953"/>
      <c r="H7933" s="953"/>
    </row>
    <row r="7934" spans="1:8" s="943" customFormat="1" x14ac:dyDescent="0.25">
      <c r="A7934" s="952"/>
      <c r="B7934" s="953"/>
      <c r="C7934" s="953"/>
      <c r="D7934" s="953"/>
      <c r="E7934" s="953"/>
      <c r="F7934" s="953"/>
      <c r="G7934" s="953"/>
      <c r="H7934" s="953"/>
    </row>
    <row r="7935" spans="1:8" s="943" customFormat="1" x14ac:dyDescent="0.25">
      <c r="A7935" s="952"/>
      <c r="B7935" s="953"/>
      <c r="C7935" s="953"/>
      <c r="D7935" s="953"/>
      <c r="E7935" s="953"/>
      <c r="F7935" s="953"/>
      <c r="G7935" s="953"/>
      <c r="H7935" s="953"/>
    </row>
    <row r="7936" spans="1:8" s="943" customFormat="1" x14ac:dyDescent="0.25">
      <c r="A7936" s="952"/>
      <c r="B7936" s="953"/>
      <c r="C7936" s="953"/>
      <c r="D7936" s="953"/>
      <c r="E7936" s="953"/>
      <c r="F7936" s="953"/>
      <c r="G7936" s="953"/>
      <c r="H7936" s="953"/>
    </row>
    <row r="7937" spans="1:8" s="943" customFormat="1" x14ac:dyDescent="0.25">
      <c r="A7937" s="952"/>
      <c r="B7937" s="953"/>
      <c r="C7937" s="953"/>
      <c r="D7937" s="953"/>
      <c r="E7937" s="953"/>
      <c r="F7937" s="953"/>
      <c r="G7937" s="953"/>
      <c r="H7937" s="953"/>
    </row>
    <row r="7938" spans="1:8" s="943" customFormat="1" x14ac:dyDescent="0.25">
      <c r="A7938" s="952"/>
      <c r="B7938" s="953"/>
      <c r="C7938" s="953"/>
      <c r="D7938" s="953"/>
      <c r="E7938" s="953"/>
      <c r="F7938" s="953"/>
      <c r="G7938" s="953"/>
      <c r="H7938" s="953"/>
    </row>
    <row r="7939" spans="1:8" s="943" customFormat="1" x14ac:dyDescent="0.25">
      <c r="A7939" s="952"/>
      <c r="B7939" s="953"/>
      <c r="C7939" s="953"/>
      <c r="D7939" s="953"/>
      <c r="E7939" s="953"/>
      <c r="F7939" s="953"/>
      <c r="G7939" s="953"/>
      <c r="H7939" s="953"/>
    </row>
    <row r="7940" spans="1:8" s="943" customFormat="1" x14ac:dyDescent="0.25">
      <c r="A7940" s="952"/>
      <c r="B7940" s="953"/>
      <c r="C7940" s="953"/>
      <c r="D7940" s="953"/>
      <c r="E7940" s="953"/>
      <c r="F7940" s="953"/>
      <c r="G7940" s="953"/>
      <c r="H7940" s="953"/>
    </row>
    <row r="7941" spans="1:8" s="943" customFormat="1" x14ac:dyDescent="0.25">
      <c r="A7941" s="952"/>
      <c r="B7941" s="953"/>
      <c r="C7941" s="953"/>
      <c r="D7941" s="953"/>
      <c r="E7941" s="953"/>
      <c r="F7941" s="953"/>
      <c r="G7941" s="953"/>
      <c r="H7941" s="953"/>
    </row>
    <row r="7942" spans="1:8" s="943" customFormat="1" x14ac:dyDescent="0.25">
      <c r="A7942" s="952"/>
      <c r="B7942" s="953"/>
      <c r="C7942" s="953"/>
      <c r="D7942" s="953"/>
      <c r="E7942" s="953"/>
      <c r="F7942" s="953"/>
      <c r="G7942" s="953"/>
      <c r="H7942" s="953"/>
    </row>
    <row r="7943" spans="1:8" s="943" customFormat="1" x14ac:dyDescent="0.25">
      <c r="A7943" s="952"/>
      <c r="B7943" s="953"/>
      <c r="C7943" s="953"/>
      <c r="D7943" s="953"/>
      <c r="E7943" s="953"/>
      <c r="F7943" s="953"/>
      <c r="G7943" s="953"/>
      <c r="H7943" s="953"/>
    </row>
    <row r="7944" spans="1:8" s="943" customFormat="1" x14ac:dyDescent="0.25">
      <c r="A7944" s="952"/>
      <c r="B7944" s="953"/>
      <c r="C7944" s="953"/>
      <c r="D7944" s="953"/>
      <c r="E7944" s="953"/>
      <c r="F7944" s="953"/>
      <c r="G7944" s="953"/>
      <c r="H7944" s="953"/>
    </row>
    <row r="7945" spans="1:8" s="943" customFormat="1" x14ac:dyDescent="0.25">
      <c r="A7945" s="952"/>
      <c r="B7945" s="953"/>
      <c r="C7945" s="953"/>
      <c r="D7945" s="953"/>
      <c r="E7945" s="953"/>
      <c r="F7945" s="953"/>
      <c r="G7945" s="953"/>
      <c r="H7945" s="953"/>
    </row>
    <row r="7946" spans="1:8" s="943" customFormat="1" x14ac:dyDescent="0.25">
      <c r="A7946" s="952"/>
      <c r="B7946" s="953"/>
      <c r="C7946" s="953"/>
      <c r="D7946" s="953"/>
      <c r="E7946" s="953"/>
      <c r="F7946" s="953"/>
      <c r="G7946" s="953"/>
      <c r="H7946" s="953"/>
    </row>
    <row r="7947" spans="1:8" s="943" customFormat="1" x14ac:dyDescent="0.25">
      <c r="A7947" s="952"/>
      <c r="B7947" s="953"/>
      <c r="C7947" s="953"/>
      <c r="D7947" s="953"/>
      <c r="E7947" s="953"/>
      <c r="F7947" s="953"/>
      <c r="G7947" s="953"/>
      <c r="H7947" s="953"/>
    </row>
    <row r="7948" spans="1:8" s="943" customFormat="1" x14ac:dyDescent="0.25">
      <c r="A7948" s="952"/>
      <c r="B7948" s="953"/>
      <c r="C7948" s="953"/>
      <c r="D7948" s="953"/>
      <c r="E7948" s="953"/>
      <c r="F7948" s="953"/>
      <c r="G7948" s="953"/>
      <c r="H7948" s="953"/>
    </row>
    <row r="7949" spans="1:8" s="943" customFormat="1" x14ac:dyDescent="0.25">
      <c r="A7949" s="952"/>
      <c r="B7949" s="953"/>
      <c r="C7949" s="953"/>
      <c r="D7949" s="953"/>
      <c r="E7949" s="953"/>
      <c r="F7949" s="953"/>
      <c r="G7949" s="953"/>
      <c r="H7949" s="953"/>
    </row>
    <row r="7950" spans="1:8" s="943" customFormat="1" x14ac:dyDescent="0.25">
      <c r="A7950" s="952"/>
      <c r="B7950" s="953"/>
      <c r="C7950" s="953"/>
      <c r="D7950" s="953"/>
      <c r="E7950" s="953"/>
      <c r="F7950" s="953"/>
      <c r="G7950" s="953"/>
      <c r="H7950" s="953"/>
    </row>
    <row r="7951" spans="1:8" s="943" customFormat="1" x14ac:dyDescent="0.25">
      <c r="A7951" s="952"/>
      <c r="B7951" s="953"/>
      <c r="C7951" s="953"/>
      <c r="D7951" s="953"/>
      <c r="E7951" s="953"/>
      <c r="F7951" s="953"/>
      <c r="G7951" s="953"/>
      <c r="H7951" s="953"/>
    </row>
    <row r="7952" spans="1:8" s="943" customFormat="1" x14ac:dyDescent="0.25">
      <c r="A7952" s="952"/>
      <c r="B7952" s="953"/>
      <c r="C7952" s="953"/>
      <c r="D7952" s="953"/>
      <c r="E7952" s="953"/>
      <c r="F7952" s="953"/>
      <c r="G7952" s="953"/>
      <c r="H7952" s="953"/>
    </row>
    <row r="7953" spans="1:8" s="943" customFormat="1" x14ac:dyDescent="0.25">
      <c r="A7953" s="952"/>
      <c r="B7953" s="953"/>
      <c r="C7953" s="953"/>
      <c r="D7953" s="953"/>
      <c r="E7953" s="953"/>
      <c r="F7953" s="953"/>
      <c r="G7953" s="953"/>
      <c r="H7953" s="953"/>
    </row>
    <row r="7954" spans="1:8" s="943" customFormat="1" x14ac:dyDescent="0.25">
      <c r="A7954" s="952"/>
      <c r="B7954" s="953"/>
      <c r="C7954" s="953"/>
      <c r="D7954" s="953"/>
      <c r="E7954" s="953"/>
      <c r="F7954" s="953"/>
      <c r="G7954" s="953"/>
      <c r="H7954" s="953"/>
    </row>
    <row r="7955" spans="1:8" s="943" customFormat="1" x14ac:dyDescent="0.25">
      <c r="A7955" s="952"/>
      <c r="B7955" s="953"/>
      <c r="C7955" s="953"/>
      <c r="D7955" s="953"/>
      <c r="E7955" s="953"/>
      <c r="F7955" s="953"/>
      <c r="G7955" s="953"/>
      <c r="H7955" s="953"/>
    </row>
    <row r="7956" spans="1:8" s="943" customFormat="1" x14ac:dyDescent="0.25">
      <c r="A7956" s="952"/>
      <c r="B7956" s="953"/>
      <c r="C7956" s="953"/>
      <c r="D7956" s="953"/>
      <c r="E7956" s="953"/>
      <c r="F7956" s="953"/>
      <c r="G7956" s="953"/>
      <c r="H7956" s="953"/>
    </row>
    <row r="7957" spans="1:8" s="943" customFormat="1" x14ac:dyDescent="0.25">
      <c r="A7957" s="952"/>
      <c r="B7957" s="953"/>
      <c r="C7957" s="953"/>
      <c r="D7957" s="953"/>
      <c r="E7957" s="953"/>
      <c r="F7957" s="953"/>
      <c r="G7957" s="953"/>
      <c r="H7957" s="953"/>
    </row>
    <row r="7958" spans="1:8" s="943" customFormat="1" x14ac:dyDescent="0.25">
      <c r="A7958" s="952"/>
      <c r="B7958" s="953"/>
      <c r="C7958" s="953"/>
      <c r="D7958" s="953"/>
      <c r="E7958" s="953"/>
      <c r="F7958" s="953"/>
      <c r="G7958" s="953"/>
      <c r="H7958" s="953"/>
    </row>
    <row r="7959" spans="1:8" s="943" customFormat="1" x14ac:dyDescent="0.25">
      <c r="A7959" s="952"/>
      <c r="B7959" s="953"/>
      <c r="C7959" s="953"/>
      <c r="D7959" s="953"/>
      <c r="E7959" s="953"/>
      <c r="F7959" s="953"/>
      <c r="G7959" s="953"/>
      <c r="H7959" s="953"/>
    </row>
    <row r="7960" spans="1:8" s="943" customFormat="1" x14ac:dyDescent="0.25">
      <c r="A7960" s="952"/>
      <c r="B7960" s="953"/>
      <c r="C7960" s="953"/>
      <c r="D7960" s="953"/>
      <c r="E7960" s="953"/>
      <c r="F7960" s="953"/>
      <c r="G7960" s="953"/>
      <c r="H7960" s="953"/>
    </row>
    <row r="7961" spans="1:8" s="943" customFormat="1" x14ac:dyDescent="0.25">
      <c r="A7961" s="952"/>
      <c r="B7961" s="953"/>
      <c r="C7961" s="953"/>
      <c r="D7961" s="953"/>
      <c r="E7961" s="953"/>
      <c r="F7961" s="953"/>
      <c r="G7961" s="953"/>
      <c r="H7961" s="953"/>
    </row>
    <row r="7962" spans="1:8" s="943" customFormat="1" x14ac:dyDescent="0.25">
      <c r="A7962" s="952"/>
      <c r="B7962" s="953"/>
      <c r="C7962" s="953"/>
      <c r="D7962" s="953"/>
      <c r="E7962" s="953"/>
      <c r="F7962" s="953"/>
      <c r="G7962" s="953"/>
      <c r="H7962" s="953"/>
    </row>
    <row r="7963" spans="1:8" s="943" customFormat="1" x14ac:dyDescent="0.25">
      <c r="A7963" s="952"/>
      <c r="B7963" s="953"/>
      <c r="C7963" s="953"/>
      <c r="D7963" s="953"/>
      <c r="E7963" s="953"/>
      <c r="F7963" s="953"/>
      <c r="G7963" s="953"/>
      <c r="H7963" s="953"/>
    </row>
    <row r="7964" spans="1:8" s="943" customFormat="1" x14ac:dyDescent="0.25">
      <c r="A7964" s="952"/>
      <c r="B7964" s="953"/>
      <c r="C7964" s="953"/>
      <c r="D7964" s="953"/>
      <c r="E7964" s="953"/>
      <c r="F7964" s="953"/>
      <c r="G7964" s="953"/>
      <c r="H7964" s="953"/>
    </row>
    <row r="7965" spans="1:8" s="943" customFormat="1" x14ac:dyDescent="0.25">
      <c r="A7965" s="952"/>
      <c r="B7965" s="953"/>
      <c r="C7965" s="953"/>
      <c r="D7965" s="953"/>
      <c r="E7965" s="953"/>
      <c r="F7965" s="953"/>
      <c r="G7965" s="953"/>
      <c r="H7965" s="953"/>
    </row>
    <row r="7966" spans="1:8" s="943" customFormat="1" x14ac:dyDescent="0.25">
      <c r="A7966" s="952"/>
      <c r="B7966" s="953"/>
      <c r="C7966" s="953"/>
      <c r="D7966" s="953"/>
      <c r="E7966" s="953"/>
      <c r="F7966" s="953"/>
      <c r="G7966" s="953"/>
      <c r="H7966" s="953"/>
    </row>
    <row r="7967" spans="1:8" s="943" customFormat="1" x14ac:dyDescent="0.25">
      <c r="A7967" s="952"/>
      <c r="B7967" s="953"/>
      <c r="C7967" s="953"/>
      <c r="D7967" s="953"/>
      <c r="E7967" s="953"/>
      <c r="F7967" s="953"/>
      <c r="G7967" s="953"/>
      <c r="H7967" s="953"/>
    </row>
    <row r="7968" spans="1:8" s="943" customFormat="1" x14ac:dyDescent="0.25">
      <c r="A7968" s="952"/>
      <c r="B7968" s="953"/>
      <c r="C7968" s="953"/>
      <c r="D7968" s="953"/>
      <c r="E7968" s="953"/>
      <c r="F7968" s="953"/>
      <c r="G7968" s="953"/>
      <c r="H7968" s="953"/>
    </row>
    <row r="7969" spans="1:8" s="943" customFormat="1" x14ac:dyDescent="0.25">
      <c r="A7969" s="952"/>
      <c r="B7969" s="953"/>
      <c r="C7969" s="953"/>
      <c r="D7969" s="953"/>
      <c r="E7969" s="953"/>
      <c r="F7969" s="953"/>
      <c r="G7969" s="953"/>
      <c r="H7969" s="953"/>
    </row>
    <row r="7970" spans="1:8" s="943" customFormat="1" x14ac:dyDescent="0.25">
      <c r="A7970" s="952"/>
      <c r="B7970" s="953"/>
      <c r="C7970" s="953"/>
      <c r="D7970" s="953"/>
      <c r="E7970" s="953"/>
      <c r="F7970" s="953"/>
      <c r="G7970" s="953"/>
      <c r="H7970" s="953"/>
    </row>
    <row r="7971" spans="1:8" s="943" customFormat="1" x14ac:dyDescent="0.25">
      <c r="A7971" s="952"/>
      <c r="B7971" s="953"/>
      <c r="C7971" s="953"/>
      <c r="D7971" s="953"/>
      <c r="E7971" s="953"/>
      <c r="F7971" s="953"/>
      <c r="G7971" s="953"/>
      <c r="H7971" s="953"/>
    </row>
    <row r="7972" spans="1:8" s="943" customFormat="1" x14ac:dyDescent="0.25">
      <c r="A7972" s="952"/>
      <c r="B7972" s="953"/>
      <c r="C7972" s="953"/>
      <c r="D7972" s="953"/>
      <c r="E7972" s="953"/>
      <c r="F7972" s="953"/>
      <c r="G7972" s="953"/>
      <c r="H7972" s="953"/>
    </row>
    <row r="7973" spans="1:8" s="943" customFormat="1" x14ac:dyDescent="0.25">
      <c r="A7973" s="952"/>
      <c r="B7973" s="953"/>
      <c r="C7973" s="953"/>
      <c r="D7973" s="953"/>
      <c r="E7973" s="953"/>
      <c r="F7973" s="953"/>
      <c r="G7973" s="953"/>
      <c r="H7973" s="953"/>
    </row>
    <row r="7974" spans="1:8" s="943" customFormat="1" x14ac:dyDescent="0.25">
      <c r="A7974" s="952"/>
      <c r="B7974" s="953"/>
      <c r="C7974" s="953"/>
      <c r="D7974" s="953"/>
      <c r="E7974" s="953"/>
      <c r="F7974" s="953"/>
      <c r="G7974" s="953"/>
      <c r="H7974" s="953"/>
    </row>
    <row r="7975" spans="1:8" s="943" customFormat="1" x14ac:dyDescent="0.25">
      <c r="A7975" s="952"/>
      <c r="B7975" s="953"/>
      <c r="C7975" s="953"/>
      <c r="D7975" s="953"/>
      <c r="E7975" s="953"/>
      <c r="F7975" s="953"/>
      <c r="G7975" s="953"/>
      <c r="H7975" s="953"/>
    </row>
    <row r="7976" spans="1:8" s="943" customFormat="1" x14ac:dyDescent="0.25">
      <c r="A7976" s="952"/>
      <c r="B7976" s="953"/>
      <c r="C7976" s="953"/>
      <c r="D7976" s="953"/>
      <c r="E7976" s="953"/>
      <c r="F7976" s="953"/>
      <c r="G7976" s="953"/>
      <c r="H7976" s="953"/>
    </row>
    <row r="7977" spans="1:8" s="943" customFormat="1" x14ac:dyDescent="0.25">
      <c r="A7977" s="952"/>
      <c r="B7977" s="953"/>
      <c r="C7977" s="953"/>
      <c r="D7977" s="953"/>
      <c r="E7977" s="953"/>
      <c r="F7977" s="953"/>
      <c r="G7977" s="953"/>
      <c r="H7977" s="953"/>
    </row>
    <row r="7978" spans="1:8" s="943" customFormat="1" x14ac:dyDescent="0.25">
      <c r="A7978" s="952"/>
      <c r="B7978" s="953"/>
      <c r="C7978" s="953"/>
      <c r="D7978" s="953"/>
      <c r="E7978" s="953"/>
      <c r="F7978" s="953"/>
      <c r="G7978" s="953"/>
      <c r="H7978" s="953"/>
    </row>
    <row r="7979" spans="1:8" s="943" customFormat="1" x14ac:dyDescent="0.25">
      <c r="A7979" s="952"/>
      <c r="B7979" s="953"/>
      <c r="C7979" s="953"/>
      <c r="D7979" s="953"/>
      <c r="E7979" s="953"/>
      <c r="F7979" s="953"/>
      <c r="G7979" s="953"/>
      <c r="H7979" s="953"/>
    </row>
    <row r="7980" spans="1:8" s="943" customFormat="1" x14ac:dyDescent="0.25">
      <c r="A7980" s="952"/>
      <c r="B7980" s="953"/>
      <c r="C7980" s="953"/>
      <c r="D7980" s="953"/>
      <c r="E7980" s="953"/>
      <c r="F7980" s="953"/>
      <c r="G7980" s="953"/>
      <c r="H7980" s="953"/>
    </row>
    <row r="7981" spans="1:8" s="943" customFormat="1" x14ac:dyDescent="0.25">
      <c r="A7981" s="952"/>
      <c r="B7981" s="953"/>
      <c r="C7981" s="953"/>
      <c r="D7981" s="953"/>
      <c r="E7981" s="953"/>
      <c r="F7981" s="953"/>
      <c r="G7981" s="953"/>
      <c r="H7981" s="953"/>
    </row>
    <row r="7982" spans="1:8" s="943" customFormat="1" x14ac:dyDescent="0.25">
      <c r="A7982" s="952"/>
      <c r="B7982" s="953"/>
      <c r="C7982" s="953"/>
      <c r="D7982" s="953"/>
      <c r="E7982" s="953"/>
      <c r="F7982" s="953"/>
      <c r="G7982" s="953"/>
      <c r="H7982" s="953"/>
    </row>
    <row r="7983" spans="1:8" s="943" customFormat="1" x14ac:dyDescent="0.25">
      <c r="A7983" s="952"/>
      <c r="B7983" s="953"/>
      <c r="C7983" s="953"/>
      <c r="D7983" s="953"/>
      <c r="E7983" s="953"/>
      <c r="F7983" s="953"/>
      <c r="G7983" s="953"/>
      <c r="H7983" s="953"/>
    </row>
    <row r="7984" spans="1:8" s="943" customFormat="1" x14ac:dyDescent="0.25">
      <c r="A7984" s="952"/>
      <c r="B7984" s="953"/>
      <c r="C7984" s="953"/>
      <c r="D7984" s="953"/>
      <c r="E7984" s="953"/>
      <c r="F7984" s="953"/>
      <c r="G7984" s="953"/>
      <c r="H7984" s="953"/>
    </row>
    <row r="7985" spans="1:8" s="943" customFormat="1" x14ac:dyDescent="0.25">
      <c r="A7985" s="952"/>
      <c r="B7985" s="953"/>
      <c r="C7985" s="953"/>
      <c r="D7985" s="953"/>
      <c r="E7985" s="953"/>
      <c r="F7985" s="953"/>
      <c r="G7985" s="953"/>
      <c r="H7985" s="953"/>
    </row>
    <row r="7986" spans="1:8" s="943" customFormat="1" x14ac:dyDescent="0.25">
      <c r="A7986" s="952"/>
      <c r="B7986" s="953"/>
      <c r="C7986" s="953"/>
      <c r="D7986" s="953"/>
      <c r="E7986" s="953"/>
      <c r="F7986" s="953"/>
      <c r="G7986" s="953"/>
      <c r="H7986" s="953"/>
    </row>
    <row r="7987" spans="1:8" s="943" customFormat="1" x14ac:dyDescent="0.25">
      <c r="A7987" s="952"/>
      <c r="B7987" s="953"/>
      <c r="C7987" s="953"/>
      <c r="D7987" s="953"/>
      <c r="E7987" s="953"/>
      <c r="F7987" s="953"/>
      <c r="G7987" s="953"/>
      <c r="H7987" s="953"/>
    </row>
    <row r="7988" spans="1:8" s="943" customFormat="1" x14ac:dyDescent="0.25">
      <c r="A7988" s="952"/>
      <c r="B7988" s="953"/>
      <c r="C7988" s="953"/>
      <c r="D7988" s="953"/>
      <c r="E7988" s="953"/>
      <c r="F7988" s="953"/>
      <c r="G7988" s="953"/>
      <c r="H7988" s="953"/>
    </row>
    <row r="7989" spans="1:8" s="943" customFormat="1" x14ac:dyDescent="0.25">
      <c r="A7989" s="952"/>
      <c r="B7989" s="953"/>
      <c r="C7989" s="953"/>
      <c r="D7989" s="953"/>
      <c r="E7989" s="953"/>
      <c r="F7989" s="953"/>
      <c r="G7989" s="953"/>
      <c r="H7989" s="953"/>
    </row>
    <row r="7990" spans="1:8" s="943" customFormat="1" x14ac:dyDescent="0.25">
      <c r="A7990" s="952"/>
      <c r="B7990" s="953"/>
      <c r="C7990" s="953"/>
      <c r="D7990" s="953"/>
      <c r="E7990" s="953"/>
      <c r="F7990" s="953"/>
      <c r="G7990" s="953"/>
      <c r="H7990" s="953"/>
    </row>
    <row r="7991" spans="1:8" s="943" customFormat="1" x14ac:dyDescent="0.25">
      <c r="A7991" s="952"/>
      <c r="B7991" s="953"/>
      <c r="C7991" s="953"/>
      <c r="D7991" s="953"/>
      <c r="E7991" s="953"/>
      <c r="F7991" s="953"/>
      <c r="G7991" s="953"/>
      <c r="H7991" s="953"/>
    </row>
    <row r="7992" spans="1:8" s="943" customFormat="1" x14ac:dyDescent="0.25">
      <c r="A7992" s="952"/>
      <c r="B7992" s="953"/>
      <c r="C7992" s="953"/>
      <c r="D7992" s="953"/>
      <c r="E7992" s="953"/>
      <c r="F7992" s="953"/>
      <c r="G7992" s="953"/>
      <c r="H7992" s="953"/>
    </row>
    <row r="7993" spans="1:8" s="943" customFormat="1" x14ac:dyDescent="0.25">
      <c r="A7993" s="952"/>
      <c r="B7993" s="953"/>
      <c r="C7993" s="953"/>
      <c r="D7993" s="953"/>
      <c r="E7993" s="953"/>
      <c r="F7993" s="953"/>
      <c r="G7993" s="953"/>
      <c r="H7993" s="953"/>
    </row>
    <row r="7994" spans="1:8" s="943" customFormat="1" x14ac:dyDescent="0.25">
      <c r="A7994" s="952"/>
      <c r="B7994" s="953"/>
      <c r="C7994" s="953"/>
      <c r="D7994" s="953"/>
      <c r="E7994" s="953"/>
      <c r="F7994" s="953"/>
      <c r="G7994" s="953"/>
      <c r="H7994" s="953"/>
    </row>
    <row r="7995" spans="1:8" s="943" customFormat="1" x14ac:dyDescent="0.25">
      <c r="A7995" s="952"/>
      <c r="B7995" s="953"/>
      <c r="C7995" s="953"/>
      <c r="D7995" s="953"/>
      <c r="E7995" s="953"/>
      <c r="F7995" s="953"/>
      <c r="G7995" s="953"/>
      <c r="H7995" s="953"/>
    </row>
    <row r="7996" spans="1:8" s="943" customFormat="1" x14ac:dyDescent="0.25">
      <c r="A7996" s="952"/>
      <c r="B7996" s="953"/>
      <c r="C7996" s="953"/>
      <c r="D7996" s="953"/>
      <c r="E7996" s="953"/>
      <c r="F7996" s="953"/>
      <c r="G7996" s="953"/>
      <c r="H7996" s="953"/>
    </row>
    <row r="7997" spans="1:8" s="943" customFormat="1" x14ac:dyDescent="0.25">
      <c r="A7997" s="952"/>
      <c r="B7997" s="953"/>
      <c r="C7997" s="953"/>
      <c r="D7997" s="953"/>
      <c r="E7997" s="953"/>
      <c r="F7997" s="953"/>
      <c r="G7997" s="953"/>
      <c r="H7997" s="953"/>
    </row>
    <row r="7998" spans="1:8" s="943" customFormat="1" x14ac:dyDescent="0.25">
      <c r="A7998" s="952"/>
      <c r="B7998" s="953"/>
      <c r="C7998" s="953"/>
      <c r="D7998" s="953"/>
      <c r="E7998" s="953"/>
      <c r="F7998" s="953"/>
      <c r="G7998" s="953"/>
      <c r="H7998" s="953"/>
    </row>
    <row r="7999" spans="1:8" s="943" customFormat="1" x14ac:dyDescent="0.25">
      <c r="A7999" s="952"/>
      <c r="B7999" s="953"/>
      <c r="C7999" s="953"/>
      <c r="D7999" s="953"/>
      <c r="E7999" s="953"/>
      <c r="F7999" s="953"/>
      <c r="G7999" s="953"/>
      <c r="H7999" s="953"/>
    </row>
    <row r="8000" spans="1:8" s="943" customFormat="1" x14ac:dyDescent="0.25">
      <c r="A8000" s="952"/>
      <c r="B8000" s="953"/>
      <c r="C8000" s="953"/>
      <c r="D8000" s="953"/>
      <c r="E8000" s="953"/>
      <c r="F8000" s="953"/>
      <c r="G8000" s="953"/>
      <c r="H8000" s="953"/>
    </row>
    <row r="8001" spans="1:8" s="943" customFormat="1" x14ac:dyDescent="0.25">
      <c r="A8001" s="952"/>
      <c r="B8001" s="953"/>
      <c r="C8001" s="953"/>
      <c r="D8001" s="953"/>
      <c r="E8001" s="953"/>
      <c r="F8001" s="953"/>
      <c r="G8001" s="953"/>
      <c r="H8001" s="953"/>
    </row>
    <row r="8002" spans="1:8" s="943" customFormat="1" x14ac:dyDescent="0.25">
      <c r="A8002" s="952"/>
      <c r="B8002" s="953"/>
      <c r="C8002" s="953"/>
      <c r="D8002" s="953"/>
      <c r="E8002" s="953"/>
      <c r="F8002" s="953"/>
      <c r="G8002" s="953"/>
      <c r="H8002" s="953"/>
    </row>
    <row r="8003" spans="1:8" s="943" customFormat="1" x14ac:dyDescent="0.25">
      <c r="A8003" s="952"/>
      <c r="B8003" s="953"/>
      <c r="C8003" s="953"/>
      <c r="D8003" s="953"/>
      <c r="E8003" s="953"/>
      <c r="F8003" s="953"/>
      <c r="G8003" s="953"/>
      <c r="H8003" s="953"/>
    </row>
    <row r="8004" spans="1:8" s="943" customFormat="1" x14ac:dyDescent="0.25">
      <c r="A8004" s="952"/>
      <c r="B8004" s="953"/>
      <c r="C8004" s="953"/>
      <c r="D8004" s="953"/>
      <c r="E8004" s="953"/>
      <c r="F8004" s="953"/>
      <c r="G8004" s="953"/>
      <c r="H8004" s="953"/>
    </row>
    <row r="8005" spans="1:8" s="943" customFormat="1" x14ac:dyDescent="0.25">
      <c r="A8005" s="952"/>
      <c r="B8005" s="953"/>
      <c r="C8005" s="953"/>
      <c r="D8005" s="953"/>
      <c r="E8005" s="953"/>
      <c r="F8005" s="953"/>
      <c r="G8005" s="953"/>
      <c r="H8005" s="953"/>
    </row>
    <row r="8006" spans="1:8" s="943" customFormat="1" x14ac:dyDescent="0.25">
      <c r="A8006" s="952"/>
      <c r="B8006" s="953"/>
      <c r="C8006" s="953"/>
      <c r="D8006" s="953"/>
      <c r="E8006" s="953"/>
      <c r="F8006" s="953"/>
      <c r="G8006" s="953"/>
      <c r="H8006" s="953"/>
    </row>
    <row r="8007" spans="1:8" s="943" customFormat="1" x14ac:dyDescent="0.25">
      <c r="A8007" s="952"/>
      <c r="B8007" s="953"/>
      <c r="C8007" s="953"/>
      <c r="D8007" s="953"/>
      <c r="E8007" s="953"/>
      <c r="F8007" s="953"/>
      <c r="G8007" s="953"/>
      <c r="H8007" s="953"/>
    </row>
    <row r="8008" spans="1:8" s="943" customFormat="1" x14ac:dyDescent="0.25">
      <c r="A8008" s="952"/>
      <c r="B8008" s="953"/>
      <c r="C8008" s="953"/>
      <c r="D8008" s="953"/>
      <c r="E8008" s="953"/>
      <c r="F8008" s="953"/>
      <c r="G8008" s="953"/>
      <c r="H8008" s="953"/>
    </row>
    <row r="8009" spans="1:8" s="943" customFormat="1" x14ac:dyDescent="0.25">
      <c r="A8009" s="952"/>
      <c r="B8009" s="953"/>
      <c r="C8009" s="953"/>
      <c r="D8009" s="953"/>
      <c r="E8009" s="953"/>
      <c r="F8009" s="953"/>
      <c r="G8009" s="953"/>
      <c r="H8009" s="953"/>
    </row>
    <row r="8010" spans="1:8" s="943" customFormat="1" x14ac:dyDescent="0.25">
      <c r="A8010" s="952"/>
      <c r="B8010" s="953"/>
      <c r="C8010" s="953"/>
      <c r="D8010" s="953"/>
      <c r="E8010" s="953"/>
      <c r="F8010" s="953"/>
      <c r="G8010" s="953"/>
      <c r="H8010" s="953"/>
    </row>
    <row r="8011" spans="1:8" s="943" customFormat="1" x14ac:dyDescent="0.25">
      <c r="A8011" s="952"/>
      <c r="B8011" s="953"/>
      <c r="C8011" s="953"/>
      <c r="D8011" s="953"/>
      <c r="E8011" s="953"/>
      <c r="F8011" s="953"/>
      <c r="G8011" s="953"/>
      <c r="H8011" s="953"/>
    </row>
    <row r="8012" spans="1:8" s="943" customFormat="1" x14ac:dyDescent="0.25">
      <c r="A8012" s="952"/>
      <c r="B8012" s="953"/>
      <c r="C8012" s="953"/>
      <c r="D8012" s="953"/>
      <c r="E8012" s="953"/>
      <c r="F8012" s="953"/>
      <c r="G8012" s="953"/>
      <c r="H8012" s="953"/>
    </row>
    <row r="8013" spans="1:8" s="943" customFormat="1" x14ac:dyDescent="0.25">
      <c r="A8013" s="952"/>
      <c r="B8013" s="953"/>
      <c r="C8013" s="953"/>
      <c r="D8013" s="953"/>
      <c r="E8013" s="953"/>
      <c r="F8013" s="953"/>
      <c r="G8013" s="953"/>
      <c r="H8013" s="953"/>
    </row>
    <row r="8014" spans="1:8" s="943" customFormat="1" x14ac:dyDescent="0.25">
      <c r="A8014" s="952"/>
      <c r="B8014" s="953"/>
      <c r="C8014" s="953"/>
      <c r="D8014" s="953"/>
      <c r="E8014" s="953"/>
      <c r="F8014" s="953"/>
      <c r="G8014" s="953"/>
      <c r="H8014" s="953"/>
    </row>
    <row r="8015" spans="1:8" s="943" customFormat="1" x14ac:dyDescent="0.25">
      <c r="A8015" s="952"/>
      <c r="B8015" s="953"/>
      <c r="C8015" s="953"/>
      <c r="D8015" s="953"/>
      <c r="E8015" s="953"/>
      <c r="F8015" s="953"/>
      <c r="G8015" s="953"/>
      <c r="H8015" s="953"/>
    </row>
    <row r="8016" spans="1:8" s="943" customFormat="1" x14ac:dyDescent="0.25">
      <c r="A8016" s="952"/>
      <c r="B8016" s="953"/>
      <c r="C8016" s="953"/>
      <c r="D8016" s="953"/>
      <c r="E8016" s="953"/>
      <c r="F8016" s="953"/>
      <c r="G8016" s="953"/>
      <c r="H8016" s="953"/>
    </row>
    <row r="8017" spans="1:8" s="943" customFormat="1" x14ac:dyDescent="0.25">
      <c r="A8017" s="952"/>
      <c r="B8017" s="953"/>
      <c r="C8017" s="953"/>
      <c r="D8017" s="953"/>
      <c r="E8017" s="953"/>
      <c r="F8017" s="953"/>
      <c r="G8017" s="953"/>
      <c r="H8017" s="953"/>
    </row>
    <row r="8018" spans="1:8" s="943" customFormat="1" x14ac:dyDescent="0.25">
      <c r="A8018" s="952"/>
      <c r="B8018" s="953"/>
      <c r="C8018" s="953"/>
      <c r="D8018" s="953"/>
      <c r="E8018" s="953"/>
      <c r="F8018" s="953"/>
      <c r="G8018" s="953"/>
      <c r="H8018" s="953"/>
    </row>
    <row r="8019" spans="1:8" s="943" customFormat="1" x14ac:dyDescent="0.25">
      <c r="A8019" s="952"/>
      <c r="B8019" s="953"/>
      <c r="C8019" s="953"/>
      <c r="D8019" s="953"/>
      <c r="E8019" s="953"/>
      <c r="F8019" s="953"/>
      <c r="G8019" s="953"/>
      <c r="H8019" s="953"/>
    </row>
    <row r="8020" spans="1:8" s="943" customFormat="1" x14ac:dyDescent="0.25">
      <c r="A8020" s="952"/>
      <c r="B8020" s="953"/>
      <c r="C8020" s="953"/>
      <c r="D8020" s="953"/>
      <c r="E8020" s="953"/>
      <c r="F8020" s="953"/>
      <c r="G8020" s="953"/>
      <c r="H8020" s="953"/>
    </row>
    <row r="8021" spans="1:8" s="943" customFormat="1" x14ac:dyDescent="0.25">
      <c r="A8021" s="952"/>
      <c r="B8021" s="953"/>
      <c r="C8021" s="953"/>
      <c r="D8021" s="953"/>
      <c r="E8021" s="953"/>
      <c r="F8021" s="953"/>
      <c r="G8021" s="953"/>
      <c r="H8021" s="953"/>
    </row>
    <row r="8022" spans="1:8" s="943" customFormat="1" x14ac:dyDescent="0.25">
      <c r="A8022" s="952"/>
      <c r="B8022" s="953"/>
      <c r="C8022" s="953"/>
      <c r="D8022" s="953"/>
      <c r="E8022" s="953"/>
      <c r="F8022" s="953"/>
      <c r="G8022" s="953"/>
      <c r="H8022" s="953"/>
    </row>
    <row r="8023" spans="1:8" s="943" customFormat="1" x14ac:dyDescent="0.25">
      <c r="A8023" s="952"/>
      <c r="B8023" s="953"/>
      <c r="C8023" s="953"/>
      <c r="D8023" s="953"/>
      <c r="E8023" s="953"/>
      <c r="F8023" s="953"/>
      <c r="G8023" s="953"/>
      <c r="H8023" s="953"/>
    </row>
    <row r="8024" spans="1:8" s="943" customFormat="1" x14ac:dyDescent="0.25">
      <c r="A8024" s="952"/>
      <c r="B8024" s="953"/>
      <c r="C8024" s="953"/>
      <c r="D8024" s="953"/>
      <c r="E8024" s="953"/>
      <c r="F8024" s="953"/>
      <c r="G8024" s="953"/>
      <c r="H8024" s="953"/>
    </row>
    <row r="8025" spans="1:8" s="943" customFormat="1" x14ac:dyDescent="0.25">
      <c r="A8025" s="952"/>
      <c r="B8025" s="953"/>
      <c r="C8025" s="953"/>
      <c r="D8025" s="953"/>
      <c r="E8025" s="953"/>
      <c r="F8025" s="953"/>
      <c r="G8025" s="953"/>
      <c r="H8025" s="953"/>
    </row>
    <row r="8026" spans="1:8" s="943" customFormat="1" x14ac:dyDescent="0.25">
      <c r="A8026" s="952"/>
      <c r="B8026" s="953"/>
      <c r="C8026" s="953"/>
      <c r="D8026" s="953"/>
      <c r="E8026" s="953"/>
      <c r="F8026" s="953"/>
      <c r="G8026" s="953"/>
      <c r="H8026" s="953"/>
    </row>
    <row r="8027" spans="1:8" s="943" customFormat="1" x14ac:dyDescent="0.25">
      <c r="A8027" s="952"/>
      <c r="B8027" s="953"/>
      <c r="C8027" s="953"/>
      <c r="D8027" s="953"/>
      <c r="E8027" s="953"/>
      <c r="F8027" s="953"/>
      <c r="G8027" s="953"/>
      <c r="H8027" s="953"/>
    </row>
    <row r="8028" spans="1:8" s="943" customFormat="1" x14ac:dyDescent="0.25">
      <c r="A8028" s="952"/>
      <c r="B8028" s="953"/>
      <c r="C8028" s="953"/>
      <c r="D8028" s="953"/>
      <c r="E8028" s="953"/>
      <c r="F8028" s="953"/>
      <c r="G8028" s="953"/>
      <c r="H8028" s="953"/>
    </row>
    <row r="8029" spans="1:8" s="943" customFormat="1" x14ac:dyDescent="0.25">
      <c r="A8029" s="952"/>
      <c r="B8029" s="953"/>
      <c r="C8029" s="953"/>
      <c r="D8029" s="953"/>
      <c r="E8029" s="953"/>
      <c r="F8029" s="953"/>
      <c r="G8029" s="953"/>
      <c r="H8029" s="953"/>
    </row>
    <row r="8030" spans="1:8" s="943" customFormat="1" x14ac:dyDescent="0.25">
      <c r="A8030" s="952"/>
      <c r="B8030" s="953"/>
      <c r="C8030" s="953"/>
      <c r="D8030" s="953"/>
      <c r="E8030" s="953"/>
      <c r="F8030" s="953"/>
      <c r="G8030" s="953"/>
      <c r="H8030" s="953"/>
    </row>
    <row r="8031" spans="1:8" s="943" customFormat="1" x14ac:dyDescent="0.25">
      <c r="A8031" s="952"/>
      <c r="B8031" s="953"/>
      <c r="C8031" s="953"/>
      <c r="D8031" s="953"/>
      <c r="E8031" s="953"/>
      <c r="F8031" s="953"/>
      <c r="G8031" s="953"/>
      <c r="H8031" s="953"/>
    </row>
    <row r="8032" spans="1:8" s="943" customFormat="1" x14ac:dyDescent="0.25">
      <c r="A8032" s="952"/>
      <c r="B8032" s="953"/>
      <c r="C8032" s="953"/>
      <c r="D8032" s="953"/>
      <c r="E8032" s="953"/>
      <c r="F8032" s="953"/>
      <c r="G8032" s="953"/>
      <c r="H8032" s="953"/>
    </row>
    <row r="8033" spans="1:8" s="943" customFormat="1" x14ac:dyDescent="0.25">
      <c r="A8033" s="952"/>
      <c r="B8033" s="953"/>
      <c r="C8033" s="953"/>
      <c r="D8033" s="953"/>
      <c r="E8033" s="953"/>
      <c r="F8033" s="953"/>
      <c r="G8033" s="953"/>
      <c r="H8033" s="953"/>
    </row>
    <row r="8034" spans="1:8" s="943" customFormat="1" x14ac:dyDescent="0.25">
      <c r="A8034" s="952"/>
      <c r="B8034" s="953"/>
      <c r="C8034" s="953"/>
      <c r="D8034" s="953"/>
      <c r="E8034" s="953"/>
      <c r="F8034" s="953"/>
      <c r="G8034" s="953"/>
      <c r="H8034" s="953"/>
    </row>
    <row r="8035" spans="1:8" s="943" customFormat="1" x14ac:dyDescent="0.25">
      <c r="A8035" s="952"/>
      <c r="B8035" s="953"/>
      <c r="C8035" s="953"/>
      <c r="D8035" s="953"/>
      <c r="E8035" s="953"/>
      <c r="F8035" s="953"/>
      <c r="G8035" s="953"/>
      <c r="H8035" s="953"/>
    </row>
    <row r="8036" spans="1:8" s="943" customFormat="1" x14ac:dyDescent="0.25">
      <c r="A8036" s="952"/>
      <c r="B8036" s="953"/>
      <c r="C8036" s="953"/>
      <c r="D8036" s="953"/>
      <c r="E8036" s="953"/>
      <c r="F8036" s="953"/>
      <c r="G8036" s="953"/>
      <c r="H8036" s="953"/>
    </row>
    <row r="8037" spans="1:8" s="943" customFormat="1" x14ac:dyDescent="0.25">
      <c r="A8037" s="952"/>
      <c r="B8037" s="953"/>
      <c r="C8037" s="953"/>
      <c r="D8037" s="953"/>
      <c r="E8037" s="953"/>
      <c r="F8037" s="953"/>
      <c r="G8037" s="953"/>
      <c r="H8037" s="953"/>
    </row>
    <row r="8038" spans="1:8" s="943" customFormat="1" x14ac:dyDescent="0.25">
      <c r="A8038" s="952"/>
      <c r="B8038" s="953"/>
      <c r="C8038" s="953"/>
      <c r="D8038" s="953"/>
      <c r="E8038" s="953"/>
      <c r="F8038" s="953"/>
      <c r="G8038" s="953"/>
      <c r="H8038" s="953"/>
    </row>
    <row r="8039" spans="1:8" s="943" customFormat="1" x14ac:dyDescent="0.25">
      <c r="A8039" s="952"/>
      <c r="B8039" s="953"/>
      <c r="C8039" s="953"/>
      <c r="D8039" s="953"/>
      <c r="E8039" s="953"/>
      <c r="F8039" s="953"/>
      <c r="G8039" s="953"/>
      <c r="H8039" s="953"/>
    </row>
    <row r="8040" spans="1:8" s="943" customFormat="1" x14ac:dyDescent="0.25">
      <c r="A8040" s="952"/>
      <c r="B8040" s="953"/>
      <c r="C8040" s="953"/>
      <c r="D8040" s="953"/>
      <c r="E8040" s="953"/>
      <c r="F8040" s="953"/>
      <c r="G8040" s="953"/>
      <c r="H8040" s="953"/>
    </row>
    <row r="8041" spans="1:8" s="943" customFormat="1" x14ac:dyDescent="0.25">
      <c r="A8041" s="952"/>
      <c r="B8041" s="953"/>
      <c r="C8041" s="953"/>
      <c r="D8041" s="953"/>
      <c r="E8041" s="953"/>
      <c r="F8041" s="953"/>
      <c r="G8041" s="953"/>
      <c r="H8041" s="953"/>
    </row>
    <row r="8042" spans="1:8" s="943" customFormat="1" x14ac:dyDescent="0.25">
      <c r="A8042" s="952"/>
      <c r="B8042" s="953"/>
      <c r="C8042" s="953"/>
      <c r="D8042" s="953"/>
      <c r="E8042" s="953"/>
      <c r="F8042" s="953"/>
      <c r="G8042" s="953"/>
      <c r="H8042" s="953"/>
    </row>
    <row r="8043" spans="1:8" s="943" customFormat="1" x14ac:dyDescent="0.25">
      <c r="A8043" s="952"/>
      <c r="B8043" s="953"/>
      <c r="C8043" s="953"/>
      <c r="D8043" s="953"/>
      <c r="E8043" s="953"/>
      <c r="F8043" s="953"/>
      <c r="G8043" s="953"/>
      <c r="H8043" s="953"/>
    </row>
    <row r="8044" spans="1:8" s="943" customFormat="1" x14ac:dyDescent="0.25">
      <c r="A8044" s="952"/>
      <c r="B8044" s="953"/>
      <c r="C8044" s="953"/>
      <c r="D8044" s="953"/>
      <c r="E8044" s="953"/>
      <c r="F8044" s="953"/>
      <c r="G8044" s="953"/>
      <c r="H8044" s="953"/>
    </row>
    <row r="8045" spans="1:8" s="943" customFormat="1" x14ac:dyDescent="0.25">
      <c r="A8045" s="952"/>
      <c r="B8045" s="953"/>
      <c r="C8045" s="953"/>
      <c r="D8045" s="953"/>
      <c r="E8045" s="953"/>
      <c r="F8045" s="953"/>
      <c r="G8045" s="953"/>
      <c r="H8045" s="953"/>
    </row>
    <row r="8046" spans="1:8" s="943" customFormat="1" x14ac:dyDescent="0.25">
      <c r="A8046" s="952"/>
      <c r="B8046" s="953"/>
      <c r="C8046" s="953"/>
      <c r="D8046" s="953"/>
      <c r="E8046" s="953"/>
      <c r="F8046" s="953"/>
      <c r="G8046" s="953"/>
      <c r="H8046" s="953"/>
    </row>
    <row r="8047" spans="1:8" s="943" customFormat="1" x14ac:dyDescent="0.25">
      <c r="A8047" s="952"/>
      <c r="B8047" s="953"/>
      <c r="C8047" s="953"/>
      <c r="D8047" s="953"/>
      <c r="E8047" s="953"/>
      <c r="F8047" s="953"/>
      <c r="G8047" s="953"/>
      <c r="H8047" s="953"/>
    </row>
    <row r="8048" spans="1:8" s="943" customFormat="1" x14ac:dyDescent="0.25">
      <c r="A8048" s="952"/>
      <c r="B8048" s="953"/>
      <c r="C8048" s="953"/>
      <c r="D8048" s="953"/>
      <c r="E8048" s="953"/>
      <c r="F8048" s="953"/>
      <c r="G8048" s="953"/>
      <c r="H8048" s="953"/>
    </row>
    <row r="8049" spans="1:8" s="943" customFormat="1" x14ac:dyDescent="0.25">
      <c r="A8049" s="952"/>
      <c r="B8049" s="953"/>
      <c r="C8049" s="953"/>
      <c r="D8049" s="953"/>
      <c r="E8049" s="953"/>
      <c r="F8049" s="953"/>
      <c r="G8049" s="953"/>
      <c r="H8049" s="953"/>
    </row>
    <row r="8050" spans="1:8" s="943" customFormat="1" x14ac:dyDescent="0.25">
      <c r="A8050" s="952"/>
      <c r="B8050" s="953"/>
      <c r="C8050" s="953"/>
      <c r="D8050" s="953"/>
      <c r="E8050" s="953"/>
      <c r="F8050" s="953"/>
      <c r="G8050" s="953"/>
      <c r="H8050" s="953"/>
    </row>
    <row r="8051" spans="1:8" s="943" customFormat="1" x14ac:dyDescent="0.25">
      <c r="A8051" s="952"/>
      <c r="B8051" s="953"/>
      <c r="C8051" s="953"/>
      <c r="D8051" s="953"/>
      <c r="E8051" s="953"/>
      <c r="F8051" s="953"/>
      <c r="G8051" s="953"/>
      <c r="H8051" s="953"/>
    </row>
    <row r="8052" spans="1:8" s="943" customFormat="1" x14ac:dyDescent="0.25">
      <c r="A8052" s="952"/>
      <c r="B8052" s="953"/>
      <c r="C8052" s="953"/>
      <c r="D8052" s="953"/>
      <c r="E8052" s="953"/>
      <c r="F8052" s="953"/>
      <c r="G8052" s="953"/>
      <c r="H8052" s="953"/>
    </row>
    <row r="8053" spans="1:8" s="943" customFormat="1" x14ac:dyDescent="0.25">
      <c r="A8053" s="952"/>
      <c r="B8053" s="953"/>
      <c r="C8053" s="953"/>
      <c r="D8053" s="953"/>
      <c r="E8053" s="953"/>
      <c r="F8053" s="953"/>
      <c r="G8053" s="953"/>
      <c r="H8053" s="953"/>
    </row>
    <row r="8054" spans="1:8" s="943" customFormat="1" x14ac:dyDescent="0.25">
      <c r="A8054" s="952"/>
      <c r="B8054" s="953"/>
      <c r="C8054" s="953"/>
      <c r="D8054" s="953"/>
      <c r="E8054" s="953"/>
      <c r="F8054" s="953"/>
      <c r="G8054" s="953"/>
      <c r="H8054" s="953"/>
    </row>
    <row r="8055" spans="1:8" s="943" customFormat="1" x14ac:dyDescent="0.25">
      <c r="A8055" s="952"/>
      <c r="B8055" s="953"/>
      <c r="C8055" s="953"/>
      <c r="D8055" s="953"/>
      <c r="E8055" s="953"/>
      <c r="F8055" s="953"/>
      <c r="G8055" s="953"/>
      <c r="H8055" s="953"/>
    </row>
    <row r="8056" spans="1:8" s="943" customFormat="1" x14ac:dyDescent="0.25">
      <c r="A8056" s="952"/>
      <c r="B8056" s="953"/>
      <c r="C8056" s="953"/>
      <c r="D8056" s="953"/>
      <c r="E8056" s="953"/>
      <c r="F8056" s="953"/>
      <c r="G8056" s="953"/>
      <c r="H8056" s="953"/>
    </row>
    <row r="8057" spans="1:8" s="943" customFormat="1" x14ac:dyDescent="0.25">
      <c r="A8057" s="952"/>
      <c r="B8057" s="953"/>
      <c r="C8057" s="953"/>
      <c r="D8057" s="953"/>
      <c r="E8057" s="953"/>
      <c r="F8057" s="953"/>
      <c r="G8057" s="953"/>
      <c r="H8057" s="953"/>
    </row>
    <row r="8058" spans="1:8" s="943" customFormat="1" x14ac:dyDescent="0.25">
      <c r="A8058" s="952"/>
      <c r="B8058" s="953"/>
      <c r="C8058" s="953"/>
      <c r="D8058" s="953"/>
      <c r="E8058" s="953"/>
      <c r="F8058" s="953"/>
      <c r="G8058" s="953"/>
      <c r="H8058" s="953"/>
    </row>
    <row r="8059" spans="1:8" s="943" customFormat="1" x14ac:dyDescent="0.25">
      <c r="A8059" s="952"/>
      <c r="B8059" s="953"/>
      <c r="C8059" s="953"/>
      <c r="D8059" s="953"/>
      <c r="E8059" s="953"/>
      <c r="F8059" s="953"/>
      <c r="G8059" s="953"/>
      <c r="H8059" s="953"/>
    </row>
    <row r="8060" spans="1:8" s="943" customFormat="1" x14ac:dyDescent="0.25">
      <c r="A8060" s="952"/>
      <c r="B8060" s="953"/>
      <c r="C8060" s="953"/>
      <c r="D8060" s="953"/>
      <c r="E8060" s="953"/>
      <c r="F8060" s="953"/>
      <c r="G8060" s="953"/>
      <c r="H8060" s="953"/>
    </row>
    <row r="8061" spans="1:8" s="943" customFormat="1" x14ac:dyDescent="0.25">
      <c r="A8061" s="952"/>
      <c r="B8061" s="953"/>
      <c r="C8061" s="953"/>
      <c r="D8061" s="953"/>
      <c r="E8061" s="953"/>
      <c r="F8061" s="953"/>
      <c r="G8061" s="953"/>
      <c r="H8061" s="953"/>
    </row>
    <row r="8062" spans="1:8" s="943" customFormat="1" x14ac:dyDescent="0.25">
      <c r="A8062" s="952"/>
      <c r="B8062" s="953"/>
      <c r="C8062" s="953"/>
      <c r="D8062" s="953"/>
      <c r="E8062" s="953"/>
      <c r="F8062" s="953"/>
      <c r="G8062" s="953"/>
      <c r="H8062" s="953"/>
    </row>
    <row r="8063" spans="1:8" s="943" customFormat="1" x14ac:dyDescent="0.25">
      <c r="A8063" s="952"/>
      <c r="B8063" s="953"/>
      <c r="C8063" s="953"/>
      <c r="D8063" s="953"/>
      <c r="E8063" s="953"/>
      <c r="F8063" s="953"/>
      <c r="G8063" s="953"/>
      <c r="H8063" s="953"/>
    </row>
    <row r="8064" spans="1:8" s="943" customFormat="1" x14ac:dyDescent="0.25">
      <c r="A8064" s="952"/>
      <c r="B8064" s="953"/>
      <c r="C8064" s="953"/>
      <c r="D8064" s="953"/>
      <c r="E8064" s="953"/>
      <c r="F8064" s="953"/>
      <c r="G8064" s="953"/>
      <c r="H8064" s="953"/>
    </row>
    <row r="8065" spans="1:8" s="943" customFormat="1" x14ac:dyDescent="0.25">
      <c r="A8065" s="952"/>
      <c r="B8065" s="953"/>
      <c r="C8065" s="953"/>
      <c r="D8065" s="953"/>
      <c r="E8065" s="953"/>
      <c r="F8065" s="953"/>
      <c r="G8065" s="953"/>
      <c r="H8065" s="953"/>
    </row>
    <row r="8066" spans="1:8" s="943" customFormat="1" x14ac:dyDescent="0.25">
      <c r="A8066" s="952"/>
      <c r="B8066" s="953"/>
      <c r="C8066" s="953"/>
      <c r="D8066" s="953"/>
      <c r="E8066" s="953"/>
      <c r="F8066" s="953"/>
      <c r="G8066" s="953"/>
      <c r="H8066" s="953"/>
    </row>
    <row r="8067" spans="1:8" s="943" customFormat="1" x14ac:dyDescent="0.25">
      <c r="A8067" s="952"/>
      <c r="B8067" s="953"/>
      <c r="C8067" s="953"/>
      <c r="D8067" s="953"/>
      <c r="E8067" s="953"/>
      <c r="F8067" s="953"/>
      <c r="G8067" s="953"/>
      <c r="H8067" s="953"/>
    </row>
    <row r="8068" spans="1:8" s="943" customFormat="1" x14ac:dyDescent="0.25">
      <c r="A8068" s="952"/>
      <c r="B8068" s="953"/>
      <c r="C8068" s="953"/>
      <c r="D8068" s="953"/>
      <c r="E8068" s="953"/>
      <c r="F8068" s="953"/>
      <c r="G8068" s="953"/>
      <c r="H8068" s="953"/>
    </row>
    <row r="8069" spans="1:8" s="943" customFormat="1" x14ac:dyDescent="0.25">
      <c r="A8069" s="952"/>
      <c r="B8069" s="953"/>
      <c r="C8069" s="953"/>
      <c r="D8069" s="953"/>
      <c r="E8069" s="953"/>
      <c r="F8069" s="953"/>
      <c r="G8069" s="953"/>
      <c r="H8069" s="953"/>
    </row>
    <row r="8070" spans="1:8" s="943" customFormat="1" x14ac:dyDescent="0.25">
      <c r="A8070" s="952"/>
      <c r="B8070" s="953"/>
      <c r="C8070" s="953"/>
      <c r="D8070" s="953"/>
      <c r="E8070" s="953"/>
      <c r="F8070" s="953"/>
      <c r="G8070" s="953"/>
      <c r="H8070" s="953"/>
    </row>
    <row r="8071" spans="1:8" s="943" customFormat="1" x14ac:dyDescent="0.25">
      <c r="A8071" s="952"/>
      <c r="B8071" s="953"/>
      <c r="C8071" s="953"/>
      <c r="D8071" s="953"/>
      <c r="E8071" s="953"/>
      <c r="F8071" s="953"/>
      <c r="G8071" s="953"/>
      <c r="H8071" s="953"/>
    </row>
    <row r="8072" spans="1:8" s="943" customFormat="1" x14ac:dyDescent="0.25">
      <c r="A8072" s="952"/>
      <c r="B8072" s="953"/>
      <c r="C8072" s="953"/>
      <c r="D8072" s="953"/>
      <c r="E8072" s="953"/>
      <c r="F8072" s="953"/>
      <c r="G8072" s="953"/>
      <c r="H8072" s="953"/>
    </row>
    <row r="8073" spans="1:8" s="943" customFormat="1" x14ac:dyDescent="0.25">
      <c r="A8073" s="952"/>
      <c r="B8073" s="953"/>
      <c r="C8073" s="953"/>
      <c r="D8073" s="953"/>
      <c r="E8073" s="953"/>
      <c r="F8073" s="953"/>
      <c r="G8073" s="953"/>
      <c r="H8073" s="953"/>
    </row>
    <row r="8074" spans="1:8" s="943" customFormat="1" x14ac:dyDescent="0.25">
      <c r="A8074" s="952"/>
      <c r="B8074" s="953"/>
      <c r="C8074" s="953"/>
      <c r="D8074" s="953"/>
      <c r="E8074" s="953"/>
      <c r="F8074" s="953"/>
      <c r="G8074" s="953"/>
      <c r="H8074" s="953"/>
    </row>
    <row r="8075" spans="1:8" s="943" customFormat="1" x14ac:dyDescent="0.25">
      <c r="A8075" s="952"/>
      <c r="B8075" s="953"/>
      <c r="C8075" s="953"/>
      <c r="D8075" s="953"/>
      <c r="E8075" s="953"/>
      <c r="F8075" s="953"/>
      <c r="G8075" s="953"/>
      <c r="H8075" s="953"/>
    </row>
    <row r="8076" spans="1:8" s="943" customFormat="1" x14ac:dyDescent="0.25">
      <c r="A8076" s="952"/>
      <c r="B8076" s="953"/>
      <c r="C8076" s="953"/>
      <c r="D8076" s="953"/>
      <c r="E8076" s="953"/>
      <c r="F8076" s="953"/>
      <c r="G8076" s="953"/>
      <c r="H8076" s="953"/>
    </row>
    <row r="8077" spans="1:8" s="943" customFormat="1" x14ac:dyDescent="0.25">
      <c r="A8077" s="952"/>
      <c r="B8077" s="953"/>
      <c r="C8077" s="953"/>
      <c r="D8077" s="953"/>
      <c r="E8077" s="953"/>
      <c r="F8077" s="953"/>
      <c r="G8077" s="953"/>
      <c r="H8077" s="953"/>
    </row>
    <row r="8078" spans="1:8" s="943" customFormat="1" x14ac:dyDescent="0.25">
      <c r="A8078" s="952"/>
      <c r="B8078" s="953"/>
      <c r="C8078" s="953"/>
      <c r="D8078" s="953"/>
      <c r="E8078" s="953"/>
      <c r="F8078" s="953"/>
      <c r="G8078" s="953"/>
      <c r="H8078" s="953"/>
    </row>
    <row r="8079" spans="1:8" s="943" customFormat="1" x14ac:dyDescent="0.25">
      <c r="A8079" s="952"/>
      <c r="B8079" s="953"/>
      <c r="C8079" s="953"/>
      <c r="D8079" s="953"/>
      <c r="E8079" s="953"/>
      <c r="F8079" s="953"/>
      <c r="G8079" s="953"/>
      <c r="H8079" s="953"/>
    </row>
    <row r="8080" spans="1:8" s="943" customFormat="1" x14ac:dyDescent="0.25">
      <c r="A8080" s="952"/>
      <c r="B8080" s="953"/>
      <c r="C8080" s="953"/>
      <c r="D8080" s="953"/>
      <c r="E8080" s="953"/>
      <c r="F8080" s="953"/>
      <c r="G8080" s="953"/>
      <c r="H8080" s="953"/>
    </row>
    <row r="8081" spans="1:8" s="943" customFormat="1" x14ac:dyDescent="0.25">
      <c r="A8081" s="952"/>
      <c r="B8081" s="953"/>
      <c r="C8081" s="953"/>
      <c r="D8081" s="953"/>
      <c r="E8081" s="953"/>
      <c r="F8081" s="953"/>
      <c r="G8081" s="953"/>
      <c r="H8081" s="953"/>
    </row>
    <row r="8082" spans="1:8" s="943" customFormat="1" x14ac:dyDescent="0.25">
      <c r="A8082" s="952"/>
      <c r="B8082" s="953"/>
      <c r="C8082" s="953"/>
      <c r="D8082" s="953"/>
      <c r="E8082" s="953"/>
      <c r="F8082" s="953"/>
      <c r="G8082" s="953"/>
      <c r="H8082" s="953"/>
    </row>
    <row r="8083" spans="1:8" s="943" customFormat="1" x14ac:dyDescent="0.25">
      <c r="A8083" s="952"/>
      <c r="B8083" s="953"/>
      <c r="C8083" s="953"/>
      <c r="D8083" s="953"/>
      <c r="E8083" s="953"/>
      <c r="F8083" s="953"/>
      <c r="G8083" s="953"/>
      <c r="H8083" s="953"/>
    </row>
    <row r="8084" spans="1:8" s="943" customFormat="1" x14ac:dyDescent="0.25">
      <c r="A8084" s="952"/>
      <c r="B8084" s="953"/>
      <c r="C8084" s="953"/>
      <c r="D8084" s="953"/>
      <c r="E8084" s="953"/>
      <c r="F8084" s="953"/>
      <c r="G8084" s="953"/>
      <c r="H8084" s="953"/>
    </row>
    <row r="8085" spans="1:8" s="943" customFormat="1" x14ac:dyDescent="0.25">
      <c r="A8085" s="952"/>
      <c r="B8085" s="953"/>
      <c r="C8085" s="953"/>
      <c r="D8085" s="953"/>
      <c r="E8085" s="953"/>
      <c r="F8085" s="953"/>
      <c r="G8085" s="953"/>
      <c r="H8085" s="953"/>
    </row>
    <row r="8086" spans="1:8" s="943" customFormat="1" x14ac:dyDescent="0.25">
      <c r="A8086" s="952"/>
      <c r="B8086" s="953"/>
      <c r="C8086" s="953"/>
      <c r="D8086" s="953"/>
      <c r="E8086" s="953"/>
      <c r="F8086" s="953"/>
      <c r="G8086" s="953"/>
      <c r="H8086" s="953"/>
    </row>
    <row r="8087" spans="1:8" s="943" customFormat="1" x14ac:dyDescent="0.25">
      <c r="A8087" s="952"/>
      <c r="B8087" s="953"/>
      <c r="C8087" s="953"/>
      <c r="D8087" s="953"/>
      <c r="E8087" s="953"/>
      <c r="F8087" s="953"/>
      <c r="G8087" s="953"/>
      <c r="H8087" s="953"/>
    </row>
    <row r="8088" spans="1:8" s="943" customFormat="1" x14ac:dyDescent="0.25">
      <c r="A8088" s="952"/>
      <c r="B8088" s="953"/>
      <c r="C8088" s="953"/>
      <c r="D8088" s="953"/>
      <c r="E8088" s="953"/>
      <c r="F8088" s="953"/>
      <c r="G8088" s="953"/>
      <c r="H8088" s="953"/>
    </row>
    <row r="8089" spans="1:8" s="943" customFormat="1" x14ac:dyDescent="0.25">
      <c r="A8089" s="952"/>
      <c r="B8089" s="953"/>
      <c r="C8089" s="953"/>
      <c r="D8089" s="953"/>
      <c r="E8089" s="953"/>
      <c r="F8089" s="953"/>
      <c r="G8089" s="953"/>
      <c r="H8089" s="953"/>
    </row>
    <row r="8090" spans="1:8" s="943" customFormat="1" x14ac:dyDescent="0.25">
      <c r="A8090" s="952"/>
      <c r="B8090" s="953"/>
      <c r="C8090" s="953"/>
      <c r="D8090" s="953"/>
      <c r="E8090" s="953"/>
      <c r="F8090" s="953"/>
      <c r="G8090" s="953"/>
      <c r="H8090" s="953"/>
    </row>
    <row r="8091" spans="1:8" s="943" customFormat="1" x14ac:dyDescent="0.25">
      <c r="A8091" s="952"/>
      <c r="B8091" s="953"/>
      <c r="C8091" s="953"/>
      <c r="D8091" s="953"/>
      <c r="E8091" s="953"/>
      <c r="F8091" s="953"/>
      <c r="G8091" s="953"/>
      <c r="H8091" s="953"/>
    </row>
    <row r="8092" spans="1:8" s="943" customFormat="1" x14ac:dyDescent="0.25">
      <c r="A8092" s="952"/>
      <c r="B8092" s="953"/>
      <c r="C8092" s="953"/>
      <c r="D8092" s="953"/>
      <c r="E8092" s="953"/>
      <c r="F8092" s="953"/>
      <c r="G8092" s="953"/>
      <c r="H8092" s="953"/>
    </row>
    <row r="8093" spans="1:8" s="943" customFormat="1" x14ac:dyDescent="0.25">
      <c r="A8093" s="952"/>
      <c r="B8093" s="953"/>
      <c r="C8093" s="953"/>
      <c r="D8093" s="953"/>
      <c r="E8093" s="953"/>
      <c r="F8093" s="953"/>
      <c r="G8093" s="953"/>
      <c r="H8093" s="953"/>
    </row>
    <row r="8094" spans="1:8" s="943" customFormat="1" x14ac:dyDescent="0.25">
      <c r="A8094" s="952"/>
      <c r="B8094" s="953"/>
      <c r="C8094" s="953"/>
      <c r="D8094" s="953"/>
      <c r="E8094" s="953"/>
      <c r="F8094" s="953"/>
      <c r="G8094" s="953"/>
      <c r="H8094" s="953"/>
    </row>
    <row r="8095" spans="1:8" s="943" customFormat="1" x14ac:dyDescent="0.25">
      <c r="A8095" s="952"/>
      <c r="B8095" s="953"/>
      <c r="C8095" s="953"/>
      <c r="D8095" s="953"/>
      <c r="E8095" s="953"/>
      <c r="F8095" s="953"/>
      <c r="G8095" s="953"/>
      <c r="H8095" s="953"/>
    </row>
    <row r="8096" spans="1:8" s="943" customFormat="1" x14ac:dyDescent="0.25">
      <c r="A8096" s="952"/>
      <c r="B8096" s="953"/>
      <c r="C8096" s="953"/>
      <c r="D8096" s="953"/>
      <c r="E8096" s="953"/>
      <c r="F8096" s="953"/>
      <c r="G8096" s="953"/>
      <c r="H8096" s="953"/>
    </row>
    <row r="8097" spans="1:8" s="943" customFormat="1" x14ac:dyDescent="0.25">
      <c r="A8097" s="952"/>
      <c r="B8097" s="953"/>
      <c r="C8097" s="953"/>
      <c r="D8097" s="953"/>
      <c r="E8097" s="953"/>
      <c r="F8097" s="953"/>
      <c r="G8097" s="953"/>
      <c r="H8097" s="953"/>
    </row>
    <row r="8098" spans="1:8" s="943" customFormat="1" x14ac:dyDescent="0.25">
      <c r="A8098" s="952"/>
      <c r="B8098" s="953"/>
      <c r="C8098" s="953"/>
      <c r="D8098" s="953"/>
      <c r="E8098" s="953"/>
      <c r="F8098" s="953"/>
      <c r="G8098" s="953"/>
      <c r="H8098" s="953"/>
    </row>
    <row r="8099" spans="1:8" s="943" customFormat="1" x14ac:dyDescent="0.25">
      <c r="A8099" s="952"/>
      <c r="B8099" s="953"/>
      <c r="C8099" s="953"/>
      <c r="D8099" s="953"/>
      <c r="E8099" s="953"/>
      <c r="F8099" s="953"/>
      <c r="G8099" s="953"/>
      <c r="H8099" s="953"/>
    </row>
    <row r="8100" spans="1:8" s="943" customFormat="1" x14ac:dyDescent="0.25">
      <c r="A8100" s="952"/>
      <c r="B8100" s="953"/>
      <c r="C8100" s="953"/>
      <c r="D8100" s="953"/>
      <c r="E8100" s="953"/>
      <c r="F8100" s="953"/>
      <c r="G8100" s="953"/>
      <c r="H8100" s="953"/>
    </row>
    <row r="8101" spans="1:8" s="943" customFormat="1" x14ac:dyDescent="0.25">
      <c r="A8101" s="952"/>
      <c r="B8101" s="953"/>
      <c r="C8101" s="953"/>
      <c r="D8101" s="953"/>
      <c r="E8101" s="953"/>
      <c r="F8101" s="953"/>
      <c r="G8101" s="953"/>
      <c r="H8101" s="953"/>
    </row>
    <row r="8102" spans="1:8" s="943" customFormat="1" x14ac:dyDescent="0.25">
      <c r="A8102" s="952"/>
      <c r="B8102" s="953"/>
      <c r="C8102" s="953"/>
      <c r="D8102" s="953"/>
      <c r="E8102" s="953"/>
      <c r="F8102" s="953"/>
      <c r="G8102" s="953"/>
      <c r="H8102" s="953"/>
    </row>
    <row r="8103" spans="1:8" s="943" customFormat="1" x14ac:dyDescent="0.25">
      <c r="A8103" s="952"/>
      <c r="B8103" s="953"/>
      <c r="C8103" s="953"/>
      <c r="D8103" s="953"/>
      <c r="E8103" s="953"/>
      <c r="F8103" s="953"/>
      <c r="G8103" s="953"/>
      <c r="H8103" s="953"/>
    </row>
    <row r="8104" spans="1:8" s="943" customFormat="1" x14ac:dyDescent="0.25">
      <c r="A8104" s="952"/>
      <c r="B8104" s="953"/>
      <c r="C8104" s="953"/>
      <c r="D8104" s="953"/>
      <c r="E8104" s="953"/>
      <c r="F8104" s="953"/>
      <c r="G8104" s="953"/>
      <c r="H8104" s="953"/>
    </row>
    <row r="8105" spans="1:8" s="943" customFormat="1" x14ac:dyDescent="0.25">
      <c r="A8105" s="952"/>
      <c r="B8105" s="953"/>
      <c r="C8105" s="953"/>
      <c r="D8105" s="953"/>
      <c r="E8105" s="953"/>
      <c r="F8105" s="953"/>
      <c r="G8105" s="953"/>
      <c r="H8105" s="953"/>
    </row>
    <row r="8106" spans="1:8" s="943" customFormat="1" x14ac:dyDescent="0.25">
      <c r="A8106" s="952"/>
      <c r="B8106" s="953"/>
      <c r="C8106" s="953"/>
      <c r="D8106" s="953"/>
      <c r="E8106" s="953"/>
      <c r="F8106" s="953"/>
      <c r="G8106" s="953"/>
      <c r="H8106" s="953"/>
    </row>
    <row r="8107" spans="1:8" s="943" customFormat="1" x14ac:dyDescent="0.25">
      <c r="A8107" s="952"/>
      <c r="B8107" s="953"/>
      <c r="C8107" s="953"/>
      <c r="D8107" s="953"/>
      <c r="E8107" s="953"/>
      <c r="F8107" s="953"/>
      <c r="G8107" s="953"/>
      <c r="H8107" s="953"/>
    </row>
    <row r="8108" spans="1:8" s="943" customFormat="1" x14ac:dyDescent="0.25">
      <c r="A8108" s="952"/>
      <c r="B8108" s="953"/>
      <c r="C8108" s="953"/>
      <c r="D8108" s="953"/>
      <c r="E8108" s="953"/>
      <c r="F8108" s="953"/>
      <c r="G8108" s="953"/>
      <c r="H8108" s="953"/>
    </row>
    <row r="8109" spans="1:8" s="943" customFormat="1" x14ac:dyDescent="0.25">
      <c r="A8109" s="952"/>
      <c r="B8109" s="953"/>
      <c r="C8109" s="953"/>
      <c r="D8109" s="953"/>
      <c r="E8109" s="953"/>
      <c r="F8109" s="953"/>
      <c r="G8109" s="953"/>
      <c r="H8109" s="953"/>
    </row>
    <row r="8110" spans="1:8" s="943" customFormat="1" x14ac:dyDescent="0.25">
      <c r="A8110" s="952"/>
      <c r="B8110" s="953"/>
      <c r="C8110" s="953"/>
      <c r="D8110" s="953"/>
      <c r="E8110" s="953"/>
      <c r="F8110" s="953"/>
      <c r="G8110" s="953"/>
      <c r="H8110" s="953"/>
    </row>
    <row r="8111" spans="1:8" s="943" customFormat="1" x14ac:dyDescent="0.25">
      <c r="A8111" s="952"/>
      <c r="B8111" s="953"/>
      <c r="C8111" s="953"/>
      <c r="D8111" s="953"/>
      <c r="E8111" s="953"/>
      <c r="F8111" s="953"/>
      <c r="G8111" s="953"/>
      <c r="H8111" s="953"/>
    </row>
    <row r="8112" spans="1:8" s="943" customFormat="1" x14ac:dyDescent="0.25">
      <c r="A8112" s="952"/>
      <c r="B8112" s="953"/>
      <c r="C8112" s="953"/>
      <c r="D8112" s="953"/>
      <c r="E8112" s="953"/>
      <c r="F8112" s="953"/>
      <c r="G8112" s="953"/>
      <c r="H8112" s="953"/>
    </row>
    <row r="8113" spans="1:8" s="943" customFormat="1" x14ac:dyDescent="0.25">
      <c r="A8113" s="952"/>
      <c r="B8113" s="953"/>
      <c r="C8113" s="953"/>
      <c r="D8113" s="953"/>
      <c r="E8113" s="953"/>
      <c r="F8113" s="953"/>
      <c r="G8113" s="953"/>
      <c r="H8113" s="953"/>
    </row>
    <row r="8114" spans="1:8" s="943" customFormat="1" x14ac:dyDescent="0.25">
      <c r="A8114" s="952"/>
      <c r="B8114" s="953"/>
      <c r="C8114" s="953"/>
      <c r="D8114" s="953"/>
      <c r="E8114" s="953"/>
      <c r="F8114" s="953"/>
      <c r="G8114" s="953"/>
      <c r="H8114" s="953"/>
    </row>
    <row r="8115" spans="1:8" s="943" customFormat="1" x14ac:dyDescent="0.25">
      <c r="A8115" s="952"/>
      <c r="B8115" s="953"/>
      <c r="C8115" s="953"/>
      <c r="D8115" s="953"/>
      <c r="E8115" s="953"/>
      <c r="F8115" s="953"/>
      <c r="G8115" s="953"/>
      <c r="H8115" s="953"/>
    </row>
    <row r="8116" spans="1:8" s="943" customFormat="1" x14ac:dyDescent="0.25">
      <c r="A8116" s="952"/>
      <c r="B8116" s="953"/>
      <c r="C8116" s="953"/>
      <c r="D8116" s="953"/>
      <c r="E8116" s="953"/>
      <c r="F8116" s="953"/>
      <c r="G8116" s="953"/>
      <c r="H8116" s="953"/>
    </row>
    <row r="8117" spans="1:8" s="943" customFormat="1" x14ac:dyDescent="0.25">
      <c r="A8117" s="952"/>
      <c r="B8117" s="953"/>
      <c r="C8117" s="953"/>
      <c r="D8117" s="953"/>
      <c r="E8117" s="953"/>
      <c r="F8117" s="953"/>
      <c r="G8117" s="953"/>
      <c r="H8117" s="953"/>
    </row>
    <row r="8118" spans="1:8" s="943" customFormat="1" x14ac:dyDescent="0.25">
      <c r="A8118" s="952"/>
      <c r="B8118" s="953"/>
      <c r="C8118" s="953"/>
      <c r="D8118" s="953"/>
      <c r="E8118" s="953"/>
      <c r="F8118" s="953"/>
      <c r="G8118" s="953"/>
      <c r="H8118" s="953"/>
    </row>
    <row r="8119" spans="1:8" s="943" customFormat="1" x14ac:dyDescent="0.25">
      <c r="A8119" s="952"/>
      <c r="B8119" s="953"/>
      <c r="C8119" s="953"/>
      <c r="D8119" s="953"/>
      <c r="E8119" s="953"/>
      <c r="F8119" s="953"/>
      <c r="G8119" s="953"/>
      <c r="H8119" s="953"/>
    </row>
    <row r="8120" spans="1:8" s="943" customFormat="1" x14ac:dyDescent="0.25">
      <c r="A8120" s="952"/>
      <c r="B8120" s="953"/>
      <c r="C8120" s="953"/>
      <c r="D8120" s="953"/>
      <c r="E8120" s="953"/>
      <c r="F8120" s="953"/>
      <c r="G8120" s="953"/>
      <c r="H8120" s="953"/>
    </row>
    <row r="8121" spans="1:8" s="943" customFormat="1" x14ac:dyDescent="0.25">
      <c r="A8121" s="952"/>
      <c r="B8121" s="953"/>
      <c r="C8121" s="953"/>
      <c r="D8121" s="953"/>
      <c r="E8121" s="953"/>
      <c r="F8121" s="953"/>
      <c r="G8121" s="953"/>
      <c r="H8121" s="953"/>
    </row>
    <row r="8122" spans="1:8" s="943" customFormat="1" x14ac:dyDescent="0.25">
      <c r="A8122" s="952"/>
      <c r="B8122" s="953"/>
      <c r="C8122" s="953"/>
      <c r="D8122" s="953"/>
      <c r="E8122" s="953"/>
      <c r="F8122" s="953"/>
      <c r="G8122" s="953"/>
      <c r="H8122" s="953"/>
    </row>
    <row r="8123" spans="1:8" s="943" customFormat="1" x14ac:dyDescent="0.25">
      <c r="A8123" s="952"/>
      <c r="B8123" s="953"/>
      <c r="C8123" s="953"/>
      <c r="D8123" s="953"/>
      <c r="E8123" s="953"/>
      <c r="F8123" s="953"/>
      <c r="G8123" s="953"/>
      <c r="H8123" s="953"/>
    </row>
    <row r="8124" spans="1:8" s="943" customFormat="1" x14ac:dyDescent="0.25">
      <c r="A8124" s="952"/>
      <c r="B8124" s="953"/>
      <c r="C8124" s="953"/>
      <c r="D8124" s="953"/>
      <c r="E8124" s="953"/>
      <c r="F8124" s="953"/>
      <c r="G8124" s="953"/>
      <c r="H8124" s="953"/>
    </row>
    <row r="8125" spans="1:8" s="943" customFormat="1" x14ac:dyDescent="0.25">
      <c r="A8125" s="952"/>
      <c r="B8125" s="953"/>
      <c r="C8125" s="953"/>
      <c r="D8125" s="953"/>
      <c r="E8125" s="953"/>
      <c r="F8125" s="953"/>
      <c r="G8125" s="953"/>
      <c r="H8125" s="953"/>
    </row>
    <row r="8126" spans="1:8" s="943" customFormat="1" x14ac:dyDescent="0.25">
      <c r="A8126" s="952"/>
      <c r="B8126" s="953"/>
      <c r="C8126" s="953"/>
      <c r="D8126" s="953"/>
      <c r="E8126" s="953"/>
      <c r="F8126" s="953"/>
      <c r="G8126" s="953"/>
      <c r="H8126" s="953"/>
    </row>
    <row r="8127" spans="1:8" s="943" customFormat="1" x14ac:dyDescent="0.25">
      <c r="A8127" s="952"/>
      <c r="B8127" s="953"/>
      <c r="C8127" s="953"/>
      <c r="D8127" s="953"/>
      <c r="E8127" s="953"/>
      <c r="F8127" s="953"/>
      <c r="G8127" s="953"/>
      <c r="H8127" s="953"/>
    </row>
    <row r="8128" spans="1:8" s="943" customFormat="1" x14ac:dyDescent="0.25">
      <c r="A8128" s="952"/>
      <c r="B8128" s="953"/>
      <c r="C8128" s="953"/>
      <c r="D8128" s="953"/>
      <c r="E8128" s="953"/>
      <c r="F8128" s="953"/>
      <c r="G8128" s="953"/>
      <c r="H8128" s="953"/>
    </row>
    <row r="8129" spans="1:8" s="943" customFormat="1" x14ac:dyDescent="0.25">
      <c r="A8129" s="952"/>
      <c r="B8129" s="953"/>
      <c r="C8129" s="953"/>
      <c r="D8129" s="953"/>
      <c r="E8129" s="953"/>
      <c r="F8129" s="953"/>
      <c r="G8129" s="953"/>
      <c r="H8129" s="953"/>
    </row>
    <row r="8130" spans="1:8" s="943" customFormat="1" x14ac:dyDescent="0.25">
      <c r="A8130" s="952"/>
      <c r="B8130" s="953"/>
      <c r="C8130" s="953"/>
      <c r="D8130" s="953"/>
      <c r="E8130" s="953"/>
      <c r="F8130" s="953"/>
      <c r="G8130" s="953"/>
      <c r="H8130" s="953"/>
    </row>
    <row r="8131" spans="1:8" s="943" customFormat="1" x14ac:dyDescent="0.25">
      <c r="A8131" s="952"/>
      <c r="B8131" s="953"/>
      <c r="C8131" s="953"/>
      <c r="D8131" s="953"/>
      <c r="E8131" s="953"/>
      <c r="F8131" s="953"/>
      <c r="G8131" s="953"/>
      <c r="H8131" s="953"/>
    </row>
    <row r="8132" spans="1:8" s="943" customFormat="1" x14ac:dyDescent="0.25">
      <c r="A8132" s="952"/>
      <c r="B8132" s="953"/>
      <c r="C8132" s="953"/>
      <c r="D8132" s="953"/>
      <c r="E8132" s="953"/>
      <c r="F8132" s="953"/>
      <c r="G8132" s="953"/>
      <c r="H8132" s="953"/>
    </row>
    <row r="8133" spans="1:8" s="943" customFormat="1" x14ac:dyDescent="0.25">
      <c r="A8133" s="952"/>
      <c r="B8133" s="953"/>
      <c r="C8133" s="953"/>
      <c r="D8133" s="953"/>
      <c r="E8133" s="953"/>
      <c r="F8133" s="953"/>
      <c r="G8133" s="953"/>
      <c r="H8133" s="953"/>
    </row>
    <row r="8134" spans="1:8" s="943" customFormat="1" x14ac:dyDescent="0.25">
      <c r="A8134" s="952"/>
      <c r="B8134" s="953"/>
      <c r="C8134" s="953"/>
      <c r="D8134" s="953"/>
      <c r="E8134" s="953"/>
      <c r="F8134" s="953"/>
      <c r="G8134" s="953"/>
      <c r="H8134" s="953"/>
    </row>
    <row r="8135" spans="1:8" s="943" customFormat="1" x14ac:dyDescent="0.25">
      <c r="A8135" s="952"/>
      <c r="B8135" s="953"/>
      <c r="C8135" s="953"/>
      <c r="D8135" s="953"/>
      <c r="E8135" s="953"/>
      <c r="F8135" s="953"/>
      <c r="G8135" s="953"/>
      <c r="H8135" s="953"/>
    </row>
    <row r="8136" spans="1:8" s="943" customFormat="1" x14ac:dyDescent="0.25">
      <c r="A8136" s="952"/>
      <c r="B8136" s="953"/>
      <c r="C8136" s="953"/>
      <c r="D8136" s="953"/>
      <c r="E8136" s="953"/>
      <c r="F8136" s="953"/>
      <c r="G8136" s="953"/>
      <c r="H8136" s="953"/>
    </row>
    <row r="8137" spans="1:8" s="943" customFormat="1" x14ac:dyDescent="0.25">
      <c r="A8137" s="952"/>
      <c r="B8137" s="953"/>
      <c r="C8137" s="953"/>
      <c r="D8137" s="953"/>
      <c r="E8137" s="953"/>
      <c r="F8137" s="953"/>
      <c r="G8137" s="953"/>
      <c r="H8137" s="953"/>
    </row>
    <row r="8138" spans="1:8" s="943" customFormat="1" x14ac:dyDescent="0.25">
      <c r="A8138" s="952"/>
      <c r="B8138" s="953"/>
      <c r="C8138" s="953"/>
      <c r="D8138" s="953"/>
      <c r="E8138" s="953"/>
      <c r="F8138" s="953"/>
      <c r="G8138" s="953"/>
      <c r="H8138" s="953"/>
    </row>
    <row r="8139" spans="1:8" s="943" customFormat="1" x14ac:dyDescent="0.25">
      <c r="A8139" s="952"/>
      <c r="B8139" s="953"/>
      <c r="C8139" s="953"/>
      <c r="D8139" s="953"/>
      <c r="E8139" s="953"/>
      <c r="F8139" s="953"/>
      <c r="G8139" s="953"/>
      <c r="H8139" s="953"/>
    </row>
    <row r="8140" spans="1:8" s="943" customFormat="1" x14ac:dyDescent="0.25">
      <c r="A8140" s="952"/>
      <c r="B8140" s="953"/>
      <c r="C8140" s="953"/>
      <c r="D8140" s="953"/>
      <c r="E8140" s="953"/>
      <c r="F8140" s="953"/>
      <c r="G8140" s="953"/>
      <c r="H8140" s="953"/>
    </row>
    <row r="8141" spans="1:8" s="943" customFormat="1" x14ac:dyDescent="0.25">
      <c r="A8141" s="952"/>
      <c r="B8141" s="953"/>
      <c r="C8141" s="953"/>
      <c r="D8141" s="953"/>
      <c r="E8141" s="953"/>
      <c r="F8141" s="953"/>
      <c r="G8141" s="953"/>
      <c r="H8141" s="953"/>
    </row>
    <row r="8142" spans="1:8" s="943" customFormat="1" x14ac:dyDescent="0.25">
      <c r="A8142" s="952"/>
      <c r="B8142" s="953"/>
      <c r="C8142" s="953"/>
      <c r="D8142" s="953"/>
      <c r="E8142" s="953"/>
      <c r="F8142" s="953"/>
      <c r="G8142" s="953"/>
      <c r="H8142" s="953"/>
    </row>
    <row r="8143" spans="1:8" s="943" customFormat="1" x14ac:dyDescent="0.25">
      <c r="A8143" s="952"/>
      <c r="B8143" s="953"/>
      <c r="C8143" s="953"/>
      <c r="D8143" s="953"/>
      <c r="E8143" s="953"/>
      <c r="F8143" s="953"/>
      <c r="G8143" s="953"/>
      <c r="H8143" s="953"/>
    </row>
    <row r="8144" spans="1:8" s="943" customFormat="1" x14ac:dyDescent="0.25">
      <c r="A8144" s="952"/>
      <c r="B8144" s="953"/>
      <c r="C8144" s="953"/>
      <c r="D8144" s="953"/>
      <c r="E8144" s="953"/>
      <c r="F8144" s="953"/>
      <c r="G8144" s="953"/>
      <c r="H8144" s="953"/>
    </row>
    <row r="8145" spans="1:8" s="943" customFormat="1" x14ac:dyDescent="0.25">
      <c r="A8145" s="952"/>
      <c r="B8145" s="953"/>
      <c r="C8145" s="953"/>
      <c r="D8145" s="953"/>
      <c r="E8145" s="953"/>
      <c r="F8145" s="953"/>
      <c r="G8145" s="953"/>
      <c r="H8145" s="953"/>
    </row>
    <row r="8146" spans="1:8" s="943" customFormat="1" x14ac:dyDescent="0.25">
      <c r="A8146" s="952"/>
      <c r="B8146" s="953"/>
      <c r="C8146" s="953"/>
      <c r="D8146" s="953"/>
      <c r="E8146" s="953"/>
      <c r="F8146" s="953"/>
      <c r="G8146" s="953"/>
      <c r="H8146" s="953"/>
    </row>
    <row r="8147" spans="1:8" s="943" customFormat="1" x14ac:dyDescent="0.25">
      <c r="A8147" s="952"/>
      <c r="B8147" s="953"/>
      <c r="C8147" s="953"/>
      <c r="D8147" s="953"/>
      <c r="E8147" s="953"/>
      <c r="F8147" s="953"/>
      <c r="G8147" s="953"/>
      <c r="H8147" s="953"/>
    </row>
    <row r="8148" spans="1:8" s="943" customFormat="1" x14ac:dyDescent="0.25">
      <c r="A8148" s="952"/>
      <c r="B8148" s="953"/>
      <c r="C8148" s="953"/>
      <c r="D8148" s="953"/>
      <c r="E8148" s="953"/>
      <c r="F8148" s="953"/>
      <c r="G8148" s="953"/>
      <c r="H8148" s="953"/>
    </row>
    <row r="8149" spans="1:8" s="943" customFormat="1" x14ac:dyDescent="0.25">
      <c r="A8149" s="952"/>
      <c r="B8149" s="953"/>
      <c r="C8149" s="953"/>
      <c r="D8149" s="953"/>
      <c r="E8149" s="953"/>
      <c r="F8149" s="953"/>
      <c r="G8149" s="953"/>
      <c r="H8149" s="953"/>
    </row>
    <row r="8150" spans="1:8" s="943" customFormat="1" x14ac:dyDescent="0.25">
      <c r="A8150" s="952"/>
      <c r="B8150" s="953"/>
      <c r="C8150" s="953"/>
      <c r="D8150" s="953"/>
      <c r="E8150" s="953"/>
      <c r="F8150" s="953"/>
      <c r="G8150" s="953"/>
      <c r="H8150" s="953"/>
    </row>
    <row r="8151" spans="1:8" s="943" customFormat="1" x14ac:dyDescent="0.25">
      <c r="A8151" s="952"/>
      <c r="B8151" s="953"/>
      <c r="C8151" s="953"/>
      <c r="D8151" s="953"/>
      <c r="E8151" s="953"/>
      <c r="F8151" s="953"/>
      <c r="G8151" s="953"/>
      <c r="H8151" s="953"/>
    </row>
    <row r="8152" spans="1:8" s="943" customFormat="1" x14ac:dyDescent="0.25">
      <c r="A8152" s="952"/>
      <c r="B8152" s="953"/>
      <c r="C8152" s="953"/>
      <c r="D8152" s="953"/>
      <c r="E8152" s="953"/>
      <c r="F8152" s="953"/>
      <c r="G8152" s="953"/>
      <c r="H8152" s="953"/>
    </row>
    <row r="8153" spans="1:8" s="943" customFormat="1" x14ac:dyDescent="0.25">
      <c r="A8153" s="952"/>
      <c r="B8153" s="953"/>
      <c r="C8153" s="953"/>
      <c r="D8153" s="953"/>
      <c r="E8153" s="953"/>
      <c r="F8153" s="953"/>
      <c r="G8153" s="953"/>
      <c r="H8153" s="953"/>
    </row>
    <row r="8154" spans="1:8" s="943" customFormat="1" x14ac:dyDescent="0.25">
      <c r="A8154" s="952"/>
      <c r="B8154" s="953"/>
      <c r="C8154" s="953"/>
      <c r="D8154" s="953"/>
      <c r="E8154" s="953"/>
      <c r="F8154" s="953"/>
      <c r="G8154" s="953"/>
      <c r="H8154" s="953"/>
    </row>
    <row r="8155" spans="1:8" s="943" customFormat="1" x14ac:dyDescent="0.25">
      <c r="A8155" s="952"/>
      <c r="B8155" s="953"/>
      <c r="C8155" s="953"/>
      <c r="D8155" s="953"/>
      <c r="E8155" s="953"/>
      <c r="F8155" s="953"/>
      <c r="G8155" s="953"/>
      <c r="H8155" s="953"/>
    </row>
    <row r="8156" spans="1:8" s="943" customFormat="1" x14ac:dyDescent="0.25">
      <c r="A8156" s="952"/>
      <c r="B8156" s="953"/>
      <c r="C8156" s="953"/>
      <c r="D8156" s="953"/>
      <c r="E8156" s="953"/>
      <c r="F8156" s="953"/>
      <c r="G8156" s="953"/>
      <c r="H8156" s="953"/>
    </row>
    <row r="8157" spans="1:8" s="943" customFormat="1" x14ac:dyDescent="0.25">
      <c r="A8157" s="952"/>
      <c r="B8157" s="953"/>
      <c r="C8157" s="953"/>
      <c r="D8157" s="953"/>
      <c r="E8157" s="953"/>
      <c r="F8157" s="953"/>
      <c r="G8157" s="953"/>
      <c r="H8157" s="953"/>
    </row>
    <row r="8158" spans="1:8" s="943" customFormat="1" x14ac:dyDescent="0.25">
      <c r="A8158" s="952"/>
      <c r="B8158" s="953"/>
      <c r="C8158" s="953"/>
      <c r="D8158" s="953"/>
      <c r="E8158" s="953"/>
      <c r="F8158" s="953"/>
      <c r="G8158" s="953"/>
      <c r="H8158" s="953"/>
    </row>
    <row r="8159" spans="1:8" s="943" customFormat="1" x14ac:dyDescent="0.25">
      <c r="A8159" s="952"/>
      <c r="B8159" s="953"/>
      <c r="C8159" s="953"/>
      <c r="D8159" s="953"/>
      <c r="E8159" s="953"/>
      <c r="F8159" s="953"/>
      <c r="G8159" s="953"/>
      <c r="H8159" s="953"/>
    </row>
    <row r="8160" spans="1:8" s="943" customFormat="1" x14ac:dyDescent="0.25">
      <c r="A8160" s="952"/>
      <c r="B8160" s="953"/>
      <c r="C8160" s="953"/>
      <c r="D8160" s="953"/>
      <c r="E8160" s="953"/>
      <c r="F8160" s="953"/>
      <c r="G8160" s="953"/>
      <c r="H8160" s="953"/>
    </row>
    <row r="8161" spans="1:8" s="943" customFormat="1" x14ac:dyDescent="0.25">
      <c r="A8161" s="952"/>
      <c r="B8161" s="953"/>
      <c r="C8161" s="953"/>
      <c r="D8161" s="953"/>
      <c r="E8161" s="953"/>
      <c r="F8161" s="953"/>
      <c r="G8161" s="953"/>
      <c r="H8161" s="953"/>
    </row>
    <row r="8162" spans="1:8" s="943" customFormat="1" x14ac:dyDescent="0.25">
      <c r="A8162" s="952"/>
      <c r="B8162" s="953"/>
      <c r="C8162" s="953"/>
      <c r="D8162" s="953"/>
      <c r="E8162" s="953"/>
      <c r="F8162" s="953"/>
      <c r="G8162" s="953"/>
      <c r="H8162" s="953"/>
    </row>
    <row r="8163" spans="1:8" s="943" customFormat="1" x14ac:dyDescent="0.25">
      <c r="A8163" s="952"/>
      <c r="B8163" s="953"/>
      <c r="C8163" s="953"/>
      <c r="D8163" s="953"/>
      <c r="E8163" s="953"/>
      <c r="F8163" s="953"/>
      <c r="G8163" s="953"/>
      <c r="H8163" s="953"/>
    </row>
    <row r="8164" spans="1:8" s="943" customFormat="1" x14ac:dyDescent="0.25">
      <c r="A8164" s="952"/>
      <c r="B8164" s="953"/>
      <c r="C8164" s="953"/>
      <c r="D8164" s="953"/>
      <c r="E8164" s="953"/>
      <c r="F8164" s="953"/>
      <c r="G8164" s="953"/>
      <c r="H8164" s="953"/>
    </row>
    <row r="8165" spans="1:8" s="943" customFormat="1" x14ac:dyDescent="0.25">
      <c r="A8165" s="952"/>
      <c r="B8165" s="953"/>
      <c r="C8165" s="953"/>
      <c r="D8165" s="953"/>
      <c r="E8165" s="953"/>
      <c r="F8165" s="953"/>
      <c r="G8165" s="953"/>
      <c r="H8165" s="953"/>
    </row>
    <row r="8166" spans="1:8" s="943" customFormat="1" x14ac:dyDescent="0.25">
      <c r="A8166" s="952"/>
      <c r="B8166" s="953"/>
      <c r="C8166" s="953"/>
      <c r="D8166" s="953"/>
      <c r="E8166" s="953"/>
      <c r="F8166" s="953"/>
      <c r="G8166" s="953"/>
      <c r="H8166" s="953"/>
    </row>
    <row r="8167" spans="1:8" s="943" customFormat="1" x14ac:dyDescent="0.25">
      <c r="A8167" s="952"/>
      <c r="B8167" s="953"/>
      <c r="C8167" s="953"/>
      <c r="D8167" s="953"/>
      <c r="E8167" s="953"/>
      <c r="F8167" s="953"/>
      <c r="G8167" s="953"/>
      <c r="H8167" s="953"/>
    </row>
    <row r="8168" spans="1:8" s="943" customFormat="1" x14ac:dyDescent="0.25">
      <c r="A8168" s="952"/>
      <c r="B8168" s="953"/>
      <c r="C8168" s="953"/>
      <c r="D8168" s="953"/>
      <c r="E8168" s="953"/>
      <c r="F8168" s="953"/>
      <c r="G8168" s="953"/>
      <c r="H8168" s="953"/>
    </row>
    <row r="8169" spans="1:8" s="943" customFormat="1" x14ac:dyDescent="0.25">
      <c r="A8169" s="952"/>
      <c r="B8169" s="953"/>
      <c r="C8169" s="953"/>
      <c r="D8169" s="953"/>
      <c r="E8169" s="953"/>
      <c r="F8169" s="953"/>
      <c r="G8169" s="953"/>
      <c r="H8169" s="953"/>
    </row>
    <row r="8170" spans="1:8" s="943" customFormat="1" x14ac:dyDescent="0.25">
      <c r="A8170" s="952"/>
      <c r="B8170" s="953"/>
      <c r="C8170" s="953"/>
      <c r="D8170" s="953"/>
      <c r="E8170" s="953"/>
      <c r="F8170" s="953"/>
      <c r="G8170" s="953"/>
      <c r="H8170" s="953"/>
    </row>
    <row r="8171" spans="1:8" s="943" customFormat="1" x14ac:dyDescent="0.25">
      <c r="A8171" s="952"/>
      <c r="B8171" s="953"/>
      <c r="C8171" s="953"/>
      <c r="D8171" s="953"/>
      <c r="E8171" s="953"/>
      <c r="F8171" s="953"/>
      <c r="G8171" s="953"/>
      <c r="H8171" s="953"/>
    </row>
    <row r="8172" spans="1:8" s="943" customFormat="1" x14ac:dyDescent="0.25">
      <c r="A8172" s="952"/>
      <c r="B8172" s="953"/>
      <c r="C8172" s="953"/>
      <c r="D8172" s="953"/>
      <c r="E8172" s="953"/>
      <c r="F8172" s="953"/>
      <c r="G8172" s="953"/>
      <c r="H8172" s="953"/>
    </row>
    <row r="8173" spans="1:8" s="943" customFormat="1" x14ac:dyDescent="0.25">
      <c r="A8173" s="952"/>
      <c r="B8173" s="953"/>
      <c r="C8173" s="953"/>
      <c r="D8173" s="953"/>
      <c r="E8173" s="953"/>
      <c r="F8173" s="953"/>
      <c r="G8173" s="953"/>
      <c r="H8173" s="953"/>
    </row>
    <row r="8174" spans="1:8" s="943" customFormat="1" x14ac:dyDescent="0.25">
      <c r="A8174" s="952"/>
      <c r="B8174" s="953"/>
      <c r="C8174" s="953"/>
      <c r="D8174" s="953"/>
      <c r="E8174" s="953"/>
      <c r="F8174" s="953"/>
      <c r="G8174" s="953"/>
      <c r="H8174" s="953"/>
    </row>
    <row r="8175" spans="1:8" s="943" customFormat="1" x14ac:dyDescent="0.25">
      <c r="A8175" s="952"/>
      <c r="B8175" s="953"/>
      <c r="C8175" s="953"/>
      <c r="D8175" s="953"/>
      <c r="E8175" s="953"/>
      <c r="F8175" s="953"/>
      <c r="G8175" s="953"/>
      <c r="H8175" s="953"/>
    </row>
    <row r="8176" spans="1:8" s="943" customFormat="1" x14ac:dyDescent="0.25">
      <c r="A8176" s="952"/>
      <c r="B8176" s="953"/>
      <c r="C8176" s="953"/>
      <c r="D8176" s="953"/>
      <c r="E8176" s="953"/>
      <c r="F8176" s="953"/>
      <c r="G8176" s="953"/>
      <c r="H8176" s="953"/>
    </row>
    <row r="8177" spans="1:8" s="943" customFormat="1" x14ac:dyDescent="0.25">
      <c r="A8177" s="952"/>
      <c r="B8177" s="953"/>
      <c r="C8177" s="953"/>
      <c r="D8177" s="953"/>
      <c r="E8177" s="953"/>
      <c r="F8177" s="953"/>
      <c r="G8177" s="953"/>
      <c r="H8177" s="953"/>
    </row>
    <row r="8178" spans="1:8" s="943" customFormat="1" x14ac:dyDescent="0.25">
      <c r="A8178" s="952"/>
      <c r="B8178" s="953"/>
      <c r="C8178" s="953"/>
      <c r="D8178" s="953"/>
      <c r="E8178" s="953"/>
      <c r="F8178" s="953"/>
      <c r="G8178" s="953"/>
      <c r="H8178" s="953"/>
    </row>
    <row r="8179" spans="1:8" s="943" customFormat="1" x14ac:dyDescent="0.25">
      <c r="A8179" s="952"/>
      <c r="B8179" s="953"/>
      <c r="C8179" s="953"/>
      <c r="D8179" s="953"/>
      <c r="E8179" s="953"/>
      <c r="F8179" s="953"/>
      <c r="G8179" s="953"/>
      <c r="H8179" s="953"/>
    </row>
    <row r="8180" spans="1:8" s="943" customFormat="1" x14ac:dyDescent="0.25">
      <c r="A8180" s="952"/>
      <c r="B8180" s="953"/>
      <c r="C8180" s="953"/>
      <c r="D8180" s="953"/>
      <c r="E8180" s="953"/>
      <c r="F8180" s="953"/>
      <c r="G8180" s="953"/>
      <c r="H8180" s="953"/>
    </row>
    <row r="8181" spans="1:8" s="943" customFormat="1" x14ac:dyDescent="0.25">
      <c r="A8181" s="952"/>
      <c r="B8181" s="953"/>
      <c r="C8181" s="953"/>
      <c r="D8181" s="953"/>
      <c r="E8181" s="953"/>
      <c r="F8181" s="953"/>
      <c r="G8181" s="953"/>
      <c r="H8181" s="953"/>
    </row>
    <row r="8182" spans="1:8" s="943" customFormat="1" x14ac:dyDescent="0.25">
      <c r="A8182" s="952"/>
      <c r="B8182" s="953"/>
      <c r="C8182" s="953"/>
      <c r="D8182" s="953"/>
      <c r="E8182" s="953"/>
      <c r="F8182" s="953"/>
      <c r="G8182" s="953"/>
      <c r="H8182" s="953"/>
    </row>
    <row r="8183" spans="1:8" s="943" customFormat="1" x14ac:dyDescent="0.25">
      <c r="A8183" s="952"/>
      <c r="B8183" s="953"/>
      <c r="C8183" s="953"/>
      <c r="D8183" s="953"/>
      <c r="E8183" s="953"/>
      <c r="F8183" s="953"/>
      <c r="G8183" s="953"/>
      <c r="H8183" s="953"/>
    </row>
    <row r="8184" spans="1:8" s="943" customFormat="1" x14ac:dyDescent="0.25">
      <c r="A8184" s="952"/>
      <c r="B8184" s="953"/>
      <c r="C8184" s="953"/>
      <c r="D8184" s="953"/>
      <c r="E8184" s="953"/>
      <c r="F8184" s="953"/>
      <c r="G8184" s="953"/>
      <c r="H8184" s="953"/>
    </row>
    <row r="8185" spans="1:8" s="943" customFormat="1" x14ac:dyDescent="0.25">
      <c r="A8185" s="952"/>
      <c r="B8185" s="953"/>
      <c r="C8185" s="953"/>
      <c r="D8185" s="953"/>
      <c r="E8185" s="953"/>
      <c r="F8185" s="953"/>
      <c r="G8185" s="953"/>
      <c r="H8185" s="953"/>
    </row>
    <row r="8186" spans="1:8" s="943" customFormat="1" x14ac:dyDescent="0.25">
      <c r="A8186" s="952"/>
      <c r="B8186" s="953"/>
      <c r="C8186" s="953"/>
      <c r="D8186" s="953"/>
      <c r="E8186" s="953"/>
      <c r="F8186" s="953"/>
      <c r="G8186" s="953"/>
      <c r="H8186" s="953"/>
    </row>
    <row r="8187" spans="1:8" s="943" customFormat="1" x14ac:dyDescent="0.25">
      <c r="A8187" s="952"/>
      <c r="B8187" s="953"/>
      <c r="C8187" s="953"/>
      <c r="D8187" s="953"/>
      <c r="E8187" s="953"/>
      <c r="F8187" s="953"/>
      <c r="G8187" s="953"/>
      <c r="H8187" s="953"/>
    </row>
    <row r="8188" spans="1:8" s="943" customFormat="1" x14ac:dyDescent="0.25">
      <c r="A8188" s="952"/>
      <c r="B8188" s="953"/>
      <c r="C8188" s="953"/>
      <c r="D8188" s="953"/>
      <c r="E8188" s="953"/>
      <c r="F8188" s="953"/>
      <c r="G8188" s="953"/>
      <c r="H8188" s="953"/>
    </row>
    <row r="8189" spans="1:8" s="943" customFormat="1" x14ac:dyDescent="0.25">
      <c r="A8189" s="952"/>
      <c r="B8189" s="953"/>
      <c r="C8189" s="953"/>
      <c r="D8189" s="953"/>
      <c r="E8189" s="953"/>
      <c r="F8189" s="953"/>
      <c r="G8189" s="953"/>
      <c r="H8189" s="953"/>
    </row>
    <row r="8190" spans="1:8" s="943" customFormat="1" x14ac:dyDescent="0.25">
      <c r="A8190" s="952"/>
      <c r="B8190" s="953"/>
      <c r="C8190" s="953"/>
      <c r="D8190" s="953"/>
      <c r="E8190" s="953"/>
      <c r="F8190" s="953"/>
      <c r="G8190" s="953"/>
      <c r="H8190" s="953"/>
    </row>
    <row r="8191" spans="1:8" s="943" customFormat="1" x14ac:dyDescent="0.25">
      <c r="A8191" s="952"/>
      <c r="B8191" s="953"/>
      <c r="C8191" s="953"/>
      <c r="D8191" s="953"/>
      <c r="E8191" s="953"/>
      <c r="F8191" s="953"/>
      <c r="G8191" s="953"/>
      <c r="H8191" s="953"/>
    </row>
    <row r="8192" spans="1:8" s="943" customFormat="1" x14ac:dyDescent="0.25">
      <c r="A8192" s="952"/>
      <c r="B8192" s="953"/>
      <c r="C8192" s="953"/>
      <c r="D8192" s="953"/>
      <c r="E8192" s="953"/>
      <c r="F8192" s="953"/>
      <c r="G8192" s="953"/>
      <c r="H8192" s="953"/>
    </row>
    <row r="8193" spans="1:8" s="943" customFormat="1" x14ac:dyDescent="0.25">
      <c r="A8193" s="952"/>
      <c r="B8193" s="953"/>
      <c r="C8193" s="953"/>
      <c r="D8193" s="953"/>
      <c r="E8193" s="953"/>
      <c r="F8193" s="953"/>
      <c r="G8193" s="953"/>
      <c r="H8193" s="953"/>
    </row>
    <row r="8194" spans="1:8" s="943" customFormat="1" x14ac:dyDescent="0.25">
      <c r="A8194" s="952"/>
      <c r="B8194" s="953"/>
      <c r="C8194" s="953"/>
      <c r="D8194" s="953"/>
      <c r="E8194" s="953"/>
      <c r="F8194" s="953"/>
      <c r="G8194" s="953"/>
      <c r="H8194" s="953"/>
    </row>
    <row r="8195" spans="1:8" s="943" customFormat="1" x14ac:dyDescent="0.25">
      <c r="A8195" s="952"/>
      <c r="B8195" s="953"/>
      <c r="C8195" s="953"/>
      <c r="D8195" s="953"/>
      <c r="E8195" s="953"/>
      <c r="F8195" s="953"/>
      <c r="G8195" s="953"/>
      <c r="H8195" s="953"/>
    </row>
    <row r="8196" spans="1:8" s="943" customFormat="1" x14ac:dyDescent="0.25">
      <c r="A8196" s="952"/>
      <c r="B8196" s="953"/>
      <c r="C8196" s="953"/>
      <c r="D8196" s="953"/>
      <c r="E8196" s="953"/>
      <c r="F8196" s="953"/>
      <c r="G8196" s="953"/>
      <c r="H8196" s="953"/>
    </row>
    <row r="8197" spans="1:8" s="943" customFormat="1" x14ac:dyDescent="0.25">
      <c r="A8197" s="952"/>
      <c r="B8197" s="953"/>
      <c r="C8197" s="953"/>
      <c r="D8197" s="953"/>
      <c r="E8197" s="953"/>
      <c r="F8197" s="953"/>
      <c r="G8197" s="953"/>
      <c r="H8197" s="953"/>
    </row>
    <row r="8198" spans="1:8" s="943" customFormat="1" x14ac:dyDescent="0.25">
      <c r="A8198" s="952"/>
      <c r="B8198" s="953"/>
      <c r="C8198" s="953"/>
      <c r="D8198" s="953"/>
      <c r="E8198" s="953"/>
      <c r="F8198" s="953"/>
      <c r="G8198" s="953"/>
      <c r="H8198" s="953"/>
    </row>
    <row r="8199" spans="1:8" s="943" customFormat="1" x14ac:dyDescent="0.25">
      <c r="A8199" s="952"/>
      <c r="B8199" s="953"/>
      <c r="C8199" s="953"/>
      <c r="D8199" s="953"/>
      <c r="E8199" s="953"/>
      <c r="F8199" s="953"/>
      <c r="G8199" s="953"/>
      <c r="H8199" s="953"/>
    </row>
    <row r="8200" spans="1:8" s="943" customFormat="1" x14ac:dyDescent="0.25">
      <c r="A8200" s="952"/>
      <c r="B8200" s="953"/>
      <c r="C8200" s="953"/>
      <c r="D8200" s="953"/>
      <c r="E8200" s="953"/>
      <c r="F8200" s="953"/>
      <c r="G8200" s="953"/>
      <c r="H8200" s="953"/>
    </row>
    <row r="8201" spans="1:8" s="943" customFormat="1" x14ac:dyDescent="0.25">
      <c r="A8201" s="952"/>
      <c r="B8201" s="953"/>
      <c r="C8201" s="953"/>
      <c r="D8201" s="953"/>
      <c r="E8201" s="953"/>
      <c r="F8201" s="953"/>
      <c r="G8201" s="953"/>
      <c r="H8201" s="953"/>
    </row>
    <row r="8202" spans="1:8" s="943" customFormat="1" x14ac:dyDescent="0.25">
      <c r="A8202" s="952"/>
      <c r="B8202" s="953"/>
      <c r="C8202" s="953"/>
      <c r="D8202" s="953"/>
      <c r="E8202" s="953"/>
      <c r="F8202" s="953"/>
      <c r="G8202" s="953"/>
      <c r="H8202" s="953"/>
    </row>
    <row r="8203" spans="1:8" s="943" customFormat="1" x14ac:dyDescent="0.25">
      <c r="A8203" s="952"/>
      <c r="B8203" s="953"/>
      <c r="C8203" s="953"/>
      <c r="D8203" s="953"/>
      <c r="E8203" s="953"/>
      <c r="F8203" s="953"/>
      <c r="G8203" s="953"/>
      <c r="H8203" s="953"/>
    </row>
    <row r="8204" spans="1:8" s="943" customFormat="1" x14ac:dyDescent="0.25">
      <c r="A8204" s="952"/>
      <c r="B8204" s="953"/>
      <c r="C8204" s="953"/>
      <c r="D8204" s="953"/>
      <c r="E8204" s="953"/>
      <c r="F8204" s="953"/>
      <c r="G8204" s="953"/>
      <c r="H8204" s="953"/>
    </row>
    <row r="8205" spans="1:8" s="943" customFormat="1" x14ac:dyDescent="0.25">
      <c r="A8205" s="952"/>
      <c r="B8205" s="953"/>
      <c r="C8205" s="953"/>
      <c r="D8205" s="953"/>
      <c r="E8205" s="953"/>
      <c r="F8205" s="953"/>
      <c r="G8205" s="953"/>
      <c r="H8205" s="953"/>
    </row>
    <row r="8206" spans="1:8" s="943" customFormat="1" x14ac:dyDescent="0.25">
      <c r="A8206" s="952"/>
      <c r="B8206" s="953"/>
      <c r="C8206" s="953"/>
      <c r="D8206" s="953"/>
      <c r="E8206" s="953"/>
      <c r="F8206" s="953"/>
      <c r="G8206" s="953"/>
      <c r="H8206" s="953"/>
    </row>
    <row r="8207" spans="1:8" s="943" customFormat="1" x14ac:dyDescent="0.25">
      <c r="A8207" s="952"/>
      <c r="B8207" s="953"/>
      <c r="C8207" s="953"/>
      <c r="D8207" s="953"/>
      <c r="E8207" s="953"/>
      <c r="F8207" s="953"/>
      <c r="G8207" s="953"/>
      <c r="H8207" s="953"/>
    </row>
    <row r="8208" spans="1:8" s="943" customFormat="1" x14ac:dyDescent="0.25">
      <c r="A8208" s="952"/>
      <c r="B8208" s="953"/>
      <c r="C8208" s="953"/>
      <c r="D8208" s="953"/>
      <c r="E8208" s="953"/>
      <c r="F8208" s="953"/>
      <c r="G8208" s="953"/>
      <c r="H8208" s="953"/>
    </row>
    <row r="8209" spans="1:8" s="943" customFormat="1" x14ac:dyDescent="0.25">
      <c r="A8209" s="952"/>
      <c r="B8209" s="953"/>
      <c r="C8209" s="953"/>
      <c r="D8209" s="953"/>
      <c r="E8209" s="953"/>
      <c r="F8209" s="953"/>
      <c r="G8209" s="953"/>
      <c r="H8209" s="953"/>
    </row>
    <row r="8210" spans="1:8" s="943" customFormat="1" x14ac:dyDescent="0.25">
      <c r="A8210" s="952"/>
      <c r="B8210" s="953"/>
      <c r="C8210" s="953"/>
      <c r="D8210" s="953"/>
      <c r="E8210" s="953"/>
      <c r="F8210" s="953"/>
      <c r="G8210" s="953"/>
      <c r="H8210" s="953"/>
    </row>
    <row r="8211" spans="1:8" s="943" customFormat="1" x14ac:dyDescent="0.25">
      <c r="A8211" s="952"/>
      <c r="B8211" s="953"/>
      <c r="C8211" s="953"/>
      <c r="D8211" s="953"/>
      <c r="E8211" s="953"/>
      <c r="F8211" s="953"/>
      <c r="G8211" s="953"/>
      <c r="H8211" s="953"/>
    </row>
    <row r="8212" spans="1:8" s="943" customFormat="1" x14ac:dyDescent="0.25">
      <c r="A8212" s="952"/>
      <c r="B8212" s="953"/>
      <c r="C8212" s="953"/>
      <c r="D8212" s="953"/>
      <c r="E8212" s="953"/>
      <c r="F8212" s="953"/>
      <c r="G8212" s="953"/>
      <c r="H8212" s="953"/>
    </row>
    <row r="8213" spans="1:8" s="943" customFormat="1" x14ac:dyDescent="0.25">
      <c r="A8213" s="952"/>
      <c r="B8213" s="953"/>
      <c r="C8213" s="953"/>
      <c r="D8213" s="953"/>
      <c r="E8213" s="953"/>
      <c r="F8213" s="953"/>
      <c r="G8213" s="953"/>
      <c r="H8213" s="953"/>
    </row>
    <row r="8214" spans="1:8" s="943" customFormat="1" x14ac:dyDescent="0.25">
      <c r="A8214" s="952"/>
      <c r="B8214" s="953"/>
      <c r="C8214" s="953"/>
      <c r="D8214" s="953"/>
      <c r="E8214" s="953"/>
      <c r="F8214" s="953"/>
      <c r="G8214" s="953"/>
      <c r="H8214" s="953"/>
    </row>
    <row r="8215" spans="1:8" s="943" customFormat="1" x14ac:dyDescent="0.25">
      <c r="A8215" s="952"/>
      <c r="B8215" s="953"/>
      <c r="C8215" s="953"/>
      <c r="D8215" s="953"/>
      <c r="E8215" s="953"/>
      <c r="F8215" s="953"/>
      <c r="G8215" s="953"/>
      <c r="H8215" s="953"/>
    </row>
    <row r="8216" spans="1:8" s="943" customFormat="1" x14ac:dyDescent="0.25">
      <c r="A8216" s="952"/>
      <c r="B8216" s="953"/>
      <c r="C8216" s="953"/>
      <c r="D8216" s="953"/>
      <c r="E8216" s="953"/>
      <c r="F8216" s="953"/>
      <c r="G8216" s="953"/>
      <c r="H8216" s="953"/>
    </row>
    <row r="8217" spans="1:8" s="943" customFormat="1" x14ac:dyDescent="0.25">
      <c r="A8217" s="952"/>
      <c r="B8217" s="953"/>
      <c r="C8217" s="953"/>
      <c r="D8217" s="953"/>
      <c r="E8217" s="953"/>
      <c r="F8217" s="953"/>
      <c r="G8217" s="953"/>
      <c r="H8217" s="953"/>
    </row>
    <row r="8218" spans="1:8" s="943" customFormat="1" x14ac:dyDescent="0.25">
      <c r="A8218" s="952"/>
      <c r="B8218" s="953"/>
      <c r="C8218" s="953"/>
      <c r="D8218" s="953"/>
      <c r="E8218" s="953"/>
      <c r="F8218" s="953"/>
      <c r="G8218" s="953"/>
      <c r="H8218" s="953"/>
    </row>
    <row r="8219" spans="1:8" s="943" customFormat="1" x14ac:dyDescent="0.25">
      <c r="A8219" s="952"/>
      <c r="B8219" s="953"/>
      <c r="C8219" s="953"/>
      <c r="D8219" s="953"/>
      <c r="E8219" s="953"/>
      <c r="F8219" s="953"/>
      <c r="G8219" s="953"/>
      <c r="H8219" s="953"/>
    </row>
    <row r="8220" spans="1:8" s="943" customFormat="1" x14ac:dyDescent="0.25">
      <c r="A8220" s="952"/>
      <c r="B8220" s="953"/>
      <c r="C8220" s="953"/>
      <c r="D8220" s="953"/>
      <c r="E8220" s="953"/>
      <c r="F8220" s="953"/>
      <c r="G8220" s="953"/>
      <c r="H8220" s="953"/>
    </row>
    <row r="8221" spans="1:8" s="943" customFormat="1" x14ac:dyDescent="0.25">
      <c r="A8221" s="952"/>
      <c r="B8221" s="953"/>
      <c r="C8221" s="953"/>
      <c r="D8221" s="953"/>
      <c r="E8221" s="953"/>
      <c r="F8221" s="953"/>
      <c r="G8221" s="953"/>
      <c r="H8221" s="953"/>
    </row>
    <row r="8222" spans="1:8" s="943" customFormat="1" x14ac:dyDescent="0.25">
      <c r="A8222" s="952"/>
      <c r="B8222" s="953"/>
      <c r="C8222" s="953"/>
      <c r="D8222" s="953"/>
      <c r="E8222" s="953"/>
      <c r="F8222" s="953"/>
      <c r="G8222" s="953"/>
      <c r="H8222" s="953"/>
    </row>
    <row r="8223" spans="1:8" s="943" customFormat="1" x14ac:dyDescent="0.25">
      <c r="A8223" s="952"/>
      <c r="B8223" s="953"/>
      <c r="C8223" s="953"/>
      <c r="D8223" s="953"/>
      <c r="E8223" s="953"/>
      <c r="F8223" s="953"/>
      <c r="G8223" s="953"/>
      <c r="H8223" s="953"/>
    </row>
    <row r="8224" spans="1:8" s="943" customFormat="1" x14ac:dyDescent="0.25">
      <c r="A8224" s="952"/>
      <c r="B8224" s="953"/>
      <c r="C8224" s="953"/>
      <c r="D8224" s="953"/>
      <c r="E8224" s="953"/>
      <c r="F8224" s="953"/>
      <c r="G8224" s="953"/>
      <c r="H8224" s="953"/>
    </row>
    <row r="8225" spans="1:8" s="943" customFormat="1" x14ac:dyDescent="0.25">
      <c r="A8225" s="952"/>
      <c r="B8225" s="953"/>
      <c r="C8225" s="953"/>
      <c r="D8225" s="953"/>
      <c r="E8225" s="953"/>
      <c r="F8225" s="953"/>
      <c r="G8225" s="953"/>
      <c r="H8225" s="953"/>
    </row>
    <row r="8226" spans="1:8" s="943" customFormat="1" x14ac:dyDescent="0.25">
      <c r="A8226" s="952"/>
      <c r="B8226" s="953"/>
      <c r="C8226" s="953"/>
      <c r="D8226" s="953"/>
      <c r="E8226" s="953"/>
      <c r="F8226" s="953"/>
      <c r="G8226" s="953"/>
      <c r="H8226" s="953"/>
    </row>
    <row r="8227" spans="1:8" s="943" customFormat="1" x14ac:dyDescent="0.25">
      <c r="A8227" s="952"/>
      <c r="B8227" s="953"/>
      <c r="C8227" s="953"/>
      <c r="D8227" s="953"/>
      <c r="E8227" s="953"/>
      <c r="F8227" s="953"/>
      <c r="G8227" s="953"/>
      <c r="H8227" s="953"/>
    </row>
    <row r="8228" spans="1:8" s="943" customFormat="1" x14ac:dyDescent="0.25">
      <c r="A8228" s="952"/>
      <c r="B8228" s="953"/>
      <c r="C8228" s="953"/>
      <c r="D8228" s="953"/>
      <c r="E8228" s="953"/>
      <c r="F8228" s="953"/>
      <c r="G8228" s="953"/>
      <c r="H8228" s="953"/>
    </row>
    <row r="8229" spans="1:8" s="943" customFormat="1" x14ac:dyDescent="0.25">
      <c r="A8229" s="952"/>
      <c r="B8229" s="953"/>
      <c r="C8229" s="953"/>
      <c r="D8229" s="953"/>
      <c r="E8229" s="953"/>
      <c r="F8229" s="953"/>
      <c r="G8229" s="953"/>
      <c r="H8229" s="953"/>
    </row>
    <row r="8230" spans="1:8" s="943" customFormat="1" x14ac:dyDescent="0.25">
      <c r="A8230" s="952"/>
      <c r="B8230" s="953"/>
      <c r="C8230" s="953"/>
      <c r="D8230" s="953"/>
      <c r="E8230" s="953"/>
      <c r="F8230" s="953"/>
      <c r="G8230" s="953"/>
      <c r="H8230" s="953"/>
    </row>
    <row r="8231" spans="1:8" s="943" customFormat="1" x14ac:dyDescent="0.25">
      <c r="A8231" s="952"/>
      <c r="B8231" s="953"/>
      <c r="C8231" s="953"/>
      <c r="D8231" s="953"/>
      <c r="E8231" s="953"/>
      <c r="F8231" s="953"/>
      <c r="G8231" s="953"/>
      <c r="H8231" s="953"/>
    </row>
    <row r="8232" spans="1:8" s="943" customFormat="1" x14ac:dyDescent="0.25">
      <c r="A8232" s="952"/>
      <c r="B8232" s="953"/>
      <c r="C8232" s="953"/>
      <c r="D8232" s="953"/>
      <c r="E8232" s="953"/>
      <c r="F8232" s="953"/>
      <c r="G8232" s="953"/>
      <c r="H8232" s="953"/>
    </row>
    <row r="8233" spans="1:8" s="943" customFormat="1" x14ac:dyDescent="0.25">
      <c r="A8233" s="952"/>
      <c r="B8233" s="953"/>
      <c r="C8233" s="953"/>
      <c r="D8233" s="953"/>
      <c r="E8233" s="953"/>
      <c r="F8233" s="953"/>
      <c r="G8233" s="953"/>
      <c r="H8233" s="953"/>
    </row>
    <row r="8234" spans="1:8" s="943" customFormat="1" x14ac:dyDescent="0.25">
      <c r="A8234" s="952"/>
      <c r="B8234" s="953"/>
      <c r="C8234" s="953"/>
      <c r="D8234" s="953"/>
      <c r="E8234" s="953"/>
      <c r="F8234" s="953"/>
      <c r="G8234" s="953"/>
      <c r="H8234" s="953"/>
    </row>
    <row r="8235" spans="1:8" s="943" customFormat="1" x14ac:dyDescent="0.25">
      <c r="A8235" s="952"/>
      <c r="B8235" s="953"/>
      <c r="C8235" s="953"/>
      <c r="D8235" s="953"/>
      <c r="E8235" s="953"/>
      <c r="F8235" s="953"/>
      <c r="G8235" s="953"/>
      <c r="H8235" s="953"/>
    </row>
    <row r="8236" spans="1:8" s="943" customFormat="1" x14ac:dyDescent="0.25">
      <c r="A8236" s="952"/>
      <c r="B8236" s="953"/>
      <c r="C8236" s="953"/>
      <c r="D8236" s="953"/>
      <c r="E8236" s="953"/>
      <c r="F8236" s="953"/>
      <c r="G8236" s="953"/>
      <c r="H8236" s="953"/>
    </row>
    <row r="8237" spans="1:8" s="943" customFormat="1" x14ac:dyDescent="0.25">
      <c r="A8237" s="952"/>
      <c r="B8237" s="953"/>
      <c r="C8237" s="953"/>
      <c r="D8237" s="953"/>
      <c r="E8237" s="953"/>
      <c r="F8237" s="953"/>
      <c r="G8237" s="953"/>
      <c r="H8237" s="953"/>
    </row>
    <row r="8238" spans="1:8" s="943" customFormat="1" x14ac:dyDescent="0.25">
      <c r="A8238" s="952"/>
      <c r="B8238" s="953"/>
      <c r="C8238" s="953"/>
      <c r="D8238" s="953"/>
      <c r="E8238" s="953"/>
      <c r="F8238" s="953"/>
      <c r="G8238" s="953"/>
      <c r="H8238" s="953"/>
    </row>
    <row r="8239" spans="1:8" s="943" customFormat="1" x14ac:dyDescent="0.25">
      <c r="A8239" s="952"/>
      <c r="B8239" s="953"/>
      <c r="C8239" s="953"/>
      <c r="D8239" s="953"/>
      <c r="E8239" s="953"/>
      <c r="F8239" s="953"/>
      <c r="G8239" s="953"/>
      <c r="H8239" s="953"/>
    </row>
    <row r="8240" spans="1:8" s="943" customFormat="1" x14ac:dyDescent="0.25">
      <c r="A8240" s="952"/>
      <c r="B8240" s="953"/>
      <c r="C8240" s="953"/>
      <c r="D8240" s="953"/>
      <c r="E8240" s="953"/>
      <c r="F8240" s="953"/>
      <c r="G8240" s="953"/>
      <c r="H8240" s="953"/>
    </row>
    <row r="8241" spans="1:8" s="943" customFormat="1" x14ac:dyDescent="0.25">
      <c r="A8241" s="952"/>
      <c r="B8241" s="953"/>
      <c r="C8241" s="953"/>
      <c r="D8241" s="953"/>
      <c r="E8241" s="953"/>
      <c r="F8241" s="953"/>
      <c r="G8241" s="953"/>
      <c r="H8241" s="953"/>
    </row>
    <row r="8242" spans="1:8" s="943" customFormat="1" x14ac:dyDescent="0.25">
      <c r="A8242" s="952"/>
      <c r="B8242" s="953"/>
      <c r="C8242" s="953"/>
      <c r="D8242" s="953"/>
      <c r="E8242" s="953"/>
      <c r="F8242" s="953"/>
      <c r="G8242" s="953"/>
      <c r="H8242" s="953"/>
    </row>
    <row r="8243" spans="1:8" s="943" customFormat="1" x14ac:dyDescent="0.25">
      <c r="A8243" s="952"/>
      <c r="B8243" s="953"/>
      <c r="C8243" s="953"/>
      <c r="D8243" s="953"/>
      <c r="E8243" s="953"/>
      <c r="F8243" s="953"/>
      <c r="G8243" s="953"/>
      <c r="H8243" s="953"/>
    </row>
    <row r="8244" spans="1:8" s="943" customFormat="1" x14ac:dyDescent="0.25">
      <c r="A8244" s="952"/>
      <c r="B8244" s="953"/>
      <c r="C8244" s="953"/>
      <c r="D8244" s="953"/>
      <c r="E8244" s="953"/>
      <c r="F8244" s="953"/>
      <c r="G8244" s="953"/>
      <c r="H8244" s="953"/>
    </row>
    <row r="8245" spans="1:8" s="943" customFormat="1" x14ac:dyDescent="0.25">
      <c r="A8245" s="952"/>
      <c r="B8245" s="953"/>
      <c r="C8245" s="953"/>
      <c r="D8245" s="953"/>
      <c r="E8245" s="953"/>
      <c r="F8245" s="953"/>
      <c r="G8245" s="953"/>
      <c r="H8245" s="953"/>
    </row>
    <row r="8246" spans="1:8" s="943" customFormat="1" x14ac:dyDescent="0.25">
      <c r="A8246" s="952"/>
      <c r="B8246" s="953"/>
      <c r="C8246" s="953"/>
      <c r="D8246" s="953"/>
      <c r="E8246" s="953"/>
      <c r="F8246" s="953"/>
      <c r="G8246" s="953"/>
      <c r="H8246" s="953"/>
    </row>
    <row r="8247" spans="1:8" s="943" customFormat="1" x14ac:dyDescent="0.25">
      <c r="A8247" s="952"/>
      <c r="B8247" s="953"/>
      <c r="C8247" s="953"/>
      <c r="D8247" s="953"/>
      <c r="E8247" s="953"/>
      <c r="F8247" s="953"/>
      <c r="G8247" s="953"/>
      <c r="H8247" s="953"/>
    </row>
    <row r="8248" spans="1:8" s="943" customFormat="1" x14ac:dyDescent="0.25">
      <c r="A8248" s="952"/>
      <c r="B8248" s="953"/>
      <c r="C8248" s="953"/>
      <c r="D8248" s="953"/>
      <c r="E8248" s="953"/>
      <c r="F8248" s="953"/>
      <c r="G8248" s="953"/>
      <c r="H8248" s="953"/>
    </row>
    <row r="8249" spans="1:8" s="943" customFormat="1" x14ac:dyDescent="0.25">
      <c r="A8249" s="952"/>
      <c r="B8249" s="953"/>
      <c r="C8249" s="953"/>
      <c r="D8249" s="953"/>
      <c r="E8249" s="953"/>
      <c r="F8249" s="953"/>
      <c r="G8249" s="953"/>
      <c r="H8249" s="953"/>
    </row>
    <row r="8250" spans="1:8" s="943" customFormat="1" x14ac:dyDescent="0.25">
      <c r="A8250" s="952"/>
      <c r="B8250" s="953"/>
      <c r="C8250" s="953"/>
      <c r="D8250" s="953"/>
      <c r="E8250" s="953"/>
      <c r="F8250" s="953"/>
      <c r="G8250" s="953"/>
      <c r="H8250" s="953"/>
    </row>
    <row r="8251" spans="1:8" s="943" customFormat="1" x14ac:dyDescent="0.25">
      <c r="A8251" s="952"/>
      <c r="B8251" s="953"/>
      <c r="C8251" s="953"/>
      <c r="D8251" s="953"/>
      <c r="E8251" s="953"/>
      <c r="F8251" s="953"/>
      <c r="G8251" s="953"/>
      <c r="H8251" s="953"/>
    </row>
    <row r="8252" spans="1:8" s="943" customFormat="1" x14ac:dyDescent="0.25">
      <c r="A8252" s="952"/>
      <c r="B8252" s="953"/>
      <c r="C8252" s="953"/>
      <c r="D8252" s="953"/>
      <c r="E8252" s="953"/>
      <c r="F8252" s="953"/>
      <c r="G8252" s="953"/>
      <c r="H8252" s="953"/>
    </row>
    <row r="8253" spans="1:8" s="943" customFormat="1" x14ac:dyDescent="0.25">
      <c r="A8253" s="952"/>
      <c r="B8253" s="953"/>
      <c r="C8253" s="953"/>
      <c r="D8253" s="953"/>
      <c r="E8253" s="953"/>
      <c r="F8253" s="953"/>
      <c r="G8253" s="953"/>
      <c r="H8253" s="953"/>
    </row>
    <row r="8254" spans="1:8" s="943" customFormat="1" x14ac:dyDescent="0.25">
      <c r="A8254" s="952"/>
      <c r="B8254" s="953"/>
      <c r="C8254" s="953"/>
      <c r="D8254" s="953"/>
      <c r="E8254" s="953"/>
      <c r="F8254" s="953"/>
      <c r="G8254" s="953"/>
      <c r="H8254" s="953"/>
    </row>
    <row r="8255" spans="1:8" s="943" customFormat="1" x14ac:dyDescent="0.25">
      <c r="A8255" s="952"/>
      <c r="B8255" s="953"/>
      <c r="C8255" s="953"/>
      <c r="D8255" s="953"/>
      <c r="E8255" s="953"/>
      <c r="F8255" s="953"/>
      <c r="G8255" s="953"/>
      <c r="H8255" s="953"/>
    </row>
    <row r="8256" spans="1:8" s="943" customFormat="1" x14ac:dyDescent="0.25">
      <c r="A8256" s="952"/>
      <c r="B8256" s="953"/>
      <c r="C8256" s="953"/>
      <c r="D8256" s="953"/>
      <c r="E8256" s="953"/>
      <c r="F8256" s="953"/>
      <c r="G8256" s="953"/>
      <c r="H8256" s="953"/>
    </row>
    <row r="8257" spans="1:8" s="943" customFormat="1" x14ac:dyDescent="0.25">
      <c r="A8257" s="952"/>
      <c r="B8257" s="953"/>
      <c r="C8257" s="953"/>
      <c r="D8257" s="953"/>
      <c r="E8257" s="953"/>
      <c r="F8257" s="953"/>
      <c r="G8257" s="953"/>
      <c r="H8257" s="953"/>
    </row>
    <row r="8258" spans="1:8" s="943" customFormat="1" x14ac:dyDescent="0.25">
      <c r="A8258" s="952"/>
      <c r="B8258" s="953"/>
      <c r="C8258" s="953"/>
      <c r="D8258" s="953"/>
      <c r="E8258" s="953"/>
      <c r="F8258" s="953"/>
      <c r="G8258" s="953"/>
      <c r="H8258" s="953"/>
    </row>
    <row r="8259" spans="1:8" s="943" customFormat="1" x14ac:dyDescent="0.25">
      <c r="A8259" s="952"/>
      <c r="B8259" s="953"/>
      <c r="C8259" s="953"/>
      <c r="D8259" s="953"/>
      <c r="E8259" s="953"/>
      <c r="F8259" s="953"/>
      <c r="G8259" s="953"/>
      <c r="H8259" s="953"/>
    </row>
    <row r="8260" spans="1:8" s="943" customFormat="1" x14ac:dyDescent="0.25">
      <c r="A8260" s="952"/>
      <c r="B8260" s="953"/>
      <c r="C8260" s="953"/>
      <c r="D8260" s="953"/>
      <c r="E8260" s="953"/>
      <c r="F8260" s="953"/>
      <c r="G8260" s="953"/>
      <c r="H8260" s="953"/>
    </row>
    <row r="8261" spans="1:8" s="943" customFormat="1" x14ac:dyDescent="0.25">
      <c r="A8261" s="952"/>
      <c r="B8261" s="953"/>
      <c r="C8261" s="953"/>
      <c r="D8261" s="953"/>
      <c r="E8261" s="953"/>
      <c r="F8261" s="953"/>
      <c r="G8261" s="953"/>
      <c r="H8261" s="953"/>
    </row>
    <row r="8262" spans="1:8" s="943" customFormat="1" x14ac:dyDescent="0.25">
      <c r="A8262" s="952"/>
      <c r="B8262" s="953"/>
      <c r="C8262" s="953"/>
      <c r="D8262" s="953"/>
      <c r="E8262" s="953"/>
      <c r="F8262" s="953"/>
      <c r="G8262" s="953"/>
      <c r="H8262" s="953"/>
    </row>
    <row r="8263" spans="1:8" s="943" customFormat="1" x14ac:dyDescent="0.25">
      <c r="A8263" s="952"/>
      <c r="B8263" s="953"/>
      <c r="C8263" s="953"/>
      <c r="D8263" s="953"/>
      <c r="E8263" s="953"/>
      <c r="F8263" s="953"/>
      <c r="G8263" s="953"/>
      <c r="H8263" s="953"/>
    </row>
    <row r="8264" spans="1:8" s="943" customFormat="1" x14ac:dyDescent="0.25">
      <c r="A8264" s="952"/>
      <c r="B8264" s="953"/>
      <c r="C8264" s="953"/>
      <c r="D8264" s="953"/>
      <c r="E8264" s="953"/>
      <c r="F8264" s="953"/>
      <c r="G8264" s="953"/>
      <c r="H8264" s="953"/>
    </row>
    <row r="8265" spans="1:8" s="943" customFormat="1" x14ac:dyDescent="0.25">
      <c r="A8265" s="952"/>
      <c r="B8265" s="953"/>
      <c r="C8265" s="953"/>
      <c r="D8265" s="953"/>
      <c r="E8265" s="953"/>
      <c r="F8265" s="953"/>
      <c r="G8265" s="953"/>
      <c r="H8265" s="953"/>
    </row>
    <row r="8266" spans="1:8" s="943" customFormat="1" x14ac:dyDescent="0.25">
      <c r="A8266" s="952"/>
      <c r="B8266" s="953"/>
      <c r="C8266" s="953"/>
      <c r="D8266" s="953"/>
      <c r="E8266" s="953"/>
      <c r="F8266" s="953"/>
      <c r="G8266" s="953"/>
      <c r="H8266" s="953"/>
    </row>
    <row r="8267" spans="1:8" s="943" customFormat="1" x14ac:dyDescent="0.25">
      <c r="A8267" s="952"/>
      <c r="B8267" s="953"/>
      <c r="C8267" s="953"/>
      <c r="D8267" s="953"/>
      <c r="E8267" s="953"/>
      <c r="F8267" s="953"/>
      <c r="G8267" s="953"/>
      <c r="H8267" s="953"/>
    </row>
    <row r="8268" spans="1:8" s="943" customFormat="1" x14ac:dyDescent="0.25">
      <c r="A8268" s="952"/>
      <c r="B8268" s="953"/>
      <c r="C8268" s="953"/>
      <c r="D8268" s="953"/>
      <c r="E8268" s="953"/>
      <c r="F8268" s="953"/>
      <c r="G8268" s="953"/>
      <c r="H8268" s="953"/>
    </row>
    <row r="8269" spans="1:8" s="943" customFormat="1" x14ac:dyDescent="0.25">
      <c r="A8269" s="952"/>
      <c r="B8269" s="953"/>
      <c r="C8269" s="953"/>
      <c r="D8269" s="953"/>
      <c r="E8269" s="953"/>
      <c r="F8269" s="953"/>
      <c r="G8269" s="953"/>
      <c r="H8269" s="953"/>
    </row>
    <row r="8270" spans="1:8" s="943" customFormat="1" x14ac:dyDescent="0.25">
      <c r="A8270" s="952"/>
      <c r="B8270" s="953"/>
      <c r="C8270" s="953"/>
      <c r="D8270" s="953"/>
      <c r="E8270" s="953"/>
      <c r="F8270" s="953"/>
      <c r="G8270" s="953"/>
      <c r="H8270" s="953"/>
    </row>
    <row r="8271" spans="1:8" s="943" customFormat="1" x14ac:dyDescent="0.25">
      <c r="A8271" s="952"/>
      <c r="B8271" s="953"/>
      <c r="C8271" s="953"/>
      <c r="D8271" s="953"/>
      <c r="E8271" s="953"/>
      <c r="F8271" s="953"/>
      <c r="G8271" s="953"/>
      <c r="H8271" s="953"/>
    </row>
    <row r="8272" spans="1:8" s="943" customFormat="1" x14ac:dyDescent="0.25">
      <c r="A8272" s="952"/>
      <c r="B8272" s="953"/>
      <c r="C8272" s="953"/>
      <c r="D8272" s="953"/>
      <c r="E8272" s="953"/>
      <c r="F8272" s="953"/>
      <c r="G8272" s="953"/>
      <c r="H8272" s="953"/>
    </row>
    <row r="8273" spans="1:8" s="943" customFormat="1" x14ac:dyDescent="0.25">
      <c r="A8273" s="952"/>
      <c r="B8273" s="953"/>
      <c r="C8273" s="953"/>
      <c r="D8273" s="953"/>
      <c r="E8273" s="953"/>
      <c r="F8273" s="953"/>
      <c r="G8273" s="953"/>
      <c r="H8273" s="953"/>
    </row>
    <row r="8274" spans="1:8" s="943" customFormat="1" x14ac:dyDescent="0.25">
      <c r="A8274" s="952"/>
      <c r="B8274" s="953"/>
      <c r="C8274" s="953"/>
      <c r="D8274" s="953"/>
      <c r="E8274" s="953"/>
      <c r="F8274" s="953"/>
      <c r="G8274" s="953"/>
      <c r="H8274" s="953"/>
    </row>
    <row r="8275" spans="1:8" s="943" customFormat="1" x14ac:dyDescent="0.25">
      <c r="A8275" s="952"/>
      <c r="B8275" s="953"/>
      <c r="C8275" s="953"/>
      <c r="D8275" s="953"/>
      <c r="E8275" s="953"/>
      <c r="F8275" s="953"/>
      <c r="G8275" s="953"/>
      <c r="H8275" s="953"/>
    </row>
    <row r="8276" spans="1:8" s="943" customFormat="1" x14ac:dyDescent="0.25">
      <c r="A8276" s="952"/>
      <c r="B8276" s="953"/>
      <c r="C8276" s="953"/>
      <c r="D8276" s="953"/>
      <c r="E8276" s="953"/>
      <c r="F8276" s="953"/>
      <c r="G8276" s="953"/>
      <c r="H8276" s="953"/>
    </row>
    <row r="8277" spans="1:8" s="943" customFormat="1" x14ac:dyDescent="0.25">
      <c r="A8277" s="952"/>
      <c r="B8277" s="953"/>
      <c r="C8277" s="953"/>
      <c r="D8277" s="953"/>
      <c r="E8277" s="953"/>
      <c r="F8277" s="953"/>
      <c r="G8277" s="953"/>
      <c r="H8277" s="953"/>
    </row>
    <row r="8278" spans="1:8" s="943" customFormat="1" x14ac:dyDescent="0.25">
      <c r="A8278" s="952"/>
      <c r="B8278" s="953"/>
      <c r="C8278" s="953"/>
      <c r="D8278" s="953"/>
      <c r="E8278" s="953"/>
      <c r="F8278" s="953"/>
      <c r="G8278" s="953"/>
      <c r="H8278" s="953"/>
    </row>
    <row r="8279" spans="1:8" s="943" customFormat="1" x14ac:dyDescent="0.25">
      <c r="A8279" s="952"/>
      <c r="B8279" s="953"/>
      <c r="C8279" s="953"/>
      <c r="D8279" s="953"/>
      <c r="E8279" s="953"/>
      <c r="F8279" s="953"/>
      <c r="G8279" s="953"/>
      <c r="H8279" s="953"/>
    </row>
    <row r="8280" spans="1:8" s="943" customFormat="1" x14ac:dyDescent="0.25">
      <c r="A8280" s="952"/>
      <c r="B8280" s="953"/>
      <c r="C8280" s="953"/>
      <c r="D8280" s="953"/>
      <c r="E8280" s="953"/>
      <c r="F8280" s="953"/>
      <c r="G8280" s="953"/>
      <c r="H8280" s="953"/>
    </row>
    <row r="8281" spans="1:8" s="943" customFormat="1" x14ac:dyDescent="0.25">
      <c r="A8281" s="952"/>
      <c r="B8281" s="953"/>
      <c r="C8281" s="953"/>
      <c r="D8281" s="953"/>
      <c r="E8281" s="953"/>
      <c r="F8281" s="953"/>
      <c r="G8281" s="953"/>
      <c r="H8281" s="953"/>
    </row>
    <row r="8282" spans="1:8" s="943" customFormat="1" x14ac:dyDescent="0.25">
      <c r="A8282" s="952"/>
      <c r="B8282" s="953"/>
      <c r="C8282" s="953"/>
      <c r="D8282" s="953"/>
      <c r="E8282" s="953"/>
      <c r="F8282" s="953"/>
      <c r="G8282" s="953"/>
      <c r="H8282" s="953"/>
    </row>
    <row r="8283" spans="1:8" s="943" customFormat="1" x14ac:dyDescent="0.25">
      <c r="A8283" s="952"/>
      <c r="B8283" s="953"/>
      <c r="C8283" s="953"/>
      <c r="D8283" s="953"/>
      <c r="E8283" s="953"/>
      <c r="F8283" s="953"/>
      <c r="G8283" s="953"/>
      <c r="H8283" s="953"/>
    </row>
    <row r="8284" spans="1:8" s="943" customFormat="1" x14ac:dyDescent="0.25">
      <c r="A8284" s="952"/>
      <c r="B8284" s="953"/>
      <c r="C8284" s="953"/>
      <c r="D8284" s="953"/>
      <c r="E8284" s="953"/>
      <c r="F8284" s="953"/>
      <c r="G8284" s="953"/>
      <c r="H8284" s="953"/>
    </row>
    <row r="8285" spans="1:8" s="943" customFormat="1" x14ac:dyDescent="0.25">
      <c r="A8285" s="952"/>
      <c r="B8285" s="953"/>
      <c r="C8285" s="953"/>
      <c r="D8285" s="953"/>
      <c r="E8285" s="953"/>
      <c r="F8285" s="953"/>
      <c r="G8285" s="953"/>
      <c r="H8285" s="953"/>
    </row>
    <row r="8286" spans="1:8" s="943" customFormat="1" x14ac:dyDescent="0.25">
      <c r="A8286" s="952"/>
      <c r="B8286" s="953"/>
      <c r="C8286" s="953"/>
      <c r="D8286" s="953"/>
      <c r="E8286" s="953"/>
      <c r="F8286" s="953"/>
      <c r="G8286" s="953"/>
      <c r="H8286" s="953"/>
    </row>
    <row r="8287" spans="1:8" s="943" customFormat="1" x14ac:dyDescent="0.25">
      <c r="A8287" s="952"/>
      <c r="B8287" s="953"/>
      <c r="C8287" s="953"/>
      <c r="D8287" s="953"/>
      <c r="E8287" s="953"/>
      <c r="F8287" s="953"/>
      <c r="G8287" s="953"/>
      <c r="H8287" s="953"/>
    </row>
    <row r="8288" spans="1:8" s="943" customFormat="1" x14ac:dyDescent="0.25">
      <c r="A8288" s="952"/>
      <c r="B8288" s="953"/>
      <c r="C8288" s="953"/>
      <c r="D8288" s="953"/>
      <c r="E8288" s="953"/>
      <c r="F8288" s="953"/>
      <c r="G8288" s="953"/>
      <c r="H8288" s="953"/>
    </row>
    <row r="8289" spans="1:8" s="943" customFormat="1" x14ac:dyDescent="0.25">
      <c r="A8289" s="952"/>
      <c r="B8289" s="953"/>
      <c r="C8289" s="953"/>
      <c r="D8289" s="953"/>
      <c r="E8289" s="953"/>
      <c r="F8289" s="953"/>
      <c r="G8289" s="953"/>
      <c r="H8289" s="953"/>
    </row>
    <row r="8290" spans="1:8" s="943" customFormat="1" x14ac:dyDescent="0.25">
      <c r="A8290" s="952"/>
      <c r="B8290" s="953"/>
      <c r="C8290" s="953"/>
      <c r="D8290" s="953"/>
      <c r="E8290" s="953"/>
      <c r="F8290" s="953"/>
      <c r="G8290" s="953"/>
      <c r="H8290" s="953"/>
    </row>
    <row r="8291" spans="1:8" s="943" customFormat="1" x14ac:dyDescent="0.25">
      <c r="A8291" s="952"/>
      <c r="B8291" s="953"/>
      <c r="C8291" s="953"/>
      <c r="D8291" s="953"/>
      <c r="E8291" s="953"/>
      <c r="F8291" s="953"/>
      <c r="G8291" s="953"/>
      <c r="H8291" s="953"/>
    </row>
    <row r="8292" spans="1:8" s="943" customFormat="1" x14ac:dyDescent="0.25">
      <c r="A8292" s="952"/>
      <c r="B8292" s="953"/>
      <c r="C8292" s="953"/>
      <c r="D8292" s="953"/>
      <c r="E8292" s="953"/>
      <c r="F8292" s="953"/>
      <c r="G8292" s="953"/>
      <c r="H8292" s="953"/>
    </row>
    <row r="8293" spans="1:8" s="943" customFormat="1" x14ac:dyDescent="0.25">
      <c r="A8293" s="952"/>
      <c r="B8293" s="953"/>
      <c r="C8293" s="953"/>
      <c r="D8293" s="953"/>
      <c r="E8293" s="953"/>
      <c r="F8293" s="953"/>
      <c r="G8293" s="953"/>
      <c r="H8293" s="953"/>
    </row>
    <row r="8294" spans="1:8" s="943" customFormat="1" x14ac:dyDescent="0.25">
      <c r="A8294" s="952"/>
      <c r="B8294" s="953"/>
      <c r="C8294" s="953"/>
      <c r="D8294" s="953"/>
      <c r="E8294" s="953"/>
      <c r="F8294" s="953"/>
      <c r="G8294" s="953"/>
      <c r="H8294" s="953"/>
    </row>
    <row r="8295" spans="1:8" s="943" customFormat="1" x14ac:dyDescent="0.25">
      <c r="A8295" s="952"/>
      <c r="B8295" s="953"/>
      <c r="C8295" s="953"/>
      <c r="D8295" s="953"/>
      <c r="E8295" s="953"/>
      <c r="F8295" s="953"/>
      <c r="G8295" s="953"/>
      <c r="H8295" s="953"/>
    </row>
    <row r="8296" spans="1:8" s="943" customFormat="1" x14ac:dyDescent="0.25">
      <c r="A8296" s="952"/>
      <c r="B8296" s="953"/>
      <c r="C8296" s="953"/>
      <c r="D8296" s="953"/>
      <c r="E8296" s="953"/>
      <c r="F8296" s="953"/>
      <c r="G8296" s="953"/>
      <c r="H8296" s="953"/>
    </row>
    <row r="8297" spans="1:8" s="943" customFormat="1" x14ac:dyDescent="0.25">
      <c r="A8297" s="952"/>
      <c r="B8297" s="953"/>
      <c r="C8297" s="953"/>
      <c r="D8297" s="953"/>
      <c r="E8297" s="953"/>
      <c r="F8297" s="953"/>
      <c r="G8297" s="953"/>
      <c r="H8297" s="953"/>
    </row>
    <row r="8298" spans="1:8" s="943" customFormat="1" x14ac:dyDescent="0.25">
      <c r="A8298" s="952"/>
      <c r="B8298" s="953"/>
      <c r="C8298" s="953"/>
      <c r="D8298" s="953"/>
      <c r="E8298" s="953"/>
      <c r="F8298" s="953"/>
      <c r="G8298" s="953"/>
      <c r="H8298" s="953"/>
    </row>
    <row r="8299" spans="1:8" s="943" customFormat="1" x14ac:dyDescent="0.25">
      <c r="A8299" s="952"/>
      <c r="B8299" s="953"/>
      <c r="C8299" s="953"/>
      <c r="D8299" s="953"/>
      <c r="E8299" s="953"/>
      <c r="F8299" s="953"/>
      <c r="G8299" s="953"/>
      <c r="H8299" s="953"/>
    </row>
    <row r="8300" spans="1:8" s="943" customFormat="1" x14ac:dyDescent="0.25">
      <c r="A8300" s="952"/>
      <c r="B8300" s="953"/>
      <c r="C8300" s="953"/>
      <c r="D8300" s="953"/>
      <c r="E8300" s="953"/>
      <c r="F8300" s="953"/>
      <c r="G8300" s="953"/>
      <c r="H8300" s="953"/>
    </row>
    <row r="8301" spans="1:8" s="943" customFormat="1" x14ac:dyDescent="0.25">
      <c r="A8301" s="952"/>
      <c r="B8301" s="953"/>
      <c r="C8301" s="953"/>
      <c r="D8301" s="953"/>
      <c r="E8301" s="953"/>
      <c r="F8301" s="953"/>
      <c r="G8301" s="953"/>
      <c r="H8301" s="953"/>
    </row>
    <row r="8302" spans="1:8" s="943" customFormat="1" x14ac:dyDescent="0.25">
      <c r="A8302" s="952"/>
      <c r="B8302" s="953"/>
      <c r="C8302" s="953"/>
      <c r="D8302" s="953"/>
      <c r="E8302" s="953"/>
      <c r="F8302" s="953"/>
      <c r="G8302" s="953"/>
      <c r="H8302" s="953"/>
    </row>
    <row r="8303" spans="1:8" s="943" customFormat="1" x14ac:dyDescent="0.25">
      <c r="A8303" s="952"/>
      <c r="B8303" s="953"/>
      <c r="C8303" s="953"/>
      <c r="D8303" s="953"/>
      <c r="E8303" s="953"/>
      <c r="F8303" s="953"/>
      <c r="G8303" s="953"/>
      <c r="H8303" s="953"/>
    </row>
    <row r="8304" spans="1:8" s="943" customFormat="1" x14ac:dyDescent="0.25">
      <c r="A8304" s="952"/>
      <c r="B8304" s="953"/>
      <c r="C8304" s="953"/>
      <c r="D8304" s="953"/>
      <c r="E8304" s="953"/>
      <c r="F8304" s="953"/>
      <c r="G8304" s="953"/>
      <c r="H8304" s="953"/>
    </row>
    <row r="8305" spans="1:8" s="943" customFormat="1" x14ac:dyDescent="0.25">
      <c r="A8305" s="952"/>
      <c r="B8305" s="953"/>
      <c r="C8305" s="953"/>
      <c r="D8305" s="953"/>
      <c r="E8305" s="953"/>
      <c r="F8305" s="953"/>
      <c r="G8305" s="953"/>
      <c r="H8305" s="953"/>
    </row>
    <row r="8306" spans="1:8" s="943" customFormat="1" x14ac:dyDescent="0.25">
      <c r="A8306" s="952"/>
      <c r="B8306" s="953"/>
      <c r="C8306" s="953"/>
      <c r="D8306" s="953"/>
      <c r="E8306" s="953"/>
      <c r="F8306" s="953"/>
      <c r="G8306" s="953"/>
      <c r="H8306" s="953"/>
    </row>
    <row r="8307" spans="1:8" s="943" customFormat="1" x14ac:dyDescent="0.25">
      <c r="A8307" s="952"/>
      <c r="B8307" s="953"/>
      <c r="C8307" s="953"/>
      <c r="D8307" s="953"/>
      <c r="E8307" s="953"/>
      <c r="F8307" s="953"/>
      <c r="G8307" s="953"/>
      <c r="H8307" s="953"/>
    </row>
    <row r="8308" spans="1:8" s="943" customFormat="1" x14ac:dyDescent="0.25">
      <c r="A8308" s="952"/>
      <c r="B8308" s="953"/>
      <c r="C8308" s="953"/>
      <c r="D8308" s="953"/>
      <c r="E8308" s="953"/>
      <c r="F8308" s="953"/>
      <c r="G8308" s="953"/>
      <c r="H8308" s="953"/>
    </row>
    <row r="8309" spans="1:8" s="943" customFormat="1" x14ac:dyDescent="0.25">
      <c r="A8309" s="952"/>
      <c r="B8309" s="953"/>
      <c r="C8309" s="953"/>
      <c r="D8309" s="953"/>
      <c r="E8309" s="953"/>
      <c r="F8309" s="953"/>
      <c r="G8309" s="953"/>
      <c r="H8309" s="953"/>
    </row>
    <row r="8310" spans="1:8" s="943" customFormat="1" x14ac:dyDescent="0.25">
      <c r="A8310" s="952"/>
      <c r="B8310" s="953"/>
      <c r="C8310" s="953"/>
      <c r="D8310" s="953"/>
      <c r="E8310" s="953"/>
      <c r="F8310" s="953"/>
      <c r="G8310" s="953"/>
      <c r="H8310" s="953"/>
    </row>
    <row r="8311" spans="1:8" s="943" customFormat="1" x14ac:dyDescent="0.25">
      <c r="A8311" s="952"/>
      <c r="B8311" s="953"/>
      <c r="C8311" s="953"/>
      <c r="D8311" s="953"/>
      <c r="E8311" s="953"/>
      <c r="F8311" s="953"/>
      <c r="G8311" s="953"/>
      <c r="H8311" s="953"/>
    </row>
    <row r="8312" spans="1:8" s="943" customFormat="1" x14ac:dyDescent="0.25">
      <c r="A8312" s="952"/>
      <c r="B8312" s="953"/>
      <c r="C8312" s="953"/>
      <c r="D8312" s="953"/>
      <c r="E8312" s="953"/>
      <c r="F8312" s="953"/>
      <c r="G8312" s="953"/>
      <c r="H8312" s="953"/>
    </row>
    <row r="8313" spans="1:8" s="943" customFormat="1" x14ac:dyDescent="0.25">
      <c r="A8313" s="952"/>
      <c r="B8313" s="953"/>
      <c r="C8313" s="953"/>
      <c r="D8313" s="953"/>
      <c r="E8313" s="953"/>
      <c r="F8313" s="953"/>
      <c r="G8313" s="953"/>
      <c r="H8313" s="953"/>
    </row>
    <row r="8314" spans="1:8" s="943" customFormat="1" x14ac:dyDescent="0.25">
      <c r="A8314" s="952"/>
      <c r="B8314" s="953"/>
      <c r="C8314" s="953"/>
      <c r="D8314" s="953"/>
      <c r="E8314" s="953"/>
      <c r="F8314" s="953"/>
      <c r="G8314" s="953"/>
      <c r="H8314" s="953"/>
    </row>
    <row r="8315" spans="1:8" s="943" customFormat="1" x14ac:dyDescent="0.25">
      <c r="A8315" s="952"/>
      <c r="B8315" s="953"/>
      <c r="C8315" s="953"/>
      <c r="D8315" s="953"/>
      <c r="E8315" s="953"/>
      <c r="F8315" s="953"/>
      <c r="G8315" s="953"/>
      <c r="H8315" s="953"/>
    </row>
    <row r="8316" spans="1:8" s="943" customFormat="1" x14ac:dyDescent="0.25">
      <c r="A8316" s="952"/>
      <c r="B8316" s="953"/>
      <c r="C8316" s="953"/>
      <c r="D8316" s="953"/>
      <c r="E8316" s="953"/>
      <c r="F8316" s="953"/>
      <c r="G8316" s="953"/>
      <c r="H8316" s="953"/>
    </row>
    <row r="8317" spans="1:8" s="943" customFormat="1" x14ac:dyDescent="0.25">
      <c r="A8317" s="952"/>
      <c r="B8317" s="953"/>
      <c r="C8317" s="953"/>
      <c r="D8317" s="953"/>
      <c r="E8317" s="953"/>
      <c r="F8317" s="953"/>
      <c r="G8317" s="953"/>
      <c r="H8317" s="953"/>
    </row>
    <row r="8318" spans="1:8" s="943" customFormat="1" x14ac:dyDescent="0.25">
      <c r="A8318" s="952"/>
      <c r="B8318" s="953"/>
      <c r="C8318" s="953"/>
      <c r="D8318" s="953"/>
      <c r="E8318" s="953"/>
      <c r="F8318" s="953"/>
      <c r="G8318" s="953"/>
      <c r="H8318" s="953"/>
    </row>
    <row r="8319" spans="1:8" s="943" customFormat="1" x14ac:dyDescent="0.25">
      <c r="A8319" s="952"/>
      <c r="B8319" s="953"/>
      <c r="C8319" s="953"/>
      <c r="D8319" s="953"/>
      <c r="E8319" s="953"/>
      <c r="F8319" s="953"/>
      <c r="G8319" s="953"/>
      <c r="H8319" s="953"/>
    </row>
    <row r="8320" spans="1:8" s="943" customFormat="1" x14ac:dyDescent="0.25">
      <c r="A8320" s="952"/>
      <c r="B8320" s="953"/>
      <c r="C8320" s="953"/>
      <c r="D8320" s="953"/>
      <c r="E8320" s="953"/>
      <c r="F8320" s="953"/>
      <c r="G8320" s="953"/>
      <c r="H8320" s="953"/>
    </row>
    <row r="8321" spans="1:8" s="943" customFormat="1" x14ac:dyDescent="0.25">
      <c r="A8321" s="952"/>
      <c r="B8321" s="953"/>
      <c r="C8321" s="953"/>
      <c r="D8321" s="953"/>
      <c r="E8321" s="953"/>
      <c r="F8321" s="953"/>
      <c r="G8321" s="953"/>
      <c r="H8321" s="953"/>
    </row>
    <row r="8322" spans="1:8" s="943" customFormat="1" x14ac:dyDescent="0.25">
      <c r="A8322" s="952"/>
      <c r="B8322" s="953"/>
      <c r="C8322" s="953"/>
      <c r="D8322" s="953"/>
      <c r="E8322" s="953"/>
      <c r="F8322" s="953"/>
      <c r="G8322" s="953"/>
      <c r="H8322" s="953"/>
    </row>
    <row r="8323" spans="1:8" s="943" customFormat="1" x14ac:dyDescent="0.25">
      <c r="A8323" s="952"/>
      <c r="B8323" s="953"/>
      <c r="C8323" s="953"/>
      <c r="D8323" s="953"/>
      <c r="E8323" s="953"/>
      <c r="F8323" s="953"/>
      <c r="G8323" s="953"/>
      <c r="H8323" s="953"/>
    </row>
    <row r="8324" spans="1:8" s="943" customFormat="1" x14ac:dyDescent="0.25">
      <c r="A8324" s="952"/>
      <c r="B8324" s="953"/>
      <c r="C8324" s="953"/>
      <c r="D8324" s="953"/>
      <c r="E8324" s="953"/>
      <c r="F8324" s="953"/>
      <c r="G8324" s="953"/>
      <c r="H8324" s="953"/>
    </row>
    <row r="8325" spans="1:8" s="943" customFormat="1" x14ac:dyDescent="0.25">
      <c r="A8325" s="952"/>
      <c r="B8325" s="953"/>
      <c r="C8325" s="953"/>
      <c r="D8325" s="953"/>
      <c r="E8325" s="953"/>
      <c r="F8325" s="953"/>
      <c r="G8325" s="953"/>
      <c r="H8325" s="953"/>
    </row>
    <row r="8326" spans="1:8" s="943" customFormat="1" x14ac:dyDescent="0.25">
      <c r="A8326" s="952"/>
      <c r="B8326" s="953"/>
      <c r="C8326" s="953"/>
      <c r="D8326" s="953"/>
      <c r="E8326" s="953"/>
      <c r="F8326" s="953"/>
      <c r="G8326" s="953"/>
      <c r="H8326" s="953"/>
    </row>
    <row r="8327" spans="1:8" s="943" customFormat="1" x14ac:dyDescent="0.25">
      <c r="A8327" s="952"/>
      <c r="B8327" s="953"/>
      <c r="C8327" s="953"/>
      <c r="D8327" s="953"/>
      <c r="E8327" s="953"/>
      <c r="F8327" s="953"/>
      <c r="G8327" s="953"/>
      <c r="H8327" s="953"/>
    </row>
    <row r="8328" spans="1:8" s="943" customFormat="1" x14ac:dyDescent="0.25">
      <c r="A8328" s="952"/>
      <c r="B8328" s="953"/>
      <c r="C8328" s="953"/>
      <c r="D8328" s="953"/>
      <c r="E8328" s="953"/>
      <c r="F8328" s="953"/>
      <c r="G8328" s="953"/>
      <c r="H8328" s="953"/>
    </row>
    <row r="8329" spans="1:8" s="943" customFormat="1" x14ac:dyDescent="0.25">
      <c r="A8329" s="952"/>
      <c r="B8329" s="953"/>
      <c r="C8329" s="953"/>
      <c r="D8329" s="953"/>
      <c r="E8329" s="953"/>
      <c r="F8329" s="953"/>
      <c r="G8329" s="953"/>
      <c r="H8329" s="953"/>
    </row>
    <row r="8330" spans="1:8" s="943" customFormat="1" x14ac:dyDescent="0.25">
      <c r="A8330" s="952"/>
      <c r="B8330" s="953"/>
      <c r="C8330" s="953"/>
      <c r="D8330" s="953"/>
      <c r="E8330" s="953"/>
      <c r="F8330" s="953"/>
      <c r="G8330" s="953"/>
      <c r="H8330" s="953"/>
    </row>
    <row r="8331" spans="1:8" s="943" customFormat="1" x14ac:dyDescent="0.25">
      <c r="A8331" s="952"/>
      <c r="B8331" s="953"/>
      <c r="C8331" s="953"/>
      <c r="D8331" s="953"/>
      <c r="E8331" s="953"/>
      <c r="F8331" s="953"/>
      <c r="G8331" s="953"/>
      <c r="H8331" s="953"/>
    </row>
    <row r="8332" spans="1:8" s="943" customFormat="1" x14ac:dyDescent="0.25">
      <c r="A8332" s="952"/>
      <c r="B8332" s="953"/>
      <c r="C8332" s="953"/>
      <c r="D8332" s="953"/>
      <c r="E8332" s="953"/>
      <c r="F8332" s="953"/>
      <c r="G8332" s="953"/>
      <c r="H8332" s="953"/>
    </row>
    <row r="8333" spans="1:8" s="943" customFormat="1" x14ac:dyDescent="0.25">
      <c r="A8333" s="952"/>
      <c r="B8333" s="953"/>
      <c r="C8333" s="953"/>
      <c r="D8333" s="953"/>
      <c r="E8333" s="953"/>
      <c r="F8333" s="953"/>
      <c r="G8333" s="953"/>
      <c r="H8333" s="953"/>
    </row>
    <row r="8334" spans="1:8" s="943" customFormat="1" x14ac:dyDescent="0.25">
      <c r="A8334" s="952"/>
      <c r="B8334" s="953"/>
      <c r="C8334" s="953"/>
      <c r="D8334" s="953"/>
      <c r="E8334" s="953"/>
      <c r="F8334" s="953"/>
      <c r="G8334" s="953"/>
      <c r="H8334" s="953"/>
    </row>
    <row r="8335" spans="1:8" s="943" customFormat="1" x14ac:dyDescent="0.25">
      <c r="A8335" s="952"/>
      <c r="B8335" s="953"/>
      <c r="C8335" s="953"/>
      <c r="D8335" s="953"/>
      <c r="E8335" s="953"/>
      <c r="F8335" s="953"/>
      <c r="G8335" s="953"/>
      <c r="H8335" s="953"/>
    </row>
    <row r="8336" spans="1:8" s="943" customFormat="1" x14ac:dyDescent="0.25">
      <c r="A8336" s="952"/>
      <c r="B8336" s="953"/>
      <c r="C8336" s="953"/>
      <c r="D8336" s="953"/>
      <c r="E8336" s="953"/>
      <c r="F8336" s="953"/>
      <c r="G8336" s="953"/>
      <c r="H8336" s="953"/>
    </row>
    <row r="8337" spans="1:8" s="943" customFormat="1" x14ac:dyDescent="0.25">
      <c r="A8337" s="952"/>
      <c r="B8337" s="953"/>
      <c r="C8337" s="953"/>
      <c r="D8337" s="953"/>
      <c r="E8337" s="953"/>
      <c r="F8337" s="953"/>
      <c r="G8337" s="953"/>
      <c r="H8337" s="953"/>
    </row>
    <row r="8338" spans="1:8" s="943" customFormat="1" x14ac:dyDescent="0.25">
      <c r="A8338" s="952"/>
      <c r="B8338" s="953"/>
      <c r="C8338" s="953"/>
      <c r="D8338" s="953"/>
      <c r="E8338" s="953"/>
      <c r="F8338" s="953"/>
      <c r="G8338" s="953"/>
      <c r="H8338" s="953"/>
    </row>
    <row r="8339" spans="1:8" s="943" customFormat="1" x14ac:dyDescent="0.25">
      <c r="A8339" s="952"/>
      <c r="B8339" s="953"/>
      <c r="C8339" s="953"/>
      <c r="D8339" s="953"/>
      <c r="E8339" s="953"/>
      <c r="F8339" s="953"/>
      <c r="G8339" s="953"/>
      <c r="H8339" s="953"/>
    </row>
    <row r="8340" spans="1:8" s="943" customFormat="1" x14ac:dyDescent="0.25">
      <c r="A8340" s="952"/>
      <c r="B8340" s="953"/>
      <c r="C8340" s="953"/>
      <c r="D8340" s="953"/>
      <c r="E8340" s="953"/>
      <c r="F8340" s="953"/>
      <c r="G8340" s="953"/>
      <c r="H8340" s="953"/>
    </row>
    <row r="8341" spans="1:8" s="943" customFormat="1" x14ac:dyDescent="0.25">
      <c r="A8341" s="952"/>
      <c r="B8341" s="953"/>
      <c r="C8341" s="953"/>
      <c r="D8341" s="953"/>
      <c r="E8341" s="953"/>
      <c r="F8341" s="953"/>
      <c r="G8341" s="953"/>
      <c r="H8341" s="953"/>
    </row>
    <row r="8342" spans="1:8" s="943" customFormat="1" x14ac:dyDescent="0.25">
      <c r="A8342" s="952"/>
      <c r="B8342" s="953"/>
      <c r="C8342" s="953"/>
      <c r="D8342" s="953"/>
      <c r="E8342" s="953"/>
      <c r="F8342" s="953"/>
      <c r="G8342" s="953"/>
      <c r="H8342" s="953"/>
    </row>
    <row r="8343" spans="1:8" s="943" customFormat="1" x14ac:dyDescent="0.25">
      <c r="A8343" s="952"/>
      <c r="B8343" s="953"/>
      <c r="C8343" s="953"/>
      <c r="D8343" s="953"/>
      <c r="E8343" s="953"/>
      <c r="F8343" s="953"/>
      <c r="G8343" s="953"/>
      <c r="H8343" s="953"/>
    </row>
    <row r="8344" spans="1:8" s="943" customFormat="1" x14ac:dyDescent="0.25">
      <c r="A8344" s="952"/>
      <c r="B8344" s="953"/>
      <c r="C8344" s="953"/>
      <c r="D8344" s="953"/>
      <c r="E8344" s="953"/>
      <c r="F8344" s="953"/>
      <c r="G8344" s="953"/>
      <c r="H8344" s="953"/>
    </row>
    <row r="8345" spans="1:8" s="943" customFormat="1" x14ac:dyDescent="0.25">
      <c r="A8345" s="952"/>
      <c r="B8345" s="953"/>
      <c r="C8345" s="953"/>
      <c r="D8345" s="953"/>
      <c r="E8345" s="953"/>
      <c r="F8345" s="953"/>
      <c r="G8345" s="953"/>
      <c r="H8345" s="953"/>
    </row>
    <row r="8346" spans="1:8" s="943" customFormat="1" x14ac:dyDescent="0.25">
      <c r="A8346" s="952"/>
      <c r="B8346" s="953"/>
      <c r="C8346" s="953"/>
      <c r="D8346" s="953"/>
      <c r="E8346" s="953"/>
      <c r="F8346" s="953"/>
      <c r="G8346" s="953"/>
      <c r="H8346" s="953"/>
    </row>
    <row r="8347" spans="1:8" s="943" customFormat="1" x14ac:dyDescent="0.25">
      <c r="A8347" s="952"/>
      <c r="B8347" s="953"/>
      <c r="C8347" s="953"/>
      <c r="D8347" s="953"/>
      <c r="E8347" s="953"/>
      <c r="F8347" s="953"/>
      <c r="G8347" s="953"/>
      <c r="H8347" s="953"/>
    </row>
    <row r="8348" spans="1:8" s="943" customFormat="1" x14ac:dyDescent="0.25">
      <c r="A8348" s="952"/>
      <c r="B8348" s="953"/>
      <c r="C8348" s="953"/>
      <c r="D8348" s="953"/>
      <c r="E8348" s="953"/>
      <c r="F8348" s="953"/>
      <c r="G8348" s="953"/>
      <c r="H8348" s="953"/>
    </row>
    <row r="8349" spans="1:8" s="943" customFormat="1" x14ac:dyDescent="0.25">
      <c r="A8349" s="952"/>
      <c r="B8349" s="953"/>
      <c r="C8349" s="953"/>
      <c r="D8349" s="953"/>
      <c r="E8349" s="953"/>
      <c r="F8349" s="953"/>
      <c r="G8349" s="953"/>
      <c r="H8349" s="953"/>
    </row>
    <row r="8350" spans="1:8" s="943" customFormat="1" x14ac:dyDescent="0.25">
      <c r="A8350" s="952"/>
      <c r="B8350" s="953"/>
      <c r="C8350" s="953"/>
      <c r="D8350" s="953"/>
      <c r="E8350" s="953"/>
      <c r="F8350" s="953"/>
      <c r="G8350" s="953"/>
      <c r="H8350" s="953"/>
    </row>
    <row r="8351" spans="1:8" s="943" customFormat="1" x14ac:dyDescent="0.25">
      <c r="A8351" s="952"/>
      <c r="B8351" s="953"/>
      <c r="C8351" s="953"/>
      <c r="D8351" s="953"/>
      <c r="E8351" s="953"/>
      <c r="F8351" s="953"/>
      <c r="G8351" s="953"/>
      <c r="H8351" s="953"/>
    </row>
    <row r="8352" spans="1:8" s="943" customFormat="1" x14ac:dyDescent="0.25">
      <c r="A8352" s="952"/>
      <c r="B8352" s="953"/>
      <c r="C8352" s="953"/>
      <c r="D8352" s="953"/>
      <c r="E8352" s="953"/>
      <c r="F8352" s="953"/>
      <c r="G8352" s="953"/>
      <c r="H8352" s="953"/>
    </row>
    <row r="8353" spans="1:8" s="943" customFormat="1" x14ac:dyDescent="0.25">
      <c r="A8353" s="952"/>
      <c r="B8353" s="953"/>
      <c r="C8353" s="953"/>
      <c r="D8353" s="953"/>
      <c r="E8353" s="953"/>
      <c r="F8353" s="953"/>
      <c r="G8353" s="953"/>
      <c r="H8353" s="953"/>
    </row>
    <row r="8354" spans="1:8" s="943" customFormat="1" x14ac:dyDescent="0.25">
      <c r="A8354" s="952"/>
      <c r="B8354" s="953"/>
      <c r="C8354" s="953"/>
      <c r="D8354" s="953"/>
      <c r="E8354" s="953"/>
      <c r="F8354" s="953"/>
      <c r="G8354" s="953"/>
      <c r="H8354" s="953"/>
    </row>
    <row r="8355" spans="1:8" s="943" customFormat="1" x14ac:dyDescent="0.25">
      <c r="A8355" s="952"/>
      <c r="B8355" s="953"/>
      <c r="C8355" s="953"/>
      <c r="D8355" s="953"/>
      <c r="E8355" s="953"/>
      <c r="F8355" s="953"/>
      <c r="G8355" s="953"/>
      <c r="H8355" s="953"/>
    </row>
    <row r="8356" spans="1:8" s="943" customFormat="1" x14ac:dyDescent="0.25">
      <c r="A8356" s="952"/>
      <c r="B8356" s="953"/>
      <c r="C8356" s="953"/>
      <c r="D8356" s="953"/>
      <c r="E8356" s="953"/>
      <c r="F8356" s="953"/>
      <c r="G8356" s="953"/>
      <c r="H8356" s="953"/>
    </row>
    <row r="8357" spans="1:8" s="943" customFormat="1" x14ac:dyDescent="0.25">
      <c r="A8357" s="952"/>
      <c r="B8357" s="953"/>
      <c r="C8357" s="953"/>
      <c r="D8357" s="953"/>
      <c r="E8357" s="953"/>
      <c r="F8357" s="953"/>
      <c r="G8357" s="953"/>
      <c r="H8357" s="953"/>
    </row>
    <row r="8358" spans="1:8" s="943" customFormat="1" x14ac:dyDescent="0.25">
      <c r="A8358" s="952"/>
      <c r="B8358" s="953"/>
      <c r="C8358" s="953"/>
      <c r="D8358" s="953"/>
      <c r="E8358" s="953"/>
      <c r="F8358" s="953"/>
      <c r="G8358" s="953"/>
      <c r="H8358" s="953"/>
    </row>
    <row r="8359" spans="1:8" s="943" customFormat="1" x14ac:dyDescent="0.25">
      <c r="A8359" s="952"/>
      <c r="B8359" s="953"/>
      <c r="C8359" s="953"/>
      <c r="D8359" s="953"/>
      <c r="E8359" s="953"/>
      <c r="F8359" s="953"/>
      <c r="G8359" s="953"/>
      <c r="H8359" s="953"/>
    </row>
    <row r="8360" spans="1:8" s="943" customFormat="1" x14ac:dyDescent="0.25">
      <c r="A8360" s="952"/>
      <c r="B8360" s="953"/>
      <c r="C8360" s="953"/>
      <c r="D8360" s="953"/>
      <c r="E8360" s="953"/>
      <c r="F8360" s="953"/>
      <c r="G8360" s="953"/>
      <c r="H8360" s="953"/>
    </row>
    <row r="8361" spans="1:8" s="943" customFormat="1" x14ac:dyDescent="0.25">
      <c r="A8361" s="952"/>
      <c r="B8361" s="953"/>
      <c r="C8361" s="953"/>
      <c r="D8361" s="953"/>
      <c r="E8361" s="953"/>
      <c r="F8361" s="953"/>
      <c r="G8361" s="953"/>
      <c r="H8361" s="953"/>
    </row>
    <row r="8362" spans="1:8" s="943" customFormat="1" x14ac:dyDescent="0.25">
      <c r="A8362" s="952"/>
      <c r="B8362" s="953"/>
      <c r="C8362" s="953"/>
      <c r="D8362" s="953"/>
      <c r="E8362" s="953"/>
      <c r="F8362" s="953"/>
      <c r="G8362" s="953"/>
      <c r="H8362" s="953"/>
    </row>
    <row r="8363" spans="1:8" s="943" customFormat="1" x14ac:dyDescent="0.25">
      <c r="A8363" s="952"/>
      <c r="B8363" s="953"/>
      <c r="C8363" s="953"/>
      <c r="D8363" s="953"/>
      <c r="E8363" s="953"/>
      <c r="F8363" s="953"/>
      <c r="G8363" s="953"/>
      <c r="H8363" s="953"/>
    </row>
    <row r="8364" spans="1:8" s="943" customFormat="1" x14ac:dyDescent="0.25">
      <c r="A8364" s="952"/>
      <c r="B8364" s="953"/>
      <c r="C8364" s="953"/>
      <c r="D8364" s="953"/>
      <c r="E8364" s="953"/>
      <c r="F8364" s="953"/>
      <c r="G8364" s="953"/>
      <c r="H8364" s="953"/>
    </row>
    <row r="8365" spans="1:8" s="943" customFormat="1" x14ac:dyDescent="0.25">
      <c r="A8365" s="952"/>
      <c r="B8365" s="953"/>
      <c r="C8365" s="953"/>
      <c r="D8365" s="953"/>
      <c r="E8365" s="953"/>
      <c r="F8365" s="953"/>
      <c r="G8365" s="953"/>
      <c r="H8365" s="953"/>
    </row>
    <row r="8366" spans="1:8" s="943" customFormat="1" x14ac:dyDescent="0.25">
      <c r="A8366" s="952"/>
      <c r="B8366" s="953"/>
      <c r="C8366" s="953"/>
      <c r="D8366" s="953"/>
      <c r="E8366" s="953"/>
      <c r="F8366" s="953"/>
      <c r="G8366" s="953"/>
      <c r="H8366" s="953"/>
    </row>
    <row r="8367" spans="1:8" s="943" customFormat="1" x14ac:dyDescent="0.25">
      <c r="A8367" s="952"/>
      <c r="B8367" s="953"/>
      <c r="C8367" s="953"/>
      <c r="D8367" s="953"/>
      <c r="E8367" s="953"/>
      <c r="F8367" s="953"/>
      <c r="G8367" s="953"/>
      <c r="H8367" s="953"/>
    </row>
    <row r="8368" spans="1:8" s="943" customFormat="1" x14ac:dyDescent="0.25">
      <c r="A8368" s="952"/>
      <c r="B8368" s="953"/>
      <c r="C8368" s="953"/>
      <c r="D8368" s="953"/>
      <c r="E8368" s="953"/>
      <c r="F8368" s="953"/>
      <c r="G8368" s="953"/>
      <c r="H8368" s="953"/>
    </row>
    <row r="8369" spans="1:8" s="943" customFormat="1" x14ac:dyDescent="0.25">
      <c r="A8369" s="952"/>
      <c r="B8369" s="953"/>
      <c r="C8369" s="953"/>
      <c r="D8369" s="953"/>
      <c r="E8369" s="953"/>
      <c r="F8369" s="953"/>
      <c r="G8369" s="953"/>
      <c r="H8369" s="953"/>
    </row>
    <row r="8370" spans="1:8" s="943" customFormat="1" x14ac:dyDescent="0.25">
      <c r="A8370" s="952"/>
      <c r="B8370" s="953"/>
      <c r="C8370" s="953"/>
      <c r="D8370" s="953"/>
      <c r="E8370" s="953"/>
      <c r="F8370" s="953"/>
      <c r="G8370" s="953"/>
      <c r="H8370" s="953"/>
    </row>
    <row r="8371" spans="1:8" s="943" customFormat="1" x14ac:dyDescent="0.25">
      <c r="A8371" s="952"/>
      <c r="B8371" s="953"/>
      <c r="C8371" s="953"/>
      <c r="D8371" s="953"/>
      <c r="E8371" s="953"/>
      <c r="F8371" s="953"/>
      <c r="G8371" s="953"/>
      <c r="H8371" s="953"/>
    </row>
    <row r="8372" spans="1:8" s="943" customFormat="1" x14ac:dyDescent="0.25">
      <c r="A8372" s="952"/>
      <c r="B8372" s="953"/>
      <c r="C8372" s="953"/>
      <c r="D8372" s="953"/>
      <c r="E8372" s="953"/>
      <c r="F8372" s="953"/>
      <c r="G8372" s="953"/>
      <c r="H8372" s="953"/>
    </row>
    <row r="8373" spans="1:8" s="943" customFormat="1" x14ac:dyDescent="0.25">
      <c r="A8373" s="952"/>
      <c r="B8373" s="953"/>
      <c r="C8373" s="953"/>
      <c r="D8373" s="953"/>
      <c r="E8373" s="953"/>
      <c r="F8373" s="953"/>
      <c r="G8373" s="953"/>
      <c r="H8373" s="953"/>
    </row>
    <row r="8374" spans="1:8" s="943" customFormat="1" x14ac:dyDescent="0.25">
      <c r="A8374" s="952"/>
      <c r="B8374" s="953"/>
      <c r="C8374" s="953"/>
      <c r="D8374" s="953"/>
      <c r="E8374" s="953"/>
      <c r="F8374" s="953"/>
      <c r="G8374" s="953"/>
      <c r="H8374" s="953"/>
    </row>
    <row r="8375" spans="1:8" s="943" customFormat="1" x14ac:dyDescent="0.25">
      <c r="A8375" s="952"/>
      <c r="B8375" s="953"/>
      <c r="C8375" s="953"/>
      <c r="D8375" s="953"/>
      <c r="E8375" s="953"/>
      <c r="F8375" s="953"/>
      <c r="G8375" s="953"/>
      <c r="H8375" s="953"/>
    </row>
    <row r="8376" spans="1:8" s="943" customFormat="1" x14ac:dyDescent="0.25">
      <c r="A8376" s="952"/>
      <c r="B8376" s="953"/>
      <c r="C8376" s="953"/>
      <c r="D8376" s="953"/>
      <c r="E8376" s="953"/>
      <c r="F8376" s="953"/>
      <c r="G8376" s="953"/>
      <c r="H8376" s="953"/>
    </row>
    <row r="8377" spans="1:8" s="943" customFormat="1" x14ac:dyDescent="0.25">
      <c r="A8377" s="952"/>
      <c r="B8377" s="953"/>
      <c r="C8377" s="953"/>
      <c r="D8377" s="953"/>
      <c r="E8377" s="953"/>
      <c r="F8377" s="953"/>
      <c r="G8377" s="953"/>
      <c r="H8377" s="953"/>
    </row>
    <row r="8378" spans="1:8" s="943" customFormat="1" x14ac:dyDescent="0.25">
      <c r="A8378" s="952"/>
      <c r="B8378" s="953"/>
      <c r="C8378" s="953"/>
      <c r="D8378" s="953"/>
      <c r="E8378" s="953"/>
      <c r="F8378" s="953"/>
      <c r="G8378" s="953"/>
      <c r="H8378" s="953"/>
    </row>
    <row r="8379" spans="1:8" s="943" customFormat="1" x14ac:dyDescent="0.25">
      <c r="A8379" s="952"/>
      <c r="B8379" s="953"/>
      <c r="C8379" s="953"/>
      <c r="D8379" s="953"/>
      <c r="E8379" s="953"/>
      <c r="F8379" s="953"/>
      <c r="G8379" s="953"/>
      <c r="H8379" s="953"/>
    </row>
    <row r="8380" spans="1:8" s="943" customFormat="1" x14ac:dyDescent="0.25">
      <c r="A8380" s="952"/>
      <c r="B8380" s="953"/>
      <c r="C8380" s="953"/>
      <c r="D8380" s="953"/>
      <c r="E8380" s="953"/>
      <c r="F8380" s="953"/>
      <c r="G8380" s="953"/>
      <c r="H8380" s="953"/>
    </row>
    <row r="8381" spans="1:8" s="943" customFormat="1" x14ac:dyDescent="0.25">
      <c r="A8381" s="952"/>
      <c r="B8381" s="953"/>
      <c r="C8381" s="953"/>
      <c r="D8381" s="953"/>
      <c r="E8381" s="953"/>
      <c r="F8381" s="953"/>
      <c r="G8381" s="953"/>
      <c r="H8381" s="953"/>
    </row>
    <row r="8382" spans="1:8" s="943" customFormat="1" x14ac:dyDescent="0.25">
      <c r="A8382" s="952"/>
      <c r="B8382" s="953"/>
      <c r="C8382" s="953"/>
      <c r="D8382" s="953"/>
      <c r="E8382" s="953"/>
      <c r="F8382" s="953"/>
      <c r="G8382" s="953"/>
      <c r="H8382" s="953"/>
    </row>
    <row r="8383" spans="1:8" s="943" customFormat="1" x14ac:dyDescent="0.25">
      <c r="A8383" s="952"/>
      <c r="B8383" s="953"/>
      <c r="C8383" s="953"/>
      <c r="D8383" s="953"/>
      <c r="E8383" s="953"/>
      <c r="F8383" s="953"/>
      <c r="G8383" s="953"/>
      <c r="H8383" s="953"/>
    </row>
    <row r="8384" spans="1:8" s="943" customFormat="1" x14ac:dyDescent="0.25">
      <c r="A8384" s="952"/>
      <c r="B8384" s="953"/>
      <c r="C8384" s="953"/>
      <c r="D8384" s="953"/>
      <c r="E8384" s="953"/>
      <c r="F8384" s="953"/>
      <c r="G8384" s="953"/>
      <c r="H8384" s="953"/>
    </row>
    <row r="8385" spans="1:8" s="943" customFormat="1" x14ac:dyDescent="0.25">
      <c r="A8385" s="952"/>
      <c r="B8385" s="953"/>
      <c r="C8385" s="953"/>
      <c r="D8385" s="953"/>
      <c r="E8385" s="953"/>
      <c r="F8385" s="953"/>
      <c r="G8385" s="953"/>
      <c r="H8385" s="953"/>
    </row>
    <row r="8386" spans="1:8" s="943" customFormat="1" x14ac:dyDescent="0.25">
      <c r="A8386" s="952"/>
      <c r="B8386" s="953"/>
      <c r="C8386" s="953"/>
      <c r="D8386" s="953"/>
      <c r="E8386" s="953"/>
      <c r="F8386" s="953"/>
      <c r="G8386" s="953"/>
      <c r="H8386" s="953"/>
    </row>
    <row r="8387" spans="1:8" s="943" customFormat="1" x14ac:dyDescent="0.25">
      <c r="A8387" s="952"/>
      <c r="B8387" s="953"/>
      <c r="C8387" s="953"/>
      <c r="D8387" s="953"/>
      <c r="E8387" s="953"/>
      <c r="F8387" s="953"/>
      <c r="G8387" s="953"/>
      <c r="H8387" s="953"/>
    </row>
    <row r="8388" spans="1:8" s="943" customFormat="1" x14ac:dyDescent="0.25">
      <c r="A8388" s="952"/>
      <c r="B8388" s="953"/>
      <c r="C8388" s="953"/>
      <c r="D8388" s="953"/>
      <c r="E8388" s="953"/>
      <c r="F8388" s="953"/>
      <c r="G8388" s="953"/>
      <c r="H8388" s="953"/>
    </row>
    <row r="8389" spans="1:8" s="943" customFormat="1" x14ac:dyDescent="0.25">
      <c r="A8389" s="952"/>
      <c r="B8389" s="953"/>
      <c r="C8389" s="953"/>
      <c r="D8389" s="953"/>
      <c r="E8389" s="953"/>
      <c r="F8389" s="953"/>
      <c r="G8389" s="953"/>
      <c r="H8389" s="953"/>
    </row>
    <row r="8390" spans="1:8" s="943" customFormat="1" x14ac:dyDescent="0.25">
      <c r="A8390" s="952"/>
      <c r="B8390" s="953"/>
      <c r="C8390" s="953"/>
      <c r="D8390" s="953"/>
      <c r="E8390" s="953"/>
      <c r="F8390" s="953"/>
      <c r="G8390" s="953"/>
      <c r="H8390" s="953"/>
    </row>
    <row r="8391" spans="1:8" s="943" customFormat="1" x14ac:dyDescent="0.25">
      <c r="A8391" s="952"/>
      <c r="B8391" s="953"/>
      <c r="C8391" s="953"/>
      <c r="D8391" s="953"/>
      <c r="E8391" s="953"/>
      <c r="F8391" s="953"/>
      <c r="G8391" s="953"/>
      <c r="H8391" s="953"/>
    </row>
    <row r="8392" spans="1:8" s="943" customFormat="1" x14ac:dyDescent="0.25">
      <c r="A8392" s="952"/>
      <c r="B8392" s="953"/>
      <c r="C8392" s="953"/>
      <c r="D8392" s="953"/>
      <c r="E8392" s="953"/>
      <c r="F8392" s="953"/>
      <c r="G8392" s="953"/>
      <c r="H8392" s="953"/>
    </row>
    <row r="8393" spans="1:8" s="943" customFormat="1" x14ac:dyDescent="0.25">
      <c r="A8393" s="952"/>
      <c r="B8393" s="953"/>
      <c r="C8393" s="953"/>
      <c r="D8393" s="953"/>
      <c r="E8393" s="953"/>
      <c r="F8393" s="953"/>
      <c r="G8393" s="953"/>
      <c r="H8393" s="953"/>
    </row>
    <row r="8394" spans="1:8" s="943" customFormat="1" x14ac:dyDescent="0.25">
      <c r="A8394" s="952"/>
      <c r="B8394" s="953"/>
      <c r="C8394" s="953"/>
      <c r="D8394" s="953"/>
      <c r="E8394" s="953"/>
      <c r="F8394" s="953"/>
      <c r="G8394" s="953"/>
      <c r="H8394" s="953"/>
    </row>
    <row r="8395" spans="1:8" s="943" customFormat="1" x14ac:dyDescent="0.25">
      <c r="A8395" s="952"/>
      <c r="B8395" s="953"/>
      <c r="C8395" s="953"/>
      <c r="D8395" s="953"/>
      <c r="E8395" s="953"/>
      <c r="F8395" s="953"/>
      <c r="G8395" s="953"/>
      <c r="H8395" s="953"/>
    </row>
    <row r="8396" spans="1:8" s="943" customFormat="1" x14ac:dyDescent="0.25">
      <c r="A8396" s="952"/>
      <c r="B8396" s="953"/>
      <c r="C8396" s="953"/>
      <c r="D8396" s="953"/>
      <c r="E8396" s="953"/>
      <c r="F8396" s="953"/>
      <c r="G8396" s="953"/>
      <c r="H8396" s="953"/>
    </row>
    <row r="8397" spans="1:8" s="943" customFormat="1" x14ac:dyDescent="0.25">
      <c r="A8397" s="952"/>
      <c r="B8397" s="953"/>
      <c r="C8397" s="953"/>
      <c r="D8397" s="953"/>
      <c r="E8397" s="953"/>
      <c r="F8397" s="953"/>
      <c r="G8397" s="953"/>
      <c r="H8397" s="953"/>
    </row>
    <row r="8398" spans="1:8" s="943" customFormat="1" x14ac:dyDescent="0.25">
      <c r="A8398" s="952"/>
      <c r="B8398" s="953"/>
      <c r="C8398" s="953"/>
      <c r="D8398" s="953"/>
      <c r="E8398" s="953"/>
      <c r="F8398" s="953"/>
      <c r="G8398" s="953"/>
      <c r="H8398" s="953"/>
    </row>
    <row r="8399" spans="1:8" s="943" customFormat="1" x14ac:dyDescent="0.25">
      <c r="A8399" s="952"/>
      <c r="B8399" s="953"/>
      <c r="C8399" s="953"/>
      <c r="D8399" s="953"/>
      <c r="E8399" s="953"/>
      <c r="F8399" s="953"/>
      <c r="G8399" s="953"/>
      <c r="H8399" s="953"/>
    </row>
    <row r="8400" spans="1:8" s="943" customFormat="1" x14ac:dyDescent="0.25">
      <c r="A8400" s="952"/>
      <c r="B8400" s="953"/>
      <c r="C8400" s="953"/>
      <c r="D8400" s="953"/>
      <c r="E8400" s="953"/>
      <c r="F8400" s="953"/>
      <c r="G8400" s="953"/>
      <c r="H8400" s="953"/>
    </row>
    <row r="8401" spans="1:8" s="943" customFormat="1" x14ac:dyDescent="0.25">
      <c r="A8401" s="952"/>
      <c r="B8401" s="953"/>
      <c r="C8401" s="953"/>
      <c r="D8401" s="953"/>
      <c r="E8401" s="953"/>
      <c r="F8401" s="953"/>
      <c r="G8401" s="953"/>
      <c r="H8401" s="953"/>
    </row>
    <row r="8402" spans="1:8" s="943" customFormat="1" x14ac:dyDescent="0.25">
      <c r="A8402" s="952"/>
      <c r="B8402" s="953"/>
      <c r="C8402" s="953"/>
      <c r="D8402" s="953"/>
      <c r="E8402" s="953"/>
      <c r="F8402" s="953"/>
      <c r="G8402" s="953"/>
      <c r="H8402" s="953"/>
    </row>
    <row r="8403" spans="1:8" s="943" customFormat="1" x14ac:dyDescent="0.25">
      <c r="A8403" s="952"/>
      <c r="B8403" s="953"/>
      <c r="C8403" s="953"/>
      <c r="D8403" s="953"/>
      <c r="E8403" s="953"/>
      <c r="F8403" s="953"/>
      <c r="G8403" s="953"/>
      <c r="H8403" s="953"/>
    </row>
    <row r="8404" spans="1:8" s="943" customFormat="1" x14ac:dyDescent="0.25">
      <c r="A8404" s="952"/>
      <c r="B8404" s="953"/>
      <c r="C8404" s="953"/>
      <c r="D8404" s="953"/>
      <c r="E8404" s="953"/>
      <c r="F8404" s="953"/>
      <c r="G8404" s="953"/>
      <c r="H8404" s="953"/>
    </row>
    <row r="8405" spans="1:8" s="943" customFormat="1" x14ac:dyDescent="0.25">
      <c r="A8405" s="952"/>
      <c r="B8405" s="953"/>
      <c r="C8405" s="953"/>
      <c r="D8405" s="953"/>
      <c r="E8405" s="953"/>
      <c r="F8405" s="953"/>
      <c r="G8405" s="953"/>
      <c r="H8405" s="953"/>
    </row>
    <row r="8406" spans="1:8" s="943" customFormat="1" x14ac:dyDescent="0.25">
      <c r="A8406" s="952"/>
      <c r="B8406" s="953"/>
      <c r="C8406" s="953"/>
      <c r="D8406" s="953"/>
      <c r="E8406" s="953"/>
      <c r="F8406" s="953"/>
      <c r="G8406" s="953"/>
      <c r="H8406" s="953"/>
    </row>
    <row r="8407" spans="1:8" s="943" customFormat="1" x14ac:dyDescent="0.25">
      <c r="A8407" s="952"/>
      <c r="B8407" s="953"/>
      <c r="C8407" s="953"/>
      <c r="D8407" s="953"/>
      <c r="E8407" s="953"/>
      <c r="F8407" s="953"/>
      <c r="G8407" s="953"/>
      <c r="H8407" s="953"/>
    </row>
    <row r="8408" spans="1:8" s="943" customFormat="1" x14ac:dyDescent="0.25">
      <c r="A8408" s="952"/>
      <c r="B8408" s="953"/>
      <c r="C8408" s="953"/>
      <c r="D8408" s="953"/>
      <c r="E8408" s="953"/>
      <c r="F8408" s="953"/>
      <c r="G8408" s="953"/>
      <c r="H8408" s="953"/>
    </row>
    <row r="8409" spans="1:8" s="943" customFormat="1" x14ac:dyDescent="0.25">
      <c r="A8409" s="952"/>
      <c r="B8409" s="953"/>
      <c r="C8409" s="953"/>
      <c r="D8409" s="953"/>
      <c r="E8409" s="953"/>
      <c r="F8409" s="953"/>
      <c r="G8409" s="953"/>
      <c r="H8409" s="953"/>
    </row>
    <row r="8410" spans="1:8" s="943" customFormat="1" x14ac:dyDescent="0.25">
      <c r="A8410" s="952"/>
      <c r="B8410" s="953"/>
      <c r="C8410" s="953"/>
      <c r="D8410" s="953"/>
      <c r="E8410" s="953"/>
      <c r="F8410" s="953"/>
      <c r="G8410" s="953"/>
      <c r="H8410" s="953"/>
    </row>
    <row r="8411" spans="1:8" s="943" customFormat="1" x14ac:dyDescent="0.25">
      <c r="A8411" s="952"/>
      <c r="B8411" s="953"/>
      <c r="C8411" s="953"/>
      <c r="D8411" s="953"/>
      <c r="E8411" s="953"/>
      <c r="F8411" s="953"/>
      <c r="G8411" s="953"/>
      <c r="H8411" s="953"/>
    </row>
    <row r="8412" spans="1:8" s="943" customFormat="1" x14ac:dyDescent="0.25">
      <c r="A8412" s="952"/>
      <c r="B8412" s="953"/>
      <c r="C8412" s="953"/>
      <c r="D8412" s="953"/>
      <c r="E8412" s="953"/>
      <c r="F8412" s="953"/>
      <c r="G8412" s="953"/>
      <c r="H8412" s="953"/>
    </row>
    <row r="8413" spans="1:8" s="943" customFormat="1" x14ac:dyDescent="0.25">
      <c r="A8413" s="952"/>
      <c r="B8413" s="953"/>
      <c r="C8413" s="953"/>
      <c r="D8413" s="953"/>
      <c r="E8413" s="953"/>
      <c r="F8413" s="953"/>
      <c r="G8413" s="953"/>
      <c r="H8413" s="953"/>
    </row>
    <row r="8414" spans="1:8" s="943" customFormat="1" x14ac:dyDescent="0.25">
      <c r="A8414" s="952"/>
      <c r="B8414" s="953"/>
      <c r="C8414" s="953"/>
      <c r="D8414" s="953"/>
      <c r="E8414" s="953"/>
      <c r="F8414" s="953"/>
      <c r="G8414" s="953"/>
      <c r="H8414" s="953"/>
    </row>
    <row r="8415" spans="1:8" s="943" customFormat="1" x14ac:dyDescent="0.25">
      <c r="A8415" s="952"/>
      <c r="B8415" s="953"/>
      <c r="C8415" s="953"/>
      <c r="D8415" s="953"/>
      <c r="E8415" s="953"/>
      <c r="F8415" s="953"/>
      <c r="G8415" s="953"/>
      <c r="H8415" s="953"/>
    </row>
    <row r="8416" spans="1:8" s="943" customFormat="1" x14ac:dyDescent="0.25">
      <c r="A8416" s="952"/>
      <c r="B8416" s="953"/>
      <c r="C8416" s="953"/>
      <c r="D8416" s="953"/>
      <c r="E8416" s="953"/>
      <c r="F8416" s="953"/>
      <c r="G8416" s="953"/>
      <c r="H8416" s="953"/>
    </row>
    <row r="8417" spans="1:8" s="943" customFormat="1" x14ac:dyDescent="0.25">
      <c r="A8417" s="952"/>
      <c r="B8417" s="953"/>
      <c r="C8417" s="953"/>
      <c r="D8417" s="953"/>
      <c r="E8417" s="953"/>
      <c r="F8417" s="953"/>
      <c r="G8417" s="953"/>
      <c r="H8417" s="953"/>
    </row>
    <row r="8418" spans="1:8" s="943" customFormat="1" x14ac:dyDescent="0.25">
      <c r="A8418" s="952"/>
      <c r="B8418" s="953"/>
      <c r="C8418" s="953"/>
      <c r="D8418" s="953"/>
      <c r="E8418" s="953"/>
      <c r="F8418" s="953"/>
      <c r="G8418" s="953"/>
      <c r="H8418" s="953"/>
    </row>
    <row r="8419" spans="1:8" s="943" customFormat="1" x14ac:dyDescent="0.25">
      <c r="A8419" s="952"/>
      <c r="B8419" s="953"/>
      <c r="C8419" s="953"/>
      <c r="D8419" s="953"/>
      <c r="E8419" s="953"/>
      <c r="F8419" s="953"/>
      <c r="G8419" s="953"/>
      <c r="H8419" s="953"/>
    </row>
    <row r="8420" spans="1:8" s="943" customFormat="1" x14ac:dyDescent="0.25">
      <c r="A8420" s="952"/>
      <c r="B8420" s="953"/>
      <c r="C8420" s="953"/>
      <c r="D8420" s="953"/>
      <c r="E8420" s="953"/>
      <c r="F8420" s="953"/>
      <c r="G8420" s="953"/>
      <c r="H8420" s="953"/>
    </row>
    <row r="8421" spans="1:8" s="943" customFormat="1" x14ac:dyDescent="0.25">
      <c r="A8421" s="952"/>
      <c r="B8421" s="953"/>
      <c r="C8421" s="953"/>
      <c r="D8421" s="953"/>
      <c r="E8421" s="953"/>
      <c r="F8421" s="953"/>
      <c r="G8421" s="953"/>
      <c r="H8421" s="953"/>
    </row>
    <row r="8422" spans="1:8" s="943" customFormat="1" x14ac:dyDescent="0.25">
      <c r="A8422" s="952"/>
      <c r="B8422" s="953"/>
      <c r="C8422" s="953"/>
      <c r="D8422" s="953"/>
      <c r="E8422" s="953"/>
      <c r="F8422" s="953"/>
      <c r="G8422" s="953"/>
      <c r="H8422" s="953"/>
    </row>
    <row r="8423" spans="1:8" s="943" customFormat="1" x14ac:dyDescent="0.25">
      <c r="A8423" s="952"/>
      <c r="B8423" s="953"/>
      <c r="C8423" s="953"/>
      <c r="D8423" s="953"/>
      <c r="E8423" s="953"/>
      <c r="F8423" s="953"/>
      <c r="G8423" s="953"/>
      <c r="H8423" s="953"/>
    </row>
    <row r="8424" spans="1:8" s="943" customFormat="1" x14ac:dyDescent="0.25">
      <c r="A8424" s="952"/>
      <c r="B8424" s="953"/>
      <c r="C8424" s="953"/>
      <c r="D8424" s="953"/>
      <c r="E8424" s="953"/>
      <c r="F8424" s="953"/>
      <c r="G8424" s="953"/>
      <c r="H8424" s="953"/>
    </row>
    <row r="8425" spans="1:8" s="943" customFormat="1" x14ac:dyDescent="0.25">
      <c r="A8425" s="952"/>
      <c r="B8425" s="953"/>
      <c r="C8425" s="953"/>
      <c r="D8425" s="953"/>
      <c r="E8425" s="953"/>
      <c r="F8425" s="953"/>
      <c r="G8425" s="953"/>
      <c r="H8425" s="953"/>
    </row>
    <row r="8426" spans="1:8" s="943" customFormat="1" x14ac:dyDescent="0.25">
      <c r="A8426" s="952"/>
      <c r="B8426" s="953"/>
      <c r="C8426" s="953"/>
      <c r="D8426" s="953"/>
      <c r="E8426" s="953"/>
      <c r="F8426" s="953"/>
      <c r="G8426" s="953"/>
      <c r="H8426" s="953"/>
    </row>
    <row r="8427" spans="1:8" s="943" customFormat="1" x14ac:dyDescent="0.25">
      <c r="A8427" s="952"/>
      <c r="B8427" s="953"/>
      <c r="C8427" s="953"/>
      <c r="D8427" s="953"/>
      <c r="E8427" s="953"/>
      <c r="F8427" s="953"/>
      <c r="G8427" s="953"/>
      <c r="H8427" s="953"/>
    </row>
    <row r="8428" spans="1:8" s="943" customFormat="1" x14ac:dyDescent="0.25">
      <c r="A8428" s="952"/>
      <c r="B8428" s="953"/>
      <c r="C8428" s="953"/>
      <c r="D8428" s="953"/>
      <c r="E8428" s="953"/>
      <c r="F8428" s="953"/>
      <c r="G8428" s="953"/>
      <c r="H8428" s="953"/>
    </row>
    <row r="8429" spans="1:8" s="943" customFormat="1" x14ac:dyDescent="0.25">
      <c r="A8429" s="952"/>
      <c r="B8429" s="953"/>
      <c r="C8429" s="953"/>
      <c r="D8429" s="953"/>
      <c r="E8429" s="953"/>
      <c r="F8429" s="953"/>
      <c r="G8429" s="953"/>
      <c r="H8429" s="953"/>
    </row>
    <row r="8430" spans="1:8" s="943" customFormat="1" x14ac:dyDescent="0.25">
      <c r="A8430" s="952"/>
      <c r="B8430" s="953"/>
      <c r="C8430" s="953"/>
      <c r="D8430" s="953"/>
      <c r="E8430" s="953"/>
      <c r="F8430" s="953"/>
      <c r="G8430" s="953"/>
      <c r="H8430" s="953"/>
    </row>
    <row r="8431" spans="1:8" s="943" customFormat="1" x14ac:dyDescent="0.25">
      <c r="A8431" s="952"/>
      <c r="B8431" s="953"/>
      <c r="C8431" s="953"/>
      <c r="D8431" s="953"/>
      <c r="E8431" s="953"/>
      <c r="F8431" s="953"/>
      <c r="G8431" s="953"/>
      <c r="H8431" s="953"/>
    </row>
    <row r="8432" spans="1:8" s="943" customFormat="1" x14ac:dyDescent="0.25">
      <c r="A8432" s="952"/>
      <c r="B8432" s="953"/>
      <c r="C8432" s="953"/>
      <c r="D8432" s="953"/>
      <c r="E8432" s="953"/>
      <c r="F8432" s="953"/>
      <c r="G8432" s="953"/>
      <c r="H8432" s="953"/>
    </row>
    <row r="8433" spans="1:8" s="943" customFormat="1" x14ac:dyDescent="0.25">
      <c r="A8433" s="952"/>
      <c r="B8433" s="953"/>
      <c r="C8433" s="953"/>
      <c r="D8433" s="953"/>
      <c r="E8433" s="953"/>
      <c r="F8433" s="953"/>
      <c r="G8433" s="953"/>
      <c r="H8433" s="953"/>
    </row>
    <row r="8434" spans="1:8" s="943" customFormat="1" x14ac:dyDescent="0.25">
      <c r="A8434" s="952"/>
      <c r="B8434" s="953"/>
      <c r="C8434" s="953"/>
      <c r="D8434" s="953"/>
      <c r="E8434" s="953"/>
      <c r="F8434" s="953"/>
      <c r="G8434" s="953"/>
      <c r="H8434" s="953"/>
    </row>
    <row r="8435" spans="1:8" s="943" customFormat="1" x14ac:dyDescent="0.25">
      <c r="A8435" s="952"/>
      <c r="B8435" s="953"/>
      <c r="C8435" s="953"/>
      <c r="D8435" s="953"/>
      <c r="E8435" s="953"/>
      <c r="F8435" s="953"/>
      <c r="G8435" s="953"/>
      <c r="H8435" s="953"/>
    </row>
    <row r="8436" spans="1:8" s="943" customFormat="1" x14ac:dyDescent="0.25">
      <c r="A8436" s="952"/>
      <c r="B8436" s="953"/>
      <c r="C8436" s="953"/>
      <c r="D8436" s="953"/>
      <c r="E8436" s="953"/>
      <c r="F8436" s="953"/>
      <c r="G8436" s="953"/>
      <c r="H8436" s="953"/>
    </row>
    <row r="8437" spans="1:8" s="943" customFormat="1" x14ac:dyDescent="0.25">
      <c r="A8437" s="952"/>
      <c r="B8437" s="953"/>
      <c r="C8437" s="953"/>
      <c r="D8437" s="953"/>
      <c r="E8437" s="953"/>
      <c r="F8437" s="953"/>
      <c r="G8437" s="953"/>
      <c r="H8437" s="953"/>
    </row>
    <row r="8438" spans="1:8" s="943" customFormat="1" x14ac:dyDescent="0.25">
      <c r="A8438" s="952"/>
      <c r="B8438" s="953"/>
      <c r="C8438" s="953"/>
      <c r="D8438" s="953"/>
      <c r="E8438" s="953"/>
      <c r="F8438" s="953"/>
      <c r="G8438" s="953"/>
      <c r="H8438" s="953"/>
    </row>
    <row r="8439" spans="1:8" s="943" customFormat="1" x14ac:dyDescent="0.25">
      <c r="A8439" s="952"/>
      <c r="B8439" s="953"/>
      <c r="C8439" s="953"/>
      <c r="D8439" s="953"/>
      <c r="E8439" s="953"/>
      <c r="F8439" s="953"/>
      <c r="G8439" s="953"/>
      <c r="H8439" s="953"/>
    </row>
    <row r="8440" spans="1:8" s="943" customFormat="1" x14ac:dyDescent="0.25">
      <c r="A8440" s="952"/>
      <c r="B8440" s="953"/>
      <c r="C8440" s="953"/>
      <c r="D8440" s="953"/>
      <c r="E8440" s="953"/>
      <c r="F8440" s="953"/>
      <c r="G8440" s="953"/>
      <c r="H8440" s="953"/>
    </row>
    <row r="8441" spans="1:8" s="943" customFormat="1" x14ac:dyDescent="0.25">
      <c r="A8441" s="952"/>
      <c r="B8441" s="953"/>
      <c r="C8441" s="953"/>
      <c r="D8441" s="953"/>
      <c r="E8441" s="953"/>
      <c r="F8441" s="953"/>
      <c r="G8441" s="953"/>
      <c r="H8441" s="953"/>
    </row>
    <row r="8442" spans="1:8" s="943" customFormat="1" x14ac:dyDescent="0.25">
      <c r="A8442" s="952"/>
      <c r="B8442" s="953"/>
      <c r="C8442" s="953"/>
      <c r="D8442" s="953"/>
      <c r="E8442" s="953"/>
      <c r="F8442" s="953"/>
      <c r="G8442" s="953"/>
      <c r="H8442" s="953"/>
    </row>
    <row r="8443" spans="1:8" s="943" customFormat="1" x14ac:dyDescent="0.25">
      <c r="A8443" s="952"/>
      <c r="B8443" s="953"/>
      <c r="C8443" s="953"/>
      <c r="D8443" s="953"/>
      <c r="E8443" s="953"/>
      <c r="F8443" s="953"/>
      <c r="G8443" s="953"/>
      <c r="H8443" s="953"/>
    </row>
    <row r="8444" spans="1:8" s="943" customFormat="1" x14ac:dyDescent="0.25">
      <c r="A8444" s="952"/>
      <c r="B8444" s="953"/>
      <c r="C8444" s="953"/>
      <c r="D8444" s="953"/>
      <c r="E8444" s="953"/>
      <c r="F8444" s="953"/>
      <c r="G8444" s="953"/>
      <c r="H8444" s="953"/>
    </row>
    <row r="8445" spans="1:8" s="943" customFormat="1" x14ac:dyDescent="0.25">
      <c r="A8445" s="952"/>
      <c r="B8445" s="953"/>
      <c r="C8445" s="953"/>
      <c r="D8445" s="953"/>
      <c r="E8445" s="953"/>
      <c r="F8445" s="953"/>
      <c r="G8445" s="953"/>
      <c r="H8445" s="953"/>
    </row>
    <row r="8446" spans="1:8" s="943" customFormat="1" x14ac:dyDescent="0.25">
      <c r="A8446" s="952"/>
      <c r="B8446" s="953"/>
      <c r="C8446" s="953"/>
      <c r="D8446" s="953"/>
      <c r="E8446" s="953"/>
      <c r="F8446" s="953"/>
      <c r="G8446" s="953"/>
      <c r="H8446" s="953"/>
    </row>
    <row r="8447" spans="1:8" s="943" customFormat="1" x14ac:dyDescent="0.25">
      <c r="A8447" s="952"/>
      <c r="B8447" s="953"/>
      <c r="C8447" s="953"/>
      <c r="D8447" s="953"/>
      <c r="E8447" s="953"/>
      <c r="F8447" s="953"/>
      <c r="G8447" s="953"/>
      <c r="H8447" s="953"/>
    </row>
    <row r="8448" spans="1:8" s="943" customFormat="1" x14ac:dyDescent="0.25">
      <c r="A8448" s="952"/>
      <c r="B8448" s="953"/>
      <c r="C8448" s="953"/>
      <c r="D8448" s="953"/>
      <c r="E8448" s="953"/>
      <c r="F8448" s="953"/>
      <c r="G8448" s="953"/>
      <c r="H8448" s="953"/>
    </row>
    <row r="8449" spans="1:8" s="943" customFormat="1" x14ac:dyDescent="0.25">
      <c r="A8449" s="952"/>
      <c r="B8449" s="953"/>
      <c r="C8449" s="953"/>
      <c r="D8449" s="953"/>
      <c r="E8449" s="953"/>
      <c r="F8449" s="953"/>
      <c r="G8449" s="953"/>
      <c r="H8449" s="953"/>
    </row>
    <row r="8450" spans="1:8" s="943" customFormat="1" x14ac:dyDescent="0.25">
      <c r="A8450" s="952"/>
      <c r="B8450" s="953"/>
      <c r="C8450" s="953"/>
      <c r="D8450" s="953"/>
      <c r="E8450" s="953"/>
      <c r="F8450" s="953"/>
      <c r="G8450" s="953"/>
      <c r="H8450" s="953"/>
    </row>
    <row r="8451" spans="1:8" s="943" customFormat="1" x14ac:dyDescent="0.25">
      <c r="A8451" s="952"/>
      <c r="B8451" s="953"/>
      <c r="C8451" s="953"/>
      <c r="D8451" s="953"/>
      <c r="E8451" s="953"/>
      <c r="F8451" s="953"/>
      <c r="G8451" s="953"/>
      <c r="H8451" s="953"/>
    </row>
    <row r="8452" spans="1:8" s="943" customFormat="1" x14ac:dyDescent="0.25">
      <c r="A8452" s="952"/>
      <c r="B8452" s="953"/>
      <c r="C8452" s="953"/>
      <c r="D8452" s="953"/>
      <c r="E8452" s="953"/>
      <c r="F8452" s="953"/>
      <c r="G8452" s="953"/>
      <c r="H8452" s="953"/>
    </row>
    <row r="8453" spans="1:8" s="943" customFormat="1" x14ac:dyDescent="0.25">
      <c r="A8453" s="952"/>
      <c r="B8453" s="953"/>
      <c r="C8453" s="953"/>
      <c r="D8453" s="953"/>
      <c r="E8453" s="953"/>
      <c r="F8453" s="953"/>
      <c r="G8453" s="953"/>
      <c r="H8453" s="953"/>
    </row>
    <row r="8454" spans="1:8" s="943" customFormat="1" x14ac:dyDescent="0.25">
      <c r="A8454" s="952"/>
      <c r="B8454" s="953"/>
      <c r="C8454" s="953"/>
      <c r="D8454" s="953"/>
      <c r="E8454" s="953"/>
      <c r="F8454" s="953"/>
      <c r="G8454" s="953"/>
      <c r="H8454" s="953"/>
    </row>
    <row r="8455" spans="1:8" s="943" customFormat="1" x14ac:dyDescent="0.25">
      <c r="A8455" s="952"/>
      <c r="B8455" s="953"/>
      <c r="C8455" s="953"/>
      <c r="D8455" s="953"/>
      <c r="E8455" s="953"/>
      <c r="F8455" s="953"/>
      <c r="G8455" s="953"/>
      <c r="H8455" s="953"/>
    </row>
    <row r="8456" spans="1:8" s="943" customFormat="1" x14ac:dyDescent="0.25">
      <c r="A8456" s="952"/>
      <c r="B8456" s="953"/>
      <c r="C8456" s="953"/>
      <c r="D8456" s="953"/>
      <c r="E8456" s="953"/>
      <c r="F8456" s="953"/>
      <c r="G8456" s="953"/>
      <c r="H8456" s="953"/>
    </row>
    <row r="8457" spans="1:8" s="943" customFormat="1" x14ac:dyDescent="0.25">
      <c r="A8457" s="952"/>
      <c r="B8457" s="953"/>
      <c r="C8457" s="953"/>
      <c r="D8457" s="953"/>
      <c r="E8457" s="953"/>
      <c r="F8457" s="953"/>
      <c r="G8457" s="953"/>
      <c r="H8457" s="953"/>
    </row>
    <row r="8458" spans="1:8" s="943" customFormat="1" x14ac:dyDescent="0.25">
      <c r="A8458" s="952"/>
      <c r="B8458" s="953"/>
      <c r="C8458" s="953"/>
      <c r="D8458" s="953"/>
      <c r="E8458" s="953"/>
      <c r="F8458" s="953"/>
      <c r="G8458" s="953"/>
      <c r="H8458" s="953"/>
    </row>
    <row r="8459" spans="1:8" s="943" customFormat="1" x14ac:dyDescent="0.25">
      <c r="A8459" s="952"/>
      <c r="B8459" s="953"/>
      <c r="C8459" s="953"/>
      <c r="D8459" s="953"/>
      <c r="E8459" s="953"/>
      <c r="F8459" s="953"/>
      <c r="G8459" s="953"/>
      <c r="H8459" s="953"/>
    </row>
    <row r="8460" spans="1:8" s="943" customFormat="1" x14ac:dyDescent="0.25">
      <c r="A8460" s="952"/>
      <c r="B8460" s="953"/>
      <c r="C8460" s="953"/>
      <c r="D8460" s="953"/>
      <c r="E8460" s="953"/>
      <c r="F8460" s="953"/>
      <c r="G8460" s="953"/>
      <c r="H8460" s="953"/>
    </row>
    <row r="8461" spans="1:8" s="943" customFormat="1" x14ac:dyDescent="0.25">
      <c r="A8461" s="952"/>
      <c r="B8461" s="953"/>
      <c r="C8461" s="953"/>
      <c r="D8461" s="953"/>
      <c r="E8461" s="953"/>
      <c r="F8461" s="953"/>
      <c r="G8461" s="953"/>
      <c r="H8461" s="953"/>
    </row>
    <row r="8462" spans="1:8" s="943" customFormat="1" x14ac:dyDescent="0.25">
      <c r="A8462" s="952"/>
      <c r="B8462" s="953"/>
      <c r="C8462" s="953"/>
      <c r="D8462" s="953"/>
      <c r="E8462" s="953"/>
      <c r="F8462" s="953"/>
      <c r="G8462" s="953"/>
      <c r="H8462" s="953"/>
    </row>
    <row r="8463" spans="1:8" s="943" customFormat="1" x14ac:dyDescent="0.25">
      <c r="A8463" s="952"/>
      <c r="B8463" s="953"/>
      <c r="C8463" s="953"/>
      <c r="D8463" s="953"/>
      <c r="E8463" s="953"/>
      <c r="F8463" s="953"/>
      <c r="G8463" s="953"/>
      <c r="H8463" s="953"/>
    </row>
    <row r="8464" spans="1:8" s="943" customFormat="1" x14ac:dyDescent="0.25">
      <c r="A8464" s="952"/>
      <c r="B8464" s="953"/>
      <c r="C8464" s="953"/>
      <c r="D8464" s="953"/>
      <c r="E8464" s="953"/>
      <c r="F8464" s="953"/>
      <c r="G8464" s="953"/>
      <c r="H8464" s="953"/>
    </row>
    <row r="8465" spans="1:8" s="943" customFormat="1" x14ac:dyDescent="0.25">
      <c r="A8465" s="952"/>
      <c r="B8465" s="953"/>
      <c r="C8465" s="953"/>
      <c r="D8465" s="953"/>
      <c r="E8465" s="953"/>
      <c r="F8465" s="953"/>
      <c r="G8465" s="953"/>
      <c r="H8465" s="953"/>
    </row>
    <row r="8466" spans="1:8" s="943" customFormat="1" x14ac:dyDescent="0.25">
      <c r="A8466" s="952"/>
      <c r="B8466" s="953"/>
      <c r="C8466" s="953"/>
      <c r="D8466" s="953"/>
      <c r="E8466" s="953"/>
      <c r="F8466" s="953"/>
      <c r="G8466" s="953"/>
      <c r="H8466" s="953"/>
    </row>
    <row r="8467" spans="1:8" s="943" customFormat="1" x14ac:dyDescent="0.25">
      <c r="A8467" s="952"/>
      <c r="B8467" s="953"/>
      <c r="C8467" s="953"/>
      <c r="D8467" s="953"/>
      <c r="E8467" s="953"/>
      <c r="F8467" s="953"/>
      <c r="G8467" s="953"/>
      <c r="H8467" s="953"/>
    </row>
    <row r="8468" spans="1:8" s="943" customFormat="1" x14ac:dyDescent="0.25">
      <c r="A8468" s="952"/>
      <c r="B8468" s="953"/>
      <c r="C8468" s="953"/>
      <c r="D8468" s="953"/>
      <c r="E8468" s="953"/>
      <c r="F8468" s="953"/>
      <c r="G8468" s="953"/>
      <c r="H8468" s="953"/>
    </row>
    <row r="8469" spans="1:8" s="943" customFormat="1" x14ac:dyDescent="0.25">
      <c r="A8469" s="952"/>
      <c r="B8469" s="953"/>
      <c r="C8469" s="953"/>
      <c r="D8469" s="953"/>
      <c r="E8469" s="953"/>
      <c r="F8469" s="953"/>
      <c r="G8469" s="953"/>
      <c r="H8469" s="953"/>
    </row>
    <row r="8470" spans="1:8" s="943" customFormat="1" x14ac:dyDescent="0.25">
      <c r="A8470" s="952"/>
      <c r="B8470" s="953"/>
      <c r="C8470" s="953"/>
      <c r="D8470" s="953"/>
      <c r="E8470" s="953"/>
      <c r="F8470" s="953"/>
      <c r="G8470" s="953"/>
      <c r="H8470" s="953"/>
    </row>
    <row r="8471" spans="1:8" s="943" customFormat="1" x14ac:dyDescent="0.25">
      <c r="A8471" s="952"/>
      <c r="B8471" s="953"/>
      <c r="C8471" s="953"/>
      <c r="D8471" s="953"/>
      <c r="E8471" s="953"/>
      <c r="F8471" s="953"/>
      <c r="G8471" s="953"/>
      <c r="H8471" s="953"/>
    </row>
    <row r="8472" spans="1:8" s="943" customFormat="1" x14ac:dyDescent="0.25">
      <c r="A8472" s="952"/>
      <c r="B8472" s="953"/>
      <c r="C8472" s="953"/>
      <c r="D8472" s="953"/>
      <c r="E8472" s="953"/>
      <c r="F8472" s="953"/>
      <c r="G8472" s="953"/>
      <c r="H8472" s="953"/>
    </row>
    <row r="8473" spans="1:8" s="943" customFormat="1" x14ac:dyDescent="0.25">
      <c r="A8473" s="952"/>
      <c r="B8473" s="953"/>
      <c r="C8473" s="953"/>
      <c r="D8473" s="953"/>
      <c r="E8473" s="953"/>
      <c r="F8473" s="953"/>
      <c r="G8473" s="953"/>
      <c r="H8473" s="953"/>
    </row>
    <row r="8474" spans="1:8" s="943" customFormat="1" x14ac:dyDescent="0.25">
      <c r="A8474" s="952"/>
      <c r="B8474" s="953"/>
      <c r="C8474" s="953"/>
      <c r="D8474" s="953"/>
      <c r="E8474" s="953"/>
      <c r="F8474" s="953"/>
      <c r="G8474" s="953"/>
      <c r="H8474" s="953"/>
    </row>
    <row r="8475" spans="1:8" s="943" customFormat="1" x14ac:dyDescent="0.25">
      <c r="A8475" s="952"/>
      <c r="B8475" s="953"/>
      <c r="C8475" s="953"/>
      <c r="D8475" s="953"/>
      <c r="E8475" s="953"/>
      <c r="F8475" s="953"/>
      <c r="G8475" s="953"/>
      <c r="H8475" s="953"/>
    </row>
    <row r="8476" spans="1:8" s="943" customFormat="1" x14ac:dyDescent="0.25">
      <c r="A8476" s="952"/>
      <c r="B8476" s="953"/>
      <c r="C8476" s="953"/>
      <c r="D8476" s="953"/>
      <c r="E8476" s="953"/>
      <c r="F8476" s="953"/>
      <c r="G8476" s="953"/>
      <c r="H8476" s="953"/>
    </row>
    <row r="8477" spans="1:8" s="943" customFormat="1" x14ac:dyDescent="0.25">
      <c r="A8477" s="952"/>
      <c r="B8477" s="953"/>
      <c r="C8477" s="953"/>
      <c r="D8477" s="953"/>
      <c r="E8477" s="953"/>
      <c r="F8477" s="953"/>
      <c r="G8477" s="953"/>
      <c r="H8477" s="953"/>
    </row>
    <row r="8478" spans="1:8" s="943" customFormat="1" x14ac:dyDescent="0.25">
      <c r="A8478" s="952"/>
      <c r="B8478" s="953"/>
      <c r="C8478" s="953"/>
      <c r="D8478" s="953"/>
      <c r="E8478" s="953"/>
      <c r="F8478" s="953"/>
      <c r="G8478" s="953"/>
      <c r="H8478" s="953"/>
    </row>
    <row r="8479" spans="1:8" s="943" customFormat="1" x14ac:dyDescent="0.25">
      <c r="A8479" s="952"/>
      <c r="B8479" s="953"/>
      <c r="C8479" s="953"/>
      <c r="D8479" s="953"/>
      <c r="E8479" s="953"/>
      <c r="F8479" s="953"/>
      <c r="G8479" s="953"/>
      <c r="H8479" s="953"/>
    </row>
    <row r="8480" spans="1:8" s="943" customFormat="1" x14ac:dyDescent="0.25">
      <c r="A8480" s="952"/>
      <c r="B8480" s="953"/>
      <c r="C8480" s="953"/>
      <c r="D8480" s="953"/>
      <c r="E8480" s="953"/>
      <c r="F8480" s="953"/>
      <c r="G8480" s="953"/>
      <c r="H8480" s="953"/>
    </row>
    <row r="8481" spans="1:8" s="943" customFormat="1" x14ac:dyDescent="0.25">
      <c r="A8481" s="952"/>
      <c r="B8481" s="953"/>
      <c r="C8481" s="953"/>
      <c r="D8481" s="953"/>
      <c r="E8481" s="953"/>
      <c r="F8481" s="953"/>
      <c r="G8481" s="953"/>
      <c r="H8481" s="953"/>
    </row>
    <row r="8482" spans="1:8" s="943" customFormat="1" x14ac:dyDescent="0.25">
      <c r="A8482" s="952"/>
      <c r="B8482" s="953"/>
      <c r="C8482" s="953"/>
      <c r="D8482" s="953"/>
      <c r="E8482" s="953"/>
      <c r="F8482" s="953"/>
      <c r="G8482" s="953"/>
      <c r="H8482" s="953"/>
    </row>
    <row r="8483" spans="1:8" s="943" customFormat="1" x14ac:dyDescent="0.25">
      <c r="A8483" s="952"/>
      <c r="B8483" s="953"/>
      <c r="C8483" s="953"/>
      <c r="D8483" s="953"/>
      <c r="E8483" s="953"/>
      <c r="F8483" s="953"/>
      <c r="G8483" s="953"/>
      <c r="H8483" s="953"/>
    </row>
    <row r="8484" spans="1:8" s="943" customFormat="1" x14ac:dyDescent="0.25">
      <c r="A8484" s="952"/>
      <c r="B8484" s="953"/>
      <c r="C8484" s="953"/>
      <c r="D8484" s="953"/>
      <c r="E8484" s="953"/>
      <c r="F8484" s="953"/>
      <c r="G8484" s="953"/>
      <c r="H8484" s="953"/>
    </row>
    <row r="8485" spans="1:8" s="943" customFormat="1" x14ac:dyDescent="0.25">
      <c r="A8485" s="952"/>
      <c r="B8485" s="953"/>
      <c r="C8485" s="953"/>
      <c r="D8485" s="953"/>
      <c r="E8485" s="953"/>
      <c r="F8485" s="953"/>
      <c r="G8485" s="953"/>
      <c r="H8485" s="953"/>
    </row>
    <row r="8486" spans="1:8" s="943" customFormat="1" x14ac:dyDescent="0.25">
      <c r="A8486" s="952"/>
      <c r="B8486" s="953"/>
      <c r="C8486" s="953"/>
      <c r="D8486" s="953"/>
      <c r="E8486" s="953"/>
      <c r="F8486" s="953"/>
      <c r="G8486" s="953"/>
      <c r="H8486" s="953"/>
    </row>
    <row r="8487" spans="1:8" s="943" customFormat="1" x14ac:dyDescent="0.25">
      <c r="A8487" s="952"/>
      <c r="B8487" s="953"/>
      <c r="C8487" s="953"/>
      <c r="D8487" s="953"/>
      <c r="E8487" s="953"/>
      <c r="F8487" s="953"/>
      <c r="G8487" s="953"/>
      <c r="H8487" s="953"/>
    </row>
    <row r="8488" spans="1:8" s="943" customFormat="1" x14ac:dyDescent="0.25">
      <c r="A8488" s="952"/>
      <c r="B8488" s="953"/>
      <c r="C8488" s="953"/>
      <c r="D8488" s="953"/>
      <c r="E8488" s="953"/>
      <c r="F8488" s="953"/>
      <c r="G8488" s="953"/>
      <c r="H8488" s="953"/>
    </row>
    <row r="8489" spans="1:8" s="943" customFormat="1" x14ac:dyDescent="0.25">
      <c r="A8489" s="952"/>
      <c r="B8489" s="953"/>
      <c r="C8489" s="953"/>
      <c r="D8489" s="953"/>
      <c r="E8489" s="953"/>
      <c r="F8489" s="953"/>
      <c r="G8489" s="953"/>
      <c r="H8489" s="953"/>
    </row>
    <row r="8490" spans="1:8" s="943" customFormat="1" x14ac:dyDescent="0.25">
      <c r="A8490" s="952"/>
      <c r="B8490" s="953"/>
      <c r="C8490" s="953"/>
      <c r="D8490" s="953"/>
      <c r="E8490" s="953"/>
      <c r="F8490" s="953"/>
      <c r="G8490" s="953"/>
      <c r="H8490" s="953"/>
    </row>
    <row r="8491" spans="1:8" s="943" customFormat="1" x14ac:dyDescent="0.25">
      <c r="A8491" s="952"/>
      <c r="B8491" s="953"/>
      <c r="C8491" s="953"/>
      <c r="D8491" s="953"/>
      <c r="E8491" s="953"/>
      <c r="F8491" s="953"/>
      <c r="G8491" s="953"/>
      <c r="H8491" s="953"/>
    </row>
    <row r="8492" spans="1:8" s="943" customFormat="1" x14ac:dyDescent="0.25">
      <c r="A8492" s="952"/>
      <c r="B8492" s="953"/>
      <c r="C8492" s="953"/>
      <c r="D8492" s="953"/>
      <c r="E8492" s="953"/>
      <c r="F8492" s="953"/>
      <c r="G8492" s="953"/>
      <c r="H8492" s="953"/>
    </row>
    <row r="8493" spans="1:8" s="943" customFormat="1" x14ac:dyDescent="0.25">
      <c r="A8493" s="952"/>
      <c r="B8493" s="953"/>
      <c r="C8493" s="953"/>
      <c r="D8493" s="953"/>
      <c r="E8493" s="953"/>
      <c r="F8493" s="953"/>
      <c r="G8493" s="953"/>
      <c r="H8493" s="953"/>
    </row>
    <row r="8494" spans="1:8" s="943" customFormat="1" x14ac:dyDescent="0.25">
      <c r="A8494" s="952"/>
      <c r="B8494" s="953"/>
      <c r="C8494" s="953"/>
      <c r="D8494" s="953"/>
      <c r="E8494" s="953"/>
      <c r="F8494" s="953"/>
      <c r="G8494" s="953"/>
      <c r="H8494" s="953"/>
    </row>
    <row r="8495" spans="1:8" s="943" customFormat="1" x14ac:dyDescent="0.25">
      <c r="A8495" s="952"/>
      <c r="B8495" s="953"/>
      <c r="C8495" s="953"/>
      <c r="D8495" s="953"/>
      <c r="E8495" s="953"/>
      <c r="F8495" s="953"/>
      <c r="G8495" s="953"/>
      <c r="H8495" s="953"/>
    </row>
    <row r="8496" spans="1:8" s="943" customFormat="1" x14ac:dyDescent="0.25">
      <c r="A8496" s="952"/>
      <c r="B8496" s="953"/>
      <c r="C8496" s="953"/>
      <c r="D8496" s="953"/>
      <c r="E8496" s="953"/>
      <c r="F8496" s="953"/>
      <c r="G8496" s="953"/>
      <c r="H8496" s="953"/>
    </row>
    <row r="8497" spans="1:8" s="943" customFormat="1" x14ac:dyDescent="0.25">
      <c r="A8497" s="952"/>
      <c r="B8497" s="953"/>
      <c r="C8497" s="953"/>
      <c r="D8497" s="953"/>
      <c r="E8497" s="953"/>
      <c r="F8497" s="953"/>
      <c r="G8497" s="953"/>
      <c r="H8497" s="953"/>
    </row>
    <row r="8498" spans="1:8" s="943" customFormat="1" x14ac:dyDescent="0.25">
      <c r="A8498" s="952"/>
      <c r="B8498" s="953"/>
      <c r="C8498" s="953"/>
      <c r="D8498" s="953"/>
      <c r="E8498" s="953"/>
      <c r="F8498" s="953"/>
      <c r="G8498" s="953"/>
      <c r="H8498" s="953"/>
    </row>
    <row r="8499" spans="1:8" s="943" customFormat="1" x14ac:dyDescent="0.25">
      <c r="A8499" s="952"/>
      <c r="B8499" s="953"/>
      <c r="C8499" s="953"/>
      <c r="D8499" s="953"/>
      <c r="E8499" s="953"/>
      <c r="F8499" s="953"/>
      <c r="G8499" s="953"/>
      <c r="H8499" s="953"/>
    </row>
    <row r="8500" spans="1:8" s="943" customFormat="1" x14ac:dyDescent="0.25">
      <c r="A8500" s="952"/>
      <c r="B8500" s="953"/>
      <c r="C8500" s="953"/>
      <c r="D8500" s="953"/>
      <c r="E8500" s="953"/>
      <c r="F8500" s="953"/>
      <c r="G8500" s="953"/>
      <c r="H8500" s="953"/>
    </row>
    <row r="8501" spans="1:8" s="943" customFormat="1" x14ac:dyDescent="0.25">
      <c r="A8501" s="952"/>
      <c r="B8501" s="953"/>
      <c r="C8501" s="953"/>
      <c r="D8501" s="953"/>
      <c r="E8501" s="953"/>
      <c r="F8501" s="953"/>
      <c r="G8501" s="953"/>
      <c r="H8501" s="953"/>
    </row>
    <row r="8502" spans="1:8" s="943" customFormat="1" x14ac:dyDescent="0.25">
      <c r="A8502" s="952"/>
      <c r="B8502" s="953"/>
      <c r="C8502" s="953"/>
      <c r="D8502" s="953"/>
      <c r="E8502" s="953"/>
      <c r="F8502" s="953"/>
      <c r="G8502" s="953"/>
      <c r="H8502" s="953"/>
    </row>
    <row r="8503" spans="1:8" s="943" customFormat="1" x14ac:dyDescent="0.25">
      <c r="A8503" s="952"/>
      <c r="B8503" s="953"/>
      <c r="C8503" s="953"/>
      <c r="D8503" s="953"/>
      <c r="E8503" s="953"/>
      <c r="F8503" s="953"/>
      <c r="G8503" s="953"/>
      <c r="H8503" s="953"/>
    </row>
    <row r="8504" spans="1:8" s="943" customFormat="1" x14ac:dyDescent="0.25">
      <c r="A8504" s="952"/>
      <c r="B8504" s="953"/>
      <c r="C8504" s="953"/>
      <c r="D8504" s="953"/>
      <c r="E8504" s="953"/>
      <c r="F8504" s="953"/>
      <c r="G8504" s="953"/>
      <c r="H8504" s="953"/>
    </row>
    <row r="8505" spans="1:8" s="943" customFormat="1" x14ac:dyDescent="0.25">
      <c r="A8505" s="952"/>
      <c r="B8505" s="953"/>
      <c r="C8505" s="953"/>
      <c r="D8505" s="953"/>
      <c r="E8505" s="953"/>
      <c r="F8505" s="953"/>
      <c r="G8505" s="953"/>
      <c r="H8505" s="953"/>
    </row>
    <row r="8506" spans="1:8" s="943" customFormat="1" x14ac:dyDescent="0.25">
      <c r="A8506" s="952"/>
      <c r="B8506" s="953"/>
      <c r="C8506" s="953"/>
      <c r="D8506" s="953"/>
      <c r="E8506" s="953"/>
      <c r="F8506" s="953"/>
      <c r="G8506" s="953"/>
      <c r="H8506" s="953"/>
    </row>
    <row r="8507" spans="1:8" s="943" customFormat="1" x14ac:dyDescent="0.25">
      <c r="A8507" s="952"/>
      <c r="B8507" s="953"/>
      <c r="C8507" s="953"/>
      <c r="D8507" s="953"/>
      <c r="E8507" s="953"/>
      <c r="F8507" s="953"/>
      <c r="G8507" s="953"/>
      <c r="H8507" s="953"/>
    </row>
    <row r="8508" spans="1:8" s="943" customFormat="1" x14ac:dyDescent="0.25">
      <c r="A8508" s="952"/>
      <c r="B8508" s="953"/>
      <c r="C8508" s="953"/>
      <c r="D8508" s="953"/>
      <c r="E8508" s="953"/>
      <c r="F8508" s="953"/>
      <c r="G8508" s="953"/>
      <c r="H8508" s="953"/>
    </row>
    <row r="8509" spans="1:8" s="943" customFormat="1" x14ac:dyDescent="0.25">
      <c r="A8509" s="952"/>
      <c r="B8509" s="953"/>
      <c r="C8509" s="953"/>
      <c r="D8509" s="953"/>
      <c r="E8509" s="953"/>
      <c r="F8509" s="953"/>
      <c r="G8509" s="953"/>
      <c r="H8509" s="953"/>
    </row>
    <row r="8510" spans="1:8" s="943" customFormat="1" x14ac:dyDescent="0.25">
      <c r="A8510" s="952"/>
      <c r="B8510" s="953"/>
      <c r="C8510" s="953"/>
      <c r="D8510" s="953"/>
      <c r="E8510" s="953"/>
      <c r="F8510" s="953"/>
      <c r="G8510" s="953"/>
      <c r="H8510" s="953"/>
    </row>
    <row r="8511" spans="1:8" s="943" customFormat="1" x14ac:dyDescent="0.25">
      <c r="A8511" s="952"/>
      <c r="B8511" s="953"/>
      <c r="C8511" s="953"/>
      <c r="D8511" s="953"/>
      <c r="E8511" s="953"/>
      <c r="F8511" s="953"/>
      <c r="G8511" s="953"/>
      <c r="H8511" s="953"/>
    </row>
    <row r="8512" spans="1:8" s="943" customFormat="1" x14ac:dyDescent="0.25">
      <c r="A8512" s="952"/>
      <c r="B8512" s="953"/>
      <c r="C8512" s="953"/>
      <c r="D8512" s="953"/>
      <c r="E8512" s="953"/>
      <c r="F8512" s="953"/>
      <c r="G8512" s="953"/>
      <c r="H8512" s="953"/>
    </row>
    <row r="8513" spans="1:8" s="943" customFormat="1" x14ac:dyDescent="0.25">
      <c r="A8513" s="952"/>
      <c r="B8513" s="953"/>
      <c r="C8513" s="953"/>
      <c r="D8513" s="953"/>
      <c r="E8513" s="953"/>
      <c r="F8513" s="953"/>
      <c r="G8513" s="953"/>
      <c r="H8513" s="953"/>
    </row>
    <row r="8514" spans="1:8" s="943" customFormat="1" x14ac:dyDescent="0.25">
      <c r="A8514" s="952"/>
      <c r="B8514" s="953"/>
      <c r="C8514" s="953"/>
      <c r="D8514" s="953"/>
      <c r="E8514" s="953"/>
      <c r="F8514" s="953"/>
      <c r="G8514" s="953"/>
      <c r="H8514" s="953"/>
    </row>
    <row r="8515" spans="1:8" s="943" customFormat="1" x14ac:dyDescent="0.25">
      <c r="A8515" s="952"/>
      <c r="B8515" s="953"/>
      <c r="C8515" s="953"/>
      <c r="D8515" s="953"/>
      <c r="E8515" s="953"/>
      <c r="F8515" s="953"/>
      <c r="G8515" s="953"/>
      <c r="H8515" s="953"/>
    </row>
    <row r="8516" spans="1:8" s="943" customFormat="1" x14ac:dyDescent="0.25">
      <c r="A8516" s="952"/>
      <c r="B8516" s="953"/>
      <c r="C8516" s="953"/>
      <c r="D8516" s="953"/>
      <c r="E8516" s="953"/>
      <c r="F8516" s="953"/>
      <c r="G8516" s="953"/>
      <c r="H8516" s="953"/>
    </row>
    <row r="8517" spans="1:8" s="943" customFormat="1" x14ac:dyDescent="0.25">
      <c r="A8517" s="952"/>
      <c r="B8517" s="953"/>
      <c r="C8517" s="953"/>
      <c r="D8517" s="953"/>
      <c r="E8517" s="953"/>
      <c r="F8517" s="953"/>
      <c r="G8517" s="953"/>
      <c r="H8517" s="953"/>
    </row>
    <row r="8518" spans="1:8" s="943" customFormat="1" x14ac:dyDescent="0.25">
      <c r="A8518" s="952"/>
      <c r="B8518" s="953"/>
      <c r="C8518" s="953"/>
      <c r="D8518" s="953"/>
      <c r="E8518" s="953"/>
      <c r="F8518" s="953"/>
      <c r="G8518" s="953"/>
      <c r="H8518" s="953"/>
    </row>
    <row r="8519" spans="1:8" s="943" customFormat="1" x14ac:dyDescent="0.25">
      <c r="A8519" s="952"/>
      <c r="B8519" s="953"/>
      <c r="C8519" s="953"/>
      <c r="D8519" s="953"/>
      <c r="E8519" s="953"/>
      <c r="F8519" s="953"/>
      <c r="G8519" s="953"/>
      <c r="H8519" s="953"/>
    </row>
    <row r="8520" spans="1:8" s="943" customFormat="1" x14ac:dyDescent="0.25">
      <c r="A8520" s="952"/>
      <c r="B8520" s="953"/>
      <c r="C8520" s="953"/>
      <c r="D8520" s="953"/>
      <c r="E8520" s="953"/>
      <c r="F8520" s="953"/>
      <c r="G8520" s="953"/>
      <c r="H8520" s="953"/>
    </row>
    <row r="8521" spans="1:8" s="943" customFormat="1" x14ac:dyDescent="0.25">
      <c r="A8521" s="952"/>
      <c r="B8521" s="953"/>
      <c r="C8521" s="953"/>
      <c r="D8521" s="953"/>
      <c r="E8521" s="953"/>
      <c r="F8521" s="953"/>
      <c r="G8521" s="953"/>
      <c r="H8521" s="953"/>
    </row>
    <row r="8522" spans="1:8" s="943" customFormat="1" x14ac:dyDescent="0.25">
      <c r="A8522" s="952"/>
      <c r="B8522" s="953"/>
      <c r="C8522" s="953"/>
      <c r="D8522" s="953"/>
      <c r="E8522" s="953"/>
      <c r="F8522" s="953"/>
      <c r="G8522" s="953"/>
      <c r="H8522" s="953"/>
    </row>
    <row r="8523" spans="1:8" s="943" customFormat="1" x14ac:dyDescent="0.25">
      <c r="A8523" s="952"/>
      <c r="B8523" s="953"/>
      <c r="C8523" s="953"/>
      <c r="D8523" s="953"/>
      <c r="E8523" s="953"/>
      <c r="F8523" s="953"/>
      <c r="G8523" s="953"/>
      <c r="H8523" s="953"/>
    </row>
    <row r="8524" spans="1:8" s="943" customFormat="1" x14ac:dyDescent="0.25">
      <c r="A8524" s="952"/>
      <c r="B8524" s="953"/>
      <c r="C8524" s="953"/>
      <c r="D8524" s="953"/>
      <c r="E8524" s="953"/>
      <c r="F8524" s="953"/>
      <c r="G8524" s="953"/>
      <c r="H8524" s="953"/>
    </row>
    <row r="8525" spans="1:8" s="943" customFormat="1" x14ac:dyDescent="0.25">
      <c r="A8525" s="952"/>
      <c r="B8525" s="953"/>
      <c r="C8525" s="953"/>
      <c r="D8525" s="953"/>
      <c r="E8525" s="953"/>
      <c r="F8525" s="953"/>
      <c r="G8525" s="953"/>
      <c r="H8525" s="953"/>
    </row>
    <row r="8526" spans="1:8" s="943" customFormat="1" x14ac:dyDescent="0.25">
      <c r="A8526" s="952"/>
      <c r="B8526" s="953"/>
      <c r="C8526" s="953"/>
      <c r="D8526" s="953"/>
      <c r="E8526" s="953"/>
      <c r="F8526" s="953"/>
      <c r="G8526" s="953"/>
      <c r="H8526" s="953"/>
    </row>
    <row r="8527" spans="1:8" s="943" customFormat="1" x14ac:dyDescent="0.25">
      <c r="A8527" s="952"/>
      <c r="B8527" s="953"/>
      <c r="C8527" s="953"/>
      <c r="D8527" s="953"/>
      <c r="E8527" s="953"/>
      <c r="F8527" s="953"/>
      <c r="G8527" s="953"/>
      <c r="H8527" s="953"/>
    </row>
    <row r="8528" spans="1:8" s="943" customFormat="1" x14ac:dyDescent="0.25">
      <c r="A8528" s="952"/>
      <c r="B8528" s="953"/>
      <c r="C8528" s="953"/>
      <c r="D8528" s="953"/>
      <c r="E8528" s="953"/>
      <c r="F8528" s="953"/>
      <c r="G8528" s="953"/>
      <c r="H8528" s="953"/>
    </row>
    <row r="8529" spans="1:8" s="943" customFormat="1" x14ac:dyDescent="0.25">
      <c r="A8529" s="952"/>
      <c r="B8529" s="953"/>
      <c r="C8529" s="953"/>
      <c r="D8529" s="953"/>
      <c r="E8529" s="953"/>
      <c r="F8529" s="953"/>
      <c r="G8529" s="953"/>
      <c r="H8529" s="953"/>
    </row>
    <row r="8530" spans="1:8" s="943" customFormat="1" x14ac:dyDescent="0.25">
      <c r="A8530" s="952"/>
      <c r="B8530" s="953"/>
      <c r="C8530" s="953"/>
      <c r="D8530" s="953"/>
      <c r="E8530" s="953"/>
      <c r="F8530" s="953"/>
      <c r="G8530" s="953"/>
      <c r="H8530" s="953"/>
    </row>
    <row r="8531" spans="1:8" s="943" customFormat="1" x14ac:dyDescent="0.25">
      <c r="A8531" s="952"/>
      <c r="B8531" s="953"/>
      <c r="C8531" s="953"/>
      <c r="D8531" s="953"/>
      <c r="E8531" s="953"/>
      <c r="F8531" s="953"/>
      <c r="G8531" s="953"/>
      <c r="H8531" s="953"/>
    </row>
    <row r="8532" spans="1:8" s="943" customFormat="1" x14ac:dyDescent="0.25">
      <c r="A8532" s="952"/>
      <c r="B8532" s="953"/>
      <c r="C8532" s="953"/>
      <c r="D8532" s="953"/>
      <c r="E8532" s="953"/>
      <c r="F8532" s="953"/>
      <c r="G8532" s="953"/>
      <c r="H8532" s="953"/>
    </row>
    <row r="8533" spans="1:8" s="943" customFormat="1" x14ac:dyDescent="0.25">
      <c r="A8533" s="952"/>
      <c r="B8533" s="953"/>
      <c r="C8533" s="953"/>
      <c r="D8533" s="953"/>
      <c r="E8533" s="953"/>
      <c r="F8533" s="953"/>
      <c r="G8533" s="953"/>
      <c r="H8533" s="953"/>
    </row>
    <row r="8534" spans="1:8" s="943" customFormat="1" x14ac:dyDescent="0.25">
      <c r="A8534" s="952"/>
      <c r="B8534" s="953"/>
      <c r="C8534" s="953"/>
      <c r="D8534" s="953"/>
      <c r="E8534" s="953"/>
      <c r="F8534" s="953"/>
      <c r="G8534" s="953"/>
      <c r="H8534" s="953"/>
    </row>
    <row r="8535" spans="1:8" s="943" customFormat="1" x14ac:dyDescent="0.25">
      <c r="A8535" s="952"/>
      <c r="B8535" s="953"/>
      <c r="C8535" s="953"/>
      <c r="D8535" s="953"/>
      <c r="E8535" s="953"/>
      <c r="F8535" s="953"/>
      <c r="G8535" s="953"/>
      <c r="H8535" s="953"/>
    </row>
    <row r="8536" spans="1:8" s="943" customFormat="1" x14ac:dyDescent="0.25">
      <c r="A8536" s="952"/>
      <c r="B8536" s="953"/>
      <c r="C8536" s="953"/>
      <c r="D8536" s="953"/>
      <c r="E8536" s="953"/>
      <c r="F8536" s="953"/>
      <c r="G8536" s="953"/>
      <c r="H8536" s="953"/>
    </row>
    <row r="8537" spans="1:8" s="943" customFormat="1" x14ac:dyDescent="0.25">
      <c r="A8537" s="952"/>
      <c r="B8537" s="953"/>
      <c r="C8537" s="953"/>
      <c r="D8537" s="953"/>
      <c r="E8537" s="953"/>
      <c r="F8537" s="953"/>
      <c r="G8537" s="953"/>
      <c r="H8537" s="953"/>
    </row>
    <row r="8538" spans="1:8" s="943" customFormat="1" x14ac:dyDescent="0.25">
      <c r="A8538" s="952"/>
      <c r="B8538" s="953"/>
      <c r="C8538" s="953"/>
      <c r="D8538" s="953"/>
      <c r="E8538" s="953"/>
      <c r="F8538" s="953"/>
      <c r="G8538" s="953"/>
      <c r="H8538" s="953"/>
    </row>
    <row r="8539" spans="1:8" s="943" customFormat="1" x14ac:dyDescent="0.25">
      <c r="A8539" s="952"/>
      <c r="B8539" s="953"/>
      <c r="C8539" s="953"/>
      <c r="D8539" s="953"/>
      <c r="E8539" s="953"/>
      <c r="F8539" s="953"/>
      <c r="G8539" s="953"/>
      <c r="H8539" s="953"/>
    </row>
    <row r="8540" spans="1:8" s="943" customFormat="1" x14ac:dyDescent="0.25">
      <c r="A8540" s="952"/>
      <c r="B8540" s="953"/>
      <c r="C8540" s="953"/>
      <c r="D8540" s="953"/>
      <c r="E8540" s="953"/>
      <c r="F8540" s="953"/>
      <c r="G8540" s="953"/>
      <c r="H8540" s="953"/>
    </row>
    <row r="8541" spans="1:8" s="943" customFormat="1" x14ac:dyDescent="0.25">
      <c r="A8541" s="952"/>
      <c r="B8541" s="953"/>
      <c r="C8541" s="953"/>
      <c r="D8541" s="953"/>
      <c r="E8541" s="953"/>
      <c r="F8541" s="953"/>
      <c r="G8541" s="953"/>
      <c r="H8541" s="953"/>
    </row>
    <row r="8542" spans="1:8" s="943" customFormat="1" x14ac:dyDescent="0.25">
      <c r="A8542" s="952"/>
      <c r="B8542" s="953"/>
      <c r="C8542" s="953"/>
      <c r="D8542" s="953"/>
      <c r="E8542" s="953"/>
      <c r="F8542" s="953"/>
      <c r="G8542" s="953"/>
      <c r="H8542" s="953"/>
    </row>
    <row r="8543" spans="1:8" s="943" customFormat="1" x14ac:dyDescent="0.25">
      <c r="A8543" s="952"/>
      <c r="B8543" s="953"/>
      <c r="C8543" s="953"/>
      <c r="D8543" s="953"/>
      <c r="E8543" s="953"/>
      <c r="F8543" s="953"/>
      <c r="G8543" s="953"/>
      <c r="H8543" s="953"/>
    </row>
    <row r="8544" spans="1:8" s="943" customFormat="1" x14ac:dyDescent="0.25">
      <c r="A8544" s="952"/>
      <c r="B8544" s="953"/>
      <c r="C8544" s="953"/>
      <c r="D8544" s="953"/>
      <c r="E8544" s="953"/>
      <c r="F8544" s="953"/>
      <c r="G8544" s="953"/>
      <c r="H8544" s="953"/>
    </row>
    <row r="8545" spans="1:8" s="943" customFormat="1" x14ac:dyDescent="0.25">
      <c r="A8545" s="952"/>
      <c r="B8545" s="953"/>
      <c r="C8545" s="953"/>
      <c r="D8545" s="953"/>
      <c r="E8545" s="953"/>
      <c r="F8545" s="953"/>
      <c r="G8545" s="953"/>
      <c r="H8545" s="953"/>
    </row>
    <row r="8546" spans="1:8" s="943" customFormat="1" x14ac:dyDescent="0.25">
      <c r="A8546" s="952"/>
      <c r="B8546" s="953"/>
      <c r="C8546" s="953"/>
      <c r="D8546" s="953"/>
      <c r="E8546" s="953"/>
      <c r="F8546" s="953"/>
      <c r="G8546" s="953"/>
      <c r="H8546" s="953"/>
    </row>
    <row r="8547" spans="1:8" s="943" customFormat="1" x14ac:dyDescent="0.25">
      <c r="A8547" s="952"/>
      <c r="B8547" s="953"/>
      <c r="C8547" s="953"/>
      <c r="D8547" s="953"/>
      <c r="E8547" s="953"/>
      <c r="F8547" s="953"/>
      <c r="G8547" s="953"/>
      <c r="H8547" s="953"/>
    </row>
    <row r="8548" spans="1:8" s="943" customFormat="1" x14ac:dyDescent="0.25">
      <c r="A8548" s="952"/>
      <c r="B8548" s="953"/>
      <c r="C8548" s="953"/>
      <c r="D8548" s="953"/>
      <c r="E8548" s="953"/>
      <c r="F8548" s="953"/>
      <c r="G8548" s="953"/>
      <c r="H8548" s="953"/>
    </row>
    <row r="8549" spans="1:8" s="943" customFormat="1" x14ac:dyDescent="0.25">
      <c r="A8549" s="952"/>
      <c r="B8549" s="953"/>
      <c r="C8549" s="953"/>
      <c r="D8549" s="953"/>
      <c r="E8549" s="953"/>
      <c r="F8549" s="953"/>
      <c r="G8549" s="953"/>
      <c r="H8549" s="953"/>
    </row>
    <row r="8550" spans="1:8" s="943" customFormat="1" x14ac:dyDescent="0.25">
      <c r="A8550" s="952"/>
      <c r="B8550" s="953"/>
      <c r="C8550" s="953"/>
      <c r="D8550" s="953"/>
      <c r="E8550" s="953"/>
      <c r="F8550" s="953"/>
      <c r="G8550" s="953"/>
      <c r="H8550" s="953"/>
    </row>
    <row r="8551" spans="1:8" s="943" customFormat="1" x14ac:dyDescent="0.25">
      <c r="A8551" s="952"/>
      <c r="B8551" s="953"/>
      <c r="C8551" s="953"/>
      <c r="D8551" s="953"/>
      <c r="E8551" s="953"/>
      <c r="F8551" s="953"/>
      <c r="G8551" s="953"/>
      <c r="H8551" s="953"/>
    </row>
    <row r="8552" spans="1:8" s="943" customFormat="1" x14ac:dyDescent="0.25">
      <c r="A8552" s="952"/>
      <c r="B8552" s="953"/>
      <c r="C8552" s="953"/>
      <c r="D8552" s="953"/>
      <c r="E8552" s="953"/>
      <c r="F8552" s="953"/>
      <c r="G8552" s="953"/>
      <c r="H8552" s="953"/>
    </row>
    <row r="8553" spans="1:8" s="943" customFormat="1" x14ac:dyDescent="0.25">
      <c r="A8553" s="952"/>
      <c r="B8553" s="953"/>
      <c r="C8553" s="953"/>
      <c r="D8553" s="953"/>
      <c r="E8553" s="953"/>
      <c r="F8553" s="953"/>
      <c r="G8553" s="953"/>
      <c r="H8553" s="953"/>
    </row>
    <row r="8554" spans="1:8" s="943" customFormat="1" x14ac:dyDescent="0.25">
      <c r="A8554" s="952"/>
      <c r="B8554" s="953"/>
      <c r="C8554" s="953"/>
      <c r="D8554" s="953"/>
      <c r="E8554" s="953"/>
      <c r="F8554" s="953"/>
      <c r="G8554" s="953"/>
      <c r="H8554" s="953"/>
    </row>
    <row r="8555" spans="1:8" s="943" customFormat="1" x14ac:dyDescent="0.25">
      <c r="A8555" s="952"/>
      <c r="B8555" s="953"/>
      <c r="C8555" s="953"/>
      <c r="D8555" s="953"/>
      <c r="E8555" s="953"/>
      <c r="F8555" s="953"/>
      <c r="G8555" s="953"/>
      <c r="H8555" s="953"/>
    </row>
    <row r="8556" spans="1:8" s="943" customFormat="1" x14ac:dyDescent="0.25">
      <c r="A8556" s="952"/>
      <c r="B8556" s="953"/>
      <c r="C8556" s="953"/>
      <c r="D8556" s="953"/>
      <c r="E8556" s="953"/>
      <c r="F8556" s="953"/>
      <c r="G8556" s="953"/>
      <c r="H8556" s="953"/>
    </row>
    <row r="8557" spans="1:8" s="943" customFormat="1" x14ac:dyDescent="0.25">
      <c r="A8557" s="952"/>
      <c r="B8557" s="953"/>
      <c r="C8557" s="953"/>
      <c r="D8557" s="953"/>
      <c r="E8557" s="953"/>
      <c r="F8557" s="953"/>
      <c r="G8557" s="953"/>
      <c r="H8557" s="953"/>
    </row>
    <row r="8558" spans="1:8" s="943" customFormat="1" x14ac:dyDescent="0.25">
      <c r="A8558" s="952"/>
      <c r="B8558" s="953"/>
      <c r="C8558" s="953"/>
      <c r="D8558" s="953"/>
      <c r="E8558" s="953"/>
      <c r="F8558" s="953"/>
      <c r="G8558" s="953"/>
      <c r="H8558" s="953"/>
    </row>
    <row r="8559" spans="1:8" s="943" customFormat="1" x14ac:dyDescent="0.25">
      <c r="A8559" s="952"/>
      <c r="B8559" s="953"/>
      <c r="C8559" s="953"/>
      <c r="D8559" s="953"/>
      <c r="E8559" s="953"/>
      <c r="F8559" s="953"/>
      <c r="G8559" s="953"/>
      <c r="H8559" s="953"/>
    </row>
    <row r="8560" spans="1:8" s="943" customFormat="1" x14ac:dyDescent="0.25">
      <c r="A8560" s="952"/>
      <c r="B8560" s="953"/>
      <c r="C8560" s="953"/>
      <c r="D8560" s="953"/>
      <c r="E8560" s="953"/>
      <c r="F8560" s="953"/>
      <c r="G8560" s="953"/>
      <c r="H8560" s="953"/>
    </row>
    <row r="8561" spans="1:8" s="943" customFormat="1" x14ac:dyDescent="0.25">
      <c r="A8561" s="952"/>
      <c r="B8561" s="953"/>
      <c r="C8561" s="953"/>
      <c r="D8561" s="953"/>
      <c r="E8561" s="953"/>
      <c r="F8561" s="953"/>
      <c r="G8561" s="953"/>
      <c r="H8561" s="953"/>
    </row>
    <row r="8562" spans="1:8" s="943" customFormat="1" x14ac:dyDescent="0.25">
      <c r="A8562" s="952"/>
      <c r="B8562" s="953"/>
      <c r="C8562" s="953"/>
      <c r="D8562" s="953"/>
      <c r="E8562" s="953"/>
      <c r="F8562" s="953"/>
      <c r="G8562" s="953"/>
      <c r="H8562" s="953"/>
    </row>
    <row r="8563" spans="1:8" s="943" customFormat="1" x14ac:dyDescent="0.25">
      <c r="A8563" s="952"/>
      <c r="B8563" s="953"/>
      <c r="C8563" s="953"/>
      <c r="D8563" s="953"/>
      <c r="E8563" s="953"/>
      <c r="F8563" s="953"/>
      <c r="G8563" s="953"/>
      <c r="H8563" s="953"/>
    </row>
    <row r="8564" spans="1:8" s="943" customFormat="1" x14ac:dyDescent="0.25">
      <c r="A8564" s="952"/>
      <c r="B8564" s="953"/>
      <c r="C8564" s="953"/>
      <c r="D8564" s="953"/>
      <c r="E8564" s="953"/>
      <c r="F8564" s="953"/>
      <c r="G8564" s="953"/>
      <c r="H8564" s="953"/>
    </row>
    <row r="8565" spans="1:8" s="943" customFormat="1" x14ac:dyDescent="0.25">
      <c r="A8565" s="952"/>
      <c r="B8565" s="953"/>
      <c r="C8565" s="953"/>
      <c r="D8565" s="953"/>
      <c r="E8565" s="953"/>
      <c r="F8565" s="953"/>
      <c r="G8565" s="953"/>
      <c r="H8565" s="953"/>
    </row>
    <row r="8566" spans="1:8" s="943" customFormat="1" x14ac:dyDescent="0.25">
      <c r="A8566" s="952"/>
      <c r="B8566" s="953"/>
      <c r="C8566" s="953"/>
      <c r="D8566" s="953"/>
      <c r="E8566" s="953"/>
      <c r="F8566" s="953"/>
      <c r="G8566" s="953"/>
      <c r="H8566" s="953"/>
    </row>
    <row r="8567" spans="1:8" s="943" customFormat="1" x14ac:dyDescent="0.25">
      <c r="A8567" s="952"/>
      <c r="B8567" s="953"/>
      <c r="C8567" s="953"/>
      <c r="D8567" s="953"/>
      <c r="E8567" s="953"/>
      <c r="F8567" s="953"/>
      <c r="G8567" s="953"/>
      <c r="H8567" s="953"/>
    </row>
    <row r="8568" spans="1:8" s="943" customFormat="1" x14ac:dyDescent="0.25">
      <c r="A8568" s="952"/>
      <c r="B8568" s="953"/>
      <c r="C8568" s="953"/>
      <c r="D8568" s="953"/>
      <c r="E8568" s="953"/>
      <c r="F8568" s="953"/>
      <c r="G8568" s="953"/>
      <c r="H8568" s="953"/>
    </row>
    <row r="8569" spans="1:8" s="943" customFormat="1" x14ac:dyDescent="0.25">
      <c r="A8569" s="952"/>
      <c r="B8569" s="953"/>
      <c r="C8569" s="953"/>
      <c r="D8569" s="953"/>
      <c r="E8569" s="953"/>
      <c r="F8569" s="953"/>
      <c r="G8569" s="953"/>
      <c r="H8569" s="953"/>
    </row>
    <row r="8570" spans="1:8" s="943" customFormat="1" x14ac:dyDescent="0.25">
      <c r="A8570" s="952"/>
      <c r="B8570" s="953"/>
      <c r="C8570" s="953"/>
      <c r="D8570" s="953"/>
      <c r="E8570" s="953"/>
      <c r="F8570" s="953"/>
      <c r="G8570" s="953"/>
      <c r="H8570" s="953"/>
    </row>
    <row r="8571" spans="1:8" s="943" customFormat="1" x14ac:dyDescent="0.25">
      <c r="A8571" s="952"/>
      <c r="B8571" s="953"/>
      <c r="C8571" s="953"/>
      <c r="D8571" s="953"/>
      <c r="E8571" s="953"/>
      <c r="F8571" s="953"/>
      <c r="G8571" s="953"/>
      <c r="H8571" s="953"/>
    </row>
    <row r="8572" spans="1:8" s="943" customFormat="1" x14ac:dyDescent="0.25">
      <c r="A8572" s="952"/>
      <c r="B8572" s="953"/>
      <c r="C8572" s="953"/>
      <c r="D8572" s="953"/>
      <c r="E8572" s="953"/>
      <c r="F8572" s="953"/>
      <c r="G8572" s="953"/>
      <c r="H8572" s="953"/>
    </row>
    <row r="8573" spans="1:8" s="943" customFormat="1" x14ac:dyDescent="0.25">
      <c r="A8573" s="952"/>
      <c r="B8573" s="953"/>
      <c r="C8573" s="953"/>
      <c r="D8573" s="953"/>
      <c r="E8573" s="953"/>
      <c r="F8573" s="953"/>
      <c r="G8573" s="953"/>
      <c r="H8573" s="953"/>
    </row>
    <row r="8574" spans="1:8" s="943" customFormat="1" x14ac:dyDescent="0.25">
      <c r="A8574" s="952"/>
      <c r="B8574" s="953"/>
      <c r="C8574" s="953"/>
      <c r="D8574" s="953"/>
      <c r="E8574" s="953"/>
      <c r="F8574" s="953"/>
      <c r="G8574" s="953"/>
      <c r="H8574" s="953"/>
    </row>
    <row r="8575" spans="1:8" s="943" customFormat="1" x14ac:dyDescent="0.25">
      <c r="A8575" s="952"/>
      <c r="B8575" s="953"/>
      <c r="C8575" s="953"/>
      <c r="D8575" s="953"/>
      <c r="E8575" s="953"/>
      <c r="F8575" s="953"/>
      <c r="G8575" s="953"/>
      <c r="H8575" s="953"/>
    </row>
    <row r="8576" spans="1:8" s="943" customFormat="1" x14ac:dyDescent="0.25">
      <c r="A8576" s="952"/>
      <c r="B8576" s="953"/>
      <c r="C8576" s="953"/>
      <c r="D8576" s="953"/>
      <c r="E8576" s="953"/>
      <c r="F8576" s="953"/>
      <c r="G8576" s="953"/>
      <c r="H8576" s="953"/>
    </row>
    <row r="8577" spans="1:8" s="943" customFormat="1" x14ac:dyDescent="0.25">
      <c r="A8577" s="952"/>
      <c r="B8577" s="953"/>
      <c r="C8577" s="953"/>
      <c r="D8577" s="953"/>
      <c r="E8577" s="953"/>
      <c r="F8577" s="953"/>
      <c r="G8577" s="953"/>
      <c r="H8577" s="953"/>
    </row>
    <row r="8578" spans="1:8" s="943" customFormat="1" x14ac:dyDescent="0.25">
      <c r="A8578" s="952"/>
      <c r="B8578" s="953"/>
      <c r="C8578" s="953"/>
      <c r="D8578" s="953"/>
      <c r="E8578" s="953"/>
      <c r="F8578" s="953"/>
      <c r="G8578" s="953"/>
      <c r="H8578" s="953"/>
    </row>
    <row r="8579" spans="1:8" s="943" customFormat="1" x14ac:dyDescent="0.25">
      <c r="A8579" s="952"/>
      <c r="B8579" s="953"/>
      <c r="C8579" s="953"/>
      <c r="D8579" s="953"/>
      <c r="E8579" s="953"/>
      <c r="F8579" s="953"/>
      <c r="G8579" s="953"/>
      <c r="H8579" s="953"/>
    </row>
    <row r="8580" spans="1:8" s="943" customFormat="1" x14ac:dyDescent="0.25">
      <c r="A8580" s="952"/>
      <c r="B8580" s="953"/>
      <c r="C8580" s="953"/>
      <c r="D8580" s="953"/>
      <c r="E8580" s="953"/>
      <c r="F8580" s="953"/>
      <c r="G8580" s="953"/>
      <c r="H8580" s="953"/>
    </row>
    <row r="8581" spans="1:8" s="943" customFormat="1" x14ac:dyDescent="0.25">
      <c r="A8581" s="952"/>
      <c r="B8581" s="953"/>
      <c r="C8581" s="953"/>
      <c r="D8581" s="953"/>
      <c r="E8581" s="953"/>
      <c r="F8581" s="953"/>
      <c r="G8581" s="953"/>
      <c r="H8581" s="953"/>
    </row>
    <row r="8582" spans="1:8" s="943" customFormat="1" x14ac:dyDescent="0.25">
      <c r="A8582" s="952"/>
      <c r="B8582" s="953"/>
      <c r="C8582" s="953"/>
      <c r="D8582" s="953"/>
      <c r="E8582" s="953"/>
      <c r="F8582" s="953"/>
      <c r="G8582" s="953"/>
      <c r="H8582" s="953"/>
    </row>
    <row r="8583" spans="1:8" s="943" customFormat="1" x14ac:dyDescent="0.25">
      <c r="A8583" s="952"/>
      <c r="B8583" s="953"/>
      <c r="C8583" s="953"/>
      <c r="D8583" s="953"/>
      <c r="E8583" s="953"/>
      <c r="F8583" s="953"/>
      <c r="G8583" s="953"/>
      <c r="H8583" s="953"/>
    </row>
    <row r="8584" spans="1:8" s="943" customFormat="1" x14ac:dyDescent="0.25">
      <c r="A8584" s="952"/>
      <c r="B8584" s="953"/>
      <c r="C8584" s="953"/>
      <c r="D8584" s="953"/>
      <c r="E8584" s="953"/>
      <c r="F8584" s="953"/>
      <c r="G8584" s="953"/>
      <c r="H8584" s="953"/>
    </row>
    <row r="8585" spans="1:8" s="943" customFormat="1" x14ac:dyDescent="0.25">
      <c r="A8585" s="952"/>
      <c r="B8585" s="953"/>
      <c r="C8585" s="953"/>
      <c r="D8585" s="953"/>
      <c r="E8585" s="953"/>
      <c r="F8585" s="953"/>
      <c r="G8585" s="953"/>
      <c r="H8585" s="953"/>
    </row>
    <row r="8586" spans="1:8" s="943" customFormat="1" x14ac:dyDescent="0.25">
      <c r="A8586" s="952"/>
      <c r="B8586" s="953"/>
      <c r="C8586" s="953"/>
      <c r="D8586" s="953"/>
      <c r="E8586" s="953"/>
      <c r="F8586" s="953"/>
      <c r="G8586" s="953"/>
      <c r="H8586" s="953"/>
    </row>
    <row r="8587" spans="1:8" s="943" customFormat="1" x14ac:dyDescent="0.25">
      <c r="A8587" s="952"/>
      <c r="B8587" s="953"/>
      <c r="C8587" s="953"/>
      <c r="D8587" s="953"/>
      <c r="E8587" s="953"/>
      <c r="F8587" s="953"/>
      <c r="G8587" s="953"/>
      <c r="H8587" s="953"/>
    </row>
    <row r="8588" spans="1:8" s="943" customFormat="1" x14ac:dyDescent="0.25">
      <c r="A8588" s="952"/>
      <c r="B8588" s="953"/>
      <c r="C8588" s="953"/>
      <c r="D8588" s="953"/>
      <c r="E8588" s="953"/>
      <c r="F8588" s="953"/>
      <c r="G8588" s="953"/>
      <c r="H8588" s="953"/>
    </row>
    <row r="8589" spans="1:8" s="943" customFormat="1" x14ac:dyDescent="0.25">
      <c r="A8589" s="952"/>
      <c r="B8589" s="953"/>
      <c r="C8589" s="953"/>
      <c r="D8589" s="953"/>
      <c r="E8589" s="953"/>
      <c r="F8589" s="953"/>
      <c r="G8589" s="953"/>
      <c r="H8589" s="953"/>
    </row>
    <row r="8590" spans="1:8" s="943" customFormat="1" x14ac:dyDescent="0.25">
      <c r="A8590" s="952"/>
      <c r="B8590" s="953"/>
      <c r="C8590" s="953"/>
      <c r="D8590" s="953"/>
      <c r="E8590" s="953"/>
      <c r="F8590" s="953"/>
      <c r="G8590" s="953"/>
      <c r="H8590" s="953"/>
    </row>
    <row r="8591" spans="1:8" s="943" customFormat="1" x14ac:dyDescent="0.25">
      <c r="A8591" s="952"/>
      <c r="B8591" s="953"/>
      <c r="C8591" s="953"/>
      <c r="D8591" s="953"/>
      <c r="E8591" s="953"/>
      <c r="F8591" s="953"/>
      <c r="G8591" s="953"/>
      <c r="H8591" s="953"/>
    </row>
    <row r="8592" spans="1:8" s="943" customFormat="1" x14ac:dyDescent="0.25">
      <c r="A8592" s="952"/>
      <c r="B8592" s="953"/>
      <c r="C8592" s="953"/>
      <c r="D8592" s="953"/>
      <c r="E8592" s="953"/>
      <c r="F8592" s="953"/>
      <c r="G8592" s="953"/>
      <c r="H8592" s="953"/>
    </row>
    <row r="8593" spans="1:8" s="943" customFormat="1" x14ac:dyDescent="0.25">
      <c r="A8593" s="952"/>
      <c r="B8593" s="953"/>
      <c r="C8593" s="953"/>
      <c r="D8593" s="953"/>
      <c r="E8593" s="953"/>
      <c r="F8593" s="953"/>
      <c r="G8593" s="953"/>
      <c r="H8593" s="953"/>
    </row>
    <row r="8594" spans="1:8" s="943" customFormat="1" x14ac:dyDescent="0.25">
      <c r="A8594" s="952"/>
      <c r="B8594" s="953"/>
      <c r="C8594" s="953"/>
      <c r="D8594" s="953"/>
      <c r="E8594" s="953"/>
      <c r="F8594" s="953"/>
      <c r="G8594" s="953"/>
      <c r="H8594" s="953"/>
    </row>
    <row r="8595" spans="1:8" s="943" customFormat="1" x14ac:dyDescent="0.25">
      <c r="A8595" s="952"/>
      <c r="B8595" s="953"/>
      <c r="C8595" s="953"/>
      <c r="D8595" s="953"/>
      <c r="E8595" s="953"/>
      <c r="F8595" s="953"/>
      <c r="G8595" s="953"/>
      <c r="H8595" s="953"/>
    </row>
    <row r="8596" spans="1:8" s="943" customFormat="1" x14ac:dyDescent="0.25">
      <c r="A8596" s="952"/>
      <c r="B8596" s="953"/>
      <c r="C8596" s="953"/>
      <c r="D8596" s="953"/>
      <c r="E8596" s="953"/>
      <c r="F8596" s="953"/>
      <c r="G8596" s="953"/>
      <c r="H8596" s="953"/>
    </row>
    <row r="8597" spans="1:8" s="943" customFormat="1" x14ac:dyDescent="0.25">
      <c r="A8597" s="952"/>
      <c r="B8597" s="953"/>
      <c r="C8597" s="953"/>
      <c r="D8597" s="953"/>
      <c r="E8597" s="953"/>
      <c r="F8597" s="953"/>
      <c r="G8597" s="953"/>
      <c r="H8597" s="953"/>
    </row>
    <row r="8598" spans="1:8" s="943" customFormat="1" x14ac:dyDescent="0.25">
      <c r="A8598" s="952"/>
      <c r="B8598" s="953"/>
      <c r="C8598" s="953"/>
      <c r="D8598" s="953"/>
      <c r="E8598" s="953"/>
      <c r="F8598" s="953"/>
      <c r="G8598" s="953"/>
      <c r="H8598" s="953"/>
    </row>
    <row r="8599" spans="1:8" s="943" customFormat="1" x14ac:dyDescent="0.25">
      <c r="A8599" s="952"/>
      <c r="B8599" s="953"/>
      <c r="C8599" s="953"/>
      <c r="D8599" s="953"/>
      <c r="E8599" s="953"/>
      <c r="F8599" s="953"/>
      <c r="G8599" s="953"/>
      <c r="H8599" s="953"/>
    </row>
    <row r="8600" spans="1:8" s="943" customFormat="1" x14ac:dyDescent="0.25">
      <c r="A8600" s="952"/>
      <c r="B8600" s="953"/>
      <c r="C8600" s="953"/>
      <c r="D8600" s="953"/>
      <c r="E8600" s="953"/>
      <c r="F8600" s="953"/>
      <c r="G8600" s="953"/>
      <c r="H8600" s="953"/>
    </row>
    <row r="8601" spans="1:8" s="943" customFormat="1" x14ac:dyDescent="0.25">
      <c r="A8601" s="952"/>
      <c r="B8601" s="953"/>
      <c r="C8601" s="953"/>
      <c r="D8601" s="953"/>
      <c r="E8601" s="953"/>
      <c r="F8601" s="953"/>
      <c r="G8601" s="953"/>
      <c r="H8601" s="953"/>
    </row>
    <row r="8602" spans="1:8" s="943" customFormat="1" x14ac:dyDescent="0.25">
      <c r="A8602" s="952"/>
      <c r="B8602" s="953"/>
      <c r="C8602" s="953"/>
      <c r="D8602" s="953"/>
      <c r="E8602" s="953"/>
      <c r="F8602" s="953"/>
      <c r="G8602" s="953"/>
      <c r="H8602" s="953"/>
    </row>
    <row r="8603" spans="1:8" s="943" customFormat="1" x14ac:dyDescent="0.25">
      <c r="A8603" s="952"/>
      <c r="B8603" s="953"/>
      <c r="C8603" s="953"/>
      <c r="D8603" s="953"/>
      <c r="E8603" s="953"/>
      <c r="F8603" s="953"/>
      <c r="G8603" s="953"/>
      <c r="H8603" s="953"/>
    </row>
    <row r="8604" spans="1:8" s="943" customFormat="1" x14ac:dyDescent="0.25">
      <c r="A8604" s="952"/>
      <c r="B8604" s="953"/>
      <c r="C8604" s="953"/>
      <c r="D8604" s="953"/>
      <c r="E8604" s="953"/>
      <c r="F8604" s="953"/>
      <c r="G8604" s="953"/>
      <c r="H8604" s="953"/>
    </row>
    <row r="8605" spans="1:8" s="943" customFormat="1" x14ac:dyDescent="0.25">
      <c r="A8605" s="952"/>
      <c r="B8605" s="953"/>
      <c r="C8605" s="953"/>
      <c r="D8605" s="953"/>
      <c r="E8605" s="953"/>
      <c r="F8605" s="953"/>
      <c r="G8605" s="953"/>
      <c r="H8605" s="953"/>
    </row>
    <row r="8606" spans="1:8" s="943" customFormat="1" x14ac:dyDescent="0.25">
      <c r="A8606" s="952"/>
      <c r="B8606" s="953"/>
      <c r="C8606" s="953"/>
      <c r="D8606" s="953"/>
      <c r="E8606" s="953"/>
      <c r="F8606" s="953"/>
      <c r="G8606" s="953"/>
      <c r="H8606" s="953"/>
    </row>
    <row r="8607" spans="1:8" s="943" customFormat="1" x14ac:dyDescent="0.25">
      <c r="A8607" s="952"/>
      <c r="B8607" s="953"/>
      <c r="C8607" s="953"/>
      <c r="D8607" s="953"/>
      <c r="E8607" s="953"/>
      <c r="F8607" s="953"/>
      <c r="G8607" s="953"/>
      <c r="H8607" s="953"/>
    </row>
    <row r="8608" spans="1:8" s="943" customFormat="1" x14ac:dyDescent="0.25">
      <c r="A8608" s="952"/>
      <c r="B8608" s="953"/>
      <c r="C8608" s="953"/>
      <c r="D8608" s="953"/>
      <c r="E8608" s="953"/>
      <c r="F8608" s="953"/>
      <c r="G8608" s="953"/>
      <c r="H8608" s="953"/>
    </row>
    <row r="8609" spans="1:8" s="943" customFormat="1" x14ac:dyDescent="0.25">
      <c r="A8609" s="952"/>
      <c r="B8609" s="953"/>
      <c r="C8609" s="953"/>
      <c r="D8609" s="953"/>
      <c r="E8609" s="953"/>
      <c r="F8609" s="953"/>
      <c r="G8609" s="953"/>
      <c r="H8609" s="953"/>
    </row>
    <row r="8610" spans="1:8" s="943" customFormat="1" x14ac:dyDescent="0.25">
      <c r="A8610" s="952"/>
      <c r="B8610" s="953"/>
      <c r="C8610" s="953"/>
      <c r="D8610" s="953"/>
      <c r="E8610" s="953"/>
      <c r="F8610" s="953"/>
      <c r="G8610" s="953"/>
      <c r="H8610" s="953"/>
    </row>
    <row r="8611" spans="1:8" s="943" customFormat="1" x14ac:dyDescent="0.25">
      <c r="A8611" s="952"/>
      <c r="B8611" s="953"/>
      <c r="C8611" s="953"/>
      <c r="D8611" s="953"/>
      <c r="E8611" s="953"/>
      <c r="F8611" s="953"/>
      <c r="G8611" s="953"/>
      <c r="H8611" s="953"/>
    </row>
    <row r="8612" spans="1:8" s="943" customFormat="1" x14ac:dyDescent="0.25">
      <c r="A8612" s="952"/>
      <c r="B8612" s="953"/>
      <c r="C8612" s="953"/>
      <c r="D8612" s="953"/>
      <c r="E8612" s="953"/>
      <c r="F8612" s="953"/>
      <c r="G8612" s="953"/>
      <c r="H8612" s="953"/>
    </row>
    <row r="8613" spans="1:8" s="943" customFormat="1" x14ac:dyDescent="0.25">
      <c r="A8613" s="952"/>
      <c r="B8613" s="953"/>
      <c r="C8613" s="953"/>
      <c r="D8613" s="953"/>
      <c r="E8613" s="953"/>
      <c r="F8613" s="953"/>
      <c r="G8613" s="953"/>
      <c r="H8613" s="953"/>
    </row>
    <row r="8614" spans="1:8" s="943" customFormat="1" x14ac:dyDescent="0.25">
      <c r="A8614" s="952"/>
      <c r="B8614" s="953"/>
      <c r="C8614" s="953"/>
      <c r="D8614" s="953"/>
      <c r="E8614" s="953"/>
      <c r="F8614" s="953"/>
      <c r="G8614" s="953"/>
      <c r="H8614" s="953"/>
    </row>
    <row r="8615" spans="1:8" s="943" customFormat="1" x14ac:dyDescent="0.25">
      <c r="A8615" s="952"/>
      <c r="B8615" s="953"/>
      <c r="C8615" s="953"/>
      <c r="D8615" s="953"/>
      <c r="E8615" s="953"/>
      <c r="F8615" s="953"/>
      <c r="G8615" s="953"/>
      <c r="H8615" s="953"/>
    </row>
    <row r="8616" spans="1:8" s="943" customFormat="1" x14ac:dyDescent="0.25">
      <c r="A8616" s="952"/>
      <c r="B8616" s="953"/>
      <c r="C8616" s="953"/>
      <c r="D8616" s="953"/>
      <c r="E8616" s="953"/>
      <c r="F8616" s="953"/>
      <c r="G8616" s="953"/>
      <c r="H8616" s="953"/>
    </row>
    <row r="8617" spans="1:8" s="943" customFormat="1" x14ac:dyDescent="0.25">
      <c r="A8617" s="952"/>
      <c r="B8617" s="953"/>
      <c r="C8617" s="953"/>
      <c r="D8617" s="953"/>
      <c r="E8617" s="953"/>
      <c r="F8617" s="953"/>
      <c r="G8617" s="953"/>
      <c r="H8617" s="953"/>
    </row>
    <row r="8618" spans="1:8" s="943" customFormat="1" x14ac:dyDescent="0.25">
      <c r="A8618" s="952"/>
      <c r="B8618" s="953"/>
      <c r="C8618" s="953"/>
      <c r="D8618" s="953"/>
      <c r="E8618" s="953"/>
      <c r="F8618" s="953"/>
      <c r="G8618" s="953"/>
      <c r="H8618" s="953"/>
    </row>
    <row r="8619" spans="1:8" s="943" customFormat="1" x14ac:dyDescent="0.25">
      <c r="A8619" s="952"/>
      <c r="B8619" s="953"/>
      <c r="C8619" s="953"/>
      <c r="D8619" s="953"/>
      <c r="E8619" s="953"/>
      <c r="F8619" s="953"/>
      <c r="G8619" s="953"/>
      <c r="H8619" s="953"/>
    </row>
    <row r="8620" spans="1:8" s="943" customFormat="1" x14ac:dyDescent="0.25">
      <c r="A8620" s="952"/>
      <c r="B8620" s="953"/>
      <c r="C8620" s="953"/>
      <c r="D8620" s="953"/>
      <c r="E8620" s="953"/>
      <c r="F8620" s="953"/>
      <c r="G8620" s="953"/>
      <c r="H8620" s="953"/>
    </row>
    <row r="8621" spans="1:8" s="943" customFormat="1" x14ac:dyDescent="0.25">
      <c r="A8621" s="952"/>
      <c r="B8621" s="953"/>
      <c r="C8621" s="953"/>
      <c r="D8621" s="953"/>
      <c r="E8621" s="953"/>
      <c r="F8621" s="953"/>
      <c r="G8621" s="953"/>
      <c r="H8621" s="953"/>
    </row>
    <row r="8622" spans="1:8" s="943" customFormat="1" x14ac:dyDescent="0.25">
      <c r="A8622" s="952"/>
      <c r="B8622" s="953"/>
      <c r="C8622" s="953"/>
      <c r="D8622" s="953"/>
      <c r="E8622" s="953"/>
      <c r="F8622" s="953"/>
      <c r="G8622" s="953"/>
      <c r="H8622" s="953"/>
    </row>
    <row r="8623" spans="1:8" s="943" customFormat="1" x14ac:dyDescent="0.25">
      <c r="A8623" s="952"/>
      <c r="B8623" s="953"/>
      <c r="C8623" s="953"/>
      <c r="D8623" s="953"/>
      <c r="E8623" s="953"/>
      <c r="F8623" s="953"/>
      <c r="G8623" s="953"/>
      <c r="H8623" s="953"/>
    </row>
    <row r="8624" spans="1:8" s="943" customFormat="1" x14ac:dyDescent="0.25">
      <c r="A8624" s="952"/>
      <c r="B8624" s="953"/>
      <c r="C8624" s="953"/>
      <c r="D8624" s="953"/>
      <c r="E8624" s="953"/>
      <c r="F8624" s="953"/>
      <c r="G8624" s="953"/>
      <c r="H8624" s="953"/>
    </row>
    <row r="8625" spans="1:8" s="943" customFormat="1" x14ac:dyDescent="0.25">
      <c r="A8625" s="952"/>
      <c r="B8625" s="953"/>
      <c r="C8625" s="953"/>
      <c r="D8625" s="953"/>
      <c r="E8625" s="953"/>
      <c r="F8625" s="953"/>
      <c r="G8625" s="953"/>
      <c r="H8625" s="953"/>
    </row>
    <row r="8626" spans="1:8" s="943" customFormat="1" x14ac:dyDescent="0.25">
      <c r="A8626" s="952"/>
      <c r="B8626" s="953"/>
      <c r="C8626" s="953"/>
      <c r="D8626" s="953"/>
      <c r="E8626" s="953"/>
      <c r="F8626" s="953"/>
      <c r="G8626" s="953"/>
      <c r="H8626" s="953"/>
    </row>
    <row r="8627" spans="1:8" s="943" customFormat="1" x14ac:dyDescent="0.25">
      <c r="A8627" s="952"/>
      <c r="B8627" s="953"/>
      <c r="C8627" s="953"/>
      <c r="D8627" s="953"/>
      <c r="E8627" s="953"/>
      <c r="F8627" s="953"/>
      <c r="G8627" s="953"/>
      <c r="H8627" s="953"/>
    </row>
    <row r="8628" spans="1:8" s="943" customFormat="1" x14ac:dyDescent="0.25">
      <c r="A8628" s="952"/>
      <c r="B8628" s="953"/>
      <c r="C8628" s="953"/>
      <c r="D8628" s="953"/>
      <c r="E8628" s="953"/>
      <c r="F8628" s="953"/>
      <c r="G8628" s="953"/>
      <c r="H8628" s="953"/>
    </row>
    <row r="8629" spans="1:8" s="943" customFormat="1" x14ac:dyDescent="0.25">
      <c r="A8629" s="952"/>
      <c r="B8629" s="953"/>
      <c r="C8629" s="953"/>
      <c r="D8629" s="953"/>
      <c r="E8629" s="953"/>
      <c r="F8629" s="953"/>
      <c r="G8629" s="953"/>
      <c r="H8629" s="953"/>
    </row>
    <row r="8630" spans="1:8" s="943" customFormat="1" x14ac:dyDescent="0.25">
      <c r="A8630" s="952"/>
      <c r="B8630" s="953"/>
      <c r="C8630" s="953"/>
      <c r="D8630" s="953"/>
      <c r="E8630" s="953"/>
      <c r="F8630" s="953"/>
      <c r="G8630" s="953"/>
      <c r="H8630" s="953"/>
    </row>
    <row r="8631" spans="1:8" s="943" customFormat="1" x14ac:dyDescent="0.25">
      <c r="A8631" s="952"/>
      <c r="B8631" s="953"/>
      <c r="C8631" s="953"/>
      <c r="D8631" s="953"/>
      <c r="E8631" s="953"/>
      <c r="F8631" s="953"/>
      <c r="G8631" s="953"/>
      <c r="H8631" s="953"/>
    </row>
    <row r="8632" spans="1:8" s="943" customFormat="1" x14ac:dyDescent="0.25">
      <c r="A8632" s="952"/>
      <c r="B8632" s="953"/>
      <c r="C8632" s="953"/>
      <c r="D8632" s="953"/>
      <c r="E8632" s="953"/>
      <c r="F8632" s="953"/>
      <c r="G8632" s="953"/>
      <c r="H8632" s="953"/>
    </row>
    <row r="8633" spans="1:8" s="943" customFormat="1" x14ac:dyDescent="0.25">
      <c r="A8633" s="952"/>
      <c r="B8633" s="953"/>
      <c r="C8633" s="953"/>
      <c r="D8633" s="953"/>
      <c r="E8633" s="953"/>
      <c r="F8633" s="953"/>
      <c r="G8633" s="953"/>
      <c r="H8633" s="953"/>
    </row>
    <row r="8634" spans="1:8" s="943" customFormat="1" x14ac:dyDescent="0.25">
      <c r="A8634" s="952"/>
      <c r="B8634" s="953"/>
      <c r="C8634" s="953"/>
      <c r="D8634" s="953"/>
      <c r="E8634" s="953"/>
      <c r="F8634" s="953"/>
      <c r="G8634" s="953"/>
      <c r="H8634" s="953"/>
    </row>
    <row r="8635" spans="1:8" s="943" customFormat="1" x14ac:dyDescent="0.25">
      <c r="A8635" s="952"/>
      <c r="B8635" s="953"/>
      <c r="C8635" s="953"/>
      <c r="D8635" s="953"/>
      <c r="E8635" s="953"/>
      <c r="F8635" s="953"/>
      <c r="G8635" s="953"/>
      <c r="H8635" s="953"/>
    </row>
    <row r="8636" spans="1:8" s="943" customFormat="1" x14ac:dyDescent="0.25">
      <c r="A8636" s="952"/>
      <c r="B8636" s="953"/>
      <c r="C8636" s="953"/>
      <c r="D8636" s="953"/>
      <c r="E8636" s="953"/>
      <c r="F8636" s="953"/>
      <c r="G8636" s="953"/>
      <c r="H8636" s="953"/>
    </row>
    <row r="8637" spans="1:8" s="943" customFormat="1" x14ac:dyDescent="0.25">
      <c r="A8637" s="952"/>
      <c r="B8637" s="953"/>
      <c r="C8637" s="953"/>
      <c r="D8637" s="953"/>
      <c r="E8637" s="953"/>
      <c r="F8637" s="953"/>
      <c r="G8637" s="953"/>
      <c r="H8637" s="953"/>
    </row>
    <row r="8638" spans="1:8" s="943" customFormat="1" x14ac:dyDescent="0.25">
      <c r="A8638" s="952"/>
      <c r="B8638" s="953"/>
      <c r="C8638" s="953"/>
      <c r="D8638" s="953"/>
      <c r="E8638" s="953"/>
      <c r="F8638" s="953"/>
      <c r="G8638" s="953"/>
      <c r="H8638" s="953"/>
    </row>
    <row r="8639" spans="1:8" s="943" customFormat="1" x14ac:dyDescent="0.25">
      <c r="A8639" s="952"/>
      <c r="B8639" s="953"/>
      <c r="C8639" s="953"/>
      <c r="D8639" s="953"/>
      <c r="E8639" s="953"/>
      <c r="F8639" s="953"/>
      <c r="G8639" s="953"/>
      <c r="H8639" s="953"/>
    </row>
    <row r="8640" spans="1:8" s="943" customFormat="1" x14ac:dyDescent="0.25">
      <c r="A8640" s="952"/>
      <c r="B8640" s="953"/>
      <c r="C8640" s="953"/>
      <c r="D8640" s="953"/>
      <c r="E8640" s="953"/>
      <c r="F8640" s="953"/>
      <c r="G8640" s="953"/>
      <c r="H8640" s="953"/>
    </row>
    <row r="8641" spans="1:8" s="943" customFormat="1" x14ac:dyDescent="0.25">
      <c r="A8641" s="952"/>
      <c r="B8641" s="953"/>
      <c r="C8641" s="953"/>
      <c r="D8641" s="953"/>
      <c r="E8641" s="953"/>
      <c r="F8641" s="953"/>
      <c r="G8641" s="953"/>
      <c r="H8641" s="953"/>
    </row>
    <row r="8642" spans="1:8" s="943" customFormat="1" x14ac:dyDescent="0.25">
      <c r="A8642" s="952"/>
      <c r="B8642" s="953"/>
      <c r="C8642" s="953"/>
      <c r="D8642" s="953"/>
      <c r="E8642" s="953"/>
      <c r="F8642" s="953"/>
      <c r="G8642" s="953"/>
      <c r="H8642" s="953"/>
    </row>
    <row r="8643" spans="1:8" s="943" customFormat="1" x14ac:dyDescent="0.25">
      <c r="A8643" s="952"/>
      <c r="B8643" s="953"/>
      <c r="C8643" s="953"/>
      <c r="D8643" s="953"/>
      <c r="E8643" s="953"/>
      <c r="F8643" s="953"/>
      <c r="G8643" s="953"/>
      <c r="H8643" s="953"/>
    </row>
    <row r="8644" spans="1:8" s="943" customFormat="1" x14ac:dyDescent="0.25">
      <c r="A8644" s="952"/>
      <c r="B8644" s="953"/>
      <c r="C8644" s="953"/>
      <c r="D8644" s="953"/>
      <c r="E8644" s="953"/>
      <c r="F8644" s="953"/>
      <c r="G8644" s="953"/>
      <c r="H8644" s="953"/>
    </row>
    <row r="8645" spans="1:8" s="943" customFormat="1" x14ac:dyDescent="0.25">
      <c r="A8645" s="952"/>
      <c r="B8645" s="953"/>
      <c r="C8645" s="953"/>
      <c r="D8645" s="953"/>
      <c r="E8645" s="953"/>
      <c r="F8645" s="953"/>
      <c r="G8645" s="953"/>
      <c r="H8645" s="953"/>
    </row>
    <row r="8646" spans="1:8" s="943" customFormat="1" x14ac:dyDescent="0.25">
      <c r="A8646" s="952"/>
      <c r="B8646" s="953"/>
      <c r="C8646" s="953"/>
      <c r="D8646" s="953"/>
      <c r="E8646" s="953"/>
      <c r="F8646" s="953"/>
      <c r="G8646" s="953"/>
      <c r="H8646" s="953"/>
    </row>
    <row r="8647" spans="1:8" s="943" customFormat="1" x14ac:dyDescent="0.25">
      <c r="A8647" s="952"/>
      <c r="B8647" s="953"/>
      <c r="C8647" s="953"/>
      <c r="D8647" s="953"/>
      <c r="E8647" s="953"/>
      <c r="F8647" s="953"/>
      <c r="G8647" s="953"/>
      <c r="H8647" s="953"/>
    </row>
    <row r="8648" spans="1:8" s="943" customFormat="1" x14ac:dyDescent="0.25">
      <c r="A8648" s="952"/>
      <c r="B8648" s="953"/>
      <c r="C8648" s="953"/>
      <c r="D8648" s="953"/>
      <c r="E8648" s="953"/>
      <c r="F8648" s="953"/>
      <c r="G8648" s="953"/>
      <c r="H8648" s="953"/>
    </row>
    <row r="8649" spans="1:8" s="943" customFormat="1" x14ac:dyDescent="0.25">
      <c r="A8649" s="952"/>
      <c r="B8649" s="953"/>
      <c r="C8649" s="953"/>
      <c r="D8649" s="953"/>
      <c r="E8649" s="953"/>
      <c r="F8649" s="953"/>
      <c r="G8649" s="953"/>
      <c r="H8649" s="953"/>
    </row>
    <row r="8650" spans="1:8" s="943" customFormat="1" x14ac:dyDescent="0.25">
      <c r="A8650" s="952"/>
      <c r="B8650" s="953"/>
      <c r="C8650" s="953"/>
      <c r="D8650" s="953"/>
      <c r="E8650" s="953"/>
      <c r="F8650" s="953"/>
      <c r="G8650" s="953"/>
      <c r="H8650" s="953"/>
    </row>
    <row r="8651" spans="1:8" s="943" customFormat="1" x14ac:dyDescent="0.25">
      <c r="A8651" s="952"/>
      <c r="B8651" s="953"/>
      <c r="C8651" s="953"/>
      <c r="D8651" s="953"/>
      <c r="E8651" s="953"/>
      <c r="F8651" s="953"/>
      <c r="G8651" s="953"/>
      <c r="H8651" s="953"/>
    </row>
    <row r="8652" spans="1:8" s="943" customFormat="1" x14ac:dyDescent="0.25">
      <c r="A8652" s="952"/>
      <c r="B8652" s="953"/>
      <c r="C8652" s="953"/>
      <c r="D8652" s="953"/>
      <c r="E8652" s="953"/>
      <c r="F8652" s="953"/>
      <c r="G8652" s="953"/>
      <c r="H8652" s="953"/>
    </row>
    <row r="8653" spans="1:8" s="943" customFormat="1" x14ac:dyDescent="0.25">
      <c r="A8653" s="952"/>
      <c r="B8653" s="953"/>
      <c r="C8653" s="953"/>
      <c r="D8653" s="953"/>
      <c r="E8653" s="953"/>
      <c r="F8653" s="953"/>
      <c r="G8653" s="953"/>
      <c r="H8653" s="953"/>
    </row>
    <row r="8654" spans="1:8" s="943" customFormat="1" x14ac:dyDescent="0.25">
      <c r="A8654" s="952"/>
      <c r="B8654" s="953"/>
      <c r="C8654" s="953"/>
      <c r="D8654" s="953"/>
      <c r="E8654" s="953"/>
      <c r="F8654" s="953"/>
      <c r="G8654" s="953"/>
      <c r="H8654" s="953"/>
    </row>
    <row r="8655" spans="1:8" s="943" customFormat="1" x14ac:dyDescent="0.25">
      <c r="A8655" s="952"/>
      <c r="B8655" s="953"/>
      <c r="C8655" s="953"/>
      <c r="D8655" s="953"/>
      <c r="E8655" s="953"/>
      <c r="F8655" s="953"/>
      <c r="G8655" s="953"/>
      <c r="H8655" s="953"/>
    </row>
    <row r="8656" spans="1:8" s="943" customFormat="1" x14ac:dyDescent="0.25">
      <c r="A8656" s="952"/>
      <c r="B8656" s="953"/>
      <c r="C8656" s="953"/>
      <c r="D8656" s="953"/>
      <c r="E8656" s="953"/>
      <c r="F8656" s="953"/>
      <c r="G8656" s="953"/>
      <c r="H8656" s="953"/>
    </row>
    <row r="8657" spans="1:8" s="943" customFormat="1" x14ac:dyDescent="0.25">
      <c r="A8657" s="952"/>
      <c r="B8657" s="953"/>
      <c r="C8657" s="953"/>
      <c r="D8657" s="953"/>
      <c r="E8657" s="953"/>
      <c r="F8657" s="953"/>
      <c r="G8657" s="953"/>
      <c r="H8657" s="953"/>
    </row>
    <row r="8658" spans="1:8" s="943" customFormat="1" x14ac:dyDescent="0.25">
      <c r="A8658" s="952"/>
      <c r="B8658" s="953"/>
      <c r="C8658" s="953"/>
      <c r="D8658" s="953"/>
      <c r="E8658" s="953"/>
      <c r="F8658" s="953"/>
      <c r="G8658" s="953"/>
      <c r="H8658" s="953"/>
    </row>
    <row r="8659" spans="1:8" s="943" customFormat="1" x14ac:dyDescent="0.25">
      <c r="A8659" s="952"/>
      <c r="B8659" s="953"/>
      <c r="C8659" s="953"/>
      <c r="D8659" s="953"/>
      <c r="E8659" s="953"/>
      <c r="F8659" s="953"/>
      <c r="G8659" s="953"/>
      <c r="H8659" s="953"/>
    </row>
    <row r="8660" spans="1:8" s="943" customFormat="1" x14ac:dyDescent="0.25">
      <c r="A8660" s="952"/>
      <c r="B8660" s="953"/>
      <c r="C8660" s="953"/>
      <c r="D8660" s="953"/>
      <c r="E8660" s="953"/>
      <c r="F8660" s="953"/>
      <c r="G8660" s="953"/>
      <c r="H8660" s="953"/>
    </row>
    <row r="8661" spans="1:8" s="943" customFormat="1" x14ac:dyDescent="0.25">
      <c r="A8661" s="952"/>
      <c r="B8661" s="953"/>
      <c r="C8661" s="953"/>
      <c r="D8661" s="953"/>
      <c r="E8661" s="953"/>
      <c r="F8661" s="953"/>
      <c r="G8661" s="953"/>
      <c r="H8661" s="953"/>
    </row>
    <row r="8662" spans="1:8" s="943" customFormat="1" x14ac:dyDescent="0.25">
      <c r="A8662" s="952"/>
      <c r="B8662" s="953"/>
      <c r="C8662" s="953"/>
      <c r="D8662" s="953"/>
      <c r="E8662" s="953"/>
      <c r="F8662" s="953"/>
      <c r="G8662" s="953"/>
      <c r="H8662" s="953"/>
    </row>
    <row r="8663" spans="1:8" s="943" customFormat="1" x14ac:dyDescent="0.25">
      <c r="A8663" s="952"/>
      <c r="B8663" s="953"/>
      <c r="C8663" s="953"/>
      <c r="D8663" s="953"/>
      <c r="E8663" s="953"/>
      <c r="F8663" s="953"/>
      <c r="G8663" s="953"/>
      <c r="H8663" s="953"/>
    </row>
    <row r="8664" spans="1:8" s="943" customFormat="1" x14ac:dyDescent="0.25">
      <c r="A8664" s="952"/>
      <c r="B8664" s="953"/>
      <c r="C8664" s="953"/>
      <c r="D8664" s="953"/>
      <c r="E8664" s="953"/>
      <c r="F8664" s="953"/>
      <c r="G8664" s="953"/>
      <c r="H8664" s="953"/>
    </row>
    <row r="8665" spans="1:8" s="943" customFormat="1" x14ac:dyDescent="0.25">
      <c r="A8665" s="952"/>
      <c r="B8665" s="953"/>
      <c r="C8665" s="953"/>
      <c r="D8665" s="953"/>
      <c r="E8665" s="953"/>
      <c r="F8665" s="953"/>
      <c r="G8665" s="953"/>
      <c r="H8665" s="953"/>
    </row>
    <row r="8666" spans="1:8" s="943" customFormat="1" x14ac:dyDescent="0.25">
      <c r="A8666" s="952"/>
      <c r="B8666" s="953"/>
      <c r="C8666" s="953"/>
      <c r="D8666" s="953"/>
      <c r="E8666" s="953"/>
      <c r="F8666" s="953"/>
      <c r="G8666" s="953"/>
      <c r="H8666" s="953"/>
    </row>
    <row r="8667" spans="1:8" s="943" customFormat="1" x14ac:dyDescent="0.25">
      <c r="A8667" s="952"/>
      <c r="B8667" s="953"/>
      <c r="C8667" s="953"/>
      <c r="D8667" s="953"/>
      <c r="E8667" s="953"/>
      <c r="F8667" s="953"/>
      <c r="G8667" s="953"/>
      <c r="H8667" s="953"/>
    </row>
    <row r="8668" spans="1:8" s="943" customFormat="1" x14ac:dyDescent="0.25">
      <c r="A8668" s="952"/>
      <c r="B8668" s="953"/>
      <c r="C8668" s="953"/>
      <c r="D8668" s="953"/>
      <c r="E8668" s="953"/>
      <c r="F8668" s="953"/>
      <c r="G8668" s="953"/>
      <c r="H8668" s="953"/>
    </row>
    <row r="8669" spans="1:8" s="943" customFormat="1" x14ac:dyDescent="0.25">
      <c r="A8669" s="952"/>
      <c r="B8669" s="953"/>
      <c r="C8669" s="953"/>
      <c r="D8669" s="953"/>
      <c r="E8669" s="953"/>
      <c r="F8669" s="953"/>
      <c r="G8669" s="953"/>
      <c r="H8669" s="953"/>
    </row>
    <row r="8670" spans="1:8" s="943" customFormat="1" x14ac:dyDescent="0.25">
      <c r="A8670" s="952"/>
      <c r="B8670" s="953"/>
      <c r="C8670" s="953"/>
      <c r="D8670" s="953"/>
      <c r="E8670" s="953"/>
      <c r="F8670" s="953"/>
      <c r="G8670" s="953"/>
      <c r="H8670" s="953"/>
    </row>
    <row r="8671" spans="1:8" s="943" customFormat="1" x14ac:dyDescent="0.25">
      <c r="A8671" s="952"/>
      <c r="B8671" s="953"/>
      <c r="C8671" s="953"/>
      <c r="D8671" s="953"/>
      <c r="E8671" s="953"/>
      <c r="F8671" s="953"/>
      <c r="G8671" s="953"/>
      <c r="H8671" s="953"/>
    </row>
    <row r="8672" spans="1:8" s="943" customFormat="1" x14ac:dyDescent="0.25">
      <c r="A8672" s="952"/>
      <c r="B8672" s="953"/>
      <c r="C8672" s="953"/>
      <c r="D8672" s="953"/>
      <c r="E8672" s="953"/>
      <c r="F8672" s="953"/>
      <c r="G8672" s="953"/>
      <c r="H8672" s="953"/>
    </row>
    <row r="8673" spans="1:8" s="943" customFormat="1" x14ac:dyDescent="0.25">
      <c r="A8673" s="952"/>
      <c r="B8673" s="953"/>
      <c r="C8673" s="953"/>
      <c r="D8673" s="953"/>
      <c r="E8673" s="953"/>
      <c r="F8673" s="953"/>
      <c r="G8673" s="953"/>
      <c r="H8673" s="953"/>
    </row>
    <row r="8674" spans="1:8" s="943" customFormat="1" x14ac:dyDescent="0.25">
      <c r="A8674" s="952"/>
      <c r="B8674" s="953"/>
      <c r="C8674" s="953"/>
      <c r="D8674" s="953"/>
      <c r="E8674" s="953"/>
      <c r="F8674" s="953"/>
      <c r="G8674" s="953"/>
      <c r="H8674" s="953"/>
    </row>
    <row r="8675" spans="1:8" s="943" customFormat="1" x14ac:dyDescent="0.25">
      <c r="A8675" s="952"/>
      <c r="B8675" s="953"/>
      <c r="C8675" s="953"/>
      <c r="D8675" s="953"/>
      <c r="E8675" s="953"/>
      <c r="F8675" s="953"/>
      <c r="G8675" s="953"/>
      <c r="H8675" s="953"/>
    </row>
    <row r="8676" spans="1:8" s="943" customFormat="1" x14ac:dyDescent="0.25">
      <c r="A8676" s="952"/>
      <c r="B8676" s="953"/>
      <c r="C8676" s="953"/>
      <c r="D8676" s="953"/>
      <c r="E8676" s="953"/>
      <c r="F8676" s="953"/>
      <c r="G8676" s="953"/>
      <c r="H8676" s="953"/>
    </row>
    <row r="8677" spans="1:8" s="943" customFormat="1" x14ac:dyDescent="0.25">
      <c r="A8677" s="952"/>
      <c r="B8677" s="953"/>
      <c r="C8677" s="953"/>
      <c r="D8677" s="953"/>
      <c r="E8677" s="953"/>
      <c r="F8677" s="953"/>
      <c r="G8677" s="953"/>
      <c r="H8677" s="953"/>
    </row>
    <row r="8678" spans="1:8" s="943" customFormat="1" x14ac:dyDescent="0.25">
      <c r="A8678" s="952"/>
      <c r="B8678" s="953"/>
      <c r="C8678" s="953"/>
      <c r="D8678" s="953"/>
      <c r="E8678" s="953"/>
      <c r="F8678" s="953"/>
      <c r="G8678" s="953"/>
      <c r="H8678" s="953"/>
    </row>
    <row r="8679" spans="1:8" s="943" customFormat="1" x14ac:dyDescent="0.25">
      <c r="A8679" s="952"/>
      <c r="B8679" s="953"/>
      <c r="C8679" s="953"/>
      <c r="D8679" s="953"/>
      <c r="E8679" s="953"/>
      <c r="F8679" s="953"/>
      <c r="G8679" s="953"/>
      <c r="H8679" s="953"/>
    </row>
    <row r="8680" spans="1:8" s="943" customFormat="1" x14ac:dyDescent="0.25">
      <c r="A8680" s="952"/>
      <c r="B8680" s="953"/>
      <c r="C8680" s="953"/>
      <c r="D8680" s="953"/>
      <c r="E8680" s="953"/>
      <c r="F8680" s="953"/>
      <c r="G8680" s="953"/>
      <c r="H8680" s="953"/>
    </row>
    <row r="8681" spans="1:8" s="943" customFormat="1" x14ac:dyDescent="0.25">
      <c r="A8681" s="952"/>
      <c r="B8681" s="953"/>
      <c r="C8681" s="953"/>
      <c r="D8681" s="953"/>
      <c r="E8681" s="953"/>
      <c r="F8681" s="953"/>
      <c r="G8681" s="953"/>
      <c r="H8681" s="953"/>
    </row>
    <row r="8682" spans="1:8" s="943" customFormat="1" x14ac:dyDescent="0.25">
      <c r="A8682" s="952"/>
      <c r="B8682" s="953"/>
      <c r="C8682" s="953"/>
      <c r="D8682" s="953"/>
      <c r="E8682" s="953"/>
      <c r="F8682" s="953"/>
      <c r="G8682" s="953"/>
      <c r="H8682" s="953"/>
    </row>
    <row r="8683" spans="1:8" s="943" customFormat="1" x14ac:dyDescent="0.25">
      <c r="A8683" s="952"/>
      <c r="B8683" s="953"/>
      <c r="C8683" s="953"/>
      <c r="D8683" s="953"/>
      <c r="E8683" s="953"/>
      <c r="F8683" s="953"/>
      <c r="G8683" s="953"/>
      <c r="H8683" s="953"/>
    </row>
    <row r="8684" spans="1:8" s="943" customFormat="1" x14ac:dyDescent="0.25">
      <c r="A8684" s="952"/>
      <c r="B8684" s="953"/>
      <c r="C8684" s="953"/>
      <c r="D8684" s="953"/>
      <c r="E8684" s="953"/>
      <c r="F8684" s="953"/>
      <c r="G8684" s="953"/>
      <c r="H8684" s="953"/>
    </row>
    <row r="8685" spans="1:8" s="943" customFormat="1" x14ac:dyDescent="0.25">
      <c r="A8685" s="952"/>
      <c r="B8685" s="953"/>
      <c r="C8685" s="953"/>
      <c r="D8685" s="953"/>
      <c r="E8685" s="953"/>
      <c r="F8685" s="953"/>
      <c r="G8685" s="953"/>
      <c r="H8685" s="953"/>
    </row>
    <row r="8686" spans="1:8" s="943" customFormat="1" x14ac:dyDescent="0.25">
      <c r="A8686" s="952"/>
      <c r="B8686" s="953"/>
      <c r="C8686" s="953"/>
      <c r="D8686" s="953"/>
      <c r="E8686" s="953"/>
      <c r="F8686" s="953"/>
      <c r="G8686" s="953"/>
      <c r="H8686" s="953"/>
    </row>
    <row r="8687" spans="1:8" s="943" customFormat="1" x14ac:dyDescent="0.25">
      <c r="A8687" s="952"/>
      <c r="B8687" s="953"/>
      <c r="C8687" s="953"/>
      <c r="D8687" s="953"/>
      <c r="E8687" s="953"/>
      <c r="F8687" s="953"/>
      <c r="G8687" s="953"/>
      <c r="H8687" s="953"/>
    </row>
    <row r="8688" spans="1:8" s="943" customFormat="1" x14ac:dyDescent="0.25">
      <c r="A8688" s="952"/>
      <c r="B8688" s="953"/>
      <c r="C8688" s="953"/>
      <c r="D8688" s="953"/>
      <c r="E8688" s="953"/>
      <c r="F8688" s="953"/>
      <c r="G8688" s="953"/>
      <c r="H8688" s="953"/>
    </row>
    <row r="8689" spans="1:8" s="943" customFormat="1" x14ac:dyDescent="0.25">
      <c r="A8689" s="952"/>
      <c r="B8689" s="953"/>
      <c r="C8689" s="953"/>
      <c r="D8689" s="953"/>
      <c r="E8689" s="953"/>
      <c r="F8689" s="953"/>
      <c r="G8689" s="953"/>
      <c r="H8689" s="953"/>
    </row>
    <row r="8690" spans="1:8" s="943" customFormat="1" x14ac:dyDescent="0.25">
      <c r="A8690" s="952"/>
      <c r="B8690" s="953"/>
      <c r="C8690" s="953"/>
      <c r="D8690" s="953"/>
      <c r="E8690" s="953"/>
      <c r="F8690" s="953"/>
      <c r="G8690" s="953"/>
      <c r="H8690" s="953"/>
    </row>
    <row r="8691" spans="1:8" s="943" customFormat="1" x14ac:dyDescent="0.25">
      <c r="A8691" s="952"/>
      <c r="B8691" s="953"/>
      <c r="C8691" s="953"/>
      <c r="D8691" s="953"/>
      <c r="E8691" s="953"/>
      <c r="F8691" s="953"/>
      <c r="G8691" s="953"/>
      <c r="H8691" s="953"/>
    </row>
    <row r="8692" spans="1:8" s="943" customFormat="1" x14ac:dyDescent="0.25">
      <c r="A8692" s="952"/>
      <c r="B8692" s="953"/>
      <c r="C8692" s="953"/>
      <c r="D8692" s="953"/>
      <c r="E8692" s="953"/>
      <c r="F8692" s="953"/>
      <c r="G8692" s="953"/>
      <c r="H8692" s="953"/>
    </row>
    <row r="8693" spans="1:8" s="943" customFormat="1" x14ac:dyDescent="0.25">
      <c r="A8693" s="952"/>
      <c r="B8693" s="953"/>
      <c r="C8693" s="953"/>
      <c r="D8693" s="953"/>
      <c r="E8693" s="953"/>
      <c r="F8693" s="953"/>
      <c r="G8693" s="953"/>
      <c r="H8693" s="953"/>
    </row>
    <row r="8694" spans="1:8" s="943" customFormat="1" x14ac:dyDescent="0.25">
      <c r="A8694" s="952"/>
      <c r="B8694" s="953"/>
      <c r="C8694" s="953"/>
      <c r="D8694" s="953"/>
      <c r="E8694" s="953"/>
      <c r="F8694" s="953"/>
      <c r="G8694" s="953"/>
      <c r="H8694" s="953"/>
    </row>
    <row r="8695" spans="1:8" s="943" customFormat="1" x14ac:dyDescent="0.25">
      <c r="A8695" s="952"/>
      <c r="B8695" s="953"/>
      <c r="C8695" s="953"/>
      <c r="D8695" s="953"/>
      <c r="E8695" s="953"/>
      <c r="F8695" s="953"/>
      <c r="G8695" s="953"/>
      <c r="H8695" s="953"/>
    </row>
    <row r="8696" spans="1:8" s="943" customFormat="1" x14ac:dyDescent="0.25">
      <c r="A8696" s="952"/>
      <c r="B8696" s="953"/>
      <c r="C8696" s="953"/>
      <c r="D8696" s="953"/>
      <c r="E8696" s="953"/>
      <c r="F8696" s="953"/>
      <c r="G8696" s="953"/>
      <c r="H8696" s="953"/>
    </row>
    <row r="8697" spans="1:8" s="943" customFormat="1" x14ac:dyDescent="0.25">
      <c r="A8697" s="952"/>
      <c r="B8697" s="953"/>
      <c r="C8697" s="953"/>
      <c r="D8697" s="953"/>
      <c r="E8697" s="953"/>
      <c r="F8697" s="953"/>
      <c r="G8697" s="953"/>
      <c r="H8697" s="953"/>
    </row>
    <row r="8698" spans="1:8" s="943" customFormat="1" x14ac:dyDescent="0.25">
      <c r="A8698" s="952"/>
      <c r="B8698" s="953"/>
      <c r="C8698" s="953"/>
      <c r="D8698" s="953"/>
      <c r="E8698" s="953"/>
      <c r="F8698" s="953"/>
      <c r="G8698" s="953"/>
      <c r="H8698" s="953"/>
    </row>
    <row r="8699" spans="1:8" s="943" customFormat="1" x14ac:dyDescent="0.25">
      <c r="A8699" s="952"/>
      <c r="B8699" s="953"/>
      <c r="C8699" s="953"/>
      <c r="D8699" s="953"/>
      <c r="E8699" s="953"/>
      <c r="F8699" s="953"/>
      <c r="G8699" s="953"/>
      <c r="H8699" s="953"/>
    </row>
    <row r="8700" spans="1:8" s="943" customFormat="1" x14ac:dyDescent="0.25">
      <c r="A8700" s="952"/>
      <c r="B8700" s="953"/>
      <c r="C8700" s="953"/>
      <c r="D8700" s="953"/>
      <c r="E8700" s="953"/>
      <c r="F8700" s="953"/>
      <c r="G8700" s="953"/>
      <c r="H8700" s="953"/>
    </row>
    <row r="8701" spans="1:8" s="943" customFormat="1" x14ac:dyDescent="0.25">
      <c r="A8701" s="952"/>
      <c r="B8701" s="953"/>
      <c r="C8701" s="953"/>
      <c r="D8701" s="953"/>
      <c r="E8701" s="953"/>
      <c r="F8701" s="953"/>
      <c r="G8701" s="953"/>
      <c r="H8701" s="953"/>
    </row>
    <row r="8702" spans="1:8" s="943" customFormat="1" x14ac:dyDescent="0.25">
      <c r="A8702" s="952"/>
      <c r="B8702" s="953"/>
      <c r="C8702" s="953"/>
      <c r="D8702" s="953"/>
      <c r="E8702" s="953"/>
      <c r="F8702" s="953"/>
      <c r="G8702" s="953"/>
      <c r="H8702" s="953"/>
    </row>
    <row r="8703" spans="1:8" s="943" customFormat="1" x14ac:dyDescent="0.25">
      <c r="A8703" s="952"/>
      <c r="B8703" s="953"/>
      <c r="C8703" s="953"/>
      <c r="D8703" s="953"/>
      <c r="E8703" s="953"/>
      <c r="F8703" s="953"/>
      <c r="G8703" s="953"/>
      <c r="H8703" s="953"/>
    </row>
    <row r="8704" spans="1:8" s="943" customFormat="1" x14ac:dyDescent="0.25">
      <c r="A8704" s="952"/>
      <c r="B8704" s="953"/>
      <c r="C8704" s="953"/>
      <c r="D8704" s="953"/>
      <c r="E8704" s="953"/>
      <c r="F8704" s="953"/>
      <c r="G8704" s="953"/>
      <c r="H8704" s="953"/>
    </row>
    <row r="8705" spans="1:8" s="943" customFormat="1" x14ac:dyDescent="0.25">
      <c r="A8705" s="952"/>
      <c r="B8705" s="953"/>
      <c r="C8705" s="953"/>
      <c r="D8705" s="953"/>
      <c r="E8705" s="953"/>
      <c r="F8705" s="953"/>
      <c r="G8705" s="953"/>
      <c r="H8705" s="953"/>
    </row>
    <row r="8706" spans="1:8" s="943" customFormat="1" x14ac:dyDescent="0.25">
      <c r="A8706" s="952"/>
      <c r="B8706" s="953"/>
      <c r="C8706" s="953"/>
      <c r="D8706" s="953"/>
      <c r="E8706" s="953"/>
      <c r="F8706" s="953"/>
      <c r="G8706" s="953"/>
      <c r="H8706" s="953"/>
    </row>
    <row r="8707" spans="1:8" s="943" customFormat="1" x14ac:dyDescent="0.25">
      <c r="A8707" s="952"/>
      <c r="B8707" s="953"/>
      <c r="C8707" s="953"/>
      <c r="D8707" s="953"/>
      <c r="E8707" s="953"/>
      <c r="F8707" s="953"/>
      <c r="G8707" s="953"/>
      <c r="H8707" s="953"/>
    </row>
    <row r="8708" spans="1:8" s="943" customFormat="1" x14ac:dyDescent="0.25">
      <c r="A8708" s="952"/>
      <c r="B8708" s="953"/>
      <c r="C8708" s="953"/>
      <c r="D8708" s="953"/>
      <c r="E8708" s="953"/>
      <c r="F8708" s="953"/>
      <c r="G8708" s="953"/>
      <c r="H8708" s="953"/>
    </row>
    <row r="8709" spans="1:8" s="943" customFormat="1" x14ac:dyDescent="0.25">
      <c r="A8709" s="952"/>
      <c r="B8709" s="953"/>
      <c r="C8709" s="953"/>
      <c r="D8709" s="953"/>
      <c r="E8709" s="953"/>
      <c r="F8709" s="953"/>
      <c r="G8709" s="953"/>
      <c r="H8709" s="953"/>
    </row>
    <row r="8710" spans="1:8" s="943" customFormat="1" x14ac:dyDescent="0.25">
      <c r="A8710" s="952"/>
      <c r="B8710" s="953"/>
      <c r="C8710" s="953"/>
      <c r="D8710" s="953"/>
      <c r="E8710" s="953"/>
      <c r="F8710" s="953"/>
      <c r="G8710" s="953"/>
      <c r="H8710" s="953"/>
    </row>
    <row r="8711" spans="1:8" s="943" customFormat="1" x14ac:dyDescent="0.25">
      <c r="A8711" s="952"/>
      <c r="B8711" s="953"/>
      <c r="C8711" s="953"/>
      <c r="D8711" s="953"/>
      <c r="E8711" s="953"/>
      <c r="F8711" s="953"/>
      <c r="G8711" s="953"/>
      <c r="H8711" s="953"/>
    </row>
    <row r="8712" spans="1:8" s="943" customFormat="1" x14ac:dyDescent="0.25">
      <c r="A8712" s="952"/>
      <c r="B8712" s="953"/>
      <c r="C8712" s="953"/>
      <c r="D8712" s="953"/>
      <c r="E8712" s="953"/>
      <c r="F8712" s="953"/>
      <c r="G8712" s="953"/>
      <c r="H8712" s="953"/>
    </row>
    <row r="8713" spans="1:8" s="943" customFormat="1" x14ac:dyDescent="0.25">
      <c r="A8713" s="952"/>
      <c r="B8713" s="953"/>
      <c r="C8713" s="953"/>
      <c r="D8713" s="953"/>
      <c r="E8713" s="953"/>
      <c r="F8713" s="953"/>
      <c r="G8713" s="953"/>
      <c r="H8713" s="953"/>
    </row>
    <row r="8714" spans="1:8" s="943" customFormat="1" x14ac:dyDescent="0.25">
      <c r="A8714" s="952"/>
      <c r="B8714" s="953"/>
      <c r="C8714" s="953"/>
      <c r="D8714" s="953"/>
      <c r="E8714" s="953"/>
      <c r="F8714" s="953"/>
      <c r="G8714" s="953"/>
      <c r="H8714" s="953"/>
    </row>
    <row r="8715" spans="1:8" s="943" customFormat="1" x14ac:dyDescent="0.25">
      <c r="A8715" s="952"/>
      <c r="B8715" s="953"/>
      <c r="C8715" s="953"/>
      <c r="D8715" s="953"/>
      <c r="E8715" s="953"/>
      <c r="F8715" s="953"/>
      <c r="G8715" s="953"/>
      <c r="H8715" s="953"/>
    </row>
    <row r="8716" spans="1:8" s="943" customFormat="1" x14ac:dyDescent="0.25">
      <c r="A8716" s="952"/>
      <c r="B8716" s="953"/>
      <c r="C8716" s="953"/>
      <c r="D8716" s="953"/>
      <c r="E8716" s="953"/>
      <c r="F8716" s="953"/>
      <c r="G8716" s="953"/>
      <c r="H8716" s="953"/>
    </row>
    <row r="8717" spans="1:8" s="943" customFormat="1" x14ac:dyDescent="0.25">
      <c r="A8717" s="952"/>
      <c r="B8717" s="953"/>
      <c r="C8717" s="953"/>
      <c r="D8717" s="953"/>
      <c r="E8717" s="953"/>
      <c r="F8717" s="953"/>
      <c r="G8717" s="953"/>
      <c r="H8717" s="953"/>
    </row>
    <row r="8718" spans="1:8" s="943" customFormat="1" x14ac:dyDescent="0.25">
      <c r="A8718" s="952"/>
      <c r="B8718" s="953"/>
      <c r="C8718" s="953"/>
      <c r="D8718" s="953"/>
      <c r="E8718" s="953"/>
      <c r="F8718" s="953"/>
      <c r="G8718" s="953"/>
      <c r="H8718" s="953"/>
    </row>
    <row r="8719" spans="1:8" s="943" customFormat="1" x14ac:dyDescent="0.25">
      <c r="A8719" s="952"/>
      <c r="B8719" s="953"/>
      <c r="C8719" s="953"/>
      <c r="D8719" s="953"/>
      <c r="E8719" s="953"/>
      <c r="F8719" s="953"/>
      <c r="G8719" s="953"/>
      <c r="H8719" s="953"/>
    </row>
    <row r="8720" spans="1:8" s="943" customFormat="1" x14ac:dyDescent="0.25">
      <c r="A8720" s="952"/>
      <c r="B8720" s="953"/>
      <c r="C8720" s="953"/>
      <c r="D8720" s="953"/>
      <c r="E8720" s="953"/>
      <c r="F8720" s="953"/>
      <c r="G8720" s="953"/>
      <c r="H8720" s="953"/>
    </row>
    <row r="8721" spans="1:8" s="943" customFormat="1" x14ac:dyDescent="0.25">
      <c r="A8721" s="952"/>
      <c r="B8721" s="953"/>
      <c r="C8721" s="953"/>
      <c r="D8721" s="953"/>
      <c r="E8721" s="953"/>
      <c r="F8721" s="953"/>
      <c r="G8721" s="953"/>
      <c r="H8721" s="953"/>
    </row>
    <row r="8722" spans="1:8" s="943" customFormat="1" x14ac:dyDescent="0.25">
      <c r="A8722" s="952"/>
      <c r="B8722" s="953"/>
      <c r="C8722" s="953"/>
      <c r="D8722" s="953"/>
      <c r="E8722" s="953"/>
      <c r="F8722" s="953"/>
      <c r="G8722" s="953"/>
      <c r="H8722" s="953"/>
    </row>
    <row r="8723" spans="1:8" s="943" customFormat="1" x14ac:dyDescent="0.25">
      <c r="A8723" s="952"/>
      <c r="B8723" s="953"/>
      <c r="C8723" s="953"/>
      <c r="D8723" s="953"/>
      <c r="E8723" s="953"/>
      <c r="F8723" s="953"/>
      <c r="G8723" s="953"/>
      <c r="H8723" s="953"/>
    </row>
    <row r="8724" spans="1:8" s="943" customFormat="1" x14ac:dyDescent="0.25">
      <c r="A8724" s="952"/>
      <c r="B8724" s="953"/>
      <c r="C8724" s="953"/>
      <c r="D8724" s="953"/>
      <c r="E8724" s="953"/>
      <c r="F8724" s="953"/>
      <c r="G8724" s="953"/>
      <c r="H8724" s="953"/>
    </row>
    <row r="8725" spans="1:8" s="943" customFormat="1" x14ac:dyDescent="0.25">
      <c r="A8725" s="952"/>
      <c r="B8725" s="953"/>
      <c r="C8725" s="953"/>
      <c r="D8725" s="953"/>
      <c r="E8725" s="953"/>
      <c r="F8725" s="953"/>
      <c r="G8725" s="953"/>
      <c r="H8725" s="953"/>
    </row>
    <row r="8726" spans="1:8" s="943" customFormat="1" x14ac:dyDescent="0.25">
      <c r="A8726" s="952"/>
      <c r="B8726" s="953"/>
      <c r="C8726" s="953"/>
      <c r="D8726" s="953"/>
      <c r="E8726" s="953"/>
      <c r="F8726" s="953"/>
      <c r="G8726" s="953"/>
      <c r="H8726" s="953"/>
    </row>
    <row r="8727" spans="1:8" s="943" customFormat="1" x14ac:dyDescent="0.25">
      <c r="A8727" s="952"/>
      <c r="B8727" s="953"/>
      <c r="C8727" s="953"/>
      <c r="D8727" s="953"/>
      <c r="E8727" s="953"/>
      <c r="F8727" s="953"/>
      <c r="G8727" s="953"/>
      <c r="H8727" s="953"/>
    </row>
    <row r="8728" spans="1:8" s="943" customFormat="1" x14ac:dyDescent="0.25">
      <c r="A8728" s="952"/>
      <c r="B8728" s="953"/>
      <c r="C8728" s="953"/>
      <c r="D8728" s="953"/>
      <c r="E8728" s="953"/>
      <c r="F8728" s="953"/>
      <c r="G8728" s="953"/>
      <c r="H8728" s="953"/>
    </row>
    <row r="8729" spans="1:8" s="943" customFormat="1" x14ac:dyDescent="0.25">
      <c r="A8729" s="952"/>
      <c r="B8729" s="953"/>
      <c r="C8729" s="953"/>
      <c r="D8729" s="953"/>
      <c r="E8729" s="953"/>
      <c r="F8729" s="953"/>
      <c r="G8729" s="953"/>
      <c r="H8729" s="953"/>
    </row>
    <row r="8730" spans="1:8" s="943" customFormat="1" x14ac:dyDescent="0.25">
      <c r="A8730" s="952"/>
      <c r="B8730" s="953"/>
      <c r="C8730" s="953"/>
      <c r="D8730" s="953"/>
      <c r="E8730" s="953"/>
      <c r="F8730" s="953"/>
      <c r="G8730" s="953"/>
      <c r="H8730" s="953"/>
    </row>
    <row r="8731" spans="1:8" s="943" customFormat="1" x14ac:dyDescent="0.25">
      <c r="A8731" s="952"/>
      <c r="B8731" s="953"/>
      <c r="C8731" s="953"/>
      <c r="D8731" s="953"/>
      <c r="E8731" s="953"/>
      <c r="F8731" s="953"/>
      <c r="G8731" s="953"/>
      <c r="H8731" s="953"/>
    </row>
    <row r="8732" spans="1:8" s="943" customFormat="1" x14ac:dyDescent="0.25">
      <c r="A8732" s="952"/>
      <c r="B8732" s="953"/>
      <c r="C8732" s="953"/>
      <c r="D8732" s="953"/>
      <c r="E8732" s="953"/>
      <c r="F8732" s="953"/>
      <c r="G8732" s="953"/>
      <c r="H8732" s="953"/>
    </row>
    <row r="8733" spans="1:8" s="943" customFormat="1" x14ac:dyDescent="0.25">
      <c r="A8733" s="952"/>
      <c r="B8733" s="953"/>
      <c r="C8733" s="953"/>
      <c r="D8733" s="953"/>
      <c r="E8733" s="953"/>
      <c r="F8733" s="953"/>
      <c r="G8733" s="953"/>
      <c r="H8733" s="953"/>
    </row>
    <row r="8734" spans="1:8" s="943" customFormat="1" x14ac:dyDescent="0.25">
      <c r="A8734" s="952"/>
      <c r="B8734" s="953"/>
      <c r="C8734" s="953"/>
      <c r="D8734" s="953"/>
      <c r="E8734" s="953"/>
      <c r="F8734" s="953"/>
      <c r="G8734" s="953"/>
      <c r="H8734" s="953"/>
    </row>
    <row r="8735" spans="1:8" s="943" customFormat="1" x14ac:dyDescent="0.25">
      <c r="A8735" s="952"/>
      <c r="B8735" s="953"/>
      <c r="C8735" s="953"/>
      <c r="D8735" s="953"/>
      <c r="E8735" s="953"/>
      <c r="F8735" s="953"/>
      <c r="G8735" s="953"/>
      <c r="H8735" s="953"/>
    </row>
    <row r="8736" spans="1:8" s="943" customFormat="1" x14ac:dyDescent="0.25">
      <c r="A8736" s="952"/>
      <c r="B8736" s="953"/>
      <c r="C8736" s="953"/>
      <c r="D8736" s="953"/>
      <c r="E8736" s="953"/>
      <c r="F8736" s="953"/>
      <c r="G8736" s="953"/>
      <c r="H8736" s="953"/>
    </row>
    <row r="8737" spans="1:8" s="943" customFormat="1" x14ac:dyDescent="0.25">
      <c r="A8737" s="952"/>
      <c r="B8737" s="953"/>
      <c r="C8737" s="953"/>
      <c r="D8737" s="953"/>
      <c r="E8737" s="953"/>
      <c r="F8737" s="953"/>
      <c r="G8737" s="953"/>
      <c r="H8737" s="953"/>
    </row>
    <row r="8738" spans="1:8" s="943" customFormat="1" x14ac:dyDescent="0.25">
      <c r="A8738" s="952"/>
      <c r="B8738" s="953"/>
      <c r="C8738" s="953"/>
      <c r="D8738" s="953"/>
      <c r="E8738" s="953"/>
      <c r="F8738" s="953"/>
      <c r="G8738" s="953"/>
      <c r="H8738" s="953"/>
    </row>
    <row r="8739" spans="1:8" s="943" customFormat="1" x14ac:dyDescent="0.25">
      <c r="A8739" s="952"/>
      <c r="B8739" s="953"/>
      <c r="C8739" s="953"/>
      <c r="D8739" s="953"/>
      <c r="E8739" s="953"/>
      <c r="F8739" s="953"/>
      <c r="G8739" s="953"/>
      <c r="H8739" s="953"/>
    </row>
    <row r="8740" spans="1:8" s="943" customFormat="1" x14ac:dyDescent="0.25">
      <c r="A8740" s="952"/>
      <c r="B8740" s="953"/>
      <c r="C8740" s="953"/>
      <c r="D8740" s="953"/>
      <c r="E8740" s="953"/>
      <c r="F8740" s="953"/>
      <c r="G8740" s="953"/>
      <c r="H8740" s="953"/>
    </row>
    <row r="8741" spans="1:8" s="943" customFormat="1" x14ac:dyDescent="0.25">
      <c r="A8741" s="952"/>
      <c r="B8741" s="953"/>
      <c r="C8741" s="953"/>
      <c r="D8741" s="953"/>
      <c r="E8741" s="953"/>
      <c r="F8741" s="953"/>
      <c r="G8741" s="953"/>
      <c r="H8741" s="953"/>
    </row>
    <row r="8742" spans="1:8" s="943" customFormat="1" x14ac:dyDescent="0.25">
      <c r="A8742" s="952"/>
      <c r="B8742" s="953"/>
      <c r="C8742" s="953"/>
      <c r="D8742" s="953"/>
      <c r="E8742" s="953"/>
      <c r="F8742" s="953"/>
      <c r="G8742" s="953"/>
      <c r="H8742" s="953"/>
    </row>
    <row r="8743" spans="1:8" s="943" customFormat="1" x14ac:dyDescent="0.25">
      <c r="A8743" s="952"/>
      <c r="B8743" s="953"/>
      <c r="C8743" s="953"/>
      <c r="D8743" s="953"/>
      <c r="E8743" s="953"/>
      <c r="F8743" s="953"/>
      <c r="G8743" s="953"/>
      <c r="H8743" s="953"/>
    </row>
    <row r="8744" spans="1:8" s="943" customFormat="1" x14ac:dyDescent="0.25">
      <c r="A8744" s="952"/>
      <c r="B8744" s="953"/>
      <c r="C8744" s="953"/>
      <c r="D8744" s="953"/>
      <c r="E8744" s="953"/>
      <c r="F8744" s="953"/>
      <c r="G8744" s="953"/>
      <c r="H8744" s="953"/>
    </row>
    <row r="8745" spans="1:8" s="943" customFormat="1" x14ac:dyDescent="0.25">
      <c r="A8745" s="952"/>
      <c r="B8745" s="953"/>
      <c r="C8745" s="953"/>
      <c r="D8745" s="953"/>
      <c r="E8745" s="953"/>
      <c r="F8745" s="953"/>
      <c r="G8745" s="953"/>
      <c r="H8745" s="953"/>
    </row>
    <row r="8746" spans="1:8" s="943" customFormat="1" x14ac:dyDescent="0.25">
      <c r="A8746" s="952"/>
      <c r="B8746" s="953"/>
      <c r="C8746" s="953"/>
      <c r="D8746" s="953"/>
      <c r="E8746" s="953"/>
      <c r="F8746" s="953"/>
      <c r="G8746" s="953"/>
      <c r="H8746" s="953"/>
    </row>
    <row r="8747" spans="1:8" s="943" customFormat="1" x14ac:dyDescent="0.25">
      <c r="A8747" s="952"/>
      <c r="B8747" s="953"/>
      <c r="C8747" s="953"/>
      <c r="D8747" s="953"/>
      <c r="E8747" s="953"/>
      <c r="F8747" s="953"/>
      <c r="G8747" s="953"/>
      <c r="H8747" s="953"/>
    </row>
    <row r="8748" spans="1:8" s="943" customFormat="1" x14ac:dyDescent="0.25">
      <c r="A8748" s="952"/>
      <c r="B8748" s="953"/>
      <c r="C8748" s="953"/>
      <c r="D8748" s="953"/>
      <c r="E8748" s="953"/>
      <c r="F8748" s="953"/>
      <c r="G8748" s="953"/>
      <c r="H8748" s="953"/>
    </row>
    <row r="8749" spans="1:8" s="943" customFormat="1" x14ac:dyDescent="0.25">
      <c r="A8749" s="952"/>
      <c r="B8749" s="953"/>
      <c r="C8749" s="953"/>
      <c r="D8749" s="953"/>
      <c r="E8749" s="953"/>
      <c r="F8749" s="953"/>
      <c r="G8749" s="953"/>
      <c r="H8749" s="953"/>
    </row>
    <row r="8750" spans="1:8" s="943" customFormat="1" x14ac:dyDescent="0.25">
      <c r="A8750" s="952"/>
      <c r="B8750" s="953"/>
      <c r="C8750" s="953"/>
      <c r="D8750" s="953"/>
      <c r="E8750" s="953"/>
      <c r="F8750" s="953"/>
      <c r="G8750" s="953"/>
      <c r="H8750" s="953"/>
    </row>
    <row r="8751" spans="1:8" s="943" customFormat="1" x14ac:dyDescent="0.25">
      <c r="A8751" s="952"/>
      <c r="B8751" s="953"/>
      <c r="C8751" s="953"/>
      <c r="D8751" s="953"/>
      <c r="E8751" s="953"/>
      <c r="F8751" s="953"/>
      <c r="G8751" s="953"/>
      <c r="H8751" s="953"/>
    </row>
    <row r="8752" spans="1:8" s="943" customFormat="1" x14ac:dyDescent="0.25">
      <c r="A8752" s="952"/>
      <c r="B8752" s="953"/>
      <c r="C8752" s="953"/>
      <c r="D8752" s="953"/>
      <c r="E8752" s="953"/>
      <c r="F8752" s="953"/>
      <c r="G8752" s="953"/>
      <c r="H8752" s="953"/>
    </row>
    <row r="8753" spans="1:8" s="943" customFormat="1" x14ac:dyDescent="0.25">
      <c r="A8753" s="952"/>
      <c r="B8753" s="953"/>
      <c r="C8753" s="953"/>
      <c r="D8753" s="953"/>
      <c r="E8753" s="953"/>
      <c r="F8753" s="953"/>
      <c r="G8753" s="953"/>
      <c r="H8753" s="953"/>
    </row>
    <row r="8754" spans="1:8" s="943" customFormat="1" x14ac:dyDescent="0.25">
      <c r="A8754" s="952"/>
      <c r="B8754" s="953"/>
      <c r="C8754" s="953"/>
      <c r="D8754" s="953"/>
      <c r="E8754" s="953"/>
      <c r="F8754" s="953"/>
      <c r="G8754" s="953"/>
      <c r="H8754" s="953"/>
    </row>
    <row r="8755" spans="1:8" s="943" customFormat="1" x14ac:dyDescent="0.25">
      <c r="A8755" s="952"/>
      <c r="B8755" s="953"/>
      <c r="C8755" s="953"/>
      <c r="D8755" s="953"/>
      <c r="E8755" s="953"/>
      <c r="F8755" s="953"/>
      <c r="G8755" s="953"/>
      <c r="H8755" s="953"/>
    </row>
    <row r="8756" spans="1:8" s="943" customFormat="1" x14ac:dyDescent="0.25">
      <c r="A8756" s="952"/>
      <c r="B8756" s="953"/>
      <c r="C8756" s="953"/>
      <c r="D8756" s="953"/>
      <c r="E8756" s="953"/>
      <c r="F8756" s="953"/>
      <c r="G8756" s="953"/>
      <c r="H8756" s="953"/>
    </row>
    <row r="8757" spans="1:8" s="943" customFormat="1" x14ac:dyDescent="0.25">
      <c r="A8757" s="952"/>
      <c r="B8757" s="953"/>
      <c r="C8757" s="953"/>
      <c r="D8757" s="953"/>
      <c r="E8757" s="953"/>
      <c r="F8757" s="953"/>
      <c r="G8757" s="953"/>
      <c r="H8757" s="953"/>
    </row>
    <row r="8758" spans="1:8" s="943" customFormat="1" x14ac:dyDescent="0.25">
      <c r="A8758" s="952"/>
      <c r="B8758" s="953"/>
      <c r="C8758" s="953"/>
      <c r="D8758" s="953"/>
      <c r="E8758" s="953"/>
      <c r="F8758" s="953"/>
      <c r="G8758" s="953"/>
      <c r="H8758" s="953"/>
    </row>
    <row r="8759" spans="1:8" s="943" customFormat="1" x14ac:dyDescent="0.25">
      <c r="A8759" s="952"/>
      <c r="B8759" s="953"/>
      <c r="C8759" s="953"/>
      <c r="D8759" s="953"/>
      <c r="E8759" s="953"/>
      <c r="F8759" s="953"/>
      <c r="G8759" s="953"/>
      <c r="H8759" s="953"/>
    </row>
    <row r="8760" spans="1:8" s="943" customFormat="1" x14ac:dyDescent="0.25">
      <c r="A8760" s="952"/>
      <c r="B8760" s="953"/>
      <c r="C8760" s="953"/>
      <c r="D8760" s="953"/>
      <c r="E8760" s="953"/>
      <c r="F8760" s="953"/>
      <c r="G8760" s="953"/>
      <c r="H8760" s="953"/>
    </row>
    <row r="8761" spans="1:8" s="943" customFormat="1" x14ac:dyDescent="0.25">
      <c r="A8761" s="952"/>
      <c r="B8761" s="953"/>
      <c r="C8761" s="953"/>
      <c r="D8761" s="953"/>
      <c r="E8761" s="953"/>
      <c r="F8761" s="953"/>
      <c r="G8761" s="953"/>
      <c r="H8761" s="953"/>
    </row>
    <row r="8762" spans="1:8" s="943" customFormat="1" x14ac:dyDescent="0.25">
      <c r="A8762" s="952"/>
      <c r="B8762" s="953"/>
      <c r="C8762" s="953"/>
      <c r="D8762" s="953"/>
      <c r="E8762" s="953"/>
      <c r="F8762" s="953"/>
      <c r="G8762" s="953"/>
      <c r="H8762" s="953"/>
    </row>
    <row r="8763" spans="1:8" s="943" customFormat="1" x14ac:dyDescent="0.25">
      <c r="A8763" s="952"/>
      <c r="B8763" s="953"/>
      <c r="C8763" s="953"/>
      <c r="D8763" s="953"/>
      <c r="E8763" s="953"/>
      <c r="F8763" s="953"/>
      <c r="G8763" s="953"/>
      <c r="H8763" s="953"/>
    </row>
    <row r="8764" spans="1:8" s="943" customFormat="1" x14ac:dyDescent="0.25">
      <c r="A8764" s="952"/>
      <c r="B8764" s="953"/>
      <c r="C8764" s="953"/>
      <c r="D8764" s="953"/>
      <c r="E8764" s="953"/>
      <c r="F8764" s="953"/>
      <c r="G8764" s="953"/>
      <c r="H8764" s="953"/>
    </row>
    <row r="8765" spans="1:8" s="943" customFormat="1" x14ac:dyDescent="0.25">
      <c r="A8765" s="952"/>
      <c r="B8765" s="953"/>
      <c r="C8765" s="953"/>
      <c r="D8765" s="953"/>
      <c r="E8765" s="953"/>
      <c r="F8765" s="953"/>
      <c r="G8765" s="953"/>
      <c r="H8765" s="953"/>
    </row>
    <row r="8766" spans="1:8" s="943" customFormat="1" x14ac:dyDescent="0.25">
      <c r="A8766" s="952"/>
      <c r="B8766" s="953"/>
      <c r="C8766" s="953"/>
      <c r="D8766" s="953"/>
      <c r="E8766" s="953"/>
      <c r="F8766" s="953"/>
      <c r="G8766" s="953"/>
      <c r="H8766" s="953"/>
    </row>
    <row r="8767" spans="1:8" s="943" customFormat="1" x14ac:dyDescent="0.25">
      <c r="A8767" s="952"/>
      <c r="B8767" s="953"/>
      <c r="C8767" s="953"/>
      <c r="D8767" s="953"/>
      <c r="E8767" s="953"/>
      <c r="F8767" s="953"/>
      <c r="G8767" s="953"/>
      <c r="H8767" s="953"/>
    </row>
    <row r="8768" spans="1:8" s="943" customFormat="1" x14ac:dyDescent="0.25">
      <c r="A8768" s="952"/>
      <c r="B8768" s="953"/>
      <c r="C8768" s="953"/>
      <c r="D8768" s="953"/>
      <c r="E8768" s="953"/>
      <c r="F8768" s="953"/>
      <c r="G8768" s="953"/>
      <c r="H8768" s="953"/>
    </row>
    <row r="8769" spans="1:8" s="943" customFormat="1" x14ac:dyDescent="0.25">
      <c r="A8769" s="952"/>
      <c r="B8769" s="953"/>
      <c r="C8769" s="953"/>
      <c r="D8769" s="953"/>
      <c r="E8769" s="953"/>
      <c r="F8769" s="953"/>
      <c r="G8769" s="953"/>
      <c r="H8769" s="953"/>
    </row>
    <row r="8770" spans="1:8" s="943" customFormat="1" x14ac:dyDescent="0.25">
      <c r="A8770" s="952"/>
      <c r="B8770" s="953"/>
      <c r="C8770" s="953"/>
      <c r="D8770" s="953"/>
      <c r="E8770" s="953"/>
      <c r="F8770" s="953"/>
      <c r="G8770" s="953"/>
      <c r="H8770" s="953"/>
    </row>
    <row r="8771" spans="1:8" s="943" customFormat="1" x14ac:dyDescent="0.25">
      <c r="A8771" s="952"/>
      <c r="B8771" s="953"/>
      <c r="C8771" s="953"/>
      <c r="D8771" s="953"/>
      <c r="E8771" s="953"/>
      <c r="F8771" s="953"/>
      <c r="G8771" s="953"/>
      <c r="H8771" s="953"/>
    </row>
    <row r="8772" spans="1:8" s="943" customFormat="1" x14ac:dyDescent="0.25">
      <c r="A8772" s="952"/>
      <c r="B8772" s="953"/>
      <c r="C8772" s="953"/>
      <c r="D8772" s="953"/>
      <c r="E8772" s="953"/>
      <c r="F8772" s="953"/>
      <c r="G8772" s="953"/>
      <c r="H8772" s="953"/>
    </row>
    <row r="8773" spans="1:8" s="943" customFormat="1" x14ac:dyDescent="0.25">
      <c r="A8773" s="952"/>
      <c r="B8773" s="953"/>
      <c r="C8773" s="953"/>
      <c r="D8773" s="953"/>
      <c r="E8773" s="953"/>
      <c r="F8773" s="953"/>
      <c r="G8773" s="953"/>
      <c r="H8773" s="953"/>
    </row>
    <row r="8774" spans="1:8" s="943" customFormat="1" x14ac:dyDescent="0.25">
      <c r="A8774" s="952"/>
      <c r="B8774" s="953"/>
      <c r="C8774" s="953"/>
      <c r="D8774" s="953"/>
      <c r="E8774" s="953"/>
      <c r="F8774" s="953"/>
      <c r="G8774" s="953"/>
      <c r="H8774" s="953"/>
    </row>
    <row r="8775" spans="1:8" s="943" customFormat="1" x14ac:dyDescent="0.25">
      <c r="A8775" s="952"/>
      <c r="B8775" s="953"/>
      <c r="C8775" s="953"/>
      <c r="D8775" s="953"/>
      <c r="E8775" s="953"/>
      <c r="F8775" s="953"/>
      <c r="G8775" s="953"/>
      <c r="H8775" s="953"/>
    </row>
    <row r="8776" spans="1:8" s="943" customFormat="1" x14ac:dyDescent="0.25">
      <c r="A8776" s="952"/>
      <c r="B8776" s="953"/>
      <c r="C8776" s="953"/>
      <c r="D8776" s="953"/>
      <c r="E8776" s="953"/>
      <c r="F8776" s="953"/>
      <c r="G8776" s="953"/>
      <c r="H8776" s="953"/>
    </row>
    <row r="8777" spans="1:8" s="943" customFormat="1" x14ac:dyDescent="0.25">
      <c r="A8777" s="952"/>
      <c r="B8777" s="953"/>
      <c r="C8777" s="953"/>
      <c r="D8777" s="953"/>
      <c r="E8777" s="953"/>
      <c r="F8777" s="953"/>
      <c r="G8777" s="953"/>
      <c r="H8777" s="953"/>
    </row>
    <row r="8778" spans="1:8" s="943" customFormat="1" x14ac:dyDescent="0.25">
      <c r="A8778" s="952"/>
      <c r="B8778" s="953"/>
      <c r="C8778" s="953"/>
      <c r="D8778" s="953"/>
      <c r="E8778" s="953"/>
      <c r="F8778" s="953"/>
      <c r="G8778" s="953"/>
      <c r="H8778" s="953"/>
    </row>
    <row r="8779" spans="1:8" s="943" customFormat="1" x14ac:dyDescent="0.25">
      <c r="A8779" s="952"/>
      <c r="B8779" s="953"/>
      <c r="C8779" s="953"/>
      <c r="D8779" s="953"/>
      <c r="E8779" s="953"/>
      <c r="F8779" s="953"/>
      <c r="G8779" s="953"/>
      <c r="H8779" s="953"/>
    </row>
    <row r="8780" spans="1:8" s="943" customFormat="1" x14ac:dyDescent="0.25">
      <c r="A8780" s="952"/>
      <c r="B8780" s="953"/>
      <c r="C8780" s="953"/>
      <c r="D8780" s="953"/>
      <c r="E8780" s="953"/>
      <c r="F8780" s="953"/>
      <c r="G8780" s="953"/>
      <c r="H8780" s="953"/>
    </row>
    <row r="8781" spans="1:8" s="943" customFormat="1" x14ac:dyDescent="0.25">
      <c r="A8781" s="952"/>
      <c r="B8781" s="953"/>
      <c r="C8781" s="953"/>
      <c r="D8781" s="953"/>
      <c r="E8781" s="953"/>
      <c r="F8781" s="953"/>
      <c r="G8781" s="953"/>
      <c r="H8781" s="953"/>
    </row>
    <row r="8782" spans="1:8" s="943" customFormat="1" x14ac:dyDescent="0.25">
      <c r="A8782" s="952"/>
      <c r="B8782" s="953"/>
      <c r="C8782" s="953"/>
      <c r="D8782" s="953"/>
      <c r="E8782" s="953"/>
      <c r="F8782" s="953"/>
      <c r="G8782" s="953"/>
      <c r="H8782" s="953"/>
    </row>
    <row r="8783" spans="1:8" s="943" customFormat="1" x14ac:dyDescent="0.25">
      <c r="A8783" s="952"/>
      <c r="B8783" s="953"/>
      <c r="C8783" s="953"/>
      <c r="D8783" s="953"/>
      <c r="E8783" s="953"/>
      <c r="F8783" s="953"/>
      <c r="G8783" s="953"/>
      <c r="H8783" s="953"/>
    </row>
    <row r="8784" spans="1:8" s="943" customFormat="1" x14ac:dyDescent="0.25">
      <c r="A8784" s="952"/>
      <c r="B8784" s="953"/>
      <c r="C8784" s="953"/>
      <c r="D8784" s="953"/>
      <c r="E8784" s="953"/>
      <c r="F8784" s="953"/>
      <c r="G8784" s="953"/>
      <c r="H8784" s="953"/>
    </row>
    <row r="8785" spans="1:8" s="943" customFormat="1" x14ac:dyDescent="0.25">
      <c r="A8785" s="952"/>
      <c r="B8785" s="953"/>
      <c r="C8785" s="953"/>
      <c r="D8785" s="953"/>
      <c r="E8785" s="953"/>
      <c r="F8785" s="953"/>
      <c r="G8785" s="953"/>
      <c r="H8785" s="953"/>
    </row>
    <row r="8786" spans="1:8" s="943" customFormat="1" x14ac:dyDescent="0.25">
      <c r="A8786" s="952"/>
      <c r="B8786" s="953"/>
      <c r="C8786" s="953"/>
      <c r="D8786" s="953"/>
      <c r="E8786" s="953"/>
      <c r="F8786" s="953"/>
      <c r="G8786" s="953"/>
      <c r="H8786" s="953"/>
    </row>
    <row r="8787" spans="1:8" s="943" customFormat="1" x14ac:dyDescent="0.25">
      <c r="A8787" s="952"/>
      <c r="B8787" s="953"/>
      <c r="C8787" s="953"/>
      <c r="D8787" s="953"/>
      <c r="E8787" s="953"/>
      <c r="F8787" s="953"/>
      <c r="G8787" s="953"/>
      <c r="H8787" s="953"/>
    </row>
    <row r="8788" spans="1:8" s="943" customFormat="1" x14ac:dyDescent="0.25">
      <c r="A8788" s="952"/>
      <c r="B8788" s="953"/>
      <c r="C8788" s="953"/>
      <c r="D8788" s="953"/>
      <c r="E8788" s="953"/>
      <c r="F8788" s="953"/>
      <c r="G8788" s="953"/>
      <c r="H8788" s="953"/>
    </row>
    <row r="8789" spans="1:8" s="943" customFormat="1" x14ac:dyDescent="0.25">
      <c r="A8789" s="952"/>
      <c r="B8789" s="953"/>
      <c r="C8789" s="953"/>
      <c r="D8789" s="953"/>
      <c r="E8789" s="953"/>
      <c r="F8789" s="953"/>
      <c r="G8789" s="953"/>
      <c r="H8789" s="953"/>
    </row>
    <row r="8790" spans="1:8" s="943" customFormat="1" x14ac:dyDescent="0.25">
      <c r="A8790" s="952"/>
      <c r="B8790" s="953"/>
      <c r="C8790" s="953"/>
      <c r="D8790" s="953"/>
      <c r="E8790" s="953"/>
      <c r="F8790" s="953"/>
      <c r="G8790" s="953"/>
      <c r="H8790" s="953"/>
    </row>
    <row r="8791" spans="1:8" s="943" customFormat="1" x14ac:dyDescent="0.25">
      <c r="A8791" s="952"/>
      <c r="B8791" s="953"/>
      <c r="C8791" s="953"/>
      <c r="D8791" s="953"/>
      <c r="E8791" s="953"/>
      <c r="F8791" s="953"/>
      <c r="G8791" s="953"/>
      <c r="H8791" s="953"/>
    </row>
    <row r="8792" spans="1:8" s="943" customFormat="1" x14ac:dyDescent="0.25">
      <c r="A8792" s="952"/>
      <c r="B8792" s="953"/>
      <c r="C8792" s="953"/>
      <c r="D8792" s="953"/>
      <c r="E8792" s="953"/>
      <c r="F8792" s="953"/>
      <c r="G8792" s="953"/>
      <c r="H8792" s="953"/>
    </row>
    <row r="8793" spans="1:8" s="943" customFormat="1" x14ac:dyDescent="0.25">
      <c r="A8793" s="952"/>
      <c r="B8793" s="953"/>
      <c r="C8793" s="953"/>
      <c r="D8793" s="953"/>
      <c r="E8793" s="953"/>
      <c r="F8793" s="953"/>
      <c r="G8793" s="953"/>
      <c r="H8793" s="953"/>
    </row>
    <row r="8794" spans="1:8" s="943" customFormat="1" x14ac:dyDescent="0.25">
      <c r="A8794" s="952"/>
      <c r="B8794" s="953"/>
      <c r="C8794" s="953"/>
      <c r="D8794" s="953"/>
      <c r="E8794" s="953"/>
      <c r="F8794" s="953"/>
      <c r="G8794" s="953"/>
      <c r="H8794" s="953"/>
    </row>
    <row r="8795" spans="1:8" s="943" customFormat="1" x14ac:dyDescent="0.25">
      <c r="A8795" s="952"/>
      <c r="B8795" s="953"/>
      <c r="C8795" s="953"/>
      <c r="D8795" s="953"/>
      <c r="E8795" s="953"/>
      <c r="F8795" s="953"/>
      <c r="G8795" s="953"/>
      <c r="H8795" s="953"/>
    </row>
    <row r="8796" spans="1:8" s="943" customFormat="1" x14ac:dyDescent="0.25">
      <c r="A8796" s="952"/>
      <c r="B8796" s="953"/>
      <c r="C8796" s="953"/>
      <c r="D8796" s="953"/>
      <c r="E8796" s="953"/>
      <c r="F8796" s="953"/>
      <c r="G8796" s="953"/>
      <c r="H8796" s="953"/>
    </row>
    <row r="8797" spans="1:8" s="943" customFormat="1" x14ac:dyDescent="0.25">
      <c r="A8797" s="952"/>
      <c r="B8797" s="953"/>
      <c r="C8797" s="953"/>
      <c r="D8797" s="953"/>
      <c r="E8797" s="953"/>
      <c r="F8797" s="953"/>
      <c r="G8797" s="953"/>
      <c r="H8797" s="953"/>
    </row>
    <row r="8798" spans="1:8" s="943" customFormat="1" x14ac:dyDescent="0.25">
      <c r="A8798" s="952"/>
      <c r="B8798" s="953"/>
      <c r="C8798" s="953"/>
      <c r="D8798" s="953"/>
      <c r="E8798" s="953"/>
      <c r="F8798" s="953"/>
      <c r="G8798" s="953"/>
      <c r="H8798" s="953"/>
    </row>
    <row r="8799" spans="1:8" s="943" customFormat="1" x14ac:dyDescent="0.25">
      <c r="A8799" s="952"/>
      <c r="B8799" s="953"/>
      <c r="C8799" s="953"/>
      <c r="D8799" s="953"/>
      <c r="E8799" s="953"/>
      <c r="F8799" s="953"/>
      <c r="G8799" s="953"/>
      <c r="H8799" s="953"/>
    </row>
    <row r="8800" spans="1:8" s="943" customFormat="1" x14ac:dyDescent="0.25">
      <c r="A8800" s="952"/>
      <c r="B8800" s="953"/>
      <c r="C8800" s="953"/>
      <c r="D8800" s="953"/>
      <c r="E8800" s="953"/>
      <c r="F8800" s="953"/>
      <c r="G8800" s="953"/>
      <c r="H8800" s="953"/>
    </row>
    <row r="8801" spans="1:8" s="943" customFormat="1" x14ac:dyDescent="0.25">
      <c r="A8801" s="952"/>
      <c r="B8801" s="953"/>
      <c r="C8801" s="953"/>
      <c r="D8801" s="953"/>
      <c r="E8801" s="953"/>
      <c r="F8801" s="953"/>
      <c r="G8801" s="953"/>
      <c r="H8801" s="953"/>
    </row>
    <row r="8802" spans="1:8" s="943" customFormat="1" x14ac:dyDescent="0.25">
      <c r="A8802" s="952"/>
      <c r="B8802" s="953"/>
      <c r="C8802" s="953"/>
      <c r="D8802" s="953"/>
      <c r="E8802" s="953"/>
      <c r="F8802" s="953"/>
      <c r="G8802" s="953"/>
      <c r="H8802" s="953"/>
    </row>
    <row r="8803" spans="1:8" s="943" customFormat="1" x14ac:dyDescent="0.25">
      <c r="A8803" s="952"/>
      <c r="B8803" s="953"/>
      <c r="C8803" s="953"/>
      <c r="D8803" s="953"/>
      <c r="E8803" s="953"/>
      <c r="F8803" s="953"/>
      <c r="G8803" s="953"/>
      <c r="H8803" s="953"/>
    </row>
    <row r="8804" spans="1:8" s="943" customFormat="1" x14ac:dyDescent="0.25">
      <c r="A8804" s="952"/>
      <c r="B8804" s="953"/>
      <c r="C8804" s="953"/>
      <c r="D8804" s="953"/>
      <c r="E8804" s="953"/>
      <c r="F8804" s="953"/>
      <c r="G8804" s="953"/>
      <c r="H8804" s="953"/>
    </row>
    <row r="8805" spans="1:8" s="943" customFormat="1" x14ac:dyDescent="0.25">
      <c r="A8805" s="952"/>
      <c r="B8805" s="953"/>
      <c r="C8805" s="953"/>
      <c r="D8805" s="953"/>
      <c r="E8805" s="953"/>
      <c r="F8805" s="953"/>
      <c r="G8805" s="953"/>
      <c r="H8805" s="953"/>
    </row>
    <row r="8806" spans="1:8" s="943" customFormat="1" x14ac:dyDescent="0.25">
      <c r="A8806" s="952"/>
      <c r="B8806" s="953"/>
      <c r="C8806" s="953"/>
      <c r="D8806" s="953"/>
      <c r="E8806" s="953"/>
      <c r="F8806" s="953"/>
      <c r="G8806" s="953"/>
      <c r="H8806" s="953"/>
    </row>
    <row r="8807" spans="1:8" s="943" customFormat="1" x14ac:dyDescent="0.25">
      <c r="A8807" s="952"/>
      <c r="B8807" s="953"/>
      <c r="C8807" s="953"/>
      <c r="D8807" s="953"/>
      <c r="E8807" s="953"/>
      <c r="F8807" s="953"/>
      <c r="G8807" s="953"/>
      <c r="H8807" s="953"/>
    </row>
    <row r="8808" spans="1:8" s="943" customFormat="1" x14ac:dyDescent="0.25">
      <c r="A8808" s="952"/>
      <c r="B8808" s="953"/>
      <c r="C8808" s="953"/>
      <c r="D8808" s="953"/>
      <c r="E8808" s="953"/>
      <c r="F8808" s="953"/>
      <c r="G8808" s="953"/>
      <c r="H8808" s="953"/>
    </row>
    <row r="8809" spans="1:8" s="943" customFormat="1" x14ac:dyDescent="0.25">
      <c r="A8809" s="952"/>
      <c r="B8809" s="953"/>
      <c r="C8809" s="953"/>
      <c r="D8809" s="953"/>
      <c r="E8809" s="953"/>
      <c r="F8809" s="953"/>
      <c r="G8809" s="953"/>
      <c r="H8809" s="953"/>
    </row>
    <row r="8810" spans="1:8" s="943" customFormat="1" x14ac:dyDescent="0.25">
      <c r="A8810" s="952"/>
      <c r="B8810" s="953"/>
      <c r="C8810" s="953"/>
      <c r="D8810" s="953"/>
      <c r="E8810" s="953"/>
      <c r="F8810" s="953"/>
      <c r="G8810" s="953"/>
      <c r="H8810" s="953"/>
    </row>
    <row r="8811" spans="1:8" s="943" customFormat="1" x14ac:dyDescent="0.25">
      <c r="A8811" s="952"/>
      <c r="B8811" s="953"/>
      <c r="C8811" s="953"/>
      <c r="D8811" s="953"/>
      <c r="E8811" s="953"/>
      <c r="F8811" s="953"/>
      <c r="G8811" s="953"/>
      <c r="H8811" s="953"/>
    </row>
    <row r="8812" spans="1:8" s="943" customFormat="1" x14ac:dyDescent="0.25">
      <c r="A8812" s="952"/>
      <c r="B8812" s="953"/>
      <c r="C8812" s="953"/>
      <c r="D8812" s="953"/>
      <c r="E8812" s="953"/>
      <c r="F8812" s="953"/>
      <c r="G8812" s="953"/>
      <c r="H8812" s="953"/>
    </row>
    <row r="8813" spans="1:8" s="943" customFormat="1" x14ac:dyDescent="0.25">
      <c r="A8813" s="952"/>
      <c r="B8813" s="953"/>
      <c r="C8813" s="953"/>
      <c r="D8813" s="953"/>
      <c r="E8813" s="953"/>
      <c r="F8813" s="953"/>
      <c r="G8813" s="953"/>
      <c r="H8813" s="953"/>
    </row>
    <row r="8814" spans="1:8" s="943" customFormat="1" x14ac:dyDescent="0.25">
      <c r="A8814" s="952"/>
      <c r="B8814" s="953"/>
      <c r="C8814" s="953"/>
      <c r="D8814" s="953"/>
      <c r="E8814" s="953"/>
      <c r="F8814" s="953"/>
      <c r="G8814" s="953"/>
      <c r="H8814" s="953"/>
    </row>
    <row r="8815" spans="1:8" s="943" customFormat="1" x14ac:dyDescent="0.25">
      <c r="A8815" s="952"/>
      <c r="B8815" s="953"/>
      <c r="C8815" s="953"/>
      <c r="D8815" s="953"/>
      <c r="E8815" s="953"/>
      <c r="F8815" s="953"/>
      <c r="G8815" s="953"/>
      <c r="H8815" s="953"/>
    </row>
    <row r="8816" spans="1:8" s="943" customFormat="1" x14ac:dyDescent="0.25">
      <c r="A8816" s="952"/>
      <c r="B8816" s="953"/>
      <c r="C8816" s="953"/>
      <c r="D8816" s="953"/>
      <c r="E8816" s="953"/>
      <c r="F8816" s="953"/>
      <c r="G8816" s="953"/>
      <c r="H8816" s="953"/>
    </row>
    <row r="8817" spans="1:8" s="943" customFormat="1" x14ac:dyDescent="0.25">
      <c r="A8817" s="952"/>
      <c r="B8817" s="953"/>
      <c r="C8817" s="953"/>
      <c r="D8817" s="953"/>
      <c r="E8817" s="953"/>
      <c r="F8817" s="953"/>
      <c r="G8817" s="953"/>
      <c r="H8817" s="953"/>
    </row>
    <row r="8818" spans="1:8" s="943" customFormat="1" x14ac:dyDescent="0.25">
      <c r="A8818" s="952"/>
      <c r="B8818" s="953"/>
      <c r="C8818" s="953"/>
      <c r="D8818" s="953"/>
      <c r="E8818" s="953"/>
      <c r="F8818" s="953"/>
      <c r="G8818" s="953"/>
      <c r="H8818" s="953"/>
    </row>
    <row r="8819" spans="1:8" s="943" customFormat="1" x14ac:dyDescent="0.25">
      <c r="A8819" s="952"/>
      <c r="B8819" s="953"/>
      <c r="C8819" s="953"/>
      <c r="D8819" s="953"/>
      <c r="E8819" s="953"/>
      <c r="F8819" s="953"/>
      <c r="G8819" s="953"/>
      <c r="H8819" s="953"/>
    </row>
    <row r="8820" spans="1:8" s="943" customFormat="1" x14ac:dyDescent="0.25">
      <c r="A8820" s="952"/>
      <c r="B8820" s="953"/>
      <c r="C8820" s="953"/>
      <c r="D8820" s="953"/>
      <c r="E8820" s="953"/>
      <c r="F8820" s="953"/>
      <c r="G8820" s="953"/>
      <c r="H8820" s="953"/>
    </row>
    <row r="8821" spans="1:8" s="943" customFormat="1" x14ac:dyDescent="0.25">
      <c r="A8821" s="952"/>
      <c r="B8821" s="953"/>
      <c r="C8821" s="953"/>
      <c r="D8821" s="953"/>
      <c r="E8821" s="953"/>
      <c r="F8821" s="953"/>
      <c r="G8821" s="953"/>
      <c r="H8821" s="953"/>
    </row>
    <row r="8822" spans="1:8" s="943" customFormat="1" x14ac:dyDescent="0.25">
      <c r="A8822" s="952"/>
      <c r="B8822" s="953"/>
      <c r="C8822" s="953"/>
      <c r="D8822" s="953"/>
      <c r="E8822" s="953"/>
      <c r="F8822" s="953"/>
      <c r="G8822" s="953"/>
      <c r="H8822" s="953"/>
    </row>
    <row r="8823" spans="1:8" s="943" customFormat="1" x14ac:dyDescent="0.25">
      <c r="A8823" s="952"/>
      <c r="B8823" s="953"/>
      <c r="C8823" s="953"/>
      <c r="D8823" s="953"/>
      <c r="E8823" s="953"/>
      <c r="F8823" s="953"/>
      <c r="G8823" s="953"/>
      <c r="H8823" s="953"/>
    </row>
    <row r="8824" spans="1:8" s="943" customFormat="1" x14ac:dyDescent="0.25">
      <c r="A8824" s="952"/>
      <c r="B8824" s="953"/>
      <c r="C8824" s="953"/>
      <c r="D8824" s="953"/>
      <c r="E8824" s="953"/>
      <c r="F8824" s="953"/>
      <c r="G8824" s="953"/>
      <c r="H8824" s="953"/>
    </row>
    <row r="8825" spans="1:8" s="943" customFormat="1" x14ac:dyDescent="0.25">
      <c r="A8825" s="952"/>
      <c r="B8825" s="953"/>
      <c r="C8825" s="953"/>
      <c r="D8825" s="953"/>
      <c r="E8825" s="953"/>
      <c r="F8825" s="953"/>
      <c r="G8825" s="953"/>
      <c r="H8825" s="953"/>
    </row>
    <row r="8826" spans="1:8" s="943" customFormat="1" x14ac:dyDescent="0.25">
      <c r="A8826" s="952"/>
      <c r="B8826" s="953"/>
      <c r="C8826" s="953"/>
      <c r="D8826" s="953"/>
      <c r="E8826" s="953"/>
      <c r="F8826" s="953"/>
      <c r="G8826" s="953"/>
      <c r="H8826" s="953"/>
    </row>
    <row r="8827" spans="1:8" s="943" customFormat="1" x14ac:dyDescent="0.25">
      <c r="A8827" s="952"/>
      <c r="B8827" s="953"/>
      <c r="C8827" s="953"/>
      <c r="D8827" s="953"/>
      <c r="E8827" s="953"/>
      <c r="F8827" s="953"/>
      <c r="G8827" s="953"/>
      <c r="H8827" s="953"/>
    </row>
    <row r="8828" spans="1:8" s="943" customFormat="1" x14ac:dyDescent="0.25">
      <c r="A8828" s="952"/>
      <c r="B8828" s="953"/>
      <c r="C8828" s="953"/>
      <c r="D8828" s="953"/>
      <c r="E8828" s="953"/>
      <c r="F8828" s="953"/>
      <c r="G8828" s="953"/>
      <c r="H8828" s="953"/>
    </row>
    <row r="8829" spans="1:8" s="943" customFormat="1" x14ac:dyDescent="0.25">
      <c r="A8829" s="952"/>
      <c r="B8829" s="953"/>
      <c r="C8829" s="953"/>
      <c r="D8829" s="953"/>
      <c r="E8829" s="953"/>
      <c r="F8829" s="953"/>
      <c r="G8829" s="953"/>
      <c r="H8829" s="953"/>
    </row>
    <row r="8830" spans="1:8" s="943" customFormat="1" x14ac:dyDescent="0.25">
      <c r="A8830" s="952"/>
      <c r="B8830" s="953"/>
      <c r="C8830" s="953"/>
      <c r="D8830" s="953"/>
      <c r="E8830" s="953"/>
      <c r="F8830" s="953"/>
      <c r="G8830" s="953"/>
      <c r="H8830" s="953"/>
    </row>
    <row r="8831" spans="1:8" s="943" customFormat="1" x14ac:dyDescent="0.25">
      <c r="A8831" s="952"/>
      <c r="B8831" s="953"/>
      <c r="C8831" s="953"/>
      <c r="D8831" s="953"/>
      <c r="E8831" s="953"/>
      <c r="F8831" s="953"/>
      <c r="G8831" s="953"/>
      <c r="H8831" s="953"/>
    </row>
    <row r="8832" spans="1:8" s="943" customFormat="1" x14ac:dyDescent="0.25">
      <c r="A8832" s="952"/>
      <c r="B8832" s="953"/>
      <c r="C8832" s="953"/>
      <c r="D8832" s="953"/>
      <c r="E8832" s="953"/>
      <c r="F8832" s="953"/>
      <c r="G8832" s="953"/>
      <c r="H8832" s="953"/>
    </row>
    <row r="8833" spans="1:8" s="943" customFormat="1" x14ac:dyDescent="0.25">
      <c r="A8833" s="952"/>
      <c r="B8833" s="953"/>
      <c r="C8833" s="953"/>
      <c r="D8833" s="953"/>
      <c r="E8833" s="953"/>
      <c r="F8833" s="953"/>
      <c r="G8833" s="953"/>
      <c r="H8833" s="953"/>
    </row>
    <row r="8834" spans="1:8" s="943" customFormat="1" x14ac:dyDescent="0.25">
      <c r="A8834" s="952"/>
      <c r="B8834" s="953"/>
      <c r="C8834" s="953"/>
      <c r="D8834" s="953"/>
      <c r="E8834" s="953"/>
      <c r="F8834" s="953"/>
      <c r="G8834" s="953"/>
      <c r="H8834" s="953"/>
    </row>
    <row r="8835" spans="1:8" s="943" customFormat="1" x14ac:dyDescent="0.25">
      <c r="A8835" s="952"/>
      <c r="B8835" s="953"/>
      <c r="C8835" s="953"/>
      <c r="D8835" s="953"/>
      <c r="E8835" s="953"/>
      <c r="F8835" s="953"/>
      <c r="G8835" s="953"/>
      <c r="H8835" s="953"/>
    </row>
    <row r="8836" spans="1:8" s="943" customFormat="1" x14ac:dyDescent="0.25">
      <c r="A8836" s="952"/>
      <c r="B8836" s="953"/>
      <c r="C8836" s="953"/>
      <c r="D8836" s="953"/>
      <c r="E8836" s="953"/>
      <c r="F8836" s="953"/>
      <c r="G8836" s="953"/>
      <c r="H8836" s="953"/>
    </row>
    <row r="8837" spans="1:8" s="943" customFormat="1" x14ac:dyDescent="0.25">
      <c r="A8837" s="952"/>
      <c r="B8837" s="953"/>
      <c r="C8837" s="953"/>
      <c r="D8837" s="953"/>
      <c r="E8837" s="953"/>
      <c r="F8837" s="953"/>
      <c r="G8837" s="953"/>
      <c r="H8837" s="953"/>
    </row>
    <row r="8838" spans="1:8" s="943" customFormat="1" x14ac:dyDescent="0.25">
      <c r="A8838" s="952"/>
      <c r="B8838" s="953"/>
      <c r="C8838" s="953"/>
      <c r="D8838" s="953"/>
      <c r="E8838" s="953"/>
      <c r="F8838" s="953"/>
      <c r="G8838" s="953"/>
      <c r="H8838" s="953"/>
    </row>
    <row r="8839" spans="1:8" s="943" customFormat="1" x14ac:dyDescent="0.25">
      <c r="A8839" s="952"/>
      <c r="B8839" s="953"/>
      <c r="C8839" s="953"/>
      <c r="D8839" s="953"/>
      <c r="E8839" s="953"/>
      <c r="F8839" s="953"/>
      <c r="G8839" s="953"/>
      <c r="H8839" s="953"/>
    </row>
    <row r="8840" spans="1:8" s="943" customFormat="1" x14ac:dyDescent="0.25">
      <c r="A8840" s="952"/>
      <c r="B8840" s="953"/>
      <c r="C8840" s="953"/>
      <c r="D8840" s="953"/>
      <c r="E8840" s="953"/>
      <c r="F8840" s="953"/>
      <c r="G8840" s="953"/>
      <c r="H8840" s="953"/>
    </row>
    <row r="8841" spans="1:8" s="943" customFormat="1" x14ac:dyDescent="0.25">
      <c r="A8841" s="952"/>
      <c r="B8841" s="953"/>
      <c r="C8841" s="953"/>
      <c r="D8841" s="953"/>
      <c r="E8841" s="953"/>
      <c r="F8841" s="953"/>
      <c r="G8841" s="953"/>
      <c r="H8841" s="953"/>
    </row>
    <row r="8842" spans="1:8" s="943" customFormat="1" x14ac:dyDescent="0.25">
      <c r="A8842" s="952"/>
      <c r="B8842" s="953"/>
      <c r="C8842" s="953"/>
      <c r="D8842" s="953"/>
      <c r="E8842" s="953"/>
      <c r="F8842" s="953"/>
      <c r="G8842" s="953"/>
      <c r="H8842" s="953"/>
    </row>
    <row r="8843" spans="1:8" s="943" customFormat="1" x14ac:dyDescent="0.25">
      <c r="A8843" s="952"/>
      <c r="B8843" s="953"/>
      <c r="C8843" s="953"/>
      <c r="D8843" s="953"/>
      <c r="E8843" s="953"/>
      <c r="F8843" s="953"/>
      <c r="G8843" s="953"/>
      <c r="H8843" s="953"/>
    </row>
    <row r="8844" spans="1:8" s="943" customFormat="1" x14ac:dyDescent="0.25">
      <c r="A8844" s="952"/>
      <c r="B8844" s="953"/>
      <c r="C8844" s="953"/>
      <c r="D8844" s="953"/>
      <c r="E8844" s="953"/>
      <c r="F8844" s="953"/>
      <c r="G8844" s="953"/>
      <c r="H8844" s="953"/>
    </row>
    <row r="8845" spans="1:8" s="943" customFormat="1" x14ac:dyDescent="0.25">
      <c r="A8845" s="952"/>
      <c r="B8845" s="953"/>
      <c r="C8845" s="953"/>
      <c r="D8845" s="953"/>
      <c r="E8845" s="953"/>
      <c r="F8845" s="953"/>
      <c r="G8845" s="953"/>
      <c r="H8845" s="953"/>
    </row>
    <row r="8846" spans="1:8" s="943" customFormat="1" x14ac:dyDescent="0.25">
      <c r="A8846" s="952"/>
      <c r="B8846" s="953"/>
      <c r="C8846" s="953"/>
      <c r="D8846" s="953"/>
      <c r="E8846" s="953"/>
      <c r="F8846" s="953"/>
      <c r="G8846" s="953"/>
      <c r="H8846" s="953"/>
    </row>
    <row r="8847" spans="1:8" s="943" customFormat="1" x14ac:dyDescent="0.25">
      <c r="A8847" s="952"/>
      <c r="B8847" s="953"/>
      <c r="C8847" s="953"/>
      <c r="D8847" s="953"/>
      <c r="E8847" s="953"/>
      <c r="F8847" s="953"/>
      <c r="G8847" s="953"/>
      <c r="H8847" s="953"/>
    </row>
    <row r="8848" spans="1:8" s="943" customFormat="1" x14ac:dyDescent="0.25">
      <c r="A8848" s="952"/>
      <c r="B8848" s="953"/>
      <c r="C8848" s="953"/>
      <c r="D8848" s="953"/>
      <c r="E8848" s="953"/>
      <c r="F8848" s="953"/>
      <c r="G8848" s="953"/>
      <c r="H8848" s="953"/>
    </row>
    <row r="8849" spans="1:8" s="943" customFormat="1" x14ac:dyDescent="0.25">
      <c r="A8849" s="952"/>
      <c r="B8849" s="953"/>
      <c r="C8849" s="953"/>
      <c r="D8849" s="953"/>
      <c r="E8849" s="953"/>
      <c r="F8849" s="953"/>
      <c r="G8849" s="953"/>
      <c r="H8849" s="953"/>
    </row>
    <row r="8850" spans="1:8" s="943" customFormat="1" x14ac:dyDescent="0.25">
      <c r="A8850" s="952"/>
      <c r="B8850" s="953"/>
      <c r="C8850" s="953"/>
      <c r="D8850" s="953"/>
      <c r="E8850" s="953"/>
      <c r="F8850" s="953"/>
      <c r="G8850" s="953"/>
      <c r="H8850" s="953"/>
    </row>
    <row r="8851" spans="1:8" s="943" customFormat="1" x14ac:dyDescent="0.25">
      <c r="A8851" s="952"/>
      <c r="B8851" s="953"/>
      <c r="C8851" s="953"/>
      <c r="D8851" s="953"/>
      <c r="E8851" s="953"/>
      <c r="F8851" s="953"/>
      <c r="G8851" s="953"/>
      <c r="H8851" s="953"/>
    </row>
    <row r="8852" spans="1:8" s="943" customFormat="1" x14ac:dyDescent="0.25">
      <c r="A8852" s="952"/>
      <c r="B8852" s="953"/>
      <c r="C8852" s="953"/>
      <c r="D8852" s="953"/>
      <c r="E8852" s="953"/>
      <c r="F8852" s="953"/>
      <c r="G8852" s="953"/>
      <c r="H8852" s="953"/>
    </row>
    <row r="8853" spans="1:8" s="943" customFormat="1" x14ac:dyDescent="0.25">
      <c r="A8853" s="952"/>
      <c r="B8853" s="953"/>
      <c r="C8853" s="953"/>
      <c r="D8853" s="953"/>
      <c r="E8853" s="953"/>
      <c r="F8853" s="953"/>
      <c r="G8853" s="953"/>
      <c r="H8853" s="953"/>
    </row>
    <row r="8854" spans="1:8" s="943" customFormat="1" x14ac:dyDescent="0.25">
      <c r="A8854" s="952"/>
      <c r="B8854" s="953"/>
      <c r="C8854" s="953"/>
      <c r="D8854" s="953"/>
      <c r="E8854" s="953"/>
      <c r="F8854" s="953"/>
      <c r="G8854" s="953"/>
      <c r="H8854" s="953"/>
    </row>
    <row r="8855" spans="1:8" s="943" customFormat="1" x14ac:dyDescent="0.25">
      <c r="A8855" s="952"/>
      <c r="B8855" s="953"/>
      <c r="C8855" s="953"/>
      <c r="D8855" s="953"/>
      <c r="E8855" s="953"/>
      <c r="F8855" s="953"/>
      <c r="G8855" s="953"/>
      <c r="H8855" s="953"/>
    </row>
    <row r="8856" spans="1:8" s="943" customFormat="1" x14ac:dyDescent="0.25">
      <c r="A8856" s="952"/>
      <c r="B8856" s="953"/>
      <c r="C8856" s="953"/>
      <c r="D8856" s="953"/>
      <c r="E8856" s="953"/>
      <c r="F8856" s="953"/>
      <c r="G8856" s="953"/>
      <c r="H8856" s="953"/>
    </row>
    <row r="8857" spans="1:8" s="943" customFormat="1" x14ac:dyDescent="0.25">
      <c r="A8857" s="952"/>
      <c r="B8857" s="953"/>
      <c r="C8857" s="953"/>
      <c r="D8857" s="953"/>
      <c r="E8857" s="953"/>
      <c r="F8857" s="953"/>
      <c r="G8857" s="953"/>
      <c r="H8857" s="953"/>
    </row>
    <row r="8858" spans="1:8" s="943" customFormat="1" x14ac:dyDescent="0.25">
      <c r="A8858" s="952"/>
      <c r="B8858" s="953"/>
      <c r="C8858" s="953"/>
      <c r="D8858" s="953"/>
      <c r="E8858" s="953"/>
      <c r="F8858" s="953"/>
      <c r="G8858" s="953"/>
      <c r="H8858" s="953"/>
    </row>
    <row r="8859" spans="1:8" s="943" customFormat="1" x14ac:dyDescent="0.25">
      <c r="A8859" s="952"/>
      <c r="B8859" s="953"/>
      <c r="C8859" s="953"/>
      <c r="D8859" s="953"/>
      <c r="E8859" s="953"/>
      <c r="F8859" s="953"/>
      <c r="G8859" s="953"/>
      <c r="H8859" s="953"/>
    </row>
    <row r="8860" spans="1:8" s="943" customFormat="1" x14ac:dyDescent="0.25">
      <c r="A8860" s="952"/>
      <c r="B8860" s="953"/>
      <c r="C8860" s="953"/>
      <c r="D8860" s="953"/>
      <c r="E8860" s="953"/>
      <c r="F8860" s="953"/>
      <c r="G8860" s="953"/>
      <c r="H8860" s="953"/>
    </row>
    <row r="8861" spans="1:8" s="943" customFormat="1" x14ac:dyDescent="0.25">
      <c r="A8861" s="952"/>
      <c r="B8861" s="953"/>
      <c r="C8861" s="953"/>
      <c r="D8861" s="953"/>
      <c r="E8861" s="953"/>
      <c r="F8861" s="953"/>
      <c r="G8861" s="953"/>
      <c r="H8861" s="953"/>
    </row>
    <row r="8862" spans="1:8" s="943" customFormat="1" x14ac:dyDescent="0.25">
      <c r="A8862" s="952"/>
      <c r="B8862" s="953"/>
      <c r="C8862" s="953"/>
      <c r="D8862" s="953"/>
      <c r="E8862" s="953"/>
      <c r="F8862" s="953"/>
      <c r="G8862" s="953"/>
      <c r="H8862" s="953"/>
    </row>
    <row r="8863" spans="1:8" s="943" customFormat="1" x14ac:dyDescent="0.25">
      <c r="A8863" s="952"/>
      <c r="B8863" s="953"/>
      <c r="C8863" s="953"/>
      <c r="D8863" s="953"/>
      <c r="E8863" s="953"/>
      <c r="F8863" s="953"/>
      <c r="G8863" s="953"/>
      <c r="H8863" s="953"/>
    </row>
    <row r="8864" spans="1:8" s="943" customFormat="1" x14ac:dyDescent="0.25">
      <c r="A8864" s="952"/>
      <c r="B8864" s="953"/>
      <c r="C8864" s="953"/>
      <c r="D8864" s="953"/>
      <c r="E8864" s="953"/>
      <c r="F8864" s="953"/>
      <c r="G8864" s="953"/>
      <c r="H8864" s="953"/>
    </row>
    <row r="8865" spans="1:8" s="943" customFormat="1" x14ac:dyDescent="0.25">
      <c r="A8865" s="952"/>
      <c r="B8865" s="953"/>
      <c r="C8865" s="953"/>
      <c r="D8865" s="953"/>
      <c r="E8865" s="953"/>
      <c r="F8865" s="953"/>
      <c r="G8865" s="953"/>
      <c r="H8865" s="953"/>
    </row>
    <row r="8866" spans="1:8" s="943" customFormat="1" x14ac:dyDescent="0.25">
      <c r="A8866" s="952"/>
      <c r="B8866" s="953"/>
      <c r="C8866" s="953"/>
      <c r="D8866" s="953"/>
      <c r="E8866" s="953"/>
      <c r="F8866" s="953"/>
      <c r="G8866" s="953"/>
      <c r="H8866" s="953"/>
    </row>
    <row r="8867" spans="1:8" s="943" customFormat="1" x14ac:dyDescent="0.25">
      <c r="A8867" s="952"/>
      <c r="B8867" s="953"/>
      <c r="C8867" s="953"/>
      <c r="D8867" s="953"/>
      <c r="E8867" s="953"/>
      <c r="F8867" s="953"/>
      <c r="G8867" s="953"/>
      <c r="H8867" s="953"/>
    </row>
    <row r="8868" spans="1:8" s="943" customFormat="1" x14ac:dyDescent="0.25">
      <c r="A8868" s="952"/>
      <c r="B8868" s="953"/>
      <c r="C8868" s="953"/>
      <c r="D8868" s="953"/>
      <c r="E8868" s="953"/>
      <c r="F8868" s="953"/>
      <c r="G8868" s="953"/>
      <c r="H8868" s="953"/>
    </row>
    <row r="8869" spans="1:8" s="943" customFormat="1" x14ac:dyDescent="0.25">
      <c r="A8869" s="952"/>
      <c r="B8869" s="953"/>
      <c r="C8869" s="953"/>
      <c r="D8869" s="953"/>
      <c r="E8869" s="953"/>
      <c r="F8869" s="953"/>
      <c r="G8869" s="953"/>
      <c r="H8869" s="953"/>
    </row>
    <row r="8870" spans="1:8" s="943" customFormat="1" x14ac:dyDescent="0.25">
      <c r="A8870" s="952"/>
      <c r="B8870" s="953"/>
      <c r="C8870" s="953"/>
      <c r="D8870" s="953"/>
      <c r="E8870" s="953"/>
      <c r="F8870" s="953"/>
      <c r="G8870" s="953"/>
      <c r="H8870" s="953"/>
    </row>
    <row r="8871" spans="1:8" s="943" customFormat="1" x14ac:dyDescent="0.25">
      <c r="A8871" s="952"/>
      <c r="B8871" s="953"/>
      <c r="C8871" s="953"/>
      <c r="D8871" s="953"/>
      <c r="E8871" s="953"/>
      <c r="F8871" s="953"/>
      <c r="G8871" s="953"/>
      <c r="H8871" s="953"/>
    </row>
    <row r="8872" spans="1:8" s="943" customFormat="1" x14ac:dyDescent="0.25">
      <c r="A8872" s="952"/>
      <c r="B8872" s="953"/>
      <c r="C8872" s="953"/>
      <c r="D8872" s="953"/>
      <c r="E8872" s="953"/>
      <c r="F8872" s="953"/>
      <c r="G8872" s="953"/>
      <c r="H8872" s="953"/>
    </row>
    <row r="8873" spans="1:8" s="943" customFormat="1" x14ac:dyDescent="0.25">
      <c r="A8873" s="952"/>
      <c r="B8873" s="953"/>
      <c r="C8873" s="953"/>
      <c r="D8873" s="953"/>
      <c r="E8873" s="953"/>
      <c r="F8873" s="953"/>
      <c r="G8873" s="953"/>
      <c r="H8873" s="953"/>
    </row>
    <row r="8874" spans="1:8" s="943" customFormat="1" x14ac:dyDescent="0.25">
      <c r="A8874" s="952"/>
      <c r="B8874" s="953"/>
      <c r="C8874" s="953"/>
      <c r="D8874" s="953"/>
      <c r="E8874" s="953"/>
      <c r="F8874" s="953"/>
      <c r="G8874" s="953"/>
      <c r="H8874" s="953"/>
    </row>
    <row r="8875" spans="1:8" s="943" customFormat="1" x14ac:dyDescent="0.25">
      <c r="A8875" s="952"/>
      <c r="B8875" s="953"/>
      <c r="C8875" s="953"/>
      <c r="D8875" s="953"/>
      <c r="E8875" s="953"/>
      <c r="F8875" s="953"/>
      <c r="G8875" s="953"/>
      <c r="H8875" s="953"/>
    </row>
    <row r="8876" spans="1:8" s="943" customFormat="1" x14ac:dyDescent="0.25">
      <c r="A8876" s="952"/>
      <c r="B8876" s="953"/>
      <c r="C8876" s="953"/>
      <c r="D8876" s="953"/>
      <c r="E8876" s="953"/>
      <c r="F8876" s="953"/>
      <c r="G8876" s="953"/>
      <c r="H8876" s="953"/>
    </row>
    <row r="8877" spans="1:8" s="943" customFormat="1" x14ac:dyDescent="0.25">
      <c r="A8877" s="952"/>
      <c r="B8877" s="953"/>
      <c r="C8877" s="953"/>
      <c r="D8877" s="953"/>
      <c r="E8877" s="953"/>
      <c r="F8877" s="953"/>
      <c r="G8877" s="953"/>
      <c r="H8877" s="953"/>
    </row>
    <row r="8878" spans="1:8" s="943" customFormat="1" x14ac:dyDescent="0.25">
      <c r="A8878" s="952"/>
      <c r="B8878" s="953"/>
      <c r="C8878" s="953"/>
      <c r="D8878" s="953"/>
      <c r="E8878" s="953"/>
      <c r="F8878" s="953"/>
      <c r="G8878" s="953"/>
      <c r="H8878" s="953"/>
    </row>
    <row r="8879" spans="1:8" s="943" customFormat="1" x14ac:dyDescent="0.25">
      <c r="A8879" s="952"/>
      <c r="B8879" s="953"/>
      <c r="C8879" s="953"/>
      <c r="D8879" s="953"/>
      <c r="E8879" s="953"/>
      <c r="F8879" s="953"/>
      <c r="G8879" s="953"/>
      <c r="H8879" s="953"/>
    </row>
    <row r="8880" spans="1:8" s="943" customFormat="1" x14ac:dyDescent="0.25">
      <c r="A8880" s="952"/>
      <c r="B8880" s="953"/>
      <c r="C8880" s="953"/>
      <c r="D8880" s="953"/>
      <c r="E8880" s="953"/>
      <c r="F8880" s="953"/>
      <c r="G8880" s="953"/>
      <c r="H8880" s="953"/>
    </row>
    <row r="8881" spans="1:8" s="943" customFormat="1" x14ac:dyDescent="0.25">
      <c r="A8881" s="952"/>
      <c r="B8881" s="953"/>
      <c r="C8881" s="953"/>
      <c r="D8881" s="953"/>
      <c r="E8881" s="953"/>
      <c r="F8881" s="953"/>
      <c r="G8881" s="953"/>
      <c r="H8881" s="953"/>
    </row>
    <row r="8882" spans="1:8" s="943" customFormat="1" x14ac:dyDescent="0.25">
      <c r="A8882" s="952"/>
      <c r="B8882" s="953"/>
      <c r="C8882" s="953"/>
      <c r="D8882" s="953"/>
      <c r="E8882" s="953"/>
      <c r="F8882" s="953"/>
      <c r="G8882" s="953"/>
      <c r="H8882" s="953"/>
    </row>
    <row r="8883" spans="1:8" s="943" customFormat="1" x14ac:dyDescent="0.25">
      <c r="A8883" s="952"/>
      <c r="B8883" s="953"/>
      <c r="C8883" s="953"/>
      <c r="D8883" s="953"/>
      <c r="E8883" s="953"/>
      <c r="F8883" s="953"/>
      <c r="G8883" s="953"/>
      <c r="H8883" s="953"/>
    </row>
    <row r="8884" spans="1:8" s="943" customFormat="1" x14ac:dyDescent="0.25">
      <c r="A8884" s="952"/>
      <c r="B8884" s="953"/>
      <c r="C8884" s="953"/>
      <c r="D8884" s="953"/>
      <c r="E8884" s="953"/>
      <c r="F8884" s="953"/>
      <c r="G8884" s="953"/>
      <c r="H8884" s="953"/>
    </row>
    <row r="8885" spans="1:8" s="943" customFormat="1" x14ac:dyDescent="0.25">
      <c r="A8885" s="952"/>
      <c r="B8885" s="953"/>
      <c r="C8885" s="953"/>
      <c r="D8885" s="953"/>
      <c r="E8885" s="953"/>
      <c r="F8885" s="953"/>
      <c r="G8885" s="953"/>
      <c r="H8885" s="953"/>
    </row>
    <row r="8886" spans="1:8" s="943" customFormat="1" x14ac:dyDescent="0.25">
      <c r="A8886" s="952"/>
      <c r="B8886" s="953"/>
      <c r="C8886" s="953"/>
      <c r="D8886" s="953"/>
      <c r="E8886" s="953"/>
      <c r="F8886" s="953"/>
      <c r="G8886" s="953"/>
      <c r="H8886" s="953"/>
    </row>
    <row r="8887" spans="1:8" s="943" customFormat="1" x14ac:dyDescent="0.25">
      <c r="A8887" s="952"/>
      <c r="B8887" s="953"/>
      <c r="C8887" s="953"/>
      <c r="D8887" s="953"/>
      <c r="E8887" s="953"/>
      <c r="F8887" s="953"/>
      <c r="G8887" s="953"/>
      <c r="H8887" s="953"/>
    </row>
    <row r="8888" spans="1:8" s="943" customFormat="1" x14ac:dyDescent="0.25">
      <c r="A8888" s="952"/>
      <c r="B8888" s="953"/>
      <c r="C8888" s="953"/>
      <c r="D8888" s="953"/>
      <c r="E8888" s="953"/>
      <c r="F8888" s="953"/>
      <c r="G8888" s="953"/>
      <c r="H8888" s="953"/>
    </row>
    <row r="8889" spans="1:8" s="943" customFormat="1" x14ac:dyDescent="0.25">
      <c r="A8889" s="952"/>
      <c r="B8889" s="953"/>
      <c r="C8889" s="953"/>
      <c r="D8889" s="953"/>
      <c r="E8889" s="953"/>
      <c r="F8889" s="953"/>
      <c r="G8889" s="953"/>
      <c r="H8889" s="953"/>
    </row>
    <row r="8890" spans="1:8" s="943" customFormat="1" x14ac:dyDescent="0.25">
      <c r="A8890" s="952"/>
      <c r="B8890" s="953"/>
      <c r="C8890" s="953"/>
      <c r="D8890" s="953"/>
      <c r="E8890" s="953"/>
      <c r="F8890" s="953"/>
      <c r="G8890" s="953"/>
      <c r="H8890" s="953"/>
    </row>
    <row r="8891" spans="1:8" s="943" customFormat="1" x14ac:dyDescent="0.25">
      <c r="A8891" s="952"/>
      <c r="B8891" s="953"/>
      <c r="C8891" s="953"/>
      <c r="D8891" s="953"/>
      <c r="E8891" s="953"/>
      <c r="F8891" s="953"/>
      <c r="G8891" s="953"/>
      <c r="H8891" s="953"/>
    </row>
    <row r="8892" spans="1:8" s="943" customFormat="1" x14ac:dyDescent="0.25">
      <c r="A8892" s="952"/>
      <c r="B8892" s="953"/>
      <c r="C8892" s="953"/>
      <c r="D8892" s="953"/>
      <c r="E8892" s="953"/>
      <c r="F8892" s="953"/>
      <c r="G8892" s="953"/>
      <c r="H8892" s="953"/>
    </row>
    <row r="8893" spans="1:8" s="943" customFormat="1" x14ac:dyDescent="0.25">
      <c r="A8893" s="952"/>
      <c r="B8893" s="953"/>
      <c r="C8893" s="953"/>
      <c r="D8893" s="953"/>
      <c r="E8893" s="953"/>
      <c r="F8893" s="953"/>
      <c r="G8893" s="953"/>
      <c r="H8893" s="953"/>
    </row>
    <row r="8894" spans="1:8" s="943" customFormat="1" x14ac:dyDescent="0.25">
      <c r="A8894" s="952"/>
      <c r="B8894" s="953"/>
      <c r="C8894" s="953"/>
      <c r="D8894" s="953"/>
      <c r="E8894" s="953"/>
      <c r="F8894" s="953"/>
      <c r="G8894" s="953"/>
      <c r="H8894" s="953"/>
    </row>
    <row r="8895" spans="1:8" s="943" customFormat="1" x14ac:dyDescent="0.25">
      <c r="A8895" s="952"/>
      <c r="B8895" s="953"/>
      <c r="C8895" s="953"/>
      <c r="D8895" s="953"/>
      <c r="E8895" s="953"/>
      <c r="F8895" s="953"/>
      <c r="G8895" s="953"/>
      <c r="H8895" s="953"/>
    </row>
    <row r="8896" spans="1:8" s="943" customFormat="1" x14ac:dyDescent="0.25">
      <c r="A8896" s="952"/>
      <c r="B8896" s="953"/>
      <c r="C8896" s="953"/>
      <c r="D8896" s="953"/>
      <c r="E8896" s="953"/>
      <c r="F8896" s="953"/>
      <c r="G8896" s="953"/>
      <c r="H8896" s="953"/>
    </row>
    <row r="8897" spans="1:8" s="943" customFormat="1" x14ac:dyDescent="0.25">
      <c r="A8897" s="952"/>
      <c r="B8897" s="953"/>
      <c r="C8897" s="953"/>
      <c r="D8897" s="953"/>
      <c r="E8897" s="953"/>
      <c r="F8897" s="953"/>
      <c r="G8897" s="953"/>
      <c r="H8897" s="953"/>
    </row>
    <row r="8898" spans="1:8" s="943" customFormat="1" x14ac:dyDescent="0.25">
      <c r="A8898" s="952"/>
      <c r="B8898" s="953"/>
      <c r="C8898" s="953"/>
      <c r="D8898" s="953"/>
      <c r="E8898" s="953"/>
      <c r="F8898" s="953"/>
      <c r="G8898" s="953"/>
      <c r="H8898" s="953"/>
    </row>
    <row r="8899" spans="1:8" s="943" customFormat="1" x14ac:dyDescent="0.25">
      <c r="A8899" s="952"/>
      <c r="B8899" s="953"/>
      <c r="C8899" s="953"/>
      <c r="D8899" s="953"/>
      <c r="E8899" s="953"/>
      <c r="F8899" s="953"/>
      <c r="G8899" s="953"/>
      <c r="H8899" s="953"/>
    </row>
    <row r="8900" spans="1:8" s="943" customFormat="1" x14ac:dyDescent="0.25">
      <c r="A8900" s="952"/>
      <c r="B8900" s="953"/>
      <c r="C8900" s="953"/>
      <c r="D8900" s="953"/>
      <c r="E8900" s="953"/>
      <c r="F8900" s="953"/>
      <c r="G8900" s="953"/>
      <c r="H8900" s="953"/>
    </row>
    <row r="8901" spans="1:8" s="943" customFormat="1" x14ac:dyDescent="0.25">
      <c r="A8901" s="952"/>
      <c r="B8901" s="953"/>
      <c r="C8901" s="953"/>
      <c r="D8901" s="953"/>
      <c r="E8901" s="953"/>
      <c r="F8901" s="953"/>
      <c r="G8901" s="953"/>
      <c r="H8901" s="953"/>
    </row>
    <row r="8902" spans="1:8" s="943" customFormat="1" x14ac:dyDescent="0.25">
      <c r="A8902" s="952"/>
      <c r="B8902" s="953"/>
      <c r="C8902" s="953"/>
      <c r="D8902" s="953"/>
      <c r="E8902" s="953"/>
      <c r="F8902" s="953"/>
      <c r="G8902" s="953"/>
      <c r="H8902" s="953"/>
    </row>
    <row r="8903" spans="1:8" s="943" customFormat="1" x14ac:dyDescent="0.25">
      <c r="A8903" s="952"/>
      <c r="B8903" s="953"/>
      <c r="C8903" s="953"/>
      <c r="D8903" s="953"/>
      <c r="E8903" s="953"/>
      <c r="F8903" s="953"/>
      <c r="G8903" s="953"/>
      <c r="H8903" s="953"/>
    </row>
    <row r="8904" spans="1:8" s="943" customFormat="1" x14ac:dyDescent="0.25">
      <c r="A8904" s="952"/>
      <c r="B8904" s="953"/>
      <c r="C8904" s="953"/>
      <c r="D8904" s="953"/>
      <c r="E8904" s="953"/>
      <c r="F8904" s="953"/>
      <c r="G8904" s="953"/>
      <c r="H8904" s="953"/>
    </row>
    <row r="8905" spans="1:8" s="943" customFormat="1" x14ac:dyDescent="0.25">
      <c r="A8905" s="952"/>
      <c r="B8905" s="953"/>
      <c r="C8905" s="953"/>
      <c r="D8905" s="953"/>
      <c r="E8905" s="953"/>
      <c r="F8905" s="953"/>
      <c r="G8905" s="953"/>
      <c r="H8905" s="953"/>
    </row>
    <row r="8906" spans="1:8" s="943" customFormat="1" x14ac:dyDescent="0.25">
      <c r="A8906" s="952"/>
      <c r="B8906" s="953"/>
      <c r="C8906" s="953"/>
      <c r="D8906" s="953"/>
      <c r="E8906" s="953"/>
      <c r="F8906" s="953"/>
      <c r="G8906" s="953"/>
      <c r="H8906" s="953"/>
    </row>
    <row r="8907" spans="1:8" s="943" customFormat="1" x14ac:dyDescent="0.25">
      <c r="A8907" s="952"/>
      <c r="B8907" s="953"/>
      <c r="C8907" s="953"/>
      <c r="D8907" s="953"/>
      <c r="E8907" s="953"/>
      <c r="F8907" s="953"/>
      <c r="G8907" s="953"/>
      <c r="H8907" s="953"/>
    </row>
    <row r="8908" spans="1:8" s="943" customFormat="1" x14ac:dyDescent="0.25">
      <c r="A8908" s="952"/>
      <c r="B8908" s="953"/>
      <c r="C8908" s="953"/>
      <c r="D8908" s="953"/>
      <c r="E8908" s="953"/>
      <c r="F8908" s="953"/>
      <c r="G8908" s="953"/>
      <c r="H8908" s="953"/>
    </row>
    <row r="8909" spans="1:8" s="943" customFormat="1" x14ac:dyDescent="0.25">
      <c r="A8909" s="952"/>
      <c r="B8909" s="953"/>
      <c r="C8909" s="953"/>
      <c r="D8909" s="953"/>
      <c r="E8909" s="953"/>
      <c r="F8909" s="953"/>
      <c r="G8909" s="953"/>
      <c r="H8909" s="953"/>
    </row>
    <row r="8910" spans="1:8" s="943" customFormat="1" x14ac:dyDescent="0.25">
      <c r="A8910" s="952"/>
      <c r="B8910" s="953"/>
      <c r="C8910" s="953"/>
      <c r="D8910" s="953"/>
      <c r="E8910" s="953"/>
      <c r="F8910" s="953"/>
      <c r="G8910" s="953"/>
      <c r="H8910" s="953"/>
    </row>
    <row r="8911" spans="1:8" s="943" customFormat="1" x14ac:dyDescent="0.25">
      <c r="A8911" s="952"/>
      <c r="B8911" s="953"/>
      <c r="C8911" s="953"/>
      <c r="D8911" s="953"/>
      <c r="E8911" s="953"/>
      <c r="F8911" s="953"/>
      <c r="G8911" s="953"/>
      <c r="H8911" s="953"/>
    </row>
    <row r="8912" spans="1:8" s="943" customFormat="1" x14ac:dyDescent="0.25">
      <c r="A8912" s="952"/>
      <c r="B8912" s="953"/>
      <c r="C8912" s="953"/>
      <c r="D8912" s="953"/>
      <c r="E8912" s="953"/>
      <c r="F8912" s="953"/>
      <c r="G8912" s="953"/>
      <c r="H8912" s="953"/>
    </row>
    <row r="8913" spans="1:8" s="943" customFormat="1" x14ac:dyDescent="0.25">
      <c r="A8913" s="952"/>
      <c r="B8913" s="953"/>
      <c r="C8913" s="953"/>
      <c r="D8913" s="953"/>
      <c r="E8913" s="953"/>
      <c r="F8913" s="953"/>
      <c r="G8913" s="953"/>
      <c r="H8913" s="953"/>
    </row>
    <row r="8914" spans="1:8" s="943" customFormat="1" x14ac:dyDescent="0.25">
      <c r="A8914" s="952"/>
      <c r="B8914" s="953"/>
      <c r="C8914" s="953"/>
      <c r="D8914" s="953"/>
      <c r="E8914" s="953"/>
      <c r="F8914" s="953"/>
      <c r="G8914" s="953"/>
      <c r="H8914" s="953"/>
    </row>
    <row r="8915" spans="1:8" s="943" customFormat="1" x14ac:dyDescent="0.25">
      <c r="A8915" s="952"/>
      <c r="B8915" s="953"/>
      <c r="C8915" s="953"/>
      <c r="D8915" s="953"/>
      <c r="E8915" s="953"/>
      <c r="F8915" s="953"/>
      <c r="G8915" s="953"/>
      <c r="H8915" s="953"/>
    </row>
    <row r="8916" spans="1:8" s="943" customFormat="1" x14ac:dyDescent="0.25">
      <c r="A8916" s="952"/>
      <c r="B8916" s="953"/>
      <c r="C8916" s="953"/>
      <c r="D8916" s="953"/>
      <c r="E8916" s="953"/>
      <c r="F8916" s="953"/>
      <c r="G8916" s="953"/>
      <c r="H8916" s="953"/>
    </row>
    <row r="8917" spans="1:8" s="943" customFormat="1" x14ac:dyDescent="0.25">
      <c r="A8917" s="952"/>
      <c r="B8917" s="953"/>
      <c r="C8917" s="953"/>
      <c r="D8917" s="953"/>
      <c r="E8917" s="953"/>
      <c r="F8917" s="953"/>
      <c r="G8917" s="953"/>
      <c r="H8917" s="953"/>
    </row>
    <row r="8918" spans="1:8" s="943" customFormat="1" x14ac:dyDescent="0.25">
      <c r="A8918" s="952"/>
      <c r="B8918" s="953"/>
      <c r="C8918" s="953"/>
      <c r="D8918" s="953"/>
      <c r="E8918" s="953"/>
      <c r="F8918" s="953"/>
      <c r="G8918" s="953"/>
      <c r="H8918" s="953"/>
    </row>
    <row r="8919" spans="1:8" s="943" customFormat="1" x14ac:dyDescent="0.25">
      <c r="A8919" s="952"/>
      <c r="B8919" s="953"/>
      <c r="C8919" s="953"/>
      <c r="D8919" s="953"/>
      <c r="E8919" s="953"/>
      <c r="F8919" s="953"/>
      <c r="G8919" s="953"/>
      <c r="H8919" s="953"/>
    </row>
    <row r="8920" spans="1:8" s="943" customFormat="1" x14ac:dyDescent="0.25">
      <c r="A8920" s="952"/>
      <c r="B8920" s="953"/>
      <c r="C8920" s="953"/>
      <c r="D8920" s="953"/>
      <c r="E8920" s="953"/>
      <c r="F8920" s="953"/>
      <c r="G8920" s="953"/>
      <c r="H8920" s="953"/>
    </row>
    <row r="8921" spans="1:8" s="943" customFormat="1" x14ac:dyDescent="0.25">
      <c r="A8921" s="952"/>
      <c r="B8921" s="953"/>
      <c r="C8921" s="953"/>
      <c r="D8921" s="953"/>
      <c r="E8921" s="953"/>
      <c r="F8921" s="953"/>
      <c r="G8921" s="953"/>
      <c r="H8921" s="953"/>
    </row>
    <row r="8922" spans="1:8" s="943" customFormat="1" x14ac:dyDescent="0.25">
      <c r="A8922" s="952"/>
      <c r="B8922" s="953"/>
      <c r="C8922" s="953"/>
      <c r="D8922" s="953"/>
      <c r="E8922" s="953"/>
      <c r="F8922" s="953"/>
      <c r="G8922" s="953"/>
      <c r="H8922" s="953"/>
    </row>
    <row r="8923" spans="1:8" s="943" customFormat="1" x14ac:dyDescent="0.25">
      <c r="A8923" s="952"/>
      <c r="B8923" s="953"/>
      <c r="C8923" s="953"/>
      <c r="D8923" s="953"/>
      <c r="E8923" s="953"/>
      <c r="F8923" s="953"/>
      <c r="G8923" s="953"/>
      <c r="H8923" s="953"/>
    </row>
    <row r="8924" spans="1:8" s="943" customFormat="1" x14ac:dyDescent="0.25">
      <c r="A8924" s="952"/>
      <c r="B8924" s="953"/>
      <c r="C8924" s="953"/>
      <c r="D8924" s="953"/>
      <c r="E8924" s="953"/>
      <c r="F8924" s="953"/>
      <c r="G8924" s="953"/>
      <c r="H8924" s="953"/>
    </row>
    <row r="8925" spans="1:8" s="943" customFormat="1" x14ac:dyDescent="0.25">
      <c r="A8925" s="952"/>
      <c r="B8925" s="953"/>
      <c r="C8925" s="953"/>
      <c r="D8925" s="953"/>
      <c r="E8925" s="953"/>
      <c r="F8925" s="953"/>
      <c r="G8925" s="953"/>
      <c r="H8925" s="953"/>
    </row>
    <row r="8926" spans="1:8" s="943" customFormat="1" x14ac:dyDescent="0.25">
      <c r="A8926" s="952"/>
      <c r="B8926" s="953"/>
      <c r="C8926" s="953"/>
      <c r="D8926" s="953"/>
      <c r="E8926" s="953"/>
      <c r="F8926" s="953"/>
      <c r="G8926" s="953"/>
      <c r="H8926" s="953"/>
    </row>
    <row r="8927" spans="1:8" s="943" customFormat="1" x14ac:dyDescent="0.25">
      <c r="A8927" s="952"/>
      <c r="B8927" s="953"/>
      <c r="C8927" s="953"/>
      <c r="D8927" s="953"/>
      <c r="E8927" s="953"/>
      <c r="F8927" s="953"/>
      <c r="G8927" s="953"/>
      <c r="H8927" s="953"/>
    </row>
    <row r="8928" spans="1:8" s="943" customFormat="1" x14ac:dyDescent="0.25">
      <c r="A8928" s="952"/>
      <c r="B8928" s="953"/>
      <c r="C8928" s="953"/>
      <c r="D8928" s="953"/>
      <c r="E8928" s="953"/>
      <c r="F8928" s="953"/>
      <c r="G8928" s="953"/>
      <c r="H8928" s="953"/>
    </row>
    <row r="8929" spans="1:8" s="943" customFormat="1" x14ac:dyDescent="0.25">
      <c r="A8929" s="952"/>
      <c r="B8929" s="953"/>
      <c r="C8929" s="953"/>
      <c r="D8929" s="953"/>
      <c r="E8929" s="953"/>
      <c r="F8929" s="953"/>
      <c r="G8929" s="953"/>
      <c r="H8929" s="953"/>
    </row>
    <row r="8930" spans="1:8" s="943" customFormat="1" x14ac:dyDescent="0.25">
      <c r="A8930" s="952"/>
      <c r="B8930" s="953"/>
      <c r="C8930" s="953"/>
      <c r="D8930" s="953"/>
      <c r="E8930" s="953"/>
      <c r="F8930" s="953"/>
      <c r="G8930" s="953"/>
      <c r="H8930" s="953"/>
    </row>
    <row r="8931" spans="1:8" s="943" customFormat="1" x14ac:dyDescent="0.25">
      <c r="A8931" s="952"/>
      <c r="B8931" s="953"/>
      <c r="C8931" s="953"/>
      <c r="D8931" s="953"/>
      <c r="E8931" s="953"/>
      <c r="F8931" s="953"/>
      <c r="G8931" s="953"/>
      <c r="H8931" s="953"/>
    </row>
    <row r="8932" spans="1:8" s="943" customFormat="1" x14ac:dyDescent="0.25">
      <c r="A8932" s="952"/>
      <c r="B8932" s="953"/>
      <c r="C8932" s="953"/>
      <c r="D8932" s="953"/>
      <c r="E8932" s="953"/>
      <c r="F8932" s="953"/>
      <c r="G8932" s="953"/>
      <c r="H8932" s="953"/>
    </row>
    <row r="8933" spans="1:8" s="943" customFormat="1" x14ac:dyDescent="0.25">
      <c r="A8933" s="952"/>
      <c r="B8933" s="953"/>
      <c r="C8933" s="953"/>
      <c r="D8933" s="953"/>
      <c r="E8933" s="953"/>
      <c r="F8933" s="953"/>
      <c r="G8933" s="953"/>
      <c r="H8933" s="953"/>
    </row>
    <row r="8934" spans="1:8" s="943" customFormat="1" x14ac:dyDescent="0.25">
      <c r="A8934" s="952"/>
      <c r="B8934" s="953"/>
      <c r="C8934" s="953"/>
      <c r="D8934" s="953"/>
      <c r="E8934" s="953"/>
      <c r="F8934" s="953"/>
      <c r="G8934" s="953"/>
      <c r="H8934" s="953"/>
    </row>
    <row r="8935" spans="1:8" s="943" customFormat="1" x14ac:dyDescent="0.25">
      <c r="A8935" s="952"/>
      <c r="B8935" s="953"/>
      <c r="C8935" s="953"/>
      <c r="D8935" s="953"/>
      <c r="E8935" s="953"/>
      <c r="F8935" s="953"/>
      <c r="G8935" s="953"/>
      <c r="H8935" s="953"/>
    </row>
    <row r="8936" spans="1:8" s="943" customFormat="1" x14ac:dyDescent="0.25">
      <c r="A8936" s="952"/>
      <c r="B8936" s="953"/>
      <c r="C8936" s="953"/>
      <c r="D8936" s="953"/>
      <c r="E8936" s="953"/>
      <c r="F8936" s="953"/>
      <c r="G8936" s="953"/>
      <c r="H8936" s="953"/>
    </row>
    <row r="8937" spans="1:8" s="943" customFormat="1" x14ac:dyDescent="0.25">
      <c r="A8937" s="952"/>
      <c r="B8937" s="953"/>
      <c r="C8937" s="953"/>
      <c r="D8937" s="953"/>
      <c r="E8937" s="953"/>
      <c r="F8937" s="953"/>
      <c r="G8937" s="953"/>
      <c r="H8937" s="953"/>
    </row>
    <row r="8938" spans="1:8" s="943" customFormat="1" x14ac:dyDescent="0.25">
      <c r="A8938" s="952"/>
      <c r="B8938" s="953"/>
      <c r="C8938" s="953"/>
      <c r="D8938" s="953"/>
      <c r="E8938" s="953"/>
      <c r="F8938" s="953"/>
      <c r="G8938" s="953"/>
      <c r="H8938" s="953"/>
    </row>
    <row r="8939" spans="1:8" s="943" customFormat="1" x14ac:dyDescent="0.25">
      <c r="A8939" s="952"/>
      <c r="B8939" s="953"/>
      <c r="C8939" s="953"/>
      <c r="D8939" s="953"/>
      <c r="E8939" s="953"/>
      <c r="F8939" s="953"/>
      <c r="G8939" s="953"/>
      <c r="H8939" s="953"/>
    </row>
    <row r="8940" spans="1:8" s="943" customFormat="1" x14ac:dyDescent="0.25">
      <c r="A8940" s="952"/>
      <c r="B8940" s="953"/>
      <c r="C8940" s="953"/>
      <c r="D8940" s="953"/>
      <c r="E8940" s="953"/>
      <c r="F8940" s="953"/>
      <c r="G8940" s="953"/>
      <c r="H8940" s="953"/>
    </row>
    <row r="8941" spans="1:8" s="943" customFormat="1" x14ac:dyDescent="0.25">
      <c r="A8941" s="952"/>
      <c r="B8941" s="953"/>
      <c r="C8941" s="953"/>
      <c r="D8941" s="953"/>
      <c r="E8941" s="953"/>
      <c r="F8941" s="953"/>
      <c r="G8941" s="953"/>
      <c r="H8941" s="953"/>
    </row>
    <row r="8942" spans="1:8" s="943" customFormat="1" x14ac:dyDescent="0.25">
      <c r="A8942" s="952"/>
      <c r="B8942" s="953"/>
      <c r="C8942" s="953"/>
      <c r="D8942" s="953"/>
      <c r="E8942" s="953"/>
      <c r="F8942" s="953"/>
      <c r="G8942" s="953"/>
      <c r="H8942" s="953"/>
    </row>
    <row r="8943" spans="1:8" s="943" customFormat="1" x14ac:dyDescent="0.25">
      <c r="A8943" s="952"/>
      <c r="B8943" s="953"/>
      <c r="C8943" s="953"/>
      <c r="D8943" s="953"/>
      <c r="E8943" s="953"/>
      <c r="F8943" s="953"/>
      <c r="G8943" s="953"/>
      <c r="H8943" s="953"/>
    </row>
    <row r="8944" spans="1:8" s="943" customFormat="1" x14ac:dyDescent="0.25">
      <c r="A8944" s="952"/>
      <c r="B8944" s="953"/>
      <c r="C8944" s="953"/>
      <c r="D8944" s="953"/>
      <c r="E8944" s="953"/>
      <c r="F8944" s="953"/>
      <c r="G8944" s="953"/>
      <c r="H8944" s="953"/>
    </row>
    <row r="8945" spans="1:8" s="943" customFormat="1" x14ac:dyDescent="0.25">
      <c r="A8945" s="952"/>
      <c r="B8945" s="953"/>
      <c r="C8945" s="953"/>
      <c r="D8945" s="953"/>
      <c r="E8945" s="953"/>
      <c r="F8945" s="953"/>
      <c r="G8945" s="953"/>
      <c r="H8945" s="953"/>
    </row>
    <row r="8946" spans="1:8" s="943" customFormat="1" x14ac:dyDescent="0.25">
      <c r="A8946" s="952"/>
      <c r="B8946" s="953"/>
      <c r="C8946" s="953"/>
      <c r="D8946" s="953"/>
      <c r="E8946" s="953"/>
      <c r="F8946" s="953"/>
      <c r="G8946" s="953"/>
      <c r="H8946" s="953"/>
    </row>
    <row r="8947" spans="1:8" s="943" customFormat="1" x14ac:dyDescent="0.25">
      <c r="A8947" s="952"/>
      <c r="B8947" s="953"/>
      <c r="C8947" s="953"/>
      <c r="D8947" s="953"/>
      <c r="E8947" s="953"/>
      <c r="F8947" s="953"/>
      <c r="G8947" s="953"/>
      <c r="H8947" s="953"/>
    </row>
    <row r="8948" spans="1:8" s="943" customFormat="1" x14ac:dyDescent="0.25">
      <c r="A8948" s="952"/>
      <c r="B8948" s="953"/>
      <c r="C8948" s="953"/>
      <c r="D8948" s="953"/>
      <c r="E8948" s="953"/>
      <c r="F8948" s="953"/>
      <c r="G8948" s="953"/>
      <c r="H8948" s="953"/>
    </row>
    <row r="8949" spans="1:8" s="943" customFormat="1" x14ac:dyDescent="0.25">
      <c r="A8949" s="952"/>
      <c r="B8949" s="953"/>
      <c r="C8949" s="953"/>
      <c r="D8949" s="953"/>
      <c r="E8949" s="953"/>
      <c r="F8949" s="953"/>
      <c r="G8949" s="953"/>
      <c r="H8949" s="953"/>
    </row>
    <row r="8950" spans="1:8" s="943" customFormat="1" x14ac:dyDescent="0.25">
      <c r="A8950" s="952"/>
      <c r="B8950" s="953"/>
      <c r="C8950" s="953"/>
      <c r="D8950" s="953"/>
      <c r="E8950" s="953"/>
      <c r="F8950" s="953"/>
      <c r="G8950" s="953"/>
      <c r="H8950" s="953"/>
    </row>
    <row r="8951" spans="1:8" s="943" customFormat="1" x14ac:dyDescent="0.25">
      <c r="A8951" s="952"/>
      <c r="B8951" s="953"/>
      <c r="C8951" s="953"/>
      <c r="D8951" s="953"/>
      <c r="E8951" s="953"/>
      <c r="F8951" s="953"/>
      <c r="G8951" s="953"/>
      <c r="H8951" s="953"/>
    </row>
    <row r="8952" spans="1:8" s="943" customFormat="1" x14ac:dyDescent="0.25">
      <c r="A8952" s="952"/>
      <c r="B8952" s="953"/>
      <c r="C8952" s="953"/>
      <c r="D8952" s="953"/>
      <c r="E8952" s="953"/>
      <c r="F8952" s="953"/>
      <c r="G8952" s="953"/>
      <c r="H8952" s="953"/>
    </row>
    <row r="8953" spans="1:8" s="943" customFormat="1" x14ac:dyDescent="0.25">
      <c r="A8953" s="952"/>
      <c r="B8953" s="953"/>
      <c r="C8953" s="953"/>
      <c r="D8953" s="953"/>
      <c r="E8953" s="953"/>
      <c r="F8953" s="953"/>
      <c r="G8953" s="953"/>
      <c r="H8953" s="953"/>
    </row>
    <row r="8954" spans="1:8" s="943" customFormat="1" x14ac:dyDescent="0.25">
      <c r="A8954" s="952"/>
      <c r="B8954" s="953"/>
      <c r="C8954" s="953"/>
      <c r="D8954" s="953"/>
      <c r="E8954" s="953"/>
      <c r="F8954" s="953"/>
      <c r="G8954" s="953"/>
      <c r="H8954" s="953"/>
    </row>
    <row r="8955" spans="1:8" s="943" customFormat="1" x14ac:dyDescent="0.25">
      <c r="A8955" s="952"/>
      <c r="B8955" s="953"/>
      <c r="C8955" s="953"/>
      <c r="D8955" s="953"/>
      <c r="E8955" s="953"/>
      <c r="F8955" s="953"/>
      <c r="G8955" s="953"/>
      <c r="H8955" s="953"/>
    </row>
    <row r="8956" spans="1:8" s="943" customFormat="1" x14ac:dyDescent="0.25">
      <c r="A8956" s="952"/>
      <c r="B8956" s="953"/>
      <c r="C8956" s="953"/>
      <c r="D8956" s="953"/>
      <c r="E8956" s="953"/>
      <c r="F8956" s="953"/>
      <c r="G8956" s="953"/>
      <c r="H8956" s="953"/>
    </row>
    <row r="8957" spans="1:8" s="943" customFormat="1" x14ac:dyDescent="0.25">
      <c r="A8957" s="952"/>
      <c r="B8957" s="953"/>
      <c r="C8957" s="953"/>
      <c r="D8957" s="953"/>
      <c r="E8957" s="953"/>
      <c r="F8957" s="953"/>
      <c r="G8957" s="953"/>
      <c r="H8957" s="953"/>
    </row>
    <row r="8958" spans="1:8" s="943" customFormat="1" x14ac:dyDescent="0.25">
      <c r="A8958" s="952"/>
      <c r="B8958" s="953"/>
      <c r="C8958" s="953"/>
      <c r="D8958" s="953"/>
      <c r="E8958" s="953"/>
      <c r="F8958" s="953"/>
      <c r="G8958" s="953"/>
      <c r="H8958" s="953"/>
    </row>
    <row r="8959" spans="1:8" s="943" customFormat="1" x14ac:dyDescent="0.25">
      <c r="A8959" s="952"/>
      <c r="B8959" s="953"/>
      <c r="C8959" s="953"/>
      <c r="D8959" s="953"/>
      <c r="E8959" s="953"/>
      <c r="F8959" s="953"/>
      <c r="G8959" s="953"/>
      <c r="H8959" s="953"/>
    </row>
    <row r="8960" spans="1:8" s="943" customFormat="1" x14ac:dyDescent="0.25">
      <c r="A8960" s="952"/>
      <c r="B8960" s="953"/>
      <c r="C8960" s="953"/>
      <c r="D8960" s="953"/>
      <c r="E8960" s="953"/>
      <c r="F8960" s="953"/>
      <c r="G8960" s="953"/>
      <c r="H8960" s="953"/>
    </row>
    <row r="8961" spans="1:8" s="943" customFormat="1" x14ac:dyDescent="0.25">
      <c r="A8961" s="952"/>
      <c r="B8961" s="953"/>
      <c r="C8961" s="953"/>
      <c r="D8961" s="953"/>
      <c r="E8961" s="953"/>
      <c r="F8961" s="953"/>
      <c r="G8961" s="953"/>
      <c r="H8961" s="953"/>
    </row>
    <row r="8962" spans="1:8" s="943" customFormat="1" x14ac:dyDescent="0.25">
      <c r="A8962" s="952"/>
      <c r="B8962" s="953"/>
      <c r="C8962" s="953"/>
      <c r="D8962" s="953"/>
      <c r="E8962" s="953"/>
      <c r="F8962" s="953"/>
      <c r="G8962" s="953"/>
      <c r="H8962" s="953"/>
    </row>
    <row r="8963" spans="1:8" s="943" customFormat="1" x14ac:dyDescent="0.25">
      <c r="A8963" s="952"/>
      <c r="B8963" s="953"/>
      <c r="C8963" s="953"/>
      <c r="D8963" s="953"/>
      <c r="E8963" s="953"/>
      <c r="F8963" s="953"/>
      <c r="G8963" s="953"/>
      <c r="H8963" s="953"/>
    </row>
    <row r="8964" spans="1:8" s="943" customFormat="1" x14ac:dyDescent="0.25">
      <c r="A8964" s="952"/>
      <c r="B8964" s="953"/>
      <c r="C8964" s="953"/>
      <c r="D8964" s="953"/>
      <c r="E8964" s="953"/>
      <c r="F8964" s="953"/>
      <c r="G8964" s="953"/>
      <c r="H8964" s="953"/>
    </row>
    <row r="8965" spans="1:8" s="943" customFormat="1" x14ac:dyDescent="0.25">
      <c r="A8965" s="952"/>
      <c r="B8965" s="953"/>
      <c r="C8965" s="953"/>
      <c r="D8965" s="953"/>
      <c r="E8965" s="953"/>
      <c r="F8965" s="953"/>
      <c r="G8965" s="953"/>
      <c r="H8965" s="953"/>
    </row>
    <row r="8966" spans="1:8" s="943" customFormat="1" x14ac:dyDescent="0.25">
      <c r="A8966" s="952"/>
      <c r="B8966" s="953"/>
      <c r="C8966" s="953"/>
      <c r="D8966" s="953"/>
      <c r="E8966" s="953"/>
      <c r="F8966" s="953"/>
      <c r="G8966" s="953"/>
      <c r="H8966" s="953"/>
    </row>
    <row r="8967" spans="1:8" s="943" customFormat="1" x14ac:dyDescent="0.25">
      <c r="A8967" s="952"/>
      <c r="B8967" s="953"/>
      <c r="C8967" s="953"/>
      <c r="D8967" s="953"/>
      <c r="E8967" s="953"/>
      <c r="F8967" s="953"/>
      <c r="G8967" s="953"/>
      <c r="H8967" s="953"/>
    </row>
    <row r="8968" spans="1:8" s="943" customFormat="1" x14ac:dyDescent="0.25">
      <c r="A8968" s="952"/>
      <c r="B8968" s="953"/>
      <c r="C8968" s="953"/>
      <c r="D8968" s="953"/>
      <c r="E8968" s="953"/>
      <c r="F8968" s="953"/>
      <c r="G8968" s="953"/>
      <c r="H8968" s="953"/>
    </row>
    <row r="8969" spans="1:8" s="943" customFormat="1" x14ac:dyDescent="0.25">
      <c r="A8969" s="952"/>
      <c r="B8969" s="953"/>
      <c r="C8969" s="953"/>
      <c r="D8969" s="953"/>
      <c r="E8969" s="953"/>
      <c r="F8969" s="953"/>
      <c r="G8969" s="953"/>
      <c r="H8969" s="953"/>
    </row>
    <row r="8970" spans="1:8" s="943" customFormat="1" x14ac:dyDescent="0.25">
      <c r="A8970" s="952"/>
      <c r="B8970" s="953"/>
      <c r="C8970" s="953"/>
      <c r="D8970" s="953"/>
      <c r="E8970" s="953"/>
      <c r="F8970" s="953"/>
      <c r="G8970" s="953"/>
      <c r="H8970" s="953"/>
    </row>
    <row r="8971" spans="1:8" s="943" customFormat="1" x14ac:dyDescent="0.25">
      <c r="A8971" s="952"/>
      <c r="B8971" s="953"/>
      <c r="C8971" s="953"/>
      <c r="D8971" s="953"/>
      <c r="E8971" s="953"/>
      <c r="F8971" s="953"/>
      <c r="G8971" s="953"/>
      <c r="H8971" s="953"/>
    </row>
    <row r="8972" spans="1:8" s="943" customFormat="1" x14ac:dyDescent="0.25">
      <c r="A8972" s="952"/>
      <c r="B8972" s="953"/>
      <c r="C8972" s="953"/>
      <c r="D8972" s="953"/>
      <c r="E8972" s="953"/>
      <c r="F8972" s="953"/>
      <c r="G8972" s="953"/>
      <c r="H8972" s="953"/>
    </row>
    <row r="8973" spans="1:8" s="943" customFormat="1" x14ac:dyDescent="0.25">
      <c r="A8973" s="952"/>
      <c r="B8973" s="953"/>
      <c r="C8973" s="953"/>
      <c r="D8973" s="953"/>
      <c r="E8973" s="953"/>
      <c r="F8973" s="953"/>
      <c r="G8973" s="953"/>
      <c r="H8973" s="953"/>
    </row>
    <row r="8974" spans="1:8" s="943" customFormat="1" x14ac:dyDescent="0.25">
      <c r="A8974" s="952"/>
      <c r="B8974" s="953"/>
      <c r="C8974" s="953"/>
      <c r="D8974" s="953"/>
      <c r="E8974" s="953"/>
      <c r="F8974" s="953"/>
      <c r="G8974" s="953"/>
      <c r="H8974" s="953"/>
    </row>
    <row r="8975" spans="1:8" s="943" customFormat="1" x14ac:dyDescent="0.25">
      <c r="A8975" s="952"/>
      <c r="B8975" s="953"/>
      <c r="C8975" s="953"/>
      <c r="D8975" s="953"/>
      <c r="E8975" s="953"/>
      <c r="F8975" s="953"/>
      <c r="G8975" s="953"/>
      <c r="H8975" s="953"/>
    </row>
    <row r="8976" spans="1:8" s="943" customFormat="1" x14ac:dyDescent="0.25">
      <c r="A8976" s="952"/>
      <c r="B8976" s="953"/>
      <c r="C8976" s="953"/>
      <c r="D8976" s="953"/>
      <c r="E8976" s="953"/>
      <c r="F8976" s="953"/>
      <c r="G8976" s="953"/>
      <c r="H8976" s="953"/>
    </row>
    <row r="8977" spans="1:8" s="943" customFormat="1" x14ac:dyDescent="0.25">
      <c r="A8977" s="952"/>
      <c r="B8977" s="953"/>
      <c r="C8977" s="953"/>
      <c r="D8977" s="953"/>
      <c r="E8977" s="953"/>
      <c r="F8977" s="953"/>
      <c r="G8977" s="953"/>
      <c r="H8977" s="953"/>
    </row>
    <row r="8978" spans="1:8" s="943" customFormat="1" x14ac:dyDescent="0.25">
      <c r="A8978" s="952"/>
      <c r="B8978" s="953"/>
      <c r="C8978" s="953"/>
      <c r="D8978" s="953"/>
      <c r="E8978" s="953"/>
      <c r="F8978" s="953"/>
      <c r="G8978" s="953"/>
      <c r="H8978" s="953"/>
    </row>
    <row r="8979" spans="1:8" s="943" customFormat="1" x14ac:dyDescent="0.25">
      <c r="A8979" s="952"/>
      <c r="B8979" s="953"/>
      <c r="C8979" s="953"/>
      <c r="D8979" s="953"/>
      <c r="E8979" s="953"/>
      <c r="F8979" s="953"/>
      <c r="G8979" s="953"/>
      <c r="H8979" s="953"/>
    </row>
    <row r="8980" spans="1:8" s="943" customFormat="1" x14ac:dyDescent="0.25">
      <c r="A8980" s="952"/>
      <c r="B8980" s="953"/>
      <c r="C8980" s="953"/>
      <c r="D8980" s="953"/>
      <c r="E8980" s="953"/>
      <c r="F8980" s="953"/>
      <c r="G8980" s="953"/>
      <c r="H8980" s="953"/>
    </row>
    <row r="8981" spans="1:8" s="943" customFormat="1" x14ac:dyDescent="0.25">
      <c r="A8981" s="952"/>
      <c r="B8981" s="953"/>
      <c r="C8981" s="953"/>
      <c r="D8981" s="953"/>
      <c r="E8981" s="953"/>
      <c r="F8981" s="953"/>
      <c r="G8981" s="953"/>
      <c r="H8981" s="953"/>
    </row>
    <row r="8982" spans="1:8" s="943" customFormat="1" x14ac:dyDescent="0.25">
      <c r="A8982" s="952"/>
      <c r="B8982" s="953"/>
      <c r="C8982" s="953"/>
      <c r="D8982" s="953"/>
      <c r="E8982" s="953"/>
      <c r="F8982" s="953"/>
      <c r="G8982" s="953"/>
      <c r="H8982" s="953"/>
    </row>
    <row r="8983" spans="1:8" s="943" customFormat="1" x14ac:dyDescent="0.25">
      <c r="A8983" s="952"/>
      <c r="B8983" s="953"/>
      <c r="C8983" s="953"/>
      <c r="D8983" s="953"/>
      <c r="E8983" s="953"/>
      <c r="F8983" s="953"/>
      <c r="G8983" s="953"/>
      <c r="H8983" s="953"/>
    </row>
    <row r="8984" spans="1:8" s="943" customFormat="1" x14ac:dyDescent="0.25">
      <c r="A8984" s="952"/>
      <c r="B8984" s="953"/>
      <c r="C8984" s="953"/>
      <c r="D8984" s="953"/>
      <c r="E8984" s="953"/>
      <c r="F8984" s="953"/>
      <c r="G8984" s="953"/>
      <c r="H8984" s="953"/>
    </row>
    <row r="8985" spans="1:8" s="943" customFormat="1" x14ac:dyDescent="0.25">
      <c r="A8985" s="952"/>
      <c r="B8985" s="953"/>
      <c r="C8985" s="953"/>
      <c r="D8985" s="953"/>
      <c r="E8985" s="953"/>
      <c r="F8985" s="953"/>
      <c r="G8985" s="953"/>
      <c r="H8985" s="953"/>
    </row>
    <row r="8986" spans="1:8" s="943" customFormat="1" x14ac:dyDescent="0.25">
      <c r="A8986" s="952"/>
      <c r="B8986" s="953"/>
      <c r="C8986" s="953"/>
      <c r="D8986" s="953"/>
      <c r="E8986" s="953"/>
      <c r="F8986" s="953"/>
      <c r="G8986" s="953"/>
      <c r="H8986" s="953"/>
    </row>
    <row r="8987" spans="1:8" s="943" customFormat="1" x14ac:dyDescent="0.25">
      <c r="A8987" s="952"/>
      <c r="B8987" s="953"/>
      <c r="C8987" s="953"/>
      <c r="D8987" s="953"/>
      <c r="E8987" s="953"/>
      <c r="F8987" s="953"/>
      <c r="G8987" s="953"/>
      <c r="H8987" s="953"/>
    </row>
    <row r="8988" spans="1:8" s="943" customFormat="1" x14ac:dyDescent="0.25">
      <c r="A8988" s="952"/>
      <c r="B8988" s="953"/>
      <c r="C8988" s="953"/>
      <c r="D8988" s="953"/>
      <c r="E8988" s="953"/>
      <c r="F8988" s="953"/>
      <c r="G8988" s="953"/>
      <c r="H8988" s="953"/>
    </row>
    <row r="8989" spans="1:8" s="943" customFormat="1" x14ac:dyDescent="0.25">
      <c r="A8989" s="952"/>
      <c r="B8989" s="953"/>
      <c r="C8989" s="953"/>
      <c r="D8989" s="953"/>
      <c r="E8989" s="953"/>
      <c r="F8989" s="953"/>
      <c r="G8989" s="953"/>
      <c r="H8989" s="953"/>
    </row>
    <row r="8990" spans="1:8" s="943" customFormat="1" x14ac:dyDescent="0.25">
      <c r="A8990" s="952"/>
      <c r="B8990" s="953"/>
      <c r="C8990" s="953"/>
      <c r="D8990" s="953"/>
      <c r="E8990" s="953"/>
      <c r="F8990" s="953"/>
      <c r="G8990" s="953"/>
      <c r="H8990" s="953"/>
    </row>
    <row r="8991" spans="1:8" s="943" customFormat="1" x14ac:dyDescent="0.25">
      <c r="A8991" s="952"/>
      <c r="B8991" s="953"/>
      <c r="C8991" s="953"/>
      <c r="D8991" s="953"/>
      <c r="E8991" s="953"/>
      <c r="F8991" s="953"/>
      <c r="G8991" s="953"/>
      <c r="H8991" s="953"/>
    </row>
    <row r="8992" spans="1:8" s="943" customFormat="1" x14ac:dyDescent="0.25">
      <c r="A8992" s="952"/>
      <c r="B8992" s="953"/>
      <c r="C8992" s="953"/>
      <c r="D8992" s="953"/>
      <c r="E8992" s="953"/>
      <c r="F8992" s="953"/>
      <c r="G8992" s="953"/>
      <c r="H8992" s="953"/>
    </row>
    <row r="8993" spans="1:8" s="943" customFormat="1" x14ac:dyDescent="0.25">
      <c r="A8993" s="952"/>
      <c r="B8993" s="953"/>
      <c r="C8993" s="953"/>
      <c r="D8993" s="953"/>
      <c r="E8993" s="953"/>
      <c r="F8993" s="953"/>
      <c r="G8993" s="953"/>
      <c r="H8993" s="953"/>
    </row>
    <row r="8994" spans="1:8" s="943" customFormat="1" x14ac:dyDescent="0.25">
      <c r="A8994" s="952"/>
      <c r="B8994" s="953"/>
      <c r="C8994" s="953"/>
      <c r="D8994" s="953"/>
      <c r="E8994" s="953"/>
      <c r="F8994" s="953"/>
      <c r="G8994" s="953"/>
      <c r="H8994" s="953"/>
    </row>
    <row r="8995" spans="1:8" s="943" customFormat="1" x14ac:dyDescent="0.25">
      <c r="A8995" s="952"/>
      <c r="B8995" s="953"/>
      <c r="C8995" s="953"/>
      <c r="D8995" s="953"/>
      <c r="E8995" s="953"/>
      <c r="F8995" s="953"/>
      <c r="G8995" s="953"/>
      <c r="H8995" s="953"/>
    </row>
    <row r="8996" spans="1:8" s="943" customFormat="1" x14ac:dyDescent="0.25">
      <c r="A8996" s="952"/>
      <c r="B8996" s="953"/>
      <c r="C8996" s="953"/>
      <c r="D8996" s="953"/>
      <c r="E8996" s="953"/>
      <c r="F8996" s="953"/>
      <c r="G8996" s="953"/>
      <c r="H8996" s="953"/>
    </row>
    <row r="8997" spans="1:8" s="943" customFormat="1" x14ac:dyDescent="0.25">
      <c r="A8997" s="952"/>
      <c r="B8997" s="953"/>
      <c r="C8997" s="953"/>
      <c r="D8997" s="953"/>
      <c r="E8997" s="953"/>
      <c r="F8997" s="953"/>
      <c r="G8997" s="953"/>
      <c r="H8997" s="953"/>
    </row>
    <row r="8998" spans="1:8" s="943" customFormat="1" x14ac:dyDescent="0.25">
      <c r="A8998" s="952"/>
      <c r="B8998" s="953"/>
      <c r="C8998" s="953"/>
      <c r="D8998" s="953"/>
      <c r="E8998" s="953"/>
      <c r="F8998" s="953"/>
      <c r="G8998" s="953"/>
      <c r="H8998" s="953"/>
    </row>
    <row r="8999" spans="1:8" s="943" customFormat="1" x14ac:dyDescent="0.25">
      <c r="A8999" s="952"/>
      <c r="B8999" s="953"/>
      <c r="C8999" s="953"/>
      <c r="D8999" s="953"/>
      <c r="E8999" s="953"/>
      <c r="F8999" s="953"/>
      <c r="G8999" s="953"/>
      <c r="H8999" s="953"/>
    </row>
    <row r="9000" spans="1:8" s="943" customFormat="1" x14ac:dyDescent="0.25">
      <c r="A9000" s="952"/>
      <c r="B9000" s="953"/>
      <c r="C9000" s="953"/>
      <c r="D9000" s="953"/>
      <c r="E9000" s="953"/>
      <c r="F9000" s="953"/>
      <c r="G9000" s="953"/>
      <c r="H9000" s="953"/>
    </row>
    <row r="9001" spans="1:8" s="943" customFormat="1" x14ac:dyDescent="0.25">
      <c r="A9001" s="952"/>
      <c r="B9001" s="953"/>
      <c r="C9001" s="953"/>
      <c r="D9001" s="953"/>
      <c r="E9001" s="953"/>
      <c r="F9001" s="953"/>
      <c r="G9001" s="953"/>
      <c r="H9001" s="953"/>
    </row>
    <row r="9002" spans="1:8" s="943" customFormat="1" x14ac:dyDescent="0.25">
      <c r="A9002" s="952"/>
      <c r="B9002" s="953"/>
      <c r="C9002" s="953"/>
      <c r="D9002" s="953"/>
      <c r="E9002" s="953"/>
      <c r="F9002" s="953"/>
      <c r="G9002" s="953"/>
      <c r="H9002" s="953"/>
    </row>
    <row r="9003" spans="1:8" s="943" customFormat="1" x14ac:dyDescent="0.25">
      <c r="A9003" s="952"/>
      <c r="B9003" s="953"/>
      <c r="C9003" s="953"/>
      <c r="D9003" s="953"/>
      <c r="E9003" s="953"/>
      <c r="F9003" s="953"/>
      <c r="G9003" s="953"/>
      <c r="H9003" s="953"/>
    </row>
    <row r="9004" spans="1:8" s="943" customFormat="1" x14ac:dyDescent="0.25">
      <c r="A9004" s="952"/>
      <c r="B9004" s="953"/>
      <c r="C9004" s="953"/>
      <c r="D9004" s="953"/>
      <c r="E9004" s="953"/>
      <c r="F9004" s="953"/>
      <c r="G9004" s="953"/>
      <c r="H9004" s="953"/>
    </row>
    <row r="9005" spans="1:8" s="943" customFormat="1" x14ac:dyDescent="0.25">
      <c r="A9005" s="952"/>
      <c r="B9005" s="953"/>
      <c r="C9005" s="953"/>
      <c r="D9005" s="953"/>
      <c r="E9005" s="953"/>
      <c r="F9005" s="953"/>
      <c r="G9005" s="953"/>
      <c r="H9005" s="953"/>
    </row>
    <row r="9006" spans="1:8" s="943" customFormat="1" x14ac:dyDescent="0.25">
      <c r="A9006" s="952"/>
      <c r="B9006" s="953"/>
      <c r="C9006" s="953"/>
      <c r="D9006" s="953"/>
      <c r="E9006" s="953"/>
      <c r="F9006" s="953"/>
      <c r="G9006" s="953"/>
      <c r="H9006" s="953"/>
    </row>
    <row r="9007" spans="1:8" s="943" customFormat="1" x14ac:dyDescent="0.25">
      <c r="A9007" s="952"/>
      <c r="B9007" s="953"/>
      <c r="C9007" s="953"/>
      <c r="D9007" s="953"/>
      <c r="E9007" s="953"/>
      <c r="F9007" s="953"/>
      <c r="G9007" s="953"/>
      <c r="H9007" s="953"/>
    </row>
    <row r="9008" spans="1:8" s="943" customFormat="1" x14ac:dyDescent="0.25">
      <c r="A9008" s="952"/>
      <c r="B9008" s="953"/>
      <c r="C9008" s="953"/>
      <c r="D9008" s="953"/>
      <c r="E9008" s="953"/>
      <c r="F9008" s="953"/>
      <c r="G9008" s="953"/>
      <c r="H9008" s="953"/>
    </row>
    <row r="9009" spans="1:8" s="943" customFormat="1" x14ac:dyDescent="0.25">
      <c r="A9009" s="952"/>
      <c r="B9009" s="953"/>
      <c r="C9009" s="953"/>
      <c r="D9009" s="953"/>
      <c r="E9009" s="953"/>
      <c r="F9009" s="953"/>
      <c r="G9009" s="953"/>
      <c r="H9009" s="953"/>
    </row>
    <row r="9010" spans="1:8" s="943" customFormat="1" x14ac:dyDescent="0.25">
      <c r="A9010" s="952"/>
      <c r="B9010" s="953"/>
      <c r="C9010" s="953"/>
      <c r="D9010" s="953"/>
      <c r="E9010" s="953"/>
      <c r="F9010" s="953"/>
      <c r="G9010" s="953"/>
      <c r="H9010" s="953"/>
    </row>
    <row r="9011" spans="1:8" s="943" customFormat="1" x14ac:dyDescent="0.25">
      <c r="A9011" s="952"/>
      <c r="B9011" s="953"/>
      <c r="C9011" s="953"/>
      <c r="D9011" s="953"/>
      <c r="E9011" s="953"/>
      <c r="F9011" s="953"/>
      <c r="G9011" s="953"/>
      <c r="H9011" s="953"/>
    </row>
    <row r="9012" spans="1:8" s="943" customFormat="1" x14ac:dyDescent="0.25">
      <c r="A9012" s="952"/>
      <c r="B9012" s="953"/>
      <c r="C9012" s="953"/>
      <c r="D9012" s="953"/>
      <c r="E9012" s="953"/>
      <c r="F9012" s="953"/>
      <c r="G9012" s="953"/>
      <c r="H9012" s="953"/>
    </row>
    <row r="9013" spans="1:8" s="943" customFormat="1" x14ac:dyDescent="0.25">
      <c r="A9013" s="952"/>
      <c r="B9013" s="953"/>
      <c r="C9013" s="953"/>
      <c r="D9013" s="953"/>
      <c r="E9013" s="953"/>
      <c r="F9013" s="953"/>
      <c r="G9013" s="953"/>
      <c r="H9013" s="953"/>
    </row>
    <row r="9014" spans="1:8" s="943" customFormat="1" x14ac:dyDescent="0.25">
      <c r="A9014" s="952"/>
      <c r="B9014" s="953"/>
      <c r="C9014" s="953"/>
      <c r="D9014" s="953"/>
      <c r="E9014" s="953"/>
      <c r="F9014" s="953"/>
      <c r="G9014" s="953"/>
      <c r="H9014" s="953"/>
    </row>
    <row r="9015" spans="1:8" s="943" customFormat="1" x14ac:dyDescent="0.25">
      <c r="A9015" s="952"/>
      <c r="B9015" s="953"/>
      <c r="C9015" s="953"/>
      <c r="D9015" s="953"/>
      <c r="E9015" s="953"/>
      <c r="F9015" s="953"/>
      <c r="G9015" s="953"/>
      <c r="H9015" s="953"/>
    </row>
    <row r="9016" spans="1:8" s="943" customFormat="1" x14ac:dyDescent="0.25">
      <c r="A9016" s="952"/>
      <c r="B9016" s="953"/>
      <c r="C9016" s="953"/>
      <c r="D9016" s="953"/>
      <c r="E9016" s="953"/>
      <c r="F9016" s="953"/>
      <c r="G9016" s="953"/>
      <c r="H9016" s="953"/>
    </row>
    <row r="9017" spans="1:8" s="943" customFormat="1" x14ac:dyDescent="0.25">
      <c r="A9017" s="952"/>
      <c r="B9017" s="953"/>
      <c r="C9017" s="953"/>
      <c r="D9017" s="953"/>
      <c r="E9017" s="953"/>
      <c r="F9017" s="953"/>
      <c r="G9017" s="953"/>
      <c r="H9017" s="953"/>
    </row>
    <row r="9018" spans="1:8" s="943" customFormat="1" x14ac:dyDescent="0.25">
      <c r="A9018" s="952"/>
      <c r="B9018" s="953"/>
      <c r="C9018" s="953"/>
      <c r="D9018" s="953"/>
      <c r="E9018" s="953"/>
      <c r="F9018" s="953"/>
      <c r="G9018" s="953"/>
      <c r="H9018" s="953"/>
    </row>
    <row r="9019" spans="1:8" s="943" customFormat="1" x14ac:dyDescent="0.25">
      <c r="A9019" s="952"/>
      <c r="B9019" s="953"/>
      <c r="C9019" s="953"/>
      <c r="D9019" s="953"/>
      <c r="E9019" s="953"/>
      <c r="F9019" s="953"/>
      <c r="G9019" s="953"/>
      <c r="H9019" s="953"/>
    </row>
    <row r="9020" spans="1:8" s="943" customFormat="1" x14ac:dyDescent="0.25">
      <c r="A9020" s="952"/>
      <c r="B9020" s="953"/>
      <c r="C9020" s="953"/>
      <c r="D9020" s="953"/>
      <c r="E9020" s="953"/>
      <c r="F9020" s="953"/>
      <c r="G9020" s="953"/>
      <c r="H9020" s="953"/>
    </row>
    <row r="9021" spans="1:8" s="943" customFormat="1" x14ac:dyDescent="0.25">
      <c r="A9021" s="952"/>
      <c r="B9021" s="953"/>
      <c r="C9021" s="953"/>
      <c r="D9021" s="953"/>
      <c r="E9021" s="953"/>
      <c r="F9021" s="953"/>
      <c r="G9021" s="953"/>
      <c r="H9021" s="953"/>
    </row>
    <row r="9022" spans="1:8" s="943" customFormat="1" x14ac:dyDescent="0.25">
      <c r="A9022" s="952"/>
      <c r="B9022" s="953"/>
      <c r="C9022" s="953"/>
      <c r="D9022" s="953"/>
      <c r="E9022" s="953"/>
      <c r="F9022" s="953"/>
      <c r="G9022" s="953"/>
      <c r="H9022" s="953"/>
    </row>
    <row r="9023" spans="1:8" s="943" customFormat="1" x14ac:dyDescent="0.25">
      <c r="A9023" s="952"/>
      <c r="B9023" s="953"/>
      <c r="C9023" s="953"/>
      <c r="D9023" s="953"/>
      <c r="E9023" s="953"/>
      <c r="F9023" s="953"/>
      <c r="G9023" s="953"/>
      <c r="H9023" s="953"/>
    </row>
    <row r="9024" spans="1:8" s="943" customFormat="1" x14ac:dyDescent="0.25">
      <c r="A9024" s="952"/>
      <c r="B9024" s="953"/>
      <c r="C9024" s="953"/>
      <c r="D9024" s="953"/>
      <c r="E9024" s="953"/>
      <c r="F9024" s="953"/>
      <c r="G9024" s="953"/>
      <c r="H9024" s="953"/>
    </row>
    <row r="9025" spans="1:8" s="943" customFormat="1" x14ac:dyDescent="0.25">
      <c r="A9025" s="952"/>
      <c r="B9025" s="953"/>
      <c r="C9025" s="953"/>
      <c r="D9025" s="953"/>
      <c r="E9025" s="953"/>
      <c r="F9025" s="953"/>
      <c r="G9025" s="953"/>
      <c r="H9025" s="953"/>
    </row>
    <row r="9026" spans="1:8" s="943" customFormat="1" x14ac:dyDescent="0.25">
      <c r="A9026" s="952"/>
      <c r="B9026" s="953"/>
      <c r="C9026" s="953"/>
      <c r="D9026" s="953"/>
      <c r="E9026" s="953"/>
      <c r="F9026" s="953"/>
      <c r="G9026" s="953"/>
      <c r="H9026" s="953"/>
    </row>
    <row r="9027" spans="1:8" s="943" customFormat="1" x14ac:dyDescent="0.25">
      <c r="A9027" s="952"/>
      <c r="B9027" s="953"/>
      <c r="C9027" s="953"/>
      <c r="D9027" s="953"/>
      <c r="E9027" s="953"/>
      <c r="F9027" s="953"/>
      <c r="G9027" s="953"/>
      <c r="H9027" s="953"/>
    </row>
    <row r="9028" spans="1:8" s="943" customFormat="1" x14ac:dyDescent="0.25">
      <c r="A9028" s="952"/>
      <c r="B9028" s="953"/>
      <c r="C9028" s="953"/>
      <c r="D9028" s="953"/>
      <c r="E9028" s="953"/>
      <c r="F9028" s="953"/>
      <c r="G9028" s="953"/>
      <c r="H9028" s="953"/>
    </row>
    <row r="9029" spans="1:8" s="943" customFormat="1" x14ac:dyDescent="0.25">
      <c r="A9029" s="952"/>
      <c r="B9029" s="953"/>
      <c r="C9029" s="953"/>
      <c r="D9029" s="953"/>
      <c r="E9029" s="953"/>
      <c r="F9029" s="953"/>
      <c r="G9029" s="953"/>
      <c r="H9029" s="953"/>
    </row>
    <row r="9030" spans="1:8" s="943" customFormat="1" x14ac:dyDescent="0.25">
      <c r="A9030" s="952"/>
      <c r="B9030" s="953"/>
      <c r="C9030" s="953"/>
      <c r="D9030" s="953"/>
      <c r="E9030" s="953"/>
      <c r="F9030" s="953"/>
      <c r="G9030" s="953"/>
      <c r="H9030" s="953"/>
    </row>
    <row r="9031" spans="1:8" s="943" customFormat="1" x14ac:dyDescent="0.25">
      <c r="A9031" s="952"/>
      <c r="B9031" s="953"/>
      <c r="C9031" s="953"/>
      <c r="D9031" s="953"/>
      <c r="E9031" s="953"/>
      <c r="F9031" s="953"/>
      <c r="G9031" s="953"/>
      <c r="H9031" s="953"/>
    </row>
    <row r="9032" spans="1:8" s="943" customFormat="1" x14ac:dyDescent="0.25">
      <c r="A9032" s="952"/>
      <c r="B9032" s="953"/>
      <c r="C9032" s="953"/>
      <c r="D9032" s="953"/>
      <c r="E9032" s="953"/>
      <c r="F9032" s="953"/>
      <c r="G9032" s="953"/>
      <c r="H9032" s="953"/>
    </row>
    <row r="9033" spans="1:8" s="943" customFormat="1" x14ac:dyDescent="0.25">
      <c r="A9033" s="952"/>
      <c r="B9033" s="953"/>
      <c r="C9033" s="953"/>
      <c r="D9033" s="953"/>
      <c r="E9033" s="953"/>
      <c r="F9033" s="953"/>
      <c r="G9033" s="953"/>
      <c r="H9033" s="953"/>
    </row>
    <row r="9034" spans="1:8" s="943" customFormat="1" x14ac:dyDescent="0.25">
      <c r="A9034" s="952"/>
      <c r="B9034" s="953"/>
      <c r="C9034" s="953"/>
      <c r="D9034" s="953"/>
      <c r="E9034" s="953"/>
      <c r="F9034" s="953"/>
      <c r="G9034" s="953"/>
      <c r="H9034" s="953"/>
    </row>
    <row r="9035" spans="1:8" s="943" customFormat="1" x14ac:dyDescent="0.25">
      <c r="A9035" s="952"/>
      <c r="B9035" s="953"/>
      <c r="C9035" s="953"/>
      <c r="D9035" s="953"/>
      <c r="E9035" s="953"/>
      <c r="F9035" s="953"/>
      <c r="G9035" s="953"/>
      <c r="H9035" s="953"/>
    </row>
    <row r="9036" spans="1:8" s="943" customFormat="1" x14ac:dyDescent="0.25">
      <c r="A9036" s="952"/>
      <c r="B9036" s="953"/>
      <c r="C9036" s="953"/>
      <c r="D9036" s="953"/>
      <c r="E9036" s="953"/>
      <c r="F9036" s="953"/>
      <c r="G9036" s="953"/>
      <c r="H9036" s="953"/>
    </row>
    <row r="9037" spans="1:8" s="943" customFormat="1" x14ac:dyDescent="0.25">
      <c r="A9037" s="952"/>
      <c r="B9037" s="953"/>
      <c r="C9037" s="953"/>
      <c r="D9037" s="953"/>
      <c r="E9037" s="953"/>
      <c r="F9037" s="953"/>
      <c r="G9037" s="953"/>
      <c r="H9037" s="953"/>
    </row>
    <row r="9038" spans="1:8" s="943" customFormat="1" x14ac:dyDescent="0.25">
      <c r="A9038" s="952"/>
      <c r="B9038" s="953"/>
      <c r="C9038" s="953"/>
      <c r="D9038" s="953"/>
      <c r="E9038" s="953"/>
      <c r="F9038" s="953"/>
      <c r="G9038" s="953"/>
      <c r="H9038" s="953"/>
    </row>
    <row r="9039" spans="1:8" s="943" customFormat="1" x14ac:dyDescent="0.25">
      <c r="A9039" s="952"/>
      <c r="B9039" s="953"/>
      <c r="C9039" s="953"/>
      <c r="D9039" s="953"/>
      <c r="E9039" s="953"/>
      <c r="F9039" s="953"/>
      <c r="G9039" s="953"/>
      <c r="H9039" s="953"/>
    </row>
    <row r="9040" spans="1:8" s="943" customFormat="1" x14ac:dyDescent="0.25">
      <c r="A9040" s="952"/>
      <c r="B9040" s="953"/>
      <c r="C9040" s="953"/>
      <c r="D9040" s="953"/>
      <c r="E9040" s="953"/>
      <c r="F9040" s="953"/>
      <c r="G9040" s="953"/>
      <c r="H9040" s="953"/>
    </row>
    <row r="9041" spans="1:8" s="943" customFormat="1" x14ac:dyDescent="0.25">
      <c r="A9041" s="952"/>
      <c r="B9041" s="953"/>
      <c r="C9041" s="953"/>
      <c r="D9041" s="953"/>
      <c r="E9041" s="953"/>
      <c r="F9041" s="953"/>
      <c r="G9041" s="953"/>
      <c r="H9041" s="953"/>
    </row>
    <row r="9042" spans="1:8" s="943" customFormat="1" x14ac:dyDescent="0.25">
      <c r="A9042" s="952"/>
      <c r="B9042" s="953"/>
      <c r="C9042" s="953"/>
      <c r="D9042" s="953"/>
      <c r="E9042" s="953"/>
      <c r="F9042" s="953"/>
      <c r="G9042" s="953"/>
      <c r="H9042" s="953"/>
    </row>
    <row r="9043" spans="1:8" s="943" customFormat="1" x14ac:dyDescent="0.25">
      <c r="A9043" s="952"/>
      <c r="B9043" s="953"/>
      <c r="C9043" s="953"/>
      <c r="D9043" s="953"/>
      <c r="E9043" s="953"/>
      <c r="F9043" s="953"/>
      <c r="G9043" s="953"/>
      <c r="H9043" s="953"/>
    </row>
    <row r="9044" spans="1:8" s="943" customFormat="1" x14ac:dyDescent="0.25">
      <c r="A9044" s="952"/>
      <c r="B9044" s="953"/>
      <c r="C9044" s="953"/>
      <c r="D9044" s="953"/>
      <c r="E9044" s="953"/>
      <c r="F9044" s="953"/>
      <c r="G9044" s="953"/>
      <c r="H9044" s="953"/>
    </row>
    <row r="9045" spans="1:8" s="943" customFormat="1" x14ac:dyDescent="0.25">
      <c r="A9045" s="952"/>
      <c r="B9045" s="953"/>
      <c r="C9045" s="953"/>
      <c r="D9045" s="953"/>
      <c r="E9045" s="953"/>
      <c r="F9045" s="953"/>
      <c r="G9045" s="953"/>
      <c r="H9045" s="953"/>
    </row>
    <row r="9046" spans="1:8" s="943" customFormat="1" x14ac:dyDescent="0.25">
      <c r="A9046" s="952"/>
      <c r="B9046" s="953"/>
      <c r="C9046" s="953"/>
      <c r="D9046" s="953"/>
      <c r="E9046" s="953"/>
      <c r="F9046" s="953"/>
      <c r="G9046" s="953"/>
      <c r="H9046" s="953"/>
    </row>
    <row r="9047" spans="1:8" s="943" customFormat="1" x14ac:dyDescent="0.25">
      <c r="A9047" s="952"/>
      <c r="B9047" s="953"/>
      <c r="C9047" s="953"/>
      <c r="D9047" s="953"/>
      <c r="E9047" s="953"/>
      <c r="F9047" s="953"/>
      <c r="G9047" s="953"/>
      <c r="H9047" s="953"/>
    </row>
    <row r="9048" spans="1:8" s="943" customFormat="1" x14ac:dyDescent="0.25">
      <c r="A9048" s="952"/>
      <c r="B9048" s="953"/>
      <c r="C9048" s="953"/>
      <c r="D9048" s="953"/>
      <c r="E9048" s="953"/>
      <c r="F9048" s="953"/>
      <c r="G9048" s="953"/>
      <c r="H9048" s="953"/>
    </row>
    <row r="9049" spans="1:8" s="943" customFormat="1" x14ac:dyDescent="0.25">
      <c r="A9049" s="952"/>
      <c r="B9049" s="953"/>
      <c r="C9049" s="953"/>
      <c r="D9049" s="953"/>
      <c r="E9049" s="953"/>
      <c r="F9049" s="953"/>
      <c r="G9049" s="953"/>
      <c r="H9049" s="953"/>
    </row>
    <row r="9050" spans="1:8" s="943" customFormat="1" x14ac:dyDescent="0.25">
      <c r="A9050" s="952"/>
      <c r="B9050" s="953"/>
      <c r="C9050" s="953"/>
      <c r="D9050" s="953"/>
      <c r="E9050" s="953"/>
      <c r="F9050" s="953"/>
      <c r="G9050" s="953"/>
      <c r="H9050" s="953"/>
    </row>
    <row r="9051" spans="1:8" s="943" customFormat="1" x14ac:dyDescent="0.25">
      <c r="A9051" s="952"/>
      <c r="B9051" s="953"/>
      <c r="C9051" s="953"/>
      <c r="D9051" s="953"/>
      <c r="E9051" s="953"/>
      <c r="F9051" s="953"/>
      <c r="G9051" s="953"/>
      <c r="H9051" s="953"/>
    </row>
    <row r="9052" spans="1:8" s="943" customFormat="1" x14ac:dyDescent="0.25">
      <c r="A9052" s="952"/>
      <c r="B9052" s="953"/>
      <c r="C9052" s="953"/>
      <c r="D9052" s="953"/>
      <c r="E9052" s="953"/>
      <c r="F9052" s="953"/>
      <c r="G9052" s="953"/>
      <c r="H9052" s="953"/>
    </row>
    <row r="9053" spans="1:8" s="943" customFormat="1" x14ac:dyDescent="0.25">
      <c r="A9053" s="952"/>
      <c r="B9053" s="953"/>
      <c r="C9053" s="953"/>
      <c r="D9053" s="953"/>
      <c r="E9053" s="953"/>
      <c r="F9053" s="953"/>
      <c r="G9053" s="953"/>
      <c r="H9053" s="953"/>
    </row>
    <row r="9054" spans="1:8" s="943" customFormat="1" x14ac:dyDescent="0.25">
      <c r="A9054" s="952"/>
      <c r="B9054" s="953"/>
      <c r="C9054" s="953"/>
      <c r="D9054" s="953"/>
      <c r="E9054" s="953"/>
      <c r="F9054" s="953"/>
      <c r="G9054" s="953"/>
      <c r="H9054" s="953"/>
    </row>
    <row r="9055" spans="1:8" s="943" customFormat="1" x14ac:dyDescent="0.25">
      <c r="A9055" s="952"/>
      <c r="B9055" s="953"/>
      <c r="C9055" s="953"/>
      <c r="D9055" s="953"/>
      <c r="E9055" s="953"/>
      <c r="F9055" s="953"/>
      <c r="G9055" s="953"/>
      <c r="H9055" s="953"/>
    </row>
    <row r="9056" spans="1:8" s="943" customFormat="1" x14ac:dyDescent="0.25">
      <c r="A9056" s="952"/>
      <c r="B9056" s="953"/>
      <c r="C9056" s="953"/>
      <c r="D9056" s="953"/>
      <c r="E9056" s="953"/>
      <c r="F9056" s="953"/>
      <c r="G9056" s="953"/>
      <c r="H9056" s="953"/>
    </row>
    <row r="9057" spans="1:8" s="943" customFormat="1" x14ac:dyDescent="0.25">
      <c r="A9057" s="952"/>
      <c r="B9057" s="953"/>
      <c r="C9057" s="953"/>
      <c r="D9057" s="953"/>
      <c r="E9057" s="953"/>
      <c r="F9057" s="953"/>
      <c r="G9057" s="953"/>
      <c r="H9057" s="953"/>
    </row>
    <row r="9058" spans="1:8" s="943" customFormat="1" x14ac:dyDescent="0.25">
      <c r="A9058" s="952"/>
      <c r="B9058" s="953"/>
      <c r="C9058" s="953"/>
      <c r="D9058" s="953"/>
      <c r="E9058" s="953"/>
      <c r="F9058" s="953"/>
      <c r="G9058" s="953"/>
      <c r="H9058" s="953"/>
    </row>
    <row r="9059" spans="1:8" s="943" customFormat="1" x14ac:dyDescent="0.25">
      <c r="A9059" s="952"/>
      <c r="B9059" s="953"/>
      <c r="C9059" s="953"/>
      <c r="D9059" s="953"/>
      <c r="E9059" s="953"/>
      <c r="F9059" s="953"/>
      <c r="G9059" s="953"/>
      <c r="H9059" s="953"/>
    </row>
    <row r="9060" spans="1:8" s="943" customFormat="1" x14ac:dyDescent="0.25">
      <c r="A9060" s="952"/>
      <c r="B9060" s="953"/>
      <c r="C9060" s="953"/>
      <c r="D9060" s="953"/>
      <c r="E9060" s="953"/>
      <c r="F9060" s="953"/>
      <c r="G9060" s="953"/>
      <c r="H9060" s="953"/>
    </row>
    <row r="9061" spans="1:8" s="943" customFormat="1" x14ac:dyDescent="0.25">
      <c r="A9061" s="952"/>
      <c r="B9061" s="953"/>
      <c r="C9061" s="953"/>
      <c r="D9061" s="953"/>
      <c r="E9061" s="953"/>
      <c r="F9061" s="953"/>
      <c r="G9061" s="953"/>
      <c r="H9061" s="953"/>
    </row>
    <row r="9062" spans="1:8" s="943" customFormat="1" x14ac:dyDescent="0.25">
      <c r="A9062" s="952"/>
      <c r="B9062" s="953"/>
      <c r="C9062" s="953"/>
      <c r="D9062" s="953"/>
      <c r="E9062" s="953"/>
      <c r="F9062" s="953"/>
      <c r="G9062" s="953"/>
      <c r="H9062" s="953"/>
    </row>
    <row r="9063" spans="1:8" s="943" customFormat="1" x14ac:dyDescent="0.25">
      <c r="A9063" s="952"/>
      <c r="B9063" s="953"/>
      <c r="C9063" s="953"/>
      <c r="D9063" s="953"/>
      <c r="E9063" s="953"/>
      <c r="F9063" s="953"/>
      <c r="G9063" s="953"/>
      <c r="H9063" s="953"/>
    </row>
    <row r="9064" spans="1:8" s="943" customFormat="1" x14ac:dyDescent="0.25">
      <c r="A9064" s="952"/>
      <c r="B9064" s="953"/>
      <c r="C9064" s="953"/>
      <c r="D9064" s="953"/>
      <c r="E9064" s="953"/>
      <c r="F9064" s="953"/>
      <c r="G9064" s="953"/>
      <c r="H9064" s="953"/>
    </row>
    <row r="9065" spans="1:8" s="943" customFormat="1" x14ac:dyDescent="0.25">
      <c r="A9065" s="952"/>
      <c r="B9065" s="953"/>
      <c r="C9065" s="953"/>
      <c r="D9065" s="953"/>
      <c r="E9065" s="953"/>
      <c r="F9065" s="953"/>
      <c r="G9065" s="953"/>
      <c r="H9065" s="953"/>
    </row>
    <row r="9066" spans="1:8" s="943" customFormat="1" x14ac:dyDescent="0.25">
      <c r="A9066" s="952"/>
      <c r="B9066" s="953"/>
      <c r="C9066" s="953"/>
      <c r="D9066" s="953"/>
      <c r="E9066" s="953"/>
      <c r="F9066" s="953"/>
      <c r="G9066" s="953"/>
      <c r="H9066" s="953"/>
    </row>
    <row r="9067" spans="1:8" s="943" customFormat="1" x14ac:dyDescent="0.25">
      <c r="A9067" s="952"/>
      <c r="B9067" s="953"/>
      <c r="C9067" s="953"/>
      <c r="D9067" s="953"/>
      <c r="E9067" s="953"/>
      <c r="F9067" s="953"/>
      <c r="G9067" s="953"/>
      <c r="H9067" s="953"/>
    </row>
    <row r="9068" spans="1:8" s="943" customFormat="1" x14ac:dyDescent="0.25">
      <c r="A9068" s="952"/>
      <c r="B9068" s="953"/>
      <c r="C9068" s="953"/>
      <c r="D9068" s="953"/>
      <c r="E9068" s="953"/>
      <c r="F9068" s="953"/>
      <c r="G9068" s="953"/>
      <c r="H9068" s="953"/>
    </row>
    <row r="9069" spans="1:8" s="943" customFormat="1" x14ac:dyDescent="0.25">
      <c r="A9069" s="952"/>
      <c r="B9069" s="953"/>
      <c r="C9069" s="953"/>
      <c r="D9069" s="953"/>
      <c r="E9069" s="953"/>
      <c r="F9069" s="953"/>
      <c r="G9069" s="953"/>
      <c r="H9069" s="953"/>
    </row>
    <row r="9070" spans="1:8" s="943" customFormat="1" x14ac:dyDescent="0.25">
      <c r="A9070" s="952"/>
      <c r="B9070" s="953"/>
      <c r="C9070" s="953"/>
      <c r="D9070" s="953"/>
      <c r="E9070" s="953"/>
      <c r="F9070" s="953"/>
      <c r="G9070" s="953"/>
      <c r="H9070" s="953"/>
    </row>
    <row r="9071" spans="1:8" s="943" customFormat="1" x14ac:dyDescent="0.25">
      <c r="A9071" s="952"/>
      <c r="B9071" s="953"/>
      <c r="C9071" s="953"/>
      <c r="D9071" s="953"/>
      <c r="E9071" s="953"/>
      <c r="F9071" s="953"/>
      <c r="G9071" s="953"/>
      <c r="H9071" s="953"/>
    </row>
    <row r="9072" spans="1:8" s="943" customFormat="1" x14ac:dyDescent="0.25">
      <c r="A9072" s="952"/>
      <c r="B9072" s="953"/>
      <c r="C9072" s="953"/>
      <c r="D9072" s="953"/>
      <c r="E9072" s="953"/>
      <c r="F9072" s="953"/>
      <c r="G9072" s="953"/>
      <c r="H9072" s="953"/>
    </row>
    <row r="9073" spans="1:8" s="943" customFormat="1" x14ac:dyDescent="0.25">
      <c r="A9073" s="952"/>
      <c r="B9073" s="953"/>
      <c r="C9073" s="953"/>
      <c r="D9073" s="953"/>
      <c r="E9073" s="953"/>
      <c r="F9073" s="953"/>
      <c r="G9073" s="953"/>
      <c r="H9073" s="953"/>
    </row>
    <row r="9074" spans="1:8" s="943" customFormat="1" x14ac:dyDescent="0.25">
      <c r="A9074" s="952"/>
      <c r="B9074" s="953"/>
      <c r="C9074" s="953"/>
      <c r="D9074" s="953"/>
      <c r="E9074" s="953"/>
      <c r="F9074" s="953"/>
      <c r="G9074" s="953"/>
      <c r="H9074" s="953"/>
    </row>
    <row r="9075" spans="1:8" s="943" customFormat="1" x14ac:dyDescent="0.25">
      <c r="A9075" s="952"/>
      <c r="B9075" s="953"/>
      <c r="C9075" s="953"/>
      <c r="D9075" s="953"/>
      <c r="E9075" s="953"/>
      <c r="F9075" s="953"/>
      <c r="G9075" s="953"/>
      <c r="H9075" s="953"/>
    </row>
    <row r="9076" spans="1:8" s="943" customFormat="1" x14ac:dyDescent="0.25">
      <c r="A9076" s="952"/>
      <c r="B9076" s="953"/>
      <c r="C9076" s="953"/>
      <c r="D9076" s="953"/>
      <c r="E9076" s="953"/>
      <c r="F9076" s="953"/>
      <c r="G9076" s="953"/>
      <c r="H9076" s="953"/>
    </row>
    <row r="9077" spans="1:8" s="943" customFormat="1" x14ac:dyDescent="0.25">
      <c r="A9077" s="952"/>
      <c r="B9077" s="953"/>
      <c r="C9077" s="953"/>
      <c r="D9077" s="953"/>
      <c r="E9077" s="953"/>
      <c r="F9077" s="953"/>
      <c r="G9077" s="953"/>
      <c r="H9077" s="953"/>
    </row>
    <row r="9078" spans="1:8" s="943" customFormat="1" x14ac:dyDescent="0.25">
      <c r="A9078" s="952"/>
      <c r="B9078" s="953"/>
      <c r="C9078" s="953"/>
      <c r="D9078" s="953"/>
      <c r="E9078" s="953"/>
      <c r="F9078" s="953"/>
      <c r="G9078" s="953"/>
      <c r="H9078" s="953"/>
    </row>
    <row r="9079" spans="1:8" s="943" customFormat="1" x14ac:dyDescent="0.25">
      <c r="A9079" s="952"/>
      <c r="B9079" s="953"/>
      <c r="C9079" s="953"/>
      <c r="D9079" s="953"/>
      <c r="E9079" s="953"/>
      <c r="F9079" s="953"/>
      <c r="G9079" s="953"/>
      <c r="H9079" s="953"/>
    </row>
    <row r="9080" spans="1:8" s="943" customFormat="1" x14ac:dyDescent="0.25">
      <c r="A9080" s="952"/>
      <c r="B9080" s="953"/>
      <c r="C9080" s="953"/>
      <c r="D9080" s="953"/>
      <c r="E9080" s="953"/>
      <c r="F9080" s="953"/>
      <c r="G9080" s="953"/>
      <c r="H9080" s="953"/>
    </row>
    <row r="9081" spans="1:8" s="943" customFormat="1" x14ac:dyDescent="0.25">
      <c r="A9081" s="952"/>
      <c r="B9081" s="953"/>
      <c r="C9081" s="953"/>
      <c r="D9081" s="953"/>
      <c r="E9081" s="953"/>
      <c r="F9081" s="953"/>
      <c r="G9081" s="953"/>
      <c r="H9081" s="953"/>
    </row>
    <row r="9082" spans="1:8" s="943" customFormat="1" x14ac:dyDescent="0.25">
      <c r="A9082" s="952"/>
      <c r="B9082" s="953"/>
      <c r="C9082" s="953"/>
      <c r="D9082" s="953"/>
      <c r="E9082" s="953"/>
      <c r="F9082" s="953"/>
      <c r="G9082" s="953"/>
      <c r="H9082" s="953"/>
    </row>
    <row r="9083" spans="1:8" s="943" customFormat="1" x14ac:dyDescent="0.25">
      <c r="A9083" s="952"/>
      <c r="B9083" s="953"/>
      <c r="C9083" s="953"/>
      <c r="D9083" s="953"/>
      <c r="E9083" s="953"/>
      <c r="F9083" s="953"/>
      <c r="G9083" s="953"/>
      <c r="H9083" s="953"/>
    </row>
    <row r="9084" spans="1:8" s="943" customFormat="1" x14ac:dyDescent="0.25">
      <c r="A9084" s="952"/>
      <c r="B9084" s="953"/>
      <c r="C9084" s="953"/>
      <c r="D9084" s="953"/>
      <c r="E9084" s="953"/>
      <c r="F9084" s="953"/>
      <c r="G9084" s="953"/>
      <c r="H9084" s="953"/>
    </row>
    <row r="9085" spans="1:8" s="943" customFormat="1" x14ac:dyDescent="0.25">
      <c r="A9085" s="952"/>
      <c r="B9085" s="953"/>
      <c r="C9085" s="953"/>
      <c r="D9085" s="953"/>
      <c r="E9085" s="953"/>
      <c r="F9085" s="953"/>
      <c r="G9085" s="953"/>
      <c r="H9085" s="953"/>
    </row>
    <row r="9086" spans="1:8" s="943" customFormat="1" x14ac:dyDescent="0.25">
      <c r="A9086" s="952"/>
      <c r="B9086" s="953"/>
      <c r="C9086" s="953"/>
      <c r="D9086" s="953"/>
      <c r="E9086" s="953"/>
      <c r="F9086" s="953"/>
      <c r="G9086" s="953"/>
      <c r="H9086" s="953"/>
    </row>
    <row r="9087" spans="1:8" s="943" customFormat="1" x14ac:dyDescent="0.25">
      <c r="A9087" s="952"/>
      <c r="B9087" s="953"/>
      <c r="C9087" s="953"/>
      <c r="D9087" s="953"/>
      <c r="E9087" s="953"/>
      <c r="F9087" s="953"/>
      <c r="G9087" s="953"/>
      <c r="H9087" s="953"/>
    </row>
    <row r="9088" spans="1:8" s="943" customFormat="1" x14ac:dyDescent="0.25">
      <c r="A9088" s="952"/>
      <c r="B9088" s="953"/>
      <c r="C9088" s="953"/>
      <c r="D9088" s="953"/>
      <c r="E9088" s="953"/>
      <c r="F9088" s="953"/>
      <c r="G9088" s="953"/>
      <c r="H9088" s="953"/>
    </row>
    <row r="9089" spans="1:8" s="943" customFormat="1" x14ac:dyDescent="0.25">
      <c r="A9089" s="952"/>
      <c r="B9089" s="953"/>
      <c r="C9089" s="953"/>
      <c r="D9089" s="953"/>
      <c r="E9089" s="953"/>
      <c r="F9089" s="953"/>
      <c r="G9089" s="953"/>
      <c r="H9089" s="953"/>
    </row>
    <row r="9090" spans="1:8" s="943" customFormat="1" x14ac:dyDescent="0.25">
      <c r="A9090" s="952"/>
      <c r="B9090" s="953"/>
      <c r="C9090" s="953"/>
      <c r="D9090" s="953"/>
      <c r="E9090" s="953"/>
      <c r="F9090" s="953"/>
      <c r="G9090" s="953"/>
      <c r="H9090" s="953"/>
    </row>
    <row r="9091" spans="1:8" s="943" customFormat="1" x14ac:dyDescent="0.25">
      <c r="A9091" s="952"/>
      <c r="B9091" s="953"/>
      <c r="C9091" s="953"/>
      <c r="D9091" s="953"/>
      <c r="E9091" s="953"/>
      <c r="F9091" s="953"/>
      <c r="G9091" s="953"/>
      <c r="H9091" s="953"/>
    </row>
    <row r="9092" spans="1:8" s="943" customFormat="1" x14ac:dyDescent="0.25">
      <c r="A9092" s="952"/>
      <c r="B9092" s="953"/>
      <c r="C9092" s="953"/>
      <c r="D9092" s="953"/>
      <c r="E9092" s="953"/>
      <c r="F9092" s="953"/>
      <c r="G9092" s="953"/>
      <c r="H9092" s="953"/>
    </row>
    <row r="9093" spans="1:8" s="943" customFormat="1" x14ac:dyDescent="0.25">
      <c r="A9093" s="952"/>
      <c r="B9093" s="953"/>
      <c r="C9093" s="953"/>
      <c r="D9093" s="953"/>
      <c r="E9093" s="953"/>
      <c r="F9093" s="953"/>
      <c r="G9093" s="953"/>
      <c r="H9093" s="953"/>
    </row>
    <row r="9094" spans="1:8" s="943" customFormat="1" x14ac:dyDescent="0.25">
      <c r="A9094" s="952"/>
      <c r="B9094" s="953"/>
      <c r="C9094" s="953"/>
      <c r="D9094" s="953"/>
      <c r="E9094" s="953"/>
      <c r="F9094" s="953"/>
      <c r="G9094" s="953"/>
      <c r="H9094" s="953"/>
    </row>
    <row r="9095" spans="1:8" s="943" customFormat="1" x14ac:dyDescent="0.25">
      <c r="A9095" s="952"/>
      <c r="B9095" s="953"/>
      <c r="C9095" s="953"/>
      <c r="D9095" s="953"/>
      <c r="E9095" s="953"/>
      <c r="F9095" s="953"/>
      <c r="G9095" s="953"/>
      <c r="H9095" s="953"/>
    </row>
    <row r="9096" spans="1:8" s="943" customFormat="1" x14ac:dyDescent="0.25">
      <c r="A9096" s="952"/>
      <c r="B9096" s="953"/>
      <c r="C9096" s="953"/>
      <c r="D9096" s="953"/>
      <c r="E9096" s="953"/>
      <c r="F9096" s="953"/>
      <c r="G9096" s="953"/>
      <c r="H9096" s="953"/>
    </row>
    <row r="9097" spans="1:8" s="943" customFormat="1" x14ac:dyDescent="0.25">
      <c r="A9097" s="952"/>
      <c r="B9097" s="953"/>
      <c r="C9097" s="953"/>
      <c r="D9097" s="953"/>
      <c r="E9097" s="953"/>
      <c r="F9097" s="953"/>
      <c r="G9097" s="953"/>
      <c r="H9097" s="953"/>
    </row>
    <row r="9098" spans="1:8" s="943" customFormat="1" x14ac:dyDescent="0.25">
      <c r="A9098" s="952"/>
      <c r="B9098" s="953"/>
      <c r="C9098" s="953"/>
      <c r="D9098" s="953"/>
      <c r="E9098" s="953"/>
      <c r="F9098" s="953"/>
      <c r="G9098" s="953"/>
      <c r="H9098" s="953"/>
    </row>
    <row r="9099" spans="1:8" s="943" customFormat="1" x14ac:dyDescent="0.25">
      <c r="A9099" s="952"/>
      <c r="B9099" s="953"/>
      <c r="C9099" s="953"/>
      <c r="D9099" s="953"/>
      <c r="E9099" s="953"/>
      <c r="F9099" s="953"/>
      <c r="G9099" s="953"/>
      <c r="H9099" s="953"/>
    </row>
    <row r="9100" spans="1:8" s="943" customFormat="1" x14ac:dyDescent="0.25">
      <c r="A9100" s="952"/>
      <c r="B9100" s="953"/>
      <c r="C9100" s="953"/>
      <c r="D9100" s="953"/>
      <c r="E9100" s="953"/>
      <c r="F9100" s="953"/>
      <c r="G9100" s="953"/>
      <c r="H9100" s="953"/>
    </row>
    <row r="9101" spans="1:8" s="943" customFormat="1" x14ac:dyDescent="0.25">
      <c r="A9101" s="952"/>
      <c r="B9101" s="953"/>
      <c r="C9101" s="953"/>
      <c r="D9101" s="953"/>
      <c r="E9101" s="953"/>
      <c r="F9101" s="953"/>
      <c r="G9101" s="953"/>
      <c r="H9101" s="953"/>
    </row>
    <row r="9102" spans="1:8" s="943" customFormat="1" x14ac:dyDescent="0.25">
      <c r="A9102" s="952"/>
      <c r="B9102" s="953"/>
      <c r="C9102" s="953"/>
      <c r="D9102" s="953"/>
      <c r="E9102" s="953"/>
      <c r="F9102" s="953"/>
      <c r="G9102" s="953"/>
      <c r="H9102" s="953"/>
    </row>
    <row r="9103" spans="1:8" s="943" customFormat="1" x14ac:dyDescent="0.25">
      <c r="A9103" s="952"/>
      <c r="B9103" s="953"/>
      <c r="C9103" s="953"/>
      <c r="D9103" s="953"/>
      <c r="E9103" s="953"/>
      <c r="F9103" s="953"/>
      <c r="G9103" s="953"/>
      <c r="H9103" s="953"/>
    </row>
    <row r="9104" spans="1:8" s="943" customFormat="1" x14ac:dyDescent="0.25">
      <c r="A9104" s="952"/>
      <c r="B9104" s="953"/>
      <c r="C9104" s="953"/>
      <c r="D9104" s="953"/>
      <c r="E9104" s="953"/>
      <c r="F9104" s="953"/>
      <c r="G9104" s="953"/>
      <c r="H9104" s="953"/>
    </row>
    <row r="9105" spans="1:8" s="943" customFormat="1" x14ac:dyDescent="0.25">
      <c r="A9105" s="952"/>
      <c r="B9105" s="953"/>
      <c r="C9105" s="953"/>
      <c r="D9105" s="953"/>
      <c r="E9105" s="953"/>
      <c r="F9105" s="953"/>
      <c r="G9105" s="953"/>
      <c r="H9105" s="953"/>
    </row>
    <row r="9106" spans="1:8" s="943" customFormat="1" x14ac:dyDescent="0.25">
      <c r="A9106" s="952"/>
      <c r="B9106" s="953"/>
      <c r="C9106" s="953"/>
      <c r="D9106" s="953"/>
      <c r="E9106" s="953"/>
      <c r="F9106" s="953"/>
      <c r="G9106" s="953"/>
      <c r="H9106" s="953"/>
    </row>
    <row r="9107" spans="1:8" s="943" customFormat="1" x14ac:dyDescent="0.25">
      <c r="A9107" s="952"/>
      <c r="B9107" s="953"/>
      <c r="C9107" s="953"/>
      <c r="D9107" s="953"/>
      <c r="E9107" s="953"/>
      <c r="F9107" s="953"/>
      <c r="G9107" s="953"/>
      <c r="H9107" s="953"/>
    </row>
    <row r="9108" spans="1:8" s="943" customFormat="1" x14ac:dyDescent="0.25">
      <c r="A9108" s="952"/>
      <c r="B9108" s="953"/>
      <c r="C9108" s="953"/>
      <c r="D9108" s="953"/>
      <c r="E9108" s="953"/>
      <c r="F9108" s="953"/>
      <c r="G9108" s="953"/>
      <c r="H9108" s="953"/>
    </row>
    <row r="9109" spans="1:8" s="943" customFormat="1" x14ac:dyDescent="0.25">
      <c r="A9109" s="952"/>
      <c r="B9109" s="953"/>
      <c r="C9109" s="953"/>
      <c r="D9109" s="953"/>
      <c r="E9109" s="953"/>
      <c r="F9109" s="953"/>
      <c r="G9109" s="953"/>
      <c r="H9109" s="953"/>
    </row>
    <row r="9110" spans="1:8" s="943" customFormat="1" x14ac:dyDescent="0.25">
      <c r="A9110" s="952"/>
      <c r="B9110" s="953"/>
      <c r="C9110" s="953"/>
      <c r="D9110" s="953"/>
      <c r="E9110" s="953"/>
      <c r="F9110" s="953"/>
      <c r="G9110" s="953"/>
      <c r="H9110" s="953"/>
    </row>
    <row r="9111" spans="1:8" s="943" customFormat="1" x14ac:dyDescent="0.25">
      <c r="A9111" s="952"/>
      <c r="B9111" s="953"/>
      <c r="C9111" s="953"/>
      <c r="D9111" s="953"/>
      <c r="E9111" s="953"/>
      <c r="F9111" s="953"/>
      <c r="G9111" s="953"/>
      <c r="H9111" s="953"/>
    </row>
    <row r="9112" spans="1:8" s="943" customFormat="1" x14ac:dyDescent="0.25">
      <c r="A9112" s="952"/>
      <c r="B9112" s="953"/>
      <c r="C9112" s="953"/>
      <c r="D9112" s="953"/>
      <c r="E9112" s="953"/>
      <c r="F9112" s="953"/>
      <c r="G9112" s="953"/>
      <c r="H9112" s="953"/>
    </row>
    <row r="9113" spans="1:8" s="943" customFormat="1" x14ac:dyDescent="0.25">
      <c r="A9113" s="952"/>
      <c r="B9113" s="953"/>
      <c r="C9113" s="953"/>
      <c r="D9113" s="953"/>
      <c r="E9113" s="953"/>
      <c r="F9113" s="953"/>
      <c r="G9113" s="953"/>
      <c r="H9113" s="953"/>
    </row>
    <row r="9114" spans="1:8" s="943" customFormat="1" x14ac:dyDescent="0.25">
      <c r="A9114" s="952"/>
      <c r="B9114" s="953"/>
      <c r="C9114" s="953"/>
      <c r="D9114" s="953"/>
      <c r="E9114" s="953"/>
      <c r="F9114" s="953"/>
      <c r="G9114" s="953"/>
      <c r="H9114" s="953"/>
    </row>
    <row r="9115" spans="1:8" s="943" customFormat="1" x14ac:dyDescent="0.25">
      <c r="A9115" s="952"/>
      <c r="B9115" s="953"/>
      <c r="C9115" s="953"/>
      <c r="D9115" s="953"/>
      <c r="E9115" s="953"/>
      <c r="F9115" s="953"/>
      <c r="G9115" s="953"/>
      <c r="H9115" s="953"/>
    </row>
    <row r="9116" spans="1:8" s="943" customFormat="1" x14ac:dyDescent="0.25">
      <c r="A9116" s="952"/>
      <c r="B9116" s="953"/>
      <c r="C9116" s="953"/>
      <c r="D9116" s="953"/>
      <c r="E9116" s="953"/>
      <c r="F9116" s="953"/>
      <c r="G9116" s="953"/>
      <c r="H9116" s="953"/>
    </row>
    <row r="9117" spans="1:8" s="943" customFormat="1" x14ac:dyDescent="0.25">
      <c r="A9117" s="952"/>
      <c r="B9117" s="953"/>
      <c r="C9117" s="953"/>
      <c r="D9117" s="953"/>
      <c r="E9117" s="953"/>
      <c r="F9117" s="953"/>
      <c r="G9117" s="953"/>
      <c r="H9117" s="953"/>
    </row>
    <row r="9118" spans="1:8" s="943" customFormat="1" x14ac:dyDescent="0.25">
      <c r="A9118" s="952"/>
      <c r="B9118" s="953"/>
      <c r="C9118" s="953"/>
      <c r="D9118" s="953"/>
      <c r="E9118" s="953"/>
      <c r="F9118" s="953"/>
      <c r="G9118" s="953"/>
      <c r="H9118" s="953"/>
    </row>
    <row r="9119" spans="1:8" s="943" customFormat="1" x14ac:dyDescent="0.25">
      <c r="A9119" s="952"/>
      <c r="B9119" s="953"/>
      <c r="C9119" s="953"/>
      <c r="D9119" s="953"/>
      <c r="E9119" s="953"/>
      <c r="F9119" s="953"/>
      <c r="G9119" s="953"/>
      <c r="H9119" s="953"/>
    </row>
    <row r="9120" spans="1:8" s="943" customFormat="1" x14ac:dyDescent="0.25">
      <c r="A9120" s="952"/>
      <c r="B9120" s="953"/>
      <c r="C9120" s="953"/>
      <c r="D9120" s="953"/>
      <c r="E9120" s="953"/>
      <c r="F9120" s="953"/>
      <c r="G9120" s="953"/>
      <c r="H9120" s="953"/>
    </row>
    <row r="9121" spans="1:8" s="943" customFormat="1" x14ac:dyDescent="0.25">
      <c r="A9121" s="952"/>
      <c r="B9121" s="953"/>
      <c r="C9121" s="953"/>
      <c r="D9121" s="953"/>
      <c r="E9121" s="953"/>
      <c r="F9121" s="953"/>
      <c r="G9121" s="953"/>
      <c r="H9121" s="953"/>
    </row>
    <row r="9122" spans="1:8" s="943" customFormat="1" x14ac:dyDescent="0.25">
      <c r="A9122" s="952"/>
      <c r="B9122" s="953"/>
      <c r="C9122" s="953"/>
      <c r="D9122" s="953"/>
      <c r="E9122" s="953"/>
      <c r="F9122" s="953"/>
      <c r="G9122" s="953"/>
      <c r="H9122" s="953"/>
    </row>
    <row r="9123" spans="1:8" s="943" customFormat="1" x14ac:dyDescent="0.25">
      <c r="A9123" s="952"/>
      <c r="B9123" s="953"/>
      <c r="C9123" s="953"/>
      <c r="D9123" s="953"/>
      <c r="E9123" s="953"/>
      <c r="F9123" s="953"/>
      <c r="G9123" s="953"/>
      <c r="H9123" s="953"/>
    </row>
    <row r="9124" spans="1:8" s="943" customFormat="1" x14ac:dyDescent="0.25">
      <c r="A9124" s="952"/>
      <c r="B9124" s="953"/>
      <c r="C9124" s="953"/>
      <c r="D9124" s="953"/>
      <c r="E9124" s="953"/>
      <c r="F9124" s="953"/>
      <c r="G9124" s="953"/>
      <c r="H9124" s="953"/>
    </row>
    <row r="9125" spans="1:8" s="943" customFormat="1" x14ac:dyDescent="0.25">
      <c r="A9125" s="952"/>
      <c r="B9125" s="953"/>
      <c r="C9125" s="953"/>
      <c r="D9125" s="953"/>
      <c r="E9125" s="953"/>
      <c r="F9125" s="953"/>
      <c r="G9125" s="953"/>
      <c r="H9125" s="953"/>
    </row>
    <row r="9126" spans="1:8" s="943" customFormat="1" x14ac:dyDescent="0.25">
      <c r="A9126" s="952"/>
      <c r="B9126" s="953"/>
      <c r="C9126" s="953"/>
      <c r="D9126" s="953"/>
      <c r="E9126" s="953"/>
      <c r="F9126" s="953"/>
      <c r="G9126" s="953"/>
      <c r="H9126" s="953"/>
    </row>
    <row r="9127" spans="1:8" s="943" customFormat="1" x14ac:dyDescent="0.25">
      <c r="A9127" s="952"/>
      <c r="B9127" s="953"/>
      <c r="C9127" s="953"/>
      <c r="D9127" s="953"/>
      <c r="E9127" s="953"/>
      <c r="F9127" s="953"/>
      <c r="G9127" s="953"/>
      <c r="H9127" s="953"/>
    </row>
    <row r="9128" spans="1:8" s="943" customFormat="1" x14ac:dyDescent="0.25">
      <c r="A9128" s="952"/>
      <c r="B9128" s="953"/>
      <c r="C9128" s="953"/>
      <c r="D9128" s="953"/>
      <c r="E9128" s="953"/>
      <c r="F9128" s="953"/>
      <c r="G9128" s="953"/>
      <c r="H9128" s="953"/>
    </row>
    <row r="9129" spans="1:8" s="943" customFormat="1" x14ac:dyDescent="0.25">
      <c r="A9129" s="952"/>
      <c r="B9129" s="953"/>
      <c r="C9129" s="953"/>
      <c r="D9129" s="953"/>
      <c r="E9129" s="953"/>
      <c r="F9129" s="953"/>
      <c r="G9129" s="953"/>
      <c r="H9129" s="953"/>
    </row>
    <row r="9130" spans="1:8" s="943" customFormat="1" x14ac:dyDescent="0.25">
      <c r="A9130" s="952"/>
      <c r="B9130" s="953"/>
      <c r="C9130" s="953"/>
      <c r="D9130" s="953"/>
      <c r="E9130" s="953"/>
      <c r="F9130" s="953"/>
      <c r="G9130" s="953"/>
      <c r="H9130" s="953"/>
    </row>
    <row r="9131" spans="1:8" s="943" customFormat="1" x14ac:dyDescent="0.25">
      <c r="A9131" s="952"/>
      <c r="B9131" s="953"/>
      <c r="C9131" s="953"/>
      <c r="D9131" s="953"/>
      <c r="E9131" s="953"/>
      <c r="F9131" s="953"/>
      <c r="G9131" s="953"/>
      <c r="H9131" s="953"/>
    </row>
    <row r="9132" spans="1:8" s="943" customFormat="1" x14ac:dyDescent="0.25">
      <c r="A9132" s="952"/>
      <c r="B9132" s="953"/>
      <c r="C9132" s="953"/>
      <c r="D9132" s="953"/>
      <c r="E9132" s="953"/>
      <c r="F9132" s="953"/>
      <c r="G9132" s="953"/>
      <c r="H9132" s="953"/>
    </row>
    <row r="9133" spans="1:8" s="943" customFormat="1" x14ac:dyDescent="0.25">
      <c r="A9133" s="952"/>
      <c r="B9133" s="953"/>
      <c r="C9133" s="953"/>
      <c r="D9133" s="953"/>
      <c r="E9133" s="953"/>
      <c r="F9133" s="953"/>
      <c r="G9133" s="953"/>
      <c r="H9133" s="953"/>
    </row>
    <row r="9134" spans="1:8" s="943" customFormat="1" x14ac:dyDescent="0.25">
      <c r="A9134" s="952"/>
      <c r="B9134" s="953"/>
      <c r="C9134" s="953"/>
      <c r="D9134" s="953"/>
      <c r="E9134" s="953"/>
      <c r="F9134" s="953"/>
      <c r="G9134" s="953"/>
      <c r="H9134" s="953"/>
    </row>
    <row r="9135" spans="1:8" s="943" customFormat="1" x14ac:dyDescent="0.25">
      <c r="A9135" s="952"/>
      <c r="B9135" s="953"/>
      <c r="C9135" s="953"/>
      <c r="D9135" s="953"/>
      <c r="E9135" s="953"/>
      <c r="F9135" s="953"/>
      <c r="G9135" s="953"/>
      <c r="H9135" s="953"/>
    </row>
    <row r="9136" spans="1:8" s="943" customFormat="1" x14ac:dyDescent="0.25">
      <c r="A9136" s="952"/>
      <c r="B9136" s="953"/>
      <c r="C9136" s="953"/>
      <c r="D9136" s="953"/>
      <c r="E9136" s="953"/>
      <c r="F9136" s="953"/>
      <c r="G9136" s="953"/>
      <c r="H9136" s="953"/>
    </row>
    <row r="9137" spans="1:8" s="943" customFormat="1" x14ac:dyDescent="0.25">
      <c r="A9137" s="952"/>
      <c r="B9137" s="953"/>
      <c r="C9137" s="953"/>
      <c r="D9137" s="953"/>
      <c r="E9137" s="953"/>
      <c r="F9137" s="953"/>
      <c r="G9137" s="953"/>
      <c r="H9137" s="953"/>
    </row>
    <row r="9138" spans="1:8" s="943" customFormat="1" x14ac:dyDescent="0.25">
      <c r="A9138" s="952"/>
      <c r="B9138" s="953"/>
      <c r="C9138" s="953"/>
      <c r="D9138" s="953"/>
      <c r="E9138" s="953"/>
      <c r="F9138" s="953"/>
      <c r="G9138" s="953"/>
      <c r="H9138" s="953"/>
    </row>
    <row r="9139" spans="1:8" s="943" customFormat="1" x14ac:dyDescent="0.25">
      <c r="A9139" s="952"/>
      <c r="B9139" s="953"/>
      <c r="C9139" s="953"/>
      <c r="D9139" s="953"/>
      <c r="E9139" s="953"/>
      <c r="F9139" s="953"/>
      <c r="G9139" s="953"/>
      <c r="H9139" s="953"/>
    </row>
    <row r="9140" spans="1:8" s="943" customFormat="1" x14ac:dyDescent="0.25">
      <c r="A9140" s="952"/>
      <c r="B9140" s="953"/>
      <c r="C9140" s="953"/>
      <c r="D9140" s="953"/>
      <c r="E9140" s="953"/>
      <c r="F9140" s="953"/>
      <c r="G9140" s="953"/>
      <c r="H9140" s="953"/>
    </row>
    <row r="9141" spans="1:8" s="943" customFormat="1" x14ac:dyDescent="0.25">
      <c r="A9141" s="952"/>
      <c r="B9141" s="953"/>
      <c r="C9141" s="953"/>
      <c r="D9141" s="953"/>
      <c r="E9141" s="953"/>
      <c r="F9141" s="953"/>
      <c r="G9141" s="953"/>
      <c r="H9141" s="953"/>
    </row>
    <row r="9142" spans="1:8" s="943" customFormat="1" x14ac:dyDescent="0.25">
      <c r="A9142" s="952"/>
      <c r="B9142" s="953"/>
      <c r="C9142" s="953"/>
      <c r="D9142" s="953"/>
      <c r="E9142" s="953"/>
      <c r="F9142" s="953"/>
      <c r="G9142" s="953"/>
      <c r="H9142" s="953"/>
    </row>
    <row r="9143" spans="1:8" s="943" customFormat="1" x14ac:dyDescent="0.25">
      <c r="A9143" s="952"/>
      <c r="B9143" s="953"/>
      <c r="C9143" s="953"/>
      <c r="D9143" s="953"/>
      <c r="E9143" s="953"/>
      <c r="F9143" s="953"/>
      <c r="G9143" s="953"/>
      <c r="H9143" s="953"/>
    </row>
    <row r="9144" spans="1:8" s="943" customFormat="1" x14ac:dyDescent="0.25">
      <c r="A9144" s="952"/>
      <c r="B9144" s="953"/>
      <c r="C9144" s="953"/>
      <c r="D9144" s="953"/>
      <c r="E9144" s="953"/>
      <c r="F9144" s="953"/>
      <c r="G9144" s="953"/>
      <c r="H9144" s="953"/>
    </row>
    <row r="9145" spans="1:8" s="943" customFormat="1" x14ac:dyDescent="0.25">
      <c r="A9145" s="952"/>
      <c r="B9145" s="953"/>
      <c r="C9145" s="953"/>
      <c r="D9145" s="953"/>
      <c r="E9145" s="953"/>
      <c r="F9145" s="953"/>
      <c r="G9145" s="953"/>
      <c r="H9145" s="953"/>
    </row>
    <row r="9146" spans="1:8" s="943" customFormat="1" x14ac:dyDescent="0.25">
      <c r="A9146" s="952"/>
      <c r="B9146" s="953"/>
      <c r="C9146" s="953"/>
      <c r="D9146" s="953"/>
      <c r="E9146" s="953"/>
      <c r="F9146" s="953"/>
      <c r="G9146" s="953"/>
      <c r="H9146" s="953"/>
    </row>
    <row r="9147" spans="1:8" s="943" customFormat="1" x14ac:dyDescent="0.25">
      <c r="A9147" s="952"/>
      <c r="B9147" s="953"/>
      <c r="C9147" s="953"/>
      <c r="D9147" s="953"/>
      <c r="E9147" s="953"/>
      <c r="F9147" s="953"/>
      <c r="G9147" s="953"/>
      <c r="H9147" s="953"/>
    </row>
    <row r="9148" spans="1:8" s="943" customFormat="1" x14ac:dyDescent="0.25">
      <c r="A9148" s="952"/>
      <c r="B9148" s="953"/>
      <c r="C9148" s="953"/>
      <c r="D9148" s="953"/>
      <c r="E9148" s="953"/>
      <c r="F9148" s="953"/>
      <c r="G9148" s="953"/>
      <c r="H9148" s="953"/>
    </row>
    <row r="9149" spans="1:8" s="943" customFormat="1" x14ac:dyDescent="0.25">
      <c r="A9149" s="952"/>
      <c r="B9149" s="953"/>
      <c r="C9149" s="953"/>
      <c r="D9149" s="953"/>
      <c r="E9149" s="953"/>
      <c r="F9149" s="953"/>
      <c r="G9149" s="953"/>
      <c r="H9149" s="953"/>
    </row>
    <row r="9150" spans="1:8" s="943" customFormat="1" x14ac:dyDescent="0.25">
      <c r="A9150" s="952"/>
      <c r="B9150" s="953"/>
      <c r="C9150" s="953"/>
      <c r="D9150" s="953"/>
      <c r="E9150" s="953"/>
      <c r="F9150" s="953"/>
      <c r="G9150" s="953"/>
      <c r="H9150" s="953"/>
    </row>
    <row r="9151" spans="1:8" s="943" customFormat="1" x14ac:dyDescent="0.25">
      <c r="A9151" s="952"/>
      <c r="B9151" s="953"/>
      <c r="C9151" s="953"/>
      <c r="D9151" s="953"/>
      <c r="E9151" s="953"/>
      <c r="F9151" s="953"/>
      <c r="G9151" s="953"/>
      <c r="H9151" s="953"/>
    </row>
    <row r="9152" spans="1:8" s="943" customFormat="1" x14ac:dyDescent="0.25">
      <c r="A9152" s="952"/>
      <c r="B9152" s="953"/>
      <c r="C9152" s="953"/>
      <c r="D9152" s="953"/>
      <c r="E9152" s="953"/>
      <c r="F9152" s="953"/>
      <c r="G9152" s="953"/>
      <c r="H9152" s="953"/>
    </row>
    <row r="9153" spans="1:8" s="943" customFormat="1" x14ac:dyDescent="0.25">
      <c r="A9153" s="952"/>
      <c r="B9153" s="953"/>
      <c r="C9153" s="953"/>
      <c r="D9153" s="953"/>
      <c r="E9153" s="953"/>
      <c r="F9153" s="953"/>
      <c r="G9153" s="953"/>
      <c r="H9153" s="953"/>
    </row>
    <row r="9154" spans="1:8" s="943" customFormat="1" x14ac:dyDescent="0.25">
      <c r="A9154" s="952"/>
      <c r="B9154" s="953"/>
      <c r="C9154" s="953"/>
      <c r="D9154" s="953"/>
      <c r="E9154" s="953"/>
      <c r="F9154" s="953"/>
      <c r="G9154" s="953"/>
      <c r="H9154" s="953"/>
    </row>
    <row r="9155" spans="1:8" s="943" customFormat="1" x14ac:dyDescent="0.25">
      <c r="A9155" s="952"/>
      <c r="B9155" s="953"/>
      <c r="C9155" s="953"/>
      <c r="D9155" s="953"/>
      <c r="E9155" s="953"/>
      <c r="F9155" s="953"/>
      <c r="G9155" s="953"/>
      <c r="H9155" s="953"/>
    </row>
    <row r="9156" spans="1:8" s="943" customFormat="1" x14ac:dyDescent="0.25">
      <c r="A9156" s="952"/>
      <c r="B9156" s="953"/>
      <c r="C9156" s="953"/>
      <c r="D9156" s="953"/>
      <c r="E9156" s="953"/>
      <c r="F9156" s="953"/>
      <c r="G9156" s="953"/>
      <c r="H9156" s="953"/>
    </row>
    <row r="9157" spans="1:8" s="943" customFormat="1" x14ac:dyDescent="0.25">
      <c r="A9157" s="952"/>
      <c r="B9157" s="953"/>
      <c r="C9157" s="953"/>
      <c r="D9157" s="953"/>
      <c r="E9157" s="953"/>
      <c r="F9157" s="953"/>
      <c r="G9157" s="953"/>
      <c r="H9157" s="953"/>
    </row>
    <row r="9158" spans="1:8" s="943" customFormat="1" x14ac:dyDescent="0.25">
      <c r="A9158" s="952"/>
      <c r="B9158" s="953"/>
      <c r="C9158" s="953"/>
      <c r="D9158" s="953"/>
      <c r="E9158" s="953"/>
      <c r="F9158" s="953"/>
      <c r="G9158" s="953"/>
      <c r="H9158" s="953"/>
    </row>
    <row r="9159" spans="1:8" s="943" customFormat="1" x14ac:dyDescent="0.25">
      <c r="A9159" s="952"/>
      <c r="B9159" s="953"/>
      <c r="C9159" s="953"/>
      <c r="D9159" s="953"/>
      <c r="E9159" s="953"/>
      <c r="F9159" s="953"/>
      <c r="G9159" s="953"/>
      <c r="H9159" s="953"/>
    </row>
    <row r="9160" spans="1:8" s="943" customFormat="1" x14ac:dyDescent="0.25">
      <c r="A9160" s="952"/>
      <c r="B9160" s="953"/>
      <c r="C9160" s="953"/>
      <c r="D9160" s="953"/>
      <c r="E9160" s="953"/>
      <c r="F9160" s="953"/>
      <c r="G9160" s="953"/>
      <c r="H9160" s="953"/>
    </row>
    <row r="9161" spans="1:8" s="943" customFormat="1" x14ac:dyDescent="0.25">
      <c r="A9161" s="952"/>
      <c r="B9161" s="953"/>
      <c r="C9161" s="953"/>
      <c r="D9161" s="953"/>
      <c r="E9161" s="953"/>
      <c r="F9161" s="953"/>
      <c r="G9161" s="953"/>
      <c r="H9161" s="953"/>
    </row>
    <row r="9162" spans="1:8" s="943" customFormat="1" x14ac:dyDescent="0.25">
      <c r="A9162" s="952"/>
      <c r="B9162" s="953"/>
      <c r="C9162" s="953"/>
      <c r="D9162" s="953"/>
      <c r="E9162" s="953"/>
      <c r="F9162" s="953"/>
      <c r="G9162" s="953"/>
      <c r="H9162" s="953"/>
    </row>
    <row r="9163" spans="1:8" s="943" customFormat="1" x14ac:dyDescent="0.25">
      <c r="A9163" s="952"/>
      <c r="B9163" s="953"/>
      <c r="C9163" s="953"/>
      <c r="D9163" s="953"/>
      <c r="E9163" s="953"/>
      <c r="F9163" s="953"/>
      <c r="G9163" s="953"/>
      <c r="H9163" s="953"/>
    </row>
    <row r="9164" spans="1:8" s="943" customFormat="1" x14ac:dyDescent="0.25">
      <c r="A9164" s="952"/>
      <c r="B9164" s="953"/>
      <c r="C9164" s="953"/>
      <c r="D9164" s="953"/>
      <c r="E9164" s="953"/>
      <c r="F9164" s="953"/>
      <c r="G9164" s="953"/>
      <c r="H9164" s="953"/>
    </row>
    <row r="9165" spans="1:8" s="943" customFormat="1" x14ac:dyDescent="0.25">
      <c r="A9165" s="952"/>
      <c r="B9165" s="953"/>
      <c r="C9165" s="953"/>
      <c r="D9165" s="953"/>
      <c r="E9165" s="953"/>
      <c r="F9165" s="953"/>
      <c r="G9165" s="953"/>
      <c r="H9165" s="953"/>
    </row>
    <row r="9166" spans="1:8" s="943" customFormat="1" x14ac:dyDescent="0.25">
      <c r="A9166" s="952"/>
      <c r="B9166" s="953"/>
      <c r="C9166" s="953"/>
      <c r="D9166" s="953"/>
      <c r="E9166" s="953"/>
      <c r="F9166" s="953"/>
      <c r="G9166" s="953"/>
      <c r="H9166" s="953"/>
    </row>
    <row r="9167" spans="1:8" s="943" customFormat="1" x14ac:dyDescent="0.25">
      <c r="A9167" s="952"/>
      <c r="B9167" s="953"/>
      <c r="C9167" s="953"/>
      <c r="D9167" s="953"/>
      <c r="E9167" s="953"/>
      <c r="F9167" s="953"/>
      <c r="G9167" s="953"/>
      <c r="H9167" s="953"/>
    </row>
    <row r="9168" spans="1:8" s="943" customFormat="1" x14ac:dyDescent="0.25">
      <c r="A9168" s="952"/>
      <c r="B9168" s="953"/>
      <c r="C9168" s="953"/>
      <c r="D9168" s="953"/>
      <c r="E9168" s="953"/>
      <c r="F9168" s="953"/>
      <c r="G9168" s="953"/>
      <c r="H9168" s="953"/>
    </row>
    <row r="9169" spans="1:8" s="943" customFormat="1" x14ac:dyDescent="0.25">
      <c r="A9169" s="952"/>
      <c r="B9169" s="953"/>
      <c r="C9169" s="953"/>
      <c r="D9169" s="953"/>
      <c r="E9169" s="953"/>
      <c r="F9169" s="953"/>
      <c r="G9169" s="953"/>
      <c r="H9169" s="953"/>
    </row>
    <row r="9170" spans="1:8" s="943" customFormat="1" x14ac:dyDescent="0.25">
      <c r="A9170" s="952"/>
      <c r="B9170" s="953"/>
      <c r="C9170" s="953"/>
      <c r="D9170" s="953"/>
      <c r="E9170" s="953"/>
      <c r="F9170" s="953"/>
      <c r="G9170" s="953"/>
      <c r="H9170" s="953"/>
    </row>
    <row r="9171" spans="1:8" s="943" customFormat="1" x14ac:dyDescent="0.25">
      <c r="A9171" s="952"/>
      <c r="B9171" s="953"/>
      <c r="C9171" s="953"/>
      <c r="D9171" s="953"/>
      <c r="E9171" s="953"/>
      <c r="F9171" s="953"/>
      <c r="G9171" s="953"/>
      <c r="H9171" s="953"/>
    </row>
    <row r="9172" spans="1:8" s="943" customFormat="1" x14ac:dyDescent="0.25">
      <c r="A9172" s="952"/>
      <c r="B9172" s="953"/>
      <c r="C9172" s="953"/>
      <c r="D9172" s="953"/>
      <c r="E9172" s="953"/>
      <c r="F9172" s="953"/>
      <c r="G9172" s="953"/>
      <c r="H9172" s="953"/>
    </row>
    <row r="9173" spans="1:8" s="943" customFormat="1" x14ac:dyDescent="0.25">
      <c r="A9173" s="952"/>
      <c r="B9173" s="953"/>
      <c r="C9173" s="953"/>
      <c r="D9173" s="953"/>
      <c r="E9173" s="953"/>
      <c r="F9173" s="953"/>
      <c r="G9173" s="953"/>
      <c r="H9173" s="953"/>
    </row>
    <row r="9174" spans="1:8" s="943" customFormat="1" x14ac:dyDescent="0.25">
      <c r="A9174" s="952"/>
      <c r="B9174" s="953"/>
      <c r="C9174" s="953"/>
      <c r="D9174" s="953"/>
      <c r="E9174" s="953"/>
      <c r="F9174" s="953"/>
      <c r="G9174" s="953"/>
      <c r="H9174" s="953"/>
    </row>
    <row r="9175" spans="1:8" s="943" customFormat="1" x14ac:dyDescent="0.25">
      <c r="A9175" s="952"/>
      <c r="B9175" s="953"/>
      <c r="C9175" s="953"/>
      <c r="D9175" s="953"/>
      <c r="E9175" s="953"/>
      <c r="F9175" s="953"/>
      <c r="G9175" s="953"/>
      <c r="H9175" s="953"/>
    </row>
    <row r="9176" spans="1:8" s="943" customFormat="1" x14ac:dyDescent="0.25">
      <c r="A9176" s="952"/>
      <c r="B9176" s="953"/>
      <c r="C9176" s="953"/>
      <c r="D9176" s="953"/>
      <c r="E9176" s="953"/>
      <c r="F9176" s="953"/>
      <c r="G9176" s="953"/>
      <c r="H9176" s="953"/>
    </row>
    <row r="9177" spans="1:8" s="943" customFormat="1" x14ac:dyDescent="0.25">
      <c r="A9177" s="952"/>
      <c r="B9177" s="953"/>
      <c r="C9177" s="953"/>
      <c r="D9177" s="953"/>
      <c r="E9177" s="953"/>
      <c r="F9177" s="953"/>
      <c r="G9177" s="953"/>
      <c r="H9177" s="953"/>
    </row>
    <row r="9178" spans="1:8" s="943" customFormat="1" x14ac:dyDescent="0.25">
      <c r="A9178" s="952"/>
      <c r="B9178" s="953"/>
      <c r="C9178" s="953"/>
      <c r="D9178" s="953"/>
      <c r="E9178" s="953"/>
      <c r="F9178" s="953"/>
      <c r="G9178" s="953"/>
      <c r="H9178" s="953"/>
    </row>
    <row r="9179" spans="1:8" s="943" customFormat="1" x14ac:dyDescent="0.25">
      <c r="A9179" s="952"/>
      <c r="B9179" s="953"/>
      <c r="C9179" s="953"/>
      <c r="D9179" s="953"/>
      <c r="E9179" s="953"/>
      <c r="F9179" s="953"/>
      <c r="G9179" s="953"/>
      <c r="H9179" s="953"/>
    </row>
    <row r="9180" spans="1:8" s="943" customFormat="1" x14ac:dyDescent="0.25">
      <c r="A9180" s="952"/>
      <c r="B9180" s="953"/>
      <c r="C9180" s="953"/>
      <c r="D9180" s="953"/>
      <c r="E9180" s="953"/>
      <c r="F9180" s="953"/>
      <c r="G9180" s="953"/>
      <c r="H9180" s="953"/>
    </row>
    <row r="9181" spans="1:8" s="943" customFormat="1" x14ac:dyDescent="0.25">
      <c r="A9181" s="952"/>
      <c r="B9181" s="953"/>
      <c r="C9181" s="953"/>
      <c r="D9181" s="953"/>
      <c r="E9181" s="953"/>
      <c r="F9181" s="953"/>
      <c r="G9181" s="953"/>
      <c r="H9181" s="953"/>
    </row>
    <row r="9182" spans="1:8" s="943" customFormat="1" x14ac:dyDescent="0.25">
      <c r="A9182" s="952"/>
      <c r="B9182" s="953"/>
      <c r="C9182" s="953"/>
      <c r="D9182" s="953"/>
      <c r="E9182" s="953"/>
      <c r="F9182" s="953"/>
      <c r="G9182" s="953"/>
      <c r="H9182" s="953"/>
    </row>
    <row r="9183" spans="1:8" s="943" customFormat="1" x14ac:dyDescent="0.25">
      <c r="A9183" s="952"/>
      <c r="B9183" s="953"/>
      <c r="C9183" s="953"/>
      <c r="D9183" s="953"/>
      <c r="E9183" s="953"/>
      <c r="F9183" s="953"/>
      <c r="G9183" s="953"/>
      <c r="H9183" s="953"/>
    </row>
    <row r="9184" spans="1:8" s="943" customFormat="1" x14ac:dyDescent="0.25">
      <c r="A9184" s="952"/>
      <c r="B9184" s="953"/>
      <c r="C9184" s="953"/>
      <c r="D9184" s="953"/>
      <c r="E9184" s="953"/>
      <c r="F9184" s="953"/>
      <c r="G9184" s="953"/>
      <c r="H9184" s="953"/>
    </row>
    <row r="9185" spans="1:8" s="943" customFormat="1" x14ac:dyDescent="0.25">
      <c r="A9185" s="952"/>
      <c r="B9185" s="953"/>
      <c r="C9185" s="953"/>
      <c r="D9185" s="953"/>
      <c r="E9185" s="953"/>
      <c r="F9185" s="953"/>
      <c r="G9185" s="953"/>
      <c r="H9185" s="953"/>
    </row>
    <row r="9186" spans="1:8" s="943" customFormat="1" x14ac:dyDescent="0.25">
      <c r="A9186" s="952"/>
      <c r="B9186" s="953"/>
      <c r="C9186" s="953"/>
      <c r="D9186" s="953"/>
      <c r="E9186" s="953"/>
      <c r="F9186" s="953"/>
      <c r="G9186" s="953"/>
      <c r="H9186" s="953"/>
    </row>
    <row r="9187" spans="1:8" s="943" customFormat="1" x14ac:dyDescent="0.25">
      <c r="A9187" s="952"/>
      <c r="B9187" s="953"/>
      <c r="C9187" s="953"/>
      <c r="D9187" s="953"/>
      <c r="E9187" s="953"/>
      <c r="F9187" s="953"/>
      <c r="G9187" s="953"/>
      <c r="H9187" s="953"/>
    </row>
    <row r="9188" spans="1:8" s="943" customFormat="1" x14ac:dyDescent="0.25">
      <c r="A9188" s="952"/>
      <c r="B9188" s="953"/>
      <c r="C9188" s="953"/>
      <c r="D9188" s="953"/>
      <c r="E9188" s="953"/>
      <c r="F9188" s="953"/>
      <c r="G9188" s="953"/>
      <c r="H9188" s="953"/>
    </row>
    <row r="9189" spans="1:8" s="943" customFormat="1" x14ac:dyDescent="0.25">
      <c r="A9189" s="952"/>
      <c r="B9189" s="953"/>
      <c r="C9189" s="953"/>
      <c r="D9189" s="953"/>
      <c r="E9189" s="953"/>
      <c r="F9189" s="953"/>
      <c r="G9189" s="953"/>
      <c r="H9189" s="953"/>
    </row>
    <row r="9190" spans="1:8" s="943" customFormat="1" x14ac:dyDescent="0.25">
      <c r="A9190" s="952"/>
      <c r="B9190" s="953"/>
      <c r="C9190" s="953"/>
      <c r="D9190" s="953"/>
      <c r="E9190" s="953"/>
      <c r="F9190" s="953"/>
      <c r="G9190" s="953"/>
      <c r="H9190" s="953"/>
    </row>
    <row r="9191" spans="1:8" s="943" customFormat="1" x14ac:dyDescent="0.25">
      <c r="A9191" s="952"/>
      <c r="B9191" s="953"/>
      <c r="C9191" s="953"/>
      <c r="D9191" s="953"/>
      <c r="E9191" s="953"/>
      <c r="F9191" s="953"/>
      <c r="G9191" s="953"/>
      <c r="H9191" s="953"/>
    </row>
    <row r="9192" spans="1:8" s="943" customFormat="1" x14ac:dyDescent="0.25">
      <c r="A9192" s="952"/>
      <c r="B9192" s="953"/>
      <c r="C9192" s="953"/>
      <c r="D9192" s="953"/>
      <c r="E9192" s="953"/>
      <c r="F9192" s="953"/>
      <c r="G9192" s="953"/>
      <c r="H9192" s="953"/>
    </row>
    <row r="9193" spans="1:8" s="943" customFormat="1" x14ac:dyDescent="0.25">
      <c r="A9193" s="952"/>
      <c r="B9193" s="953"/>
      <c r="C9193" s="953"/>
      <c r="D9193" s="953"/>
      <c r="E9193" s="953"/>
      <c r="F9193" s="953"/>
      <c r="G9193" s="953"/>
      <c r="H9193" s="953"/>
    </row>
    <row r="9194" spans="1:8" s="943" customFormat="1" x14ac:dyDescent="0.25">
      <c r="A9194" s="952"/>
      <c r="B9194" s="953"/>
      <c r="C9194" s="953"/>
      <c r="D9194" s="953"/>
      <c r="E9194" s="953"/>
      <c r="F9194" s="953"/>
      <c r="G9194" s="953"/>
      <c r="H9194" s="953"/>
    </row>
    <row r="9195" spans="1:8" s="943" customFormat="1" x14ac:dyDescent="0.25">
      <c r="A9195" s="952"/>
      <c r="B9195" s="953"/>
      <c r="C9195" s="953"/>
      <c r="D9195" s="953"/>
      <c r="E9195" s="953"/>
      <c r="F9195" s="953"/>
      <c r="G9195" s="953"/>
      <c r="H9195" s="953"/>
    </row>
    <row r="9196" spans="1:8" s="943" customFormat="1" x14ac:dyDescent="0.25">
      <c r="A9196" s="952"/>
      <c r="B9196" s="953"/>
      <c r="C9196" s="953"/>
      <c r="D9196" s="953"/>
      <c r="E9196" s="953"/>
      <c r="F9196" s="953"/>
      <c r="G9196" s="953"/>
      <c r="H9196" s="953"/>
    </row>
    <row r="9197" spans="1:8" s="943" customFormat="1" x14ac:dyDescent="0.25">
      <c r="A9197" s="952"/>
      <c r="B9197" s="953"/>
      <c r="C9197" s="953"/>
      <c r="D9197" s="953"/>
      <c r="E9197" s="953"/>
      <c r="F9197" s="953"/>
      <c r="G9197" s="953"/>
      <c r="H9197" s="953"/>
    </row>
    <row r="9198" spans="1:8" s="943" customFormat="1" x14ac:dyDescent="0.25">
      <c r="A9198" s="952"/>
      <c r="B9198" s="953"/>
      <c r="C9198" s="953"/>
      <c r="D9198" s="953"/>
      <c r="E9198" s="953"/>
      <c r="F9198" s="953"/>
      <c r="G9198" s="953"/>
      <c r="H9198" s="953"/>
    </row>
    <row r="9199" spans="1:8" s="943" customFormat="1" x14ac:dyDescent="0.25">
      <c r="A9199" s="952"/>
      <c r="B9199" s="953"/>
      <c r="C9199" s="953"/>
      <c r="D9199" s="953"/>
      <c r="E9199" s="953"/>
      <c r="F9199" s="953"/>
      <c r="G9199" s="953"/>
      <c r="H9199" s="953"/>
    </row>
    <row r="9200" spans="1:8" s="943" customFormat="1" x14ac:dyDescent="0.25">
      <c r="A9200" s="952"/>
      <c r="B9200" s="953"/>
      <c r="C9200" s="953"/>
      <c r="D9200" s="953"/>
      <c r="E9200" s="953"/>
      <c r="F9200" s="953"/>
      <c r="G9200" s="953"/>
      <c r="H9200" s="953"/>
    </row>
    <row r="9201" spans="1:8" s="943" customFormat="1" x14ac:dyDescent="0.25">
      <c r="A9201" s="952"/>
      <c r="B9201" s="953"/>
      <c r="C9201" s="953"/>
      <c r="D9201" s="953"/>
      <c r="E9201" s="953"/>
      <c r="F9201" s="953"/>
      <c r="G9201" s="953"/>
      <c r="H9201" s="953"/>
    </row>
    <row r="9202" spans="1:8" s="943" customFormat="1" x14ac:dyDescent="0.25">
      <c r="A9202" s="952"/>
      <c r="B9202" s="953"/>
      <c r="C9202" s="953"/>
      <c r="D9202" s="953"/>
      <c r="E9202" s="953"/>
      <c r="F9202" s="953"/>
      <c r="G9202" s="953"/>
      <c r="H9202" s="953"/>
    </row>
    <row r="9203" spans="1:8" s="943" customFormat="1" x14ac:dyDescent="0.25">
      <c r="A9203" s="952"/>
      <c r="B9203" s="953"/>
      <c r="C9203" s="953"/>
      <c r="D9203" s="953"/>
      <c r="E9203" s="953"/>
      <c r="F9203" s="953"/>
      <c r="G9203" s="953"/>
      <c r="H9203" s="953"/>
    </row>
    <row r="9204" spans="1:8" s="943" customFormat="1" x14ac:dyDescent="0.25">
      <c r="A9204" s="952"/>
      <c r="B9204" s="953"/>
      <c r="C9204" s="953"/>
      <c r="D9204" s="953"/>
      <c r="E9204" s="953"/>
      <c r="F9204" s="953"/>
      <c r="G9204" s="953"/>
      <c r="H9204" s="953"/>
    </row>
    <row r="9205" spans="1:8" s="943" customFormat="1" x14ac:dyDescent="0.25">
      <c r="A9205" s="952"/>
      <c r="B9205" s="953"/>
      <c r="C9205" s="953"/>
      <c r="D9205" s="953"/>
      <c r="E9205" s="953"/>
      <c r="F9205" s="953"/>
      <c r="G9205" s="953"/>
      <c r="H9205" s="953"/>
    </row>
    <row r="9206" spans="1:8" s="943" customFormat="1" x14ac:dyDescent="0.25">
      <c r="A9206" s="952"/>
      <c r="B9206" s="953"/>
      <c r="C9206" s="953"/>
      <c r="D9206" s="953"/>
      <c r="E9206" s="953"/>
      <c r="F9206" s="953"/>
      <c r="G9206" s="953"/>
      <c r="H9206" s="953"/>
    </row>
    <row r="9207" spans="1:8" s="943" customFormat="1" x14ac:dyDescent="0.25">
      <c r="A9207" s="952"/>
      <c r="B9207" s="953"/>
      <c r="C9207" s="953"/>
      <c r="D9207" s="953"/>
      <c r="E9207" s="953"/>
      <c r="F9207" s="953"/>
      <c r="G9207" s="953"/>
      <c r="H9207" s="953"/>
    </row>
    <row r="9208" spans="1:8" s="943" customFormat="1" x14ac:dyDescent="0.25">
      <c r="A9208" s="952"/>
      <c r="B9208" s="953"/>
      <c r="C9208" s="953"/>
      <c r="D9208" s="953"/>
      <c r="E9208" s="953"/>
      <c r="F9208" s="953"/>
      <c r="G9208" s="953"/>
      <c r="H9208" s="953"/>
    </row>
    <row r="9209" spans="1:8" s="943" customFormat="1" x14ac:dyDescent="0.25">
      <c r="A9209" s="952"/>
      <c r="B9209" s="953"/>
      <c r="C9209" s="953"/>
      <c r="D9209" s="953"/>
      <c r="E9209" s="953"/>
      <c r="F9209" s="953"/>
      <c r="G9209" s="953"/>
      <c r="H9209" s="953"/>
    </row>
    <row r="9210" spans="1:8" s="943" customFormat="1" x14ac:dyDescent="0.25">
      <c r="A9210" s="952"/>
      <c r="B9210" s="953"/>
      <c r="C9210" s="953"/>
      <c r="D9210" s="953"/>
      <c r="E9210" s="953"/>
      <c r="F9210" s="953"/>
      <c r="G9210" s="953"/>
      <c r="H9210" s="953"/>
    </row>
    <row r="9211" spans="1:8" s="943" customFormat="1" x14ac:dyDescent="0.25">
      <c r="A9211" s="952"/>
      <c r="B9211" s="953"/>
      <c r="C9211" s="953"/>
      <c r="D9211" s="953"/>
      <c r="E9211" s="953"/>
      <c r="F9211" s="953"/>
      <c r="G9211" s="953"/>
      <c r="H9211" s="953"/>
    </row>
    <row r="9212" spans="1:8" s="943" customFormat="1" x14ac:dyDescent="0.25">
      <c r="A9212" s="952"/>
      <c r="B9212" s="953"/>
      <c r="C9212" s="953"/>
      <c r="D9212" s="953"/>
      <c r="E9212" s="953"/>
      <c r="F9212" s="953"/>
      <c r="G9212" s="953"/>
      <c r="H9212" s="953"/>
    </row>
    <row r="9213" spans="1:8" s="943" customFormat="1" x14ac:dyDescent="0.25">
      <c r="A9213" s="952"/>
      <c r="B9213" s="953"/>
      <c r="C9213" s="953"/>
      <c r="D9213" s="953"/>
      <c r="E9213" s="953"/>
      <c r="F9213" s="953"/>
      <c r="G9213" s="953"/>
      <c r="H9213" s="953"/>
    </row>
    <row r="9214" spans="1:8" s="943" customFormat="1" x14ac:dyDescent="0.25">
      <c r="A9214" s="952"/>
      <c r="B9214" s="953"/>
      <c r="C9214" s="953"/>
      <c r="D9214" s="953"/>
      <c r="E9214" s="953"/>
      <c r="F9214" s="953"/>
      <c r="G9214" s="953"/>
      <c r="H9214" s="953"/>
    </row>
    <row r="9215" spans="1:8" s="943" customFormat="1" x14ac:dyDescent="0.25">
      <c r="A9215" s="952"/>
      <c r="B9215" s="953"/>
      <c r="C9215" s="953"/>
      <c r="D9215" s="953"/>
      <c r="E9215" s="953"/>
      <c r="F9215" s="953"/>
      <c r="G9215" s="953"/>
      <c r="H9215" s="953"/>
    </row>
    <row r="9216" spans="1:8" s="943" customFormat="1" x14ac:dyDescent="0.25">
      <c r="A9216" s="952"/>
      <c r="B9216" s="953"/>
      <c r="C9216" s="953"/>
      <c r="D9216" s="953"/>
      <c r="E9216" s="953"/>
      <c r="F9216" s="953"/>
      <c r="G9216" s="953"/>
      <c r="H9216" s="953"/>
    </row>
    <row r="9217" spans="1:8" s="943" customFormat="1" x14ac:dyDescent="0.25">
      <c r="A9217" s="952"/>
      <c r="B9217" s="953"/>
      <c r="C9217" s="953"/>
      <c r="D9217" s="953"/>
      <c r="E9217" s="953"/>
      <c r="F9217" s="953"/>
      <c r="G9217" s="953"/>
      <c r="H9217" s="953"/>
    </row>
    <row r="9218" spans="1:8" s="943" customFormat="1" x14ac:dyDescent="0.25">
      <c r="A9218" s="952"/>
      <c r="B9218" s="953"/>
      <c r="C9218" s="953"/>
      <c r="D9218" s="953"/>
      <c r="E9218" s="953"/>
      <c r="F9218" s="953"/>
      <c r="G9218" s="953"/>
      <c r="H9218" s="953"/>
    </row>
    <row r="9219" spans="1:8" s="943" customFormat="1" x14ac:dyDescent="0.25">
      <c r="A9219" s="952"/>
      <c r="B9219" s="953"/>
      <c r="C9219" s="953"/>
      <c r="D9219" s="953"/>
      <c r="E9219" s="953"/>
      <c r="F9219" s="953"/>
      <c r="G9219" s="953"/>
      <c r="H9219" s="953"/>
    </row>
    <row r="9220" spans="1:8" s="943" customFormat="1" x14ac:dyDescent="0.25">
      <c r="A9220" s="952"/>
      <c r="B9220" s="953"/>
      <c r="C9220" s="953"/>
      <c r="D9220" s="953"/>
      <c r="E9220" s="953"/>
      <c r="F9220" s="953"/>
      <c r="G9220" s="953"/>
      <c r="H9220" s="953"/>
    </row>
    <row r="9221" spans="1:8" s="943" customFormat="1" x14ac:dyDescent="0.25">
      <c r="A9221" s="952"/>
      <c r="B9221" s="953"/>
      <c r="C9221" s="953"/>
      <c r="D9221" s="953"/>
      <c r="E9221" s="953"/>
      <c r="F9221" s="953"/>
      <c r="G9221" s="953"/>
      <c r="H9221" s="953"/>
    </row>
    <row r="9222" spans="1:8" s="943" customFormat="1" x14ac:dyDescent="0.25">
      <c r="A9222" s="952"/>
      <c r="B9222" s="953"/>
      <c r="C9222" s="953"/>
      <c r="D9222" s="953"/>
      <c r="E9222" s="953"/>
      <c r="F9222" s="953"/>
      <c r="G9222" s="953"/>
      <c r="H9222" s="953"/>
    </row>
    <row r="9223" spans="1:8" s="943" customFormat="1" x14ac:dyDescent="0.25">
      <c r="A9223" s="952"/>
      <c r="B9223" s="953"/>
      <c r="C9223" s="953"/>
      <c r="D9223" s="953"/>
      <c r="E9223" s="953"/>
      <c r="F9223" s="953"/>
      <c r="G9223" s="953"/>
      <c r="H9223" s="953"/>
    </row>
    <row r="9224" spans="1:8" s="943" customFormat="1" x14ac:dyDescent="0.25">
      <c r="A9224" s="952"/>
      <c r="B9224" s="953"/>
      <c r="C9224" s="953"/>
      <c r="D9224" s="953"/>
      <c r="E9224" s="953"/>
      <c r="F9224" s="953"/>
      <c r="G9224" s="953"/>
      <c r="H9224" s="953"/>
    </row>
    <row r="9225" spans="1:8" s="943" customFormat="1" x14ac:dyDescent="0.25">
      <c r="A9225" s="952"/>
      <c r="B9225" s="953"/>
      <c r="C9225" s="953"/>
      <c r="D9225" s="953"/>
      <c r="E9225" s="953"/>
      <c r="F9225" s="953"/>
      <c r="G9225" s="953"/>
      <c r="H9225" s="953"/>
    </row>
    <row r="9226" spans="1:8" s="943" customFormat="1" x14ac:dyDescent="0.25">
      <c r="A9226" s="952"/>
      <c r="B9226" s="953"/>
      <c r="C9226" s="953"/>
      <c r="D9226" s="953"/>
      <c r="E9226" s="953"/>
      <c r="F9226" s="953"/>
      <c r="G9226" s="953"/>
      <c r="H9226" s="953"/>
    </row>
    <row r="9227" spans="1:8" s="943" customFormat="1" x14ac:dyDescent="0.25">
      <c r="A9227" s="952"/>
      <c r="B9227" s="953"/>
      <c r="C9227" s="953"/>
      <c r="D9227" s="953"/>
      <c r="E9227" s="953"/>
      <c r="F9227" s="953"/>
      <c r="G9227" s="953"/>
      <c r="H9227" s="953"/>
    </row>
    <row r="9228" spans="1:8" s="943" customFormat="1" x14ac:dyDescent="0.25">
      <c r="A9228" s="952"/>
      <c r="B9228" s="953"/>
      <c r="C9228" s="953"/>
      <c r="D9228" s="953"/>
      <c r="E9228" s="953"/>
      <c r="F9228" s="953"/>
      <c r="G9228" s="953"/>
      <c r="H9228" s="953"/>
    </row>
    <row r="9229" spans="1:8" s="943" customFormat="1" x14ac:dyDescent="0.25">
      <c r="A9229" s="952"/>
      <c r="B9229" s="953"/>
      <c r="C9229" s="953"/>
      <c r="D9229" s="953"/>
      <c r="E9229" s="953"/>
      <c r="F9229" s="953"/>
      <c r="G9229" s="953"/>
      <c r="H9229" s="953"/>
    </row>
    <row r="9230" spans="1:8" s="943" customFormat="1" x14ac:dyDescent="0.25">
      <c r="A9230" s="952"/>
      <c r="B9230" s="953"/>
      <c r="C9230" s="953"/>
      <c r="D9230" s="953"/>
      <c r="E9230" s="953"/>
      <c r="F9230" s="953"/>
      <c r="G9230" s="953"/>
      <c r="H9230" s="953"/>
    </row>
    <row r="9231" spans="1:8" s="943" customFormat="1" x14ac:dyDescent="0.25">
      <c r="A9231" s="952"/>
      <c r="B9231" s="953"/>
      <c r="C9231" s="953"/>
      <c r="D9231" s="953"/>
      <c r="E9231" s="953"/>
      <c r="F9231" s="953"/>
      <c r="G9231" s="953"/>
      <c r="H9231" s="953"/>
    </row>
    <row r="9232" spans="1:8" s="943" customFormat="1" x14ac:dyDescent="0.25">
      <c r="A9232" s="952"/>
      <c r="B9232" s="953"/>
      <c r="C9232" s="953"/>
      <c r="D9232" s="953"/>
      <c r="E9232" s="953"/>
      <c r="F9232" s="953"/>
      <c r="G9232" s="953"/>
      <c r="H9232" s="953"/>
    </row>
    <row r="9233" spans="1:8" s="943" customFormat="1" x14ac:dyDescent="0.25">
      <c r="A9233" s="952"/>
      <c r="B9233" s="953"/>
      <c r="C9233" s="953"/>
      <c r="D9233" s="953"/>
      <c r="E9233" s="953"/>
      <c r="F9233" s="953"/>
      <c r="G9233" s="953"/>
      <c r="H9233" s="953"/>
    </row>
    <row r="9234" spans="1:8" s="943" customFormat="1" x14ac:dyDescent="0.25">
      <c r="A9234" s="952"/>
      <c r="B9234" s="953"/>
      <c r="C9234" s="953"/>
      <c r="D9234" s="953"/>
      <c r="E9234" s="953"/>
      <c r="F9234" s="953"/>
      <c r="G9234" s="953"/>
      <c r="H9234" s="953"/>
    </row>
    <row r="9235" spans="1:8" s="943" customFormat="1" x14ac:dyDescent="0.25">
      <c r="A9235" s="952"/>
      <c r="B9235" s="953"/>
      <c r="C9235" s="953"/>
      <c r="D9235" s="953"/>
      <c r="E9235" s="953"/>
      <c r="F9235" s="953"/>
      <c r="G9235" s="953"/>
      <c r="H9235" s="953"/>
    </row>
    <row r="9236" spans="1:8" s="943" customFormat="1" x14ac:dyDescent="0.25">
      <c r="A9236" s="952"/>
      <c r="B9236" s="953"/>
      <c r="C9236" s="953"/>
      <c r="D9236" s="953"/>
      <c r="E9236" s="953"/>
      <c r="F9236" s="953"/>
      <c r="G9236" s="953"/>
      <c r="H9236" s="953"/>
    </row>
    <row r="9237" spans="1:8" s="943" customFormat="1" x14ac:dyDescent="0.25">
      <c r="A9237" s="952"/>
      <c r="B9237" s="953"/>
      <c r="C9237" s="953"/>
      <c r="D9237" s="953"/>
      <c r="E9237" s="953"/>
      <c r="F9237" s="953"/>
      <c r="G9237" s="953"/>
      <c r="H9237" s="953"/>
    </row>
    <row r="9238" spans="1:8" s="943" customFormat="1" x14ac:dyDescent="0.25">
      <c r="A9238" s="952"/>
      <c r="B9238" s="953"/>
      <c r="C9238" s="953"/>
      <c r="D9238" s="953"/>
      <c r="E9238" s="953"/>
      <c r="F9238" s="953"/>
      <c r="G9238" s="953"/>
      <c r="H9238" s="953"/>
    </row>
    <row r="9239" spans="1:8" s="943" customFormat="1" x14ac:dyDescent="0.25">
      <c r="A9239" s="952"/>
      <c r="B9239" s="953"/>
      <c r="C9239" s="953"/>
      <c r="D9239" s="953"/>
      <c r="E9239" s="953"/>
      <c r="F9239" s="953"/>
      <c r="G9239" s="953"/>
      <c r="H9239" s="953"/>
    </row>
    <row r="9240" spans="1:8" s="943" customFormat="1" x14ac:dyDescent="0.25">
      <c r="A9240" s="952"/>
      <c r="B9240" s="953"/>
      <c r="C9240" s="953"/>
      <c r="D9240" s="953"/>
      <c r="E9240" s="953"/>
      <c r="F9240" s="953"/>
      <c r="G9240" s="953"/>
      <c r="H9240" s="953"/>
    </row>
    <row r="9241" spans="1:8" s="943" customFormat="1" x14ac:dyDescent="0.25">
      <c r="A9241" s="952"/>
      <c r="B9241" s="953"/>
      <c r="C9241" s="953"/>
      <c r="D9241" s="953"/>
      <c r="E9241" s="953"/>
      <c r="F9241" s="953"/>
      <c r="G9241" s="953"/>
      <c r="H9241" s="953"/>
    </row>
    <row r="9242" spans="1:8" s="943" customFormat="1" x14ac:dyDescent="0.25">
      <c r="A9242" s="952"/>
      <c r="B9242" s="953"/>
      <c r="C9242" s="953"/>
      <c r="D9242" s="953"/>
      <c r="E9242" s="953"/>
      <c r="F9242" s="953"/>
      <c r="G9242" s="953"/>
      <c r="H9242" s="953"/>
    </row>
    <row r="9243" spans="1:8" s="943" customFormat="1" x14ac:dyDescent="0.25">
      <c r="A9243" s="952"/>
      <c r="B9243" s="953"/>
      <c r="C9243" s="953"/>
      <c r="D9243" s="953"/>
      <c r="E9243" s="953"/>
      <c r="F9243" s="953"/>
      <c r="G9243" s="953"/>
      <c r="H9243" s="953"/>
    </row>
    <row r="9244" spans="1:8" s="943" customFormat="1" x14ac:dyDescent="0.25">
      <c r="A9244" s="952"/>
      <c r="B9244" s="953"/>
      <c r="C9244" s="953"/>
      <c r="D9244" s="953"/>
      <c r="E9244" s="953"/>
      <c r="F9244" s="953"/>
      <c r="G9244" s="953"/>
      <c r="H9244" s="953"/>
    </row>
    <row r="9245" spans="1:8" s="943" customFormat="1" x14ac:dyDescent="0.25">
      <c r="A9245" s="952"/>
      <c r="B9245" s="953"/>
      <c r="C9245" s="953"/>
      <c r="D9245" s="953"/>
      <c r="E9245" s="953"/>
      <c r="F9245" s="953"/>
      <c r="G9245" s="953"/>
      <c r="H9245" s="953"/>
    </row>
    <row r="9246" spans="1:8" s="943" customFormat="1" x14ac:dyDescent="0.25">
      <c r="A9246" s="952"/>
      <c r="B9246" s="953"/>
      <c r="C9246" s="953"/>
      <c r="D9246" s="953"/>
      <c r="E9246" s="953"/>
      <c r="F9246" s="953"/>
      <c r="G9246" s="953"/>
      <c r="H9246" s="953"/>
    </row>
    <row r="9247" spans="1:8" s="943" customFormat="1" x14ac:dyDescent="0.25">
      <c r="A9247" s="952"/>
      <c r="B9247" s="953"/>
      <c r="C9247" s="953"/>
      <c r="D9247" s="953"/>
      <c r="E9247" s="953"/>
      <c r="F9247" s="953"/>
      <c r="G9247" s="953"/>
      <c r="H9247" s="953"/>
    </row>
    <row r="9248" spans="1:8" s="943" customFormat="1" x14ac:dyDescent="0.25">
      <c r="A9248" s="952"/>
      <c r="B9248" s="953"/>
      <c r="C9248" s="953"/>
      <c r="D9248" s="953"/>
      <c r="E9248" s="953"/>
      <c r="F9248" s="953"/>
      <c r="G9248" s="953"/>
      <c r="H9248" s="953"/>
    </row>
    <row r="9249" spans="1:8" s="943" customFormat="1" x14ac:dyDescent="0.25">
      <c r="A9249" s="952"/>
      <c r="B9249" s="953"/>
      <c r="C9249" s="953"/>
      <c r="D9249" s="953"/>
      <c r="E9249" s="953"/>
      <c r="F9249" s="953"/>
      <c r="G9249" s="953"/>
      <c r="H9249" s="953"/>
    </row>
    <row r="9250" spans="1:8" s="943" customFormat="1" x14ac:dyDescent="0.25">
      <c r="A9250" s="952"/>
      <c r="B9250" s="953"/>
      <c r="C9250" s="953"/>
      <c r="D9250" s="953"/>
      <c r="E9250" s="953"/>
      <c r="F9250" s="953"/>
      <c r="G9250" s="953"/>
      <c r="H9250" s="953"/>
    </row>
    <row r="9251" spans="1:8" s="943" customFormat="1" x14ac:dyDescent="0.25">
      <c r="A9251" s="952"/>
      <c r="B9251" s="953"/>
      <c r="C9251" s="953"/>
      <c r="D9251" s="953"/>
      <c r="E9251" s="953"/>
      <c r="F9251" s="953"/>
      <c r="G9251" s="953"/>
      <c r="H9251" s="953"/>
    </row>
    <row r="9252" spans="1:8" s="943" customFormat="1" x14ac:dyDescent="0.25">
      <c r="A9252" s="952"/>
      <c r="B9252" s="953"/>
      <c r="C9252" s="953"/>
      <c r="D9252" s="953"/>
      <c r="E9252" s="953"/>
      <c r="F9252" s="953"/>
      <c r="G9252" s="953"/>
      <c r="H9252" s="953"/>
    </row>
    <row r="9253" spans="1:8" s="943" customFormat="1" x14ac:dyDescent="0.25">
      <c r="A9253" s="952"/>
      <c r="B9253" s="953"/>
      <c r="C9253" s="953"/>
      <c r="D9253" s="953"/>
      <c r="E9253" s="953"/>
      <c r="F9253" s="953"/>
      <c r="G9253" s="953"/>
      <c r="H9253" s="953"/>
    </row>
    <row r="9254" spans="1:8" s="943" customFormat="1" x14ac:dyDescent="0.25">
      <c r="A9254" s="952"/>
      <c r="B9254" s="953"/>
      <c r="C9254" s="953"/>
      <c r="D9254" s="953"/>
      <c r="E9254" s="953"/>
      <c r="F9254" s="953"/>
      <c r="G9254" s="953"/>
      <c r="H9254" s="953"/>
    </row>
    <row r="9255" spans="1:8" s="943" customFormat="1" x14ac:dyDescent="0.25">
      <c r="A9255" s="952"/>
      <c r="B9255" s="953"/>
      <c r="C9255" s="953"/>
      <c r="D9255" s="953"/>
      <c r="E9255" s="953"/>
      <c r="F9255" s="953"/>
      <c r="G9255" s="953"/>
      <c r="H9255" s="953"/>
    </row>
    <row r="9256" spans="1:8" s="943" customFormat="1" x14ac:dyDescent="0.25">
      <c r="A9256" s="952"/>
      <c r="B9256" s="953"/>
      <c r="C9256" s="953"/>
      <c r="D9256" s="953"/>
      <c r="E9256" s="953"/>
      <c r="F9256" s="953"/>
      <c r="G9256" s="953"/>
      <c r="H9256" s="953"/>
    </row>
    <row r="9257" spans="1:8" s="943" customFormat="1" x14ac:dyDescent="0.25">
      <c r="A9257" s="952"/>
      <c r="B9257" s="953"/>
      <c r="C9257" s="953"/>
      <c r="D9257" s="953"/>
      <c r="E9257" s="953"/>
      <c r="F9257" s="953"/>
      <c r="G9257" s="953"/>
      <c r="H9257" s="953"/>
    </row>
    <row r="9258" spans="1:8" s="943" customFormat="1" x14ac:dyDescent="0.25">
      <c r="A9258" s="952"/>
      <c r="B9258" s="953"/>
      <c r="C9258" s="953"/>
      <c r="D9258" s="953"/>
      <c r="E9258" s="953"/>
      <c r="F9258" s="953"/>
      <c r="G9258" s="953"/>
      <c r="H9258" s="953"/>
    </row>
    <row r="9259" spans="1:8" s="943" customFormat="1" x14ac:dyDescent="0.25">
      <c r="A9259" s="952"/>
      <c r="B9259" s="953"/>
      <c r="C9259" s="953"/>
      <c r="D9259" s="953"/>
      <c r="E9259" s="953"/>
      <c r="F9259" s="953"/>
      <c r="G9259" s="953"/>
      <c r="H9259" s="953"/>
    </row>
    <row r="9260" spans="1:8" s="943" customFormat="1" x14ac:dyDescent="0.25">
      <c r="A9260" s="952"/>
      <c r="B9260" s="953"/>
      <c r="C9260" s="953"/>
      <c r="D9260" s="953"/>
      <c r="E9260" s="953"/>
      <c r="F9260" s="953"/>
      <c r="G9260" s="953"/>
      <c r="H9260" s="953"/>
    </row>
    <row r="9261" spans="1:8" s="943" customFormat="1" x14ac:dyDescent="0.25">
      <c r="A9261" s="952"/>
      <c r="B9261" s="953"/>
      <c r="C9261" s="953"/>
      <c r="D9261" s="953"/>
      <c r="E9261" s="953"/>
      <c r="F9261" s="953"/>
      <c r="G9261" s="953"/>
      <c r="H9261" s="953"/>
    </row>
    <row r="9262" spans="1:8" s="943" customFormat="1" x14ac:dyDescent="0.25">
      <c r="A9262" s="952"/>
      <c r="B9262" s="953"/>
      <c r="C9262" s="953"/>
      <c r="D9262" s="953"/>
      <c r="E9262" s="953"/>
      <c r="F9262" s="953"/>
      <c r="G9262" s="953"/>
      <c r="H9262" s="953"/>
    </row>
    <row r="9263" spans="1:8" s="943" customFormat="1" x14ac:dyDescent="0.25">
      <c r="A9263" s="952"/>
      <c r="B9263" s="953"/>
      <c r="C9263" s="953"/>
      <c r="D9263" s="953"/>
      <c r="E9263" s="953"/>
      <c r="F9263" s="953"/>
      <c r="G9263" s="953"/>
      <c r="H9263" s="953"/>
    </row>
    <row r="9264" spans="1:8" s="943" customFormat="1" x14ac:dyDescent="0.25">
      <c r="A9264" s="952"/>
      <c r="B9264" s="953"/>
      <c r="C9264" s="953"/>
      <c r="D9264" s="953"/>
      <c r="E9264" s="953"/>
      <c r="F9264" s="953"/>
      <c r="G9264" s="953"/>
      <c r="H9264" s="953"/>
    </row>
    <row r="9265" spans="1:8" s="943" customFormat="1" x14ac:dyDescent="0.25">
      <c r="A9265" s="952"/>
      <c r="B9265" s="953"/>
      <c r="C9265" s="953"/>
      <c r="D9265" s="953"/>
      <c r="E9265" s="953"/>
      <c r="F9265" s="953"/>
      <c r="G9265" s="953"/>
      <c r="H9265" s="953"/>
    </row>
    <row r="9266" spans="1:8" s="943" customFormat="1" x14ac:dyDescent="0.25">
      <c r="A9266" s="952"/>
      <c r="B9266" s="953"/>
      <c r="C9266" s="953"/>
      <c r="D9266" s="953"/>
      <c r="E9266" s="953"/>
      <c r="F9266" s="953"/>
      <c r="G9266" s="953"/>
      <c r="H9266" s="953"/>
    </row>
    <row r="9267" spans="1:8" s="943" customFormat="1" x14ac:dyDescent="0.25">
      <c r="A9267" s="952"/>
      <c r="B9267" s="953"/>
      <c r="C9267" s="953"/>
      <c r="D9267" s="953"/>
      <c r="E9267" s="953"/>
      <c r="F9267" s="953"/>
      <c r="G9267" s="953"/>
      <c r="H9267" s="953"/>
    </row>
    <row r="9268" spans="1:8" s="943" customFormat="1" x14ac:dyDescent="0.25">
      <c r="A9268" s="952"/>
      <c r="B9268" s="953"/>
      <c r="C9268" s="953"/>
      <c r="D9268" s="953"/>
      <c r="E9268" s="953"/>
      <c r="F9268" s="953"/>
      <c r="G9268" s="953"/>
      <c r="H9268" s="953"/>
    </row>
    <row r="9269" spans="1:8" s="943" customFormat="1" x14ac:dyDescent="0.25">
      <c r="A9269" s="952"/>
      <c r="B9269" s="953"/>
      <c r="C9269" s="953"/>
      <c r="D9269" s="953"/>
      <c r="E9269" s="953"/>
      <c r="F9269" s="953"/>
      <c r="G9269" s="953"/>
      <c r="H9269" s="953"/>
    </row>
    <row r="9270" spans="1:8" s="943" customFormat="1" x14ac:dyDescent="0.25">
      <c r="A9270" s="952"/>
      <c r="B9270" s="953"/>
      <c r="C9270" s="953"/>
      <c r="D9270" s="953"/>
      <c r="E9270" s="953"/>
      <c r="F9270" s="953"/>
      <c r="G9270" s="953"/>
      <c r="H9270" s="953"/>
    </row>
    <row r="9271" spans="1:8" s="943" customFormat="1" x14ac:dyDescent="0.25">
      <c r="A9271" s="952"/>
      <c r="B9271" s="953"/>
      <c r="C9271" s="953"/>
      <c r="D9271" s="953"/>
      <c r="E9271" s="953"/>
      <c r="F9271" s="953"/>
      <c r="G9271" s="953"/>
      <c r="H9271" s="953"/>
    </row>
    <row r="9272" spans="1:8" s="943" customFormat="1" x14ac:dyDescent="0.25">
      <c r="A9272" s="952"/>
      <c r="B9272" s="953"/>
      <c r="C9272" s="953"/>
      <c r="D9272" s="953"/>
      <c r="E9272" s="953"/>
      <c r="F9272" s="953"/>
      <c r="G9272" s="953"/>
      <c r="H9272" s="953"/>
    </row>
    <row r="9273" spans="1:8" s="943" customFormat="1" x14ac:dyDescent="0.25">
      <c r="A9273" s="952"/>
      <c r="B9273" s="953"/>
      <c r="C9273" s="953"/>
      <c r="D9273" s="953"/>
      <c r="E9273" s="953"/>
      <c r="F9273" s="953"/>
      <c r="G9273" s="953"/>
      <c r="H9273" s="953"/>
    </row>
    <row r="9274" spans="1:8" s="943" customFormat="1" x14ac:dyDescent="0.25">
      <c r="A9274" s="952"/>
      <c r="B9274" s="953"/>
      <c r="C9274" s="953"/>
      <c r="D9274" s="953"/>
      <c r="E9274" s="953"/>
      <c r="F9274" s="953"/>
      <c r="G9274" s="953"/>
      <c r="H9274" s="953"/>
    </row>
    <row r="9275" spans="1:8" s="943" customFormat="1" x14ac:dyDescent="0.25">
      <c r="A9275" s="952"/>
      <c r="B9275" s="953"/>
      <c r="C9275" s="953"/>
      <c r="D9275" s="953"/>
      <c r="E9275" s="953"/>
      <c r="F9275" s="953"/>
      <c r="G9275" s="953"/>
      <c r="H9275" s="953"/>
    </row>
    <row r="9276" spans="1:8" s="943" customFormat="1" x14ac:dyDescent="0.25">
      <c r="A9276" s="952"/>
      <c r="B9276" s="953"/>
      <c r="C9276" s="953"/>
      <c r="D9276" s="953"/>
      <c r="E9276" s="953"/>
      <c r="F9276" s="953"/>
      <c r="G9276" s="953"/>
      <c r="H9276" s="953"/>
    </row>
    <row r="9277" spans="1:8" s="943" customFormat="1" x14ac:dyDescent="0.25">
      <c r="A9277" s="952"/>
      <c r="B9277" s="953"/>
      <c r="C9277" s="953"/>
      <c r="D9277" s="953"/>
      <c r="E9277" s="953"/>
      <c r="F9277" s="953"/>
      <c r="G9277" s="953"/>
      <c r="H9277" s="953"/>
    </row>
    <row r="9278" spans="1:8" s="943" customFormat="1" x14ac:dyDescent="0.25">
      <c r="A9278" s="952"/>
      <c r="B9278" s="953"/>
      <c r="C9278" s="953"/>
      <c r="D9278" s="953"/>
      <c r="E9278" s="953"/>
      <c r="F9278" s="953"/>
      <c r="G9278" s="953"/>
      <c r="H9278" s="953"/>
    </row>
    <row r="9279" spans="1:8" s="943" customFormat="1" x14ac:dyDescent="0.25">
      <c r="A9279" s="952"/>
      <c r="B9279" s="953"/>
      <c r="C9279" s="953"/>
      <c r="D9279" s="953"/>
      <c r="E9279" s="953"/>
      <c r="F9279" s="953"/>
      <c r="G9279" s="953"/>
      <c r="H9279" s="953"/>
    </row>
    <row r="9280" spans="1:8" s="943" customFormat="1" x14ac:dyDescent="0.25">
      <c r="A9280" s="952"/>
      <c r="B9280" s="953"/>
      <c r="C9280" s="953"/>
      <c r="D9280" s="953"/>
      <c r="E9280" s="953"/>
      <c r="F9280" s="953"/>
      <c r="G9280" s="953"/>
      <c r="H9280" s="953"/>
    </row>
    <row r="9281" spans="1:8" s="943" customFormat="1" x14ac:dyDescent="0.25">
      <c r="A9281" s="952"/>
      <c r="B9281" s="953"/>
      <c r="C9281" s="953"/>
      <c r="D9281" s="953"/>
      <c r="E9281" s="953"/>
      <c r="F9281" s="953"/>
      <c r="G9281" s="953"/>
      <c r="H9281" s="953"/>
    </row>
    <row r="9282" spans="1:8" s="943" customFormat="1" x14ac:dyDescent="0.25">
      <c r="A9282" s="952"/>
      <c r="B9282" s="953"/>
      <c r="C9282" s="953"/>
      <c r="D9282" s="953"/>
      <c r="E9282" s="953"/>
      <c r="F9282" s="953"/>
      <c r="G9282" s="953"/>
      <c r="H9282" s="953"/>
    </row>
    <row r="9283" spans="1:8" s="943" customFormat="1" x14ac:dyDescent="0.25">
      <c r="A9283" s="952"/>
      <c r="B9283" s="953"/>
      <c r="C9283" s="953"/>
      <c r="D9283" s="953"/>
      <c r="E9283" s="953"/>
      <c r="F9283" s="953"/>
      <c r="G9283" s="953"/>
      <c r="H9283" s="953"/>
    </row>
    <row r="9284" spans="1:8" s="943" customFormat="1" x14ac:dyDescent="0.25">
      <c r="A9284" s="952"/>
      <c r="B9284" s="953"/>
      <c r="C9284" s="953"/>
      <c r="D9284" s="953"/>
      <c r="E9284" s="953"/>
      <c r="F9284" s="953"/>
      <c r="G9284" s="953"/>
      <c r="H9284" s="953"/>
    </row>
    <row r="9285" spans="1:8" s="943" customFormat="1" x14ac:dyDescent="0.25">
      <c r="A9285" s="952"/>
      <c r="B9285" s="953"/>
      <c r="C9285" s="953"/>
      <c r="D9285" s="953"/>
      <c r="E9285" s="953"/>
      <c r="F9285" s="953"/>
      <c r="G9285" s="953"/>
      <c r="H9285" s="953"/>
    </row>
    <row r="9286" spans="1:8" s="943" customFormat="1" x14ac:dyDescent="0.25">
      <c r="A9286" s="952"/>
      <c r="B9286" s="953"/>
      <c r="C9286" s="953"/>
      <c r="D9286" s="953"/>
      <c r="E9286" s="953"/>
      <c r="F9286" s="953"/>
      <c r="G9286" s="953"/>
      <c r="H9286" s="953"/>
    </row>
    <row r="9287" spans="1:8" s="943" customFormat="1" x14ac:dyDescent="0.25">
      <c r="A9287" s="952"/>
      <c r="B9287" s="953"/>
      <c r="C9287" s="953"/>
      <c r="D9287" s="953"/>
      <c r="E9287" s="953"/>
      <c r="F9287" s="953"/>
      <c r="G9287" s="953"/>
      <c r="H9287" s="953"/>
    </row>
    <row r="9288" spans="1:8" s="943" customFormat="1" x14ac:dyDescent="0.25">
      <c r="A9288" s="952"/>
      <c r="B9288" s="953"/>
      <c r="C9288" s="953"/>
      <c r="D9288" s="953"/>
      <c r="E9288" s="953"/>
      <c r="F9288" s="953"/>
      <c r="G9288" s="953"/>
      <c r="H9288" s="953"/>
    </row>
    <row r="9289" spans="1:8" s="943" customFormat="1" x14ac:dyDescent="0.25">
      <c r="A9289" s="952"/>
      <c r="B9289" s="953"/>
      <c r="C9289" s="953"/>
      <c r="D9289" s="953"/>
      <c r="E9289" s="953"/>
      <c r="F9289" s="953"/>
      <c r="G9289" s="953"/>
      <c r="H9289" s="953"/>
    </row>
    <row r="9290" spans="1:8" s="943" customFormat="1" x14ac:dyDescent="0.25">
      <c r="A9290" s="952"/>
      <c r="B9290" s="953"/>
      <c r="C9290" s="953"/>
      <c r="D9290" s="953"/>
      <c r="E9290" s="953"/>
      <c r="F9290" s="953"/>
      <c r="G9290" s="953"/>
      <c r="H9290" s="953"/>
    </row>
    <row r="9291" spans="1:8" s="943" customFormat="1" x14ac:dyDescent="0.25">
      <c r="A9291" s="952"/>
      <c r="B9291" s="953"/>
      <c r="C9291" s="953"/>
      <c r="D9291" s="953"/>
      <c r="E9291" s="953"/>
      <c r="F9291" s="953"/>
      <c r="G9291" s="953"/>
      <c r="H9291" s="953"/>
    </row>
    <row r="9292" spans="1:8" s="943" customFormat="1" x14ac:dyDescent="0.25">
      <c r="A9292" s="952"/>
      <c r="B9292" s="953"/>
      <c r="C9292" s="953"/>
      <c r="D9292" s="953"/>
      <c r="E9292" s="953"/>
      <c r="F9292" s="953"/>
      <c r="G9292" s="953"/>
      <c r="H9292" s="953"/>
    </row>
    <row r="9293" spans="1:8" s="943" customFormat="1" x14ac:dyDescent="0.25">
      <c r="A9293" s="952"/>
      <c r="B9293" s="953"/>
      <c r="C9293" s="953"/>
      <c r="D9293" s="953"/>
      <c r="E9293" s="953"/>
      <c r="F9293" s="953"/>
      <c r="G9293" s="953"/>
      <c r="H9293" s="953"/>
    </row>
    <row r="9294" spans="1:8" s="943" customFormat="1" x14ac:dyDescent="0.25">
      <c r="A9294" s="952"/>
      <c r="B9294" s="953"/>
      <c r="C9294" s="953"/>
      <c r="D9294" s="953"/>
      <c r="E9294" s="953"/>
      <c r="F9294" s="953"/>
      <c r="G9294" s="953"/>
      <c r="H9294" s="953"/>
    </row>
    <row r="9295" spans="1:8" s="943" customFormat="1" x14ac:dyDescent="0.25">
      <c r="A9295" s="952"/>
      <c r="B9295" s="953"/>
      <c r="C9295" s="953"/>
      <c r="D9295" s="953"/>
      <c r="E9295" s="953"/>
      <c r="F9295" s="953"/>
      <c r="G9295" s="953"/>
      <c r="H9295" s="953"/>
    </row>
    <row r="9296" spans="1:8" s="943" customFormat="1" x14ac:dyDescent="0.25">
      <c r="A9296" s="952"/>
      <c r="B9296" s="953"/>
      <c r="C9296" s="953"/>
      <c r="D9296" s="953"/>
      <c r="E9296" s="953"/>
      <c r="F9296" s="953"/>
      <c r="G9296" s="953"/>
      <c r="H9296" s="953"/>
    </row>
    <row r="9297" spans="1:8" s="943" customFormat="1" x14ac:dyDescent="0.25">
      <c r="A9297" s="952"/>
      <c r="B9297" s="953"/>
      <c r="C9297" s="953"/>
      <c r="D9297" s="953"/>
      <c r="E9297" s="953"/>
      <c r="F9297" s="953"/>
      <c r="G9297" s="953"/>
      <c r="H9297" s="953"/>
    </row>
    <row r="9298" spans="1:8" s="943" customFormat="1" x14ac:dyDescent="0.25">
      <c r="A9298" s="952"/>
      <c r="B9298" s="953"/>
      <c r="C9298" s="953"/>
      <c r="D9298" s="953"/>
      <c r="E9298" s="953"/>
      <c r="F9298" s="953"/>
      <c r="G9298" s="953"/>
      <c r="H9298" s="953"/>
    </row>
    <row r="9299" spans="1:8" s="943" customFormat="1" x14ac:dyDescent="0.25">
      <c r="A9299" s="952"/>
      <c r="B9299" s="953"/>
      <c r="C9299" s="953"/>
      <c r="D9299" s="953"/>
      <c r="E9299" s="953"/>
      <c r="F9299" s="953"/>
      <c r="G9299" s="953"/>
      <c r="H9299" s="953"/>
    </row>
    <row r="9300" spans="1:8" s="943" customFormat="1" x14ac:dyDescent="0.25">
      <c r="A9300" s="952"/>
      <c r="B9300" s="953"/>
      <c r="C9300" s="953"/>
      <c r="D9300" s="953"/>
      <c r="E9300" s="953"/>
      <c r="F9300" s="953"/>
      <c r="G9300" s="953"/>
      <c r="H9300" s="953"/>
    </row>
    <row r="9301" spans="1:8" s="943" customFormat="1" x14ac:dyDescent="0.25">
      <c r="A9301" s="952"/>
      <c r="B9301" s="953"/>
      <c r="C9301" s="953"/>
      <c r="D9301" s="953"/>
      <c r="E9301" s="953"/>
      <c r="F9301" s="953"/>
      <c r="G9301" s="953"/>
      <c r="H9301" s="953"/>
    </row>
    <row r="9302" spans="1:8" s="943" customFormat="1" x14ac:dyDescent="0.25">
      <c r="A9302" s="952"/>
      <c r="B9302" s="953"/>
      <c r="C9302" s="953"/>
      <c r="D9302" s="953"/>
      <c r="E9302" s="953"/>
      <c r="F9302" s="953"/>
      <c r="G9302" s="953"/>
      <c r="H9302" s="953"/>
    </row>
    <row r="9303" spans="1:8" s="943" customFormat="1" x14ac:dyDescent="0.25">
      <c r="A9303" s="952"/>
      <c r="B9303" s="953"/>
      <c r="C9303" s="953"/>
      <c r="D9303" s="953"/>
      <c r="E9303" s="953"/>
      <c r="F9303" s="953"/>
      <c r="G9303" s="953"/>
      <c r="H9303" s="953"/>
    </row>
    <row r="9304" spans="1:8" s="943" customFormat="1" x14ac:dyDescent="0.25">
      <c r="A9304" s="952"/>
      <c r="B9304" s="953"/>
      <c r="C9304" s="953"/>
      <c r="D9304" s="953"/>
      <c r="E9304" s="953"/>
      <c r="F9304" s="953"/>
      <c r="G9304" s="953"/>
      <c r="H9304" s="953"/>
    </row>
    <row r="9305" spans="1:8" s="943" customFormat="1" x14ac:dyDescent="0.25">
      <c r="A9305" s="952"/>
      <c r="B9305" s="953"/>
      <c r="C9305" s="953"/>
      <c r="D9305" s="953"/>
      <c r="E9305" s="953"/>
      <c r="F9305" s="953"/>
      <c r="G9305" s="953"/>
      <c r="H9305" s="953"/>
    </row>
    <row r="9306" spans="1:8" s="943" customFormat="1" x14ac:dyDescent="0.25">
      <c r="A9306" s="952"/>
      <c r="B9306" s="953"/>
      <c r="C9306" s="953"/>
      <c r="D9306" s="953"/>
      <c r="E9306" s="953"/>
      <c r="F9306" s="953"/>
      <c r="G9306" s="953"/>
      <c r="H9306" s="953"/>
    </row>
    <row r="9307" spans="1:8" s="943" customFormat="1" x14ac:dyDescent="0.25">
      <c r="A9307" s="952"/>
      <c r="B9307" s="953"/>
      <c r="C9307" s="953"/>
      <c r="D9307" s="953"/>
      <c r="E9307" s="953"/>
      <c r="F9307" s="953"/>
      <c r="G9307" s="953"/>
      <c r="H9307" s="953"/>
    </row>
    <row r="9308" spans="1:8" s="943" customFormat="1" x14ac:dyDescent="0.25">
      <c r="A9308" s="952"/>
      <c r="B9308" s="953"/>
      <c r="C9308" s="953"/>
      <c r="D9308" s="953"/>
      <c r="E9308" s="953"/>
      <c r="F9308" s="953"/>
      <c r="G9308" s="953"/>
      <c r="H9308" s="953"/>
    </row>
    <row r="9309" spans="1:8" s="943" customFormat="1" x14ac:dyDescent="0.25">
      <c r="A9309" s="952"/>
      <c r="B9309" s="953"/>
      <c r="C9309" s="953"/>
      <c r="D9309" s="953"/>
      <c r="E9309" s="953"/>
      <c r="F9309" s="953"/>
      <c r="G9309" s="953"/>
      <c r="H9309" s="953"/>
    </row>
    <row r="9310" spans="1:8" s="943" customFormat="1" x14ac:dyDescent="0.25">
      <c r="A9310" s="952"/>
      <c r="B9310" s="953"/>
      <c r="C9310" s="953"/>
      <c r="D9310" s="953"/>
      <c r="E9310" s="953"/>
      <c r="F9310" s="953"/>
      <c r="G9310" s="953"/>
      <c r="H9310" s="953"/>
    </row>
    <row r="9311" spans="1:8" s="943" customFormat="1" x14ac:dyDescent="0.25">
      <c r="A9311" s="952"/>
      <c r="B9311" s="953"/>
      <c r="C9311" s="953"/>
      <c r="D9311" s="953"/>
      <c r="E9311" s="953"/>
      <c r="F9311" s="953"/>
      <c r="G9311" s="953"/>
      <c r="H9311" s="953"/>
    </row>
    <row r="9312" spans="1:8" s="943" customFormat="1" x14ac:dyDescent="0.25">
      <c r="A9312" s="952"/>
      <c r="B9312" s="953"/>
      <c r="C9312" s="953"/>
      <c r="D9312" s="953"/>
      <c r="E9312" s="953"/>
      <c r="F9312" s="953"/>
      <c r="G9312" s="953"/>
      <c r="H9312" s="953"/>
    </row>
    <row r="9313" spans="1:8" s="943" customFormat="1" x14ac:dyDescent="0.25">
      <c r="A9313" s="952"/>
      <c r="B9313" s="953"/>
      <c r="C9313" s="953"/>
      <c r="D9313" s="953"/>
      <c r="E9313" s="953"/>
      <c r="F9313" s="953"/>
      <c r="G9313" s="953"/>
      <c r="H9313" s="953"/>
    </row>
    <row r="9314" spans="1:8" s="943" customFormat="1" x14ac:dyDescent="0.25">
      <c r="A9314" s="952"/>
      <c r="B9314" s="953"/>
      <c r="C9314" s="953"/>
      <c r="D9314" s="953"/>
      <c r="E9314" s="953"/>
      <c r="F9314" s="953"/>
      <c r="G9314" s="953"/>
      <c r="H9314" s="953"/>
    </row>
    <row r="9315" spans="1:8" s="943" customFormat="1" x14ac:dyDescent="0.25">
      <c r="A9315" s="952"/>
      <c r="B9315" s="953"/>
      <c r="C9315" s="953"/>
      <c r="D9315" s="953"/>
      <c r="E9315" s="953"/>
      <c r="F9315" s="953"/>
      <c r="G9315" s="953"/>
      <c r="H9315" s="953"/>
    </row>
    <row r="9316" spans="1:8" s="943" customFormat="1" x14ac:dyDescent="0.25">
      <c r="A9316" s="952"/>
      <c r="B9316" s="953"/>
      <c r="C9316" s="953"/>
      <c r="D9316" s="953"/>
      <c r="E9316" s="953"/>
      <c r="F9316" s="953"/>
      <c r="G9316" s="953"/>
      <c r="H9316" s="953"/>
    </row>
    <row r="9317" spans="1:8" s="943" customFormat="1" x14ac:dyDescent="0.25">
      <c r="A9317" s="952"/>
      <c r="B9317" s="953"/>
      <c r="C9317" s="953"/>
      <c r="D9317" s="953"/>
      <c r="E9317" s="953"/>
      <c r="F9317" s="953"/>
      <c r="G9317" s="953"/>
      <c r="H9317" s="953"/>
    </row>
    <row r="9318" spans="1:8" s="943" customFormat="1" x14ac:dyDescent="0.25">
      <c r="A9318" s="952"/>
      <c r="B9318" s="953"/>
      <c r="C9318" s="953"/>
      <c r="D9318" s="953"/>
      <c r="E9318" s="953"/>
      <c r="F9318" s="953"/>
      <c r="G9318" s="953"/>
      <c r="H9318" s="953"/>
    </row>
    <row r="9319" spans="1:8" s="943" customFormat="1" x14ac:dyDescent="0.25">
      <c r="A9319" s="952"/>
      <c r="B9319" s="953"/>
      <c r="C9319" s="953"/>
      <c r="D9319" s="953"/>
      <c r="E9319" s="953"/>
      <c r="F9319" s="953"/>
      <c r="G9319" s="953"/>
      <c r="H9319" s="953"/>
    </row>
    <row r="9320" spans="1:8" s="943" customFormat="1" x14ac:dyDescent="0.25">
      <c r="A9320" s="952"/>
      <c r="B9320" s="953"/>
      <c r="C9320" s="953"/>
      <c r="D9320" s="953"/>
      <c r="E9320" s="953"/>
      <c r="F9320" s="953"/>
      <c r="G9320" s="953"/>
      <c r="H9320" s="953"/>
    </row>
    <row r="9321" spans="1:8" s="943" customFormat="1" x14ac:dyDescent="0.25">
      <c r="A9321" s="952"/>
      <c r="B9321" s="953"/>
      <c r="C9321" s="953"/>
      <c r="D9321" s="953"/>
      <c r="E9321" s="953"/>
      <c r="F9321" s="953"/>
      <c r="G9321" s="953"/>
      <c r="H9321" s="953"/>
    </row>
    <row r="9322" spans="1:8" s="943" customFormat="1" x14ac:dyDescent="0.25">
      <c r="A9322" s="952"/>
      <c r="B9322" s="953"/>
      <c r="C9322" s="953"/>
      <c r="D9322" s="953"/>
      <c r="E9322" s="953"/>
      <c r="F9322" s="953"/>
      <c r="G9322" s="953"/>
      <c r="H9322" s="953"/>
    </row>
    <row r="9323" spans="1:8" s="943" customFormat="1" x14ac:dyDescent="0.25">
      <c r="A9323" s="952"/>
      <c r="B9323" s="953"/>
      <c r="C9323" s="953"/>
      <c r="D9323" s="953"/>
      <c r="E9323" s="953"/>
      <c r="F9323" s="953"/>
      <c r="G9323" s="953"/>
      <c r="H9323" s="953"/>
    </row>
    <row r="9324" spans="1:8" s="943" customFormat="1" x14ac:dyDescent="0.25">
      <c r="A9324" s="952"/>
      <c r="B9324" s="953"/>
      <c r="C9324" s="953"/>
      <c r="D9324" s="953"/>
      <c r="E9324" s="953"/>
      <c r="F9324" s="953"/>
      <c r="G9324" s="953"/>
      <c r="H9324" s="953"/>
    </row>
    <row r="9325" spans="1:8" s="943" customFormat="1" x14ac:dyDescent="0.25">
      <c r="A9325" s="952"/>
      <c r="B9325" s="953"/>
      <c r="C9325" s="953"/>
      <c r="D9325" s="953"/>
      <c r="E9325" s="953"/>
      <c r="F9325" s="953"/>
      <c r="G9325" s="953"/>
      <c r="H9325" s="953"/>
    </row>
    <row r="9326" spans="1:8" s="943" customFormat="1" x14ac:dyDescent="0.25">
      <c r="A9326" s="952"/>
      <c r="B9326" s="953"/>
      <c r="C9326" s="953"/>
      <c r="D9326" s="953"/>
      <c r="E9326" s="953"/>
      <c r="F9326" s="953"/>
      <c r="G9326" s="953"/>
      <c r="H9326" s="953"/>
    </row>
    <row r="9327" spans="1:8" s="943" customFormat="1" x14ac:dyDescent="0.25">
      <c r="A9327" s="952"/>
      <c r="B9327" s="953"/>
      <c r="C9327" s="953"/>
      <c r="D9327" s="953"/>
      <c r="E9327" s="953"/>
      <c r="F9327" s="953"/>
      <c r="G9327" s="953"/>
      <c r="H9327" s="953"/>
    </row>
    <row r="9328" spans="1:8" s="943" customFormat="1" x14ac:dyDescent="0.25">
      <c r="A9328" s="952"/>
      <c r="B9328" s="953"/>
      <c r="C9328" s="953"/>
      <c r="D9328" s="953"/>
      <c r="E9328" s="953"/>
      <c r="F9328" s="953"/>
      <c r="G9328" s="953"/>
      <c r="H9328" s="953"/>
    </row>
    <row r="9329" spans="1:8" s="943" customFormat="1" x14ac:dyDescent="0.25">
      <c r="A9329" s="952"/>
      <c r="B9329" s="953"/>
      <c r="C9329" s="953"/>
      <c r="D9329" s="953"/>
      <c r="E9329" s="953"/>
      <c r="F9329" s="953"/>
      <c r="G9329" s="953"/>
      <c r="H9329" s="953"/>
    </row>
    <row r="9330" spans="1:8" s="943" customFormat="1" x14ac:dyDescent="0.25">
      <c r="A9330" s="952"/>
      <c r="B9330" s="953"/>
      <c r="C9330" s="953"/>
      <c r="D9330" s="953"/>
      <c r="E9330" s="953"/>
      <c r="F9330" s="953"/>
      <c r="G9330" s="953"/>
      <c r="H9330" s="953"/>
    </row>
    <row r="9331" spans="1:8" s="943" customFormat="1" x14ac:dyDescent="0.25">
      <c r="A9331" s="952"/>
      <c r="B9331" s="953"/>
      <c r="C9331" s="953"/>
      <c r="D9331" s="953"/>
      <c r="E9331" s="953"/>
      <c r="F9331" s="953"/>
      <c r="G9331" s="953"/>
      <c r="H9331" s="953"/>
    </row>
    <row r="9332" spans="1:8" s="943" customFormat="1" x14ac:dyDescent="0.25">
      <c r="A9332" s="952"/>
      <c r="B9332" s="953"/>
      <c r="C9332" s="953"/>
      <c r="D9332" s="953"/>
      <c r="E9332" s="953"/>
      <c r="F9332" s="953"/>
      <c r="G9332" s="953"/>
      <c r="H9332" s="953"/>
    </row>
    <row r="9333" spans="1:8" s="943" customFormat="1" x14ac:dyDescent="0.25">
      <c r="A9333" s="952"/>
      <c r="B9333" s="953"/>
      <c r="C9333" s="953"/>
      <c r="D9333" s="953"/>
      <c r="E9333" s="953"/>
      <c r="F9333" s="953"/>
      <c r="G9333" s="953"/>
      <c r="H9333" s="953"/>
    </row>
    <row r="9334" spans="1:8" s="943" customFormat="1" x14ac:dyDescent="0.25">
      <c r="A9334" s="952"/>
      <c r="B9334" s="953"/>
      <c r="C9334" s="953"/>
      <c r="D9334" s="953"/>
      <c r="E9334" s="953"/>
      <c r="F9334" s="953"/>
      <c r="G9334" s="953"/>
      <c r="H9334" s="953"/>
    </row>
    <row r="9335" spans="1:8" s="943" customFormat="1" x14ac:dyDescent="0.25">
      <c r="A9335" s="952"/>
      <c r="B9335" s="953"/>
      <c r="C9335" s="953"/>
      <c r="D9335" s="953"/>
      <c r="E9335" s="953"/>
      <c r="F9335" s="953"/>
      <c r="G9335" s="953"/>
      <c r="H9335" s="953"/>
    </row>
    <row r="9336" spans="1:8" s="943" customFormat="1" x14ac:dyDescent="0.25">
      <c r="A9336" s="952"/>
      <c r="B9336" s="953"/>
      <c r="C9336" s="953"/>
      <c r="D9336" s="953"/>
      <c r="E9336" s="953"/>
      <c r="F9336" s="953"/>
      <c r="G9336" s="953"/>
      <c r="H9336" s="953"/>
    </row>
    <row r="9337" spans="1:8" s="943" customFormat="1" x14ac:dyDescent="0.25">
      <c r="A9337" s="952"/>
      <c r="B9337" s="953"/>
      <c r="C9337" s="953"/>
      <c r="D9337" s="953"/>
      <c r="E9337" s="953"/>
      <c r="F9337" s="953"/>
      <c r="G9337" s="953"/>
      <c r="H9337" s="953"/>
    </row>
    <row r="9338" spans="1:8" s="943" customFormat="1" x14ac:dyDescent="0.25">
      <c r="A9338" s="952"/>
      <c r="B9338" s="953"/>
      <c r="C9338" s="953"/>
      <c r="D9338" s="953"/>
      <c r="E9338" s="953"/>
      <c r="F9338" s="953"/>
      <c r="G9338" s="953"/>
      <c r="H9338" s="953"/>
    </row>
    <row r="9339" spans="1:8" s="943" customFormat="1" x14ac:dyDescent="0.25">
      <c r="A9339" s="952"/>
      <c r="B9339" s="953"/>
      <c r="C9339" s="953"/>
      <c r="D9339" s="953"/>
      <c r="E9339" s="953"/>
      <c r="F9339" s="953"/>
      <c r="G9339" s="953"/>
      <c r="H9339" s="953"/>
    </row>
    <row r="9340" spans="1:8" s="943" customFormat="1" x14ac:dyDescent="0.25">
      <c r="A9340" s="952"/>
      <c r="B9340" s="953"/>
      <c r="C9340" s="953"/>
      <c r="D9340" s="953"/>
      <c r="E9340" s="953"/>
      <c r="F9340" s="953"/>
      <c r="G9340" s="953"/>
      <c r="H9340" s="953"/>
    </row>
    <row r="9341" spans="1:8" s="943" customFormat="1" x14ac:dyDescent="0.25">
      <c r="A9341" s="952"/>
      <c r="B9341" s="953"/>
      <c r="C9341" s="953"/>
      <c r="D9341" s="953"/>
      <c r="E9341" s="953"/>
      <c r="F9341" s="953"/>
      <c r="G9341" s="953"/>
      <c r="H9341" s="953"/>
    </row>
    <row r="9342" spans="1:8" s="943" customFormat="1" x14ac:dyDescent="0.25">
      <c r="A9342" s="952"/>
      <c r="B9342" s="953"/>
      <c r="C9342" s="953"/>
      <c r="D9342" s="953"/>
      <c r="E9342" s="953"/>
      <c r="F9342" s="953"/>
      <c r="G9342" s="953"/>
      <c r="H9342" s="953"/>
    </row>
    <row r="9343" spans="1:8" s="943" customFormat="1" x14ac:dyDescent="0.25">
      <c r="A9343" s="952"/>
      <c r="B9343" s="953"/>
      <c r="C9343" s="953"/>
      <c r="D9343" s="953"/>
      <c r="E9343" s="953"/>
      <c r="F9343" s="953"/>
      <c r="G9343" s="953"/>
      <c r="H9343" s="953"/>
    </row>
    <row r="9344" spans="1:8" s="943" customFormat="1" x14ac:dyDescent="0.25">
      <c r="A9344" s="952"/>
      <c r="B9344" s="953"/>
      <c r="C9344" s="953"/>
      <c r="D9344" s="953"/>
      <c r="E9344" s="953"/>
      <c r="F9344" s="953"/>
      <c r="G9344" s="953"/>
      <c r="H9344" s="953"/>
    </row>
    <row r="9345" spans="1:8" s="943" customFormat="1" x14ac:dyDescent="0.25">
      <c r="A9345" s="952"/>
      <c r="B9345" s="953"/>
      <c r="C9345" s="953"/>
      <c r="D9345" s="953"/>
      <c r="E9345" s="953"/>
      <c r="F9345" s="953"/>
      <c r="G9345" s="953"/>
      <c r="H9345" s="953"/>
    </row>
    <row r="9346" spans="1:8" s="943" customFormat="1" x14ac:dyDescent="0.25">
      <c r="A9346" s="952"/>
      <c r="B9346" s="953"/>
      <c r="C9346" s="953"/>
      <c r="D9346" s="953"/>
      <c r="E9346" s="953"/>
      <c r="F9346" s="953"/>
      <c r="G9346" s="953"/>
      <c r="H9346" s="953"/>
    </row>
    <row r="9347" spans="1:8" s="943" customFormat="1" x14ac:dyDescent="0.25">
      <c r="A9347" s="952"/>
      <c r="B9347" s="953"/>
      <c r="C9347" s="953"/>
      <c r="D9347" s="953"/>
      <c r="E9347" s="953"/>
      <c r="F9347" s="953"/>
      <c r="G9347" s="953"/>
      <c r="H9347" s="953"/>
    </row>
    <row r="9348" spans="1:8" s="943" customFormat="1" x14ac:dyDescent="0.25">
      <c r="A9348" s="952"/>
      <c r="B9348" s="953"/>
      <c r="C9348" s="953"/>
      <c r="D9348" s="953"/>
      <c r="E9348" s="953"/>
      <c r="F9348" s="953"/>
      <c r="G9348" s="953"/>
      <c r="H9348" s="953"/>
    </row>
    <row r="9349" spans="1:8" s="943" customFormat="1" x14ac:dyDescent="0.25">
      <c r="A9349" s="952"/>
      <c r="B9349" s="953"/>
      <c r="C9349" s="953"/>
      <c r="D9349" s="953"/>
      <c r="E9349" s="953"/>
      <c r="F9349" s="953"/>
      <c r="G9349" s="953"/>
      <c r="H9349" s="953"/>
    </row>
    <row r="9350" spans="1:8" s="943" customFormat="1" x14ac:dyDescent="0.25">
      <c r="A9350" s="952"/>
      <c r="B9350" s="953"/>
      <c r="C9350" s="953"/>
      <c r="D9350" s="953"/>
      <c r="E9350" s="953"/>
      <c r="F9350" s="953"/>
      <c r="G9350" s="953"/>
      <c r="H9350" s="953"/>
    </row>
    <row r="9351" spans="1:8" s="943" customFormat="1" x14ac:dyDescent="0.25">
      <c r="A9351" s="952"/>
      <c r="B9351" s="953"/>
      <c r="C9351" s="953"/>
      <c r="D9351" s="953"/>
      <c r="E9351" s="953"/>
      <c r="F9351" s="953"/>
      <c r="G9351" s="953"/>
      <c r="H9351" s="953"/>
    </row>
    <row r="9352" spans="1:8" s="943" customFormat="1" x14ac:dyDescent="0.25">
      <c r="A9352" s="952"/>
      <c r="B9352" s="953"/>
      <c r="C9352" s="953"/>
      <c r="D9352" s="953"/>
      <c r="E9352" s="953"/>
      <c r="F9352" s="953"/>
      <c r="G9352" s="953"/>
      <c r="H9352" s="953"/>
    </row>
    <row r="9353" spans="1:8" s="943" customFormat="1" x14ac:dyDescent="0.25">
      <c r="A9353" s="952"/>
      <c r="B9353" s="953"/>
      <c r="C9353" s="953"/>
      <c r="D9353" s="953"/>
      <c r="E9353" s="953"/>
      <c r="F9353" s="953"/>
      <c r="G9353" s="953"/>
      <c r="H9353" s="953"/>
    </row>
    <row r="9354" spans="1:8" s="943" customFormat="1" x14ac:dyDescent="0.25">
      <c r="A9354" s="952"/>
      <c r="B9354" s="953"/>
      <c r="C9354" s="953"/>
      <c r="D9354" s="953"/>
      <c r="E9354" s="953"/>
      <c r="F9354" s="953"/>
      <c r="G9354" s="953"/>
      <c r="H9354" s="953"/>
    </row>
    <row r="9355" spans="1:8" s="943" customFormat="1" x14ac:dyDescent="0.25">
      <c r="A9355" s="952"/>
      <c r="B9355" s="953"/>
      <c r="C9355" s="953"/>
      <c r="D9355" s="953"/>
      <c r="E9355" s="953"/>
      <c r="F9355" s="953"/>
      <c r="G9355" s="953"/>
      <c r="H9355" s="953"/>
    </row>
    <row r="9356" spans="1:8" s="943" customFormat="1" x14ac:dyDescent="0.25">
      <c r="A9356" s="952"/>
      <c r="B9356" s="953"/>
      <c r="C9356" s="953"/>
      <c r="D9356" s="953"/>
      <c r="E9356" s="953"/>
      <c r="F9356" s="953"/>
      <c r="G9356" s="953"/>
      <c r="H9356" s="953"/>
    </row>
    <row r="9357" spans="1:8" s="943" customFormat="1" x14ac:dyDescent="0.25">
      <c r="A9357" s="952"/>
      <c r="B9357" s="953"/>
      <c r="C9357" s="953"/>
      <c r="D9357" s="953"/>
      <c r="E9357" s="953"/>
      <c r="F9357" s="953"/>
      <c r="G9357" s="953"/>
      <c r="H9357" s="953"/>
    </row>
    <row r="9358" spans="1:8" s="943" customFormat="1" x14ac:dyDescent="0.25">
      <c r="A9358" s="952"/>
      <c r="B9358" s="953"/>
      <c r="C9358" s="953"/>
      <c r="D9358" s="953"/>
      <c r="E9358" s="953"/>
      <c r="F9358" s="953"/>
      <c r="G9358" s="953"/>
      <c r="H9358" s="953"/>
    </row>
    <row r="9359" spans="1:8" s="943" customFormat="1" x14ac:dyDescent="0.25">
      <c r="A9359" s="952"/>
      <c r="B9359" s="953"/>
      <c r="C9359" s="953"/>
      <c r="D9359" s="953"/>
      <c r="E9359" s="953"/>
      <c r="F9359" s="953"/>
      <c r="G9359" s="953"/>
      <c r="H9359" s="953"/>
    </row>
    <row r="9360" spans="1:8" s="943" customFormat="1" x14ac:dyDescent="0.25">
      <c r="A9360" s="952"/>
      <c r="B9360" s="953"/>
      <c r="C9360" s="953"/>
      <c r="D9360" s="953"/>
      <c r="E9360" s="953"/>
      <c r="F9360" s="953"/>
      <c r="G9360" s="953"/>
      <c r="H9360" s="953"/>
    </row>
    <row r="9361" spans="1:8" s="943" customFormat="1" x14ac:dyDescent="0.25">
      <c r="A9361" s="952"/>
      <c r="B9361" s="953"/>
      <c r="C9361" s="953"/>
      <c r="D9361" s="953"/>
      <c r="E9361" s="953"/>
      <c r="F9361" s="953"/>
      <c r="G9361" s="953"/>
      <c r="H9361" s="953"/>
    </row>
    <row r="9362" spans="1:8" s="943" customFormat="1" x14ac:dyDescent="0.25">
      <c r="A9362" s="952"/>
      <c r="B9362" s="953"/>
      <c r="C9362" s="953"/>
      <c r="D9362" s="953"/>
      <c r="E9362" s="953"/>
      <c r="F9362" s="953"/>
      <c r="G9362" s="953"/>
      <c r="H9362" s="953"/>
    </row>
    <row r="9363" spans="1:8" s="943" customFormat="1" x14ac:dyDescent="0.25">
      <c r="A9363" s="952"/>
      <c r="B9363" s="953"/>
      <c r="C9363" s="953"/>
      <c r="D9363" s="953"/>
      <c r="E9363" s="953"/>
      <c r="F9363" s="953"/>
      <c r="G9363" s="953"/>
      <c r="H9363" s="953"/>
    </row>
    <row r="9364" spans="1:8" s="943" customFormat="1" x14ac:dyDescent="0.25">
      <c r="A9364" s="952"/>
      <c r="B9364" s="953"/>
      <c r="C9364" s="953"/>
      <c r="D9364" s="953"/>
      <c r="E9364" s="953"/>
      <c r="F9364" s="953"/>
      <c r="G9364" s="953"/>
      <c r="H9364" s="953"/>
    </row>
    <row r="9365" spans="1:8" s="943" customFormat="1" x14ac:dyDescent="0.25">
      <c r="A9365" s="952"/>
      <c r="B9365" s="953"/>
      <c r="C9365" s="953"/>
      <c r="D9365" s="953"/>
      <c r="E9365" s="953"/>
      <c r="F9365" s="953"/>
      <c r="G9365" s="953"/>
      <c r="H9365" s="953"/>
    </row>
    <row r="9366" spans="1:8" s="943" customFormat="1" x14ac:dyDescent="0.25">
      <c r="A9366" s="952"/>
      <c r="B9366" s="953"/>
      <c r="C9366" s="953"/>
      <c r="D9366" s="953"/>
      <c r="E9366" s="953"/>
      <c r="F9366" s="953"/>
      <c r="G9366" s="953"/>
      <c r="H9366" s="953"/>
    </row>
    <row r="9367" spans="1:8" s="943" customFormat="1" x14ac:dyDescent="0.25">
      <c r="A9367" s="952"/>
      <c r="B9367" s="953"/>
      <c r="C9367" s="953"/>
      <c r="D9367" s="953"/>
      <c r="E9367" s="953"/>
      <c r="F9367" s="953"/>
      <c r="G9367" s="953"/>
      <c r="H9367" s="953"/>
    </row>
    <row r="9368" spans="1:8" s="943" customFormat="1" x14ac:dyDescent="0.25">
      <c r="A9368" s="952"/>
      <c r="B9368" s="953"/>
      <c r="C9368" s="953"/>
      <c r="D9368" s="953"/>
      <c r="E9368" s="953"/>
      <c r="F9368" s="953"/>
      <c r="G9368" s="953"/>
      <c r="H9368" s="953"/>
    </row>
    <row r="9369" spans="1:8" s="943" customFormat="1" x14ac:dyDescent="0.25">
      <c r="A9369" s="952"/>
      <c r="B9369" s="953"/>
      <c r="C9369" s="953"/>
      <c r="D9369" s="953"/>
      <c r="E9369" s="953"/>
      <c r="F9369" s="953"/>
      <c r="G9369" s="953"/>
      <c r="H9369" s="953"/>
    </row>
    <row r="9370" spans="1:8" s="943" customFormat="1" x14ac:dyDescent="0.25">
      <c r="A9370" s="952"/>
      <c r="B9370" s="953"/>
      <c r="C9370" s="953"/>
      <c r="D9370" s="953"/>
      <c r="E9370" s="953"/>
      <c r="F9370" s="953"/>
      <c r="G9370" s="953"/>
      <c r="H9370" s="953"/>
    </row>
    <row r="9371" spans="1:8" s="943" customFormat="1" x14ac:dyDescent="0.25">
      <c r="A9371" s="952"/>
      <c r="B9371" s="953"/>
      <c r="C9371" s="953"/>
      <c r="D9371" s="953"/>
      <c r="E9371" s="953"/>
      <c r="F9371" s="953"/>
      <c r="G9371" s="953"/>
      <c r="H9371" s="953"/>
    </row>
    <row r="9372" spans="1:8" s="943" customFormat="1" x14ac:dyDescent="0.25">
      <c r="A9372" s="952"/>
      <c r="B9372" s="953"/>
      <c r="C9372" s="953"/>
      <c r="D9372" s="953"/>
      <c r="E9372" s="953"/>
      <c r="F9372" s="953"/>
      <c r="G9372" s="953"/>
      <c r="H9372" s="953"/>
    </row>
    <row r="9373" spans="1:8" s="943" customFormat="1" x14ac:dyDescent="0.25">
      <c r="A9373" s="952"/>
      <c r="B9373" s="953"/>
      <c r="C9373" s="953"/>
      <c r="D9373" s="953"/>
      <c r="E9373" s="953"/>
      <c r="F9373" s="953"/>
      <c r="G9373" s="953"/>
      <c r="H9373" s="953"/>
    </row>
    <row r="9374" spans="1:8" s="943" customFormat="1" x14ac:dyDescent="0.25">
      <c r="A9374" s="952"/>
      <c r="B9374" s="953"/>
      <c r="C9374" s="953"/>
      <c r="D9374" s="953"/>
      <c r="E9374" s="953"/>
      <c r="F9374" s="953"/>
      <c r="G9374" s="953"/>
      <c r="H9374" s="953"/>
    </row>
    <row r="9375" spans="1:8" s="943" customFormat="1" x14ac:dyDescent="0.25">
      <c r="A9375" s="952"/>
      <c r="B9375" s="953"/>
      <c r="C9375" s="953"/>
      <c r="D9375" s="953"/>
      <c r="E9375" s="953"/>
      <c r="F9375" s="953"/>
      <c r="G9375" s="953"/>
      <c r="H9375" s="953"/>
    </row>
    <row r="9376" spans="1:8" s="943" customFormat="1" x14ac:dyDescent="0.25">
      <c r="A9376" s="952"/>
      <c r="B9376" s="953"/>
      <c r="C9376" s="953"/>
      <c r="D9376" s="953"/>
      <c r="E9376" s="953"/>
      <c r="F9376" s="953"/>
      <c r="G9376" s="953"/>
      <c r="H9376" s="953"/>
    </row>
    <row r="9377" spans="1:8" s="943" customFormat="1" x14ac:dyDescent="0.25">
      <c r="A9377" s="952"/>
      <c r="B9377" s="953"/>
      <c r="C9377" s="953"/>
      <c r="D9377" s="953"/>
      <c r="E9377" s="953"/>
      <c r="F9377" s="953"/>
      <c r="G9377" s="953"/>
      <c r="H9377" s="953"/>
    </row>
    <row r="9378" spans="1:8" s="943" customFormat="1" x14ac:dyDescent="0.25">
      <c r="A9378" s="952"/>
      <c r="B9378" s="953"/>
      <c r="C9378" s="953"/>
      <c r="D9378" s="953"/>
      <c r="E9378" s="953"/>
      <c r="F9378" s="953"/>
      <c r="G9378" s="953"/>
      <c r="H9378" s="953"/>
    </row>
    <row r="9379" spans="1:8" s="943" customFormat="1" x14ac:dyDescent="0.25">
      <c r="A9379" s="952"/>
      <c r="B9379" s="953"/>
      <c r="C9379" s="953"/>
      <c r="D9379" s="953"/>
      <c r="E9379" s="953"/>
      <c r="F9379" s="953"/>
      <c r="G9379" s="953"/>
      <c r="H9379" s="953"/>
    </row>
    <row r="9380" spans="1:8" s="943" customFormat="1" x14ac:dyDescent="0.25">
      <c r="A9380" s="952"/>
      <c r="B9380" s="953"/>
      <c r="C9380" s="953"/>
      <c r="D9380" s="953"/>
      <c r="E9380" s="953"/>
      <c r="F9380" s="953"/>
      <c r="G9380" s="953"/>
      <c r="H9380" s="953"/>
    </row>
    <row r="9381" spans="1:8" s="943" customFormat="1" x14ac:dyDescent="0.25">
      <c r="A9381" s="952"/>
      <c r="B9381" s="953"/>
      <c r="C9381" s="953"/>
      <c r="D9381" s="953"/>
      <c r="E9381" s="953"/>
      <c r="F9381" s="953"/>
      <c r="G9381" s="953"/>
      <c r="H9381" s="953"/>
    </row>
    <row r="9382" spans="1:8" s="943" customFormat="1" x14ac:dyDescent="0.25">
      <c r="A9382" s="952"/>
      <c r="B9382" s="953"/>
      <c r="C9382" s="953"/>
      <c r="D9382" s="953"/>
      <c r="E9382" s="953"/>
      <c r="F9382" s="953"/>
      <c r="G9382" s="953"/>
      <c r="H9382" s="953"/>
    </row>
    <row r="9383" spans="1:8" s="943" customFormat="1" x14ac:dyDescent="0.25">
      <c r="A9383" s="952"/>
      <c r="B9383" s="953"/>
      <c r="C9383" s="953"/>
      <c r="D9383" s="953"/>
      <c r="E9383" s="953"/>
      <c r="F9383" s="953"/>
      <c r="G9383" s="953"/>
      <c r="H9383" s="953"/>
    </row>
    <row r="9384" spans="1:8" s="943" customFormat="1" x14ac:dyDescent="0.25">
      <c r="A9384" s="952"/>
      <c r="B9384" s="953"/>
      <c r="C9384" s="953"/>
      <c r="D9384" s="953"/>
      <c r="E9384" s="953"/>
      <c r="F9384" s="953"/>
      <c r="G9384" s="953"/>
      <c r="H9384" s="953"/>
    </row>
    <row r="9385" spans="1:8" s="943" customFormat="1" x14ac:dyDescent="0.25">
      <c r="A9385" s="952"/>
      <c r="B9385" s="953"/>
      <c r="C9385" s="953"/>
      <c r="D9385" s="953"/>
      <c r="E9385" s="953"/>
      <c r="F9385" s="953"/>
      <c r="G9385" s="953"/>
      <c r="H9385" s="953"/>
    </row>
    <row r="9386" spans="1:8" s="943" customFormat="1" x14ac:dyDescent="0.25">
      <c r="A9386" s="952"/>
      <c r="B9386" s="953"/>
      <c r="C9386" s="953"/>
      <c r="D9386" s="953"/>
      <c r="E9386" s="953"/>
      <c r="F9386" s="953"/>
      <c r="G9386" s="953"/>
      <c r="H9386" s="953"/>
    </row>
    <row r="9387" spans="1:8" s="943" customFormat="1" x14ac:dyDescent="0.25">
      <c r="A9387" s="952"/>
      <c r="B9387" s="953"/>
      <c r="C9387" s="953"/>
      <c r="D9387" s="953"/>
      <c r="E9387" s="953"/>
      <c r="F9387" s="953"/>
      <c r="G9387" s="953"/>
      <c r="H9387" s="953"/>
    </row>
    <row r="9388" spans="1:8" s="943" customFormat="1" x14ac:dyDescent="0.25">
      <c r="A9388" s="952"/>
      <c r="B9388" s="953"/>
      <c r="C9388" s="953"/>
      <c r="D9388" s="953"/>
      <c r="E9388" s="953"/>
      <c r="F9388" s="953"/>
      <c r="G9388" s="953"/>
      <c r="H9388" s="953"/>
    </row>
    <row r="9389" spans="1:8" s="943" customFormat="1" x14ac:dyDescent="0.25">
      <c r="A9389" s="952"/>
      <c r="B9389" s="953"/>
      <c r="C9389" s="953"/>
      <c r="D9389" s="953"/>
      <c r="E9389" s="953"/>
      <c r="F9389" s="953"/>
      <c r="G9389" s="953"/>
      <c r="H9389" s="953"/>
    </row>
    <row r="9390" spans="1:8" s="943" customFormat="1" x14ac:dyDescent="0.25">
      <c r="A9390" s="952"/>
      <c r="B9390" s="953"/>
      <c r="C9390" s="953"/>
      <c r="D9390" s="953"/>
      <c r="E9390" s="953"/>
      <c r="F9390" s="953"/>
      <c r="G9390" s="953"/>
      <c r="H9390" s="953"/>
    </row>
    <row r="9391" spans="1:8" s="943" customFormat="1" x14ac:dyDescent="0.25">
      <c r="A9391" s="952"/>
      <c r="B9391" s="953"/>
      <c r="C9391" s="953"/>
      <c r="D9391" s="953"/>
      <c r="E9391" s="953"/>
      <c r="F9391" s="953"/>
      <c r="G9391" s="953"/>
      <c r="H9391" s="953"/>
    </row>
    <row r="9392" spans="1:8" s="943" customFormat="1" x14ac:dyDescent="0.25">
      <c r="A9392" s="952"/>
      <c r="B9392" s="953"/>
      <c r="C9392" s="953"/>
      <c r="D9392" s="953"/>
      <c r="E9392" s="953"/>
      <c r="F9392" s="953"/>
      <c r="G9392" s="953"/>
      <c r="H9392" s="953"/>
    </row>
    <row r="9393" spans="1:8" s="943" customFormat="1" x14ac:dyDescent="0.25">
      <c r="A9393" s="952"/>
      <c r="B9393" s="953"/>
      <c r="C9393" s="953"/>
      <c r="D9393" s="953"/>
      <c r="E9393" s="953"/>
      <c r="F9393" s="953"/>
      <c r="G9393" s="953"/>
      <c r="H9393" s="953"/>
    </row>
    <row r="9394" spans="1:8" s="943" customFormat="1" x14ac:dyDescent="0.25">
      <c r="A9394" s="952"/>
      <c r="B9394" s="953"/>
      <c r="C9394" s="953"/>
      <c r="D9394" s="953"/>
      <c r="E9394" s="953"/>
      <c r="F9394" s="953"/>
      <c r="G9394" s="953"/>
      <c r="H9394" s="953"/>
    </row>
    <row r="9395" spans="1:8" s="943" customFormat="1" x14ac:dyDescent="0.25">
      <c r="A9395" s="952"/>
      <c r="B9395" s="953"/>
      <c r="C9395" s="953"/>
      <c r="D9395" s="953"/>
      <c r="E9395" s="953"/>
      <c r="F9395" s="953"/>
      <c r="G9395" s="953"/>
      <c r="H9395" s="953"/>
    </row>
    <row r="9396" spans="1:8" s="943" customFormat="1" x14ac:dyDescent="0.25">
      <c r="A9396" s="952"/>
      <c r="B9396" s="953"/>
      <c r="C9396" s="953"/>
      <c r="D9396" s="953"/>
      <c r="E9396" s="953"/>
      <c r="F9396" s="953"/>
      <c r="G9396" s="953"/>
      <c r="H9396" s="953"/>
    </row>
    <row r="9397" spans="1:8" s="943" customFormat="1" x14ac:dyDescent="0.25">
      <c r="A9397" s="952"/>
      <c r="B9397" s="953"/>
      <c r="C9397" s="953"/>
      <c r="D9397" s="953"/>
      <c r="E9397" s="953"/>
      <c r="F9397" s="953"/>
      <c r="G9397" s="953"/>
      <c r="H9397" s="953"/>
    </row>
    <row r="9398" spans="1:8" s="943" customFormat="1" x14ac:dyDescent="0.25">
      <c r="A9398" s="952"/>
      <c r="B9398" s="953"/>
      <c r="C9398" s="953"/>
      <c r="D9398" s="953"/>
      <c r="E9398" s="953"/>
      <c r="F9398" s="953"/>
      <c r="G9398" s="953"/>
      <c r="H9398" s="953"/>
    </row>
    <row r="9399" spans="1:8" s="943" customFormat="1" x14ac:dyDescent="0.25">
      <c r="A9399" s="952"/>
      <c r="B9399" s="953"/>
      <c r="C9399" s="953"/>
      <c r="D9399" s="953"/>
      <c r="E9399" s="953"/>
      <c r="F9399" s="953"/>
      <c r="G9399" s="953"/>
      <c r="H9399" s="953"/>
    </row>
    <row r="9400" spans="1:8" s="943" customFormat="1" x14ac:dyDescent="0.25">
      <c r="A9400" s="952"/>
      <c r="B9400" s="953"/>
      <c r="C9400" s="953"/>
      <c r="D9400" s="953"/>
      <c r="E9400" s="953"/>
      <c r="F9400" s="953"/>
      <c r="G9400" s="953"/>
      <c r="H9400" s="953"/>
    </row>
    <row r="9401" spans="1:8" s="943" customFormat="1" x14ac:dyDescent="0.25">
      <c r="A9401" s="952"/>
      <c r="B9401" s="953"/>
      <c r="C9401" s="953"/>
      <c r="D9401" s="953"/>
      <c r="E9401" s="953"/>
      <c r="F9401" s="953"/>
      <c r="G9401" s="953"/>
      <c r="H9401" s="953"/>
    </row>
    <row r="9402" spans="1:8" s="943" customFormat="1" x14ac:dyDescent="0.25">
      <c r="A9402" s="952"/>
      <c r="B9402" s="953"/>
      <c r="C9402" s="953"/>
      <c r="D9402" s="953"/>
      <c r="E9402" s="953"/>
      <c r="F9402" s="953"/>
      <c r="G9402" s="953"/>
      <c r="H9402" s="953"/>
    </row>
    <row r="9403" spans="1:8" s="943" customFormat="1" x14ac:dyDescent="0.25">
      <c r="A9403" s="952"/>
      <c r="B9403" s="953"/>
      <c r="C9403" s="953"/>
      <c r="D9403" s="953"/>
      <c r="E9403" s="953"/>
      <c r="F9403" s="953"/>
      <c r="G9403" s="953"/>
      <c r="H9403" s="953"/>
    </row>
    <row r="9404" spans="1:8" s="943" customFormat="1" x14ac:dyDescent="0.25">
      <c r="A9404" s="952"/>
      <c r="B9404" s="953"/>
      <c r="C9404" s="953"/>
      <c r="D9404" s="953"/>
      <c r="E9404" s="953"/>
      <c r="F9404" s="953"/>
      <c r="G9404" s="953"/>
      <c r="H9404" s="953"/>
    </row>
    <row r="9405" spans="1:8" s="943" customFormat="1" x14ac:dyDescent="0.25">
      <c r="A9405" s="952"/>
      <c r="B9405" s="953"/>
      <c r="C9405" s="953"/>
      <c r="D9405" s="953"/>
      <c r="E9405" s="953"/>
      <c r="F9405" s="953"/>
      <c r="G9405" s="953"/>
      <c r="H9405" s="953"/>
    </row>
    <row r="9406" spans="1:8" s="943" customFormat="1" x14ac:dyDescent="0.25">
      <c r="A9406" s="952"/>
      <c r="B9406" s="953"/>
      <c r="C9406" s="953"/>
      <c r="D9406" s="953"/>
      <c r="E9406" s="953"/>
      <c r="F9406" s="953"/>
      <c r="G9406" s="953"/>
      <c r="H9406" s="953"/>
    </row>
    <row r="9407" spans="1:8" s="943" customFormat="1" x14ac:dyDescent="0.25">
      <c r="A9407" s="952"/>
      <c r="B9407" s="953"/>
      <c r="C9407" s="953"/>
      <c r="D9407" s="953"/>
      <c r="E9407" s="953"/>
      <c r="F9407" s="953"/>
      <c r="G9407" s="953"/>
      <c r="H9407" s="953"/>
    </row>
    <row r="9408" spans="1:8" s="943" customFormat="1" x14ac:dyDescent="0.25">
      <c r="A9408" s="952"/>
      <c r="B9408" s="953"/>
      <c r="C9408" s="953"/>
      <c r="D9408" s="953"/>
      <c r="E9408" s="953"/>
      <c r="F9408" s="953"/>
      <c r="G9408" s="953"/>
      <c r="H9408" s="953"/>
    </row>
    <row r="9409" spans="1:8" s="943" customFormat="1" x14ac:dyDescent="0.25">
      <c r="A9409" s="952"/>
      <c r="B9409" s="953"/>
      <c r="C9409" s="953"/>
      <c r="D9409" s="953"/>
      <c r="E9409" s="953"/>
      <c r="F9409" s="953"/>
      <c r="G9409" s="953"/>
      <c r="H9409" s="953"/>
    </row>
    <row r="9410" spans="1:8" s="943" customFormat="1" x14ac:dyDescent="0.25">
      <c r="A9410" s="952"/>
      <c r="B9410" s="953"/>
      <c r="C9410" s="953"/>
      <c r="D9410" s="953"/>
      <c r="E9410" s="953"/>
      <c r="F9410" s="953"/>
      <c r="G9410" s="953"/>
      <c r="H9410" s="953"/>
    </row>
    <row r="9411" spans="1:8" s="943" customFormat="1" x14ac:dyDescent="0.25">
      <c r="A9411" s="952"/>
      <c r="B9411" s="953"/>
      <c r="C9411" s="953"/>
      <c r="D9411" s="953"/>
      <c r="E9411" s="953"/>
      <c r="F9411" s="953"/>
      <c r="G9411" s="953"/>
      <c r="H9411" s="953"/>
    </row>
    <row r="9412" spans="1:8" s="943" customFormat="1" x14ac:dyDescent="0.25">
      <c r="A9412" s="952"/>
      <c r="B9412" s="953"/>
      <c r="C9412" s="953"/>
      <c r="D9412" s="953"/>
      <c r="E9412" s="953"/>
      <c r="F9412" s="953"/>
      <c r="G9412" s="953"/>
      <c r="H9412" s="953"/>
    </row>
    <row r="9413" spans="1:8" s="943" customFormat="1" x14ac:dyDescent="0.25">
      <c r="A9413" s="952"/>
      <c r="B9413" s="953"/>
      <c r="C9413" s="953"/>
      <c r="D9413" s="953"/>
      <c r="E9413" s="953"/>
      <c r="F9413" s="953"/>
      <c r="G9413" s="953"/>
      <c r="H9413" s="953"/>
    </row>
    <row r="9414" spans="1:8" s="943" customFormat="1" x14ac:dyDescent="0.25">
      <c r="A9414" s="952"/>
      <c r="B9414" s="953"/>
      <c r="C9414" s="953"/>
      <c r="D9414" s="953"/>
      <c r="E9414" s="953"/>
      <c r="F9414" s="953"/>
      <c r="G9414" s="953"/>
      <c r="H9414" s="953"/>
    </row>
    <row r="9415" spans="1:8" s="943" customFormat="1" x14ac:dyDescent="0.25">
      <c r="A9415" s="952"/>
      <c r="B9415" s="953"/>
      <c r="C9415" s="953"/>
      <c r="D9415" s="953"/>
      <c r="E9415" s="953"/>
      <c r="F9415" s="953"/>
      <c r="G9415" s="953"/>
      <c r="H9415" s="953"/>
    </row>
    <row r="9416" spans="1:8" s="943" customFormat="1" x14ac:dyDescent="0.25">
      <c r="A9416" s="952"/>
      <c r="B9416" s="953"/>
      <c r="C9416" s="953"/>
      <c r="D9416" s="953"/>
      <c r="E9416" s="953"/>
      <c r="F9416" s="953"/>
      <c r="G9416" s="953"/>
      <c r="H9416" s="953"/>
    </row>
    <row r="9417" spans="1:8" s="943" customFormat="1" x14ac:dyDescent="0.25">
      <c r="A9417" s="952"/>
      <c r="B9417" s="953"/>
      <c r="C9417" s="953"/>
      <c r="D9417" s="953"/>
      <c r="E9417" s="953"/>
      <c r="F9417" s="953"/>
      <c r="G9417" s="953"/>
      <c r="H9417" s="953"/>
    </row>
    <row r="9418" spans="1:8" s="943" customFormat="1" x14ac:dyDescent="0.25">
      <c r="A9418" s="952"/>
      <c r="B9418" s="953"/>
      <c r="C9418" s="953"/>
      <c r="D9418" s="953"/>
      <c r="E9418" s="953"/>
      <c r="F9418" s="953"/>
      <c r="G9418" s="953"/>
      <c r="H9418" s="953"/>
    </row>
    <row r="9419" spans="1:8" s="943" customFormat="1" x14ac:dyDescent="0.25">
      <c r="A9419" s="952"/>
      <c r="B9419" s="953"/>
      <c r="C9419" s="953"/>
      <c r="D9419" s="953"/>
      <c r="E9419" s="953"/>
      <c r="F9419" s="953"/>
      <c r="G9419" s="953"/>
      <c r="H9419" s="953"/>
    </row>
    <row r="9420" spans="1:8" s="943" customFormat="1" x14ac:dyDescent="0.25">
      <c r="A9420" s="952"/>
      <c r="B9420" s="953"/>
      <c r="C9420" s="953"/>
      <c r="D9420" s="953"/>
      <c r="E9420" s="953"/>
      <c r="F9420" s="953"/>
      <c r="G9420" s="953"/>
      <c r="H9420" s="953"/>
    </row>
    <row r="9421" spans="1:8" s="943" customFormat="1" x14ac:dyDescent="0.25">
      <c r="A9421" s="952"/>
      <c r="B9421" s="953"/>
      <c r="C9421" s="953"/>
      <c r="D9421" s="953"/>
      <c r="E9421" s="953"/>
      <c r="F9421" s="953"/>
      <c r="G9421" s="953"/>
      <c r="H9421" s="953"/>
    </row>
    <row r="9422" spans="1:8" s="943" customFormat="1" x14ac:dyDescent="0.25">
      <c r="A9422" s="952"/>
      <c r="B9422" s="953"/>
      <c r="C9422" s="953"/>
      <c r="D9422" s="953"/>
      <c r="E9422" s="953"/>
      <c r="F9422" s="953"/>
      <c r="G9422" s="953"/>
      <c r="H9422" s="953"/>
    </row>
    <row r="9423" spans="1:8" s="943" customFormat="1" x14ac:dyDescent="0.25">
      <c r="A9423" s="952"/>
      <c r="B9423" s="953"/>
      <c r="C9423" s="953"/>
      <c r="D9423" s="953"/>
      <c r="E9423" s="953"/>
      <c r="F9423" s="953"/>
      <c r="G9423" s="953"/>
      <c r="H9423" s="953"/>
    </row>
    <row r="9424" spans="1:8" s="943" customFormat="1" x14ac:dyDescent="0.25">
      <c r="A9424" s="952"/>
      <c r="B9424" s="953"/>
      <c r="C9424" s="953"/>
      <c r="D9424" s="953"/>
      <c r="E9424" s="953"/>
      <c r="F9424" s="953"/>
      <c r="G9424" s="953"/>
      <c r="H9424" s="953"/>
    </row>
    <row r="9425" spans="1:8" s="943" customFormat="1" x14ac:dyDescent="0.25">
      <c r="A9425" s="952"/>
      <c r="B9425" s="953"/>
      <c r="C9425" s="953"/>
      <c r="D9425" s="953"/>
      <c r="E9425" s="953"/>
      <c r="F9425" s="953"/>
      <c r="G9425" s="953"/>
      <c r="H9425" s="953"/>
    </row>
    <row r="9426" spans="1:8" s="943" customFormat="1" x14ac:dyDescent="0.25">
      <c r="A9426" s="952"/>
      <c r="B9426" s="953"/>
      <c r="C9426" s="953"/>
      <c r="D9426" s="953"/>
      <c r="E9426" s="953"/>
      <c r="F9426" s="953"/>
      <c r="G9426" s="953"/>
      <c r="H9426" s="953"/>
    </row>
    <row r="9427" spans="1:8" s="943" customFormat="1" x14ac:dyDescent="0.25">
      <c r="A9427" s="952"/>
      <c r="B9427" s="953"/>
      <c r="C9427" s="953"/>
      <c r="D9427" s="953"/>
      <c r="E9427" s="953"/>
      <c r="F9427" s="953"/>
      <c r="G9427" s="953"/>
      <c r="H9427" s="953"/>
    </row>
    <row r="9428" spans="1:8" s="943" customFormat="1" x14ac:dyDescent="0.25">
      <c r="A9428" s="952"/>
      <c r="B9428" s="953"/>
      <c r="C9428" s="953"/>
      <c r="D9428" s="953"/>
      <c r="E9428" s="953"/>
      <c r="F9428" s="953"/>
      <c r="G9428" s="953"/>
      <c r="H9428" s="953"/>
    </row>
    <row r="9429" spans="1:8" s="943" customFormat="1" x14ac:dyDescent="0.25">
      <c r="A9429" s="952"/>
      <c r="B9429" s="953"/>
      <c r="C9429" s="953"/>
      <c r="D9429" s="953"/>
      <c r="E9429" s="953"/>
      <c r="F9429" s="953"/>
      <c r="G9429" s="953"/>
      <c r="H9429" s="953"/>
    </row>
    <row r="9430" spans="1:8" s="943" customFormat="1" x14ac:dyDescent="0.25">
      <c r="A9430" s="952"/>
      <c r="B9430" s="953"/>
      <c r="C9430" s="953"/>
      <c r="D9430" s="953"/>
      <c r="E9430" s="953"/>
      <c r="F9430" s="953"/>
      <c r="G9430" s="953"/>
      <c r="H9430" s="953"/>
    </row>
    <row r="9431" spans="1:8" s="943" customFormat="1" x14ac:dyDescent="0.25">
      <c r="A9431" s="952"/>
      <c r="B9431" s="953"/>
      <c r="C9431" s="953"/>
      <c r="D9431" s="953"/>
      <c r="E9431" s="953"/>
      <c r="F9431" s="953"/>
      <c r="G9431" s="953"/>
      <c r="H9431" s="953"/>
    </row>
    <row r="9432" spans="1:8" s="943" customFormat="1" x14ac:dyDescent="0.25">
      <c r="A9432" s="952"/>
      <c r="B9432" s="953"/>
      <c r="C9432" s="953"/>
      <c r="D9432" s="953"/>
      <c r="E9432" s="953"/>
      <c r="F9432" s="953"/>
      <c r="G9432" s="953"/>
      <c r="H9432" s="953"/>
    </row>
    <row r="9433" spans="1:8" s="943" customFormat="1" x14ac:dyDescent="0.25">
      <c r="A9433" s="952"/>
      <c r="B9433" s="953"/>
      <c r="C9433" s="953"/>
      <c r="D9433" s="953"/>
      <c r="E9433" s="953"/>
      <c r="F9433" s="953"/>
      <c r="G9433" s="953"/>
      <c r="H9433" s="953"/>
    </row>
    <row r="9434" spans="1:8" s="943" customFormat="1" x14ac:dyDescent="0.25">
      <c r="A9434" s="952"/>
      <c r="B9434" s="953"/>
      <c r="C9434" s="953"/>
      <c r="D9434" s="953"/>
      <c r="E9434" s="953"/>
      <c r="F9434" s="953"/>
      <c r="G9434" s="953"/>
      <c r="H9434" s="953"/>
    </row>
    <row r="9435" spans="1:8" s="943" customFormat="1" x14ac:dyDescent="0.25">
      <c r="A9435" s="952"/>
      <c r="B9435" s="953"/>
      <c r="C9435" s="953"/>
      <c r="D9435" s="953"/>
      <c r="E9435" s="953"/>
      <c r="F9435" s="953"/>
      <c r="G9435" s="953"/>
      <c r="H9435" s="953"/>
    </row>
    <row r="9436" spans="1:8" s="943" customFormat="1" x14ac:dyDescent="0.25">
      <c r="A9436" s="952"/>
      <c r="B9436" s="953"/>
      <c r="C9436" s="953"/>
      <c r="D9436" s="953"/>
      <c r="E9436" s="953"/>
      <c r="F9436" s="953"/>
      <c r="G9436" s="953"/>
      <c r="H9436" s="953"/>
    </row>
    <row r="9437" spans="1:8" s="943" customFormat="1" x14ac:dyDescent="0.25">
      <c r="A9437" s="952"/>
      <c r="B9437" s="953"/>
      <c r="C9437" s="953"/>
      <c r="D9437" s="953"/>
      <c r="E9437" s="953"/>
      <c r="F9437" s="953"/>
      <c r="G9437" s="953"/>
      <c r="H9437" s="953"/>
    </row>
    <row r="9438" spans="1:8" s="943" customFormat="1" x14ac:dyDescent="0.25">
      <c r="A9438" s="952"/>
      <c r="B9438" s="953"/>
      <c r="C9438" s="953"/>
      <c r="D9438" s="953"/>
      <c r="E9438" s="953"/>
      <c r="F9438" s="953"/>
      <c r="G9438" s="953"/>
      <c r="H9438" s="953"/>
    </row>
    <row r="9439" spans="1:8" s="943" customFormat="1" x14ac:dyDescent="0.25">
      <c r="A9439" s="952"/>
      <c r="B9439" s="953"/>
      <c r="C9439" s="953"/>
      <c r="D9439" s="953"/>
      <c r="E9439" s="953"/>
      <c r="F9439" s="953"/>
      <c r="G9439" s="953"/>
      <c r="H9439" s="953"/>
    </row>
    <row r="9440" spans="1:8" s="943" customFormat="1" x14ac:dyDescent="0.25">
      <c r="A9440" s="952"/>
      <c r="B9440" s="953"/>
      <c r="C9440" s="953"/>
      <c r="D9440" s="953"/>
      <c r="E9440" s="953"/>
      <c r="F9440" s="953"/>
      <c r="G9440" s="953"/>
      <c r="H9440" s="953"/>
    </row>
    <row r="9441" spans="1:8" s="943" customFormat="1" x14ac:dyDescent="0.25">
      <c r="A9441" s="952"/>
      <c r="B9441" s="953"/>
      <c r="C9441" s="953"/>
      <c r="D9441" s="953"/>
      <c r="E9441" s="953"/>
      <c r="F9441" s="953"/>
      <c r="G9441" s="953"/>
      <c r="H9441" s="953"/>
    </row>
    <row r="9442" spans="1:8" s="943" customFormat="1" x14ac:dyDescent="0.25">
      <c r="A9442" s="952"/>
      <c r="B9442" s="953"/>
      <c r="C9442" s="953"/>
      <c r="D9442" s="953"/>
      <c r="E9442" s="953"/>
      <c r="F9442" s="953"/>
      <c r="G9442" s="953"/>
      <c r="H9442" s="953"/>
    </row>
    <row r="9443" spans="1:8" s="943" customFormat="1" x14ac:dyDescent="0.25">
      <c r="A9443" s="952"/>
      <c r="B9443" s="953"/>
      <c r="C9443" s="953"/>
      <c r="D9443" s="953"/>
      <c r="E9443" s="953"/>
      <c r="F9443" s="953"/>
      <c r="G9443" s="953"/>
      <c r="H9443" s="953"/>
    </row>
    <row r="9444" spans="1:8" s="943" customFormat="1" x14ac:dyDescent="0.25">
      <c r="A9444" s="952"/>
      <c r="B9444" s="953"/>
      <c r="C9444" s="953"/>
      <c r="D9444" s="953"/>
      <c r="E9444" s="953"/>
      <c r="F9444" s="953"/>
      <c r="G9444" s="953"/>
      <c r="H9444" s="953"/>
    </row>
    <row r="9445" spans="1:8" s="943" customFormat="1" x14ac:dyDescent="0.25">
      <c r="A9445" s="952"/>
      <c r="B9445" s="953"/>
      <c r="C9445" s="953"/>
      <c r="D9445" s="953"/>
      <c r="E9445" s="953"/>
      <c r="F9445" s="953"/>
      <c r="G9445" s="953"/>
      <c r="H9445" s="953"/>
    </row>
    <row r="9446" spans="1:8" s="943" customFormat="1" x14ac:dyDescent="0.25">
      <c r="A9446" s="952"/>
      <c r="B9446" s="953"/>
      <c r="C9446" s="953"/>
      <c r="D9446" s="953"/>
      <c r="E9446" s="953"/>
      <c r="F9446" s="953"/>
      <c r="G9446" s="953"/>
      <c r="H9446" s="953"/>
    </row>
    <row r="9447" spans="1:8" s="943" customFormat="1" x14ac:dyDescent="0.25">
      <c r="A9447" s="952"/>
      <c r="B9447" s="953"/>
      <c r="C9447" s="953"/>
      <c r="D9447" s="953"/>
      <c r="E9447" s="953"/>
      <c r="F9447" s="953"/>
      <c r="G9447" s="953"/>
      <c r="H9447" s="953"/>
    </row>
    <row r="9448" spans="1:8" s="943" customFormat="1" x14ac:dyDescent="0.25">
      <c r="A9448" s="952"/>
      <c r="B9448" s="953"/>
      <c r="C9448" s="953"/>
      <c r="D9448" s="953"/>
      <c r="E9448" s="953"/>
      <c r="F9448" s="953"/>
      <c r="G9448" s="953"/>
      <c r="H9448" s="953"/>
    </row>
    <row r="9449" spans="1:8" s="943" customFormat="1" x14ac:dyDescent="0.25">
      <c r="A9449" s="952"/>
      <c r="B9449" s="953"/>
      <c r="C9449" s="953"/>
      <c r="D9449" s="953"/>
      <c r="E9449" s="953"/>
      <c r="F9449" s="953"/>
      <c r="G9449" s="953"/>
      <c r="H9449" s="953"/>
    </row>
    <row r="9450" spans="1:8" s="943" customFormat="1" x14ac:dyDescent="0.25">
      <c r="A9450" s="952"/>
      <c r="B9450" s="953"/>
      <c r="C9450" s="953"/>
      <c r="D9450" s="953"/>
      <c r="E9450" s="953"/>
      <c r="F9450" s="953"/>
      <c r="G9450" s="953"/>
      <c r="H9450" s="953"/>
    </row>
    <row r="9451" spans="1:8" s="943" customFormat="1" x14ac:dyDescent="0.25">
      <c r="A9451" s="952"/>
      <c r="B9451" s="953"/>
      <c r="C9451" s="953"/>
      <c r="D9451" s="953"/>
      <c r="E9451" s="953"/>
      <c r="F9451" s="953"/>
      <c r="G9451" s="953"/>
      <c r="H9451" s="953"/>
    </row>
    <row r="9452" spans="1:8" s="943" customFormat="1" x14ac:dyDescent="0.25">
      <c r="A9452" s="952"/>
      <c r="B9452" s="953"/>
      <c r="C9452" s="953"/>
      <c r="D9452" s="953"/>
      <c r="E9452" s="953"/>
      <c r="F9452" s="953"/>
      <c r="G9452" s="953"/>
      <c r="H9452" s="953"/>
    </row>
    <row r="9453" spans="1:8" s="943" customFormat="1" x14ac:dyDescent="0.25">
      <c r="A9453" s="952"/>
      <c r="B9453" s="953"/>
      <c r="C9453" s="953"/>
      <c r="D9453" s="953"/>
      <c r="E9453" s="953"/>
      <c r="F9453" s="953"/>
      <c r="G9453" s="953"/>
      <c r="H9453" s="953"/>
    </row>
    <row r="9454" spans="1:8" s="943" customFormat="1" x14ac:dyDescent="0.25">
      <c r="A9454" s="952"/>
      <c r="B9454" s="953"/>
      <c r="C9454" s="953"/>
      <c r="D9454" s="953"/>
      <c r="E9454" s="953"/>
      <c r="F9454" s="953"/>
      <c r="G9454" s="953"/>
      <c r="H9454" s="953"/>
    </row>
    <row r="9455" spans="1:8" s="943" customFormat="1" x14ac:dyDescent="0.25">
      <c r="A9455" s="952"/>
      <c r="B9455" s="953"/>
      <c r="C9455" s="953"/>
      <c r="D9455" s="953"/>
      <c r="E9455" s="953"/>
      <c r="F9455" s="953"/>
      <c r="G9455" s="953"/>
      <c r="H9455" s="953"/>
    </row>
    <row r="9456" spans="1:8" s="943" customFormat="1" x14ac:dyDescent="0.25">
      <c r="A9456" s="952"/>
      <c r="B9456" s="953"/>
      <c r="C9456" s="953"/>
      <c r="D9456" s="953"/>
      <c r="E9456" s="953"/>
      <c r="F9456" s="953"/>
      <c r="G9456" s="953"/>
      <c r="H9456" s="953"/>
    </row>
    <row r="9457" spans="1:8" s="943" customFormat="1" x14ac:dyDescent="0.25">
      <c r="A9457" s="952"/>
      <c r="B9457" s="953"/>
      <c r="C9457" s="953"/>
      <c r="D9457" s="953"/>
      <c r="E9457" s="953"/>
      <c r="F9457" s="953"/>
      <c r="G9457" s="953"/>
      <c r="H9457" s="953"/>
    </row>
    <row r="9458" spans="1:8" s="943" customFormat="1" x14ac:dyDescent="0.25">
      <c r="A9458" s="952"/>
      <c r="B9458" s="953"/>
      <c r="C9458" s="953"/>
      <c r="D9458" s="953"/>
      <c r="E9458" s="953"/>
      <c r="F9458" s="953"/>
      <c r="G9458" s="953"/>
      <c r="H9458" s="953"/>
    </row>
    <row r="9459" spans="1:8" s="943" customFormat="1" x14ac:dyDescent="0.25">
      <c r="A9459" s="952"/>
      <c r="B9459" s="953"/>
      <c r="C9459" s="953"/>
      <c r="D9459" s="953"/>
      <c r="E9459" s="953"/>
      <c r="F9459" s="953"/>
      <c r="G9459" s="953"/>
      <c r="H9459" s="953"/>
    </row>
    <row r="9460" spans="1:8" s="943" customFormat="1" x14ac:dyDescent="0.25">
      <c r="A9460" s="952"/>
      <c r="B9460" s="953"/>
      <c r="C9460" s="953"/>
      <c r="D9460" s="953"/>
      <c r="E9460" s="953"/>
      <c r="F9460" s="953"/>
      <c r="G9460" s="953"/>
      <c r="H9460" s="953"/>
    </row>
    <row r="9461" spans="1:8" s="943" customFormat="1" x14ac:dyDescent="0.25">
      <c r="A9461" s="952"/>
      <c r="B9461" s="953"/>
      <c r="C9461" s="953"/>
      <c r="D9461" s="953"/>
      <c r="E9461" s="953"/>
      <c r="F9461" s="953"/>
      <c r="G9461" s="953"/>
      <c r="H9461" s="953"/>
    </row>
    <row r="9462" spans="1:8" s="943" customFormat="1" x14ac:dyDescent="0.25">
      <c r="A9462" s="952"/>
      <c r="B9462" s="953"/>
      <c r="C9462" s="953"/>
      <c r="D9462" s="953"/>
      <c r="E9462" s="953"/>
      <c r="F9462" s="953"/>
      <c r="G9462" s="953"/>
      <c r="H9462" s="953"/>
    </row>
    <row r="9463" spans="1:8" s="943" customFormat="1" x14ac:dyDescent="0.25">
      <c r="A9463" s="952"/>
      <c r="B9463" s="953"/>
      <c r="C9463" s="953"/>
      <c r="D9463" s="953"/>
      <c r="E9463" s="953"/>
      <c r="F9463" s="953"/>
      <c r="G9463" s="953"/>
      <c r="H9463" s="953"/>
    </row>
    <row r="9464" spans="1:8" s="943" customFormat="1" x14ac:dyDescent="0.25">
      <c r="A9464" s="952"/>
      <c r="B9464" s="953"/>
      <c r="C9464" s="953"/>
      <c r="D9464" s="953"/>
      <c r="E9464" s="953"/>
      <c r="F9464" s="953"/>
      <c r="G9464" s="953"/>
      <c r="H9464" s="953"/>
    </row>
    <row r="9465" spans="1:8" s="943" customFormat="1" x14ac:dyDescent="0.25">
      <c r="A9465" s="952"/>
      <c r="B9465" s="953"/>
      <c r="C9465" s="953"/>
      <c r="D9465" s="953"/>
      <c r="E9465" s="953"/>
      <c r="F9465" s="953"/>
      <c r="G9465" s="953"/>
      <c r="H9465" s="953"/>
    </row>
    <row r="9466" spans="1:8" s="943" customFormat="1" x14ac:dyDescent="0.25">
      <c r="A9466" s="952"/>
      <c r="B9466" s="953"/>
      <c r="C9466" s="953"/>
      <c r="D9466" s="953"/>
      <c r="E9466" s="953"/>
      <c r="F9466" s="953"/>
      <c r="G9466" s="953"/>
      <c r="H9466" s="953"/>
    </row>
    <row r="9467" spans="1:8" s="943" customFormat="1" x14ac:dyDescent="0.25">
      <c r="A9467" s="952"/>
      <c r="B9467" s="953"/>
      <c r="C9467" s="953"/>
      <c r="D9467" s="953"/>
      <c r="E9467" s="953"/>
      <c r="F9467" s="953"/>
      <c r="G9467" s="953"/>
      <c r="H9467" s="953"/>
    </row>
    <row r="9468" spans="1:8" s="943" customFormat="1" x14ac:dyDescent="0.25">
      <c r="A9468" s="952"/>
      <c r="B9468" s="953"/>
      <c r="C9468" s="953"/>
      <c r="D9468" s="953"/>
      <c r="E9468" s="953"/>
      <c r="F9468" s="953"/>
      <c r="G9468" s="953"/>
      <c r="H9468" s="953"/>
    </row>
    <row r="9469" spans="1:8" s="943" customFormat="1" x14ac:dyDescent="0.25">
      <c r="A9469" s="952"/>
      <c r="B9469" s="953"/>
      <c r="C9469" s="953"/>
      <c r="D9469" s="953"/>
      <c r="E9469" s="953"/>
      <c r="F9469" s="953"/>
      <c r="G9469" s="953"/>
      <c r="H9469" s="953"/>
    </row>
    <row r="9470" spans="1:8" s="943" customFormat="1" x14ac:dyDescent="0.25">
      <c r="A9470" s="952"/>
      <c r="B9470" s="953"/>
      <c r="C9470" s="953"/>
      <c r="D9470" s="953"/>
      <c r="E9470" s="953"/>
      <c r="F9470" s="953"/>
      <c r="G9470" s="953"/>
      <c r="H9470" s="953"/>
    </row>
    <row r="9471" spans="1:8" s="943" customFormat="1" x14ac:dyDescent="0.25">
      <c r="A9471" s="952"/>
      <c r="B9471" s="953"/>
      <c r="C9471" s="953"/>
      <c r="D9471" s="953"/>
      <c r="E9471" s="953"/>
      <c r="F9471" s="953"/>
      <c r="G9471" s="953"/>
      <c r="H9471" s="953"/>
    </row>
    <row r="9472" spans="1:8" s="943" customFormat="1" x14ac:dyDescent="0.25">
      <c r="A9472" s="952"/>
      <c r="B9472" s="953"/>
      <c r="C9472" s="953"/>
      <c r="D9472" s="953"/>
      <c r="E9472" s="953"/>
      <c r="F9472" s="953"/>
      <c r="G9472" s="953"/>
      <c r="H9472" s="953"/>
    </row>
    <row r="9473" spans="1:8" s="943" customFormat="1" x14ac:dyDescent="0.25">
      <c r="A9473" s="952"/>
      <c r="B9473" s="953"/>
      <c r="C9473" s="953"/>
      <c r="D9473" s="953"/>
      <c r="E9473" s="953"/>
      <c r="F9473" s="953"/>
      <c r="G9473" s="953"/>
      <c r="H9473" s="953"/>
    </row>
    <row r="9474" spans="1:8" s="943" customFormat="1" x14ac:dyDescent="0.25">
      <c r="A9474" s="952"/>
      <c r="B9474" s="953"/>
      <c r="C9474" s="953"/>
      <c r="D9474" s="953"/>
      <c r="E9474" s="953"/>
      <c r="F9474" s="953"/>
      <c r="G9474" s="953"/>
      <c r="H9474" s="953"/>
    </row>
    <row r="9475" spans="1:8" s="943" customFormat="1" x14ac:dyDescent="0.25">
      <c r="A9475" s="952"/>
      <c r="B9475" s="953"/>
      <c r="C9475" s="953"/>
      <c r="D9475" s="953"/>
      <c r="E9475" s="953"/>
      <c r="F9475" s="953"/>
      <c r="G9475" s="953"/>
      <c r="H9475" s="953"/>
    </row>
    <row r="9476" spans="1:8" s="943" customFormat="1" x14ac:dyDescent="0.25">
      <c r="A9476" s="952"/>
      <c r="B9476" s="953"/>
      <c r="C9476" s="953"/>
      <c r="D9476" s="953"/>
      <c r="E9476" s="953"/>
      <c r="F9476" s="953"/>
      <c r="G9476" s="953"/>
      <c r="H9476" s="953"/>
    </row>
    <row r="9477" spans="1:8" s="943" customFormat="1" x14ac:dyDescent="0.25">
      <c r="A9477" s="952"/>
      <c r="B9477" s="953"/>
      <c r="C9477" s="953"/>
      <c r="D9477" s="953"/>
      <c r="E9477" s="953"/>
      <c r="F9477" s="953"/>
      <c r="G9477" s="953"/>
      <c r="H9477" s="953"/>
    </row>
    <row r="9478" spans="1:8" s="943" customFormat="1" x14ac:dyDescent="0.25">
      <c r="A9478" s="952"/>
      <c r="B9478" s="953"/>
      <c r="C9478" s="953"/>
      <c r="D9478" s="953"/>
      <c r="E9478" s="953"/>
      <c r="F9478" s="953"/>
      <c r="G9478" s="953"/>
      <c r="H9478" s="953"/>
    </row>
    <row r="9479" spans="1:8" s="943" customFormat="1" x14ac:dyDescent="0.25">
      <c r="A9479" s="952"/>
      <c r="B9479" s="953"/>
      <c r="C9479" s="953"/>
      <c r="D9479" s="953"/>
      <c r="E9479" s="953"/>
      <c r="F9479" s="953"/>
      <c r="G9479" s="953"/>
      <c r="H9479" s="953"/>
    </row>
    <row r="9480" spans="1:8" s="943" customFormat="1" x14ac:dyDescent="0.25">
      <c r="A9480" s="952"/>
      <c r="B9480" s="953"/>
      <c r="C9480" s="953"/>
      <c r="D9480" s="953"/>
      <c r="E9480" s="953"/>
      <c r="F9480" s="953"/>
      <c r="G9480" s="953"/>
      <c r="H9480" s="953"/>
    </row>
    <row r="9481" spans="1:8" s="943" customFormat="1" x14ac:dyDescent="0.25">
      <c r="A9481" s="952"/>
      <c r="B9481" s="953"/>
      <c r="C9481" s="953"/>
      <c r="D9481" s="953"/>
      <c r="E9481" s="953"/>
      <c r="F9481" s="953"/>
      <c r="G9481" s="953"/>
      <c r="H9481" s="953"/>
    </row>
    <row r="9482" spans="1:8" s="943" customFormat="1" x14ac:dyDescent="0.25">
      <c r="A9482" s="952"/>
      <c r="B9482" s="953"/>
      <c r="C9482" s="953"/>
      <c r="D9482" s="953"/>
      <c r="E9482" s="953"/>
      <c r="F9482" s="953"/>
      <c r="G9482" s="953"/>
      <c r="H9482" s="953"/>
    </row>
    <row r="9483" spans="1:8" s="943" customFormat="1" x14ac:dyDescent="0.25">
      <c r="A9483" s="952"/>
      <c r="B9483" s="953"/>
      <c r="C9483" s="953"/>
      <c r="D9483" s="953"/>
      <c r="E9483" s="953"/>
      <c r="F9483" s="953"/>
      <c r="G9483" s="953"/>
      <c r="H9483" s="953"/>
    </row>
    <row r="9484" spans="1:8" s="943" customFormat="1" x14ac:dyDescent="0.25">
      <c r="A9484" s="952"/>
      <c r="B9484" s="953"/>
      <c r="C9484" s="953"/>
      <c r="D9484" s="953"/>
      <c r="E9484" s="953"/>
      <c r="F9484" s="953"/>
      <c r="G9484" s="953"/>
      <c r="H9484" s="953"/>
    </row>
    <row r="9485" spans="1:8" s="943" customFormat="1" x14ac:dyDescent="0.25">
      <c r="A9485" s="952"/>
      <c r="B9485" s="953"/>
      <c r="C9485" s="953"/>
      <c r="D9485" s="953"/>
      <c r="E9485" s="953"/>
      <c r="F9485" s="953"/>
      <c r="G9485" s="953"/>
      <c r="H9485" s="953"/>
    </row>
    <row r="9486" spans="1:8" s="943" customFormat="1" x14ac:dyDescent="0.25">
      <c r="A9486" s="952"/>
      <c r="B9486" s="953"/>
      <c r="C9486" s="953"/>
      <c r="D9486" s="953"/>
      <c r="E9486" s="953"/>
      <c r="F9486" s="953"/>
      <c r="G9486" s="953"/>
      <c r="H9486" s="953"/>
    </row>
    <row r="9487" spans="1:8" s="943" customFormat="1" x14ac:dyDescent="0.25">
      <c r="A9487" s="952"/>
      <c r="B9487" s="953"/>
      <c r="C9487" s="953"/>
      <c r="D9487" s="953"/>
      <c r="E9487" s="953"/>
      <c r="F9487" s="953"/>
      <c r="G9487" s="953"/>
      <c r="H9487" s="953"/>
    </row>
    <row r="9488" spans="1:8" s="943" customFormat="1" x14ac:dyDescent="0.25">
      <c r="A9488" s="952"/>
      <c r="B9488" s="953"/>
      <c r="C9488" s="953"/>
      <c r="D9488" s="953"/>
      <c r="E9488" s="953"/>
      <c r="F9488" s="953"/>
      <c r="G9488" s="953"/>
      <c r="H9488" s="953"/>
    </row>
    <row r="9489" spans="1:8" s="943" customFormat="1" x14ac:dyDescent="0.25">
      <c r="A9489" s="952"/>
      <c r="B9489" s="953"/>
      <c r="C9489" s="953"/>
      <c r="D9489" s="953"/>
      <c r="E9489" s="953"/>
      <c r="F9489" s="953"/>
      <c r="G9489" s="953"/>
      <c r="H9489" s="953"/>
    </row>
    <row r="9490" spans="1:8" s="943" customFormat="1" x14ac:dyDescent="0.25">
      <c r="A9490" s="952"/>
      <c r="B9490" s="953"/>
      <c r="C9490" s="953"/>
      <c r="D9490" s="953"/>
      <c r="E9490" s="953"/>
      <c r="F9490" s="953"/>
      <c r="G9490" s="953"/>
      <c r="H9490" s="953"/>
    </row>
    <row r="9491" spans="1:8" s="943" customFormat="1" x14ac:dyDescent="0.25">
      <c r="A9491" s="952"/>
      <c r="B9491" s="953"/>
      <c r="C9491" s="953"/>
      <c r="D9491" s="953"/>
      <c r="E9491" s="953"/>
      <c r="F9491" s="953"/>
      <c r="G9491" s="953"/>
      <c r="H9491" s="953"/>
    </row>
    <row r="9492" spans="1:8" s="943" customFormat="1" x14ac:dyDescent="0.25">
      <c r="A9492" s="952"/>
      <c r="B9492" s="953"/>
      <c r="C9492" s="953"/>
      <c r="D9492" s="953"/>
      <c r="E9492" s="953"/>
      <c r="F9492" s="953"/>
      <c r="G9492" s="953"/>
      <c r="H9492" s="953"/>
    </row>
    <row r="9493" spans="1:8" s="943" customFormat="1" x14ac:dyDescent="0.25">
      <c r="A9493" s="952"/>
      <c r="B9493" s="953"/>
      <c r="C9493" s="953"/>
      <c r="D9493" s="953"/>
      <c r="E9493" s="953"/>
      <c r="F9493" s="953"/>
      <c r="G9493" s="953"/>
      <c r="H9493" s="953"/>
    </row>
    <row r="9494" spans="1:8" s="943" customFormat="1" x14ac:dyDescent="0.25">
      <c r="A9494" s="952"/>
      <c r="B9494" s="953"/>
      <c r="C9494" s="953"/>
      <c r="D9494" s="953"/>
      <c r="E9494" s="953"/>
      <c r="F9494" s="953"/>
      <c r="G9494" s="953"/>
      <c r="H9494" s="953"/>
    </row>
    <row r="9495" spans="1:8" s="943" customFormat="1" x14ac:dyDescent="0.25">
      <c r="A9495" s="952"/>
      <c r="B9495" s="953"/>
      <c r="C9495" s="953"/>
      <c r="D9495" s="953"/>
      <c r="E9495" s="953"/>
      <c r="F9495" s="953"/>
      <c r="G9495" s="953"/>
      <c r="H9495" s="953"/>
    </row>
    <row r="9496" spans="1:8" s="943" customFormat="1" x14ac:dyDescent="0.25">
      <c r="A9496" s="952"/>
      <c r="B9496" s="953"/>
      <c r="C9496" s="953"/>
      <c r="D9496" s="953"/>
      <c r="E9496" s="953"/>
      <c r="F9496" s="953"/>
      <c r="G9496" s="953"/>
      <c r="H9496" s="953"/>
    </row>
    <row r="9497" spans="1:8" s="943" customFormat="1" x14ac:dyDescent="0.25">
      <c r="A9497" s="952"/>
      <c r="B9497" s="953"/>
      <c r="C9497" s="953"/>
      <c r="D9497" s="953"/>
      <c r="E9497" s="953"/>
      <c r="F9497" s="953"/>
      <c r="G9497" s="953"/>
      <c r="H9497" s="953"/>
    </row>
    <row r="9498" spans="1:8" s="943" customFormat="1" x14ac:dyDescent="0.25">
      <c r="A9498" s="952"/>
      <c r="B9498" s="953"/>
      <c r="C9498" s="953"/>
      <c r="D9498" s="953"/>
      <c r="E9498" s="953"/>
      <c r="F9498" s="953"/>
      <c r="G9498" s="953"/>
      <c r="H9498" s="953"/>
    </row>
    <row r="9499" spans="1:8" s="943" customFormat="1" x14ac:dyDescent="0.25">
      <c r="A9499" s="952"/>
      <c r="B9499" s="953"/>
      <c r="C9499" s="953"/>
      <c r="D9499" s="953"/>
      <c r="E9499" s="953"/>
      <c r="F9499" s="953"/>
      <c r="G9499" s="953"/>
      <c r="H9499" s="953"/>
    </row>
    <row r="9500" spans="1:8" s="943" customFormat="1" x14ac:dyDescent="0.25">
      <c r="A9500" s="952"/>
      <c r="B9500" s="953"/>
      <c r="C9500" s="953"/>
      <c r="D9500" s="953"/>
      <c r="E9500" s="953"/>
      <c r="F9500" s="953"/>
      <c r="G9500" s="953"/>
      <c r="H9500" s="953"/>
    </row>
    <row r="9501" spans="1:8" s="943" customFormat="1" x14ac:dyDescent="0.25">
      <c r="A9501" s="952"/>
      <c r="B9501" s="953"/>
      <c r="C9501" s="953"/>
      <c r="D9501" s="953"/>
      <c r="E9501" s="953"/>
      <c r="F9501" s="953"/>
      <c r="G9501" s="953"/>
      <c r="H9501" s="953"/>
    </row>
    <row r="9502" spans="1:8" s="943" customFormat="1" x14ac:dyDescent="0.25">
      <c r="A9502" s="952"/>
      <c r="B9502" s="953"/>
      <c r="C9502" s="953"/>
      <c r="D9502" s="953"/>
      <c r="E9502" s="953"/>
      <c r="F9502" s="953"/>
      <c r="G9502" s="953"/>
      <c r="H9502" s="953"/>
    </row>
    <row r="9503" spans="1:8" s="943" customFormat="1" x14ac:dyDescent="0.25">
      <c r="A9503" s="952"/>
      <c r="B9503" s="953"/>
      <c r="C9503" s="953"/>
      <c r="D9503" s="953"/>
      <c r="E9503" s="953"/>
      <c r="F9503" s="953"/>
      <c r="G9503" s="953"/>
      <c r="H9503" s="953"/>
    </row>
    <row r="9504" spans="1:8" s="943" customFormat="1" x14ac:dyDescent="0.25">
      <c r="A9504" s="952"/>
      <c r="B9504" s="953"/>
      <c r="C9504" s="953"/>
      <c r="D9504" s="953"/>
      <c r="E9504" s="953"/>
      <c r="F9504" s="953"/>
      <c r="G9504" s="953"/>
      <c r="H9504" s="953"/>
    </row>
    <row r="9505" spans="1:8" s="943" customFormat="1" x14ac:dyDescent="0.25">
      <c r="A9505" s="952"/>
      <c r="B9505" s="953"/>
      <c r="C9505" s="953"/>
      <c r="D9505" s="953"/>
      <c r="E9505" s="953"/>
      <c r="F9505" s="953"/>
      <c r="G9505" s="953"/>
      <c r="H9505" s="953"/>
    </row>
    <row r="9506" spans="1:8" s="943" customFormat="1" x14ac:dyDescent="0.25">
      <c r="A9506" s="952"/>
      <c r="B9506" s="953"/>
      <c r="C9506" s="953"/>
      <c r="D9506" s="953"/>
      <c r="E9506" s="953"/>
      <c r="F9506" s="953"/>
      <c r="G9506" s="953"/>
      <c r="H9506" s="953"/>
    </row>
    <row r="9507" spans="1:8" s="943" customFormat="1" x14ac:dyDescent="0.25">
      <c r="A9507" s="952"/>
      <c r="B9507" s="953"/>
      <c r="C9507" s="953"/>
      <c r="D9507" s="953"/>
      <c r="E9507" s="953"/>
      <c r="F9507" s="953"/>
      <c r="G9507" s="953"/>
      <c r="H9507" s="953"/>
    </row>
    <row r="9508" spans="1:8" s="943" customFormat="1" x14ac:dyDescent="0.25">
      <c r="A9508" s="952"/>
      <c r="B9508" s="953"/>
      <c r="C9508" s="953"/>
      <c r="D9508" s="953"/>
      <c r="E9508" s="953"/>
      <c r="F9508" s="953"/>
      <c r="G9508" s="953"/>
      <c r="H9508" s="953"/>
    </row>
    <row r="9509" spans="1:8" s="943" customFormat="1" x14ac:dyDescent="0.25">
      <c r="A9509" s="952"/>
      <c r="B9509" s="953"/>
      <c r="C9509" s="953"/>
      <c r="D9509" s="953"/>
      <c r="E9509" s="953"/>
      <c r="F9509" s="953"/>
      <c r="G9509" s="953"/>
      <c r="H9509" s="953"/>
    </row>
    <row r="9510" spans="1:8" s="943" customFormat="1" x14ac:dyDescent="0.25">
      <c r="A9510" s="952"/>
      <c r="B9510" s="953"/>
      <c r="C9510" s="953"/>
      <c r="D9510" s="953"/>
      <c r="E9510" s="953"/>
      <c r="F9510" s="953"/>
      <c r="G9510" s="953"/>
      <c r="H9510" s="953"/>
    </row>
    <row r="9511" spans="1:8" s="943" customFormat="1" x14ac:dyDescent="0.25">
      <c r="A9511" s="952"/>
      <c r="B9511" s="953"/>
      <c r="C9511" s="953"/>
      <c r="D9511" s="953"/>
      <c r="E9511" s="953"/>
      <c r="F9511" s="953"/>
      <c r="G9511" s="953"/>
      <c r="H9511" s="953"/>
    </row>
    <row r="9512" spans="1:8" s="943" customFormat="1" x14ac:dyDescent="0.25">
      <c r="A9512" s="952"/>
      <c r="B9512" s="953"/>
      <c r="C9512" s="953"/>
      <c r="D9512" s="953"/>
      <c r="E9512" s="953"/>
      <c r="F9512" s="953"/>
      <c r="G9512" s="953"/>
      <c r="H9512" s="953"/>
    </row>
    <row r="9513" spans="1:8" s="943" customFormat="1" x14ac:dyDescent="0.25">
      <c r="A9513" s="952"/>
      <c r="B9513" s="953"/>
      <c r="C9513" s="953"/>
      <c r="D9513" s="953"/>
      <c r="E9513" s="953"/>
      <c r="F9513" s="953"/>
      <c r="G9513" s="953"/>
      <c r="H9513" s="953"/>
    </row>
    <row r="9514" spans="1:8" s="943" customFormat="1" x14ac:dyDescent="0.25">
      <c r="A9514" s="952"/>
      <c r="B9514" s="953"/>
      <c r="C9514" s="953"/>
      <c r="D9514" s="953"/>
      <c r="E9514" s="953"/>
      <c r="F9514" s="953"/>
      <c r="G9514" s="953"/>
      <c r="H9514" s="953"/>
    </row>
    <row r="9515" spans="1:8" s="943" customFormat="1" x14ac:dyDescent="0.25">
      <c r="A9515" s="952"/>
      <c r="B9515" s="953"/>
      <c r="C9515" s="953"/>
      <c r="D9515" s="953"/>
      <c r="E9515" s="953"/>
      <c r="F9515" s="953"/>
      <c r="G9515" s="953"/>
      <c r="H9515" s="953"/>
    </row>
    <row r="9516" spans="1:8" s="943" customFormat="1" x14ac:dyDescent="0.25">
      <c r="A9516" s="952"/>
      <c r="B9516" s="953"/>
      <c r="C9516" s="953"/>
      <c r="D9516" s="953"/>
      <c r="E9516" s="953"/>
      <c r="F9516" s="953"/>
      <c r="G9516" s="953"/>
      <c r="H9516" s="953"/>
    </row>
    <row r="9517" spans="1:8" s="943" customFormat="1" x14ac:dyDescent="0.25">
      <c r="A9517" s="952"/>
      <c r="B9517" s="953"/>
      <c r="C9517" s="953"/>
      <c r="D9517" s="953"/>
      <c r="E9517" s="953"/>
      <c r="F9517" s="953"/>
      <c r="G9517" s="953"/>
      <c r="H9517" s="953"/>
    </row>
    <row r="9518" spans="1:8" s="943" customFormat="1" x14ac:dyDescent="0.25">
      <c r="A9518" s="952"/>
      <c r="B9518" s="953"/>
      <c r="C9518" s="953"/>
      <c r="D9518" s="953"/>
      <c r="E9518" s="953"/>
      <c r="F9518" s="953"/>
      <c r="G9518" s="953"/>
      <c r="H9518" s="953"/>
    </row>
    <row r="9519" spans="1:8" s="943" customFormat="1" x14ac:dyDescent="0.25">
      <c r="A9519" s="952"/>
      <c r="B9519" s="953"/>
      <c r="C9519" s="953"/>
      <c r="D9519" s="953"/>
      <c r="E9519" s="953"/>
      <c r="F9519" s="953"/>
      <c r="G9519" s="953"/>
      <c r="H9519" s="953"/>
    </row>
    <row r="9520" spans="1:8" s="943" customFormat="1" x14ac:dyDescent="0.25">
      <c r="A9520" s="952"/>
      <c r="B9520" s="953"/>
      <c r="C9520" s="953"/>
      <c r="D9520" s="953"/>
      <c r="E9520" s="953"/>
      <c r="F9520" s="953"/>
      <c r="G9520" s="953"/>
      <c r="H9520" s="953"/>
    </row>
    <row r="9521" spans="1:8" s="943" customFormat="1" x14ac:dyDescent="0.25">
      <c r="A9521" s="952"/>
      <c r="B9521" s="953"/>
      <c r="C9521" s="953"/>
      <c r="D9521" s="953"/>
      <c r="E9521" s="953"/>
      <c r="F9521" s="953"/>
      <c r="G9521" s="953"/>
      <c r="H9521" s="953"/>
    </row>
    <row r="9522" spans="1:8" s="943" customFormat="1" x14ac:dyDescent="0.25">
      <c r="A9522" s="952"/>
      <c r="B9522" s="953"/>
      <c r="C9522" s="953"/>
      <c r="D9522" s="953"/>
      <c r="E9522" s="953"/>
      <c r="F9522" s="953"/>
      <c r="G9522" s="953"/>
      <c r="H9522" s="953"/>
    </row>
    <row r="9523" spans="1:8" s="943" customFormat="1" x14ac:dyDescent="0.25">
      <c r="A9523" s="952"/>
      <c r="B9523" s="953"/>
      <c r="C9523" s="953"/>
      <c r="D9523" s="953"/>
      <c r="E9523" s="953"/>
      <c r="F9523" s="953"/>
      <c r="G9523" s="953"/>
      <c r="H9523" s="953"/>
    </row>
    <row r="9524" spans="1:8" s="943" customFormat="1" x14ac:dyDescent="0.25">
      <c r="A9524" s="952"/>
      <c r="B9524" s="953"/>
      <c r="C9524" s="953"/>
      <c r="D9524" s="953"/>
      <c r="E9524" s="953"/>
      <c r="F9524" s="953"/>
      <c r="G9524" s="953"/>
      <c r="H9524" s="953"/>
    </row>
    <row r="9525" spans="1:8" s="943" customFormat="1" x14ac:dyDescent="0.25">
      <c r="A9525" s="952"/>
      <c r="B9525" s="953"/>
      <c r="C9525" s="953"/>
      <c r="D9525" s="953"/>
      <c r="E9525" s="953"/>
      <c r="F9525" s="953"/>
      <c r="G9525" s="953"/>
      <c r="H9525" s="953"/>
    </row>
    <row r="9526" spans="1:8" s="943" customFormat="1" x14ac:dyDescent="0.25">
      <c r="A9526" s="952"/>
      <c r="B9526" s="953"/>
      <c r="C9526" s="953"/>
      <c r="D9526" s="953"/>
      <c r="E9526" s="953"/>
      <c r="F9526" s="953"/>
      <c r="G9526" s="953"/>
      <c r="H9526" s="953"/>
    </row>
    <row r="9527" spans="1:8" s="943" customFormat="1" x14ac:dyDescent="0.25">
      <c r="A9527" s="952"/>
      <c r="B9527" s="953"/>
      <c r="C9527" s="953"/>
      <c r="D9527" s="953"/>
      <c r="E9527" s="953"/>
      <c r="F9527" s="953"/>
      <c r="G9527" s="953"/>
      <c r="H9527" s="953"/>
    </row>
    <row r="9528" spans="1:8" s="943" customFormat="1" x14ac:dyDescent="0.25">
      <c r="A9528" s="952"/>
      <c r="B9528" s="953"/>
      <c r="C9528" s="953"/>
      <c r="D9528" s="953"/>
      <c r="E9528" s="953"/>
      <c r="F9528" s="953"/>
      <c r="G9528" s="953"/>
      <c r="H9528" s="953"/>
    </row>
    <row r="9529" spans="1:8" s="943" customFormat="1" x14ac:dyDescent="0.25">
      <c r="A9529" s="952"/>
      <c r="B9529" s="953"/>
      <c r="C9529" s="953"/>
      <c r="D9529" s="953"/>
      <c r="E9529" s="953"/>
      <c r="F9529" s="953"/>
      <c r="G9529" s="953"/>
      <c r="H9529" s="953"/>
    </row>
    <row r="9530" spans="1:8" s="943" customFormat="1" x14ac:dyDescent="0.25">
      <c r="A9530" s="952"/>
      <c r="B9530" s="953"/>
      <c r="C9530" s="953"/>
      <c r="D9530" s="953"/>
      <c r="E9530" s="953"/>
      <c r="F9530" s="953"/>
      <c r="G9530" s="953"/>
      <c r="H9530" s="953"/>
    </row>
    <row r="9531" spans="1:8" s="943" customFormat="1" x14ac:dyDescent="0.25">
      <c r="A9531" s="952"/>
      <c r="B9531" s="953"/>
      <c r="C9531" s="953"/>
      <c r="D9531" s="953"/>
      <c r="E9531" s="953"/>
      <c r="F9531" s="953"/>
      <c r="G9531" s="953"/>
      <c r="H9531" s="953"/>
    </row>
    <row r="9532" spans="1:8" s="943" customFormat="1" x14ac:dyDescent="0.25">
      <c r="A9532" s="952"/>
      <c r="B9532" s="953"/>
      <c r="C9532" s="953"/>
      <c r="D9532" s="953"/>
      <c r="E9532" s="953"/>
      <c r="F9532" s="953"/>
      <c r="G9532" s="953"/>
      <c r="H9532" s="953"/>
    </row>
    <row r="9533" spans="1:8" s="943" customFormat="1" x14ac:dyDescent="0.25">
      <c r="A9533" s="952"/>
      <c r="B9533" s="953"/>
      <c r="C9533" s="953"/>
      <c r="D9533" s="953"/>
      <c r="E9533" s="953"/>
      <c r="F9533" s="953"/>
      <c r="G9533" s="953"/>
      <c r="H9533" s="953"/>
    </row>
    <row r="9534" spans="1:8" s="943" customFormat="1" x14ac:dyDescent="0.25">
      <c r="A9534" s="952"/>
      <c r="B9534" s="953"/>
      <c r="C9534" s="953"/>
      <c r="D9534" s="953"/>
      <c r="E9534" s="953"/>
      <c r="F9534" s="953"/>
      <c r="G9534" s="953"/>
      <c r="H9534" s="953"/>
    </row>
    <row r="9535" spans="1:8" s="943" customFormat="1" x14ac:dyDescent="0.25">
      <c r="A9535" s="952"/>
      <c r="B9535" s="953"/>
      <c r="C9535" s="953"/>
      <c r="D9535" s="953"/>
      <c r="E9535" s="953"/>
      <c r="F9535" s="953"/>
      <c r="G9535" s="953"/>
      <c r="H9535" s="953"/>
    </row>
    <row r="9536" spans="1:8" s="943" customFormat="1" x14ac:dyDescent="0.25">
      <c r="A9536" s="952"/>
      <c r="B9536" s="953"/>
      <c r="C9536" s="953"/>
      <c r="D9536" s="953"/>
      <c r="E9536" s="953"/>
      <c r="F9536" s="953"/>
      <c r="G9536" s="953"/>
      <c r="H9536" s="953"/>
    </row>
    <row r="9537" spans="1:8" s="943" customFormat="1" x14ac:dyDescent="0.25">
      <c r="A9537" s="952"/>
      <c r="B9537" s="953"/>
      <c r="C9537" s="953"/>
      <c r="D9537" s="953"/>
      <c r="E9537" s="953"/>
      <c r="F9537" s="953"/>
      <c r="G9537" s="953"/>
      <c r="H9537" s="953"/>
    </row>
    <row r="9538" spans="1:8" s="943" customFormat="1" x14ac:dyDescent="0.25">
      <c r="A9538" s="952"/>
      <c r="B9538" s="953"/>
      <c r="C9538" s="953"/>
      <c r="D9538" s="953"/>
      <c r="E9538" s="953"/>
      <c r="F9538" s="953"/>
      <c r="G9538" s="953"/>
      <c r="H9538" s="953"/>
    </row>
    <row r="9539" spans="1:8" s="943" customFormat="1" x14ac:dyDescent="0.25">
      <c r="A9539" s="952"/>
      <c r="B9539" s="953"/>
      <c r="C9539" s="953"/>
      <c r="D9539" s="953"/>
      <c r="E9539" s="953"/>
      <c r="F9539" s="953"/>
      <c r="G9539" s="953"/>
      <c r="H9539" s="953"/>
    </row>
    <row r="9540" spans="1:8" s="943" customFormat="1" x14ac:dyDescent="0.25">
      <c r="A9540" s="952"/>
      <c r="B9540" s="953"/>
      <c r="C9540" s="953"/>
      <c r="D9540" s="953"/>
      <c r="E9540" s="953"/>
      <c r="F9540" s="953"/>
      <c r="G9540" s="953"/>
      <c r="H9540" s="953"/>
    </row>
    <row r="9541" spans="1:8" s="943" customFormat="1" x14ac:dyDescent="0.25">
      <c r="A9541" s="952"/>
      <c r="B9541" s="953"/>
      <c r="C9541" s="953"/>
      <c r="D9541" s="953"/>
      <c r="E9541" s="953"/>
      <c r="F9541" s="953"/>
      <c r="G9541" s="953"/>
      <c r="H9541" s="953"/>
    </row>
    <row r="9542" spans="1:8" s="943" customFormat="1" x14ac:dyDescent="0.25">
      <c r="A9542" s="952"/>
      <c r="B9542" s="953"/>
      <c r="C9542" s="953"/>
      <c r="D9542" s="953"/>
      <c r="E9542" s="953"/>
      <c r="F9542" s="953"/>
      <c r="G9542" s="953"/>
      <c r="H9542" s="953"/>
    </row>
    <row r="9543" spans="1:8" s="943" customFormat="1" x14ac:dyDescent="0.25">
      <c r="A9543" s="952"/>
      <c r="B9543" s="953"/>
      <c r="C9543" s="953"/>
      <c r="D9543" s="953"/>
      <c r="E9543" s="953"/>
      <c r="F9543" s="953"/>
      <c r="G9543" s="953"/>
      <c r="H9543" s="953"/>
    </row>
    <row r="9544" spans="1:8" s="943" customFormat="1" x14ac:dyDescent="0.25">
      <c r="A9544" s="952"/>
      <c r="B9544" s="953"/>
      <c r="C9544" s="953"/>
      <c r="D9544" s="953"/>
      <c r="E9544" s="953"/>
      <c r="F9544" s="953"/>
      <c r="G9544" s="953"/>
      <c r="H9544" s="953"/>
    </row>
    <row r="9545" spans="1:8" s="943" customFormat="1" x14ac:dyDescent="0.25">
      <c r="A9545" s="952"/>
      <c r="B9545" s="953"/>
      <c r="C9545" s="953"/>
      <c r="D9545" s="953"/>
      <c r="E9545" s="953"/>
      <c r="F9545" s="953"/>
      <c r="G9545" s="953"/>
      <c r="H9545" s="953"/>
    </row>
    <row r="9546" spans="1:8" s="943" customFormat="1" x14ac:dyDescent="0.25">
      <c r="A9546" s="952"/>
      <c r="B9546" s="953"/>
      <c r="C9546" s="953"/>
      <c r="D9546" s="953"/>
      <c r="E9546" s="953"/>
      <c r="F9546" s="953"/>
      <c r="G9546" s="953"/>
      <c r="H9546" s="953"/>
    </row>
    <row r="9547" spans="1:8" s="943" customFormat="1" x14ac:dyDescent="0.25">
      <c r="A9547" s="952"/>
      <c r="B9547" s="953"/>
      <c r="C9547" s="953"/>
      <c r="D9547" s="953"/>
      <c r="E9547" s="953"/>
      <c r="F9547" s="953"/>
      <c r="G9547" s="953"/>
      <c r="H9547" s="953"/>
    </row>
    <row r="9548" spans="1:8" s="943" customFormat="1" x14ac:dyDescent="0.25">
      <c r="A9548" s="952"/>
      <c r="B9548" s="953"/>
      <c r="C9548" s="953"/>
      <c r="D9548" s="953"/>
      <c r="E9548" s="953"/>
      <c r="F9548" s="953"/>
      <c r="G9548" s="953"/>
      <c r="H9548" s="953"/>
    </row>
    <row r="9549" spans="1:8" s="943" customFormat="1" x14ac:dyDescent="0.25">
      <c r="A9549" s="952"/>
      <c r="B9549" s="953"/>
      <c r="C9549" s="953"/>
      <c r="D9549" s="953"/>
      <c r="E9549" s="953"/>
      <c r="F9549" s="953"/>
      <c r="G9549" s="953"/>
      <c r="H9549" s="953"/>
    </row>
    <row r="9550" spans="1:8" s="943" customFormat="1" x14ac:dyDescent="0.25">
      <c r="A9550" s="952"/>
      <c r="B9550" s="953"/>
      <c r="C9550" s="953"/>
      <c r="D9550" s="953"/>
      <c r="E9550" s="953"/>
      <c r="F9550" s="953"/>
      <c r="G9550" s="953"/>
      <c r="H9550" s="953"/>
    </row>
    <row r="9551" spans="1:8" s="943" customFormat="1" x14ac:dyDescent="0.25">
      <c r="A9551" s="952"/>
      <c r="B9551" s="953"/>
      <c r="C9551" s="953"/>
      <c r="D9551" s="953"/>
      <c r="E9551" s="953"/>
      <c r="F9551" s="953"/>
      <c r="G9551" s="953"/>
      <c r="H9551" s="953"/>
    </row>
    <row r="9552" spans="1:8" s="943" customFormat="1" x14ac:dyDescent="0.25">
      <c r="A9552" s="952"/>
      <c r="B9552" s="953"/>
      <c r="C9552" s="953"/>
      <c r="D9552" s="953"/>
      <c r="E9552" s="953"/>
      <c r="F9552" s="953"/>
      <c r="G9552" s="953"/>
      <c r="H9552" s="953"/>
    </row>
    <row r="9553" spans="1:8" s="943" customFormat="1" x14ac:dyDescent="0.25">
      <c r="A9553" s="952"/>
      <c r="B9553" s="953"/>
      <c r="C9553" s="953"/>
      <c r="D9553" s="953"/>
      <c r="E9553" s="953"/>
      <c r="F9553" s="953"/>
      <c r="G9553" s="953"/>
      <c r="H9553" s="953"/>
    </row>
    <row r="9554" spans="1:8" s="943" customFormat="1" x14ac:dyDescent="0.25">
      <c r="A9554" s="952"/>
      <c r="B9554" s="953"/>
      <c r="C9554" s="953"/>
      <c r="D9554" s="953"/>
      <c r="E9554" s="953"/>
      <c r="F9554" s="953"/>
      <c r="G9554" s="953"/>
      <c r="H9554" s="953"/>
    </row>
    <row r="9555" spans="1:8" s="943" customFormat="1" x14ac:dyDescent="0.25">
      <c r="A9555" s="952"/>
      <c r="B9555" s="953"/>
      <c r="C9555" s="953"/>
      <c r="D9555" s="953"/>
      <c r="E9555" s="953"/>
      <c r="F9555" s="953"/>
      <c r="G9555" s="953"/>
      <c r="H9555" s="953"/>
    </row>
    <row r="9556" spans="1:8" s="943" customFormat="1" x14ac:dyDescent="0.25">
      <c r="A9556" s="952"/>
      <c r="B9556" s="953"/>
      <c r="C9556" s="953"/>
      <c r="D9556" s="953"/>
      <c r="E9556" s="953"/>
      <c r="F9556" s="953"/>
      <c r="G9556" s="953"/>
      <c r="H9556" s="953"/>
    </row>
    <row r="9557" spans="1:8" s="943" customFormat="1" x14ac:dyDescent="0.25">
      <c r="A9557" s="952"/>
      <c r="B9557" s="953"/>
      <c r="C9557" s="953"/>
      <c r="D9557" s="953"/>
      <c r="E9557" s="953"/>
      <c r="F9557" s="953"/>
      <c r="G9557" s="953"/>
      <c r="H9557" s="953"/>
    </row>
    <row r="9558" spans="1:8" s="943" customFormat="1" x14ac:dyDescent="0.25">
      <c r="A9558" s="952"/>
      <c r="B9558" s="953"/>
      <c r="C9558" s="953"/>
      <c r="D9558" s="953"/>
      <c r="E9558" s="953"/>
      <c r="F9558" s="953"/>
      <c r="G9558" s="953"/>
      <c r="H9558" s="953"/>
    </row>
    <row r="9559" spans="1:8" s="943" customFormat="1" x14ac:dyDescent="0.25">
      <c r="A9559" s="952"/>
      <c r="B9559" s="953"/>
      <c r="C9559" s="953"/>
      <c r="D9559" s="953"/>
      <c r="E9559" s="953"/>
      <c r="F9559" s="953"/>
      <c r="G9559" s="953"/>
      <c r="H9559" s="953"/>
    </row>
    <row r="9560" spans="1:8" s="943" customFormat="1" x14ac:dyDescent="0.25">
      <c r="A9560" s="952"/>
      <c r="B9560" s="953"/>
      <c r="C9560" s="953"/>
      <c r="D9560" s="953"/>
      <c r="E9560" s="953"/>
      <c r="F9560" s="953"/>
      <c r="G9560" s="953"/>
      <c r="H9560" s="953"/>
    </row>
    <row r="9561" spans="1:8" s="943" customFormat="1" x14ac:dyDescent="0.25">
      <c r="A9561" s="952"/>
      <c r="B9561" s="953"/>
      <c r="C9561" s="953"/>
      <c r="D9561" s="953"/>
      <c r="E9561" s="953"/>
      <c r="F9561" s="953"/>
      <c r="G9561" s="953"/>
      <c r="H9561" s="953"/>
    </row>
    <row r="9562" spans="1:8" s="943" customFormat="1" x14ac:dyDescent="0.25">
      <c r="A9562" s="952"/>
      <c r="B9562" s="953"/>
      <c r="C9562" s="953"/>
      <c r="D9562" s="953"/>
      <c r="E9562" s="953"/>
      <c r="F9562" s="953"/>
      <c r="G9562" s="953"/>
      <c r="H9562" s="953"/>
    </row>
    <row r="9563" spans="1:8" s="943" customFormat="1" x14ac:dyDescent="0.25">
      <c r="A9563" s="952"/>
      <c r="B9563" s="953"/>
      <c r="C9563" s="953"/>
      <c r="D9563" s="953"/>
      <c r="E9563" s="953"/>
      <c r="F9563" s="953"/>
      <c r="G9563" s="953"/>
      <c r="H9563" s="953"/>
    </row>
    <row r="9564" spans="1:8" s="943" customFormat="1" x14ac:dyDescent="0.25">
      <c r="A9564" s="952"/>
      <c r="B9564" s="953"/>
      <c r="C9564" s="953"/>
      <c r="D9564" s="953"/>
      <c r="E9564" s="953"/>
      <c r="F9564" s="953"/>
      <c r="G9564" s="953"/>
      <c r="H9564" s="953"/>
    </row>
    <row r="9565" spans="1:8" s="943" customFormat="1" x14ac:dyDescent="0.25">
      <c r="A9565" s="952"/>
      <c r="B9565" s="953"/>
      <c r="C9565" s="953"/>
      <c r="D9565" s="953"/>
      <c r="E9565" s="953"/>
      <c r="F9565" s="953"/>
      <c r="G9565" s="953"/>
      <c r="H9565" s="953"/>
    </row>
    <row r="9566" spans="1:8" s="943" customFormat="1" x14ac:dyDescent="0.25">
      <c r="A9566" s="952"/>
      <c r="B9566" s="953"/>
      <c r="C9566" s="953"/>
      <c r="D9566" s="953"/>
      <c r="E9566" s="953"/>
      <c r="F9566" s="953"/>
      <c r="G9566" s="953"/>
      <c r="H9566" s="953"/>
    </row>
    <row r="9567" spans="1:8" s="943" customFormat="1" x14ac:dyDescent="0.25">
      <c r="A9567" s="952"/>
      <c r="B9567" s="953"/>
      <c r="C9567" s="953"/>
      <c r="D9567" s="953"/>
      <c r="E9567" s="953"/>
      <c r="F9567" s="953"/>
      <c r="G9567" s="953"/>
      <c r="H9567" s="953"/>
    </row>
    <row r="9568" spans="1:8" s="943" customFormat="1" x14ac:dyDescent="0.25">
      <c r="A9568" s="952"/>
      <c r="B9568" s="953"/>
      <c r="C9568" s="953"/>
      <c r="D9568" s="953"/>
      <c r="E9568" s="953"/>
      <c r="F9568" s="953"/>
      <c r="G9568" s="953"/>
      <c r="H9568" s="953"/>
    </row>
    <row r="9569" spans="1:8" s="943" customFormat="1" x14ac:dyDescent="0.25">
      <c r="A9569" s="952"/>
      <c r="B9569" s="953"/>
      <c r="C9569" s="953"/>
      <c r="D9569" s="953"/>
      <c r="E9569" s="953"/>
      <c r="F9569" s="953"/>
      <c r="G9569" s="953"/>
      <c r="H9569" s="953"/>
    </row>
    <row r="9570" spans="1:8" s="943" customFormat="1" x14ac:dyDescent="0.25">
      <c r="A9570" s="952"/>
      <c r="B9570" s="953"/>
      <c r="C9570" s="953"/>
      <c r="D9570" s="953"/>
      <c r="E9570" s="953"/>
      <c r="F9570" s="953"/>
      <c r="G9570" s="953"/>
      <c r="H9570" s="953"/>
    </row>
    <row r="9571" spans="1:8" s="943" customFormat="1" x14ac:dyDescent="0.25">
      <c r="A9571" s="952"/>
      <c r="B9571" s="953"/>
      <c r="C9571" s="953"/>
      <c r="D9571" s="953"/>
      <c r="E9571" s="953"/>
      <c r="F9571" s="953"/>
      <c r="G9571" s="953"/>
      <c r="H9571" s="953"/>
    </row>
    <row r="9572" spans="1:8" s="943" customFormat="1" x14ac:dyDescent="0.25">
      <c r="A9572" s="952"/>
      <c r="B9572" s="953"/>
      <c r="C9572" s="953"/>
      <c r="D9572" s="953"/>
      <c r="E9572" s="953"/>
      <c r="F9572" s="953"/>
      <c r="G9572" s="953"/>
      <c r="H9572" s="953"/>
    </row>
    <row r="9573" spans="1:8" s="943" customFormat="1" x14ac:dyDescent="0.25">
      <c r="A9573" s="952"/>
      <c r="B9573" s="953"/>
      <c r="C9573" s="953"/>
      <c r="D9573" s="953"/>
      <c r="E9573" s="953"/>
      <c r="F9573" s="953"/>
      <c r="G9573" s="953"/>
      <c r="H9573" s="953"/>
    </row>
    <row r="9574" spans="1:8" s="943" customFormat="1" x14ac:dyDescent="0.25">
      <c r="A9574" s="952"/>
      <c r="B9574" s="953"/>
      <c r="C9574" s="953"/>
      <c r="D9574" s="953"/>
      <c r="E9574" s="953"/>
      <c r="F9574" s="953"/>
      <c r="G9574" s="953"/>
      <c r="H9574" s="953"/>
    </row>
    <row r="9575" spans="1:8" s="943" customFormat="1" x14ac:dyDescent="0.25">
      <c r="A9575" s="952"/>
      <c r="B9575" s="953"/>
      <c r="C9575" s="953"/>
      <c r="D9575" s="953"/>
      <c r="E9575" s="953"/>
      <c r="F9575" s="953"/>
      <c r="G9575" s="953"/>
      <c r="H9575" s="953"/>
    </row>
    <row r="9576" spans="1:8" s="943" customFormat="1" x14ac:dyDescent="0.25">
      <c r="A9576" s="952"/>
      <c r="B9576" s="953"/>
      <c r="C9576" s="953"/>
      <c r="D9576" s="953"/>
      <c r="E9576" s="953"/>
      <c r="F9576" s="953"/>
      <c r="G9576" s="953"/>
      <c r="H9576" s="953"/>
    </row>
    <row r="9577" spans="1:8" s="943" customFormat="1" x14ac:dyDescent="0.25">
      <c r="A9577" s="952"/>
      <c r="B9577" s="953"/>
      <c r="C9577" s="953"/>
      <c r="D9577" s="953"/>
      <c r="E9577" s="953"/>
      <c r="F9577" s="953"/>
      <c r="G9577" s="953"/>
      <c r="H9577" s="953"/>
    </row>
    <row r="9578" spans="1:8" s="943" customFormat="1" x14ac:dyDescent="0.25">
      <c r="A9578" s="952"/>
      <c r="B9578" s="953"/>
      <c r="C9578" s="953"/>
      <c r="D9578" s="953"/>
      <c r="E9578" s="953"/>
      <c r="F9578" s="953"/>
      <c r="G9578" s="953"/>
      <c r="H9578" s="953"/>
    </row>
    <row r="9579" spans="1:8" s="943" customFormat="1" x14ac:dyDescent="0.25">
      <c r="A9579" s="952"/>
      <c r="B9579" s="953"/>
      <c r="C9579" s="953"/>
      <c r="D9579" s="953"/>
      <c r="E9579" s="953"/>
      <c r="F9579" s="953"/>
      <c r="G9579" s="953"/>
      <c r="H9579" s="953"/>
    </row>
    <row r="9580" spans="1:8" s="943" customFormat="1" x14ac:dyDescent="0.25">
      <c r="A9580" s="952"/>
      <c r="B9580" s="953"/>
      <c r="C9580" s="953"/>
      <c r="D9580" s="953"/>
      <c r="E9580" s="953"/>
      <c r="F9580" s="953"/>
      <c r="G9580" s="953"/>
      <c r="H9580" s="953"/>
    </row>
    <row r="9581" spans="1:8" s="943" customFormat="1" x14ac:dyDescent="0.25">
      <c r="A9581" s="952"/>
      <c r="B9581" s="953"/>
      <c r="C9581" s="953"/>
      <c r="D9581" s="953"/>
      <c r="E9581" s="953"/>
      <c r="F9581" s="953"/>
      <c r="G9581" s="953"/>
      <c r="H9581" s="953"/>
    </row>
    <row r="9582" spans="1:8" s="943" customFormat="1" x14ac:dyDescent="0.25">
      <c r="A9582" s="952"/>
      <c r="B9582" s="953"/>
      <c r="C9582" s="953"/>
      <c r="D9582" s="953"/>
      <c r="E9582" s="953"/>
      <c r="F9582" s="953"/>
      <c r="G9582" s="953"/>
      <c r="H9582" s="953"/>
    </row>
    <row r="9583" spans="1:8" s="943" customFormat="1" x14ac:dyDescent="0.25">
      <c r="A9583" s="952"/>
      <c r="B9583" s="953"/>
      <c r="C9583" s="953"/>
      <c r="D9583" s="953"/>
      <c r="E9583" s="953"/>
      <c r="F9583" s="953"/>
      <c r="G9583" s="953"/>
      <c r="H9583" s="953"/>
    </row>
    <row r="9584" spans="1:8" s="943" customFormat="1" x14ac:dyDescent="0.25">
      <c r="A9584" s="952"/>
      <c r="B9584" s="953"/>
      <c r="C9584" s="953"/>
      <c r="D9584" s="953"/>
      <c r="E9584" s="953"/>
      <c r="F9584" s="953"/>
      <c r="G9584" s="953"/>
      <c r="H9584" s="953"/>
    </row>
    <row r="9585" spans="1:8" s="943" customFormat="1" x14ac:dyDescent="0.25">
      <c r="A9585" s="952"/>
      <c r="B9585" s="953"/>
      <c r="C9585" s="953"/>
      <c r="D9585" s="953"/>
      <c r="E9585" s="953"/>
      <c r="F9585" s="953"/>
      <c r="G9585" s="953"/>
      <c r="H9585" s="953"/>
    </row>
    <row r="9586" spans="1:8" s="943" customFormat="1" x14ac:dyDescent="0.25">
      <c r="A9586" s="952"/>
      <c r="B9586" s="953"/>
      <c r="C9586" s="953"/>
      <c r="D9586" s="953"/>
      <c r="E9586" s="953"/>
      <c r="F9586" s="953"/>
      <c r="G9586" s="953"/>
      <c r="H9586" s="953"/>
    </row>
    <row r="9587" spans="1:8" s="943" customFormat="1" x14ac:dyDescent="0.25">
      <c r="A9587" s="952"/>
      <c r="B9587" s="953"/>
      <c r="C9587" s="953"/>
      <c r="D9587" s="953"/>
      <c r="E9587" s="953"/>
      <c r="F9587" s="953"/>
      <c r="G9587" s="953"/>
      <c r="H9587" s="953"/>
    </row>
    <row r="9588" spans="1:8" s="943" customFormat="1" x14ac:dyDescent="0.25">
      <c r="A9588" s="952"/>
      <c r="B9588" s="953"/>
      <c r="C9588" s="953"/>
      <c r="D9588" s="953"/>
      <c r="E9588" s="953"/>
      <c r="F9588" s="953"/>
      <c r="G9588" s="953"/>
      <c r="H9588" s="953"/>
    </row>
    <row r="9589" spans="1:8" s="943" customFormat="1" x14ac:dyDescent="0.25">
      <c r="A9589" s="952"/>
      <c r="B9589" s="953"/>
      <c r="C9589" s="953"/>
      <c r="D9589" s="953"/>
      <c r="E9589" s="953"/>
      <c r="F9589" s="953"/>
      <c r="G9589" s="953"/>
      <c r="H9589" s="953"/>
    </row>
    <row r="9590" spans="1:8" s="943" customFormat="1" x14ac:dyDescent="0.25">
      <c r="A9590" s="952"/>
      <c r="B9590" s="953"/>
      <c r="C9590" s="953"/>
      <c r="D9590" s="953"/>
      <c r="E9590" s="953"/>
      <c r="F9590" s="953"/>
      <c r="G9590" s="953"/>
      <c r="H9590" s="953"/>
    </row>
    <row r="9591" spans="1:8" s="943" customFormat="1" x14ac:dyDescent="0.25">
      <c r="A9591" s="952"/>
      <c r="B9591" s="953"/>
      <c r="C9591" s="953"/>
      <c r="D9591" s="953"/>
      <c r="E9591" s="953"/>
      <c r="F9591" s="953"/>
      <c r="G9591" s="953"/>
      <c r="H9591" s="953"/>
    </row>
    <row r="9592" spans="1:8" s="943" customFormat="1" x14ac:dyDescent="0.25">
      <c r="A9592" s="952"/>
      <c r="B9592" s="953"/>
      <c r="C9592" s="953"/>
      <c r="D9592" s="953"/>
      <c r="E9592" s="953"/>
      <c r="F9592" s="953"/>
      <c r="G9592" s="953"/>
      <c r="H9592" s="953"/>
    </row>
    <row r="9593" spans="1:8" s="943" customFormat="1" x14ac:dyDescent="0.25">
      <c r="A9593" s="952"/>
      <c r="B9593" s="953"/>
      <c r="C9593" s="953"/>
      <c r="D9593" s="953"/>
      <c r="E9593" s="953"/>
      <c r="F9593" s="953"/>
      <c r="G9593" s="953"/>
      <c r="H9593" s="953"/>
    </row>
    <row r="9594" spans="1:8" s="943" customFormat="1" x14ac:dyDescent="0.25">
      <c r="A9594" s="952"/>
      <c r="B9594" s="953"/>
      <c r="C9594" s="953"/>
      <c r="D9594" s="953"/>
      <c r="E9594" s="953"/>
      <c r="F9594" s="953"/>
      <c r="G9594" s="953"/>
      <c r="H9594" s="953"/>
    </row>
    <row r="9595" spans="1:8" s="943" customFormat="1" x14ac:dyDescent="0.25">
      <c r="A9595" s="952"/>
      <c r="B9595" s="953"/>
      <c r="C9595" s="953"/>
      <c r="D9595" s="953"/>
      <c r="E9595" s="953"/>
      <c r="F9595" s="953"/>
      <c r="G9595" s="953"/>
      <c r="H9595" s="953"/>
    </row>
    <row r="9596" spans="1:8" s="943" customFormat="1" x14ac:dyDescent="0.25">
      <c r="A9596" s="952"/>
      <c r="B9596" s="953"/>
      <c r="C9596" s="953"/>
      <c r="D9596" s="953"/>
      <c r="E9596" s="953"/>
      <c r="F9596" s="953"/>
      <c r="G9596" s="953"/>
      <c r="H9596" s="953"/>
    </row>
    <row r="9597" spans="1:8" s="943" customFormat="1" x14ac:dyDescent="0.25">
      <c r="A9597" s="952"/>
      <c r="B9597" s="953"/>
      <c r="C9597" s="953"/>
      <c r="D9597" s="953"/>
      <c r="E9597" s="953"/>
      <c r="F9597" s="953"/>
      <c r="G9597" s="953"/>
      <c r="H9597" s="953"/>
    </row>
    <row r="9598" spans="1:8" s="943" customFormat="1" x14ac:dyDescent="0.25">
      <c r="A9598" s="952"/>
      <c r="B9598" s="953"/>
      <c r="C9598" s="953"/>
      <c r="D9598" s="953"/>
      <c r="E9598" s="953"/>
      <c r="F9598" s="953"/>
      <c r="G9598" s="953"/>
      <c r="H9598" s="953"/>
    </row>
    <row r="9599" spans="1:8" s="943" customFormat="1" x14ac:dyDescent="0.25">
      <c r="A9599" s="952"/>
      <c r="B9599" s="953"/>
      <c r="C9599" s="953"/>
      <c r="D9599" s="953"/>
      <c r="E9599" s="953"/>
      <c r="F9599" s="953"/>
      <c r="G9599" s="953"/>
      <c r="H9599" s="953"/>
    </row>
    <row r="9600" spans="1:8" s="943" customFormat="1" x14ac:dyDescent="0.25">
      <c r="A9600" s="952"/>
      <c r="B9600" s="953"/>
      <c r="C9600" s="953"/>
      <c r="D9600" s="953"/>
      <c r="E9600" s="953"/>
      <c r="F9600" s="953"/>
      <c r="G9600" s="953"/>
      <c r="H9600" s="953"/>
    </row>
    <row r="9601" spans="1:8" s="943" customFormat="1" x14ac:dyDescent="0.25">
      <c r="A9601" s="952"/>
      <c r="B9601" s="953"/>
      <c r="C9601" s="953"/>
      <c r="D9601" s="953"/>
      <c r="E9601" s="953"/>
      <c r="F9601" s="953"/>
      <c r="G9601" s="953"/>
      <c r="H9601" s="953"/>
    </row>
    <row r="9602" spans="1:8" s="943" customFormat="1" x14ac:dyDescent="0.25">
      <c r="A9602" s="952"/>
      <c r="B9602" s="953"/>
      <c r="C9602" s="953"/>
      <c r="D9602" s="953"/>
      <c r="E9602" s="953"/>
      <c r="F9602" s="953"/>
      <c r="G9602" s="953"/>
      <c r="H9602" s="953"/>
    </row>
    <row r="9603" spans="1:8" s="943" customFormat="1" x14ac:dyDescent="0.25">
      <c r="A9603" s="952"/>
      <c r="B9603" s="953"/>
      <c r="C9603" s="953"/>
      <c r="D9603" s="953"/>
      <c r="E9603" s="953"/>
      <c r="F9603" s="953"/>
      <c r="G9603" s="953"/>
      <c r="H9603" s="953"/>
    </row>
    <row r="9604" spans="1:8" s="943" customFormat="1" x14ac:dyDescent="0.25">
      <c r="A9604" s="952"/>
      <c r="B9604" s="953"/>
      <c r="C9604" s="953"/>
      <c r="D9604" s="953"/>
      <c r="E9604" s="953"/>
      <c r="F9604" s="953"/>
      <c r="G9604" s="953"/>
      <c r="H9604" s="953"/>
    </row>
    <row r="9605" spans="1:8" s="943" customFormat="1" x14ac:dyDescent="0.25">
      <c r="A9605" s="952"/>
      <c r="B9605" s="953"/>
      <c r="C9605" s="953"/>
      <c r="D9605" s="953"/>
      <c r="E9605" s="953"/>
      <c r="F9605" s="953"/>
      <c r="G9605" s="953"/>
      <c r="H9605" s="953"/>
    </row>
    <row r="9606" spans="1:8" s="943" customFormat="1" x14ac:dyDescent="0.25">
      <c r="A9606" s="952"/>
      <c r="B9606" s="953"/>
      <c r="C9606" s="953"/>
      <c r="D9606" s="953"/>
      <c r="E9606" s="953"/>
      <c r="F9606" s="953"/>
      <c r="G9606" s="953"/>
      <c r="H9606" s="953"/>
    </row>
    <row r="9607" spans="1:8" s="943" customFormat="1" x14ac:dyDescent="0.25">
      <c r="A9607" s="952"/>
      <c r="B9607" s="953"/>
      <c r="C9607" s="953"/>
      <c r="D9607" s="953"/>
      <c r="E9607" s="953"/>
      <c r="F9607" s="953"/>
      <c r="G9607" s="953"/>
      <c r="H9607" s="953"/>
    </row>
    <row r="9608" spans="1:8" s="943" customFormat="1" x14ac:dyDescent="0.25">
      <c r="A9608" s="952"/>
      <c r="B9608" s="953"/>
      <c r="C9608" s="953"/>
      <c r="D9608" s="953"/>
      <c r="E9608" s="953"/>
      <c r="F9608" s="953"/>
      <c r="G9608" s="953"/>
      <c r="H9608" s="953"/>
    </row>
    <row r="9609" spans="1:8" s="943" customFormat="1" x14ac:dyDescent="0.25">
      <c r="A9609" s="952"/>
      <c r="B9609" s="953"/>
      <c r="C9609" s="953"/>
      <c r="D9609" s="953"/>
      <c r="E9609" s="953"/>
      <c r="F9609" s="953"/>
      <c r="G9609" s="953"/>
      <c r="H9609" s="953"/>
    </row>
    <row r="9610" spans="1:8" s="943" customFormat="1" x14ac:dyDescent="0.25">
      <c r="A9610" s="952"/>
      <c r="B9610" s="953"/>
      <c r="C9610" s="953"/>
      <c r="D9610" s="953"/>
      <c r="E9610" s="953"/>
      <c r="F9610" s="953"/>
      <c r="G9610" s="953"/>
      <c r="H9610" s="953"/>
    </row>
    <row r="9611" spans="1:8" s="943" customFormat="1" x14ac:dyDescent="0.25">
      <c r="A9611" s="952"/>
      <c r="B9611" s="953"/>
      <c r="C9611" s="953"/>
      <c r="D9611" s="953"/>
      <c r="E9611" s="953"/>
      <c r="F9611" s="953"/>
      <c r="G9611" s="953"/>
      <c r="H9611" s="953"/>
    </row>
    <row r="9612" spans="1:8" s="943" customFormat="1" x14ac:dyDescent="0.25">
      <c r="A9612" s="952"/>
      <c r="B9612" s="953"/>
      <c r="C9612" s="953"/>
      <c r="D9612" s="953"/>
      <c r="E9612" s="953"/>
      <c r="F9612" s="953"/>
      <c r="G9612" s="953"/>
      <c r="H9612" s="953"/>
    </row>
    <row r="9613" spans="1:8" s="943" customFormat="1" x14ac:dyDescent="0.25">
      <c r="A9613" s="952"/>
      <c r="B9613" s="953"/>
      <c r="C9613" s="953"/>
      <c r="D9613" s="953"/>
      <c r="E9613" s="953"/>
      <c r="F9613" s="953"/>
      <c r="G9613" s="953"/>
      <c r="H9613" s="953"/>
    </row>
    <row r="9614" spans="1:8" s="943" customFormat="1" x14ac:dyDescent="0.25">
      <c r="A9614" s="952"/>
      <c r="B9614" s="953"/>
      <c r="C9614" s="953"/>
      <c r="D9614" s="953"/>
      <c r="E9614" s="953"/>
      <c r="F9614" s="953"/>
      <c r="G9614" s="953"/>
      <c r="H9614" s="953"/>
    </row>
    <row r="9615" spans="1:8" s="943" customFormat="1" x14ac:dyDescent="0.25">
      <c r="A9615" s="952"/>
      <c r="B9615" s="953"/>
      <c r="C9615" s="953"/>
      <c r="D9615" s="953"/>
      <c r="E9615" s="953"/>
      <c r="F9615" s="953"/>
      <c r="G9615" s="953"/>
      <c r="H9615" s="953"/>
    </row>
    <row r="9616" spans="1:8" s="943" customFormat="1" x14ac:dyDescent="0.25">
      <c r="A9616" s="952"/>
      <c r="B9616" s="953"/>
      <c r="C9616" s="953"/>
      <c r="D9616" s="953"/>
      <c r="E9616" s="953"/>
      <c r="F9616" s="953"/>
      <c r="G9616" s="953"/>
      <c r="H9616" s="953"/>
    </row>
    <row r="9617" spans="1:8" s="943" customFormat="1" x14ac:dyDescent="0.25">
      <c r="A9617" s="952"/>
      <c r="B9617" s="953"/>
      <c r="C9617" s="953"/>
      <c r="D9617" s="953"/>
      <c r="E9617" s="953"/>
      <c r="F9617" s="953"/>
      <c r="G9617" s="953"/>
      <c r="H9617" s="953"/>
    </row>
    <row r="9618" spans="1:8" s="943" customFormat="1" x14ac:dyDescent="0.25">
      <c r="A9618" s="952"/>
      <c r="B9618" s="953"/>
      <c r="C9618" s="953"/>
      <c r="D9618" s="953"/>
      <c r="E9618" s="953"/>
      <c r="F9618" s="953"/>
      <c r="G9618" s="953"/>
      <c r="H9618" s="953"/>
    </row>
    <row r="9619" spans="1:8" s="943" customFormat="1" x14ac:dyDescent="0.25">
      <c r="A9619" s="952"/>
      <c r="B9619" s="953"/>
      <c r="C9619" s="953"/>
      <c r="D9619" s="953"/>
      <c r="E9619" s="953"/>
      <c r="F9619" s="953"/>
      <c r="G9619" s="953"/>
      <c r="H9619" s="953"/>
    </row>
    <row r="9620" spans="1:8" s="943" customFormat="1" x14ac:dyDescent="0.25">
      <c r="A9620" s="952"/>
      <c r="B9620" s="953"/>
      <c r="C9620" s="953"/>
      <c r="D9620" s="953"/>
      <c r="E9620" s="953"/>
      <c r="F9620" s="953"/>
      <c r="G9620" s="953"/>
      <c r="H9620" s="953"/>
    </row>
    <row r="9621" spans="1:8" s="943" customFormat="1" x14ac:dyDescent="0.25">
      <c r="A9621" s="952"/>
      <c r="B9621" s="953"/>
      <c r="C9621" s="953"/>
      <c r="D9621" s="953"/>
      <c r="E9621" s="953"/>
      <c r="F9621" s="953"/>
      <c r="G9621" s="953"/>
      <c r="H9621" s="953"/>
    </row>
    <row r="9622" spans="1:8" s="943" customFormat="1" x14ac:dyDescent="0.25">
      <c r="A9622" s="952"/>
      <c r="B9622" s="953"/>
      <c r="C9622" s="953"/>
      <c r="D9622" s="953"/>
      <c r="E9622" s="953"/>
      <c r="F9622" s="953"/>
      <c r="G9622" s="953"/>
      <c r="H9622" s="953"/>
    </row>
    <row r="9623" spans="1:8" s="943" customFormat="1" x14ac:dyDescent="0.25">
      <c r="A9623" s="952"/>
      <c r="B9623" s="953"/>
      <c r="C9623" s="953"/>
      <c r="D9623" s="953"/>
      <c r="E9623" s="953"/>
      <c r="F9623" s="953"/>
      <c r="G9623" s="953"/>
      <c r="H9623" s="953"/>
    </row>
    <row r="9624" spans="1:8" s="943" customFormat="1" x14ac:dyDescent="0.25">
      <c r="A9624" s="952"/>
      <c r="B9624" s="953"/>
      <c r="C9624" s="953"/>
      <c r="D9624" s="953"/>
      <c r="E9624" s="953"/>
      <c r="F9624" s="953"/>
      <c r="G9624" s="953"/>
      <c r="H9624" s="953"/>
    </row>
    <row r="9625" spans="1:8" s="943" customFormat="1" x14ac:dyDescent="0.25">
      <c r="A9625" s="952"/>
      <c r="B9625" s="953"/>
      <c r="C9625" s="953"/>
      <c r="D9625" s="953"/>
      <c r="E9625" s="953"/>
      <c r="F9625" s="953"/>
      <c r="G9625" s="953"/>
      <c r="H9625" s="953"/>
    </row>
    <row r="9626" spans="1:8" s="943" customFormat="1" x14ac:dyDescent="0.25">
      <c r="A9626" s="952"/>
      <c r="B9626" s="953"/>
      <c r="C9626" s="953"/>
      <c r="D9626" s="953"/>
      <c r="E9626" s="953"/>
      <c r="F9626" s="953"/>
      <c r="G9626" s="953"/>
      <c r="H9626" s="953"/>
    </row>
    <row r="9627" spans="1:8" s="943" customFormat="1" x14ac:dyDescent="0.25">
      <c r="A9627" s="952"/>
      <c r="B9627" s="953"/>
      <c r="C9627" s="953"/>
      <c r="D9627" s="953"/>
      <c r="E9627" s="953"/>
      <c r="F9627" s="953"/>
      <c r="G9627" s="953"/>
      <c r="H9627" s="953"/>
    </row>
    <row r="9628" spans="1:8" s="943" customFormat="1" x14ac:dyDescent="0.25">
      <c r="A9628" s="952"/>
      <c r="B9628" s="953"/>
      <c r="C9628" s="953"/>
      <c r="D9628" s="953"/>
      <c r="E9628" s="953"/>
      <c r="F9628" s="953"/>
      <c r="G9628" s="953"/>
      <c r="H9628" s="953"/>
    </row>
    <row r="9629" spans="1:8" s="943" customFormat="1" x14ac:dyDescent="0.25">
      <c r="A9629" s="952"/>
      <c r="B9629" s="953"/>
      <c r="C9629" s="953"/>
      <c r="D9629" s="953"/>
      <c r="E9629" s="953"/>
      <c r="F9629" s="953"/>
      <c r="G9629" s="953"/>
      <c r="H9629" s="953"/>
    </row>
    <row r="9630" spans="1:8" s="943" customFormat="1" x14ac:dyDescent="0.25">
      <c r="A9630" s="952"/>
      <c r="B9630" s="953"/>
      <c r="C9630" s="953"/>
      <c r="D9630" s="953"/>
      <c r="E9630" s="953"/>
      <c r="F9630" s="953"/>
      <c r="G9630" s="953"/>
      <c r="H9630" s="953"/>
    </row>
    <row r="9631" spans="1:8" s="943" customFormat="1" x14ac:dyDescent="0.25">
      <c r="A9631" s="952"/>
      <c r="B9631" s="953"/>
      <c r="C9631" s="953"/>
      <c r="D9631" s="953"/>
      <c r="E9631" s="953"/>
      <c r="F9631" s="953"/>
      <c r="G9631" s="953"/>
      <c r="H9631" s="953"/>
    </row>
    <row r="9632" spans="1:8" s="943" customFormat="1" x14ac:dyDescent="0.25">
      <c r="A9632" s="952"/>
      <c r="B9632" s="953"/>
      <c r="C9632" s="953"/>
      <c r="D9632" s="953"/>
      <c r="E9632" s="953"/>
      <c r="F9632" s="953"/>
      <c r="G9632" s="953"/>
      <c r="H9632" s="953"/>
    </row>
    <row r="9633" spans="1:8" s="943" customFormat="1" x14ac:dyDescent="0.25">
      <c r="A9633" s="952"/>
      <c r="B9633" s="953"/>
      <c r="C9633" s="953"/>
      <c r="D9633" s="953"/>
      <c r="E9633" s="953"/>
      <c r="F9633" s="953"/>
      <c r="G9633" s="953"/>
      <c r="H9633" s="953"/>
    </row>
    <row r="9634" spans="1:8" s="943" customFormat="1" x14ac:dyDescent="0.25">
      <c r="A9634" s="952"/>
      <c r="B9634" s="953"/>
      <c r="C9634" s="953"/>
      <c r="D9634" s="953"/>
      <c r="E9634" s="953"/>
      <c r="F9634" s="953"/>
      <c r="G9634" s="953"/>
      <c r="H9634" s="953"/>
    </row>
    <row r="9635" spans="1:8" s="943" customFormat="1" x14ac:dyDescent="0.25">
      <c r="A9635" s="952"/>
      <c r="B9635" s="953"/>
      <c r="C9635" s="953"/>
      <c r="D9635" s="953"/>
      <c r="E9635" s="953"/>
      <c r="F9635" s="953"/>
      <c r="G9635" s="953"/>
      <c r="H9635" s="953"/>
    </row>
    <row r="9636" spans="1:8" s="943" customFormat="1" x14ac:dyDescent="0.25">
      <c r="A9636" s="952"/>
      <c r="B9636" s="953"/>
      <c r="C9636" s="953"/>
      <c r="D9636" s="953"/>
      <c r="E9636" s="953"/>
      <c r="F9636" s="953"/>
      <c r="G9636" s="953"/>
      <c r="H9636" s="953"/>
    </row>
    <row r="9637" spans="1:8" s="943" customFormat="1" x14ac:dyDescent="0.25">
      <c r="A9637" s="952"/>
      <c r="B9637" s="953"/>
      <c r="C9637" s="953"/>
      <c r="D9637" s="953"/>
      <c r="E9637" s="953"/>
      <c r="F9637" s="953"/>
      <c r="G9637" s="953"/>
      <c r="H9637" s="953"/>
    </row>
    <row r="9638" spans="1:8" s="943" customFormat="1" x14ac:dyDescent="0.25">
      <c r="A9638" s="952"/>
      <c r="B9638" s="953"/>
      <c r="C9638" s="953"/>
      <c r="D9638" s="953"/>
      <c r="E9638" s="953"/>
      <c r="F9638" s="953"/>
      <c r="G9638" s="953"/>
      <c r="H9638" s="953"/>
    </row>
    <row r="9639" spans="1:8" s="943" customFormat="1" x14ac:dyDescent="0.25">
      <c r="A9639" s="952"/>
      <c r="B9639" s="953"/>
      <c r="C9639" s="953"/>
      <c r="D9639" s="953"/>
      <c r="E9639" s="953"/>
      <c r="F9639" s="953"/>
      <c r="G9639" s="953"/>
      <c r="H9639" s="953"/>
    </row>
    <row r="9640" spans="1:8" s="943" customFormat="1" x14ac:dyDescent="0.25">
      <c r="A9640" s="952"/>
      <c r="B9640" s="953"/>
      <c r="C9640" s="953"/>
      <c r="D9640" s="953"/>
      <c r="E9640" s="953"/>
      <c r="F9640" s="953"/>
      <c r="G9640" s="953"/>
      <c r="H9640" s="953"/>
    </row>
    <row r="9641" spans="1:8" s="943" customFormat="1" x14ac:dyDescent="0.25">
      <c r="A9641" s="952"/>
      <c r="B9641" s="953"/>
      <c r="C9641" s="953"/>
      <c r="D9641" s="953"/>
      <c r="E9641" s="953"/>
      <c r="F9641" s="953"/>
      <c r="G9641" s="953"/>
      <c r="H9641" s="953"/>
    </row>
    <row r="9642" spans="1:8" s="943" customFormat="1" x14ac:dyDescent="0.25">
      <c r="A9642" s="952"/>
      <c r="B9642" s="953"/>
      <c r="C9642" s="953"/>
      <c r="D9642" s="953"/>
      <c r="E9642" s="953"/>
      <c r="F9642" s="953"/>
      <c r="G9642" s="953"/>
      <c r="H9642" s="953"/>
    </row>
    <row r="9643" spans="1:8" s="943" customFormat="1" x14ac:dyDescent="0.25">
      <c r="A9643" s="952"/>
      <c r="B9643" s="953"/>
      <c r="C9643" s="953"/>
      <c r="D9643" s="953"/>
      <c r="E9643" s="953"/>
      <c r="F9643" s="953"/>
      <c r="G9643" s="953"/>
      <c r="H9643" s="953"/>
    </row>
    <row r="9644" spans="1:8" s="943" customFormat="1" x14ac:dyDescent="0.25">
      <c r="A9644" s="952"/>
      <c r="B9644" s="953"/>
      <c r="C9644" s="953"/>
      <c r="D9644" s="953"/>
      <c r="E9644" s="953"/>
      <c r="F9644" s="953"/>
      <c r="G9644" s="953"/>
      <c r="H9644" s="953"/>
    </row>
    <row r="9645" spans="1:8" s="943" customFormat="1" x14ac:dyDescent="0.25">
      <c r="A9645" s="952"/>
      <c r="B9645" s="953"/>
      <c r="C9645" s="953"/>
      <c r="D9645" s="953"/>
      <c r="E9645" s="953"/>
      <c r="F9645" s="953"/>
      <c r="G9645" s="953"/>
      <c r="H9645" s="953"/>
    </row>
    <row r="9646" spans="1:8" s="943" customFormat="1" x14ac:dyDescent="0.25">
      <c r="A9646" s="952"/>
      <c r="B9646" s="953"/>
      <c r="C9646" s="953"/>
      <c r="D9646" s="953"/>
      <c r="E9646" s="953"/>
      <c r="F9646" s="953"/>
      <c r="G9646" s="953"/>
      <c r="H9646" s="953"/>
    </row>
    <row r="9647" spans="1:8" s="943" customFormat="1" x14ac:dyDescent="0.25">
      <c r="A9647" s="952"/>
      <c r="B9647" s="953"/>
      <c r="C9647" s="953"/>
      <c r="D9647" s="953"/>
      <c r="E9647" s="953"/>
      <c r="F9647" s="953"/>
      <c r="G9647" s="953"/>
      <c r="H9647" s="953"/>
    </row>
    <row r="9648" spans="1:8" s="943" customFormat="1" x14ac:dyDescent="0.25">
      <c r="A9648" s="952"/>
      <c r="B9648" s="953"/>
      <c r="C9648" s="953"/>
      <c r="D9648" s="953"/>
      <c r="E9648" s="953"/>
      <c r="F9648" s="953"/>
      <c r="G9648" s="953"/>
      <c r="H9648" s="953"/>
    </row>
    <row r="9649" spans="1:8" s="943" customFormat="1" x14ac:dyDescent="0.25">
      <c r="A9649" s="952"/>
      <c r="B9649" s="953"/>
      <c r="C9649" s="953"/>
      <c r="D9649" s="953"/>
      <c r="E9649" s="953"/>
      <c r="F9649" s="953"/>
      <c r="G9649" s="953"/>
      <c r="H9649" s="953"/>
    </row>
    <row r="9650" spans="1:8" s="943" customFormat="1" x14ac:dyDescent="0.25">
      <c r="A9650" s="952"/>
      <c r="B9650" s="953"/>
      <c r="C9650" s="953"/>
      <c r="D9650" s="953"/>
      <c r="E9650" s="953"/>
      <c r="F9650" s="953"/>
      <c r="G9650" s="953"/>
      <c r="H9650" s="953"/>
    </row>
    <row r="9651" spans="1:8" s="943" customFormat="1" x14ac:dyDescent="0.25">
      <c r="A9651" s="952"/>
      <c r="B9651" s="953"/>
      <c r="C9651" s="953"/>
      <c r="D9651" s="953"/>
      <c r="E9651" s="953"/>
      <c r="F9651" s="953"/>
      <c r="G9651" s="953"/>
      <c r="H9651" s="953"/>
    </row>
    <row r="9652" spans="1:8" s="943" customFormat="1" x14ac:dyDescent="0.25">
      <c r="A9652" s="952"/>
      <c r="B9652" s="953"/>
      <c r="C9652" s="953"/>
      <c r="D9652" s="953"/>
      <c r="E9652" s="953"/>
      <c r="F9652" s="953"/>
      <c r="G9652" s="953"/>
      <c r="H9652" s="953"/>
    </row>
    <row r="9653" spans="1:8" s="943" customFormat="1" x14ac:dyDescent="0.25">
      <c r="A9653" s="952"/>
      <c r="B9653" s="953"/>
      <c r="C9653" s="953"/>
      <c r="D9653" s="953"/>
      <c r="E9653" s="953"/>
      <c r="F9653" s="953"/>
      <c r="G9653" s="953"/>
      <c r="H9653" s="953"/>
    </row>
    <row r="9654" spans="1:8" s="943" customFormat="1" x14ac:dyDescent="0.25">
      <c r="A9654" s="952"/>
      <c r="B9654" s="953"/>
      <c r="C9654" s="953"/>
      <c r="D9654" s="953"/>
      <c r="E9654" s="953"/>
      <c r="F9654" s="953"/>
      <c r="G9654" s="953"/>
      <c r="H9654" s="953"/>
    </row>
    <row r="9655" spans="1:8" s="943" customFormat="1" x14ac:dyDescent="0.25">
      <c r="A9655" s="952"/>
      <c r="B9655" s="953"/>
      <c r="C9655" s="953"/>
      <c r="D9655" s="953"/>
      <c r="E9655" s="953"/>
      <c r="F9655" s="953"/>
      <c r="G9655" s="953"/>
      <c r="H9655" s="953"/>
    </row>
    <row r="9656" spans="1:8" s="943" customFormat="1" x14ac:dyDescent="0.25">
      <c r="A9656" s="952"/>
      <c r="B9656" s="953"/>
      <c r="C9656" s="953"/>
      <c r="D9656" s="953"/>
      <c r="E9656" s="953"/>
      <c r="F9656" s="953"/>
      <c r="G9656" s="953"/>
      <c r="H9656" s="953"/>
    </row>
    <row r="9657" spans="1:8" s="943" customFormat="1" x14ac:dyDescent="0.25">
      <c r="A9657" s="952"/>
      <c r="B9657" s="953"/>
      <c r="C9657" s="953"/>
      <c r="D9657" s="953"/>
      <c r="E9657" s="953"/>
      <c r="F9657" s="953"/>
      <c r="G9657" s="953"/>
      <c r="H9657" s="953"/>
    </row>
    <row r="9658" spans="1:8" s="943" customFormat="1" x14ac:dyDescent="0.25">
      <c r="A9658" s="952"/>
      <c r="B9658" s="953"/>
      <c r="C9658" s="953"/>
      <c r="D9658" s="953"/>
      <c r="E9658" s="953"/>
      <c r="F9658" s="953"/>
      <c r="G9658" s="953"/>
      <c r="H9658" s="953"/>
    </row>
    <row r="9659" spans="1:8" s="943" customFormat="1" x14ac:dyDescent="0.25">
      <c r="A9659" s="952"/>
      <c r="B9659" s="953"/>
      <c r="C9659" s="953"/>
      <c r="D9659" s="953"/>
      <c r="E9659" s="953"/>
      <c r="F9659" s="953"/>
      <c r="G9659" s="953"/>
      <c r="H9659" s="953"/>
    </row>
    <row r="9660" spans="1:8" s="943" customFormat="1" x14ac:dyDescent="0.25">
      <c r="A9660" s="952"/>
      <c r="B9660" s="953"/>
      <c r="C9660" s="953"/>
      <c r="D9660" s="953"/>
      <c r="E9660" s="953"/>
      <c r="F9660" s="953"/>
      <c r="G9660" s="953"/>
      <c r="H9660" s="953"/>
    </row>
    <row r="9661" spans="1:8" s="943" customFormat="1" x14ac:dyDescent="0.25">
      <c r="A9661" s="952"/>
      <c r="B9661" s="953"/>
      <c r="C9661" s="953"/>
      <c r="D9661" s="953"/>
      <c r="E9661" s="953"/>
      <c r="F9661" s="953"/>
      <c r="G9661" s="953"/>
      <c r="H9661" s="953"/>
    </row>
    <row r="9662" spans="1:8" s="943" customFormat="1" x14ac:dyDescent="0.25">
      <c r="A9662" s="952"/>
      <c r="B9662" s="953"/>
      <c r="C9662" s="953"/>
      <c r="D9662" s="953"/>
      <c r="E9662" s="953"/>
      <c r="F9662" s="953"/>
      <c r="G9662" s="953"/>
      <c r="H9662" s="953"/>
    </row>
    <row r="9663" spans="1:8" s="943" customFormat="1" x14ac:dyDescent="0.25">
      <c r="A9663" s="952"/>
      <c r="B9663" s="953"/>
      <c r="C9663" s="953"/>
      <c r="D9663" s="953"/>
      <c r="E9663" s="953"/>
      <c r="F9663" s="953"/>
      <c r="G9663" s="953"/>
      <c r="H9663" s="953"/>
    </row>
    <row r="9664" spans="1:8" s="943" customFormat="1" x14ac:dyDescent="0.25">
      <c r="A9664" s="952"/>
      <c r="B9664" s="953"/>
      <c r="C9664" s="953"/>
      <c r="D9664" s="953"/>
      <c r="E9664" s="953"/>
      <c r="F9664" s="953"/>
      <c r="G9664" s="953"/>
      <c r="H9664" s="953"/>
    </row>
    <row r="9665" spans="1:8" s="943" customFormat="1" x14ac:dyDescent="0.25">
      <c r="A9665" s="952"/>
      <c r="B9665" s="953"/>
      <c r="C9665" s="953"/>
      <c r="D9665" s="953"/>
      <c r="E9665" s="953"/>
      <c r="F9665" s="953"/>
      <c r="G9665" s="953"/>
      <c r="H9665" s="953"/>
    </row>
    <row r="9666" spans="1:8" s="943" customFormat="1" x14ac:dyDescent="0.25">
      <c r="A9666" s="952"/>
      <c r="B9666" s="953"/>
      <c r="C9666" s="953"/>
      <c r="D9666" s="953"/>
      <c r="E9666" s="953"/>
      <c r="F9666" s="953"/>
      <c r="G9666" s="953"/>
      <c r="H9666" s="953"/>
    </row>
    <row r="9667" spans="1:8" s="943" customFormat="1" x14ac:dyDescent="0.25">
      <c r="A9667" s="952"/>
      <c r="B9667" s="953"/>
      <c r="C9667" s="953"/>
      <c r="D9667" s="953"/>
      <c r="E9667" s="953"/>
      <c r="F9667" s="953"/>
      <c r="G9667" s="953"/>
      <c r="H9667" s="953"/>
    </row>
    <row r="9668" spans="1:8" s="943" customFormat="1" x14ac:dyDescent="0.25">
      <c r="A9668" s="952"/>
      <c r="B9668" s="953"/>
      <c r="C9668" s="953"/>
      <c r="D9668" s="953"/>
      <c r="E9668" s="953"/>
      <c r="F9668" s="953"/>
      <c r="G9668" s="953"/>
      <c r="H9668" s="953"/>
    </row>
    <row r="9669" spans="1:8" s="943" customFormat="1" x14ac:dyDescent="0.25">
      <c r="A9669" s="952"/>
      <c r="B9669" s="953"/>
      <c r="C9669" s="953"/>
      <c r="D9669" s="953"/>
      <c r="E9669" s="953"/>
      <c r="F9669" s="953"/>
      <c r="G9669" s="953"/>
      <c r="H9669" s="953"/>
    </row>
    <row r="9670" spans="1:8" s="943" customFormat="1" x14ac:dyDescent="0.25">
      <c r="A9670" s="952"/>
      <c r="B9670" s="953"/>
      <c r="C9670" s="953"/>
      <c r="D9670" s="953"/>
      <c r="E9670" s="953"/>
      <c r="F9670" s="953"/>
      <c r="G9670" s="953"/>
      <c r="H9670" s="953"/>
    </row>
    <row r="9671" spans="1:8" s="943" customFormat="1" x14ac:dyDescent="0.25">
      <c r="A9671" s="952"/>
      <c r="B9671" s="953"/>
      <c r="C9671" s="953"/>
      <c r="D9671" s="953"/>
      <c r="E9671" s="953"/>
      <c r="F9671" s="953"/>
      <c r="G9671" s="953"/>
      <c r="H9671" s="953"/>
    </row>
    <row r="9672" spans="1:8" s="943" customFormat="1" x14ac:dyDescent="0.25">
      <c r="A9672" s="952"/>
      <c r="B9672" s="953"/>
      <c r="C9672" s="953"/>
      <c r="D9672" s="953"/>
      <c r="E9672" s="953"/>
      <c r="F9672" s="953"/>
      <c r="G9672" s="953"/>
      <c r="H9672" s="953"/>
    </row>
    <row r="9673" spans="1:8" s="943" customFormat="1" x14ac:dyDescent="0.25">
      <c r="A9673" s="952"/>
      <c r="B9673" s="953"/>
      <c r="C9673" s="953"/>
      <c r="D9673" s="953"/>
      <c r="E9673" s="953"/>
      <c r="F9673" s="953"/>
      <c r="G9673" s="953"/>
      <c r="H9673" s="953"/>
    </row>
    <row r="9674" spans="1:8" s="943" customFormat="1" x14ac:dyDescent="0.25">
      <c r="A9674" s="952"/>
      <c r="B9674" s="953"/>
      <c r="C9674" s="953"/>
      <c r="D9674" s="953"/>
      <c r="E9674" s="953"/>
      <c r="F9674" s="953"/>
      <c r="G9674" s="953"/>
      <c r="H9674" s="953"/>
    </row>
    <row r="9675" spans="1:8" s="943" customFormat="1" x14ac:dyDescent="0.25">
      <c r="A9675" s="952"/>
      <c r="B9675" s="953"/>
      <c r="C9675" s="953"/>
      <c r="D9675" s="953"/>
      <c r="E9675" s="953"/>
      <c r="F9675" s="953"/>
      <c r="G9675" s="953"/>
      <c r="H9675" s="953"/>
    </row>
    <row r="9676" spans="1:8" s="943" customFormat="1" x14ac:dyDescent="0.25">
      <c r="A9676" s="952"/>
      <c r="B9676" s="953"/>
      <c r="C9676" s="953"/>
      <c r="D9676" s="953"/>
      <c r="E9676" s="953"/>
      <c r="F9676" s="953"/>
      <c r="G9676" s="953"/>
      <c r="H9676" s="953"/>
    </row>
    <row r="9677" spans="1:8" s="943" customFormat="1" x14ac:dyDescent="0.25">
      <c r="A9677" s="952"/>
      <c r="B9677" s="953"/>
      <c r="C9677" s="953"/>
      <c r="D9677" s="953"/>
      <c r="E9677" s="953"/>
      <c r="F9677" s="953"/>
      <c r="G9677" s="953"/>
      <c r="H9677" s="953"/>
    </row>
    <row r="9678" spans="1:8" s="943" customFormat="1" x14ac:dyDescent="0.25">
      <c r="A9678" s="952"/>
      <c r="B9678" s="953"/>
      <c r="C9678" s="953"/>
      <c r="D9678" s="953"/>
      <c r="E9678" s="953"/>
      <c r="F9678" s="953"/>
      <c r="G9678" s="953"/>
      <c r="H9678" s="953"/>
    </row>
    <row r="9679" spans="1:8" s="943" customFormat="1" x14ac:dyDescent="0.25">
      <c r="A9679" s="952"/>
      <c r="B9679" s="953"/>
      <c r="C9679" s="953"/>
      <c r="D9679" s="953"/>
      <c r="E9679" s="953"/>
      <c r="F9679" s="953"/>
      <c r="G9679" s="953"/>
      <c r="H9679" s="953"/>
    </row>
    <row r="9680" spans="1:8" s="943" customFormat="1" x14ac:dyDescent="0.25">
      <c r="A9680" s="952"/>
      <c r="B9680" s="953"/>
      <c r="C9680" s="953"/>
      <c r="D9680" s="953"/>
      <c r="E9680" s="953"/>
      <c r="F9680" s="953"/>
      <c r="G9680" s="953"/>
      <c r="H9680" s="953"/>
    </row>
    <row r="9681" spans="1:8" s="943" customFormat="1" x14ac:dyDescent="0.25">
      <c r="A9681" s="952"/>
      <c r="B9681" s="953"/>
      <c r="C9681" s="953"/>
      <c r="D9681" s="953"/>
      <c r="E9681" s="953"/>
      <c r="F9681" s="953"/>
      <c r="G9681" s="953"/>
      <c r="H9681" s="953"/>
    </row>
    <row r="9682" spans="1:8" s="943" customFormat="1" x14ac:dyDescent="0.25">
      <c r="A9682" s="952"/>
      <c r="B9682" s="953"/>
      <c r="C9682" s="953"/>
      <c r="D9682" s="953"/>
      <c r="E9682" s="953"/>
      <c r="F9682" s="953"/>
      <c r="G9682" s="953"/>
      <c r="H9682" s="953"/>
    </row>
    <row r="9683" spans="1:8" s="943" customFormat="1" x14ac:dyDescent="0.25">
      <c r="A9683" s="952"/>
      <c r="B9683" s="953"/>
      <c r="C9683" s="953"/>
      <c r="D9683" s="953"/>
      <c r="E9683" s="953"/>
      <c r="F9683" s="953"/>
      <c r="G9683" s="953"/>
      <c r="H9683" s="953"/>
    </row>
    <row r="9684" spans="1:8" s="943" customFormat="1" x14ac:dyDescent="0.25">
      <c r="A9684" s="952"/>
      <c r="B9684" s="953"/>
      <c r="C9684" s="953"/>
      <c r="D9684" s="953"/>
      <c r="E9684" s="953"/>
      <c r="F9684" s="953"/>
      <c r="G9684" s="953"/>
      <c r="H9684" s="953"/>
    </row>
    <row r="9685" spans="1:8" s="943" customFormat="1" x14ac:dyDescent="0.25">
      <c r="A9685" s="952"/>
      <c r="B9685" s="953"/>
      <c r="C9685" s="953"/>
      <c r="D9685" s="953"/>
      <c r="E9685" s="953"/>
      <c r="F9685" s="953"/>
      <c r="G9685" s="953"/>
      <c r="H9685" s="953"/>
    </row>
    <row r="9686" spans="1:8" s="943" customFormat="1" x14ac:dyDescent="0.25">
      <c r="A9686" s="952"/>
      <c r="B9686" s="953"/>
      <c r="C9686" s="953"/>
      <c r="D9686" s="953"/>
      <c r="E9686" s="953"/>
      <c r="F9686" s="953"/>
      <c r="G9686" s="953"/>
      <c r="H9686" s="953"/>
    </row>
    <row r="9687" spans="1:8" s="943" customFormat="1" x14ac:dyDescent="0.25">
      <c r="A9687" s="952"/>
      <c r="B9687" s="953"/>
      <c r="C9687" s="953"/>
      <c r="D9687" s="953"/>
      <c r="E9687" s="953"/>
      <c r="F9687" s="953"/>
      <c r="G9687" s="953"/>
      <c r="H9687" s="953"/>
    </row>
    <row r="9688" spans="1:8" s="943" customFormat="1" x14ac:dyDescent="0.25">
      <c r="A9688" s="952"/>
      <c r="B9688" s="953"/>
      <c r="C9688" s="953"/>
      <c r="D9688" s="953"/>
      <c r="E9688" s="953"/>
      <c r="F9688" s="953"/>
      <c r="G9688" s="953"/>
      <c r="H9688" s="953"/>
    </row>
    <row r="9689" spans="1:8" s="943" customFormat="1" x14ac:dyDescent="0.25">
      <c r="A9689" s="952"/>
      <c r="B9689" s="953"/>
      <c r="C9689" s="953"/>
      <c r="D9689" s="953"/>
      <c r="E9689" s="953"/>
      <c r="F9689" s="953"/>
      <c r="G9689" s="953"/>
      <c r="H9689" s="953"/>
    </row>
    <row r="9690" spans="1:8" s="943" customFormat="1" x14ac:dyDescent="0.25">
      <c r="A9690" s="952"/>
      <c r="B9690" s="953"/>
      <c r="C9690" s="953"/>
      <c r="D9690" s="953"/>
      <c r="E9690" s="953"/>
      <c r="F9690" s="953"/>
      <c r="G9690" s="953"/>
      <c r="H9690" s="953"/>
    </row>
    <row r="9691" spans="1:8" s="943" customFormat="1" x14ac:dyDescent="0.25">
      <c r="A9691" s="952"/>
      <c r="B9691" s="953"/>
      <c r="C9691" s="953"/>
      <c r="D9691" s="953"/>
      <c r="E9691" s="953"/>
      <c r="F9691" s="953"/>
      <c r="G9691" s="953"/>
      <c r="H9691" s="953"/>
    </row>
    <row r="9692" spans="1:8" s="943" customFormat="1" x14ac:dyDescent="0.25">
      <c r="A9692" s="952"/>
      <c r="B9692" s="953"/>
      <c r="C9692" s="953"/>
      <c r="D9692" s="953"/>
      <c r="E9692" s="953"/>
      <c r="F9692" s="953"/>
      <c r="G9692" s="953"/>
      <c r="H9692" s="953"/>
    </row>
    <row r="9693" spans="1:8" s="943" customFormat="1" x14ac:dyDescent="0.25">
      <c r="A9693" s="952"/>
      <c r="B9693" s="953"/>
      <c r="C9693" s="953"/>
      <c r="D9693" s="953"/>
      <c r="E9693" s="953"/>
      <c r="F9693" s="953"/>
      <c r="G9693" s="953"/>
      <c r="H9693" s="953"/>
    </row>
    <row r="9694" spans="1:8" s="943" customFormat="1" x14ac:dyDescent="0.25">
      <c r="A9694" s="952"/>
      <c r="B9694" s="953"/>
      <c r="C9694" s="953"/>
      <c r="D9694" s="953"/>
      <c r="E9694" s="953"/>
      <c r="F9694" s="953"/>
      <c r="G9694" s="953"/>
      <c r="H9694" s="953"/>
    </row>
    <row r="9695" spans="1:8" s="943" customFormat="1" x14ac:dyDescent="0.25">
      <c r="A9695" s="952"/>
      <c r="B9695" s="953"/>
      <c r="C9695" s="953"/>
      <c r="D9695" s="953"/>
      <c r="E9695" s="953"/>
      <c r="F9695" s="953"/>
      <c r="G9695" s="953"/>
      <c r="H9695" s="953"/>
    </row>
    <row r="9696" spans="1:8" s="943" customFormat="1" x14ac:dyDescent="0.25">
      <c r="A9696" s="952"/>
      <c r="B9696" s="953"/>
      <c r="C9696" s="953"/>
      <c r="D9696" s="953"/>
      <c r="E9696" s="953"/>
      <c r="F9696" s="953"/>
      <c r="G9696" s="953"/>
      <c r="H9696" s="953"/>
    </row>
    <row r="9697" spans="1:8" s="943" customFormat="1" x14ac:dyDescent="0.25">
      <c r="A9697" s="952"/>
      <c r="B9697" s="953"/>
      <c r="C9697" s="953"/>
      <c r="D9697" s="953"/>
      <c r="E9697" s="953"/>
      <c r="F9697" s="953"/>
      <c r="G9697" s="953"/>
      <c r="H9697" s="953"/>
    </row>
    <row r="9698" spans="1:8" s="943" customFormat="1" x14ac:dyDescent="0.25">
      <c r="A9698" s="952"/>
      <c r="B9698" s="953"/>
      <c r="C9698" s="953"/>
      <c r="D9698" s="953"/>
      <c r="E9698" s="953"/>
      <c r="F9698" s="953"/>
      <c r="G9698" s="953"/>
      <c r="H9698" s="953"/>
    </row>
    <row r="9699" spans="1:8" s="943" customFormat="1" x14ac:dyDescent="0.25">
      <c r="A9699" s="952"/>
      <c r="B9699" s="953"/>
      <c r="C9699" s="953"/>
      <c r="D9699" s="953"/>
      <c r="E9699" s="953"/>
      <c r="F9699" s="953"/>
      <c r="G9699" s="953"/>
      <c r="H9699" s="953"/>
    </row>
    <row r="9700" spans="1:8" s="943" customFormat="1" x14ac:dyDescent="0.25">
      <c r="A9700" s="952"/>
      <c r="B9700" s="953"/>
      <c r="C9700" s="953"/>
      <c r="D9700" s="953"/>
      <c r="E9700" s="953"/>
      <c r="F9700" s="953"/>
      <c r="G9700" s="953"/>
      <c r="H9700" s="953"/>
    </row>
    <row r="9701" spans="1:8" s="943" customFormat="1" x14ac:dyDescent="0.25">
      <c r="A9701" s="952"/>
      <c r="B9701" s="953"/>
      <c r="C9701" s="953"/>
      <c r="D9701" s="953"/>
      <c r="E9701" s="953"/>
      <c r="F9701" s="953"/>
      <c r="G9701" s="953"/>
      <c r="H9701" s="953"/>
    </row>
    <row r="9702" spans="1:8" s="943" customFormat="1" x14ac:dyDescent="0.25">
      <c r="A9702" s="952"/>
      <c r="B9702" s="953"/>
      <c r="C9702" s="953"/>
      <c r="D9702" s="953"/>
      <c r="E9702" s="953"/>
      <c r="F9702" s="953"/>
      <c r="G9702" s="953"/>
      <c r="H9702" s="953"/>
    </row>
    <row r="9703" spans="1:8" s="943" customFormat="1" x14ac:dyDescent="0.25">
      <c r="A9703" s="952"/>
      <c r="B9703" s="953"/>
      <c r="C9703" s="953"/>
      <c r="D9703" s="953"/>
      <c r="E9703" s="953"/>
      <c r="F9703" s="953"/>
      <c r="G9703" s="953"/>
      <c r="H9703" s="953"/>
    </row>
    <row r="9704" spans="1:8" s="943" customFormat="1" x14ac:dyDescent="0.25">
      <c r="A9704" s="952"/>
      <c r="B9704" s="953"/>
      <c r="C9704" s="953"/>
      <c r="D9704" s="953"/>
      <c r="E9704" s="953"/>
      <c r="F9704" s="953"/>
      <c r="G9704" s="953"/>
      <c r="H9704" s="953"/>
    </row>
    <row r="9705" spans="1:8" s="943" customFormat="1" x14ac:dyDescent="0.25">
      <c r="A9705" s="952"/>
      <c r="B9705" s="953"/>
      <c r="C9705" s="953"/>
      <c r="D9705" s="953"/>
      <c r="E9705" s="953"/>
      <c r="F9705" s="953"/>
      <c r="G9705" s="953"/>
      <c r="H9705" s="953"/>
    </row>
    <row r="9706" spans="1:8" s="943" customFormat="1" x14ac:dyDescent="0.25">
      <c r="A9706" s="952"/>
      <c r="B9706" s="953"/>
      <c r="C9706" s="953"/>
      <c r="D9706" s="953"/>
      <c r="E9706" s="953"/>
      <c r="F9706" s="953"/>
      <c r="G9706" s="953"/>
      <c r="H9706" s="953"/>
    </row>
    <row r="9707" spans="1:8" s="943" customFormat="1" x14ac:dyDescent="0.25">
      <c r="A9707" s="952"/>
      <c r="B9707" s="953"/>
      <c r="C9707" s="953"/>
      <c r="D9707" s="953"/>
      <c r="E9707" s="953"/>
      <c r="F9707" s="953"/>
      <c r="G9707" s="953"/>
      <c r="H9707" s="953"/>
    </row>
    <row r="9708" spans="1:8" s="943" customFormat="1" x14ac:dyDescent="0.25">
      <c r="A9708" s="952"/>
      <c r="B9708" s="953"/>
      <c r="C9708" s="953"/>
      <c r="D9708" s="953"/>
      <c r="E9708" s="953"/>
      <c r="F9708" s="953"/>
      <c r="G9708" s="953"/>
      <c r="H9708" s="953"/>
    </row>
    <row r="9709" spans="1:8" s="943" customFormat="1" x14ac:dyDescent="0.25">
      <c r="A9709" s="952"/>
      <c r="B9709" s="953"/>
      <c r="C9709" s="953"/>
      <c r="D9709" s="953"/>
      <c r="E9709" s="953"/>
      <c r="F9709" s="953"/>
      <c r="G9709" s="953"/>
      <c r="H9709" s="953"/>
    </row>
    <row r="9710" spans="1:8" s="943" customFormat="1" x14ac:dyDescent="0.25">
      <c r="A9710" s="952"/>
      <c r="B9710" s="953"/>
      <c r="C9710" s="953"/>
      <c r="D9710" s="953"/>
      <c r="E9710" s="953"/>
      <c r="F9710" s="953"/>
      <c r="G9710" s="953"/>
      <c r="H9710" s="953"/>
    </row>
    <row r="9711" spans="1:8" s="943" customFormat="1" x14ac:dyDescent="0.25">
      <c r="A9711" s="952"/>
      <c r="B9711" s="953"/>
      <c r="C9711" s="953"/>
      <c r="D9711" s="953"/>
      <c r="E9711" s="953"/>
      <c r="F9711" s="953"/>
      <c r="G9711" s="953"/>
      <c r="H9711" s="953"/>
    </row>
    <row r="9712" spans="1:8" s="943" customFormat="1" x14ac:dyDescent="0.25">
      <c r="A9712" s="952"/>
      <c r="B9712" s="953"/>
      <c r="C9712" s="953"/>
      <c r="D9712" s="953"/>
      <c r="E9712" s="953"/>
      <c r="F9712" s="953"/>
      <c r="G9712" s="953"/>
      <c r="H9712" s="953"/>
    </row>
    <row r="9713" spans="1:8" s="943" customFormat="1" x14ac:dyDescent="0.25">
      <c r="A9713" s="952"/>
      <c r="B9713" s="953"/>
      <c r="C9713" s="953"/>
      <c r="D9713" s="953"/>
      <c r="E9713" s="953"/>
      <c r="F9713" s="953"/>
      <c r="G9713" s="953"/>
      <c r="H9713" s="953"/>
    </row>
    <row r="9714" spans="1:8" s="943" customFormat="1" x14ac:dyDescent="0.25">
      <c r="A9714" s="952"/>
      <c r="B9714" s="953"/>
      <c r="C9714" s="953"/>
      <c r="D9714" s="953"/>
      <c r="E9714" s="953"/>
      <c r="F9714" s="953"/>
      <c r="G9714" s="953"/>
      <c r="H9714" s="953"/>
    </row>
    <row r="9715" spans="1:8" s="943" customFormat="1" x14ac:dyDescent="0.25">
      <c r="A9715" s="952"/>
      <c r="B9715" s="953"/>
      <c r="C9715" s="953"/>
      <c r="D9715" s="953"/>
      <c r="E9715" s="953"/>
      <c r="F9715" s="953"/>
      <c r="G9715" s="953"/>
      <c r="H9715" s="953"/>
    </row>
    <row r="9716" spans="1:8" s="943" customFormat="1" x14ac:dyDescent="0.25">
      <c r="A9716" s="952"/>
      <c r="B9716" s="953"/>
      <c r="C9716" s="953"/>
      <c r="D9716" s="953"/>
      <c r="E9716" s="953"/>
      <c r="F9716" s="953"/>
      <c r="G9716" s="953"/>
      <c r="H9716" s="953"/>
    </row>
    <row r="9717" spans="1:8" s="943" customFormat="1" x14ac:dyDescent="0.25">
      <c r="A9717" s="952"/>
      <c r="B9717" s="953"/>
      <c r="C9717" s="953"/>
      <c r="D9717" s="953"/>
      <c r="E9717" s="953"/>
      <c r="F9717" s="953"/>
      <c r="G9717" s="953"/>
      <c r="H9717" s="953"/>
    </row>
    <row r="9718" spans="1:8" s="943" customFormat="1" x14ac:dyDescent="0.25">
      <c r="A9718" s="952"/>
      <c r="B9718" s="953"/>
      <c r="C9718" s="953"/>
      <c r="D9718" s="953"/>
      <c r="E9718" s="953"/>
      <c r="F9718" s="953"/>
      <c r="G9718" s="953"/>
      <c r="H9718" s="953"/>
    </row>
    <row r="9719" spans="1:8" s="943" customFormat="1" x14ac:dyDescent="0.25">
      <c r="A9719" s="952"/>
      <c r="B9719" s="953"/>
      <c r="C9719" s="953"/>
      <c r="D9719" s="953"/>
      <c r="E9719" s="953"/>
      <c r="F9719" s="953"/>
      <c r="G9719" s="953"/>
      <c r="H9719" s="953"/>
    </row>
    <row r="9720" spans="1:8" s="943" customFormat="1" x14ac:dyDescent="0.25">
      <c r="A9720" s="952"/>
      <c r="B9720" s="953"/>
      <c r="C9720" s="953"/>
      <c r="D9720" s="953"/>
      <c r="E9720" s="953"/>
      <c r="F9720" s="953"/>
      <c r="G9720" s="953"/>
      <c r="H9720" s="953"/>
    </row>
    <row r="9721" spans="1:8" s="943" customFormat="1" x14ac:dyDescent="0.25">
      <c r="A9721" s="952"/>
      <c r="B9721" s="953"/>
      <c r="C9721" s="953"/>
      <c r="D9721" s="953"/>
      <c r="E9721" s="953"/>
      <c r="F9721" s="953"/>
      <c r="G9721" s="953"/>
      <c r="H9721" s="953"/>
    </row>
    <row r="9722" spans="1:8" s="943" customFormat="1" x14ac:dyDescent="0.25">
      <c r="A9722" s="952"/>
      <c r="B9722" s="953"/>
      <c r="C9722" s="953"/>
      <c r="D9722" s="953"/>
      <c r="E9722" s="953"/>
      <c r="F9722" s="953"/>
      <c r="G9722" s="953"/>
      <c r="H9722" s="953"/>
    </row>
    <row r="9723" spans="1:8" s="943" customFormat="1" x14ac:dyDescent="0.25">
      <c r="A9723" s="952"/>
      <c r="B9723" s="953"/>
      <c r="C9723" s="953"/>
      <c r="D9723" s="953"/>
      <c r="E9723" s="953"/>
      <c r="F9723" s="953"/>
      <c r="G9723" s="953"/>
      <c r="H9723" s="953"/>
    </row>
    <row r="9724" spans="1:8" s="943" customFormat="1" x14ac:dyDescent="0.25">
      <c r="A9724" s="952"/>
      <c r="B9724" s="953"/>
      <c r="C9724" s="953"/>
      <c r="D9724" s="953"/>
      <c r="E9724" s="953"/>
      <c r="F9724" s="953"/>
      <c r="G9724" s="953"/>
      <c r="H9724" s="953"/>
    </row>
    <row r="9725" spans="1:8" s="943" customFormat="1" x14ac:dyDescent="0.25">
      <c r="A9725" s="952"/>
      <c r="B9725" s="953"/>
      <c r="C9725" s="953"/>
      <c r="D9725" s="953"/>
      <c r="E9725" s="953"/>
      <c r="F9725" s="953"/>
      <c r="G9725" s="953"/>
      <c r="H9725" s="953"/>
    </row>
    <row r="9726" spans="1:8" s="943" customFormat="1" x14ac:dyDescent="0.25">
      <c r="A9726" s="952"/>
      <c r="B9726" s="953"/>
      <c r="C9726" s="953"/>
      <c r="D9726" s="953"/>
      <c r="E9726" s="953"/>
      <c r="F9726" s="953"/>
      <c r="G9726" s="953"/>
      <c r="H9726" s="953"/>
    </row>
    <row r="9727" spans="1:8" s="943" customFormat="1" x14ac:dyDescent="0.25">
      <c r="A9727" s="952"/>
      <c r="B9727" s="953"/>
      <c r="C9727" s="953"/>
      <c r="D9727" s="953"/>
      <c r="E9727" s="953"/>
      <c r="F9727" s="953"/>
      <c r="G9727" s="953"/>
      <c r="H9727" s="953"/>
    </row>
    <row r="9728" spans="1:8" s="943" customFormat="1" x14ac:dyDescent="0.25">
      <c r="A9728" s="952"/>
      <c r="B9728" s="953"/>
      <c r="C9728" s="953"/>
      <c r="D9728" s="953"/>
      <c r="E9728" s="953"/>
      <c r="F9728" s="953"/>
      <c r="G9728" s="953"/>
      <c r="H9728" s="953"/>
    </row>
    <row r="9729" spans="1:8" s="943" customFormat="1" x14ac:dyDescent="0.25">
      <c r="A9729" s="952"/>
      <c r="B9729" s="953"/>
      <c r="C9729" s="953"/>
      <c r="D9729" s="953"/>
      <c r="E9729" s="953"/>
      <c r="F9729" s="953"/>
      <c r="G9729" s="953"/>
      <c r="H9729" s="953"/>
    </row>
    <row r="9730" spans="1:8" s="943" customFormat="1" x14ac:dyDescent="0.25">
      <c r="A9730" s="952"/>
      <c r="B9730" s="953"/>
      <c r="C9730" s="953"/>
      <c r="D9730" s="953"/>
      <c r="E9730" s="953"/>
      <c r="F9730" s="953"/>
      <c r="G9730" s="953"/>
      <c r="H9730" s="953"/>
    </row>
    <row r="9731" spans="1:8" s="943" customFormat="1" x14ac:dyDescent="0.25">
      <c r="A9731" s="952"/>
      <c r="B9731" s="953"/>
      <c r="C9731" s="953"/>
      <c r="D9731" s="953"/>
      <c r="E9731" s="953"/>
      <c r="F9731" s="953"/>
      <c r="G9731" s="953"/>
      <c r="H9731" s="953"/>
    </row>
    <row r="9732" spans="1:8" s="943" customFormat="1" x14ac:dyDescent="0.25">
      <c r="A9732" s="952"/>
      <c r="B9732" s="953"/>
      <c r="C9732" s="953"/>
      <c r="D9732" s="953"/>
      <c r="E9732" s="953"/>
      <c r="F9732" s="953"/>
      <c r="G9732" s="953"/>
      <c r="H9732" s="953"/>
    </row>
    <row r="9733" spans="1:8" s="943" customFormat="1" x14ac:dyDescent="0.25">
      <c r="A9733" s="952"/>
      <c r="B9733" s="953"/>
      <c r="C9733" s="953"/>
      <c r="D9733" s="953"/>
      <c r="E9733" s="953"/>
      <c r="F9733" s="953"/>
      <c r="G9733" s="953"/>
      <c r="H9733" s="953"/>
    </row>
    <row r="9734" spans="1:8" s="943" customFormat="1" x14ac:dyDescent="0.25">
      <c r="A9734" s="952"/>
      <c r="B9734" s="953"/>
      <c r="C9734" s="953"/>
      <c r="D9734" s="953"/>
      <c r="E9734" s="953"/>
      <c r="F9734" s="953"/>
      <c r="G9734" s="953"/>
      <c r="H9734" s="953"/>
    </row>
    <row r="9735" spans="1:8" s="943" customFormat="1" x14ac:dyDescent="0.25">
      <c r="A9735" s="952"/>
      <c r="B9735" s="953"/>
      <c r="C9735" s="953"/>
      <c r="D9735" s="953"/>
      <c r="E9735" s="953"/>
      <c r="F9735" s="953"/>
      <c r="G9735" s="953"/>
      <c r="H9735" s="953"/>
    </row>
    <row r="9736" spans="1:8" s="943" customFormat="1" x14ac:dyDescent="0.25">
      <c r="A9736" s="952"/>
      <c r="B9736" s="953"/>
      <c r="C9736" s="953"/>
      <c r="D9736" s="953"/>
      <c r="E9736" s="953"/>
      <c r="F9736" s="953"/>
      <c r="G9736" s="953"/>
      <c r="H9736" s="953"/>
    </row>
    <row r="9737" spans="1:8" s="943" customFormat="1" x14ac:dyDescent="0.25">
      <c r="A9737" s="952"/>
      <c r="B9737" s="953"/>
      <c r="C9737" s="953"/>
      <c r="D9737" s="953"/>
      <c r="E9737" s="953"/>
      <c r="F9737" s="953"/>
      <c r="G9737" s="953"/>
      <c r="H9737" s="953"/>
    </row>
    <row r="9738" spans="1:8" s="943" customFormat="1" x14ac:dyDescent="0.25">
      <c r="A9738" s="952"/>
      <c r="B9738" s="953"/>
      <c r="C9738" s="953"/>
      <c r="D9738" s="953"/>
      <c r="E9738" s="953"/>
      <c r="F9738" s="953"/>
      <c r="G9738" s="953"/>
      <c r="H9738" s="953"/>
    </row>
    <row r="9739" spans="1:8" s="943" customFormat="1" x14ac:dyDescent="0.25">
      <c r="A9739" s="952"/>
      <c r="B9739" s="953"/>
      <c r="C9739" s="953"/>
      <c r="D9739" s="953"/>
      <c r="E9739" s="953"/>
      <c r="F9739" s="953"/>
      <c r="G9739" s="953"/>
      <c r="H9739" s="953"/>
    </row>
    <row r="9740" spans="1:8" s="943" customFormat="1" x14ac:dyDescent="0.25">
      <c r="A9740" s="952"/>
      <c r="B9740" s="953"/>
      <c r="C9740" s="953"/>
      <c r="D9740" s="953"/>
      <c r="E9740" s="953"/>
      <c r="F9740" s="953"/>
      <c r="G9740" s="953"/>
      <c r="H9740" s="953"/>
    </row>
    <row r="9741" spans="1:8" s="943" customFormat="1" x14ac:dyDescent="0.25">
      <c r="A9741" s="952"/>
      <c r="B9741" s="953"/>
      <c r="C9741" s="953"/>
      <c r="D9741" s="953"/>
      <c r="E9741" s="953"/>
      <c r="F9741" s="953"/>
      <c r="G9741" s="953"/>
      <c r="H9741" s="953"/>
    </row>
    <row r="9742" spans="1:8" s="943" customFormat="1" x14ac:dyDescent="0.25">
      <c r="A9742" s="952"/>
      <c r="B9742" s="953"/>
      <c r="C9742" s="953"/>
      <c r="D9742" s="953"/>
      <c r="E9742" s="953"/>
      <c r="F9742" s="953"/>
      <c r="G9742" s="953"/>
      <c r="H9742" s="953"/>
    </row>
    <row r="9743" spans="1:8" s="943" customFormat="1" x14ac:dyDescent="0.25">
      <c r="A9743" s="952"/>
      <c r="B9743" s="953"/>
      <c r="C9743" s="953"/>
      <c r="D9743" s="953"/>
      <c r="E9743" s="953"/>
      <c r="F9743" s="953"/>
      <c r="G9743" s="953"/>
      <c r="H9743" s="953"/>
    </row>
    <row r="9744" spans="1:8" s="943" customFormat="1" x14ac:dyDescent="0.25">
      <c r="A9744" s="952"/>
      <c r="B9744" s="953"/>
      <c r="C9744" s="953"/>
      <c r="D9744" s="953"/>
      <c r="E9744" s="953"/>
      <c r="F9744" s="953"/>
      <c r="G9744" s="953"/>
      <c r="H9744" s="953"/>
    </row>
    <row r="9745" spans="1:8" s="943" customFormat="1" x14ac:dyDescent="0.25">
      <c r="A9745" s="952"/>
      <c r="B9745" s="953"/>
      <c r="C9745" s="953"/>
      <c r="D9745" s="953"/>
      <c r="E9745" s="953"/>
      <c r="F9745" s="953"/>
      <c r="G9745" s="953"/>
      <c r="H9745" s="953"/>
    </row>
    <row r="9746" spans="1:8" s="943" customFormat="1" x14ac:dyDescent="0.25">
      <c r="A9746" s="952"/>
      <c r="B9746" s="953"/>
      <c r="C9746" s="953"/>
      <c r="D9746" s="953"/>
      <c r="E9746" s="953"/>
      <c r="F9746" s="953"/>
      <c r="G9746" s="953"/>
      <c r="H9746" s="953"/>
    </row>
    <row r="9747" spans="1:8" s="943" customFormat="1" x14ac:dyDescent="0.25">
      <c r="A9747" s="952"/>
      <c r="B9747" s="953"/>
      <c r="C9747" s="953"/>
      <c r="D9747" s="953"/>
      <c r="E9747" s="953"/>
      <c r="F9747" s="953"/>
      <c r="G9747" s="953"/>
      <c r="H9747" s="953"/>
    </row>
    <row r="9748" spans="1:8" s="943" customFormat="1" x14ac:dyDescent="0.25">
      <c r="A9748" s="952"/>
      <c r="B9748" s="953"/>
      <c r="C9748" s="953"/>
      <c r="D9748" s="953"/>
      <c r="E9748" s="953"/>
      <c r="F9748" s="953"/>
      <c r="G9748" s="953"/>
      <c r="H9748" s="953"/>
    </row>
    <row r="9749" spans="1:8" s="943" customFormat="1" x14ac:dyDescent="0.25">
      <c r="A9749" s="952"/>
      <c r="B9749" s="953"/>
      <c r="C9749" s="953"/>
      <c r="D9749" s="953"/>
      <c r="E9749" s="953"/>
      <c r="F9749" s="953"/>
      <c r="G9749" s="953"/>
      <c r="H9749" s="953"/>
    </row>
    <row r="9750" spans="1:8" s="943" customFormat="1" x14ac:dyDescent="0.25">
      <c r="A9750" s="952"/>
      <c r="B9750" s="953"/>
      <c r="C9750" s="953"/>
      <c r="D9750" s="953"/>
      <c r="E9750" s="953"/>
      <c r="F9750" s="953"/>
      <c r="G9750" s="953"/>
      <c r="H9750" s="953"/>
    </row>
    <row r="9751" spans="1:8" s="943" customFormat="1" x14ac:dyDescent="0.25">
      <c r="A9751" s="952"/>
      <c r="B9751" s="953"/>
      <c r="C9751" s="953"/>
      <c r="D9751" s="953"/>
      <c r="E9751" s="953"/>
      <c r="F9751" s="953"/>
      <c r="G9751" s="953"/>
      <c r="H9751" s="953"/>
    </row>
    <row r="9752" spans="1:8" s="943" customFormat="1" x14ac:dyDescent="0.25">
      <c r="A9752" s="952"/>
      <c r="B9752" s="953"/>
      <c r="C9752" s="953"/>
      <c r="D9752" s="953"/>
      <c r="E9752" s="953"/>
      <c r="F9752" s="953"/>
      <c r="G9752" s="953"/>
      <c r="H9752" s="953"/>
    </row>
    <row r="9753" spans="1:8" s="943" customFormat="1" x14ac:dyDescent="0.25">
      <c r="A9753" s="952"/>
      <c r="B9753" s="953"/>
      <c r="C9753" s="953"/>
      <c r="D9753" s="953"/>
      <c r="E9753" s="953"/>
      <c r="F9753" s="953"/>
      <c r="G9753" s="953"/>
      <c r="H9753" s="953"/>
    </row>
    <row r="9754" spans="1:8" s="943" customFormat="1" x14ac:dyDescent="0.25">
      <c r="A9754" s="952"/>
      <c r="B9754" s="953"/>
      <c r="C9754" s="953"/>
      <c r="D9754" s="953"/>
      <c r="E9754" s="953"/>
      <c r="F9754" s="953"/>
      <c r="G9754" s="953"/>
      <c r="H9754" s="953"/>
    </row>
    <row r="9755" spans="1:8" s="943" customFormat="1" x14ac:dyDescent="0.25">
      <c r="A9755" s="952"/>
      <c r="B9755" s="953"/>
      <c r="C9755" s="953"/>
      <c r="D9755" s="953"/>
      <c r="E9755" s="953"/>
      <c r="F9755" s="953"/>
      <c r="G9755" s="953"/>
      <c r="H9755" s="953"/>
    </row>
    <row r="9756" spans="1:8" s="943" customFormat="1" x14ac:dyDescent="0.25">
      <c r="A9756" s="952"/>
      <c r="B9756" s="953"/>
      <c r="C9756" s="953"/>
      <c r="D9756" s="953"/>
      <c r="E9756" s="953"/>
      <c r="F9756" s="953"/>
      <c r="G9756" s="953"/>
      <c r="H9756" s="953"/>
    </row>
    <row r="9757" spans="1:8" s="943" customFormat="1" x14ac:dyDescent="0.25">
      <c r="A9757" s="952"/>
      <c r="B9757" s="953"/>
      <c r="C9757" s="953"/>
      <c r="D9757" s="953"/>
      <c r="E9757" s="953"/>
      <c r="F9757" s="953"/>
      <c r="G9757" s="953"/>
      <c r="H9757" s="953"/>
    </row>
    <row r="9758" spans="1:8" s="943" customFormat="1" x14ac:dyDescent="0.25">
      <c r="A9758" s="952"/>
      <c r="B9758" s="953"/>
      <c r="C9758" s="953"/>
      <c r="D9758" s="953"/>
      <c r="E9758" s="953"/>
      <c r="F9758" s="953"/>
      <c r="G9758" s="953"/>
      <c r="H9758" s="953"/>
    </row>
    <row r="9759" spans="1:8" s="943" customFormat="1" x14ac:dyDescent="0.25">
      <c r="A9759" s="952"/>
      <c r="B9759" s="953"/>
      <c r="C9759" s="953"/>
      <c r="D9759" s="953"/>
      <c r="E9759" s="953"/>
      <c r="F9759" s="953"/>
      <c r="G9759" s="953"/>
      <c r="H9759" s="953"/>
    </row>
    <row r="9760" spans="1:8" s="943" customFormat="1" x14ac:dyDescent="0.25">
      <c r="A9760" s="952"/>
      <c r="B9760" s="953"/>
      <c r="C9760" s="953"/>
      <c r="D9760" s="953"/>
      <c r="E9760" s="953"/>
      <c r="F9760" s="953"/>
      <c r="G9760" s="953"/>
      <c r="H9760" s="953"/>
    </row>
    <row r="9761" spans="1:8" s="943" customFormat="1" x14ac:dyDescent="0.25">
      <c r="A9761" s="952"/>
      <c r="B9761" s="953"/>
      <c r="C9761" s="953"/>
      <c r="D9761" s="953"/>
      <c r="E9761" s="953"/>
      <c r="F9761" s="953"/>
      <c r="G9761" s="953"/>
      <c r="H9761" s="953"/>
    </row>
    <row r="9762" spans="1:8" s="943" customFormat="1" x14ac:dyDescent="0.25">
      <c r="A9762" s="952"/>
      <c r="B9762" s="953"/>
      <c r="C9762" s="953"/>
      <c r="D9762" s="953"/>
      <c r="E9762" s="953"/>
      <c r="F9762" s="953"/>
      <c r="G9762" s="953"/>
      <c r="H9762" s="953"/>
    </row>
    <row r="9763" spans="1:8" s="943" customFormat="1" x14ac:dyDescent="0.25">
      <c r="A9763" s="952"/>
      <c r="B9763" s="953"/>
      <c r="C9763" s="953"/>
      <c r="D9763" s="953"/>
      <c r="E9763" s="953"/>
      <c r="F9763" s="953"/>
      <c r="G9763" s="953"/>
      <c r="H9763" s="953"/>
    </row>
    <row r="9764" spans="1:8" s="943" customFormat="1" x14ac:dyDescent="0.25">
      <c r="A9764" s="952"/>
      <c r="B9764" s="953"/>
      <c r="C9764" s="953"/>
      <c r="D9764" s="953"/>
      <c r="E9764" s="953"/>
      <c r="F9764" s="953"/>
      <c r="G9764" s="953"/>
      <c r="H9764" s="953"/>
    </row>
    <row r="9765" spans="1:8" s="943" customFormat="1" x14ac:dyDescent="0.25">
      <c r="A9765" s="952"/>
      <c r="B9765" s="953"/>
      <c r="C9765" s="953"/>
      <c r="D9765" s="953"/>
      <c r="E9765" s="953"/>
      <c r="F9765" s="953"/>
      <c r="G9765" s="953"/>
      <c r="H9765" s="953"/>
    </row>
    <row r="9766" spans="1:8" s="943" customFormat="1" x14ac:dyDescent="0.25">
      <c r="A9766" s="952"/>
      <c r="B9766" s="953"/>
      <c r="C9766" s="953"/>
      <c r="D9766" s="953"/>
      <c r="E9766" s="953"/>
      <c r="F9766" s="953"/>
      <c r="G9766" s="953"/>
      <c r="H9766" s="953"/>
    </row>
    <row r="9767" spans="1:8" s="943" customFormat="1" x14ac:dyDescent="0.25">
      <c r="A9767" s="952"/>
      <c r="B9767" s="953"/>
      <c r="C9767" s="953"/>
      <c r="D9767" s="953"/>
      <c r="E9767" s="953"/>
      <c r="F9767" s="953"/>
      <c r="G9767" s="953"/>
      <c r="H9767" s="953"/>
    </row>
    <row r="9768" spans="1:8" s="943" customFormat="1" x14ac:dyDescent="0.25">
      <c r="A9768" s="952"/>
      <c r="B9768" s="953"/>
      <c r="C9768" s="953"/>
      <c r="D9768" s="953"/>
      <c r="E9768" s="953"/>
      <c r="F9768" s="953"/>
      <c r="G9768" s="953"/>
      <c r="H9768" s="953"/>
    </row>
    <row r="9769" spans="1:8" s="943" customFormat="1" x14ac:dyDescent="0.25">
      <c r="A9769" s="952"/>
      <c r="B9769" s="953"/>
      <c r="C9769" s="953"/>
      <c r="D9769" s="953"/>
      <c r="E9769" s="953"/>
      <c r="F9769" s="953"/>
      <c r="G9769" s="953"/>
      <c r="H9769" s="953"/>
    </row>
    <row r="9770" spans="1:8" s="943" customFormat="1" x14ac:dyDescent="0.25">
      <c r="A9770" s="952"/>
      <c r="B9770" s="953"/>
      <c r="C9770" s="953"/>
      <c r="D9770" s="953"/>
      <c r="E9770" s="953"/>
      <c r="F9770" s="953"/>
      <c r="G9770" s="953"/>
      <c r="H9770" s="953"/>
    </row>
    <row r="9771" spans="1:8" s="943" customFormat="1" x14ac:dyDescent="0.25">
      <c r="A9771" s="952"/>
      <c r="B9771" s="953"/>
      <c r="C9771" s="953"/>
      <c r="D9771" s="953"/>
      <c r="E9771" s="953"/>
      <c r="F9771" s="953"/>
      <c r="G9771" s="953"/>
      <c r="H9771" s="953"/>
    </row>
    <row r="9772" spans="1:8" s="943" customFormat="1" x14ac:dyDescent="0.25">
      <c r="A9772" s="952"/>
      <c r="B9772" s="953"/>
      <c r="C9772" s="953"/>
      <c r="D9772" s="953"/>
      <c r="E9772" s="953"/>
      <c r="F9772" s="953"/>
      <c r="G9772" s="953"/>
      <c r="H9772" s="953"/>
    </row>
    <row r="9773" spans="1:8" s="943" customFormat="1" x14ac:dyDescent="0.25">
      <c r="A9773" s="952"/>
      <c r="B9773" s="953"/>
      <c r="C9773" s="953"/>
      <c r="D9773" s="953"/>
      <c r="E9773" s="953"/>
      <c r="F9773" s="953"/>
      <c r="G9773" s="953"/>
      <c r="H9773" s="953"/>
    </row>
    <row r="9774" spans="1:8" s="943" customFormat="1" x14ac:dyDescent="0.25">
      <c r="A9774" s="952"/>
      <c r="B9774" s="953"/>
      <c r="C9774" s="953"/>
      <c r="D9774" s="953"/>
      <c r="E9774" s="953"/>
      <c r="F9774" s="953"/>
      <c r="G9774" s="953"/>
      <c r="H9774" s="953"/>
    </row>
    <row r="9775" spans="1:8" s="943" customFormat="1" x14ac:dyDescent="0.25">
      <c r="A9775" s="952"/>
      <c r="B9775" s="953"/>
      <c r="C9775" s="953"/>
      <c r="D9775" s="953"/>
      <c r="E9775" s="953"/>
      <c r="F9775" s="953"/>
      <c r="G9775" s="953"/>
      <c r="H9775" s="953"/>
    </row>
    <row r="9776" spans="1:8" s="943" customFormat="1" x14ac:dyDescent="0.25">
      <c r="A9776" s="952"/>
      <c r="B9776" s="953"/>
      <c r="C9776" s="953"/>
      <c r="D9776" s="953"/>
      <c r="E9776" s="953"/>
      <c r="F9776" s="953"/>
      <c r="G9776" s="953"/>
      <c r="H9776" s="953"/>
    </row>
    <row r="9777" spans="1:8" s="943" customFormat="1" x14ac:dyDescent="0.25">
      <c r="A9777" s="952"/>
      <c r="B9777" s="953"/>
      <c r="C9777" s="953"/>
      <c r="D9777" s="953"/>
      <c r="E9777" s="953"/>
      <c r="F9777" s="953"/>
      <c r="G9777" s="953"/>
      <c r="H9777" s="953"/>
    </row>
    <row r="9778" spans="1:8" s="943" customFormat="1" x14ac:dyDescent="0.25">
      <c r="A9778" s="952"/>
      <c r="B9778" s="953"/>
      <c r="C9778" s="953"/>
      <c r="D9778" s="953"/>
      <c r="E9778" s="953"/>
      <c r="F9778" s="953"/>
      <c r="G9778" s="953"/>
      <c r="H9778" s="953"/>
    </row>
    <row r="9779" spans="1:8" s="943" customFormat="1" x14ac:dyDescent="0.25">
      <c r="A9779" s="952"/>
      <c r="B9779" s="953"/>
      <c r="C9779" s="953"/>
      <c r="D9779" s="953"/>
      <c r="E9779" s="953"/>
      <c r="F9779" s="953"/>
      <c r="G9779" s="953"/>
      <c r="H9779" s="953"/>
    </row>
    <row r="9780" spans="1:8" s="943" customFormat="1" x14ac:dyDescent="0.25">
      <c r="A9780" s="952"/>
      <c r="B9780" s="953"/>
      <c r="C9780" s="953"/>
      <c r="D9780" s="953"/>
      <c r="E9780" s="953"/>
      <c r="F9780" s="953"/>
      <c r="G9780" s="953"/>
      <c r="H9780" s="953"/>
    </row>
    <row r="9781" spans="1:8" s="943" customFormat="1" x14ac:dyDescent="0.25">
      <c r="A9781" s="952"/>
      <c r="B9781" s="953"/>
      <c r="C9781" s="953"/>
      <c r="D9781" s="953"/>
      <c r="E9781" s="953"/>
      <c r="F9781" s="953"/>
      <c r="G9781" s="953"/>
      <c r="H9781" s="953"/>
    </row>
    <row r="9782" spans="1:8" s="943" customFormat="1" x14ac:dyDescent="0.25">
      <c r="A9782" s="952"/>
      <c r="B9782" s="953"/>
      <c r="C9782" s="953"/>
      <c r="D9782" s="953"/>
      <c r="E9782" s="953"/>
      <c r="F9782" s="953"/>
      <c r="G9782" s="953"/>
      <c r="H9782" s="953"/>
    </row>
    <row r="9783" spans="1:8" s="943" customFormat="1" x14ac:dyDescent="0.25">
      <c r="A9783" s="952"/>
      <c r="B9783" s="953"/>
      <c r="C9783" s="953"/>
      <c r="D9783" s="953"/>
      <c r="E9783" s="953"/>
      <c r="F9783" s="953"/>
      <c r="G9783" s="953"/>
      <c r="H9783" s="953"/>
    </row>
    <row r="9784" spans="1:8" s="943" customFormat="1" x14ac:dyDescent="0.25">
      <c r="A9784" s="952"/>
      <c r="B9784" s="953"/>
      <c r="C9784" s="953"/>
      <c r="D9784" s="953"/>
      <c r="E9784" s="953"/>
      <c r="F9784" s="953"/>
      <c r="G9784" s="953"/>
      <c r="H9784" s="953"/>
    </row>
    <row r="9785" spans="1:8" s="943" customFormat="1" x14ac:dyDescent="0.25">
      <c r="A9785" s="952"/>
      <c r="B9785" s="953"/>
      <c r="C9785" s="953"/>
      <c r="D9785" s="953"/>
      <c r="E9785" s="953"/>
      <c r="F9785" s="953"/>
      <c r="G9785" s="953"/>
      <c r="H9785" s="953"/>
    </row>
    <row r="9786" spans="1:8" s="943" customFormat="1" x14ac:dyDescent="0.25">
      <c r="A9786" s="952"/>
      <c r="B9786" s="953"/>
      <c r="C9786" s="953"/>
      <c r="D9786" s="953"/>
      <c r="E9786" s="953"/>
      <c r="F9786" s="953"/>
      <c r="G9786" s="953"/>
      <c r="H9786" s="953"/>
    </row>
    <row r="9787" spans="1:8" s="943" customFormat="1" x14ac:dyDescent="0.25">
      <c r="A9787" s="952"/>
      <c r="B9787" s="953"/>
      <c r="C9787" s="953"/>
      <c r="D9787" s="953"/>
      <c r="E9787" s="953"/>
      <c r="F9787" s="953"/>
      <c r="G9787" s="953"/>
      <c r="H9787" s="953"/>
    </row>
    <row r="9788" spans="1:8" s="943" customFormat="1" x14ac:dyDescent="0.25">
      <c r="A9788" s="952"/>
      <c r="B9788" s="953"/>
      <c r="C9788" s="953"/>
      <c r="D9788" s="953"/>
      <c r="E9788" s="953"/>
      <c r="F9788" s="953"/>
      <c r="G9788" s="953"/>
      <c r="H9788" s="953"/>
    </row>
    <row r="9789" spans="1:8" s="943" customFormat="1" x14ac:dyDescent="0.25">
      <c r="A9789" s="952"/>
      <c r="B9789" s="953"/>
      <c r="C9789" s="953"/>
      <c r="D9789" s="953"/>
      <c r="E9789" s="953"/>
      <c r="F9789" s="953"/>
      <c r="G9789" s="953"/>
      <c r="H9789" s="953"/>
    </row>
    <row r="9790" spans="1:8" s="943" customFormat="1" x14ac:dyDescent="0.25">
      <c r="A9790" s="952"/>
      <c r="B9790" s="953"/>
      <c r="C9790" s="953"/>
      <c r="D9790" s="953"/>
      <c r="E9790" s="953"/>
      <c r="F9790" s="953"/>
      <c r="G9790" s="953"/>
      <c r="H9790" s="953"/>
    </row>
    <row r="9791" spans="1:8" s="943" customFormat="1" x14ac:dyDescent="0.25">
      <c r="A9791" s="952"/>
      <c r="B9791" s="953"/>
      <c r="C9791" s="953"/>
      <c r="D9791" s="953"/>
      <c r="E9791" s="953"/>
      <c r="F9791" s="953"/>
      <c r="G9791" s="953"/>
      <c r="H9791" s="953"/>
    </row>
    <row r="9792" spans="1:8" s="943" customFormat="1" x14ac:dyDescent="0.25">
      <c r="A9792" s="952"/>
      <c r="B9792" s="953"/>
      <c r="C9792" s="953"/>
      <c r="D9792" s="953"/>
      <c r="E9792" s="953"/>
      <c r="F9792" s="953"/>
      <c r="G9792" s="953"/>
      <c r="H9792" s="953"/>
    </row>
    <row r="9793" spans="1:8" s="943" customFormat="1" x14ac:dyDescent="0.25">
      <c r="A9793" s="952"/>
      <c r="B9793" s="953"/>
      <c r="C9793" s="953"/>
      <c r="D9793" s="953"/>
      <c r="E9793" s="953"/>
      <c r="F9793" s="953"/>
      <c r="G9793" s="953"/>
      <c r="H9793" s="953"/>
    </row>
    <row r="9794" spans="1:8" s="943" customFormat="1" x14ac:dyDescent="0.25">
      <c r="A9794" s="952"/>
      <c r="B9794" s="953"/>
      <c r="C9794" s="953"/>
      <c r="D9794" s="953"/>
      <c r="E9794" s="953"/>
      <c r="F9794" s="953"/>
      <c r="G9794" s="953"/>
      <c r="H9794" s="953"/>
    </row>
    <row r="9795" spans="1:8" s="943" customFormat="1" x14ac:dyDescent="0.25">
      <c r="A9795" s="952"/>
      <c r="B9795" s="953"/>
      <c r="C9795" s="953"/>
      <c r="D9795" s="953"/>
      <c r="E9795" s="953"/>
      <c r="F9795" s="953"/>
      <c r="G9795" s="953"/>
      <c r="H9795" s="953"/>
    </row>
    <row r="9796" spans="1:8" s="943" customFormat="1" x14ac:dyDescent="0.25">
      <c r="A9796" s="952"/>
      <c r="B9796" s="953"/>
      <c r="C9796" s="953"/>
      <c r="D9796" s="953"/>
      <c r="E9796" s="953"/>
      <c r="F9796" s="953"/>
      <c r="G9796" s="953"/>
      <c r="H9796" s="953"/>
    </row>
    <row r="9797" spans="1:8" s="943" customFormat="1" x14ac:dyDescent="0.25">
      <c r="A9797" s="952"/>
      <c r="B9797" s="953"/>
      <c r="C9797" s="953"/>
      <c r="D9797" s="953"/>
      <c r="E9797" s="953"/>
      <c r="F9797" s="953"/>
      <c r="G9797" s="953"/>
      <c r="H9797" s="953"/>
    </row>
    <row r="9798" spans="1:8" s="943" customFormat="1" x14ac:dyDescent="0.25">
      <c r="A9798" s="952"/>
      <c r="B9798" s="953"/>
      <c r="C9798" s="953"/>
      <c r="D9798" s="953"/>
      <c r="E9798" s="953"/>
      <c r="F9798" s="953"/>
      <c r="G9798" s="953"/>
      <c r="H9798" s="953"/>
    </row>
    <row r="9799" spans="1:8" s="943" customFormat="1" x14ac:dyDescent="0.25">
      <c r="A9799" s="952"/>
      <c r="B9799" s="953"/>
      <c r="C9799" s="953"/>
      <c r="D9799" s="953"/>
      <c r="E9799" s="953"/>
      <c r="F9799" s="953"/>
      <c r="G9799" s="953"/>
      <c r="H9799" s="953"/>
    </row>
    <row r="9800" spans="1:8" s="943" customFormat="1" x14ac:dyDescent="0.25">
      <c r="A9800" s="952"/>
      <c r="B9800" s="953"/>
      <c r="C9800" s="953"/>
      <c r="D9800" s="953"/>
      <c r="E9800" s="953"/>
      <c r="F9800" s="953"/>
      <c r="G9800" s="953"/>
      <c r="H9800" s="953"/>
    </row>
    <row r="9801" spans="1:8" s="943" customFormat="1" x14ac:dyDescent="0.25">
      <c r="A9801" s="952"/>
      <c r="B9801" s="953"/>
      <c r="C9801" s="953"/>
      <c r="D9801" s="953"/>
      <c r="E9801" s="953"/>
      <c r="F9801" s="953"/>
      <c r="G9801" s="953"/>
      <c r="H9801" s="953"/>
    </row>
    <row r="9802" spans="1:8" s="943" customFormat="1" x14ac:dyDescent="0.25">
      <c r="A9802" s="952"/>
      <c r="B9802" s="953"/>
      <c r="C9802" s="953"/>
      <c r="D9802" s="953"/>
      <c r="E9802" s="953"/>
      <c r="F9802" s="953"/>
      <c r="G9802" s="953"/>
      <c r="H9802" s="953"/>
    </row>
    <row r="9803" spans="1:8" s="943" customFormat="1" x14ac:dyDescent="0.25">
      <c r="A9803" s="952"/>
      <c r="B9803" s="953"/>
      <c r="C9803" s="953"/>
      <c r="D9803" s="953"/>
      <c r="E9803" s="953"/>
      <c r="F9803" s="953"/>
      <c r="G9803" s="953"/>
      <c r="H9803" s="953"/>
    </row>
    <row r="9804" spans="1:8" s="943" customFormat="1" x14ac:dyDescent="0.25">
      <c r="A9804" s="952"/>
      <c r="B9804" s="953"/>
      <c r="C9804" s="953"/>
      <c r="D9804" s="953"/>
      <c r="E9804" s="953"/>
      <c r="F9804" s="953"/>
      <c r="G9804" s="953"/>
      <c r="H9804" s="953"/>
    </row>
    <row r="9805" spans="1:8" s="943" customFormat="1" x14ac:dyDescent="0.25">
      <c r="A9805" s="952"/>
      <c r="B9805" s="953"/>
      <c r="C9805" s="953"/>
      <c r="D9805" s="953"/>
      <c r="E9805" s="953"/>
      <c r="F9805" s="953"/>
      <c r="G9805" s="953"/>
      <c r="H9805" s="953"/>
    </row>
    <row r="9806" spans="1:8" s="943" customFormat="1" x14ac:dyDescent="0.25">
      <c r="A9806" s="952"/>
      <c r="B9806" s="953"/>
      <c r="C9806" s="953"/>
      <c r="D9806" s="953"/>
      <c r="E9806" s="953"/>
      <c r="F9806" s="953"/>
      <c r="G9806" s="953"/>
      <c r="H9806" s="953"/>
    </row>
    <row r="9807" spans="1:8" s="943" customFormat="1" x14ac:dyDescent="0.25">
      <c r="A9807" s="952"/>
      <c r="B9807" s="953"/>
      <c r="C9807" s="953"/>
      <c r="D9807" s="953"/>
      <c r="E9807" s="953"/>
      <c r="F9807" s="953"/>
      <c r="G9807" s="953"/>
      <c r="H9807" s="953"/>
    </row>
    <row r="9808" spans="1:8" s="943" customFormat="1" x14ac:dyDescent="0.25">
      <c r="A9808" s="952"/>
      <c r="B9808" s="953"/>
      <c r="C9808" s="953"/>
      <c r="D9808" s="953"/>
      <c r="E9808" s="953"/>
      <c r="F9808" s="953"/>
      <c r="G9808" s="953"/>
      <c r="H9808" s="953"/>
    </row>
    <row r="9809" spans="1:8" s="943" customFormat="1" x14ac:dyDescent="0.25">
      <c r="A9809" s="952"/>
      <c r="B9809" s="953"/>
      <c r="C9809" s="953"/>
      <c r="D9809" s="953"/>
      <c r="E9809" s="953"/>
      <c r="F9809" s="953"/>
      <c r="G9809" s="953"/>
      <c r="H9809" s="953"/>
    </row>
    <row r="9810" spans="1:8" s="943" customFormat="1" x14ac:dyDescent="0.25">
      <c r="A9810" s="952"/>
      <c r="B9810" s="953"/>
      <c r="C9810" s="953"/>
      <c r="D9810" s="953"/>
      <c r="E9810" s="953"/>
      <c r="F9810" s="953"/>
      <c r="G9810" s="953"/>
      <c r="H9810" s="953"/>
    </row>
    <row r="9811" spans="1:8" s="943" customFormat="1" x14ac:dyDescent="0.25">
      <c r="A9811" s="952"/>
      <c r="B9811" s="953"/>
      <c r="C9811" s="953"/>
      <c r="D9811" s="953"/>
      <c r="E9811" s="953"/>
      <c r="F9811" s="953"/>
      <c r="G9811" s="953"/>
      <c r="H9811" s="953"/>
    </row>
    <row r="9812" spans="1:8" s="943" customFormat="1" x14ac:dyDescent="0.25">
      <c r="A9812" s="952"/>
      <c r="B9812" s="953"/>
      <c r="C9812" s="953"/>
      <c r="D9812" s="953"/>
      <c r="E9812" s="953"/>
      <c r="F9812" s="953"/>
      <c r="G9812" s="953"/>
      <c r="H9812" s="953"/>
    </row>
    <row r="9813" spans="1:8" s="943" customFormat="1" x14ac:dyDescent="0.25">
      <c r="A9813" s="952"/>
      <c r="B9813" s="953"/>
      <c r="C9813" s="953"/>
      <c r="D9813" s="953"/>
      <c r="E9813" s="953"/>
      <c r="F9813" s="953"/>
      <c r="G9813" s="953"/>
      <c r="H9813" s="953"/>
    </row>
    <row r="9814" spans="1:8" s="943" customFormat="1" x14ac:dyDescent="0.25">
      <c r="A9814" s="952"/>
      <c r="B9814" s="953"/>
      <c r="C9814" s="953"/>
      <c r="D9814" s="953"/>
      <c r="E9814" s="953"/>
      <c r="F9814" s="953"/>
      <c r="G9814" s="953"/>
      <c r="H9814" s="953"/>
    </row>
    <row r="9815" spans="1:8" s="943" customFormat="1" x14ac:dyDescent="0.25">
      <c r="A9815" s="952"/>
      <c r="B9815" s="953"/>
      <c r="C9815" s="953"/>
      <c r="D9815" s="953"/>
      <c r="E9815" s="953"/>
      <c r="F9815" s="953"/>
      <c r="G9815" s="953"/>
      <c r="H9815" s="953"/>
    </row>
    <row r="9816" spans="1:8" s="943" customFormat="1" x14ac:dyDescent="0.25">
      <c r="A9816" s="952"/>
      <c r="B9816" s="953"/>
      <c r="C9816" s="953"/>
      <c r="D9816" s="953"/>
      <c r="E9816" s="953"/>
      <c r="F9816" s="953"/>
      <c r="G9816" s="953"/>
      <c r="H9816" s="953"/>
    </row>
    <row r="9817" spans="1:8" s="943" customFormat="1" x14ac:dyDescent="0.25">
      <c r="A9817" s="952"/>
      <c r="B9817" s="953"/>
      <c r="C9817" s="953"/>
      <c r="D9817" s="953"/>
      <c r="E9817" s="953"/>
      <c r="F9817" s="953"/>
      <c r="G9817" s="953"/>
      <c r="H9817" s="953"/>
    </row>
    <row r="9818" spans="1:8" s="943" customFormat="1" x14ac:dyDescent="0.25">
      <c r="A9818" s="952"/>
      <c r="B9818" s="953"/>
      <c r="C9818" s="953"/>
      <c r="D9818" s="953"/>
      <c r="E9818" s="953"/>
      <c r="F9818" s="953"/>
      <c r="G9818" s="953"/>
      <c r="H9818" s="953"/>
    </row>
    <row r="9819" spans="1:8" s="943" customFormat="1" x14ac:dyDescent="0.25">
      <c r="A9819" s="952"/>
      <c r="B9819" s="953"/>
      <c r="C9819" s="953"/>
      <c r="D9819" s="953"/>
      <c r="E9819" s="953"/>
      <c r="F9819" s="953"/>
      <c r="G9819" s="953"/>
      <c r="H9819" s="953"/>
    </row>
    <row r="9820" spans="1:8" s="943" customFormat="1" x14ac:dyDescent="0.25">
      <c r="A9820" s="952"/>
      <c r="B9820" s="953"/>
      <c r="C9820" s="953"/>
      <c r="D9820" s="953"/>
      <c r="E9820" s="953"/>
      <c r="F9820" s="953"/>
      <c r="G9820" s="953"/>
      <c r="H9820" s="953"/>
    </row>
    <row r="9821" spans="1:8" s="943" customFormat="1" x14ac:dyDescent="0.25">
      <c r="A9821" s="952"/>
      <c r="B9821" s="953"/>
      <c r="C9821" s="953"/>
      <c r="D9821" s="953"/>
      <c r="E9821" s="953"/>
      <c r="F9821" s="953"/>
      <c r="G9821" s="953"/>
      <c r="H9821" s="953"/>
    </row>
    <row r="9822" spans="1:8" s="943" customFormat="1" x14ac:dyDescent="0.25">
      <c r="A9822" s="952"/>
      <c r="B9822" s="953"/>
      <c r="C9822" s="953"/>
      <c r="D9822" s="953"/>
      <c r="E9822" s="953"/>
      <c r="F9822" s="953"/>
      <c r="G9822" s="953"/>
      <c r="H9822" s="953"/>
    </row>
    <row r="9823" spans="1:8" s="943" customFormat="1" x14ac:dyDescent="0.25">
      <c r="A9823" s="952"/>
      <c r="B9823" s="953"/>
      <c r="C9823" s="953"/>
      <c r="D9823" s="953"/>
      <c r="E9823" s="953"/>
      <c r="F9823" s="953"/>
      <c r="G9823" s="953"/>
      <c r="H9823" s="953"/>
    </row>
    <row r="9824" spans="1:8" s="943" customFormat="1" x14ac:dyDescent="0.25">
      <c r="A9824" s="952"/>
      <c r="B9824" s="953"/>
      <c r="C9824" s="953"/>
      <c r="D9824" s="953"/>
      <c r="E9824" s="953"/>
      <c r="F9824" s="953"/>
      <c r="G9824" s="953"/>
      <c r="H9824" s="953"/>
    </row>
    <row r="9825" spans="1:8" s="943" customFormat="1" x14ac:dyDescent="0.25">
      <c r="A9825" s="952"/>
      <c r="B9825" s="953"/>
      <c r="C9825" s="953"/>
      <c r="D9825" s="953"/>
      <c r="E9825" s="953"/>
      <c r="F9825" s="953"/>
      <c r="G9825" s="953"/>
      <c r="H9825" s="953"/>
    </row>
    <row r="9826" spans="1:8" s="943" customFormat="1" x14ac:dyDescent="0.25">
      <c r="A9826" s="952"/>
      <c r="B9826" s="953"/>
      <c r="C9826" s="953"/>
      <c r="D9826" s="953"/>
      <c r="E9826" s="953"/>
      <c r="F9826" s="953"/>
      <c r="G9826" s="953"/>
      <c r="H9826" s="953"/>
    </row>
    <row r="9827" spans="1:8" s="943" customFormat="1" x14ac:dyDescent="0.25">
      <c r="A9827" s="952"/>
      <c r="B9827" s="953"/>
      <c r="C9827" s="953"/>
      <c r="D9827" s="953"/>
      <c r="E9827" s="953"/>
      <c r="F9827" s="953"/>
      <c r="G9827" s="953"/>
      <c r="H9827" s="953"/>
    </row>
    <row r="9828" spans="1:8" s="943" customFormat="1" x14ac:dyDescent="0.25">
      <c r="A9828" s="952"/>
      <c r="B9828" s="953"/>
      <c r="C9828" s="953"/>
      <c r="D9828" s="953"/>
      <c r="E9828" s="953"/>
      <c r="F9828" s="953"/>
      <c r="G9828" s="953"/>
      <c r="H9828" s="953"/>
    </row>
    <row r="9829" spans="1:8" s="943" customFormat="1" x14ac:dyDescent="0.25">
      <c r="A9829" s="952"/>
      <c r="B9829" s="953"/>
      <c r="C9829" s="953"/>
      <c r="D9829" s="953"/>
      <c r="E9829" s="953"/>
      <c r="F9829" s="953"/>
      <c r="G9829" s="953"/>
      <c r="H9829" s="953"/>
    </row>
    <row r="9830" spans="1:8" s="943" customFormat="1" x14ac:dyDescent="0.25">
      <c r="A9830" s="952"/>
      <c r="B9830" s="953"/>
      <c r="C9830" s="953"/>
      <c r="D9830" s="953"/>
      <c r="E9830" s="953"/>
      <c r="F9830" s="953"/>
      <c r="G9830" s="953"/>
      <c r="H9830" s="953"/>
    </row>
    <row r="9831" spans="1:8" s="943" customFormat="1" x14ac:dyDescent="0.25">
      <c r="A9831" s="952"/>
      <c r="B9831" s="953"/>
      <c r="C9831" s="953"/>
      <c r="D9831" s="953"/>
      <c r="E9831" s="953"/>
      <c r="F9831" s="953"/>
      <c r="G9831" s="953"/>
      <c r="H9831" s="953"/>
    </row>
    <row r="9832" spans="1:8" s="943" customFormat="1" x14ac:dyDescent="0.25">
      <c r="A9832" s="952"/>
      <c r="B9832" s="953"/>
      <c r="C9832" s="953"/>
      <c r="D9832" s="953"/>
      <c r="E9832" s="953"/>
      <c r="F9832" s="953"/>
      <c r="G9832" s="953"/>
      <c r="H9832" s="953"/>
    </row>
    <row r="9833" spans="1:8" s="943" customFormat="1" x14ac:dyDescent="0.25">
      <c r="A9833" s="952"/>
      <c r="B9833" s="953"/>
      <c r="C9833" s="953"/>
      <c r="D9833" s="953"/>
      <c r="E9833" s="953"/>
      <c r="F9833" s="953"/>
      <c r="G9833" s="953"/>
      <c r="H9833" s="953"/>
    </row>
    <row r="9834" spans="1:8" s="943" customFormat="1" x14ac:dyDescent="0.25">
      <c r="A9834" s="952"/>
      <c r="B9834" s="953"/>
      <c r="C9834" s="953"/>
      <c r="D9834" s="953"/>
      <c r="E9834" s="953"/>
      <c r="F9834" s="953"/>
      <c r="G9834" s="953"/>
      <c r="H9834" s="953"/>
    </row>
    <row r="9835" spans="1:8" s="943" customFormat="1" x14ac:dyDescent="0.25">
      <c r="A9835" s="952"/>
      <c r="B9835" s="953"/>
      <c r="C9835" s="953"/>
      <c r="D9835" s="953"/>
      <c r="E9835" s="953"/>
      <c r="F9835" s="953"/>
      <c r="G9835" s="953"/>
      <c r="H9835" s="953"/>
    </row>
    <row r="9836" spans="1:8" s="943" customFormat="1" x14ac:dyDescent="0.25">
      <c r="A9836" s="952"/>
      <c r="B9836" s="953"/>
      <c r="C9836" s="953"/>
      <c r="D9836" s="953"/>
      <c r="E9836" s="953"/>
      <c r="F9836" s="953"/>
      <c r="G9836" s="953"/>
      <c r="H9836" s="953"/>
    </row>
    <row r="9837" spans="1:8" s="943" customFormat="1" x14ac:dyDescent="0.25">
      <c r="A9837" s="952"/>
      <c r="B9837" s="953"/>
      <c r="C9837" s="953"/>
      <c r="D9837" s="953"/>
      <c r="E9837" s="953"/>
      <c r="F9837" s="953"/>
      <c r="G9837" s="953"/>
      <c r="H9837" s="953"/>
    </row>
    <row r="9838" spans="1:8" s="943" customFormat="1" x14ac:dyDescent="0.25">
      <c r="A9838" s="952"/>
      <c r="B9838" s="953"/>
      <c r="C9838" s="953"/>
      <c r="D9838" s="953"/>
      <c r="E9838" s="953"/>
      <c r="F9838" s="953"/>
      <c r="G9838" s="953"/>
      <c r="H9838" s="953"/>
    </row>
    <row r="9839" spans="1:8" s="943" customFormat="1" x14ac:dyDescent="0.25">
      <c r="A9839" s="952"/>
      <c r="B9839" s="953"/>
      <c r="C9839" s="953"/>
      <c r="D9839" s="953"/>
      <c r="E9839" s="953"/>
      <c r="F9839" s="953"/>
      <c r="G9839" s="953"/>
      <c r="H9839" s="953"/>
    </row>
    <row r="9840" spans="1:8" s="943" customFormat="1" x14ac:dyDescent="0.25">
      <c r="A9840" s="952"/>
      <c r="B9840" s="953"/>
      <c r="C9840" s="953"/>
      <c r="D9840" s="953"/>
      <c r="E9840" s="953"/>
      <c r="F9840" s="953"/>
      <c r="G9840" s="953"/>
      <c r="H9840" s="953"/>
    </row>
    <row r="9841" spans="1:8" s="943" customFormat="1" x14ac:dyDescent="0.25">
      <c r="A9841" s="952"/>
      <c r="B9841" s="953"/>
      <c r="C9841" s="953"/>
      <c r="D9841" s="953"/>
      <c r="E9841" s="953"/>
      <c r="F9841" s="953"/>
      <c r="G9841" s="953"/>
      <c r="H9841" s="953"/>
    </row>
    <row r="9842" spans="1:8" s="943" customFormat="1" x14ac:dyDescent="0.25">
      <c r="A9842" s="952"/>
      <c r="B9842" s="953"/>
      <c r="C9842" s="953"/>
      <c r="D9842" s="953"/>
      <c r="E9842" s="953"/>
      <c r="F9842" s="953"/>
      <c r="G9842" s="953"/>
      <c r="H9842" s="953"/>
    </row>
    <row r="9843" spans="1:8" s="943" customFormat="1" x14ac:dyDescent="0.25">
      <c r="A9843" s="952"/>
      <c r="B9843" s="953"/>
      <c r="C9843" s="953"/>
      <c r="D9843" s="953"/>
      <c r="E9843" s="953"/>
      <c r="F9843" s="953"/>
      <c r="G9843" s="953"/>
      <c r="H9843" s="953"/>
    </row>
    <row r="9844" spans="1:8" s="943" customFormat="1" x14ac:dyDescent="0.25">
      <c r="A9844" s="952"/>
      <c r="B9844" s="953"/>
      <c r="C9844" s="953"/>
      <c r="D9844" s="953"/>
      <c r="E9844" s="953"/>
      <c r="F9844" s="953"/>
      <c r="G9844" s="953"/>
      <c r="H9844" s="953"/>
    </row>
    <row r="9845" spans="1:8" s="943" customFormat="1" x14ac:dyDescent="0.25">
      <c r="A9845" s="952"/>
      <c r="B9845" s="953"/>
      <c r="C9845" s="953"/>
      <c r="D9845" s="953"/>
      <c r="E9845" s="953"/>
      <c r="F9845" s="953"/>
      <c r="G9845" s="953"/>
      <c r="H9845" s="953"/>
    </row>
    <row r="9846" spans="1:8" s="943" customFormat="1" x14ac:dyDescent="0.25">
      <c r="A9846" s="952"/>
      <c r="B9846" s="953"/>
      <c r="C9846" s="953"/>
      <c r="D9846" s="953"/>
      <c r="E9846" s="953"/>
      <c r="F9846" s="953"/>
      <c r="G9846" s="953"/>
      <c r="H9846" s="953"/>
    </row>
    <row r="9847" spans="1:8" s="943" customFormat="1" x14ac:dyDescent="0.25">
      <c r="A9847" s="952"/>
      <c r="B9847" s="953"/>
      <c r="C9847" s="953"/>
      <c r="D9847" s="953"/>
      <c r="E9847" s="953"/>
      <c r="F9847" s="953"/>
      <c r="G9847" s="953"/>
      <c r="H9847" s="953"/>
    </row>
    <row r="9848" spans="1:8" s="943" customFormat="1" x14ac:dyDescent="0.25">
      <c r="A9848" s="952"/>
      <c r="B9848" s="953"/>
      <c r="C9848" s="953"/>
      <c r="D9848" s="953"/>
      <c r="E9848" s="953"/>
      <c r="F9848" s="953"/>
      <c r="G9848" s="953"/>
      <c r="H9848" s="953"/>
    </row>
    <row r="9849" spans="1:8" s="943" customFormat="1" x14ac:dyDescent="0.25">
      <c r="A9849" s="952"/>
      <c r="B9849" s="953"/>
      <c r="C9849" s="953"/>
      <c r="D9849" s="953"/>
      <c r="E9849" s="953"/>
      <c r="F9849" s="953"/>
      <c r="G9849" s="953"/>
      <c r="H9849" s="953"/>
    </row>
    <row r="9850" spans="1:8" s="943" customFormat="1" x14ac:dyDescent="0.25">
      <c r="A9850" s="952"/>
      <c r="B9850" s="953"/>
      <c r="C9850" s="953"/>
      <c r="D9850" s="953"/>
      <c r="E9850" s="953"/>
      <c r="F9850" s="953"/>
      <c r="G9850" s="953"/>
      <c r="H9850" s="953"/>
    </row>
    <row r="9851" spans="1:8" s="943" customFormat="1" x14ac:dyDescent="0.25">
      <c r="A9851" s="952"/>
      <c r="B9851" s="953"/>
      <c r="C9851" s="953"/>
      <c r="D9851" s="953"/>
      <c r="E9851" s="953"/>
      <c r="F9851" s="953"/>
      <c r="G9851" s="953"/>
      <c r="H9851" s="953"/>
    </row>
    <row r="9852" spans="1:8" s="943" customFormat="1" x14ac:dyDescent="0.25">
      <c r="A9852" s="952"/>
      <c r="B9852" s="953"/>
      <c r="C9852" s="953"/>
      <c r="D9852" s="953"/>
      <c r="E9852" s="953"/>
      <c r="F9852" s="953"/>
      <c r="G9852" s="953"/>
      <c r="H9852" s="953"/>
    </row>
    <row r="9853" spans="1:8" s="943" customFormat="1" x14ac:dyDescent="0.25">
      <c r="A9853" s="952"/>
      <c r="B9853" s="953"/>
      <c r="C9853" s="953"/>
      <c r="D9853" s="953"/>
      <c r="E9853" s="953"/>
      <c r="F9853" s="953"/>
      <c r="G9853" s="953"/>
      <c r="H9853" s="953"/>
    </row>
    <row r="9854" spans="1:8" s="943" customFormat="1" x14ac:dyDescent="0.25">
      <c r="A9854" s="952"/>
      <c r="B9854" s="953"/>
      <c r="C9854" s="953"/>
      <c r="D9854" s="953"/>
      <c r="E9854" s="953"/>
      <c r="F9854" s="953"/>
      <c r="G9854" s="953"/>
      <c r="H9854" s="953"/>
    </row>
    <row r="9855" spans="1:8" s="943" customFormat="1" x14ac:dyDescent="0.25">
      <c r="A9855" s="952"/>
      <c r="B9855" s="953"/>
      <c r="C9855" s="953"/>
      <c r="D9855" s="953"/>
      <c r="E9855" s="953"/>
      <c r="F9855" s="953"/>
      <c r="G9855" s="953"/>
      <c r="H9855" s="953"/>
    </row>
    <row r="9856" spans="1:8" s="943" customFormat="1" x14ac:dyDescent="0.25">
      <c r="A9856" s="952"/>
      <c r="B9856" s="953"/>
      <c r="C9856" s="953"/>
      <c r="D9856" s="953"/>
      <c r="E9856" s="953"/>
      <c r="F9856" s="953"/>
      <c r="G9856" s="953"/>
      <c r="H9856" s="953"/>
    </row>
    <row r="9857" spans="1:8" s="943" customFormat="1" x14ac:dyDescent="0.25">
      <c r="A9857" s="952"/>
      <c r="B9857" s="953"/>
      <c r="C9857" s="953"/>
      <c r="D9857" s="953"/>
      <c r="E9857" s="953"/>
      <c r="F9857" s="953"/>
      <c r="G9857" s="953"/>
      <c r="H9857" s="953"/>
    </row>
    <row r="9858" spans="1:8" s="943" customFormat="1" x14ac:dyDescent="0.25">
      <c r="A9858" s="952"/>
      <c r="B9858" s="953"/>
      <c r="C9858" s="953"/>
      <c r="D9858" s="953"/>
      <c r="E9858" s="953"/>
      <c r="F9858" s="953"/>
      <c r="G9858" s="953"/>
      <c r="H9858" s="953"/>
    </row>
    <row r="9859" spans="1:8" s="943" customFormat="1" x14ac:dyDescent="0.25">
      <c r="A9859" s="952"/>
      <c r="B9859" s="953"/>
      <c r="C9859" s="953"/>
      <c r="D9859" s="953"/>
      <c r="E9859" s="953"/>
      <c r="F9859" s="953"/>
      <c r="G9859" s="953"/>
      <c r="H9859" s="953"/>
    </row>
    <row r="9860" spans="1:8" s="943" customFormat="1" x14ac:dyDescent="0.25">
      <c r="A9860" s="952"/>
      <c r="B9860" s="953"/>
      <c r="C9860" s="953"/>
      <c r="D9860" s="953"/>
      <c r="E9860" s="953"/>
      <c r="F9860" s="953"/>
      <c r="G9860" s="953"/>
      <c r="H9860" s="953"/>
    </row>
    <row r="9861" spans="1:8" s="943" customFormat="1" x14ac:dyDescent="0.25">
      <c r="A9861" s="952"/>
      <c r="B9861" s="953"/>
      <c r="C9861" s="953"/>
      <c r="D9861" s="953"/>
      <c r="E9861" s="953"/>
      <c r="F9861" s="953"/>
      <c r="G9861" s="953"/>
      <c r="H9861" s="953"/>
    </row>
    <row r="9862" spans="1:8" s="943" customFormat="1" x14ac:dyDescent="0.25">
      <c r="A9862" s="952"/>
      <c r="B9862" s="953"/>
      <c r="C9862" s="953"/>
      <c r="D9862" s="953"/>
      <c r="E9862" s="953"/>
      <c r="F9862" s="953"/>
      <c r="G9862" s="953"/>
      <c r="H9862" s="953"/>
    </row>
    <row r="9863" spans="1:8" s="943" customFormat="1" x14ac:dyDescent="0.25">
      <c r="A9863" s="952"/>
      <c r="B9863" s="953"/>
      <c r="C9863" s="953"/>
      <c r="D9863" s="953"/>
      <c r="E9863" s="953"/>
      <c r="F9863" s="953"/>
      <c r="G9863" s="953"/>
      <c r="H9863" s="953"/>
    </row>
    <row r="9864" spans="1:8" s="943" customFormat="1" x14ac:dyDescent="0.25">
      <c r="A9864" s="952"/>
      <c r="B9864" s="953"/>
      <c r="C9864" s="953"/>
      <c r="D9864" s="953"/>
      <c r="E9864" s="953"/>
      <c r="F9864" s="953"/>
      <c r="G9864" s="953"/>
      <c r="H9864" s="953"/>
    </row>
    <row r="9865" spans="1:8" s="943" customFormat="1" x14ac:dyDescent="0.25">
      <c r="A9865" s="952"/>
      <c r="B9865" s="953"/>
      <c r="C9865" s="953"/>
      <c r="D9865" s="953"/>
      <c r="E9865" s="953"/>
      <c r="F9865" s="953"/>
      <c r="G9865" s="953"/>
      <c r="H9865" s="953"/>
    </row>
    <row r="9866" spans="1:8" s="943" customFormat="1" x14ac:dyDescent="0.25">
      <c r="A9866" s="952"/>
      <c r="B9866" s="953"/>
      <c r="C9866" s="953"/>
      <c r="D9866" s="953"/>
      <c r="E9866" s="953"/>
      <c r="F9866" s="953"/>
      <c r="G9866" s="953"/>
      <c r="H9866" s="953"/>
    </row>
    <row r="9867" spans="1:8" s="943" customFormat="1" x14ac:dyDescent="0.25">
      <c r="A9867" s="952"/>
      <c r="B9867" s="953"/>
      <c r="C9867" s="953"/>
      <c r="D9867" s="953"/>
      <c r="E9867" s="953"/>
      <c r="F9867" s="953"/>
      <c r="G9867" s="953"/>
      <c r="H9867" s="953"/>
    </row>
    <row r="9868" spans="1:8" s="943" customFormat="1" x14ac:dyDescent="0.25">
      <c r="A9868" s="952"/>
      <c r="B9868" s="953"/>
      <c r="C9868" s="953"/>
      <c r="D9868" s="953"/>
      <c r="E9868" s="953"/>
      <c r="F9868" s="953"/>
      <c r="G9868" s="953"/>
      <c r="H9868" s="953"/>
    </row>
    <row r="9869" spans="1:8" s="943" customFormat="1" x14ac:dyDescent="0.25">
      <c r="A9869" s="952"/>
      <c r="B9869" s="953"/>
      <c r="C9869" s="953"/>
      <c r="D9869" s="953"/>
      <c r="E9869" s="953"/>
      <c r="F9869" s="953"/>
      <c r="G9869" s="953"/>
      <c r="H9869" s="953"/>
    </row>
    <row r="9870" spans="1:8" s="943" customFormat="1" x14ac:dyDescent="0.25">
      <c r="A9870" s="952"/>
      <c r="B9870" s="953"/>
      <c r="C9870" s="953"/>
      <c r="D9870" s="953"/>
      <c r="E9870" s="953"/>
      <c r="F9870" s="953"/>
      <c r="G9870" s="953"/>
      <c r="H9870" s="953"/>
    </row>
    <row r="9871" spans="1:8" s="943" customFormat="1" x14ac:dyDescent="0.25">
      <c r="A9871" s="952"/>
      <c r="B9871" s="953"/>
      <c r="C9871" s="953"/>
      <c r="D9871" s="953"/>
      <c r="E9871" s="953"/>
      <c r="F9871" s="953"/>
      <c r="G9871" s="953"/>
      <c r="H9871" s="953"/>
    </row>
    <row r="9872" spans="1:8" s="943" customFormat="1" x14ac:dyDescent="0.25">
      <c r="A9872" s="952"/>
      <c r="B9872" s="953"/>
      <c r="C9872" s="953"/>
      <c r="D9872" s="953"/>
      <c r="E9872" s="953"/>
      <c r="F9872" s="953"/>
      <c r="G9872" s="953"/>
      <c r="H9872" s="953"/>
    </row>
    <row r="9873" spans="1:8" s="943" customFormat="1" x14ac:dyDescent="0.25">
      <c r="A9873" s="952"/>
      <c r="B9873" s="953"/>
      <c r="C9873" s="953"/>
      <c r="D9873" s="953"/>
      <c r="E9873" s="953"/>
      <c r="F9873" s="953"/>
      <c r="G9873" s="953"/>
      <c r="H9873" s="953"/>
    </row>
    <row r="9874" spans="1:8" s="943" customFormat="1" x14ac:dyDescent="0.25">
      <c r="A9874" s="952"/>
      <c r="B9874" s="953"/>
      <c r="C9874" s="953"/>
      <c r="D9874" s="953"/>
      <c r="E9874" s="953"/>
      <c r="F9874" s="953"/>
      <c r="G9874" s="953"/>
      <c r="H9874" s="953"/>
    </row>
    <row r="9875" spans="1:8" s="943" customFormat="1" x14ac:dyDescent="0.25">
      <c r="A9875" s="952"/>
      <c r="B9875" s="953"/>
      <c r="C9875" s="953"/>
      <c r="D9875" s="953"/>
      <c r="E9875" s="953"/>
      <c r="F9875" s="953"/>
      <c r="G9875" s="953"/>
      <c r="H9875" s="953"/>
    </row>
    <row r="9876" spans="1:8" s="943" customFormat="1" x14ac:dyDescent="0.25">
      <c r="A9876" s="952"/>
      <c r="B9876" s="953"/>
      <c r="C9876" s="953"/>
      <c r="D9876" s="953"/>
      <c r="E9876" s="953"/>
      <c r="F9876" s="953"/>
      <c r="G9876" s="953"/>
      <c r="H9876" s="953"/>
    </row>
    <row r="9877" spans="1:8" s="943" customFormat="1" x14ac:dyDescent="0.25">
      <c r="A9877" s="952"/>
      <c r="B9877" s="953"/>
      <c r="C9877" s="953"/>
      <c r="D9877" s="953"/>
      <c r="E9877" s="953"/>
      <c r="F9877" s="953"/>
      <c r="G9877" s="953"/>
      <c r="H9877" s="953"/>
    </row>
    <row r="9878" spans="1:8" s="943" customFormat="1" x14ac:dyDescent="0.25">
      <c r="A9878" s="952"/>
      <c r="B9878" s="953"/>
      <c r="C9878" s="953"/>
      <c r="D9878" s="953"/>
      <c r="E9878" s="953"/>
      <c r="F9878" s="953"/>
      <c r="G9878" s="953"/>
      <c r="H9878" s="953"/>
    </row>
    <row r="9879" spans="1:8" s="943" customFormat="1" x14ac:dyDescent="0.25">
      <c r="A9879" s="952"/>
      <c r="B9879" s="953"/>
      <c r="C9879" s="953"/>
      <c r="D9879" s="953"/>
      <c r="E9879" s="953"/>
      <c r="F9879" s="953"/>
      <c r="G9879" s="953"/>
      <c r="H9879" s="953"/>
    </row>
    <row r="9880" spans="1:8" s="943" customFormat="1" x14ac:dyDescent="0.25">
      <c r="A9880" s="952"/>
      <c r="B9880" s="953"/>
      <c r="C9880" s="953"/>
      <c r="D9880" s="953"/>
      <c r="E9880" s="953"/>
      <c r="F9880" s="953"/>
      <c r="G9880" s="953"/>
      <c r="H9880" s="953"/>
    </row>
    <row r="9881" spans="1:8" s="943" customFormat="1" x14ac:dyDescent="0.25">
      <c r="A9881" s="952"/>
      <c r="B9881" s="953"/>
      <c r="C9881" s="953"/>
      <c r="D9881" s="953"/>
      <c r="E9881" s="953"/>
      <c r="F9881" s="953"/>
      <c r="G9881" s="953"/>
      <c r="H9881" s="953"/>
    </row>
    <row r="9882" spans="1:8" s="943" customFormat="1" x14ac:dyDescent="0.25">
      <c r="A9882" s="952"/>
      <c r="B9882" s="953"/>
      <c r="C9882" s="953"/>
      <c r="D9882" s="953"/>
      <c r="E9882" s="953"/>
      <c r="F9882" s="953"/>
      <c r="G9882" s="953"/>
      <c r="H9882" s="953"/>
    </row>
    <row r="9883" spans="1:8" s="943" customFormat="1" x14ac:dyDescent="0.25">
      <c r="A9883" s="952"/>
      <c r="B9883" s="953"/>
      <c r="C9883" s="953"/>
      <c r="D9883" s="953"/>
      <c r="E9883" s="953"/>
      <c r="F9883" s="953"/>
      <c r="G9883" s="953"/>
      <c r="H9883" s="953"/>
    </row>
    <row r="9884" spans="1:8" s="943" customFormat="1" x14ac:dyDescent="0.25">
      <c r="A9884" s="952"/>
      <c r="B9884" s="953"/>
      <c r="C9884" s="953"/>
      <c r="D9884" s="953"/>
      <c r="E9884" s="953"/>
      <c r="F9884" s="953"/>
      <c r="G9884" s="953"/>
      <c r="H9884" s="953"/>
    </row>
    <row r="9885" spans="1:8" s="943" customFormat="1" x14ac:dyDescent="0.25">
      <c r="A9885" s="952"/>
      <c r="B9885" s="953"/>
      <c r="C9885" s="953"/>
      <c r="D9885" s="953"/>
      <c r="E9885" s="953"/>
      <c r="F9885" s="953"/>
      <c r="G9885" s="953"/>
      <c r="H9885" s="953"/>
    </row>
    <row r="9886" spans="1:8" s="943" customFormat="1" x14ac:dyDescent="0.25">
      <c r="A9886" s="952"/>
      <c r="B9886" s="953"/>
      <c r="C9886" s="953"/>
      <c r="D9886" s="953"/>
      <c r="E9886" s="953"/>
      <c r="F9886" s="953"/>
      <c r="G9886" s="953"/>
      <c r="H9886" s="953"/>
    </row>
    <row r="9887" spans="1:8" s="943" customFormat="1" x14ac:dyDescent="0.25">
      <c r="A9887" s="952"/>
      <c r="B9887" s="953"/>
      <c r="C9887" s="953"/>
      <c r="D9887" s="953"/>
      <c r="E9887" s="953"/>
      <c r="F9887" s="953"/>
      <c r="G9887" s="953"/>
      <c r="H9887" s="953"/>
    </row>
    <row r="9888" spans="1:8" s="943" customFormat="1" x14ac:dyDescent="0.25">
      <c r="A9888" s="952"/>
      <c r="B9888" s="953"/>
      <c r="C9888" s="953"/>
      <c r="D9888" s="953"/>
      <c r="E9888" s="953"/>
      <c r="F9888" s="953"/>
      <c r="G9888" s="953"/>
      <c r="H9888" s="953"/>
    </row>
    <row r="9889" spans="1:8" s="943" customFormat="1" x14ac:dyDescent="0.25">
      <c r="A9889" s="952"/>
      <c r="B9889" s="953"/>
      <c r="C9889" s="953"/>
      <c r="D9889" s="953"/>
      <c r="E9889" s="953"/>
      <c r="F9889" s="953"/>
      <c r="G9889" s="953"/>
      <c r="H9889" s="953"/>
    </row>
    <row r="9890" spans="1:8" s="943" customFormat="1" x14ac:dyDescent="0.25">
      <c r="A9890" s="952"/>
      <c r="B9890" s="953"/>
      <c r="C9890" s="953"/>
      <c r="D9890" s="953"/>
      <c r="E9890" s="953"/>
      <c r="F9890" s="953"/>
      <c r="G9890" s="953"/>
      <c r="H9890" s="953"/>
    </row>
    <row r="9891" spans="1:8" s="943" customFormat="1" x14ac:dyDescent="0.25">
      <c r="A9891" s="952"/>
      <c r="B9891" s="953"/>
      <c r="C9891" s="953"/>
      <c r="D9891" s="953"/>
      <c r="E9891" s="953"/>
      <c r="F9891" s="953"/>
      <c r="G9891" s="953"/>
      <c r="H9891" s="953"/>
    </row>
    <row r="9892" spans="1:8" s="943" customFormat="1" x14ac:dyDescent="0.25">
      <c r="A9892" s="952"/>
      <c r="B9892" s="953"/>
      <c r="C9892" s="953"/>
      <c r="D9892" s="953"/>
      <c r="E9892" s="953"/>
      <c r="F9892" s="953"/>
      <c r="G9892" s="953"/>
      <c r="H9892" s="953"/>
    </row>
    <row r="9893" spans="1:8" s="943" customFormat="1" x14ac:dyDescent="0.25">
      <c r="A9893" s="952"/>
      <c r="B9893" s="953"/>
      <c r="C9893" s="953"/>
      <c r="D9893" s="953"/>
      <c r="E9893" s="953"/>
      <c r="F9893" s="953"/>
      <c r="G9893" s="953"/>
      <c r="H9893" s="953"/>
    </row>
    <row r="9894" spans="1:8" s="943" customFormat="1" x14ac:dyDescent="0.25">
      <c r="A9894" s="952"/>
      <c r="B9894" s="953"/>
      <c r="C9894" s="953"/>
      <c r="D9894" s="953"/>
      <c r="E9894" s="953"/>
      <c r="F9894" s="953"/>
      <c r="G9894" s="953"/>
      <c r="H9894" s="953"/>
    </row>
    <row r="9895" spans="1:8" s="943" customFormat="1" x14ac:dyDescent="0.25">
      <c r="A9895" s="952"/>
      <c r="B9895" s="953"/>
      <c r="C9895" s="953"/>
      <c r="D9895" s="953"/>
      <c r="E9895" s="953"/>
      <c r="F9895" s="953"/>
      <c r="G9895" s="953"/>
      <c r="H9895" s="953"/>
    </row>
    <row r="9896" spans="1:8" s="943" customFormat="1" x14ac:dyDescent="0.25">
      <c r="A9896" s="952"/>
      <c r="B9896" s="953"/>
      <c r="C9896" s="953"/>
      <c r="D9896" s="953"/>
      <c r="E9896" s="953"/>
      <c r="F9896" s="953"/>
      <c r="G9896" s="953"/>
      <c r="H9896" s="953"/>
    </row>
    <row r="9897" spans="1:8" s="943" customFormat="1" x14ac:dyDescent="0.25">
      <c r="A9897" s="952"/>
      <c r="B9897" s="953"/>
      <c r="C9897" s="953"/>
      <c r="D9897" s="953"/>
      <c r="E9897" s="953"/>
      <c r="F9897" s="953"/>
      <c r="G9897" s="953"/>
      <c r="H9897" s="953"/>
    </row>
    <row r="9898" spans="1:8" s="943" customFormat="1" x14ac:dyDescent="0.25">
      <c r="A9898" s="952"/>
      <c r="B9898" s="953"/>
      <c r="C9898" s="953"/>
      <c r="D9898" s="953"/>
      <c r="E9898" s="953"/>
      <c r="F9898" s="953"/>
      <c r="G9898" s="953"/>
      <c r="H9898" s="953"/>
    </row>
    <row r="9899" spans="1:8" s="943" customFormat="1" x14ac:dyDescent="0.25">
      <c r="A9899" s="952"/>
      <c r="B9899" s="953"/>
      <c r="C9899" s="953"/>
      <c r="D9899" s="953"/>
      <c r="E9899" s="953"/>
      <c r="F9899" s="953"/>
      <c r="G9899" s="953"/>
      <c r="H9899" s="953"/>
    </row>
    <row r="9900" spans="1:8" s="943" customFormat="1" x14ac:dyDescent="0.25">
      <c r="A9900" s="952"/>
      <c r="B9900" s="953"/>
      <c r="C9900" s="953"/>
      <c r="D9900" s="953"/>
      <c r="E9900" s="953"/>
      <c r="F9900" s="953"/>
      <c r="G9900" s="953"/>
      <c r="H9900" s="953"/>
    </row>
    <row r="9901" spans="1:8" s="943" customFormat="1" x14ac:dyDescent="0.25">
      <c r="A9901" s="952"/>
      <c r="B9901" s="953"/>
      <c r="C9901" s="953"/>
      <c r="D9901" s="953"/>
      <c r="E9901" s="953"/>
      <c r="F9901" s="953"/>
      <c r="G9901" s="953"/>
      <c r="H9901" s="953"/>
    </row>
    <row r="9902" spans="1:8" s="943" customFormat="1" x14ac:dyDescent="0.25">
      <c r="A9902" s="952"/>
      <c r="B9902" s="953"/>
      <c r="C9902" s="953"/>
      <c r="D9902" s="953"/>
      <c r="E9902" s="953"/>
      <c r="F9902" s="953"/>
      <c r="G9902" s="953"/>
      <c r="H9902" s="953"/>
    </row>
    <row r="9903" spans="1:8" s="943" customFormat="1" x14ac:dyDescent="0.25">
      <c r="A9903" s="952"/>
      <c r="B9903" s="953"/>
      <c r="C9903" s="953"/>
      <c r="D9903" s="953"/>
      <c r="E9903" s="953"/>
      <c r="F9903" s="953"/>
      <c r="G9903" s="953"/>
      <c r="H9903" s="953"/>
    </row>
    <row r="9904" spans="1:8" s="943" customFormat="1" x14ac:dyDescent="0.25">
      <c r="A9904" s="952"/>
      <c r="B9904" s="953"/>
      <c r="C9904" s="953"/>
      <c r="D9904" s="953"/>
      <c r="E9904" s="953"/>
      <c r="F9904" s="953"/>
      <c r="G9904" s="953"/>
      <c r="H9904" s="953"/>
    </row>
    <row r="9905" spans="1:8" s="943" customFormat="1" x14ac:dyDescent="0.25">
      <c r="A9905" s="952"/>
      <c r="B9905" s="953"/>
      <c r="C9905" s="953"/>
      <c r="D9905" s="953"/>
      <c r="E9905" s="953"/>
      <c r="F9905" s="953"/>
      <c r="G9905" s="953"/>
      <c r="H9905" s="953"/>
    </row>
    <row r="9906" spans="1:8" s="943" customFormat="1" x14ac:dyDescent="0.25">
      <c r="A9906" s="952"/>
      <c r="B9906" s="953"/>
      <c r="C9906" s="953"/>
      <c r="D9906" s="953"/>
      <c r="E9906" s="953"/>
      <c r="F9906" s="953"/>
      <c r="G9906" s="953"/>
      <c r="H9906" s="953"/>
    </row>
    <row r="9907" spans="1:8" s="943" customFormat="1" x14ac:dyDescent="0.25">
      <c r="A9907" s="952"/>
      <c r="B9907" s="953"/>
      <c r="C9907" s="953"/>
      <c r="D9907" s="953"/>
      <c r="E9907" s="953"/>
      <c r="F9907" s="953"/>
      <c r="G9907" s="953"/>
      <c r="H9907" s="953"/>
    </row>
    <row r="9908" spans="1:8" s="943" customFormat="1" x14ac:dyDescent="0.25">
      <c r="A9908" s="952"/>
      <c r="B9908" s="953"/>
      <c r="C9908" s="953"/>
      <c r="D9908" s="953"/>
      <c r="E9908" s="953"/>
      <c r="F9908" s="953"/>
      <c r="G9908" s="953"/>
      <c r="H9908" s="953"/>
    </row>
    <row r="9909" spans="1:8" s="943" customFormat="1" x14ac:dyDescent="0.25">
      <c r="A9909" s="952"/>
      <c r="B9909" s="953"/>
      <c r="C9909" s="953"/>
      <c r="D9909" s="953"/>
      <c r="E9909" s="953"/>
      <c r="F9909" s="953"/>
      <c r="G9909" s="953"/>
      <c r="H9909" s="953"/>
    </row>
    <row r="9910" spans="1:8" s="943" customFormat="1" x14ac:dyDescent="0.25">
      <c r="A9910" s="952"/>
      <c r="B9910" s="953"/>
      <c r="C9910" s="953"/>
      <c r="D9910" s="953"/>
      <c r="E9910" s="953"/>
      <c r="F9910" s="953"/>
      <c r="G9910" s="953"/>
      <c r="H9910" s="953"/>
    </row>
    <row r="9911" spans="1:8" s="943" customFormat="1" x14ac:dyDescent="0.25">
      <c r="A9911" s="952"/>
      <c r="B9911" s="953"/>
      <c r="C9911" s="953"/>
      <c r="D9911" s="953"/>
      <c r="E9911" s="953"/>
      <c r="F9911" s="953"/>
      <c r="G9911" s="953"/>
      <c r="H9911" s="953"/>
    </row>
    <row r="9912" spans="1:8" s="943" customFormat="1" x14ac:dyDescent="0.25">
      <c r="A9912" s="952"/>
      <c r="B9912" s="953"/>
      <c r="C9912" s="953"/>
      <c r="D9912" s="953"/>
      <c r="E9912" s="953"/>
      <c r="F9912" s="953"/>
      <c r="G9912" s="953"/>
      <c r="H9912" s="953"/>
    </row>
    <row r="9913" spans="1:8" s="943" customFormat="1" x14ac:dyDescent="0.25">
      <c r="A9913" s="952"/>
      <c r="B9913" s="953"/>
      <c r="C9913" s="953"/>
      <c r="D9913" s="953"/>
      <c r="E9913" s="953"/>
      <c r="F9913" s="953"/>
      <c r="G9913" s="953"/>
      <c r="H9913" s="953"/>
    </row>
    <row r="9914" spans="1:8" s="943" customFormat="1" x14ac:dyDescent="0.25">
      <c r="A9914" s="952"/>
      <c r="B9914" s="953"/>
      <c r="C9914" s="953"/>
      <c r="D9914" s="953"/>
      <c r="E9914" s="953"/>
      <c r="F9914" s="953"/>
      <c r="G9914" s="953"/>
      <c r="H9914" s="953"/>
    </row>
    <row r="9915" spans="1:8" s="943" customFormat="1" x14ac:dyDescent="0.25">
      <c r="A9915" s="952"/>
      <c r="B9915" s="953"/>
      <c r="C9915" s="953"/>
      <c r="D9915" s="953"/>
      <c r="E9915" s="953"/>
      <c r="F9915" s="953"/>
      <c r="G9915" s="953"/>
      <c r="H9915" s="953"/>
    </row>
    <row r="9916" spans="1:8" s="943" customFormat="1" x14ac:dyDescent="0.25">
      <c r="A9916" s="952"/>
      <c r="B9916" s="953"/>
      <c r="C9916" s="953"/>
      <c r="D9916" s="953"/>
      <c r="E9916" s="953"/>
      <c r="F9916" s="953"/>
      <c r="G9916" s="953"/>
      <c r="H9916" s="953"/>
    </row>
    <row r="9917" spans="1:8" s="943" customFormat="1" x14ac:dyDescent="0.25">
      <c r="A9917" s="952"/>
      <c r="B9917" s="953"/>
      <c r="C9917" s="953"/>
      <c r="D9917" s="953"/>
      <c r="E9917" s="953"/>
      <c r="F9917" s="953"/>
      <c r="G9917" s="953"/>
      <c r="H9917" s="953"/>
    </row>
    <row r="9918" spans="1:8" s="943" customFormat="1" x14ac:dyDescent="0.25">
      <c r="A9918" s="952"/>
      <c r="B9918" s="953"/>
      <c r="C9918" s="953"/>
      <c r="D9918" s="953"/>
      <c r="E9918" s="953"/>
      <c r="F9918" s="953"/>
      <c r="G9918" s="953"/>
      <c r="H9918" s="953"/>
    </row>
    <row r="9919" spans="1:8" s="943" customFormat="1" x14ac:dyDescent="0.25">
      <c r="A9919" s="952"/>
      <c r="B9919" s="953"/>
      <c r="C9919" s="953"/>
      <c r="D9919" s="953"/>
      <c r="E9919" s="953"/>
      <c r="F9919" s="953"/>
      <c r="G9919" s="953"/>
      <c r="H9919" s="953"/>
    </row>
    <row r="9920" spans="1:8" s="943" customFormat="1" x14ac:dyDescent="0.25">
      <c r="A9920" s="952"/>
      <c r="B9920" s="953"/>
      <c r="C9920" s="953"/>
      <c r="D9920" s="953"/>
      <c r="E9920" s="953"/>
      <c r="F9920" s="953"/>
      <c r="G9920" s="953"/>
      <c r="H9920" s="953"/>
    </row>
    <row r="9921" spans="1:8" s="943" customFormat="1" x14ac:dyDescent="0.25">
      <c r="A9921" s="952"/>
      <c r="B9921" s="953"/>
      <c r="C9921" s="953"/>
      <c r="D9921" s="953"/>
      <c r="E9921" s="953"/>
      <c r="F9921" s="953"/>
      <c r="G9921" s="953"/>
      <c r="H9921" s="953"/>
    </row>
    <row r="9922" spans="1:8" s="943" customFormat="1" x14ac:dyDescent="0.25">
      <c r="A9922" s="952"/>
      <c r="B9922" s="953"/>
      <c r="C9922" s="953"/>
      <c r="D9922" s="953"/>
      <c r="E9922" s="953"/>
      <c r="F9922" s="953"/>
      <c r="G9922" s="953"/>
      <c r="H9922" s="953"/>
    </row>
    <row r="9923" spans="1:8" s="943" customFormat="1" x14ac:dyDescent="0.25">
      <c r="A9923" s="952"/>
      <c r="B9923" s="953"/>
      <c r="C9923" s="953"/>
      <c r="D9923" s="953"/>
      <c r="E9923" s="953"/>
      <c r="F9923" s="953"/>
      <c r="G9923" s="953"/>
      <c r="H9923" s="953"/>
    </row>
    <row r="9924" spans="1:8" s="943" customFormat="1" x14ac:dyDescent="0.25">
      <c r="A9924" s="952"/>
      <c r="B9924" s="953"/>
      <c r="C9924" s="953"/>
      <c r="D9924" s="953"/>
      <c r="E9924" s="953"/>
      <c r="F9924" s="953"/>
      <c r="G9924" s="953"/>
      <c r="H9924" s="953"/>
    </row>
    <row r="9925" spans="1:8" s="943" customFormat="1" x14ac:dyDescent="0.25">
      <c r="A9925" s="952"/>
      <c r="B9925" s="953"/>
      <c r="C9925" s="953"/>
      <c r="D9925" s="953"/>
      <c r="E9925" s="953"/>
      <c r="F9925" s="953"/>
      <c r="G9925" s="953"/>
      <c r="H9925" s="953"/>
    </row>
    <row r="9926" spans="1:8" s="943" customFormat="1" x14ac:dyDescent="0.25">
      <c r="A9926" s="952"/>
      <c r="B9926" s="953"/>
      <c r="C9926" s="953"/>
      <c r="D9926" s="953"/>
      <c r="E9926" s="953"/>
      <c r="F9926" s="953"/>
      <c r="G9926" s="953"/>
      <c r="H9926" s="953"/>
    </row>
    <row r="9927" spans="1:8" s="943" customFormat="1" x14ac:dyDescent="0.25">
      <c r="A9927" s="952"/>
      <c r="B9927" s="953"/>
      <c r="C9927" s="953"/>
      <c r="D9927" s="953"/>
      <c r="E9927" s="953"/>
      <c r="F9927" s="953"/>
      <c r="G9927" s="953"/>
      <c r="H9927" s="953"/>
    </row>
    <row r="9928" spans="1:8" s="943" customFormat="1" x14ac:dyDescent="0.25">
      <c r="A9928" s="952"/>
      <c r="B9928" s="953"/>
      <c r="C9928" s="953"/>
      <c r="D9928" s="953"/>
      <c r="E9928" s="953"/>
      <c r="F9928" s="953"/>
      <c r="G9928" s="953"/>
      <c r="H9928" s="953"/>
    </row>
    <row r="9929" spans="1:8" s="943" customFormat="1" x14ac:dyDescent="0.25">
      <c r="A9929" s="952"/>
      <c r="B9929" s="953"/>
      <c r="C9929" s="953"/>
      <c r="D9929" s="953"/>
      <c r="E9929" s="953"/>
      <c r="F9929" s="953"/>
      <c r="G9929" s="953"/>
      <c r="H9929" s="953"/>
    </row>
    <row r="9930" spans="1:8" s="943" customFormat="1" x14ac:dyDescent="0.25">
      <c r="A9930" s="952"/>
      <c r="B9930" s="953"/>
      <c r="C9930" s="953"/>
      <c r="D9930" s="953"/>
      <c r="E9930" s="953"/>
      <c r="F9930" s="953"/>
      <c r="G9930" s="953"/>
      <c r="H9930" s="953"/>
    </row>
    <row r="9931" spans="1:8" s="943" customFormat="1" x14ac:dyDescent="0.25">
      <c r="A9931" s="952"/>
      <c r="B9931" s="953"/>
      <c r="C9931" s="953"/>
      <c r="D9931" s="953"/>
      <c r="E9931" s="953"/>
      <c r="F9931" s="953"/>
      <c r="G9931" s="953"/>
      <c r="H9931" s="953"/>
    </row>
    <row r="9932" spans="1:8" s="943" customFormat="1" x14ac:dyDescent="0.25">
      <c r="A9932" s="952"/>
      <c r="B9932" s="953"/>
      <c r="C9932" s="953"/>
      <c r="D9932" s="953"/>
      <c r="E9932" s="953"/>
      <c r="F9932" s="953"/>
      <c r="G9932" s="953"/>
      <c r="H9932" s="953"/>
    </row>
    <row r="9933" spans="1:8" s="943" customFormat="1" x14ac:dyDescent="0.25">
      <c r="A9933" s="952"/>
      <c r="B9933" s="953"/>
      <c r="C9933" s="953"/>
      <c r="D9933" s="953"/>
      <c r="E9933" s="953"/>
      <c r="F9933" s="953"/>
      <c r="G9933" s="953"/>
      <c r="H9933" s="953"/>
    </row>
    <row r="9934" spans="1:8" s="943" customFormat="1" x14ac:dyDescent="0.25">
      <c r="A9934" s="952"/>
      <c r="B9934" s="953"/>
      <c r="C9934" s="953"/>
      <c r="D9934" s="953"/>
      <c r="E9934" s="953"/>
      <c r="F9934" s="953"/>
      <c r="G9934" s="953"/>
      <c r="H9934" s="953"/>
    </row>
    <row r="9935" spans="1:8" s="943" customFormat="1" x14ac:dyDescent="0.25">
      <c r="A9935" s="952"/>
      <c r="B9935" s="953"/>
      <c r="C9935" s="953"/>
      <c r="D9935" s="953"/>
      <c r="E9935" s="953"/>
      <c r="F9935" s="953"/>
      <c r="G9935" s="953"/>
      <c r="H9935" s="953"/>
    </row>
    <row r="9936" spans="1:8" s="943" customFormat="1" x14ac:dyDescent="0.25">
      <c r="A9936" s="952"/>
      <c r="B9936" s="953"/>
      <c r="C9936" s="953"/>
      <c r="D9936" s="953"/>
      <c r="E9936" s="953"/>
      <c r="F9936" s="953"/>
      <c r="G9936" s="953"/>
      <c r="H9936" s="953"/>
    </row>
    <row r="9937" spans="1:8" s="943" customFormat="1" x14ac:dyDescent="0.25">
      <c r="A9937" s="952"/>
      <c r="B9937" s="953"/>
      <c r="C9937" s="953"/>
      <c r="D9937" s="953"/>
      <c r="E9937" s="953"/>
      <c r="F9937" s="953"/>
      <c r="G9937" s="953"/>
      <c r="H9937" s="953"/>
    </row>
    <row r="9938" spans="1:8" s="943" customFormat="1" x14ac:dyDescent="0.25">
      <c r="A9938" s="952"/>
      <c r="B9938" s="953"/>
      <c r="C9938" s="953"/>
      <c r="D9938" s="953"/>
      <c r="E9938" s="953"/>
      <c r="F9938" s="953"/>
      <c r="G9938" s="953"/>
      <c r="H9938" s="953"/>
    </row>
    <row r="9939" spans="1:8" s="943" customFormat="1" x14ac:dyDescent="0.25">
      <c r="A9939" s="952"/>
      <c r="B9939" s="953"/>
      <c r="C9939" s="953"/>
      <c r="D9939" s="953"/>
      <c r="E9939" s="953"/>
      <c r="F9939" s="953"/>
      <c r="G9939" s="953"/>
      <c r="H9939" s="953"/>
    </row>
    <row r="9940" spans="1:8" s="943" customFormat="1" x14ac:dyDescent="0.25">
      <c r="A9940" s="952"/>
      <c r="B9940" s="953"/>
      <c r="C9940" s="953"/>
      <c r="D9940" s="953"/>
      <c r="E9940" s="953"/>
      <c r="F9940" s="953"/>
      <c r="G9940" s="953"/>
      <c r="H9940" s="953"/>
    </row>
    <row r="9941" spans="1:8" s="943" customFormat="1" x14ac:dyDescent="0.25">
      <c r="A9941" s="952"/>
      <c r="B9941" s="953"/>
      <c r="C9941" s="953"/>
      <c r="D9941" s="953"/>
      <c r="E9941" s="953"/>
      <c r="F9941" s="953"/>
      <c r="G9941" s="953"/>
      <c r="H9941" s="953"/>
    </row>
    <row r="9942" spans="1:8" s="943" customFormat="1" x14ac:dyDescent="0.25">
      <c r="A9942" s="952"/>
      <c r="B9942" s="953"/>
      <c r="C9942" s="953"/>
      <c r="D9942" s="953"/>
      <c r="E9942" s="953"/>
      <c r="F9942" s="953"/>
      <c r="G9942" s="953"/>
      <c r="H9942" s="953"/>
    </row>
    <row r="9943" spans="1:8" s="943" customFormat="1" x14ac:dyDescent="0.25">
      <c r="A9943" s="952"/>
      <c r="B9943" s="953"/>
      <c r="C9943" s="953"/>
      <c r="D9943" s="953"/>
      <c r="E9943" s="953"/>
      <c r="F9943" s="953"/>
      <c r="G9943" s="953"/>
      <c r="H9943" s="953"/>
    </row>
    <row r="9944" spans="1:8" s="943" customFormat="1" x14ac:dyDescent="0.25">
      <c r="A9944" s="952"/>
      <c r="B9944" s="953"/>
      <c r="C9944" s="953"/>
      <c r="D9944" s="953"/>
      <c r="E9944" s="953"/>
      <c r="F9944" s="953"/>
      <c r="G9944" s="953"/>
      <c r="H9944" s="953"/>
    </row>
    <row r="9945" spans="1:8" s="943" customFormat="1" x14ac:dyDescent="0.25">
      <c r="A9945" s="952"/>
      <c r="B9945" s="953"/>
      <c r="C9945" s="953"/>
      <c r="D9945" s="953"/>
      <c r="E9945" s="953"/>
      <c r="F9945" s="953"/>
      <c r="G9945" s="953"/>
      <c r="H9945" s="953"/>
    </row>
    <row r="9946" spans="1:8" s="943" customFormat="1" x14ac:dyDescent="0.25">
      <c r="A9946" s="952"/>
      <c r="B9946" s="953"/>
      <c r="C9946" s="953"/>
      <c r="D9946" s="953"/>
      <c r="E9946" s="953"/>
      <c r="F9946" s="953"/>
      <c r="G9946" s="953"/>
      <c r="H9946" s="953"/>
    </row>
    <row r="9947" spans="1:8" s="943" customFormat="1" x14ac:dyDescent="0.25">
      <c r="A9947" s="952"/>
      <c r="B9947" s="953"/>
      <c r="C9947" s="953"/>
      <c r="D9947" s="953"/>
      <c r="E9947" s="953"/>
      <c r="F9947" s="953"/>
      <c r="G9947" s="953"/>
      <c r="H9947" s="953"/>
    </row>
    <row r="9948" spans="1:8" s="943" customFormat="1" x14ac:dyDescent="0.25">
      <c r="A9948" s="952"/>
      <c r="B9948" s="953"/>
      <c r="C9948" s="953"/>
      <c r="D9948" s="953"/>
      <c r="E9948" s="953"/>
      <c r="F9948" s="953"/>
      <c r="G9948" s="953"/>
      <c r="H9948" s="953"/>
    </row>
    <row r="9949" spans="1:8" s="943" customFormat="1" x14ac:dyDescent="0.25">
      <c r="A9949" s="952"/>
      <c r="B9949" s="953"/>
      <c r="C9949" s="953"/>
      <c r="D9949" s="953"/>
      <c r="E9949" s="953"/>
      <c r="F9949" s="953"/>
      <c r="G9949" s="953"/>
      <c r="H9949" s="953"/>
    </row>
    <row r="9950" spans="1:8" s="943" customFormat="1" x14ac:dyDescent="0.25">
      <c r="A9950" s="952"/>
      <c r="B9950" s="953"/>
      <c r="C9950" s="953"/>
      <c r="D9950" s="953"/>
      <c r="E9950" s="953"/>
      <c r="F9950" s="953"/>
      <c r="G9950" s="953"/>
      <c r="H9950" s="953"/>
    </row>
    <row r="9951" spans="1:8" s="943" customFormat="1" x14ac:dyDescent="0.25">
      <c r="A9951" s="952"/>
      <c r="B9951" s="953"/>
      <c r="C9951" s="953"/>
      <c r="D9951" s="953"/>
      <c r="E9951" s="953"/>
      <c r="F9951" s="953"/>
      <c r="G9951" s="953"/>
      <c r="H9951" s="953"/>
    </row>
    <row r="9952" spans="1:8" s="943" customFormat="1" x14ac:dyDescent="0.25">
      <c r="A9952" s="952"/>
      <c r="B9952" s="953"/>
      <c r="C9952" s="953"/>
      <c r="D9952" s="953"/>
      <c r="E9952" s="953"/>
      <c r="F9952" s="953"/>
      <c r="G9952" s="953"/>
      <c r="H9952" s="953"/>
    </row>
    <row r="9953" spans="1:8" s="943" customFormat="1" x14ac:dyDescent="0.25">
      <c r="A9953" s="952"/>
      <c r="B9953" s="953"/>
      <c r="C9953" s="953"/>
      <c r="D9953" s="953"/>
      <c r="E9953" s="953"/>
      <c r="F9953" s="953"/>
      <c r="G9953" s="953"/>
      <c r="H9953" s="953"/>
    </row>
    <row r="9954" spans="1:8" s="943" customFormat="1" x14ac:dyDescent="0.25">
      <c r="A9954" s="952"/>
      <c r="B9954" s="953"/>
      <c r="C9954" s="953"/>
      <c r="D9954" s="953"/>
      <c r="E9954" s="953"/>
      <c r="F9954" s="953"/>
      <c r="G9954" s="953"/>
      <c r="H9954" s="953"/>
    </row>
    <row r="9955" spans="1:8" s="943" customFormat="1" x14ac:dyDescent="0.25">
      <c r="A9955" s="952"/>
      <c r="B9955" s="953"/>
      <c r="C9955" s="953"/>
      <c r="D9955" s="953"/>
      <c r="E9955" s="953"/>
      <c r="F9955" s="953"/>
      <c r="G9955" s="953"/>
      <c r="H9955" s="953"/>
    </row>
    <row r="9956" spans="1:8" s="943" customFormat="1" x14ac:dyDescent="0.25">
      <c r="A9956" s="952"/>
      <c r="B9956" s="953"/>
      <c r="C9956" s="953"/>
      <c r="D9956" s="953"/>
      <c r="E9956" s="953"/>
      <c r="F9956" s="953"/>
      <c r="G9956" s="953"/>
      <c r="H9956" s="953"/>
    </row>
    <row r="9957" spans="1:8" s="943" customFormat="1" x14ac:dyDescent="0.25">
      <c r="A9957" s="952"/>
      <c r="B9957" s="953"/>
      <c r="C9957" s="953"/>
      <c r="D9957" s="953"/>
      <c r="E9957" s="953"/>
      <c r="F9957" s="953"/>
      <c r="G9957" s="953"/>
      <c r="H9957" s="953"/>
    </row>
    <row r="9958" spans="1:8" s="943" customFormat="1" x14ac:dyDescent="0.25">
      <c r="A9958" s="952"/>
      <c r="B9958" s="953"/>
      <c r="C9958" s="953"/>
      <c r="D9958" s="953"/>
      <c r="E9958" s="953"/>
      <c r="F9958" s="953"/>
      <c r="G9958" s="953"/>
      <c r="H9958" s="953"/>
    </row>
    <row r="9959" spans="1:8" s="943" customFormat="1" x14ac:dyDescent="0.25">
      <c r="A9959" s="952"/>
      <c r="B9959" s="953"/>
      <c r="C9959" s="953"/>
      <c r="D9959" s="953"/>
      <c r="E9959" s="953"/>
      <c r="F9959" s="953"/>
      <c r="G9959" s="953"/>
      <c r="H9959" s="953"/>
    </row>
    <row r="9960" spans="1:8" s="943" customFormat="1" x14ac:dyDescent="0.25">
      <c r="A9960" s="952"/>
      <c r="B9960" s="953"/>
      <c r="C9960" s="953"/>
      <c r="D9960" s="953"/>
      <c r="E9960" s="953"/>
      <c r="F9960" s="953"/>
      <c r="G9960" s="953"/>
      <c r="H9960" s="953"/>
    </row>
    <row r="9961" spans="1:8" s="943" customFormat="1" x14ac:dyDescent="0.25">
      <c r="A9961" s="952"/>
      <c r="B9961" s="953"/>
      <c r="C9961" s="953"/>
      <c r="D9961" s="953"/>
      <c r="E9961" s="953"/>
      <c r="F9961" s="953"/>
      <c r="G9961" s="953"/>
      <c r="H9961" s="953"/>
    </row>
    <row r="9962" spans="1:8" s="943" customFormat="1" x14ac:dyDescent="0.25">
      <c r="A9962" s="952"/>
      <c r="B9962" s="953"/>
      <c r="C9962" s="953"/>
      <c r="D9962" s="953"/>
      <c r="E9962" s="953"/>
      <c r="F9962" s="953"/>
      <c r="G9962" s="953"/>
      <c r="H9962" s="953"/>
    </row>
    <row r="9963" spans="1:8" s="943" customFormat="1" x14ac:dyDescent="0.25">
      <c r="A9963" s="952"/>
      <c r="B9963" s="953"/>
      <c r="C9963" s="953"/>
      <c r="D9963" s="953"/>
      <c r="E9963" s="953"/>
      <c r="F9963" s="953"/>
      <c r="G9963" s="953"/>
      <c r="H9963" s="953"/>
    </row>
    <row r="9964" spans="1:8" s="943" customFormat="1" x14ac:dyDescent="0.25">
      <c r="A9964" s="952"/>
      <c r="B9964" s="953"/>
      <c r="C9964" s="953"/>
      <c r="D9964" s="953"/>
      <c r="E9964" s="953"/>
      <c r="F9964" s="953"/>
      <c r="G9964" s="953"/>
      <c r="H9964" s="953"/>
    </row>
    <row r="9965" spans="1:8" s="943" customFormat="1" x14ac:dyDescent="0.25">
      <c r="A9965" s="952"/>
      <c r="B9965" s="953"/>
      <c r="C9965" s="953"/>
      <c r="D9965" s="953"/>
      <c r="E9965" s="953"/>
      <c r="F9965" s="953"/>
      <c r="G9965" s="953"/>
      <c r="H9965" s="953"/>
    </row>
    <row r="9966" spans="1:8" s="943" customFormat="1" x14ac:dyDescent="0.25">
      <c r="A9966" s="952"/>
      <c r="B9966" s="953"/>
      <c r="C9966" s="953"/>
      <c r="D9966" s="953"/>
      <c r="E9966" s="953"/>
      <c r="F9966" s="953"/>
      <c r="G9966" s="953"/>
      <c r="H9966" s="953"/>
    </row>
    <row r="9967" spans="1:8" s="943" customFormat="1" x14ac:dyDescent="0.25">
      <c r="A9967" s="952"/>
      <c r="B9967" s="953"/>
      <c r="C9967" s="953"/>
      <c r="D9967" s="953"/>
      <c r="E9967" s="953"/>
      <c r="F9967" s="953"/>
      <c r="G9967" s="953"/>
      <c r="H9967" s="953"/>
    </row>
    <row r="9968" spans="1:8" s="943" customFormat="1" x14ac:dyDescent="0.25">
      <c r="A9968" s="952"/>
      <c r="B9968" s="953"/>
      <c r="C9968" s="953"/>
      <c r="D9968" s="953"/>
      <c r="E9968" s="953"/>
      <c r="F9968" s="953"/>
      <c r="G9968" s="953"/>
      <c r="H9968" s="953"/>
    </row>
    <row r="9969" spans="1:8" s="943" customFormat="1" x14ac:dyDescent="0.25">
      <c r="A9969" s="952"/>
      <c r="B9969" s="953"/>
      <c r="C9969" s="953"/>
      <c r="D9969" s="953"/>
      <c r="E9969" s="953"/>
      <c r="F9969" s="953"/>
      <c r="G9969" s="953"/>
      <c r="H9969" s="953"/>
    </row>
    <row r="9970" spans="1:8" s="943" customFormat="1" x14ac:dyDescent="0.25">
      <c r="A9970" s="952"/>
      <c r="B9970" s="953"/>
      <c r="C9970" s="953"/>
      <c r="D9970" s="953"/>
      <c r="E9970" s="953"/>
      <c r="F9970" s="953"/>
      <c r="G9970" s="953"/>
      <c r="H9970" s="953"/>
    </row>
    <row r="9971" spans="1:8" s="943" customFormat="1" x14ac:dyDescent="0.25">
      <c r="A9971" s="952"/>
      <c r="B9971" s="953"/>
      <c r="C9971" s="953"/>
      <c r="D9971" s="953"/>
      <c r="E9971" s="953"/>
      <c r="F9971" s="953"/>
      <c r="G9971" s="953"/>
      <c r="H9971" s="953"/>
    </row>
    <row r="9972" spans="1:8" s="943" customFormat="1" x14ac:dyDescent="0.25">
      <c r="A9972" s="952"/>
      <c r="B9972" s="953"/>
      <c r="C9972" s="953"/>
      <c r="D9972" s="953"/>
      <c r="E9972" s="953"/>
      <c r="F9972" s="953"/>
      <c r="G9972" s="953"/>
      <c r="H9972" s="953"/>
    </row>
    <row r="9973" spans="1:8" s="943" customFormat="1" x14ac:dyDescent="0.25">
      <c r="A9973" s="952"/>
      <c r="B9973" s="953"/>
      <c r="C9973" s="953"/>
      <c r="D9973" s="953"/>
      <c r="E9973" s="953"/>
      <c r="F9973" s="953"/>
      <c r="G9973" s="953"/>
      <c r="H9973" s="953"/>
    </row>
    <row r="9974" spans="1:8" s="943" customFormat="1" x14ac:dyDescent="0.25">
      <c r="A9974" s="952"/>
      <c r="B9974" s="953"/>
      <c r="C9974" s="953"/>
      <c r="D9974" s="953"/>
      <c r="E9974" s="953"/>
      <c r="F9974" s="953"/>
      <c r="G9974" s="953"/>
      <c r="H9974" s="953"/>
    </row>
    <row r="9975" spans="1:8" s="943" customFormat="1" x14ac:dyDescent="0.25">
      <c r="A9975" s="952"/>
      <c r="B9975" s="953"/>
      <c r="C9975" s="953"/>
      <c r="D9975" s="953"/>
      <c r="E9975" s="953"/>
      <c r="F9975" s="953"/>
      <c r="G9975" s="953"/>
      <c r="H9975" s="953"/>
    </row>
    <row r="9976" spans="1:8" s="943" customFormat="1" x14ac:dyDescent="0.25">
      <c r="A9976" s="952"/>
      <c r="B9976" s="953"/>
      <c r="C9976" s="953"/>
      <c r="D9976" s="953"/>
      <c r="E9976" s="953"/>
      <c r="F9976" s="953"/>
      <c r="G9976" s="953"/>
      <c r="H9976" s="953"/>
    </row>
    <row r="9977" spans="1:8" s="943" customFormat="1" x14ac:dyDescent="0.25">
      <c r="A9977" s="952"/>
      <c r="B9977" s="953"/>
      <c r="C9977" s="953"/>
      <c r="D9977" s="953"/>
      <c r="E9977" s="953"/>
      <c r="F9977" s="953"/>
      <c r="G9977" s="953"/>
      <c r="H9977" s="953"/>
    </row>
    <row r="9978" spans="1:8" s="943" customFormat="1" x14ac:dyDescent="0.25">
      <c r="A9978" s="952"/>
      <c r="B9978" s="953"/>
      <c r="C9978" s="953"/>
      <c r="D9978" s="953"/>
      <c r="E9978" s="953"/>
      <c r="F9978" s="953"/>
      <c r="G9978" s="953"/>
      <c r="H9978" s="953"/>
    </row>
    <row r="9979" spans="1:8" s="943" customFormat="1" x14ac:dyDescent="0.25">
      <c r="A9979" s="952"/>
      <c r="B9979" s="953"/>
      <c r="C9979" s="953"/>
      <c r="D9979" s="953"/>
      <c r="E9979" s="953"/>
      <c r="F9979" s="953"/>
      <c r="G9979" s="953"/>
      <c r="H9979" s="953"/>
    </row>
    <row r="9980" spans="1:8" s="943" customFormat="1" x14ac:dyDescent="0.25">
      <c r="A9980" s="952"/>
      <c r="B9980" s="953"/>
      <c r="C9980" s="953"/>
      <c r="D9980" s="953"/>
      <c r="E9980" s="953"/>
      <c r="F9980" s="953"/>
      <c r="G9980" s="953"/>
      <c r="H9980" s="953"/>
    </row>
    <row r="9981" spans="1:8" s="943" customFormat="1" x14ac:dyDescent="0.25">
      <c r="A9981" s="952"/>
      <c r="B9981" s="953"/>
      <c r="C9981" s="953"/>
      <c r="D9981" s="953"/>
      <c r="E9981" s="953"/>
      <c r="F9981" s="953"/>
      <c r="G9981" s="953"/>
      <c r="H9981" s="953"/>
    </row>
    <row r="9982" spans="1:8" s="943" customFormat="1" x14ac:dyDescent="0.25">
      <c r="A9982" s="952"/>
      <c r="B9982" s="953"/>
      <c r="C9982" s="953"/>
      <c r="D9982" s="953"/>
      <c r="E9982" s="953"/>
      <c r="F9982" s="953"/>
      <c r="G9982" s="953"/>
      <c r="H9982" s="953"/>
    </row>
    <row r="9983" spans="1:8" s="943" customFormat="1" x14ac:dyDescent="0.25">
      <c r="A9983" s="952"/>
      <c r="B9983" s="953"/>
      <c r="C9983" s="953"/>
      <c r="D9983" s="953"/>
      <c r="E9983" s="953"/>
      <c r="F9983" s="953"/>
      <c r="G9983" s="953"/>
      <c r="H9983" s="953"/>
    </row>
    <row r="9984" spans="1:8" s="943" customFormat="1" x14ac:dyDescent="0.25">
      <c r="A9984" s="952"/>
      <c r="B9984" s="953"/>
      <c r="C9984" s="953"/>
      <c r="D9984" s="953"/>
      <c r="E9984" s="953"/>
      <c r="F9984" s="953"/>
      <c r="G9984" s="953"/>
      <c r="H9984" s="953"/>
    </row>
    <row r="9985" spans="1:8" s="943" customFormat="1" x14ac:dyDescent="0.25">
      <c r="A9985" s="952"/>
      <c r="B9985" s="953"/>
      <c r="C9985" s="953"/>
      <c r="D9985" s="953"/>
      <c r="E9985" s="953"/>
      <c r="F9985" s="953"/>
      <c r="G9985" s="953"/>
      <c r="H9985" s="953"/>
    </row>
    <row r="9986" spans="1:8" s="943" customFormat="1" x14ac:dyDescent="0.25">
      <c r="A9986" s="952"/>
      <c r="B9986" s="953"/>
      <c r="C9986" s="953"/>
      <c r="D9986" s="953"/>
      <c r="E9986" s="953"/>
      <c r="F9986" s="953"/>
      <c r="G9986" s="953"/>
      <c r="H9986" s="953"/>
    </row>
    <row r="9987" spans="1:8" s="943" customFormat="1" x14ac:dyDescent="0.25">
      <c r="A9987" s="952"/>
      <c r="B9987" s="953"/>
      <c r="C9987" s="953"/>
      <c r="D9987" s="953"/>
      <c r="E9987" s="953"/>
      <c r="F9987" s="953"/>
      <c r="G9987" s="953"/>
      <c r="H9987" s="953"/>
    </row>
    <row r="9988" spans="1:8" s="943" customFormat="1" x14ac:dyDescent="0.25">
      <c r="A9988" s="952"/>
      <c r="B9988" s="953"/>
      <c r="C9988" s="953"/>
      <c r="D9988" s="953"/>
      <c r="E9988" s="953"/>
      <c r="F9988" s="953"/>
      <c r="G9988" s="953"/>
      <c r="H9988" s="953"/>
    </row>
    <row r="9989" spans="1:8" s="943" customFormat="1" x14ac:dyDescent="0.25">
      <c r="A9989" s="952"/>
      <c r="B9989" s="953"/>
      <c r="C9989" s="953"/>
      <c r="D9989" s="953"/>
      <c r="E9989" s="953"/>
      <c r="F9989" s="953"/>
      <c r="G9989" s="953"/>
      <c r="H9989" s="953"/>
    </row>
    <row r="9990" spans="1:8" s="943" customFormat="1" x14ac:dyDescent="0.25">
      <c r="A9990" s="952"/>
      <c r="B9990" s="953"/>
      <c r="C9990" s="953"/>
      <c r="D9990" s="953"/>
      <c r="E9990" s="953"/>
      <c r="F9990" s="953"/>
      <c r="G9990" s="953"/>
      <c r="H9990" s="953"/>
    </row>
    <row r="9991" spans="1:8" s="943" customFormat="1" x14ac:dyDescent="0.25">
      <c r="A9991" s="952"/>
      <c r="B9991" s="953"/>
      <c r="C9991" s="953"/>
      <c r="D9991" s="953"/>
      <c r="E9991" s="953"/>
      <c r="F9991" s="953"/>
      <c r="G9991" s="953"/>
      <c r="H9991" s="953"/>
    </row>
    <row r="9992" spans="1:8" s="943" customFormat="1" x14ac:dyDescent="0.25">
      <c r="A9992" s="952"/>
      <c r="B9992" s="953"/>
      <c r="C9992" s="953"/>
      <c r="D9992" s="953"/>
      <c r="E9992" s="953"/>
      <c r="F9992" s="953"/>
      <c r="G9992" s="953"/>
      <c r="H9992" s="953"/>
    </row>
    <row r="9993" spans="1:8" s="943" customFormat="1" x14ac:dyDescent="0.25">
      <c r="A9993" s="952"/>
      <c r="B9993" s="953"/>
      <c r="C9993" s="953"/>
      <c r="D9993" s="953"/>
      <c r="E9993" s="953"/>
      <c r="F9993" s="953"/>
      <c r="G9993" s="953"/>
      <c r="H9993" s="953"/>
    </row>
    <row r="9994" spans="1:8" s="943" customFormat="1" x14ac:dyDescent="0.25">
      <c r="A9994" s="952"/>
      <c r="B9994" s="953"/>
      <c r="C9994" s="953"/>
      <c r="D9994" s="953"/>
      <c r="E9994" s="953"/>
      <c r="F9994" s="953"/>
      <c r="G9994" s="953"/>
      <c r="H9994" s="953"/>
    </row>
    <row r="9995" spans="1:8" s="943" customFormat="1" x14ac:dyDescent="0.25">
      <c r="A9995" s="952"/>
      <c r="B9995" s="953"/>
      <c r="C9995" s="953"/>
      <c r="D9995" s="953"/>
      <c r="E9995" s="953"/>
      <c r="F9995" s="953"/>
      <c r="G9995" s="953"/>
      <c r="H9995" s="953"/>
    </row>
    <row r="9996" spans="1:8" s="943" customFormat="1" x14ac:dyDescent="0.25">
      <c r="A9996" s="952"/>
      <c r="B9996" s="953"/>
      <c r="C9996" s="953"/>
      <c r="D9996" s="953"/>
      <c r="E9996" s="953"/>
      <c r="F9996" s="953"/>
      <c r="G9996" s="953"/>
      <c r="H9996" s="953"/>
    </row>
    <row r="9997" spans="1:8" s="943" customFormat="1" x14ac:dyDescent="0.25">
      <c r="A9997" s="952"/>
      <c r="B9997" s="953"/>
      <c r="C9997" s="953"/>
      <c r="D9997" s="953"/>
      <c r="E9997" s="953"/>
      <c r="F9997" s="953"/>
      <c r="G9997" s="953"/>
      <c r="H9997" s="953"/>
    </row>
    <row r="9998" spans="1:8" s="943" customFormat="1" x14ac:dyDescent="0.25">
      <c r="A9998" s="952"/>
      <c r="B9998" s="953"/>
      <c r="C9998" s="953"/>
      <c r="D9998" s="953"/>
      <c r="E9998" s="953"/>
      <c r="F9998" s="953"/>
      <c r="G9998" s="953"/>
      <c r="H9998" s="953"/>
    </row>
    <row r="9999" spans="1:8" s="943" customFormat="1" x14ac:dyDescent="0.25">
      <c r="A9999" s="952"/>
      <c r="B9999" s="953"/>
      <c r="C9999" s="953"/>
      <c r="D9999" s="953"/>
      <c r="E9999" s="953"/>
      <c r="F9999" s="953"/>
      <c r="G9999" s="953"/>
      <c r="H9999" s="953"/>
    </row>
    <row r="10000" spans="1:8" s="943" customFormat="1" x14ac:dyDescent="0.25">
      <c r="A10000" s="952"/>
      <c r="B10000" s="953"/>
      <c r="C10000" s="953"/>
      <c r="D10000" s="953"/>
      <c r="E10000" s="953"/>
      <c r="F10000" s="953"/>
      <c r="G10000" s="953"/>
      <c r="H10000" s="953"/>
    </row>
    <row r="10001" spans="1:8" s="943" customFormat="1" x14ac:dyDescent="0.25">
      <c r="A10001" s="952"/>
      <c r="B10001" s="953"/>
      <c r="C10001" s="953"/>
      <c r="D10001" s="953"/>
      <c r="E10001" s="953"/>
      <c r="F10001" s="953"/>
      <c r="G10001" s="953"/>
      <c r="H10001" s="953"/>
    </row>
    <row r="10002" spans="1:8" s="943" customFormat="1" x14ac:dyDescent="0.25">
      <c r="A10002" s="952"/>
      <c r="B10002" s="953"/>
      <c r="C10002" s="953"/>
      <c r="D10002" s="953"/>
      <c r="E10002" s="953"/>
      <c r="F10002" s="953"/>
      <c r="G10002" s="953"/>
      <c r="H10002" s="953"/>
    </row>
    <row r="10003" spans="1:8" s="943" customFormat="1" x14ac:dyDescent="0.25">
      <c r="A10003" s="952"/>
      <c r="B10003" s="953"/>
      <c r="C10003" s="953"/>
      <c r="D10003" s="953"/>
      <c r="E10003" s="953"/>
      <c r="F10003" s="953"/>
      <c r="G10003" s="953"/>
      <c r="H10003" s="953"/>
    </row>
    <row r="10004" spans="1:8" s="943" customFormat="1" ht="15.75" thickBot="1" x14ac:dyDescent="0.3">
      <c r="A10004" s="954"/>
      <c r="B10004" s="955"/>
      <c r="C10004" s="955"/>
      <c r="D10004" s="955"/>
      <c r="E10004" s="955"/>
      <c r="F10004" s="955"/>
      <c r="G10004" s="955"/>
      <c r="H10004" s="955"/>
    </row>
  </sheetData>
  <sheetProtection algorithmName="SHA-512" hashValue="2t7LkYUgBjwAxzL7D+Cua56X8TvJnyaoRLc9qP0+JieHlX5btKV5/xwdOl0D5O1GHihagrMXsXnlCd4fK0k2Jg==" saltValue="chKHQOTqmjAvKPK0fVsQ6A==" spinCount="100000" sheet="1" formatCells="0" formatColumns="0" formatRows="0"/>
  <mergeCells count="6">
    <mergeCell ref="E2:F2"/>
    <mergeCell ref="G2:H2"/>
    <mergeCell ref="A1:H1"/>
    <mergeCell ref="C2:D2"/>
    <mergeCell ref="A2:A3"/>
    <mergeCell ref="B2:B3"/>
  </mergeCells>
  <conditionalFormatting sqref="A4:H9999">
    <cfRule type="expression" dxfId="18" priority="5">
      <formula>AND((LEFT($A4,2)="41")+(LEFT($A4,1)="2")+(LEFT($A4,1)="3")+(LEFT($A4,2)="57")+(LEFT($A4,3)="585")-(LEFT($A4,2)="28")-(LEFT($A4,2)="29")-(LEFT($A4,3)="419")+(LEFT($A4,3)="131"),$H4&gt;0)</formula>
    </cfRule>
  </conditionalFormatting>
  <conditionalFormatting sqref="A4:G9999">
    <cfRule type="expression" dxfId="17" priority="4">
      <formula>AND((LEFT($A4,1)="1")-(LEFT($A4,3)="103")-(LEFT($A4,3)="104")-(LEFT($A4,3)="109")-(LEFT($A4,3)="129")+(LEFT($A4,2)="28")+(LEFT($A4,2)="29")+(LEFT($A4,2)="40")-(LEFT($A4,3)="409")+(LEFT($A4,3)="585"),$G4&gt;0)</formula>
    </cfRule>
  </conditionalFormatting>
  <conditionalFormatting sqref="A13:H13">
    <cfRule type="expression" dxfId="16" priority="2">
      <formula>AND((LEFT($A13,2)="41")+(LEFT($A13,1)="2")+(LEFT($A13,1)="3")+(LEFT($A13,2)="57")+(LEFT($A13,3)="585")-(LEFT($A13,2)="28")-(LEFT($A13,2)="29")-(LEFT($A13,3)="419")+(LEFT($A13,3)="131"),$H13&gt;0)</formula>
    </cfRule>
  </conditionalFormatting>
  <conditionalFormatting sqref="A13:G13">
    <cfRule type="expression" dxfId="15" priority="1">
      <formula>AND((LEFT($A13,1)="1")-(LEFT($A13,3)="103")-(LEFT($A13,3)="104")-(LEFT($A13,3)="109")-(LEFT($A13,3)="129")+(LEFT($A13,2)="28")+(LEFT($A13,2)="29")+(LEFT($A13,2)="40")-(LEFT($A13,3)="409")+(LEFT($A13,3)="585"),$G13&gt;0)</formula>
    </cfRule>
  </conditionalFormatting>
  <pageMargins left="0.7" right="0.7" top="0.75" bottom="0.75" header="0.3" footer="0.3"/>
  <pageSetup paperSize="9" orientation="portrait" verticalDpi="0" r:id="rId1"/>
  <extLst>
    <ext xmlns:x14="http://schemas.microsoft.com/office/spreadsheetml/2009/9/main" uri="{78C0D931-6437-407d-A8EE-F0AAD7539E65}">
      <x14:conditionalFormattings>
        <x14:conditionalFormatting xmlns:xm="http://schemas.microsoft.com/office/excel/2006/main">
          <x14:cfRule type="expression" priority="7" id="{92948C5D-1AF7-406D-8962-052F4DA89B55}">
            <xm:f>AND($A4&lt;&gt;"",COUNTIF('PLAN COMPTABLE'!$A$4:$A$9999,LEFT($A4,3))=0,COUNTIF('PLAN COMPTABLE'!$A$4:$A$9999,LEFT($A4,4))=0)</xm:f>
            <x14:dxf>
              <fill>
                <patternFill>
                  <bgColor rgb="FFFF0000"/>
                </patternFill>
              </fill>
            </x14:dxf>
          </x14:cfRule>
          <xm:sqref>A4:H9999</xm:sqref>
        </x14:conditionalFormatting>
        <x14:conditionalFormatting xmlns:xm="http://schemas.microsoft.com/office/excel/2006/main">
          <x14:cfRule type="expression" priority="3" id="{27AC353D-5843-469C-9DCE-36A2FA6BE995}">
            <xm:f>AND($A13&lt;&gt;"",COUNTIF('PLAN COMPTABLE'!$A$4:$A$9999,LEFT($A13,3))=0,COUNTIF('PLAN COMPTABLE'!$A$4:$A$9999,LEFT($A13,4))=0)</xm:f>
            <x14:dxf>
              <fill>
                <patternFill>
                  <bgColor rgb="FFFF0000"/>
                </patternFill>
              </fill>
            </x14:dxf>
          </x14:cfRule>
          <xm:sqref>A13:H13</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tabColor rgb="FF43C6E5"/>
  </sheetPr>
  <dimension ref="A1:M58"/>
  <sheetViews>
    <sheetView zoomScaleNormal="100" workbookViewId="0">
      <selection activeCell="H36" sqref="H36"/>
    </sheetView>
  </sheetViews>
  <sheetFormatPr baseColWidth="10" defaultColWidth="0" defaultRowHeight="15" zeroHeight="1" x14ac:dyDescent="0.25"/>
  <cols>
    <col min="1" max="4" width="11.42578125" style="537" customWidth="1"/>
    <col min="5" max="5" width="29.42578125" style="345" customWidth="1"/>
    <col min="6" max="6" width="20.7109375" style="345" customWidth="1"/>
    <col min="7" max="7" width="16.7109375" style="345" customWidth="1"/>
    <col min="8" max="8" width="18.28515625" style="345" customWidth="1"/>
    <col min="9" max="9" width="14" style="345" customWidth="1"/>
    <col min="10" max="13" width="11.42578125" style="537" customWidth="1"/>
    <col min="14" max="16384" width="11.42578125" style="345" hidden="1"/>
  </cols>
  <sheetData>
    <row r="1" spans="1:13" ht="28.5" customHeight="1" x14ac:dyDescent="0.25">
      <c r="E1" s="2135" t="s">
        <v>465</v>
      </c>
      <c r="F1" s="2136"/>
      <c r="G1" s="2136"/>
      <c r="H1" s="2136"/>
      <c r="I1" s="2137"/>
    </row>
    <row r="2" spans="1:13" x14ac:dyDescent="0.25">
      <c r="E2" s="388"/>
      <c r="F2" s="388"/>
      <c r="G2" s="388"/>
      <c r="H2" s="388"/>
      <c r="I2" s="388"/>
    </row>
    <row r="3" spans="1:13" s="746" customFormat="1" ht="21" customHeight="1" x14ac:dyDescent="0.25">
      <c r="A3" s="745"/>
      <c r="B3" s="745"/>
      <c r="C3" s="745"/>
      <c r="D3" s="745"/>
      <c r="E3" s="712" t="s">
        <v>42</v>
      </c>
      <c r="F3" s="2185" t="str">
        <f>INFORMATIONS!B10</f>
        <v>SAM CONSEILS</v>
      </c>
      <c r="G3" s="2185"/>
      <c r="H3" s="713" t="s">
        <v>52</v>
      </c>
      <c r="I3" s="714">
        <f>INFORMATIONS!D31</f>
        <v>43465</v>
      </c>
      <c r="J3" s="745"/>
      <c r="K3" s="745"/>
      <c r="L3" s="745"/>
      <c r="M3" s="745"/>
    </row>
    <row r="4" spans="1:13" ht="19.5" customHeight="1" x14ac:dyDescent="0.25">
      <c r="E4" s="632" t="s">
        <v>43</v>
      </c>
      <c r="F4" s="633" t="str">
        <f>INFORMATIONS!B24</f>
        <v>00084404X</v>
      </c>
      <c r="G4" s="634"/>
      <c r="H4" s="666" t="s">
        <v>44</v>
      </c>
      <c r="I4" s="667">
        <f>INFORMATIONS!F34</f>
        <v>12</v>
      </c>
    </row>
    <row r="5" spans="1:13" x14ac:dyDescent="0.25"/>
    <row r="6" spans="1:13" ht="39.75" customHeight="1" x14ac:dyDescent="0.25">
      <c r="E6" s="2116" t="s">
        <v>138</v>
      </c>
      <c r="F6" s="2117"/>
      <c r="G6" s="590" t="s">
        <v>139</v>
      </c>
      <c r="H6" s="590" t="s">
        <v>140</v>
      </c>
      <c r="I6" s="590" t="s">
        <v>141</v>
      </c>
    </row>
    <row r="7" spans="1:13" ht="16.5" customHeight="1" x14ac:dyDescent="0.25">
      <c r="E7" s="423" t="s">
        <v>466</v>
      </c>
      <c r="F7" s="425"/>
      <c r="G7" s="683">
        <f>-SUMPRODUCT(((LEFT(BalanceN!$A$4:$A$9999,3)="621"))*BalanceN!$H$4:$H$9999)+SUMPRODUCT(((LEFT(BalanceN!$A$4:$A$9999,3)="621"))*BalanceN!$G$4:$G$9999)</f>
        <v>0</v>
      </c>
      <c r="H7" s="683">
        <f>-SUMPRODUCT(((LEFT('BalanceN-1'!$A$4:$A$9999,3)="621"))*'BalanceN-1'!$H$4:$H$9999)+SUMPRODUCT(((LEFT('BalanceN-1'!$A$4:$A$9999,3)="621"))*'BalanceN-1'!$G$4:$G$9999)</f>
        <v>0</v>
      </c>
      <c r="I7" s="723" t="str">
        <f>IF(H7=0,"-",(G7-H7)/H7)</f>
        <v>-</v>
      </c>
    </row>
    <row r="8" spans="1:13" ht="16.5" customHeight="1" x14ac:dyDescent="0.25">
      <c r="E8" s="423" t="s">
        <v>467</v>
      </c>
      <c r="F8" s="425"/>
      <c r="G8" s="683">
        <f>-SUMPRODUCT(((LEFT(BalanceN!$A$4:$A$9999,3)="622"))*BalanceN!$H$4:$H$9999)+SUMPRODUCT(((LEFT(BalanceN!$A$4:$A$9999,3)="622"))*BalanceN!$G$4:$G$9999)</f>
        <v>20807898</v>
      </c>
      <c r="H8" s="683">
        <f>-SUMPRODUCT(((LEFT('BalanceN-1'!$A$4:$A$9999,3)="622"))*'BalanceN-1'!$H$4:$H$9999)+SUMPRODUCT(((LEFT('BalanceN-1'!$A$4:$A$9999,3)="622"))*'BalanceN-1'!$G$4:$G$9999)</f>
        <v>23133759</v>
      </c>
      <c r="I8" s="723">
        <f t="shared" ref="I8:I20" si="0">IF(H8=0,"-",(G8-H8)/H8)</f>
        <v>-0.10053969179846647</v>
      </c>
    </row>
    <row r="9" spans="1:13" ht="16.5" customHeight="1" x14ac:dyDescent="0.25">
      <c r="E9" s="423" t="s">
        <v>468</v>
      </c>
      <c r="F9" s="425"/>
      <c r="G9" s="683">
        <f>-SUMPRODUCT(((LEFT(BalanceN!$A$4:$A$9999,3)="623"))*BalanceN!$H$4:$H$9999)+SUMPRODUCT(((LEFT(BalanceN!$A$4:$A$9999,3)="623"))*BalanceN!$G$4:$G$9999)</f>
        <v>0</v>
      </c>
      <c r="H9" s="683">
        <f>-SUMPRODUCT(((LEFT('BalanceN-1'!$A$4:$A$9999,3)="623"))*'BalanceN-1'!$H$4:$H$9999)+SUMPRODUCT(((LEFT('BalanceN-1'!$A$4:$A$9999,3)="623"))*'BalanceN-1'!$G$4:$G$9999)</f>
        <v>0</v>
      </c>
      <c r="I9" s="723" t="str">
        <f t="shared" si="0"/>
        <v>-</v>
      </c>
    </row>
    <row r="10" spans="1:13" ht="16.5" customHeight="1" x14ac:dyDescent="0.25">
      <c r="E10" s="423" t="s">
        <v>469</v>
      </c>
      <c r="F10" s="425"/>
      <c r="G10" s="683">
        <f>-SUMPRODUCT(((LEFT(BalanceN!$A$4:$A$9999,3)="624"))*BalanceN!$H$4:$H$9999)+SUMPRODUCT(((LEFT(BalanceN!$A$4:$A$9999,3)="624"))*BalanceN!$G$4:$G$9999)</f>
        <v>12018564</v>
      </c>
      <c r="H10" s="683">
        <f>-SUMPRODUCT(((LEFT('BalanceN-1'!$A$4:$A$9999,3)="624"))*'BalanceN-1'!$H$4:$H$9999)+SUMPRODUCT(((LEFT('BalanceN-1'!$A$4:$A$9999,3)="624"))*'BalanceN-1'!$G$4:$G$9999)</f>
        <v>9706145</v>
      </c>
      <c r="I10" s="723">
        <f t="shared" si="0"/>
        <v>0.2382427833089244</v>
      </c>
    </row>
    <row r="11" spans="1:13" ht="16.5" customHeight="1" x14ac:dyDescent="0.25">
      <c r="E11" s="423" t="s">
        <v>470</v>
      </c>
      <c r="F11" s="425"/>
      <c r="G11" s="683">
        <f>-SUMPRODUCT(((LEFT(BalanceN!$A$4:$A$9999,3)="625"))*BalanceN!$H$4:$H$9999)+SUMPRODUCT(((LEFT(BalanceN!$A$4:$A$9999,3)="625"))*BalanceN!$G$4:$G$9999)</f>
        <v>2461776</v>
      </c>
      <c r="H11" s="683">
        <f>-SUMPRODUCT(((LEFT('BalanceN-1'!$A$4:$A$9999,3)="625"))*'BalanceN-1'!$H$4:$H$9999)+SUMPRODUCT(((LEFT('BalanceN-1'!$A$4:$A$9999,3)="625"))*'BalanceN-1'!$G$4:$G$9999)</f>
        <v>2440484</v>
      </c>
      <c r="I11" s="723">
        <f t="shared" si="0"/>
        <v>8.724498910871778E-3</v>
      </c>
    </row>
    <row r="12" spans="1:13" ht="16.5" customHeight="1" x14ac:dyDescent="0.25">
      <c r="E12" s="423" t="s">
        <v>471</v>
      </c>
      <c r="F12" s="425"/>
      <c r="G12" s="683">
        <f>-SUMPRODUCT(((LEFT(BalanceN!$A$4:$A$9999,3)="626"))*BalanceN!$H$4:$H$9999)+SUMPRODUCT(((LEFT(BalanceN!$A$4:$A$9999,3)="626"))*BalanceN!$G$4:$G$9999)</f>
        <v>0</v>
      </c>
      <c r="H12" s="683">
        <f>-SUMPRODUCT(((LEFT('BalanceN-1'!$A$4:$A$9999,3)="626"))*'BalanceN-1'!$H$4:$H$9999)+SUMPRODUCT(((LEFT('BalanceN-1'!$A$4:$A$9999,3)="626"))*'BalanceN-1'!$G$4:$G$9999)</f>
        <v>30000</v>
      </c>
      <c r="I12" s="723">
        <f t="shared" si="0"/>
        <v>-1</v>
      </c>
    </row>
    <row r="13" spans="1:13" ht="16.5" customHeight="1" x14ac:dyDescent="0.25">
      <c r="E13" s="423" t="s">
        <v>472</v>
      </c>
      <c r="F13" s="425"/>
      <c r="G13" s="683">
        <f>-SUMPRODUCT(((LEFT(BalanceN!$A$4:$A$9999,3)="627"))*BalanceN!$H$4:$H$9999)+SUMPRODUCT(((LEFT(BalanceN!$A$4:$A$9999,3)="627"))*BalanceN!$G$4:$G$9999)</f>
        <v>0</v>
      </c>
      <c r="H13" s="683">
        <f>-SUMPRODUCT(((LEFT('BalanceN-1'!$A$4:$A$9999,3)="627"))*'BalanceN-1'!$H$4:$H$9999)+SUMPRODUCT(((LEFT('BalanceN-1'!$A$4:$A$9999,3)="627"))*'BalanceN-1'!$G$4:$G$9999)</f>
        <v>200000</v>
      </c>
      <c r="I13" s="723">
        <f t="shared" si="0"/>
        <v>-1</v>
      </c>
    </row>
    <row r="14" spans="1:13" ht="16.5" customHeight="1" x14ac:dyDescent="0.25">
      <c r="E14" s="423" t="s">
        <v>473</v>
      </c>
      <c r="F14" s="425"/>
      <c r="G14" s="683">
        <f>-SUMPRODUCT(((LEFT(BalanceN!$A$4:$A$9999,3)="628"))*BalanceN!$H$4:$H$9999)+SUMPRODUCT(((LEFT(BalanceN!$A$4:$A$9999,3)="628"))*BalanceN!$G$4:$G$9999)</f>
        <v>7316650</v>
      </c>
      <c r="H14" s="683">
        <f>-SUMPRODUCT(((LEFT('BalanceN-1'!$A$4:$A$9999,3)="628"))*'BalanceN-1'!$H$4:$H$9999)+SUMPRODUCT(((LEFT('BalanceN-1'!$A$4:$A$9999,3)="628"))*'BalanceN-1'!$G$4:$G$9999)</f>
        <v>5223250</v>
      </c>
      <c r="I14" s="723">
        <f t="shared" si="0"/>
        <v>0.40078495189776481</v>
      </c>
    </row>
    <row r="15" spans="1:13" ht="16.5" customHeight="1" x14ac:dyDescent="0.25">
      <c r="E15" s="423" t="s">
        <v>474</v>
      </c>
      <c r="F15" s="425"/>
      <c r="G15" s="683">
        <f>-SUMPRODUCT(((LEFT(BalanceN!$A$4:$A$9999,3)="631"))*BalanceN!$H$4:$H$9999)+SUMPRODUCT(((LEFT(BalanceN!$A$4:$A$9999,3)="631"))*BalanceN!$G$4:$G$9999)</f>
        <v>8430066</v>
      </c>
      <c r="H15" s="683">
        <f>-SUMPRODUCT(((LEFT('BalanceN-1'!$A$4:$A$9999,3)="631"))*'BalanceN-1'!$H$4:$H$9999)+SUMPRODUCT(((LEFT('BalanceN-1'!$A$4:$A$9999,3)="631"))*'BalanceN-1'!$G$4:$G$9999)</f>
        <v>12728046</v>
      </c>
      <c r="I15" s="723">
        <f t="shared" si="0"/>
        <v>-0.33767791222627574</v>
      </c>
    </row>
    <row r="16" spans="1:13" ht="16.5" customHeight="1" x14ac:dyDescent="0.25">
      <c r="E16" s="423" t="s">
        <v>475</v>
      </c>
      <c r="F16" s="425"/>
      <c r="G16" s="683">
        <f>-SUMPRODUCT(((LEFT(BalanceN!$A$4:$A$9999,3)="632"))*BalanceN!$H$4:$H$9999)+SUMPRODUCT(((LEFT(BalanceN!$A$4:$A$9999,3)="632"))*BalanceN!$G$4:$G$9999)</f>
        <v>21254575</v>
      </c>
      <c r="H16" s="683">
        <f>-SUMPRODUCT(((LEFT('BalanceN-1'!$A$4:$A$9999,3)="632"))*'BalanceN-1'!$H$4:$H$9999)+SUMPRODUCT(((LEFT('BalanceN-1'!$A$4:$A$9999,3)="632"))*'BalanceN-1'!$G$4:$G$9999)</f>
        <v>7017695</v>
      </c>
      <c r="I16" s="723">
        <f t="shared" si="0"/>
        <v>2.0287117066216185</v>
      </c>
    </row>
    <row r="17" spans="5:9" ht="16.5" customHeight="1" x14ac:dyDescent="0.25">
      <c r="E17" s="423" t="s">
        <v>476</v>
      </c>
      <c r="F17" s="425"/>
      <c r="G17" s="683">
        <f>-SUMPRODUCT(((LEFT(BalanceN!$A$4:$A$9999,3)="633"))*BalanceN!$H$4:$H$9999)+SUMPRODUCT(((LEFT(BalanceN!$A$4:$A$9999,3)="633"))*BalanceN!$G$4:$G$9999)</f>
        <v>0</v>
      </c>
      <c r="H17" s="683">
        <f>-SUMPRODUCT(((LEFT('BalanceN-1'!$A$4:$A$9999,3)="633"))*'BalanceN-1'!$H$4:$H$9999)+SUMPRODUCT(((LEFT('BalanceN-1'!$A$4:$A$9999,3)="633"))*'BalanceN-1'!$G$4:$G$9999)</f>
        <v>0</v>
      </c>
      <c r="I17" s="723" t="str">
        <f t="shared" si="0"/>
        <v>-</v>
      </c>
    </row>
    <row r="18" spans="5:9" ht="30" customHeight="1" x14ac:dyDescent="0.25">
      <c r="E18" s="2001" t="s">
        <v>477</v>
      </c>
      <c r="F18" s="2003"/>
      <c r="G18" s="683">
        <f>-SUMPRODUCT(((LEFT(BalanceN!$A$4:$A$9999,3)="634"))*BalanceN!$H$4:$H$9999)+SUMPRODUCT(((LEFT(BalanceN!$A$4:$A$9999,3)="634"))*BalanceN!$G$4:$G$9999)</f>
        <v>48000</v>
      </c>
      <c r="H18" s="683">
        <f>-SUMPRODUCT(((LEFT('BalanceN-1'!$A$4:$A$9999,3)="634"))*'BalanceN-1'!$H$4:$H$9999)+SUMPRODUCT(((LEFT('BalanceN-1'!$A$4:$A$9999,3)="634"))*'BalanceN-1'!$G$4:$G$9999)</f>
        <v>0</v>
      </c>
      <c r="I18" s="724" t="str">
        <f t="shared" si="0"/>
        <v>-</v>
      </c>
    </row>
    <row r="19" spans="5:9" ht="16.5" customHeight="1" x14ac:dyDescent="0.25">
      <c r="E19" s="423" t="s">
        <v>478</v>
      </c>
      <c r="F19" s="425"/>
      <c r="G19" s="683">
        <f>-SUMPRODUCT(((LEFT(BalanceN!$A$4:$A$9999,3)="635"))*BalanceN!$H$4:$H$9999)+SUMPRODUCT(((LEFT(BalanceN!$A$4:$A$9999,3)="635"))*BalanceN!$G$4:$G$9999)</f>
        <v>200000</v>
      </c>
      <c r="H19" s="683">
        <f>-SUMPRODUCT(((LEFT('BalanceN-1'!$A$4:$A$9999,3)="635"))*'BalanceN-1'!$H$4:$H$9999)+SUMPRODUCT(((LEFT('BalanceN-1'!$A$4:$A$9999,3)="635"))*'BalanceN-1'!$G$4:$G$9999)</f>
        <v>290000</v>
      </c>
      <c r="I19" s="723">
        <f t="shared" si="0"/>
        <v>-0.31034482758620691</v>
      </c>
    </row>
    <row r="20" spans="5:9" ht="16.5" customHeight="1" x14ac:dyDescent="0.25">
      <c r="E20" s="423" t="s">
        <v>479</v>
      </c>
      <c r="F20" s="425"/>
      <c r="G20" s="683">
        <f>-SUMPRODUCT(((LEFT(BalanceN!$A$4:$A$9999,3)="637")+(LEFT(BalanceN!$A$4:$A$9999,3)="638"))*BalanceN!$H$4:$H$9999)+SUMPRODUCT(((LEFT(BalanceN!$A$4:$A$9999,3)="637")+(LEFT(BalanceN!$A$4:$A$9999,3)="638"))*BalanceN!$G$4:$G$9999)</f>
        <v>61800</v>
      </c>
      <c r="H20" s="683">
        <f>-SUMPRODUCT(((LEFT('BalanceN-1'!$A$4:$A$9999,3)="637")+(LEFT('BalanceN-1'!$A$4:$A$9999,3)="638"))*'BalanceN-1'!$H$4:$H$9999)+SUMPRODUCT(((LEFT('BalanceN-1'!$A$4:$A$9999,3)="637")+(LEFT('BalanceN-1'!$A$4:$A$9999,3)="638"))*'BalanceN-1'!$G$4:$G$9999)</f>
        <v>18000</v>
      </c>
      <c r="I20" s="723">
        <f t="shared" si="0"/>
        <v>2.4333333333333331</v>
      </c>
    </row>
    <row r="21" spans="5:9" ht="15.75" customHeight="1" x14ac:dyDescent="0.25">
      <c r="E21" s="2121" t="s">
        <v>262</v>
      </c>
      <c r="F21" s="2122"/>
      <c r="G21" s="639">
        <f>SUM(G7:G20)</f>
        <v>72599329</v>
      </c>
      <c r="H21" s="639">
        <f>SUM(H7:H20)</f>
        <v>60787379</v>
      </c>
      <c r="I21" s="751"/>
    </row>
    <row r="22" spans="5:9" x14ac:dyDescent="0.25"/>
    <row r="23" spans="5:9" x14ac:dyDescent="0.25">
      <c r="E23" s="645" t="s">
        <v>1348</v>
      </c>
    </row>
    <row r="24" spans="5:9" x14ac:dyDescent="0.25">
      <c r="E24" s="2166"/>
      <c r="F24" s="2166"/>
      <c r="G24" s="2166"/>
      <c r="H24" s="2166"/>
      <c r="I24" s="2166"/>
    </row>
    <row r="25" spans="5:9" x14ac:dyDescent="0.25">
      <c r="E25" s="2166"/>
      <c r="F25" s="2166"/>
      <c r="G25" s="2166"/>
      <c r="H25" s="2166"/>
      <c r="I25" s="2166"/>
    </row>
    <row r="26" spans="5:9" x14ac:dyDescent="0.25">
      <c r="E26" s="2166"/>
      <c r="F26" s="2166"/>
      <c r="G26" s="2166"/>
      <c r="H26" s="2166"/>
      <c r="I26" s="2166"/>
    </row>
    <row r="27" spans="5:9" x14ac:dyDescent="0.25">
      <c r="E27" s="2166"/>
      <c r="F27" s="2166"/>
      <c r="G27" s="2166"/>
      <c r="H27" s="2166"/>
      <c r="I27" s="2166"/>
    </row>
    <row r="28" spans="5:9" x14ac:dyDescent="0.25">
      <c r="E28" s="2166"/>
      <c r="F28" s="2166"/>
      <c r="G28" s="2166"/>
      <c r="H28" s="2166"/>
      <c r="I28" s="2166"/>
    </row>
    <row r="29" spans="5:9" x14ac:dyDescent="0.25">
      <c r="E29" s="2166"/>
      <c r="F29" s="2166"/>
      <c r="G29" s="2166"/>
      <c r="H29" s="2166"/>
      <c r="I29" s="2166"/>
    </row>
    <row r="30" spans="5:9" s="537" customFormat="1" x14ac:dyDescent="0.25"/>
    <row r="31" spans="5:9" s="537" customFormat="1" x14ac:dyDescent="0.25"/>
    <row r="32" spans="5:9" s="537" customFormat="1" x14ac:dyDescent="0.25"/>
    <row r="33" s="537" customFormat="1" x14ac:dyDescent="0.25"/>
    <row r="34" s="537" customFormat="1" x14ac:dyDescent="0.25"/>
    <row r="35" s="537" customFormat="1" x14ac:dyDescent="0.25"/>
    <row r="36" s="537" customFormat="1" x14ac:dyDescent="0.25"/>
    <row r="37" s="537" customFormat="1" x14ac:dyDescent="0.25"/>
    <row r="38" s="537" customFormat="1" x14ac:dyDescent="0.25"/>
    <row r="39" s="537" customFormat="1" x14ac:dyDescent="0.25"/>
    <row r="40" s="537" customFormat="1" x14ac:dyDescent="0.25"/>
    <row r="41" s="537" customFormat="1" x14ac:dyDescent="0.25"/>
    <row r="42" s="537" customFormat="1" x14ac:dyDescent="0.25"/>
    <row r="43" s="537" customFormat="1" x14ac:dyDescent="0.25"/>
    <row r="44" s="537" customFormat="1" x14ac:dyDescent="0.25"/>
    <row r="45" s="537" customFormat="1" x14ac:dyDescent="0.25"/>
    <row r="46" s="537" customFormat="1" x14ac:dyDescent="0.25"/>
    <row r="47" s="537" customFormat="1" x14ac:dyDescent="0.25"/>
    <row r="48" s="537" customFormat="1" x14ac:dyDescent="0.25"/>
    <row r="49" s="537" customFormat="1" x14ac:dyDescent="0.25"/>
    <row r="50" s="537" customFormat="1" x14ac:dyDescent="0.25"/>
    <row r="51" s="537" customFormat="1" x14ac:dyDescent="0.25"/>
    <row r="52" s="537" customFormat="1" x14ac:dyDescent="0.25"/>
    <row r="53" x14ac:dyDescent="0.25"/>
    <row r="54" x14ac:dyDescent="0.25"/>
    <row r="55" x14ac:dyDescent="0.25"/>
    <row r="56" x14ac:dyDescent="0.25"/>
    <row r="57" x14ac:dyDescent="0.25"/>
    <row r="58" x14ac:dyDescent="0.25"/>
  </sheetData>
  <sheetProtection algorithmName="SHA-512" hashValue="YzMFARYI8IgJRNqDccsYNC5FutY7GAmO+JewYFOiFpD6yoRaQSxN1LWQG0mCQU1h3Jm9pMMq4xWXNgxuEgvQEg==" saltValue="Av6dBOTBU5DuxmSTiVhmzA==" spinCount="100000" sheet="1" formatCells="0" formatColumns="0" formatRows="0" pivotTables="0"/>
  <mergeCells count="6">
    <mergeCell ref="E24:I29"/>
    <mergeCell ref="E1:I1"/>
    <mergeCell ref="E6:F6"/>
    <mergeCell ref="E21:F21"/>
    <mergeCell ref="E18:F18"/>
    <mergeCell ref="F3:G3"/>
  </mergeCells>
  <printOptions horizontalCentered="1"/>
  <pageMargins left="0.19685039370078741" right="0.11811023622047244" top="0" bottom="0.3543307086614173"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tabColor rgb="FF43C6E5"/>
  </sheetPr>
  <dimension ref="A1:M50"/>
  <sheetViews>
    <sheetView zoomScaleNormal="100" workbookViewId="0">
      <selection activeCell="H36" sqref="H36"/>
    </sheetView>
  </sheetViews>
  <sheetFormatPr baseColWidth="10" defaultColWidth="0" defaultRowHeight="15" zeroHeight="1" x14ac:dyDescent="0.25"/>
  <cols>
    <col min="1" max="4" width="11.42578125" style="537" customWidth="1"/>
    <col min="5" max="5" width="29.42578125" style="345" customWidth="1"/>
    <col min="6" max="6" width="20.7109375" style="345" customWidth="1"/>
    <col min="7" max="7" width="16.7109375" style="345" customWidth="1"/>
    <col min="8" max="8" width="18.28515625" style="345" customWidth="1"/>
    <col min="9" max="9" width="14" style="345" customWidth="1"/>
    <col min="10" max="13" width="11.42578125" style="537" customWidth="1"/>
    <col min="14" max="16384" width="11.42578125" style="345" hidden="1"/>
  </cols>
  <sheetData>
    <row r="1" spans="1:13" ht="28.5" customHeight="1" x14ac:dyDescent="0.25">
      <c r="E1" s="2135" t="s">
        <v>485</v>
      </c>
      <c r="F1" s="2136"/>
      <c r="G1" s="2136"/>
      <c r="H1" s="2136"/>
      <c r="I1" s="2137"/>
    </row>
    <row r="2" spans="1:13" x14ac:dyDescent="0.25">
      <c r="E2" s="388"/>
      <c r="F2" s="388"/>
      <c r="G2" s="388"/>
      <c r="H2" s="388"/>
      <c r="I2" s="388"/>
    </row>
    <row r="3" spans="1:13" s="746" customFormat="1" ht="24" customHeight="1" x14ac:dyDescent="0.25">
      <c r="A3" s="745"/>
      <c r="B3" s="745"/>
      <c r="C3" s="745"/>
      <c r="D3" s="745"/>
      <c r="E3" s="712" t="s">
        <v>42</v>
      </c>
      <c r="F3" s="2185" t="str">
        <f>INFORMATIONS!B10</f>
        <v>SAM CONSEILS</v>
      </c>
      <c r="G3" s="2185"/>
      <c r="H3" s="713" t="s">
        <v>52</v>
      </c>
      <c r="I3" s="714">
        <f>INFORMATIONS!D31</f>
        <v>43465</v>
      </c>
      <c r="J3" s="745"/>
      <c r="K3" s="745"/>
      <c r="L3" s="745"/>
      <c r="M3" s="745"/>
    </row>
    <row r="4" spans="1:13" ht="19.5" customHeight="1" x14ac:dyDescent="0.25">
      <c r="E4" s="632" t="s">
        <v>43</v>
      </c>
      <c r="F4" s="633" t="str">
        <f>INFORMATIONS!B24</f>
        <v>00084404X</v>
      </c>
      <c r="G4" s="634"/>
      <c r="H4" s="666" t="s">
        <v>44</v>
      </c>
      <c r="I4" s="667">
        <f>INFORMATIONS!F34</f>
        <v>12</v>
      </c>
    </row>
    <row r="5" spans="1:13" x14ac:dyDescent="0.25"/>
    <row r="6" spans="1:13" ht="39.75" customHeight="1" x14ac:dyDescent="0.25">
      <c r="E6" s="2116" t="s">
        <v>138</v>
      </c>
      <c r="F6" s="2117"/>
      <c r="G6" s="590" t="s">
        <v>139</v>
      </c>
      <c r="H6" s="590" t="s">
        <v>140</v>
      </c>
      <c r="I6" s="590" t="s">
        <v>141</v>
      </c>
    </row>
    <row r="7" spans="1:13" ht="16.5" customHeight="1" x14ac:dyDescent="0.25">
      <c r="E7" s="423" t="s">
        <v>480</v>
      </c>
      <c r="F7" s="425"/>
      <c r="G7" s="683">
        <f>-SUMPRODUCT(((LEFT(BalanceN!$A$4:$A$9999,3)="641"))*BalanceN!$H$4:$H$9999)+SUMPRODUCT(((LEFT(BalanceN!$A$4:$A$9999,3)="641"))*BalanceN!$G$4:$G$9999)</f>
        <v>0</v>
      </c>
      <c r="H7" s="683">
        <f>-SUMPRODUCT(((LEFT('BalanceN-1'!$A$4:$A$9999,3)="641"))*'BalanceN-1'!$H$4:$H$9999)+SUMPRODUCT(((LEFT('BalanceN-1'!$A$4:$A$9999,3)="641"))*'BalanceN-1'!$G$4:$G$9999)</f>
        <v>0</v>
      </c>
      <c r="I7" s="723" t="str">
        <f t="shared" ref="I7:I11" si="0">IF(H7=0,"-",(G7-H7)/H7)</f>
        <v>-</v>
      </c>
    </row>
    <row r="8" spans="1:13" ht="16.5" customHeight="1" x14ac:dyDescent="0.25">
      <c r="E8" s="423" t="s">
        <v>481</v>
      </c>
      <c r="F8" s="425"/>
      <c r="G8" s="683">
        <f>-SUMPRODUCT(((LEFT(BalanceN!$A$4:$A$9999,3)="645"))*BalanceN!$H$4:$H$9999)+SUMPRODUCT(((LEFT(BalanceN!$A$4:$A$9999,3)="645"))*BalanceN!$G$4:$G$9999)</f>
        <v>0</v>
      </c>
      <c r="H8" s="683">
        <f>-SUMPRODUCT(((LEFT('BalanceN-1'!$A$4:$A$9999,3)="645"))*'BalanceN-1'!$H$4:$H$9999)+SUMPRODUCT(((LEFT('BalanceN-1'!$A$4:$A$9999,3)="645"))*'BalanceN-1'!$G$4:$G$9999)</f>
        <v>0</v>
      </c>
      <c r="I8" s="723" t="str">
        <f t="shared" si="0"/>
        <v>-</v>
      </c>
    </row>
    <row r="9" spans="1:13" ht="16.5" customHeight="1" x14ac:dyDescent="0.25">
      <c r="E9" s="423" t="s">
        <v>482</v>
      </c>
      <c r="F9" s="425"/>
      <c r="G9" s="683">
        <f>-SUMPRODUCT(((LEFT(BalanceN!$A$4:$A$9999,3)="646"))*BalanceN!$H$4:$H$9999)+SUMPRODUCT(((LEFT(BalanceN!$A$4:$A$9999,3)="646"))*BalanceN!$G$4:$G$9999)</f>
        <v>3045200</v>
      </c>
      <c r="H9" s="683">
        <f>-SUMPRODUCT(((LEFT('BalanceN-1'!$A$4:$A$9999,3)="646"))*'BalanceN-1'!$H$4:$H$9999)+SUMPRODUCT(((LEFT('BalanceN-1'!$A$4:$A$9999,3)="646"))*'BalanceN-1'!$G$4:$G$9999)</f>
        <v>35000</v>
      </c>
      <c r="I9" s="723">
        <f t="shared" si="0"/>
        <v>86.005714285714291</v>
      </c>
    </row>
    <row r="10" spans="1:13" ht="16.5" customHeight="1" x14ac:dyDescent="0.25">
      <c r="E10" s="423" t="s">
        <v>483</v>
      </c>
      <c r="F10" s="425"/>
      <c r="G10" s="683">
        <f>-SUMPRODUCT(((LEFT(BalanceN!$A$4:$A$9999,3)="647"))*BalanceN!$H$4:$H$9999)+SUMPRODUCT(((LEFT(BalanceN!$A$4:$A$9999,3)="647"))*BalanceN!$G$4:$G$9999)</f>
        <v>90000</v>
      </c>
      <c r="H10" s="683">
        <f>-SUMPRODUCT(((LEFT('BalanceN-1'!$A$4:$A$9999,3)="647"))*'BalanceN-1'!$H$4:$H$9999)+SUMPRODUCT(((LEFT('BalanceN-1'!$A$4:$A$9999,3)="647"))*'BalanceN-1'!$G$4:$G$9999)</f>
        <v>75000</v>
      </c>
      <c r="I10" s="723">
        <f t="shared" si="0"/>
        <v>0.2</v>
      </c>
    </row>
    <row r="11" spans="1:13" ht="16.5" customHeight="1" x14ac:dyDescent="0.25">
      <c r="E11" s="423" t="s">
        <v>484</v>
      </c>
      <c r="F11" s="425"/>
      <c r="G11" s="683">
        <f>-SUMPRODUCT(((LEFT(BalanceN!$A$4:$A$9999,3)="648"))*BalanceN!$H$4:$H$9999)+SUMPRODUCT(((LEFT(BalanceN!$A$4:$A$9999,3)="648"))*BalanceN!$G$4:$G$9999)</f>
        <v>0</v>
      </c>
      <c r="H11" s="683">
        <f>-SUMPRODUCT(((LEFT('BalanceN-1'!$A$4:$A$9999,3)="648"))*'BalanceN-1'!$H$4:$H$9999)+SUMPRODUCT(((LEFT('BalanceN-1'!$A$4:$A$9999,3)="648"))*'BalanceN-1'!$G$4:$G$9999)</f>
        <v>0</v>
      </c>
      <c r="I11" s="723" t="str">
        <f t="shared" si="0"/>
        <v>-</v>
      </c>
    </row>
    <row r="12" spans="1:13" ht="15.75" customHeight="1" x14ac:dyDescent="0.25">
      <c r="E12" s="2121" t="s">
        <v>262</v>
      </c>
      <c r="F12" s="2122"/>
      <c r="G12" s="639">
        <f>SUM(G7:G11)</f>
        <v>3135200</v>
      </c>
      <c r="H12" s="639">
        <f>SUM(H7:H11)</f>
        <v>110000</v>
      </c>
      <c r="I12" s="751"/>
    </row>
    <row r="13" spans="1:13" x14ac:dyDescent="0.25"/>
    <row r="14" spans="1:13" x14ac:dyDescent="0.25">
      <c r="E14" s="645" t="s">
        <v>1348</v>
      </c>
    </row>
    <row r="15" spans="1:13" x14ac:dyDescent="0.25">
      <c r="E15" s="2166"/>
      <c r="F15" s="2166"/>
      <c r="G15" s="2166"/>
      <c r="H15" s="2166"/>
      <c r="I15" s="2166"/>
    </row>
    <row r="16" spans="1:13" x14ac:dyDescent="0.25">
      <c r="E16" s="2166"/>
      <c r="F16" s="2166"/>
      <c r="G16" s="2166"/>
      <c r="H16" s="2166"/>
      <c r="I16" s="2166"/>
    </row>
    <row r="17" spans="5:9" x14ac:dyDescent="0.25">
      <c r="E17" s="2166"/>
      <c r="F17" s="2166"/>
      <c r="G17" s="2166"/>
      <c r="H17" s="2166"/>
      <c r="I17" s="2166"/>
    </row>
    <row r="18" spans="5:9" x14ac:dyDescent="0.25">
      <c r="E18" s="2166"/>
      <c r="F18" s="2166"/>
      <c r="G18" s="2166"/>
      <c r="H18" s="2166"/>
      <c r="I18" s="2166"/>
    </row>
    <row r="19" spans="5:9" x14ac:dyDescent="0.25">
      <c r="E19" s="2166"/>
      <c r="F19" s="2166"/>
      <c r="G19" s="2166"/>
      <c r="H19" s="2166"/>
      <c r="I19" s="2166"/>
    </row>
    <row r="20" spans="5:9" x14ac:dyDescent="0.25">
      <c r="E20" s="2166"/>
      <c r="F20" s="2166"/>
      <c r="G20" s="2166"/>
      <c r="H20" s="2166"/>
      <c r="I20" s="2166"/>
    </row>
    <row r="21" spans="5:9" x14ac:dyDescent="0.25">
      <c r="E21" s="2166"/>
      <c r="F21" s="2166"/>
      <c r="G21" s="2166"/>
      <c r="H21" s="2166"/>
      <c r="I21" s="2166"/>
    </row>
    <row r="22" spans="5:9" x14ac:dyDescent="0.25">
      <c r="E22" s="2166"/>
      <c r="F22" s="2166"/>
      <c r="G22" s="2166"/>
      <c r="H22" s="2166"/>
      <c r="I22" s="2166"/>
    </row>
    <row r="23" spans="5:9" x14ac:dyDescent="0.25">
      <c r="E23" s="2166"/>
      <c r="F23" s="2166"/>
      <c r="G23" s="2166"/>
      <c r="H23" s="2166"/>
      <c r="I23" s="2166"/>
    </row>
    <row r="24" spans="5:9" x14ac:dyDescent="0.25">
      <c r="E24" s="2166"/>
      <c r="F24" s="2166"/>
      <c r="G24" s="2166"/>
      <c r="H24" s="2166"/>
      <c r="I24" s="2166"/>
    </row>
    <row r="25" spans="5:9" x14ac:dyDescent="0.25">
      <c r="E25" s="2166"/>
      <c r="F25" s="2166"/>
      <c r="G25" s="2166"/>
      <c r="H25" s="2166"/>
      <c r="I25" s="2166"/>
    </row>
    <row r="26" spans="5:9" x14ac:dyDescent="0.25">
      <c r="E26" s="2166"/>
      <c r="F26" s="2166"/>
      <c r="G26" s="2166"/>
      <c r="H26" s="2166"/>
      <c r="I26" s="2166"/>
    </row>
    <row r="27" spans="5:9" s="537" customFormat="1" x14ac:dyDescent="0.25"/>
    <row r="28" spans="5:9" s="537" customFormat="1" x14ac:dyDescent="0.25"/>
    <row r="29" spans="5:9" s="537" customFormat="1" x14ac:dyDescent="0.25"/>
    <row r="30" spans="5:9" s="537" customFormat="1" x14ac:dyDescent="0.25"/>
    <row r="31" spans="5:9" s="537" customFormat="1" x14ac:dyDescent="0.25"/>
    <row r="32" spans="5:9" s="537" customFormat="1" x14ac:dyDescent="0.25"/>
    <row r="33" s="537" customFormat="1" x14ac:dyDescent="0.25"/>
    <row r="34" s="537" customFormat="1" x14ac:dyDescent="0.25"/>
    <row r="35" s="537" customFormat="1" x14ac:dyDescent="0.25"/>
    <row r="36" s="537" customFormat="1" x14ac:dyDescent="0.25"/>
    <row r="37" s="537" customFormat="1" x14ac:dyDescent="0.25"/>
    <row r="38" s="537" customFormat="1" x14ac:dyDescent="0.25"/>
    <row r="39" s="537" customFormat="1" x14ac:dyDescent="0.25"/>
    <row r="40" s="537" customFormat="1" x14ac:dyDescent="0.25"/>
    <row r="41" s="537" customFormat="1" x14ac:dyDescent="0.25"/>
    <row r="42" s="537" customFormat="1" x14ac:dyDescent="0.25"/>
    <row r="43" s="537" customFormat="1" x14ac:dyDescent="0.25"/>
    <row r="44" s="537" customFormat="1" x14ac:dyDescent="0.25"/>
    <row r="45" s="537" customFormat="1" x14ac:dyDescent="0.25"/>
    <row r="46" s="537" customFormat="1" x14ac:dyDescent="0.25"/>
    <row r="47" s="537" customFormat="1" x14ac:dyDescent="0.25"/>
    <row r="48" s="537" customFormat="1" x14ac:dyDescent="0.25"/>
    <row r="49" s="537" customFormat="1" x14ac:dyDescent="0.25"/>
    <row r="50" s="537" customFormat="1" x14ac:dyDescent="0.25"/>
  </sheetData>
  <sheetProtection algorithmName="SHA-512" hashValue="1NoQKUea4j/J7zAccAIsxjP3ND/9UUgcC1pltR5diXXgUirUn9hFWyNBpCnOEAAp9pjjsdopYLie4L/rncMTIQ==" saltValue="3qUFBoiBJsmTkYLDF6jPPg==" spinCount="100000" sheet="1" formatCells="0" formatColumns="0" formatRows="0" pivotTables="0"/>
  <mergeCells count="5">
    <mergeCell ref="E1:I1"/>
    <mergeCell ref="E6:F6"/>
    <mergeCell ref="E12:F12"/>
    <mergeCell ref="E15:I26"/>
    <mergeCell ref="F3:G3"/>
  </mergeCells>
  <printOptions horizontalCentered="1"/>
  <pageMargins left="0.19685039370078741" right="0.11811023622047244" top="0" bottom="0.3543307086614173" header="0.31496062992125984" footer="0.31496062992125984"/>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tabColor rgb="FF43C6E5"/>
  </sheetPr>
  <dimension ref="A1:M53"/>
  <sheetViews>
    <sheetView zoomScaleNormal="100" workbookViewId="0">
      <selection activeCell="H36" sqref="H36"/>
    </sheetView>
  </sheetViews>
  <sheetFormatPr baseColWidth="10" defaultColWidth="0" defaultRowHeight="15" zeroHeight="1" x14ac:dyDescent="0.25"/>
  <cols>
    <col min="1" max="4" width="11.42578125" style="537" customWidth="1"/>
    <col min="5" max="5" width="29.42578125" style="345" customWidth="1"/>
    <col min="6" max="6" width="23.28515625" style="345" customWidth="1"/>
    <col min="7" max="7" width="16.7109375" style="345" customWidth="1"/>
    <col min="8" max="8" width="17.85546875" style="345" customWidth="1"/>
    <col min="9" max="9" width="14" style="345" customWidth="1"/>
    <col min="10" max="13" width="11.42578125" style="537" customWidth="1"/>
    <col min="14" max="16384" width="11.42578125" style="345" hidden="1"/>
  </cols>
  <sheetData>
    <row r="1" spans="1:13" ht="28.5" customHeight="1" x14ac:dyDescent="0.25">
      <c r="E1" s="2135" t="s">
        <v>486</v>
      </c>
      <c r="F1" s="2136"/>
      <c r="G1" s="2136"/>
      <c r="H1" s="2136"/>
      <c r="I1" s="2137"/>
    </row>
    <row r="2" spans="1:13" x14ac:dyDescent="0.25">
      <c r="E2" s="388"/>
      <c r="F2" s="388"/>
      <c r="G2" s="388"/>
      <c r="H2" s="388"/>
      <c r="I2" s="388"/>
    </row>
    <row r="3" spans="1:13" s="746" customFormat="1" ht="26.25" customHeight="1" x14ac:dyDescent="0.25">
      <c r="A3" s="745"/>
      <c r="B3" s="745"/>
      <c r="C3" s="745"/>
      <c r="D3" s="745"/>
      <c r="E3" s="712" t="s">
        <v>42</v>
      </c>
      <c r="F3" s="2185" t="str">
        <f>INFORMATIONS!B10</f>
        <v>SAM CONSEILS</v>
      </c>
      <c r="G3" s="2185"/>
      <c r="H3" s="713" t="s">
        <v>52</v>
      </c>
      <c r="I3" s="714">
        <f>INFORMATIONS!D31</f>
        <v>43465</v>
      </c>
      <c r="J3" s="745"/>
      <c r="K3" s="745"/>
      <c r="L3" s="745"/>
      <c r="M3" s="745"/>
    </row>
    <row r="4" spans="1:13" ht="19.5" customHeight="1" x14ac:dyDescent="0.25">
      <c r="E4" s="632" t="s">
        <v>43</v>
      </c>
      <c r="F4" s="633" t="str">
        <f>INFORMATIONS!B24</f>
        <v>00084404X</v>
      </c>
      <c r="G4" s="634"/>
      <c r="H4" s="666" t="s">
        <v>44</v>
      </c>
      <c r="I4" s="667">
        <f>INFORMATIONS!F34</f>
        <v>12</v>
      </c>
    </row>
    <row r="5" spans="1:13" x14ac:dyDescent="0.25"/>
    <row r="6" spans="1:13" ht="39.75" customHeight="1" x14ac:dyDescent="0.25">
      <c r="E6" s="2116" t="s">
        <v>138</v>
      </c>
      <c r="F6" s="2117"/>
      <c r="G6" s="590" t="s">
        <v>139</v>
      </c>
      <c r="H6" s="590" t="s">
        <v>140</v>
      </c>
      <c r="I6" s="590" t="s">
        <v>141</v>
      </c>
    </row>
    <row r="7" spans="1:13" ht="16.5" customHeight="1" x14ac:dyDescent="0.25">
      <c r="E7" s="423" t="s">
        <v>487</v>
      </c>
      <c r="F7" s="425"/>
      <c r="G7" s="683">
        <f>-SUMPRODUCT(((LEFT(BalanceN!$A$4:$A$9999,4)="6511"))*BalanceN!$H$4:$H$9999)+SUMPRODUCT(((LEFT(BalanceN!$A$4:$A$9999,4)="6511"))*BalanceN!$G$4:$G$9999)</f>
        <v>4150956</v>
      </c>
      <c r="H7" s="683">
        <f>-SUMPRODUCT(((LEFT('BalanceN-1'!$A$4:$A$9999,4)="6511"))*'BalanceN-1'!$H$4:$H$9999)+SUMPRODUCT(((LEFT('BalanceN-1'!$A$4:$A$9999,4)="6511"))*'BalanceN-1'!$G$4:$G$9999)</f>
        <v>0</v>
      </c>
      <c r="I7" s="723" t="str">
        <f>IF(H7=0,"-",(G7-H7)/H7)</f>
        <v>-</v>
      </c>
    </row>
    <row r="8" spans="1:13" ht="16.5" customHeight="1" x14ac:dyDescent="0.25">
      <c r="E8" s="423" t="s">
        <v>488</v>
      </c>
      <c r="F8" s="425"/>
      <c r="G8" s="683">
        <f>-SUMPRODUCT(((LEFT(BalanceN!$A$4:$A$9999,4)="6512"))*BalanceN!$H$4:$H$9999)+SUMPRODUCT(((LEFT(BalanceN!$A$4:$A$9999,4)="6512"))*BalanceN!$G$4:$G$9999)</f>
        <v>0</v>
      </c>
      <c r="H8" s="683">
        <f>-SUMPRODUCT(((LEFT('BalanceN-1'!$A$4:$A$9999,4)="6512"))*'BalanceN-1'!$H$4:$H$9999)+SUMPRODUCT(((LEFT('BalanceN-1'!$A$4:$A$9999,4)="6512"))*'BalanceN-1'!$G$4:$G$9999)</f>
        <v>0</v>
      </c>
      <c r="I8" s="723" t="str">
        <f t="shared" ref="I8:I15" si="0">IF(H8=0,"-",(G8-H8)/H8)</f>
        <v>-</v>
      </c>
    </row>
    <row r="9" spans="1:13" ht="16.5" customHeight="1" x14ac:dyDescent="0.25">
      <c r="E9" s="2032" t="s">
        <v>489</v>
      </c>
      <c r="F9" s="2189"/>
      <c r="G9" s="683">
        <f>-SUMPRODUCT(((LEFT(BalanceN!$A$4:$A$9999,3)="652"))*BalanceN!$H$4:$H$9999)+SUMPRODUCT(((LEFT(BalanceN!$A$4:$A$9999,3)="652"))*BalanceN!$G$4:$G$9999)</f>
        <v>0</v>
      </c>
      <c r="H9" s="683">
        <f>-SUMPRODUCT(((LEFT('BalanceN-1'!$A$4:$A$9999,3)="652"))*'BalanceN-1'!$H$4:$H$9999)+SUMPRODUCT(((LEFT('BalanceN-1'!$A$4:$A$9999,3)="652"))*'BalanceN-1'!$G$4:$G$9999)</f>
        <v>0</v>
      </c>
      <c r="I9" s="723" t="str">
        <f t="shared" si="0"/>
        <v>-</v>
      </c>
    </row>
    <row r="10" spans="1:13" ht="31.5" customHeight="1" x14ac:dyDescent="0.25">
      <c r="E10" s="2001" t="s">
        <v>490</v>
      </c>
      <c r="F10" s="2003"/>
      <c r="G10" s="683">
        <f>-SUMPRODUCT(((LEFT(BalanceN!$A$4:$A$9999,3)="654"))*BalanceN!$H$4:$H$9999)+SUMPRODUCT(((LEFT(BalanceN!$A$4:$A$9999,3)="654"))*BalanceN!$G$4:$G$9999)</f>
        <v>0</v>
      </c>
      <c r="H10" s="683">
        <f>-SUMPRODUCT(((LEFT('BalanceN-1'!$A$4:$A$9999,3)="654"))*'BalanceN-1'!$H$4:$H$9999)+SUMPRODUCT(((LEFT('BalanceN-1'!$A$4:$A$9999,3)="654"))*'BalanceN-1'!$G$4:$G$9999)</f>
        <v>0</v>
      </c>
      <c r="I10" s="724" t="str">
        <f t="shared" si="0"/>
        <v>-</v>
      </c>
    </row>
    <row r="11" spans="1:13" ht="31.5" customHeight="1" x14ac:dyDescent="0.25">
      <c r="E11" s="2001" t="s">
        <v>491</v>
      </c>
      <c r="F11" s="2003"/>
      <c r="G11" s="683">
        <f>-SUMPRODUCT(((LEFT(BalanceN!$A$4:$A$9999,4)="6581"))*BalanceN!$H$4:$H$9999)+SUMPRODUCT(((LEFT(BalanceN!$A$4:$A$9999,4)="6581"))*BalanceN!$G$4:$G$9999)</f>
        <v>0</v>
      </c>
      <c r="H11" s="683">
        <f>-SUMPRODUCT(((LEFT('BalanceN-1'!$A$4:$A$9999,4)="6581"))*'BalanceN-1'!$H$4:$H$9999)+SUMPRODUCT(((LEFT('BalanceN-1'!$A$4:$A$9999,4)="6581"))*'BalanceN-1'!$G$4:$G$9999)</f>
        <v>0</v>
      </c>
      <c r="I11" s="724" t="str">
        <f t="shared" si="0"/>
        <v>-</v>
      </c>
    </row>
    <row r="12" spans="1:13" ht="20.25" customHeight="1" x14ac:dyDescent="0.25">
      <c r="E12" s="2001" t="s">
        <v>1074</v>
      </c>
      <c r="F12" s="2003"/>
      <c r="G12" s="683">
        <f>-SUMPRODUCT(((LEFT(BalanceN!$A$4:$A$9999,3)="657"))*BalanceN!$H$4:$H$9999)+SUMPRODUCT(((LEFT(BalanceN!$A$4:$A$9999,3)="657"))*BalanceN!$G$4:$G$9999)</f>
        <v>0</v>
      </c>
      <c r="H12" s="683">
        <f>-SUMPRODUCT(((LEFT('BalanceN-1'!$A$4:$A$9999,3)="657"))*'BalanceN-1'!$H$4:$H$9999)+SUMPRODUCT(((LEFT('BalanceN-1'!$A$4:$A$9999,3)="657"))*'BalanceN-1'!$G$4:$G$9999)</f>
        <v>0</v>
      </c>
      <c r="I12" s="723" t="str">
        <f t="shared" si="0"/>
        <v>-</v>
      </c>
    </row>
    <row r="13" spans="1:13" ht="16.5" customHeight="1" x14ac:dyDescent="0.25">
      <c r="E13" s="423" t="s">
        <v>492</v>
      </c>
      <c r="F13" s="425"/>
      <c r="G13" s="683">
        <f>-SUMPRODUCT(((LEFT(BalanceN!$A$4:$A$9999,4)="6582")+(LEFT(BalanceN!$A$4:$A$9999,4)="6583"))*BalanceN!$H$4:$H$9999)+SUMPRODUCT(((LEFT(BalanceN!$A$4:$A$9999,4)="6582")+(LEFT(BalanceN!$A$4:$A$9999,4)="6583"))*BalanceN!$G$4:$G$9999)</f>
        <v>100000</v>
      </c>
      <c r="H13" s="683">
        <f>-SUMPRODUCT(((LEFT('BalanceN-1'!$A$4:$A$9999,4)="6582")+(LEFT('BalanceN-1'!$A$4:$A$9999,4)="6583"))*'BalanceN-1'!$H$4:$H$9999)+SUMPRODUCT(((LEFT('BalanceN-1'!$A$4:$A$9999,4)="6582")+(LEFT('BalanceN-1'!$A$4:$A$9999,4)="6583"))*'BalanceN-1'!$G$4:$G$9999)</f>
        <v>0</v>
      </c>
      <c r="I13" s="723" t="str">
        <f t="shared" si="0"/>
        <v>-</v>
      </c>
    </row>
    <row r="14" spans="1:13" ht="16.5" customHeight="1" x14ac:dyDescent="0.25">
      <c r="E14" s="423" t="s">
        <v>493</v>
      </c>
      <c r="F14" s="425"/>
      <c r="G14" s="683">
        <f>-SUMPRODUCT(((LEFT(BalanceN!$A$4:$A$9999,4)="6588"))*BalanceN!$H$4:$H$9999)+SUMPRODUCT(((LEFT(BalanceN!$A$4:$A$9999,4)="6588"))*BalanceN!$G$4:$G$9999)</f>
        <v>12973</v>
      </c>
      <c r="H14" s="683">
        <f>-SUMPRODUCT(((LEFT('BalanceN-1'!$A$4:$A$9999,4)="6588"))*'BalanceN-1'!$H$4:$H$9999)+SUMPRODUCT(((LEFT('BalanceN-1'!$A$4:$A$9999,4)="6588"))*'BalanceN-1'!$G$4:$G$9999)</f>
        <v>67670</v>
      </c>
      <c r="I14" s="723">
        <f t="shared" si="0"/>
        <v>-0.80829023200827543</v>
      </c>
    </row>
    <row r="15" spans="1:13" ht="33.75" customHeight="1" x14ac:dyDescent="0.25">
      <c r="E15" s="2001" t="s">
        <v>1574</v>
      </c>
      <c r="F15" s="2003"/>
      <c r="G15" s="683">
        <f>-SUMPRODUCT(((LEFT(BalanceN!$A$4:$A$9999,3)="659"))*BalanceN!$H$4:$H$9999)+SUMPRODUCT(((LEFT(BalanceN!$A$4:$A$9999,3)="659"))*BalanceN!$G$4:$G$9999)</f>
        <v>0</v>
      </c>
      <c r="H15" s="683">
        <f>-SUMPRODUCT(((LEFT('BalanceN-1'!$A$4:$A$9999,3)="659"))*'BalanceN-1'!$H$4:$H$9999)+SUMPRODUCT(((LEFT('BalanceN-1'!$A$4:$A$9999,3)="659"))*'BalanceN-1'!$G$4:$G$9999)</f>
        <v>0</v>
      </c>
      <c r="I15" s="724" t="str">
        <f t="shared" si="0"/>
        <v>-</v>
      </c>
    </row>
    <row r="16" spans="1:13" ht="15.75" customHeight="1" x14ac:dyDescent="0.25">
      <c r="E16" s="2121" t="s">
        <v>262</v>
      </c>
      <c r="F16" s="2122"/>
      <c r="G16" s="639">
        <f>SUM(G7:G15)</f>
        <v>4263929</v>
      </c>
      <c r="H16" s="639">
        <f>SUM(H7:H15)</f>
        <v>67670</v>
      </c>
      <c r="I16" s="751"/>
    </row>
    <row r="17" spans="5:9" x14ac:dyDescent="0.25"/>
    <row r="18" spans="5:9" x14ac:dyDescent="0.25">
      <c r="E18" s="645" t="s">
        <v>1348</v>
      </c>
    </row>
    <row r="19" spans="5:9" x14ac:dyDescent="0.25"/>
    <row r="20" spans="5:9" x14ac:dyDescent="0.25">
      <c r="E20" s="2166"/>
      <c r="F20" s="2166"/>
      <c r="G20" s="2166"/>
      <c r="H20" s="2166"/>
      <c r="I20" s="2166"/>
    </row>
    <row r="21" spans="5:9" x14ac:dyDescent="0.25">
      <c r="E21" s="2166"/>
      <c r="F21" s="2166"/>
      <c r="G21" s="2166"/>
      <c r="H21" s="2166"/>
      <c r="I21" s="2166"/>
    </row>
    <row r="22" spans="5:9" x14ac:dyDescent="0.25">
      <c r="E22" s="2166"/>
      <c r="F22" s="2166"/>
      <c r="G22" s="2166"/>
      <c r="H22" s="2166"/>
      <c r="I22" s="2166"/>
    </row>
    <row r="23" spans="5:9" x14ac:dyDescent="0.25">
      <c r="E23" s="2166"/>
      <c r="F23" s="2166"/>
      <c r="G23" s="2166"/>
      <c r="H23" s="2166"/>
      <c r="I23" s="2166"/>
    </row>
    <row r="24" spans="5:9" x14ac:dyDescent="0.25">
      <c r="E24" s="2166"/>
      <c r="F24" s="2166"/>
      <c r="G24" s="2166"/>
      <c r="H24" s="2166"/>
      <c r="I24" s="2166"/>
    </row>
    <row r="25" spans="5:9" x14ac:dyDescent="0.25">
      <c r="E25" s="2166"/>
      <c r="F25" s="2166"/>
      <c r="G25" s="2166"/>
      <c r="H25" s="2166"/>
      <c r="I25" s="2166"/>
    </row>
    <row r="26" spans="5:9" x14ac:dyDescent="0.25">
      <c r="E26" s="2166"/>
      <c r="F26" s="2166"/>
      <c r="G26" s="2166"/>
      <c r="H26" s="2166"/>
      <c r="I26" s="2166"/>
    </row>
    <row r="27" spans="5:9" x14ac:dyDescent="0.25">
      <c r="E27" s="2166"/>
      <c r="F27" s="2166"/>
      <c r="G27" s="2166"/>
      <c r="H27" s="2166"/>
      <c r="I27" s="2166"/>
    </row>
    <row r="28" spans="5:9" x14ac:dyDescent="0.25">
      <c r="E28" s="2166"/>
      <c r="F28" s="2166"/>
      <c r="G28" s="2166"/>
      <c r="H28" s="2166"/>
      <c r="I28" s="2166"/>
    </row>
    <row r="29" spans="5:9" x14ac:dyDescent="0.25">
      <c r="E29" s="2166"/>
      <c r="F29" s="2166"/>
      <c r="G29" s="2166"/>
      <c r="H29" s="2166"/>
      <c r="I29" s="2166"/>
    </row>
    <row r="30" spans="5:9" x14ac:dyDescent="0.25">
      <c r="E30" s="2166"/>
      <c r="F30" s="2166"/>
      <c r="G30" s="2166"/>
      <c r="H30" s="2166"/>
      <c r="I30" s="2166"/>
    </row>
    <row r="31" spans="5:9" s="537" customFormat="1" x14ac:dyDescent="0.25"/>
    <row r="32" spans="5:9" s="537" customFormat="1" x14ac:dyDescent="0.25"/>
    <row r="33" s="537" customFormat="1" x14ac:dyDescent="0.25"/>
    <row r="34" s="537" customFormat="1" x14ac:dyDescent="0.25"/>
    <row r="35" s="537" customFormat="1" x14ac:dyDescent="0.25"/>
    <row r="36" s="537" customFormat="1" x14ac:dyDescent="0.25"/>
    <row r="37" s="537" customFormat="1" x14ac:dyDescent="0.25"/>
    <row r="38" s="537" customFormat="1" x14ac:dyDescent="0.25"/>
    <row r="39" s="537" customFormat="1" x14ac:dyDescent="0.25"/>
    <row r="40" s="537" customFormat="1" x14ac:dyDescent="0.25"/>
    <row r="41" s="537" customFormat="1" x14ac:dyDescent="0.25"/>
    <row r="42" s="537" customFormat="1" x14ac:dyDescent="0.25"/>
    <row r="43" s="537" customFormat="1" x14ac:dyDescent="0.25"/>
    <row r="44" s="537" customFormat="1" x14ac:dyDescent="0.25"/>
    <row r="45" s="537" customFormat="1" x14ac:dyDescent="0.25"/>
    <row r="46" s="537" customFormat="1" x14ac:dyDescent="0.25"/>
    <row r="47" s="537" customFormat="1" x14ac:dyDescent="0.25"/>
    <row r="48" s="537" customFormat="1" x14ac:dyDescent="0.25"/>
    <row r="49" s="537" customFormat="1" x14ac:dyDescent="0.25"/>
    <row r="50" s="537" customFormat="1" x14ac:dyDescent="0.25"/>
    <row r="51" s="537" customFormat="1" x14ac:dyDescent="0.25"/>
    <row r="52" s="537" customFormat="1" x14ac:dyDescent="0.25"/>
    <row r="53" s="537" customFormat="1" x14ac:dyDescent="0.25"/>
  </sheetData>
  <sheetProtection algorithmName="SHA-512" hashValue="wD77hLts88UCn53vk1MLQso1780aXVniiwOrkts6B7hH3B6EmKTicAyNjygG2nS6hnTtMupV4Y34OapI1an+TQ==" saltValue="8YqVSBG7nSYBAGaawiRe8w==" spinCount="100000" sheet="1" formatCells="0" formatColumns="0" formatRows="0" pivotTables="0"/>
  <mergeCells count="10">
    <mergeCell ref="E20:I30"/>
    <mergeCell ref="E1:I1"/>
    <mergeCell ref="E6:F6"/>
    <mergeCell ref="E16:F16"/>
    <mergeCell ref="E15:F15"/>
    <mergeCell ref="E11:F11"/>
    <mergeCell ref="E10:F10"/>
    <mergeCell ref="E9:F9"/>
    <mergeCell ref="E12:F12"/>
    <mergeCell ref="F3:G3"/>
  </mergeCells>
  <printOptions horizontalCentered="1"/>
  <pageMargins left="0.19685039370078741" right="0.11811023622047244" top="0" bottom="0.3543307086614173" header="0.31496062992125984" footer="0.31496062992125984"/>
  <pageSetup paperSize="9" scale="9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tabColor rgb="FF43C6E5"/>
  </sheetPr>
  <dimension ref="A1:M50"/>
  <sheetViews>
    <sheetView zoomScaleNormal="100" workbookViewId="0">
      <selection activeCell="H36" sqref="H36"/>
    </sheetView>
  </sheetViews>
  <sheetFormatPr baseColWidth="10" defaultColWidth="0" defaultRowHeight="15" zeroHeight="1" x14ac:dyDescent="0.25"/>
  <cols>
    <col min="1" max="4" width="11.42578125" style="537" customWidth="1"/>
    <col min="5" max="5" width="29.42578125" style="345" customWidth="1"/>
    <col min="6" max="6" width="23.28515625" style="345" customWidth="1"/>
    <col min="7" max="7" width="16.7109375" style="345" customWidth="1"/>
    <col min="8" max="8" width="17.85546875" style="345" customWidth="1"/>
    <col min="9" max="9" width="14" style="345" customWidth="1"/>
    <col min="10" max="13" width="11.42578125" style="537" customWidth="1"/>
    <col min="14" max="16384" width="11.42578125" style="345" hidden="1"/>
  </cols>
  <sheetData>
    <row r="1" spans="1:13" ht="28.5" customHeight="1" x14ac:dyDescent="0.25">
      <c r="E1" s="2135" t="s">
        <v>494</v>
      </c>
      <c r="F1" s="2136"/>
      <c r="G1" s="2136"/>
      <c r="H1" s="2136"/>
      <c r="I1" s="2137"/>
    </row>
    <row r="2" spans="1:13" x14ac:dyDescent="0.25">
      <c r="E2" s="388"/>
      <c r="F2" s="388"/>
      <c r="G2" s="388"/>
      <c r="H2" s="388"/>
      <c r="I2" s="388"/>
    </row>
    <row r="3" spans="1:13" s="746" customFormat="1" ht="24.75" customHeight="1" x14ac:dyDescent="0.25">
      <c r="A3" s="745"/>
      <c r="B3" s="745"/>
      <c r="C3" s="745"/>
      <c r="D3" s="745"/>
      <c r="E3" s="712" t="s">
        <v>42</v>
      </c>
      <c r="F3" s="2185" t="str">
        <f>INFORMATIONS!B10</f>
        <v>SAM CONSEILS</v>
      </c>
      <c r="G3" s="2185"/>
      <c r="H3" s="713" t="s">
        <v>52</v>
      </c>
      <c r="I3" s="714">
        <f>INFORMATIONS!D31</f>
        <v>43465</v>
      </c>
      <c r="J3" s="745"/>
      <c r="K3" s="745"/>
      <c r="L3" s="745"/>
      <c r="M3" s="745"/>
    </row>
    <row r="4" spans="1:13" ht="19.5" customHeight="1" x14ac:dyDescent="0.25">
      <c r="E4" s="632" t="s">
        <v>43</v>
      </c>
      <c r="F4" s="633" t="str">
        <f>INFORMATIONS!B24</f>
        <v>00084404X</v>
      </c>
      <c r="G4" s="634"/>
      <c r="H4" s="666" t="s">
        <v>44</v>
      </c>
      <c r="I4" s="667">
        <f>INFORMATIONS!F34</f>
        <v>12</v>
      </c>
    </row>
    <row r="5" spans="1:13" x14ac:dyDescent="0.25"/>
    <row r="6" spans="1:13" ht="39.75" customHeight="1" x14ac:dyDescent="0.25">
      <c r="E6" s="2116" t="s">
        <v>138</v>
      </c>
      <c r="F6" s="2117"/>
      <c r="G6" s="590" t="s">
        <v>139</v>
      </c>
      <c r="H6" s="590" t="s">
        <v>140</v>
      </c>
      <c r="I6" s="590" t="s">
        <v>141</v>
      </c>
    </row>
    <row r="7" spans="1:13" ht="16.5" customHeight="1" x14ac:dyDescent="0.25">
      <c r="E7" s="423" t="s">
        <v>495</v>
      </c>
      <c r="F7" s="425"/>
      <c r="G7" s="683">
        <f>-SUMPRODUCT(((LEFT(BalanceN!$A$4:$A$9999,3)="661")+(LEFT(BalanceN!$A$4:$A$9999,3)="662"))*BalanceN!$H$4:$H$9999)+SUMPRODUCT(((LEFT(BalanceN!$A$4:$A$9999,3)="661")+(LEFT(BalanceN!$A$4:$A$9999,3)="662"))*BalanceN!$G$4:$G$9999)</f>
        <v>178553042</v>
      </c>
      <c r="H7" s="683">
        <f>-SUMPRODUCT(((LEFT('BalanceN-1'!$A$4:$A$9999,3)="661")+(LEFT('BalanceN-1'!$A$4:$A$9999,3)="662"))*'BalanceN-1'!$H$4:$H$9999)+SUMPRODUCT(((LEFT('BalanceN-1'!$A$4:$A$9999,3)="661")+(LEFT('BalanceN-1'!$A$4:$A$9999,3)="662"))*'BalanceN-1'!$G$4:$G$9999)</f>
        <v>167780354</v>
      </c>
      <c r="I7" s="723">
        <f t="shared" ref="I7:I12" si="0">IF(H7=0,"-",(G7-H7)/H7)</f>
        <v>6.4207088274471039E-2</v>
      </c>
    </row>
    <row r="8" spans="1:13" ht="16.5" customHeight="1" x14ac:dyDescent="0.25">
      <c r="E8" s="423" t="s">
        <v>496</v>
      </c>
      <c r="F8" s="425"/>
      <c r="G8" s="683">
        <f>-SUMPRODUCT(((LEFT(BalanceN!$A$4:$A$9999,3)="663"))*BalanceN!$H$4:$H$9999)+SUMPRODUCT(((LEFT(BalanceN!$A$4:$A$9999,3)="663"))*BalanceN!$G$4:$G$9999)</f>
        <v>13275177</v>
      </c>
      <c r="H8" s="683">
        <f>-SUMPRODUCT(((LEFT('BalanceN-1'!$A$4:$A$9999,3)="663"))*'BalanceN-1'!$H$4:$H$9999)+SUMPRODUCT(((LEFT('BalanceN-1'!$A$4:$A$9999,3)="663"))*'BalanceN-1'!$G$4:$G$9999)</f>
        <v>13352744</v>
      </c>
      <c r="I8" s="723">
        <f t="shared" si="0"/>
        <v>-5.8090681585747468E-3</v>
      </c>
    </row>
    <row r="9" spans="1:13" ht="16.5" customHeight="1" x14ac:dyDescent="0.25">
      <c r="E9" s="2032" t="s">
        <v>497</v>
      </c>
      <c r="F9" s="2189"/>
      <c r="G9" s="683">
        <f>-SUMPRODUCT(((LEFT(BalanceN!$A$4:$A$9999,3)="664"))*BalanceN!$H$4:$H$9999)+SUMPRODUCT(((LEFT(BalanceN!$A$4:$A$9999,3)="664"))*BalanceN!$G$4:$G$9999)</f>
        <v>24283385</v>
      </c>
      <c r="H9" s="683">
        <f>-SUMPRODUCT(((LEFT('BalanceN-1'!$A$4:$A$9999,3)="664"))*'BalanceN-1'!$H$4:$H$9999)+SUMPRODUCT(((LEFT('BalanceN-1'!$A$4:$A$9999,3)="664"))*'BalanceN-1'!$G$4:$G$9999)</f>
        <v>23249408</v>
      </c>
      <c r="I9" s="723">
        <f t="shared" si="0"/>
        <v>4.4473261426699551E-2</v>
      </c>
    </row>
    <row r="10" spans="1:13" ht="31.5" customHeight="1" x14ac:dyDescent="0.25">
      <c r="E10" s="2001" t="s">
        <v>498</v>
      </c>
      <c r="F10" s="2003"/>
      <c r="G10" s="683">
        <f>-SUMPRODUCT(((LEFT(BalanceN!$A$4:$A$9999,3)="666"))*BalanceN!$H$4:$H$9999)+SUMPRODUCT(((LEFT(BalanceN!$A$4:$A$9999,3)="666"))*BalanceN!$G$4:$G$9999)</f>
        <v>0</v>
      </c>
      <c r="H10" s="683">
        <f>-SUMPRODUCT(((LEFT('BalanceN-1'!$A$4:$A$9999,3)="666"))*'BalanceN-1'!$H$4:$H$9999)+SUMPRODUCT(((LEFT('BalanceN-1'!$A$4:$A$9999,3)="666"))*'BalanceN-1'!$G$4:$G$9999)</f>
        <v>0</v>
      </c>
      <c r="I10" s="724" t="str">
        <f t="shared" si="0"/>
        <v>-</v>
      </c>
    </row>
    <row r="11" spans="1:13" ht="16.5" customHeight="1" x14ac:dyDescent="0.25">
      <c r="E11" s="423" t="s">
        <v>499</v>
      </c>
      <c r="F11" s="425"/>
      <c r="G11" s="683">
        <f>-SUMPRODUCT(((LEFT(BalanceN!$A$4:$A$9999,3)="667"))*BalanceN!$H$4:$H$9999)+SUMPRODUCT(((LEFT(BalanceN!$A$4:$A$9999,3)="667"))*BalanceN!$G$4:$G$9999)</f>
        <v>0</v>
      </c>
      <c r="H11" s="683">
        <f>-SUMPRODUCT(((LEFT('BalanceN-1'!$A$4:$A$9999,3)="667"))*'BalanceN-1'!$H$4:$H$9999)+SUMPRODUCT(((LEFT('BalanceN-1'!$A$4:$A$9999,3)="667"))*'BalanceN-1'!$G$4:$G$9999)</f>
        <v>0</v>
      </c>
      <c r="I11" s="723" t="str">
        <f t="shared" si="0"/>
        <v>-</v>
      </c>
    </row>
    <row r="12" spans="1:13" ht="16.5" customHeight="1" x14ac:dyDescent="0.25">
      <c r="E12" s="423" t="s">
        <v>500</v>
      </c>
      <c r="F12" s="425"/>
      <c r="G12" s="683">
        <f>-SUMPRODUCT(((LEFT(BalanceN!$A$4:$A$9999,3)="668"))*BalanceN!$H$4:$H$9999)+SUMPRODUCT(((LEFT(BalanceN!$A$4:$A$9999,3)="668"))*BalanceN!$G$4:$G$9999)</f>
        <v>2105489</v>
      </c>
      <c r="H12" s="683">
        <f>-SUMPRODUCT(((LEFT('BalanceN-1'!$A$4:$A$9999,3)="668"))*'BalanceN-1'!$H$4:$H$9999)+SUMPRODUCT(((LEFT('BalanceN-1'!$A$4:$A$9999,3)="668"))*'BalanceN-1'!$G$4:$G$9999)</f>
        <v>4469745</v>
      </c>
      <c r="I12" s="723">
        <f t="shared" si="0"/>
        <v>-0.52894650589686887</v>
      </c>
    </row>
    <row r="13" spans="1:13" ht="15.75" customHeight="1" x14ac:dyDescent="0.25">
      <c r="E13" s="2121" t="s">
        <v>262</v>
      </c>
      <c r="F13" s="2122"/>
      <c r="G13" s="639">
        <f>SUM(G7:G12)</f>
        <v>218217093</v>
      </c>
      <c r="H13" s="639">
        <f>SUM(H7:H12)</f>
        <v>208852251</v>
      </c>
      <c r="I13" s="751"/>
    </row>
    <row r="14" spans="1:13" x14ac:dyDescent="0.25"/>
    <row r="15" spans="1:13" x14ac:dyDescent="0.25">
      <c r="E15" s="645" t="s">
        <v>1348</v>
      </c>
    </row>
    <row r="16" spans="1:13" x14ac:dyDescent="0.25"/>
    <row r="17" spans="5:9" x14ac:dyDescent="0.25">
      <c r="E17" s="2134"/>
      <c r="F17" s="2166"/>
      <c r="G17" s="2166"/>
      <c r="H17" s="2166"/>
      <c r="I17" s="2166"/>
    </row>
    <row r="18" spans="5:9" x14ac:dyDescent="0.25">
      <c r="E18" s="2166"/>
      <c r="F18" s="2166"/>
      <c r="G18" s="2166"/>
      <c r="H18" s="2166"/>
      <c r="I18" s="2166"/>
    </row>
    <row r="19" spans="5:9" x14ac:dyDescent="0.25">
      <c r="E19" s="2166"/>
      <c r="F19" s="2166"/>
      <c r="G19" s="2166"/>
      <c r="H19" s="2166"/>
      <c r="I19" s="2166"/>
    </row>
    <row r="20" spans="5:9" x14ac:dyDescent="0.25">
      <c r="E20" s="2166"/>
      <c r="F20" s="2166"/>
      <c r="G20" s="2166"/>
      <c r="H20" s="2166"/>
      <c r="I20" s="2166"/>
    </row>
    <row r="21" spans="5:9" x14ac:dyDescent="0.25">
      <c r="E21" s="2166"/>
      <c r="F21" s="2166"/>
      <c r="G21" s="2166"/>
      <c r="H21" s="2166"/>
      <c r="I21" s="2166"/>
    </row>
    <row r="22" spans="5:9" x14ac:dyDescent="0.25">
      <c r="E22" s="2166"/>
      <c r="F22" s="2166"/>
      <c r="G22" s="2166"/>
      <c r="H22" s="2166"/>
      <c r="I22" s="2166"/>
    </row>
    <row r="23" spans="5:9" x14ac:dyDescent="0.25">
      <c r="E23" s="2166"/>
      <c r="F23" s="2166"/>
      <c r="G23" s="2166"/>
      <c r="H23" s="2166"/>
      <c r="I23" s="2166"/>
    </row>
    <row r="24" spans="5:9" x14ac:dyDescent="0.25">
      <c r="E24" s="2166"/>
      <c r="F24" s="2166"/>
      <c r="G24" s="2166"/>
      <c r="H24" s="2166"/>
      <c r="I24" s="2166"/>
    </row>
    <row r="25" spans="5:9" x14ac:dyDescent="0.25">
      <c r="E25" s="2166"/>
      <c r="F25" s="2166"/>
      <c r="G25" s="2166"/>
      <c r="H25" s="2166"/>
      <c r="I25" s="2166"/>
    </row>
    <row r="26" spans="5:9" x14ac:dyDescent="0.25">
      <c r="E26" s="2166"/>
      <c r="F26" s="2166"/>
      <c r="G26" s="2166"/>
      <c r="H26" s="2166"/>
      <c r="I26" s="2166"/>
    </row>
    <row r="27" spans="5:9" x14ac:dyDescent="0.25">
      <c r="E27" s="2166"/>
      <c r="F27" s="2166"/>
      <c r="G27" s="2166"/>
      <c r="H27" s="2166"/>
      <c r="I27" s="2166"/>
    </row>
    <row r="28" spans="5:9" s="537" customFormat="1" x14ac:dyDescent="0.25"/>
    <row r="29" spans="5:9" s="537" customFormat="1" x14ac:dyDescent="0.25"/>
    <row r="30" spans="5:9" s="537" customFormat="1" x14ac:dyDescent="0.25"/>
    <row r="31" spans="5:9" s="537" customFormat="1" x14ac:dyDescent="0.25"/>
    <row r="32" spans="5:9" s="537" customFormat="1" x14ac:dyDescent="0.25"/>
    <row r="33" s="537" customFormat="1" x14ac:dyDescent="0.25"/>
    <row r="34" s="537" customFormat="1" x14ac:dyDescent="0.25"/>
    <row r="35" s="537" customFormat="1" x14ac:dyDescent="0.25"/>
    <row r="36" s="537" customFormat="1" x14ac:dyDescent="0.25"/>
    <row r="37" s="537" customFormat="1" x14ac:dyDescent="0.25"/>
    <row r="38" s="537" customFormat="1" x14ac:dyDescent="0.25"/>
    <row r="39" s="537" customFormat="1" x14ac:dyDescent="0.25"/>
    <row r="40" s="537" customFormat="1" x14ac:dyDescent="0.25"/>
    <row r="41" s="537" customFormat="1" x14ac:dyDescent="0.25"/>
    <row r="42" s="537" customFormat="1" x14ac:dyDescent="0.25"/>
    <row r="43" s="537" customFormat="1" x14ac:dyDescent="0.25"/>
    <row r="44" s="537" customFormat="1" x14ac:dyDescent="0.25"/>
    <row r="45" s="537" customFormat="1" x14ac:dyDescent="0.25"/>
    <row r="46" s="537" customFormat="1" x14ac:dyDescent="0.25"/>
    <row r="47" s="537" customFormat="1" x14ac:dyDescent="0.25"/>
    <row r="48" s="537" customFormat="1" x14ac:dyDescent="0.25"/>
    <row r="49" s="537" customFormat="1" x14ac:dyDescent="0.25"/>
    <row r="50" s="537" customFormat="1" x14ac:dyDescent="0.25"/>
  </sheetData>
  <sheetProtection algorithmName="SHA-512" hashValue="FKANuUCLn8rWSgHEEOhj70uSTtzii4vaBX2b78KnWp4fByrPFFmuHfpe9mQoHwcKAwZT60zGAZ+1WK2ZviOy8A==" saltValue="4BtMXBNYSbyEEnKtfNDYYA==" spinCount="100000" sheet="1" formatCells="0" formatColumns="0" formatRows="0" pivotTables="0"/>
  <mergeCells count="7">
    <mergeCell ref="E17:I27"/>
    <mergeCell ref="E13:F13"/>
    <mergeCell ref="E1:I1"/>
    <mergeCell ref="E6:F6"/>
    <mergeCell ref="E9:F9"/>
    <mergeCell ref="E10:F10"/>
    <mergeCell ref="F3:G3"/>
  </mergeCells>
  <printOptions horizontalCentered="1"/>
  <pageMargins left="0.19685039370078741" right="0.11811023622047244" top="0" bottom="0.3543307086614173" header="0.31496062992125984" footer="0.31496062992125984"/>
  <pageSetup paperSize="9" scale="98"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tabColor rgb="FF43C6E5"/>
  </sheetPr>
  <dimension ref="A1:T61"/>
  <sheetViews>
    <sheetView zoomScaleNormal="100" workbookViewId="0">
      <selection activeCell="A28" sqref="A28:Q38"/>
    </sheetView>
  </sheetViews>
  <sheetFormatPr baseColWidth="10" defaultColWidth="0" defaultRowHeight="15" zeroHeight="1" x14ac:dyDescent="0.25"/>
  <cols>
    <col min="1" max="1" width="4.140625" style="834" customWidth="1"/>
    <col min="2" max="2" width="25" style="120" customWidth="1"/>
    <col min="3" max="3" width="10.85546875" style="120" customWidth="1"/>
    <col min="4" max="4" width="5.28515625" style="120" customWidth="1"/>
    <col min="5" max="5" width="5" style="120" customWidth="1"/>
    <col min="6" max="10" width="5.28515625" style="120" customWidth="1"/>
    <col min="11" max="11" width="14.5703125" style="835" customWidth="1"/>
    <col min="12" max="17" width="13.85546875" style="835" customWidth="1"/>
    <col min="18" max="18" width="11.42578125" style="533" customWidth="1"/>
    <col min="19" max="20" width="0" style="120" hidden="1" customWidth="1"/>
    <col min="21" max="16384" width="11.42578125" style="120" hidden="1"/>
  </cols>
  <sheetData>
    <row r="1" spans="1:20" ht="28.5" customHeight="1" x14ac:dyDescent="0.25">
      <c r="B1" s="1827" t="s">
        <v>501</v>
      </c>
      <c r="C1" s="1828"/>
      <c r="D1" s="1828"/>
      <c r="E1" s="1828"/>
      <c r="F1" s="1828"/>
      <c r="G1" s="1828"/>
      <c r="H1" s="1828"/>
      <c r="I1" s="1828"/>
      <c r="J1" s="1828"/>
      <c r="K1" s="1828"/>
      <c r="L1" s="1828"/>
      <c r="M1" s="1828"/>
      <c r="N1" s="1828"/>
      <c r="O1" s="1828"/>
      <c r="P1" s="1828"/>
      <c r="Q1" s="2191"/>
    </row>
    <row r="2" spans="1:20" x14ac:dyDescent="0.25">
      <c r="B2" s="380"/>
      <c r="C2" s="380"/>
      <c r="D2" s="380"/>
      <c r="E2" s="380"/>
      <c r="F2" s="380"/>
      <c r="M2" s="836"/>
    </row>
    <row r="3" spans="1:20" ht="22.5" customHeight="1" x14ac:dyDescent="0.25">
      <c r="B3" s="618" t="s">
        <v>42</v>
      </c>
      <c r="C3" s="2229" t="str">
        <f>INFORMATIONS!B10</f>
        <v>SAM CONSEILS</v>
      </c>
      <c r="D3" s="2229"/>
      <c r="E3" s="2229"/>
      <c r="F3" s="2229"/>
      <c r="G3" s="2229"/>
      <c r="H3" s="2229"/>
      <c r="I3" s="2229"/>
      <c r="J3" s="2229"/>
      <c r="K3" s="2229"/>
      <c r="L3" s="837"/>
      <c r="M3" s="837"/>
      <c r="N3" s="837"/>
      <c r="O3" s="2214" t="s">
        <v>52</v>
      </c>
      <c r="P3" s="2214"/>
      <c r="Q3" s="838">
        <f>INFORMATIONS!D31</f>
        <v>43465</v>
      </c>
      <c r="S3" s="839"/>
      <c r="T3" s="839"/>
    </row>
    <row r="4" spans="1:20" ht="19.5" customHeight="1" x14ac:dyDescent="0.25">
      <c r="B4" s="621" t="s">
        <v>43</v>
      </c>
      <c r="C4" s="2230" t="str">
        <f>INFORMATIONS!B24</f>
        <v>00084404X</v>
      </c>
      <c r="D4" s="2230"/>
      <c r="E4" s="2230"/>
      <c r="F4" s="2230"/>
      <c r="G4" s="624"/>
      <c r="H4" s="624"/>
      <c r="I4" s="624"/>
      <c r="J4" s="624"/>
      <c r="K4" s="840"/>
      <c r="L4" s="840"/>
      <c r="M4" s="840"/>
      <c r="N4" s="840"/>
      <c r="O4" s="2206" t="s">
        <v>44</v>
      </c>
      <c r="P4" s="2206"/>
      <c r="Q4" s="841">
        <f>INFORMATIONS!F34</f>
        <v>12</v>
      </c>
      <c r="S4" s="842"/>
      <c r="T4" s="842"/>
    </row>
    <row r="5" spans="1:20" x14ac:dyDescent="0.25"/>
    <row r="6" spans="1:20" s="380" customFormat="1" x14ac:dyDescent="0.25">
      <c r="A6" s="2247"/>
      <c r="B6" s="2244" t="s">
        <v>502</v>
      </c>
      <c r="C6" s="2244"/>
      <c r="D6" s="2249" t="s">
        <v>503</v>
      </c>
      <c r="E6" s="2249"/>
      <c r="F6" s="2249"/>
      <c r="G6" s="2249"/>
      <c r="H6" s="2249"/>
      <c r="I6" s="2249"/>
      <c r="J6" s="2249"/>
      <c r="K6" s="2251" t="s">
        <v>509</v>
      </c>
      <c r="L6" s="2251"/>
      <c r="M6" s="2251"/>
      <c r="N6" s="2251"/>
      <c r="O6" s="2251"/>
      <c r="P6" s="2251"/>
      <c r="Q6" s="2251"/>
      <c r="R6" s="149"/>
    </row>
    <row r="7" spans="1:20" s="844" customFormat="1" ht="34.5" customHeight="1" x14ac:dyDescent="0.25">
      <c r="A7" s="2247"/>
      <c r="B7" s="2245"/>
      <c r="C7" s="2245"/>
      <c r="D7" s="2252" t="s">
        <v>504</v>
      </c>
      <c r="E7" s="2252"/>
      <c r="F7" s="2248" t="s">
        <v>507</v>
      </c>
      <c r="G7" s="2248"/>
      <c r="H7" s="2248" t="s">
        <v>508</v>
      </c>
      <c r="I7" s="2248"/>
      <c r="J7" s="2240" t="s">
        <v>373</v>
      </c>
      <c r="K7" s="2250" t="s">
        <v>504</v>
      </c>
      <c r="L7" s="2250"/>
      <c r="M7" s="2236" t="s">
        <v>507</v>
      </c>
      <c r="N7" s="2236"/>
      <c r="O7" s="2236" t="s">
        <v>508</v>
      </c>
      <c r="P7" s="2236"/>
      <c r="Q7" s="2242" t="s">
        <v>373</v>
      </c>
      <c r="R7" s="843"/>
    </row>
    <row r="8" spans="1:20" s="380" customFormat="1" x14ac:dyDescent="0.2">
      <c r="A8" s="845"/>
      <c r="B8" s="2235" t="s">
        <v>510</v>
      </c>
      <c r="C8" s="2235"/>
      <c r="D8" s="846" t="s">
        <v>505</v>
      </c>
      <c r="E8" s="846" t="s">
        <v>506</v>
      </c>
      <c r="F8" s="846" t="s">
        <v>505</v>
      </c>
      <c r="G8" s="846" t="s">
        <v>506</v>
      </c>
      <c r="H8" s="846" t="s">
        <v>505</v>
      </c>
      <c r="I8" s="846" t="s">
        <v>506</v>
      </c>
      <c r="J8" s="2241"/>
      <c r="K8" s="809" t="s">
        <v>505</v>
      </c>
      <c r="L8" s="809" t="s">
        <v>506</v>
      </c>
      <c r="M8" s="809" t="s">
        <v>505</v>
      </c>
      <c r="N8" s="809" t="s">
        <v>506</v>
      </c>
      <c r="O8" s="809" t="s">
        <v>505</v>
      </c>
      <c r="P8" s="809" t="s">
        <v>506</v>
      </c>
      <c r="Q8" s="2243"/>
      <c r="R8" s="149"/>
    </row>
    <row r="9" spans="1:20" s="380" customFormat="1" ht="14.25" x14ac:dyDescent="0.2">
      <c r="A9" s="847" t="s">
        <v>511</v>
      </c>
      <c r="B9" s="2231" t="s">
        <v>518</v>
      </c>
      <c r="C9" s="2232"/>
      <c r="D9" s="174"/>
      <c r="E9" s="174"/>
      <c r="F9" s="174"/>
      <c r="G9" s="174"/>
      <c r="H9" s="174"/>
      <c r="I9" s="174"/>
      <c r="J9" s="174"/>
      <c r="K9" s="175"/>
      <c r="L9" s="146"/>
      <c r="M9" s="146"/>
      <c r="N9" s="146"/>
      <c r="O9" s="146"/>
      <c r="P9" s="146"/>
      <c r="Q9" s="163">
        <f>SUM(K9:P9)</f>
        <v>0</v>
      </c>
      <c r="R9" s="149"/>
    </row>
    <row r="10" spans="1:20" s="380" customFormat="1" ht="14.25" x14ac:dyDescent="0.2">
      <c r="A10" s="847" t="s">
        <v>512</v>
      </c>
      <c r="B10" s="2231" t="s">
        <v>519</v>
      </c>
      <c r="C10" s="2232"/>
      <c r="D10" s="174"/>
      <c r="E10" s="174"/>
      <c r="F10" s="174"/>
      <c r="G10" s="174"/>
      <c r="H10" s="174"/>
      <c r="I10" s="174"/>
      <c r="J10" s="174"/>
      <c r="K10" s="146"/>
      <c r="L10" s="146"/>
      <c r="M10" s="146"/>
      <c r="N10" s="146"/>
      <c r="O10" s="146"/>
      <c r="P10" s="146"/>
      <c r="Q10" s="163">
        <f t="shared" ref="Q10:Q15" si="0">SUM(K10:P10)</f>
        <v>0</v>
      </c>
      <c r="R10" s="149"/>
    </row>
    <row r="11" spans="1:20" s="380" customFormat="1" ht="24.75" customHeight="1" x14ac:dyDescent="0.2">
      <c r="A11" s="847" t="s">
        <v>513</v>
      </c>
      <c r="B11" s="2237" t="s">
        <v>520</v>
      </c>
      <c r="C11" s="2238"/>
      <c r="D11" s="174"/>
      <c r="E11" s="174"/>
      <c r="F11" s="174"/>
      <c r="G11" s="174"/>
      <c r="H11" s="174"/>
      <c r="I11" s="174"/>
      <c r="J11" s="174"/>
      <c r="K11" s="146"/>
      <c r="L11" s="146"/>
      <c r="M11" s="146"/>
      <c r="N11" s="146"/>
      <c r="O11" s="146"/>
      <c r="P11" s="146"/>
      <c r="Q11" s="163">
        <f t="shared" si="0"/>
        <v>0</v>
      </c>
      <c r="R11" s="149"/>
    </row>
    <row r="12" spans="1:20" s="380" customFormat="1" ht="14.25" x14ac:dyDescent="0.2">
      <c r="A12" s="847" t="s">
        <v>514</v>
      </c>
      <c r="B12" s="2231" t="s">
        <v>521</v>
      </c>
      <c r="C12" s="2232"/>
      <c r="D12" s="174"/>
      <c r="E12" s="174"/>
      <c r="F12" s="174"/>
      <c r="G12" s="174"/>
      <c r="H12" s="174"/>
      <c r="I12" s="174"/>
      <c r="J12" s="174"/>
      <c r="K12" s="146"/>
      <c r="L12" s="146"/>
      <c r="M12" s="146"/>
      <c r="N12" s="146"/>
      <c r="O12" s="146"/>
      <c r="P12" s="146"/>
      <c r="Q12" s="163">
        <f t="shared" si="0"/>
        <v>0</v>
      </c>
      <c r="R12" s="149"/>
    </row>
    <row r="13" spans="1:20" s="380" customFormat="1" ht="14.25" x14ac:dyDescent="0.2">
      <c r="A13" s="847" t="s">
        <v>515</v>
      </c>
      <c r="B13" s="2233" t="s">
        <v>522</v>
      </c>
      <c r="C13" s="2234"/>
      <c r="D13" s="626">
        <f>SUM(D9:D12)</f>
        <v>0</v>
      </c>
      <c r="E13" s="626">
        <f>SUM(E9:E12)</f>
        <v>0</v>
      </c>
      <c r="F13" s="626">
        <f t="shared" ref="F13:Q13" si="1">SUM(F9:F12)</f>
        <v>0</v>
      </c>
      <c r="G13" s="626">
        <f t="shared" si="1"/>
        <v>0</v>
      </c>
      <c r="H13" s="626">
        <f t="shared" si="1"/>
        <v>0</v>
      </c>
      <c r="I13" s="626">
        <f t="shared" si="1"/>
        <v>0</v>
      </c>
      <c r="J13" s="626">
        <f t="shared" si="1"/>
        <v>0</v>
      </c>
      <c r="K13" s="626">
        <f t="shared" si="1"/>
        <v>0</v>
      </c>
      <c r="L13" s="626">
        <f t="shared" si="1"/>
        <v>0</v>
      </c>
      <c r="M13" s="626">
        <f t="shared" si="1"/>
        <v>0</v>
      </c>
      <c r="N13" s="626">
        <f t="shared" si="1"/>
        <v>0</v>
      </c>
      <c r="O13" s="626">
        <f t="shared" si="1"/>
        <v>0</v>
      </c>
      <c r="P13" s="626">
        <f t="shared" si="1"/>
        <v>0</v>
      </c>
      <c r="Q13" s="626">
        <f t="shared" si="1"/>
        <v>0</v>
      </c>
      <c r="R13" s="149"/>
    </row>
    <row r="14" spans="1:20" s="380" customFormat="1" ht="14.25" x14ac:dyDescent="0.2">
      <c r="A14" s="847" t="s">
        <v>516</v>
      </c>
      <c r="B14" s="2231" t="s">
        <v>523</v>
      </c>
      <c r="C14" s="2232"/>
      <c r="D14" s="176"/>
      <c r="E14" s="176"/>
      <c r="F14" s="176"/>
      <c r="G14" s="176"/>
      <c r="H14" s="176"/>
      <c r="I14" s="176"/>
      <c r="J14" s="176"/>
      <c r="K14" s="146"/>
      <c r="L14" s="146"/>
      <c r="M14" s="146"/>
      <c r="N14" s="146"/>
      <c r="O14" s="146"/>
      <c r="P14" s="146"/>
      <c r="Q14" s="163">
        <f t="shared" si="0"/>
        <v>0</v>
      </c>
      <c r="R14" s="149"/>
    </row>
    <row r="15" spans="1:20" s="380" customFormat="1" ht="14.25" x14ac:dyDescent="0.2">
      <c r="A15" s="847" t="s">
        <v>517</v>
      </c>
      <c r="B15" s="2231" t="s">
        <v>524</v>
      </c>
      <c r="C15" s="2232"/>
      <c r="D15" s="176"/>
      <c r="E15" s="176"/>
      <c r="F15" s="176"/>
      <c r="G15" s="176"/>
      <c r="H15" s="176"/>
      <c r="I15" s="176"/>
      <c r="J15" s="176"/>
      <c r="K15" s="146"/>
      <c r="L15" s="146"/>
      <c r="M15" s="146"/>
      <c r="N15" s="146"/>
      <c r="O15" s="146"/>
      <c r="P15" s="146"/>
      <c r="Q15" s="163">
        <f t="shared" si="0"/>
        <v>0</v>
      </c>
      <c r="R15" s="149"/>
    </row>
    <row r="16" spans="1:20" s="380" customFormat="1" ht="14.25" x14ac:dyDescent="0.2">
      <c r="A16" s="847"/>
      <c r="B16" s="2231"/>
      <c r="C16" s="2232"/>
      <c r="D16" s="176"/>
      <c r="E16" s="176"/>
      <c r="F16" s="176"/>
      <c r="G16" s="176"/>
      <c r="H16" s="176"/>
      <c r="I16" s="176"/>
      <c r="J16" s="176"/>
      <c r="K16" s="146"/>
      <c r="L16" s="146"/>
      <c r="M16" s="146"/>
      <c r="N16" s="146"/>
      <c r="O16" s="146"/>
      <c r="P16" s="146"/>
      <c r="Q16" s="163"/>
      <c r="R16" s="149"/>
    </row>
    <row r="17" spans="1:18" x14ac:dyDescent="0.25">
      <c r="B17" s="834"/>
      <c r="C17" s="834"/>
      <c r="K17" s="2239" t="s">
        <v>535</v>
      </c>
      <c r="L17" s="2239"/>
      <c r="M17" s="813"/>
      <c r="N17" s="813"/>
      <c r="O17" s="813"/>
      <c r="P17" s="813"/>
      <c r="Q17" s="813"/>
    </row>
    <row r="18" spans="1:18" s="380" customFormat="1" ht="14.25" x14ac:dyDescent="0.2">
      <c r="A18" s="847" t="s">
        <v>526</v>
      </c>
      <c r="B18" s="2231" t="s">
        <v>518</v>
      </c>
      <c r="C18" s="2232"/>
      <c r="D18" s="174"/>
      <c r="E18" s="174"/>
      <c r="F18" s="174"/>
      <c r="G18" s="174"/>
      <c r="H18" s="174"/>
      <c r="I18" s="174"/>
      <c r="J18" s="174"/>
      <c r="K18" s="146"/>
      <c r="L18" s="146"/>
      <c r="M18" s="848"/>
      <c r="N18" s="848"/>
      <c r="O18" s="848"/>
      <c r="P18" s="848"/>
      <c r="Q18" s="848"/>
      <c r="R18" s="149"/>
    </row>
    <row r="19" spans="1:18" s="380" customFormat="1" ht="14.25" x14ac:dyDescent="0.2">
      <c r="A19" s="847" t="s">
        <v>527</v>
      </c>
      <c r="B19" s="2231" t="s">
        <v>519</v>
      </c>
      <c r="C19" s="2232"/>
      <c r="D19" s="174"/>
      <c r="E19" s="174"/>
      <c r="F19" s="174"/>
      <c r="G19" s="174"/>
      <c r="H19" s="174"/>
      <c r="I19" s="174"/>
      <c r="J19" s="174"/>
      <c r="K19" s="146"/>
      <c r="L19" s="146"/>
      <c r="M19" s="848"/>
      <c r="N19" s="848"/>
      <c r="O19" s="848"/>
      <c r="P19" s="848"/>
      <c r="Q19" s="848"/>
      <c r="R19" s="149"/>
    </row>
    <row r="20" spans="1:18" s="380" customFormat="1" ht="27.75" customHeight="1" x14ac:dyDescent="0.2">
      <c r="A20" s="847" t="s">
        <v>528</v>
      </c>
      <c r="B20" s="2237" t="s">
        <v>520</v>
      </c>
      <c r="C20" s="2238"/>
      <c r="D20" s="174"/>
      <c r="E20" s="174"/>
      <c r="F20" s="174"/>
      <c r="G20" s="174"/>
      <c r="H20" s="174"/>
      <c r="I20" s="174"/>
      <c r="J20" s="174"/>
      <c r="K20" s="146"/>
      <c r="L20" s="146"/>
      <c r="M20" s="848"/>
      <c r="N20" s="848"/>
      <c r="O20" s="848"/>
      <c r="P20" s="848"/>
      <c r="Q20" s="848"/>
      <c r="R20" s="149"/>
    </row>
    <row r="21" spans="1:18" s="380" customFormat="1" ht="14.25" x14ac:dyDescent="0.2">
      <c r="A21" s="847" t="s">
        <v>529</v>
      </c>
      <c r="B21" s="2231" t="s">
        <v>521</v>
      </c>
      <c r="C21" s="2232"/>
      <c r="D21" s="174"/>
      <c r="E21" s="174"/>
      <c r="F21" s="174"/>
      <c r="G21" s="174"/>
      <c r="H21" s="174"/>
      <c r="I21" s="174"/>
      <c r="J21" s="174"/>
      <c r="K21" s="146"/>
      <c r="L21" s="146"/>
      <c r="M21" s="848"/>
      <c r="N21" s="848"/>
      <c r="O21" s="848"/>
      <c r="P21" s="848"/>
      <c r="Q21" s="848"/>
      <c r="R21" s="149"/>
    </row>
    <row r="22" spans="1:18" s="380" customFormat="1" ht="14.25" x14ac:dyDescent="0.2">
      <c r="A22" s="847" t="s">
        <v>530</v>
      </c>
      <c r="B22" s="2233" t="s">
        <v>525</v>
      </c>
      <c r="C22" s="2234"/>
      <c r="D22" s="810">
        <f>SUM(D18:D21)</f>
        <v>0</v>
      </c>
      <c r="E22" s="810">
        <f t="shared" ref="E22:L22" si="2">SUM(E18:E21)</f>
        <v>0</v>
      </c>
      <c r="F22" s="810">
        <f t="shared" si="2"/>
        <v>0</v>
      </c>
      <c r="G22" s="810">
        <f t="shared" si="2"/>
        <v>0</v>
      </c>
      <c r="H22" s="810">
        <f t="shared" si="2"/>
        <v>0</v>
      </c>
      <c r="I22" s="810">
        <f t="shared" si="2"/>
        <v>0</v>
      </c>
      <c r="J22" s="810">
        <f t="shared" si="2"/>
        <v>0</v>
      </c>
      <c r="K22" s="810">
        <f t="shared" si="2"/>
        <v>0</v>
      </c>
      <c r="L22" s="810">
        <f t="shared" si="2"/>
        <v>0</v>
      </c>
      <c r="M22" s="848"/>
      <c r="N22" s="848"/>
      <c r="O22" s="848"/>
      <c r="P22" s="848"/>
      <c r="Q22" s="848"/>
      <c r="R22" s="149"/>
    </row>
    <row r="23" spans="1:18" s="380" customFormat="1" ht="14.25" x14ac:dyDescent="0.2">
      <c r="A23" s="847" t="s">
        <v>531</v>
      </c>
      <c r="B23" s="2231" t="s">
        <v>523</v>
      </c>
      <c r="C23" s="2232"/>
      <c r="D23" s="174"/>
      <c r="E23" s="174"/>
      <c r="F23" s="174"/>
      <c r="G23" s="174"/>
      <c r="H23" s="174"/>
      <c r="I23" s="174"/>
      <c r="J23" s="174"/>
      <c r="K23" s="146"/>
      <c r="L23" s="146"/>
      <c r="M23" s="848"/>
      <c r="N23" s="848"/>
      <c r="O23" s="848"/>
      <c r="P23" s="848"/>
      <c r="Q23" s="848"/>
      <c r="R23" s="149"/>
    </row>
    <row r="24" spans="1:18" s="380" customFormat="1" ht="14.25" x14ac:dyDescent="0.2">
      <c r="A24" s="847" t="s">
        <v>532</v>
      </c>
      <c r="B24" s="2231" t="s">
        <v>524</v>
      </c>
      <c r="C24" s="2232"/>
      <c r="D24" s="174"/>
      <c r="E24" s="174"/>
      <c r="F24" s="174"/>
      <c r="G24" s="174"/>
      <c r="H24" s="174"/>
      <c r="I24" s="174"/>
      <c r="J24" s="174"/>
      <c r="K24" s="146"/>
      <c r="L24" s="146"/>
      <c r="M24" s="848"/>
      <c r="N24" s="848"/>
      <c r="O24" s="848"/>
      <c r="P24" s="848"/>
      <c r="Q24" s="848"/>
      <c r="R24" s="149"/>
    </row>
    <row r="25" spans="1:18" x14ac:dyDescent="0.25">
      <c r="A25" s="847" t="s">
        <v>533</v>
      </c>
      <c r="B25" s="2233" t="s">
        <v>534</v>
      </c>
      <c r="C25" s="2234"/>
      <c r="D25" s="811">
        <f>D13+D22</f>
        <v>0</v>
      </c>
      <c r="E25" s="811">
        <f t="shared" ref="E25:J25" si="3">E13+E22</f>
        <v>0</v>
      </c>
      <c r="F25" s="811">
        <f t="shared" si="3"/>
        <v>0</v>
      </c>
      <c r="G25" s="811">
        <f t="shared" si="3"/>
        <v>0</v>
      </c>
      <c r="H25" s="811">
        <f t="shared" si="3"/>
        <v>0</v>
      </c>
      <c r="I25" s="811">
        <f t="shared" si="3"/>
        <v>0</v>
      </c>
      <c r="J25" s="811">
        <f t="shared" si="3"/>
        <v>0</v>
      </c>
      <c r="K25" s="812"/>
      <c r="L25" s="812"/>
      <c r="M25" s="813"/>
      <c r="N25" s="813"/>
      <c r="O25" s="813"/>
      <c r="P25" s="813"/>
      <c r="Q25" s="813"/>
    </row>
    <row r="26" spans="1:18" x14ac:dyDescent="0.25">
      <c r="K26" s="813"/>
      <c r="L26" s="813"/>
      <c r="M26" s="813"/>
      <c r="N26" s="813"/>
      <c r="O26" s="813"/>
      <c r="P26" s="813"/>
      <c r="Q26" s="813"/>
    </row>
    <row r="27" spans="1:18" x14ac:dyDescent="0.25">
      <c r="A27" s="849" t="s">
        <v>1348</v>
      </c>
      <c r="B27" s="850"/>
      <c r="K27" s="813"/>
      <c r="L27" s="813"/>
      <c r="M27" s="813"/>
      <c r="N27" s="813"/>
      <c r="O27" s="813"/>
      <c r="P27" s="813"/>
      <c r="Q27" s="813"/>
    </row>
    <row r="28" spans="1:18" x14ac:dyDescent="0.25">
      <c r="A28" s="2246"/>
      <c r="B28" s="2246"/>
      <c r="C28" s="2246"/>
      <c r="D28" s="2246"/>
      <c r="E28" s="2246"/>
      <c r="F28" s="2246"/>
      <c r="G28" s="2246"/>
      <c r="H28" s="2246"/>
      <c r="I28" s="2246"/>
      <c r="J28" s="2246"/>
      <c r="K28" s="2246"/>
      <c r="L28" s="2246"/>
      <c r="M28" s="2246"/>
      <c r="N28" s="2246"/>
      <c r="O28" s="2246"/>
      <c r="P28" s="2246"/>
      <c r="Q28" s="2246"/>
    </row>
    <row r="29" spans="1:18" x14ac:dyDescent="0.25">
      <c r="A29" s="2246"/>
      <c r="B29" s="2246"/>
      <c r="C29" s="2246"/>
      <c r="D29" s="2246"/>
      <c r="E29" s="2246"/>
      <c r="F29" s="2246"/>
      <c r="G29" s="2246"/>
      <c r="H29" s="2246"/>
      <c r="I29" s="2246"/>
      <c r="J29" s="2246"/>
      <c r="K29" s="2246"/>
      <c r="L29" s="2246"/>
      <c r="M29" s="2246"/>
      <c r="N29" s="2246"/>
      <c r="O29" s="2246"/>
      <c r="P29" s="2246"/>
      <c r="Q29" s="2246"/>
    </row>
    <row r="30" spans="1:18" x14ac:dyDescent="0.25">
      <c r="A30" s="2246"/>
      <c r="B30" s="2246"/>
      <c r="C30" s="2246"/>
      <c r="D30" s="2246"/>
      <c r="E30" s="2246"/>
      <c r="F30" s="2246"/>
      <c r="G30" s="2246"/>
      <c r="H30" s="2246"/>
      <c r="I30" s="2246"/>
      <c r="J30" s="2246"/>
      <c r="K30" s="2246"/>
      <c r="L30" s="2246"/>
      <c r="M30" s="2246"/>
      <c r="N30" s="2246"/>
      <c r="O30" s="2246"/>
      <c r="P30" s="2246"/>
      <c r="Q30" s="2246"/>
    </row>
    <row r="31" spans="1:18" x14ac:dyDescent="0.25">
      <c r="A31" s="2246"/>
      <c r="B31" s="2246"/>
      <c r="C31" s="2246"/>
      <c r="D31" s="2246"/>
      <c r="E31" s="2246"/>
      <c r="F31" s="2246"/>
      <c r="G31" s="2246"/>
      <c r="H31" s="2246"/>
      <c r="I31" s="2246"/>
      <c r="J31" s="2246"/>
      <c r="K31" s="2246"/>
      <c r="L31" s="2246"/>
      <c r="M31" s="2246"/>
      <c r="N31" s="2246"/>
      <c r="O31" s="2246"/>
      <c r="P31" s="2246"/>
      <c r="Q31" s="2246"/>
    </row>
    <row r="32" spans="1:18" x14ac:dyDescent="0.25">
      <c r="A32" s="2246"/>
      <c r="B32" s="2246"/>
      <c r="C32" s="2246"/>
      <c r="D32" s="2246"/>
      <c r="E32" s="2246"/>
      <c r="F32" s="2246"/>
      <c r="G32" s="2246"/>
      <c r="H32" s="2246"/>
      <c r="I32" s="2246"/>
      <c r="J32" s="2246"/>
      <c r="K32" s="2246"/>
      <c r="L32" s="2246"/>
      <c r="M32" s="2246"/>
      <c r="N32" s="2246"/>
      <c r="O32" s="2246"/>
      <c r="P32" s="2246"/>
      <c r="Q32" s="2246"/>
    </row>
    <row r="33" spans="1:17" x14ac:dyDescent="0.25">
      <c r="A33" s="2246"/>
      <c r="B33" s="2246"/>
      <c r="C33" s="2246"/>
      <c r="D33" s="2246"/>
      <c r="E33" s="2246"/>
      <c r="F33" s="2246"/>
      <c r="G33" s="2246"/>
      <c r="H33" s="2246"/>
      <c r="I33" s="2246"/>
      <c r="J33" s="2246"/>
      <c r="K33" s="2246"/>
      <c r="L33" s="2246"/>
      <c r="M33" s="2246"/>
      <c r="N33" s="2246"/>
      <c r="O33" s="2246"/>
      <c r="P33" s="2246"/>
      <c r="Q33" s="2246"/>
    </row>
    <row r="34" spans="1:17" x14ac:dyDescent="0.25">
      <c r="A34" s="2246"/>
      <c r="B34" s="2246"/>
      <c r="C34" s="2246"/>
      <c r="D34" s="2246"/>
      <c r="E34" s="2246"/>
      <c r="F34" s="2246"/>
      <c r="G34" s="2246"/>
      <c r="H34" s="2246"/>
      <c r="I34" s="2246"/>
      <c r="J34" s="2246"/>
      <c r="K34" s="2246"/>
      <c r="L34" s="2246"/>
      <c r="M34" s="2246"/>
      <c r="N34" s="2246"/>
      <c r="O34" s="2246"/>
      <c r="P34" s="2246"/>
      <c r="Q34" s="2246"/>
    </row>
    <row r="35" spans="1:17" x14ac:dyDescent="0.25">
      <c r="A35" s="2246"/>
      <c r="B35" s="2246"/>
      <c r="C35" s="2246"/>
      <c r="D35" s="2246"/>
      <c r="E35" s="2246"/>
      <c r="F35" s="2246"/>
      <c r="G35" s="2246"/>
      <c r="H35" s="2246"/>
      <c r="I35" s="2246"/>
      <c r="J35" s="2246"/>
      <c r="K35" s="2246"/>
      <c r="L35" s="2246"/>
      <c r="M35" s="2246"/>
      <c r="N35" s="2246"/>
      <c r="O35" s="2246"/>
      <c r="P35" s="2246"/>
      <c r="Q35" s="2246"/>
    </row>
    <row r="36" spans="1:17" x14ac:dyDescent="0.25">
      <c r="A36" s="2246"/>
      <c r="B36" s="2246"/>
      <c r="C36" s="2246"/>
      <c r="D36" s="2246"/>
      <c r="E36" s="2246"/>
      <c r="F36" s="2246"/>
      <c r="G36" s="2246"/>
      <c r="H36" s="2246"/>
      <c r="I36" s="2246"/>
      <c r="J36" s="2246"/>
      <c r="K36" s="2246"/>
      <c r="L36" s="2246"/>
      <c r="M36" s="2246"/>
      <c r="N36" s="2246"/>
      <c r="O36" s="2246"/>
      <c r="P36" s="2246"/>
      <c r="Q36" s="2246"/>
    </row>
    <row r="37" spans="1:17" x14ac:dyDescent="0.25">
      <c r="A37" s="2246"/>
      <c r="B37" s="2246"/>
      <c r="C37" s="2246"/>
      <c r="D37" s="2246"/>
      <c r="E37" s="2246"/>
      <c r="F37" s="2246"/>
      <c r="G37" s="2246"/>
      <c r="H37" s="2246"/>
      <c r="I37" s="2246"/>
      <c r="J37" s="2246"/>
      <c r="K37" s="2246"/>
      <c r="L37" s="2246"/>
      <c r="M37" s="2246"/>
      <c r="N37" s="2246"/>
      <c r="O37" s="2246"/>
      <c r="P37" s="2246"/>
      <c r="Q37" s="2246"/>
    </row>
    <row r="38" spans="1:17" x14ac:dyDescent="0.25">
      <c r="A38" s="2246"/>
      <c r="B38" s="2246"/>
      <c r="C38" s="2246"/>
      <c r="D38" s="2246"/>
      <c r="E38" s="2246"/>
      <c r="F38" s="2246"/>
      <c r="G38" s="2246"/>
      <c r="H38" s="2246"/>
      <c r="I38" s="2246"/>
      <c r="J38" s="2246"/>
      <c r="K38" s="2246"/>
      <c r="L38" s="2246"/>
      <c r="M38" s="2246"/>
      <c r="N38" s="2246"/>
      <c r="O38" s="2246"/>
      <c r="P38" s="2246"/>
      <c r="Q38" s="2246"/>
    </row>
    <row r="39" spans="1:17" s="533" customFormat="1" x14ac:dyDescent="0.25">
      <c r="A39" s="851"/>
      <c r="K39" s="852"/>
      <c r="L39" s="852"/>
      <c r="M39" s="852"/>
      <c r="N39" s="852"/>
      <c r="O39" s="852"/>
      <c r="P39" s="852"/>
      <c r="Q39" s="852"/>
    </row>
    <row r="40" spans="1:17" s="533" customFormat="1" x14ac:dyDescent="0.25">
      <c r="A40" s="851"/>
      <c r="K40" s="852"/>
      <c r="L40" s="852"/>
      <c r="M40" s="852"/>
      <c r="N40" s="852"/>
      <c r="O40" s="852"/>
      <c r="P40" s="852"/>
      <c r="Q40" s="852"/>
    </row>
    <row r="41" spans="1:17" s="533" customFormat="1" x14ac:dyDescent="0.25">
      <c r="A41" s="851"/>
      <c r="K41" s="852"/>
      <c r="L41" s="852"/>
      <c r="M41" s="852"/>
      <c r="N41" s="852"/>
      <c r="O41" s="852"/>
      <c r="P41" s="852"/>
      <c r="Q41" s="852"/>
    </row>
    <row r="42" spans="1:17" s="533" customFormat="1" x14ac:dyDescent="0.25">
      <c r="A42" s="851"/>
      <c r="K42" s="852"/>
      <c r="L42" s="852"/>
      <c r="M42" s="852"/>
      <c r="N42" s="852"/>
      <c r="O42" s="852"/>
      <c r="P42" s="852"/>
      <c r="Q42" s="852"/>
    </row>
    <row r="43" spans="1:17" s="533" customFormat="1" x14ac:dyDescent="0.25">
      <c r="A43" s="851"/>
      <c r="K43" s="852"/>
      <c r="L43" s="852"/>
      <c r="M43" s="852"/>
      <c r="N43" s="852"/>
      <c r="O43" s="852"/>
      <c r="P43" s="852"/>
      <c r="Q43" s="852"/>
    </row>
    <row r="44" spans="1:17" s="533" customFormat="1" x14ac:dyDescent="0.25">
      <c r="A44" s="851"/>
      <c r="K44" s="852"/>
      <c r="L44" s="852"/>
      <c r="M44" s="852"/>
      <c r="N44" s="852"/>
      <c r="O44" s="852"/>
      <c r="P44" s="852"/>
      <c r="Q44" s="852"/>
    </row>
    <row r="45" spans="1:17" s="533" customFormat="1" x14ac:dyDescent="0.25">
      <c r="A45" s="851"/>
      <c r="K45" s="852"/>
      <c r="L45" s="852"/>
      <c r="M45" s="852"/>
      <c r="N45" s="852"/>
      <c r="O45" s="852"/>
      <c r="P45" s="852"/>
      <c r="Q45" s="852"/>
    </row>
    <row r="46" spans="1:17" s="533" customFormat="1" x14ac:dyDescent="0.25">
      <c r="A46" s="851"/>
      <c r="K46" s="852"/>
      <c r="L46" s="852"/>
      <c r="M46" s="852"/>
      <c r="N46" s="852"/>
      <c r="O46" s="852"/>
      <c r="P46" s="852"/>
      <c r="Q46" s="852"/>
    </row>
    <row r="47" spans="1:17" s="533" customFormat="1" x14ac:dyDescent="0.25">
      <c r="A47" s="851"/>
      <c r="K47" s="852"/>
      <c r="L47" s="852"/>
      <c r="M47" s="852"/>
      <c r="N47" s="852"/>
      <c r="O47" s="852"/>
      <c r="P47" s="852"/>
      <c r="Q47" s="852"/>
    </row>
    <row r="48" spans="1:17" s="533" customFormat="1" x14ac:dyDescent="0.25">
      <c r="A48" s="851"/>
      <c r="K48" s="852"/>
      <c r="L48" s="852"/>
      <c r="M48" s="852"/>
      <c r="N48" s="852"/>
      <c r="O48" s="852"/>
      <c r="P48" s="852"/>
      <c r="Q48" s="852"/>
    </row>
    <row r="49" spans="1:17" s="533" customFormat="1" x14ac:dyDescent="0.25">
      <c r="A49" s="851"/>
      <c r="K49" s="852"/>
      <c r="L49" s="852"/>
      <c r="M49" s="852"/>
      <c r="N49" s="852"/>
      <c r="O49" s="852"/>
      <c r="P49" s="852"/>
      <c r="Q49" s="852"/>
    </row>
    <row r="50" spans="1:17" s="533" customFormat="1" x14ac:dyDescent="0.25">
      <c r="A50" s="851"/>
      <c r="K50" s="852"/>
      <c r="L50" s="852"/>
      <c r="M50" s="852"/>
      <c r="N50" s="852"/>
      <c r="O50" s="852"/>
      <c r="P50" s="852"/>
      <c r="Q50" s="852"/>
    </row>
    <row r="51" spans="1:17" s="533" customFormat="1" x14ac:dyDescent="0.25">
      <c r="A51" s="851"/>
      <c r="K51" s="852"/>
      <c r="L51" s="852"/>
      <c r="M51" s="852"/>
      <c r="N51" s="852"/>
      <c r="O51" s="852"/>
      <c r="P51" s="852"/>
      <c r="Q51" s="852"/>
    </row>
    <row r="52" spans="1:17" s="533" customFormat="1" x14ac:dyDescent="0.25">
      <c r="A52" s="851"/>
      <c r="K52" s="852"/>
      <c r="L52" s="852"/>
      <c r="M52" s="852"/>
      <c r="N52" s="852"/>
      <c r="O52" s="852"/>
      <c r="P52" s="852"/>
      <c r="Q52" s="852"/>
    </row>
    <row r="53" spans="1:17" s="533" customFormat="1" x14ac:dyDescent="0.25">
      <c r="A53" s="851"/>
      <c r="K53" s="852"/>
      <c r="L53" s="852"/>
      <c r="M53" s="852"/>
      <c r="N53" s="852"/>
      <c r="O53" s="852"/>
      <c r="P53" s="852"/>
      <c r="Q53" s="852"/>
    </row>
    <row r="54" spans="1:17" s="533" customFormat="1" x14ac:dyDescent="0.25">
      <c r="A54" s="851"/>
      <c r="K54" s="852"/>
      <c r="L54" s="852"/>
      <c r="M54" s="852"/>
      <c r="N54" s="852"/>
      <c r="O54" s="852"/>
      <c r="P54" s="852"/>
      <c r="Q54" s="852"/>
    </row>
    <row r="55" spans="1:17" s="533" customFormat="1" x14ac:dyDescent="0.25">
      <c r="A55" s="851"/>
      <c r="K55" s="852"/>
      <c r="L55" s="852"/>
      <c r="M55" s="852"/>
      <c r="N55" s="852"/>
      <c r="O55" s="852"/>
      <c r="P55" s="852"/>
      <c r="Q55" s="852"/>
    </row>
    <row r="56" spans="1:17" s="533" customFormat="1" x14ac:dyDescent="0.25">
      <c r="A56" s="851"/>
      <c r="K56" s="852"/>
      <c r="L56" s="852"/>
      <c r="M56" s="852"/>
      <c r="N56" s="852"/>
      <c r="O56" s="852"/>
      <c r="P56" s="852"/>
      <c r="Q56" s="852"/>
    </row>
    <row r="57" spans="1:17" s="533" customFormat="1" x14ac:dyDescent="0.25">
      <c r="A57" s="851"/>
      <c r="K57" s="852"/>
      <c r="L57" s="852"/>
      <c r="M57" s="852"/>
      <c r="N57" s="852"/>
      <c r="O57" s="852"/>
      <c r="P57" s="852"/>
      <c r="Q57" s="852"/>
    </row>
    <row r="58" spans="1:17" s="533" customFormat="1" x14ac:dyDescent="0.25">
      <c r="A58" s="851"/>
      <c r="K58" s="852"/>
      <c r="L58" s="852"/>
      <c r="M58" s="852"/>
      <c r="N58" s="852"/>
      <c r="O58" s="852"/>
      <c r="P58" s="852"/>
      <c r="Q58" s="852"/>
    </row>
    <row r="59" spans="1:17" s="533" customFormat="1" x14ac:dyDescent="0.25">
      <c r="A59" s="851"/>
      <c r="K59" s="852"/>
      <c r="L59" s="852"/>
      <c r="M59" s="852"/>
      <c r="N59" s="852"/>
      <c r="O59" s="852"/>
      <c r="P59" s="852"/>
      <c r="Q59" s="852"/>
    </row>
    <row r="60" spans="1:17" s="533" customFormat="1" x14ac:dyDescent="0.25">
      <c r="A60" s="851"/>
      <c r="K60" s="852"/>
      <c r="L60" s="852"/>
      <c r="M60" s="852"/>
      <c r="N60" s="852"/>
      <c r="O60" s="852"/>
      <c r="P60" s="852"/>
      <c r="Q60" s="852"/>
    </row>
    <row r="61" spans="1:17" s="533" customFormat="1" x14ac:dyDescent="0.25">
      <c r="A61" s="851"/>
      <c r="K61" s="852"/>
      <c r="L61" s="852"/>
      <c r="M61" s="852"/>
      <c r="N61" s="852"/>
      <c r="O61" s="852"/>
      <c r="P61" s="852"/>
      <c r="Q61" s="852"/>
    </row>
  </sheetData>
  <sheetProtection pivotTables="0"/>
  <mergeCells count="36">
    <mergeCell ref="A28:Q38"/>
    <mergeCell ref="A6:A7"/>
    <mergeCell ref="H7:I7"/>
    <mergeCell ref="D6:J6"/>
    <mergeCell ref="K7:L7"/>
    <mergeCell ref="M7:N7"/>
    <mergeCell ref="K6:Q6"/>
    <mergeCell ref="D7:E7"/>
    <mergeCell ref="F7:G7"/>
    <mergeCell ref="B25:C25"/>
    <mergeCell ref="B24:C24"/>
    <mergeCell ref="B1:Q1"/>
    <mergeCell ref="B18:C18"/>
    <mergeCell ref="B19:C19"/>
    <mergeCell ref="B20:C20"/>
    <mergeCell ref="B21:C21"/>
    <mergeCell ref="K17:L17"/>
    <mergeCell ref="J7:J8"/>
    <mergeCell ref="Q7:Q8"/>
    <mergeCell ref="B9:C9"/>
    <mergeCell ref="B10:C10"/>
    <mergeCell ref="B11:C11"/>
    <mergeCell ref="B12:C12"/>
    <mergeCell ref="B13:C13"/>
    <mergeCell ref="B14:C14"/>
    <mergeCell ref="B15:C15"/>
    <mergeCell ref="B6:C7"/>
    <mergeCell ref="O3:P3"/>
    <mergeCell ref="O4:P4"/>
    <mergeCell ref="C3:K3"/>
    <mergeCell ref="C4:F4"/>
    <mergeCell ref="B23:C23"/>
    <mergeCell ref="B22:C22"/>
    <mergeCell ref="B8:C8"/>
    <mergeCell ref="O7:P7"/>
    <mergeCell ref="B16:C16"/>
  </mergeCells>
  <printOptions horizontalCentered="1"/>
  <pageMargins left="0" right="0" top="0" bottom="0.35433070866141736" header="0.31496062992125984" footer="0.31496062992125984"/>
  <pageSetup paperSize="9" scale="8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tabColor rgb="FF43C6E5"/>
  </sheetPr>
  <dimension ref="A1:M55"/>
  <sheetViews>
    <sheetView zoomScaleNormal="100" workbookViewId="0">
      <selection activeCell="H36" sqref="H36"/>
    </sheetView>
  </sheetViews>
  <sheetFormatPr baseColWidth="10" defaultColWidth="0" defaultRowHeight="15" zeroHeight="1" x14ac:dyDescent="0.25"/>
  <cols>
    <col min="1" max="1" width="11.42578125" style="537" customWidth="1"/>
    <col min="2" max="2" width="25.140625" style="345" customWidth="1"/>
    <col min="3" max="3" width="21.140625" style="345" customWidth="1"/>
    <col min="4" max="10" width="14" style="345" customWidth="1"/>
    <col min="11" max="11" width="19" style="345" customWidth="1"/>
    <col min="12" max="13" width="11.42578125" style="537" customWidth="1"/>
    <col min="14" max="16384" width="11.42578125" style="345" hidden="1"/>
  </cols>
  <sheetData>
    <row r="1" spans="2:11" ht="28.5" customHeight="1" x14ac:dyDescent="0.25">
      <c r="B1" s="2135" t="s">
        <v>536</v>
      </c>
      <c r="C1" s="2136"/>
      <c r="D1" s="2136"/>
      <c r="E1" s="2136"/>
      <c r="F1" s="2136"/>
      <c r="G1" s="2136"/>
      <c r="H1" s="2136"/>
      <c r="I1" s="2136"/>
      <c r="J1" s="2136"/>
      <c r="K1" s="2137"/>
    </row>
    <row r="2" spans="2:11" x14ac:dyDescent="0.25">
      <c r="B2" s="388"/>
      <c r="C2" s="388"/>
      <c r="D2" s="388"/>
      <c r="E2" s="388"/>
      <c r="F2" s="388"/>
      <c r="G2" s="388"/>
      <c r="H2" s="388"/>
    </row>
    <row r="3" spans="2:11" ht="22.5" customHeight="1" x14ac:dyDescent="0.25">
      <c r="B3" s="629" t="s">
        <v>42</v>
      </c>
      <c r="C3" s="664" t="str">
        <f>INFORMATIONS!B10</f>
        <v>SAM CONSEILS</v>
      </c>
      <c r="D3" s="664"/>
      <c r="E3" s="664"/>
      <c r="F3" s="630"/>
      <c r="G3" s="630"/>
      <c r="H3" s="630"/>
      <c r="I3" s="2127" t="s">
        <v>52</v>
      </c>
      <c r="J3" s="2127"/>
      <c r="K3" s="631">
        <f>INFORMATIONS!D31</f>
        <v>43465</v>
      </c>
    </row>
    <row r="4" spans="2:11" ht="19.5" customHeight="1" x14ac:dyDescent="0.25">
      <c r="B4" s="632" t="s">
        <v>43</v>
      </c>
      <c r="C4" s="633" t="str">
        <f>INFORMATIONS!B24</f>
        <v>00084404X</v>
      </c>
      <c r="D4" s="634"/>
      <c r="E4" s="634"/>
      <c r="F4" s="635"/>
      <c r="G4" s="635"/>
      <c r="H4" s="635"/>
      <c r="I4" s="2128" t="s">
        <v>44</v>
      </c>
      <c r="J4" s="2128"/>
      <c r="K4" s="667">
        <f>INFORMATIONS!F34</f>
        <v>12</v>
      </c>
    </row>
    <row r="5" spans="2:11" x14ac:dyDescent="0.25"/>
    <row r="6" spans="2:11" ht="24.75" customHeight="1" x14ac:dyDescent="0.25">
      <c r="B6" s="2256" t="s">
        <v>58</v>
      </c>
      <c r="C6" s="2256"/>
      <c r="D6" s="590" t="s">
        <v>88</v>
      </c>
      <c r="E6" s="2253" t="s">
        <v>109</v>
      </c>
      <c r="F6" s="2253"/>
      <c r="G6" s="2253"/>
      <c r="H6" s="2253" t="s">
        <v>111</v>
      </c>
      <c r="I6" s="2253"/>
      <c r="J6" s="2253"/>
      <c r="K6" s="775" t="s">
        <v>95</v>
      </c>
    </row>
    <row r="7" spans="2:11" ht="36" customHeight="1" x14ac:dyDescent="0.25">
      <c r="B7" s="2258" t="s">
        <v>537</v>
      </c>
      <c r="C7" s="2258"/>
      <c r="D7" s="2253" t="s">
        <v>538</v>
      </c>
      <c r="E7" s="2253" t="s">
        <v>539</v>
      </c>
      <c r="F7" s="2253"/>
      <c r="G7" s="2253"/>
      <c r="H7" s="2253" t="s">
        <v>543</v>
      </c>
      <c r="I7" s="2253"/>
      <c r="J7" s="2253"/>
      <c r="K7" s="2253" t="s">
        <v>544</v>
      </c>
    </row>
    <row r="8" spans="2:11" ht="22.5" customHeight="1" x14ac:dyDescent="0.25">
      <c r="B8" s="2259"/>
      <c r="C8" s="2259"/>
      <c r="D8" s="2253"/>
      <c r="E8" s="590" t="s">
        <v>541</v>
      </c>
      <c r="F8" s="590" t="s">
        <v>540</v>
      </c>
      <c r="G8" s="590" t="s">
        <v>542</v>
      </c>
      <c r="H8" s="590" t="s">
        <v>541</v>
      </c>
      <c r="I8" s="590" t="s">
        <v>540</v>
      </c>
      <c r="J8" s="590" t="s">
        <v>542</v>
      </c>
      <c r="K8" s="2253"/>
    </row>
    <row r="9" spans="2:11" ht="17.25" customHeight="1" x14ac:dyDescent="0.25">
      <c r="B9" s="2032" t="s">
        <v>545</v>
      </c>
      <c r="C9" s="2189"/>
      <c r="D9" s="683">
        <f>SUMPRODUCT(((LEFT(BalanceN!$A$4:$A$9999,2)="15"))*BalanceN!$D$4:$D$9999)</f>
        <v>0</v>
      </c>
      <c r="E9" s="683"/>
      <c r="F9" s="683"/>
      <c r="G9" s="683">
        <f>SUMPRODUCT(((LEFT(BalanceN!$A$4:$A$9999,3)="851"))*BalanceN!$G$4:$G$9999)</f>
        <v>0</v>
      </c>
      <c r="H9" s="683"/>
      <c r="I9" s="683"/>
      <c r="J9" s="683">
        <f>SUMPRODUCT(((LEFT(BalanceN!$A$4:$A$9999,3)="861"))*BalanceN!$H$4:$H$9999)</f>
        <v>0</v>
      </c>
      <c r="K9" s="776">
        <f>D9+E9+F9+G9-H9-I9-J9</f>
        <v>0</v>
      </c>
    </row>
    <row r="10" spans="2:11" ht="17.25" customHeight="1" x14ac:dyDescent="0.25">
      <c r="B10" s="2032" t="s">
        <v>546</v>
      </c>
      <c r="C10" s="2189"/>
      <c r="D10" s="683">
        <f>SUMPRODUCT(((LEFT(BalanceN!$A$4:$A$9999,2)="19"))*BalanceN!$D$4:$D$9999)</f>
        <v>54864697</v>
      </c>
      <c r="E10" s="683">
        <f>SUMPRODUCT(((LEFT(BalanceN!$A$4:$A$9999,4)="6911"))*BalanceN!$G$4:$G$9999)</f>
        <v>7251669</v>
      </c>
      <c r="F10" s="683">
        <f>SUMPRODUCT(((LEFT(BalanceN!$A$4:$A$9999,4)="6971"))*BalanceN!$G$4:$G$9999)</f>
        <v>0</v>
      </c>
      <c r="G10" s="683">
        <f>SUMPRODUCT(((LEFT(BalanceN!$A$4:$A$9999,3)="854"))*BalanceN!$G$4:$G$9999)</f>
        <v>0</v>
      </c>
      <c r="H10" s="683">
        <f>SUMPRODUCT(((LEFT(BalanceN!$A$4:$A$9999,4)="7911"))*BalanceN!$H$4:$H$9999)</f>
        <v>0</v>
      </c>
      <c r="I10" s="683">
        <f>SUMPRODUCT(((LEFT(BalanceN!$A$4:$A$9999,4)="7971"))*BalanceN!$H$4:$H$9999)</f>
        <v>0</v>
      </c>
      <c r="J10" s="683">
        <f>SUMPRODUCT(((LEFT(BalanceN!$A$4:$A$9999,3)="864"))*BalanceN!$H$4:$H$9999)</f>
        <v>0</v>
      </c>
      <c r="K10" s="777">
        <f t="shared" ref="K10:K24" si="0">D10+E10+F10+G10-H10-I10-J10</f>
        <v>62116366</v>
      </c>
    </row>
    <row r="11" spans="2:11" ht="17.25" customHeight="1" x14ac:dyDescent="0.25">
      <c r="B11" s="2032" t="s">
        <v>547</v>
      </c>
      <c r="C11" s="2189"/>
      <c r="D11" s="683">
        <f>SUMPRODUCT(((LEFT(BalanceN!$A$4:$A$9999,2)="29"))*BalanceN!$D$4:$D$9999)</f>
        <v>0</v>
      </c>
      <c r="E11" s="683">
        <f>SUMPRODUCT(((LEFT(BalanceN!$A$4:$A$9999,4)="6913")+(LEFT(BalanceN!$A$4:$A$9999,4)="6914"))*BalanceN!$G$4:$G$9999)</f>
        <v>0</v>
      </c>
      <c r="F11" s="683">
        <f>SUMPRODUCT(((LEFT(BalanceN!$A$4:$A$9999,4)="6972"))*BalanceN!$G$4:$G$9999)</f>
        <v>0</v>
      </c>
      <c r="G11" s="683">
        <f>SUMPRODUCT(((LEFT(BalanceN!$A$4:$A$9999,3)="853"))*BalanceN!$G$4:$G$9999)</f>
        <v>0</v>
      </c>
      <c r="H11" s="683">
        <f>SUMPRODUCT(((LEFT(BalanceN!$A$4:$A$9999,4)="7913")+(LEFT(BalanceN!$A$4:$A$9999,4)="7914"))*BalanceN!$H$4:$H$9999)</f>
        <v>0</v>
      </c>
      <c r="I11" s="683">
        <f>SUMPRODUCT(((LEFT(BalanceN!$A$4:$A$9999,4)="7972"))*BalanceN!$H$4:$H$9999)</f>
        <v>0</v>
      </c>
      <c r="J11" s="683">
        <f>SUMPRODUCT(((LEFT(BalanceN!$A$4:$A$9999,3)="863"))*BalanceN!$H$4:$H$9999)</f>
        <v>0</v>
      </c>
      <c r="K11" s="777">
        <f t="shared" si="0"/>
        <v>0</v>
      </c>
    </row>
    <row r="12" spans="2:11" ht="21.75" customHeight="1" x14ac:dyDescent="0.25">
      <c r="B12" s="2255" t="s">
        <v>548</v>
      </c>
      <c r="C12" s="2255"/>
      <c r="D12" s="642">
        <f>SUM(D9:D11)</f>
        <v>54864697</v>
      </c>
      <c r="E12" s="642">
        <f t="shared" ref="E12:J12" si="1">SUM(E9:E11)</f>
        <v>7251669</v>
      </c>
      <c r="F12" s="642">
        <f t="shared" si="1"/>
        <v>0</v>
      </c>
      <c r="G12" s="642">
        <f t="shared" si="1"/>
        <v>0</v>
      </c>
      <c r="H12" s="642">
        <f t="shared" si="1"/>
        <v>0</v>
      </c>
      <c r="I12" s="642">
        <f t="shared" si="1"/>
        <v>0</v>
      </c>
      <c r="J12" s="642">
        <f t="shared" si="1"/>
        <v>0</v>
      </c>
      <c r="K12" s="778">
        <f>D12+E12+F12+G12-H12-I12-J12</f>
        <v>62116366</v>
      </c>
    </row>
    <row r="13" spans="2:11" ht="17.25" customHeight="1" x14ac:dyDescent="0.25">
      <c r="B13" s="2032" t="s">
        <v>549</v>
      </c>
      <c r="C13" s="2189"/>
      <c r="D13" s="683">
        <f>SUMPRODUCT(((LEFT(BalanceN!$A$4:$A$9999,2)="39"))*BalanceN!$D$4:$D$9999)</f>
        <v>0</v>
      </c>
      <c r="E13" s="683">
        <f>SUMPRODUCT(((LEFT(BalanceN!$A$4:$A$9999,4)="6593"))*BalanceN!$G$4:$G$9999)</f>
        <v>0</v>
      </c>
      <c r="F13" s="683"/>
      <c r="G13" s="683"/>
      <c r="H13" s="683">
        <f>SUMPRODUCT(((LEFT(BalanceN!$A$4:$A$9999,4)="7593"))*BalanceN!$H$4:$H$9999)</f>
        <v>0</v>
      </c>
      <c r="I13" s="683"/>
      <c r="J13" s="683"/>
      <c r="K13" s="777">
        <f t="shared" si="0"/>
        <v>0</v>
      </c>
    </row>
    <row r="14" spans="2:11" ht="17.25" customHeight="1" x14ac:dyDescent="0.25">
      <c r="B14" s="2032" t="s">
        <v>550</v>
      </c>
      <c r="C14" s="2189"/>
      <c r="D14" s="683">
        <f>SUMPRODUCT(((LEFT(BalanceN!$A$4:$A$9999,3)="498"))*BalanceN!$D$4:$D$9999)</f>
        <v>0</v>
      </c>
      <c r="E14" s="683"/>
      <c r="F14" s="683"/>
      <c r="G14" s="683">
        <f>SUMPRODUCT(((LEFT(BalanceN!$A$4:$A$9999,3)="498"))*BalanceN!$F$4:$F$9999)</f>
        <v>0</v>
      </c>
      <c r="H14" s="683"/>
      <c r="I14" s="683"/>
      <c r="J14" s="683">
        <f>SUMPRODUCT(((LEFT(BalanceN!$A$4:$A$9999,3)="498"))*BalanceN!$E$4:$E$9999)</f>
        <v>0</v>
      </c>
      <c r="K14" s="777">
        <f t="shared" si="0"/>
        <v>0</v>
      </c>
    </row>
    <row r="15" spans="2:11" ht="17.25" customHeight="1" x14ac:dyDescent="0.25">
      <c r="B15" s="2032" t="s">
        <v>551</v>
      </c>
      <c r="C15" s="2189"/>
      <c r="D15" s="683">
        <f>SUMPRODUCT(((LEFT(BalanceN!$A$4:$A$9999,3)="490"))*BalanceN!$D$4:$D$9999)</f>
        <v>0</v>
      </c>
      <c r="E15" s="683">
        <f>SUMPRODUCT(((LEFT(BalanceN!$A$4:$A$9999,3)="490"))*BalanceN!$F$4:$F$9999)</f>
        <v>0</v>
      </c>
      <c r="F15" s="683"/>
      <c r="G15" s="683"/>
      <c r="H15" s="683">
        <f>SUMPRODUCT(((LEFT(BalanceN!$A$4:$A$9999,3)="490"))*BalanceN!$E$4:$E$9999)</f>
        <v>0</v>
      </c>
      <c r="I15" s="683"/>
      <c r="J15" s="683"/>
      <c r="K15" s="777">
        <f t="shared" si="0"/>
        <v>0</v>
      </c>
    </row>
    <row r="16" spans="2:11" ht="17.25" customHeight="1" x14ac:dyDescent="0.25">
      <c r="B16" s="2032" t="s">
        <v>552</v>
      </c>
      <c r="C16" s="2189"/>
      <c r="D16" s="683">
        <f>SUMPRODUCT(((LEFT(BalanceN!$A$4:$A$9999,3)="491"))*BalanceN!$D$4:$D$9999)</f>
        <v>31677520</v>
      </c>
      <c r="E16" s="683">
        <f>SUMPRODUCT(((LEFT(BalanceN!$A$4:$A$9999,4)="6594"))*BalanceN!$G$4:$G$9999)</f>
        <v>0</v>
      </c>
      <c r="F16" s="683"/>
      <c r="G16" s="683"/>
      <c r="H16" s="683">
        <f>SUMPRODUCT(((LEFT(BalanceN!$A$4:$A$9999,4)="7594"))*BalanceN!$H$4:$H$9999)</f>
        <v>0</v>
      </c>
      <c r="I16" s="683"/>
      <c r="J16" s="683"/>
      <c r="K16" s="777">
        <f t="shared" si="0"/>
        <v>31677520</v>
      </c>
    </row>
    <row r="17" spans="1:13" ht="17.25" customHeight="1" x14ac:dyDescent="0.25">
      <c r="B17" s="2032" t="s">
        <v>553</v>
      </c>
      <c r="C17" s="2189"/>
      <c r="D17" s="683">
        <f>SUMPRODUCT(((LEFT(BalanceN!$A$4:$A$9999,2)="49")-(LEFT(BalanceN!$A$4:$A$9999,3)="490")-(LEFT(BalanceN!$A$4:$A$9999,3)="491")-(LEFT(BalanceN!$A$4:$A$9999,3)="498")-(LEFT(BalanceN!$A$4:$A$9999,3)="499"))*BalanceN!$D$4:$D$9999)</f>
        <v>0</v>
      </c>
      <c r="E17" s="683">
        <f>SUMPRODUCT(((LEFT(BalanceN!$A$4:$A$9999,2)="49")-(LEFT(BalanceN!$A$4:$A$9999,3)="490")-(LEFT(BalanceN!$A$4:$A$9999,3)="491")-(LEFT(BalanceN!$A$4:$A$9999,3)="498")-(LEFT(BalanceN!$A$4:$A$9999,3)="499"))*BalanceN!$F$4:$F$9999)</f>
        <v>0</v>
      </c>
      <c r="F17" s="683"/>
      <c r="G17" s="683"/>
      <c r="H17" s="683">
        <f>SUMPRODUCT(((LEFT(BalanceN!$A$4:$A$9999,2)="49")-(LEFT(BalanceN!$A$4:$A$9999,3)="490")-(LEFT(BalanceN!$A$4:$A$9999,3)="491")-(LEFT(BalanceN!$A$4:$A$9999,3)="498")-(LEFT(BalanceN!$A$4:$A$9999,3)="499"))*BalanceN!$E$4:$E$9999)</f>
        <v>0</v>
      </c>
      <c r="I17" s="683"/>
      <c r="J17" s="683"/>
      <c r="K17" s="777">
        <f t="shared" si="0"/>
        <v>0</v>
      </c>
    </row>
    <row r="18" spans="1:13" ht="17.25" customHeight="1" x14ac:dyDescent="0.25">
      <c r="B18" s="2032" t="s">
        <v>554</v>
      </c>
      <c r="C18" s="2189"/>
      <c r="D18" s="683">
        <f>SUMPRODUCT(((LEFT(BalanceN!$A$4:$A$9999,3)="590"))*BalanceN!$D$4:$D$9999)</f>
        <v>0</v>
      </c>
      <c r="E18" s="683"/>
      <c r="F18" s="683">
        <f>SUMPRODUCT(((LEFT(BalanceN!$A$4:$A$9999,4)="6795"))*BalanceN!$G$4:$G$9999)</f>
        <v>0</v>
      </c>
      <c r="G18" s="683"/>
      <c r="H18" s="683"/>
      <c r="I18" s="683">
        <f>SUMPRODUCT(((LEFT(BalanceN!$A$4:$A$9999,4)="7795"))*BalanceN!$H$4:$H$9999)</f>
        <v>0</v>
      </c>
      <c r="J18" s="683"/>
      <c r="K18" s="777">
        <f t="shared" si="0"/>
        <v>0</v>
      </c>
    </row>
    <row r="19" spans="1:13" ht="17.25" customHeight="1" x14ac:dyDescent="0.25">
      <c r="B19" s="2032" t="s">
        <v>555</v>
      </c>
      <c r="C19" s="2189"/>
      <c r="D19" s="683">
        <f>SUMPRODUCT(((LEFT(BalanceN!$A$4:$A$9999,3)="591"))*BalanceN!$D$4:$D$9999)</f>
        <v>0</v>
      </c>
      <c r="E19" s="683">
        <f>SUMPRODUCT(((LEFT(BalanceN!$A$4:$A$9999,3)="591"))*BalanceN!$F$4:$F$9999)</f>
        <v>0</v>
      </c>
      <c r="F19" s="683"/>
      <c r="G19" s="683"/>
      <c r="H19" s="683">
        <f>SUMPRODUCT(((LEFT(BalanceN!$A$4:$A$9999,3)="591"))*BalanceN!$E$4:$E$9999)</f>
        <v>0</v>
      </c>
      <c r="I19" s="683"/>
      <c r="J19" s="683"/>
      <c r="K19" s="777">
        <f t="shared" si="0"/>
        <v>0</v>
      </c>
    </row>
    <row r="20" spans="1:13" ht="17.25" customHeight="1" x14ac:dyDescent="0.25">
      <c r="B20" s="2032" t="s">
        <v>556</v>
      </c>
      <c r="C20" s="2189"/>
      <c r="D20" s="683">
        <f>SUMPRODUCT(((LEFT(BalanceN!$A$4:$A$9999,3)="592")+(LEFT(BalanceN!$A$4:$A$9999,3)="593")+(LEFT(BalanceN!$A$4:$A$9999,3)="594"))*BalanceN!$D$4:$D$9999)</f>
        <v>0</v>
      </c>
      <c r="E20" s="683">
        <f>SUMPRODUCT(((LEFT(BalanceN!$A$4:$A$9999,3)="592")+(LEFT(BalanceN!$A$4:$A$9999,3)="593")+(LEFT(BalanceN!$A$4:$A$9999,3)="594"))*BalanceN!$F$4:$F$9999)</f>
        <v>0</v>
      </c>
      <c r="F20" s="683"/>
      <c r="G20" s="683"/>
      <c r="H20" s="683">
        <f>SUMPRODUCT(((LEFT(BalanceN!$A$4:$A$9999,3)="592")+(LEFT(BalanceN!$A$4:$A$9999,3)="593")+(LEFT(BalanceN!$A$4:$A$9999,3)="594"))*BalanceN!$E$4:$E$9999)</f>
        <v>0</v>
      </c>
      <c r="I20" s="683"/>
      <c r="J20" s="683"/>
      <c r="K20" s="777">
        <f t="shared" si="0"/>
        <v>0</v>
      </c>
    </row>
    <row r="21" spans="1:13" ht="31.5" customHeight="1" x14ac:dyDescent="0.25">
      <c r="B21" s="2254" t="s">
        <v>558</v>
      </c>
      <c r="C21" s="2254"/>
      <c r="D21" s="683">
        <f>SUMPRODUCT(((LEFT(BalanceN!$A$4:$A$9999,3)="499"))*BalanceN!$D$4:$D$9999)</f>
        <v>0</v>
      </c>
      <c r="E21" s="683">
        <f>SUMPRODUCT(((LEFT(BalanceN!$A$4:$A$9999,3)="499"))*BalanceN!$F$4:$F$9999)</f>
        <v>0</v>
      </c>
      <c r="F21" s="683"/>
      <c r="G21" s="683"/>
      <c r="H21" s="683">
        <f>SUMPRODUCT(((LEFT(BalanceN!$A$4:$A$9999,3)="499"))*BalanceN!$E$4:$E$9999)</f>
        <v>0</v>
      </c>
      <c r="I21" s="683"/>
      <c r="J21" s="683"/>
      <c r="K21" s="779">
        <f t="shared" si="0"/>
        <v>0</v>
      </c>
    </row>
    <row r="22" spans="1:13" ht="31.5" customHeight="1" x14ac:dyDescent="0.25">
      <c r="B22" s="2254" t="s">
        <v>557</v>
      </c>
      <c r="C22" s="2254"/>
      <c r="D22" s="683">
        <f>SUMPRODUCT(((LEFT(BalanceN!$A$4:$A$9999,3)="599"))*BalanceN!$D$4:$D$9999)</f>
        <v>0</v>
      </c>
      <c r="E22" s="683"/>
      <c r="F22" s="683">
        <f>SUMPRODUCT(((LEFT(BalanceN!$A$4:$A$9999,3)="599"))*BalanceN!$F$4:$F$9999)</f>
        <v>0</v>
      </c>
      <c r="G22" s="683"/>
      <c r="H22" s="683"/>
      <c r="I22" s="683">
        <f>SUMPRODUCT(((LEFT(BalanceN!$A$4:$A$9999,3)="599"))*BalanceN!$E$4:$E$9999)</f>
        <v>0</v>
      </c>
      <c r="J22" s="683"/>
      <c r="K22" s="779">
        <f t="shared" si="0"/>
        <v>0</v>
      </c>
    </row>
    <row r="23" spans="1:13" ht="32.25" customHeight="1" x14ac:dyDescent="0.25">
      <c r="B23" s="2257" t="s">
        <v>559</v>
      </c>
      <c r="C23" s="2257"/>
      <c r="D23" s="780">
        <f>SUM(D13:D22)</f>
        <v>31677520</v>
      </c>
      <c r="E23" s="780">
        <f t="shared" ref="E23:J23" si="2">SUM(E13:E22)</f>
        <v>0</v>
      </c>
      <c r="F23" s="780">
        <f t="shared" si="2"/>
        <v>0</v>
      </c>
      <c r="G23" s="780">
        <f t="shared" si="2"/>
        <v>0</v>
      </c>
      <c r="H23" s="780">
        <f t="shared" si="2"/>
        <v>0</v>
      </c>
      <c r="I23" s="780">
        <f t="shared" si="2"/>
        <v>0</v>
      </c>
      <c r="J23" s="780">
        <f t="shared" si="2"/>
        <v>0</v>
      </c>
      <c r="K23" s="778">
        <f>D23+E23+F23+G23-H23-I23-J23</f>
        <v>31677520</v>
      </c>
    </row>
    <row r="24" spans="1:13" s="422" customFormat="1" ht="21" customHeight="1" x14ac:dyDescent="0.25">
      <c r="A24" s="546"/>
      <c r="B24" s="781" t="s">
        <v>560</v>
      </c>
      <c r="C24" s="781"/>
      <c r="D24" s="639">
        <f>+D12+D23</f>
        <v>86542217</v>
      </c>
      <c r="E24" s="639">
        <f t="shared" ref="E24:J24" si="3">+E12+E23</f>
        <v>7251669</v>
      </c>
      <c r="F24" s="639">
        <f t="shared" si="3"/>
        <v>0</v>
      </c>
      <c r="G24" s="639">
        <f t="shared" si="3"/>
        <v>0</v>
      </c>
      <c r="H24" s="639">
        <f t="shared" si="3"/>
        <v>0</v>
      </c>
      <c r="I24" s="639">
        <f t="shared" si="3"/>
        <v>0</v>
      </c>
      <c r="J24" s="639">
        <f t="shared" si="3"/>
        <v>0</v>
      </c>
      <c r="K24" s="782">
        <f t="shared" si="0"/>
        <v>93793886</v>
      </c>
      <c r="L24" s="546"/>
      <c r="M24" s="546"/>
    </row>
    <row r="25" spans="1:13" x14ac:dyDescent="0.25">
      <c r="K25" s="783"/>
    </row>
    <row r="26" spans="1:13" x14ac:dyDescent="0.25">
      <c r="B26" s="645" t="s">
        <v>1348</v>
      </c>
    </row>
    <row r="27" spans="1:13" x14ac:dyDescent="0.25">
      <c r="B27" s="2134"/>
      <c r="C27" s="2134"/>
      <c r="D27" s="2134"/>
      <c r="E27" s="2134"/>
      <c r="F27" s="2134"/>
      <c r="G27" s="2134"/>
      <c r="H27" s="2134"/>
      <c r="I27" s="2134"/>
      <c r="J27" s="2134"/>
      <c r="K27" s="2134"/>
    </row>
    <row r="28" spans="1:13" x14ac:dyDescent="0.25">
      <c r="B28" s="2134"/>
      <c r="C28" s="2134"/>
      <c r="D28" s="2134"/>
      <c r="E28" s="2134"/>
      <c r="F28" s="2134"/>
      <c r="G28" s="2134"/>
      <c r="H28" s="2134"/>
      <c r="I28" s="2134"/>
      <c r="J28" s="2134"/>
      <c r="K28" s="2134"/>
    </row>
    <row r="29" spans="1:13" x14ac:dyDescent="0.25">
      <c r="B29" s="2134"/>
      <c r="C29" s="2134"/>
      <c r="D29" s="2134"/>
      <c r="E29" s="2134"/>
      <c r="F29" s="2134"/>
      <c r="G29" s="2134"/>
      <c r="H29" s="2134"/>
      <c r="I29" s="2134"/>
      <c r="J29" s="2134"/>
      <c r="K29" s="2134"/>
    </row>
    <row r="30" spans="1:13" x14ac:dyDescent="0.25">
      <c r="B30" s="2134"/>
      <c r="C30" s="2134"/>
      <c r="D30" s="2134"/>
      <c r="E30" s="2134"/>
      <c r="F30" s="2134"/>
      <c r="G30" s="2134"/>
      <c r="H30" s="2134"/>
      <c r="I30" s="2134"/>
      <c r="J30" s="2134"/>
      <c r="K30" s="2134"/>
    </row>
    <row r="31" spans="1:13" x14ac:dyDescent="0.25">
      <c r="B31" s="2134"/>
      <c r="C31" s="2134"/>
      <c r="D31" s="2134"/>
      <c r="E31" s="2134"/>
      <c r="F31" s="2134"/>
      <c r="G31" s="2134"/>
      <c r="H31" s="2134"/>
      <c r="I31" s="2134"/>
      <c r="J31" s="2134"/>
      <c r="K31" s="2134"/>
    </row>
    <row r="32" spans="1:13" s="537" customFormat="1" x14ac:dyDescent="0.25"/>
    <row r="33" s="537" customFormat="1" x14ac:dyDescent="0.25"/>
    <row r="34" s="537" customFormat="1" x14ac:dyDescent="0.25"/>
    <row r="35" s="537" customFormat="1" x14ac:dyDescent="0.25"/>
    <row r="36" s="537" customFormat="1" x14ac:dyDescent="0.25"/>
    <row r="37" s="537" customFormat="1" x14ac:dyDescent="0.25"/>
    <row r="38" s="537" customFormat="1" x14ac:dyDescent="0.25"/>
    <row r="39" s="537" customFormat="1" x14ac:dyDescent="0.25"/>
    <row r="40" s="537" customFormat="1" x14ac:dyDescent="0.25"/>
    <row r="41" s="537" customFormat="1" x14ac:dyDescent="0.25"/>
    <row r="42" s="537" customFormat="1" x14ac:dyDescent="0.25"/>
    <row r="43" s="537" customFormat="1" x14ac:dyDescent="0.25"/>
    <row r="44" s="537" customFormat="1" x14ac:dyDescent="0.25"/>
    <row r="45" s="537" customFormat="1" x14ac:dyDescent="0.25"/>
    <row r="46" s="537" customFormat="1" x14ac:dyDescent="0.25"/>
    <row r="47" s="537" customFormat="1" x14ac:dyDescent="0.25"/>
    <row r="48" s="537" customFormat="1" x14ac:dyDescent="0.25"/>
    <row r="49" s="537" customFormat="1" x14ac:dyDescent="0.25"/>
    <row r="50" s="537" customFormat="1" x14ac:dyDescent="0.25"/>
    <row r="51" s="537" customFormat="1" x14ac:dyDescent="0.25"/>
    <row r="52" s="537" customFormat="1" x14ac:dyDescent="0.25"/>
    <row r="53" s="537" customFormat="1" x14ac:dyDescent="0.25"/>
    <row r="54" s="537" customFormat="1" x14ac:dyDescent="0.25"/>
    <row r="55" s="537" customFormat="1" x14ac:dyDescent="0.25"/>
  </sheetData>
  <sheetProtection algorithmName="SHA-512" hashValue="ST50Fqzse1ReDc3ZTWHD651kVqAZdJy5bNeevF0qBbt9Fs5FGp78Uk8gJpt+h+z8yI+qMFhwH8AmyiPsmhHnqw==" saltValue="UqRCVlmJKW3ukuBou5zkIA==" spinCount="100000" sheet="1" formatCells="0" formatColumns="0" formatRows="0" pivotTables="0"/>
  <mergeCells count="27">
    <mergeCell ref="B27:K31"/>
    <mergeCell ref="B1:K1"/>
    <mergeCell ref="I3:J3"/>
    <mergeCell ref="I4:J4"/>
    <mergeCell ref="B6:C6"/>
    <mergeCell ref="E6:G6"/>
    <mergeCell ref="B23:C23"/>
    <mergeCell ref="D7:D8"/>
    <mergeCell ref="B7:C8"/>
    <mergeCell ref="E7:G7"/>
    <mergeCell ref="H6:J6"/>
    <mergeCell ref="H7:J7"/>
    <mergeCell ref="B15:C15"/>
    <mergeCell ref="B17:C17"/>
    <mergeCell ref="B18:C18"/>
    <mergeCell ref="B19:C19"/>
    <mergeCell ref="K7:K8"/>
    <mergeCell ref="B20:C20"/>
    <mergeCell ref="B21:C21"/>
    <mergeCell ref="B22:C22"/>
    <mergeCell ref="B16:C16"/>
    <mergeCell ref="B9:C9"/>
    <mergeCell ref="B10:C10"/>
    <mergeCell ref="B11:C11"/>
    <mergeCell ref="B13:C13"/>
    <mergeCell ref="B14:C14"/>
    <mergeCell ref="B12:C12"/>
  </mergeCells>
  <printOptions horizontalCentered="1"/>
  <pageMargins left="0" right="0.11811023622047245" top="0" bottom="0.35433070866141736" header="0.31496062992125984" footer="0.31496062992125984"/>
  <pageSetup paperSize="9" scale="84" firstPageNumber="1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tabColor rgb="FF43C6E5"/>
  </sheetPr>
  <dimension ref="A1:M64"/>
  <sheetViews>
    <sheetView zoomScaleNormal="100" workbookViewId="0">
      <selection activeCell="E29" sqref="E29:I40"/>
    </sheetView>
  </sheetViews>
  <sheetFormatPr baseColWidth="10" defaultColWidth="0" defaultRowHeight="15" zeroHeight="1" x14ac:dyDescent="0.25"/>
  <cols>
    <col min="1" max="4" width="11.42578125" style="537" customWidth="1"/>
    <col min="5" max="5" width="29.42578125" style="345" customWidth="1"/>
    <col min="6" max="6" width="23.28515625" style="345" customWidth="1"/>
    <col min="7" max="7" width="16.7109375" style="345" customWidth="1"/>
    <col min="8" max="8" width="17.85546875" style="345" customWidth="1"/>
    <col min="9" max="9" width="14" style="345" customWidth="1"/>
    <col min="10" max="13" width="11.42578125" style="537" customWidth="1"/>
    <col min="14" max="16384" width="11.42578125" style="345" hidden="1"/>
  </cols>
  <sheetData>
    <row r="1" spans="1:13" ht="28.5" customHeight="1" x14ac:dyDescent="0.25">
      <c r="E1" s="2135" t="s">
        <v>561</v>
      </c>
      <c r="F1" s="2136"/>
      <c r="G1" s="2136"/>
      <c r="H1" s="2136"/>
      <c r="I1" s="2137"/>
    </row>
    <row r="2" spans="1:13" x14ac:dyDescent="0.25">
      <c r="E2" s="388"/>
      <c r="F2" s="388"/>
      <c r="G2" s="388"/>
      <c r="H2" s="388"/>
      <c r="I2" s="388"/>
    </row>
    <row r="3" spans="1:13" s="746" customFormat="1" ht="36.75" customHeight="1" x14ac:dyDescent="0.25">
      <c r="A3" s="745"/>
      <c r="B3" s="745"/>
      <c r="C3" s="745"/>
      <c r="D3" s="745"/>
      <c r="E3" s="712" t="s">
        <v>42</v>
      </c>
      <c r="F3" s="2185" t="str">
        <f>INFORMATIONS!B10</f>
        <v>SAM CONSEILS</v>
      </c>
      <c r="G3" s="2185"/>
      <c r="H3" s="713" t="s">
        <v>52</v>
      </c>
      <c r="I3" s="714">
        <f>INFORMATIONS!D31</f>
        <v>43465</v>
      </c>
      <c r="J3" s="745"/>
      <c r="K3" s="745"/>
      <c r="L3" s="745"/>
      <c r="M3" s="745"/>
    </row>
    <row r="4" spans="1:13" ht="19.5" customHeight="1" x14ac:dyDescent="0.25">
      <c r="E4" s="632" t="s">
        <v>43</v>
      </c>
      <c r="F4" s="633" t="str">
        <f>INFORMATIONS!B24</f>
        <v>00084404X</v>
      </c>
      <c r="G4" s="634"/>
      <c r="H4" s="666" t="s">
        <v>44</v>
      </c>
      <c r="I4" s="667">
        <f>INFORMATIONS!F34</f>
        <v>12</v>
      </c>
    </row>
    <row r="5" spans="1:13" x14ac:dyDescent="0.25"/>
    <row r="6" spans="1:13" ht="39.75" customHeight="1" x14ac:dyDescent="0.25">
      <c r="E6" s="2116" t="s">
        <v>138</v>
      </c>
      <c r="F6" s="2117"/>
      <c r="G6" s="590" t="s">
        <v>139</v>
      </c>
      <c r="H6" s="590" t="s">
        <v>140</v>
      </c>
      <c r="I6" s="590" t="s">
        <v>141</v>
      </c>
    </row>
    <row r="7" spans="1:13" ht="16.5" customHeight="1" x14ac:dyDescent="0.25">
      <c r="E7" s="423" t="s">
        <v>562</v>
      </c>
      <c r="F7" s="425"/>
      <c r="G7" s="683">
        <f>SUMPRODUCT(((LEFT(BalanceN!$A$4:$A$9999,3)="671"))*BalanceN!$G$4:$G$9999)</f>
        <v>3500000</v>
      </c>
      <c r="H7" s="683">
        <f>SUMPRODUCT(((LEFT('BalanceN-1'!$A$4:$A$9999,3)="671"))*'BalanceN-1'!$G$4:$G$9999)</f>
        <v>0</v>
      </c>
      <c r="I7" s="723" t="str">
        <f>IF(H7=0,"-",(G7-H7)/H7)</f>
        <v>-</v>
      </c>
    </row>
    <row r="8" spans="1:13" ht="16.5" customHeight="1" x14ac:dyDescent="0.25">
      <c r="E8" s="423" t="s">
        <v>563</v>
      </c>
      <c r="F8" s="425"/>
      <c r="G8" s="683">
        <f>SUMPRODUCT(((LEFT(BalanceN!$A$4:$A$9999,3)="672"))*BalanceN!$G$4:$G$9999)</f>
        <v>0</v>
      </c>
      <c r="H8" s="683">
        <f>SUMPRODUCT(((LEFT('BalanceN-1'!$A$4:$A$9999,3)="672"))*'BalanceN-1'!$G$4:$G$9999)</f>
        <v>0</v>
      </c>
      <c r="I8" s="723" t="str">
        <f t="shared" ref="I8:I26" si="0">IF(H8=0,"-",(G8-H8)/H8)</f>
        <v>-</v>
      </c>
    </row>
    <row r="9" spans="1:13" ht="16.5" customHeight="1" x14ac:dyDescent="0.25">
      <c r="E9" s="2032" t="s">
        <v>564</v>
      </c>
      <c r="F9" s="2189"/>
      <c r="G9" s="683">
        <f>SUMPRODUCT(((LEFT(BalanceN!$A$4:$A$9999,3)="673"))*BalanceN!$G$4:$G$9999)</f>
        <v>0</v>
      </c>
      <c r="H9" s="683">
        <f>SUMPRODUCT(((LEFT('BalanceN-1'!$A$4:$A$9999,3)="673"))*'BalanceN-1'!$G$4:$G$9999)</f>
        <v>0</v>
      </c>
      <c r="I9" s="723" t="str">
        <f t="shared" si="0"/>
        <v>-</v>
      </c>
    </row>
    <row r="10" spans="1:13" ht="16.5" customHeight="1" x14ac:dyDescent="0.25">
      <c r="E10" s="770" t="s">
        <v>565</v>
      </c>
      <c r="F10" s="769"/>
      <c r="G10" s="683">
        <f>SUMPRODUCT(((LEFT(BalanceN!$A$4:$A$9999,3)="674"))*BalanceN!$G$4:$G$9999)</f>
        <v>0</v>
      </c>
      <c r="H10" s="683">
        <f>SUMPRODUCT(((LEFT('BalanceN-1'!$A$4:$A$9999,3)="674"))*'BalanceN-1'!$G$4:$G$9999)</f>
        <v>0</v>
      </c>
      <c r="I10" s="723" t="str">
        <f t="shared" si="0"/>
        <v>-</v>
      </c>
    </row>
    <row r="11" spans="1:13" ht="16.5" customHeight="1" x14ac:dyDescent="0.25">
      <c r="E11" s="770" t="s">
        <v>566</v>
      </c>
      <c r="F11" s="769"/>
      <c r="G11" s="683">
        <f>SUMPRODUCT(((LEFT(BalanceN!$A$4:$A$9999,3)="675"))*BalanceN!$G$4:$G$9999)</f>
        <v>0</v>
      </c>
      <c r="H11" s="683">
        <f>SUMPRODUCT(((LEFT('BalanceN-1'!$A$4:$A$9999,3)="675"))*'BalanceN-1'!$G$4:$G$9999)</f>
        <v>0</v>
      </c>
      <c r="I11" s="723" t="str">
        <f t="shared" si="0"/>
        <v>-</v>
      </c>
    </row>
    <row r="12" spans="1:13" ht="16.5" customHeight="1" x14ac:dyDescent="0.25">
      <c r="E12" s="770" t="s">
        <v>567</v>
      </c>
      <c r="F12" s="769"/>
      <c r="G12" s="683">
        <f>SUMPRODUCT(((LEFT(BalanceN!$A$4:$A$9999,3)="676"))*BalanceN!$G$4:$G$9999)</f>
        <v>0</v>
      </c>
      <c r="H12" s="683">
        <f>SUMPRODUCT(((LEFT('BalanceN-1'!$A$4:$A$9999,3)="676"))*'BalanceN-1'!$G$4:$G$9999)</f>
        <v>0</v>
      </c>
      <c r="I12" s="723" t="str">
        <f t="shared" si="0"/>
        <v>-</v>
      </c>
    </row>
    <row r="13" spans="1:13" ht="16.5" customHeight="1" x14ac:dyDescent="0.25">
      <c r="E13" s="770" t="s">
        <v>568</v>
      </c>
      <c r="F13" s="769"/>
      <c r="G13" s="683">
        <f>SUMPRODUCT(((LEFT(BalanceN!$A$4:$A$9999,4)="6771"))*BalanceN!$G$4:$G$9999)</f>
        <v>0</v>
      </c>
      <c r="H13" s="683">
        <f>SUMPRODUCT(((LEFT('BalanceN-1'!$A$4:$A$9999,4)="6771"))*'BalanceN-1'!$G$4:$G$9999)</f>
        <v>0</v>
      </c>
      <c r="I13" s="723" t="str">
        <f t="shared" si="0"/>
        <v>-</v>
      </c>
    </row>
    <row r="14" spans="1:13" ht="30.75" customHeight="1" x14ac:dyDescent="0.25">
      <c r="E14" s="2001" t="s">
        <v>569</v>
      </c>
      <c r="F14" s="2003"/>
      <c r="G14" s="683">
        <f>SUMPRODUCT(((LEFT(BalanceN!$A$4:$A$9999,4)="6772"))*BalanceN!$G$4:$G$9999)</f>
        <v>0</v>
      </c>
      <c r="H14" s="683">
        <f>SUMPRODUCT(((LEFT('BalanceN-1'!$A$4:$A$9999,4)="6772"))*'BalanceN-1'!$G$4:$G$9999)</f>
        <v>0</v>
      </c>
      <c r="I14" s="724" t="str">
        <f t="shared" si="0"/>
        <v>-</v>
      </c>
    </row>
    <row r="15" spans="1:13" ht="16.5" customHeight="1" x14ac:dyDescent="0.25">
      <c r="E15" s="770" t="s">
        <v>570</v>
      </c>
      <c r="F15" s="769"/>
      <c r="G15" s="683">
        <f>SUMPRODUCT(((LEFT(BalanceN!$A$4:$A$9999,3)="678"))*BalanceN!$G$4:$G$9999)</f>
        <v>0</v>
      </c>
      <c r="H15" s="683">
        <f>SUMPRODUCT(((LEFT('BalanceN-1'!$A$4:$A$9999,3)="678"))*'BalanceN-1'!$G$4:$G$9999)</f>
        <v>0</v>
      </c>
      <c r="I15" s="723" t="str">
        <f t="shared" si="0"/>
        <v>-</v>
      </c>
    </row>
    <row r="16" spans="1:13" ht="27.75" customHeight="1" x14ac:dyDescent="0.25">
      <c r="E16" s="2001" t="s">
        <v>571</v>
      </c>
      <c r="F16" s="2003"/>
      <c r="G16" s="683">
        <f>SUMPRODUCT(((LEFT(BalanceN!$A$4:$A$9999,3)="679"))*BalanceN!$G$4:$G$9999)</f>
        <v>0</v>
      </c>
      <c r="H16" s="683">
        <f>SUMPRODUCT(((LEFT('BalanceN-1'!$A$4:$A$9999,3)="679"))*'BalanceN-1'!$G$4:$G$9999)</f>
        <v>0</v>
      </c>
      <c r="I16" s="724" t="str">
        <f t="shared" si="0"/>
        <v>-</v>
      </c>
    </row>
    <row r="17" spans="5:9" ht="16.5" customHeight="1" x14ac:dyDescent="0.25">
      <c r="E17" s="771" t="s">
        <v>572</v>
      </c>
      <c r="F17" s="774"/>
      <c r="G17" s="639">
        <f>SUM(G7:G16)</f>
        <v>3500000</v>
      </c>
      <c r="H17" s="639">
        <f>SUM(H7:H16)</f>
        <v>0</v>
      </c>
      <c r="I17" s="751" t="str">
        <f t="shared" si="0"/>
        <v>-</v>
      </c>
    </row>
    <row r="18" spans="5:9" ht="16.5" customHeight="1" x14ac:dyDescent="0.25">
      <c r="E18" s="2032" t="s">
        <v>573</v>
      </c>
      <c r="F18" s="2189"/>
      <c r="G18" s="683">
        <f>SUMPRODUCT(((LEFT(BalanceN!$A$4:$A$9999,3)="771")+(LEFT(BalanceN!$A$4:$A$9999,3)="775"))*BalanceN!$H$4:$H$9999)</f>
        <v>0</v>
      </c>
      <c r="H18" s="683">
        <f>SUMPRODUCT(((LEFT('BalanceN-1'!$A$4:$A$9999,3)="771")+(LEFT('BalanceN-1'!$A$4:$A$9999,3)="775"))*'BalanceN-1'!$H$4:$H$9999)</f>
        <v>0</v>
      </c>
      <c r="I18" s="723" t="str">
        <f t="shared" si="0"/>
        <v>-</v>
      </c>
    </row>
    <row r="19" spans="5:9" ht="16.5" customHeight="1" x14ac:dyDescent="0.25">
      <c r="E19" s="423" t="s">
        <v>574</v>
      </c>
      <c r="F19" s="425"/>
      <c r="G19" s="683">
        <f>SUMPRODUCT(((LEFT(BalanceN!$A$4:$A$9999,3)="772"))*BalanceN!$H$4:$H$9999)</f>
        <v>0</v>
      </c>
      <c r="H19" s="683">
        <f>SUMPRODUCT(((LEFT('BalanceN-1'!$A$4:$A$9999,3)="772"))*'BalanceN-1'!$H$4:$H$9999)</f>
        <v>0</v>
      </c>
      <c r="I19" s="723" t="str">
        <f t="shared" si="0"/>
        <v>-</v>
      </c>
    </row>
    <row r="20" spans="5:9" ht="16.5" customHeight="1" x14ac:dyDescent="0.25">
      <c r="E20" s="423" t="s">
        <v>575</v>
      </c>
      <c r="F20" s="425"/>
      <c r="G20" s="683">
        <f>SUMPRODUCT(((LEFT(BalanceN!$A$4:$A$9999,3)="773"))*BalanceN!$H$4:$H$9999)</f>
        <v>7500000</v>
      </c>
      <c r="H20" s="683">
        <f>SUMPRODUCT(((LEFT('BalanceN-1'!$A$4:$A$9999,3)="773"))*'BalanceN-1'!$H$4:$H$9999)</f>
        <v>0</v>
      </c>
      <c r="I20" s="723" t="str">
        <f t="shared" si="0"/>
        <v>-</v>
      </c>
    </row>
    <row r="21" spans="5:9" ht="16.5" customHeight="1" x14ac:dyDescent="0.25">
      <c r="E21" s="423" t="s">
        <v>576</v>
      </c>
      <c r="F21" s="425"/>
      <c r="G21" s="683">
        <f>SUMPRODUCT(((LEFT(BalanceN!$A$4:$A$9999,3)="774"))*BalanceN!$H$4:$H$9999)</f>
        <v>0</v>
      </c>
      <c r="H21" s="683">
        <f>SUMPRODUCT(((LEFT('BalanceN-1'!$A$4:$A$9999,3)="774"))*'BalanceN-1'!$H$4:$H$9999)</f>
        <v>0</v>
      </c>
      <c r="I21" s="723" t="str">
        <f t="shared" si="0"/>
        <v>-</v>
      </c>
    </row>
    <row r="22" spans="5:9" ht="16.5" customHeight="1" x14ac:dyDescent="0.25">
      <c r="E22" s="423" t="s">
        <v>577</v>
      </c>
      <c r="F22" s="425"/>
      <c r="G22" s="683">
        <f>SUMPRODUCT(((LEFT(BalanceN!$A$4:$A$9999,3)="776"))*BalanceN!$H$4:$H$9999)</f>
        <v>0</v>
      </c>
      <c r="H22" s="683">
        <f>SUMPRODUCT(((LEFT('BalanceN-1'!$A$4:$A$9999,3)="776"))*'BalanceN-1'!$H$4:$H$9999)</f>
        <v>0</v>
      </c>
      <c r="I22" s="723" t="str">
        <f t="shared" si="0"/>
        <v>-</v>
      </c>
    </row>
    <row r="23" spans="5:9" ht="16.5" customHeight="1" x14ac:dyDescent="0.25">
      <c r="E23" s="423" t="s">
        <v>578</v>
      </c>
      <c r="F23" s="425"/>
      <c r="G23" s="683">
        <f>SUMPRODUCT(((LEFT(BalanceN!$A$4:$A$9999,3)="777"))*BalanceN!$H$4:$H$9999)</f>
        <v>0</v>
      </c>
      <c r="H23" s="683">
        <f>SUMPRODUCT(((LEFT('BalanceN-1'!$A$4:$A$9999,3)="777"))*'BalanceN-1'!$H$4:$H$9999)</f>
        <v>0</v>
      </c>
      <c r="I23" s="723" t="str">
        <f t="shared" si="0"/>
        <v>-</v>
      </c>
    </row>
    <row r="24" spans="5:9" ht="16.5" customHeight="1" x14ac:dyDescent="0.25">
      <c r="E24" s="423" t="s">
        <v>579</v>
      </c>
      <c r="F24" s="425"/>
      <c r="G24" s="683">
        <f>SUMPRODUCT(((LEFT(BalanceN!$A$4:$A$9999,3)="778"))*BalanceN!$H$4:$H$9999)</f>
        <v>0</v>
      </c>
      <c r="H24" s="683">
        <f>SUMPRODUCT(((LEFT('BalanceN-1'!$A$4:$A$9999,3)="778"))*'BalanceN-1'!$H$4:$H$9999)</f>
        <v>0</v>
      </c>
      <c r="I24" s="723" t="str">
        <f t="shared" si="0"/>
        <v>-</v>
      </c>
    </row>
    <row r="25" spans="5:9" ht="31.5" customHeight="1" x14ac:dyDescent="0.25">
      <c r="E25" s="2001" t="s">
        <v>580</v>
      </c>
      <c r="F25" s="2003"/>
      <c r="G25" s="683">
        <f>SUMPRODUCT(((LEFT(BalanceN!$A$4:$A$9999,3)="779"))*BalanceN!$H$4:$H$9999)</f>
        <v>0</v>
      </c>
      <c r="H25" s="683">
        <f>SUMPRODUCT(((LEFT('BalanceN-1'!$A$4:$A$9999,3)="779"))*'BalanceN-1'!$H$4:$H$9999)</f>
        <v>0</v>
      </c>
      <c r="I25" s="724" t="str">
        <f t="shared" si="0"/>
        <v>-</v>
      </c>
    </row>
    <row r="26" spans="5:9" ht="16.5" customHeight="1" x14ac:dyDescent="0.25">
      <c r="E26" s="595" t="s">
        <v>581</v>
      </c>
      <c r="F26" s="597"/>
      <c r="G26" s="639">
        <f>SUM(G18:G25)</f>
        <v>7500000</v>
      </c>
      <c r="H26" s="639">
        <f>SUM(H18:H25)</f>
        <v>0</v>
      </c>
      <c r="I26" s="751" t="str">
        <f t="shared" si="0"/>
        <v>-</v>
      </c>
    </row>
    <row r="27" spans="5:9" x14ac:dyDescent="0.25"/>
    <row r="28" spans="5:9" x14ac:dyDescent="0.25">
      <c r="E28" s="645" t="s">
        <v>1348</v>
      </c>
    </row>
    <row r="29" spans="5:9" x14ac:dyDescent="0.25">
      <c r="E29" s="2134"/>
      <c r="F29" s="2134"/>
      <c r="G29" s="2134"/>
      <c r="H29" s="2134"/>
      <c r="I29" s="2134"/>
    </row>
    <row r="30" spans="5:9" x14ac:dyDescent="0.25">
      <c r="E30" s="2134"/>
      <c r="F30" s="2134"/>
      <c r="G30" s="2134"/>
      <c r="H30" s="2134"/>
      <c r="I30" s="2134"/>
    </row>
    <row r="31" spans="5:9" x14ac:dyDescent="0.25">
      <c r="E31" s="2134"/>
      <c r="F31" s="2134"/>
      <c r="G31" s="2134"/>
      <c r="H31" s="2134"/>
      <c r="I31" s="2134"/>
    </row>
    <row r="32" spans="5:9" x14ac:dyDescent="0.25">
      <c r="E32" s="2134"/>
      <c r="F32" s="2134"/>
      <c r="G32" s="2134"/>
      <c r="H32" s="2134"/>
      <c r="I32" s="2134"/>
    </row>
    <row r="33" spans="5:9" x14ac:dyDescent="0.25">
      <c r="E33" s="2134"/>
      <c r="F33" s="2134"/>
      <c r="G33" s="2134"/>
      <c r="H33" s="2134"/>
      <c r="I33" s="2134"/>
    </row>
    <row r="34" spans="5:9" x14ac:dyDescent="0.25">
      <c r="E34" s="2134"/>
      <c r="F34" s="2134"/>
      <c r="G34" s="2134"/>
      <c r="H34" s="2134"/>
      <c r="I34" s="2134"/>
    </row>
    <row r="35" spans="5:9" x14ac:dyDescent="0.25">
      <c r="E35" s="2134"/>
      <c r="F35" s="2134"/>
      <c r="G35" s="2134"/>
      <c r="H35" s="2134"/>
      <c r="I35" s="2134"/>
    </row>
    <row r="36" spans="5:9" x14ac:dyDescent="0.25">
      <c r="E36" s="2134"/>
      <c r="F36" s="2134"/>
      <c r="G36" s="2134"/>
      <c r="H36" s="2134"/>
      <c r="I36" s="2134"/>
    </row>
    <row r="37" spans="5:9" x14ac:dyDescent="0.25">
      <c r="E37" s="2134"/>
      <c r="F37" s="2134"/>
      <c r="G37" s="2134"/>
      <c r="H37" s="2134"/>
      <c r="I37" s="2134"/>
    </row>
    <row r="38" spans="5:9" x14ac:dyDescent="0.25">
      <c r="E38" s="2134"/>
      <c r="F38" s="2134"/>
      <c r="G38" s="2134"/>
      <c r="H38" s="2134"/>
      <c r="I38" s="2134"/>
    </row>
    <row r="39" spans="5:9" x14ac:dyDescent="0.25">
      <c r="E39" s="2134"/>
      <c r="F39" s="2134"/>
      <c r="G39" s="2134"/>
      <c r="H39" s="2134"/>
      <c r="I39" s="2134"/>
    </row>
    <row r="40" spans="5:9" x14ac:dyDescent="0.25">
      <c r="E40" s="2134"/>
      <c r="F40" s="2134"/>
      <c r="G40" s="2134"/>
      <c r="H40" s="2134"/>
      <c r="I40" s="2134"/>
    </row>
    <row r="41" spans="5:9" s="537" customFormat="1" x14ac:dyDescent="0.25"/>
    <row r="42" spans="5:9" s="537" customFormat="1" x14ac:dyDescent="0.25"/>
    <row r="43" spans="5:9" s="537" customFormat="1" x14ac:dyDescent="0.25"/>
    <row r="44" spans="5:9" s="537" customFormat="1" x14ac:dyDescent="0.25"/>
    <row r="45" spans="5:9" s="537" customFormat="1" x14ac:dyDescent="0.25"/>
    <row r="46" spans="5:9" s="537" customFormat="1" x14ac:dyDescent="0.25"/>
    <row r="47" spans="5:9" s="537" customFormat="1" x14ac:dyDescent="0.25"/>
    <row r="48" spans="5:9" s="537" customFormat="1" x14ac:dyDescent="0.25"/>
    <row r="49" s="537" customFormat="1" x14ac:dyDescent="0.25"/>
    <row r="50" s="537" customFormat="1" x14ac:dyDescent="0.25"/>
    <row r="51" s="537" customFormat="1" x14ac:dyDescent="0.25"/>
    <row r="52" s="537" customFormat="1" x14ac:dyDescent="0.25"/>
    <row r="53" s="537" customFormat="1" x14ac:dyDescent="0.25"/>
    <row r="54" s="537" customFormat="1" x14ac:dyDescent="0.25"/>
    <row r="55" s="537" customFormat="1" x14ac:dyDescent="0.25"/>
    <row r="56" s="537" customFormat="1" x14ac:dyDescent="0.25"/>
    <row r="57" s="537" customFormat="1" x14ac:dyDescent="0.25"/>
    <row r="58" s="537" customFormat="1" x14ac:dyDescent="0.25"/>
    <row r="59" s="537" customFormat="1" x14ac:dyDescent="0.25"/>
    <row r="60" s="537" customFormat="1" x14ac:dyDescent="0.25"/>
    <row r="61" s="537" customFormat="1" x14ac:dyDescent="0.25"/>
    <row r="62" s="537" customFormat="1" x14ac:dyDescent="0.25"/>
    <row r="63" s="537" customFormat="1" x14ac:dyDescent="0.25"/>
    <row r="64" x14ac:dyDescent="0.25"/>
  </sheetData>
  <sheetProtection algorithmName="SHA-512" hashValue="IdDTYRfP/p3/oPOJvlxXkaRJP7zDVz/KzVj7r4YI9p4Rv2o7Zo6x0gnDY2VjpGxQd6wpPLXihXR1IA9CRVOKKA==" saltValue="06XxAiXQkyM0rv/nLlo2VA==" spinCount="100000" sheet="1" formatCells="0" formatColumns="0" formatRows="0" pivotTables="0"/>
  <mergeCells count="9">
    <mergeCell ref="E29:I40"/>
    <mergeCell ref="E1:I1"/>
    <mergeCell ref="E6:F6"/>
    <mergeCell ref="E9:F9"/>
    <mergeCell ref="E18:F18"/>
    <mergeCell ref="E14:F14"/>
    <mergeCell ref="E16:F16"/>
    <mergeCell ref="E25:F25"/>
    <mergeCell ref="F3:G3"/>
  </mergeCells>
  <printOptions horizontalCentered="1"/>
  <pageMargins left="0.19685039370078741" right="0.11811023622047244" top="0" bottom="0.3543307086614173" header="0.31496062992125984" footer="0.31496062992125984"/>
  <pageSetup paperSize="9" scale="9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tabColor rgb="FF43C6E5"/>
  </sheetPr>
  <dimension ref="A1:M70"/>
  <sheetViews>
    <sheetView zoomScaleNormal="100" workbookViewId="0">
      <selection activeCell="E34" sqref="E34:I41"/>
    </sheetView>
  </sheetViews>
  <sheetFormatPr baseColWidth="10" defaultColWidth="0" defaultRowHeight="15" zeroHeight="1" x14ac:dyDescent="0.25"/>
  <cols>
    <col min="1" max="4" width="11.42578125" style="537" customWidth="1"/>
    <col min="5" max="5" width="29.42578125" style="345" customWidth="1"/>
    <col min="6" max="6" width="23.28515625" style="345" customWidth="1"/>
    <col min="7" max="7" width="16.7109375" style="345" customWidth="1"/>
    <col min="8" max="8" width="17.85546875" style="345" customWidth="1"/>
    <col min="9" max="9" width="14" style="370" customWidth="1"/>
    <col min="10" max="13" width="11.42578125" style="537" customWidth="1"/>
    <col min="14" max="16384" width="11.42578125" style="345" hidden="1"/>
  </cols>
  <sheetData>
    <row r="1" spans="1:13" ht="28.5" customHeight="1" x14ac:dyDescent="0.25">
      <c r="E1" s="2135" t="s">
        <v>609</v>
      </c>
      <c r="F1" s="2136"/>
      <c r="G1" s="2136"/>
      <c r="H1" s="2136"/>
      <c r="I1" s="2137"/>
    </row>
    <row r="2" spans="1:13" x14ac:dyDescent="0.25">
      <c r="E2" s="388"/>
      <c r="F2" s="388"/>
      <c r="G2" s="388"/>
      <c r="H2" s="388"/>
      <c r="I2" s="387"/>
    </row>
    <row r="3" spans="1:13" s="746" customFormat="1" ht="36.75" customHeight="1" x14ac:dyDescent="0.25">
      <c r="A3" s="745"/>
      <c r="B3" s="745"/>
      <c r="C3" s="745"/>
      <c r="D3" s="745"/>
      <c r="E3" s="712" t="s">
        <v>42</v>
      </c>
      <c r="F3" s="2185" t="str">
        <f>INFORMATIONS!B10</f>
        <v>SAM CONSEILS</v>
      </c>
      <c r="G3" s="2185"/>
      <c r="H3" s="713" t="s">
        <v>52</v>
      </c>
      <c r="I3" s="767">
        <f>INFORMATIONS!D31</f>
        <v>43465</v>
      </c>
      <c r="J3" s="745"/>
      <c r="K3" s="745"/>
      <c r="L3" s="745"/>
      <c r="M3" s="745"/>
    </row>
    <row r="4" spans="1:13" ht="19.5" customHeight="1" x14ac:dyDescent="0.25">
      <c r="E4" s="632" t="s">
        <v>43</v>
      </c>
      <c r="F4" s="633" t="str">
        <f>INFORMATIONS!B24</f>
        <v>00084404X</v>
      </c>
      <c r="G4" s="634"/>
      <c r="H4" s="666" t="s">
        <v>44</v>
      </c>
      <c r="I4" s="732">
        <f>INFORMATIONS!F34</f>
        <v>12</v>
      </c>
    </row>
    <row r="5" spans="1:13" x14ac:dyDescent="0.25"/>
    <row r="6" spans="1:13" ht="39.75" customHeight="1" x14ac:dyDescent="0.25">
      <c r="E6" s="2116" t="s">
        <v>138</v>
      </c>
      <c r="F6" s="2117"/>
      <c r="G6" s="590" t="s">
        <v>139</v>
      </c>
      <c r="H6" s="590" t="s">
        <v>140</v>
      </c>
      <c r="I6" s="590" t="s">
        <v>141</v>
      </c>
    </row>
    <row r="7" spans="1:13" ht="16.5" customHeight="1" x14ac:dyDescent="0.25">
      <c r="E7" s="757" t="s">
        <v>1575</v>
      </c>
      <c r="F7" s="425"/>
      <c r="G7" s="683">
        <f>SUMPRODUCT(((LEFT(BalanceN!$A$4:$A$9999,3)="831"))*BalanceN!$G$4:$G$9999)</f>
        <v>0</v>
      </c>
      <c r="H7" s="683">
        <f>SUMPRODUCT(((LEFT('BalanceN-1'!$A$4:$A$9999,3)="831"))*'BalanceN-1'!$G$4:$G$9999)</f>
        <v>0</v>
      </c>
      <c r="I7" s="723"/>
    </row>
    <row r="8" spans="1:13" ht="16.5" customHeight="1" x14ac:dyDescent="0.25">
      <c r="E8" s="768">
        <v>-1</v>
      </c>
      <c r="F8" s="769"/>
      <c r="G8" s="683"/>
      <c r="H8" s="683"/>
      <c r="I8" s="723"/>
    </row>
    <row r="9" spans="1:13" ht="16.5" customHeight="1" x14ac:dyDescent="0.25">
      <c r="E9" s="768">
        <v>-1</v>
      </c>
      <c r="F9" s="769"/>
      <c r="G9" s="683"/>
      <c r="H9" s="683"/>
      <c r="I9" s="723" t="str">
        <f t="shared" ref="I9:I31" si="0">IF(H9=0,"-",(G9-H9)/H9)</f>
        <v>-</v>
      </c>
    </row>
    <row r="10" spans="1:13" ht="16.5" customHeight="1" x14ac:dyDescent="0.25">
      <c r="E10" s="770" t="s">
        <v>582</v>
      </c>
      <c r="F10" s="769"/>
      <c r="G10" s="683">
        <f>SUMPRODUCT(((LEFT(BalanceN!$A$4:$A$9999,3)="834"))*BalanceN!$G$4:$G$9999)</f>
        <v>0</v>
      </c>
      <c r="H10" s="683">
        <f>SUMPRODUCT(((LEFT('BalanceN-1'!$A$4:$A$9999,3)="834"))*'BalanceN-1'!$G$4:$G$9999)</f>
        <v>0</v>
      </c>
      <c r="I10" s="723" t="str">
        <f t="shared" si="0"/>
        <v>-</v>
      </c>
    </row>
    <row r="11" spans="1:13" ht="16.5" customHeight="1" x14ac:dyDescent="0.25">
      <c r="E11" s="770" t="s">
        <v>1075</v>
      </c>
      <c r="F11" s="769"/>
      <c r="G11" s="683">
        <f>SUMPRODUCT(((LEFT(BalanceN!$A$4:$A$9999,3)="833"))*BalanceN!$G$4:$G$9999)</f>
        <v>0</v>
      </c>
      <c r="H11" s="683">
        <f>SUMPRODUCT(((LEFT('BalanceN-1'!$A$4:$A$9999,3)="833"))*'BalanceN-1'!$G$4:$G$9999)</f>
        <v>0</v>
      </c>
      <c r="I11" s="723" t="str">
        <f t="shared" si="0"/>
        <v>-</v>
      </c>
    </row>
    <row r="12" spans="1:13" ht="16.5" customHeight="1" x14ac:dyDescent="0.25">
      <c r="E12" s="770" t="s">
        <v>583</v>
      </c>
      <c r="F12" s="769"/>
      <c r="G12" s="683">
        <f>SUMPRODUCT(((LEFT(BalanceN!$A$4:$A$9999,3)="835"))*BalanceN!$G$4:$G$9999)</f>
        <v>0</v>
      </c>
      <c r="H12" s="683">
        <f>SUMPRODUCT(((LEFT('BalanceN-1'!$A$4:$A$9999,3)="835"))*'BalanceN-1'!$G$4:$G$9999)</f>
        <v>0</v>
      </c>
      <c r="I12" s="723" t="str">
        <f t="shared" si="0"/>
        <v>-</v>
      </c>
    </row>
    <row r="13" spans="1:13" ht="16.5" customHeight="1" x14ac:dyDescent="0.25">
      <c r="E13" s="770" t="s">
        <v>584</v>
      </c>
      <c r="F13" s="769"/>
      <c r="G13" s="683">
        <f>SUMPRODUCT(((LEFT(BalanceN!$A$4:$A$9999,3)="836"))*BalanceN!$G$4:$G$9999)</f>
        <v>0</v>
      </c>
      <c r="H13" s="683">
        <f>SUMPRODUCT(((LEFT('BalanceN-1'!$A$4:$A$9999,3)="836"))*'BalanceN-1'!$G$4:$G$9999)</f>
        <v>0</v>
      </c>
      <c r="I13" s="723" t="str">
        <f t="shared" si="0"/>
        <v>-</v>
      </c>
    </row>
    <row r="14" spans="1:13" ht="16.5" customHeight="1" x14ac:dyDescent="0.25">
      <c r="E14" s="770" t="s">
        <v>1076</v>
      </c>
      <c r="F14" s="769"/>
      <c r="G14" s="683">
        <f>SUMPRODUCT(((LEFT(BalanceN!$A$4:$A$9999,3)="837"))*BalanceN!$G$4:$G$9999)</f>
        <v>0</v>
      </c>
      <c r="H14" s="683">
        <f>SUMPRODUCT(((LEFT('BalanceN-1'!$A$4:$A$9999,3)="837"))*'BalanceN-1'!$G$4:$G$9999)</f>
        <v>0</v>
      </c>
      <c r="I14" s="723" t="str">
        <f t="shared" si="0"/>
        <v>-</v>
      </c>
    </row>
    <row r="15" spans="1:13" ht="29.25" customHeight="1" x14ac:dyDescent="0.25">
      <c r="E15" s="2001" t="s">
        <v>1077</v>
      </c>
      <c r="F15" s="2003"/>
      <c r="G15" s="683">
        <f>SUMPRODUCT(((LEFT(BalanceN!$A$4:$A$9999,3)="839"))*BalanceN!$G$4:$G$9999)</f>
        <v>0</v>
      </c>
      <c r="H15" s="683">
        <f>SUMPRODUCT(((LEFT('BalanceN-1'!$A$4:$A$9999,3)="839"))*'BalanceN-1'!$G$4:$G$9999)</f>
        <v>0</v>
      </c>
      <c r="I15" s="724" t="str">
        <f t="shared" si="0"/>
        <v>-</v>
      </c>
    </row>
    <row r="16" spans="1:13" ht="18.75" customHeight="1" x14ac:dyDescent="0.25">
      <c r="E16" s="2001" t="s">
        <v>1078</v>
      </c>
      <c r="F16" s="2003"/>
      <c r="G16" s="683">
        <f>SUMPRODUCT(((LEFT(BalanceN!$A$4:$A$9999,2)="85"))*BalanceN!$G$4:$G$9999)</f>
        <v>0</v>
      </c>
      <c r="H16" s="683">
        <f>SUMPRODUCT(((LEFT('BalanceN-1'!$A$4:$A$9999,2)="85"))*'BalanceN-1'!$G$4:$G$9999)</f>
        <v>0</v>
      </c>
      <c r="I16" s="723" t="str">
        <f t="shared" si="0"/>
        <v>-</v>
      </c>
    </row>
    <row r="17" spans="5:9" ht="16.5" customHeight="1" x14ac:dyDescent="0.25">
      <c r="E17" s="770" t="s">
        <v>585</v>
      </c>
      <c r="F17" s="769"/>
      <c r="G17" s="683">
        <f>SUMPRODUCT(((LEFT(BalanceN!$A$4:$A$9999,2)="87"))*BalanceN!$G$4:$G$9999)</f>
        <v>0</v>
      </c>
      <c r="H17" s="683">
        <f>SUMPRODUCT(((LEFT('BalanceN-1'!$A$4:$A$9999,2)="87"))*'BalanceN-1'!$G$4:$G$9999)</f>
        <v>0</v>
      </c>
      <c r="I17" s="723" t="str">
        <f t="shared" si="0"/>
        <v>-</v>
      </c>
    </row>
    <row r="18" spans="5:9" ht="16.5" customHeight="1" x14ac:dyDescent="0.25">
      <c r="E18" s="771" t="s">
        <v>586</v>
      </c>
      <c r="F18" s="772"/>
      <c r="G18" s="639">
        <f>SUM(G10:G17)+G7</f>
        <v>0</v>
      </c>
      <c r="H18" s="639">
        <f>SUM(H10:H17)+H7</f>
        <v>0</v>
      </c>
      <c r="I18" s="751" t="str">
        <f t="shared" si="0"/>
        <v>-</v>
      </c>
    </row>
    <row r="19" spans="5:9" ht="16.5" customHeight="1" x14ac:dyDescent="0.25">
      <c r="E19" s="773" t="s">
        <v>587</v>
      </c>
      <c r="F19" s="769"/>
      <c r="G19" s="683">
        <f>SUMPRODUCT(((LEFT(BalanceN!$A$4:$A$9999,3)="841"))*BalanceN!$H$4:$H$9999)</f>
        <v>0</v>
      </c>
      <c r="H19" s="683">
        <f>SUMPRODUCT(((LEFT('BalanceN-1'!$A$4:$A$9999,3)="841"))*'BalanceN-1'!$G$4:$G$9999)</f>
        <v>0</v>
      </c>
      <c r="I19" s="723"/>
    </row>
    <row r="20" spans="5:9" ht="16.5" customHeight="1" x14ac:dyDescent="0.25">
      <c r="E20" s="768">
        <v>-1</v>
      </c>
      <c r="F20" s="769"/>
      <c r="G20" s="683"/>
      <c r="H20" s="683"/>
      <c r="I20" s="723" t="str">
        <f t="shared" si="0"/>
        <v>-</v>
      </c>
    </row>
    <row r="21" spans="5:9" ht="16.5" customHeight="1" x14ac:dyDescent="0.25">
      <c r="E21" s="768">
        <v>-1</v>
      </c>
      <c r="F21" s="769"/>
      <c r="G21" s="683"/>
      <c r="H21" s="683"/>
      <c r="I21" s="723" t="str">
        <f t="shared" si="0"/>
        <v>-</v>
      </c>
    </row>
    <row r="22" spans="5:9" ht="16.5" customHeight="1" x14ac:dyDescent="0.25">
      <c r="E22" s="423" t="s">
        <v>1079</v>
      </c>
      <c r="F22" s="425"/>
      <c r="G22" s="683">
        <f>SUMPRODUCT(((LEFT(BalanceN!$A$4:$A$9999,3)="844"))*BalanceN!$H$4:$H$9999)</f>
        <v>0</v>
      </c>
      <c r="H22" s="683">
        <f>SUMPRODUCT(((LEFT('BalanceN-1'!$A$4:$A$9999,3)="844"))*'BalanceN-1'!$G$4:$G$9999)</f>
        <v>0</v>
      </c>
      <c r="I22" s="723" t="str">
        <f t="shared" si="0"/>
        <v>-</v>
      </c>
    </row>
    <row r="23" spans="5:9" ht="16.5" customHeight="1" x14ac:dyDescent="0.25">
      <c r="E23" s="423" t="s">
        <v>1080</v>
      </c>
      <c r="F23" s="425"/>
      <c r="G23" s="683">
        <f>SUMPRODUCT(((LEFT(BalanceN!$A$4:$A$9999,3)="843"))*BalanceN!$H$4:$H$9999)</f>
        <v>0</v>
      </c>
      <c r="H23" s="683">
        <f>SUMPRODUCT(((LEFT('BalanceN-1'!$A$4:$A$9999,3)="843"))*'BalanceN-1'!$G$4:$G$9999)</f>
        <v>0</v>
      </c>
      <c r="I23" s="723" t="str">
        <f t="shared" si="0"/>
        <v>-</v>
      </c>
    </row>
    <row r="24" spans="5:9" ht="16.5" customHeight="1" x14ac:dyDescent="0.25">
      <c r="E24" s="423" t="s">
        <v>588</v>
      </c>
      <c r="F24" s="425"/>
      <c r="G24" s="683">
        <f>SUMPRODUCT(((LEFT(BalanceN!$A$4:$A$9999,3)="845"))*BalanceN!$H$4:$H$9999)</f>
        <v>2000000</v>
      </c>
      <c r="H24" s="683">
        <f>SUMPRODUCT(((LEFT('BalanceN-1'!$A$4:$A$9999,3)="845"))*'BalanceN-1'!$G$4:$G$9999)</f>
        <v>0</v>
      </c>
      <c r="I24" s="723" t="str">
        <f t="shared" si="0"/>
        <v>-</v>
      </c>
    </row>
    <row r="25" spans="5:9" ht="16.5" customHeight="1" x14ac:dyDescent="0.25">
      <c r="E25" s="423" t="s">
        <v>589</v>
      </c>
      <c r="F25" s="425"/>
      <c r="G25" s="683">
        <f>SUMPRODUCT(((LEFT(BalanceN!$A$4:$A$9999,3)="846"))*BalanceN!$H$4:$H$9999)</f>
        <v>0</v>
      </c>
      <c r="H25" s="683">
        <f>SUMPRODUCT(((LEFT('BalanceN-1'!$A$4:$A$9999,3)="846"))*'BalanceN-1'!$G$4:$G$9999)</f>
        <v>0</v>
      </c>
      <c r="I25" s="723" t="str">
        <f t="shared" si="0"/>
        <v>-</v>
      </c>
    </row>
    <row r="26" spans="5:9" ht="16.5" customHeight="1" x14ac:dyDescent="0.25">
      <c r="E26" s="423" t="s">
        <v>1081</v>
      </c>
      <c r="F26" s="425"/>
      <c r="G26" s="683">
        <f>SUMPRODUCT(((LEFT(BalanceN!$A$4:$A$9999,3)="847"))*BalanceN!$H$4:$H$9999)</f>
        <v>0</v>
      </c>
      <c r="H26" s="683">
        <f>SUMPRODUCT(((LEFT('BalanceN-1'!$A$4:$A$9999,3)="847"))*'BalanceN-1'!$G$4:$G$9999)</f>
        <v>0</v>
      </c>
      <c r="I26" s="723" t="str">
        <f t="shared" si="0"/>
        <v>-</v>
      </c>
    </row>
    <row r="27" spans="5:9" ht="16.5" customHeight="1" x14ac:dyDescent="0.25">
      <c r="E27" s="423" t="s">
        <v>590</v>
      </c>
      <c r="F27" s="425"/>
      <c r="G27" s="683">
        <f>SUMPRODUCT(((LEFT(BalanceN!$A$4:$A$9999,3)="848"))*BalanceN!$H$4:$H$9999)</f>
        <v>0</v>
      </c>
      <c r="H27" s="683">
        <f>SUMPRODUCT(((LEFT('BalanceN-1'!$A$4:$A$9999,3)="848"))*'BalanceN-1'!$G$4:$G$9999)</f>
        <v>0</v>
      </c>
      <c r="I27" s="723" t="str">
        <f t="shared" si="0"/>
        <v>-</v>
      </c>
    </row>
    <row r="28" spans="5:9" ht="32.25" customHeight="1" x14ac:dyDescent="0.25">
      <c r="E28" s="2001" t="s">
        <v>591</v>
      </c>
      <c r="F28" s="2003"/>
      <c r="G28" s="683">
        <f>SUMPRODUCT(((LEFT(BalanceN!$A$4:$A$9999,3)="849"))*BalanceN!$H$4:$H$9999)</f>
        <v>0</v>
      </c>
      <c r="H28" s="683">
        <f>SUMPRODUCT(((LEFT('BalanceN-1'!$A$4:$A$9999,3)="849"))*'BalanceN-1'!$G$4:$G$9999)</f>
        <v>0</v>
      </c>
      <c r="I28" s="724" t="str">
        <f t="shared" si="0"/>
        <v>-</v>
      </c>
    </row>
    <row r="29" spans="5:9" ht="16.5" customHeight="1" x14ac:dyDescent="0.25">
      <c r="E29" s="423" t="s">
        <v>592</v>
      </c>
      <c r="F29" s="425"/>
      <c r="G29" s="683">
        <f>SUMPRODUCT(((LEFT(BalanceN!$A$4:$A$9999,2)="86"))*BalanceN!$H$4:$H$9999)</f>
        <v>0</v>
      </c>
      <c r="H29" s="683">
        <f>SUMPRODUCT(((LEFT('BalanceN-1'!$A$4:$A$9999,2)="86"))*'BalanceN-1'!$G$4:$G$9999)</f>
        <v>0</v>
      </c>
      <c r="I29" s="723" t="str">
        <f t="shared" si="0"/>
        <v>-</v>
      </c>
    </row>
    <row r="30" spans="5:9" ht="16.5" customHeight="1" x14ac:dyDescent="0.25">
      <c r="E30" s="423" t="s">
        <v>1082</v>
      </c>
      <c r="F30" s="425"/>
      <c r="G30" s="683">
        <f>SUMPRODUCT(((LEFT(BalanceN!$A$4:$A$9999,2)="88"))*BalanceN!$H$4:$H$9999)</f>
        <v>0</v>
      </c>
      <c r="H30" s="683">
        <f>SUMPRODUCT(((LEFT('BalanceN-1'!$A$4:$A$9999,2)="88"))*'BalanceN-1'!$G$4:$G$9999)</f>
        <v>0</v>
      </c>
      <c r="I30" s="723" t="str">
        <f t="shared" si="0"/>
        <v>-</v>
      </c>
    </row>
    <row r="31" spans="5:9" ht="16.5" customHeight="1" x14ac:dyDescent="0.25">
      <c r="E31" s="595" t="s">
        <v>593</v>
      </c>
      <c r="F31" s="597"/>
      <c r="G31" s="639">
        <f>SUM(G22:G30)+G19</f>
        <v>2000000</v>
      </c>
      <c r="H31" s="639">
        <f>SUM(H22:H30)+H19</f>
        <v>0</v>
      </c>
      <c r="I31" s="751" t="str">
        <f t="shared" si="0"/>
        <v>-</v>
      </c>
    </row>
    <row r="32" spans="5:9" x14ac:dyDescent="0.25"/>
    <row r="33" spans="5:9" x14ac:dyDescent="0.25">
      <c r="E33" s="645" t="s">
        <v>1348</v>
      </c>
    </row>
    <row r="34" spans="5:9" x14ac:dyDescent="0.25">
      <c r="E34" s="2260"/>
      <c r="F34" s="2260"/>
      <c r="G34" s="2260"/>
      <c r="H34" s="2260"/>
      <c r="I34" s="2260"/>
    </row>
    <row r="35" spans="5:9" x14ac:dyDescent="0.25">
      <c r="E35" s="2260"/>
      <c r="F35" s="2260"/>
      <c r="G35" s="2260"/>
      <c r="H35" s="2260"/>
      <c r="I35" s="2260"/>
    </row>
    <row r="36" spans="5:9" x14ac:dyDescent="0.25">
      <c r="E36" s="2260"/>
      <c r="F36" s="2260"/>
      <c r="G36" s="2260"/>
      <c r="H36" s="2260"/>
      <c r="I36" s="2260"/>
    </row>
    <row r="37" spans="5:9" x14ac:dyDescent="0.25">
      <c r="E37" s="2260"/>
      <c r="F37" s="2260"/>
      <c r="G37" s="2260"/>
      <c r="H37" s="2260"/>
      <c r="I37" s="2260"/>
    </row>
    <row r="38" spans="5:9" x14ac:dyDescent="0.25">
      <c r="E38" s="2260"/>
      <c r="F38" s="2260"/>
      <c r="G38" s="2260"/>
      <c r="H38" s="2260"/>
      <c r="I38" s="2260"/>
    </row>
    <row r="39" spans="5:9" x14ac:dyDescent="0.25">
      <c r="E39" s="2260"/>
      <c r="F39" s="2260"/>
      <c r="G39" s="2260"/>
      <c r="H39" s="2260"/>
      <c r="I39" s="2260"/>
    </row>
    <row r="40" spans="5:9" x14ac:dyDescent="0.25">
      <c r="E40" s="2260"/>
      <c r="F40" s="2260"/>
      <c r="G40" s="2260"/>
      <c r="H40" s="2260"/>
      <c r="I40" s="2260"/>
    </row>
    <row r="41" spans="5:9" x14ac:dyDescent="0.25">
      <c r="E41" s="2260"/>
      <c r="F41" s="2260"/>
      <c r="G41" s="2260"/>
      <c r="H41" s="2260"/>
      <c r="I41" s="2260"/>
    </row>
    <row r="42" spans="5:9" s="537" customFormat="1" x14ac:dyDescent="0.25">
      <c r="I42" s="737"/>
    </row>
    <row r="43" spans="5:9" s="537" customFormat="1" x14ac:dyDescent="0.25">
      <c r="I43" s="737"/>
    </row>
    <row r="44" spans="5:9" s="537" customFormat="1" x14ac:dyDescent="0.25">
      <c r="I44" s="737"/>
    </row>
    <row r="45" spans="5:9" s="537" customFormat="1" x14ac:dyDescent="0.25">
      <c r="I45" s="737"/>
    </row>
    <row r="46" spans="5:9" s="537" customFormat="1" x14ac:dyDescent="0.25">
      <c r="I46" s="737"/>
    </row>
    <row r="47" spans="5:9" s="537" customFormat="1" x14ac:dyDescent="0.25">
      <c r="I47" s="737"/>
    </row>
    <row r="48" spans="5:9" s="537" customFormat="1" x14ac:dyDescent="0.25">
      <c r="I48" s="737"/>
    </row>
    <row r="49" spans="9:9" s="537" customFormat="1" x14ac:dyDescent="0.25">
      <c r="I49" s="737"/>
    </row>
    <row r="50" spans="9:9" s="537" customFormat="1" x14ac:dyDescent="0.25">
      <c r="I50" s="737"/>
    </row>
    <row r="51" spans="9:9" s="537" customFormat="1" x14ac:dyDescent="0.25">
      <c r="I51" s="737"/>
    </row>
    <row r="52" spans="9:9" s="537" customFormat="1" x14ac:dyDescent="0.25">
      <c r="I52" s="737"/>
    </row>
    <row r="53" spans="9:9" s="537" customFormat="1" x14ac:dyDescent="0.25">
      <c r="I53" s="737"/>
    </row>
    <row r="54" spans="9:9" s="537" customFormat="1" x14ac:dyDescent="0.25">
      <c r="I54" s="737"/>
    </row>
    <row r="55" spans="9:9" s="537" customFormat="1" x14ac:dyDescent="0.25">
      <c r="I55" s="737"/>
    </row>
    <row r="56" spans="9:9" s="537" customFormat="1" x14ac:dyDescent="0.25">
      <c r="I56" s="737"/>
    </row>
    <row r="57" spans="9:9" s="537" customFormat="1" x14ac:dyDescent="0.25">
      <c r="I57" s="737"/>
    </row>
    <row r="58" spans="9:9" s="537" customFormat="1" x14ac:dyDescent="0.25">
      <c r="I58" s="737"/>
    </row>
    <row r="59" spans="9:9" s="537" customFormat="1" x14ac:dyDescent="0.25">
      <c r="I59" s="737"/>
    </row>
    <row r="60" spans="9:9" s="537" customFormat="1" x14ac:dyDescent="0.25">
      <c r="I60" s="737"/>
    </row>
    <row r="61" spans="9:9" s="537" customFormat="1" x14ac:dyDescent="0.25">
      <c r="I61" s="737"/>
    </row>
    <row r="62" spans="9:9" s="537" customFormat="1" x14ac:dyDescent="0.25">
      <c r="I62" s="737"/>
    </row>
    <row r="63" spans="9:9" s="537" customFormat="1" x14ac:dyDescent="0.25">
      <c r="I63" s="737"/>
    </row>
    <row r="64" spans="9:9" s="537" customFormat="1" x14ac:dyDescent="0.25">
      <c r="I64" s="737"/>
    </row>
    <row r="65" spans="9:9" s="537" customFormat="1" x14ac:dyDescent="0.25">
      <c r="I65" s="737"/>
    </row>
    <row r="66" spans="9:9" x14ac:dyDescent="0.25"/>
    <row r="67" spans="9:9" x14ac:dyDescent="0.25"/>
    <row r="68" spans="9:9" x14ac:dyDescent="0.25"/>
    <row r="69" spans="9:9" x14ac:dyDescent="0.25"/>
    <row r="70" spans="9:9" x14ac:dyDescent="0.25"/>
  </sheetData>
  <sheetProtection algorithmName="SHA-512" hashValue="TWRnBZO/jLoR//ZF/mUUE66m3ZnmdEWC41MXW0PizryVJQL20EGFoePorw3KDljafIRE/wN7mden9iNo/jcraw==" saltValue="f0C72JTa6PRaLQErOA1aRA==" spinCount="100000" sheet="1" formatCells="0" formatColumns="0" formatRows="0" pivotTables="0"/>
  <mergeCells count="7">
    <mergeCell ref="E34:I41"/>
    <mergeCell ref="E28:F28"/>
    <mergeCell ref="E1:I1"/>
    <mergeCell ref="E6:F6"/>
    <mergeCell ref="E15:F15"/>
    <mergeCell ref="E16:F16"/>
    <mergeCell ref="F3:G3"/>
  </mergeCells>
  <printOptions horizontalCentered="1"/>
  <pageMargins left="0.19685039370078741" right="0.11811023622047244" top="0" bottom="0.3543307086614173" header="0.31496062992125984" footer="0.31496062992125984"/>
  <pageSetup paperSize="9" scale="9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tabColor rgb="FF43C6E5"/>
  </sheetPr>
  <dimension ref="A1:L57"/>
  <sheetViews>
    <sheetView zoomScaleNormal="100" workbookViewId="0">
      <selection activeCell="H36" sqref="H36"/>
    </sheetView>
  </sheetViews>
  <sheetFormatPr baseColWidth="10" defaultColWidth="0" defaultRowHeight="15" zeroHeight="1" x14ac:dyDescent="0.25"/>
  <cols>
    <col min="1" max="3" width="11.42578125" style="537" customWidth="1"/>
    <col min="4" max="4" width="29.42578125" style="345" customWidth="1"/>
    <col min="5" max="5" width="27.85546875" style="345" customWidth="1"/>
    <col min="6" max="6" width="16.7109375" style="733" customWidth="1"/>
    <col min="7" max="7" width="14" style="733" customWidth="1"/>
    <col min="8" max="8" width="14.5703125" style="345" customWidth="1"/>
    <col min="9" max="9" width="15.140625" style="345" customWidth="1"/>
    <col min="10" max="10" width="14" style="345" customWidth="1"/>
    <col min="11" max="12" width="11.42578125" style="537" customWidth="1"/>
    <col min="13" max="16384" width="11.42578125" style="345" hidden="1"/>
  </cols>
  <sheetData>
    <row r="1" spans="4:10" ht="28.5" customHeight="1" x14ac:dyDescent="0.25">
      <c r="D1" s="2135" t="s">
        <v>610</v>
      </c>
      <c r="E1" s="2136"/>
      <c r="F1" s="2136"/>
      <c r="G1" s="2136"/>
      <c r="H1" s="2136"/>
      <c r="I1" s="2136"/>
      <c r="J1" s="2137"/>
    </row>
    <row r="2" spans="4:10" x14ac:dyDescent="0.25">
      <c r="D2" s="388"/>
      <c r="E2" s="388"/>
      <c r="F2" s="729"/>
      <c r="G2" s="729"/>
      <c r="H2" s="388"/>
      <c r="I2" s="388"/>
      <c r="J2" s="388"/>
    </row>
    <row r="3" spans="4:10" ht="22.5" customHeight="1" x14ac:dyDescent="0.25">
      <c r="D3" s="629" t="s">
        <v>42</v>
      </c>
      <c r="E3" s="664" t="str">
        <f>INFORMATIONS!B10</f>
        <v>SAM CONSEILS</v>
      </c>
      <c r="F3" s="678"/>
      <c r="G3" s="678"/>
      <c r="H3" s="2127" t="s">
        <v>52</v>
      </c>
      <c r="I3" s="2127"/>
      <c r="J3" s="631">
        <f>INFORMATIONS!D31</f>
        <v>43465</v>
      </c>
    </row>
    <row r="4" spans="4:10" ht="19.5" customHeight="1" x14ac:dyDescent="0.25">
      <c r="D4" s="632" t="s">
        <v>43</v>
      </c>
      <c r="E4" s="633" t="str">
        <f>INFORMATIONS!B24</f>
        <v>00084404X</v>
      </c>
      <c r="F4" s="679"/>
      <c r="G4" s="679"/>
      <c r="H4" s="2128" t="s">
        <v>44</v>
      </c>
      <c r="I4" s="2128"/>
      <c r="J4" s="667">
        <f>INFORMATIONS!F34</f>
        <v>12</v>
      </c>
    </row>
    <row r="5" spans="4:10" x14ac:dyDescent="0.25"/>
    <row r="6" spans="4:10" ht="16.5" customHeight="1" x14ac:dyDescent="0.25">
      <c r="D6" s="2116" t="s">
        <v>594</v>
      </c>
      <c r="E6" s="2117"/>
      <c r="F6" s="2263" t="s">
        <v>596</v>
      </c>
      <c r="G6" s="2263" t="s">
        <v>597</v>
      </c>
      <c r="H6" s="2118" t="s">
        <v>598</v>
      </c>
      <c r="I6" s="2118" t="s">
        <v>599</v>
      </c>
      <c r="J6" s="2118" t="s">
        <v>600</v>
      </c>
    </row>
    <row r="7" spans="4:10" ht="15" customHeight="1" x14ac:dyDescent="0.25">
      <c r="D7" s="761" t="s">
        <v>595</v>
      </c>
      <c r="E7" s="762"/>
      <c r="F7" s="2264"/>
      <c r="G7" s="2264"/>
      <c r="H7" s="2119"/>
      <c r="I7" s="2119"/>
      <c r="J7" s="2119"/>
    </row>
    <row r="8" spans="4:10" ht="16.5" customHeight="1" x14ac:dyDescent="0.25">
      <c r="D8" s="2261" t="s">
        <v>601</v>
      </c>
      <c r="E8" s="2262"/>
      <c r="F8" s="683"/>
      <c r="G8" s="683"/>
      <c r="H8" s="640"/>
      <c r="I8" s="640"/>
      <c r="J8" s="640"/>
    </row>
    <row r="9" spans="4:10" ht="14.25" customHeight="1" x14ac:dyDescent="0.25">
      <c r="D9" s="423" t="s">
        <v>602</v>
      </c>
      <c r="E9" s="425"/>
      <c r="F9" s="683">
        <f>SUMPRODUCT(((LEFT(BalanceN!$A$4:$A$9999,3)="101"))*BalanceN!$H$4:$H$9999)</f>
        <v>400000000</v>
      </c>
      <c r="G9" s="683">
        <f>SUMPRODUCT(((LEFT(BalanceN!$A$4:$A$9999,3)="101"))*BalanceN!$D$4:$D$9999)</f>
        <v>100000000</v>
      </c>
      <c r="H9" s="683">
        <f>SUMPRODUCT(((LEFT('BalanceN-1'!$A$4:$A$9999,3)="101"))*'BalanceN-1'!$D$4:$D$9999)</f>
        <v>100000000</v>
      </c>
      <c r="I9" s="146"/>
      <c r="J9" s="177"/>
    </row>
    <row r="10" spans="4:10" ht="14.25" customHeight="1" x14ac:dyDescent="0.25">
      <c r="D10" s="423" t="s">
        <v>603</v>
      </c>
      <c r="E10" s="425"/>
      <c r="F10" s="683"/>
      <c r="G10" s="683"/>
      <c r="H10" s="683"/>
      <c r="I10" s="146"/>
      <c r="J10" s="177"/>
    </row>
    <row r="11" spans="4:10" ht="14.25" customHeight="1" x14ac:dyDescent="0.25">
      <c r="D11" s="423" t="s">
        <v>604</v>
      </c>
      <c r="E11" s="425"/>
      <c r="F11" s="683"/>
      <c r="G11" s="683"/>
      <c r="H11" s="683"/>
      <c r="I11" s="146"/>
      <c r="J11" s="177"/>
    </row>
    <row r="12" spans="4:10" ht="14.25" customHeight="1" x14ac:dyDescent="0.25">
      <c r="D12" s="423" t="s">
        <v>605</v>
      </c>
      <c r="E12" s="425"/>
      <c r="F12" s="683"/>
      <c r="G12" s="683"/>
      <c r="H12" s="683"/>
      <c r="I12" s="146"/>
      <c r="J12" s="177"/>
    </row>
    <row r="13" spans="4:10" ht="14.25" customHeight="1" x14ac:dyDescent="0.25">
      <c r="D13" s="2265" t="s">
        <v>606</v>
      </c>
      <c r="E13" s="2266"/>
      <c r="F13" s="683"/>
      <c r="G13" s="683"/>
      <c r="H13" s="683"/>
      <c r="I13" s="146"/>
      <c r="J13" s="177"/>
    </row>
    <row r="14" spans="4:10" ht="14.25" customHeight="1" x14ac:dyDescent="0.25">
      <c r="D14" s="2265" t="s">
        <v>607</v>
      </c>
      <c r="E14" s="2266"/>
      <c r="F14" s="683"/>
      <c r="G14" s="683"/>
      <c r="H14" s="683"/>
      <c r="I14" s="146"/>
      <c r="J14" s="177"/>
    </row>
    <row r="15" spans="4:10" ht="14.25" customHeight="1" x14ac:dyDescent="0.25">
      <c r="D15" s="2261" t="s">
        <v>608</v>
      </c>
      <c r="E15" s="2262"/>
      <c r="F15" s="683"/>
      <c r="G15" s="683"/>
      <c r="H15" s="640"/>
      <c r="I15" s="146"/>
      <c r="J15" s="177"/>
    </row>
    <row r="16" spans="4:10" ht="14.25" customHeight="1" x14ac:dyDescent="0.25">
      <c r="D16" s="423" t="s">
        <v>611</v>
      </c>
      <c r="E16" s="425"/>
      <c r="F16" s="683">
        <f>+'COMPTE DE RESULTAT'!K15</f>
        <v>2041946745</v>
      </c>
      <c r="G16" s="683">
        <f>+'COMPTE DE RESULTAT'!L15</f>
        <v>1871826890</v>
      </c>
      <c r="H16" s="146"/>
      <c r="I16" s="146"/>
      <c r="J16" s="177"/>
    </row>
    <row r="17" spans="4:10" ht="30" customHeight="1" x14ac:dyDescent="0.25">
      <c r="D17" s="2001" t="s">
        <v>612</v>
      </c>
      <c r="E17" s="2003"/>
      <c r="F17" s="683">
        <f>+'COMPTE DE RESULTAT'!K41-'COMPTE DE RESULTAT'!K39-'COMPTE DE RESULTAT'!K36-'COMPTE DE RESULTAT'!K33-'COMPTE DE RESULTAT'!K32</f>
        <v>270876104</v>
      </c>
      <c r="G17" s="683">
        <f>+'COMPTE DE RESULTAT'!L41-'COMPTE DE RESULTAT'!L39-'COMPTE DE RESULTAT'!L36-'COMPTE DE RESULTAT'!L33-'COMPTE DE RESULTAT'!L32</f>
        <v>173588509</v>
      </c>
      <c r="H17" s="146"/>
      <c r="I17" s="146"/>
      <c r="J17" s="177"/>
    </row>
    <row r="18" spans="4:10" ht="14.25" customHeight="1" x14ac:dyDescent="0.25">
      <c r="D18" s="423" t="s">
        <v>613</v>
      </c>
      <c r="E18" s="425"/>
      <c r="F18" s="683">
        <f>'COMPTE DE RESULTAT'!K47</f>
        <v>0</v>
      </c>
      <c r="G18" s="683">
        <f>'COMPTE DE RESULTAT'!L47</f>
        <v>0</v>
      </c>
      <c r="H18" s="146"/>
      <c r="I18" s="146"/>
      <c r="J18" s="177"/>
    </row>
    <row r="19" spans="4:10" ht="14.25" customHeight="1" x14ac:dyDescent="0.25">
      <c r="D19" s="423" t="s">
        <v>614</v>
      </c>
      <c r="E19" s="425"/>
      <c r="F19" s="683">
        <f>-'COMPTE DE RESULTAT'!K48</f>
        <v>67660025</v>
      </c>
      <c r="G19" s="683">
        <f>-'COMPTE DE RESULTAT'!L48</f>
        <v>23411413</v>
      </c>
      <c r="H19" s="146"/>
      <c r="I19" s="146"/>
      <c r="J19" s="146"/>
    </row>
    <row r="20" spans="4:10" ht="14.25" customHeight="1" x14ac:dyDescent="0.25">
      <c r="D20" s="423" t="s">
        <v>615</v>
      </c>
      <c r="E20" s="425"/>
      <c r="F20" s="683">
        <f>'COMPTE DE RESULTAT'!K49</f>
        <v>178831885</v>
      </c>
      <c r="G20" s="683">
        <f>'COMPTE DE RESULTAT'!L49</f>
        <v>118619674</v>
      </c>
      <c r="H20" s="146"/>
      <c r="I20" s="146"/>
      <c r="J20" s="146"/>
    </row>
    <row r="21" spans="4:10" ht="14.25" customHeight="1" x14ac:dyDescent="0.25">
      <c r="D21" s="2261" t="s">
        <v>616</v>
      </c>
      <c r="E21" s="2262"/>
      <c r="F21" s="683"/>
      <c r="G21" s="683"/>
      <c r="H21" s="146"/>
      <c r="I21" s="146"/>
      <c r="J21" s="146"/>
    </row>
    <row r="22" spans="4:10" ht="14.25" customHeight="1" x14ac:dyDescent="0.25">
      <c r="D22" s="423" t="s">
        <v>617</v>
      </c>
      <c r="E22" s="425"/>
      <c r="F22" s="683">
        <f>-'TABLEAU DES FLUX DE TRESORERIE'!I27</f>
        <v>90000000</v>
      </c>
      <c r="G22" s="683">
        <f>-'TABLEAU DES FLUX DE TRESORERIE'!J27</f>
        <v>-26631518</v>
      </c>
      <c r="H22" s="146"/>
      <c r="I22" s="146"/>
      <c r="J22" s="146"/>
    </row>
    <row r="23" spans="4:10" ht="14.25" customHeight="1" x14ac:dyDescent="0.25">
      <c r="D23" s="423" t="s">
        <v>618</v>
      </c>
      <c r="E23" s="425"/>
      <c r="F23" s="683"/>
      <c r="G23" s="683"/>
      <c r="H23" s="146"/>
      <c r="I23" s="146"/>
      <c r="J23" s="146"/>
    </row>
    <row r="24" spans="4:10" ht="14.25" customHeight="1" x14ac:dyDescent="0.25">
      <c r="D24" s="2261" t="s">
        <v>619</v>
      </c>
      <c r="E24" s="2262"/>
      <c r="F24" s="683"/>
      <c r="G24" s="683"/>
      <c r="H24" s="146"/>
      <c r="I24" s="146"/>
      <c r="J24" s="146"/>
    </row>
    <row r="25" spans="4:10" ht="14.25" customHeight="1" x14ac:dyDescent="0.25">
      <c r="D25" s="423" t="s">
        <v>620</v>
      </c>
      <c r="E25" s="425"/>
      <c r="F25" s="683"/>
      <c r="G25" s="683"/>
      <c r="H25" s="146"/>
      <c r="I25" s="146"/>
      <c r="J25" s="146"/>
    </row>
    <row r="26" spans="4:10" ht="14.25" customHeight="1" x14ac:dyDescent="0.25">
      <c r="D26" s="423" t="s">
        <v>621</v>
      </c>
      <c r="E26" s="425"/>
      <c r="F26" s="683"/>
      <c r="G26" s="683"/>
      <c r="H26" s="146"/>
      <c r="I26" s="146"/>
      <c r="J26" s="177"/>
    </row>
    <row r="27" spans="4:10" ht="14.25" customHeight="1" x14ac:dyDescent="0.25">
      <c r="D27" s="423" t="s">
        <v>622</v>
      </c>
      <c r="E27" s="425"/>
      <c r="F27" s="683">
        <f>SUMPRODUCT(((LEFT(BalanceN!$A$4:$A$9999,3)="661")+(LEFT(BalanceN!$A$4:$A$9999,3)="662")+(LEFT(BalanceN!$A$4:$A$9999,3)="663"))*BalanceN!$G$4:$G$9999)</f>
        <v>191828219</v>
      </c>
      <c r="G27" s="683">
        <f>SUMPRODUCT(((LEFT('BalanceN-1'!$A$4:$A$9999,3)="661")+(LEFT('BalanceN-1'!$A$4:$A$9999,3)="662")+(LEFT('BalanceN-1'!$A$4:$A$9999,3)="663"))*'BalanceN-1'!$G$4:$G$9999)</f>
        <v>181133098</v>
      </c>
      <c r="H27" s="146"/>
      <c r="I27" s="146"/>
      <c r="J27" s="177"/>
    </row>
    <row r="28" spans="4:10" ht="29.25" customHeight="1" x14ac:dyDescent="0.25">
      <c r="D28" s="2001" t="s">
        <v>623</v>
      </c>
      <c r="E28" s="2003"/>
      <c r="F28" s="683">
        <f>SUMPRODUCT(((LEFT(BalanceN!$A$4:$A$9999,3)="664")+(LEFT(BalanceN!$A$4:$A$9999,3)="668"))*BalanceN!$G$4:$G$9999)</f>
        <v>26388874</v>
      </c>
      <c r="G28" s="683">
        <f>SUMPRODUCT(((LEFT('BalanceN-1'!$A$4:$A$9999,3)="664")+(LEFT('BalanceN-1'!$A$4:$A$9999,3)="668"))*'BalanceN-1'!$G$4:$G$9999)</f>
        <v>27719153</v>
      </c>
      <c r="H28" s="146"/>
      <c r="I28" s="146"/>
      <c r="J28" s="177"/>
    </row>
    <row r="29" spans="4:10" ht="14.25" customHeight="1" x14ac:dyDescent="0.25">
      <c r="D29" s="423" t="s">
        <v>624</v>
      </c>
      <c r="E29" s="425"/>
      <c r="F29" s="683">
        <f>SUMPRODUCT(((LEFT(BalanceN!$A$4:$A$9999,3)="667"))*BalanceN!$G$4:$G$9999)</f>
        <v>0</v>
      </c>
      <c r="G29" s="683">
        <f>SUMPRODUCT(((LEFT(BalanceN!$A$4:$A$9999,3)="667"))*BalanceN!$G$4:$G$9999)</f>
        <v>0</v>
      </c>
      <c r="H29" s="146"/>
      <c r="I29" s="146"/>
      <c r="J29" s="177"/>
    </row>
    <row r="30" spans="4:10" x14ac:dyDescent="0.25">
      <c r="D30" s="763" t="s">
        <v>625</v>
      </c>
      <c r="E30" s="764"/>
      <c r="F30" s="765"/>
      <c r="G30" s="765"/>
      <c r="H30" s="764"/>
      <c r="I30" s="764" t="s">
        <v>630</v>
      </c>
      <c r="J30" s="764"/>
    </row>
    <row r="31" spans="4:10" x14ac:dyDescent="0.25">
      <c r="D31" s="766" t="s">
        <v>626</v>
      </c>
      <c r="E31" s="764"/>
      <c r="F31" s="765"/>
      <c r="G31" s="765"/>
      <c r="H31" s="764"/>
      <c r="I31" s="764" t="s">
        <v>631</v>
      </c>
      <c r="J31" s="764"/>
    </row>
    <row r="32" spans="4:10" x14ac:dyDescent="0.25">
      <c r="D32" s="766" t="s">
        <v>627</v>
      </c>
      <c r="E32" s="764"/>
      <c r="F32" s="765"/>
      <c r="G32" s="765"/>
      <c r="H32" s="764"/>
      <c r="I32" s="764" t="s">
        <v>632</v>
      </c>
      <c r="J32" s="764"/>
    </row>
    <row r="33" spans="4:10" x14ac:dyDescent="0.25">
      <c r="D33" s="766" t="s">
        <v>628</v>
      </c>
      <c r="E33" s="764"/>
      <c r="F33" s="765"/>
      <c r="G33" s="765"/>
      <c r="H33" s="764"/>
      <c r="I33" s="764" t="s">
        <v>633</v>
      </c>
      <c r="J33" s="764"/>
    </row>
    <row r="34" spans="4:10" x14ac:dyDescent="0.25">
      <c r="D34" s="766" t="s">
        <v>629</v>
      </c>
      <c r="E34" s="764"/>
      <c r="F34" s="765"/>
      <c r="G34" s="765"/>
      <c r="H34" s="764"/>
      <c r="I34" s="764"/>
      <c r="J34" s="764"/>
    </row>
    <row r="35" spans="4:10" s="537" customFormat="1" x14ac:dyDescent="0.25">
      <c r="D35" s="306"/>
      <c r="E35" s="345"/>
      <c r="F35" s="733"/>
      <c r="G35" s="733"/>
      <c r="H35" s="345"/>
      <c r="I35" s="345"/>
      <c r="J35" s="345"/>
    </row>
    <row r="36" spans="4:10" s="537" customFormat="1" x14ac:dyDescent="0.25">
      <c r="F36" s="687"/>
      <c r="G36" s="687"/>
    </row>
    <row r="37" spans="4:10" s="537" customFormat="1" x14ac:dyDescent="0.25">
      <c r="F37" s="687"/>
      <c r="G37" s="687"/>
    </row>
    <row r="38" spans="4:10" s="537" customFormat="1" x14ac:dyDescent="0.25">
      <c r="F38" s="687"/>
      <c r="G38" s="687"/>
    </row>
    <row r="39" spans="4:10" s="537" customFormat="1" x14ac:dyDescent="0.25">
      <c r="F39" s="687"/>
      <c r="G39" s="687"/>
    </row>
    <row r="40" spans="4:10" s="537" customFormat="1" x14ac:dyDescent="0.25">
      <c r="F40" s="687"/>
      <c r="G40" s="687"/>
    </row>
    <row r="41" spans="4:10" s="537" customFormat="1" x14ac:dyDescent="0.25">
      <c r="F41" s="687"/>
      <c r="G41" s="687"/>
    </row>
    <row r="42" spans="4:10" s="537" customFormat="1" x14ac:dyDescent="0.25">
      <c r="F42" s="687"/>
      <c r="G42" s="687"/>
    </row>
    <row r="43" spans="4:10" s="537" customFormat="1" x14ac:dyDescent="0.25">
      <c r="F43" s="687"/>
      <c r="G43" s="687"/>
    </row>
    <row r="44" spans="4:10" s="537" customFormat="1" x14ac:dyDescent="0.25">
      <c r="F44" s="687"/>
      <c r="G44" s="687"/>
    </row>
    <row r="45" spans="4:10" s="537" customFormat="1" x14ac:dyDescent="0.25">
      <c r="F45" s="687"/>
      <c r="G45" s="687"/>
    </row>
    <row r="46" spans="4:10" s="537" customFormat="1" x14ac:dyDescent="0.25">
      <c r="F46" s="687"/>
      <c r="G46" s="687"/>
    </row>
    <row r="47" spans="4:10" s="537" customFormat="1" x14ac:dyDescent="0.25">
      <c r="F47" s="687"/>
      <c r="G47" s="687"/>
    </row>
    <row r="48" spans="4:10" s="537" customFormat="1" x14ac:dyDescent="0.25">
      <c r="F48" s="687"/>
      <c r="G48" s="687"/>
    </row>
    <row r="49" spans="6:7" s="537" customFormat="1" x14ac:dyDescent="0.25">
      <c r="F49" s="687"/>
      <c r="G49" s="687"/>
    </row>
    <row r="50" spans="6:7" s="537" customFormat="1" x14ac:dyDescent="0.25">
      <c r="F50" s="687"/>
      <c r="G50" s="687"/>
    </row>
    <row r="51" spans="6:7" s="537" customFormat="1" x14ac:dyDescent="0.25">
      <c r="F51" s="687"/>
      <c r="G51" s="687"/>
    </row>
    <row r="52" spans="6:7" s="537" customFormat="1" x14ac:dyDescent="0.25">
      <c r="F52" s="687"/>
      <c r="G52" s="687"/>
    </row>
    <row r="53" spans="6:7" s="537" customFormat="1" x14ac:dyDescent="0.25">
      <c r="F53" s="687"/>
      <c r="G53" s="687"/>
    </row>
    <row r="54" spans="6:7" s="537" customFormat="1" x14ac:dyDescent="0.25">
      <c r="F54" s="687"/>
      <c r="G54" s="687"/>
    </row>
    <row r="55" spans="6:7" s="537" customFormat="1" x14ac:dyDescent="0.25">
      <c r="F55" s="687"/>
      <c r="G55" s="687"/>
    </row>
    <row r="56" spans="6:7" s="537" customFormat="1" x14ac:dyDescent="0.25">
      <c r="F56" s="687"/>
      <c r="G56" s="687"/>
    </row>
    <row r="57" spans="6:7" s="537" customFormat="1" x14ac:dyDescent="0.25">
      <c r="F57" s="687"/>
      <c r="G57" s="687"/>
    </row>
  </sheetData>
  <sheetProtection algorithmName="SHA-512" hashValue="FyKWck1BglvOR8iIzTx5TNL+UY5F6FzfPkOp7Af/Bp/9wXv7tH1kDe4yFlopH99AknmN/MU75j0h2TrF4H98sw==" saltValue="KRaGDXexibF1vJSrwJz3gA==" spinCount="100000" sheet="1" formatCells="0" formatColumns="0" formatRows="0" pivotTables="0"/>
  <mergeCells count="17">
    <mergeCell ref="D1:J1"/>
    <mergeCell ref="D6:E6"/>
    <mergeCell ref="H3:I3"/>
    <mergeCell ref="H4:I4"/>
    <mergeCell ref="D15:E15"/>
    <mergeCell ref="J6:J7"/>
    <mergeCell ref="D13:E13"/>
    <mergeCell ref="D14:E14"/>
    <mergeCell ref="I6:I7"/>
    <mergeCell ref="G6:G7"/>
    <mergeCell ref="H6:H7"/>
    <mergeCell ref="D17:E17"/>
    <mergeCell ref="D8:E8"/>
    <mergeCell ref="D28:E28"/>
    <mergeCell ref="D24:E24"/>
    <mergeCell ref="F6:F7"/>
    <mergeCell ref="D21:E21"/>
  </mergeCells>
  <printOptions horizontalCentered="1"/>
  <pageMargins left="0.19685039370078741" right="0.11811023622047245" top="0" bottom="0.35433070866141736" header="0.31496062992125984" footer="0.31496062992125984"/>
  <pageSetup paperSize="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tabColor rgb="FF43C6E5"/>
  </sheetPr>
  <dimension ref="A1:P52"/>
  <sheetViews>
    <sheetView zoomScaleNormal="100" workbookViewId="0">
      <selection activeCell="H36" sqref="H36"/>
    </sheetView>
  </sheetViews>
  <sheetFormatPr baseColWidth="10" defaultColWidth="0" defaultRowHeight="15" zeroHeight="1" x14ac:dyDescent="0.25"/>
  <cols>
    <col min="1" max="1" width="4.28515625" style="533" customWidth="1"/>
    <col min="2" max="2" width="25" style="120" customWidth="1"/>
    <col min="3" max="3" width="10.42578125" style="120" customWidth="1"/>
    <col min="4" max="4" width="9.5703125" style="120" customWidth="1"/>
    <col min="5" max="5" width="14.5703125" style="120" customWidth="1"/>
    <col min="6" max="6" width="8.85546875" style="120" customWidth="1"/>
    <col min="7" max="7" width="14" style="120" customWidth="1"/>
    <col min="8" max="8" width="9.5703125" style="120" customWidth="1"/>
    <col min="9" max="9" width="14" style="120" customWidth="1"/>
    <col min="10" max="10" width="9.28515625" style="120" customWidth="1"/>
    <col min="11" max="11" width="14" style="120" customWidth="1"/>
    <col min="12" max="12" width="9.5703125" style="120" customWidth="1"/>
    <col min="13" max="13" width="14" style="120" customWidth="1"/>
    <col min="14" max="14" width="9.5703125" style="120" customWidth="1"/>
    <col min="15" max="15" width="14" style="120" customWidth="1"/>
    <col min="16" max="16" width="11.42578125" style="533" customWidth="1"/>
    <col min="17" max="16384" width="11.42578125" style="120" hidden="1"/>
  </cols>
  <sheetData>
    <row r="1" spans="2:15" ht="28.5" customHeight="1" x14ac:dyDescent="0.25">
      <c r="B1" s="1827" t="s">
        <v>644</v>
      </c>
      <c r="C1" s="1828"/>
      <c r="D1" s="1828"/>
      <c r="E1" s="1828"/>
      <c r="F1" s="1828"/>
      <c r="G1" s="1828"/>
      <c r="H1" s="1828"/>
      <c r="I1" s="1828"/>
      <c r="J1" s="1828"/>
      <c r="K1" s="1828"/>
      <c r="L1" s="1828"/>
      <c r="M1" s="1828"/>
      <c r="N1" s="1828"/>
      <c r="O1" s="2191"/>
    </row>
    <row r="2" spans="2:15" x14ac:dyDescent="0.25">
      <c r="B2" s="380"/>
      <c r="C2" s="380"/>
      <c r="D2" s="380"/>
      <c r="E2" s="380"/>
      <c r="F2" s="380"/>
      <c r="G2" s="380"/>
      <c r="H2" s="380"/>
    </row>
    <row r="3" spans="2:15" ht="22.5" customHeight="1" x14ac:dyDescent="0.25">
      <c r="B3" s="618" t="s">
        <v>42</v>
      </c>
      <c r="C3" s="832" t="str">
        <f>INFORMATIONS!B10</f>
        <v>SAM CONSEILS</v>
      </c>
      <c r="D3" s="832"/>
      <c r="E3" s="832"/>
      <c r="F3" s="832"/>
      <c r="G3" s="832"/>
      <c r="H3" s="832"/>
      <c r="I3" s="832"/>
      <c r="J3" s="832"/>
      <c r="K3" s="619"/>
      <c r="L3" s="619"/>
      <c r="M3" s="2214" t="s">
        <v>52</v>
      </c>
      <c r="N3" s="2214"/>
      <c r="O3" s="620">
        <f>INFORMATIONS!D31</f>
        <v>43465</v>
      </c>
    </row>
    <row r="4" spans="2:15" ht="19.5" customHeight="1" x14ac:dyDescent="0.25">
      <c r="B4" s="621" t="s">
        <v>43</v>
      </c>
      <c r="C4" s="622" t="str">
        <f>INFORMATIONS!B24</f>
        <v>00084404X</v>
      </c>
      <c r="D4" s="623"/>
      <c r="E4" s="623"/>
      <c r="F4" s="624"/>
      <c r="G4" s="822"/>
      <c r="H4" s="624"/>
      <c r="I4" s="624"/>
      <c r="J4" s="624"/>
      <c r="K4" s="624"/>
      <c r="L4" s="624"/>
      <c r="M4" s="2206" t="s">
        <v>44</v>
      </c>
      <c r="N4" s="2206"/>
      <c r="O4" s="823">
        <f>INFORMATIONS!F34</f>
        <v>12</v>
      </c>
    </row>
    <row r="5" spans="2:15" x14ac:dyDescent="0.25"/>
    <row r="6" spans="2:15" ht="16.5" customHeight="1" x14ac:dyDescent="0.25">
      <c r="B6" s="2218" t="s">
        <v>634</v>
      </c>
      <c r="C6" s="2218" t="s">
        <v>635</v>
      </c>
      <c r="D6" s="2218" t="s">
        <v>636</v>
      </c>
      <c r="E6" s="2218"/>
      <c r="F6" s="2218" t="s">
        <v>639</v>
      </c>
      <c r="G6" s="2218"/>
      <c r="H6" s="2218" t="s">
        <v>640</v>
      </c>
      <c r="I6" s="2218"/>
      <c r="J6" s="2218" t="s">
        <v>436</v>
      </c>
      <c r="K6" s="2218"/>
      <c r="L6" s="2218" t="s">
        <v>641</v>
      </c>
      <c r="M6" s="2218"/>
      <c r="N6" s="2218" t="s">
        <v>642</v>
      </c>
      <c r="O6" s="2218"/>
    </row>
    <row r="7" spans="2:15" ht="24.75" customHeight="1" x14ac:dyDescent="0.25">
      <c r="B7" s="2218"/>
      <c r="C7" s="2218"/>
      <c r="D7" s="2218"/>
      <c r="E7" s="2218"/>
      <c r="F7" s="2218"/>
      <c r="G7" s="2218"/>
      <c r="H7" s="2218"/>
      <c r="I7" s="2218"/>
      <c r="J7" s="2218"/>
      <c r="K7" s="2218"/>
      <c r="L7" s="2218"/>
      <c r="M7" s="2218"/>
      <c r="N7" s="2218"/>
      <c r="O7" s="2218"/>
    </row>
    <row r="8" spans="2:15" ht="16.5" customHeight="1" x14ac:dyDescent="0.25">
      <c r="B8" s="2218"/>
      <c r="C8" s="2218"/>
      <c r="D8" s="804" t="s">
        <v>637</v>
      </c>
      <c r="E8" s="804" t="s">
        <v>638</v>
      </c>
      <c r="F8" s="804" t="s">
        <v>637</v>
      </c>
      <c r="G8" s="804" t="s">
        <v>638</v>
      </c>
      <c r="H8" s="804" t="s">
        <v>637</v>
      </c>
      <c r="I8" s="804" t="s">
        <v>638</v>
      </c>
      <c r="J8" s="804" t="s">
        <v>637</v>
      </c>
      <c r="K8" s="804" t="s">
        <v>638</v>
      </c>
      <c r="L8" s="804" t="s">
        <v>637</v>
      </c>
      <c r="M8" s="804" t="s">
        <v>638</v>
      </c>
      <c r="N8" s="804" t="s">
        <v>637</v>
      </c>
      <c r="O8" s="804" t="s">
        <v>638</v>
      </c>
    </row>
    <row r="9" spans="2:15" ht="14.25" customHeight="1" x14ac:dyDescent="0.25">
      <c r="B9" s="163"/>
      <c r="C9" s="163"/>
      <c r="D9" s="163"/>
      <c r="E9" s="163"/>
      <c r="F9" s="163"/>
      <c r="G9" s="163"/>
      <c r="H9" s="164"/>
      <c r="I9" s="163"/>
      <c r="J9" s="142"/>
      <c r="K9" s="163"/>
      <c r="L9" s="142"/>
      <c r="M9" s="163"/>
      <c r="N9" s="142"/>
      <c r="O9" s="163"/>
    </row>
    <row r="10" spans="2:15" ht="14.25" customHeight="1" x14ac:dyDescent="0.25">
      <c r="B10" s="163"/>
      <c r="C10" s="163"/>
      <c r="D10" s="163"/>
      <c r="E10" s="163"/>
      <c r="F10" s="163"/>
      <c r="G10" s="163"/>
      <c r="H10" s="164"/>
      <c r="I10" s="142"/>
      <c r="J10" s="142"/>
      <c r="K10" s="142"/>
      <c r="L10" s="142"/>
      <c r="M10" s="142"/>
      <c r="N10" s="142"/>
      <c r="O10" s="142"/>
    </row>
    <row r="11" spans="2:15" ht="14.25" customHeight="1" x14ac:dyDescent="0.25">
      <c r="B11" s="163"/>
      <c r="C11" s="163"/>
      <c r="D11" s="163"/>
      <c r="E11" s="163"/>
      <c r="F11" s="163"/>
      <c r="G11" s="163"/>
      <c r="H11" s="164"/>
      <c r="I11" s="142"/>
      <c r="J11" s="142"/>
      <c r="K11" s="142"/>
      <c r="L11" s="142"/>
      <c r="M11" s="142"/>
      <c r="N11" s="142"/>
      <c r="O11" s="142"/>
    </row>
    <row r="12" spans="2:15" ht="14.25" customHeight="1" x14ac:dyDescent="0.25">
      <c r="B12" s="163"/>
      <c r="C12" s="163"/>
      <c r="D12" s="163"/>
      <c r="E12" s="163"/>
      <c r="F12" s="163"/>
      <c r="G12" s="163"/>
      <c r="H12" s="164"/>
      <c r="I12" s="142"/>
      <c r="J12" s="142"/>
      <c r="K12" s="142"/>
      <c r="L12" s="142"/>
      <c r="M12" s="142"/>
      <c r="N12" s="142"/>
      <c r="O12" s="142"/>
    </row>
    <row r="13" spans="2:15" ht="14.25" customHeight="1" x14ac:dyDescent="0.25">
      <c r="B13" s="163"/>
      <c r="C13" s="163"/>
      <c r="D13" s="163"/>
      <c r="E13" s="163"/>
      <c r="F13" s="163"/>
      <c r="G13" s="163"/>
      <c r="H13" s="164"/>
      <c r="I13" s="142"/>
      <c r="J13" s="142"/>
      <c r="K13" s="142"/>
      <c r="L13" s="142"/>
      <c r="M13" s="142"/>
      <c r="N13" s="142"/>
      <c r="O13" s="142"/>
    </row>
    <row r="14" spans="2:15" ht="14.25" customHeight="1" x14ac:dyDescent="0.25">
      <c r="B14" s="163"/>
      <c r="C14" s="163"/>
      <c r="D14" s="163"/>
      <c r="E14" s="163"/>
      <c r="F14" s="163"/>
      <c r="G14" s="163"/>
      <c r="H14" s="164"/>
      <c r="I14" s="142"/>
      <c r="J14" s="142"/>
      <c r="K14" s="142"/>
      <c r="L14" s="142"/>
      <c r="M14" s="142"/>
      <c r="N14" s="142"/>
      <c r="O14" s="142"/>
    </row>
    <row r="15" spans="2:15" ht="14.25" customHeight="1" x14ac:dyDescent="0.25">
      <c r="B15" s="163"/>
      <c r="C15" s="163"/>
      <c r="D15" s="163"/>
      <c r="E15" s="163"/>
      <c r="F15" s="163"/>
      <c r="G15" s="163"/>
      <c r="H15" s="164"/>
      <c r="I15" s="142"/>
      <c r="J15" s="142"/>
      <c r="K15" s="142"/>
      <c r="L15" s="142"/>
      <c r="M15" s="142"/>
      <c r="N15" s="142"/>
      <c r="O15" s="142"/>
    </row>
    <row r="16" spans="2:15" ht="14.25" customHeight="1" x14ac:dyDescent="0.25">
      <c r="B16" s="163"/>
      <c r="C16" s="163"/>
      <c r="D16" s="163"/>
      <c r="E16" s="163"/>
      <c r="F16" s="163"/>
      <c r="G16" s="163"/>
      <c r="H16" s="164"/>
      <c r="I16" s="142"/>
      <c r="J16" s="142"/>
      <c r="K16" s="142"/>
      <c r="L16" s="142"/>
      <c r="M16" s="142"/>
      <c r="N16" s="142"/>
      <c r="O16" s="142"/>
    </row>
    <row r="17" spans="2:15" ht="14.25" customHeight="1" x14ac:dyDescent="0.25">
      <c r="B17" s="163"/>
      <c r="C17" s="163"/>
      <c r="D17" s="163"/>
      <c r="E17" s="163"/>
      <c r="F17" s="163"/>
      <c r="G17" s="163"/>
      <c r="H17" s="164"/>
      <c r="I17" s="142"/>
      <c r="J17" s="142"/>
      <c r="K17" s="142"/>
      <c r="L17" s="142"/>
      <c r="M17" s="142"/>
      <c r="N17" s="142"/>
      <c r="O17" s="142"/>
    </row>
    <row r="18" spans="2:15" ht="14.25" customHeight="1" x14ac:dyDescent="0.25">
      <c r="B18" s="163"/>
      <c r="C18" s="163"/>
      <c r="D18" s="163"/>
      <c r="E18" s="163"/>
      <c r="F18" s="163"/>
      <c r="G18" s="163"/>
      <c r="H18" s="164"/>
      <c r="I18" s="142"/>
      <c r="J18" s="142"/>
      <c r="K18" s="142"/>
      <c r="L18" s="142"/>
      <c r="M18" s="142"/>
      <c r="N18" s="142"/>
      <c r="O18" s="142"/>
    </row>
    <row r="19" spans="2:15" ht="14.25" customHeight="1" x14ac:dyDescent="0.25">
      <c r="B19" s="163"/>
      <c r="C19" s="163"/>
      <c r="D19" s="163"/>
      <c r="E19" s="163"/>
      <c r="F19" s="163"/>
      <c r="G19" s="163"/>
      <c r="H19" s="164"/>
      <c r="I19" s="142"/>
      <c r="J19" s="142"/>
      <c r="K19" s="142"/>
      <c r="L19" s="142"/>
      <c r="M19" s="142"/>
      <c r="N19" s="142"/>
      <c r="O19" s="142"/>
    </row>
    <row r="20" spans="2:15" ht="14.25" customHeight="1" x14ac:dyDescent="0.25">
      <c r="B20" s="163"/>
      <c r="C20" s="163"/>
      <c r="D20" s="163"/>
      <c r="E20" s="163"/>
      <c r="F20" s="163"/>
      <c r="G20" s="163"/>
      <c r="H20" s="164"/>
      <c r="I20" s="142"/>
      <c r="J20" s="142"/>
      <c r="K20" s="142"/>
      <c r="L20" s="142"/>
      <c r="M20" s="142"/>
      <c r="N20" s="142"/>
      <c r="O20" s="142"/>
    </row>
    <row r="21" spans="2:15" ht="14.25" customHeight="1" x14ac:dyDescent="0.25">
      <c r="B21" s="163"/>
      <c r="C21" s="163"/>
      <c r="D21" s="163"/>
      <c r="E21" s="163"/>
      <c r="F21" s="163"/>
      <c r="G21" s="163"/>
      <c r="H21" s="164"/>
      <c r="I21" s="142"/>
      <c r="J21" s="142"/>
      <c r="K21" s="142"/>
      <c r="L21" s="142"/>
      <c r="M21" s="142"/>
      <c r="N21" s="142"/>
      <c r="O21" s="142"/>
    </row>
    <row r="22" spans="2:15" ht="14.25" customHeight="1" x14ac:dyDescent="0.25">
      <c r="B22" s="163"/>
      <c r="C22" s="163"/>
      <c r="D22" s="163"/>
      <c r="E22" s="163"/>
      <c r="F22" s="163"/>
      <c r="G22" s="163"/>
      <c r="H22" s="164"/>
      <c r="I22" s="142"/>
      <c r="J22" s="142"/>
      <c r="K22" s="142"/>
      <c r="L22" s="142"/>
      <c r="M22" s="142"/>
      <c r="N22" s="142"/>
      <c r="O22" s="142"/>
    </row>
    <row r="23" spans="2:15" ht="14.25" customHeight="1" x14ac:dyDescent="0.25">
      <c r="B23" s="163"/>
      <c r="C23" s="163"/>
      <c r="D23" s="163"/>
      <c r="E23" s="163"/>
      <c r="F23" s="163"/>
      <c r="G23" s="163"/>
      <c r="H23" s="164"/>
      <c r="I23" s="142"/>
      <c r="J23" s="142"/>
      <c r="K23" s="142"/>
      <c r="L23" s="142"/>
      <c r="M23" s="142"/>
      <c r="N23" s="142"/>
      <c r="O23" s="142"/>
    </row>
    <row r="24" spans="2:15" ht="14.25" customHeight="1" x14ac:dyDescent="0.25">
      <c r="B24" s="163"/>
      <c r="C24" s="163"/>
      <c r="D24" s="163"/>
      <c r="E24" s="163"/>
      <c r="F24" s="163"/>
      <c r="G24" s="163"/>
      <c r="H24" s="164"/>
      <c r="I24" s="142"/>
      <c r="J24" s="142"/>
      <c r="K24" s="142"/>
      <c r="L24" s="142"/>
      <c r="M24" s="142"/>
      <c r="N24" s="142"/>
      <c r="O24" s="142"/>
    </row>
    <row r="25" spans="2:15" ht="14.25" customHeight="1" x14ac:dyDescent="0.25">
      <c r="B25" s="163"/>
      <c r="C25" s="163"/>
      <c r="D25" s="163"/>
      <c r="E25" s="163"/>
      <c r="F25" s="163"/>
      <c r="G25" s="163"/>
      <c r="H25" s="164"/>
      <c r="I25" s="142"/>
      <c r="J25" s="142"/>
      <c r="K25" s="142"/>
      <c r="L25" s="142"/>
      <c r="M25" s="142"/>
      <c r="N25" s="142"/>
      <c r="O25" s="142"/>
    </row>
    <row r="26" spans="2:15" ht="14.25" customHeight="1" x14ac:dyDescent="0.25">
      <c r="B26" s="163"/>
      <c r="C26" s="163"/>
      <c r="D26" s="163"/>
      <c r="E26" s="163"/>
      <c r="F26" s="163"/>
      <c r="G26" s="163"/>
      <c r="H26" s="164"/>
      <c r="I26" s="142"/>
      <c r="J26" s="142"/>
      <c r="K26" s="142"/>
      <c r="L26" s="142"/>
      <c r="M26" s="142"/>
      <c r="N26" s="142"/>
      <c r="O26" s="142"/>
    </row>
    <row r="27" spans="2:15" ht="14.25" customHeight="1" x14ac:dyDescent="0.25">
      <c r="B27" s="163"/>
      <c r="C27" s="163"/>
      <c r="D27" s="163"/>
      <c r="E27" s="163"/>
      <c r="F27" s="163"/>
      <c r="G27" s="163"/>
      <c r="H27" s="164"/>
      <c r="I27" s="142"/>
      <c r="J27" s="142"/>
      <c r="K27" s="142"/>
      <c r="L27" s="142"/>
      <c r="M27" s="142"/>
      <c r="N27" s="142"/>
      <c r="O27" s="142"/>
    </row>
    <row r="28" spans="2:15" ht="14.25" customHeight="1" x14ac:dyDescent="0.25">
      <c r="B28" s="178" t="s">
        <v>643</v>
      </c>
      <c r="C28" s="163"/>
      <c r="D28" s="163"/>
      <c r="E28" s="163"/>
      <c r="F28" s="163"/>
      <c r="G28" s="163"/>
      <c r="H28" s="164"/>
      <c r="I28" s="142"/>
      <c r="J28" s="142"/>
      <c r="K28" s="142"/>
      <c r="L28" s="142"/>
      <c r="M28" s="142"/>
      <c r="N28" s="142"/>
      <c r="O28" s="142"/>
    </row>
    <row r="29" spans="2:15" ht="14.25" customHeight="1" x14ac:dyDescent="0.25">
      <c r="B29" s="805" t="s">
        <v>262</v>
      </c>
      <c r="C29" s="626"/>
      <c r="D29" s="626"/>
      <c r="E29" s="626">
        <f t="shared" ref="E29:K29" si="0">SUM(E9:E28)</f>
        <v>0</v>
      </c>
      <c r="F29" s="626"/>
      <c r="G29" s="626">
        <f t="shared" si="0"/>
        <v>0</v>
      </c>
      <c r="H29" s="626"/>
      <c r="I29" s="626">
        <f t="shared" si="0"/>
        <v>0</v>
      </c>
      <c r="J29" s="626"/>
      <c r="K29" s="626">
        <f t="shared" si="0"/>
        <v>0</v>
      </c>
      <c r="L29" s="626"/>
      <c r="M29" s="626">
        <f>SUM(M9:M28)</f>
        <v>0</v>
      </c>
      <c r="N29" s="626"/>
      <c r="O29" s="626">
        <f>SUM(O9:O28)</f>
        <v>0</v>
      </c>
    </row>
    <row r="30" spans="2:15" s="533" customFormat="1" x14ac:dyDescent="0.25">
      <c r="B30" s="830"/>
      <c r="C30" s="806"/>
      <c r="D30" s="806"/>
      <c r="E30" s="806"/>
      <c r="F30" s="806"/>
      <c r="G30" s="806"/>
      <c r="H30" s="806"/>
    </row>
    <row r="31" spans="2:15" s="533" customFormat="1" x14ac:dyDescent="0.25">
      <c r="B31" s="830"/>
      <c r="C31" s="806"/>
      <c r="D31" s="806"/>
      <c r="E31" s="806"/>
      <c r="F31" s="806"/>
      <c r="G31" s="806"/>
      <c r="H31" s="806"/>
    </row>
    <row r="32" spans="2:15" s="533" customFormat="1" x14ac:dyDescent="0.25">
      <c r="B32" s="830"/>
      <c r="C32" s="806"/>
      <c r="D32" s="806"/>
      <c r="E32" s="806"/>
      <c r="F32" s="806"/>
      <c r="G32" s="806"/>
      <c r="H32" s="806"/>
    </row>
    <row r="33" spans="2:8" s="533" customFormat="1" x14ac:dyDescent="0.25">
      <c r="B33" s="830"/>
      <c r="C33" s="806"/>
      <c r="D33" s="806"/>
      <c r="E33" s="806"/>
      <c r="F33" s="806"/>
      <c r="G33" s="806"/>
      <c r="H33" s="806"/>
    </row>
    <row r="34" spans="2:8" s="533" customFormat="1" x14ac:dyDescent="0.25">
      <c r="B34" s="830"/>
      <c r="C34" s="806"/>
      <c r="D34" s="806"/>
      <c r="E34" s="806"/>
      <c r="F34" s="806"/>
      <c r="G34" s="806"/>
      <c r="H34" s="806"/>
    </row>
    <row r="35" spans="2:8" s="533" customFormat="1" x14ac:dyDescent="0.25">
      <c r="B35" s="831"/>
    </row>
    <row r="36" spans="2:8" s="533" customFormat="1" x14ac:dyDescent="0.25"/>
    <row r="37" spans="2:8" s="533" customFormat="1" x14ac:dyDescent="0.25"/>
    <row r="38" spans="2:8" s="533" customFormat="1" x14ac:dyDescent="0.25"/>
    <row r="39" spans="2:8" s="533" customFormat="1" x14ac:dyDescent="0.25"/>
    <row r="40" spans="2:8" s="533" customFormat="1" x14ac:dyDescent="0.25"/>
    <row r="41" spans="2:8" s="533" customFormat="1" x14ac:dyDescent="0.25"/>
    <row r="42" spans="2:8" s="533" customFormat="1" x14ac:dyDescent="0.25"/>
    <row r="43" spans="2:8" s="533" customFormat="1" x14ac:dyDescent="0.25"/>
    <row r="44" spans="2:8" s="533" customFormat="1" x14ac:dyDescent="0.25"/>
    <row r="45" spans="2:8" s="533" customFormat="1" x14ac:dyDescent="0.25"/>
    <row r="46" spans="2:8" s="533" customFormat="1" x14ac:dyDescent="0.25"/>
    <row r="47" spans="2:8" s="533" customFormat="1" x14ac:dyDescent="0.25"/>
    <row r="48" spans="2:8" s="533" customFormat="1" x14ac:dyDescent="0.25"/>
    <row r="49" s="533" customFormat="1" x14ac:dyDescent="0.25"/>
    <row r="50" s="533" customFormat="1" x14ac:dyDescent="0.25"/>
    <row r="51" s="533" customFormat="1" x14ac:dyDescent="0.25"/>
    <row r="52" s="533" customFormat="1" x14ac:dyDescent="0.25"/>
  </sheetData>
  <sheetProtection pivotTables="0"/>
  <mergeCells count="11">
    <mergeCell ref="B1:O1"/>
    <mergeCell ref="H6:I7"/>
    <mergeCell ref="J6:K7"/>
    <mergeCell ref="L6:M7"/>
    <mergeCell ref="M3:N3"/>
    <mergeCell ref="M4:N4"/>
    <mergeCell ref="N6:O7"/>
    <mergeCell ref="D6:E7"/>
    <mergeCell ref="C6:C8"/>
    <mergeCell ref="B6:B8"/>
    <mergeCell ref="F6:G7"/>
  </mergeCells>
  <printOptions horizontalCentered="1"/>
  <pageMargins left="0" right="0" top="0" bottom="0.35433070866141736" header="0.31496062992125984" footer="0.31496062992125984"/>
  <pageSetup paperSize="9"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8">
    <tabColor rgb="FFFF0000"/>
  </sheetPr>
  <dimension ref="A1:H10005"/>
  <sheetViews>
    <sheetView topLeftCell="A112" workbookViewId="0">
      <selection activeCell="H36" sqref="H36"/>
    </sheetView>
  </sheetViews>
  <sheetFormatPr baseColWidth="10" defaultRowHeight="15" x14ac:dyDescent="0.25"/>
  <cols>
    <col min="1" max="1" width="16.42578125" style="956" customWidth="1"/>
    <col min="2" max="2" width="37" style="298" customWidth="1"/>
    <col min="3" max="3" width="19.5703125" style="298" customWidth="1"/>
    <col min="4" max="4" width="22.7109375" style="298" customWidth="1"/>
    <col min="5" max="5" width="20.5703125" style="298" customWidth="1"/>
    <col min="6" max="6" width="22.5703125" style="298" customWidth="1"/>
    <col min="7" max="7" width="21.140625" style="298" customWidth="1"/>
    <col min="8" max="8" width="20" style="298" customWidth="1"/>
    <col min="9" max="16384" width="11.42578125" style="298"/>
  </cols>
  <sheetData>
    <row r="1" spans="1:8" s="934" customFormat="1" ht="18.75" x14ac:dyDescent="0.25">
      <c r="A1" s="1742" t="s">
        <v>1371</v>
      </c>
      <c r="B1" s="1743"/>
      <c r="C1" s="1743"/>
      <c r="D1" s="1743"/>
      <c r="E1" s="1743"/>
      <c r="F1" s="1743"/>
      <c r="G1" s="1743"/>
      <c r="H1" s="1744"/>
    </row>
    <row r="2" spans="1:8" s="934" customFormat="1" ht="15.75" x14ac:dyDescent="0.25">
      <c r="A2" s="1745" t="s">
        <v>215</v>
      </c>
      <c r="B2" s="1747" t="s">
        <v>1376</v>
      </c>
      <c r="C2" s="1740" t="s">
        <v>1372</v>
      </c>
      <c r="D2" s="1741"/>
      <c r="E2" s="1740" t="s">
        <v>1373</v>
      </c>
      <c r="F2" s="1741"/>
      <c r="G2" s="1740" t="s">
        <v>1374</v>
      </c>
      <c r="H2" s="1741"/>
    </row>
    <row r="3" spans="1:8" s="934" customFormat="1" ht="15.75" x14ac:dyDescent="0.25">
      <c r="A3" s="1746"/>
      <c r="B3" s="1748"/>
      <c r="C3" s="957" t="s">
        <v>1375</v>
      </c>
      <c r="D3" s="957" t="s">
        <v>1377</v>
      </c>
      <c r="E3" s="957" t="s">
        <v>1375</v>
      </c>
      <c r="F3" s="957" t="s">
        <v>1377</v>
      </c>
      <c r="G3" s="957" t="s">
        <v>1375</v>
      </c>
      <c r="H3" s="957" t="s">
        <v>1377</v>
      </c>
    </row>
    <row r="4" spans="1:8" ht="25.5" customHeight="1" x14ac:dyDescent="0.25">
      <c r="A4" s="958">
        <v>101300</v>
      </c>
      <c r="B4" s="936" t="s">
        <v>1523</v>
      </c>
      <c r="C4" s="937"/>
      <c r="D4" s="937">
        <v>100000000</v>
      </c>
      <c r="E4" s="937"/>
      <c r="F4" s="937"/>
      <c r="G4" s="937"/>
      <c r="H4" s="937">
        <v>100000000</v>
      </c>
    </row>
    <row r="5" spans="1:8" x14ac:dyDescent="0.25">
      <c r="A5" s="959">
        <v>111000</v>
      </c>
      <c r="B5" s="940" t="s">
        <v>1385</v>
      </c>
      <c r="C5" s="941"/>
      <c r="D5" s="941">
        <v>20000000</v>
      </c>
      <c r="E5" s="941"/>
      <c r="F5" s="941"/>
      <c r="G5" s="941"/>
      <c r="H5" s="941">
        <v>20000000</v>
      </c>
    </row>
    <row r="6" spans="1:8" x14ac:dyDescent="0.25">
      <c r="A6" s="959">
        <v>120000</v>
      </c>
      <c r="B6" s="942" t="s">
        <v>283</v>
      </c>
      <c r="C6" s="941"/>
      <c r="D6" s="941">
        <v>20818799</v>
      </c>
      <c r="E6" s="941"/>
      <c r="F6" s="941">
        <v>26631518</v>
      </c>
      <c r="G6" s="941"/>
      <c r="H6" s="941">
        <v>47450317</v>
      </c>
    </row>
    <row r="7" spans="1:8" x14ac:dyDescent="0.25">
      <c r="A7" s="959">
        <v>585100</v>
      </c>
      <c r="B7" s="942" t="s">
        <v>1386</v>
      </c>
      <c r="C7" s="941"/>
      <c r="D7" s="941">
        <v>66631518</v>
      </c>
      <c r="E7" s="941">
        <v>66631518</v>
      </c>
      <c r="F7" s="941"/>
      <c r="G7" s="941"/>
      <c r="H7" s="941"/>
    </row>
    <row r="8" spans="1:8" ht="15.75" x14ac:dyDescent="0.25">
      <c r="A8" s="960">
        <v>165200</v>
      </c>
      <c r="B8" s="961" t="s">
        <v>1390</v>
      </c>
      <c r="C8" s="962"/>
      <c r="D8" s="962">
        <v>2200000</v>
      </c>
      <c r="E8" s="962"/>
      <c r="F8" s="962"/>
      <c r="G8" s="962"/>
      <c r="H8" s="962">
        <v>2200000</v>
      </c>
    </row>
    <row r="9" spans="1:8" ht="15.75" x14ac:dyDescent="0.25">
      <c r="A9" s="960">
        <v>196000</v>
      </c>
      <c r="B9" s="961" t="s">
        <v>1524</v>
      </c>
      <c r="C9" s="962"/>
      <c r="D9" s="962">
        <v>47553935</v>
      </c>
      <c r="E9" s="962">
        <v>3771900</v>
      </c>
      <c r="F9" s="962">
        <v>11082662</v>
      </c>
      <c r="G9" s="962"/>
      <c r="H9" s="962">
        <v>54864697</v>
      </c>
    </row>
    <row r="10" spans="1:8" ht="15.75" x14ac:dyDescent="0.25">
      <c r="A10" s="960">
        <v>213000</v>
      </c>
      <c r="B10" s="961" t="s">
        <v>1392</v>
      </c>
      <c r="C10" s="962">
        <v>1050000</v>
      </c>
      <c r="D10" s="962"/>
      <c r="E10" s="962"/>
      <c r="F10" s="962"/>
      <c r="G10" s="962">
        <v>1050000</v>
      </c>
      <c r="H10" s="962"/>
    </row>
    <row r="11" spans="1:8" ht="15.75" x14ac:dyDescent="0.25">
      <c r="A11" s="960">
        <v>215000</v>
      </c>
      <c r="B11" s="961" t="s">
        <v>1393</v>
      </c>
      <c r="C11" s="962">
        <v>1600000</v>
      </c>
      <c r="D11" s="962"/>
      <c r="E11" s="962"/>
      <c r="F11" s="962"/>
      <c r="G11" s="962">
        <v>1600000</v>
      </c>
      <c r="H11" s="962"/>
    </row>
    <row r="12" spans="1:8" ht="15.75" x14ac:dyDescent="0.25">
      <c r="A12" s="960">
        <v>223000</v>
      </c>
      <c r="B12" s="961" t="s">
        <v>1394</v>
      </c>
      <c r="C12" s="962">
        <v>12500000</v>
      </c>
      <c r="D12" s="962"/>
      <c r="E12" s="962"/>
      <c r="F12" s="962"/>
      <c r="G12" s="962">
        <v>12500000</v>
      </c>
      <c r="H12" s="962"/>
    </row>
    <row r="13" spans="1:8" ht="15.75" x14ac:dyDescent="0.25">
      <c r="A13" s="960">
        <v>229000</v>
      </c>
      <c r="B13" s="961" t="s">
        <v>1395</v>
      </c>
      <c r="C13" s="962">
        <v>22673950</v>
      </c>
      <c r="D13" s="962"/>
      <c r="E13" s="962"/>
      <c r="F13" s="962"/>
      <c r="G13" s="962">
        <v>22673950</v>
      </c>
      <c r="H13" s="962"/>
    </row>
    <row r="14" spans="1:8" ht="15.75" x14ac:dyDescent="0.25">
      <c r="A14" s="960">
        <v>231100</v>
      </c>
      <c r="B14" s="961" t="s">
        <v>1396</v>
      </c>
      <c r="C14" s="962">
        <v>55000000</v>
      </c>
      <c r="D14" s="962"/>
      <c r="E14" s="962"/>
      <c r="F14" s="962"/>
      <c r="G14" s="962">
        <v>55000000</v>
      </c>
      <c r="H14" s="962"/>
    </row>
    <row r="15" spans="1:8" ht="15.75" x14ac:dyDescent="0.25">
      <c r="A15" s="960">
        <v>232100</v>
      </c>
      <c r="B15" s="961" t="s">
        <v>1397</v>
      </c>
      <c r="C15" s="962">
        <v>231411100</v>
      </c>
      <c r="D15" s="962"/>
      <c r="E15" s="962"/>
      <c r="F15" s="962"/>
      <c r="G15" s="962">
        <v>231411100</v>
      </c>
      <c r="H15" s="962"/>
    </row>
    <row r="16" spans="1:8" ht="15.75" x14ac:dyDescent="0.25">
      <c r="A16" s="960">
        <v>235100</v>
      </c>
      <c r="B16" s="961" t="s">
        <v>1398</v>
      </c>
      <c r="C16" s="962">
        <v>60263648</v>
      </c>
      <c r="D16" s="962"/>
      <c r="E16" s="962"/>
      <c r="F16" s="962"/>
      <c r="G16" s="962">
        <v>60263648</v>
      </c>
      <c r="H16" s="962"/>
    </row>
    <row r="17" spans="1:8" ht="15.75" x14ac:dyDescent="0.25">
      <c r="A17" s="960">
        <v>238000</v>
      </c>
      <c r="B17" s="961" t="s">
        <v>1399</v>
      </c>
      <c r="C17" s="962">
        <v>11064619</v>
      </c>
      <c r="D17" s="962"/>
      <c r="E17" s="962"/>
      <c r="F17" s="962"/>
      <c r="G17" s="962">
        <v>11064619</v>
      </c>
      <c r="H17" s="962"/>
    </row>
    <row r="18" spans="1:8" ht="15.75" x14ac:dyDescent="0.25">
      <c r="A18" s="960">
        <v>241100</v>
      </c>
      <c r="B18" s="961" t="s">
        <v>1400</v>
      </c>
      <c r="C18" s="962">
        <v>74507291</v>
      </c>
      <c r="D18" s="962"/>
      <c r="E18" s="962">
        <v>17153112</v>
      </c>
      <c r="F18" s="962">
        <v>350000</v>
      </c>
      <c r="G18" s="962">
        <v>91310403</v>
      </c>
      <c r="H18" s="962"/>
    </row>
    <row r="19" spans="1:8" ht="15.75" x14ac:dyDescent="0.25">
      <c r="A19" s="960">
        <v>244100</v>
      </c>
      <c r="B19" s="961" t="s">
        <v>1401</v>
      </c>
      <c r="C19" s="962">
        <v>1325000</v>
      </c>
      <c r="D19" s="962"/>
      <c r="E19" s="962"/>
      <c r="F19" s="962"/>
      <c r="G19" s="962">
        <v>1325000</v>
      </c>
      <c r="H19" s="962"/>
    </row>
    <row r="20" spans="1:8" ht="15.75" x14ac:dyDescent="0.25">
      <c r="A20" s="960">
        <v>244200</v>
      </c>
      <c r="B20" s="961" t="s">
        <v>1402</v>
      </c>
      <c r="C20" s="962">
        <v>6867703</v>
      </c>
      <c r="D20" s="962"/>
      <c r="E20" s="962"/>
      <c r="F20" s="962"/>
      <c r="G20" s="962">
        <v>6867703</v>
      </c>
      <c r="H20" s="962"/>
    </row>
    <row r="21" spans="1:8" ht="15.75" x14ac:dyDescent="0.25">
      <c r="A21" s="960">
        <v>244400</v>
      </c>
      <c r="B21" s="961" t="s">
        <v>1403</v>
      </c>
      <c r="C21" s="962">
        <v>4968900</v>
      </c>
      <c r="D21" s="962"/>
      <c r="E21" s="962"/>
      <c r="F21" s="962"/>
      <c r="G21" s="962">
        <v>4968900</v>
      </c>
      <c r="H21" s="962"/>
    </row>
    <row r="22" spans="1:8" ht="15.75" x14ac:dyDescent="0.25">
      <c r="A22" s="960">
        <v>245100</v>
      </c>
      <c r="B22" s="961" t="s">
        <v>1404</v>
      </c>
      <c r="C22" s="962">
        <v>54050000</v>
      </c>
      <c r="D22" s="962"/>
      <c r="E22" s="962"/>
      <c r="F22" s="962"/>
      <c r="G22" s="962">
        <v>54050000</v>
      </c>
      <c r="H22" s="962"/>
    </row>
    <row r="23" spans="1:8" ht="15.75" x14ac:dyDescent="0.25">
      <c r="A23" s="960">
        <v>272800</v>
      </c>
      <c r="B23" s="961" t="s">
        <v>1406</v>
      </c>
      <c r="C23" s="962">
        <v>1245000</v>
      </c>
      <c r="D23" s="962"/>
      <c r="E23" s="962">
        <v>682000</v>
      </c>
      <c r="F23" s="962"/>
      <c r="G23" s="962">
        <v>1927000</v>
      </c>
      <c r="H23" s="962"/>
    </row>
    <row r="24" spans="1:8" ht="15.75" x14ac:dyDescent="0.25">
      <c r="A24" s="960">
        <v>275000</v>
      </c>
      <c r="B24" s="961" t="s">
        <v>1407</v>
      </c>
      <c r="C24" s="962">
        <v>1238776</v>
      </c>
      <c r="D24" s="962"/>
      <c r="E24" s="962">
        <v>276379</v>
      </c>
      <c r="F24" s="962">
        <v>179865</v>
      </c>
      <c r="G24" s="962">
        <v>1335290</v>
      </c>
      <c r="H24" s="962"/>
    </row>
    <row r="25" spans="1:8" ht="15.75" x14ac:dyDescent="0.25">
      <c r="A25" s="960">
        <v>275300</v>
      </c>
      <c r="B25" s="961" t="s">
        <v>1408</v>
      </c>
      <c r="C25" s="962">
        <v>87068</v>
      </c>
      <c r="D25" s="962"/>
      <c r="E25" s="962"/>
      <c r="F25" s="962"/>
      <c r="G25" s="962">
        <v>87068</v>
      </c>
      <c r="H25" s="962"/>
    </row>
    <row r="26" spans="1:8" ht="15.75" x14ac:dyDescent="0.25">
      <c r="A26" s="960">
        <v>275500</v>
      </c>
      <c r="B26" s="961" t="s">
        <v>1409</v>
      </c>
      <c r="C26" s="962">
        <v>449300</v>
      </c>
      <c r="D26" s="962"/>
      <c r="E26" s="962"/>
      <c r="F26" s="962"/>
      <c r="G26" s="962">
        <v>449300</v>
      </c>
      <c r="H26" s="962"/>
    </row>
    <row r="27" spans="1:8" ht="15.75" x14ac:dyDescent="0.25">
      <c r="A27" s="960">
        <v>275800</v>
      </c>
      <c r="B27" s="961" t="s">
        <v>1410</v>
      </c>
      <c r="C27" s="962">
        <v>750000</v>
      </c>
      <c r="D27" s="962"/>
      <c r="E27" s="962"/>
      <c r="F27" s="962"/>
      <c r="G27" s="962">
        <v>750000</v>
      </c>
      <c r="H27" s="962"/>
    </row>
    <row r="28" spans="1:8" ht="15.75" x14ac:dyDescent="0.25">
      <c r="A28" s="960">
        <v>276200</v>
      </c>
      <c r="B28" s="961" t="s">
        <v>1525</v>
      </c>
      <c r="C28" s="962">
        <v>1000000</v>
      </c>
      <c r="D28" s="962"/>
      <c r="E28" s="962"/>
      <c r="F28" s="962">
        <v>1000000</v>
      </c>
      <c r="G28" s="962"/>
      <c r="H28" s="962"/>
    </row>
    <row r="29" spans="1:8" ht="15.75" x14ac:dyDescent="0.25">
      <c r="A29" s="960">
        <v>283210</v>
      </c>
      <c r="B29" s="961" t="s">
        <v>1526</v>
      </c>
      <c r="C29" s="962"/>
      <c r="D29" s="962">
        <v>140579277</v>
      </c>
      <c r="E29" s="962"/>
      <c r="F29" s="962">
        <v>9734682</v>
      </c>
      <c r="G29" s="962"/>
      <c r="H29" s="962">
        <v>150313959</v>
      </c>
    </row>
    <row r="30" spans="1:8" ht="15.75" x14ac:dyDescent="0.25">
      <c r="A30" s="960">
        <v>283510</v>
      </c>
      <c r="B30" s="961" t="s">
        <v>1412</v>
      </c>
      <c r="C30" s="962"/>
      <c r="D30" s="962">
        <v>71310267</v>
      </c>
      <c r="E30" s="962"/>
      <c r="F30" s="962">
        <v>18000</v>
      </c>
      <c r="G30" s="962"/>
      <c r="H30" s="962">
        <v>71328267</v>
      </c>
    </row>
    <row r="31" spans="1:8" ht="15.75" x14ac:dyDescent="0.25">
      <c r="A31" s="960">
        <v>284110</v>
      </c>
      <c r="B31" s="961" t="s">
        <v>1527</v>
      </c>
      <c r="C31" s="962"/>
      <c r="D31" s="962">
        <v>53005415</v>
      </c>
      <c r="E31" s="962">
        <v>58333</v>
      </c>
      <c r="F31" s="962">
        <v>7356831</v>
      </c>
      <c r="G31" s="962"/>
      <c r="H31" s="962">
        <v>60303913</v>
      </c>
    </row>
    <row r="32" spans="1:8" ht="15.75" x14ac:dyDescent="0.25">
      <c r="A32" s="960">
        <v>284410</v>
      </c>
      <c r="B32" s="961" t="s">
        <v>1414</v>
      </c>
      <c r="C32" s="962"/>
      <c r="D32" s="962">
        <v>1325000</v>
      </c>
      <c r="E32" s="962"/>
      <c r="F32" s="962"/>
      <c r="G32" s="962"/>
      <c r="H32" s="962">
        <v>1325000</v>
      </c>
    </row>
    <row r="33" spans="1:8" ht="15.75" x14ac:dyDescent="0.25">
      <c r="A33" s="960">
        <v>284420</v>
      </c>
      <c r="B33" s="961" t="s">
        <v>1415</v>
      </c>
      <c r="C33" s="962"/>
      <c r="D33" s="962">
        <v>5733437</v>
      </c>
      <c r="E33" s="962"/>
      <c r="F33" s="962">
        <v>441600</v>
      </c>
      <c r="G33" s="962"/>
      <c r="H33" s="962">
        <v>6175037</v>
      </c>
    </row>
    <row r="34" spans="1:8" ht="15.75" x14ac:dyDescent="0.25">
      <c r="A34" s="960">
        <v>284440</v>
      </c>
      <c r="B34" s="961" t="s">
        <v>1416</v>
      </c>
      <c r="C34" s="962"/>
      <c r="D34" s="962">
        <v>4283140</v>
      </c>
      <c r="E34" s="962"/>
      <c r="F34" s="962">
        <v>298880</v>
      </c>
      <c r="G34" s="962"/>
      <c r="H34" s="962">
        <v>4582020</v>
      </c>
    </row>
    <row r="35" spans="1:8" ht="15.75" x14ac:dyDescent="0.25">
      <c r="A35" s="960">
        <v>284510</v>
      </c>
      <c r="B35" s="961" t="s">
        <v>1417</v>
      </c>
      <c r="C35" s="962"/>
      <c r="D35" s="962">
        <v>47407500</v>
      </c>
      <c r="E35" s="962"/>
      <c r="F35" s="962">
        <v>6455000</v>
      </c>
      <c r="G35" s="962"/>
      <c r="H35" s="962">
        <v>53862500</v>
      </c>
    </row>
    <row r="36" spans="1:8" ht="15.75" x14ac:dyDescent="0.25">
      <c r="A36" s="960">
        <v>321100</v>
      </c>
      <c r="B36" s="961" t="s">
        <v>1419</v>
      </c>
      <c r="C36" s="962">
        <v>10552040</v>
      </c>
      <c r="D36" s="962"/>
      <c r="E36" s="962">
        <v>7721440</v>
      </c>
      <c r="F36" s="962">
        <v>10552040</v>
      </c>
      <c r="G36" s="962">
        <v>7721440</v>
      </c>
      <c r="H36" s="962"/>
    </row>
    <row r="37" spans="1:8" ht="15.75" x14ac:dyDescent="0.25">
      <c r="A37" s="963">
        <v>335100</v>
      </c>
      <c r="B37" s="964" t="s">
        <v>1420</v>
      </c>
      <c r="C37" s="965">
        <v>6262346</v>
      </c>
      <c r="D37" s="965"/>
      <c r="E37" s="965">
        <v>8146993</v>
      </c>
      <c r="F37" s="965">
        <v>6262346</v>
      </c>
      <c r="G37" s="965">
        <v>8146993</v>
      </c>
      <c r="H37" s="965"/>
    </row>
    <row r="38" spans="1:8" ht="15.75" x14ac:dyDescent="0.25">
      <c r="A38" s="960">
        <v>401100</v>
      </c>
      <c r="B38" s="961" t="s">
        <v>1421</v>
      </c>
      <c r="C38" s="962"/>
      <c r="D38" s="965">
        <v>76549980</v>
      </c>
      <c r="E38" s="965">
        <v>562421027</v>
      </c>
      <c r="F38" s="965">
        <v>526454947</v>
      </c>
      <c r="G38" s="965"/>
      <c r="H38" s="965">
        <v>40583900</v>
      </c>
    </row>
    <row r="39" spans="1:8" ht="15.75" x14ac:dyDescent="0.25">
      <c r="A39" s="960">
        <v>408100</v>
      </c>
      <c r="B39" s="961" t="s">
        <v>1528</v>
      </c>
      <c r="C39" s="962"/>
      <c r="D39" s="965">
        <v>8071358</v>
      </c>
      <c r="E39" s="965">
        <v>54500645</v>
      </c>
      <c r="F39" s="965">
        <v>60428763</v>
      </c>
      <c r="G39" s="965"/>
      <c r="H39" s="965">
        <v>13999476</v>
      </c>
    </row>
    <row r="40" spans="1:8" ht="15.75" x14ac:dyDescent="0.25">
      <c r="A40" s="960">
        <v>408110</v>
      </c>
      <c r="B40" s="961" t="s">
        <v>1529</v>
      </c>
      <c r="C40" s="962"/>
      <c r="D40" s="965">
        <v>782702</v>
      </c>
      <c r="E40" s="965">
        <v>782702</v>
      </c>
      <c r="F40" s="965"/>
      <c r="G40" s="965"/>
      <c r="H40" s="965"/>
    </row>
    <row r="41" spans="1:8" ht="15.75" x14ac:dyDescent="0.25">
      <c r="A41" s="960">
        <v>408120</v>
      </c>
      <c r="B41" s="961" t="s">
        <v>1530</v>
      </c>
      <c r="C41" s="962"/>
      <c r="D41" s="965">
        <v>415200</v>
      </c>
      <c r="E41" s="965">
        <v>415200</v>
      </c>
      <c r="F41" s="965"/>
      <c r="G41" s="965"/>
      <c r="H41" s="965"/>
    </row>
    <row r="42" spans="1:8" ht="15.75" x14ac:dyDescent="0.25">
      <c r="A42" s="960">
        <v>408130</v>
      </c>
      <c r="B42" s="961" t="s">
        <v>1531</v>
      </c>
      <c r="C42" s="962"/>
      <c r="D42" s="965">
        <v>3257358</v>
      </c>
      <c r="E42" s="965">
        <v>3257358</v>
      </c>
      <c r="F42" s="965"/>
      <c r="G42" s="965"/>
      <c r="H42" s="965"/>
    </row>
    <row r="43" spans="1:8" ht="15.75" x14ac:dyDescent="0.25">
      <c r="A43" s="960">
        <v>408140</v>
      </c>
      <c r="B43" s="961" t="s">
        <v>1532</v>
      </c>
      <c r="C43" s="962"/>
      <c r="D43" s="965">
        <v>637437</v>
      </c>
      <c r="E43" s="965">
        <v>14451330</v>
      </c>
      <c r="F43" s="965">
        <v>13813893</v>
      </c>
      <c r="G43" s="965"/>
      <c r="H43" s="965"/>
    </row>
    <row r="44" spans="1:8" ht="15.75" x14ac:dyDescent="0.25">
      <c r="A44" s="960">
        <v>408150</v>
      </c>
      <c r="B44" s="961" t="s">
        <v>1533</v>
      </c>
      <c r="C44" s="962"/>
      <c r="D44" s="966"/>
      <c r="E44" s="965"/>
      <c r="F44" s="965">
        <v>1310830</v>
      </c>
      <c r="G44" s="965"/>
      <c r="H44" s="965">
        <v>1310830</v>
      </c>
    </row>
    <row r="45" spans="1:8" ht="15.75" x14ac:dyDescent="0.25">
      <c r="A45" s="960">
        <v>409100</v>
      </c>
      <c r="B45" s="961" t="s">
        <v>1423</v>
      </c>
      <c r="C45" s="962"/>
      <c r="D45" s="965"/>
      <c r="E45" s="965">
        <v>1433750</v>
      </c>
      <c r="F45" s="965">
        <v>733750</v>
      </c>
      <c r="G45" s="965">
        <v>700000</v>
      </c>
      <c r="H45" s="965"/>
    </row>
    <row r="46" spans="1:8" ht="15.75" x14ac:dyDescent="0.25">
      <c r="A46" s="960">
        <v>411100</v>
      </c>
      <c r="B46" s="961" t="s">
        <v>22</v>
      </c>
      <c r="C46" s="962">
        <v>114098863</v>
      </c>
      <c r="D46" s="965"/>
      <c r="E46" s="965">
        <v>1906855340</v>
      </c>
      <c r="F46" s="965">
        <v>1880270370</v>
      </c>
      <c r="G46" s="965">
        <v>140683833</v>
      </c>
      <c r="H46" s="965"/>
    </row>
    <row r="47" spans="1:8" ht="15.75" x14ac:dyDescent="0.25">
      <c r="A47" s="960">
        <v>416200</v>
      </c>
      <c r="B47" s="961" t="s">
        <v>1424</v>
      </c>
      <c r="C47" s="962">
        <v>31677520</v>
      </c>
      <c r="D47" s="965"/>
      <c r="E47" s="965"/>
      <c r="F47" s="965"/>
      <c r="G47" s="965">
        <v>31677520</v>
      </c>
      <c r="H47" s="965"/>
    </row>
    <row r="48" spans="1:8" ht="15.75" x14ac:dyDescent="0.25">
      <c r="A48" s="960">
        <v>419800</v>
      </c>
      <c r="B48" s="961" t="s">
        <v>1534</v>
      </c>
      <c r="C48" s="962">
        <v>948441</v>
      </c>
      <c r="D48" s="965"/>
      <c r="E48" s="965"/>
      <c r="F48" s="965">
        <v>948441</v>
      </c>
      <c r="G48" s="965"/>
      <c r="H48" s="965"/>
    </row>
    <row r="49" spans="1:8" ht="15.75" x14ac:dyDescent="0.25">
      <c r="A49" s="960">
        <v>421000</v>
      </c>
      <c r="B49" s="961" t="s">
        <v>1425</v>
      </c>
      <c r="C49" s="962">
        <v>675000</v>
      </c>
      <c r="D49" s="965"/>
      <c r="E49" s="965">
        <v>5362000</v>
      </c>
      <c r="F49" s="965">
        <v>5344500</v>
      </c>
      <c r="G49" s="965">
        <v>692500</v>
      </c>
      <c r="H49" s="965"/>
    </row>
    <row r="50" spans="1:8" ht="15.75" x14ac:dyDescent="0.25">
      <c r="A50" s="960">
        <v>421400</v>
      </c>
      <c r="B50" s="961" t="s">
        <v>1535</v>
      </c>
      <c r="C50" s="962">
        <v>1162554</v>
      </c>
      <c r="D50" s="965"/>
      <c r="E50" s="965">
        <v>1935977</v>
      </c>
      <c r="F50" s="965">
        <v>2510745</v>
      </c>
      <c r="G50" s="965">
        <v>587786</v>
      </c>
      <c r="H50" s="965"/>
    </row>
    <row r="51" spans="1:8" ht="15.75" x14ac:dyDescent="0.25">
      <c r="A51" s="960">
        <v>422000</v>
      </c>
      <c r="B51" s="961" t="s">
        <v>393</v>
      </c>
      <c r="C51" s="962"/>
      <c r="D51" s="965"/>
      <c r="E51" s="965">
        <v>130502753</v>
      </c>
      <c r="F51" s="965">
        <v>131486004</v>
      </c>
      <c r="G51" s="965"/>
      <c r="H51" s="965">
        <v>983251</v>
      </c>
    </row>
    <row r="52" spans="1:8" ht="15.75" x14ac:dyDescent="0.25">
      <c r="A52" s="960">
        <v>423200</v>
      </c>
      <c r="B52" s="961" t="s">
        <v>1427</v>
      </c>
      <c r="C52" s="962"/>
      <c r="D52" s="965">
        <v>40000</v>
      </c>
      <c r="E52" s="965">
        <v>480000</v>
      </c>
      <c r="F52" s="965">
        <v>480000</v>
      </c>
      <c r="G52" s="965"/>
      <c r="H52" s="965">
        <v>40000</v>
      </c>
    </row>
    <row r="53" spans="1:8" ht="15.75" x14ac:dyDescent="0.25">
      <c r="A53" s="960">
        <v>427000</v>
      </c>
      <c r="B53" s="961" t="s">
        <v>1429</v>
      </c>
      <c r="C53" s="962"/>
      <c r="D53" s="965">
        <v>55000</v>
      </c>
      <c r="E53" s="965">
        <v>166500</v>
      </c>
      <c r="F53" s="965">
        <v>184000</v>
      </c>
      <c r="G53" s="965"/>
      <c r="H53" s="965">
        <v>72500</v>
      </c>
    </row>
    <row r="54" spans="1:8" ht="15.75" x14ac:dyDescent="0.25">
      <c r="A54" s="960">
        <v>428001</v>
      </c>
      <c r="B54" s="961" t="s">
        <v>1430</v>
      </c>
      <c r="C54" s="962"/>
      <c r="D54" s="965">
        <v>2303892</v>
      </c>
      <c r="E54" s="965">
        <v>2303892</v>
      </c>
      <c r="F54" s="965">
        <v>3057458</v>
      </c>
      <c r="G54" s="965"/>
      <c r="H54" s="965">
        <v>3057458</v>
      </c>
    </row>
    <row r="55" spans="1:8" ht="15.75" x14ac:dyDescent="0.25">
      <c r="A55" s="960">
        <v>428002</v>
      </c>
      <c r="B55" s="961" t="s">
        <v>1536</v>
      </c>
      <c r="C55" s="962"/>
      <c r="D55" s="965">
        <v>1351085</v>
      </c>
      <c r="E55" s="965">
        <v>1351085</v>
      </c>
      <c r="F55" s="965">
        <v>955634</v>
      </c>
      <c r="G55" s="965"/>
      <c r="H55" s="965">
        <v>955634</v>
      </c>
    </row>
    <row r="56" spans="1:8" ht="15.75" x14ac:dyDescent="0.25">
      <c r="A56" s="960">
        <v>431000</v>
      </c>
      <c r="B56" s="961" t="s">
        <v>1432</v>
      </c>
      <c r="C56" s="962"/>
      <c r="D56" s="965">
        <v>979255</v>
      </c>
      <c r="E56" s="965">
        <v>7316170</v>
      </c>
      <c r="F56" s="965">
        <v>7112818</v>
      </c>
      <c r="G56" s="965"/>
      <c r="H56" s="965">
        <v>775903</v>
      </c>
    </row>
    <row r="57" spans="1:8" ht="15.75" x14ac:dyDescent="0.25">
      <c r="A57" s="960">
        <v>431300</v>
      </c>
      <c r="B57" s="961" t="s">
        <v>394</v>
      </c>
      <c r="C57" s="962"/>
      <c r="D57" s="965">
        <v>1161181</v>
      </c>
      <c r="E57" s="965">
        <v>13328375</v>
      </c>
      <c r="F57" s="965">
        <v>13417004</v>
      </c>
      <c r="G57" s="965"/>
      <c r="H57" s="965">
        <v>1249810</v>
      </c>
    </row>
    <row r="58" spans="1:8" ht="15.75" x14ac:dyDescent="0.25">
      <c r="A58" s="960">
        <v>433110</v>
      </c>
      <c r="B58" s="961" t="s">
        <v>1433</v>
      </c>
      <c r="C58" s="962"/>
      <c r="D58" s="965">
        <v>587724</v>
      </c>
      <c r="E58" s="965">
        <v>3657726</v>
      </c>
      <c r="F58" s="965">
        <v>3540003</v>
      </c>
      <c r="G58" s="965"/>
      <c r="H58" s="965">
        <v>470001</v>
      </c>
    </row>
    <row r="59" spans="1:8" ht="15.75" x14ac:dyDescent="0.25">
      <c r="A59" s="960">
        <v>438200</v>
      </c>
      <c r="B59" s="961" t="s">
        <v>1434</v>
      </c>
      <c r="C59" s="962"/>
      <c r="D59" s="965">
        <v>506047</v>
      </c>
      <c r="E59" s="965">
        <v>506047</v>
      </c>
      <c r="F59" s="965">
        <v>508585</v>
      </c>
      <c r="G59" s="965"/>
      <c r="H59" s="965">
        <v>508585</v>
      </c>
    </row>
    <row r="60" spans="1:8" ht="15.75" x14ac:dyDescent="0.25">
      <c r="A60" s="960">
        <v>441100</v>
      </c>
      <c r="B60" s="961" t="s">
        <v>1435</v>
      </c>
      <c r="C60" s="962"/>
      <c r="D60" s="965">
        <v>9098000</v>
      </c>
      <c r="E60" s="965">
        <v>9098000</v>
      </c>
      <c r="F60" s="965">
        <v>23411413</v>
      </c>
      <c r="G60" s="965"/>
      <c r="H60" s="965">
        <v>23411413</v>
      </c>
    </row>
    <row r="61" spans="1:8" ht="15.75" x14ac:dyDescent="0.25">
      <c r="A61" s="960">
        <v>442100</v>
      </c>
      <c r="B61" s="961" t="s">
        <v>1436</v>
      </c>
      <c r="C61" s="962"/>
      <c r="D61" s="965">
        <v>2752200</v>
      </c>
      <c r="E61" s="965">
        <v>114048</v>
      </c>
      <c r="F61" s="965">
        <v>574992</v>
      </c>
      <c r="G61" s="965"/>
      <c r="H61" s="965">
        <v>3213144</v>
      </c>
    </row>
    <row r="62" spans="1:8" ht="15.75" x14ac:dyDescent="0.25">
      <c r="A62" s="960">
        <v>443200</v>
      </c>
      <c r="B62" s="961" t="s">
        <v>1537</v>
      </c>
      <c r="C62" s="962"/>
      <c r="D62" s="965">
        <v>54049</v>
      </c>
      <c r="E62" s="965">
        <v>252049</v>
      </c>
      <c r="F62" s="965">
        <v>287781</v>
      </c>
      <c r="G62" s="965"/>
      <c r="H62" s="965">
        <v>89781</v>
      </c>
    </row>
    <row r="63" spans="1:8" ht="15.75" x14ac:dyDescent="0.25">
      <c r="A63" s="960">
        <v>447000</v>
      </c>
      <c r="B63" s="961" t="s">
        <v>1538</v>
      </c>
      <c r="C63" s="962"/>
      <c r="D63" s="965">
        <v>596627</v>
      </c>
      <c r="E63" s="965">
        <v>12424778</v>
      </c>
      <c r="F63" s="965">
        <v>12894469</v>
      </c>
      <c r="G63" s="965"/>
      <c r="H63" s="965">
        <v>1066318</v>
      </c>
    </row>
    <row r="64" spans="1:8" ht="15.75" x14ac:dyDescent="0.25">
      <c r="A64" s="960">
        <v>447200</v>
      </c>
      <c r="B64" s="961" t="s">
        <v>1539</v>
      </c>
      <c r="C64" s="962"/>
      <c r="D64" s="965">
        <v>90750</v>
      </c>
      <c r="E64" s="965">
        <v>870129</v>
      </c>
      <c r="F64" s="965">
        <v>895879</v>
      </c>
      <c r="G64" s="965"/>
      <c r="H64" s="965">
        <v>116500</v>
      </c>
    </row>
    <row r="65" spans="1:8" ht="15.75" x14ac:dyDescent="0.25">
      <c r="A65" s="960">
        <v>462001</v>
      </c>
      <c r="B65" s="961" t="s">
        <v>1440</v>
      </c>
      <c r="C65" s="962"/>
      <c r="D65" s="965">
        <v>10336159</v>
      </c>
      <c r="E65" s="965">
        <v>40643970</v>
      </c>
      <c r="F65" s="965">
        <v>40246770</v>
      </c>
      <c r="G65" s="965"/>
      <c r="H65" s="965">
        <v>9938959</v>
      </c>
    </row>
    <row r="66" spans="1:8" ht="15.75" x14ac:dyDescent="0.25">
      <c r="A66" s="960">
        <v>471100</v>
      </c>
      <c r="B66" s="961" t="s">
        <v>1443</v>
      </c>
      <c r="C66" s="962"/>
      <c r="D66" s="965">
        <v>10000000</v>
      </c>
      <c r="E66" s="965">
        <v>10650000</v>
      </c>
      <c r="F66" s="965">
        <v>200000</v>
      </c>
      <c r="G66" s="965">
        <v>450000</v>
      </c>
      <c r="H66" s="965"/>
    </row>
    <row r="67" spans="1:8" ht="15.75" x14ac:dyDescent="0.25">
      <c r="A67" s="960">
        <v>471300</v>
      </c>
      <c r="B67" s="961" t="s">
        <v>28</v>
      </c>
      <c r="C67" s="962"/>
      <c r="D67" s="965">
        <v>530000</v>
      </c>
      <c r="E67" s="965">
        <v>4120000</v>
      </c>
      <c r="F67" s="965">
        <v>4300000</v>
      </c>
      <c r="G67" s="965"/>
      <c r="H67" s="965">
        <v>710000</v>
      </c>
    </row>
    <row r="68" spans="1:8" ht="15.75" x14ac:dyDescent="0.25">
      <c r="A68" s="960">
        <v>476000</v>
      </c>
      <c r="B68" s="961" t="s">
        <v>1444</v>
      </c>
      <c r="C68" s="962">
        <v>2255622</v>
      </c>
      <c r="D68" s="965"/>
      <c r="E68" s="965">
        <v>5310480</v>
      </c>
      <c r="F68" s="965">
        <v>6168003</v>
      </c>
      <c r="G68" s="965">
        <v>1398099</v>
      </c>
      <c r="H68" s="965"/>
    </row>
    <row r="69" spans="1:8" ht="15.75" x14ac:dyDescent="0.25">
      <c r="A69" s="960">
        <v>477000</v>
      </c>
      <c r="B69" s="961" t="s">
        <v>1445</v>
      </c>
      <c r="C69" s="962"/>
      <c r="D69" s="965"/>
      <c r="E69" s="965">
        <v>1056000</v>
      </c>
      <c r="F69" s="965">
        <v>1056000</v>
      </c>
      <c r="G69" s="965"/>
      <c r="H69" s="965"/>
    </row>
    <row r="70" spans="1:8" ht="15.75" x14ac:dyDescent="0.25">
      <c r="A70" s="960">
        <v>4818200</v>
      </c>
      <c r="B70" s="961" t="s">
        <v>1540</v>
      </c>
      <c r="C70" s="962"/>
      <c r="D70" s="965"/>
      <c r="E70" s="965"/>
      <c r="F70" s="965">
        <v>399942</v>
      </c>
      <c r="G70" s="965"/>
      <c r="H70" s="965">
        <v>399942</v>
      </c>
    </row>
    <row r="71" spans="1:8" ht="15.75" x14ac:dyDescent="0.25">
      <c r="A71" s="960">
        <v>4822000</v>
      </c>
      <c r="B71" s="961" t="s">
        <v>1541</v>
      </c>
      <c r="C71" s="962"/>
      <c r="D71" s="965">
        <v>1218333</v>
      </c>
      <c r="E71" s="965">
        <v>1218333</v>
      </c>
      <c r="F71" s="965"/>
      <c r="G71" s="965"/>
      <c r="H71" s="965"/>
    </row>
    <row r="72" spans="1:8" ht="15.75" x14ac:dyDescent="0.25">
      <c r="A72" s="960">
        <v>485100</v>
      </c>
      <c r="B72" s="961" t="s">
        <v>1451</v>
      </c>
      <c r="C72" s="962">
        <v>620000</v>
      </c>
      <c r="D72" s="965"/>
      <c r="E72" s="965"/>
      <c r="F72" s="965">
        <v>240000</v>
      </c>
      <c r="G72" s="965">
        <v>380000</v>
      </c>
      <c r="H72" s="965"/>
    </row>
    <row r="73" spans="1:8" ht="15.75" x14ac:dyDescent="0.25">
      <c r="A73" s="960">
        <v>491000</v>
      </c>
      <c r="B73" s="961" t="s">
        <v>1542</v>
      </c>
      <c r="C73" s="962"/>
      <c r="D73" s="965">
        <v>31677520</v>
      </c>
      <c r="E73" s="965"/>
      <c r="F73" s="965"/>
      <c r="G73" s="965"/>
      <c r="H73" s="965">
        <v>31677520</v>
      </c>
    </row>
    <row r="74" spans="1:8" ht="15.75" x14ac:dyDescent="0.25">
      <c r="A74" s="960">
        <v>521400</v>
      </c>
      <c r="B74" s="961" t="s">
        <v>1161</v>
      </c>
      <c r="C74" s="962">
        <v>18485559</v>
      </c>
      <c r="D74" s="962"/>
      <c r="E74" s="962">
        <v>1864651283</v>
      </c>
      <c r="F74" s="962">
        <v>1814012866</v>
      </c>
      <c r="G74" s="962">
        <v>69123976</v>
      </c>
      <c r="H74" s="962"/>
    </row>
    <row r="75" spans="1:8" ht="15.75" x14ac:dyDescent="0.25">
      <c r="A75" s="960">
        <v>571100</v>
      </c>
      <c r="B75" s="961" t="s">
        <v>245</v>
      </c>
      <c r="C75" s="962">
        <v>15109845</v>
      </c>
      <c r="D75" s="962"/>
      <c r="E75" s="962">
        <v>164971903</v>
      </c>
      <c r="F75" s="962">
        <v>174621567</v>
      </c>
      <c r="G75" s="962">
        <v>5460181</v>
      </c>
      <c r="H75" s="962"/>
    </row>
    <row r="76" spans="1:8" ht="15.75" x14ac:dyDescent="0.25">
      <c r="A76" s="960">
        <v>585000</v>
      </c>
      <c r="B76" s="961" t="s">
        <v>1453</v>
      </c>
      <c r="C76" s="962"/>
      <c r="D76" s="962"/>
      <c r="E76" s="962">
        <v>155673628</v>
      </c>
      <c r="F76" s="962">
        <v>155673628</v>
      </c>
      <c r="G76" s="962"/>
      <c r="H76" s="962"/>
    </row>
    <row r="77" spans="1:8" ht="15.75" x14ac:dyDescent="0.25">
      <c r="A77" s="960">
        <v>602100</v>
      </c>
      <c r="B77" s="961" t="s">
        <v>1543</v>
      </c>
      <c r="C77" s="962"/>
      <c r="D77" s="962"/>
      <c r="E77" s="962">
        <v>955664862</v>
      </c>
      <c r="F77" s="962">
        <v>1079390</v>
      </c>
      <c r="G77" s="962">
        <v>954585472</v>
      </c>
      <c r="H77" s="962"/>
    </row>
    <row r="78" spans="1:8" ht="15.75" x14ac:dyDescent="0.25">
      <c r="A78" s="960">
        <v>603201</v>
      </c>
      <c r="B78" s="961" t="s">
        <v>1544</v>
      </c>
      <c r="C78" s="962"/>
      <c r="D78" s="962"/>
      <c r="E78" s="962">
        <v>10552040</v>
      </c>
      <c r="F78" s="962">
        <v>7721440</v>
      </c>
      <c r="G78" s="962">
        <v>2830600</v>
      </c>
      <c r="H78" s="962"/>
    </row>
    <row r="79" spans="1:8" ht="15.75" x14ac:dyDescent="0.25">
      <c r="A79" s="960">
        <v>603302</v>
      </c>
      <c r="B79" s="961" t="s">
        <v>1545</v>
      </c>
      <c r="C79" s="962"/>
      <c r="D79" s="962"/>
      <c r="E79" s="962">
        <v>6262346</v>
      </c>
      <c r="F79" s="962">
        <v>8146993</v>
      </c>
      <c r="G79" s="962"/>
      <c r="H79" s="962">
        <v>1884647</v>
      </c>
    </row>
    <row r="80" spans="1:8" ht="15.75" x14ac:dyDescent="0.25">
      <c r="A80" s="960">
        <v>604200</v>
      </c>
      <c r="B80" s="961" t="s">
        <v>1460</v>
      </c>
      <c r="C80" s="962"/>
      <c r="D80" s="962"/>
      <c r="E80" s="962">
        <v>12683576</v>
      </c>
      <c r="F80" s="962"/>
      <c r="G80" s="962">
        <v>12683576</v>
      </c>
      <c r="H80" s="962"/>
    </row>
    <row r="81" spans="1:8" ht="15.75" x14ac:dyDescent="0.25">
      <c r="A81" s="960">
        <v>604300</v>
      </c>
      <c r="B81" s="961" t="s">
        <v>448</v>
      </c>
      <c r="C81" s="962"/>
      <c r="D81" s="962"/>
      <c r="E81" s="962">
        <v>1144000</v>
      </c>
      <c r="F81" s="962"/>
      <c r="G81" s="962">
        <v>1144000</v>
      </c>
      <c r="H81" s="962"/>
    </row>
    <row r="82" spans="1:8" ht="15.75" x14ac:dyDescent="0.25">
      <c r="A82" s="960">
        <v>605100</v>
      </c>
      <c r="B82" s="961" t="s">
        <v>450</v>
      </c>
      <c r="C82" s="962"/>
      <c r="D82" s="962"/>
      <c r="E82" s="962">
        <v>6125987</v>
      </c>
      <c r="F82" s="962">
        <v>1466738</v>
      </c>
      <c r="G82" s="962">
        <v>4659249</v>
      </c>
      <c r="H82" s="962"/>
    </row>
    <row r="83" spans="1:8" ht="15.75" x14ac:dyDescent="0.25">
      <c r="A83" s="960">
        <v>605200</v>
      </c>
      <c r="B83" s="961" t="s">
        <v>451</v>
      </c>
      <c r="C83" s="962"/>
      <c r="D83" s="962"/>
      <c r="E83" s="962">
        <v>36907753</v>
      </c>
      <c r="F83" s="962">
        <v>15147134</v>
      </c>
      <c r="G83" s="962">
        <v>21760619</v>
      </c>
      <c r="H83" s="962"/>
    </row>
    <row r="84" spans="1:8" ht="15.75" x14ac:dyDescent="0.25">
      <c r="A84" s="960">
        <v>605300</v>
      </c>
      <c r="B84" s="961" t="s">
        <v>1546</v>
      </c>
      <c r="C84" s="962"/>
      <c r="D84" s="962"/>
      <c r="E84" s="962">
        <v>6618773</v>
      </c>
      <c r="F84" s="962">
        <v>6618773</v>
      </c>
      <c r="G84" s="962"/>
      <c r="H84" s="962"/>
    </row>
    <row r="85" spans="1:8" ht="15.75" x14ac:dyDescent="0.25">
      <c r="A85" s="960">
        <v>605400</v>
      </c>
      <c r="B85" s="961" t="s">
        <v>1461</v>
      </c>
      <c r="C85" s="962"/>
      <c r="D85" s="962"/>
      <c r="E85" s="962">
        <v>2249226</v>
      </c>
      <c r="F85" s="962">
        <v>69600</v>
      </c>
      <c r="G85" s="962">
        <v>2179626</v>
      </c>
      <c r="H85" s="962"/>
    </row>
    <row r="86" spans="1:8" ht="15.75" x14ac:dyDescent="0.25">
      <c r="A86" s="960">
        <v>605500</v>
      </c>
      <c r="B86" s="961" t="s">
        <v>1071</v>
      </c>
      <c r="C86" s="962"/>
      <c r="D86" s="962"/>
      <c r="E86" s="962">
        <v>5047450</v>
      </c>
      <c r="F86" s="962">
        <v>12500</v>
      </c>
      <c r="G86" s="962">
        <v>5034950</v>
      </c>
      <c r="H86" s="962"/>
    </row>
    <row r="87" spans="1:8" ht="15.75" x14ac:dyDescent="0.25">
      <c r="A87" s="960">
        <v>605600</v>
      </c>
      <c r="B87" s="961" t="s">
        <v>1462</v>
      </c>
      <c r="C87" s="962"/>
      <c r="D87" s="962"/>
      <c r="E87" s="962">
        <v>11441377</v>
      </c>
      <c r="F87" s="962"/>
      <c r="G87" s="962">
        <v>11441377</v>
      </c>
      <c r="H87" s="962"/>
    </row>
    <row r="88" spans="1:8" ht="15.75" x14ac:dyDescent="0.25">
      <c r="A88" s="960">
        <v>605700</v>
      </c>
      <c r="B88" s="961" t="s">
        <v>1463</v>
      </c>
      <c r="C88" s="962"/>
      <c r="D88" s="962"/>
      <c r="E88" s="962">
        <v>505000</v>
      </c>
      <c r="F88" s="962"/>
      <c r="G88" s="962">
        <v>505000</v>
      </c>
      <c r="H88" s="962"/>
    </row>
    <row r="89" spans="1:8" ht="15.75" x14ac:dyDescent="0.25">
      <c r="A89" s="960">
        <v>605800</v>
      </c>
      <c r="B89" s="961" t="s">
        <v>1547</v>
      </c>
      <c r="C89" s="962"/>
      <c r="D89" s="962"/>
      <c r="E89" s="962">
        <v>420025</v>
      </c>
      <c r="F89" s="962"/>
      <c r="G89" s="962">
        <v>420025</v>
      </c>
      <c r="H89" s="962"/>
    </row>
    <row r="90" spans="1:8" ht="15.75" x14ac:dyDescent="0.25">
      <c r="A90" s="960">
        <v>608100</v>
      </c>
      <c r="B90" s="961" t="s">
        <v>1464</v>
      </c>
      <c r="C90" s="962"/>
      <c r="D90" s="962"/>
      <c r="E90" s="962">
        <v>101311095</v>
      </c>
      <c r="F90" s="962">
        <v>19000</v>
      </c>
      <c r="G90" s="962">
        <v>101292095</v>
      </c>
      <c r="H90" s="962"/>
    </row>
    <row r="91" spans="1:8" ht="15.75" x14ac:dyDescent="0.25">
      <c r="A91" s="960">
        <v>612000</v>
      </c>
      <c r="B91" s="961" t="s">
        <v>460</v>
      </c>
      <c r="C91" s="962"/>
      <c r="D91" s="962"/>
      <c r="E91" s="962">
        <v>346376807</v>
      </c>
      <c r="F91" s="962">
        <v>18382446</v>
      </c>
      <c r="G91" s="962">
        <v>327994361</v>
      </c>
      <c r="H91" s="962"/>
    </row>
    <row r="92" spans="1:8" ht="15.75" x14ac:dyDescent="0.25">
      <c r="A92" s="960">
        <v>616000</v>
      </c>
      <c r="B92" s="961" t="s">
        <v>1548</v>
      </c>
      <c r="C92" s="962"/>
      <c r="D92" s="962"/>
      <c r="E92" s="962">
        <v>86870</v>
      </c>
      <c r="F92" s="962"/>
      <c r="G92" s="962">
        <v>86870</v>
      </c>
      <c r="H92" s="962"/>
    </row>
    <row r="93" spans="1:8" ht="15.75" x14ac:dyDescent="0.25">
      <c r="A93" s="960">
        <v>618100</v>
      </c>
      <c r="B93" s="961" t="s">
        <v>1465</v>
      </c>
      <c r="C93" s="962"/>
      <c r="D93" s="962"/>
      <c r="E93" s="962">
        <v>306500</v>
      </c>
      <c r="F93" s="962"/>
      <c r="G93" s="962">
        <v>306500</v>
      </c>
      <c r="H93" s="962"/>
    </row>
    <row r="94" spans="1:8" ht="15.75" x14ac:dyDescent="0.25">
      <c r="A94" s="960">
        <v>618300</v>
      </c>
      <c r="B94" s="961" t="s">
        <v>1466</v>
      </c>
      <c r="C94" s="962"/>
      <c r="D94" s="962"/>
      <c r="E94" s="962">
        <v>685825</v>
      </c>
      <c r="F94" s="962"/>
      <c r="G94" s="962">
        <v>685825</v>
      </c>
      <c r="H94" s="962"/>
    </row>
    <row r="95" spans="1:8" ht="15.75" x14ac:dyDescent="0.25">
      <c r="A95" s="960">
        <v>622200</v>
      </c>
      <c r="B95" s="961" t="s">
        <v>1467</v>
      </c>
      <c r="C95" s="962"/>
      <c r="D95" s="962"/>
      <c r="E95" s="962">
        <v>8513500</v>
      </c>
      <c r="F95" s="962">
        <v>350000</v>
      </c>
      <c r="G95" s="962">
        <v>8163500</v>
      </c>
      <c r="H95" s="962"/>
    </row>
    <row r="96" spans="1:8" ht="15.75" x14ac:dyDescent="0.25">
      <c r="A96" s="960">
        <v>622300</v>
      </c>
      <c r="B96" s="961" t="s">
        <v>1468</v>
      </c>
      <c r="C96" s="962"/>
      <c r="D96" s="962"/>
      <c r="E96" s="962">
        <v>14162750</v>
      </c>
      <c r="F96" s="962">
        <v>1442750</v>
      </c>
      <c r="G96" s="962">
        <v>12720000</v>
      </c>
      <c r="H96" s="962"/>
    </row>
    <row r="97" spans="1:8" ht="15.75" x14ac:dyDescent="0.25">
      <c r="A97" s="960">
        <v>622800</v>
      </c>
      <c r="B97" s="961" t="s">
        <v>1549</v>
      </c>
      <c r="C97" s="962"/>
      <c r="D97" s="962"/>
      <c r="E97" s="962">
        <v>2299377</v>
      </c>
      <c r="F97" s="962">
        <v>49118</v>
      </c>
      <c r="G97" s="962">
        <v>2250259</v>
      </c>
      <c r="H97" s="962"/>
    </row>
    <row r="98" spans="1:8" ht="15.75" x14ac:dyDescent="0.25">
      <c r="A98" s="960">
        <v>624200</v>
      </c>
      <c r="B98" s="961" t="s">
        <v>1471</v>
      </c>
      <c r="C98" s="962"/>
      <c r="D98" s="962"/>
      <c r="E98" s="962">
        <v>3570579</v>
      </c>
      <c r="F98" s="962">
        <v>295547</v>
      </c>
      <c r="G98" s="962">
        <v>3275032</v>
      </c>
      <c r="H98" s="962"/>
    </row>
    <row r="99" spans="1:8" ht="15.75" x14ac:dyDescent="0.25">
      <c r="A99" s="960">
        <v>624300</v>
      </c>
      <c r="B99" s="961" t="s">
        <v>1550</v>
      </c>
      <c r="C99" s="962"/>
      <c r="D99" s="962"/>
      <c r="E99" s="962">
        <v>5110000</v>
      </c>
      <c r="F99" s="962"/>
      <c r="G99" s="962">
        <v>5110000</v>
      </c>
      <c r="H99" s="962"/>
    </row>
    <row r="100" spans="1:8" ht="15.75" x14ac:dyDescent="0.25">
      <c r="A100" s="960">
        <v>624330</v>
      </c>
      <c r="B100" s="961" t="s">
        <v>1473</v>
      </c>
      <c r="C100" s="962"/>
      <c r="D100" s="962"/>
      <c r="E100" s="962">
        <v>390000</v>
      </c>
      <c r="F100" s="962"/>
      <c r="G100" s="962">
        <v>390000</v>
      </c>
      <c r="H100" s="962"/>
    </row>
    <row r="101" spans="1:8" ht="15.75" x14ac:dyDescent="0.25">
      <c r="A101" s="960">
        <v>624800</v>
      </c>
      <c r="B101" s="961" t="s">
        <v>1551</v>
      </c>
      <c r="C101" s="962"/>
      <c r="D101" s="962"/>
      <c r="E101" s="962">
        <v>931113</v>
      </c>
      <c r="F101" s="962"/>
      <c r="G101" s="962">
        <v>931113</v>
      </c>
      <c r="H101" s="962"/>
    </row>
    <row r="102" spans="1:8" ht="15.75" x14ac:dyDescent="0.25">
      <c r="A102" s="960">
        <v>625100</v>
      </c>
      <c r="B102" s="961" t="s">
        <v>1474</v>
      </c>
      <c r="C102" s="962"/>
      <c r="D102" s="962"/>
      <c r="E102" s="962">
        <v>1459236</v>
      </c>
      <c r="F102" s="962"/>
      <c r="G102" s="962">
        <v>1459236</v>
      </c>
      <c r="H102" s="962"/>
    </row>
    <row r="103" spans="1:8" ht="15.75" x14ac:dyDescent="0.25">
      <c r="A103" s="960">
        <v>625200</v>
      </c>
      <c r="B103" s="961" t="s">
        <v>1475</v>
      </c>
      <c r="C103" s="962"/>
      <c r="D103" s="962"/>
      <c r="E103" s="962">
        <v>981248</v>
      </c>
      <c r="F103" s="962"/>
      <c r="G103" s="962">
        <v>981248</v>
      </c>
      <c r="H103" s="962"/>
    </row>
    <row r="104" spans="1:8" ht="15.75" x14ac:dyDescent="0.25">
      <c r="A104" s="960">
        <v>626500</v>
      </c>
      <c r="B104" s="961" t="s">
        <v>1552</v>
      </c>
      <c r="C104" s="962"/>
      <c r="D104" s="962"/>
      <c r="E104" s="962">
        <v>30000</v>
      </c>
      <c r="F104" s="962"/>
      <c r="G104" s="962">
        <v>30000</v>
      </c>
      <c r="H104" s="962"/>
    </row>
    <row r="105" spans="1:8" ht="15.75" x14ac:dyDescent="0.25">
      <c r="A105" s="960">
        <v>627100</v>
      </c>
      <c r="B105" s="961" t="s">
        <v>1553</v>
      </c>
      <c r="C105" s="962"/>
      <c r="D105" s="962"/>
      <c r="E105" s="962">
        <v>200000</v>
      </c>
      <c r="F105" s="962"/>
      <c r="G105" s="962">
        <v>200000</v>
      </c>
      <c r="H105" s="962"/>
    </row>
    <row r="106" spans="1:8" ht="15.75" x14ac:dyDescent="0.25">
      <c r="A106" s="960">
        <v>628100</v>
      </c>
      <c r="B106" s="961" t="s">
        <v>1476</v>
      </c>
      <c r="C106" s="962"/>
      <c r="D106" s="962"/>
      <c r="E106" s="962">
        <v>6203750</v>
      </c>
      <c r="F106" s="962">
        <v>1837900</v>
      </c>
      <c r="G106" s="962">
        <v>4365850</v>
      </c>
      <c r="H106" s="962"/>
    </row>
    <row r="107" spans="1:8" ht="15.75" x14ac:dyDescent="0.25">
      <c r="A107" s="960">
        <v>628800</v>
      </c>
      <c r="B107" s="961" t="s">
        <v>1477</v>
      </c>
      <c r="C107" s="962"/>
      <c r="D107" s="962"/>
      <c r="E107" s="962">
        <v>1012400</v>
      </c>
      <c r="F107" s="962">
        <v>155000</v>
      </c>
      <c r="G107" s="962">
        <v>857400</v>
      </c>
      <c r="H107" s="962"/>
    </row>
    <row r="108" spans="1:8" ht="15.75" x14ac:dyDescent="0.25">
      <c r="A108" s="960">
        <v>631800</v>
      </c>
      <c r="B108" s="961" t="s">
        <v>474</v>
      </c>
      <c r="C108" s="962"/>
      <c r="D108" s="962"/>
      <c r="E108" s="962">
        <v>3117023</v>
      </c>
      <c r="F108" s="962"/>
      <c r="G108" s="962">
        <v>3117023</v>
      </c>
      <c r="H108" s="962"/>
    </row>
    <row r="109" spans="1:8" ht="15.75" x14ac:dyDescent="0.25">
      <c r="A109" s="960">
        <v>631810</v>
      </c>
      <c r="B109" s="961" t="s">
        <v>1478</v>
      </c>
      <c r="C109" s="962"/>
      <c r="D109" s="962"/>
      <c r="E109" s="962">
        <v>9611023</v>
      </c>
      <c r="F109" s="962"/>
      <c r="G109" s="962">
        <v>9611023</v>
      </c>
      <c r="H109" s="962"/>
    </row>
    <row r="110" spans="1:8" ht="15.75" x14ac:dyDescent="0.25">
      <c r="A110" s="960">
        <v>632400</v>
      </c>
      <c r="B110" s="961" t="s">
        <v>1554</v>
      </c>
      <c r="C110" s="962"/>
      <c r="D110" s="962"/>
      <c r="E110" s="962">
        <v>3000000</v>
      </c>
      <c r="F110" s="962">
        <v>1000000</v>
      </c>
      <c r="G110" s="962">
        <v>2000000</v>
      </c>
      <c r="H110" s="962"/>
    </row>
    <row r="111" spans="1:8" ht="15.75" x14ac:dyDescent="0.25">
      <c r="A111" s="960">
        <v>632410</v>
      </c>
      <c r="B111" s="961" t="s">
        <v>1481</v>
      </c>
      <c r="C111" s="962"/>
      <c r="D111" s="962"/>
      <c r="E111" s="962">
        <v>4050900</v>
      </c>
      <c r="F111" s="962">
        <v>899480</v>
      </c>
      <c r="G111" s="962">
        <v>3151420</v>
      </c>
      <c r="H111" s="962"/>
    </row>
    <row r="112" spans="1:8" ht="15.75" x14ac:dyDescent="0.25">
      <c r="A112" s="960">
        <v>632800</v>
      </c>
      <c r="B112" s="961" t="s">
        <v>1483</v>
      </c>
      <c r="C112" s="962"/>
      <c r="D112" s="962"/>
      <c r="E112" s="962">
        <v>1725285</v>
      </c>
      <c r="F112" s="962"/>
      <c r="G112" s="962">
        <v>1725285</v>
      </c>
      <c r="H112" s="962"/>
    </row>
    <row r="113" spans="1:8" ht="15.75" x14ac:dyDescent="0.25">
      <c r="A113" s="960">
        <v>632801</v>
      </c>
      <c r="B113" s="961" t="s">
        <v>1555</v>
      </c>
      <c r="C113" s="962"/>
      <c r="D113" s="962"/>
      <c r="E113" s="962">
        <v>140990</v>
      </c>
      <c r="F113" s="962"/>
      <c r="G113" s="962">
        <v>140990</v>
      </c>
      <c r="H113" s="962"/>
    </row>
    <row r="114" spans="1:8" ht="15.75" x14ac:dyDescent="0.25">
      <c r="A114" s="960">
        <v>635100</v>
      </c>
      <c r="B114" s="961" t="s">
        <v>478</v>
      </c>
      <c r="C114" s="962"/>
      <c r="D114" s="962"/>
      <c r="E114" s="962">
        <v>90000</v>
      </c>
      <c r="F114" s="962"/>
      <c r="G114" s="962">
        <v>90000</v>
      </c>
      <c r="H114" s="962"/>
    </row>
    <row r="115" spans="1:8" ht="15.75" x14ac:dyDescent="0.25">
      <c r="A115" s="960">
        <v>635101</v>
      </c>
      <c r="B115" s="961" t="s">
        <v>1556</v>
      </c>
      <c r="C115" s="962"/>
      <c r="D115" s="962"/>
      <c r="E115" s="962">
        <v>200000</v>
      </c>
      <c r="F115" s="962"/>
      <c r="G115" s="962">
        <v>200000</v>
      </c>
      <c r="H115" s="962"/>
    </row>
    <row r="116" spans="1:8" ht="15.75" x14ac:dyDescent="0.25">
      <c r="A116" s="960">
        <v>638300</v>
      </c>
      <c r="B116" s="961" t="s">
        <v>1487</v>
      </c>
      <c r="C116" s="962"/>
      <c r="D116" s="962"/>
      <c r="E116" s="962">
        <v>18000</v>
      </c>
      <c r="F116" s="962"/>
      <c r="G116" s="962">
        <v>18000</v>
      </c>
      <c r="H116" s="962"/>
    </row>
    <row r="117" spans="1:8" ht="15.75" x14ac:dyDescent="0.25">
      <c r="A117" s="960">
        <v>646800</v>
      </c>
      <c r="B117" s="961" t="s">
        <v>1557</v>
      </c>
      <c r="C117" s="962"/>
      <c r="D117" s="962"/>
      <c r="E117" s="962">
        <v>35000</v>
      </c>
      <c r="F117" s="962"/>
      <c r="G117" s="962">
        <v>35000</v>
      </c>
      <c r="H117" s="962"/>
    </row>
    <row r="118" spans="1:8" ht="15.75" x14ac:dyDescent="0.25">
      <c r="A118" s="960">
        <v>647800</v>
      </c>
      <c r="B118" s="961" t="s">
        <v>1558</v>
      </c>
      <c r="C118" s="962"/>
      <c r="D118" s="962"/>
      <c r="E118" s="962">
        <v>75000</v>
      </c>
      <c r="F118" s="962"/>
      <c r="G118" s="962">
        <v>75000</v>
      </c>
      <c r="H118" s="962"/>
    </row>
    <row r="119" spans="1:8" ht="15.75" x14ac:dyDescent="0.25">
      <c r="A119" s="960">
        <v>658800</v>
      </c>
      <c r="B119" s="961" t="s">
        <v>493</v>
      </c>
      <c r="C119" s="962"/>
      <c r="D119" s="962"/>
      <c r="E119" s="962">
        <v>67670</v>
      </c>
      <c r="F119" s="962"/>
      <c r="G119" s="962">
        <v>67670</v>
      </c>
      <c r="H119" s="962"/>
    </row>
    <row r="120" spans="1:8" ht="15.75" x14ac:dyDescent="0.25">
      <c r="A120" s="960">
        <v>661100</v>
      </c>
      <c r="B120" s="961" t="s">
        <v>1493</v>
      </c>
      <c r="C120" s="962"/>
      <c r="D120" s="962"/>
      <c r="E120" s="962">
        <v>85757833</v>
      </c>
      <c r="F120" s="962"/>
      <c r="G120" s="962">
        <v>85757833</v>
      </c>
      <c r="H120" s="962"/>
    </row>
    <row r="121" spans="1:8" ht="15.75" x14ac:dyDescent="0.25">
      <c r="A121" s="960">
        <v>661300</v>
      </c>
      <c r="B121" s="961" t="s">
        <v>1559</v>
      </c>
      <c r="C121" s="962"/>
      <c r="D121" s="962"/>
      <c r="E121" s="962">
        <v>10273495</v>
      </c>
      <c r="F121" s="962">
        <v>2303892</v>
      </c>
      <c r="G121" s="962">
        <v>7969603</v>
      </c>
      <c r="H121" s="962"/>
    </row>
    <row r="122" spans="1:8" ht="15.75" x14ac:dyDescent="0.25">
      <c r="A122" s="960">
        <v>661800</v>
      </c>
      <c r="B122" s="961" t="s">
        <v>1495</v>
      </c>
      <c r="C122" s="962"/>
      <c r="D122" s="962"/>
      <c r="E122" s="962">
        <v>46989030</v>
      </c>
      <c r="F122" s="962"/>
      <c r="G122" s="962">
        <v>46989030</v>
      </c>
      <c r="H122" s="962"/>
    </row>
    <row r="123" spans="1:8" ht="15.75" x14ac:dyDescent="0.25">
      <c r="A123" s="960">
        <v>662100</v>
      </c>
      <c r="B123" s="961" t="s">
        <v>1496</v>
      </c>
      <c r="C123" s="962"/>
      <c r="D123" s="962"/>
      <c r="E123" s="962">
        <v>28414973</v>
      </c>
      <c r="F123" s="962">
        <v>1351085</v>
      </c>
      <c r="G123" s="962">
        <v>27063888</v>
      </c>
      <c r="H123" s="962"/>
    </row>
    <row r="124" spans="1:8" ht="15.75" x14ac:dyDescent="0.25">
      <c r="A124" s="960">
        <v>663100</v>
      </c>
      <c r="B124" s="961" t="s">
        <v>1498</v>
      </c>
      <c r="C124" s="962"/>
      <c r="D124" s="962"/>
      <c r="E124" s="962">
        <v>3216000</v>
      </c>
      <c r="F124" s="962"/>
      <c r="G124" s="962">
        <v>3216000</v>
      </c>
      <c r="H124" s="962"/>
    </row>
    <row r="125" spans="1:8" ht="15.75" x14ac:dyDescent="0.25">
      <c r="A125" s="960">
        <v>663400</v>
      </c>
      <c r="B125" s="961" t="s">
        <v>1499</v>
      </c>
      <c r="C125" s="962"/>
      <c r="D125" s="962"/>
      <c r="E125" s="962">
        <v>5360307</v>
      </c>
      <c r="F125" s="962"/>
      <c r="G125" s="962">
        <v>5360307</v>
      </c>
      <c r="H125" s="962"/>
    </row>
    <row r="126" spans="1:8" ht="15.75" x14ac:dyDescent="0.25">
      <c r="A126" s="960">
        <v>663800</v>
      </c>
      <c r="B126" s="961" t="s">
        <v>1500</v>
      </c>
      <c r="C126" s="962"/>
      <c r="D126" s="962"/>
      <c r="E126" s="962">
        <v>4776437</v>
      </c>
      <c r="F126" s="962"/>
      <c r="G126" s="962">
        <v>4776437</v>
      </c>
      <c r="H126" s="962"/>
    </row>
    <row r="127" spans="1:8" ht="15.75" x14ac:dyDescent="0.25">
      <c r="A127" s="960">
        <v>664000</v>
      </c>
      <c r="B127" s="961" t="s">
        <v>497</v>
      </c>
      <c r="C127" s="962"/>
      <c r="D127" s="962"/>
      <c r="E127" s="962">
        <v>5000821</v>
      </c>
      <c r="F127" s="962"/>
      <c r="G127" s="962">
        <v>5000821</v>
      </c>
      <c r="H127" s="962"/>
    </row>
    <row r="128" spans="1:8" ht="15.75" x14ac:dyDescent="0.25">
      <c r="A128" s="960">
        <v>664120</v>
      </c>
      <c r="B128" s="961" t="s">
        <v>1560</v>
      </c>
      <c r="C128" s="962"/>
      <c r="D128" s="962"/>
      <c r="E128" s="962">
        <v>2762138</v>
      </c>
      <c r="F128" s="962">
        <v>176400</v>
      </c>
      <c r="G128" s="962">
        <v>2585738</v>
      </c>
      <c r="H128" s="962"/>
    </row>
    <row r="129" spans="1:8" ht="15.75" x14ac:dyDescent="0.25">
      <c r="A129" s="960">
        <v>664121</v>
      </c>
      <c r="B129" s="961" t="s">
        <v>1561</v>
      </c>
      <c r="C129" s="962"/>
      <c r="D129" s="962"/>
      <c r="E129" s="962">
        <v>4522558</v>
      </c>
      <c r="F129" s="962"/>
      <c r="G129" s="962">
        <v>4522558</v>
      </c>
      <c r="H129" s="962"/>
    </row>
    <row r="130" spans="1:8" ht="15.75" x14ac:dyDescent="0.25">
      <c r="A130" s="960">
        <v>664130</v>
      </c>
      <c r="B130" s="961" t="s">
        <v>1562</v>
      </c>
      <c r="C130" s="962"/>
      <c r="D130" s="962"/>
      <c r="E130" s="962">
        <v>8386885</v>
      </c>
      <c r="F130" s="962">
        <v>329647</v>
      </c>
      <c r="G130" s="962">
        <v>8057238</v>
      </c>
      <c r="H130" s="962"/>
    </row>
    <row r="131" spans="1:8" ht="15.75" x14ac:dyDescent="0.25">
      <c r="A131" s="960">
        <v>664140</v>
      </c>
      <c r="B131" s="961" t="s">
        <v>1563</v>
      </c>
      <c r="C131" s="962"/>
      <c r="D131" s="962"/>
      <c r="E131" s="962">
        <v>1770020</v>
      </c>
      <c r="F131" s="962"/>
      <c r="G131" s="962">
        <v>1770020</v>
      </c>
      <c r="H131" s="962"/>
    </row>
    <row r="132" spans="1:8" ht="15.75" x14ac:dyDescent="0.25">
      <c r="A132" s="960">
        <v>664200</v>
      </c>
      <c r="B132" s="961" t="s">
        <v>1564</v>
      </c>
      <c r="C132" s="962"/>
      <c r="D132" s="962"/>
      <c r="E132" s="962">
        <v>513033</v>
      </c>
      <c r="F132" s="962"/>
      <c r="G132" s="962">
        <v>513033</v>
      </c>
      <c r="H132" s="962"/>
    </row>
    <row r="133" spans="1:8" ht="15.75" x14ac:dyDescent="0.25">
      <c r="A133" s="960">
        <v>664800</v>
      </c>
      <c r="B133" s="961" t="s">
        <v>500</v>
      </c>
      <c r="C133" s="962"/>
      <c r="D133" s="962"/>
      <c r="E133" s="962">
        <v>800000</v>
      </c>
      <c r="F133" s="962"/>
      <c r="G133" s="962">
        <v>800000</v>
      </c>
      <c r="H133" s="962"/>
    </row>
    <row r="134" spans="1:8" ht="15.75" x14ac:dyDescent="0.25">
      <c r="A134" s="960">
        <v>668400</v>
      </c>
      <c r="B134" s="961" t="s">
        <v>1506</v>
      </c>
      <c r="C134" s="962"/>
      <c r="D134" s="962"/>
      <c r="E134" s="962">
        <v>662735</v>
      </c>
      <c r="F134" s="962"/>
      <c r="G134" s="962">
        <v>662735</v>
      </c>
      <c r="H134" s="962"/>
    </row>
    <row r="135" spans="1:8" ht="15.75" x14ac:dyDescent="0.25">
      <c r="A135" s="960">
        <v>668500</v>
      </c>
      <c r="B135" s="961" t="s">
        <v>1507</v>
      </c>
      <c r="C135" s="962"/>
      <c r="D135" s="962"/>
      <c r="E135" s="962">
        <v>3807010</v>
      </c>
      <c r="F135" s="962"/>
      <c r="G135" s="962">
        <v>3807010</v>
      </c>
      <c r="H135" s="962"/>
    </row>
    <row r="136" spans="1:8" ht="15.75" x14ac:dyDescent="0.25">
      <c r="A136" s="960">
        <v>681300</v>
      </c>
      <c r="B136" s="961" t="s">
        <v>1565</v>
      </c>
      <c r="C136" s="962"/>
      <c r="D136" s="962"/>
      <c r="E136" s="962">
        <v>47569542</v>
      </c>
      <c r="F136" s="962">
        <v>23264549</v>
      </c>
      <c r="G136" s="962">
        <v>24304993</v>
      </c>
      <c r="H136" s="962"/>
    </row>
    <row r="137" spans="1:8" ht="15.75" x14ac:dyDescent="0.25">
      <c r="A137" s="960">
        <v>6911000</v>
      </c>
      <c r="B137" s="961" t="s">
        <v>1510</v>
      </c>
      <c r="C137" s="962"/>
      <c r="D137" s="962"/>
      <c r="E137" s="962">
        <v>11082662</v>
      </c>
      <c r="F137" s="962">
        <v>3771900</v>
      </c>
      <c r="G137" s="962">
        <v>7310762</v>
      </c>
      <c r="H137" s="962"/>
    </row>
    <row r="138" spans="1:8" ht="15.75" x14ac:dyDescent="0.25">
      <c r="A138" s="960">
        <v>702200</v>
      </c>
      <c r="B138" s="961" t="s">
        <v>1512</v>
      </c>
      <c r="C138" s="962"/>
      <c r="D138" s="962"/>
      <c r="E138" s="962"/>
      <c r="F138" s="962">
        <v>1872894148</v>
      </c>
      <c r="G138" s="962"/>
      <c r="H138" s="962">
        <v>1872894148</v>
      </c>
    </row>
    <row r="139" spans="1:8" ht="15.75" x14ac:dyDescent="0.25">
      <c r="A139" s="960">
        <v>702201</v>
      </c>
      <c r="B139" s="961" t="s">
        <v>1566</v>
      </c>
      <c r="C139" s="962"/>
      <c r="D139" s="962"/>
      <c r="E139" s="962">
        <v>14316453</v>
      </c>
      <c r="F139" s="962"/>
      <c r="G139" s="962">
        <v>14316453</v>
      </c>
      <c r="H139" s="962"/>
    </row>
    <row r="140" spans="1:8" ht="15.75" x14ac:dyDescent="0.25">
      <c r="A140" s="960">
        <v>702902</v>
      </c>
      <c r="B140" s="961" t="s">
        <v>1567</v>
      </c>
      <c r="C140" s="962"/>
      <c r="D140" s="962"/>
      <c r="E140" s="962">
        <v>1153585</v>
      </c>
      <c r="F140" s="962"/>
      <c r="G140" s="962">
        <v>1153585</v>
      </c>
      <c r="H140" s="962"/>
    </row>
    <row r="141" spans="1:8" ht="15.75" x14ac:dyDescent="0.25">
      <c r="A141" s="960">
        <v>706100</v>
      </c>
      <c r="B141" s="961" t="s">
        <v>1515</v>
      </c>
      <c r="C141" s="962"/>
      <c r="D141" s="962"/>
      <c r="E141" s="962">
        <v>2112000</v>
      </c>
      <c r="F141" s="962">
        <v>14916000</v>
      </c>
      <c r="G141" s="962"/>
      <c r="H141" s="962">
        <v>12804000</v>
      </c>
    </row>
    <row r="142" spans="1:8" ht="15.75" x14ac:dyDescent="0.25">
      <c r="A142" s="960">
        <v>707800</v>
      </c>
      <c r="B142" s="961" t="s">
        <v>1568</v>
      </c>
      <c r="C142" s="962"/>
      <c r="D142" s="962"/>
      <c r="E142" s="962"/>
      <c r="F142" s="962">
        <v>1400000</v>
      </c>
      <c r="G142" s="962"/>
      <c r="H142" s="962">
        <v>1400000</v>
      </c>
    </row>
    <row r="143" spans="1:8" ht="15.75" x14ac:dyDescent="0.25">
      <c r="A143" s="960">
        <v>707810</v>
      </c>
      <c r="B143" s="961" t="s">
        <v>438</v>
      </c>
      <c r="C143" s="962"/>
      <c r="D143" s="962"/>
      <c r="E143" s="962"/>
      <c r="F143" s="962">
        <v>198780</v>
      </c>
      <c r="G143" s="962"/>
      <c r="H143" s="962">
        <v>198780</v>
      </c>
    </row>
    <row r="144" spans="1:8" ht="15.75" x14ac:dyDescent="0.25">
      <c r="A144" s="960">
        <v>758800</v>
      </c>
      <c r="B144" s="961" t="s">
        <v>1569</v>
      </c>
      <c r="C144" s="962"/>
      <c r="D144" s="962"/>
      <c r="E144" s="962">
        <v>347132</v>
      </c>
      <c r="F144" s="962">
        <v>11833669</v>
      </c>
      <c r="G144" s="962"/>
      <c r="H144" s="962">
        <v>11486537</v>
      </c>
    </row>
    <row r="145" spans="1:8" ht="15.75" x14ac:dyDescent="0.25">
      <c r="A145" s="960">
        <v>781000</v>
      </c>
      <c r="B145" s="961" t="s">
        <v>1519</v>
      </c>
      <c r="C145" s="962"/>
      <c r="D145" s="962"/>
      <c r="E145" s="962"/>
      <c r="F145" s="962">
        <v>3216000</v>
      </c>
      <c r="G145" s="962"/>
      <c r="H145" s="962">
        <v>3216000</v>
      </c>
    </row>
    <row r="146" spans="1:8" ht="15.75" x14ac:dyDescent="0.25">
      <c r="A146" s="960">
        <v>781200</v>
      </c>
      <c r="B146" s="961" t="s">
        <v>1570</v>
      </c>
      <c r="C146" s="962"/>
      <c r="D146" s="962"/>
      <c r="E146" s="962"/>
      <c r="F146" s="962">
        <v>2601880</v>
      </c>
      <c r="G146" s="962"/>
      <c r="H146" s="962">
        <v>2601880</v>
      </c>
    </row>
    <row r="147" spans="1:8" ht="15.75" x14ac:dyDescent="0.25">
      <c r="A147" s="960">
        <v>812000</v>
      </c>
      <c r="B147" s="961" t="s">
        <v>1571</v>
      </c>
      <c r="C147" s="962"/>
      <c r="D147" s="962"/>
      <c r="E147" s="962">
        <v>350000</v>
      </c>
      <c r="F147" s="962">
        <v>58333</v>
      </c>
      <c r="G147" s="962">
        <v>291667</v>
      </c>
      <c r="H147" s="962"/>
    </row>
    <row r="148" spans="1:8" ht="15.75" x14ac:dyDescent="0.25">
      <c r="A148" s="960">
        <v>822000</v>
      </c>
      <c r="B148" s="961" t="s">
        <v>1521</v>
      </c>
      <c r="C148" s="962"/>
      <c r="D148" s="962"/>
      <c r="E148" s="962"/>
      <c r="F148" s="962">
        <v>350000</v>
      </c>
      <c r="G148" s="962"/>
      <c r="H148" s="962">
        <v>350000</v>
      </c>
    </row>
    <row r="149" spans="1:8" ht="15.75" x14ac:dyDescent="0.25">
      <c r="A149" s="960">
        <v>891000</v>
      </c>
      <c r="B149" s="961" t="s">
        <v>1522</v>
      </c>
      <c r="C149" s="962"/>
      <c r="D149" s="962"/>
      <c r="E149" s="962">
        <v>23411413</v>
      </c>
      <c r="F149" s="962"/>
      <c r="G149" s="962">
        <v>23411413</v>
      </c>
      <c r="H149" s="962"/>
    </row>
    <row r="150" spans="1:8" x14ac:dyDescent="0.25">
      <c r="A150" s="952"/>
      <c r="B150" s="953"/>
      <c r="C150" s="953"/>
      <c r="D150" s="953"/>
      <c r="E150" s="953"/>
      <c r="F150" s="953"/>
      <c r="G150" s="953"/>
      <c r="H150" s="953"/>
    </row>
    <row r="151" spans="1:8" x14ac:dyDescent="0.25">
      <c r="A151" s="952"/>
      <c r="B151" s="953"/>
      <c r="C151" s="953"/>
      <c r="D151" s="953"/>
      <c r="E151" s="953"/>
      <c r="F151" s="953"/>
      <c r="G151" s="953"/>
      <c r="H151" s="953"/>
    </row>
    <row r="152" spans="1:8" x14ac:dyDescent="0.25">
      <c r="A152" s="952"/>
      <c r="B152" s="953"/>
      <c r="C152" s="953"/>
      <c r="D152" s="953"/>
      <c r="E152" s="953"/>
      <c r="F152" s="953"/>
      <c r="G152" s="953"/>
      <c r="H152" s="953"/>
    </row>
    <row r="153" spans="1:8" x14ac:dyDescent="0.25">
      <c r="A153" s="952"/>
      <c r="B153" s="953"/>
      <c r="C153" s="953"/>
      <c r="D153" s="953"/>
      <c r="E153" s="953"/>
      <c r="F153" s="953"/>
      <c r="G153" s="953"/>
      <c r="H153" s="953"/>
    </row>
    <row r="154" spans="1:8" x14ac:dyDescent="0.25">
      <c r="A154" s="952"/>
      <c r="B154" s="953"/>
      <c r="C154" s="953"/>
      <c r="D154" s="953"/>
      <c r="E154" s="953"/>
      <c r="F154" s="953"/>
      <c r="G154" s="953"/>
      <c r="H154" s="953"/>
    </row>
    <row r="155" spans="1:8" x14ac:dyDescent="0.25">
      <c r="A155" s="952"/>
      <c r="B155" s="953"/>
      <c r="C155" s="953"/>
      <c r="D155" s="953"/>
      <c r="E155" s="953"/>
      <c r="F155" s="953"/>
      <c r="G155" s="953"/>
      <c r="H155" s="953"/>
    </row>
    <row r="156" spans="1:8" x14ac:dyDescent="0.25">
      <c r="A156" s="952"/>
      <c r="B156" s="953"/>
      <c r="C156" s="953"/>
      <c r="D156" s="953"/>
      <c r="E156" s="953"/>
      <c r="F156" s="953"/>
      <c r="G156" s="953"/>
      <c r="H156" s="953"/>
    </row>
    <row r="157" spans="1:8" x14ac:dyDescent="0.25">
      <c r="A157" s="952"/>
      <c r="B157" s="953"/>
      <c r="C157" s="953"/>
      <c r="D157" s="953"/>
      <c r="E157" s="953"/>
      <c r="F157" s="953"/>
      <c r="G157" s="953"/>
      <c r="H157" s="953"/>
    </row>
    <row r="158" spans="1:8" x14ac:dyDescent="0.25">
      <c r="A158" s="952"/>
      <c r="B158" s="953"/>
      <c r="C158" s="953"/>
      <c r="D158" s="953"/>
      <c r="E158" s="953"/>
      <c r="F158" s="953"/>
      <c r="G158" s="953"/>
      <c r="H158" s="953"/>
    </row>
    <row r="159" spans="1:8" x14ac:dyDescent="0.25">
      <c r="A159" s="952"/>
      <c r="B159" s="953"/>
      <c r="C159" s="953"/>
      <c r="D159" s="953"/>
      <c r="E159" s="953"/>
      <c r="F159" s="953"/>
      <c r="G159" s="953"/>
      <c r="H159" s="953"/>
    </row>
    <row r="160" spans="1:8" x14ac:dyDescent="0.25">
      <c r="A160" s="952"/>
      <c r="B160" s="953"/>
      <c r="C160" s="953"/>
      <c r="D160" s="953"/>
      <c r="E160" s="953"/>
      <c r="F160" s="953"/>
      <c r="G160" s="953"/>
      <c r="H160" s="953"/>
    </row>
    <row r="161" spans="1:8" x14ac:dyDescent="0.25">
      <c r="A161" s="952"/>
      <c r="B161" s="953"/>
      <c r="C161" s="953"/>
      <c r="D161" s="953"/>
      <c r="E161" s="953"/>
      <c r="F161" s="953"/>
      <c r="G161" s="953"/>
      <c r="H161" s="953"/>
    </row>
    <row r="162" spans="1:8" x14ac:dyDescent="0.25">
      <c r="A162" s="952"/>
      <c r="B162" s="953"/>
      <c r="C162" s="953"/>
      <c r="D162" s="953"/>
      <c r="E162" s="953"/>
      <c r="F162" s="953"/>
      <c r="G162" s="953"/>
      <c r="H162" s="953"/>
    </row>
    <row r="163" spans="1:8" x14ac:dyDescent="0.25">
      <c r="A163" s="952"/>
      <c r="B163" s="953"/>
      <c r="C163" s="953"/>
      <c r="D163" s="953"/>
      <c r="E163" s="953"/>
      <c r="F163" s="953"/>
      <c r="G163" s="953"/>
      <c r="H163" s="953"/>
    </row>
    <row r="164" spans="1:8" x14ac:dyDescent="0.25">
      <c r="A164" s="952"/>
      <c r="B164" s="953"/>
      <c r="C164" s="953"/>
      <c r="D164" s="953"/>
      <c r="E164" s="953"/>
      <c r="F164" s="953"/>
      <c r="G164" s="953"/>
      <c r="H164" s="953"/>
    </row>
    <row r="165" spans="1:8" x14ac:dyDescent="0.25">
      <c r="A165" s="952"/>
      <c r="B165" s="953"/>
      <c r="C165" s="953"/>
      <c r="D165" s="953"/>
      <c r="E165" s="953"/>
      <c r="F165" s="953"/>
      <c r="G165" s="953"/>
      <c r="H165" s="953"/>
    </row>
    <row r="166" spans="1:8" x14ac:dyDescent="0.25">
      <c r="A166" s="952"/>
      <c r="B166" s="953"/>
      <c r="C166" s="953"/>
      <c r="D166" s="953"/>
      <c r="E166" s="953"/>
      <c r="F166" s="953"/>
      <c r="G166" s="953"/>
      <c r="H166" s="953"/>
    </row>
    <row r="167" spans="1:8" x14ac:dyDescent="0.25">
      <c r="A167" s="952"/>
      <c r="B167" s="953"/>
      <c r="C167" s="953"/>
      <c r="D167" s="953"/>
      <c r="E167" s="953"/>
      <c r="F167" s="953"/>
      <c r="G167" s="953"/>
      <c r="H167" s="953"/>
    </row>
    <row r="168" spans="1:8" x14ac:dyDescent="0.25">
      <c r="A168" s="952"/>
      <c r="B168" s="953"/>
      <c r="C168" s="953"/>
      <c r="D168" s="953"/>
      <c r="E168" s="953"/>
      <c r="F168" s="953"/>
      <c r="G168" s="953"/>
      <c r="H168" s="953"/>
    </row>
    <row r="169" spans="1:8" x14ac:dyDescent="0.25">
      <c r="A169" s="952"/>
      <c r="B169" s="953"/>
      <c r="C169" s="953"/>
      <c r="D169" s="953"/>
      <c r="E169" s="953"/>
      <c r="F169" s="953"/>
      <c r="G169" s="953"/>
      <c r="H169" s="953"/>
    </row>
    <row r="170" spans="1:8" x14ac:dyDescent="0.25">
      <c r="A170" s="952"/>
      <c r="B170" s="953"/>
      <c r="C170" s="953"/>
      <c r="D170" s="953"/>
      <c r="E170" s="953"/>
      <c r="F170" s="953"/>
      <c r="G170" s="953"/>
      <c r="H170" s="953"/>
    </row>
    <row r="171" spans="1:8" x14ac:dyDescent="0.25">
      <c r="A171" s="952"/>
      <c r="B171" s="953"/>
      <c r="C171" s="953"/>
      <c r="D171" s="953"/>
      <c r="E171" s="953"/>
      <c r="F171" s="953"/>
      <c r="G171" s="953"/>
      <c r="H171" s="953"/>
    </row>
    <row r="172" spans="1:8" x14ac:dyDescent="0.25">
      <c r="A172" s="952"/>
      <c r="B172" s="953"/>
      <c r="C172" s="953"/>
      <c r="D172" s="953"/>
      <c r="E172" s="953"/>
      <c r="F172" s="953"/>
      <c r="G172" s="953"/>
      <c r="H172" s="953"/>
    </row>
    <row r="173" spans="1:8" x14ac:dyDescent="0.25">
      <c r="A173" s="952"/>
      <c r="B173" s="953"/>
      <c r="C173" s="953"/>
      <c r="D173" s="953"/>
      <c r="E173" s="953"/>
      <c r="F173" s="953"/>
      <c r="G173" s="953"/>
      <c r="H173" s="953"/>
    </row>
    <row r="174" spans="1:8" x14ac:dyDescent="0.25">
      <c r="A174" s="952"/>
      <c r="B174" s="953"/>
      <c r="C174" s="953"/>
      <c r="D174" s="953"/>
      <c r="E174" s="953"/>
      <c r="F174" s="953"/>
      <c r="G174" s="953"/>
      <c r="H174" s="953"/>
    </row>
    <row r="175" spans="1:8" x14ac:dyDescent="0.25">
      <c r="A175" s="952"/>
      <c r="B175" s="953"/>
      <c r="C175" s="953"/>
      <c r="D175" s="953"/>
      <c r="E175" s="953"/>
      <c r="F175" s="953"/>
      <c r="G175" s="953"/>
      <c r="H175" s="953"/>
    </row>
    <row r="176" spans="1:8" x14ac:dyDescent="0.25">
      <c r="A176" s="952"/>
      <c r="B176" s="953"/>
      <c r="C176" s="953"/>
      <c r="D176" s="953"/>
      <c r="E176" s="953"/>
      <c r="F176" s="953"/>
      <c r="G176" s="953"/>
      <c r="H176" s="953"/>
    </row>
    <row r="177" spans="1:8" x14ac:dyDescent="0.25">
      <c r="A177" s="952"/>
      <c r="B177" s="953"/>
      <c r="C177" s="953"/>
      <c r="D177" s="953"/>
      <c r="E177" s="953"/>
      <c r="F177" s="953"/>
      <c r="G177" s="953"/>
      <c r="H177" s="953"/>
    </row>
    <row r="178" spans="1:8" x14ac:dyDescent="0.25">
      <c r="A178" s="952"/>
      <c r="B178" s="953"/>
      <c r="C178" s="953"/>
      <c r="D178" s="953"/>
      <c r="E178" s="953"/>
      <c r="F178" s="953"/>
      <c r="G178" s="953"/>
      <c r="H178" s="953"/>
    </row>
    <row r="179" spans="1:8" x14ac:dyDescent="0.25">
      <c r="A179" s="952"/>
      <c r="B179" s="953"/>
      <c r="C179" s="953"/>
      <c r="D179" s="953"/>
      <c r="E179" s="953"/>
      <c r="F179" s="953"/>
      <c r="G179" s="953"/>
      <c r="H179" s="953"/>
    </row>
    <row r="180" spans="1:8" x14ac:dyDescent="0.25">
      <c r="A180" s="952"/>
      <c r="B180" s="953"/>
      <c r="C180" s="953"/>
      <c r="D180" s="953"/>
      <c r="E180" s="953"/>
      <c r="F180" s="953"/>
      <c r="G180" s="953"/>
      <c r="H180" s="953"/>
    </row>
    <row r="181" spans="1:8" x14ac:dyDescent="0.25">
      <c r="A181" s="952"/>
      <c r="B181" s="953"/>
      <c r="C181" s="953"/>
      <c r="D181" s="953"/>
      <c r="E181" s="953"/>
      <c r="F181" s="953"/>
      <c r="G181" s="953"/>
      <c r="H181" s="953"/>
    </row>
    <row r="182" spans="1:8" x14ac:dyDescent="0.25">
      <c r="A182" s="952"/>
      <c r="B182" s="953"/>
      <c r="C182" s="953"/>
      <c r="D182" s="953"/>
      <c r="E182" s="953"/>
      <c r="F182" s="953"/>
      <c r="G182" s="953"/>
      <c r="H182" s="953"/>
    </row>
    <row r="183" spans="1:8" x14ac:dyDescent="0.25">
      <c r="A183" s="952"/>
      <c r="B183" s="953"/>
      <c r="C183" s="953"/>
      <c r="D183" s="953"/>
      <c r="E183" s="953"/>
      <c r="F183" s="953"/>
      <c r="G183" s="953"/>
      <c r="H183" s="953"/>
    </row>
    <row r="184" spans="1:8" x14ac:dyDescent="0.25">
      <c r="A184" s="952"/>
      <c r="B184" s="953"/>
      <c r="C184" s="953"/>
      <c r="D184" s="953"/>
      <c r="E184" s="953"/>
      <c r="F184" s="953"/>
      <c r="G184" s="953"/>
      <c r="H184" s="953"/>
    </row>
    <row r="185" spans="1:8" x14ac:dyDescent="0.25">
      <c r="A185" s="952"/>
      <c r="B185" s="953"/>
      <c r="C185" s="953"/>
      <c r="D185" s="953"/>
      <c r="E185" s="953"/>
      <c r="F185" s="953"/>
      <c r="G185" s="953"/>
      <c r="H185" s="953"/>
    </row>
    <row r="186" spans="1:8" x14ac:dyDescent="0.25">
      <c r="A186" s="952"/>
      <c r="B186" s="953"/>
      <c r="C186" s="953"/>
      <c r="D186" s="953"/>
      <c r="E186" s="953"/>
      <c r="F186" s="953"/>
      <c r="G186" s="953"/>
      <c r="H186" s="953"/>
    </row>
    <row r="187" spans="1:8" x14ac:dyDescent="0.25">
      <c r="A187" s="952"/>
      <c r="B187" s="953"/>
      <c r="C187" s="953"/>
      <c r="D187" s="953"/>
      <c r="E187" s="953"/>
      <c r="F187" s="953"/>
      <c r="G187" s="953"/>
      <c r="H187" s="953"/>
    </row>
    <row r="188" spans="1:8" x14ac:dyDescent="0.25">
      <c r="A188" s="952"/>
      <c r="B188" s="953"/>
      <c r="C188" s="953"/>
      <c r="D188" s="953"/>
      <c r="E188" s="953"/>
      <c r="F188" s="953"/>
      <c r="G188" s="953"/>
      <c r="H188" s="953"/>
    </row>
    <row r="189" spans="1:8" x14ac:dyDescent="0.25">
      <c r="A189" s="952"/>
      <c r="B189" s="953"/>
      <c r="C189" s="953"/>
      <c r="D189" s="953"/>
      <c r="E189" s="953"/>
      <c r="F189" s="953"/>
      <c r="G189" s="953"/>
      <c r="H189" s="953"/>
    </row>
    <row r="190" spans="1:8" x14ac:dyDescent="0.25">
      <c r="A190" s="952"/>
      <c r="B190" s="953"/>
      <c r="C190" s="953"/>
      <c r="D190" s="953"/>
      <c r="E190" s="953"/>
      <c r="F190" s="953"/>
      <c r="G190" s="953"/>
      <c r="H190" s="953"/>
    </row>
    <row r="191" spans="1:8" x14ac:dyDescent="0.25">
      <c r="A191" s="952"/>
      <c r="B191" s="953"/>
      <c r="C191" s="953"/>
      <c r="D191" s="953"/>
      <c r="E191" s="953"/>
      <c r="F191" s="953"/>
      <c r="G191" s="953"/>
      <c r="H191" s="953"/>
    </row>
    <row r="192" spans="1:8" x14ac:dyDescent="0.25">
      <c r="A192" s="952"/>
      <c r="B192" s="953"/>
      <c r="C192" s="953"/>
      <c r="D192" s="953"/>
      <c r="E192" s="953"/>
      <c r="F192" s="953"/>
      <c r="G192" s="953"/>
      <c r="H192" s="953"/>
    </row>
    <row r="193" spans="1:8" x14ac:dyDescent="0.25">
      <c r="A193" s="952"/>
      <c r="B193" s="953"/>
      <c r="C193" s="953"/>
      <c r="D193" s="953"/>
      <c r="E193" s="953"/>
      <c r="F193" s="953"/>
      <c r="G193" s="953"/>
      <c r="H193" s="953"/>
    </row>
    <row r="194" spans="1:8" x14ac:dyDescent="0.25">
      <c r="A194" s="952"/>
      <c r="B194" s="953"/>
      <c r="C194" s="953"/>
      <c r="D194" s="953"/>
      <c r="E194" s="953"/>
      <c r="F194" s="953"/>
      <c r="G194" s="953"/>
      <c r="H194" s="953"/>
    </row>
    <row r="195" spans="1:8" x14ac:dyDescent="0.25">
      <c r="A195" s="952"/>
      <c r="B195" s="953"/>
      <c r="C195" s="953"/>
      <c r="D195" s="953"/>
      <c r="E195" s="953"/>
      <c r="F195" s="953"/>
      <c r="G195" s="953"/>
      <c r="H195" s="953"/>
    </row>
    <row r="196" spans="1:8" x14ac:dyDescent="0.25">
      <c r="A196" s="952"/>
      <c r="B196" s="953"/>
      <c r="C196" s="953"/>
      <c r="D196" s="953"/>
      <c r="E196" s="953"/>
      <c r="F196" s="953"/>
      <c r="G196" s="953"/>
      <c r="H196" s="953"/>
    </row>
    <row r="197" spans="1:8" x14ac:dyDescent="0.25">
      <c r="A197" s="952"/>
      <c r="B197" s="953"/>
      <c r="C197" s="953"/>
      <c r="D197" s="953"/>
      <c r="E197" s="953"/>
      <c r="F197" s="953"/>
      <c r="G197" s="953"/>
      <c r="H197" s="953"/>
    </row>
    <row r="198" spans="1:8" x14ac:dyDescent="0.25">
      <c r="A198" s="952"/>
      <c r="B198" s="953"/>
      <c r="C198" s="953"/>
      <c r="D198" s="953"/>
      <c r="E198" s="953"/>
      <c r="F198" s="953"/>
      <c r="G198" s="953"/>
      <c r="H198" s="953"/>
    </row>
    <row r="199" spans="1:8" x14ac:dyDescent="0.25">
      <c r="A199" s="952"/>
      <c r="B199" s="953"/>
      <c r="C199" s="953"/>
      <c r="D199" s="953"/>
      <c r="E199" s="953"/>
      <c r="F199" s="953"/>
      <c r="G199" s="953"/>
      <c r="H199" s="953"/>
    </row>
    <row r="200" spans="1:8" x14ac:dyDescent="0.25">
      <c r="A200" s="952"/>
      <c r="B200" s="953"/>
      <c r="C200" s="953"/>
      <c r="D200" s="953"/>
      <c r="E200" s="953"/>
      <c r="F200" s="953"/>
      <c r="G200" s="953"/>
      <c r="H200" s="953"/>
    </row>
    <row r="201" spans="1:8" x14ac:dyDescent="0.25">
      <c r="A201" s="952"/>
      <c r="B201" s="953"/>
      <c r="C201" s="953"/>
      <c r="D201" s="953"/>
      <c r="E201" s="953"/>
      <c r="F201" s="953"/>
      <c r="G201" s="953"/>
      <c r="H201" s="953"/>
    </row>
    <row r="202" spans="1:8" x14ac:dyDescent="0.25">
      <c r="A202" s="952"/>
      <c r="B202" s="953"/>
      <c r="C202" s="953"/>
      <c r="D202" s="953"/>
      <c r="E202" s="953"/>
      <c r="F202" s="953"/>
      <c r="G202" s="953"/>
      <c r="H202" s="953"/>
    </row>
    <row r="203" spans="1:8" x14ac:dyDescent="0.25">
      <c r="A203" s="952"/>
      <c r="B203" s="953"/>
      <c r="C203" s="953"/>
      <c r="D203" s="953"/>
      <c r="E203" s="953"/>
      <c r="F203" s="953"/>
      <c r="G203" s="953"/>
      <c r="H203" s="953"/>
    </row>
    <row r="204" spans="1:8" x14ac:dyDescent="0.25">
      <c r="A204" s="952"/>
      <c r="B204" s="953"/>
      <c r="C204" s="953"/>
      <c r="D204" s="953"/>
      <c r="E204" s="953"/>
      <c r="F204" s="953"/>
      <c r="G204" s="953"/>
      <c r="H204" s="953"/>
    </row>
    <row r="205" spans="1:8" x14ac:dyDescent="0.25">
      <c r="A205" s="952"/>
      <c r="B205" s="953"/>
      <c r="C205" s="953"/>
      <c r="D205" s="953"/>
      <c r="E205" s="953"/>
      <c r="F205" s="953"/>
      <c r="G205" s="953"/>
      <c r="H205" s="953"/>
    </row>
    <row r="206" spans="1:8" x14ac:dyDescent="0.25">
      <c r="A206" s="952"/>
      <c r="B206" s="953"/>
      <c r="C206" s="953"/>
      <c r="D206" s="953"/>
      <c r="E206" s="953"/>
      <c r="F206" s="953"/>
      <c r="G206" s="953"/>
      <c r="H206" s="953"/>
    </row>
    <row r="207" spans="1:8" x14ac:dyDescent="0.25">
      <c r="A207" s="952"/>
      <c r="B207" s="953"/>
      <c r="C207" s="953"/>
      <c r="D207" s="953"/>
      <c r="E207" s="953"/>
      <c r="F207" s="953"/>
      <c r="G207" s="953"/>
      <c r="H207" s="953"/>
    </row>
    <row r="208" spans="1:8" x14ac:dyDescent="0.25">
      <c r="A208" s="952"/>
      <c r="B208" s="953"/>
      <c r="C208" s="953"/>
      <c r="D208" s="953"/>
      <c r="E208" s="953"/>
      <c r="F208" s="953"/>
      <c r="G208" s="953"/>
      <c r="H208" s="953"/>
    </row>
    <row r="209" spans="1:8" x14ac:dyDescent="0.25">
      <c r="A209" s="952"/>
      <c r="B209" s="953"/>
      <c r="C209" s="953"/>
      <c r="D209" s="953"/>
      <c r="E209" s="953"/>
      <c r="F209" s="953"/>
      <c r="G209" s="953"/>
      <c r="H209" s="953"/>
    </row>
    <row r="210" spans="1:8" x14ac:dyDescent="0.25">
      <c r="A210" s="952"/>
      <c r="B210" s="953"/>
      <c r="C210" s="953"/>
      <c r="D210" s="953"/>
      <c r="E210" s="953"/>
      <c r="F210" s="953"/>
      <c r="G210" s="953"/>
      <c r="H210" s="953"/>
    </row>
    <row r="211" spans="1:8" x14ac:dyDescent="0.25">
      <c r="A211" s="952"/>
      <c r="B211" s="953"/>
      <c r="C211" s="953"/>
      <c r="D211" s="953"/>
      <c r="E211" s="953"/>
      <c r="F211" s="953"/>
      <c r="G211" s="953"/>
      <c r="H211" s="953"/>
    </row>
    <row r="212" spans="1:8" x14ac:dyDescent="0.25">
      <c r="A212" s="952"/>
      <c r="B212" s="953"/>
      <c r="C212" s="953"/>
      <c r="D212" s="953"/>
      <c r="E212" s="953"/>
      <c r="F212" s="953"/>
      <c r="G212" s="953"/>
      <c r="H212" s="953"/>
    </row>
    <row r="213" spans="1:8" x14ac:dyDescent="0.25">
      <c r="A213" s="952"/>
      <c r="B213" s="953"/>
      <c r="C213" s="953"/>
      <c r="D213" s="953"/>
      <c r="E213" s="953"/>
      <c r="F213" s="953"/>
      <c r="G213" s="953"/>
      <c r="H213" s="953"/>
    </row>
    <row r="214" spans="1:8" x14ac:dyDescent="0.25">
      <c r="A214" s="952"/>
      <c r="B214" s="953"/>
      <c r="C214" s="953"/>
      <c r="D214" s="953"/>
      <c r="E214" s="953"/>
      <c r="F214" s="953"/>
      <c r="G214" s="953"/>
      <c r="H214" s="953"/>
    </row>
    <row r="215" spans="1:8" x14ac:dyDescent="0.25">
      <c r="A215" s="952"/>
      <c r="B215" s="953"/>
      <c r="C215" s="953"/>
      <c r="D215" s="953"/>
      <c r="E215" s="953"/>
      <c r="F215" s="953"/>
      <c r="G215" s="953"/>
      <c r="H215" s="953"/>
    </row>
    <row r="216" spans="1:8" x14ac:dyDescent="0.25">
      <c r="A216" s="952"/>
      <c r="B216" s="953"/>
      <c r="C216" s="953"/>
      <c r="D216" s="953"/>
      <c r="E216" s="953"/>
      <c r="F216" s="953"/>
      <c r="G216" s="953"/>
      <c r="H216" s="953"/>
    </row>
    <row r="217" spans="1:8" x14ac:dyDescent="0.25">
      <c r="A217" s="952"/>
      <c r="B217" s="953"/>
      <c r="C217" s="953"/>
      <c r="D217" s="953"/>
      <c r="E217" s="953"/>
      <c r="F217" s="953"/>
      <c r="G217" s="953"/>
      <c r="H217" s="953"/>
    </row>
    <row r="218" spans="1:8" x14ac:dyDescent="0.25">
      <c r="A218" s="952"/>
      <c r="B218" s="953"/>
      <c r="C218" s="953"/>
      <c r="D218" s="953"/>
      <c r="E218" s="953"/>
      <c r="F218" s="953"/>
      <c r="G218" s="953"/>
      <c r="H218" s="953"/>
    </row>
    <row r="219" spans="1:8" x14ac:dyDescent="0.25">
      <c r="A219" s="952"/>
      <c r="B219" s="953"/>
      <c r="C219" s="953"/>
      <c r="D219" s="953"/>
      <c r="E219" s="953"/>
      <c r="F219" s="953"/>
      <c r="G219" s="953"/>
      <c r="H219" s="953"/>
    </row>
    <row r="220" spans="1:8" x14ac:dyDescent="0.25">
      <c r="A220" s="952"/>
      <c r="B220" s="953"/>
      <c r="C220" s="953"/>
      <c r="D220" s="953"/>
      <c r="E220" s="953"/>
      <c r="F220" s="953"/>
      <c r="G220" s="953"/>
      <c r="H220" s="953"/>
    </row>
    <row r="221" spans="1:8" x14ac:dyDescent="0.25">
      <c r="A221" s="952"/>
      <c r="B221" s="953"/>
      <c r="C221" s="953"/>
      <c r="D221" s="953"/>
      <c r="E221" s="953"/>
      <c r="F221" s="953"/>
      <c r="G221" s="953"/>
      <c r="H221" s="953"/>
    </row>
    <row r="222" spans="1:8" x14ac:dyDescent="0.25">
      <c r="A222" s="952"/>
      <c r="B222" s="953"/>
      <c r="C222" s="953"/>
      <c r="D222" s="953"/>
      <c r="E222" s="953"/>
      <c r="F222" s="953"/>
      <c r="G222" s="953"/>
      <c r="H222" s="953"/>
    </row>
    <row r="223" spans="1:8" x14ac:dyDescent="0.25">
      <c r="A223" s="952"/>
      <c r="B223" s="953"/>
      <c r="C223" s="953"/>
      <c r="D223" s="953"/>
      <c r="E223" s="953"/>
      <c r="F223" s="953"/>
      <c r="G223" s="953"/>
      <c r="H223" s="953"/>
    </row>
    <row r="224" spans="1:8" x14ac:dyDescent="0.25">
      <c r="A224" s="952"/>
      <c r="B224" s="953"/>
      <c r="C224" s="953"/>
      <c r="D224" s="953"/>
      <c r="E224" s="953"/>
      <c r="F224" s="953"/>
      <c r="G224" s="953"/>
      <c r="H224" s="953"/>
    </row>
    <row r="225" spans="1:8" x14ac:dyDescent="0.25">
      <c r="A225" s="952"/>
      <c r="B225" s="953"/>
      <c r="C225" s="953"/>
      <c r="D225" s="953"/>
      <c r="E225" s="953"/>
      <c r="F225" s="953"/>
      <c r="G225" s="953"/>
      <c r="H225" s="953"/>
    </row>
    <row r="226" spans="1:8" x14ac:dyDescent="0.25">
      <c r="A226" s="952"/>
      <c r="B226" s="953"/>
      <c r="C226" s="953"/>
      <c r="D226" s="953"/>
      <c r="E226" s="953"/>
      <c r="F226" s="953"/>
      <c r="G226" s="953"/>
      <c r="H226" s="953"/>
    </row>
    <row r="227" spans="1:8" x14ac:dyDescent="0.25">
      <c r="A227" s="952"/>
      <c r="B227" s="953"/>
      <c r="C227" s="953"/>
      <c r="D227" s="953"/>
      <c r="E227" s="953"/>
      <c r="F227" s="953"/>
      <c r="G227" s="953"/>
      <c r="H227" s="953"/>
    </row>
    <row r="228" spans="1:8" x14ac:dyDescent="0.25">
      <c r="A228" s="952"/>
      <c r="B228" s="953"/>
      <c r="C228" s="953"/>
      <c r="D228" s="953"/>
      <c r="E228" s="953"/>
      <c r="F228" s="953"/>
      <c r="G228" s="953"/>
      <c r="H228" s="953"/>
    </row>
    <row r="229" spans="1:8" x14ac:dyDescent="0.25">
      <c r="A229" s="952"/>
      <c r="B229" s="953"/>
      <c r="C229" s="953"/>
      <c r="D229" s="953"/>
      <c r="E229" s="953"/>
      <c r="F229" s="953"/>
      <c r="G229" s="953"/>
      <c r="H229" s="953"/>
    </row>
    <row r="230" spans="1:8" x14ac:dyDescent="0.25">
      <c r="A230" s="952"/>
      <c r="B230" s="953"/>
      <c r="C230" s="953"/>
      <c r="D230" s="953"/>
      <c r="E230" s="953"/>
      <c r="F230" s="953"/>
      <c r="G230" s="953"/>
      <c r="H230" s="953"/>
    </row>
    <row r="231" spans="1:8" x14ac:dyDescent="0.25">
      <c r="A231" s="952"/>
      <c r="B231" s="953"/>
      <c r="C231" s="953"/>
      <c r="D231" s="953"/>
      <c r="E231" s="953"/>
      <c r="F231" s="953"/>
      <c r="G231" s="953"/>
      <c r="H231" s="953"/>
    </row>
    <row r="232" spans="1:8" x14ac:dyDescent="0.25">
      <c r="A232" s="952"/>
      <c r="B232" s="953"/>
      <c r="C232" s="953"/>
      <c r="D232" s="953"/>
      <c r="E232" s="953"/>
      <c r="F232" s="953"/>
      <c r="G232" s="953"/>
      <c r="H232" s="953"/>
    </row>
    <row r="233" spans="1:8" x14ac:dyDescent="0.25">
      <c r="A233" s="952"/>
      <c r="B233" s="953"/>
      <c r="C233" s="953"/>
      <c r="D233" s="953"/>
      <c r="E233" s="953"/>
      <c r="F233" s="953"/>
      <c r="G233" s="953"/>
      <c r="H233" s="953"/>
    </row>
    <row r="234" spans="1:8" x14ac:dyDescent="0.25">
      <c r="A234" s="952"/>
      <c r="B234" s="953"/>
      <c r="C234" s="953"/>
      <c r="D234" s="953"/>
      <c r="E234" s="953"/>
      <c r="F234" s="953"/>
      <c r="G234" s="953"/>
      <c r="H234" s="953"/>
    </row>
    <row r="235" spans="1:8" x14ac:dyDescent="0.25">
      <c r="A235" s="952"/>
      <c r="B235" s="953"/>
      <c r="C235" s="953"/>
      <c r="D235" s="953"/>
      <c r="E235" s="953"/>
      <c r="F235" s="953"/>
      <c r="G235" s="953"/>
      <c r="H235" s="953"/>
    </row>
    <row r="236" spans="1:8" x14ac:dyDescent="0.25">
      <c r="A236" s="952"/>
      <c r="B236" s="953"/>
      <c r="C236" s="953"/>
      <c r="D236" s="953"/>
      <c r="E236" s="953"/>
      <c r="F236" s="953"/>
      <c r="G236" s="953"/>
      <c r="H236" s="953"/>
    </row>
    <row r="237" spans="1:8" x14ac:dyDescent="0.25">
      <c r="A237" s="952"/>
      <c r="B237" s="953"/>
      <c r="C237" s="953"/>
      <c r="D237" s="953"/>
      <c r="E237" s="953"/>
      <c r="F237" s="953"/>
      <c r="G237" s="953"/>
      <c r="H237" s="953"/>
    </row>
    <row r="238" spans="1:8" x14ac:dyDescent="0.25">
      <c r="A238" s="952"/>
      <c r="B238" s="953"/>
      <c r="C238" s="953"/>
      <c r="D238" s="953"/>
      <c r="E238" s="953"/>
      <c r="F238" s="953"/>
      <c r="G238" s="953"/>
      <c r="H238" s="953"/>
    </row>
    <row r="239" spans="1:8" x14ac:dyDescent="0.25">
      <c r="A239" s="952"/>
      <c r="B239" s="953"/>
      <c r="C239" s="953"/>
      <c r="D239" s="953"/>
      <c r="E239" s="953"/>
      <c r="F239" s="953"/>
      <c r="G239" s="953"/>
      <c r="H239" s="953"/>
    </row>
    <row r="240" spans="1:8" x14ac:dyDescent="0.25">
      <c r="A240" s="952"/>
      <c r="B240" s="953"/>
      <c r="C240" s="953"/>
      <c r="D240" s="953"/>
      <c r="E240" s="953"/>
      <c r="F240" s="953"/>
      <c r="G240" s="953"/>
      <c r="H240" s="953"/>
    </row>
    <row r="241" spans="1:8" x14ac:dyDescent="0.25">
      <c r="A241" s="952"/>
      <c r="B241" s="953"/>
      <c r="C241" s="953"/>
      <c r="D241" s="953"/>
      <c r="E241" s="953"/>
      <c r="F241" s="953"/>
      <c r="G241" s="953"/>
      <c r="H241" s="953"/>
    </row>
    <row r="242" spans="1:8" x14ac:dyDescent="0.25">
      <c r="A242" s="952"/>
      <c r="B242" s="953"/>
      <c r="C242" s="953"/>
      <c r="D242" s="953"/>
      <c r="E242" s="953"/>
      <c r="F242" s="953"/>
      <c r="G242" s="953"/>
      <c r="H242" s="953"/>
    </row>
    <row r="243" spans="1:8" x14ac:dyDescent="0.25">
      <c r="A243" s="952"/>
      <c r="B243" s="953"/>
      <c r="C243" s="953"/>
      <c r="D243" s="953"/>
      <c r="E243" s="953"/>
      <c r="F243" s="953"/>
      <c r="G243" s="953"/>
      <c r="H243" s="953"/>
    </row>
    <row r="244" spans="1:8" x14ac:dyDescent="0.25">
      <c r="A244" s="952"/>
      <c r="B244" s="953"/>
      <c r="C244" s="953"/>
      <c r="D244" s="953"/>
      <c r="E244" s="953"/>
      <c r="F244" s="953"/>
      <c r="G244" s="953"/>
      <c r="H244" s="953"/>
    </row>
    <row r="245" spans="1:8" x14ac:dyDescent="0.25">
      <c r="A245" s="952"/>
      <c r="B245" s="953"/>
      <c r="C245" s="953"/>
      <c r="D245" s="953"/>
      <c r="E245" s="953"/>
      <c r="F245" s="953"/>
      <c r="G245" s="953"/>
      <c r="H245" s="953"/>
    </row>
    <row r="246" spans="1:8" x14ac:dyDescent="0.25">
      <c r="A246" s="952"/>
      <c r="B246" s="953"/>
      <c r="C246" s="953"/>
      <c r="D246" s="953"/>
      <c r="E246" s="953"/>
      <c r="F246" s="953"/>
      <c r="G246" s="953"/>
      <c r="H246" s="953"/>
    </row>
    <row r="247" spans="1:8" x14ac:dyDescent="0.25">
      <c r="A247" s="952"/>
      <c r="B247" s="953"/>
      <c r="C247" s="953"/>
      <c r="D247" s="953"/>
      <c r="E247" s="953"/>
      <c r="F247" s="953"/>
      <c r="G247" s="953"/>
      <c r="H247" s="953"/>
    </row>
    <row r="248" spans="1:8" x14ac:dyDescent="0.25">
      <c r="A248" s="952"/>
      <c r="B248" s="953"/>
      <c r="C248" s="953"/>
      <c r="D248" s="953"/>
      <c r="E248" s="953"/>
      <c r="F248" s="953"/>
      <c r="G248" s="953"/>
      <c r="H248" s="953"/>
    </row>
    <row r="249" spans="1:8" x14ac:dyDescent="0.25">
      <c r="A249" s="952"/>
      <c r="B249" s="953"/>
      <c r="C249" s="953"/>
      <c r="D249" s="953"/>
      <c r="E249" s="953"/>
      <c r="F249" s="953"/>
      <c r="G249" s="953"/>
      <c r="H249" s="953"/>
    </row>
    <row r="250" spans="1:8" x14ac:dyDescent="0.25">
      <c r="A250" s="952"/>
      <c r="B250" s="953"/>
      <c r="C250" s="953"/>
      <c r="D250" s="953"/>
      <c r="E250" s="953"/>
      <c r="F250" s="953"/>
      <c r="G250" s="953"/>
      <c r="H250" s="953"/>
    </row>
    <row r="251" spans="1:8" x14ac:dyDescent="0.25">
      <c r="A251" s="952"/>
      <c r="B251" s="953"/>
      <c r="C251" s="953"/>
      <c r="D251" s="953"/>
      <c r="E251" s="953"/>
      <c r="F251" s="953"/>
      <c r="G251" s="953"/>
      <c r="H251" s="953"/>
    </row>
    <row r="252" spans="1:8" x14ac:dyDescent="0.25">
      <c r="A252" s="952"/>
      <c r="B252" s="953"/>
      <c r="C252" s="953"/>
      <c r="D252" s="953"/>
      <c r="E252" s="953"/>
      <c r="F252" s="953"/>
      <c r="G252" s="953"/>
      <c r="H252" s="953"/>
    </row>
    <row r="253" spans="1:8" x14ac:dyDescent="0.25">
      <c r="A253" s="952"/>
      <c r="B253" s="953"/>
      <c r="C253" s="953"/>
      <c r="D253" s="953"/>
      <c r="E253" s="953"/>
      <c r="F253" s="953"/>
      <c r="G253" s="953"/>
      <c r="H253" s="953"/>
    </row>
    <row r="254" spans="1:8" x14ac:dyDescent="0.25">
      <c r="A254" s="952"/>
      <c r="B254" s="953"/>
      <c r="C254" s="953"/>
      <c r="D254" s="953"/>
      <c r="E254" s="953"/>
      <c r="F254" s="953"/>
      <c r="G254" s="953"/>
      <c r="H254" s="953"/>
    </row>
    <row r="255" spans="1:8" x14ac:dyDescent="0.25">
      <c r="A255" s="952"/>
      <c r="B255" s="953"/>
      <c r="C255" s="953"/>
      <c r="D255" s="953"/>
      <c r="E255" s="953"/>
      <c r="F255" s="953"/>
      <c r="G255" s="953"/>
      <c r="H255" s="953"/>
    </row>
    <row r="256" spans="1:8" x14ac:dyDescent="0.25">
      <c r="A256" s="952"/>
      <c r="B256" s="953"/>
      <c r="C256" s="953"/>
      <c r="D256" s="953"/>
      <c r="E256" s="953"/>
      <c r="F256" s="953"/>
      <c r="G256" s="953"/>
      <c r="H256" s="953"/>
    </row>
    <row r="257" spans="1:8" x14ac:dyDescent="0.25">
      <c r="A257" s="952"/>
      <c r="B257" s="953"/>
      <c r="C257" s="953"/>
      <c r="D257" s="953"/>
      <c r="E257" s="953"/>
      <c r="F257" s="953"/>
      <c r="G257" s="953"/>
      <c r="H257" s="953"/>
    </row>
    <row r="258" spans="1:8" x14ac:dyDescent="0.25">
      <c r="A258" s="952"/>
      <c r="B258" s="953"/>
      <c r="C258" s="953"/>
      <c r="D258" s="953"/>
      <c r="E258" s="953"/>
      <c r="F258" s="953"/>
      <c r="G258" s="953"/>
      <c r="H258" s="953"/>
    </row>
    <row r="259" spans="1:8" x14ac:dyDescent="0.25">
      <c r="A259" s="952"/>
      <c r="B259" s="953"/>
      <c r="C259" s="953"/>
      <c r="D259" s="953"/>
      <c r="E259" s="953"/>
      <c r="F259" s="953"/>
      <c r="G259" s="953"/>
      <c r="H259" s="953"/>
    </row>
    <row r="260" spans="1:8" x14ac:dyDescent="0.25">
      <c r="A260" s="952"/>
      <c r="B260" s="953"/>
      <c r="C260" s="953"/>
      <c r="D260" s="953"/>
      <c r="E260" s="953"/>
      <c r="F260" s="953"/>
      <c r="G260" s="953"/>
      <c r="H260" s="953"/>
    </row>
    <row r="261" spans="1:8" x14ac:dyDescent="0.25">
      <c r="A261" s="952"/>
      <c r="B261" s="953"/>
      <c r="C261" s="953"/>
      <c r="D261" s="953"/>
      <c r="E261" s="953"/>
      <c r="F261" s="953"/>
      <c r="G261" s="953"/>
      <c r="H261" s="953"/>
    </row>
    <row r="262" spans="1:8" x14ac:dyDescent="0.25">
      <c r="A262" s="952"/>
      <c r="B262" s="953"/>
      <c r="C262" s="953"/>
      <c r="D262" s="953"/>
      <c r="E262" s="953"/>
      <c r="F262" s="953"/>
      <c r="G262" s="953"/>
      <c r="H262" s="953"/>
    </row>
    <row r="263" spans="1:8" x14ac:dyDescent="0.25">
      <c r="A263" s="952"/>
      <c r="B263" s="953"/>
      <c r="C263" s="953"/>
      <c r="D263" s="953"/>
      <c r="E263" s="953"/>
      <c r="F263" s="953"/>
      <c r="G263" s="953"/>
      <c r="H263" s="953"/>
    </row>
    <row r="264" spans="1:8" x14ac:dyDescent="0.25">
      <c r="A264" s="952"/>
      <c r="B264" s="953"/>
      <c r="C264" s="953"/>
      <c r="D264" s="953"/>
      <c r="E264" s="953"/>
      <c r="F264" s="953"/>
      <c r="G264" s="953"/>
      <c r="H264" s="953"/>
    </row>
    <row r="265" spans="1:8" x14ac:dyDescent="0.25">
      <c r="A265" s="952"/>
      <c r="B265" s="953"/>
      <c r="C265" s="953"/>
      <c r="D265" s="953"/>
      <c r="E265" s="953"/>
      <c r="F265" s="953"/>
      <c r="G265" s="953"/>
      <c r="H265" s="953"/>
    </row>
    <row r="266" spans="1:8" x14ac:dyDescent="0.25">
      <c r="A266" s="952"/>
      <c r="B266" s="953"/>
      <c r="C266" s="953"/>
      <c r="D266" s="953"/>
      <c r="E266" s="953"/>
      <c r="F266" s="953"/>
      <c r="G266" s="953"/>
      <c r="H266" s="953"/>
    </row>
    <row r="267" spans="1:8" x14ac:dyDescent="0.25">
      <c r="A267" s="952"/>
      <c r="B267" s="953"/>
      <c r="C267" s="953"/>
      <c r="D267" s="953"/>
      <c r="E267" s="953"/>
      <c r="F267" s="953"/>
      <c r="G267" s="953"/>
      <c r="H267" s="953"/>
    </row>
    <row r="268" spans="1:8" x14ac:dyDescent="0.25">
      <c r="A268" s="952"/>
      <c r="B268" s="953"/>
      <c r="C268" s="953"/>
      <c r="D268" s="953"/>
      <c r="E268" s="953"/>
      <c r="F268" s="953"/>
      <c r="G268" s="953"/>
      <c r="H268" s="953"/>
    </row>
    <row r="269" spans="1:8" x14ac:dyDescent="0.25">
      <c r="A269" s="952"/>
      <c r="B269" s="953"/>
      <c r="C269" s="953"/>
      <c r="D269" s="953"/>
      <c r="E269" s="953"/>
      <c r="F269" s="953"/>
      <c r="G269" s="953"/>
      <c r="H269" s="953"/>
    </row>
    <row r="270" spans="1:8" x14ac:dyDescent="0.25">
      <c r="A270" s="952"/>
      <c r="B270" s="953"/>
      <c r="C270" s="953"/>
      <c r="D270" s="953"/>
      <c r="E270" s="953"/>
      <c r="F270" s="953"/>
      <c r="G270" s="953"/>
      <c r="H270" s="953"/>
    </row>
    <row r="271" spans="1:8" x14ac:dyDescent="0.25">
      <c r="A271" s="952"/>
      <c r="B271" s="953"/>
      <c r="C271" s="953"/>
      <c r="D271" s="953"/>
      <c r="E271" s="953"/>
      <c r="F271" s="953"/>
      <c r="G271" s="953"/>
      <c r="H271" s="953"/>
    </row>
    <row r="272" spans="1:8" x14ac:dyDescent="0.25">
      <c r="A272" s="952"/>
      <c r="B272" s="953"/>
      <c r="C272" s="953"/>
      <c r="D272" s="953"/>
      <c r="E272" s="953"/>
      <c r="F272" s="953"/>
      <c r="G272" s="953"/>
      <c r="H272" s="953"/>
    </row>
    <row r="273" spans="1:8" x14ac:dyDescent="0.25">
      <c r="A273" s="952"/>
      <c r="B273" s="953"/>
      <c r="C273" s="953"/>
      <c r="D273" s="953"/>
      <c r="E273" s="953"/>
      <c r="F273" s="953"/>
      <c r="G273" s="953"/>
      <c r="H273" s="953"/>
    </row>
    <row r="274" spans="1:8" x14ac:dyDescent="0.25">
      <c r="A274" s="952"/>
      <c r="B274" s="953"/>
      <c r="C274" s="953"/>
      <c r="D274" s="953"/>
      <c r="E274" s="953"/>
      <c r="F274" s="953"/>
      <c r="G274" s="953"/>
      <c r="H274" s="953"/>
    </row>
    <row r="275" spans="1:8" x14ac:dyDescent="0.25">
      <c r="A275" s="952"/>
      <c r="B275" s="953"/>
      <c r="C275" s="953"/>
      <c r="D275" s="953"/>
      <c r="E275" s="953"/>
      <c r="F275" s="953"/>
      <c r="G275" s="953"/>
      <c r="H275" s="953"/>
    </row>
    <row r="276" spans="1:8" x14ac:dyDescent="0.25">
      <c r="A276" s="952"/>
      <c r="B276" s="953"/>
      <c r="C276" s="953"/>
      <c r="D276" s="953"/>
      <c r="E276" s="953"/>
      <c r="F276" s="953"/>
      <c r="G276" s="953"/>
      <c r="H276" s="953"/>
    </row>
    <row r="277" spans="1:8" x14ac:dyDescent="0.25">
      <c r="A277" s="952"/>
      <c r="B277" s="953"/>
      <c r="C277" s="953"/>
      <c r="D277" s="953"/>
      <c r="E277" s="953"/>
      <c r="F277" s="953"/>
      <c r="G277" s="953"/>
      <c r="H277" s="953"/>
    </row>
    <row r="278" spans="1:8" x14ac:dyDescent="0.25">
      <c r="A278" s="952"/>
      <c r="B278" s="953"/>
      <c r="C278" s="953"/>
      <c r="D278" s="953"/>
      <c r="E278" s="953"/>
      <c r="F278" s="953"/>
      <c r="G278" s="953"/>
      <c r="H278" s="953"/>
    </row>
    <row r="279" spans="1:8" x14ac:dyDescent="0.25">
      <c r="A279" s="952"/>
      <c r="B279" s="953"/>
      <c r="C279" s="953"/>
      <c r="D279" s="953"/>
      <c r="E279" s="953"/>
      <c r="F279" s="953"/>
      <c r="G279" s="953"/>
      <c r="H279" s="953"/>
    </row>
    <row r="280" spans="1:8" x14ac:dyDescent="0.25">
      <c r="A280" s="952"/>
      <c r="B280" s="953"/>
      <c r="C280" s="953"/>
      <c r="D280" s="953"/>
      <c r="E280" s="953"/>
      <c r="F280" s="953"/>
      <c r="G280" s="953"/>
      <c r="H280" s="953"/>
    </row>
    <row r="281" spans="1:8" x14ac:dyDescent="0.25">
      <c r="A281" s="952"/>
      <c r="B281" s="953"/>
      <c r="C281" s="953"/>
      <c r="D281" s="953"/>
      <c r="E281" s="953"/>
      <c r="F281" s="953"/>
      <c r="G281" s="953"/>
      <c r="H281" s="953"/>
    </row>
    <row r="282" spans="1:8" x14ac:dyDescent="0.25">
      <c r="A282" s="952"/>
      <c r="B282" s="953"/>
      <c r="C282" s="953"/>
      <c r="D282" s="953"/>
      <c r="E282" s="953"/>
      <c r="F282" s="953"/>
      <c r="G282" s="953"/>
      <c r="H282" s="953"/>
    </row>
    <row r="283" spans="1:8" x14ac:dyDescent="0.25">
      <c r="A283" s="952"/>
      <c r="B283" s="953"/>
      <c r="C283" s="953"/>
      <c r="D283" s="953"/>
      <c r="E283" s="953"/>
      <c r="F283" s="953"/>
      <c r="G283" s="953"/>
      <c r="H283" s="953"/>
    </row>
    <row r="284" spans="1:8" x14ac:dyDescent="0.25">
      <c r="A284" s="952"/>
      <c r="B284" s="953"/>
      <c r="C284" s="953"/>
      <c r="D284" s="953"/>
      <c r="E284" s="953"/>
      <c r="F284" s="953"/>
      <c r="G284" s="953"/>
      <c r="H284" s="953"/>
    </row>
    <row r="285" spans="1:8" x14ac:dyDescent="0.25">
      <c r="A285" s="952"/>
      <c r="B285" s="953"/>
      <c r="C285" s="953"/>
      <c r="D285" s="953"/>
      <c r="E285" s="953"/>
      <c r="F285" s="953"/>
      <c r="G285" s="953"/>
      <c r="H285" s="953"/>
    </row>
    <row r="286" spans="1:8" x14ac:dyDescent="0.25">
      <c r="A286" s="952"/>
      <c r="B286" s="953"/>
      <c r="C286" s="953"/>
      <c r="D286" s="953"/>
      <c r="E286" s="953"/>
      <c r="F286" s="953"/>
      <c r="G286" s="953"/>
      <c r="H286" s="953"/>
    </row>
    <row r="287" spans="1:8" x14ac:dyDescent="0.25">
      <c r="A287" s="952"/>
      <c r="B287" s="953"/>
      <c r="C287" s="953"/>
      <c r="D287" s="953"/>
      <c r="E287" s="953"/>
      <c r="F287" s="953"/>
      <c r="G287" s="953"/>
      <c r="H287" s="953"/>
    </row>
    <row r="288" spans="1:8" x14ac:dyDescent="0.25">
      <c r="A288" s="952"/>
      <c r="B288" s="953"/>
      <c r="C288" s="953"/>
      <c r="D288" s="953"/>
      <c r="E288" s="953"/>
      <c r="F288" s="953"/>
      <c r="G288" s="953"/>
      <c r="H288" s="953"/>
    </row>
    <row r="289" spans="1:8" x14ac:dyDescent="0.25">
      <c r="A289" s="952"/>
      <c r="B289" s="953"/>
      <c r="C289" s="953"/>
      <c r="D289" s="953"/>
      <c r="E289" s="953"/>
      <c r="F289" s="953"/>
      <c r="G289" s="953"/>
      <c r="H289" s="953"/>
    </row>
    <row r="290" spans="1:8" x14ac:dyDescent="0.25">
      <c r="A290" s="952"/>
      <c r="B290" s="953"/>
      <c r="C290" s="953"/>
      <c r="D290" s="953"/>
      <c r="E290" s="953"/>
      <c r="F290" s="953"/>
      <c r="G290" s="953"/>
      <c r="H290" s="953"/>
    </row>
    <row r="291" spans="1:8" x14ac:dyDescent="0.25">
      <c r="A291" s="952"/>
      <c r="B291" s="953"/>
      <c r="C291" s="953"/>
      <c r="D291" s="953"/>
      <c r="E291" s="953"/>
      <c r="F291" s="953"/>
      <c r="G291" s="953"/>
      <c r="H291" s="953"/>
    </row>
    <row r="292" spans="1:8" x14ac:dyDescent="0.25">
      <c r="A292" s="952"/>
      <c r="B292" s="953"/>
      <c r="C292" s="953"/>
      <c r="D292" s="953"/>
      <c r="E292" s="953"/>
      <c r="F292" s="953"/>
      <c r="G292" s="953"/>
      <c r="H292" s="953"/>
    </row>
    <row r="293" spans="1:8" x14ac:dyDescent="0.25">
      <c r="A293" s="952"/>
      <c r="B293" s="953"/>
      <c r="C293" s="953"/>
      <c r="D293" s="953"/>
      <c r="E293" s="953"/>
      <c r="F293" s="953"/>
      <c r="G293" s="953"/>
      <c r="H293" s="953"/>
    </row>
    <row r="294" spans="1:8" x14ac:dyDescent="0.25">
      <c r="A294" s="952"/>
      <c r="B294" s="953"/>
      <c r="C294" s="953"/>
      <c r="D294" s="953"/>
      <c r="E294" s="953"/>
      <c r="F294" s="953"/>
      <c r="G294" s="953"/>
      <c r="H294" s="953"/>
    </row>
    <row r="295" spans="1:8" x14ac:dyDescent="0.25">
      <c r="A295" s="952"/>
      <c r="B295" s="953"/>
      <c r="C295" s="953"/>
      <c r="D295" s="953"/>
      <c r="E295" s="953"/>
      <c r="F295" s="953"/>
      <c r="G295" s="953"/>
      <c r="H295" s="953"/>
    </row>
    <row r="296" spans="1:8" x14ac:dyDescent="0.25">
      <c r="A296" s="952"/>
      <c r="B296" s="953"/>
      <c r="C296" s="953"/>
      <c r="D296" s="953"/>
      <c r="E296" s="953"/>
      <c r="F296" s="953"/>
      <c r="G296" s="953"/>
      <c r="H296" s="953"/>
    </row>
    <row r="297" spans="1:8" x14ac:dyDescent="0.25">
      <c r="A297" s="952"/>
      <c r="B297" s="953"/>
      <c r="C297" s="953"/>
      <c r="D297" s="953"/>
      <c r="E297" s="953"/>
      <c r="F297" s="953"/>
      <c r="G297" s="953"/>
      <c r="H297" s="953"/>
    </row>
    <row r="298" spans="1:8" x14ac:dyDescent="0.25">
      <c r="A298" s="952"/>
      <c r="B298" s="953"/>
      <c r="C298" s="953"/>
      <c r="D298" s="953"/>
      <c r="E298" s="953"/>
      <c r="F298" s="953"/>
      <c r="G298" s="953"/>
      <c r="H298" s="953"/>
    </row>
    <row r="299" spans="1:8" x14ac:dyDescent="0.25">
      <c r="A299" s="952"/>
      <c r="B299" s="953"/>
      <c r="C299" s="953"/>
      <c r="D299" s="953"/>
      <c r="E299" s="953"/>
      <c r="F299" s="953"/>
      <c r="G299" s="953"/>
      <c r="H299" s="953"/>
    </row>
    <row r="300" spans="1:8" x14ac:dyDescent="0.25">
      <c r="A300" s="952"/>
      <c r="B300" s="953"/>
      <c r="C300" s="953"/>
      <c r="D300" s="953"/>
      <c r="E300" s="953"/>
      <c r="F300" s="953"/>
      <c r="G300" s="953"/>
      <c r="H300" s="953"/>
    </row>
    <row r="301" spans="1:8" x14ac:dyDescent="0.25">
      <c r="A301" s="952"/>
      <c r="B301" s="953"/>
      <c r="C301" s="953"/>
      <c r="D301" s="953"/>
      <c r="E301" s="953"/>
      <c r="F301" s="953"/>
      <c r="G301" s="953"/>
      <c r="H301" s="953"/>
    </row>
    <row r="302" spans="1:8" x14ac:dyDescent="0.25">
      <c r="A302" s="952"/>
      <c r="B302" s="953"/>
      <c r="C302" s="953"/>
      <c r="D302" s="953"/>
      <c r="E302" s="953"/>
      <c r="F302" s="953"/>
      <c r="G302" s="953"/>
      <c r="H302" s="953"/>
    </row>
    <row r="303" spans="1:8" x14ac:dyDescent="0.25">
      <c r="A303" s="952"/>
      <c r="B303" s="953"/>
      <c r="C303" s="953"/>
      <c r="D303" s="953"/>
      <c r="E303" s="953"/>
      <c r="F303" s="953"/>
      <c r="G303" s="953"/>
      <c r="H303" s="953"/>
    </row>
    <row r="304" spans="1:8" x14ac:dyDescent="0.25">
      <c r="A304" s="952"/>
      <c r="B304" s="953"/>
      <c r="C304" s="953"/>
      <c r="D304" s="953"/>
      <c r="E304" s="953"/>
      <c r="F304" s="953"/>
      <c r="G304" s="953"/>
      <c r="H304" s="953"/>
    </row>
    <row r="305" spans="1:8" x14ac:dyDescent="0.25">
      <c r="A305" s="952"/>
      <c r="B305" s="953"/>
      <c r="C305" s="953"/>
      <c r="D305" s="953"/>
      <c r="E305" s="953"/>
      <c r="F305" s="953"/>
      <c r="G305" s="953"/>
      <c r="H305" s="953"/>
    </row>
    <row r="306" spans="1:8" x14ac:dyDescent="0.25">
      <c r="A306" s="952"/>
      <c r="B306" s="953"/>
      <c r="C306" s="953"/>
      <c r="D306" s="953"/>
      <c r="E306" s="953"/>
      <c r="F306" s="953"/>
      <c r="G306" s="953"/>
      <c r="H306" s="953"/>
    </row>
    <row r="307" spans="1:8" x14ac:dyDescent="0.25">
      <c r="A307" s="952"/>
      <c r="B307" s="953"/>
      <c r="C307" s="953"/>
      <c r="D307" s="953"/>
      <c r="E307" s="953"/>
      <c r="F307" s="953"/>
      <c r="G307" s="953"/>
      <c r="H307" s="953"/>
    </row>
    <row r="308" spans="1:8" x14ac:dyDescent="0.25">
      <c r="A308" s="952"/>
      <c r="B308" s="953"/>
      <c r="C308" s="953"/>
      <c r="D308" s="953"/>
      <c r="E308" s="953"/>
      <c r="F308" s="953"/>
      <c r="G308" s="953"/>
      <c r="H308" s="953"/>
    </row>
    <row r="309" spans="1:8" x14ac:dyDescent="0.25">
      <c r="A309" s="952"/>
      <c r="B309" s="953"/>
      <c r="C309" s="953"/>
      <c r="D309" s="953"/>
      <c r="E309" s="953"/>
      <c r="F309" s="953"/>
      <c r="G309" s="953"/>
      <c r="H309" s="953"/>
    </row>
    <row r="310" spans="1:8" x14ac:dyDescent="0.25">
      <c r="A310" s="952"/>
      <c r="B310" s="953"/>
      <c r="C310" s="953"/>
      <c r="D310" s="953"/>
      <c r="E310" s="953"/>
      <c r="F310" s="953"/>
      <c r="G310" s="953"/>
      <c r="H310" s="953"/>
    </row>
    <row r="311" spans="1:8" x14ac:dyDescent="0.25">
      <c r="A311" s="952"/>
      <c r="B311" s="953"/>
      <c r="C311" s="953"/>
      <c r="D311" s="953"/>
      <c r="E311" s="953"/>
      <c r="F311" s="953"/>
      <c r="G311" s="953"/>
      <c r="H311" s="953"/>
    </row>
    <row r="312" spans="1:8" x14ac:dyDescent="0.25">
      <c r="A312" s="952"/>
      <c r="B312" s="953"/>
      <c r="C312" s="953"/>
      <c r="D312" s="953"/>
      <c r="E312" s="953"/>
      <c r="F312" s="953"/>
      <c r="G312" s="953"/>
      <c r="H312" s="953"/>
    </row>
    <row r="313" spans="1:8" x14ac:dyDescent="0.25">
      <c r="A313" s="952"/>
      <c r="B313" s="953"/>
      <c r="C313" s="953"/>
      <c r="D313" s="953"/>
      <c r="E313" s="953"/>
      <c r="F313" s="953"/>
      <c r="G313" s="953"/>
      <c r="H313" s="953"/>
    </row>
    <row r="314" spans="1:8" x14ac:dyDescent="0.25">
      <c r="A314" s="952"/>
      <c r="B314" s="953"/>
      <c r="C314" s="953"/>
      <c r="D314" s="953"/>
      <c r="E314" s="953"/>
      <c r="F314" s="953"/>
      <c r="G314" s="953"/>
      <c r="H314" s="953"/>
    </row>
    <row r="315" spans="1:8" x14ac:dyDescent="0.25">
      <c r="A315" s="952"/>
      <c r="B315" s="953"/>
      <c r="C315" s="953"/>
      <c r="D315" s="953"/>
      <c r="E315" s="953"/>
      <c r="F315" s="953"/>
      <c r="G315" s="953"/>
      <c r="H315" s="953"/>
    </row>
    <row r="316" spans="1:8" x14ac:dyDescent="0.25">
      <c r="A316" s="952"/>
      <c r="B316" s="953"/>
      <c r="C316" s="953"/>
      <c r="D316" s="953"/>
      <c r="E316" s="953"/>
      <c r="F316" s="953"/>
      <c r="G316" s="953"/>
      <c r="H316" s="953"/>
    </row>
    <row r="317" spans="1:8" x14ac:dyDescent="0.25">
      <c r="A317" s="952"/>
      <c r="B317" s="953"/>
      <c r="C317" s="953"/>
      <c r="D317" s="953"/>
      <c r="E317" s="953"/>
      <c r="F317" s="953"/>
      <c r="G317" s="953"/>
      <c r="H317" s="953"/>
    </row>
    <row r="318" spans="1:8" x14ac:dyDescent="0.25">
      <c r="A318" s="952"/>
      <c r="B318" s="953"/>
      <c r="C318" s="953"/>
      <c r="D318" s="953"/>
      <c r="E318" s="953"/>
      <c r="F318" s="953"/>
      <c r="G318" s="953"/>
      <c r="H318" s="953"/>
    </row>
    <row r="319" spans="1:8" x14ac:dyDescent="0.25">
      <c r="A319" s="952"/>
      <c r="B319" s="953"/>
      <c r="C319" s="953"/>
      <c r="D319" s="953"/>
      <c r="E319" s="953"/>
      <c r="F319" s="953"/>
      <c r="G319" s="953"/>
      <c r="H319" s="953"/>
    </row>
    <row r="320" spans="1:8" x14ac:dyDescent="0.25">
      <c r="A320" s="952"/>
      <c r="B320" s="953"/>
      <c r="C320" s="953"/>
      <c r="D320" s="953"/>
      <c r="E320" s="953"/>
      <c r="F320" s="953"/>
      <c r="G320" s="953"/>
      <c r="H320" s="953"/>
    </row>
    <row r="321" spans="1:8" x14ac:dyDescent="0.25">
      <c r="A321" s="952"/>
      <c r="B321" s="953"/>
      <c r="C321" s="953"/>
      <c r="D321" s="953"/>
      <c r="E321" s="953"/>
      <c r="F321" s="953"/>
      <c r="G321" s="953"/>
      <c r="H321" s="953"/>
    </row>
    <row r="322" spans="1:8" x14ac:dyDescent="0.25">
      <c r="A322" s="952"/>
      <c r="B322" s="953"/>
      <c r="C322" s="953"/>
      <c r="D322" s="953"/>
      <c r="E322" s="953"/>
      <c r="F322" s="953"/>
      <c r="G322" s="953"/>
      <c r="H322" s="953"/>
    </row>
    <row r="323" spans="1:8" x14ac:dyDescent="0.25">
      <c r="A323" s="952"/>
      <c r="B323" s="953"/>
      <c r="C323" s="953"/>
      <c r="D323" s="953"/>
      <c r="E323" s="953"/>
      <c r="F323" s="953"/>
      <c r="G323" s="953"/>
      <c r="H323" s="953"/>
    </row>
    <row r="324" spans="1:8" x14ac:dyDescent="0.25">
      <c r="A324" s="952"/>
      <c r="B324" s="953"/>
      <c r="C324" s="953"/>
      <c r="D324" s="953"/>
      <c r="E324" s="953"/>
      <c r="F324" s="953"/>
      <c r="G324" s="953"/>
      <c r="H324" s="953"/>
    </row>
    <row r="325" spans="1:8" x14ac:dyDescent="0.25">
      <c r="A325" s="952"/>
      <c r="B325" s="953"/>
      <c r="C325" s="953"/>
      <c r="D325" s="953"/>
      <c r="E325" s="953"/>
      <c r="F325" s="953"/>
      <c r="G325" s="953"/>
      <c r="H325" s="953"/>
    </row>
    <row r="326" spans="1:8" x14ac:dyDescent="0.25">
      <c r="A326" s="952"/>
      <c r="B326" s="953"/>
      <c r="C326" s="953"/>
      <c r="D326" s="953"/>
      <c r="E326" s="953"/>
      <c r="F326" s="953"/>
      <c r="G326" s="953"/>
      <c r="H326" s="953"/>
    </row>
    <row r="327" spans="1:8" x14ac:dyDescent="0.25">
      <c r="A327" s="952"/>
      <c r="B327" s="953"/>
      <c r="C327" s="953"/>
      <c r="D327" s="953"/>
      <c r="E327" s="953"/>
      <c r="F327" s="953"/>
      <c r="G327" s="953"/>
      <c r="H327" s="953"/>
    </row>
    <row r="328" spans="1:8" x14ac:dyDescent="0.25">
      <c r="A328" s="952"/>
      <c r="B328" s="953"/>
      <c r="C328" s="953"/>
      <c r="D328" s="953"/>
      <c r="E328" s="953"/>
      <c r="F328" s="953"/>
      <c r="G328" s="953"/>
      <c r="H328" s="953"/>
    </row>
    <row r="329" spans="1:8" x14ac:dyDescent="0.25">
      <c r="A329" s="952"/>
      <c r="B329" s="953"/>
      <c r="C329" s="953"/>
      <c r="D329" s="953"/>
      <c r="E329" s="953"/>
      <c r="F329" s="953"/>
      <c r="G329" s="953"/>
      <c r="H329" s="953"/>
    </row>
    <row r="330" spans="1:8" x14ac:dyDescent="0.25">
      <c r="A330" s="952"/>
      <c r="B330" s="953"/>
      <c r="C330" s="953"/>
      <c r="D330" s="953"/>
      <c r="E330" s="953"/>
      <c r="F330" s="953"/>
      <c r="G330" s="953"/>
      <c r="H330" s="953"/>
    </row>
    <row r="331" spans="1:8" x14ac:dyDescent="0.25">
      <c r="A331" s="952"/>
      <c r="B331" s="953"/>
      <c r="C331" s="953"/>
      <c r="D331" s="953"/>
      <c r="E331" s="953"/>
      <c r="F331" s="953"/>
      <c r="G331" s="953"/>
      <c r="H331" s="953"/>
    </row>
    <row r="332" spans="1:8" x14ac:dyDescent="0.25">
      <c r="A332" s="952"/>
      <c r="B332" s="953"/>
      <c r="C332" s="953"/>
      <c r="D332" s="953"/>
      <c r="E332" s="953"/>
      <c r="F332" s="953"/>
      <c r="G332" s="953"/>
      <c r="H332" s="953"/>
    </row>
    <row r="333" spans="1:8" x14ac:dyDescent="0.25">
      <c r="A333" s="952"/>
      <c r="B333" s="953"/>
      <c r="C333" s="953"/>
      <c r="D333" s="953"/>
      <c r="E333" s="953"/>
      <c r="F333" s="953"/>
      <c r="G333" s="953"/>
      <c r="H333" s="953"/>
    </row>
    <row r="334" spans="1:8" x14ac:dyDescent="0.25">
      <c r="A334" s="952"/>
      <c r="B334" s="953"/>
      <c r="C334" s="953"/>
      <c r="D334" s="953"/>
      <c r="E334" s="953"/>
      <c r="F334" s="953"/>
      <c r="G334" s="953"/>
      <c r="H334" s="953"/>
    </row>
    <row r="335" spans="1:8" x14ac:dyDescent="0.25">
      <c r="A335" s="952"/>
      <c r="B335" s="953"/>
      <c r="C335" s="953"/>
      <c r="D335" s="953"/>
      <c r="E335" s="953"/>
      <c r="F335" s="953"/>
      <c r="G335" s="953"/>
      <c r="H335" s="953"/>
    </row>
    <row r="336" spans="1:8" x14ac:dyDescent="0.25">
      <c r="A336" s="952"/>
      <c r="B336" s="953"/>
      <c r="C336" s="953"/>
      <c r="D336" s="953"/>
      <c r="E336" s="953"/>
      <c r="F336" s="953"/>
      <c r="G336" s="953"/>
      <c r="H336" s="953"/>
    </row>
    <row r="337" spans="1:8" x14ac:dyDescent="0.25">
      <c r="A337" s="952"/>
      <c r="B337" s="953"/>
      <c r="C337" s="953"/>
      <c r="D337" s="953"/>
      <c r="E337" s="953"/>
      <c r="F337" s="953"/>
      <c r="G337" s="953"/>
      <c r="H337" s="953"/>
    </row>
    <row r="338" spans="1:8" x14ac:dyDescent="0.25">
      <c r="A338" s="952"/>
      <c r="B338" s="953"/>
      <c r="C338" s="953"/>
      <c r="D338" s="953"/>
      <c r="E338" s="953"/>
      <c r="F338" s="953"/>
      <c r="G338" s="953"/>
      <c r="H338" s="953"/>
    </row>
    <row r="339" spans="1:8" x14ac:dyDescent="0.25">
      <c r="A339" s="952"/>
      <c r="B339" s="953"/>
      <c r="C339" s="953"/>
      <c r="D339" s="953"/>
      <c r="E339" s="953"/>
      <c r="F339" s="953"/>
      <c r="G339" s="953"/>
      <c r="H339" s="953"/>
    </row>
    <row r="340" spans="1:8" x14ac:dyDescent="0.25">
      <c r="A340" s="952"/>
      <c r="B340" s="953"/>
      <c r="C340" s="953"/>
      <c r="D340" s="953"/>
      <c r="E340" s="953"/>
      <c r="F340" s="953"/>
      <c r="G340" s="953"/>
      <c r="H340" s="953"/>
    </row>
    <row r="341" spans="1:8" x14ac:dyDescent="0.25">
      <c r="A341" s="952"/>
      <c r="B341" s="953"/>
      <c r="C341" s="953"/>
      <c r="D341" s="953"/>
      <c r="E341" s="953"/>
      <c r="F341" s="953"/>
      <c r="G341" s="953"/>
      <c r="H341" s="953"/>
    </row>
    <row r="342" spans="1:8" x14ac:dyDescent="0.25">
      <c r="A342" s="952"/>
      <c r="B342" s="953"/>
      <c r="C342" s="953"/>
      <c r="D342" s="953"/>
      <c r="E342" s="953"/>
      <c r="F342" s="953"/>
      <c r="G342" s="953"/>
      <c r="H342" s="953"/>
    </row>
    <row r="343" spans="1:8" x14ac:dyDescent="0.25">
      <c r="A343" s="952"/>
      <c r="B343" s="953"/>
      <c r="C343" s="953"/>
      <c r="D343" s="953"/>
      <c r="E343" s="953"/>
      <c r="F343" s="953"/>
      <c r="G343" s="953"/>
      <c r="H343" s="953"/>
    </row>
    <row r="344" spans="1:8" x14ac:dyDescent="0.25">
      <c r="A344" s="952"/>
      <c r="B344" s="953"/>
      <c r="C344" s="953"/>
      <c r="D344" s="953"/>
      <c r="E344" s="953"/>
      <c r="F344" s="953"/>
      <c r="G344" s="953"/>
      <c r="H344" s="953"/>
    </row>
    <row r="345" spans="1:8" x14ac:dyDescent="0.25">
      <c r="A345" s="952"/>
      <c r="B345" s="953"/>
      <c r="C345" s="953"/>
      <c r="D345" s="953"/>
      <c r="E345" s="953"/>
      <c r="F345" s="953"/>
      <c r="G345" s="953"/>
      <c r="H345" s="953"/>
    </row>
    <row r="346" spans="1:8" x14ac:dyDescent="0.25">
      <c r="A346" s="952"/>
      <c r="B346" s="953"/>
      <c r="C346" s="953"/>
      <c r="D346" s="953"/>
      <c r="E346" s="953"/>
      <c r="F346" s="953"/>
      <c r="G346" s="953"/>
      <c r="H346" s="953"/>
    </row>
    <row r="347" spans="1:8" x14ac:dyDescent="0.25">
      <c r="A347" s="952"/>
      <c r="B347" s="953"/>
      <c r="C347" s="953"/>
      <c r="D347" s="953"/>
      <c r="E347" s="953"/>
      <c r="F347" s="953"/>
      <c r="G347" s="953"/>
      <c r="H347" s="953"/>
    </row>
    <row r="348" spans="1:8" x14ac:dyDescent="0.25">
      <c r="A348" s="952"/>
      <c r="B348" s="953"/>
      <c r="C348" s="953"/>
      <c r="D348" s="953"/>
      <c r="E348" s="953"/>
      <c r="F348" s="953"/>
      <c r="G348" s="953"/>
      <c r="H348" s="953"/>
    </row>
    <row r="349" spans="1:8" x14ac:dyDescent="0.25">
      <c r="A349" s="952"/>
      <c r="B349" s="953"/>
      <c r="C349" s="953"/>
      <c r="D349" s="953"/>
      <c r="E349" s="953"/>
      <c r="F349" s="953"/>
      <c r="G349" s="953"/>
      <c r="H349" s="953"/>
    </row>
    <row r="350" spans="1:8" x14ac:dyDescent="0.25">
      <c r="A350" s="952"/>
      <c r="B350" s="953"/>
      <c r="C350" s="953"/>
      <c r="D350" s="953"/>
      <c r="E350" s="953"/>
      <c r="F350" s="953"/>
      <c r="G350" s="953"/>
      <c r="H350" s="953"/>
    </row>
    <row r="351" spans="1:8" x14ac:dyDescent="0.25">
      <c r="A351" s="952"/>
      <c r="B351" s="953"/>
      <c r="C351" s="953"/>
      <c r="D351" s="953"/>
      <c r="E351" s="953"/>
      <c r="F351" s="953"/>
      <c r="G351" s="953"/>
      <c r="H351" s="953"/>
    </row>
    <row r="352" spans="1:8" x14ac:dyDescent="0.25">
      <c r="A352" s="952"/>
      <c r="B352" s="953"/>
      <c r="C352" s="953"/>
      <c r="D352" s="953"/>
      <c r="E352" s="953"/>
      <c r="F352" s="953"/>
      <c r="G352" s="953"/>
      <c r="H352" s="953"/>
    </row>
    <row r="353" spans="1:8" x14ac:dyDescent="0.25">
      <c r="A353" s="952"/>
      <c r="B353" s="953"/>
      <c r="C353" s="953"/>
      <c r="D353" s="953"/>
      <c r="E353" s="953"/>
      <c r="F353" s="953"/>
      <c r="G353" s="953"/>
      <c r="H353" s="953"/>
    </row>
    <row r="354" spans="1:8" x14ac:dyDescent="0.25">
      <c r="A354" s="952"/>
      <c r="B354" s="953"/>
      <c r="C354" s="953"/>
      <c r="D354" s="953"/>
      <c r="E354" s="953"/>
      <c r="F354" s="953"/>
      <c r="G354" s="953"/>
      <c r="H354" s="953"/>
    </row>
    <row r="355" spans="1:8" x14ac:dyDescent="0.25">
      <c r="A355" s="952"/>
      <c r="B355" s="953"/>
      <c r="C355" s="953"/>
      <c r="D355" s="953"/>
      <c r="E355" s="953"/>
      <c r="F355" s="953"/>
      <c r="G355" s="953"/>
      <c r="H355" s="953"/>
    </row>
    <row r="356" spans="1:8" x14ac:dyDescent="0.25">
      <c r="A356" s="952"/>
      <c r="B356" s="953"/>
      <c r="C356" s="953"/>
      <c r="D356" s="953"/>
      <c r="E356" s="953"/>
      <c r="F356" s="953"/>
      <c r="G356" s="953"/>
      <c r="H356" s="953"/>
    </row>
    <row r="357" spans="1:8" x14ac:dyDescent="0.25">
      <c r="A357" s="952"/>
      <c r="B357" s="953"/>
      <c r="C357" s="953"/>
      <c r="D357" s="953"/>
      <c r="E357" s="953"/>
      <c r="F357" s="953"/>
      <c r="G357" s="953"/>
      <c r="H357" s="953"/>
    </row>
    <row r="358" spans="1:8" x14ac:dyDescent="0.25">
      <c r="A358" s="952"/>
      <c r="B358" s="953"/>
      <c r="C358" s="953"/>
      <c r="D358" s="953"/>
      <c r="E358" s="953"/>
      <c r="F358" s="953"/>
      <c r="G358" s="953"/>
      <c r="H358" s="953"/>
    </row>
    <row r="359" spans="1:8" x14ac:dyDescent="0.25">
      <c r="A359" s="952"/>
      <c r="B359" s="953"/>
      <c r="C359" s="953"/>
      <c r="D359" s="953"/>
      <c r="E359" s="953"/>
      <c r="F359" s="953"/>
      <c r="G359" s="953"/>
      <c r="H359" s="953"/>
    </row>
    <row r="360" spans="1:8" x14ac:dyDescent="0.25">
      <c r="A360" s="952"/>
      <c r="B360" s="953"/>
      <c r="C360" s="953"/>
      <c r="D360" s="953"/>
      <c r="E360" s="953"/>
      <c r="F360" s="953"/>
      <c r="G360" s="953"/>
      <c r="H360" s="953"/>
    </row>
    <row r="361" spans="1:8" x14ac:dyDescent="0.25">
      <c r="A361" s="952"/>
      <c r="B361" s="953"/>
      <c r="C361" s="953"/>
      <c r="D361" s="953"/>
      <c r="E361" s="953"/>
      <c r="F361" s="953"/>
      <c r="G361" s="953"/>
      <c r="H361" s="953"/>
    </row>
    <row r="362" spans="1:8" x14ac:dyDescent="0.25">
      <c r="A362" s="952"/>
      <c r="B362" s="953"/>
      <c r="C362" s="953"/>
      <c r="D362" s="953"/>
      <c r="E362" s="953"/>
      <c r="F362" s="953"/>
      <c r="G362" s="953"/>
      <c r="H362" s="953"/>
    </row>
    <row r="363" spans="1:8" x14ac:dyDescent="0.25">
      <c r="A363" s="952"/>
      <c r="B363" s="953"/>
      <c r="C363" s="953"/>
      <c r="D363" s="953"/>
      <c r="E363" s="953"/>
      <c r="F363" s="953"/>
      <c r="G363" s="953"/>
      <c r="H363" s="953"/>
    </row>
    <row r="364" spans="1:8" x14ac:dyDescent="0.25">
      <c r="A364" s="952"/>
      <c r="B364" s="953"/>
      <c r="C364" s="953"/>
      <c r="D364" s="953"/>
      <c r="E364" s="953"/>
      <c r="F364" s="953"/>
      <c r="G364" s="953"/>
      <c r="H364" s="953"/>
    </row>
    <row r="365" spans="1:8" x14ac:dyDescent="0.25">
      <c r="A365" s="952"/>
      <c r="B365" s="953"/>
      <c r="C365" s="953"/>
      <c r="D365" s="953"/>
      <c r="E365" s="953"/>
      <c r="F365" s="953"/>
      <c r="G365" s="953"/>
      <c r="H365" s="953"/>
    </row>
    <row r="366" spans="1:8" x14ac:dyDescent="0.25">
      <c r="A366" s="952"/>
      <c r="B366" s="953"/>
      <c r="C366" s="953"/>
      <c r="D366" s="953"/>
      <c r="E366" s="953"/>
      <c r="F366" s="953"/>
      <c r="G366" s="953"/>
      <c r="H366" s="953"/>
    </row>
    <row r="367" spans="1:8" x14ac:dyDescent="0.25">
      <c r="A367" s="952"/>
      <c r="B367" s="953"/>
      <c r="C367" s="953"/>
      <c r="D367" s="953"/>
      <c r="E367" s="953"/>
      <c r="F367" s="953"/>
      <c r="G367" s="953"/>
      <c r="H367" s="953"/>
    </row>
    <row r="368" spans="1:8" x14ac:dyDescent="0.25">
      <c r="A368" s="952"/>
      <c r="B368" s="953"/>
      <c r="C368" s="953"/>
      <c r="D368" s="953"/>
      <c r="E368" s="953"/>
      <c r="F368" s="953"/>
      <c r="G368" s="953"/>
      <c r="H368" s="953"/>
    </row>
    <row r="369" spans="1:8" x14ac:dyDescent="0.25">
      <c r="A369" s="952"/>
      <c r="B369" s="953"/>
      <c r="C369" s="953"/>
      <c r="D369" s="953"/>
      <c r="E369" s="953"/>
      <c r="F369" s="953"/>
      <c r="G369" s="953"/>
      <c r="H369" s="953"/>
    </row>
    <row r="370" spans="1:8" x14ac:dyDescent="0.25">
      <c r="A370" s="952"/>
      <c r="B370" s="953"/>
      <c r="C370" s="953"/>
      <c r="D370" s="953"/>
      <c r="E370" s="953"/>
      <c r="F370" s="953"/>
      <c r="G370" s="953"/>
      <c r="H370" s="953"/>
    </row>
    <row r="371" spans="1:8" x14ac:dyDescent="0.25">
      <c r="A371" s="952"/>
      <c r="B371" s="953"/>
      <c r="C371" s="953"/>
      <c r="D371" s="953"/>
      <c r="E371" s="953"/>
      <c r="F371" s="953"/>
      <c r="G371" s="953"/>
      <c r="H371" s="953"/>
    </row>
    <row r="372" spans="1:8" x14ac:dyDescent="0.25">
      <c r="A372" s="952"/>
      <c r="B372" s="953"/>
      <c r="C372" s="953"/>
      <c r="D372" s="953"/>
      <c r="E372" s="953"/>
      <c r="F372" s="953"/>
      <c r="G372" s="953"/>
      <c r="H372" s="953"/>
    </row>
    <row r="373" spans="1:8" x14ac:dyDescent="0.25">
      <c r="A373" s="952"/>
      <c r="B373" s="953"/>
      <c r="C373" s="953"/>
      <c r="D373" s="953"/>
      <c r="E373" s="953"/>
      <c r="F373" s="953"/>
      <c r="G373" s="953"/>
      <c r="H373" s="953"/>
    </row>
    <row r="374" spans="1:8" x14ac:dyDescent="0.25">
      <c r="A374" s="952"/>
      <c r="B374" s="953"/>
      <c r="C374" s="953"/>
      <c r="D374" s="953"/>
      <c r="E374" s="953"/>
      <c r="F374" s="953"/>
      <c r="G374" s="953"/>
      <c r="H374" s="953"/>
    </row>
    <row r="375" spans="1:8" x14ac:dyDescent="0.25">
      <c r="A375" s="952"/>
      <c r="B375" s="953"/>
      <c r="C375" s="953"/>
      <c r="D375" s="953"/>
      <c r="E375" s="953"/>
      <c r="F375" s="953"/>
      <c r="G375" s="953"/>
      <c r="H375" s="953"/>
    </row>
    <row r="376" spans="1:8" x14ac:dyDescent="0.25">
      <c r="A376" s="952"/>
      <c r="B376" s="953"/>
      <c r="C376" s="953"/>
      <c r="D376" s="953"/>
      <c r="E376" s="953"/>
      <c r="F376" s="953"/>
      <c r="G376" s="953"/>
      <c r="H376" s="953"/>
    </row>
    <row r="377" spans="1:8" x14ac:dyDescent="0.25">
      <c r="A377" s="952"/>
      <c r="B377" s="953"/>
      <c r="C377" s="953"/>
      <c r="D377" s="953"/>
      <c r="E377" s="953"/>
      <c r="F377" s="953"/>
      <c r="G377" s="953"/>
      <c r="H377" s="953"/>
    </row>
    <row r="378" spans="1:8" x14ac:dyDescent="0.25">
      <c r="A378" s="952"/>
      <c r="B378" s="953"/>
      <c r="C378" s="953"/>
      <c r="D378" s="953"/>
      <c r="E378" s="953"/>
      <c r="F378" s="953"/>
      <c r="G378" s="953"/>
      <c r="H378" s="953"/>
    </row>
    <row r="379" spans="1:8" x14ac:dyDescent="0.25">
      <c r="A379" s="952"/>
      <c r="B379" s="953"/>
      <c r="C379" s="953"/>
      <c r="D379" s="953"/>
      <c r="E379" s="953"/>
      <c r="F379" s="953"/>
      <c r="G379" s="953"/>
      <c r="H379" s="953"/>
    </row>
    <row r="380" spans="1:8" x14ac:dyDescent="0.25">
      <c r="A380" s="952"/>
      <c r="B380" s="953"/>
      <c r="C380" s="953"/>
      <c r="D380" s="953"/>
      <c r="E380" s="953"/>
      <c r="F380" s="953"/>
      <c r="G380" s="953"/>
      <c r="H380" s="953"/>
    </row>
    <row r="381" spans="1:8" x14ac:dyDescent="0.25">
      <c r="A381" s="952"/>
      <c r="B381" s="953"/>
      <c r="C381" s="953"/>
      <c r="D381" s="953"/>
      <c r="E381" s="953"/>
      <c r="F381" s="953"/>
      <c r="G381" s="953"/>
      <c r="H381" s="953"/>
    </row>
    <row r="382" spans="1:8" x14ac:dyDescent="0.25">
      <c r="A382" s="952"/>
      <c r="B382" s="953"/>
      <c r="C382" s="953"/>
      <c r="D382" s="953"/>
      <c r="E382" s="953"/>
      <c r="F382" s="953"/>
      <c r="G382" s="953"/>
      <c r="H382" s="953"/>
    </row>
    <row r="383" spans="1:8" x14ac:dyDescent="0.25">
      <c r="A383" s="952"/>
      <c r="B383" s="953"/>
      <c r="C383" s="953"/>
      <c r="D383" s="953"/>
      <c r="E383" s="953"/>
      <c r="F383" s="953"/>
      <c r="G383" s="953"/>
      <c r="H383" s="953"/>
    </row>
    <row r="384" spans="1:8" x14ac:dyDescent="0.25">
      <c r="A384" s="952"/>
      <c r="B384" s="953"/>
      <c r="C384" s="953"/>
      <c r="D384" s="953"/>
      <c r="E384" s="953"/>
      <c r="F384" s="953"/>
      <c r="G384" s="953"/>
      <c r="H384" s="953"/>
    </row>
    <row r="385" spans="1:8" x14ac:dyDescent="0.25">
      <c r="A385" s="952"/>
      <c r="B385" s="953"/>
      <c r="C385" s="953"/>
      <c r="D385" s="953"/>
      <c r="E385" s="953"/>
      <c r="F385" s="953"/>
      <c r="G385" s="953"/>
      <c r="H385" s="953"/>
    </row>
    <row r="386" spans="1:8" x14ac:dyDescent="0.25">
      <c r="A386" s="952"/>
      <c r="B386" s="953"/>
      <c r="C386" s="953"/>
      <c r="D386" s="953"/>
      <c r="E386" s="953"/>
      <c r="F386" s="953"/>
      <c r="G386" s="953"/>
      <c r="H386" s="953"/>
    </row>
    <row r="387" spans="1:8" x14ac:dyDescent="0.25">
      <c r="A387" s="952"/>
      <c r="B387" s="953"/>
      <c r="C387" s="953"/>
      <c r="D387" s="953"/>
      <c r="E387" s="953"/>
      <c r="F387" s="953"/>
      <c r="G387" s="953"/>
      <c r="H387" s="953"/>
    </row>
    <row r="388" spans="1:8" x14ac:dyDescent="0.25">
      <c r="A388" s="952"/>
      <c r="B388" s="953"/>
      <c r="C388" s="953"/>
      <c r="D388" s="953"/>
      <c r="E388" s="953"/>
      <c r="F388" s="953"/>
      <c r="G388" s="953"/>
      <c r="H388" s="953"/>
    </row>
    <row r="389" spans="1:8" x14ac:dyDescent="0.25">
      <c r="A389" s="952"/>
      <c r="B389" s="953"/>
      <c r="C389" s="953"/>
      <c r="D389" s="953"/>
      <c r="E389" s="953"/>
      <c r="F389" s="953"/>
      <c r="G389" s="953"/>
      <c r="H389" s="953"/>
    </row>
    <row r="390" spans="1:8" x14ac:dyDescent="0.25">
      <c r="A390" s="952"/>
      <c r="B390" s="953"/>
      <c r="C390" s="953"/>
      <c r="D390" s="953"/>
      <c r="E390" s="953"/>
      <c r="F390" s="953"/>
      <c r="G390" s="953"/>
      <c r="H390" s="953"/>
    </row>
    <row r="391" spans="1:8" x14ac:dyDescent="0.25">
      <c r="A391" s="952"/>
      <c r="B391" s="953"/>
      <c r="C391" s="953"/>
      <c r="D391" s="953"/>
      <c r="E391" s="953"/>
      <c r="F391" s="953"/>
      <c r="G391" s="953"/>
      <c r="H391" s="953"/>
    </row>
    <row r="392" spans="1:8" x14ac:dyDescent="0.25">
      <c r="A392" s="952"/>
      <c r="B392" s="953"/>
      <c r="C392" s="953"/>
      <c r="D392" s="953"/>
      <c r="E392" s="953"/>
      <c r="F392" s="953"/>
      <c r="G392" s="953"/>
      <c r="H392" s="953"/>
    </row>
    <row r="393" spans="1:8" x14ac:dyDescent="0.25">
      <c r="A393" s="952"/>
      <c r="B393" s="953"/>
      <c r="C393" s="953"/>
      <c r="D393" s="953"/>
      <c r="E393" s="953"/>
      <c r="F393" s="953"/>
      <c r="G393" s="953"/>
      <c r="H393" s="953"/>
    </row>
    <row r="394" spans="1:8" x14ac:dyDescent="0.25">
      <c r="A394" s="952"/>
      <c r="B394" s="953"/>
      <c r="C394" s="953"/>
      <c r="D394" s="953"/>
      <c r="E394" s="953"/>
      <c r="F394" s="953"/>
      <c r="G394" s="953"/>
      <c r="H394" s="953"/>
    </row>
    <row r="395" spans="1:8" x14ac:dyDescent="0.25">
      <c r="A395" s="952"/>
      <c r="B395" s="953"/>
      <c r="C395" s="953"/>
      <c r="D395" s="953"/>
      <c r="E395" s="953"/>
      <c r="F395" s="953"/>
      <c r="G395" s="953"/>
      <c r="H395" s="953"/>
    </row>
    <row r="396" spans="1:8" x14ac:dyDescent="0.25">
      <c r="A396" s="952"/>
      <c r="B396" s="953"/>
      <c r="C396" s="953"/>
      <c r="D396" s="953"/>
      <c r="E396" s="953"/>
      <c r="F396" s="953"/>
      <c r="G396" s="953"/>
      <c r="H396" s="953"/>
    </row>
    <row r="397" spans="1:8" x14ac:dyDescent="0.25">
      <c r="A397" s="952"/>
      <c r="B397" s="953"/>
      <c r="C397" s="953"/>
      <c r="D397" s="953"/>
      <c r="E397" s="953"/>
      <c r="F397" s="953"/>
      <c r="G397" s="953"/>
      <c r="H397" s="953"/>
    </row>
    <row r="398" spans="1:8" x14ac:dyDescent="0.25">
      <c r="A398" s="952"/>
      <c r="B398" s="953"/>
      <c r="C398" s="953"/>
      <c r="D398" s="953"/>
      <c r="E398" s="953"/>
      <c r="F398" s="953"/>
      <c r="G398" s="953"/>
      <c r="H398" s="953"/>
    </row>
    <row r="399" spans="1:8" x14ac:dyDescent="0.25">
      <c r="A399" s="952"/>
      <c r="B399" s="953"/>
      <c r="C399" s="953"/>
      <c r="D399" s="953"/>
      <c r="E399" s="953"/>
      <c r="F399" s="953"/>
      <c r="G399" s="953"/>
      <c r="H399" s="953"/>
    </row>
    <row r="400" spans="1:8" x14ac:dyDescent="0.25">
      <c r="A400" s="952"/>
      <c r="B400" s="953"/>
      <c r="C400" s="953"/>
      <c r="D400" s="953"/>
      <c r="E400" s="953"/>
      <c r="F400" s="953"/>
      <c r="G400" s="953"/>
      <c r="H400" s="953"/>
    </row>
    <row r="401" spans="1:8" x14ac:dyDescent="0.25">
      <c r="A401" s="952"/>
      <c r="B401" s="953"/>
      <c r="C401" s="953"/>
      <c r="D401" s="953"/>
      <c r="E401" s="953"/>
      <c r="F401" s="953"/>
      <c r="G401" s="953"/>
      <c r="H401" s="953"/>
    </row>
    <row r="402" spans="1:8" x14ac:dyDescent="0.25">
      <c r="A402" s="952"/>
      <c r="B402" s="953"/>
      <c r="C402" s="953"/>
      <c r="D402" s="953"/>
      <c r="E402" s="953"/>
      <c r="F402" s="953"/>
      <c r="G402" s="953"/>
      <c r="H402" s="953"/>
    </row>
    <row r="403" spans="1:8" x14ac:dyDescent="0.25">
      <c r="A403" s="952"/>
      <c r="B403" s="953"/>
      <c r="C403" s="953"/>
      <c r="D403" s="953"/>
      <c r="E403" s="953"/>
      <c r="F403" s="953"/>
      <c r="G403" s="953"/>
      <c r="H403" s="953"/>
    </row>
    <row r="404" spans="1:8" x14ac:dyDescent="0.25">
      <c r="A404" s="952"/>
      <c r="B404" s="953"/>
      <c r="C404" s="953"/>
      <c r="D404" s="953"/>
      <c r="E404" s="953"/>
      <c r="F404" s="953"/>
      <c r="G404" s="953"/>
      <c r="H404" s="953"/>
    </row>
    <row r="405" spans="1:8" x14ac:dyDescent="0.25">
      <c r="A405" s="952"/>
      <c r="B405" s="953"/>
      <c r="C405" s="953"/>
      <c r="D405" s="953"/>
      <c r="E405" s="953"/>
      <c r="F405" s="953"/>
      <c r="G405" s="953"/>
      <c r="H405" s="953"/>
    </row>
    <row r="406" spans="1:8" x14ac:dyDescent="0.25">
      <c r="A406" s="952"/>
      <c r="B406" s="953"/>
      <c r="C406" s="953"/>
      <c r="D406" s="953"/>
      <c r="E406" s="953"/>
      <c r="F406" s="953"/>
      <c r="G406" s="953"/>
      <c r="H406" s="953"/>
    </row>
    <row r="407" spans="1:8" x14ac:dyDescent="0.25">
      <c r="A407" s="952"/>
      <c r="B407" s="953"/>
      <c r="C407" s="953"/>
      <c r="D407" s="953"/>
      <c r="E407" s="953"/>
      <c r="F407" s="953"/>
      <c r="G407" s="953"/>
      <c r="H407" s="953"/>
    </row>
    <row r="408" spans="1:8" x14ac:dyDescent="0.25">
      <c r="A408" s="952"/>
      <c r="B408" s="953"/>
      <c r="C408" s="953"/>
      <c r="D408" s="953"/>
      <c r="E408" s="953"/>
      <c r="F408" s="953"/>
      <c r="G408" s="953"/>
      <c r="H408" s="953"/>
    </row>
    <row r="409" spans="1:8" x14ac:dyDescent="0.25">
      <c r="A409" s="952"/>
      <c r="B409" s="953"/>
      <c r="C409" s="953"/>
      <c r="D409" s="953"/>
      <c r="E409" s="953"/>
      <c r="F409" s="953"/>
      <c r="G409" s="953"/>
      <c r="H409" s="953"/>
    </row>
    <row r="410" spans="1:8" x14ac:dyDescent="0.25">
      <c r="A410" s="952"/>
      <c r="B410" s="953"/>
      <c r="C410" s="953"/>
      <c r="D410" s="953"/>
      <c r="E410" s="953"/>
      <c r="F410" s="953"/>
      <c r="G410" s="953"/>
      <c r="H410" s="953"/>
    </row>
    <row r="411" spans="1:8" x14ac:dyDescent="0.25">
      <c r="A411" s="952"/>
      <c r="B411" s="953"/>
      <c r="C411" s="953"/>
      <c r="D411" s="953"/>
      <c r="E411" s="953"/>
      <c r="F411" s="953"/>
      <c r="G411" s="953"/>
      <c r="H411" s="953"/>
    </row>
    <row r="412" spans="1:8" x14ac:dyDescent="0.25">
      <c r="A412" s="952"/>
      <c r="B412" s="953"/>
      <c r="C412" s="953"/>
      <c r="D412" s="953"/>
      <c r="E412" s="953"/>
      <c r="F412" s="953"/>
      <c r="G412" s="953"/>
      <c r="H412" s="953"/>
    </row>
    <row r="413" spans="1:8" x14ac:dyDescent="0.25">
      <c r="A413" s="952"/>
      <c r="B413" s="953"/>
      <c r="C413" s="953"/>
      <c r="D413" s="953"/>
      <c r="E413" s="953"/>
      <c r="F413" s="953"/>
      <c r="G413" s="953"/>
      <c r="H413" s="953"/>
    </row>
    <row r="414" spans="1:8" x14ac:dyDescent="0.25">
      <c r="A414" s="952"/>
      <c r="B414" s="953"/>
      <c r="C414" s="953"/>
      <c r="D414" s="953"/>
      <c r="E414" s="953"/>
      <c r="F414" s="953"/>
      <c r="G414" s="953"/>
      <c r="H414" s="953"/>
    </row>
    <row r="415" spans="1:8" x14ac:dyDescent="0.25">
      <c r="A415" s="952"/>
      <c r="B415" s="953"/>
      <c r="C415" s="953"/>
      <c r="D415" s="953"/>
      <c r="E415" s="953"/>
      <c r="F415" s="953"/>
      <c r="G415" s="953"/>
      <c r="H415" s="953"/>
    </row>
    <row r="416" spans="1:8" x14ac:dyDescent="0.25">
      <c r="A416" s="952"/>
      <c r="B416" s="953"/>
      <c r="C416" s="953"/>
      <c r="D416" s="953"/>
      <c r="E416" s="953"/>
      <c r="F416" s="953"/>
      <c r="G416" s="953"/>
      <c r="H416" s="953"/>
    </row>
    <row r="417" spans="1:8" x14ac:dyDescent="0.25">
      <c r="A417" s="952"/>
      <c r="B417" s="953"/>
      <c r="C417" s="953"/>
      <c r="D417" s="953"/>
      <c r="E417" s="953"/>
      <c r="F417" s="953"/>
      <c r="G417" s="953"/>
      <c r="H417" s="953"/>
    </row>
    <row r="418" spans="1:8" x14ac:dyDescent="0.25">
      <c r="A418" s="952"/>
      <c r="B418" s="953"/>
      <c r="C418" s="953"/>
      <c r="D418" s="953"/>
      <c r="E418" s="953"/>
      <c r="F418" s="953"/>
      <c r="G418" s="953"/>
      <c r="H418" s="953"/>
    </row>
    <row r="419" spans="1:8" x14ac:dyDescent="0.25">
      <c r="A419" s="952"/>
      <c r="B419" s="953"/>
      <c r="C419" s="953"/>
      <c r="D419" s="953"/>
      <c r="E419" s="953"/>
      <c r="F419" s="953"/>
      <c r="G419" s="953"/>
      <c r="H419" s="953"/>
    </row>
    <row r="420" spans="1:8" x14ac:dyDescent="0.25">
      <c r="A420" s="952"/>
      <c r="B420" s="953"/>
      <c r="C420" s="953"/>
      <c r="D420" s="953"/>
      <c r="E420" s="953"/>
      <c r="F420" s="953"/>
      <c r="G420" s="953"/>
      <c r="H420" s="953"/>
    </row>
    <row r="421" spans="1:8" x14ac:dyDescent="0.25">
      <c r="A421" s="952"/>
      <c r="B421" s="953"/>
      <c r="C421" s="953"/>
      <c r="D421" s="953"/>
      <c r="E421" s="953"/>
      <c r="F421" s="953"/>
      <c r="G421" s="953"/>
      <c r="H421" s="953"/>
    </row>
    <row r="422" spans="1:8" x14ac:dyDescent="0.25">
      <c r="A422" s="952"/>
      <c r="B422" s="953"/>
      <c r="C422" s="953"/>
      <c r="D422" s="953"/>
      <c r="E422" s="953"/>
      <c r="F422" s="953"/>
      <c r="G422" s="953"/>
      <c r="H422" s="953"/>
    </row>
    <row r="423" spans="1:8" x14ac:dyDescent="0.25">
      <c r="A423" s="952"/>
      <c r="B423" s="953"/>
      <c r="C423" s="953"/>
      <c r="D423" s="953"/>
      <c r="E423" s="953"/>
      <c r="F423" s="953"/>
      <c r="G423" s="953"/>
      <c r="H423" s="953"/>
    </row>
    <row r="424" spans="1:8" x14ac:dyDescent="0.25">
      <c r="A424" s="952"/>
      <c r="B424" s="953"/>
      <c r="C424" s="953"/>
      <c r="D424" s="953"/>
      <c r="E424" s="953"/>
      <c r="F424" s="953"/>
      <c r="G424" s="953"/>
      <c r="H424" s="953"/>
    </row>
    <row r="425" spans="1:8" x14ac:dyDescent="0.25">
      <c r="A425" s="952"/>
      <c r="B425" s="953"/>
      <c r="C425" s="953"/>
      <c r="D425" s="953"/>
      <c r="E425" s="953"/>
      <c r="F425" s="953"/>
      <c r="G425" s="953"/>
      <c r="H425" s="953"/>
    </row>
    <row r="426" spans="1:8" x14ac:dyDescent="0.25">
      <c r="A426" s="952"/>
      <c r="B426" s="953"/>
      <c r="C426" s="953"/>
      <c r="D426" s="953"/>
      <c r="E426" s="953"/>
      <c r="F426" s="953"/>
      <c r="G426" s="953"/>
      <c r="H426" s="953"/>
    </row>
    <row r="427" spans="1:8" x14ac:dyDescent="0.25">
      <c r="A427" s="952"/>
      <c r="B427" s="953"/>
      <c r="C427" s="953"/>
      <c r="D427" s="953"/>
      <c r="E427" s="953"/>
      <c r="F427" s="953"/>
      <c r="G427" s="953"/>
      <c r="H427" s="953"/>
    </row>
    <row r="428" spans="1:8" x14ac:dyDescent="0.25">
      <c r="A428" s="952"/>
      <c r="B428" s="953"/>
      <c r="C428" s="953"/>
      <c r="D428" s="953"/>
      <c r="E428" s="953"/>
      <c r="F428" s="953"/>
      <c r="G428" s="953"/>
      <c r="H428" s="953"/>
    </row>
    <row r="429" spans="1:8" x14ac:dyDescent="0.25">
      <c r="A429" s="952"/>
      <c r="B429" s="953"/>
      <c r="C429" s="953"/>
      <c r="D429" s="953"/>
      <c r="E429" s="953"/>
      <c r="F429" s="953"/>
      <c r="G429" s="953"/>
      <c r="H429" s="953"/>
    </row>
    <row r="430" spans="1:8" x14ac:dyDescent="0.25">
      <c r="A430" s="952"/>
      <c r="B430" s="953"/>
      <c r="C430" s="953"/>
      <c r="D430" s="953"/>
      <c r="E430" s="953"/>
      <c r="F430" s="953"/>
      <c r="G430" s="953"/>
      <c r="H430" s="953"/>
    </row>
    <row r="431" spans="1:8" x14ac:dyDescent="0.25">
      <c r="A431" s="952"/>
      <c r="B431" s="953"/>
      <c r="C431" s="953"/>
      <c r="D431" s="953"/>
      <c r="E431" s="953"/>
      <c r="F431" s="953"/>
      <c r="G431" s="953"/>
      <c r="H431" s="953"/>
    </row>
    <row r="432" spans="1:8" x14ac:dyDescent="0.25">
      <c r="A432" s="952"/>
      <c r="B432" s="953"/>
      <c r="C432" s="953"/>
      <c r="D432" s="953"/>
      <c r="E432" s="953"/>
      <c r="F432" s="953"/>
      <c r="G432" s="953"/>
      <c r="H432" s="953"/>
    </row>
    <row r="433" spans="1:8" x14ac:dyDescent="0.25">
      <c r="A433" s="952"/>
      <c r="B433" s="953"/>
      <c r="C433" s="953"/>
      <c r="D433" s="953"/>
      <c r="E433" s="953"/>
      <c r="F433" s="953"/>
      <c r="G433" s="953"/>
      <c r="H433" s="953"/>
    </row>
    <row r="434" spans="1:8" x14ac:dyDescent="0.25">
      <c r="A434" s="952"/>
      <c r="B434" s="953"/>
      <c r="C434" s="953"/>
      <c r="D434" s="953"/>
      <c r="E434" s="953"/>
      <c r="F434" s="953"/>
      <c r="G434" s="953"/>
      <c r="H434" s="953"/>
    </row>
    <row r="435" spans="1:8" x14ac:dyDescent="0.25">
      <c r="A435" s="952"/>
      <c r="B435" s="953"/>
      <c r="C435" s="953"/>
      <c r="D435" s="953"/>
      <c r="E435" s="953"/>
      <c r="F435" s="953"/>
      <c r="G435" s="953"/>
      <c r="H435" s="953"/>
    </row>
    <row r="436" spans="1:8" x14ac:dyDescent="0.25">
      <c r="A436" s="952"/>
      <c r="B436" s="953"/>
      <c r="C436" s="953"/>
      <c r="D436" s="953"/>
      <c r="E436" s="953"/>
      <c r="F436" s="953"/>
      <c r="G436" s="953"/>
      <c r="H436" s="953"/>
    </row>
    <row r="437" spans="1:8" x14ac:dyDescent="0.25">
      <c r="A437" s="952"/>
      <c r="B437" s="953"/>
      <c r="C437" s="953"/>
      <c r="D437" s="953"/>
      <c r="E437" s="953"/>
      <c r="F437" s="953"/>
      <c r="G437" s="953"/>
      <c r="H437" s="953"/>
    </row>
    <row r="438" spans="1:8" x14ac:dyDescent="0.25">
      <c r="A438" s="952"/>
      <c r="B438" s="953"/>
      <c r="C438" s="953"/>
      <c r="D438" s="953"/>
      <c r="E438" s="953"/>
      <c r="F438" s="953"/>
      <c r="G438" s="953"/>
      <c r="H438" s="953"/>
    </row>
    <row r="439" spans="1:8" x14ac:dyDescent="0.25">
      <c r="A439" s="952"/>
      <c r="B439" s="953"/>
      <c r="C439" s="953"/>
      <c r="D439" s="953"/>
      <c r="E439" s="953"/>
      <c r="F439" s="953"/>
      <c r="G439" s="953"/>
      <c r="H439" s="953"/>
    </row>
    <row r="440" spans="1:8" x14ac:dyDescent="0.25">
      <c r="A440" s="952"/>
      <c r="B440" s="953"/>
      <c r="C440" s="953"/>
      <c r="D440" s="953"/>
      <c r="E440" s="953"/>
      <c r="F440" s="953"/>
      <c r="G440" s="953"/>
      <c r="H440" s="953"/>
    </row>
    <row r="441" spans="1:8" x14ac:dyDescent="0.25">
      <c r="A441" s="952"/>
      <c r="B441" s="953"/>
      <c r="C441" s="953"/>
      <c r="D441" s="953"/>
      <c r="E441" s="953"/>
      <c r="F441" s="953"/>
      <c r="G441" s="953"/>
      <c r="H441" s="953"/>
    </row>
    <row r="442" spans="1:8" x14ac:dyDescent="0.25">
      <c r="A442" s="952"/>
      <c r="B442" s="953"/>
      <c r="C442" s="953"/>
      <c r="D442" s="953"/>
      <c r="E442" s="953"/>
      <c r="F442" s="953"/>
      <c r="G442" s="953"/>
      <c r="H442" s="953"/>
    </row>
    <row r="443" spans="1:8" x14ac:dyDescent="0.25">
      <c r="A443" s="952"/>
      <c r="B443" s="953"/>
      <c r="C443" s="953"/>
      <c r="D443" s="953"/>
      <c r="E443" s="953"/>
      <c r="F443" s="953"/>
      <c r="G443" s="953"/>
      <c r="H443" s="953"/>
    </row>
    <row r="444" spans="1:8" x14ac:dyDescent="0.25">
      <c r="A444" s="952"/>
      <c r="B444" s="953"/>
      <c r="C444" s="953"/>
      <c r="D444" s="953"/>
      <c r="E444" s="953"/>
      <c r="F444" s="953"/>
      <c r="G444" s="953"/>
      <c r="H444" s="953"/>
    </row>
    <row r="445" spans="1:8" x14ac:dyDescent="0.25">
      <c r="A445" s="952"/>
      <c r="B445" s="953"/>
      <c r="C445" s="953"/>
      <c r="D445" s="953"/>
      <c r="E445" s="953"/>
      <c r="F445" s="953"/>
      <c r="G445" s="953"/>
      <c r="H445" s="953"/>
    </row>
    <row r="446" spans="1:8" x14ac:dyDescent="0.25">
      <c r="A446" s="952"/>
      <c r="B446" s="953"/>
      <c r="C446" s="953"/>
      <c r="D446" s="953"/>
      <c r="E446" s="953"/>
      <c r="F446" s="953"/>
      <c r="G446" s="953"/>
      <c r="H446" s="953"/>
    </row>
    <row r="447" spans="1:8" x14ac:dyDescent="0.25">
      <c r="A447" s="952"/>
      <c r="B447" s="953"/>
      <c r="C447" s="953"/>
      <c r="D447" s="953"/>
      <c r="E447" s="953"/>
      <c r="F447" s="953"/>
      <c r="G447" s="953"/>
      <c r="H447" s="953"/>
    </row>
    <row r="448" spans="1:8" x14ac:dyDescent="0.25">
      <c r="A448" s="952"/>
      <c r="B448" s="953"/>
      <c r="C448" s="953"/>
      <c r="D448" s="953"/>
      <c r="E448" s="953"/>
      <c r="F448" s="953"/>
      <c r="G448" s="953"/>
      <c r="H448" s="953"/>
    </row>
    <row r="449" spans="1:8" x14ac:dyDescent="0.25">
      <c r="A449" s="952"/>
      <c r="B449" s="953"/>
      <c r="C449" s="953"/>
      <c r="D449" s="953"/>
      <c r="E449" s="953"/>
      <c r="F449" s="953"/>
      <c r="G449" s="953"/>
      <c r="H449" s="953"/>
    </row>
    <row r="450" spans="1:8" x14ac:dyDescent="0.25">
      <c r="A450" s="952"/>
      <c r="B450" s="953"/>
      <c r="C450" s="953"/>
      <c r="D450" s="953"/>
      <c r="E450" s="953"/>
      <c r="F450" s="953"/>
      <c r="G450" s="953"/>
      <c r="H450" s="953"/>
    </row>
    <row r="451" spans="1:8" x14ac:dyDescent="0.25">
      <c r="A451" s="952"/>
      <c r="B451" s="953"/>
      <c r="C451" s="953"/>
      <c r="D451" s="953"/>
      <c r="E451" s="953"/>
      <c r="F451" s="953"/>
      <c r="G451" s="953"/>
      <c r="H451" s="953"/>
    </row>
    <row r="452" spans="1:8" x14ac:dyDescent="0.25">
      <c r="A452" s="952"/>
      <c r="B452" s="953"/>
      <c r="C452" s="953"/>
      <c r="D452" s="953"/>
      <c r="E452" s="953"/>
      <c r="F452" s="953"/>
      <c r="G452" s="953"/>
      <c r="H452" s="953"/>
    </row>
    <row r="453" spans="1:8" x14ac:dyDescent="0.25">
      <c r="A453" s="952"/>
      <c r="B453" s="953"/>
      <c r="C453" s="953"/>
      <c r="D453" s="953"/>
      <c r="E453" s="953"/>
      <c r="F453" s="953"/>
      <c r="G453" s="953"/>
      <c r="H453" s="953"/>
    </row>
    <row r="454" spans="1:8" x14ac:dyDescent="0.25">
      <c r="A454" s="952"/>
      <c r="B454" s="953"/>
      <c r="C454" s="953"/>
      <c r="D454" s="953"/>
      <c r="E454" s="953"/>
      <c r="F454" s="953"/>
      <c r="G454" s="953"/>
      <c r="H454" s="953"/>
    </row>
    <row r="455" spans="1:8" x14ac:dyDescent="0.25">
      <c r="A455" s="952"/>
      <c r="B455" s="953"/>
      <c r="C455" s="953"/>
      <c r="D455" s="953"/>
      <c r="E455" s="953"/>
      <c r="F455" s="953"/>
      <c r="G455" s="953"/>
      <c r="H455" s="953"/>
    </row>
    <row r="456" spans="1:8" x14ac:dyDescent="0.25">
      <c r="A456" s="952"/>
      <c r="B456" s="953"/>
      <c r="C456" s="953"/>
      <c r="D456" s="953"/>
      <c r="E456" s="953"/>
      <c r="F456" s="953"/>
      <c r="G456" s="953"/>
      <c r="H456" s="953"/>
    </row>
    <row r="457" spans="1:8" x14ac:dyDescent="0.25">
      <c r="A457" s="952"/>
      <c r="B457" s="953"/>
      <c r="C457" s="953"/>
      <c r="D457" s="953"/>
      <c r="E457" s="953"/>
      <c r="F457" s="953"/>
      <c r="G457" s="953"/>
      <c r="H457" s="953"/>
    </row>
    <row r="458" spans="1:8" x14ac:dyDescent="0.25">
      <c r="A458" s="952"/>
      <c r="B458" s="953"/>
      <c r="C458" s="953"/>
      <c r="D458" s="953"/>
      <c r="E458" s="953"/>
      <c r="F458" s="953"/>
      <c r="G458" s="953"/>
      <c r="H458" s="953"/>
    </row>
    <row r="459" spans="1:8" x14ac:dyDescent="0.25">
      <c r="A459" s="952"/>
      <c r="B459" s="953"/>
      <c r="C459" s="953"/>
      <c r="D459" s="953"/>
      <c r="E459" s="953"/>
      <c r="F459" s="953"/>
      <c r="G459" s="953"/>
      <c r="H459" s="953"/>
    </row>
    <row r="460" spans="1:8" x14ac:dyDescent="0.25">
      <c r="A460" s="952"/>
      <c r="B460" s="953"/>
      <c r="C460" s="953"/>
      <c r="D460" s="953"/>
      <c r="E460" s="953"/>
      <c r="F460" s="953"/>
      <c r="G460" s="953"/>
      <c r="H460" s="953"/>
    </row>
    <row r="461" spans="1:8" x14ac:dyDescent="0.25">
      <c r="A461" s="952"/>
      <c r="B461" s="953"/>
      <c r="C461" s="953"/>
      <c r="D461" s="953"/>
      <c r="E461" s="953"/>
      <c r="F461" s="953"/>
      <c r="G461" s="953"/>
      <c r="H461" s="953"/>
    </row>
    <row r="462" spans="1:8" x14ac:dyDescent="0.25">
      <c r="A462" s="952"/>
      <c r="B462" s="953"/>
      <c r="C462" s="953"/>
      <c r="D462" s="953"/>
      <c r="E462" s="953"/>
      <c r="F462" s="953"/>
      <c r="G462" s="953"/>
      <c r="H462" s="953"/>
    </row>
    <row r="463" spans="1:8" x14ac:dyDescent="0.25">
      <c r="A463" s="952"/>
      <c r="B463" s="953"/>
      <c r="C463" s="953"/>
      <c r="D463" s="953"/>
      <c r="E463" s="953"/>
      <c r="F463" s="953"/>
      <c r="G463" s="953"/>
      <c r="H463" s="953"/>
    </row>
    <row r="464" spans="1:8" x14ac:dyDescent="0.25">
      <c r="A464" s="952"/>
      <c r="B464" s="953"/>
      <c r="C464" s="953"/>
      <c r="D464" s="953"/>
      <c r="E464" s="953"/>
      <c r="F464" s="953"/>
      <c r="G464" s="953"/>
      <c r="H464" s="953"/>
    </row>
    <row r="465" spans="1:8" x14ac:dyDescent="0.25">
      <c r="A465" s="952"/>
      <c r="B465" s="953"/>
      <c r="C465" s="953"/>
      <c r="D465" s="953"/>
      <c r="E465" s="953"/>
      <c r="F465" s="953"/>
      <c r="G465" s="953"/>
      <c r="H465" s="953"/>
    </row>
    <row r="466" spans="1:8" x14ac:dyDescent="0.25">
      <c r="A466" s="952"/>
      <c r="B466" s="953"/>
      <c r="C466" s="953"/>
      <c r="D466" s="953"/>
      <c r="E466" s="953"/>
      <c r="F466" s="953"/>
      <c r="G466" s="953"/>
      <c r="H466" s="953"/>
    </row>
    <row r="467" spans="1:8" x14ac:dyDescent="0.25">
      <c r="A467" s="952"/>
      <c r="B467" s="953"/>
      <c r="C467" s="953"/>
      <c r="D467" s="953"/>
      <c r="E467" s="953"/>
      <c r="F467" s="953"/>
      <c r="G467" s="953"/>
      <c r="H467" s="953"/>
    </row>
    <row r="468" spans="1:8" x14ac:dyDescent="0.25">
      <c r="A468" s="952"/>
      <c r="B468" s="953"/>
      <c r="C468" s="953"/>
      <c r="D468" s="953"/>
      <c r="E468" s="953"/>
      <c r="F468" s="953"/>
      <c r="G468" s="953"/>
      <c r="H468" s="953"/>
    </row>
    <row r="469" spans="1:8" x14ac:dyDescent="0.25">
      <c r="A469" s="952"/>
      <c r="B469" s="953"/>
      <c r="C469" s="953"/>
      <c r="D469" s="953"/>
      <c r="E469" s="953"/>
      <c r="F469" s="953"/>
      <c r="G469" s="953"/>
      <c r="H469" s="953"/>
    </row>
    <row r="470" spans="1:8" x14ac:dyDescent="0.25">
      <c r="A470" s="952"/>
      <c r="B470" s="953"/>
      <c r="C470" s="953"/>
      <c r="D470" s="953"/>
      <c r="E470" s="953"/>
      <c r="F470" s="953"/>
      <c r="G470" s="953"/>
      <c r="H470" s="953"/>
    </row>
    <row r="471" spans="1:8" x14ac:dyDescent="0.25">
      <c r="A471" s="952"/>
      <c r="B471" s="953"/>
      <c r="C471" s="953"/>
      <c r="D471" s="953"/>
      <c r="E471" s="953"/>
      <c r="F471" s="953"/>
      <c r="G471" s="953"/>
      <c r="H471" s="953"/>
    </row>
    <row r="472" spans="1:8" x14ac:dyDescent="0.25">
      <c r="A472" s="952"/>
      <c r="B472" s="953"/>
      <c r="C472" s="953"/>
      <c r="D472" s="953"/>
      <c r="E472" s="953"/>
      <c r="F472" s="953"/>
      <c r="G472" s="953"/>
      <c r="H472" s="953"/>
    </row>
    <row r="473" spans="1:8" x14ac:dyDescent="0.25">
      <c r="A473" s="952"/>
      <c r="B473" s="953"/>
      <c r="C473" s="953"/>
      <c r="D473" s="953"/>
      <c r="E473" s="953"/>
      <c r="F473" s="953"/>
      <c r="G473" s="953"/>
      <c r="H473" s="953"/>
    </row>
    <row r="474" spans="1:8" x14ac:dyDescent="0.25">
      <c r="A474" s="952"/>
      <c r="B474" s="953"/>
      <c r="C474" s="953"/>
      <c r="D474" s="953"/>
      <c r="E474" s="953"/>
      <c r="F474" s="953"/>
      <c r="G474" s="953"/>
      <c r="H474" s="953"/>
    </row>
    <row r="475" spans="1:8" x14ac:dyDescent="0.25">
      <c r="A475" s="952"/>
      <c r="B475" s="953"/>
      <c r="C475" s="953"/>
      <c r="D475" s="953"/>
      <c r="E475" s="953"/>
      <c r="F475" s="953"/>
      <c r="G475" s="953"/>
      <c r="H475" s="953"/>
    </row>
    <row r="476" spans="1:8" x14ac:dyDescent="0.25">
      <c r="A476" s="952"/>
      <c r="B476" s="953"/>
      <c r="C476" s="953"/>
      <c r="D476" s="953"/>
      <c r="E476" s="953"/>
      <c r="F476" s="953"/>
      <c r="G476" s="953"/>
      <c r="H476" s="953"/>
    </row>
    <row r="477" spans="1:8" x14ac:dyDescent="0.25">
      <c r="A477" s="952"/>
      <c r="B477" s="953"/>
      <c r="C477" s="953"/>
      <c r="D477" s="953"/>
      <c r="E477" s="953"/>
      <c r="F477" s="953"/>
      <c r="G477" s="953"/>
      <c r="H477" s="953"/>
    </row>
    <row r="478" spans="1:8" x14ac:dyDescent="0.25">
      <c r="A478" s="952"/>
      <c r="B478" s="953"/>
      <c r="C478" s="953"/>
      <c r="D478" s="953"/>
      <c r="E478" s="953"/>
      <c r="F478" s="953"/>
      <c r="G478" s="953"/>
      <c r="H478" s="953"/>
    </row>
    <row r="479" spans="1:8" x14ac:dyDescent="0.25">
      <c r="A479" s="952"/>
      <c r="B479" s="953"/>
      <c r="C479" s="953"/>
      <c r="D479" s="953"/>
      <c r="E479" s="953"/>
      <c r="F479" s="953"/>
      <c r="G479" s="953"/>
      <c r="H479" s="953"/>
    </row>
    <row r="480" spans="1:8" x14ac:dyDescent="0.25">
      <c r="A480" s="952"/>
      <c r="B480" s="953"/>
      <c r="C480" s="953"/>
      <c r="D480" s="953"/>
      <c r="E480" s="953"/>
      <c r="F480" s="953"/>
      <c r="G480" s="953"/>
      <c r="H480" s="953"/>
    </row>
    <row r="481" spans="1:8" x14ac:dyDescent="0.25">
      <c r="A481" s="952"/>
      <c r="B481" s="953"/>
      <c r="C481" s="953"/>
      <c r="D481" s="953"/>
      <c r="E481" s="953"/>
      <c r="F481" s="953"/>
      <c r="G481" s="953"/>
      <c r="H481" s="953"/>
    </row>
    <row r="482" spans="1:8" x14ac:dyDescent="0.25">
      <c r="A482" s="952"/>
      <c r="B482" s="953"/>
      <c r="C482" s="953"/>
      <c r="D482" s="953"/>
      <c r="E482" s="953"/>
      <c r="F482" s="953"/>
      <c r="G482" s="953"/>
      <c r="H482" s="953"/>
    </row>
    <row r="483" spans="1:8" x14ac:dyDescent="0.25">
      <c r="A483" s="952"/>
      <c r="B483" s="953"/>
      <c r="C483" s="953"/>
      <c r="D483" s="953"/>
      <c r="E483" s="953"/>
      <c r="F483" s="953"/>
      <c r="G483" s="953"/>
      <c r="H483" s="953"/>
    </row>
    <row r="484" spans="1:8" x14ac:dyDescent="0.25">
      <c r="A484" s="952"/>
      <c r="B484" s="953"/>
      <c r="C484" s="953"/>
      <c r="D484" s="953"/>
      <c r="E484" s="953"/>
      <c r="F484" s="953"/>
      <c r="G484" s="953"/>
      <c r="H484" s="953"/>
    </row>
    <row r="485" spans="1:8" x14ac:dyDescent="0.25">
      <c r="A485" s="952"/>
      <c r="B485" s="953"/>
      <c r="C485" s="953"/>
      <c r="D485" s="953"/>
      <c r="E485" s="953"/>
      <c r="F485" s="953"/>
      <c r="G485" s="953"/>
      <c r="H485" s="953"/>
    </row>
    <row r="486" spans="1:8" x14ac:dyDescent="0.25">
      <c r="A486" s="952"/>
      <c r="B486" s="953"/>
      <c r="C486" s="953"/>
      <c r="D486" s="953"/>
      <c r="E486" s="953"/>
      <c r="F486" s="953"/>
      <c r="G486" s="953"/>
      <c r="H486" s="953"/>
    </row>
    <row r="487" spans="1:8" x14ac:dyDescent="0.25">
      <c r="A487" s="952"/>
      <c r="B487" s="953"/>
      <c r="C487" s="953"/>
      <c r="D487" s="953"/>
      <c r="E487" s="953"/>
      <c r="F487" s="953"/>
      <c r="G487" s="953"/>
      <c r="H487" s="953"/>
    </row>
    <row r="488" spans="1:8" x14ac:dyDescent="0.25">
      <c r="A488" s="952"/>
      <c r="B488" s="953"/>
      <c r="C488" s="953"/>
      <c r="D488" s="953"/>
      <c r="E488" s="953"/>
      <c r="F488" s="953"/>
      <c r="G488" s="953"/>
      <c r="H488" s="953"/>
    </row>
    <row r="489" spans="1:8" x14ac:dyDescent="0.25">
      <c r="A489" s="952"/>
      <c r="B489" s="953"/>
      <c r="C489" s="953"/>
      <c r="D489" s="953"/>
      <c r="E489" s="953"/>
      <c r="F489" s="953"/>
      <c r="G489" s="953"/>
      <c r="H489" s="953"/>
    </row>
    <row r="490" spans="1:8" x14ac:dyDescent="0.25">
      <c r="A490" s="952"/>
      <c r="B490" s="953"/>
      <c r="C490" s="953"/>
      <c r="D490" s="953"/>
      <c r="E490" s="953"/>
      <c r="F490" s="953"/>
      <c r="G490" s="953"/>
      <c r="H490" s="953"/>
    </row>
    <row r="491" spans="1:8" x14ac:dyDescent="0.25">
      <c r="A491" s="952"/>
      <c r="B491" s="953"/>
      <c r="C491" s="953"/>
      <c r="D491" s="953"/>
      <c r="E491" s="953"/>
      <c r="F491" s="953"/>
      <c r="G491" s="953"/>
      <c r="H491" s="953"/>
    </row>
    <row r="492" spans="1:8" x14ac:dyDescent="0.25">
      <c r="A492" s="952"/>
      <c r="B492" s="953"/>
      <c r="C492" s="953"/>
      <c r="D492" s="953"/>
      <c r="E492" s="953"/>
      <c r="F492" s="953"/>
      <c r="G492" s="953"/>
      <c r="H492" s="953"/>
    </row>
    <row r="493" spans="1:8" x14ac:dyDescent="0.25">
      <c r="A493" s="952"/>
      <c r="B493" s="953"/>
      <c r="C493" s="953"/>
      <c r="D493" s="953"/>
      <c r="E493" s="953"/>
      <c r="F493" s="953"/>
      <c r="G493" s="953"/>
      <c r="H493" s="953"/>
    </row>
    <row r="494" spans="1:8" x14ac:dyDescent="0.25">
      <c r="A494" s="952"/>
      <c r="B494" s="953"/>
      <c r="C494" s="953"/>
      <c r="D494" s="953"/>
      <c r="E494" s="953"/>
      <c r="F494" s="953"/>
      <c r="G494" s="953"/>
      <c r="H494" s="953"/>
    </row>
    <row r="495" spans="1:8" x14ac:dyDescent="0.25">
      <c r="A495" s="952"/>
      <c r="B495" s="953"/>
      <c r="C495" s="953"/>
      <c r="D495" s="953"/>
      <c r="E495" s="953"/>
      <c r="F495" s="953"/>
      <c r="G495" s="953"/>
      <c r="H495" s="953"/>
    </row>
    <row r="496" spans="1:8" x14ac:dyDescent="0.25">
      <c r="A496" s="952"/>
      <c r="B496" s="953"/>
      <c r="C496" s="953"/>
      <c r="D496" s="953"/>
      <c r="E496" s="953"/>
      <c r="F496" s="953"/>
      <c r="G496" s="953"/>
      <c r="H496" s="953"/>
    </row>
    <row r="497" spans="1:8" x14ac:dyDescent="0.25">
      <c r="A497" s="952"/>
      <c r="B497" s="953"/>
      <c r="C497" s="953"/>
      <c r="D497" s="953"/>
      <c r="E497" s="953"/>
      <c r="F497" s="953"/>
      <c r="G497" s="953"/>
      <c r="H497" s="953"/>
    </row>
    <row r="498" spans="1:8" x14ac:dyDescent="0.25">
      <c r="A498" s="952"/>
      <c r="B498" s="953"/>
      <c r="C498" s="953"/>
      <c r="D498" s="953"/>
      <c r="E498" s="953"/>
      <c r="F498" s="953"/>
      <c r="G498" s="953"/>
      <c r="H498" s="953"/>
    </row>
    <row r="499" spans="1:8" x14ac:dyDescent="0.25">
      <c r="A499" s="952"/>
      <c r="B499" s="953"/>
      <c r="C499" s="953"/>
      <c r="D499" s="953"/>
      <c r="E499" s="953"/>
      <c r="F499" s="953"/>
      <c r="G499" s="953"/>
      <c r="H499" s="953"/>
    </row>
    <row r="500" spans="1:8" x14ac:dyDescent="0.25">
      <c r="A500" s="952"/>
      <c r="B500" s="953"/>
      <c r="C500" s="953"/>
      <c r="D500" s="953"/>
      <c r="E500" s="953"/>
      <c r="F500" s="953"/>
      <c r="G500" s="953"/>
      <c r="H500" s="953"/>
    </row>
    <row r="501" spans="1:8" x14ac:dyDescent="0.25">
      <c r="A501" s="952"/>
      <c r="B501" s="953"/>
      <c r="C501" s="953"/>
      <c r="D501" s="953"/>
      <c r="E501" s="953"/>
      <c r="F501" s="953"/>
      <c r="G501" s="953"/>
      <c r="H501" s="953"/>
    </row>
    <row r="502" spans="1:8" x14ac:dyDescent="0.25">
      <c r="A502" s="952"/>
      <c r="B502" s="953"/>
      <c r="C502" s="953"/>
      <c r="D502" s="953"/>
      <c r="E502" s="953"/>
      <c r="F502" s="953"/>
      <c r="G502" s="953"/>
      <c r="H502" s="953"/>
    </row>
    <row r="503" spans="1:8" x14ac:dyDescent="0.25">
      <c r="A503" s="952"/>
      <c r="B503" s="953"/>
      <c r="C503" s="953"/>
      <c r="D503" s="953"/>
      <c r="E503" s="953"/>
      <c r="F503" s="953"/>
      <c r="G503" s="953"/>
      <c r="H503" s="953"/>
    </row>
    <row r="504" spans="1:8" x14ac:dyDescent="0.25">
      <c r="A504" s="952"/>
      <c r="B504" s="953"/>
      <c r="C504" s="953"/>
      <c r="D504" s="953"/>
      <c r="E504" s="953"/>
      <c r="F504" s="953"/>
      <c r="G504" s="953"/>
      <c r="H504" s="953"/>
    </row>
    <row r="505" spans="1:8" x14ac:dyDescent="0.25">
      <c r="A505" s="952"/>
      <c r="B505" s="953"/>
      <c r="C505" s="953"/>
      <c r="D505" s="953"/>
      <c r="E505" s="953"/>
      <c r="F505" s="953"/>
      <c r="G505" s="953"/>
      <c r="H505" s="953"/>
    </row>
    <row r="506" spans="1:8" x14ac:dyDescent="0.25">
      <c r="A506" s="952"/>
      <c r="B506" s="953"/>
      <c r="C506" s="953"/>
      <c r="D506" s="953"/>
      <c r="E506" s="953"/>
      <c r="F506" s="953"/>
      <c r="G506" s="953"/>
      <c r="H506" s="953"/>
    </row>
    <row r="507" spans="1:8" x14ac:dyDescent="0.25">
      <c r="A507" s="952"/>
      <c r="B507" s="953"/>
      <c r="C507" s="953"/>
      <c r="D507" s="953"/>
      <c r="E507" s="953"/>
      <c r="F507" s="953"/>
      <c r="G507" s="953"/>
      <c r="H507" s="953"/>
    </row>
    <row r="508" spans="1:8" x14ac:dyDescent="0.25">
      <c r="A508" s="952"/>
      <c r="B508" s="953"/>
      <c r="C508" s="953"/>
      <c r="D508" s="953"/>
      <c r="E508" s="953"/>
      <c r="F508" s="953"/>
      <c r="G508" s="953"/>
      <c r="H508" s="953"/>
    </row>
    <row r="509" spans="1:8" x14ac:dyDescent="0.25">
      <c r="A509" s="952"/>
      <c r="B509" s="953"/>
      <c r="C509" s="953"/>
      <c r="D509" s="953"/>
      <c r="E509" s="953"/>
      <c r="F509" s="953"/>
      <c r="G509" s="953"/>
      <c r="H509" s="953"/>
    </row>
    <row r="510" spans="1:8" x14ac:dyDescent="0.25">
      <c r="A510" s="952"/>
      <c r="B510" s="953"/>
      <c r="C510" s="953"/>
      <c r="D510" s="953"/>
      <c r="E510" s="953"/>
      <c r="F510" s="953"/>
      <c r="G510" s="953"/>
      <c r="H510" s="953"/>
    </row>
    <row r="511" spans="1:8" x14ac:dyDescent="0.25">
      <c r="A511" s="952"/>
      <c r="B511" s="953"/>
      <c r="C511" s="953"/>
      <c r="D511" s="953"/>
      <c r="E511" s="953"/>
      <c r="F511" s="953"/>
      <c r="G511" s="953"/>
      <c r="H511" s="953"/>
    </row>
    <row r="512" spans="1:8" x14ac:dyDescent="0.25">
      <c r="A512" s="952"/>
      <c r="B512" s="953"/>
      <c r="C512" s="953"/>
      <c r="D512" s="953"/>
      <c r="E512" s="953"/>
      <c r="F512" s="953"/>
      <c r="G512" s="953"/>
      <c r="H512" s="953"/>
    </row>
    <row r="513" spans="1:8" x14ac:dyDescent="0.25">
      <c r="A513" s="952"/>
      <c r="B513" s="953"/>
      <c r="C513" s="953"/>
      <c r="D513" s="953"/>
      <c r="E513" s="953"/>
      <c r="F513" s="953"/>
      <c r="G513" s="953"/>
      <c r="H513" s="953"/>
    </row>
    <row r="514" spans="1:8" x14ac:dyDescent="0.25">
      <c r="A514" s="952"/>
      <c r="B514" s="953"/>
      <c r="C514" s="953"/>
      <c r="D514" s="953"/>
      <c r="E514" s="953"/>
      <c r="F514" s="953"/>
      <c r="G514" s="953"/>
      <c r="H514" s="953"/>
    </row>
    <row r="515" spans="1:8" x14ac:dyDescent="0.25">
      <c r="A515" s="952"/>
      <c r="B515" s="953"/>
      <c r="C515" s="953"/>
      <c r="D515" s="953"/>
      <c r="E515" s="953"/>
      <c r="F515" s="953"/>
      <c r="G515" s="953"/>
      <c r="H515" s="953"/>
    </row>
    <row r="516" spans="1:8" x14ac:dyDescent="0.25">
      <c r="A516" s="952"/>
      <c r="B516" s="953"/>
      <c r="C516" s="953"/>
      <c r="D516" s="953"/>
      <c r="E516" s="953"/>
      <c r="F516" s="953"/>
      <c r="G516" s="953"/>
      <c r="H516" s="953"/>
    </row>
    <row r="517" spans="1:8" x14ac:dyDescent="0.25">
      <c r="A517" s="952"/>
      <c r="B517" s="953"/>
      <c r="C517" s="953"/>
      <c r="D517" s="953"/>
      <c r="E517" s="953"/>
      <c r="F517" s="953"/>
      <c r="G517" s="953"/>
      <c r="H517" s="953"/>
    </row>
    <row r="518" spans="1:8" x14ac:dyDescent="0.25">
      <c r="A518" s="952"/>
      <c r="B518" s="953"/>
      <c r="C518" s="953"/>
      <c r="D518" s="953"/>
      <c r="E518" s="953"/>
      <c r="F518" s="953"/>
      <c r="G518" s="953"/>
      <c r="H518" s="953"/>
    </row>
    <row r="519" spans="1:8" x14ac:dyDescent="0.25">
      <c r="A519" s="952"/>
      <c r="B519" s="953"/>
      <c r="C519" s="953"/>
      <c r="D519" s="953"/>
      <c r="E519" s="953"/>
      <c r="F519" s="953"/>
      <c r="G519" s="953"/>
      <c r="H519" s="953"/>
    </row>
    <row r="520" spans="1:8" x14ac:dyDescent="0.25">
      <c r="A520" s="952"/>
      <c r="B520" s="953"/>
      <c r="C520" s="953"/>
      <c r="D520" s="953"/>
      <c r="E520" s="953"/>
      <c r="F520" s="953"/>
      <c r="G520" s="953"/>
      <c r="H520" s="953"/>
    </row>
    <row r="521" spans="1:8" x14ac:dyDescent="0.25">
      <c r="A521" s="952"/>
      <c r="B521" s="953"/>
      <c r="C521" s="953"/>
      <c r="D521" s="953"/>
      <c r="E521" s="953"/>
      <c r="F521" s="953"/>
      <c r="G521" s="953"/>
      <c r="H521" s="953"/>
    </row>
    <row r="522" spans="1:8" x14ac:dyDescent="0.25">
      <c r="A522" s="952"/>
      <c r="B522" s="953"/>
      <c r="C522" s="953"/>
      <c r="D522" s="953"/>
      <c r="E522" s="953"/>
      <c r="F522" s="953"/>
      <c r="G522" s="953"/>
      <c r="H522" s="953"/>
    </row>
    <row r="523" spans="1:8" x14ac:dyDescent="0.25">
      <c r="A523" s="952"/>
      <c r="B523" s="953"/>
      <c r="C523" s="953"/>
      <c r="D523" s="953"/>
      <c r="E523" s="953"/>
      <c r="F523" s="953"/>
      <c r="G523" s="953"/>
      <c r="H523" s="953"/>
    </row>
    <row r="524" spans="1:8" x14ac:dyDescent="0.25">
      <c r="A524" s="952"/>
      <c r="B524" s="953"/>
      <c r="C524" s="953"/>
      <c r="D524" s="953"/>
      <c r="E524" s="953"/>
      <c r="F524" s="953"/>
      <c r="G524" s="953"/>
      <c r="H524" s="953"/>
    </row>
    <row r="525" spans="1:8" x14ac:dyDescent="0.25">
      <c r="A525" s="952"/>
      <c r="B525" s="953"/>
      <c r="C525" s="953"/>
      <c r="D525" s="953"/>
      <c r="E525" s="953"/>
      <c r="F525" s="953"/>
      <c r="G525" s="953"/>
      <c r="H525" s="953"/>
    </row>
    <row r="526" spans="1:8" x14ac:dyDescent="0.25">
      <c r="A526" s="952"/>
      <c r="B526" s="953"/>
      <c r="C526" s="953"/>
      <c r="D526" s="953"/>
      <c r="E526" s="953"/>
      <c r="F526" s="953"/>
      <c r="G526" s="953"/>
      <c r="H526" s="953"/>
    </row>
    <row r="527" spans="1:8" x14ac:dyDescent="0.25">
      <c r="A527" s="952"/>
      <c r="B527" s="953"/>
      <c r="C527" s="953"/>
      <c r="D527" s="953"/>
      <c r="E527" s="953"/>
      <c r="F527" s="953"/>
      <c r="G527" s="953"/>
      <c r="H527" s="953"/>
    </row>
    <row r="528" spans="1:8" x14ac:dyDescent="0.25">
      <c r="A528" s="952"/>
      <c r="B528" s="953"/>
      <c r="C528" s="953"/>
      <c r="D528" s="953"/>
      <c r="E528" s="953"/>
      <c r="F528" s="953"/>
      <c r="G528" s="953"/>
      <c r="H528" s="953"/>
    </row>
    <row r="529" spans="1:8" x14ac:dyDescent="0.25">
      <c r="A529" s="952"/>
      <c r="B529" s="953"/>
      <c r="C529" s="953"/>
      <c r="D529" s="953"/>
      <c r="E529" s="953"/>
      <c r="F529" s="953"/>
      <c r="G529" s="953"/>
      <c r="H529" s="953"/>
    </row>
    <row r="530" spans="1:8" x14ac:dyDescent="0.25">
      <c r="A530" s="952"/>
      <c r="B530" s="953"/>
      <c r="C530" s="953"/>
      <c r="D530" s="953"/>
      <c r="E530" s="953"/>
      <c r="F530" s="953"/>
      <c r="G530" s="953"/>
      <c r="H530" s="953"/>
    </row>
    <row r="531" spans="1:8" x14ac:dyDescent="0.25">
      <c r="A531" s="952"/>
      <c r="B531" s="953"/>
      <c r="C531" s="953"/>
      <c r="D531" s="953"/>
      <c r="E531" s="953"/>
      <c r="F531" s="953"/>
      <c r="G531" s="953"/>
      <c r="H531" s="953"/>
    </row>
    <row r="532" spans="1:8" x14ac:dyDescent="0.25">
      <c r="A532" s="952"/>
      <c r="B532" s="953"/>
      <c r="C532" s="953"/>
      <c r="D532" s="953"/>
      <c r="E532" s="953"/>
      <c r="F532" s="953"/>
      <c r="G532" s="953"/>
      <c r="H532" s="953"/>
    </row>
    <row r="533" spans="1:8" x14ac:dyDescent="0.25">
      <c r="A533" s="952"/>
      <c r="B533" s="953"/>
      <c r="C533" s="953"/>
      <c r="D533" s="953"/>
      <c r="E533" s="953"/>
      <c r="F533" s="953"/>
      <c r="G533" s="953"/>
      <c r="H533" s="953"/>
    </row>
    <row r="534" spans="1:8" x14ac:dyDescent="0.25">
      <c r="A534" s="952"/>
      <c r="B534" s="953"/>
      <c r="C534" s="953"/>
      <c r="D534" s="953"/>
      <c r="E534" s="953"/>
      <c r="F534" s="953"/>
      <c r="G534" s="953"/>
      <c r="H534" s="953"/>
    </row>
    <row r="535" spans="1:8" x14ac:dyDescent="0.25">
      <c r="A535" s="952"/>
      <c r="B535" s="953"/>
      <c r="C535" s="953"/>
      <c r="D535" s="953"/>
      <c r="E535" s="953"/>
      <c r="F535" s="953"/>
      <c r="G535" s="953"/>
      <c r="H535" s="953"/>
    </row>
    <row r="536" spans="1:8" x14ac:dyDescent="0.25">
      <c r="A536" s="952"/>
      <c r="B536" s="953"/>
      <c r="C536" s="953"/>
      <c r="D536" s="953"/>
      <c r="E536" s="953"/>
      <c r="F536" s="953"/>
      <c r="G536" s="953"/>
      <c r="H536" s="953"/>
    </row>
    <row r="537" spans="1:8" x14ac:dyDescent="0.25">
      <c r="A537" s="952"/>
      <c r="B537" s="953"/>
      <c r="C537" s="953"/>
      <c r="D537" s="953"/>
      <c r="E537" s="953"/>
      <c r="F537" s="953"/>
      <c r="G537" s="953"/>
      <c r="H537" s="953"/>
    </row>
    <row r="538" spans="1:8" x14ac:dyDescent="0.25">
      <c r="A538" s="952"/>
      <c r="B538" s="953"/>
      <c r="C538" s="953"/>
      <c r="D538" s="953"/>
      <c r="E538" s="953"/>
      <c r="F538" s="953"/>
      <c r="G538" s="953"/>
      <c r="H538" s="953"/>
    </row>
    <row r="539" spans="1:8" x14ac:dyDescent="0.25">
      <c r="A539" s="952"/>
      <c r="B539" s="953"/>
      <c r="C539" s="953"/>
      <c r="D539" s="953"/>
      <c r="E539" s="953"/>
      <c r="F539" s="953"/>
      <c r="G539" s="953"/>
      <c r="H539" s="953"/>
    </row>
    <row r="540" spans="1:8" x14ac:dyDescent="0.25">
      <c r="A540" s="952"/>
      <c r="B540" s="953"/>
      <c r="C540" s="953"/>
      <c r="D540" s="953"/>
      <c r="E540" s="953"/>
      <c r="F540" s="953"/>
      <c r="G540" s="953"/>
      <c r="H540" s="953"/>
    </row>
    <row r="541" spans="1:8" x14ac:dyDescent="0.25">
      <c r="A541" s="952"/>
      <c r="B541" s="953"/>
      <c r="C541" s="953"/>
      <c r="D541" s="953"/>
      <c r="E541" s="953"/>
      <c r="F541" s="953"/>
      <c r="G541" s="953"/>
      <c r="H541" s="953"/>
    </row>
    <row r="542" spans="1:8" x14ac:dyDescent="0.25">
      <c r="A542" s="952"/>
      <c r="B542" s="953"/>
      <c r="C542" s="953"/>
      <c r="D542" s="953"/>
      <c r="E542" s="953"/>
      <c r="F542" s="953"/>
      <c r="G542" s="953"/>
      <c r="H542" s="953"/>
    </row>
    <row r="543" spans="1:8" x14ac:dyDescent="0.25">
      <c r="A543" s="952"/>
      <c r="B543" s="953"/>
      <c r="C543" s="953"/>
      <c r="D543" s="953"/>
      <c r="E543" s="953"/>
      <c r="F543" s="953"/>
      <c r="G543" s="953"/>
      <c r="H543" s="953"/>
    </row>
    <row r="544" spans="1:8" x14ac:dyDescent="0.25">
      <c r="A544" s="952"/>
      <c r="B544" s="953"/>
      <c r="C544" s="953"/>
      <c r="D544" s="953"/>
      <c r="E544" s="953"/>
      <c r="F544" s="953"/>
      <c r="G544" s="953"/>
      <c r="H544" s="953"/>
    </row>
    <row r="545" spans="1:8" x14ac:dyDescent="0.25">
      <c r="A545" s="952"/>
      <c r="B545" s="953"/>
      <c r="C545" s="953"/>
      <c r="D545" s="953"/>
      <c r="E545" s="953"/>
      <c r="F545" s="953"/>
      <c r="G545" s="953"/>
      <c r="H545" s="953"/>
    </row>
    <row r="546" spans="1:8" x14ac:dyDescent="0.25">
      <c r="A546" s="952"/>
      <c r="B546" s="953"/>
      <c r="C546" s="953"/>
      <c r="D546" s="953"/>
      <c r="E546" s="953"/>
      <c r="F546" s="953"/>
      <c r="G546" s="953"/>
      <c r="H546" s="953"/>
    </row>
    <row r="547" spans="1:8" x14ac:dyDescent="0.25">
      <c r="A547" s="952"/>
      <c r="B547" s="953"/>
      <c r="C547" s="953"/>
      <c r="D547" s="953"/>
      <c r="E547" s="953"/>
      <c r="F547" s="953"/>
      <c r="G547" s="953"/>
      <c r="H547" s="953"/>
    </row>
    <row r="548" spans="1:8" x14ac:dyDescent="0.25">
      <c r="A548" s="952"/>
      <c r="B548" s="953"/>
      <c r="C548" s="953"/>
      <c r="D548" s="953"/>
      <c r="E548" s="953"/>
      <c r="F548" s="953"/>
      <c r="G548" s="953"/>
      <c r="H548" s="953"/>
    </row>
    <row r="549" spans="1:8" x14ac:dyDescent="0.25">
      <c r="A549" s="952"/>
      <c r="B549" s="953"/>
      <c r="C549" s="953"/>
      <c r="D549" s="953"/>
      <c r="E549" s="953"/>
      <c r="F549" s="953"/>
      <c r="G549" s="953"/>
      <c r="H549" s="953"/>
    </row>
    <row r="550" spans="1:8" x14ac:dyDescent="0.25">
      <c r="A550" s="952"/>
      <c r="B550" s="953"/>
      <c r="C550" s="953"/>
      <c r="D550" s="953"/>
      <c r="E550" s="953"/>
      <c r="F550" s="953"/>
      <c r="G550" s="953"/>
      <c r="H550" s="953"/>
    </row>
    <row r="551" spans="1:8" x14ac:dyDescent="0.25">
      <c r="A551" s="952"/>
      <c r="B551" s="953"/>
      <c r="C551" s="953"/>
      <c r="D551" s="953"/>
      <c r="E551" s="953"/>
      <c r="F551" s="953"/>
      <c r="G551" s="953"/>
      <c r="H551" s="953"/>
    </row>
    <row r="552" spans="1:8" x14ac:dyDescent="0.25">
      <c r="A552" s="952"/>
      <c r="B552" s="953"/>
      <c r="C552" s="953"/>
      <c r="D552" s="953"/>
      <c r="E552" s="953"/>
      <c r="F552" s="953"/>
      <c r="G552" s="953"/>
      <c r="H552" s="953"/>
    </row>
    <row r="553" spans="1:8" x14ac:dyDescent="0.25">
      <c r="A553" s="952"/>
      <c r="B553" s="953"/>
      <c r="C553" s="953"/>
      <c r="D553" s="953"/>
      <c r="E553" s="953"/>
      <c r="F553" s="953"/>
      <c r="G553" s="953"/>
      <c r="H553" s="953"/>
    </row>
    <row r="554" spans="1:8" x14ac:dyDescent="0.25">
      <c r="A554" s="952"/>
      <c r="B554" s="953"/>
      <c r="C554" s="953"/>
      <c r="D554" s="953"/>
      <c r="E554" s="953"/>
      <c r="F554" s="953"/>
      <c r="G554" s="953"/>
      <c r="H554" s="953"/>
    </row>
    <row r="555" spans="1:8" x14ac:dyDescent="0.25">
      <c r="A555" s="952"/>
      <c r="B555" s="953"/>
      <c r="C555" s="953"/>
      <c r="D555" s="953"/>
      <c r="E555" s="953"/>
      <c r="F555" s="953"/>
      <c r="G555" s="953"/>
      <c r="H555" s="953"/>
    </row>
    <row r="556" spans="1:8" x14ac:dyDescent="0.25">
      <c r="A556" s="952"/>
      <c r="B556" s="953"/>
      <c r="C556" s="953"/>
      <c r="D556" s="953"/>
      <c r="E556" s="953"/>
      <c r="F556" s="953"/>
      <c r="G556" s="953"/>
      <c r="H556" s="953"/>
    </row>
    <row r="557" spans="1:8" x14ac:dyDescent="0.25">
      <c r="A557" s="952"/>
      <c r="B557" s="953"/>
      <c r="C557" s="953"/>
      <c r="D557" s="953"/>
      <c r="E557" s="953"/>
      <c r="F557" s="953"/>
      <c r="G557" s="953"/>
      <c r="H557" s="953"/>
    </row>
    <row r="558" spans="1:8" x14ac:dyDescent="0.25">
      <c r="A558" s="952"/>
      <c r="B558" s="953"/>
      <c r="C558" s="953"/>
      <c r="D558" s="953"/>
      <c r="E558" s="953"/>
      <c r="F558" s="953"/>
      <c r="G558" s="953"/>
      <c r="H558" s="953"/>
    </row>
    <row r="559" spans="1:8" x14ac:dyDescent="0.25">
      <c r="A559" s="952"/>
      <c r="B559" s="953"/>
      <c r="C559" s="953"/>
      <c r="D559" s="953"/>
      <c r="E559" s="953"/>
      <c r="F559" s="953"/>
      <c r="G559" s="953"/>
      <c r="H559" s="953"/>
    </row>
    <row r="560" spans="1:8" x14ac:dyDescent="0.25">
      <c r="A560" s="952"/>
      <c r="B560" s="953"/>
      <c r="C560" s="953"/>
      <c r="D560" s="953"/>
      <c r="E560" s="953"/>
      <c r="F560" s="953"/>
      <c r="G560" s="953"/>
      <c r="H560" s="953"/>
    </row>
    <row r="561" spans="1:8" x14ac:dyDescent="0.25">
      <c r="A561" s="952"/>
      <c r="B561" s="953"/>
      <c r="C561" s="953"/>
      <c r="D561" s="953"/>
      <c r="E561" s="953"/>
      <c r="F561" s="953"/>
      <c r="G561" s="953"/>
      <c r="H561" s="953"/>
    </row>
    <row r="562" spans="1:8" x14ac:dyDescent="0.25">
      <c r="A562" s="952"/>
      <c r="B562" s="953"/>
      <c r="C562" s="953"/>
      <c r="D562" s="953"/>
      <c r="E562" s="953"/>
      <c r="F562" s="953"/>
      <c r="G562" s="953"/>
      <c r="H562" s="953"/>
    </row>
    <row r="563" spans="1:8" x14ac:dyDescent="0.25">
      <c r="A563" s="952"/>
      <c r="B563" s="953"/>
      <c r="C563" s="953"/>
      <c r="D563" s="953"/>
      <c r="E563" s="953"/>
      <c r="F563" s="953"/>
      <c r="G563" s="953"/>
      <c r="H563" s="953"/>
    </row>
    <row r="564" spans="1:8" x14ac:dyDescent="0.25">
      <c r="A564" s="952"/>
      <c r="B564" s="953"/>
      <c r="C564" s="953"/>
      <c r="D564" s="953"/>
      <c r="E564" s="953"/>
      <c r="F564" s="953"/>
      <c r="G564" s="953"/>
      <c r="H564" s="953"/>
    </row>
    <row r="565" spans="1:8" x14ac:dyDescent="0.25">
      <c r="A565" s="952"/>
      <c r="B565" s="953"/>
      <c r="C565" s="953"/>
      <c r="D565" s="953"/>
      <c r="E565" s="953"/>
      <c r="F565" s="953"/>
      <c r="G565" s="953"/>
      <c r="H565" s="953"/>
    </row>
    <row r="566" spans="1:8" x14ac:dyDescent="0.25">
      <c r="A566" s="952"/>
      <c r="B566" s="953"/>
      <c r="C566" s="953"/>
      <c r="D566" s="953"/>
      <c r="E566" s="953"/>
      <c r="F566" s="953"/>
      <c r="G566" s="953"/>
      <c r="H566" s="953"/>
    </row>
    <row r="567" spans="1:8" x14ac:dyDescent="0.25">
      <c r="A567" s="952"/>
      <c r="B567" s="953"/>
      <c r="C567" s="953"/>
      <c r="D567" s="953"/>
      <c r="E567" s="953"/>
      <c r="F567" s="953"/>
      <c r="G567" s="953"/>
      <c r="H567" s="953"/>
    </row>
    <row r="568" spans="1:8" x14ac:dyDescent="0.25">
      <c r="A568" s="952"/>
      <c r="B568" s="953"/>
      <c r="C568" s="953"/>
      <c r="D568" s="953"/>
      <c r="E568" s="953"/>
      <c r="F568" s="953"/>
      <c r="G568" s="953"/>
      <c r="H568" s="953"/>
    </row>
    <row r="569" spans="1:8" x14ac:dyDescent="0.25">
      <c r="A569" s="952"/>
      <c r="B569" s="953"/>
      <c r="C569" s="953"/>
      <c r="D569" s="953"/>
      <c r="E569" s="953"/>
      <c r="F569" s="953"/>
      <c r="G569" s="953"/>
      <c r="H569" s="953"/>
    </row>
    <row r="570" spans="1:8" x14ac:dyDescent="0.25">
      <c r="A570" s="952"/>
      <c r="B570" s="953"/>
      <c r="C570" s="953"/>
      <c r="D570" s="953"/>
      <c r="E570" s="953"/>
      <c r="F570" s="953"/>
      <c r="G570" s="953"/>
      <c r="H570" s="953"/>
    </row>
    <row r="571" spans="1:8" x14ac:dyDescent="0.25">
      <c r="A571" s="952"/>
      <c r="B571" s="953"/>
      <c r="C571" s="953"/>
      <c r="D571" s="953"/>
      <c r="E571" s="953"/>
      <c r="F571" s="953"/>
      <c r="G571" s="953"/>
      <c r="H571" s="953"/>
    </row>
    <row r="572" spans="1:8" x14ac:dyDescent="0.25">
      <c r="A572" s="952"/>
      <c r="B572" s="953"/>
      <c r="C572" s="953"/>
      <c r="D572" s="953"/>
      <c r="E572" s="953"/>
      <c r="F572" s="953"/>
      <c r="G572" s="953"/>
      <c r="H572" s="953"/>
    </row>
    <row r="573" spans="1:8" x14ac:dyDescent="0.25">
      <c r="A573" s="952"/>
      <c r="B573" s="953"/>
      <c r="C573" s="953"/>
      <c r="D573" s="953"/>
      <c r="E573" s="953"/>
      <c r="F573" s="953"/>
      <c r="G573" s="953"/>
      <c r="H573" s="953"/>
    </row>
    <row r="574" spans="1:8" x14ac:dyDescent="0.25">
      <c r="A574" s="952"/>
      <c r="B574" s="953"/>
      <c r="C574" s="953"/>
      <c r="D574" s="953"/>
      <c r="E574" s="953"/>
      <c r="F574" s="953"/>
      <c r="G574" s="953"/>
      <c r="H574" s="953"/>
    </row>
    <row r="575" spans="1:8" x14ac:dyDescent="0.25">
      <c r="A575" s="952"/>
      <c r="B575" s="953"/>
      <c r="C575" s="953"/>
      <c r="D575" s="953"/>
      <c r="E575" s="953"/>
      <c r="F575" s="953"/>
      <c r="G575" s="953"/>
      <c r="H575" s="953"/>
    </row>
    <row r="576" spans="1:8" x14ac:dyDescent="0.25">
      <c r="A576" s="952"/>
      <c r="B576" s="953"/>
      <c r="C576" s="953"/>
      <c r="D576" s="953"/>
      <c r="E576" s="953"/>
      <c r="F576" s="953"/>
      <c r="G576" s="953"/>
      <c r="H576" s="953"/>
    </row>
    <row r="577" spans="1:8" x14ac:dyDescent="0.25">
      <c r="A577" s="952"/>
      <c r="B577" s="953"/>
      <c r="C577" s="953"/>
      <c r="D577" s="953"/>
      <c r="E577" s="953"/>
      <c r="F577" s="953"/>
      <c r="G577" s="953"/>
      <c r="H577" s="953"/>
    </row>
    <row r="578" spans="1:8" x14ac:dyDescent="0.25">
      <c r="A578" s="952"/>
      <c r="B578" s="953"/>
      <c r="C578" s="953"/>
      <c r="D578" s="953"/>
      <c r="E578" s="953"/>
      <c r="F578" s="953"/>
      <c r="G578" s="953"/>
      <c r="H578" s="953"/>
    </row>
    <row r="579" spans="1:8" x14ac:dyDescent="0.25">
      <c r="A579" s="952"/>
      <c r="B579" s="953"/>
      <c r="C579" s="953"/>
      <c r="D579" s="953"/>
      <c r="E579" s="953"/>
      <c r="F579" s="953"/>
      <c r="G579" s="953"/>
      <c r="H579" s="953"/>
    </row>
    <row r="580" spans="1:8" x14ac:dyDescent="0.25">
      <c r="A580" s="952"/>
      <c r="B580" s="953"/>
      <c r="C580" s="953"/>
      <c r="D580" s="953"/>
      <c r="E580" s="953"/>
      <c r="F580" s="953"/>
      <c r="G580" s="953"/>
      <c r="H580" s="953"/>
    </row>
    <row r="581" spans="1:8" x14ac:dyDescent="0.25">
      <c r="A581" s="952"/>
      <c r="B581" s="953"/>
      <c r="C581" s="953"/>
      <c r="D581" s="953"/>
      <c r="E581" s="953"/>
      <c r="F581" s="953"/>
      <c r="G581" s="953"/>
      <c r="H581" s="953"/>
    </row>
    <row r="582" spans="1:8" x14ac:dyDescent="0.25">
      <c r="A582" s="952"/>
      <c r="B582" s="953"/>
      <c r="C582" s="953"/>
      <c r="D582" s="953"/>
      <c r="E582" s="953"/>
      <c r="F582" s="953"/>
      <c r="G582" s="953"/>
      <c r="H582" s="953"/>
    </row>
    <row r="583" spans="1:8" x14ac:dyDescent="0.25">
      <c r="A583" s="952"/>
      <c r="B583" s="953"/>
      <c r="C583" s="953"/>
      <c r="D583" s="953"/>
      <c r="E583" s="953"/>
      <c r="F583" s="953"/>
      <c r="G583" s="953"/>
      <c r="H583" s="953"/>
    </row>
    <row r="584" spans="1:8" x14ac:dyDescent="0.25">
      <c r="A584" s="952"/>
      <c r="B584" s="953"/>
      <c r="C584" s="953"/>
      <c r="D584" s="953"/>
      <c r="E584" s="953"/>
      <c r="F584" s="953"/>
      <c r="G584" s="953"/>
      <c r="H584" s="953"/>
    </row>
    <row r="585" spans="1:8" x14ac:dyDescent="0.25">
      <c r="A585" s="952"/>
      <c r="B585" s="953"/>
      <c r="C585" s="953"/>
      <c r="D585" s="953"/>
      <c r="E585" s="953"/>
      <c r="F585" s="953"/>
      <c r="G585" s="953"/>
      <c r="H585" s="953"/>
    </row>
    <row r="586" spans="1:8" x14ac:dyDescent="0.25">
      <c r="A586" s="952"/>
      <c r="B586" s="953"/>
      <c r="C586" s="953"/>
      <c r="D586" s="953"/>
      <c r="E586" s="953"/>
      <c r="F586" s="953"/>
      <c r="G586" s="953"/>
      <c r="H586" s="953"/>
    </row>
    <row r="587" spans="1:8" x14ac:dyDescent="0.25">
      <c r="A587" s="952"/>
      <c r="B587" s="953"/>
      <c r="C587" s="953"/>
      <c r="D587" s="953"/>
      <c r="E587" s="953"/>
      <c r="F587" s="953"/>
      <c r="G587" s="953"/>
      <c r="H587" s="953"/>
    </row>
    <row r="588" spans="1:8" x14ac:dyDescent="0.25">
      <c r="A588" s="952"/>
      <c r="B588" s="953"/>
      <c r="C588" s="953"/>
      <c r="D588" s="953"/>
      <c r="E588" s="953"/>
      <c r="F588" s="953"/>
      <c r="G588" s="953"/>
      <c r="H588" s="953"/>
    </row>
    <row r="589" spans="1:8" x14ac:dyDescent="0.25">
      <c r="A589" s="952"/>
      <c r="B589" s="953"/>
      <c r="C589" s="953"/>
      <c r="D589" s="953"/>
      <c r="E589" s="953"/>
      <c r="F589" s="953"/>
      <c r="G589" s="953"/>
      <c r="H589" s="953"/>
    </row>
    <row r="590" spans="1:8" x14ac:dyDescent="0.25">
      <c r="A590" s="952"/>
      <c r="B590" s="953"/>
      <c r="C590" s="953"/>
      <c r="D590" s="953"/>
      <c r="E590" s="953"/>
      <c r="F590" s="953"/>
      <c r="G590" s="953"/>
      <c r="H590" s="953"/>
    </row>
    <row r="591" spans="1:8" x14ac:dyDescent="0.25">
      <c r="A591" s="952"/>
      <c r="B591" s="953"/>
      <c r="C591" s="953"/>
      <c r="D591" s="953"/>
      <c r="E591" s="953"/>
      <c r="F591" s="953"/>
      <c r="G591" s="953"/>
      <c r="H591" s="953"/>
    </row>
    <row r="592" spans="1:8" x14ac:dyDescent="0.25">
      <c r="A592" s="952"/>
      <c r="B592" s="953"/>
      <c r="C592" s="953"/>
      <c r="D592" s="953"/>
      <c r="E592" s="953"/>
      <c r="F592" s="953"/>
      <c r="G592" s="953"/>
      <c r="H592" s="953"/>
    </row>
    <row r="593" spans="1:8" x14ac:dyDescent="0.25">
      <c r="A593" s="952"/>
      <c r="B593" s="953"/>
      <c r="C593" s="953"/>
      <c r="D593" s="953"/>
      <c r="E593" s="953"/>
      <c r="F593" s="953"/>
      <c r="G593" s="953"/>
      <c r="H593" s="953"/>
    </row>
    <row r="594" spans="1:8" x14ac:dyDescent="0.25">
      <c r="A594" s="952"/>
      <c r="B594" s="953"/>
      <c r="C594" s="953"/>
      <c r="D594" s="953"/>
      <c r="E594" s="953"/>
      <c r="F594" s="953"/>
      <c r="G594" s="953"/>
      <c r="H594" s="953"/>
    </row>
    <row r="595" spans="1:8" x14ac:dyDescent="0.25">
      <c r="A595" s="952"/>
      <c r="B595" s="953"/>
      <c r="C595" s="953"/>
      <c r="D595" s="953"/>
      <c r="E595" s="953"/>
      <c r="F595" s="953"/>
      <c r="G595" s="953"/>
      <c r="H595" s="953"/>
    </row>
    <row r="596" spans="1:8" x14ac:dyDescent="0.25">
      <c r="A596" s="952"/>
      <c r="B596" s="953"/>
      <c r="C596" s="953"/>
      <c r="D596" s="953"/>
      <c r="E596" s="953"/>
      <c r="F596" s="953"/>
      <c r="G596" s="953"/>
      <c r="H596" s="953"/>
    </row>
    <row r="597" spans="1:8" x14ac:dyDescent="0.25">
      <c r="A597" s="952"/>
      <c r="B597" s="953"/>
      <c r="C597" s="953"/>
      <c r="D597" s="953"/>
      <c r="E597" s="953"/>
      <c r="F597" s="953"/>
      <c r="G597" s="953"/>
      <c r="H597" s="953"/>
    </row>
    <row r="598" spans="1:8" x14ac:dyDescent="0.25">
      <c r="A598" s="952"/>
      <c r="B598" s="953"/>
      <c r="C598" s="953"/>
      <c r="D598" s="953"/>
      <c r="E598" s="953"/>
      <c r="F598" s="953"/>
      <c r="G598" s="953"/>
      <c r="H598" s="953"/>
    </row>
    <row r="599" spans="1:8" x14ac:dyDescent="0.25">
      <c r="A599" s="952"/>
      <c r="B599" s="953"/>
      <c r="C599" s="953"/>
      <c r="D599" s="953"/>
      <c r="E599" s="953"/>
      <c r="F599" s="953"/>
      <c r="G599" s="953"/>
      <c r="H599" s="953"/>
    </row>
    <row r="600" spans="1:8" x14ac:dyDescent="0.25">
      <c r="A600" s="952"/>
      <c r="B600" s="953"/>
      <c r="C600" s="953"/>
      <c r="D600" s="953"/>
      <c r="E600" s="953"/>
      <c r="F600" s="953"/>
      <c r="G600" s="953"/>
      <c r="H600" s="953"/>
    </row>
    <row r="601" spans="1:8" x14ac:dyDescent="0.25">
      <c r="A601" s="952"/>
      <c r="B601" s="953"/>
      <c r="C601" s="953"/>
      <c r="D601" s="953"/>
      <c r="E601" s="953"/>
      <c r="F601" s="953"/>
      <c r="G601" s="953"/>
      <c r="H601" s="953"/>
    </row>
    <row r="602" spans="1:8" x14ac:dyDescent="0.25">
      <c r="A602" s="952"/>
      <c r="B602" s="953"/>
      <c r="C602" s="953"/>
      <c r="D602" s="953"/>
      <c r="E602" s="953"/>
      <c r="F602" s="953"/>
      <c r="G602" s="953"/>
      <c r="H602" s="953"/>
    </row>
    <row r="603" spans="1:8" x14ac:dyDescent="0.25">
      <c r="A603" s="952"/>
      <c r="B603" s="953"/>
      <c r="C603" s="953"/>
      <c r="D603" s="953"/>
      <c r="E603" s="953"/>
      <c r="F603" s="953"/>
      <c r="G603" s="953"/>
      <c r="H603" s="953"/>
    </row>
    <row r="604" spans="1:8" x14ac:dyDescent="0.25">
      <c r="A604" s="952"/>
      <c r="B604" s="953"/>
      <c r="C604" s="953"/>
      <c r="D604" s="953"/>
      <c r="E604" s="953"/>
      <c r="F604" s="953"/>
      <c r="G604" s="953"/>
      <c r="H604" s="953"/>
    </row>
    <row r="605" spans="1:8" x14ac:dyDescent="0.25">
      <c r="A605" s="952"/>
      <c r="B605" s="953"/>
      <c r="C605" s="953"/>
      <c r="D605" s="953"/>
      <c r="E605" s="953"/>
      <c r="F605" s="953"/>
      <c r="G605" s="953"/>
      <c r="H605" s="953"/>
    </row>
    <row r="606" spans="1:8" x14ac:dyDescent="0.25">
      <c r="A606" s="952"/>
      <c r="B606" s="953"/>
      <c r="C606" s="953"/>
      <c r="D606" s="953"/>
      <c r="E606" s="953"/>
      <c r="F606" s="953"/>
      <c r="G606" s="953"/>
      <c r="H606" s="953"/>
    </row>
    <row r="607" spans="1:8" x14ac:dyDescent="0.25">
      <c r="A607" s="952"/>
      <c r="B607" s="953"/>
      <c r="C607" s="953"/>
      <c r="D607" s="953"/>
      <c r="E607" s="953"/>
      <c r="F607" s="953"/>
      <c r="G607" s="953"/>
      <c r="H607" s="953"/>
    </row>
    <row r="608" spans="1:8" x14ac:dyDescent="0.25">
      <c r="A608" s="952"/>
      <c r="B608" s="953"/>
      <c r="C608" s="953"/>
      <c r="D608" s="953"/>
      <c r="E608" s="953"/>
      <c r="F608" s="953"/>
      <c r="G608" s="953"/>
      <c r="H608" s="953"/>
    </row>
    <row r="609" spans="1:8" x14ac:dyDescent="0.25">
      <c r="A609" s="952"/>
      <c r="B609" s="953"/>
      <c r="C609" s="953"/>
      <c r="D609" s="953"/>
      <c r="E609" s="953"/>
      <c r="F609" s="953"/>
      <c r="G609" s="953"/>
      <c r="H609" s="953"/>
    </row>
    <row r="610" spans="1:8" x14ac:dyDescent="0.25">
      <c r="A610" s="952"/>
      <c r="B610" s="953"/>
      <c r="C610" s="953"/>
      <c r="D610" s="953"/>
      <c r="E610" s="953"/>
      <c r="F610" s="953"/>
      <c r="G610" s="953"/>
      <c r="H610" s="953"/>
    </row>
    <row r="611" spans="1:8" x14ac:dyDescent="0.25">
      <c r="A611" s="952"/>
      <c r="B611" s="953"/>
      <c r="C611" s="953"/>
      <c r="D611" s="953"/>
      <c r="E611" s="953"/>
      <c r="F611" s="953"/>
      <c r="G611" s="953"/>
      <c r="H611" s="953"/>
    </row>
    <row r="612" spans="1:8" x14ac:dyDescent="0.25">
      <c r="A612" s="952"/>
      <c r="B612" s="953"/>
      <c r="C612" s="953"/>
      <c r="D612" s="953"/>
      <c r="E612" s="953"/>
      <c r="F612" s="953"/>
      <c r="G612" s="953"/>
      <c r="H612" s="953"/>
    </row>
    <row r="613" spans="1:8" x14ac:dyDescent="0.25">
      <c r="A613" s="952"/>
      <c r="B613" s="953"/>
      <c r="C613" s="953"/>
      <c r="D613" s="953"/>
      <c r="E613" s="953"/>
      <c r="F613" s="953"/>
      <c r="G613" s="953"/>
      <c r="H613" s="953"/>
    </row>
    <row r="614" spans="1:8" x14ac:dyDescent="0.25">
      <c r="A614" s="952"/>
      <c r="B614" s="953"/>
      <c r="C614" s="953"/>
      <c r="D614" s="953"/>
      <c r="E614" s="953"/>
      <c r="F614" s="953"/>
      <c r="G614" s="953"/>
      <c r="H614" s="953"/>
    </row>
    <row r="615" spans="1:8" x14ac:dyDescent="0.25">
      <c r="A615" s="952"/>
      <c r="B615" s="953"/>
      <c r="C615" s="953"/>
      <c r="D615" s="953"/>
      <c r="E615" s="953"/>
      <c r="F615" s="953"/>
      <c r="G615" s="953"/>
      <c r="H615" s="953"/>
    </row>
    <row r="616" spans="1:8" x14ac:dyDescent="0.25">
      <c r="A616" s="952"/>
      <c r="B616" s="953"/>
      <c r="C616" s="953"/>
      <c r="D616" s="953"/>
      <c r="E616" s="953"/>
      <c r="F616" s="953"/>
      <c r="G616" s="953"/>
      <c r="H616" s="953"/>
    </row>
    <row r="617" spans="1:8" x14ac:dyDescent="0.25">
      <c r="A617" s="952"/>
      <c r="B617" s="953"/>
      <c r="C617" s="953"/>
      <c r="D617" s="953"/>
      <c r="E617" s="953"/>
      <c r="F617" s="953"/>
      <c r="G617" s="953"/>
      <c r="H617" s="953"/>
    </row>
    <row r="618" spans="1:8" x14ac:dyDescent="0.25">
      <c r="A618" s="952"/>
      <c r="B618" s="953"/>
      <c r="C618" s="953"/>
      <c r="D618" s="953"/>
      <c r="E618" s="953"/>
      <c r="F618" s="953"/>
      <c r="G618" s="953"/>
      <c r="H618" s="953"/>
    </row>
    <row r="619" spans="1:8" x14ac:dyDescent="0.25">
      <c r="A619" s="952"/>
      <c r="B619" s="953"/>
      <c r="C619" s="953"/>
      <c r="D619" s="953"/>
      <c r="E619" s="953"/>
      <c r="F619" s="953"/>
      <c r="G619" s="953"/>
      <c r="H619" s="953"/>
    </row>
    <row r="620" spans="1:8" x14ac:dyDescent="0.25">
      <c r="A620" s="952"/>
      <c r="B620" s="953"/>
      <c r="C620" s="953"/>
      <c r="D620" s="953"/>
      <c r="E620" s="953"/>
      <c r="F620" s="953"/>
      <c r="G620" s="953"/>
      <c r="H620" s="953"/>
    </row>
    <row r="621" spans="1:8" x14ac:dyDescent="0.25">
      <c r="A621" s="952"/>
      <c r="B621" s="953"/>
      <c r="C621" s="953"/>
      <c r="D621" s="953"/>
      <c r="E621" s="953"/>
      <c r="F621" s="953"/>
      <c r="G621" s="953"/>
      <c r="H621" s="953"/>
    </row>
    <row r="622" spans="1:8" x14ac:dyDescent="0.25">
      <c r="A622" s="952"/>
      <c r="B622" s="953"/>
      <c r="C622" s="953"/>
      <c r="D622" s="953"/>
      <c r="E622" s="953"/>
      <c r="F622" s="953"/>
      <c r="G622" s="953"/>
      <c r="H622" s="953"/>
    </row>
    <row r="623" spans="1:8" x14ac:dyDescent="0.25">
      <c r="A623" s="952"/>
      <c r="B623" s="953"/>
      <c r="C623" s="953"/>
      <c r="D623" s="953"/>
      <c r="E623" s="953"/>
      <c r="F623" s="953"/>
      <c r="G623" s="953"/>
      <c r="H623" s="953"/>
    </row>
    <row r="624" spans="1:8" x14ac:dyDescent="0.25">
      <c r="A624" s="952"/>
      <c r="B624" s="953"/>
      <c r="C624" s="953"/>
      <c r="D624" s="953"/>
      <c r="E624" s="953"/>
      <c r="F624" s="953"/>
      <c r="G624" s="953"/>
      <c r="H624" s="953"/>
    </row>
    <row r="625" spans="1:8" x14ac:dyDescent="0.25">
      <c r="A625" s="952"/>
      <c r="B625" s="953"/>
      <c r="C625" s="953"/>
      <c r="D625" s="953"/>
      <c r="E625" s="953"/>
      <c r="F625" s="953"/>
      <c r="G625" s="953"/>
      <c r="H625" s="953"/>
    </row>
    <row r="626" spans="1:8" x14ac:dyDescent="0.25">
      <c r="A626" s="952"/>
      <c r="B626" s="953"/>
      <c r="C626" s="953"/>
      <c r="D626" s="953"/>
      <c r="E626" s="953"/>
      <c r="F626" s="953"/>
      <c r="G626" s="953"/>
      <c r="H626" s="953"/>
    </row>
    <row r="627" spans="1:8" x14ac:dyDescent="0.25">
      <c r="A627" s="952"/>
      <c r="B627" s="953"/>
      <c r="C627" s="953"/>
      <c r="D627" s="953"/>
      <c r="E627" s="953"/>
      <c r="F627" s="953"/>
      <c r="G627" s="953"/>
      <c r="H627" s="953"/>
    </row>
    <row r="628" spans="1:8" x14ac:dyDescent="0.25">
      <c r="A628" s="952"/>
      <c r="B628" s="953"/>
      <c r="C628" s="953"/>
      <c r="D628" s="953"/>
      <c r="E628" s="953"/>
      <c r="F628" s="953"/>
      <c r="G628" s="953"/>
      <c r="H628" s="953"/>
    </row>
    <row r="629" spans="1:8" x14ac:dyDescent="0.25">
      <c r="A629" s="952"/>
      <c r="B629" s="953"/>
      <c r="C629" s="953"/>
      <c r="D629" s="953"/>
      <c r="E629" s="953"/>
      <c r="F629" s="953"/>
      <c r="G629" s="953"/>
      <c r="H629" s="953"/>
    </row>
    <row r="630" spans="1:8" x14ac:dyDescent="0.25">
      <c r="A630" s="952"/>
      <c r="B630" s="953"/>
      <c r="C630" s="953"/>
      <c r="D630" s="953"/>
      <c r="E630" s="953"/>
      <c r="F630" s="953"/>
      <c r="G630" s="953"/>
      <c r="H630" s="953"/>
    </row>
    <row r="631" spans="1:8" x14ac:dyDescent="0.25">
      <c r="A631" s="952"/>
      <c r="B631" s="953"/>
      <c r="C631" s="953"/>
      <c r="D631" s="953"/>
      <c r="E631" s="953"/>
      <c r="F631" s="953"/>
      <c r="G631" s="953"/>
      <c r="H631" s="953"/>
    </row>
    <row r="632" spans="1:8" x14ac:dyDescent="0.25">
      <c r="A632" s="952"/>
      <c r="B632" s="953"/>
      <c r="C632" s="953"/>
      <c r="D632" s="953"/>
      <c r="E632" s="953"/>
      <c r="F632" s="953"/>
      <c r="G632" s="953"/>
      <c r="H632" s="953"/>
    </row>
    <row r="633" spans="1:8" x14ac:dyDescent="0.25">
      <c r="A633" s="952"/>
      <c r="B633" s="953"/>
      <c r="C633" s="953"/>
      <c r="D633" s="953"/>
      <c r="E633" s="953"/>
      <c r="F633" s="953"/>
      <c r="G633" s="953"/>
      <c r="H633" s="953"/>
    </row>
    <row r="634" spans="1:8" x14ac:dyDescent="0.25">
      <c r="A634" s="952"/>
      <c r="B634" s="953"/>
      <c r="C634" s="953"/>
      <c r="D634" s="953"/>
      <c r="E634" s="953"/>
      <c r="F634" s="953"/>
      <c r="G634" s="953"/>
      <c r="H634" s="953"/>
    </row>
    <row r="635" spans="1:8" x14ac:dyDescent="0.25">
      <c r="A635" s="952"/>
      <c r="B635" s="953"/>
      <c r="C635" s="953"/>
      <c r="D635" s="953"/>
      <c r="E635" s="953"/>
      <c r="F635" s="953"/>
      <c r="G635" s="953"/>
      <c r="H635" s="953"/>
    </row>
    <row r="636" spans="1:8" x14ac:dyDescent="0.25">
      <c r="A636" s="952"/>
      <c r="B636" s="953"/>
      <c r="C636" s="953"/>
      <c r="D636" s="953"/>
      <c r="E636" s="953"/>
      <c r="F636" s="953"/>
      <c r="G636" s="953"/>
      <c r="H636" s="953"/>
    </row>
    <row r="637" spans="1:8" x14ac:dyDescent="0.25">
      <c r="A637" s="952"/>
      <c r="B637" s="953"/>
      <c r="C637" s="953"/>
      <c r="D637" s="953"/>
      <c r="E637" s="953"/>
      <c r="F637" s="953"/>
      <c r="G637" s="953"/>
      <c r="H637" s="953"/>
    </row>
    <row r="638" spans="1:8" x14ac:dyDescent="0.25">
      <c r="A638" s="952"/>
      <c r="B638" s="953"/>
      <c r="C638" s="953"/>
      <c r="D638" s="953"/>
      <c r="E638" s="953"/>
      <c r="F638" s="953"/>
      <c r="G638" s="953"/>
      <c r="H638" s="953"/>
    </row>
    <row r="639" spans="1:8" x14ac:dyDescent="0.25">
      <c r="A639" s="952"/>
      <c r="B639" s="953"/>
      <c r="C639" s="953"/>
      <c r="D639" s="953"/>
      <c r="E639" s="953"/>
      <c r="F639" s="953"/>
      <c r="G639" s="953"/>
      <c r="H639" s="953"/>
    </row>
    <row r="640" spans="1:8" x14ac:dyDescent="0.25">
      <c r="A640" s="952"/>
      <c r="B640" s="953"/>
      <c r="C640" s="953"/>
      <c r="D640" s="953"/>
      <c r="E640" s="953"/>
      <c r="F640" s="953"/>
      <c r="G640" s="953"/>
      <c r="H640" s="953"/>
    </row>
    <row r="641" spans="1:8" x14ac:dyDescent="0.25">
      <c r="A641" s="952"/>
      <c r="B641" s="953"/>
      <c r="C641" s="953"/>
      <c r="D641" s="953"/>
      <c r="E641" s="953"/>
      <c r="F641" s="953"/>
      <c r="G641" s="953"/>
      <c r="H641" s="953"/>
    </row>
    <row r="642" spans="1:8" x14ac:dyDescent="0.25">
      <c r="A642" s="952"/>
      <c r="B642" s="953"/>
      <c r="C642" s="953"/>
      <c r="D642" s="953"/>
      <c r="E642" s="953"/>
      <c r="F642" s="953"/>
      <c r="G642" s="953"/>
      <c r="H642" s="953"/>
    </row>
    <row r="643" spans="1:8" x14ac:dyDescent="0.25">
      <c r="A643" s="952"/>
      <c r="B643" s="953"/>
      <c r="C643" s="953"/>
      <c r="D643" s="953"/>
      <c r="E643" s="953"/>
      <c r="F643" s="953"/>
      <c r="G643" s="953"/>
      <c r="H643" s="953"/>
    </row>
    <row r="644" spans="1:8" x14ac:dyDescent="0.25">
      <c r="A644" s="952"/>
      <c r="B644" s="953"/>
      <c r="C644" s="953"/>
      <c r="D644" s="953"/>
      <c r="E644" s="953"/>
      <c r="F644" s="953"/>
      <c r="G644" s="953"/>
      <c r="H644" s="953"/>
    </row>
    <row r="645" spans="1:8" x14ac:dyDescent="0.25">
      <c r="A645" s="952"/>
      <c r="B645" s="953"/>
      <c r="C645" s="953"/>
      <c r="D645" s="953"/>
      <c r="E645" s="953"/>
      <c r="F645" s="953"/>
      <c r="G645" s="953"/>
      <c r="H645" s="953"/>
    </row>
    <row r="646" spans="1:8" x14ac:dyDescent="0.25">
      <c r="A646" s="952"/>
      <c r="B646" s="953"/>
      <c r="C646" s="953"/>
      <c r="D646" s="953"/>
      <c r="E646" s="953"/>
      <c r="F646" s="953"/>
      <c r="G646" s="953"/>
      <c r="H646" s="953"/>
    </row>
    <row r="647" spans="1:8" x14ac:dyDescent="0.25">
      <c r="A647" s="952"/>
      <c r="B647" s="953"/>
      <c r="C647" s="953"/>
      <c r="D647" s="953"/>
      <c r="E647" s="953"/>
      <c r="F647" s="953"/>
      <c r="G647" s="953"/>
      <c r="H647" s="953"/>
    </row>
    <row r="648" spans="1:8" x14ac:dyDescent="0.25">
      <c r="A648" s="952"/>
      <c r="B648" s="953"/>
      <c r="C648" s="953"/>
      <c r="D648" s="953"/>
      <c r="E648" s="953"/>
      <c r="F648" s="953"/>
      <c r="G648" s="953"/>
      <c r="H648" s="953"/>
    </row>
    <row r="649" spans="1:8" x14ac:dyDescent="0.25">
      <c r="A649" s="952"/>
      <c r="B649" s="953"/>
      <c r="C649" s="953"/>
      <c r="D649" s="953"/>
      <c r="E649" s="953"/>
      <c r="F649" s="953"/>
      <c r="G649" s="953"/>
      <c r="H649" s="953"/>
    </row>
    <row r="650" spans="1:8" x14ac:dyDescent="0.25">
      <c r="A650" s="952"/>
      <c r="B650" s="953"/>
      <c r="C650" s="953"/>
      <c r="D650" s="953"/>
      <c r="E650" s="953"/>
      <c r="F650" s="953"/>
      <c r="G650" s="953"/>
      <c r="H650" s="953"/>
    </row>
    <row r="651" spans="1:8" x14ac:dyDescent="0.25">
      <c r="A651" s="952"/>
      <c r="B651" s="953"/>
      <c r="C651" s="953"/>
      <c r="D651" s="953"/>
      <c r="E651" s="953"/>
      <c r="F651" s="953"/>
      <c r="G651" s="953"/>
      <c r="H651" s="953"/>
    </row>
    <row r="652" spans="1:8" x14ac:dyDescent="0.25">
      <c r="A652" s="952"/>
      <c r="B652" s="953"/>
      <c r="C652" s="953"/>
      <c r="D652" s="953"/>
      <c r="E652" s="953"/>
      <c r="F652" s="953"/>
      <c r="G652" s="953"/>
      <c r="H652" s="953"/>
    </row>
    <row r="653" spans="1:8" x14ac:dyDescent="0.25">
      <c r="A653" s="952"/>
      <c r="B653" s="953"/>
      <c r="C653" s="953"/>
      <c r="D653" s="953"/>
      <c r="E653" s="953"/>
      <c r="F653" s="953"/>
      <c r="G653" s="953"/>
      <c r="H653" s="953"/>
    </row>
    <row r="654" spans="1:8" x14ac:dyDescent="0.25">
      <c r="A654" s="952"/>
      <c r="B654" s="953"/>
      <c r="C654" s="953"/>
      <c r="D654" s="953"/>
      <c r="E654" s="953"/>
      <c r="F654" s="953"/>
      <c r="G654" s="953"/>
      <c r="H654" s="953"/>
    </row>
    <row r="655" spans="1:8" x14ac:dyDescent="0.25">
      <c r="A655" s="952"/>
      <c r="B655" s="953"/>
      <c r="C655" s="953"/>
      <c r="D655" s="953"/>
      <c r="E655" s="953"/>
      <c r="F655" s="953"/>
      <c r="G655" s="953"/>
      <c r="H655" s="953"/>
    </row>
    <row r="656" spans="1:8" x14ac:dyDescent="0.25">
      <c r="A656" s="952"/>
      <c r="B656" s="953"/>
      <c r="C656" s="953"/>
      <c r="D656" s="953"/>
      <c r="E656" s="953"/>
      <c r="F656" s="953"/>
      <c r="G656" s="953"/>
      <c r="H656" s="953"/>
    </row>
    <row r="657" spans="1:8" x14ac:dyDescent="0.25">
      <c r="A657" s="952"/>
      <c r="B657" s="953"/>
      <c r="C657" s="953"/>
      <c r="D657" s="953"/>
      <c r="E657" s="953"/>
      <c r="F657" s="953"/>
      <c r="G657" s="953"/>
      <c r="H657" s="953"/>
    </row>
    <row r="658" spans="1:8" x14ac:dyDescent="0.25">
      <c r="A658" s="952"/>
      <c r="B658" s="953"/>
      <c r="C658" s="953"/>
      <c r="D658" s="953"/>
      <c r="E658" s="953"/>
      <c r="F658" s="953"/>
      <c r="G658" s="953"/>
      <c r="H658" s="953"/>
    </row>
    <row r="659" spans="1:8" x14ac:dyDescent="0.25">
      <c r="A659" s="952"/>
      <c r="B659" s="953"/>
      <c r="C659" s="953"/>
      <c r="D659" s="953"/>
      <c r="E659" s="953"/>
      <c r="F659" s="953"/>
      <c r="G659" s="953"/>
      <c r="H659" s="953"/>
    </row>
    <row r="660" spans="1:8" x14ac:dyDescent="0.25">
      <c r="A660" s="952"/>
      <c r="B660" s="953"/>
      <c r="C660" s="953"/>
      <c r="D660" s="953"/>
      <c r="E660" s="953"/>
      <c r="F660" s="953"/>
      <c r="G660" s="953"/>
      <c r="H660" s="953"/>
    </row>
    <row r="661" spans="1:8" x14ac:dyDescent="0.25">
      <c r="A661" s="952"/>
      <c r="B661" s="953"/>
      <c r="C661" s="953"/>
      <c r="D661" s="953"/>
      <c r="E661" s="953"/>
      <c r="F661" s="953"/>
      <c r="G661" s="953"/>
      <c r="H661" s="953"/>
    </row>
    <row r="662" spans="1:8" x14ac:dyDescent="0.25">
      <c r="A662" s="952"/>
      <c r="B662" s="953"/>
      <c r="C662" s="953"/>
      <c r="D662" s="953"/>
      <c r="E662" s="953"/>
      <c r="F662" s="953"/>
      <c r="G662" s="953"/>
      <c r="H662" s="953"/>
    </row>
    <row r="663" spans="1:8" x14ac:dyDescent="0.25">
      <c r="A663" s="952"/>
      <c r="B663" s="953"/>
      <c r="C663" s="953"/>
      <c r="D663" s="953"/>
      <c r="E663" s="953"/>
      <c r="F663" s="953"/>
      <c r="G663" s="953"/>
      <c r="H663" s="953"/>
    </row>
    <row r="664" spans="1:8" x14ac:dyDescent="0.25">
      <c r="A664" s="952"/>
      <c r="B664" s="953"/>
      <c r="C664" s="953"/>
      <c r="D664" s="953"/>
      <c r="E664" s="953"/>
      <c r="F664" s="953"/>
      <c r="G664" s="953"/>
      <c r="H664" s="953"/>
    </row>
    <row r="665" spans="1:8" x14ac:dyDescent="0.25">
      <c r="A665" s="952"/>
      <c r="B665" s="953"/>
      <c r="C665" s="953"/>
      <c r="D665" s="953"/>
      <c r="E665" s="953"/>
      <c r="F665" s="953"/>
      <c r="G665" s="953"/>
      <c r="H665" s="953"/>
    </row>
    <row r="666" spans="1:8" x14ac:dyDescent="0.25">
      <c r="A666" s="952"/>
      <c r="B666" s="953"/>
      <c r="C666" s="953"/>
      <c r="D666" s="953"/>
      <c r="E666" s="953"/>
      <c r="F666" s="953"/>
      <c r="G666" s="953"/>
      <c r="H666" s="953"/>
    </row>
    <row r="667" spans="1:8" x14ac:dyDescent="0.25">
      <c r="A667" s="952"/>
      <c r="B667" s="953"/>
      <c r="C667" s="953"/>
      <c r="D667" s="953"/>
      <c r="E667" s="953"/>
      <c r="F667" s="953"/>
      <c r="G667" s="953"/>
      <c r="H667" s="953"/>
    </row>
    <row r="668" spans="1:8" x14ac:dyDescent="0.25">
      <c r="A668" s="952"/>
      <c r="B668" s="953"/>
      <c r="C668" s="953"/>
      <c r="D668" s="953"/>
      <c r="E668" s="953"/>
      <c r="F668" s="953"/>
      <c r="G668" s="953"/>
      <c r="H668" s="953"/>
    </row>
    <row r="669" spans="1:8" x14ac:dyDescent="0.25">
      <c r="A669" s="952"/>
      <c r="B669" s="953"/>
      <c r="C669" s="953"/>
      <c r="D669" s="953"/>
      <c r="E669" s="953"/>
      <c r="F669" s="953"/>
      <c r="G669" s="953"/>
      <c r="H669" s="953"/>
    </row>
    <row r="670" spans="1:8" x14ac:dyDescent="0.25">
      <c r="A670" s="952"/>
      <c r="B670" s="953"/>
      <c r="C670" s="953"/>
      <c r="D670" s="953"/>
      <c r="E670" s="953"/>
      <c r="F670" s="953"/>
      <c r="G670" s="953"/>
      <c r="H670" s="953"/>
    </row>
    <row r="671" spans="1:8" x14ac:dyDescent="0.25">
      <c r="A671" s="952"/>
      <c r="B671" s="953"/>
      <c r="C671" s="953"/>
      <c r="D671" s="953"/>
      <c r="E671" s="953"/>
      <c r="F671" s="953"/>
      <c r="G671" s="953"/>
      <c r="H671" s="953"/>
    </row>
    <row r="672" spans="1:8" x14ac:dyDescent="0.25">
      <c r="A672" s="952"/>
      <c r="B672" s="953"/>
      <c r="C672" s="953"/>
      <c r="D672" s="953"/>
      <c r="E672" s="953"/>
      <c r="F672" s="953"/>
      <c r="G672" s="953"/>
      <c r="H672" s="953"/>
    </row>
    <row r="673" spans="1:8" x14ac:dyDescent="0.25">
      <c r="A673" s="952"/>
      <c r="B673" s="953"/>
      <c r="C673" s="953"/>
      <c r="D673" s="953"/>
      <c r="E673" s="953"/>
      <c r="F673" s="953"/>
      <c r="G673" s="953"/>
      <c r="H673" s="953"/>
    </row>
    <row r="674" spans="1:8" x14ac:dyDescent="0.25">
      <c r="A674" s="952"/>
      <c r="B674" s="953"/>
      <c r="C674" s="953"/>
      <c r="D674" s="953"/>
      <c r="E674" s="953"/>
      <c r="F674" s="953"/>
      <c r="G674" s="953"/>
      <c r="H674" s="953"/>
    </row>
    <row r="675" spans="1:8" x14ac:dyDescent="0.25">
      <c r="A675" s="952"/>
      <c r="B675" s="953"/>
      <c r="C675" s="953"/>
      <c r="D675" s="953"/>
      <c r="E675" s="953"/>
      <c r="F675" s="953"/>
      <c r="G675" s="953"/>
      <c r="H675" s="953"/>
    </row>
    <row r="676" spans="1:8" x14ac:dyDescent="0.25">
      <c r="A676" s="952"/>
      <c r="B676" s="953"/>
      <c r="C676" s="953"/>
      <c r="D676" s="953"/>
      <c r="E676" s="953"/>
      <c r="F676" s="953"/>
      <c r="G676" s="953"/>
      <c r="H676" s="953"/>
    </row>
    <row r="677" spans="1:8" x14ac:dyDescent="0.25">
      <c r="A677" s="952"/>
      <c r="B677" s="953"/>
      <c r="C677" s="953"/>
      <c r="D677" s="953"/>
      <c r="E677" s="953"/>
      <c r="F677" s="953"/>
      <c r="G677" s="953"/>
      <c r="H677" s="953"/>
    </row>
    <row r="678" spans="1:8" x14ac:dyDescent="0.25">
      <c r="A678" s="952"/>
      <c r="B678" s="953"/>
      <c r="C678" s="953"/>
      <c r="D678" s="953"/>
      <c r="E678" s="953"/>
      <c r="F678" s="953"/>
      <c r="G678" s="953"/>
      <c r="H678" s="953"/>
    </row>
    <row r="679" spans="1:8" x14ac:dyDescent="0.25">
      <c r="A679" s="952"/>
      <c r="B679" s="953"/>
      <c r="C679" s="953"/>
      <c r="D679" s="953"/>
      <c r="E679" s="953"/>
      <c r="F679" s="953"/>
      <c r="G679" s="953"/>
      <c r="H679" s="953"/>
    </row>
    <row r="680" spans="1:8" x14ac:dyDescent="0.25">
      <c r="A680" s="952"/>
      <c r="B680" s="953"/>
      <c r="C680" s="953"/>
      <c r="D680" s="953"/>
      <c r="E680" s="953"/>
      <c r="F680" s="953"/>
      <c r="G680" s="953"/>
      <c r="H680" s="953"/>
    </row>
    <row r="681" spans="1:8" x14ac:dyDescent="0.25">
      <c r="A681" s="952"/>
      <c r="B681" s="953"/>
      <c r="C681" s="953"/>
      <c r="D681" s="953"/>
      <c r="E681" s="953"/>
      <c r="F681" s="953"/>
      <c r="G681" s="953"/>
      <c r="H681" s="953"/>
    </row>
    <row r="682" spans="1:8" x14ac:dyDescent="0.25">
      <c r="A682" s="952"/>
      <c r="B682" s="953"/>
      <c r="C682" s="953"/>
      <c r="D682" s="953"/>
      <c r="E682" s="953"/>
      <c r="F682" s="953"/>
      <c r="G682" s="953"/>
      <c r="H682" s="953"/>
    </row>
    <row r="683" spans="1:8" x14ac:dyDescent="0.25">
      <c r="A683" s="952"/>
      <c r="B683" s="953"/>
      <c r="C683" s="953"/>
      <c r="D683" s="953"/>
      <c r="E683" s="953"/>
      <c r="F683" s="953"/>
      <c r="G683" s="953"/>
      <c r="H683" s="953"/>
    </row>
    <row r="684" spans="1:8" x14ac:dyDescent="0.25">
      <c r="A684" s="952"/>
      <c r="B684" s="953"/>
      <c r="C684" s="953"/>
      <c r="D684" s="953"/>
      <c r="E684" s="953"/>
      <c r="F684" s="953"/>
      <c r="G684" s="953"/>
      <c r="H684" s="953"/>
    </row>
    <row r="685" spans="1:8" x14ac:dyDescent="0.25">
      <c r="A685" s="952"/>
      <c r="B685" s="953"/>
      <c r="C685" s="953"/>
      <c r="D685" s="953"/>
      <c r="E685" s="953"/>
      <c r="F685" s="953"/>
      <c r="G685" s="953"/>
      <c r="H685" s="953"/>
    </row>
    <row r="686" spans="1:8" x14ac:dyDescent="0.25">
      <c r="A686" s="952"/>
      <c r="B686" s="953"/>
      <c r="C686" s="953"/>
      <c r="D686" s="953"/>
      <c r="E686" s="953"/>
      <c r="F686" s="953"/>
      <c r="G686" s="953"/>
      <c r="H686" s="953"/>
    </row>
    <row r="687" spans="1:8" x14ac:dyDescent="0.25">
      <c r="A687" s="952"/>
      <c r="B687" s="953"/>
      <c r="C687" s="953"/>
      <c r="D687" s="953"/>
      <c r="E687" s="953"/>
      <c r="F687" s="953"/>
      <c r="G687" s="953"/>
      <c r="H687" s="953"/>
    </row>
    <row r="688" spans="1:8" x14ac:dyDescent="0.25">
      <c r="A688" s="952"/>
      <c r="B688" s="953"/>
      <c r="C688" s="953"/>
      <c r="D688" s="953"/>
      <c r="E688" s="953"/>
      <c r="F688" s="953"/>
      <c r="G688" s="953"/>
      <c r="H688" s="953"/>
    </row>
    <row r="689" spans="1:8" x14ac:dyDescent="0.25">
      <c r="A689" s="952"/>
      <c r="B689" s="953"/>
      <c r="C689" s="953"/>
      <c r="D689" s="953"/>
      <c r="E689" s="953"/>
      <c r="F689" s="953"/>
      <c r="G689" s="953"/>
      <c r="H689" s="953"/>
    </row>
    <row r="690" spans="1:8" x14ac:dyDescent="0.25">
      <c r="A690" s="952"/>
      <c r="B690" s="953"/>
      <c r="C690" s="953"/>
      <c r="D690" s="953"/>
      <c r="E690" s="953"/>
      <c r="F690" s="953"/>
      <c r="G690" s="953"/>
      <c r="H690" s="953"/>
    </row>
    <row r="691" spans="1:8" x14ac:dyDescent="0.25">
      <c r="A691" s="952"/>
      <c r="B691" s="953"/>
      <c r="C691" s="953"/>
      <c r="D691" s="953"/>
      <c r="E691" s="953"/>
      <c r="F691" s="953"/>
      <c r="G691" s="953"/>
      <c r="H691" s="953"/>
    </row>
    <row r="692" spans="1:8" x14ac:dyDescent="0.25">
      <c r="A692" s="952"/>
      <c r="B692" s="953"/>
      <c r="C692" s="953"/>
      <c r="D692" s="953"/>
      <c r="E692" s="953"/>
      <c r="F692" s="953"/>
      <c r="G692" s="953"/>
      <c r="H692" s="953"/>
    </row>
    <row r="693" spans="1:8" x14ac:dyDescent="0.25">
      <c r="A693" s="952"/>
      <c r="B693" s="953"/>
      <c r="C693" s="953"/>
      <c r="D693" s="953"/>
      <c r="E693" s="953"/>
      <c r="F693" s="953"/>
      <c r="G693" s="953"/>
      <c r="H693" s="953"/>
    </row>
    <row r="694" spans="1:8" x14ac:dyDescent="0.25">
      <c r="A694" s="952"/>
      <c r="B694" s="953"/>
      <c r="C694" s="953"/>
      <c r="D694" s="953"/>
      <c r="E694" s="953"/>
      <c r="F694" s="953"/>
      <c r="G694" s="953"/>
      <c r="H694" s="953"/>
    </row>
    <row r="695" spans="1:8" x14ac:dyDescent="0.25">
      <c r="A695" s="952"/>
      <c r="B695" s="953"/>
      <c r="C695" s="953"/>
      <c r="D695" s="953"/>
      <c r="E695" s="953"/>
      <c r="F695" s="953"/>
      <c r="G695" s="953"/>
      <c r="H695" s="953"/>
    </row>
    <row r="696" spans="1:8" x14ac:dyDescent="0.25">
      <c r="A696" s="952"/>
      <c r="B696" s="953"/>
      <c r="C696" s="953"/>
      <c r="D696" s="953"/>
      <c r="E696" s="953"/>
      <c r="F696" s="953"/>
      <c r="G696" s="953"/>
      <c r="H696" s="953"/>
    </row>
    <row r="697" spans="1:8" x14ac:dyDescent="0.25">
      <c r="A697" s="952"/>
      <c r="B697" s="953"/>
      <c r="C697" s="953"/>
      <c r="D697" s="953"/>
      <c r="E697" s="953"/>
      <c r="F697" s="953"/>
      <c r="G697" s="953"/>
      <c r="H697" s="953"/>
    </row>
    <row r="698" spans="1:8" x14ac:dyDescent="0.25">
      <c r="A698" s="952"/>
      <c r="B698" s="953"/>
      <c r="C698" s="953"/>
      <c r="D698" s="953"/>
      <c r="E698" s="953"/>
      <c r="F698" s="953"/>
      <c r="G698" s="953"/>
      <c r="H698" s="953"/>
    </row>
    <row r="699" spans="1:8" x14ac:dyDescent="0.25">
      <c r="A699" s="952"/>
      <c r="B699" s="953"/>
      <c r="C699" s="953"/>
      <c r="D699" s="953"/>
      <c r="E699" s="953"/>
      <c r="F699" s="953"/>
      <c r="G699" s="953"/>
      <c r="H699" s="953"/>
    </row>
    <row r="700" spans="1:8" x14ac:dyDescent="0.25">
      <c r="A700" s="952"/>
      <c r="B700" s="953"/>
      <c r="C700" s="953"/>
      <c r="D700" s="953"/>
      <c r="E700" s="953"/>
      <c r="F700" s="953"/>
      <c r="G700" s="953"/>
      <c r="H700" s="953"/>
    </row>
    <row r="701" spans="1:8" x14ac:dyDescent="0.25">
      <c r="A701" s="952"/>
      <c r="B701" s="953"/>
      <c r="C701" s="953"/>
      <c r="D701" s="953"/>
      <c r="E701" s="953"/>
      <c r="F701" s="953"/>
      <c r="G701" s="953"/>
      <c r="H701" s="953"/>
    </row>
    <row r="702" spans="1:8" x14ac:dyDescent="0.25">
      <c r="A702" s="952"/>
      <c r="B702" s="953"/>
      <c r="C702" s="953"/>
      <c r="D702" s="953"/>
      <c r="E702" s="953"/>
      <c r="F702" s="953"/>
      <c r="G702" s="953"/>
      <c r="H702" s="953"/>
    </row>
    <row r="703" spans="1:8" x14ac:dyDescent="0.25">
      <c r="A703" s="952"/>
      <c r="B703" s="953"/>
      <c r="C703" s="953"/>
      <c r="D703" s="953"/>
      <c r="E703" s="953"/>
      <c r="F703" s="953"/>
      <c r="G703" s="953"/>
      <c r="H703" s="953"/>
    </row>
    <row r="704" spans="1:8" x14ac:dyDescent="0.25">
      <c r="A704" s="952"/>
      <c r="B704" s="953"/>
      <c r="C704" s="953"/>
      <c r="D704" s="953"/>
      <c r="E704" s="953"/>
      <c r="F704" s="953"/>
      <c r="G704" s="953"/>
      <c r="H704" s="953"/>
    </row>
    <row r="705" spans="1:8" x14ac:dyDescent="0.25">
      <c r="A705" s="952"/>
      <c r="B705" s="953"/>
      <c r="C705" s="953"/>
      <c r="D705" s="953"/>
      <c r="E705" s="953"/>
      <c r="F705" s="953"/>
      <c r="G705" s="953"/>
      <c r="H705" s="953"/>
    </row>
    <row r="706" spans="1:8" x14ac:dyDescent="0.25">
      <c r="A706" s="952"/>
      <c r="B706" s="953"/>
      <c r="C706" s="953"/>
      <c r="D706" s="953"/>
      <c r="E706" s="953"/>
      <c r="F706" s="953"/>
      <c r="G706" s="953"/>
      <c r="H706" s="953"/>
    </row>
    <row r="707" spans="1:8" x14ac:dyDescent="0.25">
      <c r="A707" s="952"/>
      <c r="B707" s="953"/>
      <c r="C707" s="953"/>
      <c r="D707" s="953"/>
      <c r="E707" s="953"/>
      <c r="F707" s="953"/>
      <c r="G707" s="953"/>
      <c r="H707" s="953"/>
    </row>
    <row r="708" spans="1:8" x14ac:dyDescent="0.25">
      <c r="A708" s="952"/>
      <c r="B708" s="953"/>
      <c r="C708" s="953"/>
      <c r="D708" s="953"/>
      <c r="E708" s="953"/>
      <c r="F708" s="953"/>
      <c r="G708" s="953"/>
      <c r="H708" s="953"/>
    </row>
    <row r="709" spans="1:8" x14ac:dyDescent="0.25">
      <c r="A709" s="952"/>
      <c r="B709" s="953"/>
      <c r="C709" s="953"/>
      <c r="D709" s="953"/>
      <c r="E709" s="953"/>
      <c r="F709" s="953"/>
      <c r="G709" s="953"/>
      <c r="H709" s="953"/>
    </row>
    <row r="710" spans="1:8" x14ac:dyDescent="0.25">
      <c r="A710" s="952"/>
      <c r="B710" s="953"/>
      <c r="C710" s="953"/>
      <c r="D710" s="953"/>
      <c r="E710" s="953"/>
      <c r="F710" s="953"/>
      <c r="G710" s="953"/>
      <c r="H710" s="953"/>
    </row>
    <row r="711" spans="1:8" x14ac:dyDescent="0.25">
      <c r="A711" s="952"/>
      <c r="B711" s="953"/>
      <c r="C711" s="953"/>
      <c r="D711" s="953"/>
      <c r="E711" s="953"/>
      <c r="F711" s="953"/>
      <c r="G711" s="953"/>
      <c r="H711" s="953"/>
    </row>
    <row r="712" spans="1:8" x14ac:dyDescent="0.25">
      <c r="A712" s="952"/>
      <c r="B712" s="953"/>
      <c r="C712" s="953"/>
      <c r="D712" s="953"/>
      <c r="E712" s="953"/>
      <c r="F712" s="953"/>
      <c r="G712" s="953"/>
      <c r="H712" s="953"/>
    </row>
    <row r="713" spans="1:8" x14ac:dyDescent="0.25">
      <c r="A713" s="952"/>
      <c r="B713" s="953"/>
      <c r="C713" s="953"/>
      <c r="D713" s="953"/>
      <c r="E713" s="953"/>
      <c r="F713" s="953"/>
      <c r="G713" s="953"/>
      <c r="H713" s="953"/>
    </row>
    <row r="714" spans="1:8" x14ac:dyDescent="0.25">
      <c r="A714" s="952"/>
      <c r="B714" s="953"/>
      <c r="C714" s="953"/>
      <c r="D714" s="953"/>
      <c r="E714" s="953"/>
      <c r="F714" s="953"/>
      <c r="G714" s="953"/>
      <c r="H714" s="953"/>
    </row>
    <row r="715" spans="1:8" x14ac:dyDescent="0.25">
      <c r="A715" s="952"/>
      <c r="B715" s="953"/>
      <c r="C715" s="953"/>
      <c r="D715" s="953"/>
      <c r="E715" s="953"/>
      <c r="F715" s="953"/>
      <c r="G715" s="953"/>
      <c r="H715" s="953"/>
    </row>
    <row r="716" spans="1:8" x14ac:dyDescent="0.25">
      <c r="A716" s="952"/>
      <c r="B716" s="953"/>
      <c r="C716" s="953"/>
      <c r="D716" s="953"/>
      <c r="E716" s="953"/>
      <c r="F716" s="953"/>
      <c r="G716" s="953"/>
      <c r="H716" s="953"/>
    </row>
    <row r="717" spans="1:8" x14ac:dyDescent="0.25">
      <c r="A717" s="952"/>
      <c r="B717" s="953"/>
      <c r="C717" s="953"/>
      <c r="D717" s="953"/>
      <c r="E717" s="953"/>
      <c r="F717" s="953"/>
      <c r="G717" s="953"/>
      <c r="H717" s="953"/>
    </row>
    <row r="718" spans="1:8" x14ac:dyDescent="0.25">
      <c r="A718" s="952"/>
      <c r="B718" s="953"/>
      <c r="C718" s="953"/>
      <c r="D718" s="953"/>
      <c r="E718" s="953"/>
      <c r="F718" s="953"/>
      <c r="G718" s="953"/>
      <c r="H718" s="953"/>
    </row>
    <row r="719" spans="1:8" x14ac:dyDescent="0.25">
      <c r="A719" s="952"/>
      <c r="B719" s="953"/>
      <c r="C719" s="953"/>
      <c r="D719" s="953"/>
      <c r="E719" s="953"/>
      <c r="F719" s="953"/>
      <c r="G719" s="953"/>
      <c r="H719" s="953"/>
    </row>
    <row r="720" spans="1:8" x14ac:dyDescent="0.25">
      <c r="A720" s="952"/>
      <c r="B720" s="953"/>
      <c r="C720" s="953"/>
      <c r="D720" s="953"/>
      <c r="E720" s="953"/>
      <c r="F720" s="953"/>
      <c r="G720" s="953"/>
      <c r="H720" s="953"/>
    </row>
    <row r="721" spans="1:8" x14ac:dyDescent="0.25">
      <c r="A721" s="952"/>
      <c r="B721" s="953"/>
      <c r="C721" s="953"/>
      <c r="D721" s="953"/>
      <c r="E721" s="953"/>
      <c r="F721" s="953"/>
      <c r="G721" s="953"/>
      <c r="H721" s="953"/>
    </row>
    <row r="722" spans="1:8" x14ac:dyDescent="0.25">
      <c r="A722" s="952"/>
      <c r="B722" s="953"/>
      <c r="C722" s="953"/>
      <c r="D722" s="953"/>
      <c r="E722" s="953"/>
      <c r="F722" s="953"/>
      <c r="G722" s="953"/>
      <c r="H722" s="953"/>
    </row>
    <row r="723" spans="1:8" x14ac:dyDescent="0.25">
      <c r="A723" s="952"/>
      <c r="B723" s="953"/>
      <c r="C723" s="953"/>
      <c r="D723" s="953"/>
      <c r="E723" s="953"/>
      <c r="F723" s="953"/>
      <c r="G723" s="953"/>
      <c r="H723" s="953"/>
    </row>
    <row r="724" spans="1:8" x14ac:dyDescent="0.25">
      <c r="A724" s="952"/>
      <c r="B724" s="953"/>
      <c r="C724" s="953"/>
      <c r="D724" s="953"/>
      <c r="E724" s="953"/>
      <c r="F724" s="953"/>
      <c r="G724" s="953"/>
      <c r="H724" s="953"/>
    </row>
    <row r="725" spans="1:8" x14ac:dyDescent="0.25">
      <c r="A725" s="952"/>
      <c r="B725" s="953"/>
      <c r="C725" s="953"/>
      <c r="D725" s="953"/>
      <c r="E725" s="953"/>
      <c r="F725" s="953"/>
      <c r="G725" s="953"/>
      <c r="H725" s="953"/>
    </row>
    <row r="726" spans="1:8" x14ac:dyDescent="0.25">
      <c r="A726" s="952"/>
      <c r="B726" s="953"/>
      <c r="C726" s="953"/>
      <c r="D726" s="953"/>
      <c r="E726" s="953"/>
      <c r="F726" s="953"/>
      <c r="G726" s="953"/>
      <c r="H726" s="953"/>
    </row>
    <row r="727" spans="1:8" x14ac:dyDescent="0.25">
      <c r="A727" s="952"/>
      <c r="B727" s="953"/>
      <c r="C727" s="953"/>
      <c r="D727" s="953"/>
      <c r="E727" s="953"/>
      <c r="F727" s="953"/>
      <c r="G727" s="953"/>
      <c r="H727" s="953"/>
    </row>
    <row r="728" spans="1:8" x14ac:dyDescent="0.25">
      <c r="A728" s="952"/>
      <c r="B728" s="953"/>
      <c r="C728" s="953"/>
      <c r="D728" s="953"/>
      <c r="E728" s="953"/>
      <c r="F728" s="953"/>
      <c r="G728" s="953"/>
      <c r="H728" s="953"/>
    </row>
    <row r="729" spans="1:8" x14ac:dyDescent="0.25">
      <c r="A729" s="952"/>
      <c r="B729" s="953"/>
      <c r="C729" s="953"/>
      <c r="D729" s="953"/>
      <c r="E729" s="953"/>
      <c r="F729" s="953"/>
      <c r="G729" s="953"/>
      <c r="H729" s="953"/>
    </row>
    <row r="730" spans="1:8" x14ac:dyDescent="0.25">
      <c r="A730" s="952"/>
      <c r="B730" s="953"/>
      <c r="C730" s="953"/>
      <c r="D730" s="953"/>
      <c r="E730" s="953"/>
      <c r="F730" s="953"/>
      <c r="G730" s="953"/>
      <c r="H730" s="953"/>
    </row>
    <row r="731" spans="1:8" x14ac:dyDescent="0.25">
      <c r="A731" s="952"/>
      <c r="B731" s="953"/>
      <c r="C731" s="953"/>
      <c r="D731" s="953"/>
      <c r="E731" s="953"/>
      <c r="F731" s="953"/>
      <c r="G731" s="953"/>
      <c r="H731" s="953"/>
    </row>
    <row r="732" spans="1:8" x14ac:dyDescent="0.25">
      <c r="A732" s="952"/>
      <c r="B732" s="953"/>
      <c r="C732" s="953"/>
      <c r="D732" s="953"/>
      <c r="E732" s="953"/>
      <c r="F732" s="953"/>
      <c r="G732" s="953"/>
      <c r="H732" s="953"/>
    </row>
    <row r="733" spans="1:8" x14ac:dyDescent="0.25">
      <c r="A733" s="952"/>
      <c r="B733" s="953"/>
      <c r="C733" s="953"/>
      <c r="D733" s="953"/>
      <c r="E733" s="953"/>
      <c r="F733" s="953"/>
      <c r="G733" s="953"/>
      <c r="H733" s="953"/>
    </row>
    <row r="734" spans="1:8" x14ac:dyDescent="0.25">
      <c r="A734" s="952"/>
      <c r="B734" s="953"/>
      <c r="C734" s="953"/>
      <c r="D734" s="953"/>
      <c r="E734" s="953"/>
      <c r="F734" s="953"/>
      <c r="G734" s="953"/>
      <c r="H734" s="953"/>
    </row>
    <row r="735" spans="1:8" x14ac:dyDescent="0.25">
      <c r="A735" s="952"/>
      <c r="B735" s="953"/>
      <c r="C735" s="953"/>
      <c r="D735" s="953"/>
      <c r="E735" s="953"/>
      <c r="F735" s="953"/>
      <c r="G735" s="953"/>
      <c r="H735" s="953"/>
    </row>
    <row r="736" spans="1:8" x14ac:dyDescent="0.25">
      <c r="A736" s="952"/>
      <c r="B736" s="953"/>
      <c r="C736" s="953"/>
      <c r="D736" s="953"/>
      <c r="E736" s="953"/>
      <c r="F736" s="953"/>
      <c r="G736" s="953"/>
      <c r="H736" s="953"/>
    </row>
    <row r="737" spans="1:8" x14ac:dyDescent="0.25">
      <c r="A737" s="952"/>
      <c r="B737" s="953"/>
      <c r="C737" s="953"/>
      <c r="D737" s="953"/>
      <c r="E737" s="953"/>
      <c r="F737" s="953"/>
      <c r="G737" s="953"/>
      <c r="H737" s="953"/>
    </row>
    <row r="738" spans="1:8" x14ac:dyDescent="0.25">
      <c r="A738" s="952"/>
      <c r="B738" s="953"/>
      <c r="C738" s="953"/>
      <c r="D738" s="953"/>
      <c r="E738" s="953"/>
      <c r="F738" s="953"/>
      <c r="G738" s="953"/>
      <c r="H738" s="953"/>
    </row>
    <row r="739" spans="1:8" x14ac:dyDescent="0.25">
      <c r="A739" s="952"/>
      <c r="B739" s="953"/>
      <c r="C739" s="953"/>
      <c r="D739" s="953"/>
      <c r="E739" s="953"/>
      <c r="F739" s="953"/>
      <c r="G739" s="953"/>
      <c r="H739" s="953"/>
    </row>
    <row r="740" spans="1:8" x14ac:dyDescent="0.25">
      <c r="A740" s="952"/>
      <c r="B740" s="953"/>
      <c r="C740" s="953"/>
      <c r="D740" s="953"/>
      <c r="E740" s="953"/>
      <c r="F740" s="953"/>
      <c r="G740" s="953"/>
      <c r="H740" s="953"/>
    </row>
    <row r="741" spans="1:8" x14ac:dyDescent="0.25">
      <c r="A741" s="952"/>
      <c r="B741" s="953"/>
      <c r="C741" s="953"/>
      <c r="D741" s="953"/>
      <c r="E741" s="953"/>
      <c r="F741" s="953"/>
      <c r="G741" s="953"/>
      <c r="H741" s="953"/>
    </row>
    <row r="742" spans="1:8" x14ac:dyDescent="0.25">
      <c r="A742" s="952"/>
      <c r="B742" s="953"/>
      <c r="C742" s="953"/>
      <c r="D742" s="953"/>
      <c r="E742" s="953"/>
      <c r="F742" s="953"/>
      <c r="G742" s="953"/>
      <c r="H742" s="953"/>
    </row>
    <row r="743" spans="1:8" x14ac:dyDescent="0.25">
      <c r="A743" s="952"/>
      <c r="B743" s="953"/>
      <c r="C743" s="953"/>
      <c r="D743" s="953"/>
      <c r="E743" s="953"/>
      <c r="F743" s="953"/>
      <c r="G743" s="953"/>
      <c r="H743" s="953"/>
    </row>
    <row r="744" spans="1:8" x14ac:dyDescent="0.25">
      <c r="A744" s="952"/>
      <c r="B744" s="953"/>
      <c r="C744" s="953"/>
      <c r="D744" s="953"/>
      <c r="E744" s="953"/>
      <c r="F744" s="953"/>
      <c r="G744" s="953"/>
      <c r="H744" s="953"/>
    </row>
    <row r="745" spans="1:8" x14ac:dyDescent="0.25">
      <c r="A745" s="952"/>
      <c r="B745" s="953"/>
      <c r="C745" s="953"/>
      <c r="D745" s="953"/>
      <c r="E745" s="953"/>
      <c r="F745" s="953"/>
      <c r="G745" s="953"/>
      <c r="H745" s="953"/>
    </row>
    <row r="746" spans="1:8" x14ac:dyDescent="0.25">
      <c r="A746" s="952"/>
      <c r="B746" s="953"/>
      <c r="C746" s="953"/>
      <c r="D746" s="953"/>
      <c r="E746" s="953"/>
      <c r="F746" s="953"/>
      <c r="G746" s="953"/>
      <c r="H746" s="953"/>
    </row>
    <row r="747" spans="1:8" x14ac:dyDescent="0.25">
      <c r="A747" s="952"/>
      <c r="B747" s="953"/>
      <c r="C747" s="953"/>
      <c r="D747" s="953"/>
      <c r="E747" s="953"/>
      <c r="F747" s="953"/>
      <c r="G747" s="953"/>
      <c r="H747" s="953"/>
    </row>
    <row r="748" spans="1:8" x14ac:dyDescent="0.25">
      <c r="A748" s="952"/>
      <c r="B748" s="953"/>
      <c r="C748" s="953"/>
      <c r="D748" s="953"/>
      <c r="E748" s="953"/>
      <c r="F748" s="953"/>
      <c r="G748" s="953"/>
      <c r="H748" s="953"/>
    </row>
    <row r="749" spans="1:8" x14ac:dyDescent="0.25">
      <c r="A749" s="952"/>
      <c r="B749" s="953"/>
      <c r="C749" s="953"/>
      <c r="D749" s="953"/>
      <c r="E749" s="953"/>
      <c r="F749" s="953"/>
      <c r="G749" s="953"/>
      <c r="H749" s="953"/>
    </row>
    <row r="750" spans="1:8" x14ac:dyDescent="0.25">
      <c r="A750" s="952"/>
      <c r="B750" s="953"/>
      <c r="C750" s="953"/>
      <c r="D750" s="953"/>
      <c r="E750" s="953"/>
      <c r="F750" s="953"/>
      <c r="G750" s="953"/>
      <c r="H750" s="953"/>
    </row>
    <row r="751" spans="1:8" x14ac:dyDescent="0.25">
      <c r="A751" s="952"/>
      <c r="B751" s="953"/>
      <c r="C751" s="953"/>
      <c r="D751" s="953"/>
      <c r="E751" s="953"/>
      <c r="F751" s="953"/>
      <c r="G751" s="953"/>
      <c r="H751" s="953"/>
    </row>
    <row r="752" spans="1:8" x14ac:dyDescent="0.25">
      <c r="A752" s="952"/>
      <c r="B752" s="953"/>
      <c r="C752" s="953"/>
      <c r="D752" s="953"/>
      <c r="E752" s="953"/>
      <c r="F752" s="953"/>
      <c r="G752" s="953"/>
      <c r="H752" s="953"/>
    </row>
    <row r="753" spans="1:8" x14ac:dyDescent="0.25">
      <c r="A753" s="952"/>
      <c r="B753" s="953"/>
      <c r="C753" s="953"/>
      <c r="D753" s="953"/>
      <c r="E753" s="953"/>
      <c r="F753" s="953"/>
      <c r="G753" s="953"/>
      <c r="H753" s="953"/>
    </row>
    <row r="754" spans="1:8" x14ac:dyDescent="0.25">
      <c r="A754" s="952"/>
      <c r="B754" s="953"/>
      <c r="C754" s="953"/>
      <c r="D754" s="953"/>
      <c r="E754" s="953"/>
      <c r="F754" s="953"/>
      <c r="G754" s="953"/>
      <c r="H754" s="953"/>
    </row>
    <row r="755" spans="1:8" x14ac:dyDescent="0.25">
      <c r="A755" s="952"/>
      <c r="B755" s="953"/>
      <c r="C755" s="953"/>
      <c r="D755" s="953"/>
      <c r="E755" s="953"/>
      <c r="F755" s="953"/>
      <c r="G755" s="953"/>
      <c r="H755" s="953"/>
    </row>
    <row r="756" spans="1:8" x14ac:dyDescent="0.25">
      <c r="A756" s="952"/>
      <c r="B756" s="953"/>
      <c r="C756" s="953"/>
      <c r="D756" s="953"/>
      <c r="E756" s="953"/>
      <c r="F756" s="953"/>
      <c r="G756" s="953"/>
      <c r="H756" s="953"/>
    </row>
    <row r="757" spans="1:8" x14ac:dyDescent="0.25">
      <c r="A757" s="952"/>
      <c r="B757" s="953"/>
      <c r="C757" s="953"/>
      <c r="D757" s="953"/>
      <c r="E757" s="953"/>
      <c r="F757" s="953"/>
      <c r="G757" s="953"/>
      <c r="H757" s="953"/>
    </row>
    <row r="758" spans="1:8" x14ac:dyDescent="0.25">
      <c r="A758" s="952"/>
      <c r="B758" s="953"/>
      <c r="C758" s="953"/>
      <c r="D758" s="953"/>
      <c r="E758" s="953"/>
      <c r="F758" s="953"/>
      <c r="G758" s="953"/>
      <c r="H758" s="953"/>
    </row>
    <row r="759" spans="1:8" x14ac:dyDescent="0.25">
      <c r="A759" s="952"/>
      <c r="B759" s="953"/>
      <c r="C759" s="953"/>
      <c r="D759" s="953"/>
      <c r="E759" s="953"/>
      <c r="F759" s="953"/>
      <c r="G759" s="953"/>
      <c r="H759" s="953"/>
    </row>
    <row r="760" spans="1:8" x14ac:dyDescent="0.25">
      <c r="A760" s="952"/>
      <c r="B760" s="953"/>
      <c r="C760" s="953"/>
      <c r="D760" s="953"/>
      <c r="E760" s="953"/>
      <c r="F760" s="953"/>
      <c r="G760" s="953"/>
      <c r="H760" s="953"/>
    </row>
    <row r="761" spans="1:8" x14ac:dyDescent="0.25">
      <c r="A761" s="952"/>
      <c r="B761" s="953"/>
      <c r="C761" s="953"/>
      <c r="D761" s="953"/>
      <c r="E761" s="953"/>
      <c r="F761" s="953"/>
      <c r="G761" s="953"/>
      <c r="H761" s="953"/>
    </row>
    <row r="762" spans="1:8" x14ac:dyDescent="0.25">
      <c r="A762" s="952"/>
      <c r="B762" s="953"/>
      <c r="C762" s="953"/>
      <c r="D762" s="953"/>
      <c r="E762" s="953"/>
      <c r="F762" s="953"/>
      <c r="G762" s="953"/>
      <c r="H762" s="953"/>
    </row>
    <row r="763" spans="1:8" x14ac:dyDescent="0.25">
      <c r="A763" s="952"/>
      <c r="B763" s="953"/>
      <c r="C763" s="953"/>
      <c r="D763" s="953"/>
      <c r="E763" s="953"/>
      <c r="F763" s="953"/>
      <c r="G763" s="953"/>
      <c r="H763" s="953"/>
    </row>
    <row r="764" spans="1:8" x14ac:dyDescent="0.25">
      <c r="A764" s="952"/>
      <c r="B764" s="953"/>
      <c r="C764" s="953"/>
      <c r="D764" s="953"/>
      <c r="E764" s="953"/>
      <c r="F764" s="953"/>
      <c r="G764" s="953"/>
      <c r="H764" s="953"/>
    </row>
    <row r="765" spans="1:8" x14ac:dyDescent="0.25">
      <c r="A765" s="952"/>
      <c r="B765" s="953"/>
      <c r="C765" s="953"/>
      <c r="D765" s="953"/>
      <c r="E765" s="953"/>
      <c r="F765" s="953"/>
      <c r="G765" s="953"/>
      <c r="H765" s="953"/>
    </row>
    <row r="766" spans="1:8" x14ac:dyDescent="0.25">
      <c r="A766" s="952"/>
      <c r="B766" s="953"/>
      <c r="C766" s="953"/>
      <c r="D766" s="953"/>
      <c r="E766" s="953"/>
      <c r="F766" s="953"/>
      <c r="G766" s="953"/>
      <c r="H766" s="953"/>
    </row>
    <row r="767" spans="1:8" x14ac:dyDescent="0.25">
      <c r="A767" s="952"/>
      <c r="B767" s="953"/>
      <c r="C767" s="953"/>
      <c r="D767" s="953"/>
      <c r="E767" s="953"/>
      <c r="F767" s="953"/>
      <c r="G767" s="953"/>
      <c r="H767" s="953"/>
    </row>
    <row r="768" spans="1:8" x14ac:dyDescent="0.25">
      <c r="A768" s="952"/>
      <c r="B768" s="953"/>
      <c r="C768" s="953"/>
      <c r="D768" s="953"/>
      <c r="E768" s="953"/>
      <c r="F768" s="953"/>
      <c r="G768" s="953"/>
      <c r="H768" s="953"/>
    </row>
    <row r="769" spans="1:8" x14ac:dyDescent="0.25">
      <c r="A769" s="952"/>
      <c r="B769" s="953"/>
      <c r="C769" s="953"/>
      <c r="D769" s="953"/>
      <c r="E769" s="953"/>
      <c r="F769" s="953"/>
      <c r="G769" s="953"/>
      <c r="H769" s="953"/>
    </row>
    <row r="770" spans="1:8" x14ac:dyDescent="0.25">
      <c r="A770" s="952"/>
      <c r="B770" s="953"/>
      <c r="C770" s="953"/>
      <c r="D770" s="953"/>
      <c r="E770" s="953"/>
      <c r="F770" s="953"/>
      <c r="G770" s="953"/>
      <c r="H770" s="953"/>
    </row>
    <row r="771" spans="1:8" x14ac:dyDescent="0.25">
      <c r="A771" s="952"/>
      <c r="B771" s="953"/>
      <c r="C771" s="953"/>
      <c r="D771" s="953"/>
      <c r="E771" s="953"/>
      <c r="F771" s="953"/>
      <c r="G771" s="953"/>
      <c r="H771" s="953"/>
    </row>
    <row r="772" spans="1:8" x14ac:dyDescent="0.25">
      <c r="A772" s="952"/>
      <c r="B772" s="953"/>
      <c r="C772" s="953"/>
      <c r="D772" s="953"/>
      <c r="E772" s="953"/>
      <c r="F772" s="953"/>
      <c r="G772" s="953"/>
      <c r="H772" s="953"/>
    </row>
    <row r="773" spans="1:8" x14ac:dyDescent="0.25">
      <c r="A773" s="952"/>
      <c r="B773" s="953"/>
      <c r="C773" s="953"/>
      <c r="D773" s="953"/>
      <c r="E773" s="953"/>
      <c r="F773" s="953"/>
      <c r="G773" s="953"/>
      <c r="H773" s="953"/>
    </row>
    <row r="774" spans="1:8" x14ac:dyDescent="0.25">
      <c r="A774" s="952"/>
      <c r="B774" s="953"/>
      <c r="C774" s="953"/>
      <c r="D774" s="953"/>
      <c r="E774" s="953"/>
      <c r="F774" s="953"/>
      <c r="G774" s="953"/>
      <c r="H774" s="953"/>
    </row>
    <row r="775" spans="1:8" x14ac:dyDescent="0.25">
      <c r="A775" s="952"/>
      <c r="B775" s="953"/>
      <c r="C775" s="953"/>
      <c r="D775" s="953"/>
      <c r="E775" s="953"/>
      <c r="F775" s="953"/>
      <c r="G775" s="953"/>
      <c r="H775" s="953"/>
    </row>
    <row r="776" spans="1:8" x14ac:dyDescent="0.25">
      <c r="A776" s="952"/>
      <c r="B776" s="953"/>
      <c r="C776" s="953"/>
      <c r="D776" s="953"/>
      <c r="E776" s="953"/>
      <c r="F776" s="953"/>
      <c r="G776" s="953"/>
      <c r="H776" s="953"/>
    </row>
    <row r="777" spans="1:8" x14ac:dyDescent="0.25">
      <c r="A777" s="952"/>
      <c r="B777" s="953"/>
      <c r="C777" s="953"/>
      <c r="D777" s="953"/>
      <c r="E777" s="953"/>
      <c r="F777" s="953"/>
      <c r="G777" s="953"/>
      <c r="H777" s="953"/>
    </row>
    <row r="778" spans="1:8" x14ac:dyDescent="0.25">
      <c r="A778" s="952"/>
      <c r="B778" s="953"/>
      <c r="C778" s="953"/>
      <c r="D778" s="953"/>
      <c r="E778" s="953"/>
      <c r="F778" s="953"/>
      <c r="G778" s="953"/>
      <c r="H778" s="953"/>
    </row>
    <row r="779" spans="1:8" x14ac:dyDescent="0.25">
      <c r="A779" s="952"/>
      <c r="B779" s="953"/>
      <c r="C779" s="953"/>
      <c r="D779" s="953"/>
      <c r="E779" s="953"/>
      <c r="F779" s="953"/>
      <c r="G779" s="953"/>
      <c r="H779" s="953"/>
    </row>
    <row r="780" spans="1:8" x14ac:dyDescent="0.25">
      <c r="A780" s="952"/>
      <c r="B780" s="953"/>
      <c r="C780" s="953"/>
      <c r="D780" s="953"/>
      <c r="E780" s="953"/>
      <c r="F780" s="953"/>
      <c r="G780" s="953"/>
      <c r="H780" s="953"/>
    </row>
    <row r="781" spans="1:8" x14ac:dyDescent="0.25">
      <c r="A781" s="952"/>
      <c r="B781" s="953"/>
      <c r="C781" s="953"/>
      <c r="D781" s="953"/>
      <c r="E781" s="953"/>
      <c r="F781" s="953"/>
      <c r="G781" s="953"/>
      <c r="H781" s="953"/>
    </row>
    <row r="782" spans="1:8" x14ac:dyDescent="0.25">
      <c r="A782" s="952"/>
      <c r="B782" s="953"/>
      <c r="C782" s="953"/>
      <c r="D782" s="953"/>
      <c r="E782" s="953"/>
      <c r="F782" s="953"/>
      <c r="G782" s="953"/>
      <c r="H782" s="953"/>
    </row>
    <row r="783" spans="1:8" x14ac:dyDescent="0.25">
      <c r="A783" s="952"/>
      <c r="B783" s="953"/>
      <c r="C783" s="953"/>
      <c r="D783" s="953"/>
      <c r="E783" s="953"/>
      <c r="F783" s="953"/>
      <c r="G783" s="953"/>
      <c r="H783" s="953"/>
    </row>
    <row r="784" spans="1:8" x14ac:dyDescent="0.25">
      <c r="A784" s="952"/>
      <c r="B784" s="953"/>
      <c r="C784" s="953"/>
      <c r="D784" s="953"/>
      <c r="E784" s="953"/>
      <c r="F784" s="953"/>
      <c r="G784" s="953"/>
      <c r="H784" s="953"/>
    </row>
    <row r="785" spans="1:8" x14ac:dyDescent="0.25">
      <c r="A785" s="952"/>
      <c r="B785" s="953"/>
      <c r="C785" s="953"/>
      <c r="D785" s="953"/>
      <c r="E785" s="953"/>
      <c r="F785" s="953"/>
      <c r="G785" s="953"/>
      <c r="H785" s="953"/>
    </row>
    <row r="786" spans="1:8" x14ac:dyDescent="0.25">
      <c r="A786" s="952"/>
      <c r="B786" s="953"/>
      <c r="C786" s="953"/>
      <c r="D786" s="953"/>
      <c r="E786" s="953"/>
      <c r="F786" s="953"/>
      <c r="G786" s="953"/>
      <c r="H786" s="953"/>
    </row>
    <row r="787" spans="1:8" x14ac:dyDescent="0.25">
      <c r="A787" s="952"/>
      <c r="B787" s="953"/>
      <c r="C787" s="953"/>
      <c r="D787" s="953"/>
      <c r="E787" s="953"/>
      <c r="F787" s="953"/>
      <c r="G787" s="953"/>
      <c r="H787" s="953"/>
    </row>
    <row r="788" spans="1:8" x14ac:dyDescent="0.25">
      <c r="A788" s="952"/>
      <c r="B788" s="953"/>
      <c r="C788" s="953"/>
      <c r="D788" s="953"/>
      <c r="E788" s="953"/>
      <c r="F788" s="953"/>
      <c r="G788" s="953"/>
      <c r="H788" s="953"/>
    </row>
    <row r="789" spans="1:8" x14ac:dyDescent="0.25">
      <c r="A789" s="952"/>
      <c r="B789" s="953"/>
      <c r="C789" s="953"/>
      <c r="D789" s="953"/>
      <c r="E789" s="953"/>
      <c r="F789" s="953"/>
      <c r="G789" s="953"/>
      <c r="H789" s="953"/>
    </row>
    <row r="790" spans="1:8" x14ac:dyDescent="0.25">
      <c r="A790" s="952"/>
      <c r="B790" s="953"/>
      <c r="C790" s="953"/>
      <c r="D790" s="953"/>
      <c r="E790" s="953"/>
      <c r="F790" s="953"/>
      <c r="G790" s="953"/>
      <c r="H790" s="953"/>
    </row>
    <row r="791" spans="1:8" x14ac:dyDescent="0.25">
      <c r="A791" s="952"/>
      <c r="B791" s="953"/>
      <c r="C791" s="953"/>
      <c r="D791" s="953"/>
      <c r="E791" s="953"/>
      <c r="F791" s="953"/>
      <c r="G791" s="953"/>
      <c r="H791" s="953"/>
    </row>
    <row r="792" spans="1:8" x14ac:dyDescent="0.25">
      <c r="A792" s="952"/>
      <c r="B792" s="953"/>
      <c r="C792" s="953"/>
      <c r="D792" s="953"/>
      <c r="E792" s="953"/>
      <c r="F792" s="953"/>
      <c r="G792" s="953"/>
      <c r="H792" s="953"/>
    </row>
    <row r="793" spans="1:8" x14ac:dyDescent="0.25">
      <c r="A793" s="952"/>
      <c r="B793" s="953"/>
      <c r="C793" s="953"/>
      <c r="D793" s="953"/>
      <c r="E793" s="953"/>
      <c r="F793" s="953"/>
      <c r="G793" s="953"/>
      <c r="H793" s="953"/>
    </row>
    <row r="794" spans="1:8" x14ac:dyDescent="0.25">
      <c r="A794" s="952"/>
      <c r="B794" s="953"/>
      <c r="C794" s="953"/>
      <c r="D794" s="953"/>
      <c r="E794" s="953"/>
      <c r="F794" s="953"/>
      <c r="G794" s="953"/>
      <c r="H794" s="953"/>
    </row>
    <row r="795" spans="1:8" x14ac:dyDescent="0.25">
      <c r="A795" s="952"/>
      <c r="B795" s="953"/>
      <c r="C795" s="953"/>
      <c r="D795" s="953"/>
      <c r="E795" s="953"/>
      <c r="F795" s="953"/>
      <c r="G795" s="953"/>
      <c r="H795" s="953"/>
    </row>
    <row r="796" spans="1:8" x14ac:dyDescent="0.25">
      <c r="A796" s="952"/>
      <c r="B796" s="953"/>
      <c r="C796" s="953"/>
      <c r="D796" s="953"/>
      <c r="E796" s="953"/>
      <c r="F796" s="953"/>
      <c r="G796" s="953"/>
      <c r="H796" s="953"/>
    </row>
    <row r="797" spans="1:8" x14ac:dyDescent="0.25">
      <c r="A797" s="952"/>
      <c r="B797" s="953"/>
      <c r="C797" s="953"/>
      <c r="D797" s="953"/>
      <c r="E797" s="953"/>
      <c r="F797" s="953"/>
      <c r="G797" s="953"/>
      <c r="H797" s="953"/>
    </row>
    <row r="798" spans="1:8" x14ac:dyDescent="0.25">
      <c r="A798" s="952"/>
      <c r="B798" s="953"/>
      <c r="C798" s="953"/>
      <c r="D798" s="953"/>
      <c r="E798" s="953"/>
      <c r="F798" s="953"/>
      <c r="G798" s="953"/>
      <c r="H798" s="953"/>
    </row>
    <row r="799" spans="1:8" x14ac:dyDescent="0.25">
      <c r="A799" s="952"/>
      <c r="B799" s="953"/>
      <c r="C799" s="953"/>
      <c r="D799" s="953"/>
      <c r="E799" s="953"/>
      <c r="F799" s="953"/>
      <c r="G799" s="953"/>
      <c r="H799" s="953"/>
    </row>
    <row r="800" spans="1:8" x14ac:dyDescent="0.25">
      <c r="A800" s="952"/>
      <c r="B800" s="953"/>
      <c r="C800" s="953"/>
      <c r="D800" s="953"/>
      <c r="E800" s="953"/>
      <c r="F800" s="953"/>
      <c r="G800" s="953"/>
      <c r="H800" s="953"/>
    </row>
    <row r="801" spans="1:8" x14ac:dyDescent="0.25">
      <c r="A801" s="952"/>
      <c r="B801" s="953"/>
      <c r="C801" s="953"/>
      <c r="D801" s="953"/>
      <c r="E801" s="953"/>
      <c r="F801" s="953"/>
      <c r="G801" s="953"/>
      <c r="H801" s="953"/>
    </row>
    <row r="802" spans="1:8" x14ac:dyDescent="0.25">
      <c r="A802" s="952"/>
      <c r="B802" s="953"/>
      <c r="C802" s="953"/>
      <c r="D802" s="953"/>
      <c r="E802" s="953"/>
      <c r="F802" s="953"/>
      <c r="G802" s="953"/>
      <c r="H802" s="953"/>
    </row>
    <row r="803" spans="1:8" x14ac:dyDescent="0.25">
      <c r="A803" s="952"/>
      <c r="B803" s="953"/>
      <c r="C803" s="953"/>
      <c r="D803" s="953"/>
      <c r="E803" s="953"/>
      <c r="F803" s="953"/>
      <c r="G803" s="953"/>
      <c r="H803" s="953"/>
    </row>
    <row r="804" spans="1:8" x14ac:dyDescent="0.25">
      <c r="A804" s="952"/>
      <c r="B804" s="953"/>
      <c r="C804" s="953"/>
      <c r="D804" s="953"/>
      <c r="E804" s="953"/>
      <c r="F804" s="953"/>
      <c r="G804" s="953"/>
      <c r="H804" s="953"/>
    </row>
    <row r="805" spans="1:8" x14ac:dyDescent="0.25">
      <c r="A805" s="952"/>
      <c r="B805" s="953"/>
      <c r="C805" s="953"/>
      <c r="D805" s="953"/>
      <c r="E805" s="953"/>
      <c r="F805" s="953"/>
      <c r="G805" s="953"/>
      <c r="H805" s="953"/>
    </row>
    <row r="806" spans="1:8" x14ac:dyDescent="0.25">
      <c r="A806" s="952"/>
      <c r="B806" s="953"/>
      <c r="C806" s="953"/>
      <c r="D806" s="953"/>
      <c r="E806" s="953"/>
      <c r="F806" s="953"/>
      <c r="G806" s="953"/>
      <c r="H806" s="953"/>
    </row>
    <row r="807" spans="1:8" x14ac:dyDescent="0.25">
      <c r="A807" s="952"/>
      <c r="B807" s="953"/>
      <c r="C807" s="953"/>
      <c r="D807" s="953"/>
      <c r="E807" s="953"/>
      <c r="F807" s="953"/>
      <c r="G807" s="953"/>
      <c r="H807" s="953"/>
    </row>
    <row r="808" spans="1:8" x14ac:dyDescent="0.25">
      <c r="A808" s="952"/>
      <c r="B808" s="953"/>
      <c r="C808" s="953"/>
      <c r="D808" s="953"/>
      <c r="E808" s="953"/>
      <c r="F808" s="953"/>
      <c r="G808" s="953"/>
      <c r="H808" s="953"/>
    </row>
    <row r="809" spans="1:8" x14ac:dyDescent="0.25">
      <c r="A809" s="952"/>
      <c r="B809" s="953"/>
      <c r="C809" s="953"/>
      <c r="D809" s="953"/>
      <c r="E809" s="953"/>
      <c r="F809" s="953"/>
      <c r="G809" s="953"/>
      <c r="H809" s="953"/>
    </row>
    <row r="810" spans="1:8" x14ac:dyDescent="0.25">
      <c r="A810" s="952"/>
      <c r="B810" s="953"/>
      <c r="C810" s="953"/>
      <c r="D810" s="953"/>
      <c r="E810" s="953"/>
      <c r="F810" s="953"/>
      <c r="G810" s="953"/>
      <c r="H810" s="953"/>
    </row>
    <row r="811" spans="1:8" x14ac:dyDescent="0.25">
      <c r="A811" s="952"/>
      <c r="B811" s="953"/>
      <c r="C811" s="953"/>
      <c r="D811" s="953"/>
      <c r="E811" s="953"/>
      <c r="F811" s="953"/>
      <c r="G811" s="953"/>
      <c r="H811" s="953"/>
    </row>
    <row r="812" spans="1:8" x14ac:dyDescent="0.25">
      <c r="A812" s="952"/>
      <c r="B812" s="953"/>
      <c r="C812" s="953"/>
      <c r="D812" s="953"/>
      <c r="E812" s="953"/>
      <c r="F812" s="953"/>
      <c r="G812" s="953"/>
      <c r="H812" s="953"/>
    </row>
    <row r="813" spans="1:8" x14ac:dyDescent="0.25">
      <c r="A813" s="952"/>
      <c r="B813" s="953"/>
      <c r="C813" s="953"/>
      <c r="D813" s="953"/>
      <c r="E813" s="953"/>
      <c r="F813" s="953"/>
      <c r="G813" s="953"/>
      <c r="H813" s="953"/>
    </row>
    <row r="814" spans="1:8" x14ac:dyDescent="0.25">
      <c r="A814" s="952"/>
      <c r="B814" s="953"/>
      <c r="C814" s="953"/>
      <c r="D814" s="953"/>
      <c r="E814" s="953"/>
      <c r="F814" s="953"/>
      <c r="G814" s="953"/>
      <c r="H814" s="953"/>
    </row>
    <row r="815" spans="1:8" x14ac:dyDescent="0.25">
      <c r="A815" s="952"/>
      <c r="B815" s="953"/>
      <c r="C815" s="953"/>
      <c r="D815" s="953"/>
      <c r="E815" s="953"/>
      <c r="F815" s="953"/>
      <c r="G815" s="953"/>
      <c r="H815" s="953"/>
    </row>
    <row r="816" spans="1:8" x14ac:dyDescent="0.25">
      <c r="A816" s="952"/>
      <c r="B816" s="953"/>
      <c r="C816" s="953"/>
      <c r="D816" s="953"/>
      <c r="E816" s="953"/>
      <c r="F816" s="953"/>
      <c r="G816" s="953"/>
      <c r="H816" s="953"/>
    </row>
    <row r="817" spans="1:8" x14ac:dyDescent="0.25">
      <c r="A817" s="952"/>
      <c r="B817" s="953"/>
      <c r="C817" s="953"/>
      <c r="D817" s="953"/>
      <c r="E817" s="953"/>
      <c r="F817" s="953"/>
      <c r="G817" s="953"/>
      <c r="H817" s="953"/>
    </row>
    <row r="818" spans="1:8" x14ac:dyDescent="0.25">
      <c r="A818" s="952"/>
      <c r="B818" s="953"/>
      <c r="C818" s="953"/>
      <c r="D818" s="953"/>
      <c r="E818" s="953"/>
      <c r="F818" s="953"/>
      <c r="G818" s="953"/>
      <c r="H818" s="953"/>
    </row>
    <row r="819" spans="1:8" x14ac:dyDescent="0.25">
      <c r="A819" s="952"/>
      <c r="B819" s="953"/>
      <c r="C819" s="953"/>
      <c r="D819" s="953"/>
      <c r="E819" s="953"/>
      <c r="F819" s="953"/>
      <c r="G819" s="953"/>
      <c r="H819" s="953"/>
    </row>
    <row r="820" spans="1:8" x14ac:dyDescent="0.25">
      <c r="A820" s="952"/>
      <c r="B820" s="953"/>
      <c r="C820" s="953"/>
      <c r="D820" s="953"/>
      <c r="E820" s="953"/>
      <c r="F820" s="953"/>
      <c r="G820" s="953"/>
      <c r="H820" s="953"/>
    </row>
    <row r="821" spans="1:8" x14ac:dyDescent="0.25">
      <c r="A821" s="952"/>
      <c r="B821" s="953"/>
      <c r="C821" s="953"/>
      <c r="D821" s="953"/>
      <c r="E821" s="953"/>
      <c r="F821" s="953"/>
      <c r="G821" s="953"/>
      <c r="H821" s="953"/>
    </row>
    <row r="822" spans="1:8" x14ac:dyDescent="0.25">
      <c r="A822" s="952"/>
      <c r="B822" s="953"/>
      <c r="C822" s="953"/>
      <c r="D822" s="953"/>
      <c r="E822" s="953"/>
      <c r="F822" s="953"/>
      <c r="G822" s="953"/>
      <c r="H822" s="953"/>
    </row>
    <row r="823" spans="1:8" x14ac:dyDescent="0.25">
      <c r="A823" s="952"/>
      <c r="B823" s="953"/>
      <c r="C823" s="953"/>
      <c r="D823" s="953"/>
      <c r="E823" s="953"/>
      <c r="F823" s="953"/>
      <c r="G823" s="953"/>
      <c r="H823" s="953"/>
    </row>
    <row r="824" spans="1:8" x14ac:dyDescent="0.25">
      <c r="A824" s="952"/>
      <c r="B824" s="953"/>
      <c r="C824" s="953"/>
      <c r="D824" s="953"/>
      <c r="E824" s="953"/>
      <c r="F824" s="953"/>
      <c r="G824" s="953"/>
      <c r="H824" s="953"/>
    </row>
    <row r="825" spans="1:8" x14ac:dyDescent="0.25">
      <c r="A825" s="952"/>
      <c r="B825" s="953"/>
      <c r="C825" s="953"/>
      <c r="D825" s="953"/>
      <c r="E825" s="953"/>
      <c r="F825" s="953"/>
      <c r="G825" s="953"/>
      <c r="H825" s="953"/>
    </row>
    <row r="826" spans="1:8" x14ac:dyDescent="0.25">
      <c r="A826" s="952"/>
      <c r="B826" s="953"/>
      <c r="C826" s="953"/>
      <c r="D826" s="953"/>
      <c r="E826" s="953"/>
      <c r="F826" s="953"/>
      <c r="G826" s="953"/>
      <c r="H826" s="953"/>
    </row>
    <row r="827" spans="1:8" x14ac:dyDescent="0.25">
      <c r="A827" s="952"/>
      <c r="B827" s="953"/>
      <c r="C827" s="953"/>
      <c r="D827" s="953"/>
      <c r="E827" s="953"/>
      <c r="F827" s="953"/>
      <c r="G827" s="953"/>
      <c r="H827" s="953"/>
    </row>
    <row r="828" spans="1:8" x14ac:dyDescent="0.25">
      <c r="A828" s="952"/>
      <c r="B828" s="953"/>
      <c r="C828" s="953"/>
      <c r="D828" s="953"/>
      <c r="E828" s="953"/>
      <c r="F828" s="953"/>
      <c r="G828" s="953"/>
      <c r="H828" s="953"/>
    </row>
    <row r="829" spans="1:8" x14ac:dyDescent="0.25">
      <c r="A829" s="952"/>
      <c r="B829" s="953"/>
      <c r="C829" s="953"/>
      <c r="D829" s="953"/>
      <c r="E829" s="953"/>
      <c r="F829" s="953"/>
      <c r="G829" s="953"/>
      <c r="H829" s="953"/>
    </row>
    <row r="830" spans="1:8" x14ac:dyDescent="0.25">
      <c r="A830" s="952"/>
      <c r="B830" s="953"/>
      <c r="C830" s="953"/>
      <c r="D830" s="953"/>
      <c r="E830" s="953"/>
      <c r="F830" s="953"/>
      <c r="G830" s="953"/>
      <c r="H830" s="953"/>
    </row>
    <row r="831" spans="1:8" x14ac:dyDescent="0.25">
      <c r="A831" s="952"/>
      <c r="B831" s="953"/>
      <c r="C831" s="953"/>
      <c r="D831" s="953"/>
      <c r="E831" s="953"/>
      <c r="F831" s="953"/>
      <c r="G831" s="953"/>
      <c r="H831" s="953"/>
    </row>
    <row r="832" spans="1:8" x14ac:dyDescent="0.25">
      <c r="A832" s="952"/>
      <c r="B832" s="953"/>
      <c r="C832" s="953"/>
      <c r="D832" s="953"/>
      <c r="E832" s="953"/>
      <c r="F832" s="953"/>
      <c r="G832" s="953"/>
      <c r="H832" s="953"/>
    </row>
    <row r="833" spans="1:8" x14ac:dyDescent="0.25">
      <c r="A833" s="952"/>
      <c r="B833" s="953"/>
      <c r="C833" s="953"/>
      <c r="D833" s="953"/>
      <c r="E833" s="953"/>
      <c r="F833" s="953"/>
      <c r="G833" s="953"/>
      <c r="H833" s="953"/>
    </row>
    <row r="834" spans="1:8" x14ac:dyDescent="0.25">
      <c r="A834" s="952"/>
      <c r="B834" s="953"/>
      <c r="C834" s="953"/>
      <c r="D834" s="953"/>
      <c r="E834" s="953"/>
      <c r="F834" s="953"/>
      <c r="G834" s="953"/>
      <c r="H834" s="953"/>
    </row>
    <row r="835" spans="1:8" x14ac:dyDescent="0.25">
      <c r="A835" s="952"/>
      <c r="B835" s="953"/>
      <c r="C835" s="953"/>
      <c r="D835" s="953"/>
      <c r="E835" s="953"/>
      <c r="F835" s="953"/>
      <c r="G835" s="953"/>
      <c r="H835" s="953"/>
    </row>
    <row r="836" spans="1:8" x14ac:dyDescent="0.25">
      <c r="A836" s="952"/>
      <c r="B836" s="953"/>
      <c r="C836" s="953"/>
      <c r="D836" s="953"/>
      <c r="E836" s="953"/>
      <c r="F836" s="953"/>
      <c r="G836" s="953"/>
      <c r="H836" s="953"/>
    </row>
    <row r="837" spans="1:8" x14ac:dyDescent="0.25">
      <c r="A837" s="952"/>
      <c r="B837" s="953"/>
      <c r="C837" s="953"/>
      <c r="D837" s="953"/>
      <c r="E837" s="953"/>
      <c r="F837" s="953"/>
      <c r="G837" s="953"/>
      <c r="H837" s="953"/>
    </row>
    <row r="838" spans="1:8" x14ac:dyDescent="0.25">
      <c r="A838" s="952"/>
      <c r="B838" s="953"/>
      <c r="C838" s="953"/>
      <c r="D838" s="953"/>
      <c r="E838" s="953"/>
      <c r="F838" s="953"/>
      <c r="G838" s="953"/>
      <c r="H838" s="953"/>
    </row>
    <row r="839" spans="1:8" x14ac:dyDescent="0.25">
      <c r="A839" s="952"/>
      <c r="B839" s="953"/>
      <c r="C839" s="953"/>
      <c r="D839" s="953"/>
      <c r="E839" s="953"/>
      <c r="F839" s="953"/>
      <c r="G839" s="953"/>
      <c r="H839" s="953"/>
    </row>
    <row r="840" spans="1:8" x14ac:dyDescent="0.25">
      <c r="A840" s="952"/>
      <c r="B840" s="953"/>
      <c r="C840" s="953"/>
      <c r="D840" s="953"/>
      <c r="E840" s="953"/>
      <c r="F840" s="953"/>
      <c r="G840" s="953"/>
      <c r="H840" s="953"/>
    </row>
    <row r="841" spans="1:8" x14ac:dyDescent="0.25">
      <c r="A841" s="952"/>
      <c r="B841" s="953"/>
      <c r="C841" s="953"/>
      <c r="D841" s="953"/>
      <c r="E841" s="953"/>
      <c r="F841" s="953"/>
      <c r="G841" s="953"/>
      <c r="H841" s="953"/>
    </row>
    <row r="842" spans="1:8" x14ac:dyDescent="0.25">
      <c r="A842" s="952"/>
      <c r="B842" s="953"/>
      <c r="C842" s="953"/>
      <c r="D842" s="953"/>
      <c r="E842" s="953"/>
      <c r="F842" s="953"/>
      <c r="G842" s="953"/>
      <c r="H842" s="953"/>
    </row>
    <row r="843" spans="1:8" x14ac:dyDescent="0.25">
      <c r="A843" s="952"/>
      <c r="B843" s="953"/>
      <c r="C843" s="953"/>
      <c r="D843" s="953"/>
      <c r="E843" s="953"/>
      <c r="F843" s="953"/>
      <c r="G843" s="953"/>
      <c r="H843" s="953"/>
    </row>
    <row r="844" spans="1:8" x14ac:dyDescent="0.25">
      <c r="A844" s="952"/>
      <c r="B844" s="953"/>
      <c r="C844" s="953"/>
      <c r="D844" s="953"/>
      <c r="E844" s="953"/>
      <c r="F844" s="953"/>
      <c r="G844" s="953"/>
      <c r="H844" s="953"/>
    </row>
    <row r="845" spans="1:8" x14ac:dyDescent="0.25">
      <c r="A845" s="952"/>
      <c r="B845" s="953"/>
      <c r="C845" s="953"/>
      <c r="D845" s="953"/>
      <c r="E845" s="953"/>
      <c r="F845" s="953"/>
      <c r="G845" s="953"/>
      <c r="H845" s="953"/>
    </row>
    <row r="846" spans="1:8" x14ac:dyDescent="0.25">
      <c r="A846" s="952"/>
      <c r="B846" s="953"/>
      <c r="C846" s="953"/>
      <c r="D846" s="953"/>
      <c r="E846" s="953"/>
      <c r="F846" s="953"/>
      <c r="G846" s="953"/>
      <c r="H846" s="953"/>
    </row>
    <row r="847" spans="1:8" x14ac:dyDescent="0.25">
      <c r="A847" s="952"/>
      <c r="B847" s="953"/>
      <c r="C847" s="953"/>
      <c r="D847" s="953"/>
      <c r="E847" s="953"/>
      <c r="F847" s="953"/>
      <c r="G847" s="953"/>
      <c r="H847" s="953"/>
    </row>
    <row r="848" spans="1:8" x14ac:dyDescent="0.25">
      <c r="A848" s="952"/>
      <c r="B848" s="953"/>
      <c r="C848" s="953"/>
      <c r="D848" s="953"/>
      <c r="E848" s="953"/>
      <c r="F848" s="953"/>
      <c r="G848" s="953"/>
      <c r="H848" s="953"/>
    </row>
    <row r="849" spans="1:8" x14ac:dyDescent="0.25">
      <c r="A849" s="952"/>
      <c r="B849" s="953"/>
      <c r="C849" s="953"/>
      <c r="D849" s="953"/>
      <c r="E849" s="953"/>
      <c r="F849" s="953"/>
      <c r="G849" s="953"/>
      <c r="H849" s="953"/>
    </row>
    <row r="850" spans="1:8" x14ac:dyDescent="0.25">
      <c r="A850" s="952"/>
      <c r="B850" s="953"/>
      <c r="C850" s="953"/>
      <c r="D850" s="953"/>
      <c r="E850" s="953"/>
      <c r="F850" s="953"/>
      <c r="G850" s="953"/>
      <c r="H850" s="953"/>
    </row>
    <row r="851" spans="1:8" x14ac:dyDescent="0.25">
      <c r="A851" s="952"/>
      <c r="B851" s="953"/>
      <c r="C851" s="953"/>
      <c r="D851" s="953"/>
      <c r="E851" s="953"/>
      <c r="F851" s="953"/>
      <c r="G851" s="953"/>
      <c r="H851" s="953"/>
    </row>
    <row r="852" spans="1:8" x14ac:dyDescent="0.25">
      <c r="A852" s="952"/>
      <c r="B852" s="953"/>
      <c r="C852" s="953"/>
      <c r="D852" s="953"/>
      <c r="E852" s="953"/>
      <c r="F852" s="953"/>
      <c r="G852" s="953"/>
      <c r="H852" s="953"/>
    </row>
    <row r="853" spans="1:8" x14ac:dyDescent="0.25">
      <c r="A853" s="952"/>
      <c r="B853" s="953"/>
      <c r="C853" s="953"/>
      <c r="D853" s="953"/>
      <c r="E853" s="953"/>
      <c r="F853" s="953"/>
      <c r="G853" s="953"/>
      <c r="H853" s="953"/>
    </row>
    <row r="854" spans="1:8" x14ac:dyDescent="0.25">
      <c r="A854" s="952"/>
      <c r="B854" s="953"/>
      <c r="C854" s="953"/>
      <c r="D854" s="953"/>
      <c r="E854" s="953"/>
      <c r="F854" s="953"/>
      <c r="G854" s="953"/>
      <c r="H854" s="953"/>
    </row>
    <row r="855" spans="1:8" x14ac:dyDescent="0.25">
      <c r="A855" s="952"/>
      <c r="B855" s="953"/>
      <c r="C855" s="953"/>
      <c r="D855" s="953"/>
      <c r="E855" s="953"/>
      <c r="F855" s="953"/>
      <c r="G855" s="953"/>
      <c r="H855" s="953"/>
    </row>
    <row r="856" spans="1:8" x14ac:dyDescent="0.25">
      <c r="A856" s="952"/>
      <c r="B856" s="953"/>
      <c r="C856" s="953"/>
      <c r="D856" s="953"/>
      <c r="E856" s="953"/>
      <c r="F856" s="953"/>
      <c r="G856" s="953"/>
      <c r="H856" s="953"/>
    </row>
    <row r="857" spans="1:8" x14ac:dyDescent="0.25">
      <c r="A857" s="952"/>
      <c r="B857" s="953"/>
      <c r="C857" s="953"/>
      <c r="D857" s="953"/>
      <c r="E857" s="953"/>
      <c r="F857" s="953"/>
      <c r="G857" s="953"/>
      <c r="H857" s="953"/>
    </row>
    <row r="858" spans="1:8" x14ac:dyDescent="0.25">
      <c r="A858" s="952"/>
      <c r="B858" s="953"/>
      <c r="C858" s="953"/>
      <c r="D858" s="953"/>
      <c r="E858" s="953"/>
      <c r="F858" s="953"/>
      <c r="G858" s="953"/>
      <c r="H858" s="953"/>
    </row>
    <row r="859" spans="1:8" x14ac:dyDescent="0.25">
      <c r="A859" s="952"/>
      <c r="B859" s="953"/>
      <c r="C859" s="953"/>
      <c r="D859" s="953"/>
      <c r="E859" s="953"/>
      <c r="F859" s="953"/>
      <c r="G859" s="953"/>
      <c r="H859" s="953"/>
    </row>
    <row r="860" spans="1:8" x14ac:dyDescent="0.25">
      <c r="A860" s="952"/>
      <c r="B860" s="953"/>
      <c r="C860" s="953"/>
      <c r="D860" s="953"/>
      <c r="E860" s="953"/>
      <c r="F860" s="953"/>
      <c r="G860" s="953"/>
      <c r="H860" s="953"/>
    </row>
    <row r="861" spans="1:8" x14ac:dyDescent="0.25">
      <c r="A861" s="952"/>
      <c r="B861" s="953"/>
      <c r="C861" s="953"/>
      <c r="D861" s="953"/>
      <c r="E861" s="953"/>
      <c r="F861" s="953"/>
      <c r="G861" s="953"/>
      <c r="H861" s="953"/>
    </row>
    <row r="862" spans="1:8" x14ac:dyDescent="0.25">
      <c r="A862" s="952"/>
      <c r="B862" s="953"/>
      <c r="C862" s="953"/>
      <c r="D862" s="953"/>
      <c r="E862" s="953"/>
      <c r="F862" s="953"/>
      <c r="G862" s="953"/>
      <c r="H862" s="953"/>
    </row>
    <row r="863" spans="1:8" x14ac:dyDescent="0.25">
      <c r="A863" s="952"/>
      <c r="B863" s="953"/>
      <c r="C863" s="953"/>
      <c r="D863" s="953"/>
      <c r="E863" s="953"/>
      <c r="F863" s="953"/>
      <c r="G863" s="953"/>
      <c r="H863" s="953"/>
    </row>
    <row r="864" spans="1:8" x14ac:dyDescent="0.25">
      <c r="A864" s="952"/>
      <c r="B864" s="953"/>
      <c r="C864" s="953"/>
      <c r="D864" s="953"/>
      <c r="E864" s="953"/>
      <c r="F864" s="953"/>
      <c r="G864" s="953"/>
      <c r="H864" s="953"/>
    </row>
    <row r="865" spans="1:8" x14ac:dyDescent="0.25">
      <c r="A865" s="952"/>
      <c r="B865" s="953"/>
      <c r="C865" s="953"/>
      <c r="D865" s="953"/>
      <c r="E865" s="953"/>
      <c r="F865" s="953"/>
      <c r="G865" s="953"/>
      <c r="H865" s="953"/>
    </row>
    <row r="866" spans="1:8" x14ac:dyDescent="0.25">
      <c r="A866" s="952"/>
      <c r="B866" s="953"/>
      <c r="C866" s="953"/>
      <c r="D866" s="953"/>
      <c r="E866" s="953"/>
      <c r="F866" s="953"/>
      <c r="G866" s="953"/>
      <c r="H866" s="953"/>
    </row>
    <row r="867" spans="1:8" x14ac:dyDescent="0.25">
      <c r="A867" s="952"/>
      <c r="B867" s="953"/>
      <c r="C867" s="953"/>
      <c r="D867" s="953"/>
      <c r="E867" s="953"/>
      <c r="F867" s="953"/>
      <c r="G867" s="953"/>
      <c r="H867" s="953"/>
    </row>
    <row r="868" spans="1:8" x14ac:dyDescent="0.25">
      <c r="A868" s="952"/>
      <c r="B868" s="953"/>
      <c r="C868" s="953"/>
      <c r="D868" s="953"/>
      <c r="E868" s="953"/>
      <c r="F868" s="953"/>
      <c r="G868" s="953"/>
      <c r="H868" s="953"/>
    </row>
    <row r="869" spans="1:8" x14ac:dyDescent="0.25">
      <c r="A869" s="952"/>
      <c r="B869" s="953"/>
      <c r="C869" s="953"/>
      <c r="D869" s="953"/>
      <c r="E869" s="953"/>
      <c r="F869" s="953"/>
      <c r="G869" s="953"/>
      <c r="H869" s="953"/>
    </row>
    <row r="870" spans="1:8" x14ac:dyDescent="0.25">
      <c r="A870" s="952"/>
      <c r="B870" s="953"/>
      <c r="C870" s="953"/>
      <c r="D870" s="953"/>
      <c r="E870" s="953"/>
      <c r="F870" s="953"/>
      <c r="G870" s="953"/>
      <c r="H870" s="953"/>
    </row>
    <row r="871" spans="1:8" x14ac:dyDescent="0.25">
      <c r="A871" s="952"/>
      <c r="B871" s="953"/>
      <c r="C871" s="953"/>
      <c r="D871" s="953"/>
      <c r="E871" s="953"/>
      <c r="F871" s="953"/>
      <c r="G871" s="953"/>
      <c r="H871" s="953"/>
    </row>
    <row r="872" spans="1:8" x14ac:dyDescent="0.25">
      <c r="A872" s="952"/>
      <c r="B872" s="953"/>
      <c r="C872" s="953"/>
      <c r="D872" s="953"/>
      <c r="E872" s="953"/>
      <c r="F872" s="953"/>
      <c r="G872" s="953"/>
      <c r="H872" s="953"/>
    </row>
    <row r="873" spans="1:8" x14ac:dyDescent="0.25">
      <c r="A873" s="952"/>
      <c r="B873" s="953"/>
      <c r="C873" s="953"/>
      <c r="D873" s="953"/>
      <c r="E873" s="953"/>
      <c r="F873" s="953"/>
      <c r="G873" s="953"/>
      <c r="H873" s="953"/>
    </row>
    <row r="874" spans="1:8" x14ac:dyDescent="0.25">
      <c r="A874" s="952"/>
      <c r="B874" s="953"/>
      <c r="C874" s="953"/>
      <c r="D874" s="953"/>
      <c r="E874" s="953"/>
      <c r="F874" s="953"/>
      <c r="G874" s="953"/>
      <c r="H874" s="953"/>
    </row>
    <row r="875" spans="1:8" x14ac:dyDescent="0.25">
      <c r="A875" s="952"/>
      <c r="B875" s="953"/>
      <c r="C875" s="953"/>
      <c r="D875" s="953"/>
      <c r="E875" s="953"/>
      <c r="F875" s="953"/>
      <c r="G875" s="953"/>
      <c r="H875" s="953"/>
    </row>
    <row r="876" spans="1:8" x14ac:dyDescent="0.25">
      <c r="A876" s="952"/>
      <c r="B876" s="953"/>
      <c r="C876" s="953"/>
      <c r="D876" s="953"/>
      <c r="E876" s="953"/>
      <c r="F876" s="953"/>
      <c r="G876" s="953"/>
      <c r="H876" s="953"/>
    </row>
    <row r="877" spans="1:8" x14ac:dyDescent="0.25">
      <c r="A877" s="952"/>
      <c r="B877" s="953"/>
      <c r="C877" s="953"/>
      <c r="D877" s="953"/>
      <c r="E877" s="953"/>
      <c r="F877" s="953"/>
      <c r="G877" s="953"/>
      <c r="H877" s="953"/>
    </row>
    <row r="878" spans="1:8" x14ac:dyDescent="0.25">
      <c r="A878" s="952"/>
      <c r="B878" s="953"/>
      <c r="C878" s="953"/>
      <c r="D878" s="953"/>
      <c r="E878" s="953"/>
      <c r="F878" s="953"/>
      <c r="G878" s="953"/>
      <c r="H878" s="953"/>
    </row>
    <row r="879" spans="1:8" x14ac:dyDescent="0.25">
      <c r="A879" s="952"/>
      <c r="B879" s="953"/>
      <c r="C879" s="953"/>
      <c r="D879" s="953"/>
      <c r="E879" s="953"/>
      <c r="F879" s="953"/>
      <c r="G879" s="953"/>
      <c r="H879" s="953"/>
    </row>
    <row r="880" spans="1:8" x14ac:dyDescent="0.25">
      <c r="A880" s="952"/>
      <c r="B880" s="953"/>
      <c r="C880" s="953"/>
      <c r="D880" s="953"/>
      <c r="E880" s="953"/>
      <c r="F880" s="953"/>
      <c r="G880" s="953"/>
      <c r="H880" s="953"/>
    </row>
    <row r="881" spans="1:8" x14ac:dyDescent="0.25">
      <c r="A881" s="952"/>
      <c r="B881" s="953"/>
      <c r="C881" s="953"/>
      <c r="D881" s="953"/>
      <c r="E881" s="953"/>
      <c r="F881" s="953"/>
      <c r="G881" s="953"/>
      <c r="H881" s="953"/>
    </row>
    <row r="882" spans="1:8" x14ac:dyDescent="0.25">
      <c r="A882" s="952"/>
      <c r="B882" s="953"/>
      <c r="C882" s="953"/>
      <c r="D882" s="953"/>
      <c r="E882" s="953"/>
      <c r="F882" s="953"/>
      <c r="G882" s="953"/>
      <c r="H882" s="953"/>
    </row>
    <row r="883" spans="1:8" x14ac:dyDescent="0.25">
      <c r="A883" s="952"/>
      <c r="B883" s="953"/>
      <c r="C883" s="953"/>
      <c r="D883" s="953"/>
      <c r="E883" s="953"/>
      <c r="F883" s="953"/>
      <c r="G883" s="953"/>
      <c r="H883" s="953"/>
    </row>
    <row r="884" spans="1:8" x14ac:dyDescent="0.25">
      <c r="A884" s="952"/>
      <c r="B884" s="953"/>
      <c r="C884" s="953"/>
      <c r="D884" s="953"/>
      <c r="E884" s="953"/>
      <c r="F884" s="953"/>
      <c r="G884" s="953"/>
      <c r="H884" s="953"/>
    </row>
    <row r="885" spans="1:8" x14ac:dyDescent="0.25">
      <c r="A885" s="952"/>
      <c r="B885" s="953"/>
      <c r="C885" s="953"/>
      <c r="D885" s="953"/>
      <c r="E885" s="953"/>
      <c r="F885" s="953"/>
      <c r="G885" s="953"/>
      <c r="H885" s="953"/>
    </row>
    <row r="886" spans="1:8" x14ac:dyDescent="0.25">
      <c r="A886" s="952"/>
      <c r="B886" s="953"/>
      <c r="C886" s="953"/>
      <c r="D886" s="953"/>
      <c r="E886" s="953"/>
      <c r="F886" s="953"/>
      <c r="G886" s="953"/>
      <c r="H886" s="953"/>
    </row>
    <row r="887" spans="1:8" x14ac:dyDescent="0.25">
      <c r="A887" s="952"/>
      <c r="B887" s="953"/>
      <c r="C887" s="953"/>
      <c r="D887" s="953"/>
      <c r="E887" s="953"/>
      <c r="F887" s="953"/>
      <c r="G887" s="953"/>
      <c r="H887" s="953"/>
    </row>
    <row r="888" spans="1:8" x14ac:dyDescent="0.25">
      <c r="A888" s="952"/>
      <c r="B888" s="953"/>
      <c r="C888" s="953"/>
      <c r="D888" s="953"/>
      <c r="E888" s="953"/>
      <c r="F888" s="953"/>
      <c r="G888" s="953"/>
      <c r="H888" s="953"/>
    </row>
    <row r="889" spans="1:8" x14ac:dyDescent="0.25">
      <c r="A889" s="952"/>
      <c r="B889" s="953"/>
      <c r="C889" s="953"/>
      <c r="D889" s="953"/>
      <c r="E889" s="953"/>
      <c r="F889" s="953"/>
      <c r="G889" s="953"/>
      <c r="H889" s="953"/>
    </row>
    <row r="890" spans="1:8" x14ac:dyDescent="0.25">
      <c r="A890" s="952"/>
      <c r="B890" s="953"/>
      <c r="C890" s="953"/>
      <c r="D890" s="953"/>
      <c r="E890" s="953"/>
      <c r="F890" s="953"/>
      <c r="G890" s="953"/>
      <c r="H890" s="953"/>
    </row>
    <row r="891" spans="1:8" x14ac:dyDescent="0.25">
      <c r="A891" s="952"/>
      <c r="B891" s="953"/>
      <c r="C891" s="953"/>
      <c r="D891" s="953"/>
      <c r="E891" s="953"/>
      <c r="F891" s="953"/>
      <c r="G891" s="953"/>
      <c r="H891" s="953"/>
    </row>
    <row r="892" spans="1:8" x14ac:dyDescent="0.25">
      <c r="A892" s="952"/>
      <c r="B892" s="953"/>
      <c r="C892" s="953"/>
      <c r="D892" s="953"/>
      <c r="E892" s="953"/>
      <c r="F892" s="953"/>
      <c r="G892" s="953"/>
      <c r="H892" s="953"/>
    </row>
    <row r="893" spans="1:8" x14ac:dyDescent="0.25">
      <c r="A893" s="952"/>
      <c r="B893" s="953"/>
      <c r="C893" s="953"/>
      <c r="D893" s="953"/>
      <c r="E893" s="953"/>
      <c r="F893" s="953"/>
      <c r="G893" s="953"/>
      <c r="H893" s="953"/>
    </row>
    <row r="894" spans="1:8" x14ac:dyDescent="0.25">
      <c r="A894" s="952"/>
      <c r="B894" s="953"/>
      <c r="C894" s="953"/>
      <c r="D894" s="953"/>
      <c r="E894" s="953"/>
      <c r="F894" s="953"/>
      <c r="G894" s="953"/>
      <c r="H894" s="953"/>
    </row>
    <row r="895" spans="1:8" x14ac:dyDescent="0.25">
      <c r="A895" s="952"/>
      <c r="B895" s="953"/>
      <c r="C895" s="953"/>
      <c r="D895" s="953"/>
      <c r="E895" s="953"/>
      <c r="F895" s="953"/>
      <c r="G895" s="953"/>
      <c r="H895" s="953"/>
    </row>
    <row r="896" spans="1:8" x14ac:dyDescent="0.25">
      <c r="A896" s="952"/>
      <c r="B896" s="953"/>
      <c r="C896" s="953"/>
      <c r="D896" s="953"/>
      <c r="E896" s="953"/>
      <c r="F896" s="953"/>
      <c r="G896" s="953"/>
      <c r="H896" s="953"/>
    </row>
    <row r="897" spans="1:8" x14ac:dyDescent="0.25">
      <c r="A897" s="952"/>
      <c r="B897" s="953"/>
      <c r="C897" s="953"/>
      <c r="D897" s="953"/>
      <c r="E897" s="953"/>
      <c r="F897" s="953"/>
      <c r="G897" s="953"/>
      <c r="H897" s="953"/>
    </row>
    <row r="898" spans="1:8" x14ac:dyDescent="0.25">
      <c r="A898" s="952"/>
      <c r="B898" s="953"/>
      <c r="C898" s="953"/>
      <c r="D898" s="953"/>
      <c r="E898" s="953"/>
      <c r="F898" s="953"/>
      <c r="G898" s="953"/>
      <c r="H898" s="953"/>
    </row>
    <row r="899" spans="1:8" x14ac:dyDescent="0.25">
      <c r="A899" s="952"/>
      <c r="B899" s="953"/>
      <c r="C899" s="953"/>
      <c r="D899" s="953"/>
      <c r="E899" s="953"/>
      <c r="F899" s="953"/>
      <c r="G899" s="953"/>
      <c r="H899" s="953"/>
    </row>
    <row r="900" spans="1:8" x14ac:dyDescent="0.25">
      <c r="A900" s="952"/>
      <c r="B900" s="953"/>
      <c r="C900" s="953"/>
      <c r="D900" s="953"/>
      <c r="E900" s="953"/>
      <c r="F900" s="953"/>
      <c r="G900" s="953"/>
      <c r="H900" s="953"/>
    </row>
    <row r="901" spans="1:8" x14ac:dyDescent="0.25">
      <c r="A901" s="952"/>
      <c r="B901" s="953"/>
      <c r="C901" s="953"/>
      <c r="D901" s="953"/>
      <c r="E901" s="953"/>
      <c r="F901" s="953"/>
      <c r="G901" s="953"/>
      <c r="H901" s="953"/>
    </row>
    <row r="902" spans="1:8" x14ac:dyDescent="0.25">
      <c r="A902" s="952"/>
      <c r="B902" s="953"/>
      <c r="C902" s="953"/>
      <c r="D902" s="953"/>
      <c r="E902" s="953"/>
      <c r="F902" s="953"/>
      <c r="G902" s="953"/>
      <c r="H902" s="953"/>
    </row>
    <row r="903" spans="1:8" x14ac:dyDescent="0.25">
      <c r="A903" s="952"/>
      <c r="B903" s="953"/>
      <c r="C903" s="953"/>
      <c r="D903" s="953"/>
      <c r="E903" s="953"/>
      <c r="F903" s="953"/>
      <c r="G903" s="953"/>
      <c r="H903" s="953"/>
    </row>
    <row r="904" spans="1:8" x14ac:dyDescent="0.25">
      <c r="A904" s="952"/>
      <c r="B904" s="953"/>
      <c r="C904" s="953"/>
      <c r="D904" s="953"/>
      <c r="E904" s="953"/>
      <c r="F904" s="953"/>
      <c r="G904" s="953"/>
      <c r="H904" s="953"/>
    </row>
    <row r="905" spans="1:8" x14ac:dyDescent="0.25">
      <c r="A905" s="952"/>
      <c r="B905" s="953"/>
      <c r="C905" s="953"/>
      <c r="D905" s="953"/>
      <c r="E905" s="953"/>
      <c r="F905" s="953"/>
      <c r="G905" s="953"/>
      <c r="H905" s="953"/>
    </row>
    <row r="906" spans="1:8" x14ac:dyDescent="0.25">
      <c r="A906" s="952"/>
      <c r="B906" s="953"/>
      <c r="C906" s="953"/>
      <c r="D906" s="953"/>
      <c r="E906" s="953"/>
      <c r="F906" s="953"/>
      <c r="G906" s="953"/>
      <c r="H906" s="953"/>
    </row>
    <row r="907" spans="1:8" x14ac:dyDescent="0.25">
      <c r="A907" s="952"/>
      <c r="B907" s="953"/>
      <c r="C907" s="953"/>
      <c r="D907" s="953"/>
      <c r="E907" s="953"/>
      <c r="F907" s="953"/>
      <c r="G907" s="953"/>
      <c r="H907" s="953"/>
    </row>
    <row r="908" spans="1:8" x14ac:dyDescent="0.25">
      <c r="A908" s="952"/>
      <c r="B908" s="953"/>
      <c r="C908" s="953"/>
      <c r="D908" s="953"/>
      <c r="E908" s="953"/>
      <c r="F908" s="953"/>
      <c r="G908" s="953"/>
      <c r="H908" s="953"/>
    </row>
    <row r="909" spans="1:8" x14ac:dyDescent="0.25">
      <c r="A909" s="952"/>
      <c r="B909" s="953"/>
      <c r="C909" s="953"/>
      <c r="D909" s="953"/>
      <c r="E909" s="953"/>
      <c r="F909" s="953"/>
      <c r="G909" s="953"/>
      <c r="H909" s="953"/>
    </row>
    <row r="910" spans="1:8" x14ac:dyDescent="0.25">
      <c r="A910" s="952"/>
      <c r="B910" s="953"/>
      <c r="C910" s="953"/>
      <c r="D910" s="953"/>
      <c r="E910" s="953"/>
      <c r="F910" s="953"/>
      <c r="G910" s="953"/>
      <c r="H910" s="953"/>
    </row>
    <row r="911" spans="1:8" x14ac:dyDescent="0.25">
      <c r="A911" s="952"/>
      <c r="B911" s="953"/>
      <c r="C911" s="953"/>
      <c r="D911" s="953"/>
      <c r="E911" s="953"/>
      <c r="F911" s="953"/>
      <c r="G911" s="953"/>
      <c r="H911" s="953"/>
    </row>
    <row r="912" spans="1:8" x14ac:dyDescent="0.25">
      <c r="A912" s="952"/>
      <c r="B912" s="953"/>
      <c r="C912" s="953"/>
      <c r="D912" s="953"/>
      <c r="E912" s="953"/>
      <c r="F912" s="953"/>
      <c r="G912" s="953"/>
      <c r="H912" s="953"/>
    </row>
    <row r="913" spans="1:8" x14ac:dyDescent="0.25">
      <c r="A913" s="952"/>
      <c r="B913" s="953"/>
      <c r="C913" s="953"/>
      <c r="D913" s="953"/>
      <c r="E913" s="953"/>
      <c r="F913" s="953"/>
      <c r="G913" s="953"/>
      <c r="H913" s="953"/>
    </row>
    <row r="914" spans="1:8" x14ac:dyDescent="0.25">
      <c r="A914" s="952"/>
      <c r="B914" s="953"/>
      <c r="C914" s="953"/>
      <c r="D914" s="953"/>
      <c r="E914" s="953"/>
      <c r="F914" s="953"/>
      <c r="G914" s="953"/>
      <c r="H914" s="953"/>
    </row>
    <row r="915" spans="1:8" x14ac:dyDescent="0.25">
      <c r="A915" s="952"/>
      <c r="B915" s="953"/>
      <c r="C915" s="953"/>
      <c r="D915" s="953"/>
      <c r="E915" s="953"/>
      <c r="F915" s="953"/>
      <c r="G915" s="953"/>
      <c r="H915" s="953"/>
    </row>
    <row r="916" spans="1:8" x14ac:dyDescent="0.25">
      <c r="A916" s="952"/>
      <c r="B916" s="953"/>
      <c r="C916" s="953"/>
      <c r="D916" s="953"/>
      <c r="E916" s="953"/>
      <c r="F916" s="953"/>
      <c r="G916" s="953"/>
      <c r="H916" s="953"/>
    </row>
    <row r="917" spans="1:8" x14ac:dyDescent="0.25">
      <c r="A917" s="952"/>
      <c r="B917" s="953"/>
      <c r="C917" s="953"/>
      <c r="D917" s="953"/>
      <c r="E917" s="953"/>
      <c r="F917" s="953"/>
      <c r="G917" s="953"/>
      <c r="H917" s="953"/>
    </row>
    <row r="918" spans="1:8" x14ac:dyDescent="0.25">
      <c r="A918" s="952"/>
      <c r="B918" s="953"/>
      <c r="C918" s="953"/>
      <c r="D918" s="953"/>
      <c r="E918" s="953"/>
      <c r="F918" s="953"/>
      <c r="G918" s="953"/>
      <c r="H918" s="953"/>
    </row>
    <row r="919" spans="1:8" x14ac:dyDescent="0.25">
      <c r="A919" s="952"/>
      <c r="B919" s="953"/>
      <c r="C919" s="953"/>
      <c r="D919" s="953"/>
      <c r="E919" s="953"/>
      <c r="F919" s="953"/>
      <c r="G919" s="953"/>
      <c r="H919" s="953"/>
    </row>
    <row r="920" spans="1:8" x14ac:dyDescent="0.25">
      <c r="A920" s="952"/>
      <c r="B920" s="953"/>
      <c r="C920" s="953"/>
      <c r="D920" s="953"/>
      <c r="E920" s="953"/>
      <c r="F920" s="953"/>
      <c r="G920" s="953"/>
      <c r="H920" s="953"/>
    </row>
    <row r="921" spans="1:8" x14ac:dyDescent="0.25">
      <c r="A921" s="952"/>
      <c r="B921" s="953"/>
      <c r="C921" s="953"/>
      <c r="D921" s="953"/>
      <c r="E921" s="953"/>
      <c r="F921" s="953"/>
      <c r="G921" s="953"/>
      <c r="H921" s="953"/>
    </row>
    <row r="922" spans="1:8" x14ac:dyDescent="0.25">
      <c r="A922" s="952"/>
      <c r="B922" s="953"/>
      <c r="C922" s="953"/>
      <c r="D922" s="953"/>
      <c r="E922" s="953"/>
      <c r="F922" s="953"/>
      <c r="G922" s="953"/>
      <c r="H922" s="953"/>
    </row>
    <row r="923" spans="1:8" x14ac:dyDescent="0.25">
      <c r="A923" s="952"/>
      <c r="B923" s="953"/>
      <c r="C923" s="953"/>
      <c r="D923" s="953"/>
      <c r="E923" s="953"/>
      <c r="F923" s="953"/>
      <c r="G923" s="953"/>
      <c r="H923" s="953"/>
    </row>
    <row r="924" spans="1:8" x14ac:dyDescent="0.25">
      <c r="A924" s="952"/>
      <c r="B924" s="953"/>
      <c r="C924" s="953"/>
      <c r="D924" s="953"/>
      <c r="E924" s="953"/>
      <c r="F924" s="953"/>
      <c r="G924" s="953"/>
      <c r="H924" s="953"/>
    </row>
    <row r="925" spans="1:8" x14ac:dyDescent="0.25">
      <c r="A925" s="952"/>
      <c r="B925" s="953"/>
      <c r="C925" s="953"/>
      <c r="D925" s="953"/>
      <c r="E925" s="953"/>
      <c r="F925" s="953"/>
      <c r="G925" s="953"/>
      <c r="H925" s="953"/>
    </row>
    <row r="926" spans="1:8" x14ac:dyDescent="0.25">
      <c r="A926" s="952"/>
      <c r="B926" s="953"/>
      <c r="C926" s="953"/>
      <c r="D926" s="953"/>
      <c r="E926" s="953"/>
      <c r="F926" s="953"/>
      <c r="G926" s="953"/>
      <c r="H926" s="953"/>
    </row>
    <row r="927" spans="1:8" x14ac:dyDescent="0.25">
      <c r="A927" s="952"/>
      <c r="B927" s="953"/>
      <c r="C927" s="953"/>
      <c r="D927" s="953"/>
      <c r="E927" s="953"/>
      <c r="F927" s="953"/>
      <c r="G927" s="953"/>
      <c r="H927" s="953"/>
    </row>
    <row r="928" spans="1:8" x14ac:dyDescent="0.25">
      <c r="A928" s="952"/>
      <c r="B928" s="953"/>
      <c r="C928" s="953"/>
      <c r="D928" s="953"/>
      <c r="E928" s="953"/>
      <c r="F928" s="953"/>
      <c r="G928" s="953"/>
      <c r="H928" s="953"/>
    </row>
    <row r="929" spans="1:8" x14ac:dyDescent="0.25">
      <c r="A929" s="952"/>
      <c r="B929" s="953"/>
      <c r="C929" s="953"/>
      <c r="D929" s="953"/>
      <c r="E929" s="953"/>
      <c r="F929" s="953"/>
      <c r="G929" s="953"/>
      <c r="H929" s="953"/>
    </row>
    <row r="930" spans="1:8" x14ac:dyDescent="0.25">
      <c r="A930" s="952"/>
      <c r="B930" s="953"/>
      <c r="C930" s="953"/>
      <c r="D930" s="953"/>
      <c r="E930" s="953"/>
      <c r="F930" s="953"/>
      <c r="G930" s="953"/>
      <c r="H930" s="953"/>
    </row>
    <row r="931" spans="1:8" x14ac:dyDescent="0.25">
      <c r="A931" s="952"/>
      <c r="B931" s="953"/>
      <c r="C931" s="953"/>
      <c r="D931" s="953"/>
      <c r="E931" s="953"/>
      <c r="F931" s="953"/>
      <c r="G931" s="953"/>
      <c r="H931" s="953"/>
    </row>
    <row r="932" spans="1:8" x14ac:dyDescent="0.25">
      <c r="A932" s="952"/>
      <c r="B932" s="953"/>
      <c r="C932" s="953"/>
      <c r="D932" s="953"/>
      <c r="E932" s="953"/>
      <c r="F932" s="953"/>
      <c r="G932" s="953"/>
      <c r="H932" s="953"/>
    </row>
    <row r="933" spans="1:8" x14ac:dyDescent="0.25">
      <c r="A933" s="952"/>
      <c r="B933" s="953"/>
      <c r="C933" s="953"/>
      <c r="D933" s="953"/>
      <c r="E933" s="953"/>
      <c r="F933" s="953"/>
      <c r="G933" s="953"/>
      <c r="H933" s="953"/>
    </row>
    <row r="934" spans="1:8" x14ac:dyDescent="0.25">
      <c r="A934" s="952"/>
      <c r="B934" s="953"/>
      <c r="C934" s="953"/>
      <c r="D934" s="953"/>
      <c r="E934" s="953"/>
      <c r="F934" s="953"/>
      <c r="G934" s="953"/>
      <c r="H934" s="953"/>
    </row>
    <row r="935" spans="1:8" x14ac:dyDescent="0.25">
      <c r="A935" s="952"/>
      <c r="B935" s="953"/>
      <c r="C935" s="953"/>
      <c r="D935" s="953"/>
      <c r="E935" s="953"/>
      <c r="F935" s="953"/>
      <c r="G935" s="953"/>
      <c r="H935" s="953"/>
    </row>
    <row r="936" spans="1:8" x14ac:dyDescent="0.25">
      <c r="A936" s="952"/>
      <c r="B936" s="953"/>
      <c r="C936" s="953"/>
      <c r="D936" s="953"/>
      <c r="E936" s="953"/>
      <c r="F936" s="953"/>
      <c r="G936" s="953"/>
      <c r="H936" s="953"/>
    </row>
    <row r="937" spans="1:8" x14ac:dyDescent="0.25">
      <c r="A937" s="952"/>
      <c r="B937" s="953"/>
      <c r="C937" s="953"/>
      <c r="D937" s="953"/>
      <c r="E937" s="953"/>
      <c r="F937" s="953"/>
      <c r="G937" s="953"/>
      <c r="H937" s="953"/>
    </row>
    <row r="938" spans="1:8" x14ac:dyDescent="0.25">
      <c r="A938" s="952"/>
      <c r="B938" s="953"/>
      <c r="C938" s="953"/>
      <c r="D938" s="953"/>
      <c r="E938" s="953"/>
      <c r="F938" s="953"/>
      <c r="G938" s="953"/>
      <c r="H938" s="953"/>
    </row>
    <row r="939" spans="1:8" x14ac:dyDescent="0.25">
      <c r="A939" s="952"/>
      <c r="B939" s="953"/>
      <c r="C939" s="953"/>
      <c r="D939" s="953"/>
      <c r="E939" s="953"/>
      <c r="F939" s="953"/>
      <c r="G939" s="953"/>
      <c r="H939" s="953"/>
    </row>
    <row r="940" spans="1:8" x14ac:dyDescent="0.25">
      <c r="A940" s="952"/>
      <c r="B940" s="953"/>
      <c r="C940" s="953"/>
      <c r="D940" s="953"/>
      <c r="E940" s="953"/>
      <c r="F940" s="953"/>
      <c r="G940" s="953"/>
      <c r="H940" s="953"/>
    </row>
    <row r="941" spans="1:8" x14ac:dyDescent="0.25">
      <c r="A941" s="952"/>
      <c r="B941" s="953"/>
      <c r="C941" s="953"/>
      <c r="D941" s="953"/>
      <c r="E941" s="953"/>
      <c r="F941" s="953"/>
      <c r="G941" s="953"/>
      <c r="H941" s="953"/>
    </row>
    <row r="942" spans="1:8" x14ac:dyDescent="0.25">
      <c r="A942" s="952"/>
      <c r="B942" s="953"/>
      <c r="C942" s="953"/>
      <c r="D942" s="953"/>
      <c r="E942" s="953"/>
      <c r="F942" s="953"/>
      <c r="G942" s="953"/>
      <c r="H942" s="953"/>
    </row>
    <row r="943" spans="1:8" x14ac:dyDescent="0.25">
      <c r="A943" s="952"/>
      <c r="B943" s="953"/>
      <c r="C943" s="953"/>
      <c r="D943" s="953"/>
      <c r="E943" s="953"/>
      <c r="F943" s="953"/>
      <c r="G943" s="953"/>
      <c r="H943" s="953"/>
    </row>
    <row r="944" spans="1:8" x14ac:dyDescent="0.25">
      <c r="A944" s="952"/>
      <c r="B944" s="953"/>
      <c r="C944" s="953"/>
      <c r="D944" s="953"/>
      <c r="E944" s="953"/>
      <c r="F944" s="953"/>
      <c r="G944" s="953"/>
      <c r="H944" s="953"/>
    </row>
    <row r="945" spans="1:8" x14ac:dyDescent="0.25">
      <c r="A945" s="952"/>
      <c r="B945" s="953"/>
      <c r="C945" s="953"/>
      <c r="D945" s="953"/>
      <c r="E945" s="953"/>
      <c r="F945" s="953"/>
      <c r="G945" s="953"/>
      <c r="H945" s="953"/>
    </row>
    <row r="946" spans="1:8" x14ac:dyDescent="0.25">
      <c r="A946" s="952"/>
      <c r="B946" s="953"/>
      <c r="C946" s="953"/>
      <c r="D946" s="953"/>
      <c r="E946" s="953"/>
      <c r="F946" s="953"/>
      <c r="G946" s="953"/>
      <c r="H946" s="953"/>
    </row>
    <row r="947" spans="1:8" x14ac:dyDescent="0.25">
      <c r="A947" s="952"/>
      <c r="B947" s="953"/>
      <c r="C947" s="953"/>
      <c r="D947" s="953"/>
      <c r="E947" s="953"/>
      <c r="F947" s="953"/>
      <c r="G947" s="953"/>
      <c r="H947" s="953"/>
    </row>
    <row r="948" spans="1:8" x14ac:dyDescent="0.25">
      <c r="A948" s="952"/>
      <c r="B948" s="953"/>
      <c r="C948" s="953"/>
      <c r="D948" s="953"/>
      <c r="E948" s="953"/>
      <c r="F948" s="953"/>
      <c r="G948" s="953"/>
      <c r="H948" s="953"/>
    </row>
    <row r="949" spans="1:8" x14ac:dyDescent="0.25">
      <c r="A949" s="952"/>
      <c r="B949" s="953"/>
      <c r="C949" s="953"/>
      <c r="D949" s="953"/>
      <c r="E949" s="953"/>
      <c r="F949" s="953"/>
      <c r="G949" s="953"/>
      <c r="H949" s="953"/>
    </row>
    <row r="950" spans="1:8" x14ac:dyDescent="0.25">
      <c r="A950" s="952"/>
      <c r="B950" s="953"/>
      <c r="C950" s="953"/>
      <c r="D950" s="953"/>
      <c r="E950" s="953"/>
      <c r="F950" s="953"/>
      <c r="G950" s="953"/>
      <c r="H950" s="953"/>
    </row>
    <row r="951" spans="1:8" x14ac:dyDescent="0.25">
      <c r="A951" s="952"/>
      <c r="B951" s="953"/>
      <c r="C951" s="953"/>
      <c r="D951" s="953"/>
      <c r="E951" s="953"/>
      <c r="F951" s="953"/>
      <c r="G951" s="953"/>
      <c r="H951" s="953"/>
    </row>
    <row r="952" spans="1:8" x14ac:dyDescent="0.25">
      <c r="A952" s="952"/>
      <c r="B952" s="953"/>
      <c r="C952" s="953"/>
      <c r="D952" s="953"/>
      <c r="E952" s="953"/>
      <c r="F952" s="953"/>
      <c r="G952" s="953"/>
      <c r="H952" s="953"/>
    </row>
    <row r="953" spans="1:8" x14ac:dyDescent="0.25">
      <c r="A953" s="952"/>
      <c r="B953" s="953"/>
      <c r="C953" s="953"/>
      <c r="D953" s="953"/>
      <c r="E953" s="953"/>
      <c r="F953" s="953"/>
      <c r="G953" s="953"/>
      <c r="H953" s="953"/>
    </row>
    <row r="954" spans="1:8" x14ac:dyDescent="0.25">
      <c r="A954" s="952"/>
      <c r="B954" s="953"/>
      <c r="C954" s="953"/>
      <c r="D954" s="953"/>
      <c r="E954" s="953"/>
      <c r="F954" s="953"/>
      <c r="G954" s="953"/>
      <c r="H954" s="953"/>
    </row>
    <row r="955" spans="1:8" x14ac:dyDescent="0.25">
      <c r="A955" s="952"/>
      <c r="B955" s="953"/>
      <c r="C955" s="953"/>
      <c r="D955" s="953"/>
      <c r="E955" s="953"/>
      <c r="F955" s="953"/>
      <c r="G955" s="953"/>
      <c r="H955" s="953"/>
    </row>
    <row r="956" spans="1:8" x14ac:dyDescent="0.25">
      <c r="A956" s="952"/>
      <c r="B956" s="953"/>
      <c r="C956" s="953"/>
      <c r="D956" s="953"/>
      <c r="E956" s="953"/>
      <c r="F956" s="953"/>
      <c r="G956" s="953"/>
      <c r="H956" s="953"/>
    </row>
    <row r="957" spans="1:8" x14ac:dyDescent="0.25">
      <c r="A957" s="952"/>
      <c r="B957" s="953"/>
      <c r="C957" s="953"/>
      <c r="D957" s="953"/>
      <c r="E957" s="953"/>
      <c r="F957" s="953"/>
      <c r="G957" s="953"/>
      <c r="H957" s="953"/>
    </row>
    <row r="958" spans="1:8" x14ac:dyDescent="0.25">
      <c r="A958" s="952"/>
      <c r="B958" s="953"/>
      <c r="C958" s="953"/>
      <c r="D958" s="953"/>
      <c r="E958" s="953"/>
      <c r="F958" s="953"/>
      <c r="G958" s="953"/>
      <c r="H958" s="953"/>
    </row>
    <row r="959" spans="1:8" x14ac:dyDescent="0.25">
      <c r="A959" s="952"/>
      <c r="B959" s="953"/>
      <c r="C959" s="953"/>
      <c r="D959" s="953"/>
      <c r="E959" s="953"/>
      <c r="F959" s="953"/>
      <c r="G959" s="953"/>
      <c r="H959" s="953"/>
    </row>
    <row r="960" spans="1:8" x14ac:dyDescent="0.25">
      <c r="A960" s="952"/>
      <c r="B960" s="953"/>
      <c r="C960" s="953"/>
      <c r="D960" s="953"/>
      <c r="E960" s="953"/>
      <c r="F960" s="953"/>
      <c r="G960" s="953"/>
      <c r="H960" s="953"/>
    </row>
    <row r="961" spans="1:8" x14ac:dyDescent="0.25">
      <c r="A961" s="952"/>
      <c r="B961" s="953"/>
      <c r="C961" s="953"/>
      <c r="D961" s="953"/>
      <c r="E961" s="953"/>
      <c r="F961" s="953"/>
      <c r="G961" s="953"/>
      <c r="H961" s="953"/>
    </row>
    <row r="962" spans="1:8" x14ac:dyDescent="0.25">
      <c r="A962" s="952"/>
      <c r="B962" s="953"/>
      <c r="C962" s="953"/>
      <c r="D962" s="953"/>
      <c r="E962" s="953"/>
      <c r="F962" s="953"/>
      <c r="G962" s="953"/>
      <c r="H962" s="953"/>
    </row>
    <row r="963" spans="1:8" x14ac:dyDescent="0.25">
      <c r="A963" s="952"/>
      <c r="B963" s="953"/>
      <c r="C963" s="953"/>
      <c r="D963" s="953"/>
      <c r="E963" s="953"/>
      <c r="F963" s="953"/>
      <c r="G963" s="953"/>
      <c r="H963" s="953"/>
    </row>
    <row r="964" spans="1:8" x14ac:dyDescent="0.25">
      <c r="A964" s="952"/>
      <c r="B964" s="953"/>
      <c r="C964" s="953"/>
      <c r="D964" s="953"/>
      <c r="E964" s="953"/>
      <c r="F964" s="953"/>
      <c r="G964" s="953"/>
      <c r="H964" s="953"/>
    </row>
    <row r="965" spans="1:8" x14ac:dyDescent="0.25">
      <c r="A965" s="952"/>
      <c r="B965" s="953"/>
      <c r="C965" s="953"/>
      <c r="D965" s="953"/>
      <c r="E965" s="953"/>
      <c r="F965" s="953"/>
      <c r="G965" s="953"/>
      <c r="H965" s="953"/>
    </row>
    <row r="966" spans="1:8" x14ac:dyDescent="0.25">
      <c r="A966" s="952"/>
      <c r="B966" s="953"/>
      <c r="C966" s="953"/>
      <c r="D966" s="953"/>
      <c r="E966" s="953"/>
      <c r="F966" s="953"/>
      <c r="G966" s="953"/>
      <c r="H966" s="953"/>
    </row>
    <row r="967" spans="1:8" x14ac:dyDescent="0.25">
      <c r="A967" s="952"/>
      <c r="B967" s="953"/>
      <c r="C967" s="953"/>
      <c r="D967" s="953"/>
      <c r="E967" s="953"/>
      <c r="F967" s="953"/>
      <c r="G967" s="953"/>
      <c r="H967" s="953"/>
    </row>
    <row r="968" spans="1:8" x14ac:dyDescent="0.25">
      <c r="A968" s="952"/>
      <c r="B968" s="953"/>
      <c r="C968" s="953"/>
      <c r="D968" s="953"/>
      <c r="E968" s="953"/>
      <c r="F968" s="953"/>
      <c r="G968" s="953"/>
      <c r="H968" s="953"/>
    </row>
    <row r="969" spans="1:8" x14ac:dyDescent="0.25">
      <c r="A969" s="952"/>
      <c r="B969" s="953"/>
      <c r="C969" s="953"/>
      <c r="D969" s="953"/>
      <c r="E969" s="953"/>
      <c r="F969" s="953"/>
      <c r="G969" s="953"/>
      <c r="H969" s="953"/>
    </row>
    <row r="970" spans="1:8" x14ac:dyDescent="0.25">
      <c r="A970" s="952"/>
      <c r="B970" s="953"/>
      <c r="C970" s="953"/>
      <c r="D970" s="953"/>
      <c r="E970" s="953"/>
      <c r="F970" s="953"/>
      <c r="G970" s="953"/>
      <c r="H970" s="953"/>
    </row>
    <row r="971" spans="1:8" x14ac:dyDescent="0.25">
      <c r="A971" s="952"/>
      <c r="B971" s="953"/>
      <c r="C971" s="953"/>
      <c r="D971" s="953"/>
      <c r="E971" s="953"/>
      <c r="F971" s="953"/>
      <c r="G971" s="953"/>
      <c r="H971" s="953"/>
    </row>
    <row r="972" spans="1:8" x14ac:dyDescent="0.25">
      <c r="A972" s="952"/>
      <c r="B972" s="953"/>
      <c r="C972" s="953"/>
      <c r="D972" s="953"/>
      <c r="E972" s="953"/>
      <c r="F972" s="953"/>
      <c r="G972" s="953"/>
      <c r="H972" s="953"/>
    </row>
    <row r="973" spans="1:8" x14ac:dyDescent="0.25">
      <c r="A973" s="952"/>
      <c r="B973" s="953"/>
      <c r="C973" s="953"/>
      <c r="D973" s="953"/>
      <c r="E973" s="953"/>
      <c r="F973" s="953"/>
      <c r="G973" s="953"/>
      <c r="H973" s="953"/>
    </row>
    <row r="974" spans="1:8" x14ac:dyDescent="0.25">
      <c r="A974" s="952"/>
      <c r="B974" s="953"/>
      <c r="C974" s="953"/>
      <c r="D974" s="953"/>
      <c r="E974" s="953"/>
      <c r="F974" s="953"/>
      <c r="G974" s="953"/>
      <c r="H974" s="953"/>
    </row>
    <row r="975" spans="1:8" x14ac:dyDescent="0.25">
      <c r="A975" s="952"/>
      <c r="B975" s="953"/>
      <c r="C975" s="953"/>
      <c r="D975" s="953"/>
      <c r="E975" s="953"/>
      <c r="F975" s="953"/>
      <c r="G975" s="953"/>
      <c r="H975" s="953"/>
    </row>
    <row r="976" spans="1:8" x14ac:dyDescent="0.25">
      <c r="A976" s="952"/>
      <c r="B976" s="953"/>
      <c r="C976" s="953"/>
      <c r="D976" s="953"/>
      <c r="E976" s="953"/>
      <c r="F976" s="953"/>
      <c r="G976" s="953"/>
      <c r="H976" s="953"/>
    </row>
    <row r="977" spans="1:8" x14ac:dyDescent="0.25">
      <c r="A977" s="952"/>
      <c r="B977" s="953"/>
      <c r="C977" s="953"/>
      <c r="D977" s="953"/>
      <c r="E977" s="953"/>
      <c r="F977" s="953"/>
      <c r="G977" s="953"/>
      <c r="H977" s="953"/>
    </row>
    <row r="978" spans="1:8" x14ac:dyDescent="0.25">
      <c r="A978" s="952"/>
      <c r="B978" s="953"/>
      <c r="C978" s="953"/>
      <c r="D978" s="953"/>
      <c r="E978" s="953"/>
      <c r="F978" s="953"/>
      <c r="G978" s="953"/>
      <c r="H978" s="953"/>
    </row>
    <row r="979" spans="1:8" x14ac:dyDescent="0.25">
      <c r="A979" s="952"/>
      <c r="B979" s="953"/>
      <c r="C979" s="953"/>
      <c r="D979" s="953"/>
      <c r="E979" s="953"/>
      <c r="F979" s="953"/>
      <c r="G979" s="953"/>
      <c r="H979" s="953"/>
    </row>
    <row r="980" spans="1:8" x14ac:dyDescent="0.25">
      <c r="A980" s="952"/>
      <c r="B980" s="953"/>
      <c r="C980" s="953"/>
      <c r="D980" s="953"/>
      <c r="E980" s="953"/>
      <c r="F980" s="953"/>
      <c r="G980" s="953"/>
      <c r="H980" s="953"/>
    </row>
    <row r="981" spans="1:8" x14ac:dyDescent="0.25">
      <c r="A981" s="952"/>
      <c r="B981" s="953"/>
      <c r="C981" s="953"/>
      <c r="D981" s="953"/>
      <c r="E981" s="953"/>
      <c r="F981" s="953"/>
      <c r="G981" s="953"/>
      <c r="H981" s="953"/>
    </row>
    <row r="982" spans="1:8" x14ac:dyDescent="0.25">
      <c r="A982" s="952"/>
      <c r="B982" s="953"/>
      <c r="C982" s="953"/>
      <c r="D982" s="953"/>
      <c r="E982" s="953"/>
      <c r="F982" s="953"/>
      <c r="G982" s="953"/>
      <c r="H982" s="953"/>
    </row>
    <row r="983" spans="1:8" x14ac:dyDescent="0.25">
      <c r="A983" s="952"/>
      <c r="B983" s="953"/>
      <c r="C983" s="953"/>
      <c r="D983" s="953"/>
      <c r="E983" s="953"/>
      <c r="F983" s="953"/>
      <c r="G983" s="953"/>
      <c r="H983" s="953"/>
    </row>
    <row r="984" spans="1:8" x14ac:dyDescent="0.25">
      <c r="A984" s="952"/>
      <c r="B984" s="953"/>
      <c r="C984" s="953"/>
      <c r="D984" s="953"/>
      <c r="E984" s="953"/>
      <c r="F984" s="953"/>
      <c r="G984" s="953"/>
      <c r="H984" s="953"/>
    </row>
    <row r="985" spans="1:8" x14ac:dyDescent="0.25">
      <c r="A985" s="952"/>
      <c r="B985" s="953"/>
      <c r="C985" s="953"/>
      <c r="D985" s="953"/>
      <c r="E985" s="953"/>
      <c r="F985" s="953"/>
      <c r="G985" s="953"/>
      <c r="H985" s="953"/>
    </row>
    <row r="986" spans="1:8" x14ac:dyDescent="0.25">
      <c r="A986" s="952"/>
      <c r="B986" s="953"/>
      <c r="C986" s="953"/>
      <c r="D986" s="953"/>
      <c r="E986" s="953"/>
      <c r="F986" s="953"/>
      <c r="G986" s="953"/>
      <c r="H986" s="953"/>
    </row>
    <row r="987" spans="1:8" x14ac:dyDescent="0.25">
      <c r="A987" s="952"/>
      <c r="B987" s="953"/>
      <c r="C987" s="953"/>
      <c r="D987" s="953"/>
      <c r="E987" s="953"/>
      <c r="F987" s="953"/>
      <c r="G987" s="953"/>
      <c r="H987" s="953"/>
    </row>
    <row r="988" spans="1:8" x14ac:dyDescent="0.25">
      <c r="A988" s="952"/>
      <c r="B988" s="953"/>
      <c r="C988" s="953"/>
      <c r="D988" s="953"/>
      <c r="E988" s="953"/>
      <c r="F988" s="953"/>
      <c r="G988" s="953"/>
      <c r="H988" s="953"/>
    </row>
    <row r="989" spans="1:8" x14ac:dyDescent="0.25">
      <c r="A989" s="952"/>
      <c r="B989" s="953"/>
      <c r="C989" s="953"/>
      <c r="D989" s="953"/>
      <c r="E989" s="953"/>
      <c r="F989" s="953"/>
      <c r="G989" s="953"/>
      <c r="H989" s="953"/>
    </row>
    <row r="990" spans="1:8" x14ac:dyDescent="0.25">
      <c r="A990" s="952"/>
      <c r="B990" s="953"/>
      <c r="C990" s="953"/>
      <c r="D990" s="953"/>
      <c r="E990" s="953"/>
      <c r="F990" s="953"/>
      <c r="G990" s="953"/>
      <c r="H990" s="953"/>
    </row>
    <row r="991" spans="1:8" x14ac:dyDescent="0.25">
      <c r="A991" s="952"/>
      <c r="B991" s="953"/>
      <c r="C991" s="953"/>
      <c r="D991" s="953"/>
      <c r="E991" s="953"/>
      <c r="F991" s="953"/>
      <c r="G991" s="953"/>
      <c r="H991" s="953"/>
    </row>
    <row r="992" spans="1:8" x14ac:dyDescent="0.25">
      <c r="A992" s="952"/>
      <c r="B992" s="953"/>
      <c r="C992" s="953"/>
      <c r="D992" s="953"/>
      <c r="E992" s="953"/>
      <c r="F992" s="953"/>
      <c r="G992" s="953"/>
      <c r="H992" s="953"/>
    </row>
    <row r="993" spans="1:8" x14ac:dyDescent="0.25">
      <c r="A993" s="952"/>
      <c r="B993" s="953"/>
      <c r="C993" s="953"/>
      <c r="D993" s="953"/>
      <c r="E993" s="953"/>
      <c r="F993" s="953"/>
      <c r="G993" s="953"/>
      <c r="H993" s="953"/>
    </row>
    <row r="994" spans="1:8" x14ac:dyDescent="0.25">
      <c r="A994" s="952"/>
      <c r="B994" s="953"/>
      <c r="C994" s="953"/>
      <c r="D994" s="953"/>
      <c r="E994" s="953"/>
      <c r="F994" s="953"/>
      <c r="G994" s="953"/>
      <c r="H994" s="953"/>
    </row>
    <row r="995" spans="1:8" x14ac:dyDescent="0.25">
      <c r="A995" s="952"/>
      <c r="B995" s="953"/>
      <c r="C995" s="953"/>
      <c r="D995" s="953"/>
      <c r="E995" s="953"/>
      <c r="F995" s="953"/>
      <c r="G995" s="953"/>
      <c r="H995" s="953"/>
    </row>
    <row r="996" spans="1:8" x14ac:dyDescent="0.25">
      <c r="A996" s="952"/>
      <c r="B996" s="953"/>
      <c r="C996" s="953"/>
      <c r="D996" s="953"/>
      <c r="E996" s="953"/>
      <c r="F996" s="953"/>
      <c r="G996" s="953"/>
      <c r="H996" s="953"/>
    </row>
    <row r="997" spans="1:8" x14ac:dyDescent="0.25">
      <c r="A997" s="952"/>
      <c r="B997" s="953"/>
      <c r="C997" s="953"/>
      <c r="D997" s="953"/>
      <c r="E997" s="953"/>
      <c r="F997" s="953"/>
      <c r="G997" s="953"/>
      <c r="H997" s="953"/>
    </row>
    <row r="998" spans="1:8" x14ac:dyDescent="0.25">
      <c r="A998" s="952"/>
      <c r="B998" s="953"/>
      <c r="C998" s="953"/>
      <c r="D998" s="953"/>
      <c r="E998" s="953"/>
      <c r="F998" s="953"/>
      <c r="G998" s="953"/>
      <c r="H998" s="953"/>
    </row>
    <row r="999" spans="1:8" x14ac:dyDescent="0.25">
      <c r="A999" s="952"/>
      <c r="B999" s="953"/>
      <c r="C999" s="953"/>
      <c r="D999" s="953"/>
      <c r="E999" s="953"/>
      <c r="F999" s="953"/>
      <c r="G999" s="953"/>
      <c r="H999" s="953"/>
    </row>
    <row r="1000" spans="1:8" x14ac:dyDescent="0.25">
      <c r="A1000" s="952"/>
      <c r="B1000" s="953"/>
      <c r="C1000" s="953"/>
      <c r="D1000" s="953"/>
      <c r="E1000" s="953"/>
      <c r="F1000" s="953"/>
      <c r="G1000" s="953"/>
      <c r="H1000" s="953"/>
    </row>
    <row r="1001" spans="1:8" x14ac:dyDescent="0.25">
      <c r="A1001" s="952"/>
      <c r="B1001" s="953"/>
      <c r="C1001" s="953"/>
      <c r="D1001" s="953"/>
      <c r="E1001" s="953"/>
      <c r="F1001" s="953"/>
      <c r="G1001" s="953"/>
      <c r="H1001" s="953"/>
    </row>
    <row r="1002" spans="1:8" x14ac:dyDescent="0.25">
      <c r="A1002" s="952"/>
      <c r="B1002" s="953"/>
      <c r="C1002" s="953"/>
      <c r="D1002" s="953"/>
      <c r="E1002" s="953"/>
      <c r="F1002" s="953"/>
      <c r="G1002" s="953"/>
      <c r="H1002" s="953"/>
    </row>
    <row r="1003" spans="1:8" x14ac:dyDescent="0.25">
      <c r="A1003" s="952"/>
      <c r="B1003" s="953"/>
      <c r="C1003" s="953"/>
      <c r="D1003" s="953"/>
      <c r="E1003" s="953"/>
      <c r="F1003" s="953"/>
      <c r="G1003" s="953"/>
      <c r="H1003" s="953"/>
    </row>
    <row r="1004" spans="1:8" x14ac:dyDescent="0.25">
      <c r="A1004" s="952"/>
      <c r="B1004" s="953"/>
      <c r="C1004" s="953"/>
      <c r="D1004" s="953"/>
      <c r="E1004" s="953"/>
      <c r="F1004" s="953"/>
      <c r="G1004" s="953"/>
      <c r="H1004" s="953"/>
    </row>
    <row r="1005" spans="1:8" x14ac:dyDescent="0.25">
      <c r="A1005" s="952"/>
      <c r="B1005" s="953"/>
      <c r="C1005" s="953"/>
      <c r="D1005" s="953"/>
      <c r="E1005" s="953"/>
      <c r="F1005" s="953"/>
      <c r="G1005" s="953"/>
      <c r="H1005" s="953"/>
    </row>
    <row r="1006" spans="1:8" x14ac:dyDescent="0.25">
      <c r="A1006" s="952"/>
      <c r="B1006" s="953"/>
      <c r="C1006" s="953"/>
      <c r="D1006" s="953"/>
      <c r="E1006" s="953"/>
      <c r="F1006" s="953"/>
      <c r="G1006" s="953"/>
      <c r="H1006" s="953"/>
    </row>
    <row r="1007" spans="1:8" x14ac:dyDescent="0.25">
      <c r="A1007" s="952"/>
      <c r="B1007" s="953"/>
      <c r="C1007" s="953"/>
      <c r="D1007" s="953"/>
      <c r="E1007" s="953"/>
      <c r="F1007" s="953"/>
      <c r="G1007" s="953"/>
      <c r="H1007" s="953"/>
    </row>
    <row r="1008" spans="1:8" x14ac:dyDescent="0.25">
      <c r="A1008" s="952"/>
      <c r="B1008" s="953"/>
      <c r="C1008" s="953"/>
      <c r="D1008" s="953"/>
      <c r="E1008" s="953"/>
      <c r="F1008" s="953"/>
      <c r="G1008" s="953"/>
      <c r="H1008" s="953"/>
    </row>
    <row r="1009" spans="1:8" x14ac:dyDescent="0.25">
      <c r="A1009" s="952"/>
      <c r="B1009" s="953"/>
      <c r="C1009" s="953"/>
      <c r="D1009" s="953"/>
      <c r="E1009" s="953"/>
      <c r="F1009" s="953"/>
      <c r="G1009" s="953"/>
      <c r="H1009" s="953"/>
    </row>
    <row r="1010" spans="1:8" x14ac:dyDescent="0.25">
      <c r="A1010" s="952"/>
      <c r="B1010" s="953"/>
      <c r="C1010" s="953"/>
      <c r="D1010" s="953"/>
      <c r="E1010" s="953"/>
      <c r="F1010" s="953"/>
      <c r="G1010" s="953"/>
      <c r="H1010" s="953"/>
    </row>
    <row r="1011" spans="1:8" x14ac:dyDescent="0.25">
      <c r="A1011" s="952"/>
      <c r="B1011" s="953"/>
      <c r="C1011" s="953"/>
      <c r="D1011" s="953"/>
      <c r="E1011" s="953"/>
      <c r="F1011" s="953"/>
      <c r="G1011" s="953"/>
      <c r="H1011" s="953"/>
    </row>
    <row r="1012" spans="1:8" x14ac:dyDescent="0.25">
      <c r="A1012" s="952"/>
      <c r="B1012" s="953"/>
      <c r="C1012" s="953"/>
      <c r="D1012" s="953"/>
      <c r="E1012" s="953"/>
      <c r="F1012" s="953"/>
      <c r="G1012" s="953"/>
      <c r="H1012" s="953"/>
    </row>
    <row r="1013" spans="1:8" x14ac:dyDescent="0.25">
      <c r="A1013" s="952"/>
      <c r="B1013" s="953"/>
      <c r="C1013" s="953"/>
      <c r="D1013" s="953"/>
      <c r="E1013" s="953"/>
      <c r="F1013" s="953"/>
      <c r="G1013" s="953"/>
      <c r="H1013" s="953"/>
    </row>
    <row r="1014" spans="1:8" x14ac:dyDescent="0.25">
      <c r="A1014" s="952"/>
      <c r="B1014" s="953"/>
      <c r="C1014" s="953"/>
      <c r="D1014" s="953"/>
      <c r="E1014" s="953"/>
      <c r="F1014" s="953"/>
      <c r="G1014" s="953"/>
      <c r="H1014" s="953"/>
    </row>
    <row r="1015" spans="1:8" x14ac:dyDescent="0.25">
      <c r="A1015" s="952"/>
      <c r="B1015" s="953"/>
      <c r="C1015" s="953"/>
      <c r="D1015" s="953"/>
      <c r="E1015" s="953"/>
      <c r="F1015" s="953"/>
      <c r="G1015" s="953"/>
      <c r="H1015" s="953"/>
    </row>
    <row r="1016" spans="1:8" x14ac:dyDescent="0.25">
      <c r="A1016" s="952"/>
      <c r="B1016" s="953"/>
      <c r="C1016" s="953"/>
      <c r="D1016" s="953"/>
      <c r="E1016" s="953"/>
      <c r="F1016" s="953"/>
      <c r="G1016" s="953"/>
      <c r="H1016" s="953"/>
    </row>
    <row r="1017" spans="1:8" x14ac:dyDescent="0.25">
      <c r="A1017" s="952"/>
      <c r="B1017" s="953"/>
      <c r="C1017" s="953"/>
      <c r="D1017" s="953"/>
      <c r="E1017" s="953"/>
      <c r="F1017" s="953"/>
      <c r="G1017" s="953"/>
      <c r="H1017" s="953"/>
    </row>
    <row r="1018" spans="1:8" x14ac:dyDescent="0.25">
      <c r="A1018" s="952"/>
      <c r="B1018" s="953"/>
      <c r="C1018" s="953"/>
      <c r="D1018" s="953"/>
      <c r="E1018" s="953"/>
      <c r="F1018" s="953"/>
      <c r="G1018" s="953"/>
      <c r="H1018" s="953"/>
    </row>
    <row r="1019" spans="1:8" x14ac:dyDescent="0.25">
      <c r="A1019" s="952"/>
      <c r="B1019" s="953"/>
      <c r="C1019" s="953"/>
      <c r="D1019" s="953"/>
      <c r="E1019" s="953"/>
      <c r="F1019" s="953"/>
      <c r="G1019" s="953"/>
      <c r="H1019" s="953"/>
    </row>
    <row r="1020" spans="1:8" x14ac:dyDescent="0.25">
      <c r="A1020" s="952"/>
      <c r="B1020" s="953"/>
      <c r="C1020" s="953"/>
      <c r="D1020" s="953"/>
      <c r="E1020" s="953"/>
      <c r="F1020" s="953"/>
      <c r="G1020" s="953"/>
      <c r="H1020" s="953"/>
    </row>
    <row r="1021" spans="1:8" x14ac:dyDescent="0.25">
      <c r="A1021" s="952"/>
      <c r="B1021" s="953"/>
      <c r="C1021" s="953"/>
      <c r="D1021" s="953"/>
      <c r="E1021" s="953"/>
      <c r="F1021" s="953"/>
      <c r="G1021" s="953"/>
      <c r="H1021" s="953"/>
    </row>
    <row r="1022" spans="1:8" x14ac:dyDescent="0.25">
      <c r="A1022" s="952"/>
      <c r="B1022" s="953"/>
      <c r="C1022" s="953"/>
      <c r="D1022" s="953"/>
      <c r="E1022" s="953"/>
      <c r="F1022" s="953"/>
      <c r="G1022" s="953"/>
      <c r="H1022" s="953"/>
    </row>
    <row r="1023" spans="1:8" x14ac:dyDescent="0.25">
      <c r="A1023" s="952"/>
      <c r="B1023" s="953"/>
      <c r="C1023" s="953"/>
      <c r="D1023" s="953"/>
      <c r="E1023" s="953"/>
      <c r="F1023" s="953"/>
      <c r="G1023" s="953"/>
      <c r="H1023" s="953"/>
    </row>
    <row r="1024" spans="1:8" x14ac:dyDescent="0.25">
      <c r="A1024" s="952"/>
      <c r="B1024" s="953"/>
      <c r="C1024" s="953"/>
      <c r="D1024" s="953"/>
      <c r="E1024" s="953"/>
      <c r="F1024" s="953"/>
      <c r="G1024" s="953"/>
      <c r="H1024" s="953"/>
    </row>
    <row r="1025" spans="1:8" x14ac:dyDescent="0.25">
      <c r="A1025" s="952"/>
      <c r="B1025" s="953"/>
      <c r="C1025" s="953"/>
      <c r="D1025" s="953"/>
      <c r="E1025" s="953"/>
      <c r="F1025" s="953"/>
      <c r="G1025" s="953"/>
      <c r="H1025" s="953"/>
    </row>
    <row r="1026" spans="1:8" x14ac:dyDescent="0.25">
      <c r="A1026" s="952"/>
      <c r="B1026" s="953"/>
      <c r="C1026" s="953"/>
      <c r="D1026" s="953"/>
      <c r="E1026" s="953"/>
      <c r="F1026" s="953"/>
      <c r="G1026" s="953"/>
      <c r="H1026" s="953"/>
    </row>
    <row r="1027" spans="1:8" x14ac:dyDescent="0.25">
      <c r="A1027" s="952"/>
      <c r="B1027" s="953"/>
      <c r="C1027" s="953"/>
      <c r="D1027" s="953"/>
      <c r="E1027" s="953"/>
      <c r="F1027" s="953"/>
      <c r="G1027" s="953"/>
      <c r="H1027" s="953"/>
    </row>
    <row r="1028" spans="1:8" x14ac:dyDescent="0.25">
      <c r="A1028" s="952"/>
      <c r="B1028" s="953"/>
      <c r="C1028" s="953"/>
      <c r="D1028" s="953"/>
      <c r="E1028" s="953"/>
      <c r="F1028" s="953"/>
      <c r="G1028" s="953"/>
      <c r="H1028" s="953"/>
    </row>
    <row r="1029" spans="1:8" x14ac:dyDescent="0.25">
      <c r="A1029" s="952"/>
      <c r="B1029" s="953"/>
      <c r="C1029" s="953"/>
      <c r="D1029" s="953"/>
      <c r="E1029" s="953"/>
      <c r="F1029" s="953"/>
      <c r="G1029" s="953"/>
      <c r="H1029" s="953"/>
    </row>
    <row r="1030" spans="1:8" x14ac:dyDescent="0.25">
      <c r="A1030" s="952"/>
      <c r="B1030" s="953"/>
      <c r="C1030" s="953"/>
      <c r="D1030" s="953"/>
      <c r="E1030" s="953"/>
      <c r="F1030" s="953"/>
      <c r="G1030" s="953"/>
      <c r="H1030" s="953"/>
    </row>
    <row r="1031" spans="1:8" x14ac:dyDescent="0.25">
      <c r="A1031" s="952"/>
      <c r="B1031" s="953"/>
      <c r="C1031" s="953"/>
      <c r="D1031" s="953"/>
      <c r="E1031" s="953"/>
      <c r="F1031" s="953"/>
      <c r="G1031" s="953"/>
      <c r="H1031" s="953"/>
    </row>
    <row r="1032" spans="1:8" x14ac:dyDescent="0.25">
      <c r="A1032" s="952"/>
      <c r="B1032" s="953"/>
      <c r="C1032" s="953"/>
      <c r="D1032" s="953"/>
      <c r="E1032" s="953"/>
      <c r="F1032" s="953"/>
      <c r="G1032" s="953"/>
      <c r="H1032" s="953"/>
    </row>
    <row r="1033" spans="1:8" x14ac:dyDescent="0.25">
      <c r="A1033" s="952"/>
      <c r="B1033" s="953"/>
      <c r="C1033" s="953"/>
      <c r="D1033" s="953"/>
      <c r="E1033" s="953"/>
      <c r="F1033" s="953"/>
      <c r="G1033" s="953"/>
      <c r="H1033" s="953"/>
    </row>
    <row r="1034" spans="1:8" x14ac:dyDescent="0.25">
      <c r="A1034" s="952"/>
      <c r="B1034" s="953"/>
      <c r="C1034" s="953"/>
      <c r="D1034" s="953"/>
      <c r="E1034" s="953"/>
      <c r="F1034" s="953"/>
      <c r="G1034" s="953"/>
      <c r="H1034" s="953"/>
    </row>
    <row r="1035" spans="1:8" x14ac:dyDescent="0.25">
      <c r="A1035" s="952"/>
      <c r="B1035" s="953"/>
      <c r="C1035" s="953"/>
      <c r="D1035" s="953"/>
      <c r="E1035" s="953"/>
      <c r="F1035" s="953"/>
      <c r="G1035" s="953"/>
      <c r="H1035" s="953"/>
    </row>
    <row r="1036" spans="1:8" x14ac:dyDescent="0.25">
      <c r="A1036" s="952"/>
      <c r="B1036" s="953"/>
      <c r="C1036" s="953"/>
      <c r="D1036" s="953"/>
      <c r="E1036" s="953"/>
      <c r="F1036" s="953"/>
      <c r="G1036" s="953"/>
      <c r="H1036" s="953"/>
    </row>
    <row r="1037" spans="1:8" x14ac:dyDescent="0.25">
      <c r="A1037" s="952"/>
      <c r="B1037" s="953"/>
      <c r="C1037" s="953"/>
      <c r="D1037" s="953"/>
      <c r="E1037" s="953"/>
      <c r="F1037" s="953"/>
      <c r="G1037" s="953"/>
      <c r="H1037" s="953"/>
    </row>
    <row r="1038" spans="1:8" x14ac:dyDescent="0.25">
      <c r="A1038" s="952"/>
      <c r="B1038" s="953"/>
      <c r="C1038" s="953"/>
      <c r="D1038" s="953"/>
      <c r="E1038" s="953"/>
      <c r="F1038" s="953"/>
      <c r="G1038" s="953"/>
      <c r="H1038" s="953"/>
    </row>
    <row r="1039" spans="1:8" x14ac:dyDescent="0.25">
      <c r="A1039" s="952"/>
      <c r="B1039" s="953"/>
      <c r="C1039" s="953"/>
      <c r="D1039" s="953"/>
      <c r="E1039" s="953"/>
      <c r="F1039" s="953"/>
      <c r="G1039" s="953"/>
      <c r="H1039" s="953"/>
    </row>
    <row r="1040" spans="1:8" x14ac:dyDescent="0.25">
      <c r="A1040" s="952"/>
      <c r="B1040" s="953"/>
      <c r="C1040" s="953"/>
      <c r="D1040" s="953"/>
      <c r="E1040" s="953"/>
      <c r="F1040" s="953"/>
      <c r="G1040" s="953"/>
      <c r="H1040" s="953"/>
    </row>
    <row r="1041" spans="1:8" x14ac:dyDescent="0.25">
      <c r="A1041" s="952"/>
      <c r="B1041" s="953"/>
      <c r="C1041" s="953"/>
      <c r="D1041" s="953"/>
      <c r="E1041" s="953"/>
      <c r="F1041" s="953"/>
      <c r="G1041" s="953"/>
      <c r="H1041" s="953"/>
    </row>
    <row r="1042" spans="1:8" x14ac:dyDescent="0.25">
      <c r="A1042" s="952"/>
      <c r="B1042" s="953"/>
      <c r="C1042" s="953"/>
      <c r="D1042" s="953"/>
      <c r="E1042" s="953"/>
      <c r="F1042" s="953"/>
      <c r="G1042" s="953"/>
      <c r="H1042" s="953"/>
    </row>
    <row r="1043" spans="1:8" x14ac:dyDescent="0.25">
      <c r="A1043" s="952"/>
      <c r="B1043" s="953"/>
      <c r="C1043" s="953"/>
      <c r="D1043" s="953"/>
      <c r="E1043" s="953"/>
      <c r="F1043" s="953"/>
      <c r="G1043" s="953"/>
      <c r="H1043" s="953"/>
    </row>
    <row r="1044" spans="1:8" x14ac:dyDescent="0.25">
      <c r="A1044" s="952"/>
      <c r="B1044" s="953"/>
      <c r="C1044" s="953"/>
      <c r="D1044" s="953"/>
      <c r="E1044" s="953"/>
      <c r="F1044" s="953"/>
      <c r="G1044" s="953"/>
      <c r="H1044" s="953"/>
    </row>
    <row r="1045" spans="1:8" x14ac:dyDescent="0.25">
      <c r="A1045" s="952"/>
      <c r="B1045" s="953"/>
      <c r="C1045" s="953"/>
      <c r="D1045" s="953"/>
      <c r="E1045" s="953"/>
      <c r="F1045" s="953"/>
      <c r="G1045" s="953"/>
      <c r="H1045" s="953"/>
    </row>
    <row r="1046" spans="1:8" x14ac:dyDescent="0.25">
      <c r="A1046" s="952"/>
      <c r="B1046" s="953"/>
      <c r="C1046" s="953"/>
      <c r="D1046" s="953"/>
      <c r="E1046" s="953"/>
      <c r="F1046" s="953"/>
      <c r="G1046" s="953"/>
      <c r="H1046" s="953"/>
    </row>
    <row r="1047" spans="1:8" x14ac:dyDescent="0.25">
      <c r="A1047" s="952"/>
      <c r="B1047" s="953"/>
      <c r="C1047" s="953"/>
      <c r="D1047" s="953"/>
      <c r="E1047" s="953"/>
      <c r="F1047" s="953"/>
      <c r="G1047" s="953"/>
      <c r="H1047" s="953"/>
    </row>
    <row r="1048" spans="1:8" x14ac:dyDescent="0.25">
      <c r="A1048" s="952"/>
      <c r="B1048" s="953"/>
      <c r="C1048" s="953"/>
      <c r="D1048" s="953"/>
      <c r="E1048" s="953"/>
      <c r="F1048" s="953"/>
      <c r="G1048" s="953"/>
      <c r="H1048" s="953"/>
    </row>
    <row r="1049" spans="1:8" x14ac:dyDescent="0.25">
      <c r="A1049" s="952"/>
      <c r="B1049" s="953"/>
      <c r="C1049" s="953"/>
      <c r="D1049" s="953"/>
      <c r="E1049" s="953"/>
      <c r="F1049" s="953"/>
      <c r="G1049" s="953"/>
      <c r="H1049" s="953"/>
    </row>
    <row r="1050" spans="1:8" x14ac:dyDescent="0.25">
      <c r="A1050" s="952"/>
      <c r="B1050" s="953"/>
      <c r="C1050" s="953"/>
      <c r="D1050" s="953"/>
      <c r="E1050" s="953"/>
      <c r="F1050" s="953"/>
      <c r="G1050" s="953"/>
      <c r="H1050" s="953"/>
    </row>
    <row r="1051" spans="1:8" x14ac:dyDescent="0.25">
      <c r="A1051" s="952"/>
      <c r="B1051" s="953"/>
      <c r="C1051" s="953"/>
      <c r="D1051" s="953"/>
      <c r="E1051" s="953"/>
      <c r="F1051" s="953"/>
      <c r="G1051" s="953"/>
      <c r="H1051" s="953"/>
    </row>
    <row r="1052" spans="1:8" x14ac:dyDescent="0.25">
      <c r="A1052" s="952"/>
      <c r="B1052" s="953"/>
      <c r="C1052" s="953"/>
      <c r="D1052" s="953"/>
      <c r="E1052" s="953"/>
      <c r="F1052" s="953"/>
      <c r="G1052" s="953"/>
      <c r="H1052" s="953"/>
    </row>
    <row r="1053" spans="1:8" x14ac:dyDescent="0.25">
      <c r="A1053" s="952"/>
      <c r="B1053" s="953"/>
      <c r="C1053" s="953"/>
      <c r="D1053" s="953"/>
      <c r="E1053" s="953"/>
      <c r="F1053" s="953"/>
      <c r="G1053" s="953"/>
      <c r="H1053" s="953"/>
    </row>
    <row r="1054" spans="1:8" x14ac:dyDescent="0.25">
      <c r="A1054" s="952"/>
      <c r="B1054" s="953"/>
      <c r="C1054" s="953"/>
      <c r="D1054" s="953"/>
      <c r="E1054" s="953"/>
      <c r="F1054" s="953"/>
      <c r="G1054" s="953"/>
      <c r="H1054" s="953"/>
    </row>
    <row r="1055" spans="1:8" x14ac:dyDescent="0.25">
      <c r="A1055" s="952"/>
      <c r="B1055" s="953"/>
      <c r="C1055" s="953"/>
      <c r="D1055" s="953"/>
      <c r="E1055" s="953"/>
      <c r="F1055" s="953"/>
      <c r="G1055" s="953"/>
      <c r="H1055" s="953"/>
    </row>
    <row r="1056" spans="1:8" x14ac:dyDescent="0.25">
      <c r="A1056" s="952"/>
      <c r="B1056" s="953"/>
      <c r="C1056" s="953"/>
      <c r="D1056" s="953"/>
      <c r="E1056" s="953"/>
      <c r="F1056" s="953"/>
      <c r="G1056" s="953"/>
      <c r="H1056" s="953"/>
    </row>
    <row r="1057" spans="1:8" x14ac:dyDescent="0.25">
      <c r="A1057" s="952"/>
      <c r="B1057" s="953"/>
      <c r="C1057" s="953"/>
      <c r="D1057" s="953"/>
      <c r="E1057" s="953"/>
      <c r="F1057" s="953"/>
      <c r="G1057" s="953"/>
      <c r="H1057" s="953"/>
    </row>
    <row r="1058" spans="1:8" x14ac:dyDescent="0.25">
      <c r="A1058" s="952"/>
      <c r="B1058" s="953"/>
      <c r="C1058" s="953"/>
      <c r="D1058" s="953"/>
      <c r="E1058" s="953"/>
      <c r="F1058" s="953"/>
      <c r="G1058" s="953"/>
      <c r="H1058" s="953"/>
    </row>
    <row r="1059" spans="1:8" x14ac:dyDescent="0.25">
      <c r="A1059" s="952"/>
      <c r="B1059" s="953"/>
      <c r="C1059" s="953"/>
      <c r="D1059" s="953"/>
      <c r="E1059" s="953"/>
      <c r="F1059" s="953"/>
      <c r="G1059" s="953"/>
      <c r="H1059" s="953"/>
    </row>
    <row r="1060" spans="1:8" x14ac:dyDescent="0.25">
      <c r="A1060" s="952"/>
      <c r="B1060" s="953"/>
      <c r="C1060" s="953"/>
      <c r="D1060" s="953"/>
      <c r="E1060" s="953"/>
      <c r="F1060" s="953"/>
      <c r="G1060" s="953"/>
      <c r="H1060" s="953"/>
    </row>
    <row r="1061" spans="1:8" x14ac:dyDescent="0.25">
      <c r="A1061" s="952"/>
      <c r="B1061" s="953"/>
      <c r="C1061" s="953"/>
      <c r="D1061" s="953"/>
      <c r="E1061" s="953"/>
      <c r="F1061" s="953"/>
      <c r="G1061" s="953"/>
      <c r="H1061" s="953"/>
    </row>
    <row r="1062" spans="1:8" x14ac:dyDescent="0.25">
      <c r="A1062" s="952"/>
      <c r="B1062" s="953"/>
      <c r="C1062" s="953"/>
      <c r="D1062" s="953"/>
      <c r="E1062" s="953"/>
      <c r="F1062" s="953"/>
      <c r="G1062" s="953"/>
      <c r="H1062" s="953"/>
    </row>
    <row r="1063" spans="1:8" x14ac:dyDescent="0.25">
      <c r="A1063" s="952"/>
      <c r="B1063" s="953"/>
      <c r="C1063" s="953"/>
      <c r="D1063" s="953"/>
      <c r="E1063" s="953"/>
      <c r="F1063" s="953"/>
      <c r="G1063" s="953"/>
      <c r="H1063" s="953"/>
    </row>
    <row r="1064" spans="1:8" x14ac:dyDescent="0.25">
      <c r="A1064" s="952"/>
      <c r="B1064" s="953"/>
      <c r="C1064" s="953"/>
      <c r="D1064" s="953"/>
      <c r="E1064" s="953"/>
      <c r="F1064" s="953"/>
      <c r="G1064" s="953"/>
      <c r="H1064" s="953"/>
    </row>
    <row r="1065" spans="1:8" x14ac:dyDescent="0.25">
      <c r="A1065" s="952"/>
      <c r="B1065" s="953"/>
      <c r="C1065" s="953"/>
      <c r="D1065" s="953"/>
      <c r="E1065" s="953"/>
      <c r="F1065" s="953"/>
      <c r="G1065" s="953"/>
      <c r="H1065" s="953"/>
    </row>
    <row r="1066" spans="1:8" x14ac:dyDescent="0.25">
      <c r="A1066" s="952"/>
      <c r="B1066" s="953"/>
      <c r="C1066" s="953"/>
      <c r="D1066" s="953"/>
      <c r="E1066" s="953"/>
      <c r="F1066" s="953"/>
      <c r="G1066" s="953"/>
      <c r="H1066" s="953"/>
    </row>
    <row r="1067" spans="1:8" x14ac:dyDescent="0.25">
      <c r="A1067" s="952"/>
      <c r="B1067" s="953"/>
      <c r="C1067" s="953"/>
      <c r="D1067" s="953"/>
      <c r="E1067" s="953"/>
      <c r="F1067" s="953"/>
      <c r="G1067" s="953"/>
      <c r="H1067" s="953"/>
    </row>
    <row r="1068" spans="1:8" x14ac:dyDescent="0.25">
      <c r="A1068" s="952"/>
      <c r="B1068" s="953"/>
      <c r="C1068" s="953"/>
      <c r="D1068" s="953"/>
      <c r="E1068" s="953"/>
      <c r="F1068" s="953"/>
      <c r="G1068" s="953"/>
      <c r="H1068" s="953"/>
    </row>
    <row r="1069" spans="1:8" x14ac:dyDescent="0.25">
      <c r="A1069" s="952"/>
      <c r="B1069" s="953"/>
      <c r="C1069" s="953"/>
      <c r="D1069" s="953"/>
      <c r="E1069" s="953"/>
      <c r="F1069" s="953"/>
      <c r="G1069" s="953"/>
      <c r="H1069" s="953"/>
    </row>
    <row r="1070" spans="1:8" x14ac:dyDescent="0.25">
      <c r="A1070" s="952"/>
      <c r="B1070" s="953"/>
      <c r="C1070" s="953"/>
      <c r="D1070" s="953"/>
      <c r="E1070" s="953"/>
      <c r="F1070" s="953"/>
      <c r="G1070" s="953"/>
      <c r="H1070" s="953"/>
    </row>
    <row r="1071" spans="1:8" x14ac:dyDescent="0.25">
      <c r="A1071" s="952"/>
      <c r="B1071" s="953"/>
      <c r="C1071" s="953"/>
      <c r="D1071" s="953"/>
      <c r="E1071" s="953"/>
      <c r="F1071" s="953"/>
      <c r="G1071" s="953"/>
      <c r="H1071" s="953"/>
    </row>
    <row r="1072" spans="1:8" x14ac:dyDescent="0.25">
      <c r="A1072" s="952"/>
      <c r="B1072" s="953"/>
      <c r="C1072" s="953"/>
      <c r="D1072" s="953"/>
      <c r="E1072" s="953"/>
      <c r="F1072" s="953"/>
      <c r="G1072" s="953"/>
      <c r="H1072" s="953"/>
    </row>
    <row r="1073" spans="1:8" x14ac:dyDescent="0.25">
      <c r="A1073" s="952"/>
      <c r="B1073" s="953"/>
      <c r="C1073" s="953"/>
      <c r="D1073" s="953"/>
      <c r="E1073" s="953"/>
      <c r="F1073" s="953"/>
      <c r="G1073" s="953"/>
      <c r="H1073" s="953"/>
    </row>
    <row r="1074" spans="1:8" x14ac:dyDescent="0.25">
      <c r="A1074" s="952"/>
      <c r="B1074" s="953"/>
      <c r="C1074" s="953"/>
      <c r="D1074" s="953"/>
      <c r="E1074" s="953"/>
      <c r="F1074" s="953"/>
      <c r="G1074" s="953"/>
      <c r="H1074" s="953"/>
    </row>
    <row r="1075" spans="1:8" x14ac:dyDescent="0.25">
      <c r="A1075" s="952"/>
      <c r="B1075" s="953"/>
      <c r="C1075" s="953"/>
      <c r="D1075" s="953"/>
      <c r="E1075" s="953"/>
      <c r="F1075" s="953"/>
      <c r="G1075" s="953"/>
      <c r="H1075" s="953"/>
    </row>
    <row r="1076" spans="1:8" x14ac:dyDescent="0.25">
      <c r="A1076" s="952"/>
      <c r="B1076" s="953"/>
      <c r="C1076" s="953"/>
      <c r="D1076" s="953"/>
      <c r="E1076" s="953"/>
      <c r="F1076" s="953"/>
      <c r="G1076" s="953"/>
      <c r="H1076" s="953"/>
    </row>
    <row r="1077" spans="1:8" x14ac:dyDescent="0.25">
      <c r="A1077" s="952"/>
      <c r="B1077" s="953"/>
      <c r="C1077" s="953"/>
      <c r="D1077" s="953"/>
      <c r="E1077" s="953"/>
      <c r="F1077" s="953"/>
      <c r="G1077" s="953"/>
      <c r="H1077" s="953"/>
    </row>
    <row r="1078" spans="1:8" x14ac:dyDescent="0.25">
      <c r="A1078" s="952"/>
      <c r="B1078" s="953"/>
      <c r="C1078" s="953"/>
      <c r="D1078" s="953"/>
      <c r="E1078" s="953"/>
      <c r="F1078" s="953"/>
      <c r="G1078" s="953"/>
      <c r="H1078" s="953"/>
    </row>
    <row r="1079" spans="1:8" x14ac:dyDescent="0.25">
      <c r="A1079" s="952"/>
      <c r="B1079" s="953"/>
      <c r="C1079" s="953"/>
      <c r="D1079" s="953"/>
      <c r="E1079" s="953"/>
      <c r="F1079" s="953"/>
      <c r="G1079" s="953"/>
      <c r="H1079" s="953"/>
    </row>
    <row r="1080" spans="1:8" x14ac:dyDescent="0.25">
      <c r="A1080" s="952"/>
      <c r="B1080" s="953"/>
      <c r="C1080" s="953"/>
      <c r="D1080" s="953"/>
      <c r="E1080" s="953"/>
      <c r="F1080" s="953"/>
      <c r="G1080" s="953"/>
      <c r="H1080" s="953"/>
    </row>
    <row r="1081" spans="1:8" x14ac:dyDescent="0.25">
      <c r="A1081" s="952"/>
      <c r="B1081" s="953"/>
      <c r="C1081" s="953"/>
      <c r="D1081" s="953"/>
      <c r="E1081" s="953"/>
      <c r="F1081" s="953"/>
      <c r="G1081" s="953"/>
      <c r="H1081" s="953"/>
    </row>
    <row r="1082" spans="1:8" x14ac:dyDescent="0.25">
      <c r="A1082" s="952"/>
      <c r="B1082" s="953"/>
      <c r="C1082" s="953"/>
      <c r="D1082" s="953"/>
      <c r="E1082" s="953"/>
      <c r="F1082" s="953"/>
      <c r="G1082" s="953"/>
      <c r="H1082" s="953"/>
    </row>
    <row r="1083" spans="1:8" x14ac:dyDescent="0.25">
      <c r="A1083" s="952"/>
      <c r="B1083" s="953"/>
      <c r="C1083" s="953"/>
      <c r="D1083" s="953"/>
      <c r="E1083" s="953"/>
      <c r="F1083" s="953"/>
      <c r="G1083" s="953"/>
      <c r="H1083" s="953"/>
    </row>
    <row r="1084" spans="1:8" x14ac:dyDescent="0.25">
      <c r="A1084" s="952"/>
      <c r="B1084" s="953"/>
      <c r="C1084" s="953"/>
      <c r="D1084" s="953"/>
      <c r="E1084" s="953"/>
      <c r="F1084" s="953"/>
      <c r="G1084" s="953"/>
      <c r="H1084" s="953"/>
    </row>
    <row r="1085" spans="1:8" x14ac:dyDescent="0.25">
      <c r="A1085" s="952"/>
      <c r="B1085" s="953"/>
      <c r="C1085" s="953"/>
      <c r="D1085" s="953"/>
      <c r="E1085" s="953"/>
      <c r="F1085" s="953"/>
      <c r="G1085" s="953"/>
      <c r="H1085" s="953"/>
    </row>
    <row r="1086" spans="1:8" x14ac:dyDescent="0.25">
      <c r="A1086" s="952"/>
      <c r="B1086" s="953"/>
      <c r="C1086" s="953"/>
      <c r="D1086" s="953"/>
      <c r="E1086" s="953"/>
      <c r="F1086" s="953"/>
      <c r="G1086" s="953"/>
      <c r="H1086" s="953"/>
    </row>
    <row r="1087" spans="1:8" x14ac:dyDescent="0.25">
      <c r="A1087" s="952"/>
      <c r="B1087" s="953"/>
      <c r="C1087" s="953"/>
      <c r="D1087" s="953"/>
      <c r="E1087" s="953"/>
      <c r="F1087" s="953"/>
      <c r="G1087" s="953"/>
      <c r="H1087" s="953"/>
    </row>
    <row r="1088" spans="1:8" x14ac:dyDescent="0.25">
      <c r="A1088" s="952"/>
      <c r="B1088" s="953"/>
      <c r="C1088" s="953"/>
      <c r="D1088" s="953"/>
      <c r="E1088" s="953"/>
      <c r="F1088" s="953"/>
      <c r="G1088" s="953"/>
      <c r="H1088" s="953"/>
    </row>
    <row r="1089" spans="1:8" x14ac:dyDescent="0.25">
      <c r="A1089" s="952"/>
      <c r="B1089" s="953"/>
      <c r="C1089" s="953"/>
      <c r="D1089" s="953"/>
      <c r="E1089" s="953"/>
      <c r="F1089" s="953"/>
      <c r="G1089" s="953"/>
      <c r="H1089" s="953"/>
    </row>
    <row r="1090" spans="1:8" x14ac:dyDescent="0.25">
      <c r="A1090" s="952"/>
      <c r="B1090" s="953"/>
      <c r="C1090" s="953"/>
      <c r="D1090" s="953"/>
      <c r="E1090" s="953"/>
      <c r="F1090" s="953"/>
      <c r="G1090" s="953"/>
      <c r="H1090" s="953"/>
    </row>
    <row r="1091" spans="1:8" x14ac:dyDescent="0.25">
      <c r="A1091" s="952"/>
      <c r="B1091" s="953"/>
      <c r="C1091" s="953"/>
      <c r="D1091" s="953"/>
      <c r="E1091" s="953"/>
      <c r="F1091" s="953"/>
      <c r="G1091" s="953"/>
      <c r="H1091" s="953"/>
    </row>
    <row r="1092" spans="1:8" x14ac:dyDescent="0.25">
      <c r="A1092" s="952"/>
      <c r="B1092" s="953"/>
      <c r="C1092" s="953"/>
      <c r="D1092" s="953"/>
      <c r="E1092" s="953"/>
      <c r="F1092" s="953"/>
      <c r="G1092" s="953"/>
      <c r="H1092" s="953"/>
    </row>
    <row r="1093" spans="1:8" x14ac:dyDescent="0.25">
      <c r="A1093" s="952"/>
      <c r="B1093" s="953"/>
      <c r="C1093" s="953"/>
      <c r="D1093" s="953"/>
      <c r="E1093" s="953"/>
      <c r="F1093" s="953"/>
      <c r="G1093" s="953"/>
      <c r="H1093" s="953"/>
    </row>
    <row r="1094" spans="1:8" x14ac:dyDescent="0.25">
      <c r="A1094" s="952"/>
      <c r="B1094" s="953"/>
      <c r="C1094" s="953"/>
      <c r="D1094" s="953"/>
      <c r="E1094" s="953"/>
      <c r="F1094" s="953"/>
      <c r="G1094" s="953"/>
      <c r="H1094" s="953"/>
    </row>
    <row r="1095" spans="1:8" x14ac:dyDescent="0.25">
      <c r="A1095" s="952"/>
      <c r="B1095" s="953"/>
      <c r="C1095" s="953"/>
      <c r="D1095" s="953"/>
      <c r="E1095" s="953"/>
      <c r="F1095" s="953"/>
      <c r="G1095" s="953"/>
      <c r="H1095" s="953"/>
    </row>
    <row r="1096" spans="1:8" x14ac:dyDescent="0.25">
      <c r="A1096" s="952"/>
      <c r="B1096" s="953"/>
      <c r="C1096" s="953"/>
      <c r="D1096" s="953"/>
      <c r="E1096" s="953"/>
      <c r="F1096" s="953"/>
      <c r="G1096" s="953"/>
      <c r="H1096" s="953"/>
    </row>
    <row r="1097" spans="1:8" x14ac:dyDescent="0.25">
      <c r="A1097" s="952"/>
      <c r="B1097" s="953"/>
      <c r="C1097" s="953"/>
      <c r="D1097" s="953"/>
      <c r="E1097" s="953"/>
      <c r="F1097" s="953"/>
      <c r="G1097" s="953"/>
      <c r="H1097" s="953"/>
    </row>
    <row r="1098" spans="1:8" x14ac:dyDescent="0.25">
      <c r="A1098" s="952"/>
      <c r="B1098" s="953"/>
      <c r="C1098" s="953"/>
      <c r="D1098" s="953"/>
      <c r="E1098" s="953"/>
      <c r="F1098" s="953"/>
      <c r="G1098" s="953"/>
      <c r="H1098" s="953"/>
    </row>
    <row r="1099" spans="1:8" x14ac:dyDescent="0.25">
      <c r="A1099" s="952"/>
      <c r="B1099" s="953"/>
      <c r="C1099" s="953"/>
      <c r="D1099" s="953"/>
      <c r="E1099" s="953"/>
      <c r="F1099" s="953"/>
      <c r="G1099" s="953"/>
      <c r="H1099" s="953"/>
    </row>
    <row r="1100" spans="1:8" x14ac:dyDescent="0.25">
      <c r="A1100" s="952"/>
      <c r="B1100" s="953"/>
      <c r="C1100" s="953"/>
      <c r="D1100" s="953"/>
      <c r="E1100" s="953"/>
      <c r="F1100" s="953"/>
      <c r="G1100" s="953"/>
      <c r="H1100" s="953"/>
    </row>
    <row r="1101" spans="1:8" x14ac:dyDescent="0.25">
      <c r="A1101" s="952"/>
      <c r="B1101" s="953"/>
      <c r="C1101" s="953"/>
      <c r="D1101" s="953"/>
      <c r="E1101" s="953"/>
      <c r="F1101" s="953"/>
      <c r="G1101" s="953"/>
      <c r="H1101" s="953"/>
    </row>
    <row r="1102" spans="1:8" x14ac:dyDescent="0.25">
      <c r="A1102" s="952"/>
      <c r="B1102" s="953"/>
      <c r="C1102" s="953"/>
      <c r="D1102" s="953"/>
      <c r="E1102" s="953"/>
      <c r="F1102" s="953"/>
      <c r="G1102" s="953"/>
      <c r="H1102" s="953"/>
    </row>
    <row r="1103" spans="1:8" x14ac:dyDescent="0.25">
      <c r="A1103" s="952"/>
      <c r="B1103" s="953"/>
      <c r="C1103" s="953"/>
      <c r="D1103" s="953"/>
      <c r="E1103" s="953"/>
      <c r="F1103" s="953"/>
      <c r="G1103" s="953"/>
      <c r="H1103" s="953"/>
    </row>
    <row r="1104" spans="1:8" x14ac:dyDescent="0.25">
      <c r="A1104" s="952"/>
      <c r="B1104" s="953"/>
      <c r="C1104" s="953"/>
      <c r="D1104" s="953"/>
      <c r="E1104" s="953"/>
      <c r="F1104" s="953"/>
      <c r="G1104" s="953"/>
      <c r="H1104" s="953"/>
    </row>
    <row r="1105" spans="1:8" x14ac:dyDescent="0.25">
      <c r="A1105" s="952"/>
      <c r="B1105" s="953"/>
      <c r="C1105" s="953"/>
      <c r="D1105" s="953"/>
      <c r="E1105" s="953"/>
      <c r="F1105" s="953"/>
      <c r="G1105" s="953"/>
      <c r="H1105" s="953"/>
    </row>
    <row r="1106" spans="1:8" x14ac:dyDescent="0.25">
      <c r="A1106" s="952"/>
      <c r="B1106" s="953"/>
      <c r="C1106" s="953"/>
      <c r="D1106" s="953"/>
      <c r="E1106" s="953"/>
      <c r="F1106" s="953"/>
      <c r="G1106" s="953"/>
      <c r="H1106" s="953"/>
    </row>
    <row r="1107" spans="1:8" x14ac:dyDescent="0.25">
      <c r="A1107" s="952"/>
      <c r="B1107" s="953"/>
      <c r="C1107" s="953"/>
      <c r="D1107" s="953"/>
      <c r="E1107" s="953"/>
      <c r="F1107" s="953"/>
      <c r="G1107" s="953"/>
      <c r="H1107" s="953"/>
    </row>
    <row r="1108" spans="1:8" x14ac:dyDescent="0.25">
      <c r="A1108" s="952"/>
      <c r="B1108" s="953"/>
      <c r="C1108" s="953"/>
      <c r="D1108" s="953"/>
      <c r="E1108" s="953"/>
      <c r="F1108" s="953"/>
      <c r="G1108" s="953"/>
      <c r="H1108" s="953"/>
    </row>
    <row r="1109" spans="1:8" x14ac:dyDescent="0.25">
      <c r="A1109" s="952"/>
      <c r="B1109" s="953"/>
      <c r="C1109" s="953"/>
      <c r="D1109" s="953"/>
      <c r="E1109" s="953"/>
      <c r="F1109" s="953"/>
      <c r="G1109" s="953"/>
      <c r="H1109" s="953"/>
    </row>
    <row r="1110" spans="1:8" x14ac:dyDescent="0.25">
      <c r="A1110" s="952"/>
      <c r="B1110" s="953"/>
      <c r="C1110" s="953"/>
      <c r="D1110" s="953"/>
      <c r="E1110" s="953"/>
      <c r="F1110" s="953"/>
      <c r="G1110" s="953"/>
      <c r="H1110" s="953"/>
    </row>
    <row r="1111" spans="1:8" x14ac:dyDescent="0.25">
      <c r="A1111" s="952"/>
      <c r="B1111" s="953"/>
      <c r="C1111" s="953"/>
      <c r="D1111" s="953"/>
      <c r="E1111" s="953"/>
      <c r="F1111" s="953"/>
      <c r="G1111" s="953"/>
      <c r="H1111" s="953"/>
    </row>
    <row r="1112" spans="1:8" x14ac:dyDescent="0.25">
      <c r="A1112" s="952"/>
      <c r="B1112" s="953"/>
      <c r="C1112" s="953"/>
      <c r="D1112" s="953"/>
      <c r="E1112" s="953"/>
      <c r="F1112" s="953"/>
      <c r="G1112" s="953"/>
      <c r="H1112" s="953"/>
    </row>
    <row r="1113" spans="1:8" x14ac:dyDescent="0.25">
      <c r="A1113" s="952"/>
      <c r="B1113" s="953"/>
      <c r="C1113" s="953"/>
      <c r="D1113" s="953"/>
      <c r="E1113" s="953"/>
      <c r="F1113" s="953"/>
      <c r="G1113" s="953"/>
      <c r="H1113" s="953"/>
    </row>
    <row r="1114" spans="1:8" x14ac:dyDescent="0.25">
      <c r="A1114" s="952"/>
      <c r="B1114" s="953"/>
      <c r="C1114" s="953"/>
      <c r="D1114" s="953"/>
      <c r="E1114" s="953"/>
      <c r="F1114" s="953"/>
      <c r="G1114" s="953"/>
      <c r="H1114" s="953"/>
    </row>
    <row r="1115" spans="1:8" x14ac:dyDescent="0.25">
      <c r="A1115" s="952"/>
      <c r="B1115" s="953"/>
      <c r="C1115" s="953"/>
      <c r="D1115" s="953"/>
      <c r="E1115" s="953"/>
      <c r="F1115" s="953"/>
      <c r="G1115" s="953"/>
      <c r="H1115" s="953"/>
    </row>
    <row r="1116" spans="1:8" x14ac:dyDescent="0.25">
      <c r="A1116" s="952"/>
      <c r="B1116" s="953"/>
      <c r="C1116" s="953"/>
      <c r="D1116" s="953"/>
      <c r="E1116" s="953"/>
      <c r="F1116" s="953"/>
      <c r="G1116" s="953"/>
      <c r="H1116" s="953"/>
    </row>
    <row r="1117" spans="1:8" x14ac:dyDescent="0.25">
      <c r="A1117" s="952"/>
      <c r="B1117" s="953"/>
      <c r="C1117" s="953"/>
      <c r="D1117" s="953"/>
      <c r="E1117" s="953"/>
      <c r="F1117" s="953"/>
      <c r="G1117" s="953"/>
      <c r="H1117" s="953"/>
    </row>
    <row r="1118" spans="1:8" x14ac:dyDescent="0.25">
      <c r="A1118" s="952"/>
      <c r="B1118" s="953"/>
      <c r="C1118" s="953"/>
      <c r="D1118" s="953"/>
      <c r="E1118" s="953"/>
      <c r="F1118" s="953"/>
      <c r="G1118" s="953"/>
      <c r="H1118" s="953"/>
    </row>
    <row r="1119" spans="1:8" x14ac:dyDescent="0.25">
      <c r="A1119" s="952"/>
      <c r="B1119" s="953"/>
      <c r="C1119" s="953"/>
      <c r="D1119" s="953"/>
      <c r="E1119" s="953"/>
      <c r="F1119" s="953"/>
      <c r="G1119" s="953"/>
      <c r="H1119" s="953"/>
    </row>
    <row r="1120" spans="1:8" x14ac:dyDescent="0.25">
      <c r="A1120" s="952"/>
      <c r="B1120" s="953"/>
      <c r="C1120" s="953"/>
      <c r="D1120" s="953"/>
      <c r="E1120" s="953"/>
      <c r="F1120" s="953"/>
      <c r="G1120" s="953"/>
      <c r="H1120" s="953"/>
    </row>
    <row r="1121" spans="1:8" x14ac:dyDescent="0.25">
      <c r="A1121" s="952"/>
      <c r="B1121" s="953"/>
      <c r="C1121" s="953"/>
      <c r="D1121" s="953"/>
      <c r="E1121" s="953"/>
      <c r="F1121" s="953"/>
      <c r="G1121" s="953"/>
      <c r="H1121" s="953"/>
    </row>
    <row r="1122" spans="1:8" x14ac:dyDescent="0.25">
      <c r="A1122" s="952"/>
      <c r="B1122" s="953"/>
      <c r="C1122" s="953"/>
      <c r="D1122" s="953"/>
      <c r="E1122" s="953"/>
      <c r="F1122" s="953"/>
      <c r="G1122" s="953"/>
      <c r="H1122" s="953"/>
    </row>
    <row r="1123" spans="1:8" x14ac:dyDescent="0.25">
      <c r="A1123" s="952"/>
      <c r="B1123" s="953"/>
      <c r="C1123" s="953"/>
      <c r="D1123" s="953"/>
      <c r="E1123" s="953"/>
      <c r="F1123" s="953"/>
      <c r="G1123" s="953"/>
      <c r="H1123" s="953"/>
    </row>
    <row r="1124" spans="1:8" x14ac:dyDescent="0.25">
      <c r="A1124" s="952"/>
      <c r="B1124" s="953"/>
      <c r="C1124" s="953"/>
      <c r="D1124" s="953"/>
      <c r="E1124" s="953"/>
      <c r="F1124" s="953"/>
      <c r="G1124" s="953"/>
      <c r="H1124" s="953"/>
    </row>
    <row r="1125" spans="1:8" x14ac:dyDescent="0.25">
      <c r="A1125" s="952"/>
      <c r="B1125" s="953"/>
      <c r="C1125" s="953"/>
      <c r="D1125" s="953"/>
      <c r="E1125" s="953"/>
      <c r="F1125" s="953"/>
      <c r="G1125" s="953"/>
      <c r="H1125" s="953"/>
    </row>
    <row r="1126" spans="1:8" x14ac:dyDescent="0.25">
      <c r="A1126" s="952"/>
      <c r="B1126" s="953"/>
      <c r="C1126" s="953"/>
      <c r="D1126" s="953"/>
      <c r="E1126" s="953"/>
      <c r="F1126" s="953"/>
      <c r="G1126" s="953"/>
      <c r="H1126" s="953"/>
    </row>
    <row r="1127" spans="1:8" x14ac:dyDescent="0.25">
      <c r="A1127" s="952"/>
      <c r="B1127" s="953"/>
      <c r="C1127" s="953"/>
      <c r="D1127" s="953"/>
      <c r="E1127" s="953"/>
      <c r="F1127" s="953"/>
      <c r="G1127" s="953"/>
      <c r="H1127" s="953"/>
    </row>
    <row r="1128" spans="1:8" x14ac:dyDescent="0.25">
      <c r="A1128" s="952"/>
      <c r="B1128" s="953"/>
      <c r="C1128" s="953"/>
      <c r="D1128" s="953"/>
      <c r="E1128" s="953"/>
      <c r="F1128" s="953"/>
      <c r="G1128" s="953"/>
      <c r="H1128" s="953"/>
    </row>
    <row r="1129" spans="1:8" x14ac:dyDescent="0.25">
      <c r="A1129" s="952"/>
      <c r="B1129" s="953"/>
      <c r="C1129" s="953"/>
      <c r="D1129" s="953"/>
      <c r="E1129" s="953"/>
      <c r="F1129" s="953"/>
      <c r="G1129" s="953"/>
      <c r="H1129" s="953"/>
    </row>
    <row r="1130" spans="1:8" x14ac:dyDescent="0.25">
      <c r="A1130" s="952"/>
      <c r="B1130" s="953"/>
      <c r="C1130" s="953"/>
      <c r="D1130" s="953"/>
      <c r="E1130" s="953"/>
      <c r="F1130" s="953"/>
      <c r="G1130" s="953"/>
      <c r="H1130" s="953"/>
    </row>
    <row r="1131" spans="1:8" x14ac:dyDescent="0.25">
      <c r="A1131" s="952"/>
      <c r="B1131" s="953"/>
      <c r="C1131" s="953"/>
      <c r="D1131" s="953"/>
      <c r="E1131" s="953"/>
      <c r="F1131" s="953"/>
      <c r="G1131" s="953"/>
      <c r="H1131" s="953"/>
    </row>
    <row r="1132" spans="1:8" x14ac:dyDescent="0.25">
      <c r="A1132" s="952"/>
      <c r="B1132" s="953"/>
      <c r="C1132" s="953"/>
      <c r="D1132" s="953"/>
      <c r="E1132" s="953"/>
      <c r="F1132" s="953"/>
      <c r="G1132" s="953"/>
      <c r="H1132" s="953"/>
    </row>
    <row r="1133" spans="1:8" x14ac:dyDescent="0.25">
      <c r="A1133" s="952"/>
      <c r="B1133" s="953"/>
      <c r="C1133" s="953"/>
      <c r="D1133" s="953"/>
      <c r="E1133" s="953"/>
      <c r="F1133" s="953"/>
      <c r="G1133" s="953"/>
      <c r="H1133" s="953"/>
    </row>
    <row r="1134" spans="1:8" x14ac:dyDescent="0.25">
      <c r="A1134" s="952"/>
      <c r="B1134" s="953"/>
      <c r="C1134" s="953"/>
      <c r="D1134" s="953"/>
      <c r="E1134" s="953"/>
      <c r="F1134" s="953"/>
      <c r="G1134" s="953"/>
      <c r="H1134" s="953"/>
    </row>
    <row r="1135" spans="1:8" x14ac:dyDescent="0.25">
      <c r="A1135" s="952"/>
      <c r="B1135" s="953"/>
      <c r="C1135" s="953"/>
      <c r="D1135" s="953"/>
      <c r="E1135" s="953"/>
      <c r="F1135" s="953"/>
      <c r="G1135" s="953"/>
      <c r="H1135" s="953"/>
    </row>
    <row r="1136" spans="1:8" x14ac:dyDescent="0.25">
      <c r="A1136" s="952"/>
      <c r="B1136" s="953"/>
      <c r="C1136" s="953"/>
      <c r="D1136" s="953"/>
      <c r="E1136" s="953"/>
      <c r="F1136" s="953"/>
      <c r="G1136" s="953"/>
      <c r="H1136" s="953"/>
    </row>
    <row r="1137" spans="1:8" x14ac:dyDescent="0.25">
      <c r="A1137" s="952"/>
      <c r="B1137" s="953"/>
      <c r="C1137" s="953"/>
      <c r="D1137" s="953"/>
      <c r="E1137" s="953"/>
      <c r="F1137" s="953"/>
      <c r="G1137" s="953"/>
      <c r="H1137" s="953"/>
    </row>
    <row r="1138" spans="1:8" x14ac:dyDescent="0.25">
      <c r="A1138" s="952"/>
      <c r="B1138" s="953"/>
      <c r="C1138" s="953"/>
      <c r="D1138" s="953"/>
      <c r="E1138" s="953"/>
      <c r="F1138" s="953"/>
      <c r="G1138" s="953"/>
      <c r="H1138" s="953"/>
    </row>
    <row r="1139" spans="1:8" x14ac:dyDescent="0.25">
      <c r="A1139" s="952"/>
      <c r="B1139" s="953"/>
      <c r="C1139" s="953"/>
      <c r="D1139" s="953"/>
      <c r="E1139" s="953"/>
      <c r="F1139" s="953"/>
      <c r="G1139" s="953"/>
      <c r="H1139" s="953"/>
    </row>
    <row r="1140" spans="1:8" x14ac:dyDescent="0.25">
      <c r="A1140" s="952"/>
      <c r="B1140" s="953"/>
      <c r="C1140" s="953"/>
      <c r="D1140" s="953"/>
      <c r="E1140" s="953"/>
      <c r="F1140" s="953"/>
      <c r="G1140" s="953"/>
      <c r="H1140" s="953"/>
    </row>
    <row r="1141" spans="1:8" x14ac:dyDescent="0.25">
      <c r="A1141" s="952"/>
      <c r="B1141" s="953"/>
      <c r="C1141" s="953"/>
      <c r="D1141" s="953"/>
      <c r="E1141" s="953"/>
      <c r="F1141" s="953"/>
      <c r="G1141" s="953"/>
      <c r="H1141" s="953"/>
    </row>
    <row r="1142" spans="1:8" x14ac:dyDescent="0.25">
      <c r="A1142" s="952"/>
      <c r="B1142" s="953"/>
      <c r="C1142" s="953"/>
      <c r="D1142" s="953"/>
      <c r="E1142" s="953"/>
      <c r="F1142" s="953"/>
      <c r="G1142" s="953"/>
      <c r="H1142" s="953"/>
    </row>
    <row r="1143" spans="1:8" x14ac:dyDescent="0.25">
      <c r="A1143" s="952"/>
      <c r="B1143" s="953"/>
      <c r="C1143" s="953"/>
      <c r="D1143" s="953"/>
      <c r="E1143" s="953"/>
      <c r="F1143" s="953"/>
      <c r="G1143" s="953"/>
      <c r="H1143" s="953"/>
    </row>
    <row r="1144" spans="1:8" x14ac:dyDescent="0.25">
      <c r="A1144" s="952"/>
      <c r="B1144" s="953"/>
      <c r="C1144" s="953"/>
      <c r="D1144" s="953"/>
      <c r="E1144" s="953"/>
      <c r="F1144" s="953"/>
      <c r="G1144" s="953"/>
      <c r="H1144" s="953"/>
    </row>
    <row r="1145" spans="1:8" x14ac:dyDescent="0.25">
      <c r="A1145" s="952"/>
      <c r="B1145" s="953"/>
      <c r="C1145" s="953"/>
      <c r="D1145" s="953"/>
      <c r="E1145" s="953"/>
      <c r="F1145" s="953"/>
      <c r="G1145" s="953"/>
      <c r="H1145" s="953"/>
    </row>
    <row r="1146" spans="1:8" x14ac:dyDescent="0.25">
      <c r="A1146" s="952"/>
      <c r="B1146" s="953"/>
      <c r="C1146" s="953"/>
      <c r="D1146" s="953"/>
      <c r="E1146" s="953"/>
      <c r="F1146" s="953"/>
      <c r="G1146" s="953"/>
      <c r="H1146" s="953"/>
    </row>
    <row r="1147" spans="1:8" x14ac:dyDescent="0.25">
      <c r="A1147" s="952"/>
      <c r="B1147" s="953"/>
      <c r="C1147" s="953"/>
      <c r="D1147" s="953"/>
      <c r="E1147" s="953"/>
      <c r="F1147" s="953"/>
      <c r="G1147" s="953"/>
      <c r="H1147" s="953"/>
    </row>
    <row r="1148" spans="1:8" x14ac:dyDescent="0.25">
      <c r="A1148" s="952"/>
      <c r="B1148" s="953"/>
      <c r="C1148" s="953"/>
      <c r="D1148" s="953"/>
      <c r="E1148" s="953"/>
      <c r="F1148" s="953"/>
      <c r="G1148" s="953"/>
      <c r="H1148" s="953"/>
    </row>
    <row r="1149" spans="1:8" x14ac:dyDescent="0.25">
      <c r="A1149" s="952"/>
      <c r="B1149" s="953"/>
      <c r="C1149" s="953"/>
      <c r="D1149" s="953"/>
      <c r="E1149" s="953"/>
      <c r="F1149" s="953"/>
      <c r="G1149" s="953"/>
      <c r="H1149" s="953"/>
    </row>
    <row r="1150" spans="1:8" x14ac:dyDescent="0.25">
      <c r="A1150" s="952"/>
      <c r="B1150" s="953"/>
      <c r="C1150" s="953"/>
      <c r="D1150" s="953"/>
      <c r="E1150" s="953"/>
      <c r="F1150" s="953"/>
      <c r="G1150" s="953"/>
      <c r="H1150" s="953"/>
    </row>
    <row r="1151" spans="1:8" x14ac:dyDescent="0.25">
      <c r="A1151" s="952"/>
      <c r="B1151" s="953"/>
      <c r="C1151" s="953"/>
      <c r="D1151" s="953"/>
      <c r="E1151" s="953"/>
      <c r="F1151" s="953"/>
      <c r="G1151" s="953"/>
      <c r="H1151" s="953"/>
    </row>
    <row r="1152" spans="1:8" x14ac:dyDescent="0.25">
      <c r="A1152" s="952"/>
      <c r="B1152" s="953"/>
      <c r="C1152" s="953"/>
      <c r="D1152" s="953"/>
      <c r="E1152" s="953"/>
      <c r="F1152" s="953"/>
      <c r="G1152" s="953"/>
      <c r="H1152" s="953"/>
    </row>
    <row r="1153" spans="1:8" x14ac:dyDescent="0.25">
      <c r="A1153" s="952"/>
      <c r="B1153" s="953"/>
      <c r="C1153" s="953"/>
      <c r="D1153" s="953"/>
      <c r="E1153" s="953"/>
      <c r="F1153" s="953"/>
      <c r="G1153" s="953"/>
      <c r="H1153" s="953"/>
    </row>
    <row r="1154" spans="1:8" x14ac:dyDescent="0.25">
      <c r="A1154" s="952"/>
      <c r="B1154" s="953"/>
      <c r="C1154" s="953"/>
      <c r="D1154" s="953"/>
      <c r="E1154" s="953"/>
      <c r="F1154" s="953"/>
      <c r="G1154" s="953"/>
      <c r="H1154" s="953"/>
    </row>
    <row r="1155" spans="1:8" x14ac:dyDescent="0.25">
      <c r="A1155" s="952"/>
      <c r="B1155" s="953"/>
      <c r="C1155" s="953"/>
      <c r="D1155" s="953"/>
      <c r="E1155" s="953"/>
      <c r="F1155" s="953"/>
      <c r="G1155" s="953"/>
      <c r="H1155" s="953"/>
    </row>
    <row r="1156" spans="1:8" x14ac:dyDescent="0.25">
      <c r="A1156" s="952"/>
      <c r="B1156" s="953"/>
      <c r="C1156" s="953"/>
      <c r="D1156" s="953"/>
      <c r="E1156" s="953"/>
      <c r="F1156" s="953"/>
      <c r="G1156" s="953"/>
      <c r="H1156" s="953"/>
    </row>
    <row r="1157" spans="1:8" x14ac:dyDescent="0.25">
      <c r="A1157" s="952"/>
      <c r="B1157" s="953"/>
      <c r="C1157" s="953"/>
      <c r="D1157" s="953"/>
      <c r="E1157" s="953"/>
      <c r="F1157" s="953"/>
      <c r="G1157" s="953"/>
      <c r="H1157" s="953"/>
    </row>
    <row r="1158" spans="1:8" x14ac:dyDescent="0.25">
      <c r="A1158" s="952"/>
      <c r="B1158" s="953"/>
      <c r="C1158" s="953"/>
      <c r="D1158" s="953"/>
      <c r="E1158" s="953"/>
      <c r="F1158" s="953"/>
      <c r="G1158" s="953"/>
      <c r="H1158" s="953"/>
    </row>
    <row r="1159" spans="1:8" x14ac:dyDescent="0.25">
      <c r="A1159" s="952"/>
      <c r="B1159" s="953"/>
      <c r="C1159" s="953"/>
      <c r="D1159" s="953"/>
      <c r="E1159" s="953"/>
      <c r="F1159" s="953"/>
      <c r="G1159" s="953"/>
      <c r="H1159" s="953"/>
    </row>
    <row r="1160" spans="1:8" x14ac:dyDescent="0.25">
      <c r="A1160" s="952"/>
      <c r="B1160" s="953"/>
      <c r="C1160" s="953"/>
      <c r="D1160" s="953"/>
      <c r="E1160" s="953"/>
      <c r="F1160" s="953"/>
      <c r="G1160" s="953"/>
      <c r="H1160" s="953"/>
    </row>
    <row r="1161" spans="1:8" x14ac:dyDescent="0.25">
      <c r="A1161" s="952"/>
      <c r="B1161" s="953"/>
      <c r="C1161" s="953"/>
      <c r="D1161" s="953"/>
      <c r="E1161" s="953"/>
      <c r="F1161" s="953"/>
      <c r="G1161" s="953"/>
      <c r="H1161" s="953"/>
    </row>
    <row r="1162" spans="1:8" x14ac:dyDescent="0.25">
      <c r="A1162" s="952"/>
      <c r="B1162" s="953"/>
      <c r="C1162" s="953"/>
      <c r="D1162" s="953"/>
      <c r="E1162" s="953"/>
      <c r="F1162" s="953"/>
      <c r="G1162" s="953"/>
      <c r="H1162" s="953"/>
    </row>
    <row r="1163" spans="1:8" x14ac:dyDescent="0.25">
      <c r="A1163" s="952"/>
      <c r="B1163" s="953"/>
      <c r="C1163" s="953"/>
      <c r="D1163" s="953"/>
      <c r="E1163" s="953"/>
      <c r="F1163" s="953"/>
      <c r="G1163" s="953"/>
      <c r="H1163" s="953"/>
    </row>
    <row r="1164" spans="1:8" x14ac:dyDescent="0.25">
      <c r="A1164" s="952"/>
      <c r="B1164" s="953"/>
      <c r="C1164" s="953"/>
      <c r="D1164" s="953"/>
      <c r="E1164" s="953"/>
      <c r="F1164" s="953"/>
      <c r="G1164" s="953"/>
      <c r="H1164" s="953"/>
    </row>
    <row r="1165" spans="1:8" x14ac:dyDescent="0.25">
      <c r="A1165" s="952"/>
      <c r="B1165" s="953"/>
      <c r="C1165" s="953"/>
      <c r="D1165" s="953"/>
      <c r="E1165" s="953"/>
      <c r="F1165" s="953"/>
      <c r="G1165" s="953"/>
      <c r="H1165" s="953"/>
    </row>
    <row r="1166" spans="1:8" x14ac:dyDescent="0.25">
      <c r="A1166" s="952"/>
      <c r="B1166" s="953"/>
      <c r="C1166" s="953"/>
      <c r="D1166" s="953"/>
      <c r="E1166" s="953"/>
      <c r="F1166" s="953"/>
      <c r="G1166" s="953"/>
      <c r="H1166" s="953"/>
    </row>
    <row r="1167" spans="1:8" x14ac:dyDescent="0.25">
      <c r="A1167" s="952"/>
      <c r="B1167" s="953"/>
      <c r="C1167" s="953"/>
      <c r="D1167" s="953"/>
      <c r="E1167" s="953"/>
      <c r="F1167" s="953"/>
      <c r="G1167" s="953"/>
      <c r="H1167" s="953"/>
    </row>
    <row r="1168" spans="1:8" x14ac:dyDescent="0.25">
      <c r="A1168" s="952"/>
      <c r="B1168" s="953"/>
      <c r="C1168" s="953"/>
      <c r="D1168" s="953"/>
      <c r="E1168" s="953"/>
      <c r="F1168" s="953"/>
      <c r="G1168" s="953"/>
      <c r="H1168" s="953"/>
    </row>
    <row r="1169" spans="1:8" x14ac:dyDescent="0.25">
      <c r="A1169" s="952"/>
      <c r="B1169" s="953"/>
      <c r="C1169" s="953"/>
      <c r="D1169" s="953"/>
      <c r="E1169" s="953"/>
      <c r="F1169" s="953"/>
      <c r="G1169" s="953"/>
      <c r="H1169" s="953"/>
    </row>
    <row r="1170" spans="1:8" x14ac:dyDescent="0.25">
      <c r="A1170" s="952"/>
      <c r="B1170" s="953"/>
      <c r="C1170" s="953"/>
      <c r="D1170" s="953"/>
      <c r="E1170" s="953"/>
      <c r="F1170" s="953"/>
      <c r="G1170" s="953"/>
      <c r="H1170" s="953"/>
    </row>
    <row r="1171" spans="1:8" x14ac:dyDescent="0.25">
      <c r="A1171" s="952"/>
      <c r="B1171" s="953"/>
      <c r="C1171" s="953"/>
      <c r="D1171" s="953"/>
      <c r="E1171" s="953"/>
      <c r="F1171" s="953"/>
      <c r="G1171" s="953"/>
      <c r="H1171" s="953"/>
    </row>
    <row r="1172" spans="1:8" x14ac:dyDescent="0.25">
      <c r="A1172" s="952"/>
      <c r="B1172" s="953"/>
      <c r="C1172" s="953"/>
      <c r="D1172" s="953"/>
      <c r="E1172" s="953"/>
      <c r="F1172" s="953"/>
      <c r="G1172" s="953"/>
      <c r="H1172" s="953"/>
    </row>
    <row r="1173" spans="1:8" x14ac:dyDescent="0.25">
      <c r="A1173" s="952"/>
      <c r="B1173" s="953"/>
      <c r="C1173" s="953"/>
      <c r="D1173" s="953"/>
      <c r="E1173" s="953"/>
      <c r="F1173" s="953"/>
      <c r="G1173" s="953"/>
      <c r="H1173" s="953"/>
    </row>
    <row r="1174" spans="1:8" x14ac:dyDescent="0.25">
      <c r="A1174" s="952"/>
      <c r="B1174" s="953"/>
      <c r="C1174" s="953"/>
      <c r="D1174" s="953"/>
      <c r="E1174" s="953"/>
      <c r="F1174" s="953"/>
      <c r="G1174" s="953"/>
      <c r="H1174" s="953"/>
    </row>
    <row r="1175" spans="1:8" x14ac:dyDescent="0.25">
      <c r="A1175" s="952"/>
      <c r="B1175" s="953"/>
      <c r="C1175" s="953"/>
      <c r="D1175" s="953"/>
      <c r="E1175" s="953"/>
      <c r="F1175" s="953"/>
      <c r="G1175" s="953"/>
      <c r="H1175" s="953"/>
    </row>
    <row r="1176" spans="1:8" x14ac:dyDescent="0.25">
      <c r="A1176" s="952"/>
      <c r="B1176" s="953"/>
      <c r="C1176" s="953"/>
      <c r="D1176" s="953"/>
      <c r="E1176" s="953"/>
      <c r="F1176" s="953"/>
      <c r="G1176" s="953"/>
      <c r="H1176" s="953"/>
    </row>
    <row r="1177" spans="1:8" x14ac:dyDescent="0.25">
      <c r="A1177" s="952"/>
      <c r="B1177" s="953"/>
      <c r="C1177" s="953"/>
      <c r="D1177" s="953"/>
      <c r="E1177" s="953"/>
      <c r="F1177" s="953"/>
      <c r="G1177" s="953"/>
      <c r="H1177" s="953"/>
    </row>
    <row r="1178" spans="1:8" x14ac:dyDescent="0.25">
      <c r="A1178" s="952"/>
      <c r="B1178" s="953"/>
      <c r="C1178" s="953"/>
      <c r="D1178" s="953"/>
      <c r="E1178" s="953"/>
      <c r="F1178" s="953"/>
      <c r="G1178" s="953"/>
      <c r="H1178" s="953"/>
    </row>
    <row r="1179" spans="1:8" x14ac:dyDescent="0.25">
      <c r="A1179" s="952"/>
      <c r="B1179" s="953"/>
      <c r="C1179" s="953"/>
      <c r="D1179" s="953"/>
      <c r="E1179" s="953"/>
      <c r="F1179" s="953"/>
      <c r="G1179" s="953"/>
      <c r="H1179" s="953"/>
    </row>
    <row r="1180" spans="1:8" x14ac:dyDescent="0.25">
      <c r="A1180" s="952"/>
      <c r="B1180" s="953"/>
      <c r="C1180" s="953"/>
      <c r="D1180" s="953"/>
      <c r="E1180" s="953"/>
      <c r="F1180" s="953"/>
      <c r="G1180" s="953"/>
      <c r="H1180" s="953"/>
    </row>
    <row r="1181" spans="1:8" x14ac:dyDescent="0.25">
      <c r="A1181" s="952"/>
      <c r="B1181" s="953"/>
      <c r="C1181" s="953"/>
      <c r="D1181" s="953"/>
      <c r="E1181" s="953"/>
      <c r="F1181" s="953"/>
      <c r="G1181" s="953"/>
      <c r="H1181" s="953"/>
    </row>
    <row r="1182" spans="1:8" x14ac:dyDescent="0.25">
      <c r="A1182" s="952"/>
      <c r="B1182" s="953"/>
      <c r="C1182" s="953"/>
      <c r="D1182" s="953"/>
      <c r="E1182" s="953"/>
      <c r="F1182" s="953"/>
      <c r="G1182" s="953"/>
      <c r="H1182" s="953"/>
    </row>
    <row r="1183" spans="1:8" x14ac:dyDescent="0.25">
      <c r="A1183" s="952"/>
      <c r="B1183" s="953"/>
      <c r="C1183" s="953"/>
      <c r="D1183" s="953"/>
      <c r="E1183" s="953"/>
      <c r="F1183" s="953"/>
      <c r="G1183" s="953"/>
      <c r="H1183" s="953"/>
    </row>
    <row r="1184" spans="1:8" x14ac:dyDescent="0.25">
      <c r="A1184" s="952"/>
      <c r="B1184" s="953"/>
      <c r="C1184" s="953"/>
      <c r="D1184" s="953"/>
      <c r="E1184" s="953"/>
      <c r="F1184" s="953"/>
      <c r="G1184" s="953"/>
      <c r="H1184" s="953"/>
    </row>
    <row r="1185" spans="1:8" x14ac:dyDescent="0.25">
      <c r="A1185" s="952"/>
      <c r="B1185" s="953"/>
      <c r="C1185" s="953"/>
      <c r="D1185" s="953"/>
      <c r="E1185" s="953"/>
      <c r="F1185" s="953"/>
      <c r="G1185" s="953"/>
      <c r="H1185" s="953"/>
    </row>
    <row r="1186" spans="1:8" x14ac:dyDescent="0.25">
      <c r="A1186" s="952"/>
      <c r="B1186" s="953"/>
      <c r="C1186" s="953"/>
      <c r="D1186" s="953"/>
      <c r="E1186" s="953"/>
      <c r="F1186" s="953"/>
      <c r="G1186" s="953"/>
      <c r="H1186" s="953"/>
    </row>
    <row r="1187" spans="1:8" x14ac:dyDescent="0.25">
      <c r="A1187" s="952"/>
      <c r="B1187" s="953"/>
      <c r="C1187" s="953"/>
      <c r="D1187" s="953"/>
      <c r="E1187" s="953"/>
      <c r="F1187" s="953"/>
      <c r="G1187" s="953"/>
      <c r="H1187" s="953"/>
    </row>
    <row r="1188" spans="1:8" x14ac:dyDescent="0.25">
      <c r="A1188" s="952"/>
      <c r="B1188" s="953"/>
      <c r="C1188" s="953"/>
      <c r="D1188" s="953"/>
      <c r="E1188" s="953"/>
      <c r="F1188" s="953"/>
      <c r="G1188" s="953"/>
      <c r="H1188" s="953"/>
    </row>
    <row r="1189" spans="1:8" x14ac:dyDescent="0.25">
      <c r="A1189" s="952"/>
      <c r="B1189" s="953"/>
      <c r="C1189" s="953"/>
      <c r="D1189" s="953"/>
      <c r="E1189" s="953"/>
      <c r="F1189" s="953"/>
      <c r="G1189" s="953"/>
      <c r="H1189" s="953"/>
    </row>
    <row r="1190" spans="1:8" x14ac:dyDescent="0.25">
      <c r="A1190" s="952"/>
      <c r="B1190" s="953"/>
      <c r="C1190" s="953"/>
      <c r="D1190" s="953"/>
      <c r="E1190" s="953"/>
      <c r="F1190" s="953"/>
      <c r="G1190" s="953"/>
      <c r="H1190" s="953"/>
    </row>
    <row r="1191" spans="1:8" x14ac:dyDescent="0.25">
      <c r="A1191" s="952"/>
      <c r="B1191" s="953"/>
      <c r="C1191" s="953"/>
      <c r="D1191" s="953"/>
      <c r="E1191" s="953"/>
      <c r="F1191" s="953"/>
      <c r="G1191" s="953"/>
      <c r="H1191" s="953"/>
    </row>
    <row r="1192" spans="1:8" x14ac:dyDescent="0.25">
      <c r="A1192" s="952"/>
      <c r="B1192" s="953"/>
      <c r="C1192" s="953"/>
      <c r="D1192" s="953"/>
      <c r="E1192" s="953"/>
      <c r="F1192" s="953"/>
      <c r="G1192" s="953"/>
      <c r="H1192" s="953"/>
    </row>
    <row r="1193" spans="1:8" x14ac:dyDescent="0.25">
      <c r="A1193" s="952"/>
      <c r="B1193" s="953"/>
      <c r="C1193" s="953"/>
      <c r="D1193" s="953"/>
      <c r="E1193" s="953"/>
      <c r="F1193" s="953"/>
      <c r="G1193" s="953"/>
      <c r="H1193" s="953"/>
    </row>
    <row r="1194" spans="1:8" x14ac:dyDescent="0.25">
      <c r="A1194" s="952"/>
      <c r="B1194" s="953"/>
      <c r="C1194" s="953"/>
      <c r="D1194" s="953"/>
      <c r="E1194" s="953"/>
      <c r="F1194" s="953"/>
      <c r="G1194" s="953"/>
      <c r="H1194" s="953"/>
    </row>
    <row r="1195" spans="1:8" x14ac:dyDescent="0.25">
      <c r="A1195" s="952"/>
      <c r="B1195" s="953"/>
      <c r="C1195" s="953"/>
      <c r="D1195" s="953"/>
      <c r="E1195" s="953"/>
      <c r="F1195" s="953"/>
      <c r="G1195" s="953"/>
      <c r="H1195" s="953"/>
    </row>
    <row r="1196" spans="1:8" x14ac:dyDescent="0.25">
      <c r="A1196" s="952"/>
      <c r="B1196" s="953"/>
      <c r="C1196" s="953"/>
      <c r="D1196" s="953"/>
      <c r="E1196" s="953"/>
      <c r="F1196" s="953"/>
      <c r="G1196" s="953"/>
      <c r="H1196" s="953"/>
    </row>
    <row r="1197" spans="1:8" x14ac:dyDescent="0.25">
      <c r="A1197" s="952"/>
      <c r="B1197" s="953"/>
      <c r="C1197" s="953"/>
      <c r="D1197" s="953"/>
      <c r="E1197" s="953"/>
      <c r="F1197" s="953"/>
      <c r="G1197" s="953"/>
      <c r="H1197" s="953"/>
    </row>
    <row r="1198" spans="1:8" x14ac:dyDescent="0.25">
      <c r="A1198" s="952"/>
      <c r="B1198" s="953"/>
      <c r="C1198" s="953"/>
      <c r="D1198" s="953"/>
      <c r="E1198" s="953"/>
      <c r="F1198" s="953"/>
      <c r="G1198" s="953"/>
      <c r="H1198" s="953"/>
    </row>
    <row r="1199" spans="1:8" x14ac:dyDescent="0.25">
      <c r="A1199" s="952"/>
      <c r="B1199" s="953"/>
      <c r="C1199" s="953"/>
      <c r="D1199" s="953"/>
      <c r="E1199" s="953"/>
      <c r="F1199" s="953"/>
      <c r="G1199" s="953"/>
      <c r="H1199" s="953"/>
    </row>
    <row r="1200" spans="1:8" x14ac:dyDescent="0.25">
      <c r="A1200" s="952"/>
      <c r="B1200" s="953"/>
      <c r="C1200" s="953"/>
      <c r="D1200" s="953"/>
      <c r="E1200" s="953"/>
      <c r="F1200" s="953"/>
      <c r="G1200" s="953"/>
      <c r="H1200" s="953"/>
    </row>
    <row r="1201" spans="1:8" x14ac:dyDescent="0.25">
      <c r="A1201" s="952"/>
      <c r="B1201" s="953"/>
      <c r="C1201" s="953"/>
      <c r="D1201" s="953"/>
      <c r="E1201" s="953"/>
      <c r="F1201" s="953"/>
      <c r="G1201" s="953"/>
      <c r="H1201" s="953"/>
    </row>
    <row r="1202" spans="1:8" x14ac:dyDescent="0.25">
      <c r="A1202" s="952"/>
      <c r="B1202" s="953"/>
      <c r="C1202" s="953"/>
      <c r="D1202" s="953"/>
      <c r="E1202" s="953"/>
      <c r="F1202" s="953"/>
      <c r="G1202" s="953"/>
      <c r="H1202" s="953"/>
    </row>
    <row r="1203" spans="1:8" x14ac:dyDescent="0.25">
      <c r="A1203" s="952"/>
      <c r="B1203" s="953"/>
      <c r="C1203" s="953"/>
      <c r="D1203" s="953"/>
      <c r="E1203" s="953"/>
      <c r="F1203" s="953"/>
      <c r="G1203" s="953"/>
      <c r="H1203" s="953"/>
    </row>
    <row r="1204" spans="1:8" x14ac:dyDescent="0.25">
      <c r="A1204" s="952"/>
      <c r="B1204" s="953"/>
      <c r="C1204" s="953"/>
      <c r="D1204" s="953"/>
      <c r="E1204" s="953"/>
      <c r="F1204" s="953"/>
      <c r="G1204" s="953"/>
      <c r="H1204" s="953"/>
    </row>
    <row r="1205" spans="1:8" x14ac:dyDescent="0.25">
      <c r="A1205" s="952"/>
      <c r="B1205" s="953"/>
      <c r="C1205" s="953"/>
      <c r="D1205" s="953"/>
      <c r="E1205" s="953"/>
      <c r="F1205" s="953"/>
      <c r="G1205" s="953"/>
      <c r="H1205" s="953"/>
    </row>
    <row r="1206" spans="1:8" x14ac:dyDescent="0.25">
      <c r="A1206" s="952"/>
      <c r="B1206" s="953"/>
      <c r="C1206" s="953"/>
      <c r="D1206" s="953"/>
      <c r="E1206" s="953"/>
      <c r="F1206" s="953"/>
      <c r="G1206" s="953"/>
      <c r="H1206" s="953"/>
    </row>
    <row r="1207" spans="1:8" x14ac:dyDescent="0.25">
      <c r="A1207" s="952"/>
      <c r="B1207" s="953"/>
      <c r="C1207" s="953"/>
      <c r="D1207" s="953"/>
      <c r="E1207" s="953"/>
      <c r="F1207" s="953"/>
      <c r="G1207" s="953"/>
      <c r="H1207" s="953"/>
    </row>
    <row r="1208" spans="1:8" x14ac:dyDescent="0.25">
      <c r="A1208" s="952"/>
      <c r="B1208" s="953"/>
      <c r="C1208" s="953"/>
      <c r="D1208" s="953"/>
      <c r="E1208" s="953"/>
      <c r="F1208" s="953"/>
      <c r="G1208" s="953"/>
      <c r="H1208" s="953"/>
    </row>
    <row r="1209" spans="1:8" x14ac:dyDescent="0.25">
      <c r="A1209" s="952"/>
      <c r="B1209" s="953"/>
      <c r="C1209" s="953"/>
      <c r="D1209" s="953"/>
      <c r="E1209" s="953"/>
      <c r="F1209" s="953"/>
      <c r="G1209" s="953"/>
      <c r="H1209" s="953"/>
    </row>
    <row r="1210" spans="1:8" x14ac:dyDescent="0.25">
      <c r="A1210" s="952"/>
      <c r="B1210" s="953"/>
      <c r="C1210" s="953"/>
      <c r="D1210" s="953"/>
      <c r="E1210" s="953"/>
      <c r="F1210" s="953"/>
      <c r="G1210" s="953"/>
      <c r="H1210" s="953"/>
    </row>
    <row r="1211" spans="1:8" x14ac:dyDescent="0.25">
      <c r="A1211" s="952"/>
      <c r="B1211" s="953"/>
      <c r="C1211" s="953"/>
      <c r="D1211" s="953"/>
      <c r="E1211" s="953"/>
      <c r="F1211" s="953"/>
      <c r="G1211" s="953"/>
      <c r="H1211" s="953"/>
    </row>
    <row r="1212" spans="1:8" x14ac:dyDescent="0.25">
      <c r="A1212" s="952"/>
      <c r="B1212" s="953"/>
      <c r="C1212" s="953"/>
      <c r="D1212" s="953"/>
      <c r="E1212" s="953"/>
      <c r="F1212" s="953"/>
      <c r="G1212" s="953"/>
      <c r="H1212" s="953"/>
    </row>
    <row r="1213" spans="1:8" x14ac:dyDescent="0.25">
      <c r="A1213" s="952"/>
      <c r="B1213" s="953"/>
      <c r="C1213" s="953"/>
      <c r="D1213" s="953"/>
      <c r="E1213" s="953"/>
      <c r="F1213" s="953"/>
      <c r="G1213" s="953"/>
      <c r="H1213" s="953"/>
    </row>
    <row r="1214" spans="1:8" x14ac:dyDescent="0.25">
      <c r="A1214" s="952"/>
      <c r="B1214" s="953"/>
      <c r="C1214" s="953"/>
      <c r="D1214" s="953"/>
      <c r="E1214" s="953"/>
      <c r="F1214" s="953"/>
      <c r="G1214" s="953"/>
      <c r="H1214" s="953"/>
    </row>
    <row r="1215" spans="1:8" x14ac:dyDescent="0.25">
      <c r="A1215" s="952"/>
      <c r="B1215" s="953"/>
      <c r="C1215" s="953"/>
      <c r="D1215" s="953"/>
      <c r="E1215" s="953"/>
      <c r="F1215" s="953"/>
      <c r="G1215" s="953"/>
      <c r="H1215" s="953"/>
    </row>
    <row r="1216" spans="1:8" x14ac:dyDescent="0.25">
      <c r="A1216" s="952"/>
      <c r="B1216" s="953"/>
      <c r="C1216" s="953"/>
      <c r="D1216" s="953"/>
      <c r="E1216" s="953"/>
      <c r="F1216" s="953"/>
      <c r="G1216" s="953"/>
      <c r="H1216" s="953"/>
    </row>
    <row r="1217" spans="1:8" x14ac:dyDescent="0.25">
      <c r="A1217" s="952"/>
      <c r="B1217" s="953"/>
      <c r="C1217" s="953"/>
      <c r="D1217" s="953"/>
      <c r="E1217" s="953"/>
      <c r="F1217" s="953"/>
      <c r="G1217" s="953"/>
      <c r="H1217" s="953"/>
    </row>
    <row r="1218" spans="1:8" x14ac:dyDescent="0.25">
      <c r="A1218" s="952"/>
      <c r="B1218" s="953"/>
      <c r="C1218" s="953"/>
      <c r="D1218" s="953"/>
      <c r="E1218" s="953"/>
      <c r="F1218" s="953"/>
      <c r="G1218" s="953"/>
      <c r="H1218" s="953"/>
    </row>
    <row r="1219" spans="1:8" x14ac:dyDescent="0.25">
      <c r="A1219" s="952"/>
      <c r="B1219" s="953"/>
      <c r="C1219" s="953"/>
      <c r="D1219" s="953"/>
      <c r="E1219" s="953"/>
      <c r="F1219" s="953"/>
      <c r="G1219" s="953"/>
      <c r="H1219" s="953"/>
    </row>
    <row r="1220" spans="1:8" x14ac:dyDescent="0.25">
      <c r="A1220" s="952"/>
      <c r="B1220" s="953"/>
      <c r="C1220" s="953"/>
      <c r="D1220" s="953"/>
      <c r="E1220" s="953"/>
      <c r="F1220" s="953"/>
      <c r="G1220" s="953"/>
      <c r="H1220" s="953"/>
    </row>
    <row r="1221" spans="1:8" x14ac:dyDescent="0.25">
      <c r="A1221" s="952"/>
      <c r="B1221" s="953"/>
      <c r="C1221" s="953"/>
      <c r="D1221" s="953"/>
      <c r="E1221" s="953"/>
      <c r="F1221" s="953"/>
      <c r="G1221" s="953"/>
      <c r="H1221" s="953"/>
    </row>
    <row r="1222" spans="1:8" x14ac:dyDescent="0.25">
      <c r="A1222" s="952"/>
      <c r="B1222" s="953"/>
      <c r="C1222" s="953"/>
      <c r="D1222" s="953"/>
      <c r="E1222" s="953"/>
      <c r="F1222" s="953"/>
      <c r="G1222" s="953"/>
      <c r="H1222" s="953"/>
    </row>
    <row r="1223" spans="1:8" x14ac:dyDescent="0.25">
      <c r="A1223" s="952"/>
      <c r="B1223" s="953"/>
      <c r="C1223" s="953"/>
      <c r="D1223" s="953"/>
      <c r="E1223" s="953"/>
      <c r="F1223" s="953"/>
      <c r="G1223" s="953"/>
      <c r="H1223" s="953"/>
    </row>
    <row r="1224" spans="1:8" x14ac:dyDescent="0.25">
      <c r="A1224" s="952"/>
      <c r="B1224" s="953"/>
      <c r="C1224" s="953"/>
      <c r="D1224" s="953"/>
      <c r="E1224" s="953"/>
      <c r="F1224" s="953"/>
      <c r="G1224" s="953"/>
      <c r="H1224" s="953"/>
    </row>
    <row r="1225" spans="1:8" x14ac:dyDescent="0.25">
      <c r="A1225" s="952"/>
      <c r="B1225" s="953"/>
      <c r="C1225" s="953"/>
      <c r="D1225" s="953"/>
      <c r="E1225" s="953"/>
      <c r="F1225" s="953"/>
      <c r="G1225" s="953"/>
      <c r="H1225" s="953"/>
    </row>
    <row r="1226" spans="1:8" x14ac:dyDescent="0.25">
      <c r="A1226" s="952"/>
      <c r="B1226" s="953"/>
      <c r="C1226" s="953"/>
      <c r="D1226" s="953"/>
      <c r="E1226" s="953"/>
      <c r="F1226" s="953"/>
      <c r="G1226" s="953"/>
      <c r="H1226" s="953"/>
    </row>
    <row r="1227" spans="1:8" x14ac:dyDescent="0.25">
      <c r="A1227" s="952"/>
      <c r="B1227" s="953"/>
      <c r="C1227" s="953"/>
      <c r="D1227" s="953"/>
      <c r="E1227" s="953"/>
      <c r="F1227" s="953"/>
      <c r="G1227" s="953"/>
      <c r="H1227" s="953"/>
    </row>
    <row r="1228" spans="1:8" x14ac:dyDescent="0.25">
      <c r="A1228" s="952"/>
      <c r="B1228" s="953"/>
      <c r="C1228" s="953"/>
      <c r="D1228" s="953"/>
      <c r="E1228" s="953"/>
      <c r="F1228" s="953"/>
      <c r="G1228" s="953"/>
      <c r="H1228" s="953"/>
    </row>
    <row r="1229" spans="1:8" x14ac:dyDescent="0.25">
      <c r="A1229" s="952"/>
      <c r="B1229" s="953"/>
      <c r="C1229" s="953"/>
      <c r="D1229" s="953"/>
      <c r="E1229" s="953"/>
      <c r="F1229" s="953"/>
      <c r="G1229" s="953"/>
      <c r="H1229" s="953"/>
    </row>
    <row r="1230" spans="1:8" x14ac:dyDescent="0.25">
      <c r="A1230" s="952"/>
      <c r="B1230" s="953"/>
      <c r="C1230" s="953"/>
      <c r="D1230" s="953"/>
      <c r="E1230" s="953"/>
      <c r="F1230" s="953"/>
      <c r="G1230" s="953"/>
      <c r="H1230" s="953"/>
    </row>
    <row r="1231" spans="1:8" x14ac:dyDescent="0.25">
      <c r="A1231" s="952"/>
      <c r="B1231" s="953"/>
      <c r="C1231" s="953"/>
      <c r="D1231" s="953"/>
      <c r="E1231" s="953"/>
      <c r="F1231" s="953"/>
      <c r="G1231" s="953"/>
      <c r="H1231" s="953"/>
    </row>
    <row r="1232" spans="1:8" x14ac:dyDescent="0.25">
      <c r="A1232" s="952"/>
      <c r="B1232" s="953"/>
      <c r="C1232" s="953"/>
      <c r="D1232" s="953"/>
      <c r="E1232" s="953"/>
      <c r="F1232" s="953"/>
      <c r="G1232" s="953"/>
      <c r="H1232" s="953"/>
    </row>
    <row r="1233" spans="1:8" x14ac:dyDescent="0.25">
      <c r="A1233" s="952"/>
      <c r="B1233" s="953"/>
      <c r="C1233" s="953"/>
      <c r="D1233" s="953"/>
      <c r="E1233" s="953"/>
      <c r="F1233" s="953"/>
      <c r="G1233" s="953"/>
      <c r="H1233" s="953"/>
    </row>
    <row r="1234" spans="1:8" x14ac:dyDescent="0.25">
      <c r="A1234" s="952"/>
      <c r="B1234" s="953"/>
      <c r="C1234" s="953"/>
      <c r="D1234" s="953"/>
      <c r="E1234" s="953"/>
      <c r="F1234" s="953"/>
      <c r="G1234" s="953"/>
      <c r="H1234" s="953"/>
    </row>
    <row r="1235" spans="1:8" x14ac:dyDescent="0.25">
      <c r="A1235" s="952"/>
      <c r="B1235" s="953"/>
      <c r="C1235" s="953"/>
      <c r="D1235" s="953"/>
      <c r="E1235" s="953"/>
      <c r="F1235" s="953"/>
      <c r="G1235" s="953"/>
      <c r="H1235" s="953"/>
    </row>
    <row r="1236" spans="1:8" x14ac:dyDescent="0.25">
      <c r="A1236" s="952"/>
      <c r="B1236" s="953"/>
      <c r="C1236" s="953"/>
      <c r="D1236" s="953"/>
      <c r="E1236" s="953"/>
      <c r="F1236" s="953"/>
      <c r="G1236" s="953"/>
      <c r="H1236" s="953"/>
    </row>
    <row r="1237" spans="1:8" x14ac:dyDescent="0.25">
      <c r="A1237" s="952"/>
      <c r="B1237" s="953"/>
      <c r="C1237" s="953"/>
      <c r="D1237" s="953"/>
      <c r="E1237" s="953"/>
      <c r="F1237" s="953"/>
      <c r="G1237" s="953"/>
      <c r="H1237" s="953"/>
    </row>
    <row r="1238" spans="1:8" x14ac:dyDescent="0.25">
      <c r="A1238" s="952"/>
      <c r="B1238" s="953"/>
      <c r="C1238" s="953"/>
      <c r="D1238" s="953"/>
      <c r="E1238" s="953"/>
      <c r="F1238" s="953"/>
      <c r="G1238" s="953"/>
      <c r="H1238" s="953"/>
    </row>
    <row r="1239" spans="1:8" x14ac:dyDescent="0.25">
      <c r="A1239" s="952"/>
      <c r="B1239" s="953"/>
      <c r="C1239" s="953"/>
      <c r="D1239" s="953"/>
      <c r="E1239" s="953"/>
      <c r="F1239" s="953"/>
      <c r="G1239" s="953"/>
      <c r="H1239" s="953"/>
    </row>
    <row r="1240" spans="1:8" x14ac:dyDescent="0.25">
      <c r="A1240" s="952"/>
      <c r="B1240" s="953"/>
      <c r="C1240" s="953"/>
      <c r="D1240" s="953"/>
      <c r="E1240" s="953"/>
      <c r="F1240" s="953"/>
      <c r="G1240" s="953"/>
      <c r="H1240" s="953"/>
    </row>
    <row r="1241" spans="1:8" x14ac:dyDescent="0.25">
      <c r="A1241" s="952"/>
      <c r="B1241" s="953"/>
      <c r="C1241" s="953"/>
      <c r="D1241" s="953"/>
      <c r="E1241" s="953"/>
      <c r="F1241" s="953"/>
      <c r="G1241" s="953"/>
      <c r="H1241" s="953"/>
    </row>
    <row r="1242" spans="1:8" x14ac:dyDescent="0.25">
      <c r="A1242" s="952"/>
      <c r="B1242" s="953"/>
      <c r="C1242" s="953"/>
      <c r="D1242" s="953"/>
      <c r="E1242" s="953"/>
      <c r="F1242" s="953"/>
      <c r="G1242" s="953"/>
      <c r="H1242" s="953"/>
    </row>
    <row r="1243" spans="1:8" x14ac:dyDescent="0.25">
      <c r="A1243" s="952"/>
      <c r="B1243" s="953"/>
      <c r="C1243" s="953"/>
      <c r="D1243" s="953"/>
      <c r="E1243" s="953"/>
      <c r="F1243" s="953"/>
      <c r="G1243" s="953"/>
      <c r="H1243" s="953"/>
    </row>
    <row r="1244" spans="1:8" x14ac:dyDescent="0.25">
      <c r="A1244" s="952"/>
      <c r="B1244" s="953"/>
      <c r="C1244" s="953"/>
      <c r="D1244" s="953"/>
      <c r="E1244" s="953"/>
      <c r="F1244" s="953"/>
      <c r="G1244" s="953"/>
      <c r="H1244" s="953"/>
    </row>
    <row r="1245" spans="1:8" x14ac:dyDescent="0.25">
      <c r="A1245" s="952"/>
      <c r="B1245" s="953"/>
      <c r="C1245" s="953"/>
      <c r="D1245" s="953"/>
      <c r="E1245" s="953"/>
      <c r="F1245" s="953"/>
      <c r="G1245" s="953"/>
      <c r="H1245" s="953"/>
    </row>
    <row r="1246" spans="1:8" x14ac:dyDescent="0.25">
      <c r="A1246" s="952"/>
      <c r="B1246" s="953"/>
      <c r="C1246" s="953"/>
      <c r="D1246" s="953"/>
      <c r="E1246" s="953"/>
      <c r="F1246" s="953"/>
      <c r="G1246" s="953"/>
      <c r="H1246" s="953"/>
    </row>
    <row r="1247" spans="1:8" x14ac:dyDescent="0.25">
      <c r="A1247" s="952"/>
      <c r="B1247" s="953"/>
      <c r="C1247" s="953"/>
      <c r="D1247" s="953"/>
      <c r="E1247" s="953"/>
      <c r="F1247" s="953"/>
      <c r="G1247" s="953"/>
      <c r="H1247" s="953"/>
    </row>
    <row r="1248" spans="1:8" x14ac:dyDescent="0.25">
      <c r="A1248" s="952"/>
      <c r="B1248" s="953"/>
      <c r="C1248" s="953"/>
      <c r="D1248" s="953"/>
      <c r="E1248" s="953"/>
      <c r="F1248" s="953"/>
      <c r="G1248" s="953"/>
      <c r="H1248" s="953"/>
    </row>
    <row r="1249" spans="1:8" x14ac:dyDescent="0.25">
      <c r="A1249" s="952"/>
      <c r="B1249" s="953"/>
      <c r="C1249" s="953"/>
      <c r="D1249" s="953"/>
      <c r="E1249" s="953"/>
      <c r="F1249" s="953"/>
      <c r="G1249" s="953"/>
      <c r="H1249" s="953"/>
    </row>
    <row r="1250" spans="1:8" x14ac:dyDescent="0.25">
      <c r="A1250" s="952"/>
      <c r="B1250" s="953"/>
      <c r="C1250" s="953"/>
      <c r="D1250" s="953"/>
      <c r="E1250" s="953"/>
      <c r="F1250" s="953"/>
      <c r="G1250" s="953"/>
      <c r="H1250" s="953"/>
    </row>
    <row r="1251" spans="1:8" x14ac:dyDescent="0.25">
      <c r="A1251" s="952"/>
      <c r="B1251" s="953"/>
      <c r="C1251" s="953"/>
      <c r="D1251" s="953"/>
      <c r="E1251" s="953"/>
      <c r="F1251" s="953"/>
      <c r="G1251" s="953"/>
      <c r="H1251" s="953"/>
    </row>
    <row r="1252" spans="1:8" x14ac:dyDescent="0.25">
      <c r="A1252" s="952"/>
      <c r="B1252" s="953"/>
      <c r="C1252" s="953"/>
      <c r="D1252" s="953"/>
      <c r="E1252" s="953"/>
      <c r="F1252" s="953"/>
      <c r="G1252" s="953"/>
      <c r="H1252" s="953"/>
    </row>
    <row r="1253" spans="1:8" x14ac:dyDescent="0.25">
      <c r="A1253" s="952"/>
      <c r="B1253" s="953"/>
      <c r="C1253" s="953"/>
      <c r="D1253" s="953"/>
      <c r="E1253" s="953"/>
      <c r="F1253" s="953"/>
      <c r="G1253" s="953"/>
      <c r="H1253" s="953"/>
    </row>
    <row r="1254" spans="1:8" x14ac:dyDescent="0.25">
      <c r="A1254" s="952"/>
      <c r="B1254" s="953"/>
      <c r="C1254" s="953"/>
      <c r="D1254" s="953"/>
      <c r="E1254" s="953"/>
      <c r="F1254" s="953"/>
      <c r="G1254" s="953"/>
      <c r="H1254" s="953"/>
    </row>
    <row r="1255" spans="1:8" x14ac:dyDescent="0.25">
      <c r="A1255" s="952"/>
      <c r="B1255" s="953"/>
      <c r="C1255" s="953"/>
      <c r="D1255" s="953"/>
      <c r="E1255" s="953"/>
      <c r="F1255" s="953"/>
      <c r="G1255" s="953"/>
      <c r="H1255" s="953"/>
    </row>
    <row r="1256" spans="1:8" x14ac:dyDescent="0.25">
      <c r="A1256" s="952"/>
      <c r="B1256" s="953"/>
      <c r="C1256" s="953"/>
      <c r="D1256" s="953"/>
      <c r="E1256" s="953"/>
      <c r="F1256" s="953"/>
      <c r="G1256" s="953"/>
      <c r="H1256" s="953"/>
    </row>
    <row r="1257" spans="1:8" x14ac:dyDescent="0.25">
      <c r="A1257" s="952"/>
      <c r="B1257" s="953"/>
      <c r="C1257" s="953"/>
      <c r="D1257" s="953"/>
      <c r="E1257" s="953"/>
      <c r="F1257" s="953"/>
      <c r="G1257" s="953"/>
      <c r="H1257" s="953"/>
    </row>
    <row r="1258" spans="1:8" x14ac:dyDescent="0.25">
      <c r="A1258" s="952"/>
      <c r="B1258" s="953"/>
      <c r="C1258" s="953"/>
      <c r="D1258" s="953"/>
      <c r="E1258" s="953"/>
      <c r="F1258" s="953"/>
      <c r="G1258" s="953"/>
      <c r="H1258" s="953"/>
    </row>
    <row r="1259" spans="1:8" x14ac:dyDescent="0.25">
      <c r="A1259" s="952"/>
      <c r="B1259" s="953"/>
      <c r="C1259" s="953"/>
      <c r="D1259" s="953"/>
      <c r="E1259" s="953"/>
      <c r="F1259" s="953"/>
      <c r="G1259" s="953"/>
      <c r="H1259" s="953"/>
    </row>
    <row r="1260" spans="1:8" x14ac:dyDescent="0.25">
      <c r="A1260" s="952"/>
      <c r="B1260" s="953"/>
      <c r="C1260" s="953"/>
      <c r="D1260" s="953"/>
      <c r="E1260" s="953"/>
      <c r="F1260" s="953"/>
      <c r="G1260" s="953"/>
      <c r="H1260" s="953"/>
    </row>
    <row r="1261" spans="1:8" x14ac:dyDescent="0.25">
      <c r="A1261" s="952"/>
      <c r="B1261" s="953"/>
      <c r="C1261" s="953"/>
      <c r="D1261" s="953"/>
      <c r="E1261" s="953"/>
      <c r="F1261" s="953"/>
      <c r="G1261" s="953"/>
      <c r="H1261" s="953"/>
    </row>
    <row r="1262" spans="1:8" x14ac:dyDescent="0.25">
      <c r="A1262" s="952"/>
      <c r="B1262" s="953"/>
      <c r="C1262" s="953"/>
      <c r="D1262" s="953"/>
      <c r="E1262" s="953"/>
      <c r="F1262" s="953"/>
      <c r="G1262" s="953"/>
      <c r="H1262" s="953"/>
    </row>
    <row r="1263" spans="1:8" x14ac:dyDescent="0.25">
      <c r="A1263" s="952"/>
      <c r="B1263" s="953"/>
      <c r="C1263" s="953"/>
      <c r="D1263" s="953"/>
      <c r="E1263" s="953"/>
      <c r="F1263" s="953"/>
      <c r="G1263" s="953"/>
      <c r="H1263" s="953"/>
    </row>
    <row r="1264" spans="1:8" x14ac:dyDescent="0.25">
      <c r="A1264" s="952"/>
      <c r="B1264" s="953"/>
      <c r="C1264" s="953"/>
      <c r="D1264" s="953"/>
      <c r="E1264" s="953"/>
      <c r="F1264" s="953"/>
      <c r="G1264" s="953"/>
      <c r="H1264" s="953"/>
    </row>
    <row r="1265" spans="1:8" x14ac:dyDescent="0.25">
      <c r="A1265" s="952"/>
      <c r="B1265" s="953"/>
      <c r="C1265" s="953"/>
      <c r="D1265" s="953"/>
      <c r="E1265" s="953"/>
      <c r="F1265" s="953"/>
      <c r="G1265" s="953"/>
      <c r="H1265" s="953"/>
    </row>
    <row r="1266" spans="1:8" x14ac:dyDescent="0.25">
      <c r="A1266" s="952"/>
      <c r="B1266" s="953"/>
      <c r="C1266" s="953"/>
      <c r="D1266" s="953"/>
      <c r="E1266" s="953"/>
      <c r="F1266" s="953"/>
      <c r="G1266" s="953"/>
      <c r="H1266" s="953"/>
    </row>
    <row r="1267" spans="1:8" x14ac:dyDescent="0.25">
      <c r="A1267" s="952"/>
      <c r="B1267" s="953"/>
      <c r="C1267" s="953"/>
      <c r="D1267" s="953"/>
      <c r="E1267" s="953"/>
      <c r="F1267" s="953"/>
      <c r="G1267" s="953"/>
      <c r="H1267" s="953"/>
    </row>
    <row r="1268" spans="1:8" x14ac:dyDescent="0.25">
      <c r="A1268" s="952"/>
      <c r="B1268" s="953"/>
      <c r="C1268" s="953"/>
      <c r="D1268" s="953"/>
      <c r="E1268" s="953"/>
      <c r="F1268" s="953"/>
      <c r="G1268" s="953"/>
      <c r="H1268" s="953"/>
    </row>
    <row r="1269" spans="1:8" x14ac:dyDescent="0.25">
      <c r="A1269" s="952"/>
      <c r="B1269" s="953"/>
      <c r="C1269" s="953"/>
      <c r="D1269" s="953"/>
      <c r="E1269" s="953"/>
      <c r="F1269" s="953"/>
      <c r="G1269" s="953"/>
      <c r="H1269" s="953"/>
    </row>
    <row r="1270" spans="1:8" x14ac:dyDescent="0.25">
      <c r="A1270" s="952"/>
      <c r="B1270" s="953"/>
      <c r="C1270" s="953"/>
      <c r="D1270" s="953"/>
      <c r="E1270" s="953"/>
      <c r="F1270" s="953"/>
      <c r="G1270" s="953"/>
      <c r="H1270" s="953"/>
    </row>
    <row r="1271" spans="1:8" x14ac:dyDescent="0.25">
      <c r="A1271" s="952"/>
      <c r="B1271" s="953"/>
      <c r="C1271" s="953"/>
      <c r="D1271" s="953"/>
      <c r="E1271" s="953"/>
      <c r="F1271" s="953"/>
      <c r="G1271" s="953"/>
      <c r="H1271" s="953"/>
    </row>
    <row r="1272" spans="1:8" x14ac:dyDescent="0.25">
      <c r="A1272" s="952"/>
      <c r="B1272" s="953"/>
      <c r="C1272" s="953"/>
      <c r="D1272" s="953"/>
      <c r="E1272" s="953"/>
      <c r="F1272" s="953"/>
      <c r="G1272" s="953"/>
      <c r="H1272" s="953"/>
    </row>
    <row r="1273" spans="1:8" x14ac:dyDescent="0.25">
      <c r="A1273" s="952"/>
      <c r="B1273" s="953"/>
      <c r="C1273" s="953"/>
      <c r="D1273" s="953"/>
      <c r="E1273" s="953"/>
      <c r="F1273" s="953"/>
      <c r="G1273" s="953"/>
      <c r="H1273" s="953"/>
    </row>
    <row r="1274" spans="1:8" x14ac:dyDescent="0.25">
      <c r="A1274" s="952"/>
      <c r="B1274" s="953"/>
      <c r="C1274" s="953"/>
      <c r="D1274" s="953"/>
      <c r="E1274" s="953"/>
      <c r="F1274" s="953"/>
      <c r="G1274" s="953"/>
      <c r="H1274" s="953"/>
    </row>
    <row r="1275" spans="1:8" x14ac:dyDescent="0.25">
      <c r="A1275" s="952"/>
      <c r="B1275" s="953"/>
      <c r="C1275" s="953"/>
      <c r="D1275" s="953"/>
      <c r="E1275" s="953"/>
      <c r="F1275" s="953"/>
      <c r="G1275" s="953"/>
      <c r="H1275" s="953"/>
    </row>
    <row r="1276" spans="1:8" x14ac:dyDescent="0.25">
      <c r="A1276" s="952"/>
      <c r="B1276" s="953"/>
      <c r="C1276" s="953"/>
      <c r="D1276" s="953"/>
      <c r="E1276" s="953"/>
      <c r="F1276" s="953"/>
      <c r="G1276" s="953"/>
      <c r="H1276" s="953"/>
    </row>
    <row r="1277" spans="1:8" x14ac:dyDescent="0.25">
      <c r="A1277" s="952"/>
      <c r="B1277" s="953"/>
      <c r="C1277" s="953"/>
      <c r="D1277" s="953"/>
      <c r="E1277" s="953"/>
      <c r="F1277" s="953"/>
      <c r="G1277" s="953"/>
      <c r="H1277" s="953"/>
    </row>
    <row r="1278" spans="1:8" x14ac:dyDescent="0.25">
      <c r="A1278" s="952"/>
      <c r="B1278" s="953"/>
      <c r="C1278" s="953"/>
      <c r="D1278" s="953"/>
      <c r="E1278" s="953"/>
      <c r="F1278" s="953"/>
      <c r="G1278" s="953"/>
      <c r="H1278" s="953"/>
    </row>
    <row r="1279" spans="1:8" x14ac:dyDescent="0.25">
      <c r="A1279" s="952"/>
      <c r="B1279" s="953"/>
      <c r="C1279" s="953"/>
      <c r="D1279" s="953"/>
      <c r="E1279" s="953"/>
      <c r="F1279" s="953"/>
      <c r="G1279" s="953"/>
      <c r="H1279" s="953"/>
    </row>
    <row r="1280" spans="1:8" x14ac:dyDescent="0.25">
      <c r="A1280" s="952"/>
      <c r="B1280" s="953"/>
      <c r="C1280" s="953"/>
      <c r="D1280" s="953"/>
      <c r="E1280" s="953"/>
      <c r="F1280" s="953"/>
      <c r="G1280" s="953"/>
      <c r="H1280" s="953"/>
    </row>
    <row r="1281" spans="1:8" x14ac:dyDescent="0.25">
      <c r="A1281" s="952"/>
      <c r="B1281" s="953"/>
      <c r="C1281" s="953"/>
      <c r="D1281" s="953"/>
      <c r="E1281" s="953"/>
      <c r="F1281" s="953"/>
      <c r="G1281" s="953"/>
      <c r="H1281" s="953"/>
    </row>
    <row r="1282" spans="1:8" x14ac:dyDescent="0.25">
      <c r="A1282" s="952"/>
      <c r="B1282" s="953"/>
      <c r="C1282" s="953"/>
      <c r="D1282" s="953"/>
      <c r="E1282" s="953"/>
      <c r="F1282" s="953"/>
      <c r="G1282" s="953"/>
      <c r="H1282" s="953"/>
    </row>
    <row r="1283" spans="1:8" x14ac:dyDescent="0.25">
      <c r="A1283" s="952"/>
      <c r="B1283" s="953"/>
      <c r="C1283" s="953"/>
      <c r="D1283" s="953"/>
      <c r="E1283" s="953"/>
      <c r="F1283" s="953"/>
      <c r="G1283" s="953"/>
      <c r="H1283" s="953"/>
    </row>
    <row r="1284" spans="1:8" x14ac:dyDescent="0.25">
      <c r="A1284" s="952"/>
      <c r="B1284" s="953"/>
      <c r="C1284" s="953"/>
      <c r="D1284" s="953"/>
      <c r="E1284" s="953"/>
      <c r="F1284" s="953"/>
      <c r="G1284" s="953"/>
      <c r="H1284" s="953"/>
    </row>
    <row r="1285" spans="1:8" x14ac:dyDescent="0.25">
      <c r="A1285" s="952"/>
      <c r="B1285" s="953"/>
      <c r="C1285" s="953"/>
      <c r="D1285" s="953"/>
      <c r="E1285" s="953"/>
      <c r="F1285" s="953"/>
      <c r="G1285" s="953"/>
      <c r="H1285" s="953"/>
    </row>
    <row r="1286" spans="1:8" x14ac:dyDescent="0.25">
      <c r="A1286" s="952"/>
      <c r="B1286" s="953"/>
      <c r="C1286" s="953"/>
      <c r="D1286" s="953"/>
      <c r="E1286" s="953"/>
      <c r="F1286" s="953"/>
      <c r="G1286" s="953"/>
      <c r="H1286" s="953"/>
    </row>
    <row r="1287" spans="1:8" x14ac:dyDescent="0.25">
      <c r="A1287" s="952"/>
      <c r="B1287" s="953"/>
      <c r="C1287" s="953"/>
      <c r="D1287" s="953"/>
      <c r="E1287" s="953"/>
      <c r="F1287" s="953"/>
      <c r="G1287" s="953"/>
      <c r="H1287" s="953"/>
    </row>
    <row r="1288" spans="1:8" x14ac:dyDescent="0.25">
      <c r="A1288" s="952"/>
      <c r="B1288" s="953"/>
      <c r="C1288" s="953"/>
      <c r="D1288" s="953"/>
      <c r="E1288" s="953"/>
      <c r="F1288" s="953"/>
      <c r="G1288" s="953"/>
      <c r="H1288" s="953"/>
    </row>
    <row r="1289" spans="1:8" x14ac:dyDescent="0.25">
      <c r="A1289" s="952"/>
      <c r="B1289" s="953"/>
      <c r="C1289" s="953"/>
      <c r="D1289" s="953"/>
      <c r="E1289" s="953"/>
      <c r="F1289" s="953"/>
      <c r="G1289" s="953"/>
      <c r="H1289" s="953"/>
    </row>
    <row r="1290" spans="1:8" x14ac:dyDescent="0.25">
      <c r="A1290" s="952"/>
      <c r="B1290" s="953"/>
      <c r="C1290" s="953"/>
      <c r="D1290" s="953"/>
      <c r="E1290" s="953"/>
      <c r="F1290" s="953"/>
      <c r="G1290" s="953"/>
      <c r="H1290" s="953"/>
    </row>
    <row r="1291" spans="1:8" x14ac:dyDescent="0.25">
      <c r="A1291" s="952"/>
      <c r="B1291" s="953"/>
      <c r="C1291" s="953"/>
      <c r="D1291" s="953"/>
      <c r="E1291" s="953"/>
      <c r="F1291" s="953"/>
      <c r="G1291" s="953"/>
      <c r="H1291" s="953"/>
    </row>
    <row r="1292" spans="1:8" x14ac:dyDescent="0.25">
      <c r="A1292" s="952"/>
      <c r="B1292" s="953"/>
      <c r="C1292" s="953"/>
      <c r="D1292" s="953"/>
      <c r="E1292" s="953"/>
      <c r="F1292" s="953"/>
      <c r="G1292" s="953"/>
      <c r="H1292" s="953"/>
    </row>
    <row r="1293" spans="1:8" x14ac:dyDescent="0.25">
      <c r="A1293" s="952"/>
      <c r="B1293" s="953"/>
      <c r="C1293" s="953"/>
      <c r="D1293" s="953"/>
      <c r="E1293" s="953"/>
      <c r="F1293" s="953"/>
      <c r="G1293" s="953"/>
      <c r="H1293" s="953"/>
    </row>
    <row r="1294" spans="1:8" x14ac:dyDescent="0.25">
      <c r="A1294" s="952"/>
      <c r="B1294" s="953"/>
      <c r="C1294" s="953"/>
      <c r="D1294" s="953"/>
      <c r="E1294" s="953"/>
      <c r="F1294" s="953"/>
      <c r="G1294" s="953"/>
      <c r="H1294" s="953"/>
    </row>
    <row r="1295" spans="1:8" x14ac:dyDescent="0.25">
      <c r="A1295" s="952"/>
      <c r="B1295" s="953"/>
      <c r="C1295" s="953"/>
      <c r="D1295" s="953"/>
      <c r="E1295" s="953"/>
      <c r="F1295" s="953"/>
      <c r="G1295" s="953"/>
      <c r="H1295" s="953"/>
    </row>
    <row r="1296" spans="1:8" x14ac:dyDescent="0.25">
      <c r="A1296" s="952"/>
      <c r="B1296" s="953"/>
      <c r="C1296" s="953"/>
      <c r="D1296" s="953"/>
      <c r="E1296" s="953"/>
      <c r="F1296" s="953"/>
      <c r="G1296" s="953"/>
      <c r="H1296" s="953"/>
    </row>
    <row r="1297" spans="1:8" x14ac:dyDescent="0.25">
      <c r="A1297" s="952"/>
      <c r="B1297" s="953"/>
      <c r="C1297" s="953"/>
      <c r="D1297" s="953"/>
      <c r="E1297" s="953"/>
      <c r="F1297" s="953"/>
      <c r="G1297" s="953"/>
      <c r="H1297" s="953"/>
    </row>
    <row r="1298" spans="1:8" x14ac:dyDescent="0.25">
      <c r="A1298" s="952"/>
      <c r="B1298" s="953"/>
      <c r="C1298" s="953"/>
      <c r="D1298" s="953"/>
      <c r="E1298" s="953"/>
      <c r="F1298" s="953"/>
      <c r="G1298" s="953"/>
      <c r="H1298" s="953"/>
    </row>
    <row r="1299" spans="1:8" x14ac:dyDescent="0.25">
      <c r="A1299" s="952"/>
      <c r="B1299" s="953"/>
      <c r="C1299" s="953"/>
      <c r="D1299" s="953"/>
      <c r="E1299" s="953"/>
      <c r="F1299" s="953"/>
      <c r="G1299" s="953"/>
      <c r="H1299" s="953"/>
    </row>
    <row r="1300" spans="1:8" x14ac:dyDescent="0.25">
      <c r="A1300" s="952"/>
      <c r="B1300" s="953"/>
      <c r="C1300" s="953"/>
      <c r="D1300" s="953"/>
      <c r="E1300" s="953"/>
      <c r="F1300" s="953"/>
      <c r="G1300" s="953"/>
      <c r="H1300" s="953"/>
    </row>
    <row r="1301" spans="1:8" x14ac:dyDescent="0.25">
      <c r="A1301" s="952"/>
      <c r="B1301" s="953"/>
      <c r="C1301" s="953"/>
      <c r="D1301" s="953"/>
      <c r="E1301" s="953"/>
      <c r="F1301" s="953"/>
      <c r="G1301" s="953"/>
      <c r="H1301" s="953"/>
    </row>
    <row r="1302" spans="1:8" x14ac:dyDescent="0.25">
      <c r="A1302" s="952"/>
      <c r="B1302" s="953"/>
      <c r="C1302" s="953"/>
      <c r="D1302" s="953"/>
      <c r="E1302" s="953"/>
      <c r="F1302" s="953"/>
      <c r="G1302" s="953"/>
      <c r="H1302" s="953"/>
    </row>
    <row r="1303" spans="1:8" x14ac:dyDescent="0.25">
      <c r="A1303" s="952"/>
      <c r="B1303" s="953"/>
      <c r="C1303" s="953"/>
      <c r="D1303" s="953"/>
      <c r="E1303" s="953"/>
      <c r="F1303" s="953"/>
      <c r="G1303" s="953"/>
      <c r="H1303" s="953"/>
    </row>
    <row r="1304" spans="1:8" x14ac:dyDescent="0.25">
      <c r="A1304" s="952"/>
      <c r="B1304" s="953"/>
      <c r="C1304" s="953"/>
      <c r="D1304" s="953"/>
      <c r="E1304" s="953"/>
      <c r="F1304" s="953"/>
      <c r="G1304" s="953"/>
      <c r="H1304" s="953"/>
    </row>
    <row r="1305" spans="1:8" x14ac:dyDescent="0.25">
      <c r="A1305" s="952"/>
      <c r="B1305" s="953"/>
      <c r="C1305" s="953"/>
      <c r="D1305" s="953"/>
      <c r="E1305" s="953"/>
      <c r="F1305" s="953"/>
      <c r="G1305" s="953"/>
      <c r="H1305" s="953"/>
    </row>
    <row r="1306" spans="1:8" x14ac:dyDescent="0.25">
      <c r="A1306" s="952"/>
      <c r="B1306" s="953"/>
      <c r="C1306" s="953"/>
      <c r="D1306" s="953"/>
      <c r="E1306" s="953"/>
      <c r="F1306" s="953"/>
      <c r="G1306" s="953"/>
      <c r="H1306" s="953"/>
    </row>
    <row r="1307" spans="1:8" x14ac:dyDescent="0.25">
      <c r="A1307" s="952"/>
      <c r="B1307" s="953"/>
      <c r="C1307" s="953"/>
      <c r="D1307" s="953"/>
      <c r="E1307" s="953"/>
      <c r="F1307" s="953"/>
      <c r="G1307" s="953"/>
      <c r="H1307" s="953"/>
    </row>
    <row r="1308" spans="1:8" x14ac:dyDescent="0.25">
      <c r="A1308" s="952"/>
      <c r="B1308" s="953"/>
      <c r="C1308" s="953"/>
      <c r="D1308" s="953"/>
      <c r="E1308" s="953"/>
      <c r="F1308" s="953"/>
      <c r="G1308" s="953"/>
      <c r="H1308" s="953"/>
    </row>
    <row r="1309" spans="1:8" x14ac:dyDescent="0.25">
      <c r="A1309" s="952"/>
      <c r="B1309" s="953"/>
      <c r="C1309" s="953"/>
      <c r="D1309" s="953"/>
      <c r="E1309" s="953"/>
      <c r="F1309" s="953"/>
      <c r="G1309" s="953"/>
      <c r="H1309" s="953"/>
    </row>
    <row r="1310" spans="1:8" x14ac:dyDescent="0.25">
      <c r="A1310" s="952"/>
      <c r="B1310" s="953"/>
      <c r="C1310" s="953"/>
      <c r="D1310" s="953"/>
      <c r="E1310" s="953"/>
      <c r="F1310" s="953"/>
      <c r="G1310" s="953"/>
      <c r="H1310" s="953"/>
    </row>
    <row r="1311" spans="1:8" x14ac:dyDescent="0.25">
      <c r="A1311" s="952"/>
      <c r="B1311" s="953"/>
      <c r="C1311" s="953"/>
      <c r="D1311" s="953"/>
      <c r="E1311" s="953"/>
      <c r="F1311" s="953"/>
      <c r="G1311" s="953"/>
      <c r="H1311" s="953"/>
    </row>
    <row r="1312" spans="1:8" x14ac:dyDescent="0.25">
      <c r="A1312" s="952"/>
      <c r="B1312" s="953"/>
      <c r="C1312" s="953"/>
      <c r="D1312" s="953"/>
      <c r="E1312" s="953"/>
      <c r="F1312" s="953"/>
      <c r="G1312" s="953"/>
      <c r="H1312" s="953"/>
    </row>
    <row r="1313" spans="1:8" x14ac:dyDescent="0.25">
      <c r="A1313" s="952"/>
      <c r="B1313" s="953"/>
      <c r="C1313" s="953"/>
      <c r="D1313" s="953"/>
      <c r="E1313" s="953"/>
      <c r="F1313" s="953"/>
      <c r="G1313" s="953"/>
      <c r="H1313" s="953"/>
    </row>
    <row r="1314" spans="1:8" x14ac:dyDescent="0.25">
      <c r="A1314" s="952"/>
      <c r="B1314" s="953"/>
      <c r="C1314" s="953"/>
      <c r="D1314" s="953"/>
      <c r="E1314" s="953"/>
      <c r="F1314" s="953"/>
      <c r="G1314" s="953"/>
      <c r="H1314" s="953"/>
    </row>
    <row r="1315" spans="1:8" x14ac:dyDescent="0.25">
      <c r="A1315" s="952"/>
      <c r="B1315" s="953"/>
      <c r="C1315" s="953"/>
      <c r="D1315" s="953"/>
      <c r="E1315" s="953"/>
      <c r="F1315" s="953"/>
      <c r="G1315" s="953"/>
      <c r="H1315" s="953"/>
    </row>
    <row r="1316" spans="1:8" x14ac:dyDescent="0.25">
      <c r="A1316" s="952"/>
      <c r="B1316" s="953"/>
      <c r="C1316" s="953"/>
      <c r="D1316" s="953"/>
      <c r="E1316" s="953"/>
      <c r="F1316" s="953"/>
      <c r="G1316" s="953"/>
      <c r="H1316" s="953"/>
    </row>
    <row r="1317" spans="1:8" x14ac:dyDescent="0.25">
      <c r="A1317" s="952"/>
      <c r="B1317" s="953"/>
      <c r="C1317" s="953"/>
      <c r="D1317" s="953"/>
      <c r="E1317" s="953"/>
      <c r="F1317" s="953"/>
      <c r="G1317" s="953"/>
      <c r="H1317" s="953"/>
    </row>
    <row r="1318" spans="1:8" x14ac:dyDescent="0.25">
      <c r="A1318" s="952"/>
      <c r="B1318" s="953"/>
      <c r="C1318" s="953"/>
      <c r="D1318" s="953"/>
      <c r="E1318" s="953"/>
      <c r="F1318" s="953"/>
      <c r="G1318" s="953"/>
      <c r="H1318" s="953"/>
    </row>
    <row r="1319" spans="1:8" x14ac:dyDescent="0.25">
      <c r="A1319" s="952"/>
      <c r="B1319" s="953"/>
      <c r="C1319" s="953"/>
      <c r="D1319" s="953"/>
      <c r="E1319" s="953"/>
      <c r="F1319" s="953"/>
      <c r="G1319" s="953"/>
      <c r="H1319" s="953"/>
    </row>
    <row r="1320" spans="1:8" x14ac:dyDescent="0.25">
      <c r="A1320" s="952"/>
      <c r="B1320" s="953"/>
      <c r="C1320" s="953"/>
      <c r="D1320" s="953"/>
      <c r="E1320" s="953"/>
      <c r="F1320" s="953"/>
      <c r="G1320" s="953"/>
      <c r="H1320" s="953"/>
    </row>
    <row r="1321" spans="1:8" x14ac:dyDescent="0.25">
      <c r="A1321" s="952"/>
      <c r="B1321" s="953"/>
      <c r="C1321" s="953"/>
      <c r="D1321" s="953"/>
      <c r="E1321" s="953"/>
      <c r="F1321" s="953"/>
      <c r="G1321" s="953"/>
      <c r="H1321" s="953"/>
    </row>
    <row r="1322" spans="1:8" x14ac:dyDescent="0.25">
      <c r="A1322" s="952"/>
      <c r="B1322" s="953"/>
      <c r="C1322" s="953"/>
      <c r="D1322" s="953"/>
      <c r="E1322" s="953"/>
      <c r="F1322" s="953"/>
      <c r="G1322" s="953"/>
      <c r="H1322" s="953"/>
    </row>
    <row r="1323" spans="1:8" x14ac:dyDescent="0.25">
      <c r="A1323" s="952"/>
      <c r="B1323" s="953"/>
      <c r="C1323" s="953"/>
      <c r="D1323" s="953"/>
      <c r="E1323" s="953"/>
      <c r="F1323" s="953"/>
      <c r="G1323" s="953"/>
      <c r="H1323" s="953"/>
    </row>
    <row r="1324" spans="1:8" x14ac:dyDescent="0.25">
      <c r="A1324" s="952"/>
      <c r="B1324" s="953"/>
      <c r="C1324" s="953"/>
      <c r="D1324" s="953"/>
      <c r="E1324" s="953"/>
      <c r="F1324" s="953"/>
      <c r="G1324" s="953"/>
      <c r="H1324" s="953"/>
    </row>
    <row r="1325" spans="1:8" x14ac:dyDescent="0.25">
      <c r="A1325" s="952"/>
      <c r="B1325" s="953"/>
      <c r="C1325" s="953"/>
      <c r="D1325" s="953"/>
      <c r="E1325" s="953"/>
      <c r="F1325" s="953"/>
      <c r="G1325" s="953"/>
      <c r="H1325" s="953"/>
    </row>
    <row r="1326" spans="1:8" x14ac:dyDescent="0.25">
      <c r="A1326" s="952"/>
      <c r="B1326" s="953"/>
      <c r="C1326" s="953"/>
      <c r="D1326" s="953"/>
      <c r="E1326" s="953"/>
      <c r="F1326" s="953"/>
      <c r="G1326" s="953"/>
      <c r="H1326" s="953"/>
    </row>
    <row r="1327" spans="1:8" x14ac:dyDescent="0.25">
      <c r="A1327" s="952"/>
      <c r="B1327" s="953"/>
      <c r="C1327" s="953"/>
      <c r="D1327" s="953"/>
      <c r="E1327" s="953"/>
      <c r="F1327" s="953"/>
      <c r="G1327" s="953"/>
      <c r="H1327" s="953"/>
    </row>
    <row r="1328" spans="1:8" x14ac:dyDescent="0.25">
      <c r="A1328" s="952"/>
      <c r="B1328" s="953"/>
      <c r="C1328" s="953"/>
      <c r="D1328" s="953"/>
      <c r="E1328" s="953"/>
      <c r="F1328" s="953"/>
      <c r="G1328" s="953"/>
      <c r="H1328" s="953"/>
    </row>
    <row r="1329" spans="1:8" x14ac:dyDescent="0.25">
      <c r="A1329" s="952"/>
      <c r="B1329" s="953"/>
      <c r="C1329" s="953"/>
      <c r="D1329" s="953"/>
      <c r="E1329" s="953"/>
      <c r="F1329" s="953"/>
      <c r="G1329" s="953"/>
      <c r="H1329" s="953"/>
    </row>
    <row r="1330" spans="1:8" x14ac:dyDescent="0.25">
      <c r="A1330" s="952"/>
      <c r="B1330" s="953"/>
      <c r="C1330" s="953"/>
      <c r="D1330" s="953"/>
      <c r="E1330" s="953"/>
      <c r="F1330" s="953"/>
      <c r="G1330" s="953"/>
      <c r="H1330" s="953"/>
    </row>
    <row r="1331" spans="1:8" x14ac:dyDescent="0.25">
      <c r="A1331" s="952"/>
      <c r="B1331" s="953"/>
      <c r="C1331" s="953"/>
      <c r="D1331" s="953"/>
      <c r="E1331" s="953"/>
      <c r="F1331" s="953"/>
      <c r="G1331" s="953"/>
      <c r="H1331" s="953"/>
    </row>
    <row r="1332" spans="1:8" x14ac:dyDescent="0.25">
      <c r="A1332" s="952"/>
      <c r="B1332" s="953"/>
      <c r="C1332" s="953"/>
      <c r="D1332" s="953"/>
      <c r="E1332" s="953"/>
      <c r="F1332" s="953"/>
      <c r="G1332" s="953"/>
      <c r="H1332" s="953"/>
    </row>
    <row r="1333" spans="1:8" x14ac:dyDescent="0.25">
      <c r="A1333" s="952"/>
      <c r="B1333" s="953"/>
      <c r="C1333" s="953"/>
      <c r="D1333" s="953"/>
      <c r="E1333" s="953"/>
      <c r="F1333" s="953"/>
      <c r="G1333" s="953"/>
      <c r="H1333" s="953"/>
    </row>
    <row r="1334" spans="1:8" x14ac:dyDescent="0.25">
      <c r="A1334" s="952"/>
      <c r="B1334" s="953"/>
      <c r="C1334" s="953"/>
      <c r="D1334" s="953"/>
      <c r="E1334" s="953"/>
      <c r="F1334" s="953"/>
      <c r="G1334" s="953"/>
      <c r="H1334" s="953"/>
    </row>
    <row r="1335" spans="1:8" x14ac:dyDescent="0.25">
      <c r="A1335" s="952"/>
      <c r="B1335" s="953"/>
      <c r="C1335" s="953"/>
      <c r="D1335" s="953"/>
      <c r="E1335" s="953"/>
      <c r="F1335" s="953"/>
      <c r="G1335" s="953"/>
      <c r="H1335" s="953"/>
    </row>
    <row r="1336" spans="1:8" x14ac:dyDescent="0.25">
      <c r="A1336" s="952"/>
      <c r="B1336" s="953"/>
      <c r="C1336" s="953"/>
      <c r="D1336" s="953"/>
      <c r="E1336" s="953"/>
      <c r="F1336" s="953"/>
      <c r="G1336" s="953"/>
      <c r="H1336" s="953"/>
    </row>
    <row r="1337" spans="1:8" x14ac:dyDescent="0.25">
      <c r="A1337" s="952"/>
      <c r="B1337" s="953"/>
      <c r="C1337" s="953"/>
      <c r="D1337" s="953"/>
      <c r="E1337" s="953"/>
      <c r="F1337" s="953"/>
      <c r="G1337" s="953"/>
      <c r="H1337" s="953"/>
    </row>
    <row r="1338" spans="1:8" x14ac:dyDescent="0.25">
      <c r="A1338" s="952"/>
      <c r="B1338" s="953"/>
      <c r="C1338" s="953"/>
      <c r="D1338" s="953"/>
      <c r="E1338" s="953"/>
      <c r="F1338" s="953"/>
      <c r="G1338" s="953"/>
      <c r="H1338" s="953"/>
    </row>
    <row r="1339" spans="1:8" x14ac:dyDescent="0.25">
      <c r="A1339" s="952"/>
      <c r="B1339" s="953"/>
      <c r="C1339" s="953"/>
      <c r="D1339" s="953"/>
      <c r="E1339" s="953"/>
      <c r="F1339" s="953"/>
      <c r="G1339" s="953"/>
      <c r="H1339" s="953"/>
    </row>
    <row r="1340" spans="1:8" x14ac:dyDescent="0.25">
      <c r="A1340" s="952"/>
      <c r="B1340" s="953"/>
      <c r="C1340" s="953"/>
      <c r="D1340" s="953"/>
      <c r="E1340" s="953"/>
      <c r="F1340" s="953"/>
      <c r="G1340" s="953"/>
      <c r="H1340" s="953"/>
    </row>
    <row r="1341" spans="1:8" x14ac:dyDescent="0.25">
      <c r="A1341" s="952"/>
      <c r="B1341" s="953"/>
      <c r="C1341" s="953"/>
      <c r="D1341" s="953"/>
      <c r="E1341" s="953"/>
      <c r="F1341" s="953"/>
      <c r="G1341" s="953"/>
      <c r="H1341" s="953"/>
    </row>
    <row r="1342" spans="1:8" x14ac:dyDescent="0.25">
      <c r="A1342" s="952"/>
      <c r="B1342" s="953"/>
      <c r="C1342" s="953"/>
      <c r="D1342" s="953"/>
      <c r="E1342" s="953"/>
      <c r="F1342" s="953"/>
      <c r="G1342" s="953"/>
      <c r="H1342" s="953"/>
    </row>
    <row r="1343" spans="1:8" x14ac:dyDescent="0.25">
      <c r="A1343" s="952"/>
      <c r="B1343" s="953"/>
      <c r="C1343" s="953"/>
      <c r="D1343" s="953"/>
      <c r="E1343" s="953"/>
      <c r="F1343" s="953"/>
      <c r="G1343" s="953"/>
      <c r="H1343" s="953"/>
    </row>
    <row r="1344" spans="1:8" x14ac:dyDescent="0.25">
      <c r="A1344" s="952"/>
      <c r="B1344" s="953"/>
      <c r="C1344" s="953"/>
      <c r="D1344" s="953"/>
      <c r="E1344" s="953"/>
      <c r="F1344" s="953"/>
      <c r="G1344" s="953"/>
      <c r="H1344" s="953"/>
    </row>
    <row r="1345" spans="1:8" x14ac:dyDescent="0.25">
      <c r="A1345" s="952"/>
      <c r="B1345" s="953"/>
      <c r="C1345" s="953"/>
      <c r="D1345" s="953"/>
      <c r="E1345" s="953"/>
      <c r="F1345" s="953"/>
      <c r="G1345" s="953"/>
      <c r="H1345" s="953"/>
    </row>
    <row r="1346" spans="1:8" x14ac:dyDescent="0.25">
      <c r="A1346" s="952"/>
      <c r="B1346" s="953"/>
      <c r="C1346" s="953"/>
      <c r="D1346" s="953"/>
      <c r="E1346" s="953"/>
      <c r="F1346" s="953"/>
      <c r="G1346" s="953"/>
      <c r="H1346" s="953"/>
    </row>
    <row r="1347" spans="1:8" x14ac:dyDescent="0.25">
      <c r="A1347" s="952"/>
      <c r="B1347" s="953"/>
      <c r="C1347" s="953"/>
      <c r="D1347" s="953"/>
      <c r="E1347" s="953"/>
      <c r="F1347" s="953"/>
      <c r="G1347" s="953"/>
      <c r="H1347" s="953"/>
    </row>
    <row r="1348" spans="1:8" x14ac:dyDescent="0.25">
      <c r="A1348" s="952"/>
      <c r="B1348" s="953"/>
      <c r="C1348" s="953"/>
      <c r="D1348" s="953"/>
      <c r="E1348" s="953"/>
      <c r="F1348" s="953"/>
      <c r="G1348" s="953"/>
      <c r="H1348" s="953"/>
    </row>
    <row r="1349" spans="1:8" x14ac:dyDescent="0.25">
      <c r="A1349" s="952"/>
      <c r="B1349" s="953"/>
      <c r="C1349" s="953"/>
      <c r="D1349" s="953"/>
      <c r="E1349" s="953"/>
      <c r="F1349" s="953"/>
      <c r="G1349" s="953"/>
      <c r="H1349" s="953"/>
    </row>
    <row r="1350" spans="1:8" x14ac:dyDescent="0.25">
      <c r="A1350" s="952"/>
      <c r="B1350" s="953"/>
      <c r="C1350" s="953"/>
      <c r="D1350" s="953"/>
      <c r="E1350" s="953"/>
      <c r="F1350" s="953"/>
      <c r="G1350" s="953"/>
      <c r="H1350" s="953"/>
    </row>
    <row r="1351" spans="1:8" x14ac:dyDescent="0.25">
      <c r="A1351" s="952"/>
      <c r="B1351" s="953"/>
      <c r="C1351" s="953"/>
      <c r="D1351" s="953"/>
      <c r="E1351" s="953"/>
      <c r="F1351" s="953"/>
      <c r="G1351" s="953"/>
      <c r="H1351" s="953"/>
    </row>
    <row r="1352" spans="1:8" x14ac:dyDescent="0.25">
      <c r="A1352" s="952"/>
      <c r="B1352" s="953"/>
      <c r="C1352" s="953"/>
      <c r="D1352" s="953"/>
      <c r="E1352" s="953"/>
      <c r="F1352" s="953"/>
      <c r="G1352" s="953"/>
      <c r="H1352" s="953"/>
    </row>
    <row r="1353" spans="1:8" x14ac:dyDescent="0.25">
      <c r="A1353" s="952"/>
      <c r="B1353" s="953"/>
      <c r="C1353" s="953"/>
      <c r="D1353" s="953"/>
      <c r="E1353" s="953"/>
      <c r="F1353" s="953"/>
      <c r="G1353" s="953"/>
      <c r="H1353" s="953"/>
    </row>
    <row r="1354" spans="1:8" x14ac:dyDescent="0.25">
      <c r="A1354" s="952"/>
      <c r="B1354" s="953"/>
      <c r="C1354" s="953"/>
      <c r="D1354" s="953"/>
      <c r="E1354" s="953"/>
      <c r="F1354" s="953"/>
      <c r="G1354" s="953"/>
      <c r="H1354" s="953"/>
    </row>
    <row r="1355" spans="1:8" x14ac:dyDescent="0.25">
      <c r="A1355" s="952"/>
      <c r="B1355" s="953"/>
      <c r="C1355" s="953"/>
      <c r="D1355" s="953"/>
      <c r="E1355" s="953"/>
      <c r="F1355" s="953"/>
      <c r="G1355" s="953"/>
      <c r="H1355" s="953"/>
    </row>
    <row r="1356" spans="1:8" x14ac:dyDescent="0.25">
      <c r="A1356" s="952"/>
      <c r="B1356" s="953"/>
      <c r="C1356" s="953"/>
      <c r="D1356" s="953"/>
      <c r="E1356" s="953"/>
      <c r="F1356" s="953"/>
      <c r="G1356" s="953"/>
      <c r="H1356" s="953"/>
    </row>
    <row r="1357" spans="1:8" x14ac:dyDescent="0.25">
      <c r="A1357" s="952"/>
      <c r="B1357" s="953"/>
      <c r="C1357" s="953"/>
      <c r="D1357" s="953"/>
      <c r="E1357" s="953"/>
      <c r="F1357" s="953"/>
      <c r="G1357" s="953"/>
      <c r="H1357" s="953"/>
    </row>
    <row r="1358" spans="1:8" x14ac:dyDescent="0.25">
      <c r="A1358" s="952"/>
      <c r="B1358" s="953"/>
      <c r="C1358" s="953"/>
      <c r="D1358" s="953"/>
      <c r="E1358" s="953"/>
      <c r="F1358" s="953"/>
      <c r="G1358" s="953"/>
      <c r="H1358" s="953"/>
    </row>
    <row r="1359" spans="1:8" x14ac:dyDescent="0.25">
      <c r="A1359" s="952"/>
      <c r="B1359" s="953"/>
      <c r="C1359" s="953"/>
      <c r="D1359" s="953"/>
      <c r="E1359" s="953"/>
      <c r="F1359" s="953"/>
      <c r="G1359" s="953"/>
      <c r="H1359" s="953"/>
    </row>
    <row r="1360" spans="1:8" x14ac:dyDescent="0.25">
      <c r="A1360" s="952"/>
      <c r="B1360" s="953"/>
      <c r="C1360" s="953"/>
      <c r="D1360" s="953"/>
      <c r="E1360" s="953"/>
      <c r="F1360" s="953"/>
      <c r="G1360" s="953"/>
      <c r="H1360" s="953"/>
    </row>
    <row r="1361" spans="1:8" x14ac:dyDescent="0.25">
      <c r="A1361" s="952"/>
      <c r="B1361" s="953"/>
      <c r="C1361" s="953"/>
      <c r="D1361" s="953"/>
      <c r="E1361" s="953"/>
      <c r="F1361" s="953"/>
      <c r="G1361" s="953"/>
      <c r="H1361" s="953"/>
    </row>
    <row r="1362" spans="1:8" x14ac:dyDescent="0.25">
      <c r="A1362" s="952"/>
      <c r="B1362" s="953"/>
      <c r="C1362" s="953"/>
      <c r="D1362" s="953"/>
      <c r="E1362" s="953"/>
      <c r="F1362" s="953"/>
      <c r="G1362" s="953"/>
      <c r="H1362" s="953"/>
    </row>
    <row r="1363" spans="1:8" x14ac:dyDescent="0.25">
      <c r="A1363" s="952"/>
      <c r="B1363" s="953"/>
      <c r="C1363" s="953"/>
      <c r="D1363" s="953"/>
      <c r="E1363" s="953"/>
      <c r="F1363" s="953"/>
      <c r="G1363" s="953"/>
      <c r="H1363" s="953"/>
    </row>
    <row r="1364" spans="1:8" x14ac:dyDescent="0.25">
      <c r="A1364" s="952"/>
      <c r="B1364" s="953"/>
      <c r="C1364" s="953"/>
      <c r="D1364" s="953"/>
      <c r="E1364" s="953"/>
      <c r="F1364" s="953"/>
      <c r="G1364" s="953"/>
      <c r="H1364" s="953"/>
    </row>
    <row r="1365" spans="1:8" x14ac:dyDescent="0.25">
      <c r="A1365" s="952"/>
      <c r="B1365" s="953"/>
      <c r="C1365" s="953"/>
      <c r="D1365" s="953"/>
      <c r="E1365" s="953"/>
      <c r="F1365" s="953"/>
      <c r="G1365" s="953"/>
      <c r="H1365" s="953"/>
    </row>
    <row r="1366" spans="1:8" x14ac:dyDescent="0.25">
      <c r="A1366" s="952"/>
      <c r="B1366" s="953"/>
      <c r="C1366" s="953"/>
      <c r="D1366" s="953"/>
      <c r="E1366" s="953"/>
      <c r="F1366" s="953"/>
      <c r="G1366" s="953"/>
      <c r="H1366" s="953"/>
    </row>
    <row r="1367" spans="1:8" x14ac:dyDescent="0.25">
      <c r="A1367" s="952"/>
      <c r="B1367" s="953"/>
      <c r="C1367" s="953"/>
      <c r="D1367" s="953"/>
      <c r="E1367" s="953"/>
      <c r="F1367" s="953"/>
      <c r="G1367" s="953"/>
      <c r="H1367" s="953"/>
    </row>
    <row r="1368" spans="1:8" x14ac:dyDescent="0.25">
      <c r="A1368" s="952"/>
      <c r="B1368" s="953"/>
      <c r="C1368" s="953"/>
      <c r="D1368" s="953"/>
      <c r="E1368" s="953"/>
      <c r="F1368" s="953"/>
      <c r="G1368" s="953"/>
      <c r="H1368" s="953"/>
    </row>
    <row r="1369" spans="1:8" x14ac:dyDescent="0.25">
      <c r="A1369" s="952"/>
      <c r="B1369" s="953"/>
      <c r="C1369" s="953"/>
      <c r="D1369" s="953"/>
      <c r="E1369" s="953"/>
      <c r="F1369" s="953"/>
      <c r="G1369" s="953"/>
      <c r="H1369" s="953"/>
    </row>
    <row r="1370" spans="1:8" x14ac:dyDescent="0.25">
      <c r="A1370" s="952"/>
      <c r="B1370" s="953"/>
      <c r="C1370" s="953"/>
      <c r="D1370" s="953"/>
      <c r="E1370" s="953"/>
      <c r="F1370" s="953"/>
      <c r="G1370" s="953"/>
      <c r="H1370" s="953"/>
    </row>
    <row r="1371" spans="1:8" x14ac:dyDescent="0.25">
      <c r="A1371" s="952"/>
      <c r="B1371" s="953"/>
      <c r="C1371" s="953"/>
      <c r="D1371" s="953"/>
      <c r="E1371" s="953"/>
      <c r="F1371" s="953"/>
      <c r="G1371" s="953"/>
      <c r="H1371" s="953"/>
    </row>
    <row r="1372" spans="1:8" x14ac:dyDescent="0.25">
      <c r="A1372" s="952"/>
      <c r="B1372" s="953"/>
      <c r="C1372" s="953"/>
      <c r="D1372" s="953"/>
      <c r="E1372" s="953"/>
      <c r="F1372" s="953"/>
      <c r="G1372" s="953"/>
      <c r="H1372" s="953"/>
    </row>
    <row r="1373" spans="1:8" x14ac:dyDescent="0.25">
      <c r="A1373" s="952"/>
      <c r="B1373" s="953"/>
      <c r="C1373" s="953"/>
      <c r="D1373" s="953"/>
      <c r="E1373" s="953"/>
      <c r="F1373" s="953"/>
      <c r="G1373" s="953"/>
      <c r="H1373" s="953"/>
    </row>
    <row r="1374" spans="1:8" x14ac:dyDescent="0.25">
      <c r="A1374" s="952"/>
      <c r="B1374" s="953"/>
      <c r="C1374" s="953"/>
      <c r="D1374" s="953"/>
      <c r="E1374" s="953"/>
      <c r="F1374" s="953"/>
      <c r="G1374" s="953"/>
      <c r="H1374" s="953"/>
    </row>
    <row r="1375" spans="1:8" x14ac:dyDescent="0.25">
      <c r="A1375" s="952"/>
      <c r="B1375" s="953"/>
      <c r="C1375" s="953"/>
      <c r="D1375" s="953"/>
      <c r="E1375" s="953"/>
      <c r="F1375" s="953"/>
      <c r="G1375" s="953"/>
      <c r="H1375" s="953"/>
    </row>
    <row r="1376" spans="1:8" x14ac:dyDescent="0.25">
      <c r="A1376" s="952"/>
      <c r="B1376" s="953"/>
      <c r="C1376" s="953"/>
      <c r="D1376" s="953"/>
      <c r="E1376" s="953"/>
      <c r="F1376" s="953"/>
      <c r="G1376" s="953"/>
      <c r="H1376" s="953"/>
    </row>
    <row r="1377" spans="1:8" x14ac:dyDescent="0.25">
      <c r="A1377" s="952"/>
      <c r="B1377" s="953"/>
      <c r="C1377" s="953"/>
      <c r="D1377" s="953"/>
      <c r="E1377" s="953"/>
      <c r="F1377" s="953"/>
      <c r="G1377" s="953"/>
      <c r="H1377" s="953"/>
    </row>
    <row r="1378" spans="1:8" x14ac:dyDescent="0.25">
      <c r="A1378" s="952"/>
      <c r="B1378" s="953"/>
      <c r="C1378" s="953"/>
      <c r="D1378" s="953"/>
      <c r="E1378" s="953"/>
      <c r="F1378" s="953"/>
      <c r="G1378" s="953"/>
      <c r="H1378" s="953"/>
    </row>
    <row r="1379" spans="1:8" x14ac:dyDescent="0.25">
      <c r="A1379" s="952"/>
      <c r="B1379" s="953"/>
      <c r="C1379" s="953"/>
      <c r="D1379" s="953"/>
      <c r="E1379" s="953"/>
      <c r="F1379" s="953"/>
      <c r="G1379" s="953"/>
      <c r="H1379" s="953"/>
    </row>
    <row r="1380" spans="1:8" x14ac:dyDescent="0.25">
      <c r="A1380" s="952"/>
      <c r="B1380" s="953"/>
      <c r="C1380" s="953"/>
      <c r="D1380" s="953"/>
      <c r="E1380" s="953"/>
      <c r="F1380" s="953"/>
      <c r="G1380" s="953"/>
      <c r="H1380" s="953"/>
    </row>
    <row r="1381" spans="1:8" x14ac:dyDescent="0.25">
      <c r="A1381" s="952"/>
      <c r="B1381" s="953"/>
      <c r="C1381" s="953"/>
      <c r="D1381" s="953"/>
      <c r="E1381" s="953"/>
      <c r="F1381" s="953"/>
      <c r="G1381" s="953"/>
      <c r="H1381" s="953"/>
    </row>
    <row r="1382" spans="1:8" x14ac:dyDescent="0.25">
      <c r="A1382" s="952"/>
      <c r="B1382" s="953"/>
      <c r="C1382" s="953"/>
      <c r="D1382" s="953"/>
      <c r="E1382" s="953"/>
      <c r="F1382" s="953"/>
      <c r="G1382" s="953"/>
      <c r="H1382" s="953"/>
    </row>
    <row r="1383" spans="1:8" x14ac:dyDescent="0.25">
      <c r="A1383" s="952"/>
      <c r="B1383" s="953"/>
      <c r="C1383" s="953"/>
      <c r="D1383" s="953"/>
      <c r="E1383" s="953"/>
      <c r="F1383" s="953"/>
      <c r="G1383" s="953"/>
      <c r="H1383" s="953"/>
    </row>
    <row r="1384" spans="1:8" x14ac:dyDescent="0.25">
      <c r="A1384" s="952"/>
      <c r="B1384" s="953"/>
      <c r="C1384" s="953"/>
      <c r="D1384" s="953"/>
      <c r="E1384" s="953"/>
      <c r="F1384" s="953"/>
      <c r="G1384" s="953"/>
      <c r="H1384" s="953"/>
    </row>
    <row r="1385" spans="1:8" x14ac:dyDescent="0.25">
      <c r="A1385" s="952"/>
      <c r="B1385" s="953"/>
      <c r="C1385" s="953"/>
      <c r="D1385" s="953"/>
      <c r="E1385" s="953"/>
      <c r="F1385" s="953"/>
      <c r="G1385" s="953"/>
      <c r="H1385" s="953"/>
    </row>
    <row r="1386" spans="1:8" x14ac:dyDescent="0.25">
      <c r="A1386" s="952"/>
      <c r="B1386" s="953"/>
      <c r="C1386" s="953"/>
      <c r="D1386" s="953"/>
      <c r="E1386" s="953"/>
      <c r="F1386" s="953"/>
      <c r="G1386" s="953"/>
      <c r="H1386" s="953"/>
    </row>
    <row r="1387" spans="1:8" x14ac:dyDescent="0.25">
      <c r="A1387" s="952"/>
      <c r="B1387" s="953"/>
      <c r="C1387" s="953"/>
      <c r="D1387" s="953"/>
      <c r="E1387" s="953"/>
      <c r="F1387" s="953"/>
      <c r="G1387" s="953"/>
      <c r="H1387" s="953"/>
    </row>
    <row r="1388" spans="1:8" x14ac:dyDescent="0.25">
      <c r="A1388" s="952"/>
      <c r="B1388" s="953"/>
      <c r="C1388" s="953"/>
      <c r="D1388" s="953"/>
      <c r="E1388" s="953"/>
      <c r="F1388" s="953"/>
      <c r="G1388" s="953"/>
      <c r="H1388" s="953"/>
    </row>
    <row r="1389" spans="1:8" x14ac:dyDescent="0.25">
      <c r="A1389" s="952"/>
      <c r="B1389" s="953"/>
      <c r="C1389" s="953"/>
      <c r="D1389" s="953"/>
      <c r="E1389" s="953"/>
      <c r="F1389" s="953"/>
      <c r="G1389" s="953"/>
      <c r="H1389" s="953"/>
    </row>
    <row r="1390" spans="1:8" x14ac:dyDescent="0.25">
      <c r="A1390" s="952"/>
      <c r="B1390" s="953"/>
      <c r="C1390" s="953"/>
      <c r="D1390" s="953"/>
      <c r="E1390" s="953"/>
      <c r="F1390" s="953"/>
      <c r="G1390" s="953"/>
      <c r="H1390" s="953"/>
    </row>
    <row r="1391" spans="1:8" x14ac:dyDescent="0.25">
      <c r="A1391" s="952"/>
      <c r="B1391" s="953"/>
      <c r="C1391" s="953"/>
      <c r="D1391" s="953"/>
      <c r="E1391" s="953"/>
      <c r="F1391" s="953"/>
      <c r="G1391" s="953"/>
      <c r="H1391" s="953"/>
    </row>
    <row r="1392" spans="1:8" x14ac:dyDescent="0.25">
      <c r="A1392" s="952"/>
      <c r="B1392" s="953"/>
      <c r="C1392" s="953"/>
      <c r="D1392" s="953"/>
      <c r="E1392" s="953"/>
      <c r="F1392" s="953"/>
      <c r="G1392" s="953"/>
      <c r="H1392" s="953"/>
    </row>
    <row r="1393" spans="1:8" x14ac:dyDescent="0.25">
      <c r="A1393" s="952"/>
      <c r="B1393" s="953"/>
      <c r="C1393" s="953"/>
      <c r="D1393" s="953"/>
      <c r="E1393" s="953"/>
      <c r="F1393" s="953"/>
      <c r="G1393" s="953"/>
      <c r="H1393" s="953"/>
    </row>
    <row r="1394" spans="1:8" x14ac:dyDescent="0.25">
      <c r="A1394" s="952"/>
      <c r="B1394" s="953"/>
      <c r="C1394" s="953"/>
      <c r="D1394" s="953"/>
      <c r="E1394" s="953"/>
      <c r="F1394" s="953"/>
      <c r="G1394" s="953"/>
      <c r="H1394" s="953"/>
    </row>
    <row r="1395" spans="1:8" x14ac:dyDescent="0.25">
      <c r="A1395" s="952"/>
      <c r="B1395" s="953"/>
      <c r="C1395" s="953"/>
      <c r="D1395" s="953"/>
      <c r="E1395" s="953"/>
      <c r="F1395" s="953"/>
      <c r="G1395" s="953"/>
      <c r="H1395" s="953"/>
    </row>
    <row r="1396" spans="1:8" x14ac:dyDescent="0.25">
      <c r="A1396" s="952"/>
      <c r="B1396" s="953"/>
      <c r="C1396" s="953"/>
      <c r="D1396" s="953"/>
      <c r="E1396" s="953"/>
      <c r="F1396" s="953"/>
      <c r="G1396" s="953"/>
      <c r="H1396" s="953"/>
    </row>
    <row r="1397" spans="1:8" x14ac:dyDescent="0.25">
      <c r="A1397" s="952"/>
      <c r="B1397" s="953"/>
      <c r="C1397" s="953"/>
      <c r="D1397" s="953"/>
      <c r="E1397" s="953"/>
      <c r="F1397" s="953"/>
      <c r="G1397" s="953"/>
      <c r="H1397" s="953"/>
    </row>
    <row r="1398" spans="1:8" x14ac:dyDescent="0.25">
      <c r="A1398" s="952"/>
      <c r="B1398" s="953"/>
      <c r="C1398" s="953"/>
      <c r="D1398" s="953"/>
      <c r="E1398" s="953"/>
      <c r="F1398" s="953"/>
      <c r="G1398" s="953"/>
      <c r="H1398" s="953"/>
    </row>
    <row r="1399" spans="1:8" x14ac:dyDescent="0.25">
      <c r="A1399" s="952"/>
      <c r="B1399" s="953"/>
      <c r="C1399" s="953"/>
      <c r="D1399" s="953"/>
      <c r="E1399" s="953"/>
      <c r="F1399" s="953"/>
      <c r="G1399" s="953"/>
      <c r="H1399" s="953"/>
    </row>
    <row r="1400" spans="1:8" x14ac:dyDescent="0.25">
      <c r="A1400" s="952"/>
      <c r="B1400" s="953"/>
      <c r="C1400" s="953"/>
      <c r="D1400" s="953"/>
      <c r="E1400" s="953"/>
      <c r="F1400" s="953"/>
      <c r="G1400" s="953"/>
      <c r="H1400" s="953"/>
    </row>
    <row r="1401" spans="1:8" x14ac:dyDescent="0.25">
      <c r="A1401" s="952"/>
      <c r="B1401" s="953"/>
      <c r="C1401" s="953"/>
      <c r="D1401" s="953"/>
      <c r="E1401" s="953"/>
      <c r="F1401" s="953"/>
      <c r="G1401" s="953"/>
      <c r="H1401" s="953"/>
    </row>
    <row r="1402" spans="1:8" x14ac:dyDescent="0.25">
      <c r="A1402" s="952"/>
      <c r="B1402" s="953"/>
      <c r="C1402" s="953"/>
      <c r="D1402" s="953"/>
      <c r="E1402" s="953"/>
      <c r="F1402" s="953"/>
      <c r="G1402" s="953"/>
      <c r="H1402" s="953"/>
    </row>
    <row r="1403" spans="1:8" x14ac:dyDescent="0.25">
      <c r="A1403" s="952"/>
      <c r="B1403" s="953"/>
      <c r="C1403" s="953"/>
      <c r="D1403" s="953"/>
      <c r="E1403" s="953"/>
      <c r="F1403" s="953"/>
      <c r="G1403" s="953"/>
      <c r="H1403" s="953"/>
    </row>
    <row r="1404" spans="1:8" x14ac:dyDescent="0.25">
      <c r="A1404" s="952"/>
      <c r="B1404" s="953"/>
      <c r="C1404" s="953"/>
      <c r="D1404" s="953"/>
      <c r="E1404" s="953"/>
      <c r="F1404" s="953"/>
      <c r="G1404" s="953"/>
      <c r="H1404" s="953"/>
    </row>
    <row r="1405" spans="1:8" x14ac:dyDescent="0.25">
      <c r="A1405" s="952"/>
      <c r="B1405" s="953"/>
      <c r="C1405" s="953"/>
      <c r="D1405" s="953"/>
      <c r="E1405" s="953"/>
      <c r="F1405" s="953"/>
      <c r="G1405" s="953"/>
      <c r="H1405" s="953"/>
    </row>
    <row r="1406" spans="1:8" x14ac:dyDescent="0.25">
      <c r="A1406" s="952"/>
      <c r="B1406" s="953"/>
      <c r="C1406" s="953"/>
      <c r="D1406" s="953"/>
      <c r="E1406" s="953"/>
      <c r="F1406" s="953"/>
      <c r="G1406" s="953"/>
      <c r="H1406" s="953"/>
    </row>
    <row r="1407" spans="1:8" x14ac:dyDescent="0.25">
      <c r="A1407" s="952"/>
      <c r="B1407" s="953"/>
      <c r="C1407" s="953"/>
      <c r="D1407" s="953"/>
      <c r="E1407" s="953"/>
      <c r="F1407" s="953"/>
      <c r="G1407" s="953"/>
      <c r="H1407" s="953"/>
    </row>
    <row r="1408" spans="1:8" x14ac:dyDescent="0.25">
      <c r="A1408" s="952"/>
      <c r="B1408" s="953"/>
      <c r="C1408" s="953"/>
      <c r="D1408" s="953"/>
      <c r="E1408" s="953"/>
      <c r="F1408" s="953"/>
      <c r="G1408" s="953"/>
      <c r="H1408" s="953"/>
    </row>
    <row r="1409" spans="1:8" x14ac:dyDescent="0.25">
      <c r="A1409" s="952"/>
      <c r="B1409" s="953"/>
      <c r="C1409" s="953"/>
      <c r="D1409" s="953"/>
      <c r="E1409" s="953"/>
      <c r="F1409" s="953"/>
      <c r="G1409" s="953"/>
      <c r="H1409" s="953"/>
    </row>
    <row r="1410" spans="1:8" x14ac:dyDescent="0.25">
      <c r="A1410" s="952"/>
      <c r="B1410" s="953"/>
      <c r="C1410" s="953"/>
      <c r="D1410" s="953"/>
      <c r="E1410" s="953"/>
      <c r="F1410" s="953"/>
      <c r="G1410" s="953"/>
      <c r="H1410" s="953"/>
    </row>
    <row r="1411" spans="1:8" x14ac:dyDescent="0.25">
      <c r="A1411" s="952"/>
      <c r="B1411" s="953"/>
      <c r="C1411" s="953"/>
      <c r="D1411" s="953"/>
      <c r="E1411" s="953"/>
      <c r="F1411" s="953"/>
      <c r="G1411" s="953"/>
      <c r="H1411" s="953"/>
    </row>
    <row r="1412" spans="1:8" x14ac:dyDescent="0.25">
      <c r="A1412" s="952"/>
      <c r="B1412" s="953"/>
      <c r="C1412" s="953"/>
      <c r="D1412" s="953"/>
      <c r="E1412" s="953"/>
      <c r="F1412" s="953"/>
      <c r="G1412" s="953"/>
      <c r="H1412" s="953"/>
    </row>
    <row r="1413" spans="1:8" x14ac:dyDescent="0.25">
      <c r="A1413" s="952"/>
      <c r="B1413" s="953"/>
      <c r="C1413" s="953"/>
      <c r="D1413" s="953"/>
      <c r="E1413" s="953"/>
      <c r="F1413" s="953"/>
      <c r="G1413" s="953"/>
      <c r="H1413" s="953"/>
    </row>
    <row r="1414" spans="1:8" x14ac:dyDescent="0.25">
      <c r="A1414" s="952"/>
      <c r="B1414" s="953"/>
      <c r="C1414" s="953"/>
      <c r="D1414" s="953"/>
      <c r="E1414" s="953"/>
      <c r="F1414" s="953"/>
      <c r="G1414" s="953"/>
      <c r="H1414" s="953"/>
    </row>
    <row r="1415" spans="1:8" x14ac:dyDescent="0.25">
      <c r="A1415" s="952"/>
      <c r="B1415" s="953"/>
      <c r="C1415" s="953"/>
      <c r="D1415" s="953"/>
      <c r="E1415" s="953"/>
      <c r="F1415" s="953"/>
      <c r="G1415" s="953"/>
      <c r="H1415" s="953"/>
    </row>
    <row r="1416" spans="1:8" x14ac:dyDescent="0.25">
      <c r="A1416" s="952"/>
      <c r="B1416" s="953"/>
      <c r="C1416" s="953"/>
      <c r="D1416" s="953"/>
      <c r="E1416" s="953"/>
      <c r="F1416" s="953"/>
      <c r="G1416" s="953"/>
      <c r="H1416" s="953"/>
    </row>
    <row r="1417" spans="1:8" x14ac:dyDescent="0.25">
      <c r="A1417" s="952"/>
      <c r="B1417" s="953"/>
      <c r="C1417" s="953"/>
      <c r="D1417" s="953"/>
      <c r="E1417" s="953"/>
      <c r="F1417" s="953"/>
      <c r="G1417" s="953"/>
      <c r="H1417" s="953"/>
    </row>
    <row r="1418" spans="1:8" x14ac:dyDescent="0.25">
      <c r="A1418" s="952"/>
      <c r="B1418" s="953"/>
      <c r="C1418" s="953"/>
      <c r="D1418" s="953"/>
      <c r="E1418" s="953"/>
      <c r="F1418" s="953"/>
      <c r="G1418" s="953"/>
      <c r="H1418" s="953"/>
    </row>
    <row r="1419" spans="1:8" x14ac:dyDescent="0.25">
      <c r="A1419" s="952"/>
      <c r="B1419" s="953"/>
      <c r="C1419" s="953"/>
      <c r="D1419" s="953"/>
      <c r="E1419" s="953"/>
      <c r="F1419" s="953"/>
      <c r="G1419" s="953"/>
      <c r="H1419" s="953"/>
    </row>
    <row r="1420" spans="1:8" x14ac:dyDescent="0.25">
      <c r="A1420" s="952"/>
      <c r="B1420" s="953"/>
      <c r="C1420" s="953"/>
      <c r="D1420" s="953"/>
      <c r="E1420" s="953"/>
      <c r="F1420" s="953"/>
      <c r="G1420" s="953"/>
      <c r="H1420" s="953"/>
    </row>
    <row r="1421" spans="1:8" x14ac:dyDescent="0.25">
      <c r="A1421" s="952"/>
      <c r="B1421" s="953"/>
      <c r="C1421" s="953"/>
      <c r="D1421" s="953"/>
      <c r="E1421" s="953"/>
      <c r="F1421" s="953"/>
      <c r="G1421" s="953"/>
      <c r="H1421" s="953"/>
    </row>
    <row r="1422" spans="1:8" x14ac:dyDescent="0.25">
      <c r="A1422" s="952"/>
      <c r="B1422" s="953"/>
      <c r="C1422" s="953"/>
      <c r="D1422" s="953"/>
      <c r="E1422" s="953"/>
      <c r="F1422" s="953"/>
      <c r="G1422" s="953"/>
      <c r="H1422" s="953"/>
    </row>
    <row r="1423" spans="1:8" x14ac:dyDescent="0.25">
      <c r="A1423" s="952"/>
      <c r="B1423" s="953"/>
      <c r="C1423" s="953"/>
      <c r="D1423" s="953"/>
      <c r="E1423" s="953"/>
      <c r="F1423" s="953"/>
      <c r="G1423" s="953"/>
      <c r="H1423" s="953"/>
    </row>
    <row r="1424" spans="1:8" x14ac:dyDescent="0.25">
      <c r="A1424" s="952"/>
      <c r="B1424" s="953"/>
      <c r="C1424" s="953"/>
      <c r="D1424" s="953"/>
      <c r="E1424" s="953"/>
      <c r="F1424" s="953"/>
      <c r="G1424" s="953"/>
      <c r="H1424" s="953"/>
    </row>
    <row r="1425" spans="1:8" x14ac:dyDescent="0.25">
      <c r="A1425" s="952"/>
      <c r="B1425" s="953"/>
      <c r="C1425" s="953"/>
      <c r="D1425" s="953"/>
      <c r="E1425" s="953"/>
      <c r="F1425" s="953"/>
      <c r="G1425" s="953"/>
      <c r="H1425" s="953"/>
    </row>
    <row r="1426" spans="1:8" x14ac:dyDescent="0.25">
      <c r="A1426" s="952"/>
      <c r="B1426" s="953"/>
      <c r="C1426" s="953"/>
      <c r="D1426" s="953"/>
      <c r="E1426" s="953"/>
      <c r="F1426" s="953"/>
      <c r="G1426" s="953"/>
      <c r="H1426" s="953"/>
    </row>
    <row r="1427" spans="1:8" x14ac:dyDescent="0.25">
      <c r="A1427" s="952"/>
      <c r="B1427" s="953"/>
      <c r="C1427" s="953"/>
      <c r="D1427" s="953"/>
      <c r="E1427" s="953"/>
      <c r="F1427" s="953"/>
      <c r="G1427" s="953"/>
      <c r="H1427" s="953"/>
    </row>
    <row r="1428" spans="1:8" x14ac:dyDescent="0.25">
      <c r="A1428" s="952"/>
      <c r="B1428" s="953"/>
      <c r="C1428" s="953"/>
      <c r="D1428" s="953"/>
      <c r="E1428" s="953"/>
      <c r="F1428" s="953"/>
      <c r="G1428" s="953"/>
      <c r="H1428" s="953"/>
    </row>
    <row r="1429" spans="1:8" x14ac:dyDescent="0.25">
      <c r="A1429" s="952"/>
      <c r="B1429" s="953"/>
      <c r="C1429" s="953"/>
      <c r="D1429" s="953"/>
      <c r="E1429" s="953"/>
      <c r="F1429" s="953"/>
      <c r="G1429" s="953"/>
      <c r="H1429" s="953"/>
    </row>
    <row r="1430" spans="1:8" x14ac:dyDescent="0.25">
      <c r="A1430" s="952"/>
      <c r="B1430" s="953"/>
      <c r="C1430" s="953"/>
      <c r="D1430" s="953"/>
      <c r="E1430" s="953"/>
      <c r="F1430" s="953"/>
      <c r="G1430" s="953"/>
      <c r="H1430" s="953"/>
    </row>
    <row r="1431" spans="1:8" x14ac:dyDescent="0.25">
      <c r="A1431" s="952"/>
      <c r="B1431" s="953"/>
      <c r="C1431" s="953"/>
      <c r="D1431" s="953"/>
      <c r="E1431" s="953"/>
      <c r="F1431" s="953"/>
      <c r="G1431" s="953"/>
      <c r="H1431" s="953"/>
    </row>
    <row r="1432" spans="1:8" x14ac:dyDescent="0.25">
      <c r="A1432" s="952"/>
      <c r="B1432" s="953"/>
      <c r="C1432" s="953"/>
      <c r="D1432" s="953"/>
      <c r="E1432" s="953"/>
      <c r="F1432" s="953"/>
      <c r="G1432" s="953"/>
      <c r="H1432" s="953"/>
    </row>
    <row r="1433" spans="1:8" x14ac:dyDescent="0.25">
      <c r="A1433" s="952"/>
      <c r="B1433" s="953"/>
      <c r="C1433" s="953"/>
      <c r="D1433" s="953"/>
      <c r="E1433" s="953"/>
      <c r="F1433" s="953"/>
      <c r="G1433" s="953"/>
      <c r="H1433" s="953"/>
    </row>
    <row r="1434" spans="1:8" x14ac:dyDescent="0.25">
      <c r="A1434" s="952"/>
      <c r="B1434" s="953"/>
      <c r="C1434" s="953"/>
      <c r="D1434" s="953"/>
      <c r="E1434" s="953"/>
      <c r="F1434" s="953"/>
      <c r="G1434" s="953"/>
      <c r="H1434" s="953"/>
    </row>
    <row r="1435" spans="1:8" x14ac:dyDescent="0.25">
      <c r="A1435" s="952"/>
      <c r="B1435" s="953"/>
      <c r="C1435" s="953"/>
      <c r="D1435" s="953"/>
      <c r="E1435" s="953"/>
      <c r="F1435" s="953"/>
      <c r="G1435" s="953"/>
      <c r="H1435" s="953"/>
    </row>
    <row r="1436" spans="1:8" x14ac:dyDescent="0.25">
      <c r="A1436" s="952"/>
      <c r="B1436" s="953"/>
      <c r="C1436" s="953"/>
      <c r="D1436" s="953"/>
      <c r="E1436" s="953"/>
      <c r="F1436" s="953"/>
      <c r="G1436" s="953"/>
      <c r="H1436" s="953"/>
    </row>
    <row r="1437" spans="1:8" x14ac:dyDescent="0.25">
      <c r="A1437" s="952"/>
      <c r="B1437" s="953"/>
      <c r="C1437" s="953"/>
      <c r="D1437" s="953"/>
      <c r="E1437" s="953"/>
      <c r="F1437" s="953"/>
      <c r="G1437" s="953"/>
      <c r="H1437" s="953"/>
    </row>
    <row r="1438" spans="1:8" x14ac:dyDescent="0.25">
      <c r="A1438" s="952"/>
      <c r="B1438" s="953"/>
      <c r="C1438" s="953"/>
      <c r="D1438" s="953"/>
      <c r="E1438" s="953"/>
      <c r="F1438" s="953"/>
      <c r="G1438" s="953"/>
      <c r="H1438" s="953"/>
    </row>
    <row r="1439" spans="1:8" x14ac:dyDescent="0.25">
      <c r="A1439" s="952"/>
      <c r="B1439" s="953"/>
      <c r="C1439" s="953"/>
      <c r="D1439" s="953"/>
      <c r="E1439" s="953"/>
      <c r="F1439" s="953"/>
      <c r="G1439" s="953"/>
      <c r="H1439" s="953"/>
    </row>
    <row r="1440" spans="1:8" x14ac:dyDescent="0.25">
      <c r="A1440" s="952"/>
      <c r="B1440" s="953"/>
      <c r="C1440" s="953"/>
      <c r="D1440" s="953"/>
      <c r="E1440" s="953"/>
      <c r="F1440" s="953"/>
      <c r="G1440" s="953"/>
      <c r="H1440" s="953"/>
    </row>
    <row r="1441" spans="1:8" x14ac:dyDescent="0.25">
      <c r="A1441" s="952"/>
      <c r="B1441" s="953"/>
      <c r="C1441" s="953"/>
      <c r="D1441" s="953"/>
      <c r="E1441" s="953"/>
      <c r="F1441" s="953"/>
      <c r="G1441" s="953"/>
      <c r="H1441" s="953"/>
    </row>
    <row r="1442" spans="1:8" x14ac:dyDescent="0.25">
      <c r="A1442" s="952"/>
      <c r="B1442" s="953"/>
      <c r="C1442" s="953"/>
      <c r="D1442" s="953"/>
      <c r="E1442" s="953"/>
      <c r="F1442" s="953"/>
      <c r="G1442" s="953"/>
      <c r="H1442" s="953"/>
    </row>
    <row r="1443" spans="1:8" x14ac:dyDescent="0.25">
      <c r="A1443" s="952"/>
      <c r="B1443" s="953"/>
      <c r="C1443" s="953"/>
      <c r="D1443" s="953"/>
      <c r="E1443" s="953"/>
      <c r="F1443" s="953"/>
      <c r="G1443" s="953"/>
      <c r="H1443" s="953"/>
    </row>
    <row r="1444" spans="1:8" x14ac:dyDescent="0.25">
      <c r="A1444" s="952"/>
      <c r="B1444" s="953"/>
      <c r="C1444" s="953"/>
      <c r="D1444" s="953"/>
      <c r="E1444" s="953"/>
      <c r="F1444" s="953"/>
      <c r="G1444" s="953"/>
      <c r="H1444" s="953"/>
    </row>
    <row r="1445" spans="1:8" x14ac:dyDescent="0.25">
      <c r="A1445" s="952"/>
      <c r="B1445" s="953"/>
      <c r="C1445" s="953"/>
      <c r="D1445" s="953"/>
      <c r="E1445" s="953"/>
      <c r="F1445" s="953"/>
      <c r="G1445" s="953"/>
      <c r="H1445" s="953"/>
    </row>
    <row r="1446" spans="1:8" x14ac:dyDescent="0.25">
      <c r="A1446" s="952"/>
      <c r="B1446" s="953"/>
      <c r="C1446" s="953"/>
      <c r="D1446" s="953"/>
      <c r="E1446" s="953"/>
      <c r="F1446" s="953"/>
      <c r="G1446" s="953"/>
      <c r="H1446" s="953"/>
    </row>
    <row r="1447" spans="1:8" x14ac:dyDescent="0.25">
      <c r="A1447" s="952"/>
      <c r="B1447" s="953"/>
      <c r="C1447" s="953"/>
      <c r="D1447" s="953"/>
      <c r="E1447" s="953"/>
      <c r="F1447" s="953"/>
      <c r="G1447" s="953"/>
      <c r="H1447" s="953"/>
    </row>
    <row r="1448" spans="1:8" x14ac:dyDescent="0.25">
      <c r="A1448" s="952"/>
      <c r="B1448" s="953"/>
      <c r="C1448" s="953"/>
      <c r="D1448" s="953"/>
      <c r="E1448" s="953"/>
      <c r="F1448" s="953"/>
      <c r="G1448" s="953"/>
      <c r="H1448" s="953"/>
    </row>
    <row r="1449" spans="1:8" x14ac:dyDescent="0.25">
      <c r="A1449" s="952"/>
      <c r="B1449" s="953"/>
      <c r="C1449" s="953"/>
      <c r="D1449" s="953"/>
      <c r="E1449" s="953"/>
      <c r="F1449" s="953"/>
      <c r="G1449" s="953"/>
      <c r="H1449" s="953"/>
    </row>
    <row r="1450" spans="1:8" x14ac:dyDescent="0.25">
      <c r="A1450" s="952"/>
      <c r="B1450" s="953"/>
      <c r="C1450" s="953"/>
      <c r="D1450" s="953"/>
      <c r="E1450" s="953"/>
      <c r="F1450" s="953"/>
      <c r="G1450" s="953"/>
      <c r="H1450" s="953"/>
    </row>
    <row r="1451" spans="1:8" x14ac:dyDescent="0.25">
      <c r="A1451" s="952"/>
      <c r="B1451" s="953"/>
      <c r="C1451" s="953"/>
      <c r="D1451" s="953"/>
      <c r="E1451" s="953"/>
      <c r="F1451" s="953"/>
      <c r="G1451" s="953"/>
      <c r="H1451" s="953"/>
    </row>
    <row r="1452" spans="1:8" x14ac:dyDescent="0.25">
      <c r="A1452" s="952"/>
      <c r="B1452" s="953"/>
      <c r="C1452" s="953"/>
      <c r="D1452" s="953"/>
      <c r="E1452" s="953"/>
      <c r="F1452" s="953"/>
      <c r="G1452" s="953"/>
      <c r="H1452" s="953"/>
    </row>
    <row r="1453" spans="1:8" x14ac:dyDescent="0.25">
      <c r="A1453" s="952"/>
      <c r="B1453" s="953"/>
      <c r="C1453" s="953"/>
      <c r="D1453" s="953"/>
      <c r="E1453" s="953"/>
      <c r="F1453" s="953"/>
      <c r="G1453" s="953"/>
      <c r="H1453" s="953"/>
    </row>
    <row r="1454" spans="1:8" x14ac:dyDescent="0.25">
      <c r="A1454" s="952"/>
      <c r="B1454" s="953"/>
      <c r="C1454" s="953"/>
      <c r="D1454" s="953"/>
      <c r="E1454" s="953"/>
      <c r="F1454" s="953"/>
      <c r="G1454" s="953"/>
      <c r="H1454" s="953"/>
    </row>
    <row r="1455" spans="1:8" x14ac:dyDescent="0.25">
      <c r="A1455" s="952"/>
      <c r="B1455" s="953"/>
      <c r="C1455" s="953"/>
      <c r="D1455" s="953"/>
      <c r="E1455" s="953"/>
      <c r="F1455" s="953"/>
      <c r="G1455" s="953"/>
      <c r="H1455" s="953"/>
    </row>
    <row r="1456" spans="1:8" x14ac:dyDescent="0.25">
      <c r="A1456" s="952"/>
      <c r="B1456" s="953"/>
      <c r="C1456" s="953"/>
      <c r="D1456" s="953"/>
      <c r="E1456" s="953"/>
      <c r="F1456" s="953"/>
      <c r="G1456" s="953"/>
      <c r="H1456" s="953"/>
    </row>
    <row r="1457" spans="1:8" x14ac:dyDescent="0.25">
      <c r="A1457" s="952"/>
      <c r="B1457" s="953"/>
      <c r="C1457" s="953"/>
      <c r="D1457" s="953"/>
      <c r="E1457" s="953"/>
      <c r="F1457" s="953"/>
      <c r="G1457" s="953"/>
      <c r="H1457" s="953"/>
    </row>
    <row r="1458" spans="1:8" x14ac:dyDescent="0.25">
      <c r="A1458" s="952"/>
      <c r="B1458" s="953"/>
      <c r="C1458" s="953"/>
      <c r="D1458" s="953"/>
      <c r="E1458" s="953"/>
      <c r="F1458" s="953"/>
      <c r="G1458" s="953"/>
      <c r="H1458" s="953"/>
    </row>
    <row r="1459" spans="1:8" x14ac:dyDescent="0.25">
      <c r="A1459" s="952"/>
      <c r="B1459" s="953"/>
      <c r="C1459" s="953"/>
      <c r="D1459" s="953"/>
      <c r="E1459" s="953"/>
      <c r="F1459" s="953"/>
      <c r="G1459" s="953"/>
      <c r="H1459" s="953"/>
    </row>
    <row r="1460" spans="1:8" x14ac:dyDescent="0.25">
      <c r="A1460" s="952"/>
      <c r="B1460" s="953"/>
      <c r="C1460" s="953"/>
      <c r="D1460" s="953"/>
      <c r="E1460" s="953"/>
      <c r="F1460" s="953"/>
      <c r="G1460" s="953"/>
      <c r="H1460" s="953"/>
    </row>
    <row r="1461" spans="1:8" x14ac:dyDescent="0.25">
      <c r="A1461" s="952"/>
      <c r="B1461" s="953"/>
      <c r="C1461" s="953"/>
      <c r="D1461" s="953"/>
      <c r="E1461" s="953"/>
      <c r="F1461" s="953"/>
      <c r="G1461" s="953"/>
      <c r="H1461" s="953"/>
    </row>
    <row r="1462" spans="1:8" x14ac:dyDescent="0.25">
      <c r="A1462" s="952"/>
      <c r="B1462" s="953"/>
      <c r="C1462" s="953"/>
      <c r="D1462" s="953"/>
      <c r="E1462" s="953"/>
      <c r="F1462" s="953"/>
      <c r="G1462" s="953"/>
      <c r="H1462" s="953"/>
    </row>
    <row r="1463" spans="1:8" x14ac:dyDescent="0.25">
      <c r="A1463" s="952"/>
      <c r="B1463" s="953"/>
      <c r="C1463" s="953"/>
      <c r="D1463" s="953"/>
      <c r="E1463" s="953"/>
      <c r="F1463" s="953"/>
      <c r="G1463" s="953"/>
      <c r="H1463" s="953"/>
    </row>
    <row r="1464" spans="1:8" x14ac:dyDescent="0.25">
      <c r="A1464" s="952"/>
      <c r="B1464" s="953"/>
      <c r="C1464" s="953"/>
      <c r="D1464" s="953"/>
      <c r="E1464" s="953"/>
      <c r="F1464" s="953"/>
      <c r="G1464" s="953"/>
      <c r="H1464" s="953"/>
    </row>
    <row r="1465" spans="1:8" x14ac:dyDescent="0.25">
      <c r="A1465" s="952"/>
      <c r="B1465" s="953"/>
      <c r="C1465" s="953"/>
      <c r="D1465" s="953"/>
      <c r="E1465" s="953"/>
      <c r="F1465" s="953"/>
      <c r="G1465" s="953"/>
      <c r="H1465" s="953"/>
    </row>
    <row r="1466" spans="1:8" x14ac:dyDescent="0.25">
      <c r="A1466" s="952"/>
      <c r="B1466" s="953"/>
      <c r="C1466" s="953"/>
      <c r="D1466" s="953"/>
      <c r="E1466" s="953"/>
      <c r="F1466" s="953"/>
      <c r="G1466" s="953"/>
      <c r="H1466" s="953"/>
    </row>
    <row r="1467" spans="1:8" x14ac:dyDescent="0.25">
      <c r="A1467" s="952"/>
      <c r="B1467" s="953"/>
      <c r="C1467" s="953"/>
      <c r="D1467" s="953"/>
      <c r="E1467" s="953"/>
      <c r="F1467" s="953"/>
      <c r="G1467" s="953"/>
      <c r="H1467" s="953"/>
    </row>
    <row r="1468" spans="1:8" x14ac:dyDescent="0.25">
      <c r="A1468" s="952"/>
      <c r="B1468" s="953"/>
      <c r="C1468" s="953"/>
      <c r="D1468" s="953"/>
      <c r="E1468" s="953"/>
      <c r="F1468" s="953"/>
      <c r="G1468" s="953"/>
      <c r="H1468" s="953"/>
    </row>
    <row r="1469" spans="1:8" x14ac:dyDescent="0.25">
      <c r="A1469" s="952"/>
      <c r="B1469" s="953"/>
      <c r="C1469" s="953"/>
      <c r="D1469" s="953"/>
      <c r="E1469" s="953"/>
      <c r="F1469" s="953"/>
      <c r="G1469" s="953"/>
      <c r="H1469" s="953"/>
    </row>
    <row r="1470" spans="1:8" x14ac:dyDescent="0.25">
      <c r="A1470" s="952"/>
      <c r="B1470" s="953"/>
      <c r="C1470" s="953"/>
      <c r="D1470" s="953"/>
      <c r="E1470" s="953"/>
      <c r="F1470" s="953"/>
      <c r="G1470" s="953"/>
      <c r="H1470" s="953"/>
    </row>
    <row r="1471" spans="1:8" x14ac:dyDescent="0.25">
      <c r="A1471" s="952"/>
      <c r="B1471" s="953"/>
      <c r="C1471" s="953"/>
      <c r="D1471" s="953"/>
      <c r="E1471" s="953"/>
      <c r="F1471" s="953"/>
      <c r="G1471" s="953"/>
      <c r="H1471" s="953"/>
    </row>
    <row r="1472" spans="1:8" x14ac:dyDescent="0.25">
      <c r="A1472" s="952"/>
      <c r="B1472" s="953"/>
      <c r="C1472" s="953"/>
      <c r="D1472" s="953"/>
      <c r="E1472" s="953"/>
      <c r="F1472" s="953"/>
      <c r="G1472" s="953"/>
      <c r="H1472" s="953"/>
    </row>
    <row r="1473" spans="1:8" x14ac:dyDescent="0.25">
      <c r="A1473" s="952"/>
      <c r="B1473" s="953"/>
      <c r="C1473" s="953"/>
      <c r="D1473" s="953"/>
      <c r="E1473" s="953"/>
      <c r="F1473" s="953"/>
      <c r="G1473" s="953"/>
      <c r="H1473" s="953"/>
    </row>
    <row r="1474" spans="1:8" x14ac:dyDescent="0.25">
      <c r="A1474" s="952"/>
      <c r="B1474" s="953"/>
      <c r="C1474" s="953"/>
      <c r="D1474" s="953"/>
      <c r="E1474" s="953"/>
      <c r="F1474" s="953"/>
      <c r="G1474" s="953"/>
      <c r="H1474" s="953"/>
    </row>
    <row r="1475" spans="1:8" x14ac:dyDescent="0.25">
      <c r="A1475" s="952"/>
      <c r="B1475" s="953"/>
      <c r="C1475" s="953"/>
      <c r="D1475" s="953"/>
      <c r="E1475" s="953"/>
      <c r="F1475" s="953"/>
      <c r="G1475" s="953"/>
      <c r="H1475" s="953"/>
    </row>
    <row r="1476" spans="1:8" x14ac:dyDescent="0.25">
      <c r="A1476" s="952"/>
      <c r="B1476" s="953"/>
      <c r="C1476" s="953"/>
      <c r="D1476" s="953"/>
      <c r="E1476" s="953"/>
      <c r="F1476" s="953"/>
      <c r="G1476" s="953"/>
      <c r="H1476" s="953"/>
    </row>
    <row r="1477" spans="1:8" x14ac:dyDescent="0.25">
      <c r="A1477" s="952"/>
      <c r="B1477" s="953"/>
      <c r="C1477" s="953"/>
      <c r="D1477" s="953"/>
      <c r="E1477" s="953"/>
      <c r="F1477" s="953"/>
      <c r="G1477" s="953"/>
      <c r="H1477" s="953"/>
    </row>
    <row r="1478" spans="1:8" x14ac:dyDescent="0.25">
      <c r="A1478" s="952"/>
      <c r="B1478" s="953"/>
      <c r="C1478" s="953"/>
      <c r="D1478" s="953"/>
      <c r="E1478" s="953"/>
      <c r="F1478" s="953"/>
      <c r="G1478" s="953"/>
      <c r="H1478" s="953"/>
    </row>
    <row r="1479" spans="1:8" x14ac:dyDescent="0.25">
      <c r="A1479" s="952"/>
      <c r="B1479" s="953"/>
      <c r="C1479" s="953"/>
      <c r="D1479" s="953"/>
      <c r="E1479" s="953"/>
      <c r="F1479" s="953"/>
      <c r="G1479" s="953"/>
      <c r="H1479" s="953"/>
    </row>
    <row r="1480" spans="1:8" x14ac:dyDescent="0.25">
      <c r="A1480" s="952"/>
      <c r="B1480" s="953"/>
      <c r="C1480" s="953"/>
      <c r="D1480" s="953"/>
      <c r="E1480" s="953"/>
      <c r="F1480" s="953"/>
      <c r="G1480" s="953"/>
      <c r="H1480" s="953"/>
    </row>
    <row r="1481" spans="1:8" x14ac:dyDescent="0.25">
      <c r="A1481" s="952"/>
      <c r="B1481" s="953"/>
      <c r="C1481" s="953"/>
      <c r="D1481" s="953"/>
      <c r="E1481" s="953"/>
      <c r="F1481" s="953"/>
      <c r="G1481" s="953"/>
      <c r="H1481" s="953"/>
    </row>
    <row r="1482" spans="1:8" x14ac:dyDescent="0.25">
      <c r="A1482" s="952"/>
      <c r="B1482" s="953"/>
      <c r="C1482" s="953"/>
      <c r="D1482" s="953"/>
      <c r="E1482" s="953"/>
      <c r="F1482" s="953"/>
      <c r="G1482" s="953"/>
      <c r="H1482" s="953"/>
    </row>
    <row r="1483" spans="1:8" x14ac:dyDescent="0.25">
      <c r="A1483" s="952"/>
      <c r="B1483" s="953"/>
      <c r="C1483" s="953"/>
      <c r="D1483" s="953"/>
      <c r="E1483" s="953"/>
      <c r="F1483" s="953"/>
      <c r="G1483" s="953"/>
      <c r="H1483" s="953"/>
    </row>
    <row r="1484" spans="1:8" x14ac:dyDescent="0.25">
      <c r="A1484" s="952"/>
      <c r="B1484" s="953"/>
      <c r="C1484" s="953"/>
      <c r="D1484" s="953"/>
      <c r="E1484" s="953"/>
      <c r="F1484" s="953"/>
      <c r="G1484" s="953"/>
      <c r="H1484" s="953"/>
    </row>
    <row r="1485" spans="1:8" x14ac:dyDescent="0.25">
      <c r="A1485" s="952"/>
      <c r="B1485" s="953"/>
      <c r="C1485" s="953"/>
      <c r="D1485" s="953"/>
      <c r="E1485" s="953"/>
      <c r="F1485" s="953"/>
      <c r="G1485" s="953"/>
      <c r="H1485" s="953"/>
    </row>
    <row r="1486" spans="1:8" x14ac:dyDescent="0.25">
      <c r="A1486" s="952"/>
      <c r="B1486" s="953"/>
      <c r="C1486" s="953"/>
      <c r="D1486" s="953"/>
      <c r="E1486" s="953"/>
      <c r="F1486" s="953"/>
      <c r="G1486" s="953"/>
      <c r="H1486" s="953"/>
    </row>
    <row r="1487" spans="1:8" x14ac:dyDescent="0.25">
      <c r="A1487" s="952"/>
      <c r="B1487" s="953"/>
      <c r="C1487" s="953"/>
      <c r="D1487" s="953"/>
      <c r="E1487" s="953"/>
      <c r="F1487" s="953"/>
      <c r="G1487" s="953"/>
      <c r="H1487" s="953"/>
    </row>
    <row r="1488" spans="1:8" x14ac:dyDescent="0.25">
      <c r="A1488" s="952"/>
      <c r="B1488" s="953"/>
      <c r="C1488" s="953"/>
      <c r="D1488" s="953"/>
      <c r="E1488" s="953"/>
      <c r="F1488" s="953"/>
      <c r="G1488" s="953"/>
      <c r="H1488" s="953"/>
    </row>
    <row r="1489" spans="1:8" x14ac:dyDescent="0.25">
      <c r="A1489" s="952"/>
      <c r="B1489" s="953"/>
      <c r="C1489" s="953"/>
      <c r="D1489" s="953"/>
      <c r="E1489" s="953"/>
      <c r="F1489" s="953"/>
      <c r="G1489" s="953"/>
      <c r="H1489" s="953"/>
    </row>
    <row r="1490" spans="1:8" x14ac:dyDescent="0.25">
      <c r="A1490" s="952"/>
      <c r="B1490" s="953"/>
      <c r="C1490" s="953"/>
      <c r="D1490" s="953"/>
      <c r="E1490" s="953"/>
      <c r="F1490" s="953"/>
      <c r="G1490" s="953"/>
      <c r="H1490" s="953"/>
    </row>
    <row r="1491" spans="1:8" x14ac:dyDescent="0.25">
      <c r="A1491" s="952"/>
      <c r="B1491" s="953"/>
      <c r="C1491" s="953"/>
      <c r="D1491" s="953"/>
      <c r="E1491" s="953"/>
      <c r="F1491" s="953"/>
      <c r="G1491" s="953"/>
      <c r="H1491" s="953"/>
    </row>
    <row r="1492" spans="1:8" x14ac:dyDescent="0.25">
      <c r="A1492" s="952"/>
      <c r="B1492" s="953"/>
      <c r="C1492" s="953"/>
      <c r="D1492" s="953"/>
      <c r="E1492" s="953"/>
      <c r="F1492" s="953"/>
      <c r="G1492" s="953"/>
      <c r="H1492" s="953"/>
    </row>
    <row r="1493" spans="1:8" x14ac:dyDescent="0.25">
      <c r="A1493" s="952"/>
      <c r="B1493" s="953"/>
      <c r="C1493" s="953"/>
      <c r="D1493" s="953"/>
      <c r="E1493" s="953"/>
      <c r="F1493" s="953"/>
      <c r="G1493" s="953"/>
      <c r="H1493" s="953"/>
    </row>
    <row r="1494" spans="1:8" x14ac:dyDescent="0.25">
      <c r="A1494" s="952"/>
      <c r="B1494" s="953"/>
      <c r="C1494" s="953"/>
      <c r="D1494" s="953"/>
      <c r="E1494" s="953"/>
      <c r="F1494" s="953"/>
      <c r="G1494" s="953"/>
      <c r="H1494" s="953"/>
    </row>
    <row r="1495" spans="1:8" x14ac:dyDescent="0.25">
      <c r="A1495" s="952"/>
      <c r="B1495" s="953"/>
      <c r="C1495" s="953"/>
      <c r="D1495" s="953"/>
      <c r="E1495" s="953"/>
      <c r="F1495" s="953"/>
      <c r="G1495" s="953"/>
      <c r="H1495" s="953"/>
    </row>
    <row r="1496" spans="1:8" x14ac:dyDescent="0.25">
      <c r="A1496" s="952"/>
      <c r="B1496" s="953"/>
      <c r="C1496" s="953"/>
      <c r="D1496" s="953"/>
      <c r="E1496" s="953"/>
      <c r="F1496" s="953"/>
      <c r="G1496" s="953"/>
      <c r="H1496" s="953"/>
    </row>
    <row r="1497" spans="1:8" x14ac:dyDescent="0.25">
      <c r="A1497" s="952"/>
      <c r="B1497" s="953"/>
      <c r="C1497" s="953"/>
      <c r="D1497" s="953"/>
      <c r="E1497" s="953"/>
      <c r="F1497" s="953"/>
      <c r="G1497" s="953"/>
      <c r="H1497" s="953"/>
    </row>
    <row r="1498" spans="1:8" x14ac:dyDescent="0.25">
      <c r="A1498" s="952"/>
      <c r="B1498" s="953"/>
      <c r="C1498" s="953"/>
      <c r="D1498" s="953"/>
      <c r="E1498" s="953"/>
      <c r="F1498" s="953"/>
      <c r="G1498" s="953"/>
      <c r="H1498" s="953"/>
    </row>
    <row r="1499" spans="1:8" x14ac:dyDescent="0.25">
      <c r="A1499" s="952"/>
      <c r="B1499" s="953"/>
      <c r="C1499" s="953"/>
      <c r="D1499" s="953"/>
      <c r="E1499" s="953"/>
      <c r="F1499" s="953"/>
      <c r="G1499" s="953"/>
      <c r="H1499" s="953"/>
    </row>
    <row r="1500" spans="1:8" x14ac:dyDescent="0.25">
      <c r="A1500" s="952"/>
      <c r="B1500" s="953"/>
      <c r="C1500" s="953"/>
      <c r="D1500" s="953"/>
      <c r="E1500" s="953"/>
      <c r="F1500" s="953"/>
      <c r="G1500" s="953"/>
      <c r="H1500" s="953"/>
    </row>
    <row r="1501" spans="1:8" x14ac:dyDescent="0.25">
      <c r="A1501" s="952"/>
      <c r="B1501" s="953"/>
      <c r="C1501" s="953"/>
      <c r="D1501" s="953"/>
      <c r="E1501" s="953"/>
      <c r="F1501" s="953"/>
      <c r="G1501" s="953"/>
      <c r="H1501" s="953"/>
    </row>
    <row r="1502" spans="1:8" x14ac:dyDescent="0.25">
      <c r="A1502" s="952"/>
      <c r="B1502" s="953"/>
      <c r="C1502" s="953"/>
      <c r="D1502" s="953"/>
      <c r="E1502" s="953"/>
      <c r="F1502" s="953"/>
      <c r="G1502" s="953"/>
      <c r="H1502" s="953"/>
    </row>
    <row r="1503" spans="1:8" x14ac:dyDescent="0.25">
      <c r="A1503" s="952"/>
      <c r="B1503" s="953"/>
      <c r="C1503" s="953"/>
      <c r="D1503" s="953"/>
      <c r="E1503" s="953"/>
      <c r="F1503" s="953"/>
      <c r="G1503" s="953"/>
      <c r="H1503" s="953"/>
    </row>
    <row r="1504" spans="1:8" x14ac:dyDescent="0.25">
      <c r="A1504" s="952"/>
      <c r="B1504" s="953"/>
      <c r="C1504" s="953"/>
      <c r="D1504" s="953"/>
      <c r="E1504" s="953"/>
      <c r="F1504" s="953"/>
      <c r="G1504" s="953"/>
      <c r="H1504" s="953"/>
    </row>
    <row r="1505" spans="1:8" x14ac:dyDescent="0.25">
      <c r="A1505" s="952"/>
      <c r="B1505" s="953"/>
      <c r="C1505" s="953"/>
      <c r="D1505" s="953"/>
      <c r="E1505" s="953"/>
      <c r="F1505" s="953"/>
      <c r="G1505" s="953"/>
      <c r="H1505" s="953"/>
    </row>
    <row r="1506" spans="1:8" x14ac:dyDescent="0.25">
      <c r="A1506" s="952"/>
      <c r="B1506" s="953"/>
      <c r="C1506" s="953"/>
      <c r="D1506" s="953"/>
      <c r="E1506" s="953"/>
      <c r="F1506" s="953"/>
      <c r="G1506" s="953"/>
      <c r="H1506" s="953"/>
    </row>
    <row r="1507" spans="1:8" x14ac:dyDescent="0.25">
      <c r="A1507" s="952"/>
      <c r="B1507" s="953"/>
      <c r="C1507" s="953"/>
      <c r="D1507" s="953"/>
      <c r="E1507" s="953"/>
      <c r="F1507" s="953"/>
      <c r="G1507" s="953"/>
      <c r="H1507" s="953"/>
    </row>
    <row r="1508" spans="1:8" x14ac:dyDescent="0.25">
      <c r="A1508" s="952"/>
      <c r="B1508" s="953"/>
      <c r="C1508" s="953"/>
      <c r="D1508" s="953"/>
      <c r="E1508" s="953"/>
      <c r="F1508" s="953"/>
      <c r="G1508" s="953"/>
      <c r="H1508" s="953"/>
    </row>
    <row r="1509" spans="1:8" x14ac:dyDescent="0.25">
      <c r="A1509" s="952"/>
      <c r="B1509" s="953"/>
      <c r="C1509" s="953"/>
      <c r="D1509" s="953"/>
      <c r="E1509" s="953"/>
      <c r="F1509" s="953"/>
      <c r="G1509" s="953"/>
      <c r="H1509" s="953"/>
    </row>
    <row r="1510" spans="1:8" x14ac:dyDescent="0.25">
      <c r="A1510" s="952"/>
      <c r="B1510" s="953"/>
      <c r="C1510" s="953"/>
      <c r="D1510" s="953"/>
      <c r="E1510" s="953"/>
      <c r="F1510" s="953"/>
      <c r="G1510" s="953"/>
      <c r="H1510" s="953"/>
    </row>
    <row r="1511" spans="1:8" x14ac:dyDescent="0.25">
      <c r="A1511" s="952"/>
      <c r="B1511" s="953"/>
      <c r="C1511" s="953"/>
      <c r="D1511" s="953"/>
      <c r="E1511" s="953"/>
      <c r="F1511" s="953"/>
      <c r="G1511" s="953"/>
      <c r="H1511" s="953"/>
    </row>
    <row r="1512" spans="1:8" x14ac:dyDescent="0.25">
      <c r="A1512" s="952"/>
      <c r="B1512" s="953"/>
      <c r="C1512" s="953"/>
      <c r="D1512" s="953"/>
      <c r="E1512" s="953"/>
      <c r="F1512" s="953"/>
      <c r="G1512" s="953"/>
      <c r="H1512" s="953"/>
    </row>
    <row r="1513" spans="1:8" x14ac:dyDescent="0.25">
      <c r="A1513" s="952"/>
      <c r="B1513" s="953"/>
      <c r="C1513" s="953"/>
      <c r="D1513" s="953"/>
      <c r="E1513" s="953"/>
      <c r="F1513" s="953"/>
      <c r="G1513" s="953"/>
      <c r="H1513" s="953"/>
    </row>
    <row r="1514" spans="1:8" x14ac:dyDescent="0.25">
      <c r="A1514" s="952"/>
      <c r="B1514" s="953"/>
      <c r="C1514" s="953"/>
      <c r="D1514" s="953"/>
      <c r="E1514" s="953"/>
      <c r="F1514" s="953"/>
      <c r="G1514" s="953"/>
      <c r="H1514" s="953"/>
    </row>
    <row r="1515" spans="1:8" x14ac:dyDescent="0.25">
      <c r="A1515" s="952"/>
      <c r="B1515" s="953"/>
      <c r="C1515" s="953"/>
      <c r="D1515" s="953"/>
      <c r="E1515" s="953"/>
      <c r="F1515" s="953"/>
      <c r="G1515" s="953"/>
      <c r="H1515" s="953"/>
    </row>
    <row r="1516" spans="1:8" x14ac:dyDescent="0.25">
      <c r="A1516" s="952"/>
      <c r="B1516" s="953"/>
      <c r="C1516" s="953"/>
      <c r="D1516" s="953"/>
      <c r="E1516" s="953"/>
      <c r="F1516" s="953"/>
      <c r="G1516" s="953"/>
      <c r="H1516" s="953"/>
    </row>
    <row r="1517" spans="1:8" x14ac:dyDescent="0.25">
      <c r="A1517" s="952"/>
      <c r="B1517" s="953"/>
      <c r="C1517" s="953"/>
      <c r="D1517" s="953"/>
      <c r="E1517" s="953"/>
      <c r="F1517" s="953"/>
      <c r="G1517" s="953"/>
      <c r="H1517" s="953"/>
    </row>
    <row r="1518" spans="1:8" x14ac:dyDescent="0.25">
      <c r="A1518" s="952"/>
      <c r="B1518" s="953"/>
      <c r="C1518" s="953"/>
      <c r="D1518" s="953"/>
      <c r="E1518" s="953"/>
      <c r="F1518" s="953"/>
      <c r="G1518" s="953"/>
      <c r="H1518" s="953"/>
    </row>
    <row r="1519" spans="1:8" x14ac:dyDescent="0.25">
      <c r="A1519" s="952"/>
      <c r="B1519" s="953"/>
      <c r="C1519" s="953"/>
      <c r="D1519" s="953"/>
      <c r="E1519" s="953"/>
      <c r="F1519" s="953"/>
      <c r="G1519" s="953"/>
      <c r="H1519" s="953"/>
    </row>
    <row r="1520" spans="1:8" x14ac:dyDescent="0.25">
      <c r="A1520" s="952"/>
      <c r="B1520" s="953"/>
      <c r="C1520" s="953"/>
      <c r="D1520" s="953"/>
      <c r="E1520" s="953"/>
      <c r="F1520" s="953"/>
      <c r="G1520" s="953"/>
      <c r="H1520" s="953"/>
    </row>
    <row r="1521" spans="1:8" x14ac:dyDescent="0.25">
      <c r="A1521" s="952"/>
      <c r="B1521" s="953"/>
      <c r="C1521" s="953"/>
      <c r="D1521" s="953"/>
      <c r="E1521" s="953"/>
      <c r="F1521" s="953"/>
      <c r="G1521" s="953"/>
      <c r="H1521" s="953"/>
    </row>
    <row r="1522" spans="1:8" x14ac:dyDescent="0.25">
      <c r="A1522" s="952"/>
      <c r="B1522" s="953"/>
      <c r="C1522" s="953"/>
      <c r="D1522" s="953"/>
      <c r="E1522" s="953"/>
      <c r="F1522" s="953"/>
      <c r="G1522" s="953"/>
      <c r="H1522" s="953"/>
    </row>
    <row r="1523" spans="1:8" x14ac:dyDescent="0.25">
      <c r="A1523" s="952"/>
      <c r="B1523" s="953"/>
      <c r="C1523" s="953"/>
      <c r="D1523" s="953"/>
      <c r="E1523" s="953"/>
      <c r="F1523" s="953"/>
      <c r="G1523" s="953"/>
      <c r="H1523" s="953"/>
    </row>
    <row r="1524" spans="1:8" x14ac:dyDescent="0.25">
      <c r="A1524" s="952"/>
      <c r="B1524" s="953"/>
      <c r="C1524" s="953"/>
      <c r="D1524" s="953"/>
      <c r="E1524" s="953"/>
      <c r="F1524" s="953"/>
      <c r="G1524" s="953"/>
      <c r="H1524" s="953"/>
    </row>
    <row r="1525" spans="1:8" x14ac:dyDescent="0.25">
      <c r="A1525" s="952"/>
      <c r="B1525" s="953"/>
      <c r="C1525" s="953"/>
      <c r="D1525" s="953"/>
      <c r="E1525" s="953"/>
      <c r="F1525" s="953"/>
      <c r="G1525" s="953"/>
      <c r="H1525" s="953"/>
    </row>
    <row r="1526" spans="1:8" x14ac:dyDescent="0.25">
      <c r="A1526" s="952"/>
      <c r="B1526" s="953"/>
      <c r="C1526" s="953"/>
      <c r="D1526" s="953"/>
      <c r="E1526" s="953"/>
      <c r="F1526" s="953"/>
      <c r="G1526" s="953"/>
      <c r="H1526" s="953"/>
    </row>
    <row r="1527" spans="1:8" x14ac:dyDescent="0.25">
      <c r="A1527" s="952"/>
      <c r="B1527" s="953"/>
      <c r="C1527" s="953"/>
      <c r="D1527" s="953"/>
      <c r="E1527" s="953"/>
      <c r="F1527" s="953"/>
      <c r="G1527" s="953"/>
      <c r="H1527" s="953"/>
    </row>
    <row r="1528" spans="1:8" x14ac:dyDescent="0.25">
      <c r="A1528" s="952"/>
      <c r="B1528" s="953"/>
      <c r="C1528" s="953"/>
      <c r="D1528" s="953"/>
      <c r="E1528" s="953"/>
      <c r="F1528" s="953"/>
      <c r="G1528" s="953"/>
      <c r="H1528" s="953"/>
    </row>
    <row r="1529" spans="1:8" x14ac:dyDescent="0.25">
      <c r="A1529" s="952"/>
      <c r="B1529" s="953"/>
      <c r="C1529" s="953"/>
      <c r="D1529" s="953"/>
      <c r="E1529" s="953"/>
      <c r="F1529" s="953"/>
      <c r="G1529" s="953"/>
      <c r="H1529" s="953"/>
    </row>
    <row r="1530" spans="1:8" x14ac:dyDescent="0.25">
      <c r="A1530" s="952"/>
      <c r="B1530" s="953"/>
      <c r="C1530" s="953"/>
      <c r="D1530" s="953"/>
      <c r="E1530" s="953"/>
      <c r="F1530" s="953"/>
      <c r="G1530" s="953"/>
      <c r="H1530" s="953"/>
    </row>
    <row r="1531" spans="1:8" x14ac:dyDescent="0.25">
      <c r="A1531" s="952"/>
      <c r="B1531" s="953"/>
      <c r="C1531" s="953"/>
      <c r="D1531" s="953"/>
      <c r="E1531" s="953"/>
      <c r="F1531" s="953"/>
      <c r="G1531" s="953"/>
      <c r="H1531" s="953"/>
    </row>
    <row r="1532" spans="1:8" x14ac:dyDescent="0.25">
      <c r="A1532" s="952"/>
      <c r="B1532" s="953"/>
      <c r="C1532" s="953"/>
      <c r="D1532" s="953"/>
      <c r="E1532" s="953"/>
      <c r="F1532" s="953"/>
      <c r="G1532" s="953"/>
      <c r="H1532" s="953"/>
    </row>
    <row r="1533" spans="1:8" x14ac:dyDescent="0.25">
      <c r="A1533" s="952"/>
      <c r="B1533" s="953"/>
      <c r="C1533" s="953"/>
      <c r="D1533" s="953"/>
      <c r="E1533" s="953"/>
      <c r="F1533" s="953"/>
      <c r="G1533" s="953"/>
      <c r="H1533" s="953"/>
    </row>
    <row r="1534" spans="1:8" x14ac:dyDescent="0.25">
      <c r="A1534" s="952"/>
      <c r="B1534" s="953"/>
      <c r="C1534" s="953"/>
      <c r="D1534" s="953"/>
      <c r="E1534" s="953"/>
      <c r="F1534" s="953"/>
      <c r="G1534" s="953"/>
      <c r="H1534" s="953"/>
    </row>
    <row r="1535" spans="1:8" x14ac:dyDescent="0.25">
      <c r="A1535" s="952"/>
      <c r="B1535" s="953"/>
      <c r="C1535" s="953"/>
      <c r="D1535" s="953"/>
      <c r="E1535" s="953"/>
      <c r="F1535" s="953"/>
      <c r="G1535" s="953"/>
      <c r="H1535" s="953"/>
    </row>
    <row r="1536" spans="1:8" x14ac:dyDescent="0.25">
      <c r="A1536" s="952"/>
      <c r="B1536" s="953"/>
      <c r="C1536" s="953"/>
      <c r="D1536" s="953"/>
      <c r="E1536" s="953"/>
      <c r="F1536" s="953"/>
      <c r="G1536" s="953"/>
      <c r="H1536" s="953"/>
    </row>
    <row r="1537" spans="1:8" x14ac:dyDescent="0.25">
      <c r="A1537" s="952"/>
      <c r="B1537" s="953"/>
      <c r="C1537" s="953"/>
      <c r="D1537" s="953"/>
      <c r="E1537" s="953"/>
      <c r="F1537" s="953"/>
      <c r="G1537" s="953"/>
      <c r="H1537" s="953"/>
    </row>
    <row r="1538" spans="1:8" x14ac:dyDescent="0.25">
      <c r="A1538" s="952"/>
      <c r="B1538" s="953"/>
      <c r="C1538" s="953"/>
      <c r="D1538" s="953"/>
      <c r="E1538" s="953"/>
      <c r="F1538" s="953"/>
      <c r="G1538" s="953"/>
      <c r="H1538" s="953"/>
    </row>
    <row r="1539" spans="1:8" x14ac:dyDescent="0.25">
      <c r="A1539" s="952"/>
      <c r="B1539" s="953"/>
      <c r="C1539" s="953"/>
      <c r="D1539" s="953"/>
      <c r="E1539" s="953"/>
      <c r="F1539" s="953"/>
      <c r="G1539" s="953"/>
      <c r="H1539" s="953"/>
    </row>
    <row r="1540" spans="1:8" x14ac:dyDescent="0.25">
      <c r="A1540" s="952"/>
      <c r="B1540" s="953"/>
      <c r="C1540" s="953"/>
      <c r="D1540" s="953"/>
      <c r="E1540" s="953"/>
      <c r="F1540" s="953"/>
      <c r="G1540" s="953"/>
      <c r="H1540" s="953"/>
    </row>
    <row r="1541" spans="1:8" x14ac:dyDescent="0.25">
      <c r="A1541" s="952"/>
      <c r="B1541" s="953"/>
      <c r="C1541" s="953"/>
      <c r="D1541" s="953"/>
      <c r="E1541" s="953"/>
      <c r="F1541" s="953"/>
      <c r="G1541" s="953"/>
      <c r="H1541" s="953"/>
    </row>
    <row r="1542" spans="1:8" x14ac:dyDescent="0.25">
      <c r="A1542" s="952"/>
      <c r="B1542" s="953"/>
      <c r="C1542" s="953"/>
      <c r="D1542" s="953"/>
      <c r="E1542" s="953"/>
      <c r="F1542" s="953"/>
      <c r="G1542" s="953"/>
      <c r="H1542" s="953"/>
    </row>
    <row r="1543" spans="1:8" x14ac:dyDescent="0.25">
      <c r="A1543" s="952"/>
      <c r="B1543" s="953"/>
      <c r="C1543" s="953"/>
      <c r="D1543" s="953"/>
      <c r="E1543" s="953"/>
      <c r="F1543" s="953"/>
      <c r="G1543" s="953"/>
      <c r="H1543" s="953"/>
    </row>
    <row r="1544" spans="1:8" x14ac:dyDescent="0.25">
      <c r="A1544" s="952"/>
      <c r="B1544" s="953"/>
      <c r="C1544" s="953"/>
      <c r="D1544" s="953"/>
      <c r="E1544" s="953"/>
      <c r="F1544" s="953"/>
      <c r="G1544" s="953"/>
      <c r="H1544" s="953"/>
    </row>
    <row r="1545" spans="1:8" x14ac:dyDescent="0.25">
      <c r="A1545" s="952"/>
      <c r="B1545" s="953"/>
      <c r="C1545" s="953"/>
      <c r="D1545" s="953"/>
      <c r="E1545" s="953"/>
      <c r="F1545" s="953"/>
      <c r="G1545" s="953"/>
      <c r="H1545" s="953"/>
    </row>
    <row r="1546" spans="1:8" x14ac:dyDescent="0.25">
      <c r="A1546" s="952"/>
      <c r="B1546" s="953"/>
      <c r="C1546" s="953"/>
      <c r="D1546" s="953"/>
      <c r="E1546" s="953"/>
      <c r="F1546" s="953"/>
      <c r="G1546" s="953"/>
      <c r="H1546" s="953"/>
    </row>
    <row r="1547" spans="1:8" x14ac:dyDescent="0.25">
      <c r="A1547" s="952"/>
      <c r="B1547" s="953"/>
      <c r="C1547" s="953"/>
      <c r="D1547" s="953"/>
      <c r="E1547" s="953"/>
      <c r="F1547" s="953"/>
      <c r="G1547" s="953"/>
      <c r="H1547" s="953"/>
    </row>
    <row r="1548" spans="1:8" x14ac:dyDescent="0.25">
      <c r="A1548" s="952"/>
      <c r="B1548" s="953"/>
      <c r="C1548" s="953"/>
      <c r="D1548" s="953"/>
      <c r="E1548" s="953"/>
      <c r="F1548" s="953"/>
      <c r="G1548" s="953"/>
      <c r="H1548" s="953"/>
    </row>
    <row r="1549" spans="1:8" x14ac:dyDescent="0.25">
      <c r="A1549" s="952"/>
      <c r="B1549" s="953"/>
      <c r="C1549" s="953"/>
      <c r="D1549" s="953"/>
      <c r="E1549" s="953"/>
      <c r="F1549" s="953"/>
      <c r="G1549" s="953"/>
      <c r="H1549" s="953"/>
    </row>
    <row r="1550" spans="1:8" x14ac:dyDescent="0.25">
      <c r="A1550" s="952"/>
      <c r="B1550" s="953"/>
      <c r="C1550" s="953"/>
      <c r="D1550" s="953"/>
      <c r="E1550" s="953"/>
      <c r="F1550" s="953"/>
      <c r="G1550" s="953"/>
      <c r="H1550" s="953"/>
    </row>
    <row r="1551" spans="1:8" x14ac:dyDescent="0.25">
      <c r="A1551" s="952"/>
      <c r="B1551" s="953"/>
      <c r="C1551" s="953"/>
      <c r="D1551" s="953"/>
      <c r="E1551" s="953"/>
      <c r="F1551" s="953"/>
      <c r="G1551" s="953"/>
      <c r="H1551" s="953"/>
    </row>
    <row r="1552" spans="1:8" x14ac:dyDescent="0.25">
      <c r="A1552" s="952"/>
      <c r="B1552" s="953"/>
      <c r="C1552" s="953"/>
      <c r="D1552" s="953"/>
      <c r="E1552" s="953"/>
      <c r="F1552" s="953"/>
      <c r="G1552" s="953"/>
      <c r="H1552" s="953"/>
    </row>
    <row r="1553" spans="1:8" x14ac:dyDescent="0.25">
      <c r="A1553" s="952"/>
      <c r="B1553" s="953"/>
      <c r="C1553" s="953"/>
      <c r="D1553" s="953"/>
      <c r="E1553" s="953"/>
      <c r="F1553" s="953"/>
      <c r="G1553" s="953"/>
      <c r="H1553" s="953"/>
    </row>
    <row r="1554" spans="1:8" x14ac:dyDescent="0.25">
      <c r="A1554" s="952"/>
      <c r="B1554" s="953"/>
      <c r="C1554" s="953"/>
      <c r="D1554" s="953"/>
      <c r="E1554" s="953"/>
      <c r="F1554" s="953"/>
      <c r="G1554" s="953"/>
      <c r="H1554" s="953"/>
    </row>
    <row r="1555" spans="1:8" x14ac:dyDescent="0.25">
      <c r="A1555" s="952"/>
      <c r="B1555" s="953"/>
      <c r="C1555" s="953"/>
      <c r="D1555" s="953"/>
      <c r="E1555" s="953"/>
      <c r="F1555" s="953"/>
      <c r="G1555" s="953"/>
      <c r="H1555" s="953"/>
    </row>
    <row r="1556" spans="1:8" x14ac:dyDescent="0.25">
      <c r="A1556" s="952"/>
      <c r="B1556" s="953"/>
      <c r="C1556" s="953"/>
      <c r="D1556" s="953"/>
      <c r="E1556" s="953"/>
      <c r="F1556" s="953"/>
      <c r="G1556" s="953"/>
      <c r="H1556" s="953"/>
    </row>
    <row r="1557" spans="1:8" x14ac:dyDescent="0.25">
      <c r="A1557" s="952"/>
      <c r="B1557" s="953"/>
      <c r="C1557" s="953"/>
      <c r="D1557" s="953"/>
      <c r="E1557" s="953"/>
      <c r="F1557" s="953"/>
      <c r="G1557" s="953"/>
      <c r="H1557" s="953"/>
    </row>
    <row r="1558" spans="1:8" x14ac:dyDescent="0.25">
      <c r="A1558" s="952"/>
      <c r="B1558" s="953"/>
      <c r="C1558" s="953"/>
      <c r="D1558" s="953"/>
      <c r="E1558" s="953"/>
      <c r="F1558" s="953"/>
      <c r="G1558" s="953"/>
      <c r="H1558" s="953"/>
    </row>
    <row r="1559" spans="1:8" x14ac:dyDescent="0.25">
      <c r="A1559" s="952"/>
      <c r="B1559" s="953"/>
      <c r="C1559" s="953"/>
      <c r="D1559" s="953"/>
      <c r="E1559" s="953"/>
      <c r="F1559" s="953"/>
      <c r="G1559" s="953"/>
      <c r="H1559" s="953"/>
    </row>
    <row r="1560" spans="1:8" x14ac:dyDescent="0.25">
      <c r="A1560" s="952"/>
      <c r="B1560" s="953"/>
      <c r="C1560" s="953"/>
      <c r="D1560" s="953"/>
      <c r="E1560" s="953"/>
      <c r="F1560" s="953"/>
      <c r="G1560" s="953"/>
      <c r="H1560" s="953"/>
    </row>
    <row r="1561" spans="1:8" x14ac:dyDescent="0.25">
      <c r="A1561" s="952"/>
      <c r="B1561" s="953"/>
      <c r="C1561" s="953"/>
      <c r="D1561" s="953"/>
      <c r="E1561" s="953"/>
      <c r="F1561" s="953"/>
      <c r="G1561" s="953"/>
      <c r="H1561" s="953"/>
    </row>
    <row r="1562" spans="1:8" x14ac:dyDescent="0.25">
      <c r="A1562" s="952"/>
      <c r="B1562" s="953"/>
      <c r="C1562" s="953"/>
      <c r="D1562" s="953"/>
      <c r="E1562" s="953"/>
      <c r="F1562" s="953"/>
      <c r="G1562" s="953"/>
      <c r="H1562" s="953"/>
    </row>
    <row r="1563" spans="1:8" x14ac:dyDescent="0.25">
      <c r="A1563" s="952"/>
      <c r="B1563" s="953"/>
      <c r="C1563" s="953"/>
      <c r="D1563" s="953"/>
      <c r="E1563" s="953"/>
      <c r="F1563" s="953"/>
      <c r="G1563" s="953"/>
      <c r="H1563" s="953"/>
    </row>
    <row r="1564" spans="1:8" x14ac:dyDescent="0.25">
      <c r="A1564" s="952"/>
      <c r="B1564" s="953"/>
      <c r="C1564" s="953"/>
      <c r="D1564" s="953"/>
      <c r="E1564" s="953"/>
      <c r="F1564" s="953"/>
      <c r="G1564" s="953"/>
      <c r="H1564" s="953"/>
    </row>
    <row r="1565" spans="1:8" x14ac:dyDescent="0.25">
      <c r="A1565" s="952"/>
      <c r="B1565" s="953"/>
      <c r="C1565" s="953"/>
      <c r="D1565" s="953"/>
      <c r="E1565" s="953"/>
      <c r="F1565" s="953"/>
      <c r="G1565" s="953"/>
      <c r="H1565" s="953"/>
    </row>
    <row r="1566" spans="1:8" x14ac:dyDescent="0.25">
      <c r="A1566" s="952"/>
      <c r="B1566" s="953"/>
      <c r="C1566" s="953"/>
      <c r="D1566" s="953"/>
      <c r="E1566" s="953"/>
      <c r="F1566" s="953"/>
      <c r="G1566" s="953"/>
      <c r="H1566" s="953"/>
    </row>
    <row r="1567" spans="1:8" x14ac:dyDescent="0.25">
      <c r="A1567" s="952"/>
      <c r="B1567" s="953"/>
      <c r="C1567" s="953"/>
      <c r="D1567" s="953"/>
      <c r="E1567" s="953"/>
      <c r="F1567" s="953"/>
      <c r="G1567" s="953"/>
      <c r="H1567" s="953"/>
    </row>
    <row r="1568" spans="1:8" x14ac:dyDescent="0.25">
      <c r="A1568" s="952"/>
      <c r="B1568" s="953"/>
      <c r="C1568" s="953"/>
      <c r="D1568" s="953"/>
      <c r="E1568" s="953"/>
      <c r="F1568" s="953"/>
      <c r="G1568" s="953"/>
      <c r="H1568" s="953"/>
    </row>
    <row r="1569" spans="1:8" x14ac:dyDescent="0.25">
      <c r="A1569" s="952"/>
      <c r="B1569" s="953"/>
      <c r="C1569" s="953"/>
      <c r="D1569" s="953"/>
      <c r="E1569" s="953"/>
      <c r="F1569" s="953"/>
      <c r="G1569" s="953"/>
      <c r="H1569" s="953"/>
    </row>
    <row r="1570" spans="1:8" x14ac:dyDescent="0.25">
      <c r="A1570" s="952"/>
      <c r="B1570" s="953"/>
      <c r="C1570" s="953"/>
      <c r="D1570" s="953"/>
      <c r="E1570" s="953"/>
      <c r="F1570" s="953"/>
      <c r="G1570" s="953"/>
      <c r="H1570" s="953"/>
    </row>
    <row r="1571" spans="1:8" x14ac:dyDescent="0.25">
      <c r="A1571" s="952"/>
      <c r="B1571" s="953"/>
      <c r="C1571" s="953"/>
      <c r="D1571" s="953"/>
      <c r="E1571" s="953"/>
      <c r="F1571" s="953"/>
      <c r="G1571" s="953"/>
      <c r="H1571" s="953"/>
    </row>
    <row r="1572" spans="1:8" x14ac:dyDescent="0.25">
      <c r="A1572" s="952"/>
      <c r="B1572" s="953"/>
      <c r="C1572" s="953"/>
      <c r="D1572" s="953"/>
      <c r="E1572" s="953"/>
      <c r="F1572" s="953"/>
      <c r="G1572" s="953"/>
      <c r="H1572" s="953"/>
    </row>
    <row r="1573" spans="1:8" x14ac:dyDescent="0.25">
      <c r="A1573" s="952"/>
      <c r="B1573" s="953"/>
      <c r="C1573" s="953"/>
      <c r="D1573" s="953"/>
      <c r="E1573" s="953"/>
      <c r="F1573" s="953"/>
      <c r="G1573" s="953"/>
      <c r="H1573" s="953"/>
    </row>
    <row r="1574" spans="1:8" x14ac:dyDescent="0.25">
      <c r="A1574" s="952"/>
      <c r="B1574" s="953"/>
      <c r="C1574" s="953"/>
      <c r="D1574" s="953"/>
      <c r="E1574" s="953"/>
      <c r="F1574" s="953"/>
      <c r="G1574" s="953"/>
      <c r="H1574" s="953"/>
    </row>
    <row r="1575" spans="1:8" x14ac:dyDescent="0.25">
      <c r="A1575" s="952"/>
      <c r="B1575" s="953"/>
      <c r="C1575" s="953"/>
      <c r="D1575" s="953"/>
      <c r="E1575" s="953"/>
      <c r="F1575" s="953"/>
      <c r="G1575" s="953"/>
      <c r="H1575" s="953"/>
    </row>
    <row r="1576" spans="1:8" x14ac:dyDescent="0.25">
      <c r="A1576" s="952"/>
      <c r="B1576" s="953"/>
      <c r="C1576" s="953"/>
      <c r="D1576" s="953"/>
      <c r="E1576" s="953"/>
      <c r="F1576" s="953"/>
      <c r="G1576" s="953"/>
      <c r="H1576" s="953"/>
    </row>
    <row r="1577" spans="1:8" x14ac:dyDescent="0.25">
      <c r="A1577" s="952"/>
      <c r="B1577" s="953"/>
      <c r="C1577" s="953"/>
      <c r="D1577" s="953"/>
      <c r="E1577" s="953"/>
      <c r="F1577" s="953"/>
      <c r="G1577" s="953"/>
      <c r="H1577" s="953"/>
    </row>
    <row r="1578" spans="1:8" x14ac:dyDescent="0.25">
      <c r="A1578" s="952"/>
      <c r="B1578" s="953"/>
      <c r="C1578" s="953"/>
      <c r="D1578" s="953"/>
      <c r="E1578" s="953"/>
      <c r="F1578" s="953"/>
      <c r="G1578" s="953"/>
      <c r="H1578" s="953"/>
    </row>
    <row r="1579" spans="1:8" x14ac:dyDescent="0.25">
      <c r="A1579" s="952"/>
      <c r="B1579" s="953"/>
      <c r="C1579" s="953"/>
      <c r="D1579" s="953"/>
      <c r="E1579" s="953"/>
      <c r="F1579" s="953"/>
      <c r="G1579" s="953"/>
      <c r="H1579" s="953"/>
    </row>
    <row r="1580" spans="1:8" x14ac:dyDescent="0.25">
      <c r="A1580" s="952"/>
      <c r="B1580" s="953"/>
      <c r="C1580" s="953"/>
      <c r="D1580" s="953"/>
      <c r="E1580" s="953"/>
      <c r="F1580" s="953"/>
      <c r="G1580" s="953"/>
      <c r="H1580" s="953"/>
    </row>
    <row r="1581" spans="1:8" x14ac:dyDescent="0.25">
      <c r="A1581" s="952"/>
      <c r="B1581" s="953"/>
      <c r="C1581" s="953"/>
      <c r="D1581" s="953"/>
      <c r="E1581" s="953"/>
      <c r="F1581" s="953"/>
      <c r="G1581" s="953"/>
      <c r="H1581" s="953"/>
    </row>
    <row r="1582" spans="1:8" x14ac:dyDescent="0.25">
      <c r="A1582" s="952"/>
      <c r="B1582" s="953"/>
      <c r="C1582" s="953"/>
      <c r="D1582" s="953"/>
      <c r="E1582" s="953"/>
      <c r="F1582" s="953"/>
      <c r="G1582" s="953"/>
      <c r="H1582" s="953"/>
    </row>
    <row r="1583" spans="1:8" x14ac:dyDescent="0.25">
      <c r="A1583" s="952"/>
      <c r="B1583" s="953"/>
      <c r="C1583" s="953"/>
      <c r="D1583" s="953"/>
      <c r="E1583" s="953"/>
      <c r="F1583" s="953"/>
      <c r="G1583" s="953"/>
      <c r="H1583" s="953"/>
    </row>
    <row r="1584" spans="1:8" x14ac:dyDescent="0.25">
      <c r="A1584" s="952"/>
      <c r="B1584" s="953"/>
      <c r="C1584" s="953"/>
      <c r="D1584" s="953"/>
      <c r="E1584" s="953"/>
      <c r="F1584" s="953"/>
      <c r="G1584" s="953"/>
      <c r="H1584" s="953"/>
    </row>
    <row r="1585" spans="1:8" x14ac:dyDescent="0.25">
      <c r="A1585" s="952"/>
      <c r="B1585" s="953"/>
      <c r="C1585" s="953"/>
      <c r="D1585" s="953"/>
      <c r="E1585" s="953"/>
      <c r="F1585" s="953"/>
      <c r="G1585" s="953"/>
      <c r="H1585" s="953"/>
    </row>
    <row r="1586" spans="1:8" x14ac:dyDescent="0.25">
      <c r="A1586" s="952"/>
      <c r="B1586" s="953"/>
      <c r="C1586" s="953"/>
      <c r="D1586" s="953"/>
      <c r="E1586" s="953"/>
      <c r="F1586" s="953"/>
      <c r="G1586" s="953"/>
      <c r="H1586" s="953"/>
    </row>
    <row r="1587" spans="1:8" x14ac:dyDescent="0.25">
      <c r="A1587" s="952"/>
      <c r="B1587" s="953"/>
      <c r="C1587" s="953"/>
      <c r="D1587" s="953"/>
      <c r="E1587" s="953"/>
      <c r="F1587" s="953"/>
      <c r="G1587" s="953"/>
      <c r="H1587" s="953"/>
    </row>
    <row r="1588" spans="1:8" x14ac:dyDescent="0.25">
      <c r="A1588" s="952"/>
      <c r="B1588" s="953"/>
      <c r="C1588" s="953"/>
      <c r="D1588" s="953"/>
      <c r="E1588" s="953"/>
      <c r="F1588" s="953"/>
      <c r="G1588" s="953"/>
      <c r="H1588" s="953"/>
    </row>
    <row r="1589" spans="1:8" x14ac:dyDescent="0.25">
      <c r="A1589" s="952"/>
      <c r="B1589" s="953"/>
      <c r="C1589" s="953"/>
      <c r="D1589" s="953"/>
      <c r="E1589" s="953"/>
      <c r="F1589" s="953"/>
      <c r="G1589" s="953"/>
      <c r="H1589" s="953"/>
    </row>
    <row r="1590" spans="1:8" x14ac:dyDescent="0.25">
      <c r="A1590" s="952"/>
      <c r="B1590" s="953"/>
      <c r="C1590" s="953"/>
      <c r="D1590" s="953"/>
      <c r="E1590" s="953"/>
      <c r="F1590" s="953"/>
      <c r="G1590" s="953"/>
      <c r="H1590" s="953"/>
    </row>
    <row r="1591" spans="1:8" x14ac:dyDescent="0.25">
      <c r="A1591" s="952"/>
      <c r="B1591" s="953"/>
      <c r="C1591" s="953"/>
      <c r="D1591" s="953"/>
      <c r="E1591" s="953"/>
      <c r="F1591" s="953"/>
      <c r="G1591" s="953"/>
      <c r="H1591" s="953"/>
    </row>
    <row r="1592" spans="1:8" x14ac:dyDescent="0.25">
      <c r="A1592" s="952"/>
      <c r="B1592" s="953"/>
      <c r="C1592" s="953"/>
      <c r="D1592" s="953"/>
      <c r="E1592" s="953"/>
      <c r="F1592" s="953"/>
      <c r="G1592" s="953"/>
      <c r="H1592" s="953"/>
    </row>
    <row r="1593" spans="1:8" x14ac:dyDescent="0.25">
      <c r="A1593" s="952"/>
      <c r="B1593" s="953"/>
      <c r="C1593" s="953"/>
      <c r="D1593" s="953"/>
      <c r="E1593" s="953"/>
      <c r="F1593" s="953"/>
      <c r="G1593" s="953"/>
      <c r="H1593" s="953"/>
    </row>
    <row r="1594" spans="1:8" x14ac:dyDescent="0.25">
      <c r="A1594" s="952"/>
      <c r="B1594" s="953"/>
      <c r="C1594" s="953"/>
      <c r="D1594" s="953"/>
      <c r="E1594" s="953"/>
      <c r="F1594" s="953"/>
      <c r="G1594" s="953"/>
      <c r="H1594" s="953"/>
    </row>
    <row r="1595" spans="1:8" x14ac:dyDescent="0.25">
      <c r="A1595" s="952"/>
      <c r="B1595" s="953"/>
      <c r="C1595" s="953"/>
      <c r="D1595" s="953"/>
      <c r="E1595" s="953"/>
      <c r="F1595" s="953"/>
      <c r="G1595" s="953"/>
      <c r="H1595" s="953"/>
    </row>
    <row r="1596" spans="1:8" x14ac:dyDescent="0.25">
      <c r="A1596" s="952"/>
      <c r="B1596" s="953"/>
      <c r="C1596" s="953"/>
      <c r="D1596" s="953"/>
      <c r="E1596" s="953"/>
      <c r="F1596" s="953"/>
      <c r="G1596" s="953"/>
      <c r="H1596" s="953"/>
    </row>
    <row r="1597" spans="1:8" x14ac:dyDescent="0.25">
      <c r="A1597" s="952"/>
      <c r="B1597" s="953"/>
      <c r="C1597" s="953"/>
      <c r="D1597" s="953"/>
      <c r="E1597" s="953"/>
      <c r="F1597" s="953"/>
      <c r="G1597" s="953"/>
      <c r="H1597" s="953"/>
    </row>
    <row r="1598" spans="1:8" x14ac:dyDescent="0.25">
      <c r="A1598" s="952"/>
      <c r="B1598" s="953"/>
      <c r="C1598" s="953"/>
      <c r="D1598" s="953"/>
      <c r="E1598" s="953"/>
      <c r="F1598" s="953"/>
      <c r="G1598" s="953"/>
      <c r="H1598" s="953"/>
    </row>
    <row r="1599" spans="1:8" x14ac:dyDescent="0.25">
      <c r="A1599" s="952"/>
      <c r="B1599" s="953"/>
      <c r="C1599" s="953"/>
      <c r="D1599" s="953"/>
      <c r="E1599" s="953"/>
      <c r="F1599" s="953"/>
      <c r="G1599" s="953"/>
      <c r="H1599" s="953"/>
    </row>
    <row r="1600" spans="1:8" x14ac:dyDescent="0.25">
      <c r="A1600" s="952"/>
      <c r="B1600" s="953"/>
      <c r="C1600" s="953"/>
      <c r="D1600" s="953"/>
      <c r="E1600" s="953"/>
      <c r="F1600" s="953"/>
      <c r="G1600" s="953"/>
      <c r="H1600" s="953"/>
    </row>
    <row r="1601" spans="1:8" x14ac:dyDescent="0.25">
      <c r="A1601" s="952"/>
      <c r="B1601" s="953"/>
      <c r="C1601" s="953"/>
      <c r="D1601" s="953"/>
      <c r="E1601" s="953"/>
      <c r="F1601" s="953"/>
      <c r="G1601" s="953"/>
      <c r="H1601" s="953"/>
    </row>
    <row r="1602" spans="1:8" x14ac:dyDescent="0.25">
      <c r="A1602" s="952"/>
      <c r="B1602" s="953"/>
      <c r="C1602" s="953"/>
      <c r="D1602" s="953"/>
      <c r="E1602" s="953"/>
      <c r="F1602" s="953"/>
      <c r="G1602" s="953"/>
      <c r="H1602" s="953"/>
    </row>
    <row r="1603" spans="1:8" x14ac:dyDescent="0.25">
      <c r="A1603" s="952"/>
      <c r="B1603" s="953"/>
      <c r="C1603" s="953"/>
      <c r="D1603" s="953"/>
      <c r="E1603" s="953"/>
      <c r="F1603" s="953"/>
      <c r="G1603" s="953"/>
      <c r="H1603" s="953"/>
    </row>
    <row r="1604" spans="1:8" x14ac:dyDescent="0.25">
      <c r="A1604" s="952"/>
      <c r="B1604" s="953"/>
      <c r="C1604" s="953"/>
      <c r="D1604" s="953"/>
      <c r="E1604" s="953"/>
      <c r="F1604" s="953"/>
      <c r="G1604" s="953"/>
      <c r="H1604" s="953"/>
    </row>
    <row r="1605" spans="1:8" x14ac:dyDescent="0.25">
      <c r="A1605" s="952"/>
      <c r="B1605" s="953"/>
      <c r="C1605" s="953"/>
      <c r="D1605" s="953"/>
      <c r="E1605" s="953"/>
      <c r="F1605" s="953"/>
      <c r="G1605" s="953"/>
      <c r="H1605" s="953"/>
    </row>
    <row r="1606" spans="1:8" x14ac:dyDescent="0.25">
      <c r="A1606" s="952"/>
      <c r="B1606" s="953"/>
      <c r="C1606" s="953"/>
      <c r="D1606" s="953"/>
      <c r="E1606" s="953"/>
      <c r="F1606" s="953"/>
      <c r="G1606" s="953"/>
      <c r="H1606" s="953"/>
    </row>
    <row r="1607" spans="1:8" x14ac:dyDescent="0.25">
      <c r="A1607" s="952"/>
      <c r="B1607" s="953"/>
      <c r="C1607" s="953"/>
      <c r="D1607" s="953"/>
      <c r="E1607" s="953"/>
      <c r="F1607" s="953"/>
      <c r="G1607" s="953"/>
      <c r="H1607" s="953"/>
    </row>
    <row r="1608" spans="1:8" x14ac:dyDescent="0.25">
      <c r="A1608" s="952"/>
      <c r="B1608" s="953"/>
      <c r="C1608" s="953"/>
      <c r="D1608" s="953"/>
      <c r="E1608" s="953"/>
      <c r="F1608" s="953"/>
      <c r="G1608" s="953"/>
      <c r="H1608" s="953"/>
    </row>
    <row r="1609" spans="1:8" x14ac:dyDescent="0.25">
      <c r="A1609" s="952"/>
      <c r="B1609" s="953"/>
      <c r="C1609" s="953"/>
      <c r="D1609" s="953"/>
      <c r="E1609" s="953"/>
      <c r="F1609" s="953"/>
      <c r="G1609" s="953"/>
      <c r="H1609" s="953"/>
    </row>
    <row r="1610" spans="1:8" x14ac:dyDescent="0.25">
      <c r="A1610" s="952"/>
      <c r="B1610" s="953"/>
      <c r="C1610" s="953"/>
      <c r="D1610" s="953"/>
      <c r="E1610" s="953"/>
      <c r="F1610" s="953"/>
      <c r="G1610" s="953"/>
      <c r="H1610" s="953"/>
    </row>
    <row r="1611" spans="1:8" x14ac:dyDescent="0.25">
      <c r="A1611" s="952"/>
      <c r="B1611" s="953"/>
      <c r="C1611" s="953"/>
      <c r="D1611" s="953"/>
      <c r="E1611" s="953"/>
      <c r="F1611" s="953"/>
      <c r="G1611" s="953"/>
      <c r="H1611" s="953"/>
    </row>
    <row r="1612" spans="1:8" x14ac:dyDescent="0.25">
      <c r="A1612" s="952"/>
      <c r="B1612" s="953"/>
      <c r="C1612" s="953"/>
      <c r="D1612" s="953"/>
      <c r="E1612" s="953"/>
      <c r="F1612" s="953"/>
      <c r="G1612" s="953"/>
      <c r="H1612" s="953"/>
    </row>
    <row r="1613" spans="1:8" x14ac:dyDescent="0.25">
      <c r="A1613" s="952"/>
      <c r="B1613" s="953"/>
      <c r="C1613" s="953"/>
      <c r="D1613" s="953"/>
      <c r="E1613" s="953"/>
      <c r="F1613" s="953"/>
      <c r="G1613" s="953"/>
      <c r="H1613" s="953"/>
    </row>
    <row r="1614" spans="1:8" x14ac:dyDescent="0.25">
      <c r="A1614" s="952"/>
      <c r="B1614" s="953"/>
      <c r="C1614" s="953"/>
      <c r="D1614" s="953"/>
      <c r="E1614" s="953"/>
      <c r="F1614" s="953"/>
      <c r="G1614" s="953"/>
      <c r="H1614" s="953"/>
    </row>
    <row r="1615" spans="1:8" x14ac:dyDescent="0.25">
      <c r="A1615" s="952"/>
      <c r="B1615" s="953"/>
      <c r="C1615" s="953"/>
      <c r="D1615" s="953"/>
      <c r="E1615" s="953"/>
      <c r="F1615" s="953"/>
      <c r="G1615" s="953"/>
      <c r="H1615" s="953"/>
    </row>
    <row r="1616" spans="1:8" x14ac:dyDescent="0.25">
      <c r="A1616" s="952"/>
      <c r="B1616" s="953"/>
      <c r="C1616" s="953"/>
      <c r="D1616" s="953"/>
      <c r="E1616" s="953"/>
      <c r="F1616" s="953"/>
      <c r="G1616" s="953"/>
      <c r="H1616" s="953"/>
    </row>
    <row r="1617" spans="1:8" x14ac:dyDescent="0.25">
      <c r="A1617" s="952"/>
      <c r="B1617" s="953"/>
      <c r="C1617" s="953"/>
      <c r="D1617" s="953"/>
      <c r="E1617" s="953"/>
      <c r="F1617" s="953"/>
      <c r="G1617" s="953"/>
      <c r="H1617" s="953"/>
    </row>
    <row r="1618" spans="1:8" x14ac:dyDescent="0.25">
      <c r="A1618" s="952"/>
      <c r="B1618" s="953"/>
      <c r="C1618" s="953"/>
      <c r="D1618" s="953"/>
      <c r="E1618" s="953"/>
      <c r="F1618" s="953"/>
      <c r="G1618" s="953"/>
      <c r="H1618" s="953"/>
    </row>
    <row r="1619" spans="1:8" x14ac:dyDescent="0.25">
      <c r="A1619" s="952"/>
      <c r="B1619" s="953"/>
      <c r="C1619" s="953"/>
      <c r="D1619" s="953"/>
      <c r="E1619" s="953"/>
      <c r="F1619" s="953"/>
      <c r="G1619" s="953"/>
      <c r="H1619" s="953"/>
    </row>
    <row r="1620" spans="1:8" x14ac:dyDescent="0.25">
      <c r="A1620" s="952"/>
      <c r="B1620" s="953"/>
      <c r="C1620" s="953"/>
      <c r="D1620" s="953"/>
      <c r="E1620" s="953"/>
      <c r="F1620" s="953"/>
      <c r="G1620" s="953"/>
      <c r="H1620" s="953"/>
    </row>
    <row r="1621" spans="1:8" x14ac:dyDescent="0.25">
      <c r="A1621" s="952"/>
      <c r="B1621" s="953"/>
      <c r="C1621" s="953"/>
      <c r="D1621" s="953"/>
      <c r="E1621" s="953"/>
      <c r="F1621" s="953"/>
      <c r="G1621" s="953"/>
      <c r="H1621" s="953"/>
    </row>
    <row r="1622" spans="1:8" x14ac:dyDescent="0.25">
      <c r="A1622" s="952"/>
      <c r="B1622" s="953"/>
      <c r="C1622" s="953"/>
      <c r="D1622" s="953"/>
      <c r="E1622" s="953"/>
      <c r="F1622" s="953"/>
      <c r="G1622" s="953"/>
      <c r="H1622" s="953"/>
    </row>
    <row r="1623" spans="1:8" x14ac:dyDescent="0.25">
      <c r="A1623" s="952"/>
      <c r="B1623" s="953"/>
      <c r="C1623" s="953"/>
      <c r="D1623" s="953"/>
      <c r="E1623" s="953"/>
      <c r="F1623" s="953"/>
      <c r="G1623" s="953"/>
      <c r="H1623" s="953"/>
    </row>
    <row r="1624" spans="1:8" x14ac:dyDescent="0.25">
      <c r="A1624" s="952"/>
      <c r="B1624" s="953"/>
      <c r="C1624" s="953"/>
      <c r="D1624" s="953"/>
      <c r="E1624" s="953"/>
      <c r="F1624" s="953"/>
      <c r="G1624" s="953"/>
      <c r="H1624" s="953"/>
    </row>
    <row r="1625" spans="1:8" x14ac:dyDescent="0.25">
      <c r="A1625" s="952"/>
      <c r="B1625" s="953"/>
      <c r="C1625" s="953"/>
      <c r="D1625" s="953"/>
      <c r="E1625" s="953"/>
      <c r="F1625" s="953"/>
      <c r="G1625" s="953"/>
      <c r="H1625" s="953"/>
    </row>
    <row r="1626" spans="1:8" x14ac:dyDescent="0.25">
      <c r="A1626" s="952"/>
      <c r="B1626" s="953"/>
      <c r="C1626" s="953"/>
      <c r="D1626" s="953"/>
      <c r="E1626" s="953"/>
      <c r="F1626" s="953"/>
      <c r="G1626" s="953"/>
      <c r="H1626" s="953"/>
    </row>
    <row r="1627" spans="1:8" x14ac:dyDescent="0.25">
      <c r="A1627" s="952"/>
      <c r="B1627" s="953"/>
      <c r="C1627" s="953"/>
      <c r="D1627" s="953"/>
      <c r="E1627" s="953"/>
      <c r="F1627" s="953"/>
      <c r="G1627" s="953"/>
      <c r="H1627" s="953"/>
    </row>
    <row r="1628" spans="1:8" x14ac:dyDescent="0.25">
      <c r="A1628" s="952"/>
      <c r="B1628" s="953"/>
      <c r="C1628" s="953"/>
      <c r="D1628" s="953"/>
      <c r="E1628" s="953"/>
      <c r="F1628" s="953"/>
      <c r="G1628" s="953"/>
      <c r="H1628" s="953"/>
    </row>
    <row r="1629" spans="1:8" x14ac:dyDescent="0.25">
      <c r="A1629" s="952"/>
      <c r="B1629" s="953"/>
      <c r="C1629" s="953"/>
      <c r="D1629" s="953"/>
      <c r="E1629" s="953"/>
      <c r="F1629" s="953"/>
      <c r="G1629" s="953"/>
      <c r="H1629" s="953"/>
    </row>
    <row r="1630" spans="1:8" x14ac:dyDescent="0.25">
      <c r="A1630" s="952"/>
      <c r="B1630" s="953"/>
      <c r="C1630" s="953"/>
      <c r="D1630" s="953"/>
      <c r="E1630" s="953"/>
      <c r="F1630" s="953"/>
      <c r="G1630" s="953"/>
      <c r="H1630" s="953"/>
    </row>
    <row r="1631" spans="1:8" x14ac:dyDescent="0.25">
      <c r="A1631" s="952"/>
      <c r="B1631" s="953"/>
      <c r="C1631" s="953"/>
      <c r="D1631" s="953"/>
      <c r="E1631" s="953"/>
      <c r="F1631" s="953"/>
      <c r="G1631" s="953"/>
      <c r="H1631" s="953"/>
    </row>
    <row r="1632" spans="1:8" x14ac:dyDescent="0.25">
      <c r="A1632" s="952"/>
      <c r="B1632" s="953"/>
      <c r="C1632" s="953"/>
      <c r="D1632" s="953"/>
      <c r="E1632" s="953"/>
      <c r="F1632" s="953"/>
      <c r="G1632" s="953"/>
      <c r="H1632" s="953"/>
    </row>
    <row r="1633" spans="1:8" x14ac:dyDescent="0.25">
      <c r="A1633" s="952"/>
      <c r="B1633" s="953"/>
      <c r="C1633" s="953"/>
      <c r="D1633" s="953"/>
      <c r="E1633" s="953"/>
      <c r="F1633" s="953"/>
      <c r="G1633" s="953"/>
      <c r="H1633" s="953"/>
    </row>
    <row r="1634" spans="1:8" x14ac:dyDescent="0.25">
      <c r="A1634" s="952"/>
      <c r="B1634" s="953"/>
      <c r="C1634" s="953"/>
      <c r="D1634" s="953"/>
      <c r="E1634" s="953"/>
      <c r="F1634" s="953"/>
      <c r="G1634" s="953"/>
      <c r="H1634" s="953"/>
    </row>
    <row r="1635" spans="1:8" x14ac:dyDescent="0.25">
      <c r="A1635" s="952"/>
      <c r="B1635" s="953"/>
      <c r="C1635" s="953"/>
      <c r="D1635" s="953"/>
      <c r="E1635" s="953"/>
      <c r="F1635" s="953"/>
      <c r="G1635" s="953"/>
      <c r="H1635" s="953"/>
    </row>
    <row r="1636" spans="1:8" x14ac:dyDescent="0.25">
      <c r="A1636" s="952"/>
      <c r="B1636" s="953"/>
      <c r="C1636" s="953"/>
      <c r="D1636" s="953"/>
      <c r="E1636" s="953"/>
      <c r="F1636" s="953"/>
      <c r="G1636" s="953"/>
      <c r="H1636" s="953"/>
    </row>
    <row r="1637" spans="1:8" x14ac:dyDescent="0.25">
      <c r="A1637" s="952"/>
      <c r="B1637" s="953"/>
      <c r="C1637" s="953"/>
      <c r="D1637" s="953"/>
      <c r="E1637" s="953"/>
      <c r="F1637" s="953"/>
      <c r="G1637" s="953"/>
      <c r="H1637" s="953"/>
    </row>
    <row r="1638" spans="1:8" x14ac:dyDescent="0.25">
      <c r="A1638" s="952"/>
      <c r="B1638" s="953"/>
      <c r="C1638" s="953"/>
      <c r="D1638" s="953"/>
      <c r="E1638" s="953"/>
      <c r="F1638" s="953"/>
      <c r="G1638" s="953"/>
      <c r="H1638" s="953"/>
    </row>
    <row r="1639" spans="1:8" x14ac:dyDescent="0.25">
      <c r="A1639" s="952"/>
      <c r="B1639" s="953"/>
      <c r="C1639" s="953"/>
      <c r="D1639" s="953"/>
      <c r="E1639" s="953"/>
      <c r="F1639" s="953"/>
      <c r="G1639" s="953"/>
      <c r="H1639" s="953"/>
    </row>
    <row r="1640" spans="1:8" x14ac:dyDescent="0.25">
      <c r="A1640" s="952"/>
      <c r="B1640" s="953"/>
      <c r="C1640" s="953"/>
      <c r="D1640" s="953"/>
      <c r="E1640" s="953"/>
      <c r="F1640" s="953"/>
      <c r="G1640" s="953"/>
      <c r="H1640" s="953"/>
    </row>
    <row r="1641" spans="1:8" x14ac:dyDescent="0.25">
      <c r="A1641" s="952"/>
      <c r="B1641" s="953"/>
      <c r="C1641" s="953"/>
      <c r="D1641" s="953"/>
      <c r="E1641" s="953"/>
      <c r="F1641" s="953"/>
      <c r="G1641" s="953"/>
      <c r="H1641" s="953"/>
    </row>
    <row r="1642" spans="1:8" x14ac:dyDescent="0.25">
      <c r="A1642" s="952"/>
      <c r="B1642" s="953"/>
      <c r="C1642" s="953"/>
      <c r="D1642" s="953"/>
      <c r="E1642" s="953"/>
      <c r="F1642" s="953"/>
      <c r="G1642" s="953"/>
      <c r="H1642" s="953"/>
    </row>
    <row r="1643" spans="1:8" x14ac:dyDescent="0.25">
      <c r="A1643" s="952"/>
      <c r="B1643" s="953"/>
      <c r="C1643" s="953"/>
      <c r="D1643" s="953"/>
      <c r="E1643" s="953"/>
      <c r="F1643" s="953"/>
      <c r="G1643" s="953"/>
      <c r="H1643" s="953"/>
    </row>
    <row r="1644" spans="1:8" x14ac:dyDescent="0.25">
      <c r="A1644" s="952"/>
      <c r="B1644" s="953"/>
      <c r="C1644" s="953"/>
      <c r="D1644" s="953"/>
      <c r="E1644" s="953"/>
      <c r="F1644" s="953"/>
      <c r="G1644" s="953"/>
      <c r="H1644" s="953"/>
    </row>
    <row r="1645" spans="1:8" x14ac:dyDescent="0.25">
      <c r="A1645" s="952"/>
      <c r="B1645" s="953"/>
      <c r="C1645" s="953"/>
      <c r="D1645" s="953"/>
      <c r="E1645" s="953"/>
      <c r="F1645" s="953"/>
      <c r="G1645" s="953"/>
      <c r="H1645" s="953"/>
    </row>
    <row r="1646" spans="1:8" x14ac:dyDescent="0.25">
      <c r="A1646" s="952"/>
      <c r="B1646" s="953"/>
      <c r="C1646" s="953"/>
      <c r="D1646" s="953"/>
      <c r="E1646" s="953"/>
      <c r="F1646" s="953"/>
      <c r="G1646" s="953"/>
      <c r="H1646" s="953"/>
    </row>
    <row r="1647" spans="1:8" x14ac:dyDescent="0.25">
      <c r="A1647" s="952"/>
      <c r="B1647" s="953"/>
      <c r="C1647" s="953"/>
      <c r="D1647" s="953"/>
      <c r="E1647" s="953"/>
      <c r="F1647" s="953"/>
      <c r="G1647" s="953"/>
      <c r="H1647" s="953"/>
    </row>
    <row r="1648" spans="1:8" x14ac:dyDescent="0.25">
      <c r="A1648" s="952"/>
      <c r="B1648" s="953"/>
      <c r="C1648" s="953"/>
      <c r="D1648" s="953"/>
      <c r="E1648" s="953"/>
      <c r="F1648" s="953"/>
      <c r="G1648" s="953"/>
      <c r="H1648" s="953"/>
    </row>
    <row r="1649" spans="1:8" x14ac:dyDescent="0.25">
      <c r="A1649" s="952"/>
      <c r="B1649" s="953"/>
      <c r="C1649" s="953"/>
      <c r="D1649" s="953"/>
      <c r="E1649" s="953"/>
      <c r="F1649" s="953"/>
      <c r="G1649" s="953"/>
      <c r="H1649" s="953"/>
    </row>
    <row r="1650" spans="1:8" x14ac:dyDescent="0.25">
      <c r="A1650" s="952"/>
      <c r="B1650" s="953"/>
      <c r="C1650" s="953"/>
      <c r="D1650" s="953"/>
      <c r="E1650" s="953"/>
      <c r="F1650" s="953"/>
      <c r="G1650" s="953"/>
      <c r="H1650" s="953"/>
    </row>
    <row r="1651" spans="1:8" x14ac:dyDescent="0.25">
      <c r="A1651" s="952"/>
      <c r="B1651" s="953"/>
      <c r="C1651" s="953"/>
      <c r="D1651" s="953"/>
      <c r="E1651" s="953"/>
      <c r="F1651" s="953"/>
      <c r="G1651" s="953"/>
      <c r="H1651" s="953"/>
    </row>
    <row r="1652" spans="1:8" x14ac:dyDescent="0.25">
      <c r="A1652" s="952"/>
      <c r="B1652" s="953"/>
      <c r="C1652" s="953"/>
      <c r="D1652" s="953"/>
      <c r="E1652" s="953"/>
      <c r="F1652" s="953"/>
      <c r="G1652" s="953"/>
      <c r="H1652" s="953"/>
    </row>
    <row r="1653" spans="1:8" x14ac:dyDescent="0.25">
      <c r="A1653" s="952"/>
      <c r="B1653" s="953"/>
      <c r="C1653" s="953"/>
      <c r="D1653" s="953"/>
      <c r="E1653" s="953"/>
      <c r="F1653" s="953"/>
      <c r="G1653" s="953"/>
      <c r="H1653" s="953"/>
    </row>
    <row r="1654" spans="1:8" x14ac:dyDescent="0.25">
      <c r="A1654" s="952"/>
      <c r="B1654" s="953"/>
      <c r="C1654" s="953"/>
      <c r="D1654" s="953"/>
      <c r="E1654" s="953"/>
      <c r="F1654" s="953"/>
      <c r="G1654" s="953"/>
      <c r="H1654" s="953"/>
    </row>
    <row r="1655" spans="1:8" x14ac:dyDescent="0.25">
      <c r="A1655" s="952"/>
      <c r="B1655" s="953"/>
      <c r="C1655" s="953"/>
      <c r="D1655" s="953"/>
      <c r="E1655" s="953"/>
      <c r="F1655" s="953"/>
      <c r="G1655" s="953"/>
      <c r="H1655" s="953"/>
    </row>
    <row r="1656" spans="1:8" x14ac:dyDescent="0.25">
      <c r="A1656" s="952"/>
      <c r="B1656" s="953"/>
      <c r="C1656" s="953"/>
      <c r="D1656" s="953"/>
      <c r="E1656" s="953"/>
      <c r="F1656" s="953"/>
      <c r="G1656" s="953"/>
      <c r="H1656" s="953"/>
    </row>
    <row r="1657" spans="1:8" x14ac:dyDescent="0.25">
      <c r="A1657" s="952"/>
      <c r="B1657" s="953"/>
      <c r="C1657" s="953"/>
      <c r="D1657" s="953"/>
      <c r="E1657" s="953"/>
      <c r="F1657" s="953"/>
      <c r="G1657" s="953"/>
      <c r="H1657" s="953"/>
    </row>
    <row r="1658" spans="1:8" x14ac:dyDescent="0.25">
      <c r="A1658" s="952"/>
      <c r="B1658" s="953"/>
      <c r="C1658" s="953"/>
      <c r="D1658" s="953"/>
      <c r="E1658" s="953"/>
      <c r="F1658" s="953"/>
      <c r="G1658" s="953"/>
      <c r="H1658" s="953"/>
    </row>
    <row r="1659" spans="1:8" x14ac:dyDescent="0.25">
      <c r="A1659" s="952"/>
      <c r="B1659" s="953"/>
      <c r="C1659" s="953"/>
      <c r="D1659" s="953"/>
      <c r="E1659" s="953"/>
      <c r="F1659" s="953"/>
      <c r="G1659" s="953"/>
      <c r="H1659" s="953"/>
    </row>
    <row r="1660" spans="1:8" x14ac:dyDescent="0.25">
      <c r="A1660" s="952"/>
      <c r="B1660" s="953"/>
      <c r="C1660" s="953"/>
      <c r="D1660" s="953"/>
      <c r="E1660" s="953"/>
      <c r="F1660" s="953"/>
      <c r="G1660" s="953"/>
      <c r="H1660" s="953"/>
    </row>
    <row r="1661" spans="1:8" x14ac:dyDescent="0.25">
      <c r="A1661" s="952"/>
      <c r="B1661" s="953"/>
      <c r="C1661" s="953"/>
      <c r="D1661" s="953"/>
      <c r="E1661" s="953"/>
      <c r="F1661" s="953"/>
      <c r="G1661" s="953"/>
      <c r="H1661" s="953"/>
    </row>
    <row r="1662" spans="1:8" x14ac:dyDescent="0.25">
      <c r="A1662" s="952"/>
      <c r="B1662" s="953"/>
      <c r="C1662" s="953"/>
      <c r="D1662" s="953"/>
      <c r="E1662" s="953"/>
      <c r="F1662" s="953"/>
      <c r="G1662" s="953"/>
      <c r="H1662" s="953"/>
    </row>
    <row r="1663" spans="1:8" x14ac:dyDescent="0.25">
      <c r="A1663" s="952"/>
      <c r="B1663" s="953"/>
      <c r="C1663" s="953"/>
      <c r="D1663" s="953"/>
      <c r="E1663" s="953"/>
      <c r="F1663" s="953"/>
      <c r="G1663" s="953"/>
      <c r="H1663" s="953"/>
    </row>
    <row r="1664" spans="1:8" x14ac:dyDescent="0.25">
      <c r="A1664" s="952"/>
      <c r="B1664" s="953"/>
      <c r="C1664" s="953"/>
      <c r="D1664" s="953"/>
      <c r="E1664" s="953"/>
      <c r="F1664" s="953"/>
      <c r="G1664" s="953"/>
      <c r="H1664" s="953"/>
    </row>
    <row r="1665" spans="1:8" x14ac:dyDescent="0.25">
      <c r="A1665" s="952"/>
      <c r="B1665" s="953"/>
      <c r="C1665" s="953"/>
      <c r="D1665" s="953"/>
      <c r="E1665" s="953"/>
      <c r="F1665" s="953"/>
      <c r="G1665" s="953"/>
      <c r="H1665" s="953"/>
    </row>
    <row r="1666" spans="1:8" x14ac:dyDescent="0.25">
      <c r="A1666" s="952"/>
      <c r="B1666" s="953"/>
      <c r="C1666" s="953"/>
      <c r="D1666" s="953"/>
      <c r="E1666" s="953"/>
      <c r="F1666" s="953"/>
      <c r="G1666" s="953"/>
      <c r="H1666" s="953"/>
    </row>
    <row r="1667" spans="1:8" x14ac:dyDescent="0.25">
      <c r="A1667" s="952"/>
      <c r="B1667" s="953"/>
      <c r="C1667" s="953"/>
      <c r="D1667" s="953"/>
      <c r="E1667" s="953"/>
      <c r="F1667" s="953"/>
      <c r="G1667" s="953"/>
      <c r="H1667" s="953"/>
    </row>
    <row r="1668" spans="1:8" x14ac:dyDescent="0.25">
      <c r="A1668" s="952"/>
      <c r="B1668" s="953"/>
      <c r="C1668" s="953"/>
      <c r="D1668" s="953"/>
      <c r="E1668" s="953"/>
      <c r="F1668" s="953"/>
      <c r="G1668" s="953"/>
      <c r="H1668" s="953"/>
    </row>
    <row r="1669" spans="1:8" x14ac:dyDescent="0.25">
      <c r="A1669" s="952"/>
      <c r="B1669" s="953"/>
      <c r="C1669" s="953"/>
      <c r="D1669" s="953"/>
      <c r="E1669" s="953"/>
      <c r="F1669" s="953"/>
      <c r="G1669" s="953"/>
      <c r="H1669" s="953"/>
    </row>
    <row r="1670" spans="1:8" x14ac:dyDescent="0.25">
      <c r="A1670" s="952"/>
      <c r="B1670" s="953"/>
      <c r="C1670" s="953"/>
      <c r="D1670" s="953"/>
      <c r="E1670" s="953"/>
      <c r="F1670" s="953"/>
      <c r="G1670" s="953"/>
      <c r="H1670" s="953"/>
    </row>
    <row r="1671" spans="1:8" x14ac:dyDescent="0.25">
      <c r="A1671" s="952"/>
      <c r="B1671" s="953"/>
      <c r="C1671" s="953"/>
      <c r="D1671" s="953"/>
      <c r="E1671" s="953"/>
      <c r="F1671" s="953"/>
      <c r="G1671" s="953"/>
      <c r="H1671" s="953"/>
    </row>
    <row r="1672" spans="1:8" x14ac:dyDescent="0.25">
      <c r="A1672" s="952"/>
      <c r="B1672" s="953"/>
      <c r="C1672" s="953"/>
      <c r="D1672" s="953"/>
      <c r="E1672" s="953"/>
      <c r="F1672" s="953"/>
      <c r="G1672" s="953"/>
      <c r="H1672" s="953"/>
    </row>
    <row r="1673" spans="1:8" x14ac:dyDescent="0.25">
      <c r="A1673" s="952"/>
      <c r="B1673" s="953"/>
      <c r="C1673" s="953"/>
      <c r="D1673" s="953"/>
      <c r="E1673" s="953"/>
      <c r="F1673" s="953"/>
      <c r="G1673" s="953"/>
      <c r="H1673" s="953"/>
    </row>
    <row r="1674" spans="1:8" x14ac:dyDescent="0.25">
      <c r="A1674" s="952"/>
      <c r="B1674" s="953"/>
      <c r="C1674" s="953"/>
      <c r="D1674" s="953"/>
      <c r="E1674" s="953"/>
      <c r="F1674" s="953"/>
      <c r="G1674" s="953"/>
      <c r="H1674" s="953"/>
    </row>
    <row r="1675" spans="1:8" x14ac:dyDescent="0.25">
      <c r="A1675" s="952"/>
      <c r="B1675" s="953"/>
      <c r="C1675" s="953"/>
      <c r="D1675" s="953"/>
      <c r="E1675" s="953"/>
      <c r="F1675" s="953"/>
      <c r="G1675" s="953"/>
      <c r="H1675" s="953"/>
    </row>
    <row r="1676" spans="1:8" x14ac:dyDescent="0.25">
      <c r="A1676" s="952"/>
      <c r="B1676" s="953"/>
      <c r="C1676" s="953"/>
      <c r="D1676" s="953"/>
      <c r="E1676" s="953"/>
      <c r="F1676" s="953"/>
      <c r="G1676" s="953"/>
      <c r="H1676" s="953"/>
    </row>
    <row r="1677" spans="1:8" x14ac:dyDescent="0.25">
      <c r="A1677" s="952"/>
      <c r="B1677" s="953"/>
      <c r="C1677" s="953"/>
      <c r="D1677" s="953"/>
      <c r="E1677" s="953"/>
      <c r="F1677" s="953"/>
      <c r="G1677" s="953"/>
      <c r="H1677" s="953"/>
    </row>
    <row r="1678" spans="1:8" x14ac:dyDescent="0.25">
      <c r="A1678" s="952"/>
      <c r="B1678" s="953"/>
      <c r="C1678" s="953"/>
      <c r="D1678" s="953"/>
      <c r="E1678" s="953"/>
      <c r="F1678" s="953"/>
      <c r="G1678" s="953"/>
      <c r="H1678" s="953"/>
    </row>
    <row r="1679" spans="1:8" x14ac:dyDescent="0.25">
      <c r="A1679" s="952"/>
      <c r="B1679" s="953"/>
      <c r="C1679" s="953"/>
      <c r="D1679" s="953"/>
      <c r="E1679" s="953"/>
      <c r="F1679" s="953"/>
      <c r="G1679" s="953"/>
      <c r="H1679" s="953"/>
    </row>
    <row r="1680" spans="1:8" x14ac:dyDescent="0.25">
      <c r="A1680" s="952"/>
      <c r="B1680" s="953"/>
      <c r="C1680" s="953"/>
      <c r="D1680" s="953"/>
      <c r="E1680" s="953"/>
      <c r="F1680" s="953"/>
      <c r="G1680" s="953"/>
      <c r="H1680" s="953"/>
    </row>
    <row r="1681" spans="1:8" x14ac:dyDescent="0.25">
      <c r="A1681" s="952"/>
      <c r="B1681" s="953"/>
      <c r="C1681" s="953"/>
      <c r="D1681" s="953"/>
      <c r="E1681" s="953"/>
      <c r="F1681" s="953"/>
      <c r="G1681" s="953"/>
      <c r="H1681" s="953"/>
    </row>
    <row r="1682" spans="1:8" x14ac:dyDescent="0.25">
      <c r="A1682" s="952"/>
      <c r="B1682" s="953"/>
      <c r="C1682" s="953"/>
      <c r="D1682" s="953"/>
      <c r="E1682" s="953"/>
      <c r="F1682" s="953"/>
      <c r="G1682" s="953"/>
      <c r="H1682" s="953"/>
    </row>
    <row r="1683" spans="1:8" x14ac:dyDescent="0.25">
      <c r="A1683" s="952"/>
      <c r="B1683" s="953"/>
      <c r="C1683" s="953"/>
      <c r="D1683" s="953"/>
      <c r="E1683" s="953"/>
      <c r="F1683" s="953"/>
      <c r="G1683" s="953"/>
      <c r="H1683" s="953"/>
    </row>
    <row r="1684" spans="1:8" x14ac:dyDescent="0.25">
      <c r="A1684" s="952"/>
      <c r="B1684" s="953"/>
      <c r="C1684" s="953"/>
      <c r="D1684" s="953"/>
      <c r="E1684" s="953"/>
      <c r="F1684" s="953"/>
      <c r="G1684" s="953"/>
      <c r="H1684" s="953"/>
    </row>
    <row r="1685" spans="1:8" x14ac:dyDescent="0.25">
      <c r="A1685" s="952"/>
      <c r="B1685" s="953"/>
      <c r="C1685" s="953"/>
      <c r="D1685" s="953"/>
      <c r="E1685" s="953"/>
      <c r="F1685" s="953"/>
      <c r="G1685" s="953"/>
      <c r="H1685" s="953"/>
    </row>
    <row r="1686" spans="1:8" x14ac:dyDescent="0.25">
      <c r="A1686" s="952"/>
      <c r="B1686" s="953"/>
      <c r="C1686" s="953"/>
      <c r="D1686" s="953"/>
      <c r="E1686" s="953"/>
      <c r="F1686" s="953"/>
      <c r="G1686" s="953"/>
      <c r="H1686" s="953"/>
    </row>
    <row r="1687" spans="1:8" x14ac:dyDescent="0.25">
      <c r="A1687" s="952"/>
      <c r="B1687" s="953"/>
      <c r="C1687" s="953"/>
      <c r="D1687" s="953"/>
      <c r="E1687" s="953"/>
      <c r="F1687" s="953"/>
      <c r="G1687" s="953"/>
      <c r="H1687" s="953"/>
    </row>
    <row r="1688" spans="1:8" x14ac:dyDescent="0.25">
      <c r="A1688" s="952"/>
      <c r="B1688" s="953"/>
      <c r="C1688" s="953"/>
      <c r="D1688" s="953"/>
      <c r="E1688" s="953"/>
      <c r="F1688" s="953"/>
      <c r="G1688" s="953"/>
      <c r="H1688" s="953"/>
    </row>
    <row r="1689" spans="1:8" x14ac:dyDescent="0.25">
      <c r="A1689" s="952"/>
      <c r="B1689" s="953"/>
      <c r="C1689" s="953"/>
      <c r="D1689" s="953"/>
      <c r="E1689" s="953"/>
      <c r="F1689" s="953"/>
      <c r="G1689" s="953"/>
      <c r="H1689" s="953"/>
    </row>
    <row r="1690" spans="1:8" x14ac:dyDescent="0.25">
      <c r="A1690" s="952"/>
      <c r="B1690" s="953"/>
      <c r="C1690" s="953"/>
      <c r="D1690" s="953"/>
      <c r="E1690" s="953"/>
      <c r="F1690" s="953"/>
      <c r="G1690" s="953"/>
      <c r="H1690" s="953"/>
    </row>
    <row r="1691" spans="1:8" x14ac:dyDescent="0.25">
      <c r="A1691" s="952"/>
      <c r="B1691" s="953"/>
      <c r="C1691" s="953"/>
      <c r="D1691" s="953"/>
      <c r="E1691" s="953"/>
      <c r="F1691" s="953"/>
      <c r="G1691" s="953"/>
      <c r="H1691" s="953"/>
    </row>
    <row r="1692" spans="1:8" x14ac:dyDescent="0.25">
      <c r="A1692" s="952"/>
      <c r="B1692" s="953"/>
      <c r="C1692" s="953"/>
      <c r="D1692" s="953"/>
      <c r="E1692" s="953"/>
      <c r="F1692" s="953"/>
      <c r="G1692" s="953"/>
      <c r="H1692" s="953"/>
    </row>
    <row r="1693" spans="1:8" x14ac:dyDescent="0.25">
      <c r="A1693" s="952"/>
      <c r="B1693" s="953"/>
      <c r="C1693" s="953"/>
      <c r="D1693" s="953"/>
      <c r="E1693" s="953"/>
      <c r="F1693" s="953"/>
      <c r="G1693" s="953"/>
      <c r="H1693" s="953"/>
    </row>
    <row r="1694" spans="1:8" x14ac:dyDescent="0.25">
      <c r="A1694" s="952"/>
      <c r="B1694" s="953"/>
      <c r="C1694" s="953"/>
      <c r="D1694" s="953"/>
      <c r="E1694" s="953"/>
      <c r="F1694" s="953"/>
      <c r="G1694" s="953"/>
      <c r="H1694" s="953"/>
    </row>
    <row r="1695" spans="1:8" x14ac:dyDescent="0.25">
      <c r="A1695" s="952"/>
      <c r="B1695" s="953"/>
      <c r="C1695" s="953"/>
      <c r="D1695" s="953"/>
      <c r="E1695" s="953"/>
      <c r="F1695" s="953"/>
      <c r="G1695" s="953"/>
      <c r="H1695" s="953"/>
    </row>
    <row r="1696" spans="1:8" x14ac:dyDescent="0.25">
      <c r="A1696" s="952"/>
      <c r="B1696" s="953"/>
      <c r="C1696" s="953"/>
      <c r="D1696" s="953"/>
      <c r="E1696" s="953"/>
      <c r="F1696" s="953"/>
      <c r="G1696" s="953"/>
      <c r="H1696" s="953"/>
    </row>
    <row r="1697" spans="1:8" x14ac:dyDescent="0.25">
      <c r="A1697" s="952"/>
      <c r="B1697" s="953"/>
      <c r="C1697" s="953"/>
      <c r="D1697" s="953"/>
      <c r="E1697" s="953"/>
      <c r="F1697" s="953"/>
      <c r="G1697" s="953"/>
      <c r="H1697" s="953"/>
    </row>
    <row r="1698" spans="1:8" x14ac:dyDescent="0.25">
      <c r="A1698" s="952"/>
      <c r="B1698" s="953"/>
      <c r="C1698" s="953"/>
      <c r="D1698" s="953"/>
      <c r="E1698" s="953"/>
      <c r="F1698" s="953"/>
      <c r="G1698" s="953"/>
      <c r="H1698" s="953"/>
    </row>
    <row r="1699" spans="1:8" x14ac:dyDescent="0.25">
      <c r="A1699" s="952"/>
      <c r="B1699" s="953"/>
      <c r="C1699" s="953"/>
      <c r="D1699" s="953"/>
      <c r="E1699" s="953"/>
      <c r="F1699" s="953"/>
      <c r="G1699" s="953"/>
      <c r="H1699" s="953"/>
    </row>
    <row r="1700" spans="1:8" x14ac:dyDescent="0.25">
      <c r="A1700" s="952"/>
      <c r="B1700" s="953"/>
      <c r="C1700" s="953"/>
      <c r="D1700" s="953"/>
      <c r="E1700" s="953"/>
      <c r="F1700" s="953"/>
      <c r="G1700" s="953"/>
      <c r="H1700" s="953"/>
    </row>
    <row r="1701" spans="1:8" x14ac:dyDescent="0.25">
      <c r="A1701" s="952"/>
      <c r="B1701" s="953"/>
      <c r="C1701" s="953"/>
      <c r="D1701" s="953"/>
      <c r="E1701" s="953"/>
      <c r="F1701" s="953"/>
      <c r="G1701" s="953"/>
      <c r="H1701" s="953"/>
    </row>
    <row r="1702" spans="1:8" x14ac:dyDescent="0.25">
      <c r="A1702" s="952"/>
      <c r="B1702" s="953"/>
      <c r="C1702" s="953"/>
      <c r="D1702" s="953"/>
      <c r="E1702" s="953"/>
      <c r="F1702" s="953"/>
      <c r="G1702" s="953"/>
      <c r="H1702" s="953"/>
    </row>
    <row r="1703" spans="1:8" x14ac:dyDescent="0.25">
      <c r="A1703" s="952"/>
      <c r="B1703" s="953"/>
      <c r="C1703" s="953"/>
      <c r="D1703" s="953"/>
      <c r="E1703" s="953"/>
      <c r="F1703" s="953"/>
      <c r="G1703" s="953"/>
      <c r="H1703" s="953"/>
    </row>
    <row r="1704" spans="1:8" x14ac:dyDescent="0.25">
      <c r="A1704" s="952"/>
      <c r="B1704" s="953"/>
      <c r="C1704" s="953"/>
      <c r="D1704" s="953"/>
      <c r="E1704" s="953"/>
      <c r="F1704" s="953"/>
      <c r="G1704" s="953"/>
      <c r="H1704" s="953"/>
    </row>
    <row r="1705" spans="1:8" x14ac:dyDescent="0.25">
      <c r="A1705" s="952"/>
      <c r="B1705" s="953"/>
      <c r="C1705" s="953"/>
      <c r="D1705" s="953"/>
      <c r="E1705" s="953"/>
      <c r="F1705" s="953"/>
      <c r="G1705" s="953"/>
      <c r="H1705" s="953"/>
    </row>
    <row r="1706" spans="1:8" x14ac:dyDescent="0.25">
      <c r="A1706" s="952"/>
      <c r="B1706" s="953"/>
      <c r="C1706" s="953"/>
      <c r="D1706" s="953"/>
      <c r="E1706" s="953"/>
      <c r="F1706" s="953"/>
      <c r="G1706" s="953"/>
      <c r="H1706" s="953"/>
    </row>
    <row r="1707" spans="1:8" x14ac:dyDescent="0.25">
      <c r="A1707" s="952"/>
      <c r="B1707" s="953"/>
      <c r="C1707" s="953"/>
      <c r="D1707" s="953"/>
      <c r="E1707" s="953"/>
      <c r="F1707" s="953"/>
      <c r="G1707" s="953"/>
      <c r="H1707" s="953"/>
    </row>
    <row r="1708" spans="1:8" x14ac:dyDescent="0.25">
      <c r="A1708" s="952"/>
      <c r="B1708" s="953"/>
      <c r="C1708" s="953"/>
      <c r="D1708" s="953"/>
      <c r="E1708" s="953"/>
      <c r="F1708" s="953"/>
      <c r="G1708" s="953"/>
      <c r="H1708" s="953"/>
    </row>
    <row r="1709" spans="1:8" x14ac:dyDescent="0.25">
      <c r="A1709" s="952"/>
      <c r="B1709" s="953"/>
      <c r="C1709" s="953"/>
      <c r="D1709" s="953"/>
      <c r="E1709" s="953"/>
      <c r="F1709" s="953"/>
      <c r="G1709" s="953"/>
      <c r="H1709" s="953"/>
    </row>
    <row r="1710" spans="1:8" x14ac:dyDescent="0.25">
      <c r="A1710" s="952"/>
      <c r="B1710" s="953"/>
      <c r="C1710" s="953"/>
      <c r="D1710" s="953"/>
      <c r="E1710" s="953"/>
      <c r="F1710" s="953"/>
      <c r="G1710" s="953"/>
      <c r="H1710" s="953"/>
    </row>
    <row r="1711" spans="1:8" x14ac:dyDescent="0.25">
      <c r="A1711" s="952"/>
      <c r="B1711" s="953"/>
      <c r="C1711" s="953"/>
      <c r="D1711" s="953"/>
      <c r="E1711" s="953"/>
      <c r="F1711" s="953"/>
      <c r="G1711" s="953"/>
      <c r="H1711" s="953"/>
    </row>
    <row r="1712" spans="1:8" x14ac:dyDescent="0.25">
      <c r="A1712" s="952"/>
      <c r="B1712" s="953"/>
      <c r="C1712" s="953"/>
      <c r="D1712" s="953"/>
      <c r="E1712" s="953"/>
      <c r="F1712" s="953"/>
      <c r="G1712" s="953"/>
      <c r="H1712" s="953"/>
    </row>
    <row r="1713" spans="1:8" x14ac:dyDescent="0.25">
      <c r="A1713" s="952"/>
      <c r="B1713" s="953"/>
      <c r="C1713" s="953"/>
      <c r="D1713" s="953"/>
      <c r="E1713" s="953"/>
      <c r="F1713" s="953"/>
      <c r="G1713" s="953"/>
      <c r="H1713" s="953"/>
    </row>
    <row r="1714" spans="1:8" x14ac:dyDescent="0.25">
      <c r="A1714" s="952"/>
      <c r="B1714" s="953"/>
      <c r="C1714" s="953"/>
      <c r="D1714" s="953"/>
      <c r="E1714" s="953"/>
      <c r="F1714" s="953"/>
      <c r="G1714" s="953"/>
      <c r="H1714" s="953"/>
    </row>
    <row r="1715" spans="1:8" x14ac:dyDescent="0.25">
      <c r="A1715" s="952"/>
      <c r="B1715" s="953"/>
      <c r="C1715" s="953"/>
      <c r="D1715" s="953"/>
      <c r="E1715" s="953"/>
      <c r="F1715" s="953"/>
      <c r="G1715" s="953"/>
      <c r="H1715" s="953"/>
    </row>
    <row r="1716" spans="1:8" x14ac:dyDescent="0.25">
      <c r="A1716" s="952"/>
      <c r="B1716" s="953"/>
      <c r="C1716" s="953"/>
      <c r="D1716" s="953"/>
      <c r="E1716" s="953"/>
      <c r="F1716" s="953"/>
      <c r="G1716" s="953"/>
      <c r="H1716" s="953"/>
    </row>
    <row r="1717" spans="1:8" x14ac:dyDescent="0.25">
      <c r="A1717" s="952"/>
      <c r="B1717" s="953"/>
      <c r="C1717" s="953"/>
      <c r="D1717" s="953"/>
      <c r="E1717" s="953"/>
      <c r="F1717" s="953"/>
      <c r="G1717" s="953"/>
      <c r="H1717" s="953"/>
    </row>
    <row r="1718" spans="1:8" x14ac:dyDescent="0.25">
      <c r="A1718" s="952"/>
      <c r="B1718" s="953"/>
      <c r="C1718" s="953"/>
      <c r="D1718" s="953"/>
      <c r="E1718" s="953"/>
      <c r="F1718" s="953"/>
      <c r="G1718" s="953"/>
      <c r="H1718" s="953"/>
    </row>
    <row r="1719" spans="1:8" x14ac:dyDescent="0.25">
      <c r="A1719" s="952"/>
      <c r="B1719" s="953"/>
      <c r="C1719" s="953"/>
      <c r="D1719" s="953"/>
      <c r="E1719" s="953"/>
      <c r="F1719" s="953"/>
      <c r="G1719" s="953"/>
      <c r="H1719" s="953"/>
    </row>
    <row r="1720" spans="1:8" x14ac:dyDescent="0.25">
      <c r="A1720" s="952"/>
      <c r="B1720" s="953"/>
      <c r="C1720" s="953"/>
      <c r="D1720" s="953"/>
      <c r="E1720" s="953"/>
      <c r="F1720" s="953"/>
      <c r="G1720" s="953"/>
      <c r="H1720" s="953"/>
    </row>
    <row r="1721" spans="1:8" x14ac:dyDescent="0.25">
      <c r="A1721" s="952"/>
      <c r="B1721" s="953"/>
      <c r="C1721" s="953"/>
      <c r="D1721" s="953"/>
      <c r="E1721" s="953"/>
      <c r="F1721" s="953"/>
      <c r="G1721" s="953"/>
      <c r="H1721" s="953"/>
    </row>
    <row r="1722" spans="1:8" x14ac:dyDescent="0.25">
      <c r="A1722" s="952"/>
      <c r="B1722" s="953"/>
      <c r="C1722" s="953"/>
      <c r="D1722" s="953"/>
      <c r="E1722" s="953"/>
      <c r="F1722" s="953"/>
      <c r="G1722" s="953"/>
      <c r="H1722" s="953"/>
    </row>
    <row r="1723" spans="1:8" x14ac:dyDescent="0.25">
      <c r="A1723" s="952"/>
      <c r="B1723" s="953"/>
      <c r="C1723" s="953"/>
      <c r="D1723" s="953"/>
      <c r="E1723" s="953"/>
      <c r="F1723" s="953"/>
      <c r="G1723" s="953"/>
      <c r="H1723" s="953"/>
    </row>
    <row r="1724" spans="1:8" x14ac:dyDescent="0.25">
      <c r="A1724" s="952"/>
      <c r="B1724" s="953"/>
      <c r="C1724" s="953"/>
      <c r="D1724" s="953"/>
      <c r="E1724" s="953"/>
      <c r="F1724" s="953"/>
      <c r="G1724" s="953"/>
      <c r="H1724" s="953"/>
    </row>
    <row r="1725" spans="1:8" x14ac:dyDescent="0.25">
      <c r="A1725" s="952"/>
      <c r="B1725" s="953"/>
      <c r="C1725" s="953"/>
      <c r="D1725" s="953"/>
      <c r="E1725" s="953"/>
      <c r="F1725" s="953"/>
      <c r="G1725" s="953"/>
      <c r="H1725" s="953"/>
    </row>
    <row r="1726" spans="1:8" x14ac:dyDescent="0.25">
      <c r="A1726" s="952"/>
      <c r="B1726" s="953"/>
      <c r="C1726" s="953"/>
      <c r="D1726" s="953"/>
      <c r="E1726" s="953"/>
      <c r="F1726" s="953"/>
      <c r="G1726" s="953"/>
      <c r="H1726" s="953"/>
    </row>
    <row r="1727" spans="1:8" x14ac:dyDescent="0.25">
      <c r="A1727" s="952"/>
      <c r="B1727" s="953"/>
      <c r="C1727" s="953"/>
      <c r="D1727" s="953"/>
      <c r="E1727" s="953"/>
      <c r="F1727" s="953"/>
      <c r="G1727" s="953"/>
      <c r="H1727" s="953"/>
    </row>
    <row r="1728" spans="1:8" x14ac:dyDescent="0.25">
      <c r="A1728" s="952"/>
      <c r="B1728" s="953"/>
      <c r="C1728" s="953"/>
      <c r="D1728" s="953"/>
      <c r="E1728" s="953"/>
      <c r="F1728" s="953"/>
      <c r="G1728" s="953"/>
      <c r="H1728" s="953"/>
    </row>
    <row r="1729" spans="1:8" x14ac:dyDescent="0.25">
      <c r="A1729" s="952"/>
      <c r="B1729" s="953"/>
      <c r="C1729" s="953"/>
      <c r="D1729" s="953"/>
      <c r="E1729" s="953"/>
      <c r="F1729" s="953"/>
      <c r="G1729" s="953"/>
      <c r="H1729" s="953"/>
    </row>
    <row r="1730" spans="1:8" x14ac:dyDescent="0.25">
      <c r="A1730" s="952"/>
      <c r="B1730" s="953"/>
      <c r="C1730" s="953"/>
      <c r="D1730" s="953"/>
      <c r="E1730" s="953"/>
      <c r="F1730" s="953"/>
      <c r="G1730" s="953"/>
      <c r="H1730" s="953"/>
    </row>
    <row r="1731" spans="1:8" x14ac:dyDescent="0.25">
      <c r="A1731" s="952"/>
      <c r="B1731" s="953"/>
      <c r="C1731" s="953"/>
      <c r="D1731" s="953"/>
      <c r="E1731" s="953"/>
      <c r="F1731" s="953"/>
      <c r="G1731" s="953"/>
      <c r="H1731" s="953"/>
    </row>
    <row r="1732" spans="1:8" x14ac:dyDescent="0.25">
      <c r="A1732" s="952"/>
      <c r="B1732" s="953"/>
      <c r="C1732" s="953"/>
      <c r="D1732" s="953"/>
      <c r="E1732" s="953"/>
      <c r="F1732" s="953"/>
      <c r="G1732" s="953"/>
      <c r="H1732" s="953"/>
    </row>
    <row r="1733" spans="1:8" x14ac:dyDescent="0.25">
      <c r="A1733" s="952"/>
      <c r="B1733" s="953"/>
      <c r="C1733" s="953"/>
      <c r="D1733" s="953"/>
      <c r="E1733" s="953"/>
      <c r="F1733" s="953"/>
      <c r="G1733" s="953"/>
      <c r="H1733" s="953"/>
    </row>
    <row r="1734" spans="1:8" x14ac:dyDescent="0.25">
      <c r="A1734" s="952"/>
      <c r="B1734" s="953"/>
      <c r="C1734" s="953"/>
      <c r="D1734" s="953"/>
      <c r="E1734" s="953"/>
      <c r="F1734" s="953"/>
      <c r="G1734" s="953"/>
      <c r="H1734" s="953"/>
    </row>
    <row r="1735" spans="1:8" x14ac:dyDescent="0.25">
      <c r="A1735" s="952"/>
      <c r="B1735" s="953"/>
      <c r="C1735" s="953"/>
      <c r="D1735" s="953"/>
      <c r="E1735" s="953"/>
      <c r="F1735" s="953"/>
      <c r="G1735" s="953"/>
      <c r="H1735" s="953"/>
    </row>
    <row r="1736" spans="1:8" x14ac:dyDescent="0.25">
      <c r="A1736" s="952"/>
      <c r="B1736" s="953"/>
      <c r="C1736" s="953"/>
      <c r="D1736" s="953"/>
      <c r="E1736" s="953"/>
      <c r="F1736" s="953"/>
      <c r="G1736" s="953"/>
      <c r="H1736" s="953"/>
    </row>
    <row r="1737" spans="1:8" x14ac:dyDescent="0.25">
      <c r="A1737" s="952"/>
      <c r="B1737" s="953"/>
      <c r="C1737" s="953"/>
      <c r="D1737" s="953"/>
      <c r="E1737" s="953"/>
      <c r="F1737" s="953"/>
      <c r="G1737" s="953"/>
      <c r="H1737" s="953"/>
    </row>
    <row r="1738" spans="1:8" x14ac:dyDescent="0.25">
      <c r="A1738" s="952"/>
      <c r="B1738" s="953"/>
      <c r="C1738" s="953"/>
      <c r="D1738" s="953"/>
      <c r="E1738" s="953"/>
      <c r="F1738" s="953"/>
      <c r="G1738" s="953"/>
      <c r="H1738" s="953"/>
    </row>
    <row r="1739" spans="1:8" x14ac:dyDescent="0.25">
      <c r="A1739" s="952"/>
      <c r="B1739" s="953"/>
      <c r="C1739" s="953"/>
      <c r="D1739" s="953"/>
      <c r="E1739" s="953"/>
      <c r="F1739" s="953"/>
      <c r="G1739" s="953"/>
      <c r="H1739" s="953"/>
    </row>
    <row r="1740" spans="1:8" x14ac:dyDescent="0.25">
      <c r="A1740" s="952"/>
      <c r="B1740" s="953"/>
      <c r="C1740" s="953"/>
      <c r="D1740" s="953"/>
      <c r="E1740" s="953"/>
      <c r="F1740" s="953"/>
      <c r="G1740" s="953"/>
      <c r="H1740" s="953"/>
    </row>
    <row r="1741" spans="1:8" x14ac:dyDescent="0.25">
      <c r="A1741" s="952"/>
      <c r="B1741" s="953"/>
      <c r="C1741" s="953"/>
      <c r="D1741" s="953"/>
      <c r="E1741" s="953"/>
      <c r="F1741" s="953"/>
      <c r="G1741" s="953"/>
      <c r="H1741" s="953"/>
    </row>
    <row r="1742" spans="1:8" x14ac:dyDescent="0.25">
      <c r="A1742" s="952"/>
      <c r="B1742" s="953"/>
      <c r="C1742" s="953"/>
      <c r="D1742" s="953"/>
      <c r="E1742" s="953"/>
      <c r="F1742" s="953"/>
      <c r="G1742" s="953"/>
      <c r="H1742" s="953"/>
    </row>
    <row r="1743" spans="1:8" x14ac:dyDescent="0.25">
      <c r="A1743" s="952"/>
      <c r="B1743" s="953"/>
      <c r="C1743" s="953"/>
      <c r="D1743" s="953"/>
      <c r="E1743" s="953"/>
      <c r="F1743" s="953"/>
      <c r="G1743" s="953"/>
      <c r="H1743" s="953"/>
    </row>
    <row r="1744" spans="1:8" x14ac:dyDescent="0.25">
      <c r="A1744" s="952"/>
      <c r="B1744" s="953"/>
      <c r="C1744" s="953"/>
      <c r="D1744" s="953"/>
      <c r="E1744" s="953"/>
      <c r="F1744" s="953"/>
      <c r="G1744" s="953"/>
      <c r="H1744" s="953"/>
    </row>
    <row r="1745" spans="1:8" x14ac:dyDescent="0.25">
      <c r="A1745" s="952"/>
      <c r="B1745" s="953"/>
      <c r="C1745" s="953"/>
      <c r="D1745" s="953"/>
      <c r="E1745" s="953"/>
      <c r="F1745" s="953"/>
      <c r="G1745" s="953"/>
      <c r="H1745" s="953"/>
    </row>
    <row r="1746" spans="1:8" x14ac:dyDescent="0.25">
      <c r="A1746" s="952"/>
      <c r="B1746" s="953"/>
      <c r="C1746" s="953"/>
      <c r="D1746" s="953"/>
      <c r="E1746" s="953"/>
      <c r="F1746" s="953"/>
      <c r="G1746" s="953"/>
      <c r="H1746" s="953"/>
    </row>
    <row r="1747" spans="1:8" x14ac:dyDescent="0.25">
      <c r="A1747" s="952"/>
      <c r="B1747" s="953"/>
      <c r="C1747" s="953"/>
      <c r="D1747" s="953"/>
      <c r="E1747" s="953"/>
      <c r="F1747" s="953"/>
      <c r="G1747" s="953"/>
      <c r="H1747" s="953"/>
    </row>
    <row r="1748" spans="1:8" x14ac:dyDescent="0.25">
      <c r="A1748" s="952"/>
      <c r="B1748" s="953"/>
      <c r="C1748" s="953"/>
      <c r="D1748" s="953"/>
      <c r="E1748" s="953"/>
      <c r="F1748" s="953"/>
      <c r="G1748" s="953"/>
      <c r="H1748" s="953"/>
    </row>
    <row r="1749" spans="1:8" x14ac:dyDescent="0.25">
      <c r="A1749" s="952"/>
      <c r="B1749" s="953"/>
      <c r="C1749" s="953"/>
      <c r="D1749" s="953"/>
      <c r="E1749" s="953"/>
      <c r="F1749" s="953"/>
      <c r="G1749" s="953"/>
      <c r="H1749" s="953"/>
    </row>
    <row r="1750" spans="1:8" x14ac:dyDescent="0.25">
      <c r="A1750" s="952"/>
      <c r="B1750" s="953"/>
      <c r="C1750" s="953"/>
      <c r="D1750" s="953"/>
      <c r="E1750" s="953"/>
      <c r="F1750" s="953"/>
      <c r="G1750" s="953"/>
      <c r="H1750" s="953"/>
    </row>
    <row r="1751" spans="1:8" x14ac:dyDescent="0.25">
      <c r="A1751" s="952"/>
      <c r="B1751" s="953"/>
      <c r="C1751" s="953"/>
      <c r="D1751" s="953"/>
      <c r="E1751" s="953"/>
      <c r="F1751" s="953"/>
      <c r="G1751" s="953"/>
      <c r="H1751" s="953"/>
    </row>
    <row r="1752" spans="1:8" x14ac:dyDescent="0.25">
      <c r="A1752" s="952"/>
      <c r="B1752" s="953"/>
      <c r="C1752" s="953"/>
      <c r="D1752" s="953"/>
      <c r="E1752" s="953"/>
      <c r="F1752" s="953"/>
      <c r="G1752" s="953"/>
      <c r="H1752" s="953"/>
    </row>
    <row r="1753" spans="1:8" x14ac:dyDescent="0.25">
      <c r="A1753" s="952"/>
      <c r="B1753" s="953"/>
      <c r="C1753" s="953"/>
      <c r="D1753" s="953"/>
      <c r="E1753" s="953"/>
      <c r="F1753" s="953"/>
      <c r="G1753" s="953"/>
      <c r="H1753" s="953"/>
    </row>
    <row r="1754" spans="1:8" x14ac:dyDescent="0.25">
      <c r="A1754" s="952"/>
      <c r="B1754" s="953"/>
      <c r="C1754" s="953"/>
      <c r="D1754" s="953"/>
      <c r="E1754" s="953"/>
      <c r="F1754" s="953"/>
      <c r="G1754" s="953"/>
      <c r="H1754" s="953"/>
    </row>
    <row r="1755" spans="1:8" x14ac:dyDescent="0.25">
      <c r="A1755" s="952"/>
      <c r="B1755" s="953"/>
      <c r="C1755" s="953"/>
      <c r="D1755" s="953"/>
      <c r="E1755" s="953"/>
      <c r="F1755" s="953"/>
      <c r="G1755" s="953"/>
      <c r="H1755" s="953"/>
    </row>
    <row r="1756" spans="1:8" x14ac:dyDescent="0.25">
      <c r="A1756" s="952"/>
      <c r="B1756" s="953"/>
      <c r="C1756" s="953"/>
      <c r="D1756" s="953"/>
      <c r="E1756" s="953"/>
      <c r="F1756" s="953"/>
      <c r="G1756" s="953"/>
      <c r="H1756" s="953"/>
    </row>
    <row r="1757" spans="1:8" x14ac:dyDescent="0.25">
      <c r="A1757" s="952"/>
      <c r="B1757" s="953"/>
      <c r="C1757" s="953"/>
      <c r="D1757" s="953"/>
      <c r="E1757" s="953"/>
      <c r="F1757" s="953"/>
      <c r="G1757" s="953"/>
      <c r="H1757" s="953"/>
    </row>
    <row r="1758" spans="1:8" x14ac:dyDescent="0.25">
      <c r="A1758" s="952"/>
      <c r="B1758" s="953"/>
      <c r="C1758" s="953"/>
      <c r="D1758" s="953"/>
      <c r="E1758" s="953"/>
      <c r="F1758" s="953"/>
      <c r="G1758" s="953"/>
      <c r="H1758" s="953"/>
    </row>
    <row r="1759" spans="1:8" x14ac:dyDescent="0.25">
      <c r="A1759" s="952"/>
      <c r="B1759" s="953"/>
      <c r="C1759" s="953"/>
      <c r="D1759" s="953"/>
      <c r="E1759" s="953"/>
      <c r="F1759" s="953"/>
      <c r="G1759" s="953"/>
      <c r="H1759" s="953"/>
    </row>
    <row r="1760" spans="1:8" x14ac:dyDescent="0.25">
      <c r="A1760" s="952"/>
      <c r="B1760" s="953"/>
      <c r="C1760" s="953"/>
      <c r="D1760" s="953"/>
      <c r="E1760" s="953"/>
      <c r="F1760" s="953"/>
      <c r="G1760" s="953"/>
      <c r="H1760" s="953"/>
    </row>
    <row r="1761" spans="1:8" x14ac:dyDescent="0.25">
      <c r="A1761" s="952"/>
      <c r="B1761" s="953"/>
      <c r="C1761" s="953"/>
      <c r="D1761" s="953"/>
      <c r="E1761" s="953"/>
      <c r="F1761" s="953"/>
      <c r="G1761" s="953"/>
      <c r="H1761" s="953"/>
    </row>
    <row r="1762" spans="1:8" x14ac:dyDescent="0.25">
      <c r="A1762" s="952"/>
      <c r="B1762" s="953"/>
      <c r="C1762" s="953"/>
      <c r="D1762" s="953"/>
      <c r="E1762" s="953"/>
      <c r="F1762" s="953"/>
      <c r="G1762" s="953"/>
      <c r="H1762" s="953"/>
    </row>
    <row r="1763" spans="1:8" x14ac:dyDescent="0.25">
      <c r="A1763" s="952"/>
      <c r="B1763" s="953"/>
      <c r="C1763" s="953"/>
      <c r="D1763" s="953"/>
      <c r="E1763" s="953"/>
      <c r="F1763" s="953"/>
      <c r="G1763" s="953"/>
      <c r="H1763" s="953"/>
    </row>
    <row r="1764" spans="1:8" x14ac:dyDescent="0.25">
      <c r="A1764" s="952"/>
      <c r="B1764" s="953"/>
      <c r="C1764" s="953"/>
      <c r="D1764" s="953"/>
      <c r="E1764" s="953"/>
      <c r="F1764" s="953"/>
      <c r="G1764" s="953"/>
      <c r="H1764" s="953"/>
    </row>
    <row r="1765" spans="1:8" x14ac:dyDescent="0.25">
      <c r="A1765" s="952"/>
      <c r="B1765" s="953"/>
      <c r="C1765" s="953"/>
      <c r="D1765" s="953"/>
      <c r="E1765" s="953"/>
      <c r="F1765" s="953"/>
      <c r="G1765" s="953"/>
      <c r="H1765" s="953"/>
    </row>
    <row r="1766" spans="1:8" x14ac:dyDescent="0.25">
      <c r="A1766" s="952"/>
      <c r="B1766" s="953"/>
      <c r="C1766" s="953"/>
      <c r="D1766" s="953"/>
      <c r="E1766" s="953"/>
      <c r="F1766" s="953"/>
      <c r="G1766" s="953"/>
      <c r="H1766" s="953"/>
    </row>
    <row r="1767" spans="1:8" x14ac:dyDescent="0.25">
      <c r="A1767" s="952"/>
      <c r="B1767" s="953"/>
      <c r="C1767" s="953"/>
      <c r="D1767" s="953"/>
      <c r="E1767" s="953"/>
      <c r="F1767" s="953"/>
      <c r="G1767" s="953"/>
      <c r="H1767" s="953"/>
    </row>
    <row r="1768" spans="1:8" x14ac:dyDescent="0.25">
      <c r="A1768" s="952"/>
      <c r="B1768" s="953"/>
      <c r="C1768" s="953"/>
      <c r="D1768" s="953"/>
      <c r="E1768" s="953"/>
      <c r="F1768" s="953"/>
      <c r="G1768" s="953"/>
      <c r="H1768" s="953"/>
    </row>
    <row r="1769" spans="1:8" x14ac:dyDescent="0.25">
      <c r="A1769" s="952"/>
      <c r="B1769" s="953"/>
      <c r="C1769" s="953"/>
      <c r="D1769" s="953"/>
      <c r="E1769" s="953"/>
      <c r="F1769" s="953"/>
      <c r="G1769" s="953"/>
      <c r="H1769" s="953"/>
    </row>
    <row r="1770" spans="1:8" x14ac:dyDescent="0.25">
      <c r="A1770" s="952"/>
      <c r="B1770" s="953"/>
      <c r="C1770" s="953"/>
      <c r="D1770" s="953"/>
      <c r="E1770" s="953"/>
      <c r="F1770" s="953"/>
      <c r="G1770" s="953"/>
      <c r="H1770" s="953"/>
    </row>
    <row r="1771" spans="1:8" x14ac:dyDescent="0.25">
      <c r="A1771" s="952"/>
      <c r="B1771" s="953"/>
      <c r="C1771" s="953"/>
      <c r="D1771" s="953"/>
      <c r="E1771" s="953"/>
      <c r="F1771" s="953"/>
      <c r="G1771" s="953"/>
      <c r="H1771" s="953"/>
    </row>
    <row r="1772" spans="1:8" x14ac:dyDescent="0.25">
      <c r="A1772" s="952"/>
      <c r="B1772" s="953"/>
      <c r="C1772" s="953"/>
      <c r="D1772" s="953"/>
      <c r="E1772" s="953"/>
      <c r="F1772" s="953"/>
      <c r="G1772" s="953"/>
      <c r="H1772" s="953"/>
    </row>
    <row r="1773" spans="1:8" x14ac:dyDescent="0.25">
      <c r="A1773" s="952"/>
      <c r="B1773" s="953"/>
      <c r="C1773" s="953"/>
      <c r="D1773" s="953"/>
      <c r="E1773" s="953"/>
      <c r="F1773" s="953"/>
      <c r="G1773" s="953"/>
      <c r="H1773" s="953"/>
    </row>
    <row r="1774" spans="1:8" x14ac:dyDescent="0.25">
      <c r="A1774" s="952"/>
      <c r="B1774" s="953"/>
      <c r="C1774" s="953"/>
      <c r="D1774" s="953"/>
      <c r="E1774" s="953"/>
      <c r="F1774" s="953"/>
      <c r="G1774" s="953"/>
      <c r="H1774" s="953"/>
    </row>
    <row r="1775" spans="1:8" x14ac:dyDescent="0.25">
      <c r="A1775" s="952"/>
      <c r="B1775" s="953"/>
      <c r="C1775" s="953"/>
      <c r="D1775" s="953"/>
      <c r="E1775" s="953"/>
      <c r="F1775" s="953"/>
      <c r="G1775" s="953"/>
      <c r="H1775" s="953"/>
    </row>
    <row r="1776" spans="1:8" x14ac:dyDescent="0.25">
      <c r="A1776" s="952"/>
      <c r="B1776" s="953"/>
      <c r="C1776" s="953"/>
      <c r="D1776" s="953"/>
      <c r="E1776" s="953"/>
      <c r="F1776" s="953"/>
      <c r="G1776" s="953"/>
      <c r="H1776" s="953"/>
    </row>
    <row r="1777" spans="1:8" x14ac:dyDescent="0.25">
      <c r="A1777" s="952"/>
      <c r="B1777" s="953"/>
      <c r="C1777" s="953"/>
      <c r="D1777" s="953"/>
      <c r="E1777" s="953"/>
      <c r="F1777" s="953"/>
      <c r="G1777" s="953"/>
      <c r="H1777" s="953"/>
    </row>
    <row r="1778" spans="1:8" x14ac:dyDescent="0.25">
      <c r="A1778" s="952"/>
      <c r="B1778" s="953"/>
      <c r="C1778" s="953"/>
      <c r="D1778" s="953"/>
      <c r="E1778" s="953"/>
      <c r="F1778" s="953"/>
      <c r="G1778" s="953"/>
      <c r="H1778" s="953"/>
    </row>
    <row r="1779" spans="1:8" x14ac:dyDescent="0.25">
      <c r="A1779" s="952"/>
      <c r="B1779" s="953"/>
      <c r="C1779" s="953"/>
      <c r="D1779" s="953"/>
      <c r="E1779" s="953"/>
      <c r="F1779" s="953"/>
      <c r="G1779" s="953"/>
      <c r="H1779" s="953"/>
    </row>
    <row r="1780" spans="1:8" x14ac:dyDescent="0.25">
      <c r="A1780" s="952"/>
      <c r="B1780" s="953"/>
      <c r="C1780" s="953"/>
      <c r="D1780" s="953"/>
      <c r="E1780" s="953"/>
      <c r="F1780" s="953"/>
      <c r="G1780" s="953"/>
      <c r="H1780" s="953"/>
    </row>
    <row r="1781" spans="1:8" x14ac:dyDescent="0.25">
      <c r="A1781" s="952"/>
      <c r="B1781" s="953"/>
      <c r="C1781" s="953"/>
      <c r="D1781" s="953"/>
      <c r="E1781" s="953"/>
      <c r="F1781" s="953"/>
      <c r="G1781" s="953"/>
      <c r="H1781" s="953"/>
    </row>
    <row r="1782" spans="1:8" x14ac:dyDescent="0.25">
      <c r="A1782" s="952"/>
      <c r="B1782" s="953"/>
      <c r="C1782" s="953"/>
      <c r="D1782" s="953"/>
      <c r="E1782" s="953"/>
      <c r="F1782" s="953"/>
      <c r="G1782" s="953"/>
      <c r="H1782" s="953"/>
    </row>
    <row r="1783" spans="1:8" x14ac:dyDescent="0.25">
      <c r="A1783" s="952"/>
      <c r="B1783" s="953"/>
      <c r="C1783" s="953"/>
      <c r="D1783" s="953"/>
      <c r="E1783" s="953"/>
      <c r="F1783" s="953"/>
      <c r="G1783" s="953"/>
      <c r="H1783" s="953"/>
    </row>
    <row r="1784" spans="1:8" x14ac:dyDescent="0.25">
      <c r="A1784" s="952"/>
      <c r="B1784" s="953"/>
      <c r="C1784" s="953"/>
      <c r="D1784" s="953"/>
      <c r="E1784" s="953"/>
      <c r="F1784" s="953"/>
      <c r="G1784" s="953"/>
      <c r="H1784" s="953"/>
    </row>
    <row r="1785" spans="1:8" x14ac:dyDescent="0.25">
      <c r="A1785" s="952"/>
      <c r="B1785" s="953"/>
      <c r="C1785" s="953"/>
      <c r="D1785" s="953"/>
      <c r="E1785" s="953"/>
      <c r="F1785" s="953"/>
      <c r="G1785" s="953"/>
      <c r="H1785" s="953"/>
    </row>
    <row r="1786" spans="1:8" x14ac:dyDescent="0.25">
      <c r="A1786" s="952"/>
      <c r="B1786" s="953"/>
      <c r="C1786" s="953"/>
      <c r="D1786" s="953"/>
      <c r="E1786" s="953"/>
      <c r="F1786" s="953"/>
      <c r="G1786" s="953"/>
      <c r="H1786" s="953"/>
    </row>
    <row r="1787" spans="1:8" x14ac:dyDescent="0.25">
      <c r="A1787" s="952"/>
      <c r="B1787" s="953"/>
      <c r="C1787" s="953"/>
      <c r="D1787" s="953"/>
      <c r="E1787" s="953"/>
      <c r="F1787" s="953"/>
      <c r="G1787" s="953"/>
      <c r="H1787" s="953"/>
    </row>
    <row r="1788" spans="1:8" x14ac:dyDescent="0.25">
      <c r="A1788" s="952"/>
      <c r="B1788" s="953"/>
      <c r="C1788" s="953"/>
      <c r="D1788" s="953"/>
      <c r="E1788" s="953"/>
      <c r="F1788" s="953"/>
      <c r="G1788" s="953"/>
      <c r="H1788" s="953"/>
    </row>
    <row r="1789" spans="1:8" x14ac:dyDescent="0.25">
      <c r="A1789" s="952"/>
      <c r="B1789" s="953"/>
      <c r="C1789" s="953"/>
      <c r="D1789" s="953"/>
      <c r="E1789" s="953"/>
      <c r="F1789" s="953"/>
      <c r="G1789" s="953"/>
      <c r="H1789" s="953"/>
    </row>
    <row r="1790" spans="1:8" x14ac:dyDescent="0.25">
      <c r="A1790" s="952"/>
      <c r="B1790" s="953"/>
      <c r="C1790" s="953"/>
      <c r="D1790" s="953"/>
      <c r="E1790" s="953"/>
      <c r="F1790" s="953"/>
      <c r="G1790" s="953"/>
      <c r="H1790" s="953"/>
    </row>
    <row r="1791" spans="1:8" x14ac:dyDescent="0.25">
      <c r="A1791" s="952"/>
      <c r="B1791" s="953"/>
      <c r="C1791" s="953"/>
      <c r="D1791" s="953"/>
      <c r="E1791" s="953"/>
      <c r="F1791" s="953"/>
      <c r="G1791" s="953"/>
      <c r="H1791" s="953"/>
    </row>
    <row r="1792" spans="1:8" x14ac:dyDescent="0.25">
      <c r="A1792" s="952"/>
      <c r="B1792" s="953"/>
      <c r="C1792" s="953"/>
      <c r="D1792" s="953"/>
      <c r="E1792" s="953"/>
      <c r="F1792" s="953"/>
      <c r="G1792" s="953"/>
      <c r="H1792" s="953"/>
    </row>
    <row r="1793" spans="1:8" x14ac:dyDescent="0.25">
      <c r="A1793" s="952"/>
      <c r="B1793" s="953"/>
      <c r="C1793" s="953"/>
      <c r="D1793" s="953"/>
      <c r="E1793" s="953"/>
      <c r="F1793" s="953"/>
      <c r="G1793" s="953"/>
      <c r="H1793" s="953"/>
    </row>
    <row r="1794" spans="1:8" x14ac:dyDescent="0.25">
      <c r="A1794" s="952"/>
      <c r="B1794" s="953"/>
      <c r="C1794" s="953"/>
      <c r="D1794" s="953"/>
      <c r="E1794" s="953"/>
      <c r="F1794" s="953"/>
      <c r="G1794" s="953"/>
      <c r="H1794" s="953"/>
    </row>
    <row r="1795" spans="1:8" x14ac:dyDescent="0.25">
      <c r="A1795" s="952"/>
      <c r="B1795" s="953"/>
      <c r="C1795" s="953"/>
      <c r="D1795" s="953"/>
      <c r="E1795" s="953"/>
      <c r="F1795" s="953"/>
      <c r="G1795" s="953"/>
      <c r="H1795" s="953"/>
    </row>
    <row r="1796" spans="1:8" x14ac:dyDescent="0.25">
      <c r="A1796" s="952"/>
      <c r="B1796" s="953"/>
      <c r="C1796" s="953"/>
      <c r="D1796" s="953"/>
      <c r="E1796" s="953"/>
      <c r="F1796" s="953"/>
      <c r="G1796" s="953"/>
      <c r="H1796" s="953"/>
    </row>
    <row r="1797" spans="1:8" x14ac:dyDescent="0.25">
      <c r="A1797" s="952"/>
      <c r="B1797" s="953"/>
      <c r="C1797" s="953"/>
      <c r="D1797" s="953"/>
      <c r="E1797" s="953"/>
      <c r="F1797" s="953"/>
      <c r="G1797" s="953"/>
      <c r="H1797" s="953"/>
    </row>
    <row r="1798" spans="1:8" x14ac:dyDescent="0.25">
      <c r="A1798" s="952"/>
      <c r="B1798" s="953"/>
      <c r="C1798" s="953"/>
      <c r="D1798" s="953"/>
      <c r="E1798" s="953"/>
      <c r="F1798" s="953"/>
      <c r="G1798" s="953"/>
      <c r="H1798" s="953"/>
    </row>
    <row r="1799" spans="1:8" x14ac:dyDescent="0.25">
      <c r="A1799" s="952"/>
      <c r="B1799" s="953"/>
      <c r="C1799" s="953"/>
      <c r="D1799" s="953"/>
      <c r="E1799" s="953"/>
      <c r="F1799" s="953"/>
      <c r="G1799" s="953"/>
      <c r="H1799" s="953"/>
    </row>
    <row r="1800" spans="1:8" x14ac:dyDescent="0.25">
      <c r="A1800" s="952"/>
      <c r="B1800" s="953"/>
      <c r="C1800" s="953"/>
      <c r="D1800" s="953"/>
      <c r="E1800" s="953"/>
      <c r="F1800" s="953"/>
      <c r="G1800" s="953"/>
      <c r="H1800" s="953"/>
    </row>
    <row r="1801" spans="1:8" x14ac:dyDescent="0.25">
      <c r="A1801" s="952"/>
      <c r="B1801" s="953"/>
      <c r="C1801" s="953"/>
      <c r="D1801" s="953"/>
      <c r="E1801" s="953"/>
      <c r="F1801" s="953"/>
      <c r="G1801" s="953"/>
      <c r="H1801" s="953"/>
    </row>
    <row r="1802" spans="1:8" x14ac:dyDescent="0.25">
      <c r="A1802" s="952"/>
      <c r="B1802" s="953"/>
      <c r="C1802" s="953"/>
      <c r="D1802" s="953"/>
      <c r="E1802" s="953"/>
      <c r="F1802" s="953"/>
      <c r="G1802" s="953"/>
      <c r="H1802" s="953"/>
    </row>
    <row r="1803" spans="1:8" x14ac:dyDescent="0.25">
      <c r="A1803" s="952"/>
      <c r="B1803" s="953"/>
      <c r="C1803" s="953"/>
      <c r="D1803" s="953"/>
      <c r="E1803" s="953"/>
      <c r="F1803" s="953"/>
      <c r="G1803" s="953"/>
      <c r="H1803" s="953"/>
    </row>
    <row r="1804" spans="1:8" x14ac:dyDescent="0.25">
      <c r="A1804" s="952"/>
      <c r="B1804" s="953"/>
      <c r="C1804" s="953"/>
      <c r="D1804" s="953"/>
      <c r="E1804" s="953"/>
      <c r="F1804" s="953"/>
      <c r="G1804" s="953"/>
      <c r="H1804" s="953"/>
    </row>
    <row r="1805" spans="1:8" x14ac:dyDescent="0.25">
      <c r="A1805" s="952"/>
      <c r="B1805" s="953"/>
      <c r="C1805" s="953"/>
      <c r="D1805" s="953"/>
      <c r="E1805" s="953"/>
      <c r="F1805" s="953"/>
      <c r="G1805" s="953"/>
      <c r="H1805" s="953"/>
    </row>
    <row r="1806" spans="1:8" x14ac:dyDescent="0.25">
      <c r="A1806" s="952"/>
      <c r="B1806" s="953"/>
      <c r="C1806" s="953"/>
      <c r="D1806" s="953"/>
      <c r="E1806" s="953"/>
      <c r="F1806" s="953"/>
      <c r="G1806" s="953"/>
      <c r="H1806" s="953"/>
    </row>
    <row r="1807" spans="1:8" x14ac:dyDescent="0.25">
      <c r="A1807" s="952"/>
      <c r="B1807" s="953"/>
      <c r="C1807" s="953"/>
      <c r="D1807" s="953"/>
      <c r="E1807" s="953"/>
      <c r="F1807" s="953"/>
      <c r="G1807" s="953"/>
      <c r="H1807" s="953"/>
    </row>
    <row r="1808" spans="1:8" x14ac:dyDescent="0.25">
      <c r="A1808" s="952"/>
      <c r="B1808" s="953"/>
      <c r="C1808" s="953"/>
      <c r="D1808" s="953"/>
      <c r="E1808" s="953"/>
      <c r="F1808" s="953"/>
      <c r="G1808" s="953"/>
      <c r="H1808" s="953"/>
    </row>
    <row r="1809" spans="1:8" x14ac:dyDescent="0.25">
      <c r="A1809" s="952"/>
      <c r="B1809" s="953"/>
      <c r="C1809" s="953"/>
      <c r="D1809" s="953"/>
      <c r="E1809" s="953"/>
      <c r="F1809" s="953"/>
      <c r="G1809" s="953"/>
      <c r="H1809" s="953"/>
    </row>
    <row r="1810" spans="1:8" x14ac:dyDescent="0.25">
      <c r="A1810" s="952"/>
      <c r="B1810" s="953"/>
      <c r="C1810" s="953"/>
      <c r="D1810" s="953"/>
      <c r="E1810" s="953"/>
      <c r="F1810" s="953"/>
      <c r="G1810" s="953"/>
      <c r="H1810" s="953"/>
    </row>
    <row r="1811" spans="1:8" x14ac:dyDescent="0.25">
      <c r="A1811" s="952"/>
      <c r="B1811" s="953"/>
      <c r="C1811" s="953"/>
      <c r="D1811" s="953"/>
      <c r="E1811" s="953"/>
      <c r="F1811" s="953"/>
      <c r="G1811" s="953"/>
      <c r="H1811" s="953"/>
    </row>
    <row r="1812" spans="1:8" x14ac:dyDescent="0.25">
      <c r="A1812" s="952"/>
      <c r="B1812" s="953"/>
      <c r="C1812" s="953"/>
      <c r="D1812" s="953"/>
      <c r="E1812" s="953"/>
      <c r="F1812" s="953"/>
      <c r="G1812" s="953"/>
      <c r="H1812" s="953"/>
    </row>
    <row r="1813" spans="1:8" x14ac:dyDescent="0.25">
      <c r="A1813" s="952"/>
      <c r="B1813" s="953"/>
      <c r="C1813" s="953"/>
      <c r="D1813" s="953"/>
      <c r="E1813" s="953"/>
      <c r="F1813" s="953"/>
      <c r="G1813" s="953"/>
      <c r="H1813" s="953"/>
    </row>
    <row r="1814" spans="1:8" x14ac:dyDescent="0.25">
      <c r="A1814" s="952"/>
      <c r="B1814" s="953"/>
      <c r="C1814" s="953"/>
      <c r="D1814" s="953"/>
      <c r="E1814" s="953"/>
      <c r="F1814" s="953"/>
      <c r="G1814" s="953"/>
      <c r="H1814" s="953"/>
    </row>
    <row r="1815" spans="1:8" x14ac:dyDescent="0.25">
      <c r="A1815" s="952"/>
      <c r="B1815" s="953"/>
      <c r="C1815" s="953"/>
      <c r="D1815" s="953"/>
      <c r="E1815" s="953"/>
      <c r="F1815" s="953"/>
      <c r="G1815" s="953"/>
      <c r="H1815" s="953"/>
    </row>
    <row r="1816" spans="1:8" x14ac:dyDescent="0.25">
      <c r="A1816" s="952"/>
      <c r="B1816" s="953"/>
      <c r="C1816" s="953"/>
      <c r="D1816" s="953"/>
      <c r="E1816" s="953"/>
      <c r="F1816" s="953"/>
      <c r="G1816" s="953"/>
      <c r="H1816" s="953"/>
    </row>
    <row r="1817" spans="1:8" x14ac:dyDescent="0.25">
      <c r="A1817" s="952"/>
      <c r="B1817" s="953"/>
      <c r="C1817" s="953"/>
      <c r="D1817" s="953"/>
      <c r="E1817" s="953"/>
      <c r="F1817" s="953"/>
      <c r="G1817" s="953"/>
      <c r="H1817" s="953"/>
    </row>
    <row r="1818" spans="1:8" x14ac:dyDescent="0.25">
      <c r="A1818" s="952"/>
      <c r="B1818" s="953"/>
      <c r="C1818" s="953"/>
      <c r="D1818" s="953"/>
      <c r="E1818" s="953"/>
      <c r="F1818" s="953"/>
      <c r="G1818" s="953"/>
      <c r="H1818" s="953"/>
    </row>
    <row r="1819" spans="1:8" x14ac:dyDescent="0.25">
      <c r="A1819" s="952"/>
      <c r="B1819" s="953"/>
      <c r="C1819" s="953"/>
      <c r="D1819" s="953"/>
      <c r="E1819" s="953"/>
      <c r="F1819" s="953"/>
      <c r="G1819" s="953"/>
      <c r="H1819" s="953"/>
    </row>
    <row r="1820" spans="1:8" x14ac:dyDescent="0.25">
      <c r="A1820" s="952"/>
      <c r="B1820" s="953"/>
      <c r="C1820" s="953"/>
      <c r="D1820" s="953"/>
      <c r="E1820" s="953"/>
      <c r="F1820" s="953"/>
      <c r="G1820" s="953"/>
      <c r="H1820" s="953"/>
    </row>
    <row r="1821" spans="1:8" x14ac:dyDescent="0.25">
      <c r="A1821" s="952"/>
      <c r="B1821" s="953"/>
      <c r="C1821" s="953"/>
      <c r="D1821" s="953"/>
      <c r="E1821" s="953"/>
      <c r="F1821" s="953"/>
      <c r="G1821" s="953"/>
      <c r="H1821" s="953"/>
    </row>
    <row r="1822" spans="1:8" x14ac:dyDescent="0.25">
      <c r="A1822" s="952"/>
      <c r="B1822" s="953"/>
      <c r="C1822" s="953"/>
      <c r="D1822" s="953"/>
      <c r="E1822" s="953"/>
      <c r="F1822" s="953"/>
      <c r="G1822" s="953"/>
      <c r="H1822" s="953"/>
    </row>
    <row r="1823" spans="1:8" x14ac:dyDescent="0.25">
      <c r="A1823" s="952"/>
      <c r="B1823" s="953"/>
      <c r="C1823" s="953"/>
      <c r="D1823" s="953"/>
      <c r="E1823" s="953"/>
      <c r="F1823" s="953"/>
      <c r="G1823" s="953"/>
      <c r="H1823" s="953"/>
    </row>
    <row r="1824" spans="1:8" x14ac:dyDescent="0.25">
      <c r="A1824" s="952"/>
      <c r="B1824" s="953"/>
      <c r="C1824" s="953"/>
      <c r="D1824" s="953"/>
      <c r="E1824" s="953"/>
      <c r="F1824" s="953"/>
      <c r="G1824" s="953"/>
      <c r="H1824" s="953"/>
    </row>
    <row r="1825" spans="1:8" x14ac:dyDescent="0.25">
      <c r="A1825" s="952"/>
      <c r="B1825" s="953"/>
      <c r="C1825" s="953"/>
      <c r="D1825" s="953"/>
      <c r="E1825" s="953"/>
      <c r="F1825" s="953"/>
      <c r="G1825" s="953"/>
      <c r="H1825" s="953"/>
    </row>
    <row r="1826" spans="1:8" x14ac:dyDescent="0.25">
      <c r="A1826" s="952"/>
      <c r="B1826" s="953"/>
      <c r="C1826" s="953"/>
      <c r="D1826" s="953"/>
      <c r="E1826" s="953"/>
      <c r="F1826" s="953"/>
      <c r="G1826" s="953"/>
      <c r="H1826" s="953"/>
    </row>
    <row r="1827" spans="1:8" x14ac:dyDescent="0.25">
      <c r="A1827" s="952"/>
      <c r="B1827" s="953"/>
      <c r="C1827" s="953"/>
      <c r="D1827" s="953"/>
      <c r="E1827" s="953"/>
      <c r="F1827" s="953"/>
      <c r="G1827" s="953"/>
      <c r="H1827" s="953"/>
    </row>
    <row r="1828" spans="1:8" x14ac:dyDescent="0.25">
      <c r="A1828" s="952"/>
      <c r="B1828" s="953"/>
      <c r="C1828" s="953"/>
      <c r="D1828" s="953"/>
      <c r="E1828" s="953"/>
      <c r="F1828" s="953"/>
      <c r="G1828" s="953"/>
      <c r="H1828" s="953"/>
    </row>
    <row r="1829" spans="1:8" x14ac:dyDescent="0.25">
      <c r="A1829" s="952"/>
      <c r="B1829" s="953"/>
      <c r="C1829" s="953"/>
      <c r="D1829" s="953"/>
      <c r="E1829" s="953"/>
      <c r="F1829" s="953"/>
      <c r="G1829" s="953"/>
      <c r="H1829" s="953"/>
    </row>
    <row r="1830" spans="1:8" x14ac:dyDescent="0.25">
      <c r="A1830" s="952"/>
      <c r="B1830" s="953"/>
      <c r="C1830" s="953"/>
      <c r="D1830" s="953"/>
      <c r="E1830" s="953"/>
      <c r="F1830" s="953"/>
      <c r="G1830" s="953"/>
      <c r="H1830" s="953"/>
    </row>
    <row r="1831" spans="1:8" x14ac:dyDescent="0.25">
      <c r="A1831" s="952"/>
      <c r="B1831" s="953"/>
      <c r="C1831" s="953"/>
      <c r="D1831" s="953"/>
      <c r="E1831" s="953"/>
      <c r="F1831" s="953"/>
      <c r="G1831" s="953"/>
      <c r="H1831" s="953"/>
    </row>
    <row r="1832" spans="1:8" x14ac:dyDescent="0.25">
      <c r="A1832" s="952"/>
      <c r="B1832" s="953"/>
      <c r="C1832" s="953"/>
      <c r="D1832" s="953"/>
      <c r="E1832" s="953"/>
      <c r="F1832" s="953"/>
      <c r="G1832" s="953"/>
      <c r="H1832" s="953"/>
    </row>
    <row r="1833" spans="1:8" x14ac:dyDescent="0.25">
      <c r="A1833" s="952"/>
      <c r="B1833" s="953"/>
      <c r="C1833" s="953"/>
      <c r="D1833" s="953"/>
      <c r="E1833" s="953"/>
      <c r="F1833" s="953"/>
      <c r="G1833" s="953"/>
      <c r="H1833" s="953"/>
    </row>
    <row r="1834" spans="1:8" x14ac:dyDescent="0.25">
      <c r="A1834" s="952"/>
      <c r="B1834" s="953"/>
      <c r="C1834" s="953"/>
      <c r="D1834" s="953"/>
      <c r="E1834" s="953"/>
      <c r="F1834" s="953"/>
      <c r="G1834" s="953"/>
      <c r="H1834" s="953"/>
    </row>
    <row r="1835" spans="1:8" x14ac:dyDescent="0.25">
      <c r="A1835" s="952"/>
      <c r="B1835" s="953"/>
      <c r="C1835" s="953"/>
      <c r="D1835" s="953"/>
      <c r="E1835" s="953"/>
      <c r="F1835" s="953"/>
      <c r="G1835" s="953"/>
      <c r="H1835" s="953"/>
    </row>
    <row r="1836" spans="1:8" x14ac:dyDescent="0.25">
      <c r="A1836" s="952"/>
      <c r="B1836" s="953"/>
      <c r="C1836" s="953"/>
      <c r="D1836" s="953"/>
      <c r="E1836" s="953"/>
      <c r="F1836" s="953"/>
      <c r="G1836" s="953"/>
      <c r="H1836" s="953"/>
    </row>
    <row r="1837" spans="1:8" x14ac:dyDescent="0.25">
      <c r="A1837" s="952"/>
      <c r="B1837" s="953"/>
      <c r="C1837" s="953"/>
      <c r="D1837" s="953"/>
      <c r="E1837" s="953"/>
      <c r="F1837" s="953"/>
      <c r="G1837" s="953"/>
      <c r="H1837" s="953"/>
    </row>
    <row r="1838" spans="1:8" x14ac:dyDescent="0.25">
      <c r="A1838" s="952"/>
      <c r="B1838" s="953"/>
      <c r="C1838" s="953"/>
      <c r="D1838" s="953"/>
      <c r="E1838" s="953"/>
      <c r="F1838" s="953"/>
      <c r="G1838" s="953"/>
      <c r="H1838" s="953"/>
    </row>
    <row r="1839" spans="1:8" x14ac:dyDescent="0.25">
      <c r="A1839" s="952"/>
      <c r="B1839" s="953"/>
      <c r="C1839" s="953"/>
      <c r="D1839" s="953"/>
      <c r="E1839" s="953"/>
      <c r="F1839" s="953"/>
      <c r="G1839" s="953"/>
      <c r="H1839" s="953"/>
    </row>
    <row r="1840" spans="1:8" x14ac:dyDescent="0.25">
      <c r="A1840" s="952"/>
      <c r="B1840" s="953"/>
      <c r="C1840" s="953"/>
      <c r="D1840" s="953"/>
      <c r="E1840" s="953"/>
      <c r="F1840" s="953"/>
      <c r="G1840" s="953"/>
      <c r="H1840" s="953"/>
    </row>
    <row r="1841" spans="1:8" x14ac:dyDescent="0.25">
      <c r="A1841" s="952"/>
      <c r="B1841" s="953"/>
      <c r="C1841" s="953"/>
      <c r="D1841" s="953"/>
      <c r="E1841" s="953"/>
      <c r="F1841" s="953"/>
      <c r="G1841" s="953"/>
      <c r="H1841" s="953"/>
    </row>
    <row r="1842" spans="1:8" x14ac:dyDescent="0.25">
      <c r="A1842" s="952"/>
      <c r="B1842" s="953"/>
      <c r="C1842" s="953"/>
      <c r="D1842" s="953"/>
      <c r="E1842" s="953"/>
      <c r="F1842" s="953"/>
      <c r="G1842" s="953"/>
      <c r="H1842" s="953"/>
    </row>
    <row r="1843" spans="1:8" x14ac:dyDescent="0.25">
      <c r="A1843" s="952"/>
      <c r="B1843" s="953"/>
      <c r="C1843" s="953"/>
      <c r="D1843" s="953"/>
      <c r="E1843" s="953"/>
      <c r="F1843" s="953"/>
      <c r="G1843" s="953"/>
      <c r="H1843" s="953"/>
    </row>
    <row r="1844" spans="1:8" x14ac:dyDescent="0.25">
      <c r="A1844" s="952"/>
      <c r="B1844" s="953"/>
      <c r="C1844" s="953"/>
      <c r="D1844" s="953"/>
      <c r="E1844" s="953"/>
      <c r="F1844" s="953"/>
      <c r="G1844" s="953"/>
      <c r="H1844" s="953"/>
    </row>
    <row r="1845" spans="1:8" x14ac:dyDescent="0.25">
      <c r="A1845" s="952"/>
      <c r="B1845" s="953"/>
      <c r="C1845" s="953"/>
      <c r="D1845" s="953"/>
      <c r="E1845" s="953"/>
      <c r="F1845" s="953"/>
      <c r="G1845" s="953"/>
      <c r="H1845" s="953"/>
    </row>
    <row r="1846" spans="1:8" x14ac:dyDescent="0.25">
      <c r="A1846" s="952"/>
      <c r="B1846" s="953"/>
      <c r="C1846" s="953"/>
      <c r="D1846" s="953"/>
      <c r="E1846" s="953"/>
      <c r="F1846" s="953"/>
      <c r="G1846" s="953"/>
      <c r="H1846" s="953"/>
    </row>
    <row r="1847" spans="1:8" x14ac:dyDescent="0.25">
      <c r="A1847" s="952"/>
      <c r="B1847" s="953"/>
      <c r="C1847" s="953"/>
      <c r="D1847" s="953"/>
      <c r="E1847" s="953"/>
      <c r="F1847" s="953"/>
      <c r="G1847" s="953"/>
      <c r="H1847" s="953"/>
    </row>
    <row r="1848" spans="1:8" x14ac:dyDescent="0.25">
      <c r="A1848" s="952"/>
      <c r="B1848" s="953"/>
      <c r="C1848" s="953"/>
      <c r="D1848" s="953"/>
      <c r="E1848" s="953"/>
      <c r="F1848" s="953"/>
      <c r="G1848" s="953"/>
      <c r="H1848" s="953"/>
    </row>
    <row r="1849" spans="1:8" x14ac:dyDescent="0.25">
      <c r="A1849" s="952"/>
      <c r="B1849" s="953"/>
      <c r="C1849" s="953"/>
      <c r="D1849" s="953"/>
      <c r="E1849" s="953"/>
      <c r="F1849" s="953"/>
      <c r="G1849" s="953"/>
      <c r="H1849" s="953"/>
    </row>
    <row r="1850" spans="1:8" x14ac:dyDescent="0.25">
      <c r="A1850" s="952"/>
      <c r="B1850" s="953"/>
      <c r="C1850" s="953"/>
      <c r="D1850" s="953"/>
      <c r="E1850" s="953"/>
      <c r="F1850" s="953"/>
      <c r="G1850" s="953"/>
      <c r="H1850" s="953"/>
    </row>
    <row r="1851" spans="1:8" x14ac:dyDescent="0.25">
      <c r="A1851" s="952"/>
      <c r="B1851" s="953"/>
      <c r="C1851" s="953"/>
      <c r="D1851" s="953"/>
      <c r="E1851" s="953"/>
      <c r="F1851" s="953"/>
      <c r="G1851" s="953"/>
      <c r="H1851" s="953"/>
    </row>
    <row r="1852" spans="1:8" x14ac:dyDescent="0.25">
      <c r="A1852" s="952"/>
      <c r="B1852" s="953"/>
      <c r="C1852" s="953"/>
      <c r="D1852" s="953"/>
      <c r="E1852" s="953"/>
      <c r="F1852" s="953"/>
      <c r="G1852" s="953"/>
      <c r="H1852" s="953"/>
    </row>
    <row r="1853" spans="1:8" x14ac:dyDescent="0.25">
      <c r="A1853" s="952"/>
      <c r="B1853" s="953"/>
      <c r="C1853" s="953"/>
      <c r="D1853" s="953"/>
      <c r="E1853" s="953"/>
      <c r="F1853" s="953"/>
      <c r="G1853" s="953"/>
      <c r="H1853" s="953"/>
    </row>
    <row r="1854" spans="1:8" x14ac:dyDescent="0.25">
      <c r="A1854" s="952"/>
      <c r="B1854" s="953"/>
      <c r="C1854" s="953"/>
      <c r="D1854" s="953"/>
      <c r="E1854" s="953"/>
      <c r="F1854" s="953"/>
      <c r="G1854" s="953"/>
      <c r="H1854" s="953"/>
    </row>
    <row r="1855" spans="1:8" x14ac:dyDescent="0.25">
      <c r="A1855" s="952"/>
      <c r="B1855" s="953"/>
      <c r="C1855" s="953"/>
      <c r="D1855" s="953"/>
      <c r="E1855" s="953"/>
      <c r="F1855" s="953"/>
      <c r="G1855" s="953"/>
      <c r="H1855" s="953"/>
    </row>
    <row r="1856" spans="1:8" x14ac:dyDescent="0.25">
      <c r="A1856" s="952"/>
      <c r="B1856" s="953"/>
      <c r="C1856" s="953"/>
      <c r="D1856" s="953"/>
      <c r="E1856" s="953"/>
      <c r="F1856" s="953"/>
      <c r="G1856" s="953"/>
      <c r="H1856" s="953"/>
    </row>
    <row r="1857" spans="1:8" x14ac:dyDescent="0.25">
      <c r="A1857" s="952"/>
      <c r="B1857" s="953"/>
      <c r="C1857" s="953"/>
      <c r="D1857" s="953"/>
      <c r="E1857" s="953"/>
      <c r="F1857" s="953"/>
      <c r="G1857" s="953"/>
      <c r="H1857" s="953"/>
    </row>
    <row r="1858" spans="1:8" x14ac:dyDescent="0.25">
      <c r="A1858" s="952"/>
      <c r="B1858" s="953"/>
      <c r="C1858" s="953"/>
      <c r="D1858" s="953"/>
      <c r="E1858" s="953"/>
      <c r="F1858" s="953"/>
      <c r="G1858" s="953"/>
      <c r="H1858" s="953"/>
    </row>
    <row r="1859" spans="1:8" x14ac:dyDescent="0.25">
      <c r="A1859" s="952"/>
      <c r="B1859" s="953"/>
      <c r="C1859" s="953"/>
      <c r="D1859" s="953"/>
      <c r="E1859" s="953"/>
      <c r="F1859" s="953"/>
      <c r="G1859" s="953"/>
      <c r="H1859" s="953"/>
    </row>
    <row r="1860" spans="1:8" x14ac:dyDescent="0.25">
      <c r="A1860" s="952"/>
      <c r="B1860" s="953"/>
      <c r="C1860" s="953"/>
      <c r="D1860" s="953"/>
      <c r="E1860" s="953"/>
      <c r="F1860" s="953"/>
      <c r="G1860" s="953"/>
      <c r="H1860" s="953"/>
    </row>
    <row r="1861" spans="1:8" x14ac:dyDescent="0.25">
      <c r="A1861" s="952"/>
      <c r="B1861" s="953"/>
      <c r="C1861" s="953"/>
      <c r="D1861" s="953"/>
      <c r="E1861" s="953"/>
      <c r="F1861" s="953"/>
      <c r="G1861" s="953"/>
      <c r="H1861" s="953"/>
    </row>
    <row r="1862" spans="1:8" x14ac:dyDescent="0.25">
      <c r="A1862" s="952"/>
      <c r="B1862" s="953"/>
      <c r="C1862" s="953"/>
      <c r="D1862" s="953"/>
      <c r="E1862" s="953"/>
      <c r="F1862" s="953"/>
      <c r="G1862" s="953"/>
      <c r="H1862" s="953"/>
    </row>
    <row r="1863" spans="1:8" x14ac:dyDescent="0.25">
      <c r="A1863" s="952"/>
      <c r="B1863" s="953"/>
      <c r="C1863" s="953"/>
      <c r="D1863" s="953"/>
      <c r="E1863" s="953"/>
      <c r="F1863" s="953"/>
      <c r="G1863" s="953"/>
      <c r="H1863" s="953"/>
    </row>
    <row r="1864" spans="1:8" x14ac:dyDescent="0.25">
      <c r="A1864" s="952"/>
      <c r="B1864" s="953"/>
      <c r="C1864" s="953"/>
      <c r="D1864" s="953"/>
      <c r="E1864" s="953"/>
      <c r="F1864" s="953"/>
      <c r="G1864" s="953"/>
      <c r="H1864" s="953"/>
    </row>
    <row r="1865" spans="1:8" x14ac:dyDescent="0.25">
      <c r="A1865" s="952"/>
      <c r="B1865" s="953"/>
      <c r="C1865" s="953"/>
      <c r="D1865" s="953"/>
      <c r="E1865" s="953"/>
      <c r="F1865" s="953"/>
      <c r="G1865" s="953"/>
      <c r="H1865" s="953"/>
    </row>
    <row r="1866" spans="1:8" x14ac:dyDescent="0.25">
      <c r="A1866" s="952"/>
      <c r="B1866" s="953"/>
      <c r="C1866" s="953"/>
      <c r="D1866" s="953"/>
      <c r="E1866" s="953"/>
      <c r="F1866" s="953"/>
      <c r="G1866" s="953"/>
      <c r="H1866" s="953"/>
    </row>
    <row r="1867" spans="1:8" x14ac:dyDescent="0.25">
      <c r="A1867" s="952"/>
      <c r="B1867" s="953"/>
      <c r="C1867" s="953"/>
      <c r="D1867" s="953"/>
      <c r="E1867" s="953"/>
      <c r="F1867" s="953"/>
      <c r="G1867" s="953"/>
      <c r="H1867" s="953"/>
    </row>
    <row r="1868" spans="1:8" x14ac:dyDescent="0.25">
      <c r="A1868" s="952"/>
      <c r="B1868" s="953"/>
      <c r="C1868" s="953"/>
      <c r="D1868" s="953"/>
      <c r="E1868" s="953"/>
      <c r="F1868" s="953"/>
      <c r="G1868" s="953"/>
      <c r="H1868" s="953"/>
    </row>
    <row r="1869" spans="1:8" x14ac:dyDescent="0.25">
      <c r="A1869" s="952"/>
      <c r="B1869" s="953"/>
      <c r="C1869" s="953"/>
      <c r="D1869" s="953"/>
      <c r="E1869" s="953"/>
      <c r="F1869" s="953"/>
      <c r="G1869" s="953"/>
      <c r="H1869" s="953"/>
    </row>
    <row r="1870" spans="1:8" x14ac:dyDescent="0.25">
      <c r="A1870" s="952"/>
      <c r="B1870" s="953"/>
      <c r="C1870" s="953"/>
      <c r="D1870" s="953"/>
      <c r="E1870" s="953"/>
      <c r="F1870" s="953"/>
      <c r="G1870" s="953"/>
      <c r="H1870" s="953"/>
    </row>
    <row r="1871" spans="1:8" x14ac:dyDescent="0.25">
      <c r="A1871" s="952"/>
      <c r="B1871" s="953"/>
      <c r="C1871" s="953"/>
      <c r="D1871" s="953"/>
      <c r="E1871" s="953"/>
      <c r="F1871" s="953"/>
      <c r="G1871" s="953"/>
      <c r="H1871" s="953"/>
    </row>
    <row r="1872" spans="1:8" x14ac:dyDescent="0.25">
      <c r="A1872" s="952"/>
      <c r="B1872" s="953"/>
      <c r="C1872" s="953"/>
      <c r="D1872" s="953"/>
      <c r="E1872" s="953"/>
      <c r="F1872" s="953"/>
      <c r="G1872" s="953"/>
      <c r="H1872" s="953"/>
    </row>
    <row r="1873" spans="1:8" x14ac:dyDescent="0.25">
      <c r="A1873" s="952"/>
      <c r="B1873" s="953"/>
      <c r="C1873" s="953"/>
      <c r="D1873" s="953"/>
      <c r="E1873" s="953"/>
      <c r="F1873" s="953"/>
      <c r="G1873" s="953"/>
      <c r="H1873" s="953"/>
    </row>
    <row r="1874" spans="1:8" x14ac:dyDescent="0.25">
      <c r="A1874" s="952"/>
      <c r="B1874" s="953"/>
      <c r="C1874" s="953"/>
      <c r="D1874" s="953"/>
      <c r="E1874" s="953"/>
      <c r="F1874" s="953"/>
      <c r="G1874" s="953"/>
      <c r="H1874" s="953"/>
    </row>
    <row r="1875" spans="1:8" x14ac:dyDescent="0.25">
      <c r="A1875" s="952"/>
      <c r="B1875" s="953"/>
      <c r="C1875" s="953"/>
      <c r="D1875" s="953"/>
      <c r="E1875" s="953"/>
      <c r="F1875" s="953"/>
      <c r="G1875" s="953"/>
      <c r="H1875" s="953"/>
    </row>
    <row r="1876" spans="1:8" x14ac:dyDescent="0.25">
      <c r="A1876" s="952"/>
      <c r="B1876" s="953"/>
      <c r="C1876" s="953"/>
      <c r="D1876" s="953"/>
      <c r="E1876" s="953"/>
      <c r="F1876" s="953"/>
      <c r="G1876" s="953"/>
      <c r="H1876" s="953"/>
    </row>
    <row r="1877" spans="1:8" x14ac:dyDescent="0.25">
      <c r="A1877" s="952"/>
      <c r="B1877" s="953"/>
      <c r="C1877" s="953"/>
      <c r="D1877" s="953"/>
      <c r="E1877" s="953"/>
      <c r="F1877" s="953"/>
      <c r="G1877" s="953"/>
      <c r="H1877" s="953"/>
    </row>
    <row r="1878" spans="1:8" x14ac:dyDescent="0.25">
      <c r="A1878" s="952"/>
      <c r="B1878" s="953"/>
      <c r="C1878" s="953"/>
      <c r="D1878" s="953"/>
      <c r="E1878" s="953"/>
      <c r="F1878" s="953"/>
      <c r="G1878" s="953"/>
      <c r="H1878" s="953"/>
    </row>
    <row r="1879" spans="1:8" x14ac:dyDescent="0.25">
      <c r="A1879" s="952"/>
      <c r="B1879" s="953"/>
      <c r="C1879" s="953"/>
      <c r="D1879" s="953"/>
      <c r="E1879" s="953"/>
      <c r="F1879" s="953"/>
      <c r="G1879" s="953"/>
      <c r="H1879" s="953"/>
    </row>
    <row r="1880" spans="1:8" x14ac:dyDescent="0.25">
      <c r="A1880" s="952"/>
      <c r="B1880" s="953"/>
      <c r="C1880" s="953"/>
      <c r="D1880" s="953"/>
      <c r="E1880" s="953"/>
      <c r="F1880" s="953"/>
      <c r="G1880" s="953"/>
      <c r="H1880" s="953"/>
    </row>
    <row r="1881" spans="1:8" x14ac:dyDescent="0.25">
      <c r="A1881" s="952"/>
      <c r="B1881" s="953"/>
      <c r="C1881" s="953"/>
      <c r="D1881" s="953"/>
      <c r="E1881" s="953"/>
      <c r="F1881" s="953"/>
      <c r="G1881" s="953"/>
      <c r="H1881" s="953"/>
    </row>
    <row r="1882" spans="1:8" x14ac:dyDescent="0.25">
      <c r="A1882" s="952"/>
      <c r="B1882" s="953"/>
      <c r="C1882" s="953"/>
      <c r="D1882" s="953"/>
      <c r="E1882" s="953"/>
      <c r="F1882" s="953"/>
      <c r="G1882" s="953"/>
      <c r="H1882" s="953"/>
    </row>
    <row r="1883" spans="1:8" x14ac:dyDescent="0.25">
      <c r="A1883" s="952"/>
      <c r="B1883" s="953"/>
      <c r="C1883" s="953"/>
      <c r="D1883" s="953"/>
      <c r="E1883" s="953"/>
      <c r="F1883" s="953"/>
      <c r="G1883" s="953"/>
      <c r="H1883" s="953"/>
    </row>
    <row r="1884" spans="1:8" x14ac:dyDescent="0.25">
      <c r="A1884" s="952"/>
      <c r="B1884" s="953"/>
      <c r="C1884" s="953"/>
      <c r="D1884" s="953"/>
      <c r="E1884" s="953"/>
      <c r="F1884" s="953"/>
      <c r="G1884" s="953"/>
      <c r="H1884" s="953"/>
    </row>
    <row r="1885" spans="1:8" x14ac:dyDescent="0.25">
      <c r="A1885" s="952"/>
      <c r="B1885" s="953"/>
      <c r="C1885" s="953"/>
      <c r="D1885" s="953"/>
      <c r="E1885" s="953"/>
      <c r="F1885" s="953"/>
      <c r="G1885" s="953"/>
      <c r="H1885" s="953"/>
    </row>
    <row r="1886" spans="1:8" x14ac:dyDescent="0.25">
      <c r="A1886" s="952"/>
      <c r="B1886" s="953"/>
      <c r="C1886" s="953"/>
      <c r="D1886" s="953"/>
      <c r="E1886" s="953"/>
      <c r="F1886" s="953"/>
      <c r="G1886" s="953"/>
      <c r="H1886" s="953"/>
    </row>
    <row r="1887" spans="1:8" x14ac:dyDescent="0.25">
      <c r="A1887" s="952"/>
      <c r="B1887" s="953"/>
      <c r="C1887" s="953"/>
      <c r="D1887" s="953"/>
      <c r="E1887" s="953"/>
      <c r="F1887" s="953"/>
      <c r="G1887" s="953"/>
      <c r="H1887" s="953"/>
    </row>
    <row r="1888" spans="1:8" x14ac:dyDescent="0.25">
      <c r="A1888" s="952"/>
      <c r="B1888" s="953"/>
      <c r="C1888" s="953"/>
      <c r="D1888" s="953"/>
      <c r="E1888" s="953"/>
      <c r="F1888" s="953"/>
      <c r="G1888" s="953"/>
      <c r="H1888" s="953"/>
    </row>
    <row r="1889" spans="1:8" x14ac:dyDescent="0.25">
      <c r="A1889" s="952"/>
      <c r="B1889" s="953"/>
      <c r="C1889" s="953"/>
      <c r="D1889" s="953"/>
      <c r="E1889" s="953"/>
      <c r="F1889" s="953"/>
      <c r="G1889" s="953"/>
      <c r="H1889" s="953"/>
    </row>
    <row r="1890" spans="1:8" x14ac:dyDescent="0.25">
      <c r="A1890" s="952"/>
      <c r="B1890" s="953"/>
      <c r="C1890" s="953"/>
      <c r="D1890" s="953"/>
      <c r="E1890" s="953"/>
      <c r="F1890" s="953"/>
      <c r="G1890" s="953"/>
      <c r="H1890" s="953"/>
    </row>
    <row r="1891" spans="1:8" x14ac:dyDescent="0.25">
      <c r="A1891" s="952"/>
      <c r="B1891" s="953"/>
      <c r="C1891" s="953"/>
      <c r="D1891" s="953"/>
      <c r="E1891" s="953"/>
      <c r="F1891" s="953"/>
      <c r="G1891" s="953"/>
      <c r="H1891" s="953"/>
    </row>
    <row r="1892" spans="1:8" x14ac:dyDescent="0.25">
      <c r="A1892" s="952"/>
      <c r="B1892" s="953"/>
      <c r="C1892" s="953"/>
      <c r="D1892" s="953"/>
      <c r="E1892" s="953"/>
      <c r="F1892" s="953"/>
      <c r="G1892" s="953"/>
      <c r="H1892" s="953"/>
    </row>
    <row r="1893" spans="1:8" x14ac:dyDescent="0.25">
      <c r="A1893" s="952"/>
      <c r="B1893" s="953"/>
      <c r="C1893" s="953"/>
      <c r="D1893" s="953"/>
      <c r="E1893" s="953"/>
      <c r="F1893" s="953"/>
      <c r="G1893" s="953"/>
      <c r="H1893" s="953"/>
    </row>
    <row r="1894" spans="1:8" x14ac:dyDescent="0.25">
      <c r="A1894" s="952"/>
      <c r="B1894" s="953"/>
      <c r="C1894" s="953"/>
      <c r="D1894" s="953"/>
      <c r="E1894" s="953"/>
      <c r="F1894" s="953"/>
      <c r="G1894" s="953"/>
      <c r="H1894" s="953"/>
    </row>
    <row r="1895" spans="1:8" x14ac:dyDescent="0.25">
      <c r="A1895" s="952"/>
      <c r="B1895" s="953"/>
      <c r="C1895" s="953"/>
      <c r="D1895" s="953"/>
      <c r="E1895" s="953"/>
      <c r="F1895" s="953"/>
      <c r="G1895" s="953"/>
      <c r="H1895" s="953"/>
    </row>
    <row r="1896" spans="1:8" x14ac:dyDescent="0.25">
      <c r="A1896" s="952"/>
      <c r="B1896" s="953"/>
      <c r="C1896" s="953"/>
      <c r="D1896" s="953"/>
      <c r="E1896" s="953"/>
      <c r="F1896" s="953"/>
      <c r="G1896" s="953"/>
      <c r="H1896" s="953"/>
    </row>
    <row r="1897" spans="1:8" x14ac:dyDescent="0.25">
      <c r="A1897" s="952"/>
      <c r="B1897" s="953"/>
      <c r="C1897" s="953"/>
      <c r="D1897" s="953"/>
      <c r="E1897" s="953"/>
      <c r="F1897" s="953"/>
      <c r="G1897" s="953"/>
      <c r="H1897" s="953"/>
    </row>
    <row r="1898" spans="1:8" x14ac:dyDescent="0.25">
      <c r="A1898" s="952"/>
      <c r="B1898" s="953"/>
      <c r="C1898" s="953"/>
      <c r="D1898" s="953"/>
      <c r="E1898" s="953"/>
      <c r="F1898" s="953"/>
      <c r="G1898" s="953"/>
      <c r="H1898" s="953"/>
    </row>
    <row r="1899" spans="1:8" x14ac:dyDescent="0.25">
      <c r="A1899" s="952"/>
      <c r="B1899" s="953"/>
      <c r="C1899" s="953"/>
      <c r="D1899" s="953"/>
      <c r="E1899" s="953"/>
      <c r="F1899" s="953"/>
      <c r="G1899" s="953"/>
      <c r="H1899" s="953"/>
    </row>
    <row r="1900" spans="1:8" x14ac:dyDescent="0.25">
      <c r="A1900" s="952"/>
      <c r="B1900" s="953"/>
      <c r="C1900" s="953"/>
      <c r="D1900" s="953"/>
      <c r="E1900" s="953"/>
      <c r="F1900" s="953"/>
      <c r="G1900" s="953"/>
      <c r="H1900" s="953"/>
    </row>
    <row r="1901" spans="1:8" x14ac:dyDescent="0.25">
      <c r="A1901" s="952"/>
      <c r="B1901" s="953"/>
      <c r="C1901" s="953"/>
      <c r="D1901" s="953"/>
      <c r="E1901" s="953"/>
      <c r="F1901" s="953"/>
      <c r="G1901" s="953"/>
      <c r="H1901" s="953"/>
    </row>
    <row r="1902" spans="1:8" x14ac:dyDescent="0.25">
      <c r="A1902" s="952"/>
      <c r="B1902" s="953"/>
      <c r="C1902" s="953"/>
      <c r="D1902" s="953"/>
      <c r="E1902" s="953"/>
      <c r="F1902" s="953"/>
      <c r="G1902" s="953"/>
      <c r="H1902" s="953"/>
    </row>
    <row r="1903" spans="1:8" x14ac:dyDescent="0.25">
      <c r="A1903" s="952"/>
      <c r="B1903" s="953"/>
      <c r="C1903" s="953"/>
      <c r="D1903" s="953"/>
      <c r="E1903" s="953"/>
      <c r="F1903" s="953"/>
      <c r="G1903" s="953"/>
      <c r="H1903" s="953"/>
    </row>
    <row r="1904" spans="1:8" x14ac:dyDescent="0.25">
      <c r="A1904" s="952"/>
      <c r="B1904" s="953"/>
      <c r="C1904" s="953"/>
      <c r="D1904" s="953"/>
      <c r="E1904" s="953"/>
      <c r="F1904" s="953"/>
      <c r="G1904" s="953"/>
      <c r="H1904" s="953"/>
    </row>
    <row r="1905" spans="1:8" x14ac:dyDescent="0.25">
      <c r="A1905" s="952"/>
      <c r="B1905" s="953"/>
      <c r="C1905" s="953"/>
      <c r="D1905" s="953"/>
      <c r="E1905" s="953"/>
      <c r="F1905" s="953"/>
      <c r="G1905" s="953"/>
      <c r="H1905" s="953"/>
    </row>
    <row r="1906" spans="1:8" x14ac:dyDescent="0.25">
      <c r="A1906" s="952"/>
      <c r="B1906" s="953"/>
      <c r="C1906" s="953"/>
      <c r="D1906" s="953"/>
      <c r="E1906" s="953"/>
      <c r="F1906" s="953"/>
      <c r="G1906" s="953"/>
      <c r="H1906" s="953"/>
    </row>
    <row r="1907" spans="1:8" x14ac:dyDescent="0.25">
      <c r="A1907" s="952"/>
      <c r="B1907" s="953"/>
      <c r="C1907" s="953"/>
      <c r="D1907" s="953"/>
      <c r="E1907" s="953"/>
      <c r="F1907" s="953"/>
      <c r="G1907" s="953"/>
      <c r="H1907" s="953"/>
    </row>
    <row r="1908" spans="1:8" x14ac:dyDescent="0.25">
      <c r="A1908" s="952"/>
      <c r="B1908" s="953"/>
      <c r="C1908" s="953"/>
      <c r="D1908" s="953"/>
      <c r="E1908" s="953"/>
      <c r="F1908" s="953"/>
      <c r="G1908" s="953"/>
      <c r="H1908" s="953"/>
    </row>
    <row r="1909" spans="1:8" x14ac:dyDescent="0.25">
      <c r="A1909" s="952"/>
      <c r="B1909" s="953"/>
      <c r="C1909" s="953"/>
      <c r="D1909" s="953"/>
      <c r="E1909" s="953"/>
      <c r="F1909" s="953"/>
      <c r="G1909" s="953"/>
      <c r="H1909" s="953"/>
    </row>
    <row r="1910" spans="1:8" x14ac:dyDescent="0.25">
      <c r="A1910" s="952"/>
      <c r="B1910" s="953"/>
      <c r="C1910" s="953"/>
      <c r="D1910" s="953"/>
      <c r="E1910" s="953"/>
      <c r="F1910" s="953"/>
      <c r="G1910" s="953"/>
      <c r="H1910" s="953"/>
    </row>
    <row r="1911" spans="1:8" x14ac:dyDescent="0.25">
      <c r="A1911" s="952"/>
      <c r="B1911" s="953"/>
      <c r="C1911" s="953"/>
      <c r="D1911" s="953"/>
      <c r="E1911" s="953"/>
      <c r="F1911" s="953"/>
      <c r="G1911" s="953"/>
      <c r="H1911" s="953"/>
    </row>
    <row r="1912" spans="1:8" x14ac:dyDescent="0.25">
      <c r="A1912" s="952"/>
      <c r="B1912" s="953"/>
      <c r="C1912" s="953"/>
      <c r="D1912" s="953"/>
      <c r="E1912" s="953"/>
      <c r="F1912" s="953"/>
      <c r="G1912" s="953"/>
      <c r="H1912" s="953"/>
    </row>
    <row r="1913" spans="1:8" x14ac:dyDescent="0.25">
      <c r="A1913" s="952"/>
      <c r="B1913" s="953"/>
      <c r="C1913" s="953"/>
      <c r="D1913" s="953"/>
      <c r="E1913" s="953"/>
      <c r="F1913" s="953"/>
      <c r="G1913" s="953"/>
      <c r="H1913" s="953"/>
    </row>
    <row r="1914" spans="1:8" x14ac:dyDescent="0.25">
      <c r="A1914" s="952"/>
      <c r="B1914" s="953"/>
      <c r="C1914" s="953"/>
      <c r="D1914" s="953"/>
      <c r="E1914" s="953"/>
      <c r="F1914" s="953"/>
      <c r="G1914" s="953"/>
      <c r="H1914" s="953"/>
    </row>
    <row r="1915" spans="1:8" x14ac:dyDescent="0.25">
      <c r="A1915" s="952"/>
      <c r="B1915" s="953"/>
      <c r="C1915" s="953"/>
      <c r="D1915" s="953"/>
      <c r="E1915" s="953"/>
      <c r="F1915" s="953"/>
      <c r="G1915" s="953"/>
      <c r="H1915" s="953"/>
    </row>
    <row r="1916" spans="1:8" x14ac:dyDescent="0.25">
      <c r="A1916" s="952"/>
      <c r="B1916" s="953"/>
      <c r="C1916" s="953"/>
      <c r="D1916" s="953"/>
      <c r="E1916" s="953"/>
      <c r="F1916" s="953"/>
      <c r="G1916" s="953"/>
      <c r="H1916" s="953"/>
    </row>
    <row r="1917" spans="1:8" x14ac:dyDescent="0.25">
      <c r="A1917" s="952"/>
      <c r="B1917" s="953"/>
      <c r="C1917" s="953"/>
      <c r="D1917" s="953"/>
      <c r="E1917" s="953"/>
      <c r="F1917" s="953"/>
      <c r="G1917" s="953"/>
      <c r="H1917" s="953"/>
    </row>
    <row r="1918" spans="1:8" x14ac:dyDescent="0.25">
      <c r="A1918" s="952"/>
      <c r="B1918" s="953"/>
      <c r="C1918" s="953"/>
      <c r="D1918" s="953"/>
      <c r="E1918" s="953"/>
      <c r="F1918" s="953"/>
      <c r="G1918" s="953"/>
      <c r="H1918" s="953"/>
    </row>
    <row r="1919" spans="1:8" x14ac:dyDescent="0.25">
      <c r="A1919" s="952"/>
      <c r="B1919" s="953"/>
      <c r="C1919" s="953"/>
      <c r="D1919" s="953"/>
      <c r="E1919" s="953"/>
      <c r="F1919" s="953"/>
      <c r="G1919" s="953"/>
      <c r="H1919" s="953"/>
    </row>
    <row r="1920" spans="1:8" x14ac:dyDescent="0.25">
      <c r="A1920" s="952"/>
      <c r="B1920" s="953"/>
      <c r="C1920" s="953"/>
      <c r="D1920" s="953"/>
      <c r="E1920" s="953"/>
      <c r="F1920" s="953"/>
      <c r="G1920" s="953"/>
      <c r="H1920" s="953"/>
    </row>
    <row r="1921" spans="1:8" x14ac:dyDescent="0.25">
      <c r="A1921" s="952"/>
      <c r="B1921" s="953"/>
      <c r="C1921" s="953"/>
      <c r="D1921" s="953"/>
      <c r="E1921" s="953"/>
      <c r="F1921" s="953"/>
      <c r="G1921" s="953"/>
      <c r="H1921" s="953"/>
    </row>
    <row r="1922" spans="1:8" x14ac:dyDescent="0.25">
      <c r="A1922" s="952"/>
      <c r="B1922" s="953"/>
      <c r="C1922" s="953"/>
      <c r="D1922" s="953"/>
      <c r="E1922" s="953"/>
      <c r="F1922" s="953"/>
      <c r="G1922" s="953"/>
      <c r="H1922" s="953"/>
    </row>
    <row r="1923" spans="1:8" x14ac:dyDescent="0.25">
      <c r="A1923" s="952"/>
      <c r="B1923" s="953"/>
      <c r="C1923" s="953"/>
      <c r="D1923" s="953"/>
      <c r="E1923" s="953"/>
      <c r="F1923" s="953"/>
      <c r="G1923" s="953"/>
      <c r="H1923" s="953"/>
    </row>
    <row r="1924" spans="1:8" x14ac:dyDescent="0.25">
      <c r="A1924" s="952"/>
      <c r="B1924" s="953"/>
      <c r="C1924" s="953"/>
      <c r="D1924" s="953"/>
      <c r="E1924" s="953"/>
      <c r="F1924" s="953"/>
      <c r="G1924" s="953"/>
      <c r="H1924" s="953"/>
    </row>
    <row r="1925" spans="1:8" x14ac:dyDescent="0.25">
      <c r="A1925" s="952"/>
      <c r="B1925" s="953"/>
      <c r="C1925" s="953"/>
      <c r="D1925" s="953"/>
      <c r="E1925" s="953"/>
      <c r="F1925" s="953"/>
      <c r="G1925" s="953"/>
      <c r="H1925" s="953"/>
    </row>
    <row r="1926" spans="1:8" x14ac:dyDescent="0.25">
      <c r="A1926" s="952"/>
      <c r="B1926" s="953"/>
      <c r="C1926" s="953"/>
      <c r="D1926" s="953"/>
      <c r="E1926" s="953"/>
      <c r="F1926" s="953"/>
      <c r="G1926" s="953"/>
      <c r="H1926" s="953"/>
    </row>
    <row r="1927" spans="1:8" x14ac:dyDescent="0.25">
      <c r="A1927" s="952"/>
      <c r="B1927" s="953"/>
      <c r="C1927" s="953"/>
      <c r="D1927" s="953"/>
      <c r="E1927" s="953"/>
      <c r="F1927" s="953"/>
      <c r="G1927" s="953"/>
      <c r="H1927" s="953"/>
    </row>
    <row r="1928" spans="1:8" x14ac:dyDescent="0.25">
      <c r="A1928" s="952"/>
      <c r="B1928" s="953"/>
      <c r="C1928" s="953"/>
      <c r="D1928" s="953"/>
      <c r="E1928" s="953"/>
      <c r="F1928" s="953"/>
      <c r="G1928" s="953"/>
      <c r="H1928" s="953"/>
    </row>
    <row r="1929" spans="1:8" x14ac:dyDescent="0.25">
      <c r="A1929" s="952"/>
      <c r="B1929" s="953"/>
      <c r="C1929" s="953"/>
      <c r="D1929" s="953"/>
      <c r="E1929" s="953"/>
      <c r="F1929" s="953"/>
      <c r="G1929" s="953"/>
      <c r="H1929" s="953"/>
    </row>
    <row r="1930" spans="1:8" x14ac:dyDescent="0.25">
      <c r="A1930" s="952"/>
      <c r="B1930" s="953"/>
      <c r="C1930" s="953"/>
      <c r="D1930" s="953"/>
      <c r="E1930" s="953"/>
      <c r="F1930" s="953"/>
      <c r="G1930" s="953"/>
      <c r="H1930" s="953"/>
    </row>
    <row r="1931" spans="1:8" x14ac:dyDescent="0.25">
      <c r="A1931" s="952"/>
      <c r="B1931" s="953"/>
      <c r="C1931" s="953"/>
      <c r="D1931" s="953"/>
      <c r="E1931" s="953"/>
      <c r="F1931" s="953"/>
      <c r="G1931" s="953"/>
      <c r="H1931" s="953"/>
    </row>
    <row r="1932" spans="1:8" x14ac:dyDescent="0.25">
      <c r="A1932" s="952"/>
      <c r="B1932" s="953"/>
      <c r="C1932" s="953"/>
      <c r="D1932" s="953"/>
      <c r="E1932" s="953"/>
      <c r="F1932" s="953"/>
      <c r="G1932" s="953"/>
      <c r="H1932" s="953"/>
    </row>
    <row r="1933" spans="1:8" x14ac:dyDescent="0.25">
      <c r="A1933" s="952"/>
      <c r="B1933" s="953"/>
      <c r="C1933" s="953"/>
      <c r="D1933" s="953"/>
      <c r="E1933" s="953"/>
      <c r="F1933" s="953"/>
      <c r="G1933" s="953"/>
      <c r="H1933" s="953"/>
    </row>
    <row r="1934" spans="1:8" x14ac:dyDescent="0.25">
      <c r="A1934" s="952"/>
      <c r="B1934" s="953"/>
      <c r="C1934" s="953"/>
      <c r="D1934" s="953"/>
      <c r="E1934" s="953"/>
      <c r="F1934" s="953"/>
      <c r="G1934" s="953"/>
      <c r="H1934" s="953"/>
    </row>
    <row r="1935" spans="1:8" x14ac:dyDescent="0.25">
      <c r="A1935" s="952"/>
      <c r="B1935" s="953"/>
      <c r="C1935" s="953"/>
      <c r="D1935" s="953"/>
      <c r="E1935" s="953"/>
      <c r="F1935" s="953"/>
      <c r="G1935" s="953"/>
      <c r="H1935" s="953"/>
    </row>
    <row r="1936" spans="1:8" x14ac:dyDescent="0.25">
      <c r="A1936" s="952"/>
      <c r="B1936" s="953"/>
      <c r="C1936" s="953"/>
      <c r="D1936" s="953"/>
      <c r="E1936" s="953"/>
      <c r="F1936" s="953"/>
      <c r="G1936" s="953"/>
      <c r="H1936" s="953"/>
    </row>
    <row r="1937" spans="1:8" x14ac:dyDescent="0.25">
      <c r="A1937" s="952"/>
      <c r="B1937" s="953"/>
      <c r="C1937" s="953"/>
      <c r="D1937" s="953"/>
      <c r="E1937" s="953"/>
      <c r="F1937" s="953"/>
      <c r="G1937" s="953"/>
      <c r="H1937" s="953"/>
    </row>
    <row r="1938" spans="1:8" x14ac:dyDescent="0.25">
      <c r="A1938" s="952"/>
      <c r="B1938" s="953"/>
      <c r="C1938" s="953"/>
      <c r="D1938" s="953"/>
      <c r="E1938" s="953"/>
      <c r="F1938" s="953"/>
      <c r="G1938" s="953"/>
      <c r="H1938" s="953"/>
    </row>
    <row r="1939" spans="1:8" x14ac:dyDescent="0.25">
      <c r="A1939" s="952"/>
      <c r="B1939" s="953"/>
      <c r="C1939" s="953"/>
      <c r="D1939" s="953"/>
      <c r="E1939" s="953"/>
      <c r="F1939" s="953"/>
      <c r="G1939" s="953"/>
      <c r="H1939" s="953"/>
    </row>
    <row r="1940" spans="1:8" x14ac:dyDescent="0.25">
      <c r="A1940" s="952"/>
      <c r="B1940" s="953"/>
      <c r="C1940" s="953"/>
      <c r="D1940" s="953"/>
      <c r="E1940" s="953"/>
      <c r="F1940" s="953"/>
      <c r="G1940" s="953"/>
      <c r="H1940" s="953"/>
    </row>
    <row r="1941" spans="1:8" x14ac:dyDescent="0.25">
      <c r="A1941" s="952"/>
      <c r="B1941" s="953"/>
      <c r="C1941" s="953"/>
      <c r="D1941" s="953"/>
      <c r="E1941" s="953"/>
      <c r="F1941" s="953"/>
      <c r="G1941" s="953"/>
      <c r="H1941" s="953"/>
    </row>
    <row r="1942" spans="1:8" x14ac:dyDescent="0.25">
      <c r="A1942" s="952"/>
      <c r="B1942" s="953"/>
      <c r="C1942" s="953"/>
      <c r="D1942" s="953"/>
      <c r="E1942" s="953"/>
      <c r="F1942" s="953"/>
      <c r="G1942" s="953"/>
      <c r="H1942" s="953"/>
    </row>
    <row r="1943" spans="1:8" x14ac:dyDescent="0.25">
      <c r="A1943" s="952"/>
      <c r="B1943" s="953"/>
      <c r="C1943" s="953"/>
      <c r="D1943" s="953"/>
      <c r="E1943" s="953"/>
      <c r="F1943" s="953"/>
      <c r="G1943" s="953"/>
      <c r="H1943" s="953"/>
    </row>
    <row r="1944" spans="1:8" x14ac:dyDescent="0.25">
      <c r="A1944" s="952"/>
      <c r="B1944" s="953"/>
      <c r="C1944" s="953"/>
      <c r="D1944" s="953"/>
      <c r="E1944" s="953"/>
      <c r="F1944" s="953"/>
      <c r="G1944" s="953"/>
      <c r="H1944" s="953"/>
    </row>
    <row r="1945" spans="1:8" x14ac:dyDescent="0.25">
      <c r="A1945" s="952"/>
      <c r="B1945" s="953"/>
      <c r="C1945" s="953"/>
      <c r="D1945" s="953"/>
      <c r="E1945" s="953"/>
      <c r="F1945" s="953"/>
      <c r="G1945" s="953"/>
      <c r="H1945" s="953"/>
    </row>
    <row r="1946" spans="1:8" x14ac:dyDescent="0.25">
      <c r="A1946" s="952"/>
      <c r="B1946" s="953"/>
      <c r="C1946" s="953"/>
      <c r="D1946" s="953"/>
      <c r="E1946" s="953"/>
      <c r="F1946" s="953"/>
      <c r="G1946" s="953"/>
      <c r="H1946" s="953"/>
    </row>
    <row r="1947" spans="1:8" x14ac:dyDescent="0.25">
      <c r="A1947" s="952"/>
      <c r="B1947" s="953"/>
      <c r="C1947" s="953"/>
      <c r="D1947" s="953"/>
      <c r="E1947" s="953"/>
      <c r="F1947" s="953"/>
      <c r="G1947" s="953"/>
      <c r="H1947" s="953"/>
    </row>
    <row r="1948" spans="1:8" x14ac:dyDescent="0.25">
      <c r="A1948" s="952"/>
      <c r="B1948" s="953"/>
      <c r="C1948" s="953"/>
      <c r="D1948" s="953"/>
      <c r="E1948" s="953"/>
      <c r="F1948" s="953"/>
      <c r="G1948" s="953"/>
      <c r="H1948" s="953"/>
    </row>
    <row r="1949" spans="1:8" x14ac:dyDescent="0.25">
      <c r="A1949" s="952"/>
      <c r="B1949" s="953"/>
      <c r="C1949" s="953"/>
      <c r="D1949" s="953"/>
      <c r="E1949" s="953"/>
      <c r="F1949" s="953"/>
      <c r="G1949" s="953"/>
      <c r="H1949" s="953"/>
    </row>
    <row r="1950" spans="1:8" x14ac:dyDescent="0.25">
      <c r="A1950" s="952"/>
      <c r="B1950" s="953"/>
      <c r="C1950" s="953"/>
      <c r="D1950" s="953"/>
      <c r="E1950" s="953"/>
      <c r="F1950" s="953"/>
      <c r="G1950" s="953"/>
      <c r="H1950" s="953"/>
    </row>
    <row r="1951" spans="1:8" x14ac:dyDescent="0.25">
      <c r="A1951" s="952"/>
      <c r="B1951" s="953"/>
      <c r="C1951" s="953"/>
      <c r="D1951" s="953"/>
      <c r="E1951" s="953"/>
      <c r="F1951" s="953"/>
      <c r="G1951" s="953"/>
      <c r="H1951" s="953"/>
    </row>
    <row r="1952" spans="1:8" x14ac:dyDescent="0.25">
      <c r="A1952" s="952"/>
      <c r="B1952" s="953"/>
      <c r="C1952" s="953"/>
      <c r="D1952" s="953"/>
      <c r="E1952" s="953"/>
      <c r="F1952" s="953"/>
      <c r="G1952" s="953"/>
      <c r="H1952" s="953"/>
    </row>
    <row r="1953" spans="1:8" x14ac:dyDescent="0.25">
      <c r="A1953" s="952"/>
      <c r="B1953" s="953"/>
      <c r="C1953" s="953"/>
      <c r="D1953" s="953"/>
      <c r="E1953" s="953"/>
      <c r="F1953" s="953"/>
      <c r="G1953" s="953"/>
      <c r="H1953" s="953"/>
    </row>
    <row r="1954" spans="1:8" x14ac:dyDescent="0.25">
      <c r="A1954" s="952"/>
      <c r="B1954" s="953"/>
      <c r="C1954" s="953"/>
      <c r="D1954" s="953"/>
      <c r="E1954" s="953"/>
      <c r="F1954" s="953"/>
      <c r="G1954" s="953"/>
      <c r="H1954" s="953"/>
    </row>
    <row r="1955" spans="1:8" x14ac:dyDescent="0.25">
      <c r="A1955" s="952"/>
      <c r="B1955" s="953"/>
      <c r="C1955" s="953"/>
      <c r="D1955" s="953"/>
      <c r="E1955" s="953"/>
      <c r="F1955" s="953"/>
      <c r="G1955" s="953"/>
      <c r="H1955" s="953"/>
    </row>
    <row r="1956" spans="1:8" x14ac:dyDescent="0.25">
      <c r="A1956" s="952"/>
      <c r="B1956" s="953"/>
      <c r="C1956" s="953"/>
      <c r="D1956" s="953"/>
      <c r="E1956" s="953"/>
      <c r="F1956" s="953"/>
      <c r="G1956" s="953"/>
      <c r="H1956" s="953"/>
    </row>
    <row r="1957" spans="1:8" x14ac:dyDescent="0.25">
      <c r="A1957" s="952"/>
      <c r="B1957" s="953"/>
      <c r="C1957" s="953"/>
      <c r="D1957" s="953"/>
      <c r="E1957" s="953"/>
      <c r="F1957" s="953"/>
      <c r="G1957" s="953"/>
      <c r="H1957" s="953"/>
    </row>
    <row r="1958" spans="1:8" x14ac:dyDescent="0.25">
      <c r="A1958" s="952"/>
      <c r="B1958" s="953"/>
      <c r="C1958" s="953"/>
      <c r="D1958" s="953"/>
      <c r="E1958" s="953"/>
      <c r="F1958" s="953"/>
      <c r="G1958" s="953"/>
      <c r="H1958" s="953"/>
    </row>
    <row r="1959" spans="1:8" x14ac:dyDescent="0.25">
      <c r="A1959" s="952"/>
      <c r="B1959" s="953"/>
      <c r="C1959" s="953"/>
      <c r="D1959" s="953"/>
      <c r="E1959" s="953"/>
      <c r="F1959" s="953"/>
      <c r="G1959" s="953"/>
      <c r="H1959" s="953"/>
    </row>
    <row r="1960" spans="1:8" x14ac:dyDescent="0.25">
      <c r="A1960" s="952"/>
      <c r="B1960" s="953"/>
      <c r="C1960" s="953"/>
      <c r="D1960" s="953"/>
      <c r="E1960" s="953"/>
      <c r="F1960" s="953"/>
      <c r="G1960" s="953"/>
      <c r="H1960" s="953"/>
    </row>
    <row r="1961" spans="1:8" x14ac:dyDescent="0.25">
      <c r="A1961" s="952"/>
      <c r="B1961" s="953"/>
      <c r="C1961" s="953"/>
      <c r="D1961" s="953"/>
      <c r="E1961" s="953"/>
      <c r="F1961" s="953"/>
      <c r="G1961" s="953"/>
      <c r="H1961" s="953"/>
    </row>
    <row r="1962" spans="1:8" x14ac:dyDescent="0.25">
      <c r="A1962" s="952"/>
      <c r="B1962" s="953"/>
      <c r="C1962" s="953"/>
      <c r="D1962" s="953"/>
      <c r="E1962" s="953"/>
      <c r="F1962" s="953"/>
      <c r="G1962" s="953"/>
      <c r="H1962" s="953"/>
    </row>
    <row r="1963" spans="1:8" x14ac:dyDescent="0.25">
      <c r="A1963" s="952"/>
      <c r="B1963" s="953"/>
      <c r="C1963" s="953"/>
      <c r="D1963" s="953"/>
      <c r="E1963" s="953"/>
      <c r="F1963" s="953"/>
      <c r="G1963" s="953"/>
      <c r="H1963" s="953"/>
    </row>
    <row r="1964" spans="1:8" x14ac:dyDescent="0.25">
      <c r="A1964" s="952"/>
      <c r="B1964" s="953"/>
      <c r="C1964" s="953"/>
      <c r="D1964" s="953"/>
      <c r="E1964" s="953"/>
      <c r="F1964" s="953"/>
      <c r="G1964" s="953"/>
      <c r="H1964" s="953"/>
    </row>
    <row r="1965" spans="1:8" x14ac:dyDescent="0.25">
      <c r="A1965" s="952"/>
      <c r="B1965" s="953"/>
      <c r="C1965" s="953"/>
      <c r="D1965" s="953"/>
      <c r="E1965" s="953"/>
      <c r="F1965" s="953"/>
      <c r="G1965" s="953"/>
      <c r="H1965" s="953"/>
    </row>
    <row r="1966" spans="1:8" x14ac:dyDescent="0.25">
      <c r="A1966" s="952"/>
      <c r="B1966" s="953"/>
      <c r="C1966" s="953"/>
      <c r="D1966" s="953"/>
      <c r="E1966" s="953"/>
      <c r="F1966" s="953"/>
      <c r="G1966" s="953"/>
      <c r="H1966" s="953"/>
    </row>
    <row r="1967" spans="1:8" x14ac:dyDescent="0.25">
      <c r="A1967" s="952"/>
      <c r="B1967" s="953"/>
      <c r="C1967" s="953"/>
      <c r="D1967" s="953"/>
      <c r="E1967" s="953"/>
      <c r="F1967" s="953"/>
      <c r="G1967" s="953"/>
      <c r="H1967" s="953"/>
    </row>
    <row r="1968" spans="1:8" x14ac:dyDescent="0.25">
      <c r="A1968" s="952"/>
      <c r="B1968" s="953"/>
      <c r="C1968" s="953"/>
      <c r="D1968" s="953"/>
      <c r="E1968" s="953"/>
      <c r="F1968" s="953"/>
      <c r="G1968" s="953"/>
      <c r="H1968" s="953"/>
    </row>
    <row r="1969" spans="1:8" x14ac:dyDescent="0.25">
      <c r="A1969" s="952"/>
      <c r="B1969" s="953"/>
      <c r="C1969" s="953"/>
      <c r="D1969" s="953"/>
      <c r="E1969" s="953"/>
      <c r="F1969" s="953"/>
      <c r="G1969" s="953"/>
      <c r="H1969" s="953"/>
    </row>
    <row r="1970" spans="1:8" x14ac:dyDescent="0.25">
      <c r="A1970" s="952"/>
      <c r="B1970" s="953"/>
      <c r="C1970" s="953"/>
      <c r="D1970" s="953"/>
      <c r="E1970" s="953"/>
      <c r="F1970" s="953"/>
      <c r="G1970" s="953"/>
      <c r="H1970" s="953"/>
    </row>
    <row r="1971" spans="1:8" x14ac:dyDescent="0.25">
      <c r="A1971" s="952"/>
      <c r="B1971" s="953"/>
      <c r="C1971" s="953"/>
      <c r="D1971" s="953"/>
      <c r="E1971" s="953"/>
      <c r="F1971" s="953"/>
      <c r="G1971" s="953"/>
      <c r="H1971" s="953"/>
    </row>
    <row r="1972" spans="1:8" x14ac:dyDescent="0.25">
      <c r="A1972" s="952"/>
      <c r="B1972" s="953"/>
      <c r="C1972" s="953"/>
      <c r="D1972" s="953"/>
      <c r="E1972" s="953"/>
      <c r="F1972" s="953"/>
      <c r="G1972" s="953"/>
      <c r="H1972" s="953"/>
    </row>
    <row r="1973" spans="1:8" x14ac:dyDescent="0.25">
      <c r="A1973" s="952"/>
      <c r="B1973" s="953"/>
      <c r="C1973" s="953"/>
      <c r="D1973" s="953"/>
      <c r="E1973" s="953"/>
      <c r="F1973" s="953"/>
      <c r="G1973" s="953"/>
      <c r="H1973" s="953"/>
    </row>
    <row r="1974" spans="1:8" x14ac:dyDescent="0.25">
      <c r="A1974" s="952"/>
      <c r="B1974" s="953"/>
      <c r="C1974" s="953"/>
      <c r="D1974" s="953"/>
      <c r="E1974" s="953"/>
      <c r="F1974" s="953"/>
      <c r="G1974" s="953"/>
      <c r="H1974" s="953"/>
    </row>
    <row r="1975" spans="1:8" x14ac:dyDescent="0.25">
      <c r="A1975" s="952"/>
      <c r="B1975" s="953"/>
      <c r="C1975" s="953"/>
      <c r="D1975" s="953"/>
      <c r="E1975" s="953"/>
      <c r="F1975" s="953"/>
      <c r="G1975" s="953"/>
      <c r="H1975" s="953"/>
    </row>
    <row r="1976" spans="1:8" x14ac:dyDescent="0.25">
      <c r="A1976" s="952"/>
      <c r="B1976" s="953"/>
      <c r="C1976" s="953"/>
      <c r="D1976" s="953"/>
      <c r="E1976" s="953"/>
      <c r="F1976" s="953"/>
      <c r="G1976" s="953"/>
      <c r="H1976" s="953"/>
    </row>
    <row r="1977" spans="1:8" x14ac:dyDescent="0.25">
      <c r="A1977" s="952"/>
      <c r="B1977" s="953"/>
      <c r="C1977" s="953"/>
      <c r="D1977" s="953"/>
      <c r="E1977" s="953"/>
      <c r="F1977" s="953"/>
      <c r="G1977" s="953"/>
      <c r="H1977" s="953"/>
    </row>
    <row r="1978" spans="1:8" x14ac:dyDescent="0.25">
      <c r="A1978" s="952"/>
      <c r="B1978" s="953"/>
      <c r="C1978" s="953"/>
      <c r="D1978" s="953"/>
      <c r="E1978" s="953"/>
      <c r="F1978" s="953"/>
      <c r="G1978" s="953"/>
      <c r="H1978" s="953"/>
    </row>
    <row r="1979" spans="1:8" x14ac:dyDescent="0.25">
      <c r="A1979" s="952"/>
      <c r="B1979" s="953"/>
      <c r="C1979" s="953"/>
      <c r="D1979" s="953"/>
      <c r="E1979" s="953"/>
      <c r="F1979" s="953"/>
      <c r="G1979" s="953"/>
      <c r="H1979" s="953"/>
    </row>
    <row r="1980" spans="1:8" x14ac:dyDescent="0.25">
      <c r="A1980" s="952"/>
      <c r="B1980" s="953"/>
      <c r="C1980" s="953"/>
      <c r="D1980" s="953"/>
      <c r="E1980" s="953"/>
      <c r="F1980" s="953"/>
      <c r="G1980" s="953"/>
      <c r="H1980" s="953"/>
    </row>
    <row r="1981" spans="1:8" x14ac:dyDescent="0.25">
      <c r="A1981" s="952"/>
      <c r="B1981" s="953"/>
      <c r="C1981" s="953"/>
      <c r="D1981" s="953"/>
      <c r="E1981" s="953"/>
      <c r="F1981" s="953"/>
      <c r="G1981" s="953"/>
      <c r="H1981" s="953"/>
    </row>
    <row r="1982" spans="1:8" x14ac:dyDescent="0.25">
      <c r="A1982" s="952"/>
      <c r="B1982" s="953"/>
      <c r="C1982" s="953"/>
      <c r="D1982" s="953"/>
      <c r="E1982" s="953"/>
      <c r="F1982" s="953"/>
      <c r="G1982" s="953"/>
      <c r="H1982" s="953"/>
    </row>
    <row r="1983" spans="1:8" x14ac:dyDescent="0.25">
      <c r="A1983" s="952"/>
      <c r="B1983" s="953"/>
      <c r="C1983" s="953"/>
      <c r="D1983" s="953"/>
      <c r="E1983" s="953"/>
      <c r="F1983" s="953"/>
      <c r="G1983" s="953"/>
      <c r="H1983" s="953"/>
    </row>
    <row r="1984" spans="1:8" x14ac:dyDescent="0.25">
      <c r="A1984" s="952"/>
      <c r="B1984" s="953"/>
      <c r="C1984" s="953"/>
      <c r="D1984" s="953"/>
      <c r="E1984" s="953"/>
      <c r="F1984" s="953"/>
      <c r="G1984" s="953"/>
      <c r="H1984" s="953"/>
    </row>
    <row r="1985" spans="1:8" x14ac:dyDescent="0.25">
      <c r="A1985" s="952"/>
      <c r="B1985" s="953"/>
      <c r="C1985" s="953"/>
      <c r="D1985" s="953"/>
      <c r="E1985" s="953"/>
      <c r="F1985" s="953"/>
      <c r="G1985" s="953"/>
      <c r="H1985" s="953"/>
    </row>
    <row r="1986" spans="1:8" x14ac:dyDescent="0.25">
      <c r="A1986" s="952"/>
      <c r="B1986" s="953"/>
      <c r="C1986" s="953"/>
      <c r="D1986" s="953"/>
      <c r="E1986" s="953"/>
      <c r="F1986" s="953"/>
      <c r="G1986" s="953"/>
      <c r="H1986" s="953"/>
    </row>
    <row r="1987" spans="1:8" x14ac:dyDescent="0.25">
      <c r="A1987" s="952"/>
      <c r="B1987" s="953"/>
      <c r="C1987" s="953"/>
      <c r="D1987" s="953"/>
      <c r="E1987" s="953"/>
      <c r="F1987" s="953"/>
      <c r="G1987" s="953"/>
      <c r="H1987" s="953"/>
    </row>
    <row r="1988" spans="1:8" x14ac:dyDescent="0.25">
      <c r="A1988" s="952"/>
      <c r="B1988" s="953"/>
      <c r="C1988" s="953"/>
      <c r="D1988" s="953"/>
      <c r="E1988" s="953"/>
      <c r="F1988" s="953"/>
      <c r="G1988" s="953"/>
      <c r="H1988" s="953"/>
    </row>
    <row r="1989" spans="1:8" x14ac:dyDescent="0.25">
      <c r="A1989" s="952"/>
      <c r="B1989" s="953"/>
      <c r="C1989" s="953"/>
      <c r="D1989" s="953"/>
      <c r="E1989" s="953"/>
      <c r="F1989" s="953"/>
      <c r="G1989" s="953"/>
      <c r="H1989" s="953"/>
    </row>
    <row r="1990" spans="1:8" x14ac:dyDescent="0.25">
      <c r="A1990" s="952"/>
      <c r="B1990" s="953"/>
      <c r="C1990" s="953"/>
      <c r="D1990" s="953"/>
      <c r="E1990" s="953"/>
      <c r="F1990" s="953"/>
      <c r="G1990" s="953"/>
      <c r="H1990" s="953"/>
    </row>
    <row r="1991" spans="1:8" x14ac:dyDescent="0.25">
      <c r="A1991" s="952"/>
      <c r="B1991" s="953"/>
      <c r="C1991" s="953"/>
      <c r="D1991" s="953"/>
      <c r="E1991" s="953"/>
      <c r="F1991" s="953"/>
      <c r="G1991" s="953"/>
      <c r="H1991" s="953"/>
    </row>
    <row r="1992" spans="1:8" x14ac:dyDescent="0.25">
      <c r="A1992" s="952"/>
      <c r="B1992" s="953"/>
      <c r="C1992" s="953"/>
      <c r="D1992" s="953"/>
      <c r="E1992" s="953"/>
      <c r="F1992" s="953"/>
      <c r="G1992" s="953"/>
      <c r="H1992" s="953"/>
    </row>
    <row r="1993" spans="1:8" x14ac:dyDescent="0.25">
      <c r="A1993" s="952"/>
      <c r="B1993" s="953"/>
      <c r="C1993" s="953"/>
      <c r="D1993" s="953"/>
      <c r="E1993" s="953"/>
      <c r="F1993" s="953"/>
      <c r="G1993" s="953"/>
      <c r="H1993" s="953"/>
    </row>
    <row r="1994" spans="1:8" x14ac:dyDescent="0.25">
      <c r="A1994" s="952"/>
      <c r="B1994" s="953"/>
      <c r="C1994" s="953"/>
      <c r="D1994" s="953"/>
      <c r="E1994" s="953"/>
      <c r="F1994" s="953"/>
      <c r="G1994" s="953"/>
      <c r="H1994" s="953"/>
    </row>
    <row r="1995" spans="1:8" x14ac:dyDescent="0.25">
      <c r="A1995" s="952"/>
      <c r="B1995" s="953"/>
      <c r="C1995" s="953"/>
      <c r="D1995" s="953"/>
      <c r="E1995" s="953"/>
      <c r="F1995" s="953"/>
      <c r="G1995" s="953"/>
      <c r="H1995" s="953"/>
    </row>
    <row r="1996" spans="1:8" x14ac:dyDescent="0.25">
      <c r="A1996" s="952"/>
      <c r="B1996" s="953"/>
      <c r="C1996" s="953"/>
      <c r="D1996" s="953"/>
      <c r="E1996" s="953"/>
      <c r="F1996" s="953"/>
      <c r="G1996" s="953"/>
      <c r="H1996" s="953"/>
    </row>
    <row r="1997" spans="1:8" x14ac:dyDescent="0.25">
      <c r="A1997" s="952"/>
      <c r="B1997" s="953"/>
      <c r="C1997" s="953"/>
      <c r="D1997" s="953"/>
      <c r="E1997" s="953"/>
      <c r="F1997" s="953"/>
      <c r="G1997" s="953"/>
      <c r="H1997" s="953"/>
    </row>
    <row r="1998" spans="1:8" x14ac:dyDescent="0.25">
      <c r="A1998" s="952"/>
      <c r="B1998" s="953"/>
      <c r="C1998" s="953"/>
      <c r="D1998" s="953"/>
      <c r="E1998" s="953"/>
      <c r="F1998" s="953"/>
      <c r="G1998" s="953"/>
      <c r="H1998" s="953"/>
    </row>
    <row r="1999" spans="1:8" x14ac:dyDescent="0.25">
      <c r="A1999" s="952"/>
      <c r="B1999" s="953"/>
      <c r="C1999" s="953"/>
      <c r="D1999" s="953"/>
      <c r="E1999" s="953"/>
      <c r="F1999" s="953"/>
      <c r="G1999" s="953"/>
      <c r="H1999" s="953"/>
    </row>
    <row r="2000" spans="1:8" x14ac:dyDescent="0.25">
      <c r="A2000" s="952"/>
      <c r="B2000" s="953"/>
      <c r="C2000" s="953"/>
      <c r="D2000" s="953"/>
      <c r="E2000" s="953"/>
      <c r="F2000" s="953"/>
      <c r="G2000" s="953"/>
      <c r="H2000" s="953"/>
    </row>
    <row r="2001" spans="1:8" x14ac:dyDescent="0.25">
      <c r="A2001" s="952"/>
      <c r="B2001" s="953"/>
      <c r="C2001" s="953"/>
      <c r="D2001" s="953"/>
      <c r="E2001" s="953"/>
      <c r="F2001" s="953"/>
      <c r="G2001" s="953"/>
      <c r="H2001" s="953"/>
    </row>
    <row r="2002" spans="1:8" x14ac:dyDescent="0.25">
      <c r="A2002" s="952"/>
      <c r="B2002" s="953"/>
      <c r="C2002" s="953"/>
      <c r="D2002" s="953"/>
      <c r="E2002" s="953"/>
      <c r="F2002" s="953"/>
      <c r="G2002" s="953"/>
      <c r="H2002" s="953"/>
    </row>
    <row r="2003" spans="1:8" x14ac:dyDescent="0.25">
      <c r="A2003" s="952"/>
      <c r="B2003" s="953"/>
      <c r="C2003" s="953"/>
      <c r="D2003" s="953"/>
      <c r="E2003" s="953"/>
      <c r="F2003" s="953"/>
      <c r="G2003" s="953"/>
      <c r="H2003" s="953"/>
    </row>
    <row r="2004" spans="1:8" x14ac:dyDescent="0.25">
      <c r="A2004" s="952"/>
      <c r="B2004" s="953"/>
      <c r="C2004" s="953"/>
      <c r="D2004" s="953"/>
      <c r="E2004" s="953"/>
      <c r="F2004" s="953"/>
      <c r="G2004" s="953"/>
      <c r="H2004" s="953"/>
    </row>
    <row r="2005" spans="1:8" x14ac:dyDescent="0.25">
      <c r="A2005" s="952"/>
      <c r="B2005" s="953"/>
      <c r="C2005" s="953"/>
      <c r="D2005" s="953"/>
      <c r="E2005" s="953"/>
      <c r="F2005" s="953"/>
      <c r="G2005" s="953"/>
      <c r="H2005" s="953"/>
    </row>
    <row r="2006" spans="1:8" x14ac:dyDescent="0.25">
      <c r="A2006" s="952"/>
      <c r="B2006" s="953"/>
      <c r="C2006" s="953"/>
      <c r="D2006" s="953"/>
      <c r="E2006" s="953"/>
      <c r="F2006" s="953"/>
      <c r="G2006" s="953"/>
      <c r="H2006" s="953"/>
    </row>
    <row r="2007" spans="1:8" x14ac:dyDescent="0.25">
      <c r="A2007" s="952"/>
      <c r="B2007" s="953"/>
      <c r="C2007" s="953"/>
      <c r="D2007" s="953"/>
      <c r="E2007" s="953"/>
      <c r="F2007" s="953"/>
      <c r="G2007" s="953"/>
      <c r="H2007" s="953"/>
    </row>
    <row r="2008" spans="1:8" x14ac:dyDescent="0.25">
      <c r="A2008" s="952"/>
      <c r="B2008" s="953"/>
      <c r="C2008" s="953"/>
      <c r="D2008" s="953"/>
      <c r="E2008" s="953"/>
      <c r="F2008" s="953"/>
      <c r="G2008" s="953"/>
      <c r="H2008" s="953"/>
    </row>
    <row r="2009" spans="1:8" x14ac:dyDescent="0.25">
      <c r="A2009" s="952"/>
      <c r="B2009" s="953"/>
      <c r="C2009" s="953"/>
      <c r="D2009" s="953"/>
      <c r="E2009" s="953"/>
      <c r="F2009" s="953"/>
      <c r="G2009" s="953"/>
      <c r="H2009" s="953"/>
    </row>
    <row r="2010" spans="1:8" x14ac:dyDescent="0.25">
      <c r="A2010" s="952"/>
      <c r="B2010" s="953"/>
      <c r="C2010" s="953"/>
      <c r="D2010" s="953"/>
      <c r="E2010" s="953"/>
      <c r="F2010" s="953"/>
      <c r="G2010" s="953"/>
      <c r="H2010" s="953"/>
    </row>
    <row r="2011" spans="1:8" x14ac:dyDescent="0.25">
      <c r="A2011" s="952"/>
      <c r="B2011" s="953"/>
      <c r="C2011" s="953"/>
      <c r="D2011" s="953"/>
      <c r="E2011" s="953"/>
      <c r="F2011" s="953"/>
      <c r="G2011" s="953"/>
      <c r="H2011" s="953"/>
    </row>
    <row r="2012" spans="1:8" x14ac:dyDescent="0.25">
      <c r="A2012" s="952"/>
      <c r="B2012" s="953"/>
      <c r="C2012" s="953"/>
      <c r="D2012" s="953"/>
      <c r="E2012" s="953"/>
      <c r="F2012" s="953"/>
      <c r="G2012" s="953"/>
      <c r="H2012" s="953"/>
    </row>
    <row r="2013" spans="1:8" x14ac:dyDescent="0.25">
      <c r="A2013" s="952"/>
      <c r="B2013" s="953"/>
      <c r="C2013" s="953"/>
      <c r="D2013" s="953"/>
      <c r="E2013" s="953"/>
      <c r="F2013" s="953"/>
      <c r="G2013" s="953"/>
      <c r="H2013" s="953"/>
    </row>
    <row r="2014" spans="1:8" x14ac:dyDescent="0.25">
      <c r="A2014" s="952"/>
      <c r="B2014" s="953"/>
      <c r="C2014" s="953"/>
      <c r="D2014" s="953"/>
      <c r="E2014" s="953"/>
      <c r="F2014" s="953"/>
      <c r="G2014" s="953"/>
      <c r="H2014" s="953"/>
    </row>
    <row r="2015" spans="1:8" x14ac:dyDescent="0.25">
      <c r="A2015" s="952"/>
      <c r="B2015" s="953"/>
      <c r="C2015" s="953"/>
      <c r="D2015" s="953"/>
      <c r="E2015" s="953"/>
      <c r="F2015" s="953"/>
      <c r="G2015" s="953"/>
      <c r="H2015" s="953"/>
    </row>
    <row r="2016" spans="1:8" x14ac:dyDescent="0.25">
      <c r="A2016" s="952"/>
      <c r="B2016" s="953"/>
      <c r="C2016" s="953"/>
      <c r="D2016" s="953"/>
      <c r="E2016" s="953"/>
      <c r="F2016" s="953"/>
      <c r="G2016" s="953"/>
      <c r="H2016" s="953"/>
    </row>
    <row r="2017" spans="1:8" x14ac:dyDescent="0.25">
      <c r="A2017" s="952"/>
      <c r="B2017" s="953"/>
      <c r="C2017" s="953"/>
      <c r="D2017" s="953"/>
      <c r="E2017" s="953"/>
      <c r="F2017" s="953"/>
      <c r="G2017" s="953"/>
      <c r="H2017" s="953"/>
    </row>
    <row r="2018" spans="1:8" x14ac:dyDescent="0.25">
      <c r="A2018" s="952"/>
      <c r="B2018" s="953"/>
      <c r="C2018" s="953"/>
      <c r="D2018" s="953"/>
      <c r="E2018" s="953"/>
      <c r="F2018" s="953"/>
      <c r="G2018" s="953"/>
      <c r="H2018" s="953"/>
    </row>
    <row r="2019" spans="1:8" x14ac:dyDescent="0.25">
      <c r="A2019" s="952"/>
      <c r="B2019" s="953"/>
      <c r="C2019" s="953"/>
      <c r="D2019" s="953"/>
      <c r="E2019" s="953"/>
      <c r="F2019" s="953"/>
      <c r="G2019" s="953"/>
      <c r="H2019" s="953"/>
    </row>
    <row r="2020" spans="1:8" x14ac:dyDescent="0.25">
      <c r="A2020" s="952"/>
      <c r="B2020" s="953"/>
      <c r="C2020" s="953"/>
      <c r="D2020" s="953"/>
      <c r="E2020" s="953"/>
      <c r="F2020" s="953"/>
      <c r="G2020" s="953"/>
      <c r="H2020" s="953"/>
    </row>
    <row r="2021" spans="1:8" x14ac:dyDescent="0.25">
      <c r="A2021" s="952"/>
      <c r="B2021" s="953"/>
      <c r="C2021" s="953"/>
      <c r="D2021" s="953"/>
      <c r="E2021" s="953"/>
      <c r="F2021" s="953"/>
      <c r="G2021" s="953"/>
      <c r="H2021" s="953"/>
    </row>
    <row r="2022" spans="1:8" x14ac:dyDescent="0.25">
      <c r="A2022" s="952"/>
      <c r="B2022" s="953"/>
      <c r="C2022" s="953"/>
      <c r="D2022" s="953"/>
      <c r="E2022" s="953"/>
      <c r="F2022" s="953"/>
      <c r="G2022" s="953"/>
      <c r="H2022" s="953"/>
    </row>
    <row r="2023" spans="1:8" x14ac:dyDescent="0.25">
      <c r="A2023" s="952"/>
      <c r="B2023" s="953"/>
      <c r="C2023" s="953"/>
      <c r="D2023" s="953"/>
      <c r="E2023" s="953"/>
      <c r="F2023" s="953"/>
      <c r="G2023" s="953"/>
      <c r="H2023" s="953"/>
    </row>
    <row r="2024" spans="1:8" x14ac:dyDescent="0.25">
      <c r="A2024" s="952"/>
      <c r="B2024" s="953"/>
      <c r="C2024" s="953"/>
      <c r="D2024" s="953"/>
      <c r="E2024" s="953"/>
      <c r="F2024" s="953"/>
      <c r="G2024" s="953"/>
      <c r="H2024" s="953"/>
    </row>
    <row r="2025" spans="1:8" x14ac:dyDescent="0.25">
      <c r="A2025" s="952"/>
      <c r="B2025" s="953"/>
      <c r="C2025" s="953"/>
      <c r="D2025" s="953"/>
      <c r="E2025" s="953"/>
      <c r="F2025" s="953"/>
      <c r="G2025" s="953"/>
      <c r="H2025" s="953"/>
    </row>
    <row r="2026" spans="1:8" x14ac:dyDescent="0.25">
      <c r="A2026" s="952"/>
      <c r="B2026" s="953"/>
      <c r="C2026" s="953"/>
      <c r="D2026" s="953"/>
      <c r="E2026" s="953"/>
      <c r="F2026" s="953"/>
      <c r="G2026" s="953"/>
      <c r="H2026" s="953"/>
    </row>
    <row r="2027" spans="1:8" x14ac:dyDescent="0.25">
      <c r="A2027" s="952"/>
      <c r="B2027" s="953"/>
      <c r="C2027" s="953"/>
      <c r="D2027" s="953"/>
      <c r="E2027" s="953"/>
      <c r="F2027" s="953"/>
      <c r="G2027" s="953"/>
      <c r="H2027" s="953"/>
    </row>
    <row r="2028" spans="1:8" x14ac:dyDescent="0.25">
      <c r="A2028" s="952"/>
      <c r="B2028" s="953"/>
      <c r="C2028" s="953"/>
      <c r="D2028" s="953"/>
      <c r="E2028" s="953"/>
      <c r="F2028" s="953"/>
      <c r="G2028" s="953"/>
      <c r="H2028" s="953"/>
    </row>
    <row r="2029" spans="1:8" x14ac:dyDescent="0.25">
      <c r="A2029" s="952"/>
      <c r="B2029" s="953"/>
      <c r="C2029" s="953"/>
      <c r="D2029" s="953"/>
      <c r="E2029" s="953"/>
      <c r="F2029" s="953"/>
      <c r="G2029" s="953"/>
      <c r="H2029" s="953"/>
    </row>
    <row r="2030" spans="1:8" x14ac:dyDescent="0.25">
      <c r="A2030" s="952"/>
      <c r="B2030" s="953"/>
      <c r="C2030" s="953"/>
      <c r="D2030" s="953"/>
      <c r="E2030" s="953"/>
      <c r="F2030" s="953"/>
      <c r="G2030" s="953"/>
      <c r="H2030" s="953"/>
    </row>
    <row r="2031" spans="1:8" x14ac:dyDescent="0.25">
      <c r="A2031" s="952"/>
      <c r="B2031" s="953"/>
      <c r="C2031" s="953"/>
      <c r="D2031" s="953"/>
      <c r="E2031" s="953"/>
      <c r="F2031" s="953"/>
      <c r="G2031" s="953"/>
      <c r="H2031" s="953"/>
    </row>
    <row r="2032" spans="1:8" x14ac:dyDescent="0.25">
      <c r="A2032" s="952"/>
      <c r="B2032" s="953"/>
      <c r="C2032" s="953"/>
      <c r="D2032" s="953"/>
      <c r="E2032" s="953"/>
      <c r="F2032" s="953"/>
      <c r="G2032" s="953"/>
      <c r="H2032" s="953"/>
    </row>
    <row r="2033" spans="1:8" x14ac:dyDescent="0.25">
      <c r="A2033" s="952"/>
      <c r="B2033" s="953"/>
      <c r="C2033" s="953"/>
      <c r="D2033" s="953"/>
      <c r="E2033" s="953"/>
      <c r="F2033" s="953"/>
      <c r="G2033" s="953"/>
      <c r="H2033" s="953"/>
    </row>
    <row r="2034" spans="1:8" x14ac:dyDescent="0.25">
      <c r="A2034" s="952"/>
      <c r="B2034" s="953"/>
      <c r="C2034" s="953"/>
      <c r="D2034" s="953"/>
      <c r="E2034" s="953"/>
      <c r="F2034" s="953"/>
      <c r="G2034" s="953"/>
      <c r="H2034" s="953"/>
    </row>
    <row r="2035" spans="1:8" x14ac:dyDescent="0.25">
      <c r="A2035" s="952"/>
      <c r="B2035" s="953"/>
      <c r="C2035" s="953"/>
      <c r="D2035" s="953"/>
      <c r="E2035" s="953"/>
      <c r="F2035" s="953"/>
      <c r="G2035" s="953"/>
      <c r="H2035" s="953"/>
    </row>
    <row r="2036" spans="1:8" x14ac:dyDescent="0.25">
      <c r="A2036" s="952"/>
      <c r="B2036" s="953"/>
      <c r="C2036" s="953"/>
      <c r="D2036" s="953"/>
      <c r="E2036" s="953"/>
      <c r="F2036" s="953"/>
      <c r="G2036" s="953"/>
      <c r="H2036" s="953"/>
    </row>
    <row r="2037" spans="1:8" x14ac:dyDescent="0.25">
      <c r="A2037" s="952"/>
      <c r="B2037" s="953"/>
      <c r="C2037" s="953"/>
      <c r="D2037" s="953"/>
      <c r="E2037" s="953"/>
      <c r="F2037" s="953"/>
      <c r="G2037" s="953"/>
      <c r="H2037" s="953"/>
    </row>
    <row r="2038" spans="1:8" x14ac:dyDescent="0.25">
      <c r="A2038" s="952"/>
      <c r="B2038" s="953"/>
      <c r="C2038" s="953"/>
      <c r="D2038" s="953"/>
      <c r="E2038" s="953"/>
      <c r="F2038" s="953"/>
      <c r="G2038" s="953"/>
      <c r="H2038" s="953"/>
    </row>
    <row r="2039" spans="1:8" x14ac:dyDescent="0.25">
      <c r="A2039" s="952"/>
      <c r="B2039" s="953"/>
      <c r="C2039" s="953"/>
      <c r="D2039" s="953"/>
      <c r="E2039" s="953"/>
      <c r="F2039" s="953"/>
      <c r="G2039" s="953"/>
      <c r="H2039" s="953"/>
    </row>
    <row r="2040" spans="1:8" x14ac:dyDescent="0.25">
      <c r="A2040" s="952"/>
      <c r="B2040" s="953"/>
      <c r="C2040" s="953"/>
      <c r="D2040" s="953"/>
      <c r="E2040" s="953"/>
      <c r="F2040" s="953"/>
      <c r="G2040" s="953"/>
      <c r="H2040" s="953"/>
    </row>
    <row r="2041" spans="1:8" x14ac:dyDescent="0.25">
      <c r="A2041" s="952"/>
      <c r="B2041" s="953"/>
      <c r="C2041" s="953"/>
      <c r="D2041" s="953"/>
      <c r="E2041" s="953"/>
      <c r="F2041" s="953"/>
      <c r="G2041" s="953"/>
      <c r="H2041" s="953"/>
    </row>
    <row r="2042" spans="1:8" x14ac:dyDescent="0.25">
      <c r="A2042" s="952"/>
      <c r="B2042" s="953"/>
      <c r="C2042" s="953"/>
      <c r="D2042" s="953"/>
      <c r="E2042" s="953"/>
      <c r="F2042" s="953"/>
      <c r="G2042" s="953"/>
      <c r="H2042" s="953"/>
    </row>
    <row r="2043" spans="1:8" x14ac:dyDescent="0.25">
      <c r="A2043" s="952"/>
      <c r="B2043" s="953"/>
      <c r="C2043" s="953"/>
      <c r="D2043" s="953"/>
      <c r="E2043" s="953"/>
      <c r="F2043" s="953"/>
      <c r="G2043" s="953"/>
      <c r="H2043" s="953"/>
    </row>
    <row r="2044" spans="1:8" x14ac:dyDescent="0.25">
      <c r="A2044" s="952"/>
      <c r="B2044" s="953"/>
      <c r="C2044" s="953"/>
      <c r="D2044" s="953"/>
      <c r="E2044" s="953"/>
      <c r="F2044" s="953"/>
      <c r="G2044" s="953"/>
      <c r="H2044" s="953"/>
    </row>
    <row r="2045" spans="1:8" x14ac:dyDescent="0.25">
      <c r="A2045" s="952"/>
      <c r="B2045" s="953"/>
      <c r="C2045" s="953"/>
      <c r="D2045" s="953"/>
      <c r="E2045" s="953"/>
      <c r="F2045" s="953"/>
      <c r="G2045" s="953"/>
      <c r="H2045" s="953"/>
    </row>
    <row r="2046" spans="1:8" x14ac:dyDescent="0.25">
      <c r="A2046" s="952"/>
      <c r="B2046" s="953"/>
      <c r="C2046" s="953"/>
      <c r="D2046" s="953"/>
      <c r="E2046" s="953"/>
      <c r="F2046" s="953"/>
      <c r="G2046" s="953"/>
      <c r="H2046" s="953"/>
    </row>
    <row r="2047" spans="1:8" x14ac:dyDescent="0.25">
      <c r="A2047" s="952"/>
      <c r="B2047" s="953"/>
      <c r="C2047" s="953"/>
      <c r="D2047" s="953"/>
      <c r="E2047" s="953"/>
      <c r="F2047" s="953"/>
      <c r="G2047" s="953"/>
      <c r="H2047" s="953"/>
    </row>
    <row r="2048" spans="1:8" x14ac:dyDescent="0.25">
      <c r="A2048" s="952"/>
      <c r="B2048" s="953"/>
      <c r="C2048" s="953"/>
      <c r="D2048" s="953"/>
      <c r="E2048" s="953"/>
      <c r="F2048" s="953"/>
      <c r="G2048" s="953"/>
      <c r="H2048" s="953"/>
    </row>
    <row r="2049" spans="1:8" x14ac:dyDescent="0.25">
      <c r="A2049" s="952"/>
      <c r="B2049" s="953"/>
      <c r="C2049" s="953"/>
      <c r="D2049" s="953"/>
      <c r="E2049" s="953"/>
      <c r="F2049" s="953"/>
      <c r="G2049" s="953"/>
      <c r="H2049" s="953"/>
    </row>
    <row r="2050" spans="1:8" x14ac:dyDescent="0.25">
      <c r="A2050" s="952"/>
      <c r="B2050" s="953"/>
      <c r="C2050" s="953"/>
      <c r="D2050" s="953"/>
      <c r="E2050" s="953"/>
      <c r="F2050" s="953"/>
      <c r="G2050" s="953"/>
      <c r="H2050" s="953"/>
    </row>
    <row r="2051" spans="1:8" x14ac:dyDescent="0.25">
      <c r="A2051" s="952"/>
      <c r="B2051" s="953"/>
      <c r="C2051" s="953"/>
      <c r="D2051" s="953"/>
      <c r="E2051" s="953"/>
      <c r="F2051" s="953"/>
      <c r="G2051" s="953"/>
      <c r="H2051" s="953"/>
    </row>
    <row r="2052" spans="1:8" x14ac:dyDescent="0.25">
      <c r="A2052" s="952"/>
      <c r="B2052" s="953"/>
      <c r="C2052" s="953"/>
      <c r="D2052" s="953"/>
      <c r="E2052" s="953"/>
      <c r="F2052" s="953"/>
      <c r="G2052" s="953"/>
      <c r="H2052" s="953"/>
    </row>
    <row r="2053" spans="1:8" x14ac:dyDescent="0.25">
      <c r="A2053" s="952"/>
      <c r="B2053" s="953"/>
      <c r="C2053" s="953"/>
      <c r="D2053" s="953"/>
      <c r="E2053" s="953"/>
      <c r="F2053" s="953"/>
      <c r="G2053" s="953"/>
      <c r="H2053" s="953"/>
    </row>
    <row r="2054" spans="1:8" x14ac:dyDescent="0.25">
      <c r="A2054" s="952"/>
      <c r="B2054" s="953"/>
      <c r="C2054" s="953"/>
      <c r="D2054" s="953"/>
      <c r="E2054" s="953"/>
      <c r="F2054" s="953"/>
      <c r="G2054" s="953"/>
      <c r="H2054" s="953"/>
    </row>
    <row r="2055" spans="1:8" x14ac:dyDescent="0.25">
      <c r="A2055" s="952"/>
      <c r="B2055" s="953"/>
      <c r="C2055" s="953"/>
      <c r="D2055" s="953"/>
      <c r="E2055" s="953"/>
      <c r="F2055" s="953"/>
      <c r="G2055" s="953"/>
      <c r="H2055" s="953"/>
    </row>
    <row r="2056" spans="1:8" x14ac:dyDescent="0.25">
      <c r="A2056" s="952"/>
      <c r="B2056" s="953"/>
      <c r="C2056" s="953"/>
      <c r="D2056" s="953"/>
      <c r="E2056" s="953"/>
      <c r="F2056" s="953"/>
      <c r="G2056" s="953"/>
      <c r="H2056" s="953"/>
    </row>
    <row r="2057" spans="1:8" x14ac:dyDescent="0.25">
      <c r="A2057" s="952"/>
      <c r="B2057" s="953"/>
      <c r="C2057" s="953"/>
      <c r="D2057" s="953"/>
      <c r="E2057" s="953"/>
      <c r="F2057" s="953"/>
      <c r="G2057" s="953"/>
      <c r="H2057" s="953"/>
    </row>
    <row r="2058" spans="1:8" x14ac:dyDescent="0.25">
      <c r="A2058" s="952"/>
      <c r="B2058" s="953"/>
      <c r="C2058" s="953"/>
      <c r="D2058" s="953"/>
      <c r="E2058" s="953"/>
      <c r="F2058" s="953"/>
      <c r="G2058" s="953"/>
      <c r="H2058" s="953"/>
    </row>
    <row r="2059" spans="1:8" x14ac:dyDescent="0.25">
      <c r="A2059" s="952"/>
      <c r="B2059" s="953"/>
      <c r="C2059" s="953"/>
      <c r="D2059" s="953"/>
      <c r="E2059" s="953"/>
      <c r="F2059" s="953"/>
      <c r="G2059" s="953"/>
      <c r="H2059" s="953"/>
    </row>
    <row r="2060" spans="1:8" x14ac:dyDescent="0.25">
      <c r="A2060" s="952"/>
      <c r="B2060" s="953"/>
      <c r="C2060" s="953"/>
      <c r="D2060" s="953"/>
      <c r="E2060" s="953"/>
      <c r="F2060" s="953"/>
      <c r="G2060" s="953"/>
      <c r="H2060" s="953"/>
    </row>
    <row r="2061" spans="1:8" x14ac:dyDescent="0.25">
      <c r="A2061" s="952"/>
      <c r="B2061" s="953"/>
      <c r="C2061" s="953"/>
      <c r="D2061" s="953"/>
      <c r="E2061" s="953"/>
      <c r="F2061" s="953"/>
      <c r="G2061" s="953"/>
      <c r="H2061" s="953"/>
    </row>
    <row r="2062" spans="1:8" x14ac:dyDescent="0.25">
      <c r="A2062" s="952"/>
      <c r="B2062" s="953"/>
      <c r="C2062" s="953"/>
      <c r="D2062" s="953"/>
      <c r="E2062" s="953"/>
      <c r="F2062" s="953"/>
      <c r="G2062" s="953"/>
      <c r="H2062" s="953"/>
    </row>
    <row r="2063" spans="1:8" x14ac:dyDescent="0.25">
      <c r="A2063" s="952"/>
      <c r="B2063" s="953"/>
      <c r="C2063" s="953"/>
      <c r="D2063" s="953"/>
      <c r="E2063" s="953"/>
      <c r="F2063" s="953"/>
      <c r="G2063" s="953"/>
      <c r="H2063" s="953"/>
    </row>
    <row r="2064" spans="1:8" x14ac:dyDescent="0.25">
      <c r="A2064" s="952"/>
      <c r="B2064" s="953"/>
      <c r="C2064" s="953"/>
      <c r="D2064" s="953"/>
      <c r="E2064" s="953"/>
      <c r="F2064" s="953"/>
      <c r="G2064" s="953"/>
      <c r="H2064" s="953"/>
    </row>
    <row r="2065" spans="1:8" x14ac:dyDescent="0.25">
      <c r="A2065" s="952"/>
      <c r="B2065" s="953"/>
      <c r="C2065" s="953"/>
      <c r="D2065" s="953"/>
      <c r="E2065" s="953"/>
      <c r="F2065" s="953"/>
      <c r="G2065" s="953"/>
      <c r="H2065" s="953"/>
    </row>
    <row r="2066" spans="1:8" x14ac:dyDescent="0.25">
      <c r="A2066" s="952"/>
      <c r="B2066" s="953"/>
      <c r="C2066" s="953"/>
      <c r="D2066" s="953"/>
      <c r="E2066" s="953"/>
      <c r="F2066" s="953"/>
      <c r="G2066" s="953"/>
      <c r="H2066" s="953"/>
    </row>
    <row r="2067" spans="1:8" x14ac:dyDescent="0.25">
      <c r="A2067" s="952"/>
      <c r="B2067" s="953"/>
      <c r="C2067" s="953"/>
      <c r="D2067" s="953"/>
      <c r="E2067" s="953"/>
      <c r="F2067" s="953"/>
      <c r="G2067" s="953"/>
      <c r="H2067" s="953"/>
    </row>
    <row r="2068" spans="1:8" x14ac:dyDescent="0.25">
      <c r="A2068" s="952"/>
      <c r="B2068" s="953"/>
      <c r="C2068" s="953"/>
      <c r="D2068" s="953"/>
      <c r="E2068" s="953"/>
      <c r="F2068" s="953"/>
      <c r="G2068" s="953"/>
      <c r="H2068" s="953"/>
    </row>
    <row r="2069" spans="1:8" x14ac:dyDescent="0.25">
      <c r="A2069" s="952"/>
      <c r="B2069" s="953"/>
      <c r="C2069" s="953"/>
      <c r="D2069" s="953"/>
      <c r="E2069" s="953"/>
      <c r="F2069" s="953"/>
      <c r="G2069" s="953"/>
      <c r="H2069" s="953"/>
    </row>
    <row r="2070" spans="1:8" x14ac:dyDescent="0.25">
      <c r="A2070" s="952"/>
      <c r="B2070" s="953"/>
      <c r="C2070" s="953"/>
      <c r="D2070" s="953"/>
      <c r="E2070" s="953"/>
      <c r="F2070" s="953"/>
      <c r="G2070" s="953"/>
      <c r="H2070" s="953"/>
    </row>
    <row r="2071" spans="1:8" x14ac:dyDescent="0.25">
      <c r="A2071" s="952"/>
      <c r="B2071" s="953"/>
      <c r="C2071" s="953"/>
      <c r="D2071" s="953"/>
      <c r="E2071" s="953"/>
      <c r="F2071" s="953"/>
      <c r="G2071" s="953"/>
      <c r="H2071" s="953"/>
    </row>
    <row r="2072" spans="1:8" x14ac:dyDescent="0.25">
      <c r="A2072" s="952"/>
      <c r="B2072" s="953"/>
      <c r="C2072" s="953"/>
      <c r="D2072" s="953"/>
      <c r="E2072" s="953"/>
      <c r="F2072" s="953"/>
      <c r="G2072" s="953"/>
      <c r="H2072" s="953"/>
    </row>
    <row r="2073" spans="1:8" x14ac:dyDescent="0.25">
      <c r="A2073" s="952"/>
      <c r="B2073" s="953"/>
      <c r="C2073" s="953"/>
      <c r="D2073" s="953"/>
      <c r="E2073" s="953"/>
      <c r="F2073" s="953"/>
      <c r="G2073" s="953"/>
      <c r="H2073" s="953"/>
    </row>
    <row r="2074" spans="1:8" x14ac:dyDescent="0.25">
      <c r="A2074" s="952"/>
      <c r="B2074" s="953"/>
      <c r="C2074" s="953"/>
      <c r="D2074" s="953"/>
      <c r="E2074" s="953"/>
      <c r="F2074" s="953"/>
      <c r="G2074" s="953"/>
      <c r="H2074" s="953"/>
    </row>
    <row r="2075" spans="1:8" x14ac:dyDescent="0.25">
      <c r="A2075" s="952"/>
      <c r="B2075" s="953"/>
      <c r="C2075" s="953"/>
      <c r="D2075" s="953"/>
      <c r="E2075" s="953"/>
      <c r="F2075" s="953"/>
      <c r="G2075" s="953"/>
      <c r="H2075" s="953"/>
    </row>
    <row r="2076" spans="1:8" x14ac:dyDescent="0.25">
      <c r="A2076" s="952"/>
      <c r="B2076" s="953"/>
      <c r="C2076" s="953"/>
      <c r="D2076" s="953"/>
      <c r="E2076" s="953"/>
      <c r="F2076" s="953"/>
      <c r="G2076" s="953"/>
      <c r="H2076" s="953"/>
    </row>
    <row r="2077" spans="1:8" x14ac:dyDescent="0.25">
      <c r="A2077" s="952"/>
      <c r="B2077" s="953"/>
      <c r="C2077" s="953"/>
      <c r="D2077" s="953"/>
      <c r="E2077" s="953"/>
      <c r="F2077" s="953"/>
      <c r="G2077" s="953"/>
      <c r="H2077" s="953"/>
    </row>
    <row r="2078" spans="1:8" x14ac:dyDescent="0.25">
      <c r="A2078" s="952"/>
      <c r="B2078" s="953"/>
      <c r="C2078" s="953"/>
      <c r="D2078" s="953"/>
      <c r="E2078" s="953"/>
      <c r="F2078" s="953"/>
      <c r="G2078" s="953"/>
      <c r="H2078" s="953"/>
    </row>
    <row r="2079" spans="1:8" x14ac:dyDescent="0.25">
      <c r="A2079" s="952"/>
      <c r="B2079" s="953"/>
      <c r="C2079" s="953"/>
      <c r="D2079" s="953"/>
      <c r="E2079" s="953"/>
      <c r="F2079" s="953"/>
      <c r="G2079" s="953"/>
      <c r="H2079" s="953"/>
    </row>
    <row r="2080" spans="1:8" x14ac:dyDescent="0.25">
      <c r="A2080" s="952"/>
      <c r="B2080" s="953"/>
      <c r="C2080" s="953"/>
      <c r="D2080" s="953"/>
      <c r="E2080" s="953"/>
      <c r="F2080" s="953"/>
      <c r="G2080" s="953"/>
      <c r="H2080" s="953"/>
    </row>
    <row r="2081" spans="1:8" x14ac:dyDescent="0.25">
      <c r="A2081" s="952"/>
      <c r="B2081" s="953"/>
      <c r="C2081" s="953"/>
      <c r="D2081" s="953"/>
      <c r="E2081" s="953"/>
      <c r="F2081" s="953"/>
      <c r="G2081" s="953"/>
      <c r="H2081" s="953"/>
    </row>
    <row r="2082" spans="1:8" x14ac:dyDescent="0.25">
      <c r="A2082" s="952"/>
      <c r="B2082" s="953"/>
      <c r="C2082" s="953"/>
      <c r="D2082" s="953"/>
      <c r="E2082" s="953"/>
      <c r="F2082" s="953"/>
      <c r="G2082" s="953"/>
      <c r="H2082" s="953"/>
    </row>
    <row r="2083" spans="1:8" x14ac:dyDescent="0.25">
      <c r="A2083" s="952"/>
      <c r="B2083" s="953"/>
      <c r="C2083" s="953"/>
      <c r="D2083" s="953"/>
      <c r="E2083" s="953"/>
      <c r="F2083" s="953"/>
      <c r="G2083" s="953"/>
      <c r="H2083" s="953"/>
    </row>
    <row r="2084" spans="1:8" x14ac:dyDescent="0.25">
      <c r="A2084" s="952"/>
      <c r="B2084" s="953"/>
      <c r="C2084" s="953"/>
      <c r="D2084" s="953"/>
      <c r="E2084" s="953"/>
      <c r="F2084" s="953"/>
      <c r="G2084" s="953"/>
      <c r="H2084" s="953"/>
    </row>
    <row r="2085" spans="1:8" x14ac:dyDescent="0.25">
      <c r="A2085" s="952"/>
      <c r="B2085" s="953"/>
      <c r="C2085" s="953"/>
      <c r="D2085" s="953"/>
      <c r="E2085" s="953"/>
      <c r="F2085" s="953"/>
      <c r="G2085" s="953"/>
      <c r="H2085" s="953"/>
    </row>
    <row r="2086" spans="1:8" x14ac:dyDescent="0.25">
      <c r="A2086" s="952"/>
      <c r="B2086" s="953"/>
      <c r="C2086" s="953"/>
      <c r="D2086" s="953"/>
      <c r="E2086" s="953"/>
      <c r="F2086" s="953"/>
      <c r="G2086" s="953"/>
      <c r="H2086" s="953"/>
    </row>
    <row r="2087" spans="1:8" x14ac:dyDescent="0.25">
      <c r="A2087" s="952"/>
      <c r="B2087" s="953"/>
      <c r="C2087" s="953"/>
      <c r="D2087" s="953"/>
      <c r="E2087" s="953"/>
      <c r="F2087" s="953"/>
      <c r="G2087" s="953"/>
      <c r="H2087" s="953"/>
    </row>
    <row r="2088" spans="1:8" x14ac:dyDescent="0.25">
      <c r="A2088" s="952"/>
      <c r="B2088" s="953"/>
      <c r="C2088" s="953"/>
      <c r="D2088" s="953"/>
      <c r="E2088" s="953"/>
      <c r="F2088" s="953"/>
      <c r="G2088" s="953"/>
      <c r="H2088" s="953"/>
    </row>
    <row r="2089" spans="1:8" x14ac:dyDescent="0.25">
      <c r="A2089" s="952"/>
      <c r="B2089" s="953"/>
      <c r="C2089" s="953"/>
      <c r="D2089" s="953"/>
      <c r="E2089" s="953"/>
      <c r="F2089" s="953"/>
      <c r="G2089" s="953"/>
      <c r="H2089" s="953"/>
    </row>
    <row r="2090" spans="1:8" x14ac:dyDescent="0.25">
      <c r="A2090" s="952"/>
      <c r="B2090" s="953"/>
      <c r="C2090" s="953"/>
      <c r="D2090" s="953"/>
      <c r="E2090" s="953"/>
      <c r="F2090" s="953"/>
      <c r="G2090" s="953"/>
      <c r="H2090" s="953"/>
    </row>
    <row r="2091" spans="1:8" x14ac:dyDescent="0.25">
      <c r="A2091" s="952"/>
      <c r="B2091" s="953"/>
      <c r="C2091" s="953"/>
      <c r="D2091" s="953"/>
      <c r="E2091" s="953"/>
      <c r="F2091" s="953"/>
      <c r="G2091" s="953"/>
      <c r="H2091" s="953"/>
    </row>
    <row r="2092" spans="1:8" x14ac:dyDescent="0.25">
      <c r="A2092" s="952"/>
      <c r="B2092" s="953"/>
      <c r="C2092" s="953"/>
      <c r="D2092" s="953"/>
      <c r="E2092" s="953"/>
      <c r="F2092" s="953"/>
      <c r="G2092" s="953"/>
      <c r="H2092" s="953"/>
    </row>
    <row r="2093" spans="1:8" x14ac:dyDescent="0.25">
      <c r="A2093" s="952"/>
      <c r="B2093" s="953"/>
      <c r="C2093" s="953"/>
      <c r="D2093" s="953"/>
      <c r="E2093" s="953"/>
      <c r="F2093" s="953"/>
      <c r="G2093" s="953"/>
      <c r="H2093" s="953"/>
    </row>
    <row r="2094" spans="1:8" x14ac:dyDescent="0.25">
      <c r="A2094" s="952"/>
      <c r="B2094" s="953"/>
      <c r="C2094" s="953"/>
      <c r="D2094" s="953"/>
      <c r="E2094" s="953"/>
      <c r="F2094" s="953"/>
      <c r="G2094" s="953"/>
      <c r="H2094" s="953"/>
    </row>
    <row r="2095" spans="1:8" x14ac:dyDescent="0.25">
      <c r="A2095" s="952"/>
      <c r="B2095" s="953"/>
      <c r="C2095" s="953"/>
      <c r="D2095" s="953"/>
      <c r="E2095" s="953"/>
      <c r="F2095" s="953"/>
      <c r="G2095" s="953"/>
      <c r="H2095" s="953"/>
    </row>
    <row r="2096" spans="1:8" x14ac:dyDescent="0.25">
      <c r="A2096" s="952"/>
      <c r="B2096" s="953"/>
      <c r="C2096" s="953"/>
      <c r="D2096" s="953"/>
      <c r="E2096" s="953"/>
      <c r="F2096" s="953"/>
      <c r="G2096" s="953"/>
      <c r="H2096" s="953"/>
    </row>
    <row r="2097" spans="1:8" x14ac:dyDescent="0.25">
      <c r="A2097" s="952"/>
      <c r="B2097" s="953"/>
      <c r="C2097" s="953"/>
      <c r="D2097" s="953"/>
      <c r="E2097" s="953"/>
      <c r="F2097" s="953"/>
      <c r="G2097" s="953"/>
      <c r="H2097" s="953"/>
    </row>
    <row r="2098" spans="1:8" x14ac:dyDescent="0.25">
      <c r="A2098" s="952"/>
      <c r="B2098" s="953"/>
      <c r="C2098" s="953"/>
      <c r="D2098" s="953"/>
      <c r="E2098" s="953"/>
      <c r="F2098" s="953"/>
      <c r="G2098" s="953"/>
      <c r="H2098" s="953"/>
    </row>
    <row r="2099" spans="1:8" x14ac:dyDescent="0.25">
      <c r="A2099" s="952"/>
      <c r="B2099" s="953"/>
      <c r="C2099" s="953"/>
      <c r="D2099" s="953"/>
      <c r="E2099" s="953"/>
      <c r="F2099" s="953"/>
      <c r="G2099" s="953"/>
      <c r="H2099" s="953"/>
    </row>
    <row r="2100" spans="1:8" x14ac:dyDescent="0.25">
      <c r="A2100" s="952"/>
      <c r="B2100" s="953"/>
      <c r="C2100" s="953"/>
      <c r="D2100" s="953"/>
      <c r="E2100" s="953"/>
      <c r="F2100" s="953"/>
      <c r="G2100" s="953"/>
      <c r="H2100" s="953"/>
    </row>
    <row r="2101" spans="1:8" x14ac:dyDescent="0.25">
      <c r="A2101" s="952"/>
      <c r="B2101" s="953"/>
      <c r="C2101" s="953"/>
      <c r="D2101" s="953"/>
      <c r="E2101" s="953"/>
      <c r="F2101" s="953"/>
      <c r="G2101" s="953"/>
      <c r="H2101" s="953"/>
    </row>
    <row r="2102" spans="1:8" x14ac:dyDescent="0.25">
      <c r="A2102" s="952"/>
      <c r="B2102" s="953"/>
      <c r="C2102" s="953"/>
      <c r="D2102" s="953"/>
      <c r="E2102" s="953"/>
      <c r="F2102" s="953"/>
      <c r="G2102" s="953"/>
      <c r="H2102" s="953"/>
    </row>
    <row r="2103" spans="1:8" x14ac:dyDescent="0.25">
      <c r="A2103" s="952"/>
      <c r="B2103" s="953"/>
      <c r="C2103" s="953"/>
      <c r="D2103" s="953"/>
      <c r="E2103" s="953"/>
      <c r="F2103" s="953"/>
      <c r="G2103" s="953"/>
      <c r="H2103" s="953"/>
    </row>
    <row r="2104" spans="1:8" x14ac:dyDescent="0.25">
      <c r="A2104" s="952"/>
      <c r="B2104" s="953"/>
      <c r="C2104" s="953"/>
      <c r="D2104" s="953"/>
      <c r="E2104" s="953"/>
      <c r="F2104" s="953"/>
      <c r="G2104" s="953"/>
      <c r="H2104" s="953"/>
    </row>
    <row r="2105" spans="1:8" x14ac:dyDescent="0.25">
      <c r="A2105" s="952"/>
      <c r="B2105" s="953"/>
      <c r="C2105" s="953"/>
      <c r="D2105" s="953"/>
      <c r="E2105" s="953"/>
      <c r="F2105" s="953"/>
      <c r="G2105" s="953"/>
      <c r="H2105" s="953"/>
    </row>
    <row r="2106" spans="1:8" x14ac:dyDescent="0.25">
      <c r="A2106" s="952"/>
      <c r="B2106" s="953"/>
      <c r="C2106" s="953"/>
      <c r="D2106" s="953"/>
      <c r="E2106" s="953"/>
      <c r="F2106" s="953"/>
      <c r="G2106" s="953"/>
      <c r="H2106" s="953"/>
    </row>
    <row r="2107" spans="1:8" x14ac:dyDescent="0.25">
      <c r="A2107" s="952"/>
      <c r="B2107" s="953"/>
      <c r="C2107" s="953"/>
      <c r="D2107" s="953"/>
      <c r="E2107" s="953"/>
      <c r="F2107" s="953"/>
      <c r="G2107" s="953"/>
      <c r="H2107" s="953"/>
    </row>
    <row r="2108" spans="1:8" x14ac:dyDescent="0.25">
      <c r="A2108" s="952"/>
      <c r="B2108" s="953"/>
      <c r="C2108" s="953"/>
      <c r="D2108" s="953"/>
      <c r="E2108" s="953"/>
      <c r="F2108" s="953"/>
      <c r="G2108" s="953"/>
      <c r="H2108" s="953"/>
    </row>
    <row r="2109" spans="1:8" x14ac:dyDescent="0.25">
      <c r="A2109" s="952"/>
      <c r="B2109" s="953"/>
      <c r="C2109" s="953"/>
      <c r="D2109" s="953"/>
      <c r="E2109" s="953"/>
      <c r="F2109" s="953"/>
      <c r="G2109" s="953"/>
      <c r="H2109" s="953"/>
    </row>
    <row r="2110" spans="1:8" x14ac:dyDescent="0.25">
      <c r="A2110" s="952"/>
      <c r="B2110" s="953"/>
      <c r="C2110" s="953"/>
      <c r="D2110" s="953"/>
      <c r="E2110" s="953"/>
      <c r="F2110" s="953"/>
      <c r="G2110" s="953"/>
      <c r="H2110" s="953"/>
    </row>
    <row r="2111" spans="1:8" x14ac:dyDescent="0.25">
      <c r="A2111" s="952"/>
      <c r="B2111" s="953"/>
      <c r="C2111" s="953"/>
      <c r="D2111" s="953"/>
      <c r="E2111" s="953"/>
      <c r="F2111" s="953"/>
      <c r="G2111" s="953"/>
      <c r="H2111" s="953"/>
    </row>
    <row r="2112" spans="1:8" x14ac:dyDescent="0.25">
      <c r="A2112" s="952"/>
      <c r="B2112" s="953"/>
      <c r="C2112" s="953"/>
      <c r="D2112" s="953"/>
      <c r="E2112" s="953"/>
      <c r="F2112" s="953"/>
      <c r="G2112" s="953"/>
      <c r="H2112" s="953"/>
    </row>
    <row r="2113" spans="1:8" x14ac:dyDescent="0.25">
      <c r="A2113" s="952"/>
      <c r="B2113" s="953"/>
      <c r="C2113" s="953"/>
      <c r="D2113" s="953"/>
      <c r="E2113" s="953"/>
      <c r="F2113" s="953"/>
      <c r="G2113" s="953"/>
      <c r="H2113" s="953"/>
    </row>
    <row r="2114" spans="1:8" x14ac:dyDescent="0.25">
      <c r="A2114" s="952"/>
      <c r="B2114" s="953"/>
      <c r="C2114" s="953"/>
      <c r="D2114" s="953"/>
      <c r="E2114" s="953"/>
      <c r="F2114" s="953"/>
      <c r="G2114" s="953"/>
      <c r="H2114" s="953"/>
    </row>
    <row r="2115" spans="1:8" x14ac:dyDescent="0.25">
      <c r="A2115" s="952"/>
      <c r="B2115" s="953"/>
      <c r="C2115" s="953"/>
      <c r="D2115" s="953"/>
      <c r="E2115" s="953"/>
      <c r="F2115" s="953"/>
      <c r="G2115" s="953"/>
      <c r="H2115" s="953"/>
    </row>
    <row r="2116" spans="1:8" x14ac:dyDescent="0.25">
      <c r="A2116" s="952"/>
      <c r="B2116" s="953"/>
      <c r="C2116" s="953"/>
      <c r="D2116" s="953"/>
      <c r="E2116" s="953"/>
      <c r="F2116" s="953"/>
      <c r="G2116" s="953"/>
      <c r="H2116" s="953"/>
    </row>
    <row r="2117" spans="1:8" x14ac:dyDescent="0.25">
      <c r="A2117" s="952"/>
      <c r="B2117" s="953"/>
      <c r="C2117" s="953"/>
      <c r="D2117" s="953"/>
      <c r="E2117" s="953"/>
      <c r="F2117" s="953"/>
      <c r="G2117" s="953"/>
      <c r="H2117" s="953"/>
    </row>
    <row r="2118" spans="1:8" x14ac:dyDescent="0.25">
      <c r="A2118" s="952"/>
      <c r="B2118" s="953"/>
      <c r="C2118" s="953"/>
      <c r="D2118" s="953"/>
      <c r="E2118" s="953"/>
      <c r="F2118" s="953"/>
      <c r="G2118" s="953"/>
      <c r="H2118" s="953"/>
    </row>
    <row r="2119" spans="1:8" x14ac:dyDescent="0.25">
      <c r="A2119" s="952"/>
      <c r="B2119" s="953"/>
      <c r="C2119" s="953"/>
      <c r="D2119" s="953"/>
      <c r="E2119" s="953"/>
      <c r="F2119" s="953"/>
      <c r="G2119" s="953"/>
      <c r="H2119" s="953"/>
    </row>
    <row r="2120" spans="1:8" x14ac:dyDescent="0.25">
      <c r="A2120" s="952"/>
      <c r="B2120" s="953"/>
      <c r="C2120" s="953"/>
      <c r="D2120" s="953"/>
      <c r="E2120" s="953"/>
      <c r="F2120" s="953"/>
      <c r="G2120" s="953"/>
      <c r="H2120" s="953"/>
    </row>
    <row r="2121" spans="1:8" x14ac:dyDescent="0.25">
      <c r="A2121" s="952"/>
      <c r="B2121" s="953"/>
      <c r="C2121" s="953"/>
      <c r="D2121" s="953"/>
      <c r="E2121" s="953"/>
      <c r="F2121" s="953"/>
      <c r="G2121" s="953"/>
      <c r="H2121" s="953"/>
    </row>
    <row r="2122" spans="1:8" x14ac:dyDescent="0.25">
      <c r="A2122" s="952"/>
      <c r="B2122" s="953"/>
      <c r="C2122" s="953"/>
      <c r="D2122" s="953"/>
      <c r="E2122" s="953"/>
      <c r="F2122" s="953"/>
      <c r="G2122" s="953"/>
      <c r="H2122" s="953"/>
    </row>
    <row r="2123" spans="1:8" x14ac:dyDescent="0.25">
      <c r="A2123" s="952"/>
      <c r="B2123" s="953"/>
      <c r="C2123" s="953"/>
      <c r="D2123" s="953"/>
      <c r="E2123" s="953"/>
      <c r="F2123" s="953"/>
      <c r="G2123" s="953"/>
      <c r="H2123" s="953"/>
    </row>
    <row r="2124" spans="1:8" x14ac:dyDescent="0.25">
      <c r="A2124" s="952"/>
      <c r="B2124" s="953"/>
      <c r="C2124" s="953"/>
      <c r="D2124" s="953"/>
      <c r="E2124" s="953"/>
      <c r="F2124" s="953"/>
      <c r="G2124" s="953"/>
      <c r="H2124" s="953"/>
    </row>
    <row r="2125" spans="1:8" x14ac:dyDescent="0.25">
      <c r="A2125" s="952"/>
      <c r="B2125" s="953"/>
      <c r="C2125" s="953"/>
      <c r="D2125" s="953"/>
      <c r="E2125" s="953"/>
      <c r="F2125" s="953"/>
      <c r="G2125" s="953"/>
      <c r="H2125" s="953"/>
    </row>
    <row r="2126" spans="1:8" x14ac:dyDescent="0.25">
      <c r="A2126" s="952"/>
      <c r="B2126" s="953"/>
      <c r="C2126" s="953"/>
      <c r="D2126" s="953"/>
      <c r="E2126" s="953"/>
      <c r="F2126" s="953"/>
      <c r="G2126" s="953"/>
      <c r="H2126" s="953"/>
    </row>
    <row r="2127" spans="1:8" x14ac:dyDescent="0.25">
      <c r="A2127" s="952"/>
      <c r="B2127" s="953"/>
      <c r="C2127" s="953"/>
      <c r="D2127" s="953"/>
      <c r="E2127" s="953"/>
      <c r="F2127" s="953"/>
      <c r="G2127" s="953"/>
      <c r="H2127" s="953"/>
    </row>
    <row r="2128" spans="1:8" x14ac:dyDescent="0.25">
      <c r="A2128" s="952"/>
      <c r="B2128" s="953"/>
      <c r="C2128" s="953"/>
      <c r="D2128" s="953"/>
      <c r="E2128" s="953"/>
      <c r="F2128" s="953"/>
      <c r="G2128" s="953"/>
      <c r="H2128" s="953"/>
    </row>
    <row r="2129" spans="1:8" x14ac:dyDescent="0.25">
      <c r="A2129" s="952"/>
      <c r="B2129" s="953"/>
      <c r="C2129" s="953"/>
      <c r="D2129" s="953"/>
      <c r="E2129" s="953"/>
      <c r="F2129" s="953"/>
      <c r="G2129" s="953"/>
      <c r="H2129" s="953"/>
    </row>
    <row r="2130" spans="1:8" x14ac:dyDescent="0.25">
      <c r="A2130" s="952"/>
      <c r="B2130" s="953"/>
      <c r="C2130" s="953"/>
      <c r="D2130" s="953"/>
      <c r="E2130" s="953"/>
      <c r="F2130" s="953"/>
      <c r="G2130" s="953"/>
      <c r="H2130" s="953"/>
    </row>
    <row r="2131" spans="1:8" x14ac:dyDescent="0.25">
      <c r="A2131" s="952"/>
      <c r="B2131" s="953"/>
      <c r="C2131" s="953"/>
      <c r="D2131" s="953"/>
      <c r="E2131" s="953"/>
      <c r="F2131" s="953"/>
      <c r="G2131" s="953"/>
      <c r="H2131" s="953"/>
    </row>
    <row r="2132" spans="1:8" x14ac:dyDescent="0.25">
      <c r="A2132" s="952"/>
      <c r="B2132" s="953"/>
      <c r="C2132" s="953"/>
      <c r="D2132" s="953"/>
      <c r="E2132" s="953"/>
      <c r="F2132" s="953"/>
      <c r="G2132" s="953"/>
      <c r="H2132" s="953"/>
    </row>
    <row r="2133" spans="1:8" x14ac:dyDescent="0.25">
      <c r="A2133" s="952"/>
      <c r="B2133" s="953"/>
      <c r="C2133" s="953"/>
      <c r="D2133" s="953"/>
      <c r="E2133" s="953"/>
      <c r="F2133" s="953"/>
      <c r="G2133" s="953"/>
      <c r="H2133" s="953"/>
    </row>
    <row r="2134" spans="1:8" x14ac:dyDescent="0.25">
      <c r="A2134" s="952"/>
      <c r="B2134" s="953"/>
      <c r="C2134" s="953"/>
      <c r="D2134" s="953"/>
      <c r="E2134" s="953"/>
      <c r="F2134" s="953"/>
      <c r="G2134" s="953"/>
      <c r="H2134" s="953"/>
    </row>
    <row r="2135" spans="1:8" x14ac:dyDescent="0.25">
      <c r="A2135" s="952"/>
      <c r="B2135" s="953"/>
      <c r="C2135" s="953"/>
      <c r="D2135" s="953"/>
      <c r="E2135" s="953"/>
      <c r="F2135" s="953"/>
      <c r="G2135" s="953"/>
      <c r="H2135" s="953"/>
    </row>
    <row r="2136" spans="1:8" x14ac:dyDescent="0.25">
      <c r="A2136" s="952"/>
      <c r="B2136" s="953"/>
      <c r="C2136" s="953"/>
      <c r="D2136" s="953"/>
      <c r="E2136" s="953"/>
      <c r="F2136" s="953"/>
      <c r="G2136" s="953"/>
      <c r="H2136" s="953"/>
    </row>
    <row r="2137" spans="1:8" x14ac:dyDescent="0.25">
      <c r="A2137" s="952"/>
      <c r="B2137" s="953"/>
      <c r="C2137" s="953"/>
      <c r="D2137" s="953"/>
      <c r="E2137" s="953"/>
      <c r="F2137" s="953"/>
      <c r="G2137" s="953"/>
      <c r="H2137" s="953"/>
    </row>
    <row r="2138" spans="1:8" x14ac:dyDescent="0.25">
      <c r="A2138" s="952"/>
      <c r="B2138" s="953"/>
      <c r="C2138" s="953"/>
      <c r="D2138" s="953"/>
      <c r="E2138" s="953"/>
      <c r="F2138" s="953"/>
      <c r="G2138" s="953"/>
      <c r="H2138" s="953"/>
    </row>
    <row r="2139" spans="1:8" x14ac:dyDescent="0.25">
      <c r="A2139" s="952"/>
      <c r="B2139" s="953"/>
      <c r="C2139" s="953"/>
      <c r="D2139" s="953"/>
      <c r="E2139" s="953"/>
      <c r="F2139" s="953"/>
      <c r="G2139" s="953"/>
      <c r="H2139" s="953"/>
    </row>
    <row r="2140" spans="1:8" x14ac:dyDescent="0.25">
      <c r="A2140" s="952"/>
      <c r="B2140" s="953"/>
      <c r="C2140" s="953"/>
      <c r="D2140" s="953"/>
      <c r="E2140" s="953"/>
      <c r="F2140" s="953"/>
      <c r="G2140" s="953"/>
      <c r="H2140" s="953"/>
    </row>
    <row r="2141" spans="1:8" x14ac:dyDescent="0.25">
      <c r="A2141" s="952"/>
      <c r="B2141" s="953"/>
      <c r="C2141" s="953"/>
      <c r="D2141" s="953"/>
      <c r="E2141" s="953"/>
      <c r="F2141" s="953"/>
      <c r="G2141" s="953"/>
      <c r="H2141" s="953"/>
    </row>
    <row r="2142" spans="1:8" x14ac:dyDescent="0.25">
      <c r="A2142" s="952"/>
      <c r="B2142" s="953"/>
      <c r="C2142" s="953"/>
      <c r="D2142" s="953"/>
      <c r="E2142" s="953"/>
      <c r="F2142" s="953"/>
      <c r="G2142" s="953"/>
      <c r="H2142" s="953"/>
    </row>
    <row r="2143" spans="1:8" x14ac:dyDescent="0.25">
      <c r="A2143" s="952"/>
      <c r="B2143" s="953"/>
      <c r="C2143" s="953"/>
      <c r="D2143" s="953"/>
      <c r="E2143" s="953"/>
      <c r="F2143" s="953"/>
      <c r="G2143" s="953"/>
      <c r="H2143" s="953"/>
    </row>
    <row r="2144" spans="1:8" x14ac:dyDescent="0.25">
      <c r="A2144" s="952"/>
      <c r="B2144" s="953"/>
      <c r="C2144" s="953"/>
      <c r="D2144" s="953"/>
      <c r="E2144" s="953"/>
      <c r="F2144" s="953"/>
      <c r="G2144" s="953"/>
      <c r="H2144" s="953"/>
    </row>
    <row r="2145" spans="1:8" x14ac:dyDescent="0.25">
      <c r="A2145" s="952"/>
      <c r="B2145" s="953"/>
      <c r="C2145" s="953"/>
      <c r="D2145" s="953"/>
      <c r="E2145" s="953"/>
      <c r="F2145" s="953"/>
      <c r="G2145" s="953"/>
      <c r="H2145" s="953"/>
    </row>
    <row r="2146" spans="1:8" x14ac:dyDescent="0.25">
      <c r="A2146" s="952"/>
      <c r="B2146" s="953"/>
      <c r="C2146" s="953"/>
      <c r="D2146" s="953"/>
      <c r="E2146" s="953"/>
      <c r="F2146" s="953"/>
      <c r="G2146" s="953"/>
      <c r="H2146" s="953"/>
    </row>
    <row r="2147" spans="1:8" x14ac:dyDescent="0.25">
      <c r="A2147" s="952"/>
      <c r="B2147" s="953"/>
      <c r="C2147" s="953"/>
      <c r="D2147" s="953"/>
      <c r="E2147" s="953"/>
      <c r="F2147" s="953"/>
      <c r="G2147" s="953"/>
      <c r="H2147" s="953"/>
    </row>
    <row r="2148" spans="1:8" x14ac:dyDescent="0.25">
      <c r="A2148" s="952"/>
      <c r="B2148" s="953"/>
      <c r="C2148" s="953"/>
      <c r="D2148" s="953"/>
      <c r="E2148" s="953"/>
      <c r="F2148" s="953"/>
      <c r="G2148" s="953"/>
      <c r="H2148" s="953"/>
    </row>
    <row r="2149" spans="1:8" x14ac:dyDescent="0.25">
      <c r="A2149" s="952"/>
      <c r="B2149" s="953"/>
      <c r="C2149" s="953"/>
      <c r="D2149" s="953"/>
      <c r="E2149" s="953"/>
      <c r="F2149" s="953"/>
      <c r="G2149" s="953"/>
      <c r="H2149" s="953"/>
    </row>
    <row r="2150" spans="1:8" x14ac:dyDescent="0.25">
      <c r="A2150" s="952"/>
      <c r="B2150" s="953"/>
      <c r="C2150" s="953"/>
      <c r="D2150" s="953"/>
      <c r="E2150" s="953"/>
      <c r="F2150" s="953"/>
      <c r="G2150" s="953"/>
      <c r="H2150" s="953"/>
    </row>
    <row r="2151" spans="1:8" x14ac:dyDescent="0.25">
      <c r="A2151" s="952"/>
      <c r="B2151" s="953"/>
      <c r="C2151" s="953"/>
      <c r="D2151" s="953"/>
      <c r="E2151" s="953"/>
      <c r="F2151" s="953"/>
      <c r="G2151" s="953"/>
      <c r="H2151" s="953"/>
    </row>
    <row r="2152" spans="1:8" x14ac:dyDescent="0.25">
      <c r="A2152" s="952"/>
      <c r="B2152" s="953"/>
      <c r="C2152" s="953"/>
      <c r="D2152" s="953"/>
      <c r="E2152" s="953"/>
      <c r="F2152" s="953"/>
      <c r="G2152" s="953"/>
      <c r="H2152" s="953"/>
    </row>
    <row r="2153" spans="1:8" x14ac:dyDescent="0.25">
      <c r="A2153" s="952"/>
      <c r="B2153" s="953"/>
      <c r="C2153" s="953"/>
      <c r="D2153" s="953"/>
      <c r="E2153" s="953"/>
      <c r="F2153" s="953"/>
      <c r="G2153" s="953"/>
      <c r="H2153" s="953"/>
    </row>
    <row r="2154" spans="1:8" x14ac:dyDescent="0.25">
      <c r="A2154" s="952"/>
      <c r="B2154" s="953"/>
      <c r="C2154" s="953"/>
      <c r="D2154" s="953"/>
      <c r="E2154" s="953"/>
      <c r="F2154" s="953"/>
      <c r="G2154" s="953"/>
      <c r="H2154" s="953"/>
    </row>
    <row r="2155" spans="1:8" x14ac:dyDescent="0.25">
      <c r="A2155" s="952"/>
      <c r="B2155" s="953"/>
      <c r="C2155" s="953"/>
      <c r="D2155" s="953"/>
      <c r="E2155" s="953"/>
      <c r="F2155" s="953"/>
      <c r="G2155" s="953"/>
      <c r="H2155" s="953"/>
    </row>
    <row r="2156" spans="1:8" x14ac:dyDescent="0.25">
      <c r="A2156" s="952"/>
      <c r="B2156" s="953"/>
      <c r="C2156" s="953"/>
      <c r="D2156" s="953"/>
      <c r="E2156" s="953"/>
      <c r="F2156" s="953"/>
      <c r="G2156" s="953"/>
      <c r="H2156" s="953"/>
    </row>
    <row r="2157" spans="1:8" x14ac:dyDescent="0.25">
      <c r="A2157" s="952"/>
      <c r="B2157" s="953"/>
      <c r="C2157" s="953"/>
      <c r="D2157" s="953"/>
      <c r="E2157" s="953"/>
      <c r="F2157" s="953"/>
      <c r="G2157" s="953"/>
      <c r="H2157" s="953"/>
    </row>
    <row r="2158" spans="1:8" x14ac:dyDescent="0.25">
      <c r="A2158" s="952"/>
      <c r="B2158" s="953"/>
      <c r="C2158" s="953"/>
      <c r="D2158" s="953"/>
      <c r="E2158" s="953"/>
      <c r="F2158" s="953"/>
      <c r="G2158" s="953"/>
      <c r="H2158" s="953"/>
    </row>
    <row r="2159" spans="1:8" x14ac:dyDescent="0.25">
      <c r="A2159" s="952"/>
      <c r="B2159" s="953"/>
      <c r="C2159" s="953"/>
      <c r="D2159" s="953"/>
      <c r="E2159" s="953"/>
      <c r="F2159" s="953"/>
      <c r="G2159" s="953"/>
      <c r="H2159" s="953"/>
    </row>
    <row r="2160" spans="1:8" x14ac:dyDescent="0.25">
      <c r="A2160" s="952"/>
      <c r="B2160" s="953"/>
      <c r="C2160" s="953"/>
      <c r="D2160" s="953"/>
      <c r="E2160" s="953"/>
      <c r="F2160" s="953"/>
      <c r="G2160" s="953"/>
      <c r="H2160" s="953"/>
    </row>
    <row r="2161" spans="1:8" x14ac:dyDescent="0.25">
      <c r="A2161" s="952"/>
      <c r="B2161" s="953"/>
      <c r="C2161" s="953"/>
      <c r="D2161" s="953"/>
      <c r="E2161" s="953"/>
      <c r="F2161" s="953"/>
      <c r="G2161" s="953"/>
      <c r="H2161" s="953"/>
    </row>
    <row r="2162" spans="1:8" x14ac:dyDescent="0.25">
      <c r="A2162" s="952"/>
      <c r="B2162" s="953"/>
      <c r="C2162" s="953"/>
      <c r="D2162" s="953"/>
      <c r="E2162" s="953"/>
      <c r="F2162" s="953"/>
      <c r="G2162" s="953"/>
      <c r="H2162" s="953"/>
    </row>
    <row r="2163" spans="1:8" x14ac:dyDescent="0.25">
      <c r="A2163" s="952"/>
      <c r="B2163" s="953"/>
      <c r="C2163" s="953"/>
      <c r="D2163" s="953"/>
      <c r="E2163" s="953"/>
      <c r="F2163" s="953"/>
      <c r="G2163" s="953"/>
      <c r="H2163" s="953"/>
    </row>
    <row r="2164" spans="1:8" x14ac:dyDescent="0.25">
      <c r="A2164" s="952"/>
      <c r="B2164" s="953"/>
      <c r="C2164" s="953"/>
      <c r="D2164" s="953"/>
      <c r="E2164" s="953"/>
      <c r="F2164" s="953"/>
      <c r="G2164" s="953"/>
      <c r="H2164" s="953"/>
    </row>
    <row r="2165" spans="1:8" x14ac:dyDescent="0.25">
      <c r="A2165" s="952"/>
      <c r="B2165" s="953"/>
      <c r="C2165" s="953"/>
      <c r="D2165" s="953"/>
      <c r="E2165" s="953"/>
      <c r="F2165" s="953"/>
      <c r="G2165" s="953"/>
      <c r="H2165" s="953"/>
    </row>
    <row r="2166" spans="1:8" x14ac:dyDescent="0.25">
      <c r="A2166" s="952"/>
      <c r="B2166" s="953"/>
      <c r="C2166" s="953"/>
      <c r="D2166" s="953"/>
      <c r="E2166" s="953"/>
      <c r="F2166" s="953"/>
      <c r="G2166" s="953"/>
      <c r="H2166" s="953"/>
    </row>
    <row r="2167" spans="1:8" x14ac:dyDescent="0.25">
      <c r="A2167" s="952"/>
      <c r="B2167" s="953"/>
      <c r="C2167" s="953"/>
      <c r="D2167" s="953"/>
      <c r="E2167" s="953"/>
      <c r="F2167" s="953"/>
      <c r="G2167" s="953"/>
      <c r="H2167" s="953"/>
    </row>
    <row r="2168" spans="1:8" x14ac:dyDescent="0.25">
      <c r="A2168" s="952"/>
      <c r="B2168" s="953"/>
      <c r="C2168" s="953"/>
      <c r="D2168" s="953"/>
      <c r="E2168" s="953"/>
      <c r="F2168" s="953"/>
      <c r="G2168" s="953"/>
      <c r="H2168" s="953"/>
    </row>
    <row r="2169" spans="1:8" x14ac:dyDescent="0.25">
      <c r="A2169" s="952"/>
      <c r="B2169" s="953"/>
      <c r="C2169" s="953"/>
      <c r="D2169" s="953"/>
      <c r="E2169" s="953"/>
      <c r="F2169" s="953"/>
      <c r="G2169" s="953"/>
      <c r="H2169" s="953"/>
    </row>
    <row r="2170" spans="1:8" x14ac:dyDescent="0.25">
      <c r="A2170" s="952"/>
      <c r="B2170" s="953"/>
      <c r="C2170" s="953"/>
      <c r="D2170" s="953"/>
      <c r="E2170" s="953"/>
      <c r="F2170" s="953"/>
      <c r="G2170" s="953"/>
      <c r="H2170" s="953"/>
    </row>
    <row r="2171" spans="1:8" x14ac:dyDescent="0.25">
      <c r="A2171" s="952"/>
      <c r="B2171" s="953"/>
      <c r="C2171" s="953"/>
      <c r="D2171" s="953"/>
      <c r="E2171" s="953"/>
      <c r="F2171" s="953"/>
      <c r="G2171" s="953"/>
      <c r="H2171" s="953"/>
    </row>
    <row r="2172" spans="1:8" x14ac:dyDescent="0.25">
      <c r="A2172" s="952"/>
      <c r="B2172" s="953"/>
      <c r="C2172" s="953"/>
      <c r="D2172" s="953"/>
      <c r="E2172" s="953"/>
      <c r="F2172" s="953"/>
      <c r="G2172" s="953"/>
      <c r="H2172" s="953"/>
    </row>
    <row r="2173" spans="1:8" x14ac:dyDescent="0.25">
      <c r="A2173" s="952"/>
      <c r="B2173" s="953"/>
      <c r="C2173" s="953"/>
      <c r="D2173" s="953"/>
      <c r="E2173" s="953"/>
      <c r="F2173" s="953"/>
      <c r="G2173" s="953"/>
      <c r="H2173" s="953"/>
    </row>
    <row r="2174" spans="1:8" x14ac:dyDescent="0.25">
      <c r="A2174" s="952"/>
      <c r="B2174" s="953"/>
      <c r="C2174" s="953"/>
      <c r="D2174" s="953"/>
      <c r="E2174" s="953"/>
      <c r="F2174" s="953"/>
      <c r="G2174" s="953"/>
      <c r="H2174" s="953"/>
    </row>
    <row r="2175" spans="1:8" x14ac:dyDescent="0.25">
      <c r="A2175" s="952"/>
      <c r="B2175" s="953"/>
      <c r="C2175" s="953"/>
      <c r="D2175" s="953"/>
      <c r="E2175" s="953"/>
      <c r="F2175" s="953"/>
      <c r="G2175" s="953"/>
      <c r="H2175" s="953"/>
    </row>
    <row r="2176" spans="1:8" x14ac:dyDescent="0.25">
      <c r="A2176" s="952"/>
      <c r="B2176" s="953"/>
      <c r="C2176" s="953"/>
      <c r="D2176" s="953"/>
      <c r="E2176" s="953"/>
      <c r="F2176" s="953"/>
      <c r="G2176" s="953"/>
      <c r="H2176" s="953"/>
    </row>
    <row r="2177" spans="1:8" x14ac:dyDescent="0.25">
      <c r="A2177" s="952"/>
      <c r="B2177" s="953"/>
      <c r="C2177" s="953"/>
      <c r="D2177" s="953"/>
      <c r="E2177" s="953"/>
      <c r="F2177" s="953"/>
      <c r="G2177" s="953"/>
      <c r="H2177" s="953"/>
    </row>
    <row r="2178" spans="1:8" x14ac:dyDescent="0.25">
      <c r="A2178" s="952"/>
      <c r="B2178" s="953"/>
      <c r="C2178" s="953"/>
      <c r="D2178" s="953"/>
      <c r="E2178" s="953"/>
      <c r="F2178" s="953"/>
      <c r="G2178" s="953"/>
      <c r="H2178" s="953"/>
    </row>
    <row r="2179" spans="1:8" x14ac:dyDescent="0.25">
      <c r="A2179" s="952"/>
      <c r="B2179" s="953"/>
      <c r="C2179" s="953"/>
      <c r="D2179" s="953"/>
      <c r="E2179" s="953"/>
      <c r="F2179" s="953"/>
      <c r="G2179" s="953"/>
      <c r="H2179" s="953"/>
    </row>
    <row r="2180" spans="1:8" x14ac:dyDescent="0.25">
      <c r="A2180" s="952"/>
      <c r="B2180" s="953"/>
      <c r="C2180" s="953"/>
      <c r="D2180" s="953"/>
      <c r="E2180" s="953"/>
      <c r="F2180" s="953"/>
      <c r="G2180" s="953"/>
      <c r="H2180" s="953"/>
    </row>
    <row r="2181" spans="1:8" x14ac:dyDescent="0.25">
      <c r="A2181" s="952"/>
      <c r="B2181" s="953"/>
      <c r="C2181" s="953"/>
      <c r="D2181" s="953"/>
      <c r="E2181" s="953"/>
      <c r="F2181" s="953"/>
      <c r="G2181" s="953"/>
      <c r="H2181" s="953"/>
    </row>
    <row r="2182" spans="1:8" x14ac:dyDescent="0.25">
      <c r="A2182" s="952"/>
      <c r="B2182" s="953"/>
      <c r="C2182" s="953"/>
      <c r="D2182" s="953"/>
      <c r="E2182" s="953"/>
      <c r="F2182" s="953"/>
      <c r="G2182" s="953"/>
      <c r="H2182" s="953"/>
    </row>
    <row r="2183" spans="1:8" x14ac:dyDescent="0.25">
      <c r="A2183" s="952"/>
      <c r="B2183" s="953"/>
      <c r="C2183" s="953"/>
      <c r="D2183" s="953"/>
      <c r="E2183" s="953"/>
      <c r="F2183" s="953"/>
      <c r="G2183" s="953"/>
      <c r="H2183" s="953"/>
    </row>
    <row r="2184" spans="1:8" x14ac:dyDescent="0.25">
      <c r="A2184" s="952"/>
      <c r="B2184" s="953"/>
      <c r="C2184" s="953"/>
      <c r="D2184" s="953"/>
      <c r="E2184" s="953"/>
      <c r="F2184" s="953"/>
      <c r="G2184" s="953"/>
      <c r="H2184" s="953"/>
    </row>
    <row r="2185" spans="1:8" x14ac:dyDescent="0.25">
      <c r="A2185" s="952"/>
      <c r="B2185" s="953"/>
      <c r="C2185" s="953"/>
      <c r="D2185" s="953"/>
      <c r="E2185" s="953"/>
      <c r="F2185" s="953"/>
      <c r="G2185" s="953"/>
      <c r="H2185" s="953"/>
    </row>
    <row r="2186" spans="1:8" x14ac:dyDescent="0.25">
      <c r="A2186" s="952"/>
      <c r="B2186" s="953"/>
      <c r="C2186" s="953"/>
      <c r="D2186" s="953"/>
      <c r="E2186" s="953"/>
      <c r="F2186" s="953"/>
      <c r="G2186" s="953"/>
      <c r="H2186" s="953"/>
    </row>
    <row r="2187" spans="1:8" x14ac:dyDescent="0.25">
      <c r="A2187" s="952"/>
      <c r="B2187" s="953"/>
      <c r="C2187" s="953"/>
      <c r="D2187" s="953"/>
      <c r="E2187" s="953"/>
      <c r="F2187" s="953"/>
      <c r="G2187" s="953"/>
      <c r="H2187" s="953"/>
    </row>
    <row r="2188" spans="1:8" x14ac:dyDescent="0.25">
      <c r="A2188" s="952"/>
      <c r="B2188" s="953"/>
      <c r="C2188" s="953"/>
      <c r="D2188" s="953"/>
      <c r="E2188" s="953"/>
      <c r="F2188" s="953"/>
      <c r="G2188" s="953"/>
      <c r="H2188" s="953"/>
    </row>
    <row r="2189" spans="1:8" x14ac:dyDescent="0.25">
      <c r="A2189" s="952"/>
      <c r="B2189" s="953"/>
      <c r="C2189" s="953"/>
      <c r="D2189" s="953"/>
      <c r="E2189" s="953"/>
      <c r="F2189" s="953"/>
      <c r="G2189" s="953"/>
      <c r="H2189" s="953"/>
    </row>
    <row r="2190" spans="1:8" x14ac:dyDescent="0.25">
      <c r="A2190" s="952"/>
      <c r="B2190" s="953"/>
      <c r="C2190" s="953"/>
      <c r="D2190" s="953"/>
      <c r="E2190" s="953"/>
      <c r="F2190" s="953"/>
      <c r="G2190" s="953"/>
      <c r="H2190" s="953"/>
    </row>
    <row r="2191" spans="1:8" x14ac:dyDescent="0.25">
      <c r="A2191" s="952"/>
      <c r="B2191" s="953"/>
      <c r="C2191" s="953"/>
      <c r="D2191" s="953"/>
      <c r="E2191" s="953"/>
      <c r="F2191" s="953"/>
      <c r="G2191" s="953"/>
      <c r="H2191" s="953"/>
    </row>
    <row r="2192" spans="1:8" x14ac:dyDescent="0.25">
      <c r="A2192" s="952"/>
      <c r="B2192" s="953"/>
      <c r="C2192" s="953"/>
      <c r="D2192" s="953"/>
      <c r="E2192" s="953"/>
      <c r="F2192" s="953"/>
      <c r="G2192" s="953"/>
      <c r="H2192" s="953"/>
    </row>
    <row r="2193" spans="1:8" x14ac:dyDescent="0.25">
      <c r="A2193" s="952"/>
      <c r="B2193" s="953"/>
      <c r="C2193" s="953"/>
      <c r="D2193" s="953"/>
      <c r="E2193" s="953"/>
      <c r="F2193" s="953"/>
      <c r="G2193" s="953"/>
      <c r="H2193" s="953"/>
    </row>
    <row r="2194" spans="1:8" x14ac:dyDescent="0.25">
      <c r="A2194" s="952"/>
      <c r="B2194" s="953"/>
      <c r="C2194" s="953"/>
      <c r="D2194" s="953"/>
      <c r="E2194" s="953"/>
      <c r="F2194" s="953"/>
      <c r="G2194" s="953"/>
      <c r="H2194" s="953"/>
    </row>
    <row r="2195" spans="1:8" x14ac:dyDescent="0.25">
      <c r="A2195" s="952"/>
      <c r="B2195" s="953"/>
      <c r="C2195" s="953"/>
      <c r="D2195" s="953"/>
      <c r="E2195" s="953"/>
      <c r="F2195" s="953"/>
      <c r="G2195" s="953"/>
      <c r="H2195" s="953"/>
    </row>
    <row r="2196" spans="1:8" x14ac:dyDescent="0.25">
      <c r="A2196" s="952"/>
      <c r="B2196" s="953"/>
      <c r="C2196" s="953"/>
      <c r="D2196" s="953"/>
      <c r="E2196" s="953"/>
      <c r="F2196" s="953"/>
      <c r="G2196" s="953"/>
      <c r="H2196" s="953"/>
    </row>
    <row r="2197" spans="1:8" x14ac:dyDescent="0.25">
      <c r="A2197" s="952"/>
      <c r="B2197" s="953"/>
      <c r="C2197" s="953"/>
      <c r="D2197" s="953"/>
      <c r="E2197" s="953"/>
      <c r="F2197" s="953"/>
      <c r="G2197" s="953"/>
      <c r="H2197" s="953"/>
    </row>
    <row r="2198" spans="1:8" x14ac:dyDescent="0.25">
      <c r="A2198" s="952"/>
      <c r="B2198" s="953"/>
      <c r="C2198" s="953"/>
      <c r="D2198" s="953"/>
      <c r="E2198" s="953"/>
      <c r="F2198" s="953"/>
      <c r="G2198" s="953"/>
      <c r="H2198" s="953"/>
    </row>
    <row r="2199" spans="1:8" x14ac:dyDescent="0.25">
      <c r="A2199" s="952"/>
      <c r="B2199" s="953"/>
      <c r="C2199" s="953"/>
      <c r="D2199" s="953"/>
      <c r="E2199" s="953"/>
      <c r="F2199" s="953"/>
      <c r="G2199" s="953"/>
      <c r="H2199" s="953"/>
    </row>
    <row r="2200" spans="1:8" x14ac:dyDescent="0.25">
      <c r="A2200" s="952"/>
      <c r="B2200" s="953"/>
      <c r="C2200" s="953"/>
      <c r="D2200" s="953"/>
      <c r="E2200" s="953"/>
      <c r="F2200" s="953"/>
      <c r="G2200" s="953"/>
      <c r="H2200" s="953"/>
    </row>
    <row r="2201" spans="1:8" x14ac:dyDescent="0.25">
      <c r="A2201" s="952"/>
      <c r="B2201" s="953"/>
      <c r="C2201" s="953"/>
      <c r="D2201" s="953"/>
      <c r="E2201" s="953"/>
      <c r="F2201" s="953"/>
      <c r="G2201" s="953"/>
      <c r="H2201" s="953"/>
    </row>
    <row r="2202" spans="1:8" x14ac:dyDescent="0.25">
      <c r="A2202" s="952"/>
      <c r="B2202" s="953"/>
      <c r="C2202" s="953"/>
      <c r="D2202" s="953"/>
      <c r="E2202" s="953"/>
      <c r="F2202" s="953"/>
      <c r="G2202" s="953"/>
      <c r="H2202" s="953"/>
    </row>
    <row r="2203" spans="1:8" x14ac:dyDescent="0.25">
      <c r="A2203" s="952"/>
      <c r="B2203" s="953"/>
      <c r="C2203" s="953"/>
      <c r="D2203" s="953"/>
      <c r="E2203" s="953"/>
      <c r="F2203" s="953"/>
      <c r="G2203" s="953"/>
      <c r="H2203" s="953"/>
    </row>
    <row r="2204" spans="1:8" x14ac:dyDescent="0.25">
      <c r="A2204" s="952"/>
      <c r="B2204" s="953"/>
      <c r="C2204" s="953"/>
      <c r="D2204" s="953"/>
      <c r="E2204" s="953"/>
      <c r="F2204" s="953"/>
      <c r="G2204" s="953"/>
      <c r="H2204" s="953"/>
    </row>
    <row r="2205" spans="1:8" x14ac:dyDescent="0.25">
      <c r="A2205" s="952"/>
      <c r="B2205" s="953"/>
      <c r="C2205" s="953"/>
      <c r="D2205" s="953"/>
      <c r="E2205" s="953"/>
      <c r="F2205" s="953"/>
      <c r="G2205" s="953"/>
      <c r="H2205" s="953"/>
    </row>
    <row r="2206" spans="1:8" x14ac:dyDescent="0.25">
      <c r="A2206" s="952"/>
      <c r="B2206" s="953"/>
      <c r="C2206" s="953"/>
      <c r="D2206" s="953"/>
      <c r="E2206" s="953"/>
      <c r="F2206" s="953"/>
      <c r="G2206" s="953"/>
      <c r="H2206" s="953"/>
    </row>
    <row r="2207" spans="1:8" x14ac:dyDescent="0.25">
      <c r="A2207" s="952"/>
      <c r="B2207" s="953"/>
      <c r="C2207" s="953"/>
      <c r="D2207" s="953"/>
      <c r="E2207" s="953"/>
      <c r="F2207" s="953"/>
      <c r="G2207" s="953"/>
      <c r="H2207" s="953"/>
    </row>
    <row r="2208" spans="1:8" x14ac:dyDescent="0.25">
      <c r="A2208" s="952"/>
      <c r="B2208" s="953"/>
      <c r="C2208" s="953"/>
      <c r="D2208" s="953"/>
      <c r="E2208" s="953"/>
      <c r="F2208" s="953"/>
      <c r="G2208" s="953"/>
      <c r="H2208" s="953"/>
    </row>
    <row r="2209" spans="1:8" x14ac:dyDescent="0.25">
      <c r="A2209" s="952"/>
      <c r="B2209" s="953"/>
      <c r="C2209" s="953"/>
      <c r="D2209" s="953"/>
      <c r="E2209" s="953"/>
      <c r="F2209" s="953"/>
      <c r="G2209" s="953"/>
      <c r="H2209" s="953"/>
    </row>
    <row r="2210" spans="1:8" x14ac:dyDescent="0.25">
      <c r="A2210" s="952"/>
      <c r="B2210" s="953"/>
      <c r="C2210" s="953"/>
      <c r="D2210" s="953"/>
      <c r="E2210" s="953"/>
      <c r="F2210" s="953"/>
      <c r="G2210" s="953"/>
      <c r="H2210" s="953"/>
    </row>
    <row r="2211" spans="1:8" x14ac:dyDescent="0.25">
      <c r="A2211" s="952"/>
      <c r="B2211" s="953"/>
      <c r="C2211" s="953"/>
      <c r="D2211" s="953"/>
      <c r="E2211" s="953"/>
      <c r="F2211" s="953"/>
      <c r="G2211" s="953"/>
      <c r="H2211" s="953"/>
    </row>
    <row r="2212" spans="1:8" x14ac:dyDescent="0.25">
      <c r="A2212" s="952"/>
      <c r="B2212" s="953"/>
      <c r="C2212" s="953"/>
      <c r="D2212" s="953"/>
      <c r="E2212" s="953"/>
      <c r="F2212" s="953"/>
      <c r="G2212" s="953"/>
      <c r="H2212" s="953"/>
    </row>
    <row r="2213" spans="1:8" x14ac:dyDescent="0.25">
      <c r="A2213" s="952"/>
      <c r="B2213" s="953"/>
      <c r="C2213" s="953"/>
      <c r="D2213" s="953"/>
      <c r="E2213" s="953"/>
      <c r="F2213" s="953"/>
      <c r="G2213" s="953"/>
      <c r="H2213" s="953"/>
    </row>
    <row r="2214" spans="1:8" x14ac:dyDescent="0.25">
      <c r="A2214" s="952"/>
      <c r="B2214" s="953"/>
      <c r="C2214" s="953"/>
      <c r="D2214" s="953"/>
      <c r="E2214" s="953"/>
      <c r="F2214" s="953"/>
      <c r="G2214" s="953"/>
      <c r="H2214" s="953"/>
    </row>
    <row r="2215" spans="1:8" x14ac:dyDescent="0.25">
      <c r="A2215" s="952"/>
      <c r="B2215" s="953"/>
      <c r="C2215" s="953"/>
      <c r="D2215" s="953"/>
      <c r="E2215" s="953"/>
      <c r="F2215" s="953"/>
      <c r="G2215" s="953"/>
      <c r="H2215" s="953"/>
    </row>
    <row r="2216" spans="1:8" x14ac:dyDescent="0.25">
      <c r="A2216" s="952"/>
      <c r="B2216" s="953"/>
      <c r="C2216" s="953"/>
      <c r="D2216" s="953"/>
      <c r="E2216" s="953"/>
      <c r="F2216" s="953"/>
      <c r="G2216" s="953"/>
      <c r="H2216" s="953"/>
    </row>
    <row r="2217" spans="1:8" x14ac:dyDescent="0.25">
      <c r="A2217" s="952"/>
      <c r="B2217" s="953"/>
      <c r="C2217" s="953"/>
      <c r="D2217" s="953"/>
      <c r="E2217" s="953"/>
      <c r="F2217" s="953"/>
      <c r="G2217" s="953"/>
      <c r="H2217" s="953"/>
    </row>
    <row r="2218" spans="1:8" x14ac:dyDescent="0.25">
      <c r="A2218" s="952"/>
      <c r="B2218" s="953"/>
      <c r="C2218" s="953"/>
      <c r="D2218" s="953"/>
      <c r="E2218" s="953"/>
      <c r="F2218" s="953"/>
      <c r="G2218" s="953"/>
      <c r="H2218" s="953"/>
    </row>
    <row r="2219" spans="1:8" x14ac:dyDescent="0.25">
      <c r="A2219" s="952"/>
      <c r="B2219" s="953"/>
      <c r="C2219" s="953"/>
      <c r="D2219" s="953"/>
      <c r="E2219" s="953"/>
      <c r="F2219" s="953"/>
      <c r="G2219" s="953"/>
      <c r="H2219" s="953"/>
    </row>
    <row r="2220" spans="1:8" x14ac:dyDescent="0.25">
      <c r="A2220" s="952"/>
      <c r="B2220" s="953"/>
      <c r="C2220" s="953"/>
      <c r="D2220" s="953"/>
      <c r="E2220" s="953"/>
      <c r="F2220" s="953"/>
      <c r="G2220" s="953"/>
      <c r="H2220" s="953"/>
    </row>
    <row r="2221" spans="1:8" x14ac:dyDescent="0.25">
      <c r="A2221" s="952"/>
      <c r="B2221" s="953"/>
      <c r="C2221" s="953"/>
      <c r="D2221" s="953"/>
      <c r="E2221" s="953"/>
      <c r="F2221" s="953"/>
      <c r="G2221" s="953"/>
      <c r="H2221" s="953"/>
    </row>
    <row r="2222" spans="1:8" x14ac:dyDescent="0.25">
      <c r="A2222" s="952"/>
      <c r="B2222" s="953"/>
      <c r="C2222" s="953"/>
      <c r="D2222" s="953"/>
      <c r="E2222" s="953"/>
      <c r="F2222" s="953"/>
      <c r="G2222" s="953"/>
      <c r="H2222" s="953"/>
    </row>
    <row r="2223" spans="1:8" x14ac:dyDescent="0.25">
      <c r="A2223" s="952"/>
      <c r="B2223" s="953"/>
      <c r="C2223" s="953"/>
      <c r="D2223" s="953"/>
      <c r="E2223" s="953"/>
      <c r="F2223" s="953"/>
      <c r="G2223" s="953"/>
      <c r="H2223" s="953"/>
    </row>
    <row r="2224" spans="1:8" x14ac:dyDescent="0.25">
      <c r="A2224" s="952"/>
      <c r="B2224" s="953"/>
      <c r="C2224" s="953"/>
      <c r="D2224" s="953"/>
      <c r="E2224" s="953"/>
      <c r="F2224" s="953"/>
      <c r="G2224" s="953"/>
      <c r="H2224" s="953"/>
    </row>
    <row r="2225" spans="1:8" x14ac:dyDescent="0.25">
      <c r="A2225" s="952"/>
      <c r="B2225" s="953"/>
      <c r="C2225" s="953"/>
      <c r="D2225" s="953"/>
      <c r="E2225" s="953"/>
      <c r="F2225" s="953"/>
      <c r="G2225" s="953"/>
      <c r="H2225" s="953"/>
    </row>
    <row r="2226" spans="1:8" x14ac:dyDescent="0.25">
      <c r="A2226" s="952"/>
      <c r="B2226" s="953"/>
      <c r="C2226" s="953"/>
      <c r="D2226" s="953"/>
      <c r="E2226" s="953"/>
      <c r="F2226" s="953"/>
      <c r="G2226" s="953"/>
      <c r="H2226" s="953"/>
    </row>
    <row r="2227" spans="1:8" x14ac:dyDescent="0.25">
      <c r="A2227" s="952"/>
      <c r="B2227" s="953"/>
      <c r="C2227" s="953"/>
      <c r="D2227" s="953"/>
      <c r="E2227" s="953"/>
      <c r="F2227" s="953"/>
      <c r="G2227" s="953"/>
      <c r="H2227" s="953"/>
    </row>
    <row r="2228" spans="1:8" x14ac:dyDescent="0.25">
      <c r="A2228" s="952"/>
      <c r="B2228" s="953"/>
      <c r="C2228" s="953"/>
      <c r="D2228" s="953"/>
      <c r="E2228" s="953"/>
      <c r="F2228" s="953"/>
      <c r="G2228" s="953"/>
      <c r="H2228" s="953"/>
    </row>
    <row r="2229" spans="1:8" x14ac:dyDescent="0.25">
      <c r="A2229" s="952"/>
      <c r="B2229" s="953"/>
      <c r="C2229" s="953"/>
      <c r="D2229" s="953"/>
      <c r="E2229" s="953"/>
      <c r="F2229" s="953"/>
      <c r="G2229" s="953"/>
      <c r="H2229" s="953"/>
    </row>
    <row r="2230" spans="1:8" x14ac:dyDescent="0.25">
      <c r="A2230" s="952"/>
      <c r="B2230" s="953"/>
      <c r="C2230" s="953"/>
      <c r="D2230" s="953"/>
      <c r="E2230" s="953"/>
      <c r="F2230" s="953"/>
      <c r="G2230" s="953"/>
      <c r="H2230" s="953"/>
    </row>
    <row r="2231" spans="1:8" x14ac:dyDescent="0.25">
      <c r="A2231" s="952"/>
      <c r="B2231" s="953"/>
      <c r="C2231" s="953"/>
      <c r="D2231" s="953"/>
      <c r="E2231" s="953"/>
      <c r="F2231" s="953"/>
      <c r="G2231" s="953"/>
      <c r="H2231" s="953"/>
    </row>
    <row r="2232" spans="1:8" x14ac:dyDescent="0.25">
      <c r="A2232" s="952"/>
      <c r="B2232" s="953"/>
      <c r="C2232" s="953"/>
      <c r="D2232" s="953"/>
      <c r="E2232" s="953"/>
      <c r="F2232" s="953"/>
      <c r="G2232" s="953"/>
      <c r="H2232" s="953"/>
    </row>
    <row r="2233" spans="1:8" x14ac:dyDescent="0.25">
      <c r="A2233" s="952"/>
      <c r="B2233" s="953"/>
      <c r="C2233" s="953"/>
      <c r="D2233" s="953"/>
      <c r="E2233" s="953"/>
      <c r="F2233" s="953"/>
      <c r="G2233" s="953"/>
      <c r="H2233" s="953"/>
    </row>
    <row r="2234" spans="1:8" x14ac:dyDescent="0.25">
      <c r="A2234" s="952"/>
      <c r="B2234" s="953"/>
      <c r="C2234" s="953"/>
      <c r="D2234" s="953"/>
      <c r="E2234" s="953"/>
      <c r="F2234" s="953"/>
      <c r="G2234" s="953"/>
      <c r="H2234" s="953"/>
    </row>
    <row r="2235" spans="1:8" x14ac:dyDescent="0.25">
      <c r="A2235" s="952"/>
      <c r="B2235" s="953"/>
      <c r="C2235" s="953"/>
      <c r="D2235" s="953"/>
      <c r="E2235" s="953"/>
      <c r="F2235" s="953"/>
      <c r="G2235" s="953"/>
      <c r="H2235" s="953"/>
    </row>
    <row r="2236" spans="1:8" x14ac:dyDescent="0.25">
      <c r="A2236" s="952"/>
      <c r="B2236" s="953"/>
      <c r="C2236" s="953"/>
      <c r="D2236" s="953"/>
      <c r="E2236" s="953"/>
      <c r="F2236" s="953"/>
      <c r="G2236" s="953"/>
      <c r="H2236" s="953"/>
    </row>
    <row r="2237" spans="1:8" x14ac:dyDescent="0.25">
      <c r="A2237" s="952"/>
      <c r="B2237" s="953"/>
      <c r="C2237" s="953"/>
      <c r="D2237" s="953"/>
      <c r="E2237" s="953"/>
      <c r="F2237" s="953"/>
      <c r="G2237" s="953"/>
      <c r="H2237" s="953"/>
    </row>
    <row r="2238" spans="1:8" x14ac:dyDescent="0.25">
      <c r="A2238" s="952"/>
      <c r="B2238" s="953"/>
      <c r="C2238" s="953"/>
      <c r="D2238" s="953"/>
      <c r="E2238" s="953"/>
      <c r="F2238" s="953"/>
      <c r="G2238" s="953"/>
      <c r="H2238" s="953"/>
    </row>
    <row r="2239" spans="1:8" x14ac:dyDescent="0.25">
      <c r="A2239" s="952"/>
      <c r="B2239" s="953"/>
      <c r="C2239" s="953"/>
      <c r="D2239" s="953"/>
      <c r="E2239" s="953"/>
      <c r="F2239" s="953"/>
      <c r="G2239" s="953"/>
      <c r="H2239" s="953"/>
    </row>
    <row r="2240" spans="1:8" x14ac:dyDescent="0.25">
      <c r="A2240" s="952"/>
      <c r="B2240" s="953"/>
      <c r="C2240" s="953"/>
      <c r="D2240" s="953"/>
      <c r="E2240" s="953"/>
      <c r="F2240" s="953"/>
      <c r="G2240" s="953"/>
      <c r="H2240" s="953"/>
    </row>
    <row r="2241" spans="1:8" x14ac:dyDescent="0.25">
      <c r="A2241" s="952"/>
      <c r="B2241" s="953"/>
      <c r="C2241" s="953"/>
      <c r="D2241" s="953"/>
      <c r="E2241" s="953"/>
      <c r="F2241" s="953"/>
      <c r="G2241" s="953"/>
      <c r="H2241" s="953"/>
    </row>
    <row r="2242" spans="1:8" x14ac:dyDescent="0.25">
      <c r="A2242" s="952"/>
      <c r="B2242" s="953"/>
      <c r="C2242" s="953"/>
      <c r="D2242" s="953"/>
      <c r="E2242" s="953"/>
      <c r="F2242" s="953"/>
      <c r="G2242" s="953"/>
      <c r="H2242" s="953"/>
    </row>
    <row r="2243" spans="1:8" x14ac:dyDescent="0.25">
      <c r="A2243" s="952"/>
      <c r="B2243" s="953"/>
      <c r="C2243" s="953"/>
      <c r="D2243" s="953"/>
      <c r="E2243" s="953"/>
      <c r="F2243" s="953"/>
      <c r="G2243" s="953"/>
      <c r="H2243" s="953"/>
    </row>
    <row r="2244" spans="1:8" x14ac:dyDescent="0.25">
      <c r="A2244" s="952"/>
      <c r="B2244" s="953"/>
      <c r="C2244" s="953"/>
      <c r="D2244" s="953"/>
      <c r="E2244" s="953"/>
      <c r="F2244" s="953"/>
      <c r="G2244" s="953"/>
      <c r="H2244" s="953"/>
    </row>
    <row r="2245" spans="1:8" x14ac:dyDescent="0.25">
      <c r="A2245" s="952"/>
      <c r="B2245" s="953"/>
      <c r="C2245" s="953"/>
      <c r="D2245" s="953"/>
      <c r="E2245" s="953"/>
      <c r="F2245" s="953"/>
      <c r="G2245" s="953"/>
      <c r="H2245" s="953"/>
    </row>
    <row r="2246" spans="1:8" x14ac:dyDescent="0.25">
      <c r="A2246" s="952"/>
      <c r="B2246" s="953"/>
      <c r="C2246" s="953"/>
      <c r="D2246" s="953"/>
      <c r="E2246" s="953"/>
      <c r="F2246" s="953"/>
      <c r="G2246" s="953"/>
      <c r="H2246" s="953"/>
    </row>
    <row r="2247" spans="1:8" x14ac:dyDescent="0.25">
      <c r="A2247" s="952"/>
      <c r="B2247" s="953"/>
      <c r="C2247" s="953"/>
      <c r="D2247" s="953"/>
      <c r="E2247" s="953"/>
      <c r="F2247" s="953"/>
      <c r="G2247" s="953"/>
      <c r="H2247" s="953"/>
    </row>
    <row r="2248" spans="1:8" x14ac:dyDescent="0.25">
      <c r="A2248" s="952"/>
      <c r="B2248" s="953"/>
      <c r="C2248" s="953"/>
      <c r="D2248" s="953"/>
      <c r="E2248" s="953"/>
      <c r="F2248" s="953"/>
      <c r="G2248" s="953"/>
      <c r="H2248" s="953"/>
    </row>
    <row r="2249" spans="1:8" x14ac:dyDescent="0.25">
      <c r="A2249" s="952"/>
      <c r="B2249" s="953"/>
      <c r="C2249" s="953"/>
      <c r="D2249" s="953"/>
      <c r="E2249" s="953"/>
      <c r="F2249" s="953"/>
      <c r="G2249" s="953"/>
      <c r="H2249" s="953"/>
    </row>
    <row r="2250" spans="1:8" x14ac:dyDescent="0.25">
      <c r="A2250" s="952"/>
      <c r="B2250" s="953"/>
      <c r="C2250" s="953"/>
      <c r="D2250" s="953"/>
      <c r="E2250" s="953"/>
      <c r="F2250" s="953"/>
      <c r="G2250" s="953"/>
      <c r="H2250" s="953"/>
    </row>
    <row r="2251" spans="1:8" x14ac:dyDescent="0.25">
      <c r="A2251" s="952"/>
      <c r="B2251" s="953"/>
      <c r="C2251" s="953"/>
      <c r="D2251" s="953"/>
      <c r="E2251" s="953"/>
      <c r="F2251" s="953"/>
      <c r="G2251" s="953"/>
      <c r="H2251" s="953"/>
    </row>
    <row r="2252" spans="1:8" x14ac:dyDescent="0.25">
      <c r="A2252" s="952"/>
      <c r="B2252" s="953"/>
      <c r="C2252" s="953"/>
      <c r="D2252" s="953"/>
      <c r="E2252" s="953"/>
      <c r="F2252" s="953"/>
      <c r="G2252" s="953"/>
      <c r="H2252" s="953"/>
    </row>
    <row r="2253" spans="1:8" x14ac:dyDescent="0.25">
      <c r="A2253" s="952"/>
      <c r="B2253" s="953"/>
      <c r="C2253" s="953"/>
      <c r="D2253" s="953"/>
      <c r="E2253" s="953"/>
      <c r="F2253" s="953"/>
      <c r="G2253" s="953"/>
      <c r="H2253" s="953"/>
    </row>
    <row r="2254" spans="1:8" x14ac:dyDescent="0.25">
      <c r="A2254" s="952"/>
      <c r="B2254" s="953"/>
      <c r="C2254" s="953"/>
      <c r="D2254" s="953"/>
      <c r="E2254" s="953"/>
      <c r="F2254" s="953"/>
      <c r="G2254" s="953"/>
      <c r="H2254" s="953"/>
    </row>
    <row r="2255" spans="1:8" x14ac:dyDescent="0.25">
      <c r="A2255" s="952"/>
      <c r="B2255" s="953"/>
      <c r="C2255" s="953"/>
      <c r="D2255" s="953"/>
      <c r="E2255" s="953"/>
      <c r="F2255" s="953"/>
      <c r="G2255" s="953"/>
      <c r="H2255" s="953"/>
    </row>
    <row r="2256" spans="1:8" x14ac:dyDescent="0.25">
      <c r="A2256" s="952"/>
      <c r="B2256" s="953"/>
      <c r="C2256" s="953"/>
      <c r="D2256" s="953"/>
      <c r="E2256" s="953"/>
      <c r="F2256" s="953"/>
      <c r="G2256" s="953"/>
      <c r="H2256" s="953"/>
    </row>
    <row r="2257" spans="1:8" x14ac:dyDescent="0.25">
      <c r="A2257" s="952"/>
      <c r="B2257" s="953"/>
      <c r="C2257" s="953"/>
      <c r="D2257" s="953"/>
      <c r="E2257" s="953"/>
      <c r="F2257" s="953"/>
      <c r="G2257" s="953"/>
      <c r="H2257" s="953"/>
    </row>
    <row r="2258" spans="1:8" x14ac:dyDescent="0.25">
      <c r="A2258" s="952"/>
      <c r="B2258" s="953"/>
      <c r="C2258" s="953"/>
      <c r="D2258" s="953"/>
      <c r="E2258" s="953"/>
      <c r="F2258" s="953"/>
      <c r="G2258" s="953"/>
      <c r="H2258" s="953"/>
    </row>
    <row r="2259" spans="1:8" x14ac:dyDescent="0.25">
      <c r="A2259" s="952"/>
      <c r="B2259" s="953"/>
      <c r="C2259" s="953"/>
      <c r="D2259" s="953"/>
      <c r="E2259" s="953"/>
      <c r="F2259" s="953"/>
      <c r="G2259" s="953"/>
      <c r="H2259" s="953"/>
    </row>
    <row r="2260" spans="1:8" x14ac:dyDescent="0.25">
      <c r="A2260" s="952"/>
      <c r="B2260" s="953"/>
      <c r="C2260" s="953"/>
      <c r="D2260" s="953"/>
      <c r="E2260" s="953"/>
      <c r="F2260" s="953"/>
      <c r="G2260" s="953"/>
      <c r="H2260" s="953"/>
    </row>
    <row r="2261" spans="1:8" x14ac:dyDescent="0.25">
      <c r="A2261" s="952"/>
      <c r="B2261" s="953"/>
      <c r="C2261" s="953"/>
      <c r="D2261" s="953"/>
      <c r="E2261" s="953"/>
      <c r="F2261" s="953"/>
      <c r="G2261" s="953"/>
      <c r="H2261" s="953"/>
    </row>
    <row r="2262" spans="1:8" x14ac:dyDescent="0.25">
      <c r="A2262" s="952"/>
      <c r="B2262" s="953"/>
      <c r="C2262" s="953"/>
      <c r="D2262" s="953"/>
      <c r="E2262" s="953"/>
      <c r="F2262" s="953"/>
      <c r="G2262" s="953"/>
      <c r="H2262" s="953"/>
    </row>
    <row r="2263" spans="1:8" x14ac:dyDescent="0.25">
      <c r="A2263" s="952"/>
      <c r="B2263" s="953"/>
      <c r="C2263" s="953"/>
      <c r="D2263" s="953"/>
      <c r="E2263" s="953"/>
      <c r="F2263" s="953"/>
      <c r="G2263" s="953"/>
      <c r="H2263" s="953"/>
    </row>
    <row r="2264" spans="1:8" x14ac:dyDescent="0.25">
      <c r="A2264" s="952"/>
      <c r="B2264" s="953"/>
      <c r="C2264" s="953"/>
      <c r="D2264" s="953"/>
      <c r="E2264" s="953"/>
      <c r="F2264" s="953"/>
      <c r="G2264" s="953"/>
      <c r="H2264" s="953"/>
    </row>
    <row r="2265" spans="1:8" x14ac:dyDescent="0.25">
      <c r="A2265" s="952"/>
      <c r="B2265" s="953"/>
      <c r="C2265" s="953"/>
      <c r="D2265" s="953"/>
      <c r="E2265" s="953"/>
      <c r="F2265" s="953"/>
      <c r="G2265" s="953"/>
      <c r="H2265" s="953"/>
    </row>
    <row r="2266" spans="1:8" x14ac:dyDescent="0.25">
      <c r="A2266" s="952"/>
      <c r="B2266" s="953"/>
      <c r="C2266" s="953"/>
      <c r="D2266" s="953"/>
      <c r="E2266" s="953"/>
      <c r="F2266" s="953"/>
      <c r="G2266" s="953"/>
      <c r="H2266" s="953"/>
    </row>
    <row r="2267" spans="1:8" x14ac:dyDescent="0.25">
      <c r="A2267" s="952"/>
      <c r="B2267" s="953"/>
      <c r="C2267" s="953"/>
      <c r="D2267" s="953"/>
      <c r="E2267" s="953"/>
      <c r="F2267" s="953"/>
      <c r="G2267" s="953"/>
      <c r="H2267" s="953"/>
    </row>
    <row r="2268" spans="1:8" x14ac:dyDescent="0.25">
      <c r="A2268" s="952"/>
      <c r="B2268" s="953"/>
      <c r="C2268" s="953"/>
      <c r="D2268" s="953"/>
      <c r="E2268" s="953"/>
      <c r="F2268" s="953"/>
      <c r="G2268" s="953"/>
      <c r="H2268" s="953"/>
    </row>
    <row r="2269" spans="1:8" x14ac:dyDescent="0.25">
      <c r="A2269" s="952"/>
      <c r="B2269" s="953"/>
      <c r="C2269" s="953"/>
      <c r="D2269" s="953"/>
      <c r="E2269" s="953"/>
      <c r="F2269" s="953"/>
      <c r="G2269" s="953"/>
      <c r="H2269" s="953"/>
    </row>
    <row r="2270" spans="1:8" x14ac:dyDescent="0.25">
      <c r="A2270" s="952"/>
      <c r="B2270" s="953"/>
      <c r="C2270" s="953"/>
      <c r="D2270" s="953"/>
      <c r="E2270" s="953"/>
      <c r="F2270" s="953"/>
      <c r="G2270" s="953"/>
      <c r="H2270" s="953"/>
    </row>
    <row r="2271" spans="1:8" x14ac:dyDescent="0.25">
      <c r="A2271" s="952"/>
      <c r="B2271" s="953"/>
      <c r="C2271" s="953"/>
      <c r="D2271" s="953"/>
      <c r="E2271" s="953"/>
      <c r="F2271" s="953"/>
      <c r="G2271" s="953"/>
      <c r="H2271" s="953"/>
    </row>
    <row r="2272" spans="1:8" x14ac:dyDescent="0.25">
      <c r="A2272" s="952"/>
      <c r="B2272" s="953"/>
      <c r="C2272" s="953"/>
      <c r="D2272" s="953"/>
      <c r="E2272" s="953"/>
      <c r="F2272" s="953"/>
      <c r="G2272" s="953"/>
      <c r="H2272" s="953"/>
    </row>
    <row r="2273" spans="1:8" x14ac:dyDescent="0.25">
      <c r="A2273" s="952"/>
      <c r="B2273" s="953"/>
      <c r="C2273" s="953"/>
      <c r="D2273" s="953"/>
      <c r="E2273" s="953"/>
      <c r="F2273" s="953"/>
      <c r="G2273" s="953"/>
      <c r="H2273" s="953"/>
    </row>
    <row r="2274" spans="1:8" x14ac:dyDescent="0.25">
      <c r="A2274" s="952"/>
      <c r="B2274" s="953"/>
      <c r="C2274" s="953"/>
      <c r="D2274" s="953"/>
      <c r="E2274" s="953"/>
      <c r="F2274" s="953"/>
      <c r="G2274" s="953"/>
      <c r="H2274" s="953"/>
    </row>
    <row r="2275" spans="1:8" x14ac:dyDescent="0.25">
      <c r="A2275" s="952"/>
      <c r="B2275" s="953"/>
      <c r="C2275" s="953"/>
      <c r="D2275" s="953"/>
      <c r="E2275" s="953"/>
      <c r="F2275" s="953"/>
      <c r="G2275" s="953"/>
      <c r="H2275" s="953"/>
    </row>
    <row r="2276" spans="1:8" x14ac:dyDescent="0.25">
      <c r="A2276" s="952"/>
      <c r="B2276" s="953"/>
      <c r="C2276" s="953"/>
      <c r="D2276" s="953"/>
      <c r="E2276" s="953"/>
      <c r="F2276" s="953"/>
      <c r="G2276" s="953"/>
      <c r="H2276" s="953"/>
    </row>
    <row r="2277" spans="1:8" x14ac:dyDescent="0.25">
      <c r="A2277" s="952"/>
      <c r="B2277" s="953"/>
      <c r="C2277" s="953"/>
      <c r="D2277" s="953"/>
      <c r="E2277" s="953"/>
      <c r="F2277" s="953"/>
      <c r="G2277" s="953"/>
      <c r="H2277" s="953"/>
    </row>
    <row r="2278" spans="1:8" x14ac:dyDescent="0.25">
      <c r="A2278" s="952"/>
      <c r="B2278" s="953"/>
      <c r="C2278" s="953"/>
      <c r="D2278" s="953"/>
      <c r="E2278" s="953"/>
      <c r="F2278" s="953"/>
      <c r="G2278" s="953"/>
      <c r="H2278" s="953"/>
    </row>
    <row r="2279" spans="1:8" x14ac:dyDescent="0.25">
      <c r="A2279" s="952"/>
      <c r="B2279" s="953"/>
      <c r="C2279" s="953"/>
      <c r="D2279" s="953"/>
      <c r="E2279" s="953"/>
      <c r="F2279" s="953"/>
      <c r="G2279" s="953"/>
      <c r="H2279" s="953"/>
    </row>
    <row r="2280" spans="1:8" x14ac:dyDescent="0.25">
      <c r="A2280" s="952"/>
      <c r="B2280" s="953"/>
      <c r="C2280" s="953"/>
      <c r="D2280" s="953"/>
      <c r="E2280" s="953"/>
      <c r="F2280" s="953"/>
      <c r="G2280" s="953"/>
      <c r="H2280" s="953"/>
    </row>
    <row r="2281" spans="1:8" x14ac:dyDescent="0.25">
      <c r="A2281" s="952"/>
      <c r="B2281" s="953"/>
      <c r="C2281" s="953"/>
      <c r="D2281" s="953"/>
      <c r="E2281" s="953"/>
      <c r="F2281" s="953"/>
      <c r="G2281" s="953"/>
      <c r="H2281" s="953"/>
    </row>
    <row r="2282" spans="1:8" x14ac:dyDescent="0.25">
      <c r="A2282" s="952"/>
      <c r="B2282" s="953"/>
      <c r="C2282" s="953"/>
      <c r="D2282" s="953"/>
      <c r="E2282" s="953"/>
      <c r="F2282" s="953"/>
      <c r="G2282" s="953"/>
      <c r="H2282" s="953"/>
    </row>
    <row r="2283" spans="1:8" x14ac:dyDescent="0.25">
      <c r="A2283" s="952"/>
      <c r="B2283" s="953"/>
      <c r="C2283" s="953"/>
      <c r="D2283" s="953"/>
      <c r="E2283" s="953"/>
      <c r="F2283" s="953"/>
      <c r="G2283" s="953"/>
      <c r="H2283" s="953"/>
    </row>
    <row r="2284" spans="1:8" x14ac:dyDescent="0.25">
      <c r="A2284" s="952"/>
      <c r="B2284" s="953"/>
      <c r="C2284" s="953"/>
      <c r="D2284" s="953"/>
      <c r="E2284" s="953"/>
      <c r="F2284" s="953"/>
      <c r="G2284" s="953"/>
      <c r="H2284" s="953"/>
    </row>
    <row r="2285" spans="1:8" x14ac:dyDescent="0.25">
      <c r="A2285" s="952"/>
      <c r="B2285" s="953"/>
      <c r="C2285" s="953"/>
      <c r="D2285" s="953"/>
      <c r="E2285" s="953"/>
      <c r="F2285" s="953"/>
      <c r="G2285" s="953"/>
      <c r="H2285" s="953"/>
    </row>
    <row r="2286" spans="1:8" x14ac:dyDescent="0.25">
      <c r="A2286" s="952"/>
      <c r="B2286" s="953"/>
      <c r="C2286" s="953"/>
      <c r="D2286" s="953"/>
      <c r="E2286" s="953"/>
      <c r="F2286" s="953"/>
      <c r="G2286" s="953"/>
      <c r="H2286" s="953"/>
    </row>
    <row r="2287" spans="1:8" x14ac:dyDescent="0.25">
      <c r="A2287" s="952"/>
      <c r="B2287" s="953"/>
      <c r="C2287" s="953"/>
      <c r="D2287" s="953"/>
      <c r="E2287" s="953"/>
      <c r="F2287" s="953"/>
      <c r="G2287" s="953"/>
      <c r="H2287" s="953"/>
    </row>
    <row r="2288" spans="1:8" x14ac:dyDescent="0.25">
      <c r="A2288" s="952"/>
      <c r="B2288" s="953"/>
      <c r="C2288" s="953"/>
      <c r="D2288" s="953"/>
      <c r="E2288" s="953"/>
      <c r="F2288" s="953"/>
      <c r="G2288" s="953"/>
      <c r="H2288" s="953"/>
    </row>
    <row r="2289" spans="1:8" x14ac:dyDescent="0.25">
      <c r="A2289" s="952"/>
      <c r="B2289" s="953"/>
      <c r="C2289" s="953"/>
      <c r="D2289" s="953"/>
      <c r="E2289" s="953"/>
      <c r="F2289" s="953"/>
      <c r="G2289" s="953"/>
      <c r="H2289" s="953"/>
    </row>
    <row r="2290" spans="1:8" x14ac:dyDescent="0.25">
      <c r="A2290" s="952"/>
      <c r="B2290" s="953"/>
      <c r="C2290" s="953"/>
      <c r="D2290" s="953"/>
      <c r="E2290" s="953"/>
      <c r="F2290" s="953"/>
      <c r="G2290" s="953"/>
      <c r="H2290" s="953"/>
    </row>
    <row r="2291" spans="1:8" x14ac:dyDescent="0.25">
      <c r="A2291" s="952"/>
      <c r="B2291" s="953"/>
      <c r="C2291" s="953"/>
      <c r="D2291" s="953"/>
      <c r="E2291" s="953"/>
      <c r="F2291" s="953"/>
      <c r="G2291" s="953"/>
      <c r="H2291" s="953"/>
    </row>
    <row r="2292" spans="1:8" x14ac:dyDescent="0.25">
      <c r="A2292" s="952"/>
      <c r="B2292" s="953"/>
      <c r="C2292" s="953"/>
      <c r="D2292" s="953"/>
      <c r="E2292" s="953"/>
      <c r="F2292" s="953"/>
      <c r="G2292" s="953"/>
      <c r="H2292" s="953"/>
    </row>
    <row r="2293" spans="1:8" x14ac:dyDescent="0.25">
      <c r="A2293" s="952"/>
      <c r="B2293" s="953"/>
      <c r="C2293" s="953"/>
      <c r="D2293" s="953"/>
      <c r="E2293" s="953"/>
      <c r="F2293" s="953"/>
      <c r="G2293" s="953"/>
      <c r="H2293" s="953"/>
    </row>
    <row r="2294" spans="1:8" x14ac:dyDescent="0.25">
      <c r="A2294" s="952"/>
      <c r="B2294" s="953"/>
      <c r="C2294" s="953"/>
      <c r="D2294" s="953"/>
      <c r="E2294" s="953"/>
      <c r="F2294" s="953"/>
      <c r="G2294" s="953"/>
      <c r="H2294" s="953"/>
    </row>
    <row r="2295" spans="1:8" x14ac:dyDescent="0.25">
      <c r="A2295" s="952"/>
      <c r="B2295" s="953"/>
      <c r="C2295" s="953"/>
      <c r="D2295" s="953"/>
      <c r="E2295" s="953"/>
      <c r="F2295" s="953"/>
      <c r="G2295" s="953"/>
      <c r="H2295" s="953"/>
    </row>
    <row r="2296" spans="1:8" x14ac:dyDescent="0.25">
      <c r="A2296" s="952"/>
      <c r="B2296" s="953"/>
      <c r="C2296" s="953"/>
      <c r="D2296" s="953"/>
      <c r="E2296" s="953"/>
      <c r="F2296" s="953"/>
      <c r="G2296" s="953"/>
      <c r="H2296" s="953"/>
    </row>
    <row r="2297" spans="1:8" x14ac:dyDescent="0.25">
      <c r="A2297" s="952"/>
      <c r="B2297" s="953"/>
      <c r="C2297" s="953"/>
      <c r="D2297" s="953"/>
      <c r="E2297" s="953"/>
      <c r="F2297" s="953"/>
      <c r="G2297" s="953"/>
      <c r="H2297" s="953"/>
    </row>
    <row r="2298" spans="1:8" x14ac:dyDescent="0.25">
      <c r="A2298" s="952"/>
      <c r="B2298" s="953"/>
      <c r="C2298" s="953"/>
      <c r="D2298" s="953"/>
      <c r="E2298" s="953"/>
      <c r="F2298" s="953"/>
      <c r="G2298" s="953"/>
      <c r="H2298" s="953"/>
    </row>
    <row r="2299" spans="1:8" x14ac:dyDescent="0.25">
      <c r="A2299" s="952"/>
      <c r="B2299" s="953"/>
      <c r="C2299" s="953"/>
      <c r="D2299" s="953"/>
      <c r="E2299" s="953"/>
      <c r="F2299" s="953"/>
      <c r="G2299" s="953"/>
      <c r="H2299" s="953"/>
    </row>
    <row r="2300" spans="1:8" x14ac:dyDescent="0.25">
      <c r="A2300" s="952"/>
      <c r="B2300" s="953"/>
      <c r="C2300" s="953"/>
      <c r="D2300" s="953"/>
      <c r="E2300" s="953"/>
      <c r="F2300" s="953"/>
      <c r="G2300" s="953"/>
      <c r="H2300" s="953"/>
    </row>
    <row r="2301" spans="1:8" x14ac:dyDescent="0.25">
      <c r="A2301" s="952"/>
      <c r="B2301" s="953"/>
      <c r="C2301" s="953"/>
      <c r="D2301" s="953"/>
      <c r="E2301" s="953"/>
      <c r="F2301" s="953"/>
      <c r="G2301" s="953"/>
      <c r="H2301" s="953"/>
    </row>
    <row r="2302" spans="1:8" x14ac:dyDescent="0.25">
      <c r="A2302" s="952"/>
      <c r="B2302" s="953"/>
      <c r="C2302" s="953"/>
      <c r="D2302" s="953"/>
      <c r="E2302" s="953"/>
      <c r="F2302" s="953"/>
      <c r="G2302" s="953"/>
      <c r="H2302" s="953"/>
    </row>
    <row r="2303" spans="1:8" x14ac:dyDescent="0.25">
      <c r="A2303" s="952"/>
      <c r="B2303" s="953"/>
      <c r="C2303" s="953"/>
      <c r="D2303" s="953"/>
      <c r="E2303" s="953"/>
      <c r="F2303" s="953"/>
      <c r="G2303" s="953"/>
      <c r="H2303" s="953"/>
    </row>
    <row r="2304" spans="1:8" x14ac:dyDescent="0.25">
      <c r="A2304" s="952"/>
      <c r="B2304" s="953"/>
      <c r="C2304" s="953"/>
      <c r="D2304" s="953"/>
      <c r="E2304" s="953"/>
      <c r="F2304" s="953"/>
      <c r="G2304" s="953"/>
      <c r="H2304" s="953"/>
    </row>
    <row r="2305" spans="1:8" x14ac:dyDescent="0.25">
      <c r="A2305" s="952"/>
      <c r="B2305" s="953"/>
      <c r="C2305" s="953"/>
      <c r="D2305" s="953"/>
      <c r="E2305" s="953"/>
      <c r="F2305" s="953"/>
      <c r="G2305" s="953"/>
      <c r="H2305" s="953"/>
    </row>
    <row r="2306" spans="1:8" x14ac:dyDescent="0.25">
      <c r="A2306" s="952"/>
      <c r="B2306" s="953"/>
      <c r="C2306" s="953"/>
      <c r="D2306" s="953"/>
      <c r="E2306" s="953"/>
      <c r="F2306" s="953"/>
      <c r="G2306" s="953"/>
      <c r="H2306" s="953"/>
    </row>
    <row r="2307" spans="1:8" x14ac:dyDescent="0.25">
      <c r="A2307" s="952"/>
      <c r="B2307" s="953"/>
      <c r="C2307" s="953"/>
      <c r="D2307" s="953"/>
      <c r="E2307" s="953"/>
      <c r="F2307" s="953"/>
      <c r="G2307" s="953"/>
      <c r="H2307" s="953"/>
    </row>
    <row r="2308" spans="1:8" x14ac:dyDescent="0.25">
      <c r="A2308" s="952"/>
      <c r="B2308" s="953"/>
      <c r="C2308" s="953"/>
      <c r="D2308" s="953"/>
      <c r="E2308" s="953"/>
      <c r="F2308" s="953"/>
      <c r="G2308" s="953"/>
      <c r="H2308" s="953"/>
    </row>
    <row r="2309" spans="1:8" x14ac:dyDescent="0.25">
      <c r="A2309" s="952"/>
      <c r="B2309" s="953"/>
      <c r="C2309" s="953"/>
      <c r="D2309" s="953"/>
      <c r="E2309" s="953"/>
      <c r="F2309" s="953"/>
      <c r="G2309" s="953"/>
      <c r="H2309" s="953"/>
    </row>
    <row r="2310" spans="1:8" x14ac:dyDescent="0.25">
      <c r="A2310" s="952"/>
      <c r="B2310" s="953"/>
      <c r="C2310" s="953"/>
      <c r="D2310" s="953"/>
      <c r="E2310" s="953"/>
      <c r="F2310" s="953"/>
      <c r="G2310" s="953"/>
      <c r="H2310" s="953"/>
    </row>
    <row r="2311" spans="1:8" x14ac:dyDescent="0.25">
      <c r="A2311" s="952"/>
      <c r="B2311" s="953"/>
      <c r="C2311" s="953"/>
      <c r="D2311" s="953"/>
      <c r="E2311" s="953"/>
      <c r="F2311" s="953"/>
      <c r="G2311" s="953"/>
      <c r="H2311" s="953"/>
    </row>
    <row r="2312" spans="1:8" x14ac:dyDescent="0.25">
      <c r="A2312" s="952"/>
      <c r="B2312" s="953"/>
      <c r="C2312" s="953"/>
      <c r="D2312" s="953"/>
      <c r="E2312" s="953"/>
      <c r="F2312" s="953"/>
      <c r="G2312" s="953"/>
      <c r="H2312" s="953"/>
    </row>
    <row r="2313" spans="1:8" x14ac:dyDescent="0.25">
      <c r="A2313" s="952"/>
      <c r="B2313" s="953"/>
      <c r="C2313" s="953"/>
      <c r="D2313" s="953"/>
      <c r="E2313" s="953"/>
      <c r="F2313" s="953"/>
      <c r="G2313" s="953"/>
      <c r="H2313" s="953"/>
    </row>
    <row r="2314" spans="1:8" x14ac:dyDescent="0.25">
      <c r="A2314" s="952"/>
      <c r="B2314" s="953"/>
      <c r="C2314" s="953"/>
      <c r="D2314" s="953"/>
      <c r="E2314" s="953"/>
      <c r="F2314" s="953"/>
      <c r="G2314" s="953"/>
      <c r="H2314" s="953"/>
    </row>
    <row r="2315" spans="1:8" x14ac:dyDescent="0.25">
      <c r="A2315" s="952"/>
      <c r="B2315" s="953"/>
      <c r="C2315" s="953"/>
      <c r="D2315" s="953"/>
      <c r="E2315" s="953"/>
      <c r="F2315" s="953"/>
      <c r="G2315" s="953"/>
      <c r="H2315" s="953"/>
    </row>
    <row r="2316" spans="1:8" x14ac:dyDescent="0.25">
      <c r="A2316" s="952"/>
      <c r="B2316" s="953"/>
      <c r="C2316" s="953"/>
      <c r="D2316" s="953"/>
      <c r="E2316" s="953"/>
      <c r="F2316" s="953"/>
      <c r="G2316" s="953"/>
      <c r="H2316" s="953"/>
    </row>
    <row r="2317" spans="1:8" x14ac:dyDescent="0.25">
      <c r="A2317" s="952"/>
      <c r="B2317" s="953"/>
      <c r="C2317" s="953"/>
      <c r="D2317" s="953"/>
      <c r="E2317" s="953"/>
      <c r="F2317" s="953"/>
      <c r="G2317" s="953"/>
      <c r="H2317" s="953"/>
    </row>
    <row r="2318" spans="1:8" x14ac:dyDescent="0.25">
      <c r="A2318" s="952"/>
      <c r="B2318" s="953"/>
      <c r="C2318" s="953"/>
      <c r="D2318" s="953"/>
      <c r="E2318" s="953"/>
      <c r="F2318" s="953"/>
      <c r="G2318" s="953"/>
      <c r="H2318" s="953"/>
    </row>
    <row r="2319" spans="1:8" x14ac:dyDescent="0.25">
      <c r="A2319" s="952"/>
      <c r="B2319" s="953"/>
      <c r="C2319" s="953"/>
      <c r="D2319" s="953"/>
      <c r="E2319" s="953"/>
      <c r="F2319" s="953"/>
      <c r="G2319" s="953"/>
      <c r="H2319" s="953"/>
    </row>
    <row r="2320" spans="1:8" x14ac:dyDescent="0.25">
      <c r="A2320" s="952"/>
      <c r="B2320" s="953"/>
      <c r="C2320" s="953"/>
      <c r="D2320" s="953"/>
      <c r="E2320" s="953"/>
      <c r="F2320" s="953"/>
      <c r="G2320" s="953"/>
      <c r="H2320" s="953"/>
    </row>
    <row r="2321" spans="1:8" x14ac:dyDescent="0.25">
      <c r="A2321" s="952"/>
      <c r="B2321" s="953"/>
      <c r="C2321" s="953"/>
      <c r="D2321" s="953"/>
      <c r="E2321" s="953"/>
      <c r="F2321" s="953"/>
      <c r="G2321" s="953"/>
      <c r="H2321" s="953"/>
    </row>
    <row r="2322" spans="1:8" x14ac:dyDescent="0.25">
      <c r="A2322" s="952"/>
      <c r="B2322" s="953"/>
      <c r="C2322" s="953"/>
      <c r="D2322" s="953"/>
      <c r="E2322" s="953"/>
      <c r="F2322" s="953"/>
      <c r="G2322" s="953"/>
      <c r="H2322" s="953"/>
    </row>
    <row r="2323" spans="1:8" x14ac:dyDescent="0.25">
      <c r="A2323" s="952"/>
      <c r="B2323" s="953"/>
      <c r="C2323" s="953"/>
      <c r="D2323" s="953"/>
      <c r="E2323" s="953"/>
      <c r="F2323" s="953"/>
      <c r="G2323" s="953"/>
      <c r="H2323" s="953"/>
    </row>
    <row r="2324" spans="1:8" x14ac:dyDescent="0.25">
      <c r="A2324" s="952"/>
      <c r="B2324" s="953"/>
      <c r="C2324" s="953"/>
      <c r="D2324" s="953"/>
      <c r="E2324" s="953"/>
      <c r="F2324" s="953"/>
      <c r="G2324" s="953"/>
      <c r="H2324" s="953"/>
    </row>
    <row r="2325" spans="1:8" x14ac:dyDescent="0.25">
      <c r="A2325" s="952"/>
      <c r="B2325" s="953"/>
      <c r="C2325" s="953"/>
      <c r="D2325" s="953"/>
      <c r="E2325" s="953"/>
      <c r="F2325" s="953"/>
      <c r="G2325" s="953"/>
      <c r="H2325" s="953"/>
    </row>
    <row r="2326" spans="1:8" x14ac:dyDescent="0.25">
      <c r="A2326" s="952"/>
      <c r="B2326" s="953"/>
      <c r="C2326" s="953"/>
      <c r="D2326" s="953"/>
      <c r="E2326" s="953"/>
      <c r="F2326" s="953"/>
      <c r="G2326" s="953"/>
      <c r="H2326" s="953"/>
    </row>
    <row r="2327" spans="1:8" x14ac:dyDescent="0.25">
      <c r="A2327" s="952"/>
      <c r="B2327" s="953"/>
      <c r="C2327" s="953"/>
      <c r="D2327" s="953"/>
      <c r="E2327" s="953"/>
      <c r="F2327" s="953"/>
      <c r="G2327" s="953"/>
      <c r="H2327" s="953"/>
    </row>
    <row r="2328" spans="1:8" x14ac:dyDescent="0.25">
      <c r="A2328" s="952"/>
      <c r="B2328" s="953"/>
      <c r="C2328" s="953"/>
      <c r="D2328" s="953"/>
      <c r="E2328" s="953"/>
      <c r="F2328" s="953"/>
      <c r="G2328" s="953"/>
      <c r="H2328" s="953"/>
    </row>
    <row r="2329" spans="1:8" x14ac:dyDescent="0.25">
      <c r="A2329" s="952"/>
      <c r="B2329" s="953"/>
      <c r="C2329" s="953"/>
      <c r="D2329" s="953"/>
      <c r="E2329" s="953"/>
      <c r="F2329" s="953"/>
      <c r="G2329" s="953"/>
      <c r="H2329" s="953"/>
    </row>
    <row r="2330" spans="1:8" x14ac:dyDescent="0.25">
      <c r="A2330" s="952"/>
      <c r="B2330" s="953"/>
      <c r="C2330" s="953"/>
      <c r="D2330" s="953"/>
      <c r="E2330" s="953"/>
      <c r="F2330" s="953"/>
      <c r="G2330" s="953"/>
      <c r="H2330" s="953"/>
    </row>
    <row r="2331" spans="1:8" x14ac:dyDescent="0.25">
      <c r="A2331" s="952"/>
      <c r="B2331" s="953"/>
      <c r="C2331" s="953"/>
      <c r="D2331" s="953"/>
      <c r="E2331" s="953"/>
      <c r="F2331" s="953"/>
      <c r="G2331" s="953"/>
      <c r="H2331" s="953"/>
    </row>
    <row r="2332" spans="1:8" x14ac:dyDescent="0.25">
      <c r="A2332" s="952"/>
      <c r="B2332" s="953"/>
      <c r="C2332" s="953"/>
      <c r="D2332" s="953"/>
      <c r="E2332" s="953"/>
      <c r="F2332" s="953"/>
      <c r="G2332" s="953"/>
      <c r="H2332" s="953"/>
    </row>
    <row r="2333" spans="1:8" x14ac:dyDescent="0.25">
      <c r="A2333" s="952"/>
      <c r="B2333" s="953"/>
      <c r="C2333" s="953"/>
      <c r="D2333" s="953"/>
      <c r="E2333" s="953"/>
      <c r="F2333" s="953"/>
      <c r="G2333" s="953"/>
      <c r="H2333" s="953"/>
    </row>
    <row r="2334" spans="1:8" x14ac:dyDescent="0.25">
      <c r="A2334" s="952"/>
      <c r="B2334" s="953"/>
      <c r="C2334" s="953"/>
      <c r="D2334" s="953"/>
      <c r="E2334" s="953"/>
      <c r="F2334" s="953"/>
      <c r="G2334" s="953"/>
      <c r="H2334" s="953"/>
    </row>
    <row r="2335" spans="1:8" x14ac:dyDescent="0.25">
      <c r="A2335" s="952"/>
      <c r="B2335" s="953"/>
      <c r="C2335" s="953"/>
      <c r="D2335" s="953"/>
      <c r="E2335" s="953"/>
      <c r="F2335" s="953"/>
      <c r="G2335" s="953"/>
      <c r="H2335" s="953"/>
    </row>
    <row r="2336" spans="1:8" x14ac:dyDescent="0.25">
      <c r="A2336" s="952"/>
      <c r="B2336" s="953"/>
      <c r="C2336" s="953"/>
      <c r="D2336" s="953"/>
      <c r="E2336" s="953"/>
      <c r="F2336" s="953"/>
      <c r="G2336" s="953"/>
      <c r="H2336" s="953"/>
    </row>
    <row r="2337" spans="1:8" x14ac:dyDescent="0.25">
      <c r="A2337" s="952"/>
      <c r="B2337" s="953"/>
      <c r="C2337" s="953"/>
      <c r="D2337" s="953"/>
      <c r="E2337" s="953"/>
      <c r="F2337" s="953"/>
      <c r="G2337" s="953"/>
      <c r="H2337" s="953"/>
    </row>
    <row r="2338" spans="1:8" x14ac:dyDescent="0.25">
      <c r="A2338" s="952"/>
      <c r="B2338" s="953"/>
      <c r="C2338" s="953"/>
      <c r="D2338" s="953"/>
      <c r="E2338" s="953"/>
      <c r="F2338" s="953"/>
      <c r="G2338" s="953"/>
      <c r="H2338" s="953"/>
    </row>
    <row r="2339" spans="1:8" x14ac:dyDescent="0.25">
      <c r="A2339" s="952"/>
      <c r="B2339" s="953"/>
      <c r="C2339" s="953"/>
      <c r="D2339" s="953"/>
      <c r="E2339" s="953"/>
      <c r="F2339" s="953"/>
      <c r="G2339" s="953"/>
      <c r="H2339" s="953"/>
    </row>
    <row r="2340" spans="1:8" x14ac:dyDescent="0.25">
      <c r="A2340" s="952"/>
      <c r="B2340" s="953"/>
      <c r="C2340" s="953"/>
      <c r="D2340" s="953"/>
      <c r="E2340" s="953"/>
      <c r="F2340" s="953"/>
      <c r="G2340" s="953"/>
      <c r="H2340" s="953"/>
    </row>
    <row r="2341" spans="1:8" x14ac:dyDescent="0.25">
      <c r="A2341" s="952"/>
      <c r="B2341" s="953"/>
      <c r="C2341" s="953"/>
      <c r="D2341" s="953"/>
      <c r="E2341" s="953"/>
      <c r="F2341" s="953"/>
      <c r="G2341" s="953"/>
      <c r="H2341" s="953"/>
    </row>
    <row r="2342" spans="1:8" x14ac:dyDescent="0.25">
      <c r="A2342" s="952"/>
      <c r="B2342" s="953"/>
      <c r="C2342" s="953"/>
      <c r="D2342" s="953"/>
      <c r="E2342" s="953"/>
      <c r="F2342" s="953"/>
      <c r="G2342" s="953"/>
      <c r="H2342" s="953"/>
    </row>
    <row r="2343" spans="1:8" x14ac:dyDescent="0.25">
      <c r="A2343" s="952"/>
      <c r="B2343" s="953"/>
      <c r="C2343" s="953"/>
      <c r="D2343" s="953"/>
      <c r="E2343" s="953"/>
      <c r="F2343" s="953"/>
      <c r="G2343" s="953"/>
      <c r="H2343" s="953"/>
    </row>
    <row r="2344" spans="1:8" x14ac:dyDescent="0.25">
      <c r="A2344" s="952"/>
      <c r="B2344" s="953"/>
      <c r="C2344" s="953"/>
      <c r="D2344" s="953"/>
      <c r="E2344" s="953"/>
      <c r="F2344" s="953"/>
      <c r="G2344" s="953"/>
      <c r="H2344" s="953"/>
    </row>
    <row r="2345" spans="1:8" x14ac:dyDescent="0.25">
      <c r="A2345" s="952"/>
      <c r="B2345" s="953"/>
      <c r="C2345" s="953"/>
      <c r="D2345" s="953"/>
      <c r="E2345" s="953"/>
      <c r="F2345" s="953"/>
      <c r="G2345" s="953"/>
      <c r="H2345" s="953"/>
    </row>
    <row r="2346" spans="1:8" x14ac:dyDescent="0.25">
      <c r="A2346" s="952"/>
      <c r="B2346" s="953"/>
      <c r="C2346" s="953"/>
      <c r="D2346" s="953"/>
      <c r="E2346" s="953"/>
      <c r="F2346" s="953"/>
      <c r="G2346" s="953"/>
      <c r="H2346" s="953"/>
    </row>
    <row r="2347" spans="1:8" x14ac:dyDescent="0.25">
      <c r="A2347" s="952"/>
      <c r="B2347" s="953"/>
      <c r="C2347" s="953"/>
      <c r="D2347" s="953"/>
      <c r="E2347" s="953"/>
      <c r="F2347" s="953"/>
      <c r="G2347" s="953"/>
      <c r="H2347" s="953"/>
    </row>
    <row r="2348" spans="1:8" x14ac:dyDescent="0.25">
      <c r="A2348" s="952"/>
      <c r="B2348" s="953"/>
      <c r="C2348" s="953"/>
      <c r="D2348" s="953"/>
      <c r="E2348" s="953"/>
      <c r="F2348" s="953"/>
      <c r="G2348" s="953"/>
      <c r="H2348" s="953"/>
    </row>
    <row r="2349" spans="1:8" x14ac:dyDescent="0.25">
      <c r="A2349" s="952"/>
      <c r="B2349" s="953"/>
      <c r="C2349" s="953"/>
      <c r="D2349" s="953"/>
      <c r="E2349" s="953"/>
      <c r="F2349" s="953"/>
      <c r="G2349" s="953"/>
      <c r="H2349" s="953"/>
    </row>
    <row r="2350" spans="1:8" x14ac:dyDescent="0.25">
      <c r="A2350" s="952"/>
      <c r="B2350" s="953"/>
      <c r="C2350" s="953"/>
      <c r="D2350" s="953"/>
      <c r="E2350" s="953"/>
      <c r="F2350" s="953"/>
      <c r="G2350" s="953"/>
      <c r="H2350" s="953"/>
    </row>
    <row r="2351" spans="1:8" x14ac:dyDescent="0.25">
      <c r="A2351" s="952"/>
      <c r="B2351" s="953"/>
      <c r="C2351" s="953"/>
      <c r="D2351" s="953"/>
      <c r="E2351" s="953"/>
      <c r="F2351" s="953"/>
      <c r="G2351" s="953"/>
      <c r="H2351" s="953"/>
    </row>
    <row r="2352" spans="1:8" x14ac:dyDescent="0.25">
      <c r="A2352" s="952"/>
      <c r="B2352" s="953"/>
      <c r="C2352" s="953"/>
      <c r="D2352" s="953"/>
      <c r="E2352" s="953"/>
      <c r="F2352" s="953"/>
      <c r="G2352" s="953"/>
      <c r="H2352" s="953"/>
    </row>
    <row r="2353" spans="1:8" x14ac:dyDescent="0.25">
      <c r="A2353" s="952"/>
      <c r="B2353" s="953"/>
      <c r="C2353" s="953"/>
      <c r="D2353" s="953"/>
      <c r="E2353" s="953"/>
      <c r="F2353" s="953"/>
      <c r="G2353" s="953"/>
      <c r="H2353" s="953"/>
    </row>
    <row r="2354" spans="1:8" x14ac:dyDescent="0.25">
      <c r="A2354" s="952"/>
      <c r="B2354" s="953"/>
      <c r="C2354" s="953"/>
      <c r="D2354" s="953"/>
      <c r="E2354" s="953"/>
      <c r="F2354" s="953"/>
      <c r="G2354" s="953"/>
      <c r="H2354" s="953"/>
    </row>
    <row r="2355" spans="1:8" x14ac:dyDescent="0.25">
      <c r="A2355" s="952"/>
      <c r="B2355" s="953"/>
      <c r="C2355" s="953"/>
      <c r="D2355" s="953"/>
      <c r="E2355" s="953"/>
      <c r="F2355" s="953"/>
      <c r="G2355" s="953"/>
      <c r="H2355" s="953"/>
    </row>
    <row r="2356" spans="1:8" x14ac:dyDescent="0.25">
      <c r="A2356" s="952"/>
      <c r="B2356" s="953"/>
      <c r="C2356" s="953"/>
      <c r="D2356" s="953"/>
      <c r="E2356" s="953"/>
      <c r="F2356" s="953"/>
      <c r="G2356" s="953"/>
      <c r="H2356" s="953"/>
    </row>
    <row r="2357" spans="1:8" x14ac:dyDescent="0.25">
      <c r="A2357" s="952"/>
      <c r="B2357" s="953"/>
      <c r="C2357" s="953"/>
      <c r="D2357" s="953"/>
      <c r="E2357" s="953"/>
      <c r="F2357" s="953"/>
      <c r="G2357" s="953"/>
      <c r="H2357" s="953"/>
    </row>
    <row r="2358" spans="1:8" x14ac:dyDescent="0.25">
      <c r="A2358" s="952"/>
      <c r="B2358" s="953"/>
      <c r="C2358" s="953"/>
      <c r="D2358" s="953"/>
      <c r="E2358" s="953"/>
      <c r="F2358" s="953"/>
      <c r="G2358" s="953"/>
      <c r="H2358" s="953"/>
    </row>
    <row r="2359" spans="1:8" x14ac:dyDescent="0.25">
      <c r="A2359" s="952"/>
      <c r="B2359" s="953"/>
      <c r="C2359" s="953"/>
      <c r="D2359" s="953"/>
      <c r="E2359" s="953"/>
      <c r="F2359" s="953"/>
      <c r="G2359" s="953"/>
      <c r="H2359" s="953"/>
    </row>
    <row r="2360" spans="1:8" x14ac:dyDescent="0.25">
      <c r="A2360" s="952"/>
      <c r="B2360" s="953"/>
      <c r="C2360" s="953"/>
      <c r="D2360" s="953"/>
      <c r="E2360" s="953"/>
      <c r="F2360" s="953"/>
      <c r="G2360" s="953"/>
      <c r="H2360" s="953"/>
    </row>
    <row r="2361" spans="1:8" x14ac:dyDescent="0.25">
      <c r="A2361" s="952"/>
      <c r="B2361" s="953"/>
      <c r="C2361" s="953"/>
      <c r="D2361" s="953"/>
      <c r="E2361" s="953"/>
      <c r="F2361" s="953"/>
      <c r="G2361" s="953"/>
      <c r="H2361" s="953"/>
    </row>
    <row r="2362" spans="1:8" x14ac:dyDescent="0.25">
      <c r="A2362" s="952"/>
      <c r="B2362" s="953"/>
      <c r="C2362" s="953"/>
      <c r="D2362" s="953"/>
      <c r="E2362" s="953"/>
      <c r="F2362" s="953"/>
      <c r="G2362" s="953"/>
      <c r="H2362" s="953"/>
    </row>
    <row r="2363" spans="1:8" x14ac:dyDescent="0.25">
      <c r="A2363" s="952"/>
      <c r="B2363" s="953"/>
      <c r="C2363" s="953"/>
      <c r="D2363" s="953"/>
      <c r="E2363" s="953"/>
      <c r="F2363" s="953"/>
      <c r="G2363" s="953"/>
      <c r="H2363" s="953"/>
    </row>
    <row r="2364" spans="1:8" x14ac:dyDescent="0.25">
      <c r="A2364" s="952"/>
      <c r="B2364" s="953"/>
      <c r="C2364" s="953"/>
      <c r="D2364" s="953"/>
      <c r="E2364" s="953"/>
      <c r="F2364" s="953"/>
      <c r="G2364" s="953"/>
      <c r="H2364" s="953"/>
    </row>
    <row r="2365" spans="1:8" x14ac:dyDescent="0.25">
      <c r="A2365" s="952"/>
      <c r="B2365" s="953"/>
      <c r="C2365" s="953"/>
      <c r="D2365" s="953"/>
      <c r="E2365" s="953"/>
      <c r="F2365" s="953"/>
      <c r="G2365" s="953"/>
      <c r="H2365" s="953"/>
    </row>
    <row r="2366" spans="1:8" x14ac:dyDescent="0.25">
      <c r="A2366" s="952"/>
      <c r="B2366" s="953"/>
      <c r="C2366" s="953"/>
      <c r="D2366" s="953"/>
      <c r="E2366" s="953"/>
      <c r="F2366" s="953"/>
      <c r="G2366" s="953"/>
      <c r="H2366" s="953"/>
    </row>
    <row r="2367" spans="1:8" x14ac:dyDescent="0.25">
      <c r="A2367" s="952"/>
      <c r="B2367" s="953"/>
      <c r="C2367" s="953"/>
      <c r="D2367" s="953"/>
      <c r="E2367" s="953"/>
      <c r="F2367" s="953"/>
      <c r="G2367" s="953"/>
      <c r="H2367" s="953"/>
    </row>
    <row r="2368" spans="1:8" x14ac:dyDescent="0.25">
      <c r="A2368" s="952"/>
      <c r="B2368" s="953"/>
      <c r="C2368" s="953"/>
      <c r="D2368" s="953"/>
      <c r="E2368" s="953"/>
      <c r="F2368" s="953"/>
      <c r="G2368" s="953"/>
      <c r="H2368" s="953"/>
    </row>
    <row r="2369" spans="1:8" x14ac:dyDescent="0.25">
      <c r="A2369" s="952"/>
      <c r="B2369" s="953"/>
      <c r="C2369" s="953"/>
      <c r="D2369" s="953"/>
      <c r="E2369" s="953"/>
      <c r="F2369" s="953"/>
      <c r="G2369" s="953"/>
      <c r="H2369" s="953"/>
    </row>
    <row r="2370" spans="1:8" x14ac:dyDescent="0.25">
      <c r="A2370" s="952"/>
      <c r="B2370" s="953"/>
      <c r="C2370" s="953"/>
      <c r="D2370" s="953"/>
      <c r="E2370" s="953"/>
      <c r="F2370" s="953"/>
      <c r="G2370" s="953"/>
      <c r="H2370" s="953"/>
    </row>
    <row r="2371" spans="1:8" x14ac:dyDescent="0.25">
      <c r="A2371" s="952"/>
      <c r="B2371" s="953"/>
      <c r="C2371" s="953"/>
      <c r="D2371" s="953"/>
      <c r="E2371" s="953"/>
      <c r="F2371" s="953"/>
      <c r="G2371" s="953"/>
      <c r="H2371" s="953"/>
    </row>
    <row r="2372" spans="1:8" x14ac:dyDescent="0.25">
      <c r="A2372" s="952"/>
      <c r="B2372" s="953"/>
      <c r="C2372" s="953"/>
      <c r="D2372" s="953"/>
      <c r="E2372" s="953"/>
      <c r="F2372" s="953"/>
      <c r="G2372" s="953"/>
      <c r="H2372" s="953"/>
    </row>
    <row r="2373" spans="1:8" x14ac:dyDescent="0.25">
      <c r="A2373" s="952"/>
      <c r="B2373" s="953"/>
      <c r="C2373" s="953"/>
      <c r="D2373" s="953"/>
      <c r="E2373" s="953"/>
      <c r="F2373" s="953"/>
      <c r="G2373" s="953"/>
      <c r="H2373" s="953"/>
    </row>
    <row r="2374" spans="1:8" x14ac:dyDescent="0.25">
      <c r="A2374" s="952"/>
      <c r="B2374" s="953"/>
      <c r="C2374" s="953"/>
      <c r="D2374" s="953"/>
      <c r="E2374" s="953"/>
      <c r="F2374" s="953"/>
      <c r="G2374" s="953"/>
      <c r="H2374" s="953"/>
    </row>
    <row r="2375" spans="1:8" x14ac:dyDescent="0.25">
      <c r="A2375" s="952"/>
      <c r="B2375" s="953"/>
      <c r="C2375" s="953"/>
      <c r="D2375" s="953"/>
      <c r="E2375" s="953"/>
      <c r="F2375" s="953"/>
      <c r="G2375" s="953"/>
      <c r="H2375" s="953"/>
    </row>
    <row r="2376" spans="1:8" x14ac:dyDescent="0.25">
      <c r="A2376" s="952"/>
      <c r="B2376" s="953"/>
      <c r="C2376" s="953"/>
      <c r="D2376" s="953"/>
      <c r="E2376" s="953"/>
      <c r="F2376" s="953"/>
      <c r="G2376" s="953"/>
      <c r="H2376" s="953"/>
    </row>
    <row r="2377" spans="1:8" x14ac:dyDescent="0.25">
      <c r="A2377" s="952"/>
      <c r="B2377" s="953"/>
      <c r="C2377" s="953"/>
      <c r="D2377" s="953"/>
      <c r="E2377" s="953"/>
      <c r="F2377" s="953"/>
      <c r="G2377" s="953"/>
      <c r="H2377" s="953"/>
    </row>
    <row r="2378" spans="1:8" x14ac:dyDescent="0.25">
      <c r="A2378" s="952"/>
      <c r="B2378" s="953"/>
      <c r="C2378" s="953"/>
      <c r="D2378" s="953"/>
      <c r="E2378" s="953"/>
      <c r="F2378" s="953"/>
      <c r="G2378" s="953"/>
      <c r="H2378" s="953"/>
    </row>
    <row r="2379" spans="1:8" x14ac:dyDescent="0.25">
      <c r="A2379" s="952"/>
      <c r="B2379" s="953"/>
      <c r="C2379" s="953"/>
      <c r="D2379" s="953"/>
      <c r="E2379" s="953"/>
      <c r="F2379" s="953"/>
      <c r="G2379" s="953"/>
      <c r="H2379" s="953"/>
    </row>
    <row r="2380" spans="1:8" x14ac:dyDescent="0.25">
      <c r="A2380" s="952"/>
      <c r="B2380" s="953"/>
      <c r="C2380" s="953"/>
      <c r="D2380" s="953"/>
      <c r="E2380" s="953"/>
      <c r="F2380" s="953"/>
      <c r="G2380" s="953"/>
      <c r="H2380" s="953"/>
    </row>
    <row r="2381" spans="1:8" x14ac:dyDescent="0.25">
      <c r="A2381" s="952"/>
      <c r="B2381" s="953"/>
      <c r="C2381" s="953"/>
      <c r="D2381" s="953"/>
      <c r="E2381" s="953"/>
      <c r="F2381" s="953"/>
      <c r="G2381" s="953"/>
      <c r="H2381" s="953"/>
    </row>
    <row r="2382" spans="1:8" x14ac:dyDescent="0.25">
      <c r="A2382" s="952"/>
      <c r="B2382" s="953"/>
      <c r="C2382" s="953"/>
      <c r="D2382" s="953"/>
      <c r="E2382" s="953"/>
      <c r="F2382" s="953"/>
      <c r="G2382" s="953"/>
      <c r="H2382" s="953"/>
    </row>
    <row r="2383" spans="1:8" x14ac:dyDescent="0.25">
      <c r="A2383" s="952"/>
      <c r="B2383" s="953"/>
      <c r="C2383" s="953"/>
      <c r="D2383" s="953"/>
      <c r="E2383" s="953"/>
      <c r="F2383" s="953"/>
      <c r="G2383" s="953"/>
      <c r="H2383" s="953"/>
    </row>
    <row r="2384" spans="1:8" x14ac:dyDescent="0.25">
      <c r="A2384" s="952"/>
      <c r="B2384" s="953"/>
      <c r="C2384" s="953"/>
      <c r="D2384" s="953"/>
      <c r="E2384" s="953"/>
      <c r="F2384" s="953"/>
      <c r="G2384" s="953"/>
      <c r="H2384" s="953"/>
    </row>
    <row r="2385" spans="1:8" x14ac:dyDescent="0.25">
      <c r="A2385" s="952"/>
      <c r="B2385" s="953"/>
      <c r="C2385" s="953"/>
      <c r="D2385" s="953"/>
      <c r="E2385" s="953"/>
      <c r="F2385" s="953"/>
      <c r="G2385" s="953"/>
      <c r="H2385" s="953"/>
    </row>
    <row r="2386" spans="1:8" x14ac:dyDescent="0.25">
      <c r="A2386" s="952"/>
      <c r="B2386" s="953"/>
      <c r="C2386" s="953"/>
      <c r="D2386" s="953"/>
      <c r="E2386" s="953"/>
      <c r="F2386" s="953"/>
      <c r="G2386" s="953"/>
      <c r="H2386" s="953"/>
    </row>
    <row r="2387" spans="1:8" x14ac:dyDescent="0.25">
      <c r="A2387" s="952"/>
      <c r="B2387" s="953"/>
      <c r="C2387" s="953"/>
      <c r="D2387" s="953"/>
      <c r="E2387" s="953"/>
      <c r="F2387" s="953"/>
      <c r="G2387" s="953"/>
      <c r="H2387" s="953"/>
    </row>
    <row r="2388" spans="1:8" x14ac:dyDescent="0.25">
      <c r="A2388" s="952"/>
      <c r="B2388" s="953"/>
      <c r="C2388" s="953"/>
      <c r="D2388" s="953"/>
      <c r="E2388" s="953"/>
      <c r="F2388" s="953"/>
      <c r="G2388" s="953"/>
      <c r="H2388" s="953"/>
    </row>
    <row r="2389" spans="1:8" x14ac:dyDescent="0.25">
      <c r="A2389" s="952"/>
      <c r="B2389" s="953"/>
      <c r="C2389" s="953"/>
      <c r="D2389" s="953"/>
      <c r="E2389" s="953"/>
      <c r="F2389" s="953"/>
      <c r="G2389" s="953"/>
      <c r="H2389" s="953"/>
    </row>
    <row r="2390" spans="1:8" x14ac:dyDescent="0.25">
      <c r="A2390" s="952"/>
      <c r="B2390" s="953"/>
      <c r="C2390" s="953"/>
      <c r="D2390" s="953"/>
      <c r="E2390" s="953"/>
      <c r="F2390" s="953"/>
      <c r="G2390" s="953"/>
      <c r="H2390" s="953"/>
    </row>
    <row r="2391" spans="1:8" x14ac:dyDescent="0.25">
      <c r="A2391" s="952"/>
      <c r="B2391" s="953"/>
      <c r="C2391" s="953"/>
      <c r="D2391" s="953"/>
      <c r="E2391" s="953"/>
      <c r="F2391" s="953"/>
      <c r="G2391" s="953"/>
      <c r="H2391" s="953"/>
    </row>
    <row r="2392" spans="1:8" x14ac:dyDescent="0.25">
      <c r="A2392" s="952"/>
      <c r="B2392" s="953"/>
      <c r="C2392" s="953"/>
      <c r="D2392" s="953"/>
      <c r="E2392" s="953"/>
      <c r="F2392" s="953"/>
      <c r="G2392" s="953"/>
      <c r="H2392" s="953"/>
    </row>
    <row r="2393" spans="1:8" x14ac:dyDescent="0.25">
      <c r="A2393" s="952"/>
      <c r="B2393" s="953"/>
      <c r="C2393" s="953"/>
      <c r="D2393" s="953"/>
      <c r="E2393" s="953"/>
      <c r="F2393" s="953"/>
      <c r="G2393" s="953"/>
      <c r="H2393" s="953"/>
    </row>
    <row r="2394" spans="1:8" x14ac:dyDescent="0.25">
      <c r="A2394" s="952"/>
      <c r="B2394" s="953"/>
      <c r="C2394" s="953"/>
      <c r="D2394" s="953"/>
      <c r="E2394" s="953"/>
      <c r="F2394" s="953"/>
      <c r="G2394" s="953"/>
      <c r="H2394" s="953"/>
    </row>
    <row r="2395" spans="1:8" x14ac:dyDescent="0.25">
      <c r="A2395" s="952"/>
      <c r="B2395" s="953"/>
      <c r="C2395" s="953"/>
      <c r="D2395" s="953"/>
      <c r="E2395" s="953"/>
      <c r="F2395" s="953"/>
      <c r="G2395" s="953"/>
      <c r="H2395" s="953"/>
    </row>
    <row r="2396" spans="1:8" x14ac:dyDescent="0.25">
      <c r="A2396" s="952"/>
      <c r="B2396" s="953"/>
      <c r="C2396" s="953"/>
      <c r="D2396" s="953"/>
      <c r="E2396" s="953"/>
      <c r="F2396" s="953"/>
      <c r="G2396" s="953"/>
      <c r="H2396" s="953"/>
    </row>
    <row r="2397" spans="1:8" x14ac:dyDescent="0.25">
      <c r="A2397" s="952"/>
      <c r="B2397" s="953"/>
      <c r="C2397" s="953"/>
      <c r="D2397" s="953"/>
      <c r="E2397" s="953"/>
      <c r="F2397" s="953"/>
      <c r="G2397" s="953"/>
      <c r="H2397" s="953"/>
    </row>
    <row r="2398" spans="1:8" x14ac:dyDescent="0.25">
      <c r="A2398" s="952"/>
      <c r="B2398" s="953"/>
      <c r="C2398" s="953"/>
      <c r="D2398" s="953"/>
      <c r="E2398" s="953"/>
      <c r="F2398" s="953"/>
      <c r="G2398" s="953"/>
      <c r="H2398" s="953"/>
    </row>
    <row r="2399" spans="1:8" x14ac:dyDescent="0.25">
      <c r="A2399" s="952"/>
      <c r="B2399" s="953"/>
      <c r="C2399" s="953"/>
      <c r="D2399" s="953"/>
      <c r="E2399" s="953"/>
      <c r="F2399" s="953"/>
      <c r="G2399" s="953"/>
      <c r="H2399" s="953"/>
    </row>
    <row r="2400" spans="1:8" x14ac:dyDescent="0.25">
      <c r="A2400" s="952"/>
      <c r="B2400" s="953"/>
      <c r="C2400" s="953"/>
      <c r="D2400" s="953"/>
      <c r="E2400" s="953"/>
      <c r="F2400" s="953"/>
      <c r="G2400" s="953"/>
      <c r="H2400" s="953"/>
    </row>
    <row r="2401" spans="1:8" x14ac:dyDescent="0.25">
      <c r="A2401" s="952"/>
      <c r="B2401" s="953"/>
      <c r="C2401" s="953"/>
      <c r="D2401" s="953"/>
      <c r="E2401" s="953"/>
      <c r="F2401" s="953"/>
      <c r="G2401" s="953"/>
      <c r="H2401" s="953"/>
    </row>
    <row r="2402" spans="1:8" x14ac:dyDescent="0.25">
      <c r="A2402" s="952"/>
      <c r="B2402" s="953"/>
      <c r="C2402" s="953"/>
      <c r="D2402" s="953"/>
      <c r="E2402" s="953"/>
      <c r="F2402" s="953"/>
      <c r="G2402" s="953"/>
      <c r="H2402" s="953"/>
    </row>
    <row r="2403" spans="1:8" x14ac:dyDescent="0.25">
      <c r="A2403" s="952"/>
      <c r="B2403" s="953"/>
      <c r="C2403" s="953"/>
      <c r="D2403" s="953"/>
      <c r="E2403" s="953"/>
      <c r="F2403" s="953"/>
      <c r="G2403" s="953"/>
      <c r="H2403" s="953"/>
    </row>
    <row r="2404" spans="1:8" x14ac:dyDescent="0.25">
      <c r="A2404" s="952"/>
      <c r="B2404" s="953"/>
      <c r="C2404" s="953"/>
      <c r="D2404" s="953"/>
      <c r="E2404" s="953"/>
      <c r="F2404" s="953"/>
      <c r="G2404" s="953"/>
      <c r="H2404" s="953"/>
    </row>
    <row r="2405" spans="1:8" x14ac:dyDescent="0.25">
      <c r="A2405" s="952"/>
      <c r="B2405" s="953"/>
      <c r="C2405" s="953"/>
      <c r="D2405" s="953"/>
      <c r="E2405" s="953"/>
      <c r="F2405" s="953"/>
      <c r="G2405" s="953"/>
      <c r="H2405" s="953"/>
    </row>
    <row r="2406" spans="1:8" x14ac:dyDescent="0.25">
      <c r="A2406" s="952"/>
      <c r="B2406" s="953"/>
      <c r="C2406" s="953"/>
      <c r="D2406" s="953"/>
      <c r="E2406" s="953"/>
      <c r="F2406" s="953"/>
      <c r="G2406" s="953"/>
      <c r="H2406" s="953"/>
    </row>
    <row r="2407" spans="1:8" x14ac:dyDescent="0.25">
      <c r="A2407" s="952"/>
      <c r="B2407" s="953"/>
      <c r="C2407" s="953"/>
      <c r="D2407" s="953"/>
      <c r="E2407" s="953"/>
      <c r="F2407" s="953"/>
      <c r="G2407" s="953"/>
      <c r="H2407" s="953"/>
    </row>
    <row r="2408" spans="1:8" x14ac:dyDescent="0.25">
      <c r="A2408" s="952"/>
      <c r="B2408" s="953"/>
      <c r="C2408" s="953"/>
      <c r="D2408" s="953"/>
      <c r="E2408" s="953"/>
      <c r="F2408" s="953"/>
      <c r="G2408" s="953"/>
      <c r="H2408" s="953"/>
    </row>
    <row r="2409" spans="1:8" x14ac:dyDescent="0.25">
      <c r="A2409" s="952"/>
      <c r="B2409" s="953"/>
      <c r="C2409" s="953"/>
      <c r="D2409" s="953"/>
      <c r="E2409" s="953"/>
      <c r="F2409" s="953"/>
      <c r="G2409" s="953"/>
      <c r="H2409" s="953"/>
    </row>
    <row r="2410" spans="1:8" x14ac:dyDescent="0.25">
      <c r="A2410" s="952"/>
      <c r="B2410" s="953"/>
      <c r="C2410" s="953"/>
      <c r="D2410" s="953"/>
      <c r="E2410" s="953"/>
      <c r="F2410" s="953"/>
      <c r="G2410" s="953"/>
      <c r="H2410" s="953"/>
    </row>
    <row r="2411" spans="1:8" x14ac:dyDescent="0.25">
      <c r="A2411" s="952"/>
      <c r="B2411" s="953"/>
      <c r="C2411" s="953"/>
      <c r="D2411" s="953"/>
      <c r="E2411" s="953"/>
      <c r="F2411" s="953"/>
      <c r="G2411" s="953"/>
      <c r="H2411" s="953"/>
    </row>
    <row r="2412" spans="1:8" x14ac:dyDescent="0.25">
      <c r="A2412" s="952"/>
      <c r="B2412" s="953"/>
      <c r="C2412" s="953"/>
      <c r="D2412" s="953"/>
      <c r="E2412" s="953"/>
      <c r="F2412" s="953"/>
      <c r="G2412" s="953"/>
      <c r="H2412" s="953"/>
    </row>
    <row r="2413" spans="1:8" x14ac:dyDescent="0.25">
      <c r="A2413" s="952"/>
      <c r="B2413" s="953"/>
      <c r="C2413" s="953"/>
      <c r="D2413" s="953"/>
      <c r="E2413" s="953"/>
      <c r="F2413" s="953"/>
      <c r="G2413" s="953"/>
      <c r="H2413" s="953"/>
    </row>
    <row r="2414" spans="1:8" x14ac:dyDescent="0.25">
      <c r="A2414" s="952"/>
      <c r="B2414" s="953"/>
      <c r="C2414" s="953"/>
      <c r="D2414" s="953"/>
      <c r="E2414" s="953"/>
      <c r="F2414" s="953"/>
      <c r="G2414" s="953"/>
      <c r="H2414" s="953"/>
    </row>
    <row r="2415" spans="1:8" x14ac:dyDescent="0.25">
      <c r="A2415" s="952"/>
      <c r="B2415" s="953"/>
      <c r="C2415" s="953"/>
      <c r="D2415" s="953"/>
      <c r="E2415" s="953"/>
      <c r="F2415" s="953"/>
      <c r="G2415" s="953"/>
      <c r="H2415" s="953"/>
    </row>
    <row r="2416" spans="1:8" x14ac:dyDescent="0.25">
      <c r="A2416" s="952"/>
      <c r="B2416" s="953"/>
      <c r="C2416" s="953"/>
      <c r="D2416" s="953"/>
      <c r="E2416" s="953"/>
      <c r="F2416" s="953"/>
      <c r="G2416" s="953"/>
      <c r="H2416" s="953"/>
    </row>
    <row r="2417" spans="1:8" x14ac:dyDescent="0.25">
      <c r="A2417" s="952"/>
      <c r="B2417" s="953"/>
      <c r="C2417" s="953"/>
      <c r="D2417" s="953"/>
      <c r="E2417" s="953"/>
      <c r="F2417" s="953"/>
      <c r="G2417" s="953"/>
      <c r="H2417" s="953"/>
    </row>
    <row r="2418" spans="1:8" x14ac:dyDescent="0.25">
      <c r="A2418" s="952"/>
      <c r="B2418" s="953"/>
      <c r="C2418" s="953"/>
      <c r="D2418" s="953"/>
      <c r="E2418" s="953"/>
      <c r="F2418" s="953"/>
      <c r="G2418" s="953"/>
      <c r="H2418" s="953"/>
    </row>
    <row r="2419" spans="1:8" x14ac:dyDescent="0.25">
      <c r="A2419" s="952"/>
      <c r="B2419" s="953"/>
      <c r="C2419" s="953"/>
      <c r="D2419" s="953"/>
      <c r="E2419" s="953"/>
      <c r="F2419" s="953"/>
      <c r="G2419" s="953"/>
      <c r="H2419" s="953"/>
    </row>
    <row r="2420" spans="1:8" x14ac:dyDescent="0.25">
      <c r="A2420" s="952"/>
      <c r="B2420" s="953"/>
      <c r="C2420" s="953"/>
      <c r="D2420" s="953"/>
      <c r="E2420" s="953"/>
      <c r="F2420" s="953"/>
      <c r="G2420" s="953"/>
      <c r="H2420" s="953"/>
    </row>
    <row r="2421" spans="1:8" x14ac:dyDescent="0.25">
      <c r="A2421" s="952"/>
      <c r="B2421" s="953"/>
      <c r="C2421" s="953"/>
      <c r="D2421" s="953"/>
      <c r="E2421" s="953"/>
      <c r="F2421" s="953"/>
      <c r="G2421" s="953"/>
      <c r="H2421" s="953"/>
    </row>
    <row r="2422" spans="1:8" x14ac:dyDescent="0.25">
      <c r="A2422" s="952"/>
      <c r="B2422" s="953"/>
      <c r="C2422" s="953"/>
      <c r="D2422" s="953"/>
      <c r="E2422" s="953"/>
      <c r="F2422" s="953"/>
      <c r="G2422" s="953"/>
      <c r="H2422" s="953"/>
    </row>
    <row r="2423" spans="1:8" x14ac:dyDescent="0.25">
      <c r="A2423" s="952"/>
      <c r="B2423" s="953"/>
      <c r="C2423" s="953"/>
      <c r="D2423" s="953"/>
      <c r="E2423" s="953"/>
      <c r="F2423" s="953"/>
      <c r="G2423" s="953"/>
      <c r="H2423" s="953"/>
    </row>
    <row r="2424" spans="1:8" x14ac:dyDescent="0.25">
      <c r="A2424" s="952"/>
      <c r="B2424" s="953"/>
      <c r="C2424" s="953"/>
      <c r="D2424" s="953"/>
      <c r="E2424" s="953"/>
      <c r="F2424" s="953"/>
      <c r="G2424" s="953"/>
      <c r="H2424" s="953"/>
    </row>
    <row r="2425" spans="1:8" x14ac:dyDescent="0.25">
      <c r="A2425" s="952"/>
      <c r="B2425" s="953"/>
      <c r="C2425" s="953"/>
      <c r="D2425" s="953"/>
      <c r="E2425" s="953"/>
      <c r="F2425" s="953"/>
      <c r="G2425" s="953"/>
      <c r="H2425" s="953"/>
    </row>
    <row r="2426" spans="1:8" x14ac:dyDescent="0.25">
      <c r="A2426" s="952"/>
      <c r="B2426" s="953"/>
      <c r="C2426" s="953"/>
      <c r="D2426" s="953"/>
      <c r="E2426" s="953"/>
      <c r="F2426" s="953"/>
      <c r="G2426" s="953"/>
      <c r="H2426" s="953"/>
    </row>
    <row r="2427" spans="1:8" x14ac:dyDescent="0.25">
      <c r="A2427" s="952"/>
      <c r="B2427" s="953"/>
      <c r="C2427" s="953"/>
      <c r="D2427" s="953"/>
      <c r="E2427" s="953"/>
      <c r="F2427" s="953"/>
      <c r="G2427" s="953"/>
      <c r="H2427" s="953"/>
    </row>
    <row r="2428" spans="1:8" x14ac:dyDescent="0.25">
      <c r="A2428" s="952"/>
      <c r="B2428" s="953"/>
      <c r="C2428" s="953"/>
      <c r="D2428" s="953"/>
      <c r="E2428" s="953"/>
      <c r="F2428" s="953"/>
      <c r="G2428" s="953"/>
      <c r="H2428" s="953"/>
    </row>
    <row r="2429" spans="1:8" x14ac:dyDescent="0.25">
      <c r="A2429" s="952"/>
      <c r="B2429" s="953"/>
      <c r="C2429" s="953"/>
      <c r="D2429" s="953"/>
      <c r="E2429" s="953"/>
      <c r="F2429" s="953"/>
      <c r="G2429" s="953"/>
      <c r="H2429" s="953"/>
    </row>
    <row r="2430" spans="1:8" x14ac:dyDescent="0.25">
      <c r="A2430" s="952"/>
      <c r="B2430" s="953"/>
      <c r="C2430" s="953"/>
      <c r="D2430" s="953"/>
      <c r="E2430" s="953"/>
      <c r="F2430" s="953"/>
      <c r="G2430" s="953"/>
      <c r="H2430" s="953"/>
    </row>
    <row r="2431" spans="1:8" x14ac:dyDescent="0.25">
      <c r="A2431" s="952"/>
      <c r="B2431" s="953"/>
      <c r="C2431" s="953"/>
      <c r="D2431" s="953"/>
      <c r="E2431" s="953"/>
      <c r="F2431" s="953"/>
      <c r="G2431" s="953"/>
      <c r="H2431" s="953"/>
    </row>
    <row r="2432" spans="1:8" x14ac:dyDescent="0.25">
      <c r="A2432" s="952"/>
      <c r="B2432" s="953"/>
      <c r="C2432" s="953"/>
      <c r="D2432" s="953"/>
      <c r="E2432" s="953"/>
      <c r="F2432" s="953"/>
      <c r="G2432" s="953"/>
      <c r="H2432" s="953"/>
    </row>
    <row r="2433" spans="1:8" x14ac:dyDescent="0.25">
      <c r="A2433" s="952"/>
      <c r="B2433" s="953"/>
      <c r="C2433" s="953"/>
      <c r="D2433" s="953"/>
      <c r="E2433" s="953"/>
      <c r="F2433" s="953"/>
      <c r="G2433" s="953"/>
      <c r="H2433" s="953"/>
    </row>
    <row r="2434" spans="1:8" x14ac:dyDescent="0.25">
      <c r="A2434" s="952"/>
      <c r="B2434" s="953"/>
      <c r="C2434" s="953"/>
      <c r="D2434" s="953"/>
      <c r="E2434" s="953"/>
      <c r="F2434" s="953"/>
      <c r="G2434" s="953"/>
      <c r="H2434" s="953"/>
    </row>
    <row r="2435" spans="1:8" x14ac:dyDescent="0.25">
      <c r="A2435" s="952"/>
      <c r="B2435" s="953"/>
      <c r="C2435" s="953"/>
      <c r="D2435" s="953"/>
      <c r="E2435" s="953"/>
      <c r="F2435" s="953"/>
      <c r="G2435" s="953"/>
      <c r="H2435" s="953"/>
    </row>
    <row r="2436" spans="1:8" x14ac:dyDescent="0.25">
      <c r="A2436" s="952"/>
      <c r="B2436" s="953"/>
      <c r="C2436" s="953"/>
      <c r="D2436" s="953"/>
      <c r="E2436" s="953"/>
      <c r="F2436" s="953"/>
      <c r="G2436" s="953"/>
      <c r="H2436" s="953"/>
    </row>
    <row r="2437" spans="1:8" x14ac:dyDescent="0.25">
      <c r="A2437" s="952"/>
      <c r="B2437" s="953"/>
      <c r="C2437" s="953"/>
      <c r="D2437" s="953"/>
      <c r="E2437" s="953"/>
      <c r="F2437" s="953"/>
      <c r="G2437" s="953"/>
      <c r="H2437" s="953"/>
    </row>
    <row r="2438" spans="1:8" x14ac:dyDescent="0.25">
      <c r="A2438" s="952"/>
      <c r="B2438" s="953"/>
      <c r="C2438" s="953"/>
      <c r="D2438" s="953"/>
      <c r="E2438" s="953"/>
      <c r="F2438" s="953"/>
      <c r="G2438" s="953"/>
      <c r="H2438" s="953"/>
    </row>
    <row r="2439" spans="1:8" x14ac:dyDescent="0.25">
      <c r="A2439" s="952"/>
      <c r="B2439" s="953"/>
      <c r="C2439" s="953"/>
      <c r="D2439" s="953"/>
      <c r="E2439" s="953"/>
      <c r="F2439" s="953"/>
      <c r="G2439" s="953"/>
      <c r="H2439" s="953"/>
    </row>
    <row r="2440" spans="1:8" x14ac:dyDescent="0.25">
      <c r="A2440" s="952"/>
      <c r="B2440" s="953"/>
      <c r="C2440" s="953"/>
      <c r="D2440" s="953"/>
      <c r="E2440" s="953"/>
      <c r="F2440" s="953"/>
      <c r="G2440" s="953"/>
      <c r="H2440" s="953"/>
    </row>
    <row r="2441" spans="1:8" x14ac:dyDescent="0.25">
      <c r="A2441" s="952"/>
      <c r="B2441" s="953"/>
      <c r="C2441" s="953"/>
      <c r="D2441" s="953"/>
      <c r="E2441" s="953"/>
      <c r="F2441" s="953"/>
      <c r="G2441" s="953"/>
      <c r="H2441" s="953"/>
    </row>
    <row r="2442" spans="1:8" x14ac:dyDescent="0.25">
      <c r="A2442" s="952"/>
      <c r="B2442" s="953"/>
      <c r="C2442" s="953"/>
      <c r="D2442" s="953"/>
      <c r="E2442" s="953"/>
      <c r="F2442" s="953"/>
      <c r="G2442" s="953"/>
      <c r="H2442" s="953"/>
    </row>
    <row r="2443" spans="1:8" x14ac:dyDescent="0.25">
      <c r="A2443" s="952"/>
      <c r="B2443" s="953"/>
      <c r="C2443" s="953"/>
      <c r="D2443" s="953"/>
      <c r="E2443" s="953"/>
      <c r="F2443" s="953"/>
      <c r="G2443" s="953"/>
      <c r="H2443" s="953"/>
    </row>
    <row r="2444" spans="1:8" x14ac:dyDescent="0.25">
      <c r="A2444" s="952"/>
      <c r="B2444" s="953"/>
      <c r="C2444" s="953"/>
      <c r="D2444" s="953"/>
      <c r="E2444" s="953"/>
      <c r="F2444" s="953"/>
      <c r="G2444" s="953"/>
      <c r="H2444" s="953"/>
    </row>
    <row r="2445" spans="1:8" x14ac:dyDescent="0.25">
      <c r="A2445" s="952"/>
      <c r="B2445" s="953"/>
      <c r="C2445" s="953"/>
      <c r="D2445" s="953"/>
      <c r="E2445" s="953"/>
      <c r="F2445" s="953"/>
      <c r="G2445" s="953"/>
      <c r="H2445" s="953"/>
    </row>
    <row r="2446" spans="1:8" x14ac:dyDescent="0.25">
      <c r="A2446" s="952"/>
      <c r="B2446" s="953"/>
      <c r="C2446" s="953"/>
      <c r="D2446" s="953"/>
      <c r="E2446" s="953"/>
      <c r="F2446" s="953"/>
      <c r="G2446" s="953"/>
      <c r="H2446" s="953"/>
    </row>
    <row r="2447" spans="1:8" x14ac:dyDescent="0.25">
      <c r="A2447" s="952"/>
      <c r="B2447" s="953"/>
      <c r="C2447" s="953"/>
      <c r="D2447" s="953"/>
      <c r="E2447" s="953"/>
      <c r="F2447" s="953"/>
      <c r="G2447" s="953"/>
      <c r="H2447" s="953"/>
    </row>
    <row r="2448" spans="1:8" x14ac:dyDescent="0.25">
      <c r="A2448" s="952"/>
      <c r="B2448" s="953"/>
      <c r="C2448" s="953"/>
      <c r="D2448" s="953"/>
      <c r="E2448" s="953"/>
      <c r="F2448" s="953"/>
      <c r="G2448" s="953"/>
      <c r="H2448" s="953"/>
    </row>
    <row r="2449" spans="1:8" x14ac:dyDescent="0.25">
      <c r="A2449" s="952"/>
      <c r="B2449" s="953"/>
      <c r="C2449" s="953"/>
      <c r="D2449" s="953"/>
      <c r="E2449" s="953"/>
      <c r="F2449" s="953"/>
      <c r="G2449" s="953"/>
      <c r="H2449" s="953"/>
    </row>
    <row r="2450" spans="1:8" x14ac:dyDescent="0.25">
      <c r="A2450" s="952"/>
      <c r="B2450" s="953"/>
      <c r="C2450" s="953"/>
      <c r="D2450" s="953"/>
      <c r="E2450" s="953"/>
      <c r="F2450" s="953"/>
      <c r="G2450" s="953"/>
      <c r="H2450" s="953"/>
    </row>
    <row r="2451" spans="1:8" x14ac:dyDescent="0.25">
      <c r="A2451" s="952"/>
      <c r="B2451" s="953"/>
      <c r="C2451" s="953"/>
      <c r="D2451" s="953"/>
      <c r="E2451" s="953"/>
      <c r="F2451" s="953"/>
      <c r="G2451" s="953"/>
      <c r="H2451" s="953"/>
    </row>
    <row r="2452" spans="1:8" x14ac:dyDescent="0.25">
      <c r="A2452" s="952"/>
      <c r="B2452" s="953"/>
      <c r="C2452" s="953"/>
      <c r="D2452" s="953"/>
      <c r="E2452" s="953"/>
      <c r="F2452" s="953"/>
      <c r="G2452" s="953"/>
      <c r="H2452" s="953"/>
    </row>
    <row r="2453" spans="1:8" x14ac:dyDescent="0.25">
      <c r="A2453" s="952"/>
      <c r="B2453" s="953"/>
      <c r="C2453" s="953"/>
      <c r="D2453" s="953"/>
      <c r="E2453" s="953"/>
      <c r="F2453" s="953"/>
      <c r="G2453" s="953"/>
      <c r="H2453" s="953"/>
    </row>
    <row r="2454" spans="1:8" x14ac:dyDescent="0.25">
      <c r="A2454" s="952"/>
      <c r="B2454" s="953"/>
      <c r="C2454" s="953"/>
      <c r="D2454" s="953"/>
      <c r="E2454" s="953"/>
      <c r="F2454" s="953"/>
      <c r="G2454" s="953"/>
      <c r="H2454" s="953"/>
    </row>
    <row r="2455" spans="1:8" x14ac:dyDescent="0.25">
      <c r="A2455" s="952"/>
      <c r="B2455" s="953"/>
      <c r="C2455" s="953"/>
      <c r="D2455" s="953"/>
      <c r="E2455" s="953"/>
      <c r="F2455" s="953"/>
      <c r="G2455" s="953"/>
      <c r="H2455" s="953"/>
    </row>
    <row r="2456" spans="1:8" x14ac:dyDescent="0.25">
      <c r="A2456" s="952"/>
      <c r="B2456" s="953"/>
      <c r="C2456" s="953"/>
      <c r="D2456" s="953"/>
      <c r="E2456" s="953"/>
      <c r="F2456" s="953"/>
      <c r="G2456" s="953"/>
      <c r="H2456" s="953"/>
    </row>
    <row r="2457" spans="1:8" x14ac:dyDescent="0.25">
      <c r="A2457" s="952"/>
      <c r="B2457" s="953"/>
      <c r="C2457" s="953"/>
      <c r="D2457" s="953"/>
      <c r="E2457" s="953"/>
      <c r="F2457" s="953"/>
      <c r="G2457" s="953"/>
      <c r="H2457" s="953"/>
    </row>
    <row r="2458" spans="1:8" x14ac:dyDescent="0.25">
      <c r="A2458" s="952"/>
      <c r="B2458" s="953"/>
      <c r="C2458" s="953"/>
      <c r="D2458" s="953"/>
      <c r="E2458" s="953"/>
      <c r="F2458" s="953"/>
      <c r="G2458" s="953"/>
      <c r="H2458" s="953"/>
    </row>
    <row r="2459" spans="1:8" x14ac:dyDescent="0.25">
      <c r="A2459" s="952"/>
      <c r="B2459" s="953"/>
      <c r="C2459" s="953"/>
      <c r="D2459" s="953"/>
      <c r="E2459" s="953"/>
      <c r="F2459" s="953"/>
      <c r="G2459" s="953"/>
      <c r="H2459" s="953"/>
    </row>
    <row r="2460" spans="1:8" x14ac:dyDescent="0.25">
      <c r="A2460" s="952"/>
      <c r="B2460" s="953"/>
      <c r="C2460" s="953"/>
      <c r="D2460" s="953"/>
      <c r="E2460" s="953"/>
      <c r="F2460" s="953"/>
      <c r="G2460" s="953"/>
      <c r="H2460" s="953"/>
    </row>
    <row r="2461" spans="1:8" x14ac:dyDescent="0.25">
      <c r="A2461" s="952"/>
      <c r="B2461" s="953"/>
      <c r="C2461" s="953"/>
      <c r="D2461" s="953"/>
      <c r="E2461" s="953"/>
      <c r="F2461" s="953"/>
      <c r="G2461" s="953"/>
      <c r="H2461" s="953"/>
    </row>
    <row r="2462" spans="1:8" x14ac:dyDescent="0.25">
      <c r="A2462" s="952"/>
      <c r="B2462" s="953"/>
      <c r="C2462" s="953"/>
      <c r="D2462" s="953"/>
      <c r="E2462" s="953"/>
      <c r="F2462" s="953"/>
      <c r="G2462" s="953"/>
      <c r="H2462" s="953"/>
    </row>
    <row r="2463" spans="1:8" x14ac:dyDescent="0.25">
      <c r="A2463" s="952"/>
      <c r="B2463" s="953"/>
      <c r="C2463" s="953"/>
      <c r="D2463" s="953"/>
      <c r="E2463" s="953"/>
      <c r="F2463" s="953"/>
      <c r="G2463" s="953"/>
      <c r="H2463" s="953"/>
    </row>
    <row r="2464" spans="1:8" x14ac:dyDescent="0.25">
      <c r="A2464" s="952"/>
      <c r="B2464" s="953"/>
      <c r="C2464" s="953"/>
      <c r="D2464" s="953"/>
      <c r="E2464" s="953"/>
      <c r="F2464" s="953"/>
      <c r="G2464" s="953"/>
      <c r="H2464" s="953"/>
    </row>
    <row r="2465" spans="1:8" x14ac:dyDescent="0.25">
      <c r="A2465" s="952"/>
      <c r="B2465" s="953"/>
      <c r="C2465" s="953"/>
      <c r="D2465" s="953"/>
      <c r="E2465" s="953"/>
      <c r="F2465" s="953"/>
      <c r="G2465" s="953"/>
      <c r="H2465" s="953"/>
    </row>
    <row r="2466" spans="1:8" x14ac:dyDescent="0.25">
      <c r="A2466" s="952"/>
      <c r="B2466" s="953"/>
      <c r="C2466" s="953"/>
      <c r="D2466" s="953"/>
      <c r="E2466" s="953"/>
      <c r="F2466" s="953"/>
      <c r="G2466" s="953"/>
      <c r="H2466" s="953"/>
    </row>
    <row r="2467" spans="1:8" x14ac:dyDescent="0.25">
      <c r="A2467" s="952"/>
      <c r="B2467" s="953"/>
      <c r="C2467" s="953"/>
      <c r="D2467" s="953"/>
      <c r="E2467" s="953"/>
      <c r="F2467" s="953"/>
      <c r="G2467" s="953"/>
      <c r="H2467" s="953"/>
    </row>
    <row r="2468" spans="1:8" x14ac:dyDescent="0.25">
      <c r="A2468" s="952"/>
      <c r="B2468" s="953"/>
      <c r="C2468" s="953"/>
      <c r="D2468" s="953"/>
      <c r="E2468" s="953"/>
      <c r="F2468" s="953"/>
      <c r="G2468" s="953"/>
      <c r="H2468" s="953"/>
    </row>
    <row r="2469" spans="1:8" x14ac:dyDescent="0.25">
      <c r="A2469" s="952"/>
      <c r="B2469" s="953"/>
      <c r="C2469" s="953"/>
      <c r="D2469" s="953"/>
      <c r="E2469" s="953"/>
      <c r="F2469" s="953"/>
      <c r="G2469" s="953"/>
      <c r="H2469" s="953"/>
    </row>
    <row r="2470" spans="1:8" x14ac:dyDescent="0.25">
      <c r="A2470" s="952"/>
      <c r="B2470" s="953"/>
      <c r="C2470" s="953"/>
      <c r="D2470" s="953"/>
      <c r="E2470" s="953"/>
      <c r="F2470" s="953"/>
      <c r="G2470" s="953"/>
      <c r="H2470" s="953"/>
    </row>
    <row r="2471" spans="1:8" x14ac:dyDescent="0.25">
      <c r="A2471" s="952"/>
      <c r="B2471" s="953"/>
      <c r="C2471" s="953"/>
      <c r="D2471" s="953"/>
      <c r="E2471" s="953"/>
      <c r="F2471" s="953"/>
      <c r="G2471" s="953"/>
      <c r="H2471" s="953"/>
    </row>
    <row r="2472" spans="1:8" x14ac:dyDescent="0.25">
      <c r="A2472" s="952"/>
      <c r="B2472" s="953"/>
      <c r="C2472" s="953"/>
      <c r="D2472" s="953"/>
      <c r="E2472" s="953"/>
      <c r="F2472" s="953"/>
      <c r="G2472" s="953"/>
      <c r="H2472" s="953"/>
    </row>
    <row r="2473" spans="1:8" x14ac:dyDescent="0.25">
      <c r="A2473" s="952"/>
      <c r="B2473" s="953"/>
      <c r="C2473" s="953"/>
      <c r="D2473" s="953"/>
      <c r="E2473" s="953"/>
      <c r="F2473" s="953"/>
      <c r="G2473" s="953"/>
      <c r="H2473" s="953"/>
    </row>
    <row r="2474" spans="1:8" x14ac:dyDescent="0.25">
      <c r="A2474" s="952"/>
      <c r="B2474" s="953"/>
      <c r="C2474" s="953"/>
      <c r="D2474" s="953"/>
      <c r="E2474" s="953"/>
      <c r="F2474" s="953"/>
      <c r="G2474" s="953"/>
      <c r="H2474" s="953"/>
    </row>
    <row r="2475" spans="1:8" x14ac:dyDescent="0.25">
      <c r="A2475" s="952"/>
      <c r="B2475" s="953"/>
      <c r="C2475" s="953"/>
      <c r="D2475" s="953"/>
      <c r="E2475" s="953"/>
      <c r="F2475" s="953"/>
      <c r="G2475" s="953"/>
      <c r="H2475" s="953"/>
    </row>
    <row r="2476" spans="1:8" x14ac:dyDescent="0.25">
      <c r="A2476" s="952"/>
      <c r="B2476" s="953"/>
      <c r="C2476" s="953"/>
      <c r="D2476" s="953"/>
      <c r="E2476" s="953"/>
      <c r="F2476" s="953"/>
      <c r="G2476" s="953"/>
      <c r="H2476" s="953"/>
    </row>
    <row r="2477" spans="1:8" x14ac:dyDescent="0.25">
      <c r="A2477" s="952"/>
      <c r="B2477" s="953"/>
      <c r="C2477" s="953"/>
      <c r="D2477" s="953"/>
      <c r="E2477" s="953"/>
      <c r="F2477" s="953"/>
      <c r="G2477" s="953"/>
      <c r="H2477" s="953"/>
    </row>
    <row r="2478" spans="1:8" x14ac:dyDescent="0.25">
      <c r="A2478" s="952"/>
      <c r="B2478" s="953"/>
      <c r="C2478" s="953"/>
      <c r="D2478" s="953"/>
      <c r="E2478" s="953"/>
      <c r="F2478" s="953"/>
      <c r="G2478" s="953"/>
      <c r="H2478" s="953"/>
    </row>
    <row r="2479" spans="1:8" x14ac:dyDescent="0.25">
      <c r="A2479" s="952"/>
      <c r="B2479" s="953"/>
      <c r="C2479" s="953"/>
      <c r="D2479" s="953"/>
      <c r="E2479" s="953"/>
      <c r="F2479" s="953"/>
      <c r="G2479" s="953"/>
      <c r="H2479" s="953"/>
    </row>
    <row r="2480" spans="1:8" x14ac:dyDescent="0.25">
      <c r="A2480" s="952"/>
      <c r="B2480" s="953"/>
      <c r="C2480" s="953"/>
      <c r="D2480" s="953"/>
      <c r="E2480" s="953"/>
      <c r="F2480" s="953"/>
      <c r="G2480" s="953"/>
      <c r="H2480" s="953"/>
    </row>
    <row r="2481" spans="1:8" x14ac:dyDescent="0.25">
      <c r="A2481" s="952"/>
      <c r="B2481" s="953"/>
      <c r="C2481" s="953"/>
      <c r="D2481" s="953"/>
      <c r="E2481" s="953"/>
      <c r="F2481" s="953"/>
      <c r="G2481" s="953"/>
      <c r="H2481" s="953"/>
    </row>
    <row r="2482" spans="1:8" x14ac:dyDescent="0.25">
      <c r="A2482" s="952"/>
      <c r="B2482" s="953"/>
      <c r="C2482" s="953"/>
      <c r="D2482" s="953"/>
      <c r="E2482" s="953"/>
      <c r="F2482" s="953"/>
      <c r="G2482" s="953"/>
      <c r="H2482" s="953"/>
    </row>
    <row r="2483" spans="1:8" x14ac:dyDescent="0.25">
      <c r="A2483" s="952"/>
      <c r="B2483" s="953"/>
      <c r="C2483" s="953"/>
      <c r="D2483" s="953"/>
      <c r="E2483" s="953"/>
      <c r="F2483" s="953"/>
      <c r="G2483" s="953"/>
      <c r="H2483" s="953"/>
    </row>
    <row r="2484" spans="1:8" x14ac:dyDescent="0.25">
      <c r="A2484" s="952"/>
      <c r="B2484" s="953"/>
      <c r="C2484" s="953"/>
      <c r="D2484" s="953"/>
      <c r="E2484" s="953"/>
      <c r="F2484" s="953"/>
      <c r="G2484" s="953"/>
      <c r="H2484" s="953"/>
    </row>
    <row r="2485" spans="1:8" x14ac:dyDescent="0.25">
      <c r="A2485" s="952"/>
      <c r="B2485" s="953"/>
      <c r="C2485" s="953"/>
      <c r="D2485" s="953"/>
      <c r="E2485" s="953"/>
      <c r="F2485" s="953"/>
      <c r="G2485" s="953"/>
      <c r="H2485" s="953"/>
    </row>
    <row r="2486" spans="1:8" x14ac:dyDescent="0.25">
      <c r="A2486" s="952"/>
      <c r="B2486" s="953"/>
      <c r="C2486" s="953"/>
      <c r="D2486" s="953"/>
      <c r="E2486" s="953"/>
      <c r="F2486" s="953"/>
      <c r="G2486" s="953"/>
      <c r="H2486" s="953"/>
    </row>
    <row r="2487" spans="1:8" x14ac:dyDescent="0.25">
      <c r="A2487" s="952"/>
      <c r="B2487" s="953"/>
      <c r="C2487" s="953"/>
      <c r="D2487" s="953"/>
      <c r="E2487" s="953"/>
      <c r="F2487" s="953"/>
      <c r="G2487" s="953"/>
      <c r="H2487" s="953"/>
    </row>
    <row r="2488" spans="1:8" x14ac:dyDescent="0.25">
      <c r="A2488" s="952"/>
      <c r="B2488" s="953"/>
      <c r="C2488" s="953"/>
      <c r="D2488" s="953"/>
      <c r="E2488" s="953"/>
      <c r="F2488" s="953"/>
      <c r="G2488" s="953"/>
      <c r="H2488" s="953"/>
    </row>
    <row r="2489" spans="1:8" x14ac:dyDescent="0.25">
      <c r="A2489" s="952"/>
      <c r="B2489" s="953"/>
      <c r="C2489" s="953"/>
      <c r="D2489" s="953"/>
      <c r="E2489" s="953"/>
      <c r="F2489" s="953"/>
      <c r="G2489" s="953"/>
      <c r="H2489" s="953"/>
    </row>
    <row r="2490" spans="1:8" x14ac:dyDescent="0.25">
      <c r="A2490" s="952"/>
      <c r="B2490" s="953"/>
      <c r="C2490" s="953"/>
      <c r="D2490" s="953"/>
      <c r="E2490" s="953"/>
      <c r="F2490" s="953"/>
      <c r="G2490" s="953"/>
      <c r="H2490" s="953"/>
    </row>
    <row r="2491" spans="1:8" x14ac:dyDescent="0.25">
      <c r="A2491" s="952"/>
      <c r="B2491" s="953"/>
      <c r="C2491" s="953"/>
      <c r="D2491" s="953"/>
      <c r="E2491" s="953"/>
      <c r="F2491" s="953"/>
      <c r="G2491" s="953"/>
      <c r="H2491" s="953"/>
    </row>
    <row r="2492" spans="1:8" x14ac:dyDescent="0.25">
      <c r="A2492" s="952"/>
      <c r="B2492" s="953"/>
      <c r="C2492" s="953"/>
      <c r="D2492" s="953"/>
      <c r="E2492" s="953"/>
      <c r="F2492" s="953"/>
      <c r="G2492" s="953"/>
      <c r="H2492" s="953"/>
    </row>
    <row r="2493" spans="1:8" x14ac:dyDescent="0.25">
      <c r="A2493" s="952"/>
      <c r="B2493" s="953"/>
      <c r="C2493" s="953"/>
      <c r="D2493" s="953"/>
      <c r="E2493" s="953"/>
      <c r="F2493" s="953"/>
      <c r="G2493" s="953"/>
      <c r="H2493" s="953"/>
    </row>
    <row r="2494" spans="1:8" x14ac:dyDescent="0.25">
      <c r="A2494" s="952"/>
      <c r="B2494" s="953"/>
      <c r="C2494" s="953"/>
      <c r="D2494" s="953"/>
      <c r="E2494" s="953"/>
      <c r="F2494" s="953"/>
      <c r="G2494" s="953"/>
      <c r="H2494" s="953"/>
    </row>
    <row r="2495" spans="1:8" x14ac:dyDescent="0.25">
      <c r="A2495" s="952"/>
      <c r="B2495" s="953"/>
      <c r="C2495" s="953"/>
      <c r="D2495" s="953"/>
      <c r="E2495" s="953"/>
      <c r="F2495" s="953"/>
      <c r="G2495" s="953"/>
      <c r="H2495" s="953"/>
    </row>
    <row r="2496" spans="1:8" x14ac:dyDescent="0.25">
      <c r="A2496" s="952"/>
      <c r="B2496" s="953"/>
      <c r="C2496" s="953"/>
      <c r="D2496" s="953"/>
      <c r="E2496" s="953"/>
      <c r="F2496" s="953"/>
      <c r="G2496" s="953"/>
      <c r="H2496" s="953"/>
    </row>
    <row r="2497" spans="1:8" x14ac:dyDescent="0.25">
      <c r="A2497" s="952"/>
      <c r="B2497" s="953"/>
      <c r="C2497" s="953"/>
      <c r="D2497" s="953"/>
      <c r="E2497" s="953"/>
      <c r="F2497" s="953"/>
      <c r="G2497" s="953"/>
      <c r="H2497" s="953"/>
    </row>
    <row r="2498" spans="1:8" x14ac:dyDescent="0.25">
      <c r="A2498" s="952"/>
      <c r="B2498" s="953"/>
      <c r="C2498" s="953"/>
      <c r="D2498" s="953"/>
      <c r="E2498" s="953"/>
      <c r="F2498" s="953"/>
      <c r="G2498" s="953"/>
      <c r="H2498" s="953"/>
    </row>
    <row r="2499" spans="1:8" x14ac:dyDescent="0.25">
      <c r="A2499" s="952"/>
      <c r="B2499" s="953"/>
      <c r="C2499" s="953"/>
      <c r="D2499" s="953"/>
      <c r="E2499" s="953"/>
      <c r="F2499" s="953"/>
      <c r="G2499" s="953"/>
      <c r="H2499" s="953"/>
    </row>
    <row r="2500" spans="1:8" x14ac:dyDescent="0.25">
      <c r="A2500" s="952"/>
      <c r="B2500" s="953"/>
      <c r="C2500" s="953"/>
      <c r="D2500" s="953"/>
      <c r="E2500" s="953"/>
      <c r="F2500" s="953"/>
      <c r="G2500" s="953"/>
      <c r="H2500" s="953"/>
    </row>
    <row r="2501" spans="1:8" x14ac:dyDescent="0.25">
      <c r="A2501" s="952"/>
      <c r="B2501" s="953"/>
      <c r="C2501" s="953"/>
      <c r="D2501" s="953"/>
      <c r="E2501" s="953"/>
      <c r="F2501" s="953"/>
      <c r="G2501" s="953"/>
      <c r="H2501" s="953"/>
    </row>
    <row r="2502" spans="1:8" x14ac:dyDescent="0.25">
      <c r="A2502" s="952"/>
      <c r="B2502" s="953"/>
      <c r="C2502" s="953"/>
      <c r="D2502" s="953"/>
      <c r="E2502" s="953"/>
      <c r="F2502" s="953"/>
      <c r="G2502" s="953"/>
      <c r="H2502" s="953"/>
    </row>
    <row r="2503" spans="1:8" x14ac:dyDescent="0.25">
      <c r="A2503" s="952"/>
      <c r="B2503" s="953"/>
      <c r="C2503" s="953"/>
      <c r="D2503" s="953"/>
      <c r="E2503" s="953"/>
      <c r="F2503" s="953"/>
      <c r="G2503" s="953"/>
      <c r="H2503" s="953"/>
    </row>
    <row r="2504" spans="1:8" x14ac:dyDescent="0.25">
      <c r="A2504" s="952"/>
      <c r="B2504" s="953"/>
      <c r="C2504" s="953"/>
      <c r="D2504" s="953"/>
      <c r="E2504" s="953"/>
      <c r="F2504" s="953"/>
      <c r="G2504" s="953"/>
      <c r="H2504" s="953"/>
    </row>
    <row r="2505" spans="1:8" x14ac:dyDescent="0.25">
      <c r="A2505" s="952"/>
      <c r="B2505" s="953"/>
      <c r="C2505" s="953"/>
      <c r="D2505" s="953"/>
      <c r="E2505" s="953"/>
      <c r="F2505" s="953"/>
      <c r="G2505" s="953"/>
      <c r="H2505" s="953"/>
    </row>
    <row r="2506" spans="1:8" x14ac:dyDescent="0.25">
      <c r="A2506" s="952"/>
      <c r="B2506" s="953"/>
      <c r="C2506" s="953"/>
      <c r="D2506" s="953"/>
      <c r="E2506" s="953"/>
      <c r="F2506" s="953"/>
      <c r="G2506" s="953"/>
      <c r="H2506" s="953"/>
    </row>
    <row r="2507" spans="1:8" x14ac:dyDescent="0.25">
      <c r="A2507" s="952"/>
      <c r="B2507" s="953"/>
      <c r="C2507" s="953"/>
      <c r="D2507" s="953"/>
      <c r="E2507" s="953"/>
      <c r="F2507" s="953"/>
      <c r="G2507" s="953"/>
      <c r="H2507" s="953"/>
    </row>
    <row r="2508" spans="1:8" x14ac:dyDescent="0.25">
      <c r="A2508" s="952"/>
      <c r="B2508" s="953"/>
      <c r="C2508" s="953"/>
      <c r="D2508" s="953"/>
      <c r="E2508" s="953"/>
      <c r="F2508" s="953"/>
      <c r="G2508" s="953"/>
      <c r="H2508" s="953"/>
    </row>
    <row r="2509" spans="1:8" x14ac:dyDescent="0.25">
      <c r="A2509" s="952"/>
      <c r="B2509" s="953"/>
      <c r="C2509" s="953"/>
      <c r="D2509" s="953"/>
      <c r="E2509" s="953"/>
      <c r="F2509" s="953"/>
      <c r="G2509" s="953"/>
      <c r="H2509" s="953"/>
    </row>
    <row r="2510" spans="1:8" x14ac:dyDescent="0.25">
      <c r="A2510" s="952"/>
      <c r="B2510" s="953"/>
      <c r="C2510" s="953"/>
      <c r="D2510" s="953"/>
      <c r="E2510" s="953"/>
      <c r="F2510" s="953"/>
      <c r="G2510" s="953"/>
      <c r="H2510" s="953"/>
    </row>
    <row r="2511" spans="1:8" x14ac:dyDescent="0.25">
      <c r="A2511" s="952"/>
      <c r="B2511" s="953"/>
      <c r="C2511" s="953"/>
      <c r="D2511" s="953"/>
      <c r="E2511" s="953"/>
      <c r="F2511" s="953"/>
      <c r="G2511" s="953"/>
      <c r="H2511" s="953"/>
    </row>
    <row r="2512" spans="1:8" x14ac:dyDescent="0.25">
      <c r="A2512" s="952"/>
      <c r="B2512" s="953"/>
      <c r="C2512" s="953"/>
      <c r="D2512" s="953"/>
      <c r="E2512" s="953"/>
      <c r="F2512" s="953"/>
      <c r="G2512" s="953"/>
      <c r="H2512" s="953"/>
    </row>
    <row r="2513" spans="1:8" x14ac:dyDescent="0.25">
      <c r="A2513" s="952"/>
      <c r="B2513" s="953"/>
      <c r="C2513" s="953"/>
      <c r="D2513" s="953"/>
      <c r="E2513" s="953"/>
      <c r="F2513" s="953"/>
      <c r="G2513" s="953"/>
      <c r="H2513" s="953"/>
    </row>
    <row r="2514" spans="1:8" x14ac:dyDescent="0.25">
      <c r="A2514" s="952"/>
      <c r="B2514" s="953"/>
      <c r="C2514" s="953"/>
      <c r="D2514" s="953"/>
      <c r="E2514" s="953"/>
      <c r="F2514" s="953"/>
      <c r="G2514" s="953"/>
      <c r="H2514" s="953"/>
    </row>
    <row r="2515" spans="1:8" x14ac:dyDescent="0.25">
      <c r="A2515" s="952"/>
      <c r="B2515" s="953"/>
      <c r="C2515" s="953"/>
      <c r="D2515" s="953"/>
      <c r="E2515" s="953"/>
      <c r="F2515" s="953"/>
      <c r="G2515" s="953"/>
      <c r="H2515" s="953"/>
    </row>
    <row r="2516" spans="1:8" x14ac:dyDescent="0.25">
      <c r="A2516" s="952"/>
      <c r="B2516" s="953"/>
      <c r="C2516" s="953"/>
      <c r="D2516" s="953"/>
      <c r="E2516" s="953"/>
      <c r="F2516" s="953"/>
      <c r="G2516" s="953"/>
      <c r="H2516" s="953"/>
    </row>
    <row r="2517" spans="1:8" x14ac:dyDescent="0.25">
      <c r="A2517" s="952"/>
      <c r="B2517" s="953"/>
      <c r="C2517" s="953"/>
      <c r="D2517" s="953"/>
      <c r="E2517" s="953"/>
      <c r="F2517" s="953"/>
      <c r="G2517" s="953"/>
      <c r="H2517" s="953"/>
    </row>
    <row r="2518" spans="1:8" x14ac:dyDescent="0.25">
      <c r="A2518" s="952"/>
      <c r="B2518" s="953"/>
      <c r="C2518" s="953"/>
      <c r="D2518" s="953"/>
      <c r="E2518" s="953"/>
      <c r="F2518" s="953"/>
      <c r="G2518" s="953"/>
      <c r="H2518" s="953"/>
    </row>
    <row r="2519" spans="1:8" x14ac:dyDescent="0.25">
      <c r="A2519" s="952"/>
      <c r="B2519" s="953"/>
      <c r="C2519" s="953"/>
      <c r="D2519" s="953"/>
      <c r="E2519" s="953"/>
      <c r="F2519" s="953"/>
      <c r="G2519" s="953"/>
      <c r="H2519" s="953"/>
    </row>
    <row r="2520" spans="1:8" x14ac:dyDescent="0.25">
      <c r="A2520" s="952"/>
      <c r="B2520" s="953"/>
      <c r="C2520" s="953"/>
      <c r="D2520" s="953"/>
      <c r="E2520" s="953"/>
      <c r="F2520" s="953"/>
      <c r="G2520" s="953"/>
      <c r="H2520" s="953"/>
    </row>
    <row r="2521" spans="1:8" x14ac:dyDescent="0.25">
      <c r="A2521" s="952"/>
      <c r="B2521" s="953"/>
      <c r="C2521" s="953"/>
      <c r="D2521" s="953"/>
      <c r="E2521" s="953"/>
      <c r="F2521" s="953"/>
      <c r="G2521" s="953"/>
      <c r="H2521" s="953"/>
    </row>
    <row r="2522" spans="1:8" x14ac:dyDescent="0.25">
      <c r="A2522" s="952"/>
      <c r="B2522" s="953"/>
      <c r="C2522" s="953"/>
      <c r="D2522" s="953"/>
      <c r="E2522" s="953"/>
      <c r="F2522" s="953"/>
      <c r="G2522" s="953"/>
      <c r="H2522" s="953"/>
    </row>
    <row r="2523" spans="1:8" x14ac:dyDescent="0.25">
      <c r="A2523" s="952"/>
      <c r="B2523" s="953"/>
      <c r="C2523" s="953"/>
      <c r="D2523" s="953"/>
      <c r="E2523" s="953"/>
      <c r="F2523" s="953"/>
      <c r="G2523" s="953"/>
      <c r="H2523" s="953"/>
    </row>
    <row r="2524" spans="1:8" x14ac:dyDescent="0.25">
      <c r="A2524" s="952"/>
      <c r="B2524" s="953"/>
      <c r="C2524" s="953"/>
      <c r="D2524" s="953"/>
      <c r="E2524" s="953"/>
      <c r="F2524" s="953"/>
      <c r="G2524" s="953"/>
      <c r="H2524" s="953"/>
    </row>
    <row r="2525" spans="1:8" x14ac:dyDescent="0.25">
      <c r="A2525" s="952"/>
      <c r="B2525" s="953"/>
      <c r="C2525" s="953"/>
      <c r="D2525" s="953"/>
      <c r="E2525" s="953"/>
      <c r="F2525" s="953"/>
      <c r="G2525" s="953"/>
      <c r="H2525" s="953"/>
    </row>
    <row r="2526" spans="1:8" x14ac:dyDescent="0.25">
      <c r="A2526" s="952"/>
      <c r="B2526" s="953"/>
      <c r="C2526" s="953"/>
      <c r="D2526" s="953"/>
      <c r="E2526" s="953"/>
      <c r="F2526" s="953"/>
      <c r="G2526" s="953"/>
      <c r="H2526" s="953"/>
    </row>
    <row r="2527" spans="1:8" x14ac:dyDescent="0.25">
      <c r="A2527" s="952"/>
      <c r="B2527" s="953"/>
      <c r="C2527" s="953"/>
      <c r="D2527" s="953"/>
      <c r="E2527" s="953"/>
      <c r="F2527" s="953"/>
      <c r="G2527" s="953"/>
      <c r="H2527" s="953"/>
    </row>
    <row r="2528" spans="1:8" x14ac:dyDescent="0.25">
      <c r="A2528" s="952"/>
      <c r="B2528" s="953"/>
      <c r="C2528" s="953"/>
      <c r="D2528" s="953"/>
      <c r="E2528" s="953"/>
      <c r="F2528" s="953"/>
      <c r="G2528" s="953"/>
      <c r="H2528" s="953"/>
    </row>
    <row r="2529" spans="1:8" x14ac:dyDescent="0.25">
      <c r="A2529" s="952"/>
      <c r="B2529" s="953"/>
      <c r="C2529" s="953"/>
      <c r="D2529" s="953"/>
      <c r="E2529" s="953"/>
      <c r="F2529" s="953"/>
      <c r="G2529" s="953"/>
      <c r="H2529" s="953"/>
    </row>
    <row r="2530" spans="1:8" x14ac:dyDescent="0.25">
      <c r="A2530" s="952"/>
      <c r="B2530" s="953"/>
      <c r="C2530" s="953"/>
      <c r="D2530" s="953"/>
      <c r="E2530" s="953"/>
      <c r="F2530" s="953"/>
      <c r="G2530" s="953"/>
      <c r="H2530" s="953"/>
    </row>
    <row r="2531" spans="1:8" x14ac:dyDescent="0.25">
      <c r="A2531" s="952"/>
      <c r="B2531" s="953"/>
      <c r="C2531" s="953"/>
      <c r="D2531" s="953"/>
      <c r="E2531" s="953"/>
      <c r="F2531" s="953"/>
      <c r="G2531" s="953"/>
      <c r="H2531" s="953"/>
    </row>
    <row r="2532" spans="1:8" x14ac:dyDescent="0.25">
      <c r="A2532" s="952"/>
      <c r="B2532" s="953"/>
      <c r="C2532" s="953"/>
      <c r="D2532" s="953"/>
      <c r="E2532" s="953"/>
      <c r="F2532" s="953"/>
      <c r="G2532" s="953"/>
      <c r="H2532" s="953"/>
    </row>
    <row r="2533" spans="1:8" x14ac:dyDescent="0.25">
      <c r="A2533" s="952"/>
      <c r="B2533" s="953"/>
      <c r="C2533" s="953"/>
      <c r="D2533" s="953"/>
      <c r="E2533" s="953"/>
      <c r="F2533" s="953"/>
      <c r="G2533" s="953"/>
      <c r="H2533" s="953"/>
    </row>
    <row r="2534" spans="1:8" x14ac:dyDescent="0.25">
      <c r="A2534" s="952"/>
      <c r="B2534" s="953"/>
      <c r="C2534" s="953"/>
      <c r="D2534" s="953"/>
      <c r="E2534" s="953"/>
      <c r="F2534" s="953"/>
      <c r="G2534" s="953"/>
      <c r="H2534" s="953"/>
    </row>
    <row r="2535" spans="1:8" x14ac:dyDescent="0.25">
      <c r="A2535" s="952"/>
      <c r="B2535" s="953"/>
      <c r="C2535" s="953"/>
      <c r="D2535" s="953"/>
      <c r="E2535" s="953"/>
      <c r="F2535" s="953"/>
      <c r="G2535" s="953"/>
      <c r="H2535" s="953"/>
    </row>
    <row r="2536" spans="1:8" x14ac:dyDescent="0.25">
      <c r="A2536" s="952"/>
      <c r="B2536" s="953"/>
      <c r="C2536" s="953"/>
      <c r="D2536" s="953"/>
      <c r="E2536" s="953"/>
      <c r="F2536" s="953"/>
      <c r="G2536" s="953"/>
      <c r="H2536" s="953"/>
    </row>
    <row r="2537" spans="1:8" x14ac:dyDescent="0.25">
      <c r="A2537" s="952"/>
      <c r="B2537" s="953"/>
      <c r="C2537" s="953"/>
      <c r="D2537" s="953"/>
      <c r="E2537" s="953"/>
      <c r="F2537" s="953"/>
      <c r="G2537" s="953"/>
      <c r="H2537" s="953"/>
    </row>
    <row r="2538" spans="1:8" x14ac:dyDescent="0.25">
      <c r="A2538" s="952"/>
      <c r="B2538" s="953"/>
      <c r="C2538" s="953"/>
      <c r="D2538" s="953"/>
      <c r="E2538" s="953"/>
      <c r="F2538" s="953"/>
      <c r="G2538" s="953"/>
      <c r="H2538" s="953"/>
    </row>
    <row r="2539" spans="1:8" x14ac:dyDescent="0.25">
      <c r="A2539" s="952"/>
      <c r="B2539" s="953"/>
      <c r="C2539" s="953"/>
      <c r="D2539" s="953"/>
      <c r="E2539" s="953"/>
      <c r="F2539" s="953"/>
      <c r="G2539" s="953"/>
      <c r="H2539" s="953"/>
    </row>
    <row r="2540" spans="1:8" x14ac:dyDescent="0.25">
      <c r="A2540" s="952"/>
      <c r="B2540" s="953"/>
      <c r="C2540" s="953"/>
      <c r="D2540" s="953"/>
      <c r="E2540" s="953"/>
      <c r="F2540" s="953"/>
      <c r="G2540" s="953"/>
      <c r="H2540" s="953"/>
    </row>
    <row r="2541" spans="1:8" x14ac:dyDescent="0.25">
      <c r="A2541" s="952"/>
      <c r="B2541" s="953"/>
      <c r="C2541" s="953"/>
      <c r="D2541" s="953"/>
      <c r="E2541" s="953"/>
      <c r="F2541" s="953"/>
      <c r="G2541" s="953"/>
      <c r="H2541" s="953"/>
    </row>
    <row r="2542" spans="1:8" x14ac:dyDescent="0.25">
      <c r="A2542" s="952"/>
      <c r="B2542" s="953"/>
      <c r="C2542" s="953"/>
      <c r="D2542" s="953"/>
      <c r="E2542" s="953"/>
      <c r="F2542" s="953"/>
      <c r="G2542" s="953"/>
      <c r="H2542" s="953"/>
    </row>
    <row r="2543" spans="1:8" x14ac:dyDescent="0.25">
      <c r="A2543" s="952"/>
      <c r="B2543" s="953"/>
      <c r="C2543" s="953"/>
      <c r="D2543" s="953"/>
      <c r="E2543" s="953"/>
      <c r="F2543" s="953"/>
      <c r="G2543" s="953"/>
      <c r="H2543" s="953"/>
    </row>
    <row r="2544" spans="1:8" x14ac:dyDescent="0.25">
      <c r="A2544" s="952"/>
      <c r="B2544" s="953"/>
      <c r="C2544" s="953"/>
      <c r="D2544" s="953"/>
      <c r="E2544" s="953"/>
      <c r="F2544" s="953"/>
      <c r="G2544" s="953"/>
      <c r="H2544" s="953"/>
    </row>
    <row r="2545" spans="1:8" x14ac:dyDescent="0.25">
      <c r="A2545" s="952"/>
      <c r="B2545" s="953"/>
      <c r="C2545" s="953"/>
      <c r="D2545" s="953"/>
      <c r="E2545" s="953"/>
      <c r="F2545" s="953"/>
      <c r="G2545" s="953"/>
      <c r="H2545" s="953"/>
    </row>
    <row r="2546" spans="1:8" x14ac:dyDescent="0.25">
      <c r="A2546" s="952"/>
      <c r="B2546" s="953"/>
      <c r="C2546" s="953"/>
      <c r="D2546" s="953"/>
      <c r="E2546" s="953"/>
      <c r="F2546" s="953"/>
      <c r="G2546" s="953"/>
      <c r="H2546" s="953"/>
    </row>
    <row r="2547" spans="1:8" x14ac:dyDescent="0.25">
      <c r="A2547" s="952"/>
      <c r="B2547" s="953"/>
      <c r="C2547" s="953"/>
      <c r="D2547" s="953"/>
      <c r="E2547" s="953"/>
      <c r="F2547" s="953"/>
      <c r="G2547" s="953"/>
      <c r="H2547" s="953"/>
    </row>
    <row r="2548" spans="1:8" x14ac:dyDescent="0.25">
      <c r="A2548" s="952"/>
      <c r="B2548" s="953"/>
      <c r="C2548" s="953"/>
      <c r="D2548" s="953"/>
      <c r="E2548" s="953"/>
      <c r="F2548" s="953"/>
      <c r="G2548" s="953"/>
      <c r="H2548" s="953"/>
    </row>
    <row r="2549" spans="1:8" x14ac:dyDescent="0.25">
      <c r="A2549" s="952"/>
      <c r="B2549" s="953"/>
      <c r="C2549" s="953"/>
      <c r="D2549" s="953"/>
      <c r="E2549" s="953"/>
      <c r="F2549" s="953"/>
      <c r="G2549" s="953"/>
      <c r="H2549" s="953"/>
    </row>
    <row r="2550" spans="1:8" x14ac:dyDescent="0.25">
      <c r="A2550" s="952"/>
      <c r="B2550" s="953"/>
      <c r="C2550" s="953"/>
      <c r="D2550" s="953"/>
      <c r="E2550" s="953"/>
      <c r="F2550" s="953"/>
      <c r="G2550" s="953"/>
      <c r="H2550" s="953"/>
    </row>
    <row r="2551" spans="1:8" x14ac:dyDescent="0.25">
      <c r="A2551" s="952"/>
      <c r="B2551" s="953"/>
      <c r="C2551" s="953"/>
      <c r="D2551" s="953"/>
      <c r="E2551" s="953"/>
      <c r="F2551" s="953"/>
      <c r="G2551" s="953"/>
      <c r="H2551" s="953"/>
    </row>
    <row r="2552" spans="1:8" x14ac:dyDescent="0.25">
      <c r="A2552" s="952"/>
      <c r="B2552" s="953"/>
      <c r="C2552" s="953"/>
      <c r="D2552" s="953"/>
      <c r="E2552" s="953"/>
      <c r="F2552" s="953"/>
      <c r="G2552" s="953"/>
      <c r="H2552" s="953"/>
    </row>
    <row r="2553" spans="1:8" x14ac:dyDescent="0.25">
      <c r="A2553" s="952"/>
      <c r="B2553" s="953"/>
      <c r="C2553" s="953"/>
      <c r="D2553" s="953"/>
      <c r="E2553" s="953"/>
      <c r="F2553" s="953"/>
      <c r="G2553" s="953"/>
      <c r="H2553" s="953"/>
    </row>
    <row r="2554" spans="1:8" x14ac:dyDescent="0.25">
      <c r="A2554" s="952"/>
      <c r="B2554" s="953"/>
      <c r="C2554" s="953"/>
      <c r="D2554" s="953"/>
      <c r="E2554" s="953"/>
      <c r="F2554" s="953"/>
      <c r="G2554" s="953"/>
      <c r="H2554" s="953"/>
    </row>
    <row r="2555" spans="1:8" x14ac:dyDescent="0.25">
      <c r="A2555" s="952"/>
      <c r="B2555" s="953"/>
      <c r="C2555" s="953"/>
      <c r="D2555" s="953"/>
      <c r="E2555" s="953"/>
      <c r="F2555" s="953"/>
      <c r="G2555" s="953"/>
      <c r="H2555" s="953"/>
    </row>
    <row r="2556" spans="1:8" x14ac:dyDescent="0.25">
      <c r="A2556" s="952"/>
      <c r="B2556" s="953"/>
      <c r="C2556" s="953"/>
      <c r="D2556" s="953"/>
      <c r="E2556" s="953"/>
      <c r="F2556" s="953"/>
      <c r="G2556" s="953"/>
      <c r="H2556" s="953"/>
    </row>
    <row r="2557" spans="1:8" x14ac:dyDescent="0.25">
      <c r="A2557" s="952"/>
      <c r="B2557" s="953"/>
      <c r="C2557" s="953"/>
      <c r="D2557" s="953"/>
      <c r="E2557" s="953"/>
      <c r="F2557" s="953"/>
      <c r="G2557" s="953"/>
      <c r="H2557" s="953"/>
    </row>
    <row r="2558" spans="1:8" x14ac:dyDescent="0.25">
      <c r="A2558" s="952"/>
      <c r="B2558" s="953"/>
      <c r="C2558" s="953"/>
      <c r="D2558" s="953"/>
      <c r="E2558" s="953"/>
      <c r="F2558" s="953"/>
      <c r="G2558" s="953"/>
      <c r="H2558" s="953"/>
    </row>
    <row r="2559" spans="1:8" x14ac:dyDescent="0.25">
      <c r="A2559" s="952"/>
      <c r="B2559" s="953"/>
      <c r="C2559" s="953"/>
      <c r="D2559" s="953"/>
      <c r="E2559" s="953"/>
      <c r="F2559" s="953"/>
      <c r="G2559" s="953"/>
      <c r="H2559" s="953"/>
    </row>
    <row r="2560" spans="1:8" x14ac:dyDescent="0.25">
      <c r="A2560" s="952"/>
      <c r="B2560" s="953"/>
      <c r="C2560" s="953"/>
      <c r="D2560" s="953"/>
      <c r="E2560" s="953"/>
      <c r="F2560" s="953"/>
      <c r="G2560" s="953"/>
      <c r="H2560" s="953"/>
    </row>
    <row r="2561" spans="1:8" x14ac:dyDescent="0.25">
      <c r="A2561" s="952"/>
      <c r="B2561" s="953"/>
      <c r="C2561" s="953"/>
      <c r="D2561" s="953"/>
      <c r="E2561" s="953"/>
      <c r="F2561" s="953"/>
      <c r="G2561" s="953"/>
      <c r="H2561" s="953"/>
    </row>
    <row r="2562" spans="1:8" x14ac:dyDescent="0.25">
      <c r="A2562" s="952"/>
      <c r="B2562" s="953"/>
      <c r="C2562" s="953"/>
      <c r="D2562" s="953"/>
      <c r="E2562" s="953"/>
      <c r="F2562" s="953"/>
      <c r="G2562" s="953"/>
      <c r="H2562" s="953"/>
    </row>
    <row r="2563" spans="1:8" x14ac:dyDescent="0.25">
      <c r="A2563" s="952"/>
      <c r="B2563" s="953"/>
      <c r="C2563" s="953"/>
      <c r="D2563" s="953"/>
      <c r="E2563" s="953"/>
      <c r="F2563" s="953"/>
      <c r="G2563" s="953"/>
      <c r="H2563" s="953"/>
    </row>
    <row r="2564" spans="1:8" x14ac:dyDescent="0.25">
      <c r="A2564" s="952"/>
      <c r="B2564" s="953"/>
      <c r="C2564" s="953"/>
      <c r="D2564" s="953"/>
      <c r="E2564" s="953"/>
      <c r="F2564" s="953"/>
      <c r="G2564" s="953"/>
      <c r="H2564" s="953"/>
    </row>
    <row r="2565" spans="1:8" x14ac:dyDescent="0.25">
      <c r="A2565" s="952"/>
      <c r="B2565" s="953"/>
      <c r="C2565" s="953"/>
      <c r="D2565" s="953"/>
      <c r="E2565" s="953"/>
      <c r="F2565" s="953"/>
      <c r="G2565" s="953"/>
      <c r="H2565" s="953"/>
    </row>
    <row r="2566" spans="1:8" x14ac:dyDescent="0.25">
      <c r="A2566" s="952"/>
      <c r="B2566" s="953"/>
      <c r="C2566" s="953"/>
      <c r="D2566" s="953"/>
      <c r="E2566" s="953"/>
      <c r="F2566" s="953"/>
      <c r="G2566" s="953"/>
      <c r="H2566" s="953"/>
    </row>
    <row r="2567" spans="1:8" x14ac:dyDescent="0.25">
      <c r="A2567" s="952"/>
      <c r="B2567" s="953"/>
      <c r="C2567" s="953"/>
      <c r="D2567" s="953"/>
      <c r="E2567" s="953"/>
      <c r="F2567" s="953"/>
      <c r="G2567" s="953"/>
      <c r="H2567" s="953"/>
    </row>
    <row r="2568" spans="1:8" x14ac:dyDescent="0.25">
      <c r="A2568" s="952"/>
      <c r="B2568" s="953"/>
      <c r="C2568" s="953"/>
      <c r="D2568" s="953"/>
      <c r="E2568" s="953"/>
      <c r="F2568" s="953"/>
      <c r="G2568" s="953"/>
      <c r="H2568" s="953"/>
    </row>
    <row r="2569" spans="1:8" x14ac:dyDescent="0.25">
      <c r="A2569" s="952"/>
      <c r="B2569" s="953"/>
      <c r="C2569" s="953"/>
      <c r="D2569" s="953"/>
      <c r="E2569" s="953"/>
      <c r="F2569" s="953"/>
      <c r="G2569" s="953"/>
      <c r="H2569" s="953"/>
    </row>
    <row r="2570" spans="1:8" x14ac:dyDescent="0.25">
      <c r="A2570" s="952"/>
      <c r="B2570" s="953"/>
      <c r="C2570" s="953"/>
      <c r="D2570" s="953"/>
      <c r="E2570" s="953"/>
      <c r="F2570" s="953"/>
      <c r="G2570" s="953"/>
      <c r="H2570" s="953"/>
    </row>
    <row r="2571" spans="1:8" x14ac:dyDescent="0.25">
      <c r="A2571" s="952"/>
      <c r="B2571" s="953"/>
      <c r="C2571" s="953"/>
      <c r="D2571" s="953"/>
      <c r="E2571" s="953"/>
      <c r="F2571" s="953"/>
      <c r="G2571" s="953"/>
      <c r="H2571" s="953"/>
    </row>
    <row r="2572" spans="1:8" x14ac:dyDescent="0.25">
      <c r="A2572" s="952"/>
      <c r="B2572" s="953"/>
      <c r="C2572" s="953"/>
      <c r="D2572" s="953"/>
      <c r="E2572" s="953"/>
      <c r="F2572" s="953"/>
      <c r="G2572" s="953"/>
      <c r="H2572" s="953"/>
    </row>
    <row r="2573" spans="1:8" x14ac:dyDescent="0.25">
      <c r="A2573" s="952"/>
      <c r="B2573" s="953"/>
      <c r="C2573" s="953"/>
      <c r="D2573" s="953"/>
      <c r="E2573" s="953"/>
      <c r="F2573" s="953"/>
      <c r="G2573" s="953"/>
      <c r="H2573" s="953"/>
    </row>
    <row r="2574" spans="1:8" x14ac:dyDescent="0.25">
      <c r="A2574" s="952"/>
      <c r="B2574" s="953"/>
      <c r="C2574" s="953"/>
      <c r="D2574" s="953"/>
      <c r="E2574" s="953"/>
      <c r="F2574" s="953"/>
      <c r="G2574" s="953"/>
      <c r="H2574" s="953"/>
    </row>
    <row r="2575" spans="1:8" x14ac:dyDescent="0.25">
      <c r="A2575" s="952"/>
      <c r="B2575" s="953"/>
      <c r="C2575" s="953"/>
      <c r="D2575" s="953"/>
      <c r="E2575" s="953"/>
      <c r="F2575" s="953"/>
      <c r="G2575" s="953"/>
      <c r="H2575" s="953"/>
    </row>
    <row r="2576" spans="1:8" x14ac:dyDescent="0.25">
      <c r="A2576" s="952"/>
      <c r="B2576" s="953"/>
      <c r="C2576" s="953"/>
      <c r="D2576" s="953"/>
      <c r="E2576" s="953"/>
      <c r="F2576" s="953"/>
      <c r="G2576" s="953"/>
      <c r="H2576" s="953"/>
    </row>
    <row r="2577" spans="1:8" x14ac:dyDescent="0.25">
      <c r="A2577" s="952"/>
      <c r="B2577" s="953"/>
      <c r="C2577" s="953"/>
      <c r="D2577" s="953"/>
      <c r="E2577" s="953"/>
      <c r="F2577" s="953"/>
      <c r="G2577" s="953"/>
      <c r="H2577" s="953"/>
    </row>
    <row r="2578" spans="1:8" x14ac:dyDescent="0.25">
      <c r="A2578" s="952"/>
      <c r="B2578" s="953"/>
      <c r="C2578" s="953"/>
      <c r="D2578" s="953"/>
      <c r="E2578" s="953"/>
      <c r="F2578" s="953"/>
      <c r="G2578" s="953"/>
      <c r="H2578" s="953"/>
    </row>
    <row r="2579" spans="1:8" x14ac:dyDescent="0.25">
      <c r="A2579" s="952"/>
      <c r="B2579" s="953"/>
      <c r="C2579" s="953"/>
      <c r="D2579" s="953"/>
      <c r="E2579" s="953"/>
      <c r="F2579" s="953"/>
      <c r="G2579" s="953"/>
      <c r="H2579" s="953"/>
    </row>
    <row r="2580" spans="1:8" x14ac:dyDescent="0.25">
      <c r="A2580" s="952"/>
      <c r="B2580" s="953"/>
      <c r="C2580" s="953"/>
      <c r="D2580" s="953"/>
      <c r="E2580" s="953"/>
      <c r="F2580" s="953"/>
      <c r="G2580" s="953"/>
      <c r="H2580" s="953"/>
    </row>
    <row r="2581" spans="1:8" x14ac:dyDescent="0.25">
      <c r="A2581" s="952"/>
      <c r="B2581" s="953"/>
      <c r="C2581" s="953"/>
      <c r="D2581" s="953"/>
      <c r="E2581" s="953"/>
      <c r="F2581" s="953"/>
      <c r="G2581" s="953"/>
      <c r="H2581" s="953"/>
    </row>
    <row r="2582" spans="1:8" x14ac:dyDescent="0.25">
      <c r="A2582" s="952"/>
      <c r="B2582" s="953"/>
      <c r="C2582" s="953"/>
      <c r="D2582" s="953"/>
      <c r="E2582" s="953"/>
      <c r="F2582" s="953"/>
      <c r="G2582" s="953"/>
      <c r="H2582" s="953"/>
    </row>
    <row r="2583" spans="1:8" x14ac:dyDescent="0.25">
      <c r="A2583" s="952"/>
      <c r="B2583" s="953"/>
      <c r="C2583" s="953"/>
      <c r="D2583" s="953"/>
      <c r="E2583" s="953"/>
      <c r="F2583" s="953"/>
      <c r="G2583" s="953"/>
      <c r="H2583" s="953"/>
    </row>
    <row r="2584" spans="1:8" x14ac:dyDescent="0.25">
      <c r="A2584" s="952"/>
      <c r="B2584" s="953"/>
      <c r="C2584" s="953"/>
      <c r="D2584" s="953"/>
      <c r="E2584" s="953"/>
      <c r="F2584" s="953"/>
      <c r="G2584" s="953"/>
      <c r="H2584" s="953"/>
    </row>
    <row r="2585" spans="1:8" x14ac:dyDescent="0.25">
      <c r="A2585" s="952"/>
      <c r="B2585" s="953"/>
      <c r="C2585" s="953"/>
      <c r="D2585" s="953"/>
      <c r="E2585" s="953"/>
      <c r="F2585" s="953"/>
      <c r="G2585" s="953"/>
      <c r="H2585" s="953"/>
    </row>
    <row r="2586" spans="1:8" x14ac:dyDescent="0.25">
      <c r="A2586" s="952"/>
      <c r="B2586" s="953"/>
      <c r="C2586" s="953"/>
      <c r="D2586" s="953"/>
      <c r="E2586" s="953"/>
      <c r="F2586" s="953"/>
      <c r="G2586" s="953"/>
      <c r="H2586" s="953"/>
    </row>
    <row r="2587" spans="1:8" x14ac:dyDescent="0.25">
      <c r="A2587" s="952"/>
      <c r="B2587" s="953"/>
      <c r="C2587" s="953"/>
      <c r="D2587" s="953"/>
      <c r="E2587" s="953"/>
      <c r="F2587" s="953"/>
      <c r="G2587" s="953"/>
      <c r="H2587" s="953"/>
    </row>
    <row r="2588" spans="1:8" x14ac:dyDescent="0.25">
      <c r="A2588" s="952"/>
      <c r="B2588" s="953"/>
      <c r="C2588" s="953"/>
      <c r="D2588" s="953"/>
      <c r="E2588" s="953"/>
      <c r="F2588" s="953"/>
      <c r="G2588" s="953"/>
      <c r="H2588" s="953"/>
    </row>
    <row r="2589" spans="1:8" x14ac:dyDescent="0.25">
      <c r="A2589" s="952"/>
      <c r="B2589" s="953"/>
      <c r="C2589" s="953"/>
      <c r="D2589" s="953"/>
      <c r="E2589" s="953"/>
      <c r="F2589" s="953"/>
      <c r="G2589" s="953"/>
      <c r="H2589" s="953"/>
    </row>
    <row r="2590" spans="1:8" x14ac:dyDescent="0.25">
      <c r="A2590" s="952"/>
      <c r="B2590" s="953"/>
      <c r="C2590" s="953"/>
      <c r="D2590" s="953"/>
      <c r="E2590" s="953"/>
      <c r="F2590" s="953"/>
      <c r="G2590" s="953"/>
      <c r="H2590" s="953"/>
    </row>
    <row r="2591" spans="1:8" x14ac:dyDescent="0.25">
      <c r="A2591" s="952"/>
      <c r="B2591" s="953"/>
      <c r="C2591" s="953"/>
      <c r="D2591" s="953"/>
      <c r="E2591" s="953"/>
      <c r="F2591" s="953"/>
      <c r="G2591" s="953"/>
      <c r="H2591" s="953"/>
    </row>
    <row r="2592" spans="1:8" x14ac:dyDescent="0.25">
      <c r="A2592" s="952"/>
      <c r="B2592" s="953"/>
      <c r="C2592" s="953"/>
      <c r="D2592" s="953"/>
      <c r="E2592" s="953"/>
      <c r="F2592" s="953"/>
      <c r="G2592" s="953"/>
      <c r="H2592" s="953"/>
    </row>
    <row r="2593" spans="1:8" x14ac:dyDescent="0.25">
      <c r="A2593" s="952"/>
      <c r="B2593" s="953"/>
      <c r="C2593" s="953"/>
      <c r="D2593" s="953"/>
      <c r="E2593" s="953"/>
      <c r="F2593" s="953"/>
      <c r="G2593" s="953"/>
      <c r="H2593" s="953"/>
    </row>
    <row r="2594" spans="1:8" x14ac:dyDescent="0.25">
      <c r="A2594" s="952"/>
      <c r="B2594" s="953"/>
      <c r="C2594" s="953"/>
      <c r="D2594" s="953"/>
      <c r="E2594" s="953"/>
      <c r="F2594" s="953"/>
      <c r="G2594" s="953"/>
      <c r="H2594" s="953"/>
    </row>
    <row r="2595" spans="1:8" x14ac:dyDescent="0.25">
      <c r="A2595" s="952"/>
      <c r="B2595" s="953"/>
      <c r="C2595" s="953"/>
      <c r="D2595" s="953"/>
      <c r="E2595" s="953"/>
      <c r="F2595" s="953"/>
      <c r="G2595" s="953"/>
      <c r="H2595" s="953"/>
    </row>
    <row r="2596" spans="1:8" x14ac:dyDescent="0.25">
      <c r="A2596" s="952"/>
      <c r="B2596" s="953"/>
      <c r="C2596" s="953"/>
      <c r="D2596" s="953"/>
      <c r="E2596" s="953"/>
      <c r="F2596" s="953"/>
      <c r="G2596" s="953"/>
      <c r="H2596" s="953"/>
    </row>
    <row r="2597" spans="1:8" x14ac:dyDescent="0.25">
      <c r="A2597" s="952"/>
      <c r="B2597" s="953"/>
      <c r="C2597" s="953"/>
      <c r="D2597" s="953"/>
      <c r="E2597" s="953"/>
      <c r="F2597" s="953"/>
      <c r="G2597" s="953"/>
      <c r="H2597" s="953"/>
    </row>
    <row r="2598" spans="1:8" x14ac:dyDescent="0.25">
      <c r="A2598" s="952"/>
      <c r="B2598" s="953"/>
      <c r="C2598" s="953"/>
      <c r="D2598" s="953"/>
      <c r="E2598" s="953"/>
      <c r="F2598" s="953"/>
      <c r="G2598" s="953"/>
      <c r="H2598" s="953"/>
    </row>
    <row r="2599" spans="1:8" x14ac:dyDescent="0.25">
      <c r="A2599" s="952"/>
      <c r="B2599" s="953"/>
      <c r="C2599" s="953"/>
      <c r="D2599" s="953"/>
      <c r="E2599" s="953"/>
      <c r="F2599" s="953"/>
      <c r="G2599" s="953"/>
      <c r="H2599" s="953"/>
    </row>
    <row r="2600" spans="1:8" x14ac:dyDescent="0.25">
      <c r="A2600" s="952"/>
      <c r="B2600" s="953"/>
      <c r="C2600" s="953"/>
      <c r="D2600" s="953"/>
      <c r="E2600" s="953"/>
      <c r="F2600" s="953"/>
      <c r="G2600" s="953"/>
      <c r="H2600" s="953"/>
    </row>
    <row r="2601" spans="1:8" x14ac:dyDescent="0.25">
      <c r="A2601" s="952"/>
      <c r="B2601" s="953"/>
      <c r="C2601" s="953"/>
      <c r="D2601" s="953"/>
      <c r="E2601" s="953"/>
      <c r="F2601" s="953"/>
      <c r="G2601" s="953"/>
      <c r="H2601" s="953"/>
    </row>
    <row r="2602" spans="1:8" x14ac:dyDescent="0.25">
      <c r="A2602" s="952"/>
      <c r="B2602" s="953"/>
      <c r="C2602" s="953"/>
      <c r="D2602" s="953"/>
      <c r="E2602" s="953"/>
      <c r="F2602" s="953"/>
      <c r="G2602" s="953"/>
      <c r="H2602" s="953"/>
    </row>
    <row r="2603" spans="1:8" x14ac:dyDescent="0.25">
      <c r="A2603" s="952"/>
      <c r="B2603" s="953"/>
      <c r="C2603" s="953"/>
      <c r="D2603" s="953"/>
      <c r="E2603" s="953"/>
      <c r="F2603" s="953"/>
      <c r="G2603" s="953"/>
      <c r="H2603" s="953"/>
    </row>
    <row r="2604" spans="1:8" x14ac:dyDescent="0.25">
      <c r="A2604" s="952"/>
      <c r="B2604" s="953"/>
      <c r="C2604" s="953"/>
      <c r="D2604" s="953"/>
      <c r="E2604" s="953"/>
      <c r="F2604" s="953"/>
      <c r="G2604" s="953"/>
      <c r="H2604" s="953"/>
    </row>
    <row r="2605" spans="1:8" x14ac:dyDescent="0.25">
      <c r="A2605" s="952"/>
      <c r="B2605" s="953"/>
      <c r="C2605" s="953"/>
      <c r="D2605" s="953"/>
      <c r="E2605" s="953"/>
      <c r="F2605" s="953"/>
      <c r="G2605" s="953"/>
      <c r="H2605" s="953"/>
    </row>
    <row r="2606" spans="1:8" x14ac:dyDescent="0.25">
      <c r="A2606" s="952"/>
      <c r="B2606" s="953"/>
      <c r="C2606" s="953"/>
      <c r="D2606" s="953"/>
      <c r="E2606" s="953"/>
      <c r="F2606" s="953"/>
      <c r="G2606" s="953"/>
      <c r="H2606" s="953"/>
    </row>
    <row r="2607" spans="1:8" x14ac:dyDescent="0.25">
      <c r="A2607" s="952"/>
      <c r="B2607" s="953"/>
      <c r="C2607" s="953"/>
      <c r="D2607" s="953"/>
      <c r="E2607" s="953"/>
      <c r="F2607" s="953"/>
      <c r="G2607" s="953"/>
      <c r="H2607" s="953"/>
    </row>
    <row r="2608" spans="1:8" x14ac:dyDescent="0.25">
      <c r="A2608" s="952"/>
      <c r="B2608" s="953"/>
      <c r="C2608" s="953"/>
      <c r="D2608" s="953"/>
      <c r="E2608" s="953"/>
      <c r="F2608" s="953"/>
      <c r="G2608" s="953"/>
      <c r="H2608" s="953"/>
    </row>
    <row r="2609" spans="1:8" x14ac:dyDescent="0.25">
      <c r="A2609" s="952"/>
      <c r="B2609" s="953"/>
      <c r="C2609" s="953"/>
      <c r="D2609" s="953"/>
      <c r="E2609" s="953"/>
      <c r="F2609" s="953"/>
      <c r="G2609" s="953"/>
      <c r="H2609" s="953"/>
    </row>
    <row r="2610" spans="1:8" x14ac:dyDescent="0.25">
      <c r="A2610" s="952"/>
      <c r="B2610" s="953"/>
      <c r="C2610" s="953"/>
      <c r="D2610" s="953"/>
      <c r="E2610" s="953"/>
      <c r="F2610" s="953"/>
      <c r="G2610" s="953"/>
      <c r="H2610" s="953"/>
    </row>
    <row r="2611" spans="1:8" x14ac:dyDescent="0.25">
      <c r="A2611" s="952"/>
      <c r="B2611" s="953"/>
      <c r="C2611" s="953"/>
      <c r="D2611" s="953"/>
      <c r="E2611" s="953"/>
      <c r="F2611" s="953"/>
      <c r="G2611" s="953"/>
      <c r="H2611" s="953"/>
    </row>
    <row r="2612" spans="1:8" x14ac:dyDescent="0.25">
      <c r="A2612" s="952"/>
      <c r="B2612" s="953"/>
      <c r="C2612" s="953"/>
      <c r="D2612" s="953"/>
      <c r="E2612" s="953"/>
      <c r="F2612" s="953"/>
      <c r="G2612" s="953"/>
      <c r="H2612" s="953"/>
    </row>
    <row r="2613" spans="1:8" x14ac:dyDescent="0.25">
      <c r="A2613" s="952"/>
      <c r="B2613" s="953"/>
      <c r="C2613" s="953"/>
      <c r="D2613" s="953"/>
      <c r="E2613" s="953"/>
      <c r="F2613" s="953"/>
      <c r="G2613" s="953"/>
      <c r="H2613" s="953"/>
    </row>
    <row r="2614" spans="1:8" x14ac:dyDescent="0.25">
      <c r="A2614" s="952"/>
      <c r="B2614" s="953"/>
      <c r="C2614" s="953"/>
      <c r="D2614" s="953"/>
      <c r="E2614" s="953"/>
      <c r="F2614" s="953"/>
      <c r="G2614" s="953"/>
      <c r="H2614" s="953"/>
    </row>
    <row r="2615" spans="1:8" x14ac:dyDescent="0.25">
      <c r="A2615" s="952"/>
      <c r="B2615" s="953"/>
      <c r="C2615" s="953"/>
      <c r="D2615" s="953"/>
      <c r="E2615" s="953"/>
      <c r="F2615" s="953"/>
      <c r="G2615" s="953"/>
      <c r="H2615" s="953"/>
    </row>
    <row r="2616" spans="1:8" x14ac:dyDescent="0.25">
      <c r="A2616" s="952"/>
      <c r="B2616" s="953"/>
      <c r="C2616" s="953"/>
      <c r="D2616" s="953"/>
      <c r="E2616" s="953"/>
      <c r="F2616" s="953"/>
      <c r="G2616" s="953"/>
      <c r="H2616" s="953"/>
    </row>
    <row r="2617" spans="1:8" x14ac:dyDescent="0.25">
      <c r="A2617" s="952"/>
      <c r="B2617" s="953"/>
      <c r="C2617" s="953"/>
      <c r="D2617" s="953"/>
      <c r="E2617" s="953"/>
      <c r="F2617" s="953"/>
      <c r="G2617" s="953"/>
      <c r="H2617" s="953"/>
    </row>
    <row r="2618" spans="1:8" x14ac:dyDescent="0.25">
      <c r="A2618" s="952"/>
      <c r="B2618" s="953"/>
      <c r="C2618" s="953"/>
      <c r="D2618" s="953"/>
      <c r="E2618" s="953"/>
      <c r="F2618" s="953"/>
      <c r="G2618" s="953"/>
      <c r="H2618" s="953"/>
    </row>
    <row r="2619" spans="1:8" x14ac:dyDescent="0.25">
      <c r="A2619" s="952"/>
      <c r="B2619" s="953"/>
      <c r="C2619" s="953"/>
      <c r="D2619" s="953"/>
      <c r="E2619" s="953"/>
      <c r="F2619" s="953"/>
      <c r="G2619" s="953"/>
      <c r="H2619" s="953"/>
    </row>
    <row r="2620" spans="1:8" x14ac:dyDescent="0.25">
      <c r="A2620" s="952"/>
      <c r="B2620" s="953"/>
      <c r="C2620" s="953"/>
      <c r="D2620" s="953"/>
      <c r="E2620" s="953"/>
      <c r="F2620" s="953"/>
      <c r="G2620" s="953"/>
      <c r="H2620" s="953"/>
    </row>
    <row r="2621" spans="1:8" x14ac:dyDescent="0.25">
      <c r="A2621" s="952"/>
      <c r="B2621" s="953"/>
      <c r="C2621" s="953"/>
      <c r="D2621" s="953"/>
      <c r="E2621" s="953"/>
      <c r="F2621" s="953"/>
      <c r="G2621" s="953"/>
      <c r="H2621" s="953"/>
    </row>
    <row r="2622" spans="1:8" x14ac:dyDescent="0.25">
      <c r="A2622" s="952"/>
      <c r="B2622" s="953"/>
      <c r="C2622" s="953"/>
      <c r="D2622" s="953"/>
      <c r="E2622" s="953"/>
      <c r="F2622" s="953"/>
      <c r="G2622" s="953"/>
      <c r="H2622" s="953"/>
    </row>
    <row r="2623" spans="1:8" x14ac:dyDescent="0.25">
      <c r="A2623" s="952"/>
      <c r="B2623" s="953"/>
      <c r="C2623" s="953"/>
      <c r="D2623" s="953"/>
      <c r="E2623" s="953"/>
      <c r="F2623" s="953"/>
      <c r="G2623" s="953"/>
      <c r="H2623" s="953"/>
    </row>
    <row r="2624" spans="1:8" x14ac:dyDescent="0.25">
      <c r="A2624" s="952"/>
      <c r="B2624" s="953"/>
      <c r="C2624" s="953"/>
      <c r="D2624" s="953"/>
      <c r="E2624" s="953"/>
      <c r="F2624" s="953"/>
      <c r="G2624" s="953"/>
      <c r="H2624" s="953"/>
    </row>
    <row r="2625" spans="1:8" x14ac:dyDescent="0.25">
      <c r="A2625" s="952"/>
      <c r="B2625" s="953"/>
      <c r="C2625" s="953"/>
      <c r="D2625" s="953"/>
      <c r="E2625" s="953"/>
      <c r="F2625" s="953"/>
      <c r="G2625" s="953"/>
      <c r="H2625" s="953"/>
    </row>
    <row r="2626" spans="1:8" x14ac:dyDescent="0.25">
      <c r="A2626" s="952"/>
      <c r="B2626" s="953"/>
      <c r="C2626" s="953"/>
      <c r="D2626" s="953"/>
      <c r="E2626" s="953"/>
      <c r="F2626" s="953"/>
      <c r="G2626" s="953"/>
      <c r="H2626" s="953"/>
    </row>
    <row r="2627" spans="1:8" x14ac:dyDescent="0.25">
      <c r="A2627" s="952"/>
      <c r="B2627" s="953"/>
      <c r="C2627" s="953"/>
      <c r="D2627" s="953"/>
      <c r="E2627" s="953"/>
      <c r="F2627" s="953"/>
      <c r="G2627" s="953"/>
      <c r="H2627" s="953"/>
    </row>
    <row r="2628" spans="1:8" x14ac:dyDescent="0.25">
      <c r="A2628" s="952"/>
      <c r="B2628" s="953"/>
      <c r="C2628" s="953"/>
      <c r="D2628" s="953"/>
      <c r="E2628" s="953"/>
      <c r="F2628" s="953"/>
      <c r="G2628" s="953"/>
      <c r="H2628" s="953"/>
    </row>
    <row r="2629" spans="1:8" x14ac:dyDescent="0.25">
      <c r="A2629" s="952"/>
      <c r="B2629" s="953"/>
      <c r="C2629" s="953"/>
      <c r="D2629" s="953"/>
      <c r="E2629" s="953"/>
      <c r="F2629" s="953"/>
      <c r="G2629" s="953"/>
      <c r="H2629" s="953"/>
    </row>
    <row r="2630" spans="1:8" x14ac:dyDescent="0.25">
      <c r="A2630" s="952"/>
      <c r="B2630" s="953"/>
      <c r="C2630" s="953"/>
      <c r="D2630" s="953"/>
      <c r="E2630" s="953"/>
      <c r="F2630" s="953"/>
      <c r="G2630" s="953"/>
      <c r="H2630" s="953"/>
    </row>
    <row r="2631" spans="1:8" x14ac:dyDescent="0.25">
      <c r="A2631" s="952"/>
      <c r="B2631" s="953"/>
      <c r="C2631" s="953"/>
      <c r="D2631" s="953"/>
      <c r="E2631" s="953"/>
      <c r="F2631" s="953"/>
      <c r="G2631" s="953"/>
      <c r="H2631" s="953"/>
    </row>
    <row r="2632" spans="1:8" x14ac:dyDescent="0.25">
      <c r="A2632" s="952"/>
      <c r="B2632" s="953"/>
      <c r="C2632" s="953"/>
      <c r="D2632" s="953"/>
      <c r="E2632" s="953"/>
      <c r="F2632" s="953"/>
      <c r="G2632" s="953"/>
      <c r="H2632" s="953"/>
    </row>
    <row r="2633" spans="1:8" x14ac:dyDescent="0.25">
      <c r="A2633" s="952"/>
      <c r="B2633" s="953"/>
      <c r="C2633" s="953"/>
      <c r="D2633" s="953"/>
      <c r="E2633" s="953"/>
      <c r="F2633" s="953"/>
      <c r="G2633" s="953"/>
      <c r="H2633" s="953"/>
    </row>
    <row r="2634" spans="1:8" x14ac:dyDescent="0.25">
      <c r="A2634" s="952"/>
      <c r="B2634" s="953"/>
      <c r="C2634" s="953"/>
      <c r="D2634" s="953"/>
      <c r="E2634" s="953"/>
      <c r="F2634" s="953"/>
      <c r="G2634" s="953"/>
      <c r="H2634" s="953"/>
    </row>
    <row r="2635" spans="1:8" x14ac:dyDescent="0.25">
      <c r="A2635" s="952"/>
      <c r="B2635" s="953"/>
      <c r="C2635" s="953"/>
      <c r="D2635" s="953"/>
      <c r="E2635" s="953"/>
      <c r="F2635" s="953"/>
      <c r="G2635" s="953"/>
      <c r="H2635" s="953"/>
    </row>
    <row r="2636" spans="1:8" x14ac:dyDescent="0.25">
      <c r="A2636" s="952"/>
      <c r="B2636" s="953"/>
      <c r="C2636" s="953"/>
      <c r="D2636" s="953"/>
      <c r="E2636" s="953"/>
      <c r="F2636" s="953"/>
      <c r="G2636" s="953"/>
      <c r="H2636" s="953"/>
    </row>
    <row r="2637" spans="1:8" x14ac:dyDescent="0.25">
      <c r="A2637" s="952"/>
      <c r="B2637" s="953"/>
      <c r="C2637" s="953"/>
      <c r="D2637" s="953"/>
      <c r="E2637" s="953"/>
      <c r="F2637" s="953"/>
      <c r="G2637" s="953"/>
      <c r="H2637" s="953"/>
    </row>
    <row r="2638" spans="1:8" x14ac:dyDescent="0.25">
      <c r="A2638" s="952"/>
      <c r="B2638" s="953"/>
      <c r="C2638" s="953"/>
      <c r="D2638" s="953"/>
      <c r="E2638" s="953"/>
      <c r="F2638" s="953"/>
      <c r="G2638" s="953"/>
      <c r="H2638" s="953"/>
    </row>
    <row r="2639" spans="1:8" x14ac:dyDescent="0.25">
      <c r="A2639" s="952"/>
      <c r="B2639" s="953"/>
      <c r="C2639" s="953"/>
      <c r="D2639" s="953"/>
      <c r="E2639" s="953"/>
      <c r="F2639" s="953"/>
      <c r="G2639" s="953"/>
      <c r="H2639" s="953"/>
    </row>
    <row r="2640" spans="1:8" x14ac:dyDescent="0.25">
      <c r="A2640" s="952"/>
      <c r="B2640" s="953"/>
      <c r="C2640" s="953"/>
      <c r="D2640" s="953"/>
      <c r="E2640" s="953"/>
      <c r="F2640" s="953"/>
      <c r="G2640" s="953"/>
      <c r="H2640" s="953"/>
    </row>
    <row r="2641" spans="1:8" x14ac:dyDescent="0.25">
      <c r="A2641" s="952"/>
      <c r="B2641" s="953"/>
      <c r="C2641" s="953"/>
      <c r="D2641" s="953"/>
      <c r="E2641" s="953"/>
      <c r="F2641" s="953"/>
      <c r="G2641" s="953"/>
      <c r="H2641" s="953"/>
    </row>
    <row r="2642" spans="1:8" x14ac:dyDescent="0.25">
      <c r="A2642" s="952"/>
      <c r="B2642" s="953"/>
      <c r="C2642" s="953"/>
      <c r="D2642" s="953"/>
      <c r="E2642" s="953"/>
      <c r="F2642" s="953"/>
      <c r="G2642" s="953"/>
      <c r="H2642" s="953"/>
    </row>
    <row r="2643" spans="1:8" x14ac:dyDescent="0.25">
      <c r="A2643" s="952"/>
      <c r="B2643" s="953"/>
      <c r="C2643" s="953"/>
      <c r="D2643" s="953"/>
      <c r="E2643" s="953"/>
      <c r="F2643" s="953"/>
      <c r="G2643" s="953"/>
      <c r="H2643" s="953"/>
    </row>
    <row r="2644" spans="1:8" x14ac:dyDescent="0.25">
      <c r="A2644" s="952"/>
      <c r="B2644" s="953"/>
      <c r="C2644" s="953"/>
      <c r="D2644" s="953"/>
      <c r="E2644" s="953"/>
      <c r="F2644" s="953"/>
      <c r="G2644" s="953"/>
      <c r="H2644" s="953"/>
    </row>
    <row r="2645" spans="1:8" x14ac:dyDescent="0.25">
      <c r="A2645" s="952"/>
      <c r="B2645" s="953"/>
      <c r="C2645" s="953"/>
      <c r="D2645" s="953"/>
      <c r="E2645" s="953"/>
      <c r="F2645" s="953"/>
      <c r="G2645" s="953"/>
      <c r="H2645" s="953"/>
    </row>
    <row r="2646" spans="1:8" x14ac:dyDescent="0.25">
      <c r="A2646" s="952"/>
      <c r="B2646" s="953"/>
      <c r="C2646" s="953"/>
      <c r="D2646" s="953"/>
      <c r="E2646" s="953"/>
      <c r="F2646" s="953"/>
      <c r="G2646" s="953"/>
      <c r="H2646" s="953"/>
    </row>
    <row r="2647" spans="1:8" x14ac:dyDescent="0.25">
      <c r="A2647" s="952"/>
      <c r="B2647" s="953"/>
      <c r="C2647" s="953"/>
      <c r="D2647" s="953"/>
      <c r="E2647" s="953"/>
      <c r="F2647" s="953"/>
      <c r="G2647" s="953"/>
      <c r="H2647" s="953"/>
    </row>
    <row r="2648" spans="1:8" x14ac:dyDescent="0.25">
      <c r="A2648" s="952"/>
      <c r="B2648" s="953"/>
      <c r="C2648" s="953"/>
      <c r="D2648" s="953"/>
      <c r="E2648" s="953"/>
      <c r="F2648" s="953"/>
      <c r="G2648" s="953"/>
      <c r="H2648" s="953"/>
    </row>
    <row r="2649" spans="1:8" x14ac:dyDescent="0.25">
      <c r="A2649" s="952"/>
      <c r="B2649" s="953"/>
      <c r="C2649" s="953"/>
      <c r="D2649" s="953"/>
      <c r="E2649" s="953"/>
      <c r="F2649" s="953"/>
      <c r="G2649" s="953"/>
      <c r="H2649" s="953"/>
    </row>
    <row r="2650" spans="1:8" x14ac:dyDescent="0.25">
      <c r="A2650" s="952"/>
      <c r="B2650" s="953"/>
      <c r="C2650" s="953"/>
      <c r="D2650" s="953"/>
      <c r="E2650" s="953"/>
      <c r="F2650" s="953"/>
      <c r="G2650" s="953"/>
      <c r="H2650" s="953"/>
    </row>
    <row r="2651" spans="1:8" x14ac:dyDescent="0.25">
      <c r="A2651" s="952"/>
      <c r="B2651" s="953"/>
      <c r="C2651" s="953"/>
      <c r="D2651" s="953"/>
      <c r="E2651" s="953"/>
      <c r="F2651" s="953"/>
      <c r="G2651" s="953"/>
      <c r="H2651" s="953"/>
    </row>
    <row r="2652" spans="1:8" x14ac:dyDescent="0.25">
      <c r="A2652" s="952"/>
      <c r="B2652" s="953"/>
      <c r="C2652" s="953"/>
      <c r="D2652" s="953"/>
      <c r="E2652" s="953"/>
      <c r="F2652" s="953"/>
      <c r="G2652" s="953"/>
      <c r="H2652" s="953"/>
    </row>
    <row r="2653" spans="1:8" x14ac:dyDescent="0.25">
      <c r="A2653" s="952"/>
      <c r="B2653" s="953"/>
      <c r="C2653" s="953"/>
      <c r="D2653" s="953"/>
      <c r="E2653" s="953"/>
      <c r="F2653" s="953"/>
      <c r="G2653" s="953"/>
      <c r="H2653" s="953"/>
    </row>
    <row r="2654" spans="1:8" x14ac:dyDescent="0.25">
      <c r="A2654" s="952"/>
      <c r="B2654" s="953"/>
      <c r="C2654" s="953"/>
      <c r="D2654" s="953"/>
      <c r="E2654" s="953"/>
      <c r="F2654" s="953"/>
      <c r="G2654" s="953"/>
      <c r="H2654" s="953"/>
    </row>
    <row r="2655" spans="1:8" x14ac:dyDescent="0.25">
      <c r="A2655" s="952"/>
      <c r="B2655" s="953"/>
      <c r="C2655" s="953"/>
      <c r="D2655" s="953"/>
      <c r="E2655" s="953"/>
      <c r="F2655" s="953"/>
      <c r="G2655" s="953"/>
      <c r="H2655" s="953"/>
    </row>
    <row r="2656" spans="1:8" x14ac:dyDescent="0.25">
      <c r="A2656" s="952"/>
      <c r="B2656" s="953"/>
      <c r="C2656" s="953"/>
      <c r="D2656" s="953"/>
      <c r="E2656" s="953"/>
      <c r="F2656" s="953"/>
      <c r="G2656" s="953"/>
      <c r="H2656" s="953"/>
    </row>
    <row r="2657" spans="1:8" x14ac:dyDescent="0.25">
      <c r="A2657" s="952"/>
      <c r="B2657" s="953"/>
      <c r="C2657" s="953"/>
      <c r="D2657" s="953"/>
      <c r="E2657" s="953"/>
      <c r="F2657" s="953"/>
      <c r="G2657" s="953"/>
      <c r="H2657" s="953"/>
    </row>
    <row r="2658" spans="1:8" x14ac:dyDescent="0.25">
      <c r="A2658" s="952"/>
      <c r="B2658" s="953"/>
      <c r="C2658" s="953"/>
      <c r="D2658" s="953"/>
      <c r="E2658" s="953"/>
      <c r="F2658" s="953"/>
      <c r="G2658" s="953"/>
      <c r="H2658" s="953"/>
    </row>
    <row r="2659" spans="1:8" x14ac:dyDescent="0.25">
      <c r="A2659" s="952"/>
      <c r="B2659" s="953"/>
      <c r="C2659" s="953"/>
      <c r="D2659" s="953"/>
      <c r="E2659" s="953"/>
      <c r="F2659" s="953"/>
      <c r="G2659" s="953"/>
      <c r="H2659" s="953"/>
    </row>
    <row r="2660" spans="1:8" x14ac:dyDescent="0.25">
      <c r="A2660" s="952"/>
      <c r="B2660" s="953"/>
      <c r="C2660" s="953"/>
      <c r="D2660" s="953"/>
      <c r="E2660" s="953"/>
      <c r="F2660" s="953"/>
      <c r="G2660" s="953"/>
      <c r="H2660" s="953"/>
    </row>
    <row r="2661" spans="1:8" x14ac:dyDescent="0.25">
      <c r="A2661" s="952"/>
      <c r="B2661" s="953"/>
      <c r="C2661" s="953"/>
      <c r="D2661" s="953"/>
      <c r="E2661" s="953"/>
      <c r="F2661" s="953"/>
      <c r="G2661" s="953"/>
      <c r="H2661" s="953"/>
    </row>
    <row r="2662" spans="1:8" x14ac:dyDescent="0.25">
      <c r="A2662" s="952"/>
      <c r="B2662" s="953"/>
      <c r="C2662" s="953"/>
      <c r="D2662" s="953"/>
      <c r="E2662" s="953"/>
      <c r="F2662" s="953"/>
      <c r="G2662" s="953"/>
      <c r="H2662" s="953"/>
    </row>
    <row r="2663" spans="1:8" x14ac:dyDescent="0.25">
      <c r="A2663" s="952"/>
      <c r="B2663" s="953"/>
      <c r="C2663" s="953"/>
      <c r="D2663" s="953"/>
      <c r="E2663" s="953"/>
      <c r="F2663" s="953"/>
      <c r="G2663" s="953"/>
      <c r="H2663" s="953"/>
    </row>
    <row r="2664" spans="1:8" x14ac:dyDescent="0.25">
      <c r="A2664" s="952"/>
      <c r="B2664" s="953"/>
      <c r="C2664" s="953"/>
      <c r="D2664" s="953"/>
      <c r="E2664" s="953"/>
      <c r="F2664" s="953"/>
      <c r="G2664" s="953"/>
      <c r="H2664" s="953"/>
    </row>
    <row r="2665" spans="1:8" x14ac:dyDescent="0.25">
      <c r="A2665" s="952"/>
      <c r="B2665" s="953"/>
      <c r="C2665" s="953"/>
      <c r="D2665" s="953"/>
      <c r="E2665" s="953"/>
      <c r="F2665" s="953"/>
      <c r="G2665" s="953"/>
      <c r="H2665" s="953"/>
    </row>
    <row r="2666" spans="1:8" x14ac:dyDescent="0.25">
      <c r="A2666" s="952"/>
      <c r="B2666" s="953"/>
      <c r="C2666" s="953"/>
      <c r="D2666" s="953"/>
      <c r="E2666" s="953"/>
      <c r="F2666" s="953"/>
      <c r="G2666" s="953"/>
      <c r="H2666" s="953"/>
    </row>
    <row r="2667" spans="1:8" x14ac:dyDescent="0.25">
      <c r="A2667" s="952"/>
      <c r="B2667" s="953"/>
      <c r="C2667" s="953"/>
      <c r="D2667" s="953"/>
      <c r="E2667" s="953"/>
      <c r="F2667" s="953"/>
      <c r="G2667" s="953"/>
      <c r="H2667" s="953"/>
    </row>
    <row r="2668" spans="1:8" x14ac:dyDescent="0.25">
      <c r="A2668" s="952"/>
      <c r="B2668" s="953"/>
      <c r="C2668" s="953"/>
      <c r="D2668" s="953"/>
      <c r="E2668" s="953"/>
      <c r="F2668" s="953"/>
      <c r="G2668" s="953"/>
      <c r="H2668" s="953"/>
    </row>
    <row r="2669" spans="1:8" x14ac:dyDescent="0.25">
      <c r="A2669" s="952"/>
      <c r="B2669" s="953"/>
      <c r="C2669" s="953"/>
      <c r="D2669" s="953"/>
      <c r="E2669" s="953"/>
      <c r="F2669" s="953"/>
      <c r="G2669" s="953"/>
      <c r="H2669" s="953"/>
    </row>
    <row r="2670" spans="1:8" x14ac:dyDescent="0.25">
      <c r="A2670" s="952"/>
      <c r="B2670" s="953"/>
      <c r="C2670" s="953"/>
      <c r="D2670" s="953"/>
      <c r="E2670" s="953"/>
      <c r="F2670" s="953"/>
      <c r="G2670" s="953"/>
      <c r="H2670" s="953"/>
    </row>
    <row r="2671" spans="1:8" x14ac:dyDescent="0.25">
      <c r="A2671" s="952"/>
      <c r="B2671" s="953"/>
      <c r="C2671" s="953"/>
      <c r="D2671" s="953"/>
      <c r="E2671" s="953"/>
      <c r="F2671" s="953"/>
      <c r="G2671" s="953"/>
      <c r="H2671" s="953"/>
    </row>
    <row r="2672" spans="1:8" x14ac:dyDescent="0.25">
      <c r="A2672" s="952"/>
      <c r="B2672" s="953"/>
      <c r="C2672" s="953"/>
      <c r="D2672" s="953"/>
      <c r="E2672" s="953"/>
      <c r="F2672" s="953"/>
      <c r="G2672" s="953"/>
      <c r="H2672" s="953"/>
    </row>
    <row r="2673" spans="1:8" x14ac:dyDescent="0.25">
      <c r="A2673" s="952"/>
      <c r="B2673" s="953"/>
      <c r="C2673" s="953"/>
      <c r="D2673" s="953"/>
      <c r="E2673" s="953"/>
      <c r="F2673" s="953"/>
      <c r="G2673" s="953"/>
      <c r="H2673" s="953"/>
    </row>
    <row r="2674" spans="1:8" x14ac:dyDescent="0.25">
      <c r="A2674" s="952"/>
      <c r="B2674" s="953"/>
      <c r="C2674" s="953"/>
      <c r="D2674" s="953"/>
      <c r="E2674" s="953"/>
      <c r="F2674" s="953"/>
      <c r="G2674" s="953"/>
      <c r="H2674" s="953"/>
    </row>
    <row r="2675" spans="1:8" x14ac:dyDescent="0.25">
      <c r="A2675" s="952"/>
      <c r="B2675" s="953"/>
      <c r="C2675" s="953"/>
      <c r="D2675" s="953"/>
      <c r="E2675" s="953"/>
      <c r="F2675" s="953"/>
      <c r="G2675" s="953"/>
      <c r="H2675" s="953"/>
    </row>
    <row r="2676" spans="1:8" x14ac:dyDescent="0.25">
      <c r="A2676" s="952"/>
      <c r="B2676" s="953"/>
      <c r="C2676" s="953"/>
      <c r="D2676" s="953"/>
      <c r="E2676" s="953"/>
      <c r="F2676" s="953"/>
      <c r="G2676" s="953"/>
      <c r="H2676" s="953"/>
    </row>
    <row r="2677" spans="1:8" x14ac:dyDescent="0.25">
      <c r="A2677" s="952"/>
      <c r="B2677" s="953"/>
      <c r="C2677" s="953"/>
      <c r="D2677" s="953"/>
      <c r="E2677" s="953"/>
      <c r="F2677" s="953"/>
      <c r="G2677" s="953"/>
      <c r="H2677" s="953"/>
    </row>
    <row r="2678" spans="1:8" x14ac:dyDescent="0.25">
      <c r="A2678" s="952"/>
      <c r="B2678" s="953"/>
      <c r="C2678" s="953"/>
      <c r="D2678" s="953"/>
      <c r="E2678" s="953"/>
      <c r="F2678" s="953"/>
      <c r="G2678" s="953"/>
      <c r="H2678" s="953"/>
    </row>
    <row r="2679" spans="1:8" x14ac:dyDescent="0.25">
      <c r="A2679" s="952"/>
      <c r="B2679" s="953"/>
      <c r="C2679" s="953"/>
      <c r="D2679" s="953"/>
      <c r="E2679" s="953"/>
      <c r="F2679" s="953"/>
      <c r="G2679" s="953"/>
      <c r="H2679" s="953"/>
    </row>
    <row r="2680" spans="1:8" x14ac:dyDescent="0.25">
      <c r="A2680" s="952"/>
      <c r="B2680" s="953"/>
      <c r="C2680" s="953"/>
      <c r="D2680" s="953"/>
      <c r="E2680" s="953"/>
      <c r="F2680" s="953"/>
      <c r="G2680" s="953"/>
      <c r="H2680" s="953"/>
    </row>
    <row r="2681" spans="1:8" x14ac:dyDescent="0.25">
      <c r="A2681" s="952"/>
      <c r="B2681" s="953"/>
      <c r="C2681" s="953"/>
      <c r="D2681" s="953"/>
      <c r="E2681" s="953"/>
      <c r="F2681" s="953"/>
      <c r="G2681" s="953"/>
      <c r="H2681" s="953"/>
    </row>
    <row r="2682" spans="1:8" x14ac:dyDescent="0.25">
      <c r="A2682" s="952"/>
      <c r="B2682" s="953"/>
      <c r="C2682" s="953"/>
      <c r="D2682" s="953"/>
      <c r="E2682" s="953"/>
      <c r="F2682" s="953"/>
      <c r="G2682" s="953"/>
      <c r="H2682" s="953"/>
    </row>
    <row r="2683" spans="1:8" x14ac:dyDescent="0.25">
      <c r="A2683" s="952"/>
      <c r="B2683" s="953"/>
      <c r="C2683" s="953"/>
      <c r="D2683" s="953"/>
      <c r="E2683" s="953"/>
      <c r="F2683" s="953"/>
      <c r="G2683" s="953"/>
      <c r="H2683" s="953"/>
    </row>
    <row r="2684" spans="1:8" x14ac:dyDescent="0.25">
      <c r="A2684" s="952"/>
      <c r="B2684" s="953"/>
      <c r="C2684" s="953"/>
      <c r="D2684" s="953"/>
      <c r="E2684" s="953"/>
      <c r="F2684" s="953"/>
      <c r="G2684" s="953"/>
      <c r="H2684" s="953"/>
    </row>
    <row r="2685" spans="1:8" x14ac:dyDescent="0.25">
      <c r="A2685" s="952"/>
      <c r="B2685" s="953"/>
      <c r="C2685" s="953"/>
      <c r="D2685" s="953"/>
      <c r="E2685" s="953"/>
      <c r="F2685" s="953"/>
      <c r="G2685" s="953"/>
      <c r="H2685" s="953"/>
    </row>
    <row r="2686" spans="1:8" x14ac:dyDescent="0.25">
      <c r="A2686" s="952"/>
      <c r="B2686" s="953"/>
      <c r="C2686" s="953"/>
      <c r="D2686" s="953"/>
      <c r="E2686" s="953"/>
      <c r="F2686" s="953"/>
      <c r="G2686" s="953"/>
      <c r="H2686" s="953"/>
    </row>
    <row r="2687" spans="1:8" x14ac:dyDescent="0.25">
      <c r="A2687" s="952"/>
      <c r="B2687" s="953"/>
      <c r="C2687" s="953"/>
      <c r="D2687" s="953"/>
      <c r="E2687" s="953"/>
      <c r="F2687" s="953"/>
      <c r="G2687" s="953"/>
      <c r="H2687" s="953"/>
    </row>
    <row r="2688" spans="1:8" x14ac:dyDescent="0.25">
      <c r="A2688" s="952"/>
      <c r="B2688" s="953"/>
      <c r="C2688" s="953"/>
      <c r="D2688" s="953"/>
      <c r="E2688" s="953"/>
      <c r="F2688" s="953"/>
      <c r="G2688" s="953"/>
      <c r="H2688" s="953"/>
    </row>
    <row r="2689" spans="1:8" x14ac:dyDescent="0.25">
      <c r="A2689" s="952"/>
      <c r="B2689" s="953"/>
      <c r="C2689" s="953"/>
      <c r="D2689" s="953"/>
      <c r="E2689" s="953"/>
      <c r="F2689" s="953"/>
      <c r="G2689" s="953"/>
      <c r="H2689" s="953"/>
    </row>
    <row r="2690" spans="1:8" x14ac:dyDescent="0.25">
      <c r="A2690" s="952"/>
      <c r="B2690" s="953"/>
      <c r="C2690" s="953"/>
      <c r="D2690" s="953"/>
      <c r="E2690" s="953"/>
      <c r="F2690" s="953"/>
      <c r="G2690" s="953"/>
      <c r="H2690" s="953"/>
    </row>
    <row r="2691" spans="1:8" x14ac:dyDescent="0.25">
      <c r="A2691" s="952"/>
      <c r="B2691" s="953"/>
      <c r="C2691" s="953"/>
      <c r="D2691" s="953"/>
      <c r="E2691" s="953"/>
      <c r="F2691" s="953"/>
      <c r="G2691" s="953"/>
      <c r="H2691" s="953"/>
    </row>
    <row r="2692" spans="1:8" x14ac:dyDescent="0.25">
      <c r="A2692" s="952"/>
      <c r="B2692" s="953"/>
      <c r="C2692" s="953"/>
      <c r="D2692" s="953"/>
      <c r="E2692" s="953"/>
      <c r="F2692" s="953"/>
      <c r="G2692" s="953"/>
      <c r="H2692" s="953"/>
    </row>
    <row r="2693" spans="1:8" x14ac:dyDescent="0.25">
      <c r="A2693" s="952"/>
      <c r="B2693" s="953"/>
      <c r="C2693" s="953"/>
      <c r="D2693" s="953"/>
      <c r="E2693" s="953"/>
      <c r="F2693" s="953"/>
      <c r="G2693" s="953"/>
      <c r="H2693" s="953"/>
    </row>
    <row r="2694" spans="1:8" x14ac:dyDescent="0.25">
      <c r="A2694" s="952"/>
      <c r="B2694" s="953"/>
      <c r="C2694" s="953"/>
      <c r="D2694" s="953"/>
      <c r="E2694" s="953"/>
      <c r="F2694" s="953"/>
      <c r="G2694" s="953"/>
      <c r="H2694" s="953"/>
    </row>
    <row r="2695" spans="1:8" x14ac:dyDescent="0.25">
      <c r="A2695" s="952"/>
      <c r="B2695" s="953"/>
      <c r="C2695" s="953"/>
      <c r="D2695" s="953"/>
      <c r="E2695" s="953"/>
      <c r="F2695" s="953"/>
      <c r="G2695" s="953"/>
      <c r="H2695" s="953"/>
    </row>
    <row r="2696" spans="1:8" x14ac:dyDescent="0.25">
      <c r="A2696" s="952"/>
      <c r="B2696" s="953"/>
      <c r="C2696" s="953"/>
      <c r="D2696" s="953"/>
      <c r="E2696" s="953"/>
      <c r="F2696" s="953"/>
      <c r="G2696" s="953"/>
      <c r="H2696" s="953"/>
    </row>
    <row r="2697" spans="1:8" x14ac:dyDescent="0.25">
      <c r="A2697" s="952"/>
      <c r="B2697" s="953"/>
      <c r="C2697" s="953"/>
      <c r="D2697" s="953"/>
      <c r="E2697" s="953"/>
      <c r="F2697" s="953"/>
      <c r="G2697" s="953"/>
      <c r="H2697" s="953"/>
    </row>
    <row r="2698" spans="1:8" x14ac:dyDescent="0.25">
      <c r="A2698" s="952"/>
      <c r="B2698" s="953"/>
      <c r="C2698" s="953"/>
      <c r="D2698" s="953"/>
      <c r="E2698" s="953"/>
      <c r="F2698" s="953"/>
      <c r="G2698" s="953"/>
      <c r="H2698" s="953"/>
    </row>
    <row r="2699" spans="1:8" x14ac:dyDescent="0.25">
      <c r="A2699" s="952"/>
      <c r="B2699" s="953"/>
      <c r="C2699" s="953"/>
      <c r="D2699" s="953"/>
      <c r="E2699" s="953"/>
      <c r="F2699" s="953"/>
      <c r="G2699" s="953"/>
      <c r="H2699" s="953"/>
    </row>
    <row r="2700" spans="1:8" x14ac:dyDescent="0.25">
      <c r="A2700" s="952"/>
      <c r="B2700" s="953"/>
      <c r="C2700" s="953"/>
      <c r="D2700" s="953"/>
      <c r="E2700" s="953"/>
      <c r="F2700" s="953"/>
      <c r="G2700" s="953"/>
      <c r="H2700" s="953"/>
    </row>
    <row r="2701" spans="1:8" x14ac:dyDescent="0.25">
      <c r="A2701" s="952"/>
      <c r="B2701" s="953"/>
      <c r="C2701" s="953"/>
      <c r="D2701" s="953"/>
      <c r="E2701" s="953"/>
      <c r="F2701" s="953"/>
      <c r="G2701" s="953"/>
      <c r="H2701" s="953"/>
    </row>
    <row r="2702" spans="1:8" x14ac:dyDescent="0.25">
      <c r="A2702" s="952"/>
      <c r="B2702" s="953"/>
      <c r="C2702" s="953"/>
      <c r="D2702" s="953"/>
      <c r="E2702" s="953"/>
      <c r="F2702" s="953"/>
      <c r="G2702" s="953"/>
      <c r="H2702" s="953"/>
    </row>
    <row r="2703" spans="1:8" x14ac:dyDescent="0.25">
      <c r="A2703" s="952"/>
      <c r="B2703" s="953"/>
      <c r="C2703" s="953"/>
      <c r="D2703" s="953"/>
      <c r="E2703" s="953"/>
      <c r="F2703" s="953"/>
      <c r="G2703" s="953"/>
      <c r="H2703" s="953"/>
    </row>
    <row r="2704" spans="1:8" x14ac:dyDescent="0.25">
      <c r="A2704" s="952"/>
      <c r="B2704" s="953"/>
      <c r="C2704" s="953"/>
      <c r="D2704" s="953"/>
      <c r="E2704" s="953"/>
      <c r="F2704" s="953"/>
      <c r="G2704" s="953"/>
      <c r="H2704" s="953"/>
    </row>
    <row r="2705" spans="1:8" x14ac:dyDescent="0.25">
      <c r="A2705" s="952"/>
      <c r="B2705" s="953"/>
      <c r="C2705" s="953"/>
      <c r="D2705" s="953"/>
      <c r="E2705" s="953"/>
      <c r="F2705" s="953"/>
      <c r="G2705" s="953"/>
      <c r="H2705" s="953"/>
    </row>
    <row r="2706" spans="1:8" x14ac:dyDescent="0.25">
      <c r="A2706" s="952"/>
      <c r="B2706" s="953"/>
      <c r="C2706" s="953"/>
      <c r="D2706" s="953"/>
      <c r="E2706" s="953"/>
      <c r="F2706" s="953"/>
      <c r="G2706" s="953"/>
      <c r="H2706" s="953"/>
    </row>
    <row r="2707" spans="1:8" x14ac:dyDescent="0.25">
      <c r="A2707" s="952"/>
      <c r="B2707" s="953"/>
      <c r="C2707" s="953"/>
      <c r="D2707" s="953"/>
      <c r="E2707" s="953"/>
      <c r="F2707" s="953"/>
      <c r="G2707" s="953"/>
      <c r="H2707" s="953"/>
    </row>
    <row r="2708" spans="1:8" x14ac:dyDescent="0.25">
      <c r="A2708" s="952"/>
      <c r="B2708" s="953"/>
      <c r="C2708" s="953"/>
      <c r="D2708" s="953"/>
      <c r="E2708" s="953"/>
      <c r="F2708" s="953"/>
      <c r="G2708" s="953"/>
      <c r="H2708" s="953"/>
    </row>
    <row r="2709" spans="1:8" x14ac:dyDescent="0.25">
      <c r="A2709" s="952"/>
      <c r="B2709" s="953"/>
      <c r="C2709" s="953"/>
      <c r="D2709" s="953"/>
      <c r="E2709" s="953"/>
      <c r="F2709" s="953"/>
      <c r="G2709" s="953"/>
      <c r="H2709" s="953"/>
    </row>
    <row r="2710" spans="1:8" x14ac:dyDescent="0.25">
      <c r="A2710" s="952"/>
      <c r="B2710" s="953"/>
      <c r="C2710" s="953"/>
      <c r="D2710" s="953"/>
      <c r="E2710" s="953"/>
      <c r="F2710" s="953"/>
      <c r="G2710" s="953"/>
      <c r="H2710" s="953"/>
    </row>
    <row r="2711" spans="1:8" x14ac:dyDescent="0.25">
      <c r="A2711" s="952"/>
      <c r="B2711" s="953"/>
      <c r="C2711" s="953"/>
      <c r="D2711" s="953"/>
      <c r="E2711" s="953"/>
      <c r="F2711" s="953"/>
      <c r="G2711" s="953"/>
      <c r="H2711" s="953"/>
    </row>
    <row r="2712" spans="1:8" x14ac:dyDescent="0.25">
      <c r="A2712" s="952"/>
      <c r="B2712" s="953"/>
      <c r="C2712" s="953"/>
      <c r="D2712" s="953"/>
      <c r="E2712" s="953"/>
      <c r="F2712" s="953"/>
      <c r="G2712" s="953"/>
      <c r="H2712" s="953"/>
    </row>
    <row r="2713" spans="1:8" x14ac:dyDescent="0.25">
      <c r="A2713" s="952"/>
      <c r="B2713" s="953"/>
      <c r="C2713" s="953"/>
      <c r="D2713" s="953"/>
      <c r="E2713" s="953"/>
      <c r="F2713" s="953"/>
      <c r="G2713" s="953"/>
      <c r="H2713" s="953"/>
    </row>
    <row r="2714" spans="1:8" x14ac:dyDescent="0.25">
      <c r="A2714" s="952"/>
      <c r="B2714" s="953"/>
      <c r="C2714" s="953"/>
      <c r="D2714" s="953"/>
      <c r="E2714" s="953"/>
      <c r="F2714" s="953"/>
      <c r="G2714" s="953"/>
      <c r="H2714" s="953"/>
    </row>
    <row r="2715" spans="1:8" x14ac:dyDescent="0.25">
      <c r="A2715" s="952"/>
      <c r="B2715" s="953"/>
      <c r="C2715" s="953"/>
      <c r="D2715" s="953"/>
      <c r="E2715" s="953"/>
      <c r="F2715" s="953"/>
      <c r="G2715" s="953"/>
      <c r="H2715" s="953"/>
    </row>
    <row r="2716" spans="1:8" x14ac:dyDescent="0.25">
      <c r="A2716" s="952"/>
      <c r="B2716" s="953"/>
      <c r="C2716" s="953"/>
      <c r="D2716" s="953"/>
      <c r="E2716" s="953"/>
      <c r="F2716" s="953"/>
      <c r="G2716" s="953"/>
      <c r="H2716" s="953"/>
    </row>
    <row r="2717" spans="1:8" x14ac:dyDescent="0.25">
      <c r="A2717" s="952"/>
      <c r="B2717" s="953"/>
      <c r="C2717" s="953"/>
      <c r="D2717" s="953"/>
      <c r="E2717" s="953"/>
      <c r="F2717" s="953"/>
      <c r="G2717" s="953"/>
      <c r="H2717" s="953"/>
    </row>
    <row r="2718" spans="1:8" x14ac:dyDescent="0.25">
      <c r="A2718" s="952"/>
      <c r="B2718" s="953"/>
      <c r="C2718" s="953"/>
      <c r="D2718" s="953"/>
      <c r="E2718" s="953"/>
      <c r="F2718" s="953"/>
      <c r="G2718" s="953"/>
      <c r="H2718" s="953"/>
    </row>
    <row r="2719" spans="1:8" x14ac:dyDescent="0.25">
      <c r="A2719" s="952"/>
      <c r="B2719" s="953"/>
      <c r="C2719" s="953"/>
      <c r="D2719" s="953"/>
      <c r="E2719" s="953"/>
      <c r="F2719" s="953"/>
      <c r="G2719" s="953"/>
      <c r="H2719" s="953"/>
    </row>
    <row r="2720" spans="1:8" x14ac:dyDescent="0.25">
      <c r="A2720" s="952"/>
      <c r="B2720" s="953"/>
      <c r="C2720" s="953"/>
      <c r="D2720" s="953"/>
      <c r="E2720" s="953"/>
      <c r="F2720" s="953"/>
      <c r="G2720" s="953"/>
      <c r="H2720" s="953"/>
    </row>
    <row r="2721" spans="1:8" x14ac:dyDescent="0.25">
      <c r="A2721" s="952"/>
      <c r="B2721" s="953"/>
      <c r="C2721" s="953"/>
      <c r="D2721" s="953"/>
      <c r="E2721" s="953"/>
      <c r="F2721" s="953"/>
      <c r="G2721" s="953"/>
      <c r="H2721" s="953"/>
    </row>
    <row r="2722" spans="1:8" x14ac:dyDescent="0.25">
      <c r="A2722" s="952"/>
      <c r="B2722" s="953"/>
      <c r="C2722" s="953"/>
      <c r="D2722" s="953"/>
      <c r="E2722" s="953"/>
      <c r="F2722" s="953"/>
      <c r="G2722" s="953"/>
      <c r="H2722" s="953"/>
    </row>
    <row r="2723" spans="1:8" x14ac:dyDescent="0.25">
      <c r="A2723" s="952"/>
      <c r="B2723" s="953"/>
      <c r="C2723" s="953"/>
      <c r="D2723" s="953"/>
      <c r="E2723" s="953"/>
      <c r="F2723" s="953"/>
      <c r="G2723" s="953"/>
      <c r="H2723" s="953"/>
    </row>
    <row r="2724" spans="1:8" x14ac:dyDescent="0.25">
      <c r="A2724" s="952"/>
      <c r="B2724" s="953"/>
      <c r="C2724" s="953"/>
      <c r="D2724" s="953"/>
      <c r="E2724" s="953"/>
      <c r="F2724" s="953"/>
      <c r="G2724" s="953"/>
      <c r="H2724" s="953"/>
    </row>
    <row r="2725" spans="1:8" x14ac:dyDescent="0.25">
      <c r="A2725" s="952"/>
      <c r="B2725" s="953"/>
      <c r="C2725" s="953"/>
      <c r="D2725" s="953"/>
      <c r="E2725" s="953"/>
      <c r="F2725" s="953"/>
      <c r="G2725" s="953"/>
      <c r="H2725" s="953"/>
    </row>
    <row r="2726" spans="1:8" x14ac:dyDescent="0.25">
      <c r="A2726" s="952"/>
      <c r="B2726" s="953"/>
      <c r="C2726" s="953"/>
      <c r="D2726" s="953"/>
      <c r="E2726" s="953"/>
      <c r="F2726" s="953"/>
      <c r="G2726" s="953"/>
      <c r="H2726" s="953"/>
    </row>
    <row r="2727" spans="1:8" x14ac:dyDescent="0.25">
      <c r="A2727" s="952"/>
      <c r="B2727" s="953"/>
      <c r="C2727" s="953"/>
      <c r="D2727" s="953"/>
      <c r="E2727" s="953"/>
      <c r="F2727" s="953"/>
      <c r="G2727" s="953"/>
      <c r="H2727" s="953"/>
    </row>
    <row r="2728" spans="1:8" x14ac:dyDescent="0.25">
      <c r="A2728" s="952"/>
      <c r="B2728" s="953"/>
      <c r="C2728" s="953"/>
      <c r="D2728" s="953"/>
      <c r="E2728" s="953"/>
      <c r="F2728" s="953"/>
      <c r="G2728" s="953"/>
      <c r="H2728" s="953"/>
    </row>
    <row r="2729" spans="1:8" x14ac:dyDescent="0.25">
      <c r="A2729" s="952"/>
      <c r="B2729" s="953"/>
      <c r="C2729" s="953"/>
      <c r="D2729" s="953"/>
      <c r="E2729" s="953"/>
      <c r="F2729" s="953"/>
      <c r="G2729" s="953"/>
      <c r="H2729" s="953"/>
    </row>
    <row r="2730" spans="1:8" x14ac:dyDescent="0.25">
      <c r="A2730" s="952"/>
      <c r="B2730" s="953"/>
      <c r="C2730" s="953"/>
      <c r="D2730" s="953"/>
      <c r="E2730" s="953"/>
      <c r="F2730" s="953"/>
      <c r="G2730" s="953"/>
      <c r="H2730" s="953"/>
    </row>
    <row r="2731" spans="1:8" x14ac:dyDescent="0.25">
      <c r="A2731" s="952"/>
      <c r="B2731" s="953"/>
      <c r="C2731" s="953"/>
      <c r="D2731" s="953"/>
      <c r="E2731" s="953"/>
      <c r="F2731" s="953"/>
      <c r="G2731" s="953"/>
      <c r="H2731" s="953"/>
    </row>
    <row r="2732" spans="1:8" x14ac:dyDescent="0.25">
      <c r="A2732" s="952"/>
      <c r="B2732" s="953"/>
      <c r="C2732" s="953"/>
      <c r="D2732" s="953"/>
      <c r="E2732" s="953"/>
      <c r="F2732" s="953"/>
      <c r="G2732" s="953"/>
      <c r="H2732" s="953"/>
    </row>
    <row r="2733" spans="1:8" x14ac:dyDescent="0.25">
      <c r="A2733" s="952"/>
      <c r="B2733" s="953"/>
      <c r="C2733" s="953"/>
      <c r="D2733" s="953"/>
      <c r="E2733" s="953"/>
      <c r="F2733" s="953"/>
      <c r="G2733" s="953"/>
      <c r="H2733" s="953"/>
    </row>
    <row r="2734" spans="1:8" x14ac:dyDescent="0.25">
      <c r="A2734" s="952"/>
      <c r="B2734" s="953"/>
      <c r="C2734" s="953"/>
      <c r="D2734" s="953"/>
      <c r="E2734" s="953"/>
      <c r="F2734" s="953"/>
      <c r="G2734" s="953"/>
      <c r="H2734" s="953"/>
    </row>
    <row r="2735" spans="1:8" x14ac:dyDescent="0.25">
      <c r="A2735" s="952"/>
      <c r="B2735" s="953"/>
      <c r="C2735" s="953"/>
      <c r="D2735" s="953"/>
      <c r="E2735" s="953"/>
      <c r="F2735" s="953"/>
      <c r="G2735" s="953"/>
      <c r="H2735" s="953"/>
    </row>
    <row r="2736" spans="1:8" x14ac:dyDescent="0.25">
      <c r="A2736" s="952"/>
      <c r="B2736" s="953"/>
      <c r="C2736" s="953"/>
      <c r="D2736" s="953"/>
      <c r="E2736" s="953"/>
      <c r="F2736" s="953"/>
      <c r="G2736" s="953"/>
      <c r="H2736" s="953"/>
    </row>
    <row r="2737" spans="1:8" x14ac:dyDescent="0.25">
      <c r="A2737" s="952"/>
      <c r="B2737" s="953"/>
      <c r="C2737" s="953"/>
      <c r="D2737" s="953"/>
      <c r="E2737" s="953"/>
      <c r="F2737" s="953"/>
      <c r="G2737" s="953"/>
      <c r="H2737" s="953"/>
    </row>
    <row r="2738" spans="1:8" x14ac:dyDescent="0.25">
      <c r="A2738" s="952"/>
      <c r="B2738" s="953"/>
      <c r="C2738" s="953"/>
      <c r="D2738" s="953"/>
      <c r="E2738" s="953"/>
      <c r="F2738" s="953"/>
      <c r="G2738" s="953"/>
      <c r="H2738" s="953"/>
    </row>
    <row r="2739" spans="1:8" x14ac:dyDescent="0.25">
      <c r="A2739" s="952"/>
      <c r="B2739" s="953"/>
      <c r="C2739" s="953"/>
      <c r="D2739" s="953"/>
      <c r="E2739" s="953"/>
      <c r="F2739" s="953"/>
      <c r="G2739" s="953"/>
      <c r="H2739" s="953"/>
    </row>
    <row r="2740" spans="1:8" x14ac:dyDescent="0.25">
      <c r="A2740" s="952"/>
      <c r="B2740" s="953"/>
      <c r="C2740" s="953"/>
      <c r="D2740" s="953"/>
      <c r="E2740" s="953"/>
      <c r="F2740" s="953"/>
      <c r="G2740" s="953"/>
      <c r="H2740" s="953"/>
    </row>
    <row r="2741" spans="1:8" x14ac:dyDescent="0.25">
      <c r="A2741" s="952"/>
      <c r="B2741" s="953"/>
      <c r="C2741" s="953"/>
      <c r="D2741" s="953"/>
      <c r="E2741" s="953"/>
      <c r="F2741" s="953"/>
      <c r="G2741" s="953"/>
      <c r="H2741" s="953"/>
    </row>
    <row r="2742" spans="1:8" x14ac:dyDescent="0.25">
      <c r="A2742" s="952"/>
      <c r="B2742" s="953"/>
      <c r="C2742" s="953"/>
      <c r="D2742" s="953"/>
      <c r="E2742" s="953"/>
      <c r="F2742" s="953"/>
      <c r="G2742" s="953"/>
      <c r="H2742" s="953"/>
    </row>
    <row r="2743" spans="1:8" x14ac:dyDescent="0.25">
      <c r="A2743" s="952"/>
      <c r="B2743" s="953"/>
      <c r="C2743" s="953"/>
      <c r="D2743" s="953"/>
      <c r="E2743" s="953"/>
      <c r="F2743" s="953"/>
      <c r="G2743" s="953"/>
      <c r="H2743" s="953"/>
    </row>
    <row r="2744" spans="1:8" x14ac:dyDescent="0.25">
      <c r="A2744" s="952"/>
      <c r="B2744" s="953"/>
      <c r="C2744" s="953"/>
      <c r="D2744" s="953"/>
      <c r="E2744" s="953"/>
      <c r="F2744" s="953"/>
      <c r="G2744" s="953"/>
      <c r="H2744" s="953"/>
    </row>
    <row r="2745" spans="1:8" x14ac:dyDescent="0.25">
      <c r="A2745" s="952"/>
      <c r="B2745" s="953"/>
      <c r="C2745" s="953"/>
      <c r="D2745" s="953"/>
      <c r="E2745" s="953"/>
      <c r="F2745" s="953"/>
      <c r="G2745" s="953"/>
      <c r="H2745" s="953"/>
    </row>
    <row r="2746" spans="1:8" x14ac:dyDescent="0.25">
      <c r="A2746" s="952"/>
      <c r="B2746" s="953"/>
      <c r="C2746" s="953"/>
      <c r="D2746" s="953"/>
      <c r="E2746" s="953"/>
      <c r="F2746" s="953"/>
      <c r="G2746" s="953"/>
      <c r="H2746" s="953"/>
    </row>
    <row r="2747" spans="1:8" x14ac:dyDescent="0.25">
      <c r="A2747" s="952"/>
      <c r="B2747" s="953"/>
      <c r="C2747" s="953"/>
      <c r="D2747" s="953"/>
      <c r="E2747" s="953"/>
      <c r="F2747" s="953"/>
      <c r="G2747" s="953"/>
      <c r="H2747" s="953"/>
    </row>
    <row r="2748" spans="1:8" x14ac:dyDescent="0.25">
      <c r="A2748" s="952"/>
      <c r="B2748" s="953"/>
      <c r="C2748" s="953"/>
      <c r="D2748" s="953"/>
      <c r="E2748" s="953"/>
      <c r="F2748" s="953"/>
      <c r="G2748" s="953"/>
      <c r="H2748" s="953"/>
    </row>
    <row r="2749" spans="1:8" x14ac:dyDescent="0.25">
      <c r="A2749" s="952"/>
      <c r="B2749" s="953"/>
      <c r="C2749" s="953"/>
      <c r="D2749" s="953"/>
      <c r="E2749" s="953"/>
      <c r="F2749" s="953"/>
      <c r="G2749" s="953"/>
      <c r="H2749" s="953"/>
    </row>
    <row r="2750" spans="1:8" x14ac:dyDescent="0.25">
      <c r="A2750" s="952"/>
      <c r="B2750" s="953"/>
      <c r="C2750" s="953"/>
      <c r="D2750" s="953"/>
      <c r="E2750" s="953"/>
      <c r="F2750" s="953"/>
      <c r="G2750" s="953"/>
      <c r="H2750" s="953"/>
    </row>
    <row r="2751" spans="1:8" x14ac:dyDescent="0.25">
      <c r="A2751" s="952"/>
      <c r="B2751" s="953"/>
      <c r="C2751" s="953"/>
      <c r="D2751" s="953"/>
      <c r="E2751" s="953"/>
      <c r="F2751" s="953"/>
      <c r="G2751" s="953"/>
      <c r="H2751" s="953"/>
    </row>
    <row r="2752" spans="1:8" x14ac:dyDescent="0.25">
      <c r="A2752" s="952"/>
      <c r="B2752" s="953"/>
      <c r="C2752" s="953"/>
      <c r="D2752" s="953"/>
      <c r="E2752" s="953"/>
      <c r="F2752" s="953"/>
      <c r="G2752" s="953"/>
      <c r="H2752" s="953"/>
    </row>
    <row r="2753" spans="1:8" x14ac:dyDescent="0.25">
      <c r="A2753" s="952"/>
      <c r="B2753" s="953"/>
      <c r="C2753" s="953"/>
      <c r="D2753" s="953"/>
      <c r="E2753" s="953"/>
      <c r="F2753" s="953"/>
      <c r="G2753" s="953"/>
      <c r="H2753" s="953"/>
    </row>
    <row r="2754" spans="1:8" x14ac:dyDescent="0.25">
      <c r="A2754" s="952"/>
      <c r="B2754" s="953"/>
      <c r="C2754" s="953"/>
      <c r="D2754" s="953"/>
      <c r="E2754" s="953"/>
      <c r="F2754" s="953"/>
      <c r="G2754" s="953"/>
      <c r="H2754" s="953"/>
    </row>
    <row r="2755" spans="1:8" x14ac:dyDescent="0.25">
      <c r="A2755" s="952"/>
      <c r="B2755" s="953"/>
      <c r="C2755" s="953"/>
      <c r="D2755" s="953"/>
      <c r="E2755" s="953"/>
      <c r="F2755" s="953"/>
      <c r="G2755" s="953"/>
      <c r="H2755" s="953"/>
    </row>
    <row r="2756" spans="1:8" x14ac:dyDescent="0.25">
      <c r="A2756" s="952"/>
      <c r="B2756" s="953"/>
      <c r="C2756" s="953"/>
      <c r="D2756" s="953"/>
      <c r="E2756" s="953"/>
      <c r="F2756" s="953"/>
      <c r="G2756" s="953"/>
      <c r="H2756" s="953"/>
    </row>
    <row r="2757" spans="1:8" x14ac:dyDescent="0.25">
      <c r="A2757" s="952"/>
      <c r="B2757" s="953"/>
      <c r="C2757" s="953"/>
      <c r="D2757" s="953"/>
      <c r="E2757" s="953"/>
      <c r="F2757" s="953"/>
      <c r="G2757" s="953"/>
      <c r="H2757" s="953"/>
    </row>
    <row r="2758" spans="1:8" x14ac:dyDescent="0.25">
      <c r="A2758" s="952"/>
      <c r="B2758" s="953"/>
      <c r="C2758" s="953"/>
      <c r="D2758" s="953"/>
      <c r="E2758" s="953"/>
      <c r="F2758" s="953"/>
      <c r="G2758" s="953"/>
      <c r="H2758" s="953"/>
    </row>
    <row r="2759" spans="1:8" x14ac:dyDescent="0.25">
      <c r="A2759" s="952"/>
      <c r="B2759" s="953"/>
      <c r="C2759" s="953"/>
      <c r="D2759" s="953"/>
      <c r="E2759" s="953"/>
      <c r="F2759" s="953"/>
      <c r="G2759" s="953"/>
      <c r="H2759" s="953"/>
    </row>
    <row r="2760" spans="1:8" x14ac:dyDescent="0.25">
      <c r="A2760" s="952"/>
      <c r="B2760" s="953"/>
      <c r="C2760" s="953"/>
      <c r="D2760" s="953"/>
      <c r="E2760" s="953"/>
      <c r="F2760" s="953"/>
      <c r="G2760" s="953"/>
      <c r="H2760" s="953"/>
    </row>
    <row r="2761" spans="1:8" x14ac:dyDescent="0.25">
      <c r="A2761" s="952"/>
      <c r="B2761" s="953"/>
      <c r="C2761" s="953"/>
      <c r="D2761" s="953"/>
      <c r="E2761" s="953"/>
      <c r="F2761" s="953"/>
      <c r="G2761" s="953"/>
      <c r="H2761" s="953"/>
    </row>
    <row r="2762" spans="1:8" x14ac:dyDescent="0.25">
      <c r="A2762" s="952"/>
      <c r="B2762" s="953"/>
      <c r="C2762" s="953"/>
      <c r="D2762" s="953"/>
      <c r="E2762" s="953"/>
      <c r="F2762" s="953"/>
      <c r="G2762" s="953"/>
      <c r="H2762" s="953"/>
    </row>
    <row r="2763" spans="1:8" x14ac:dyDescent="0.25">
      <c r="A2763" s="952"/>
      <c r="B2763" s="953"/>
      <c r="C2763" s="953"/>
      <c r="D2763" s="953"/>
      <c r="E2763" s="953"/>
      <c r="F2763" s="953"/>
      <c r="G2763" s="953"/>
      <c r="H2763" s="953"/>
    </row>
    <row r="2764" spans="1:8" x14ac:dyDescent="0.25">
      <c r="A2764" s="952"/>
      <c r="B2764" s="953"/>
      <c r="C2764" s="953"/>
      <c r="D2764" s="953"/>
      <c r="E2764" s="953"/>
      <c r="F2764" s="953"/>
      <c r="G2764" s="953"/>
      <c r="H2764" s="953"/>
    </row>
    <row r="2765" spans="1:8" x14ac:dyDescent="0.25">
      <c r="A2765" s="952"/>
      <c r="B2765" s="953"/>
      <c r="C2765" s="953"/>
      <c r="D2765" s="953"/>
      <c r="E2765" s="953"/>
      <c r="F2765" s="953"/>
      <c r="G2765" s="953"/>
      <c r="H2765" s="953"/>
    </row>
    <row r="2766" spans="1:8" x14ac:dyDescent="0.25">
      <c r="A2766" s="952"/>
      <c r="B2766" s="953"/>
      <c r="C2766" s="953"/>
      <c r="D2766" s="953"/>
      <c r="E2766" s="953"/>
      <c r="F2766" s="953"/>
      <c r="G2766" s="953"/>
      <c r="H2766" s="953"/>
    </row>
    <row r="2767" spans="1:8" x14ac:dyDescent="0.25">
      <c r="A2767" s="952"/>
      <c r="B2767" s="953"/>
      <c r="C2767" s="953"/>
      <c r="D2767" s="953"/>
      <c r="E2767" s="953"/>
      <c r="F2767" s="953"/>
      <c r="G2767" s="953"/>
      <c r="H2767" s="953"/>
    </row>
    <row r="2768" spans="1:8" x14ac:dyDescent="0.25">
      <c r="A2768" s="952"/>
      <c r="B2768" s="953"/>
      <c r="C2768" s="953"/>
      <c r="D2768" s="953"/>
      <c r="E2768" s="953"/>
      <c r="F2768" s="953"/>
      <c r="G2768" s="953"/>
      <c r="H2768" s="953"/>
    </row>
    <row r="2769" spans="1:8" x14ac:dyDescent="0.25">
      <c r="A2769" s="952"/>
      <c r="B2769" s="953"/>
      <c r="C2769" s="953"/>
      <c r="D2769" s="953"/>
      <c r="E2769" s="953"/>
      <c r="F2769" s="953"/>
      <c r="G2769" s="953"/>
      <c r="H2769" s="953"/>
    </row>
    <row r="2770" spans="1:8" x14ac:dyDescent="0.25">
      <c r="A2770" s="952"/>
      <c r="B2770" s="953"/>
      <c r="C2770" s="953"/>
      <c r="D2770" s="953"/>
      <c r="E2770" s="953"/>
      <c r="F2770" s="953"/>
      <c r="G2770" s="953"/>
      <c r="H2770" s="953"/>
    </row>
    <row r="2771" spans="1:8" x14ac:dyDescent="0.25">
      <c r="A2771" s="952"/>
      <c r="B2771" s="953"/>
      <c r="C2771" s="953"/>
      <c r="D2771" s="953"/>
      <c r="E2771" s="953"/>
      <c r="F2771" s="953"/>
      <c r="G2771" s="953"/>
      <c r="H2771" s="953"/>
    </row>
    <row r="2772" spans="1:8" x14ac:dyDescent="0.25">
      <c r="A2772" s="952"/>
      <c r="B2772" s="953"/>
      <c r="C2772" s="953"/>
      <c r="D2772" s="953"/>
      <c r="E2772" s="953"/>
      <c r="F2772" s="953"/>
      <c r="G2772" s="953"/>
      <c r="H2772" s="953"/>
    </row>
    <row r="2773" spans="1:8" x14ac:dyDescent="0.25">
      <c r="A2773" s="952"/>
      <c r="B2773" s="953"/>
      <c r="C2773" s="953"/>
      <c r="D2773" s="953"/>
      <c r="E2773" s="953"/>
      <c r="F2773" s="953"/>
      <c r="G2773" s="953"/>
      <c r="H2773" s="953"/>
    </row>
    <row r="2774" spans="1:8" x14ac:dyDescent="0.25">
      <c r="A2774" s="952"/>
      <c r="B2774" s="953"/>
      <c r="C2774" s="953"/>
      <c r="D2774" s="953"/>
      <c r="E2774" s="953"/>
      <c r="F2774" s="953"/>
      <c r="G2774" s="953"/>
      <c r="H2774" s="953"/>
    </row>
    <row r="2775" spans="1:8" x14ac:dyDescent="0.25">
      <c r="A2775" s="952"/>
      <c r="B2775" s="953"/>
      <c r="C2775" s="953"/>
      <c r="D2775" s="953"/>
      <c r="E2775" s="953"/>
      <c r="F2775" s="953"/>
      <c r="G2775" s="953"/>
      <c r="H2775" s="953"/>
    </row>
    <row r="2776" spans="1:8" x14ac:dyDescent="0.25">
      <c r="A2776" s="952"/>
      <c r="B2776" s="953"/>
      <c r="C2776" s="953"/>
      <c r="D2776" s="953"/>
      <c r="E2776" s="953"/>
      <c r="F2776" s="953"/>
      <c r="G2776" s="953"/>
      <c r="H2776" s="953"/>
    </row>
    <row r="2777" spans="1:8" x14ac:dyDescent="0.25">
      <c r="A2777" s="952"/>
      <c r="B2777" s="953"/>
      <c r="C2777" s="953"/>
      <c r="D2777" s="953"/>
      <c r="E2777" s="953"/>
      <c r="F2777" s="953"/>
      <c r="G2777" s="953"/>
      <c r="H2777" s="953"/>
    </row>
    <row r="2778" spans="1:8" x14ac:dyDescent="0.25">
      <c r="A2778" s="952"/>
      <c r="B2778" s="953"/>
      <c r="C2778" s="953"/>
      <c r="D2778" s="953"/>
      <c r="E2778" s="953"/>
      <c r="F2778" s="953"/>
      <c r="G2778" s="953"/>
      <c r="H2778" s="953"/>
    </row>
    <row r="2779" spans="1:8" x14ac:dyDescent="0.25">
      <c r="A2779" s="952"/>
      <c r="B2779" s="953"/>
      <c r="C2779" s="953"/>
      <c r="D2779" s="953"/>
      <c r="E2779" s="953"/>
      <c r="F2779" s="953"/>
      <c r="G2779" s="953"/>
      <c r="H2779" s="953"/>
    </row>
    <row r="2780" spans="1:8" x14ac:dyDescent="0.25">
      <c r="A2780" s="952"/>
      <c r="B2780" s="953"/>
      <c r="C2780" s="953"/>
      <c r="D2780" s="953"/>
      <c r="E2780" s="953"/>
      <c r="F2780" s="953"/>
      <c r="G2780" s="953"/>
      <c r="H2780" s="953"/>
    </row>
    <row r="2781" spans="1:8" x14ac:dyDescent="0.25">
      <c r="A2781" s="952"/>
      <c r="B2781" s="953"/>
      <c r="C2781" s="953"/>
      <c r="D2781" s="953"/>
      <c r="E2781" s="953"/>
      <c r="F2781" s="953"/>
      <c r="G2781" s="953"/>
      <c r="H2781" s="953"/>
    </row>
    <row r="2782" spans="1:8" x14ac:dyDescent="0.25">
      <c r="A2782" s="952"/>
      <c r="B2782" s="953"/>
      <c r="C2782" s="953"/>
      <c r="D2782" s="953"/>
      <c r="E2782" s="953"/>
      <c r="F2782" s="953"/>
      <c r="G2782" s="953"/>
      <c r="H2782" s="953"/>
    </row>
    <row r="2783" spans="1:8" x14ac:dyDescent="0.25">
      <c r="A2783" s="952"/>
      <c r="B2783" s="953"/>
      <c r="C2783" s="953"/>
      <c r="D2783" s="953"/>
      <c r="E2783" s="953"/>
      <c r="F2783" s="953"/>
      <c r="G2783" s="953"/>
      <c r="H2783" s="953"/>
    </row>
    <row r="2784" spans="1:8" x14ac:dyDescent="0.25">
      <c r="A2784" s="952"/>
      <c r="B2784" s="953"/>
      <c r="C2784" s="953"/>
      <c r="D2784" s="953"/>
      <c r="E2784" s="953"/>
      <c r="F2784" s="953"/>
      <c r="G2784" s="953"/>
      <c r="H2784" s="953"/>
    </row>
    <row r="2785" spans="1:8" x14ac:dyDescent="0.25">
      <c r="A2785" s="952"/>
      <c r="B2785" s="953"/>
      <c r="C2785" s="953"/>
      <c r="D2785" s="953"/>
      <c r="E2785" s="953"/>
      <c r="F2785" s="953"/>
      <c r="G2785" s="953"/>
      <c r="H2785" s="953"/>
    </row>
    <row r="2786" spans="1:8" x14ac:dyDescent="0.25">
      <c r="A2786" s="952"/>
      <c r="B2786" s="953"/>
      <c r="C2786" s="953"/>
      <c r="D2786" s="953"/>
      <c r="E2786" s="953"/>
      <c r="F2786" s="953"/>
      <c r="G2786" s="953"/>
      <c r="H2786" s="953"/>
    </row>
    <row r="2787" spans="1:8" x14ac:dyDescent="0.25">
      <c r="A2787" s="952"/>
      <c r="B2787" s="953"/>
      <c r="C2787" s="953"/>
      <c r="D2787" s="953"/>
      <c r="E2787" s="953"/>
      <c r="F2787" s="953"/>
      <c r="G2787" s="953"/>
      <c r="H2787" s="953"/>
    </row>
    <row r="2788" spans="1:8" x14ac:dyDescent="0.25">
      <c r="A2788" s="952"/>
      <c r="B2788" s="953"/>
      <c r="C2788" s="953"/>
      <c r="D2788" s="953"/>
      <c r="E2788" s="953"/>
      <c r="F2788" s="953"/>
      <c r="G2788" s="953"/>
      <c r="H2788" s="953"/>
    </row>
    <row r="2789" spans="1:8" x14ac:dyDescent="0.25">
      <c r="A2789" s="952"/>
      <c r="B2789" s="953"/>
      <c r="C2789" s="953"/>
      <c r="D2789" s="953"/>
      <c r="E2789" s="953"/>
      <c r="F2789" s="953"/>
      <c r="G2789" s="953"/>
      <c r="H2789" s="953"/>
    </row>
    <row r="2790" spans="1:8" x14ac:dyDescent="0.25">
      <c r="A2790" s="952"/>
      <c r="B2790" s="953"/>
      <c r="C2790" s="953"/>
      <c r="D2790" s="953"/>
      <c r="E2790" s="953"/>
      <c r="F2790" s="953"/>
      <c r="G2790" s="953"/>
      <c r="H2790" s="953"/>
    </row>
    <row r="2791" spans="1:8" x14ac:dyDescent="0.25">
      <c r="A2791" s="952"/>
      <c r="B2791" s="953"/>
      <c r="C2791" s="953"/>
      <c r="D2791" s="953"/>
      <c r="E2791" s="953"/>
      <c r="F2791" s="953"/>
      <c r="G2791" s="953"/>
      <c r="H2791" s="953"/>
    </row>
    <row r="2792" spans="1:8" x14ac:dyDescent="0.25">
      <c r="A2792" s="952"/>
      <c r="B2792" s="953"/>
      <c r="C2792" s="953"/>
      <c r="D2792" s="953"/>
      <c r="E2792" s="953"/>
      <c r="F2792" s="953"/>
      <c r="G2792" s="953"/>
      <c r="H2792" s="953"/>
    </row>
    <row r="2793" spans="1:8" x14ac:dyDescent="0.25">
      <c r="A2793" s="952"/>
      <c r="B2793" s="953"/>
      <c r="C2793" s="953"/>
      <c r="D2793" s="953"/>
      <c r="E2793" s="953"/>
      <c r="F2793" s="953"/>
      <c r="G2793" s="953"/>
      <c r="H2793" s="953"/>
    </row>
    <row r="2794" spans="1:8" x14ac:dyDescent="0.25">
      <c r="A2794" s="952"/>
      <c r="B2794" s="953"/>
      <c r="C2794" s="953"/>
      <c r="D2794" s="953"/>
      <c r="E2794" s="953"/>
      <c r="F2794" s="953"/>
      <c r="G2794" s="953"/>
      <c r="H2794" s="953"/>
    </row>
    <row r="2795" spans="1:8" x14ac:dyDescent="0.25">
      <c r="A2795" s="952"/>
      <c r="B2795" s="953"/>
      <c r="C2795" s="953"/>
      <c r="D2795" s="953"/>
      <c r="E2795" s="953"/>
      <c r="F2795" s="953"/>
      <c r="G2795" s="953"/>
      <c r="H2795" s="953"/>
    </row>
    <row r="2796" spans="1:8" x14ac:dyDescent="0.25">
      <c r="A2796" s="952"/>
      <c r="B2796" s="953"/>
      <c r="C2796" s="953"/>
      <c r="D2796" s="953"/>
      <c r="E2796" s="953"/>
      <c r="F2796" s="953"/>
      <c r="G2796" s="953"/>
      <c r="H2796" s="953"/>
    </row>
    <row r="2797" spans="1:8" x14ac:dyDescent="0.25">
      <c r="A2797" s="952"/>
      <c r="B2797" s="953"/>
      <c r="C2797" s="953"/>
      <c r="D2797" s="953"/>
      <c r="E2797" s="953"/>
      <c r="F2797" s="953"/>
      <c r="G2797" s="953"/>
      <c r="H2797" s="953"/>
    </row>
    <row r="2798" spans="1:8" x14ac:dyDescent="0.25">
      <c r="A2798" s="952"/>
      <c r="B2798" s="953"/>
      <c r="C2798" s="953"/>
      <c r="D2798" s="953"/>
      <c r="E2798" s="953"/>
      <c r="F2798" s="953"/>
      <c r="G2798" s="953"/>
      <c r="H2798" s="953"/>
    </row>
    <row r="2799" spans="1:8" x14ac:dyDescent="0.25">
      <c r="A2799" s="952"/>
      <c r="B2799" s="953"/>
      <c r="C2799" s="953"/>
      <c r="D2799" s="953"/>
      <c r="E2799" s="953"/>
      <c r="F2799" s="953"/>
      <c r="G2799" s="953"/>
      <c r="H2799" s="953"/>
    </row>
    <row r="2800" spans="1:8" x14ac:dyDescent="0.25">
      <c r="A2800" s="952"/>
      <c r="B2800" s="953"/>
      <c r="C2800" s="953"/>
      <c r="D2800" s="953"/>
      <c r="E2800" s="953"/>
      <c r="F2800" s="953"/>
      <c r="G2800" s="953"/>
      <c r="H2800" s="953"/>
    </row>
    <row r="2801" spans="1:8" x14ac:dyDescent="0.25">
      <c r="A2801" s="952"/>
      <c r="B2801" s="953"/>
      <c r="C2801" s="953"/>
      <c r="D2801" s="953"/>
      <c r="E2801" s="953"/>
      <c r="F2801" s="953"/>
      <c r="G2801" s="953"/>
      <c r="H2801" s="953"/>
    </row>
    <row r="2802" spans="1:8" x14ac:dyDescent="0.25">
      <c r="A2802" s="952"/>
      <c r="B2802" s="953"/>
      <c r="C2802" s="953"/>
      <c r="D2802" s="953"/>
      <c r="E2802" s="953"/>
      <c r="F2802" s="953"/>
      <c r="G2802" s="953"/>
      <c r="H2802" s="953"/>
    </row>
    <row r="2803" spans="1:8" x14ac:dyDescent="0.25">
      <c r="A2803" s="952"/>
      <c r="B2803" s="953"/>
      <c r="C2803" s="953"/>
      <c r="D2803" s="953"/>
      <c r="E2803" s="953"/>
      <c r="F2803" s="953"/>
      <c r="G2803" s="953"/>
      <c r="H2803" s="953"/>
    </row>
    <row r="2804" spans="1:8" x14ac:dyDescent="0.25">
      <c r="A2804" s="952"/>
      <c r="B2804" s="953"/>
      <c r="C2804" s="953"/>
      <c r="D2804" s="953"/>
      <c r="E2804" s="953"/>
      <c r="F2804" s="953"/>
      <c r="G2804" s="953"/>
      <c r="H2804" s="953"/>
    </row>
    <row r="2805" spans="1:8" x14ac:dyDescent="0.25">
      <c r="A2805" s="952"/>
      <c r="B2805" s="953"/>
      <c r="C2805" s="953"/>
      <c r="D2805" s="953"/>
      <c r="E2805" s="953"/>
      <c r="F2805" s="953"/>
      <c r="G2805" s="953"/>
      <c r="H2805" s="953"/>
    </row>
    <row r="2806" spans="1:8" x14ac:dyDescent="0.25">
      <c r="A2806" s="952"/>
      <c r="B2806" s="953"/>
      <c r="C2806" s="953"/>
      <c r="D2806" s="953"/>
      <c r="E2806" s="953"/>
      <c r="F2806" s="953"/>
      <c r="G2806" s="953"/>
      <c r="H2806" s="953"/>
    </row>
    <row r="2807" spans="1:8" x14ac:dyDescent="0.25">
      <c r="A2807" s="952"/>
      <c r="B2807" s="953"/>
      <c r="C2807" s="953"/>
      <c r="D2807" s="953"/>
      <c r="E2807" s="953"/>
      <c r="F2807" s="953"/>
      <c r="G2807" s="953"/>
      <c r="H2807" s="953"/>
    </row>
    <row r="2808" spans="1:8" x14ac:dyDescent="0.25">
      <c r="A2808" s="952"/>
      <c r="B2808" s="953"/>
      <c r="C2808" s="953"/>
      <c r="D2808" s="953"/>
      <c r="E2808" s="953"/>
      <c r="F2808" s="953"/>
      <c r="G2808" s="953"/>
      <c r="H2808" s="953"/>
    </row>
    <row r="2809" spans="1:8" x14ac:dyDescent="0.25">
      <c r="A2809" s="952"/>
      <c r="B2809" s="953"/>
      <c r="C2809" s="953"/>
      <c r="D2809" s="953"/>
      <c r="E2809" s="953"/>
      <c r="F2809" s="953"/>
      <c r="G2809" s="953"/>
      <c r="H2809" s="953"/>
    </row>
    <row r="2810" spans="1:8" x14ac:dyDescent="0.25">
      <c r="A2810" s="952"/>
      <c r="B2810" s="953"/>
      <c r="C2810" s="953"/>
      <c r="D2810" s="953"/>
      <c r="E2810" s="953"/>
      <c r="F2810" s="953"/>
      <c r="G2810" s="953"/>
      <c r="H2810" s="953"/>
    </row>
    <row r="2811" spans="1:8" x14ac:dyDescent="0.25">
      <c r="A2811" s="952"/>
      <c r="B2811" s="953"/>
      <c r="C2811" s="953"/>
      <c r="D2811" s="953"/>
      <c r="E2811" s="953"/>
      <c r="F2811" s="953"/>
      <c r="G2811" s="953"/>
      <c r="H2811" s="953"/>
    </row>
    <row r="2812" spans="1:8" x14ac:dyDescent="0.25">
      <c r="A2812" s="952"/>
      <c r="B2812" s="953"/>
      <c r="C2812" s="953"/>
      <c r="D2812" s="953"/>
      <c r="E2812" s="953"/>
      <c r="F2812" s="953"/>
      <c r="G2812" s="953"/>
      <c r="H2812" s="953"/>
    </row>
    <row r="2813" spans="1:8" x14ac:dyDescent="0.25">
      <c r="A2813" s="952"/>
      <c r="B2813" s="953"/>
      <c r="C2813" s="953"/>
      <c r="D2813" s="953"/>
      <c r="E2813" s="953"/>
      <c r="F2813" s="953"/>
      <c r="G2813" s="953"/>
      <c r="H2813" s="953"/>
    </row>
    <row r="2814" spans="1:8" x14ac:dyDescent="0.25">
      <c r="A2814" s="952"/>
      <c r="B2814" s="953"/>
      <c r="C2814" s="953"/>
      <c r="D2814" s="953"/>
      <c r="E2814" s="953"/>
      <c r="F2814" s="953"/>
      <c r="G2814" s="953"/>
      <c r="H2814" s="953"/>
    </row>
    <row r="2815" spans="1:8" x14ac:dyDescent="0.25">
      <c r="A2815" s="952"/>
      <c r="B2815" s="953"/>
      <c r="C2815" s="953"/>
      <c r="D2815" s="953"/>
      <c r="E2815" s="953"/>
      <c r="F2815" s="953"/>
      <c r="G2815" s="953"/>
      <c r="H2815" s="953"/>
    </row>
    <row r="2816" spans="1:8" x14ac:dyDescent="0.25">
      <c r="A2816" s="952"/>
      <c r="B2816" s="953"/>
      <c r="C2816" s="953"/>
      <c r="D2816" s="953"/>
      <c r="E2816" s="953"/>
      <c r="F2816" s="953"/>
      <c r="G2816" s="953"/>
      <c r="H2816" s="953"/>
    </row>
    <row r="2817" spans="1:8" x14ac:dyDescent="0.25">
      <c r="A2817" s="952"/>
      <c r="B2817" s="953"/>
      <c r="C2817" s="953"/>
      <c r="D2817" s="953"/>
      <c r="E2817" s="953"/>
      <c r="F2817" s="953"/>
      <c r="G2817" s="953"/>
      <c r="H2817" s="953"/>
    </row>
    <row r="2818" spans="1:8" x14ac:dyDescent="0.25">
      <c r="A2818" s="952"/>
      <c r="B2818" s="953"/>
      <c r="C2818" s="953"/>
      <c r="D2818" s="953"/>
      <c r="E2818" s="953"/>
      <c r="F2818" s="953"/>
      <c r="G2818" s="953"/>
      <c r="H2818" s="953"/>
    </row>
    <row r="2819" spans="1:8" x14ac:dyDescent="0.25">
      <c r="A2819" s="952"/>
      <c r="B2819" s="953"/>
      <c r="C2819" s="953"/>
      <c r="D2819" s="953"/>
      <c r="E2819" s="953"/>
      <c r="F2819" s="953"/>
      <c r="G2819" s="953"/>
      <c r="H2819" s="953"/>
    </row>
    <row r="2820" spans="1:8" x14ac:dyDescent="0.25">
      <c r="A2820" s="952"/>
      <c r="B2820" s="953"/>
      <c r="C2820" s="953"/>
      <c r="D2820" s="953"/>
      <c r="E2820" s="953"/>
      <c r="F2820" s="953"/>
      <c r="G2820" s="953"/>
      <c r="H2820" s="953"/>
    </row>
    <row r="2821" spans="1:8" x14ac:dyDescent="0.25">
      <c r="A2821" s="952"/>
      <c r="B2821" s="953"/>
      <c r="C2821" s="953"/>
      <c r="D2821" s="953"/>
      <c r="E2821" s="953"/>
      <c r="F2821" s="953"/>
      <c r="G2821" s="953"/>
      <c r="H2821" s="953"/>
    </row>
    <row r="2822" spans="1:8" x14ac:dyDescent="0.25">
      <c r="A2822" s="952"/>
      <c r="B2822" s="953"/>
      <c r="C2822" s="953"/>
      <c r="D2822" s="953"/>
      <c r="E2822" s="953"/>
      <c r="F2822" s="953"/>
      <c r="G2822" s="953"/>
      <c r="H2822" s="953"/>
    </row>
    <row r="2823" spans="1:8" x14ac:dyDescent="0.25">
      <c r="A2823" s="952"/>
      <c r="B2823" s="953"/>
      <c r="C2823" s="953"/>
      <c r="D2823" s="953"/>
      <c r="E2823" s="953"/>
      <c r="F2823" s="953"/>
      <c r="G2823" s="953"/>
      <c r="H2823" s="953"/>
    </row>
    <row r="2824" spans="1:8" x14ac:dyDescent="0.25">
      <c r="A2824" s="952"/>
      <c r="B2824" s="953"/>
      <c r="C2824" s="953"/>
      <c r="D2824" s="953"/>
      <c r="E2824" s="953"/>
      <c r="F2824" s="953"/>
      <c r="G2824" s="953"/>
      <c r="H2824" s="953"/>
    </row>
    <row r="2825" spans="1:8" x14ac:dyDescent="0.25">
      <c r="A2825" s="952"/>
      <c r="B2825" s="953"/>
      <c r="C2825" s="953"/>
      <c r="D2825" s="953"/>
      <c r="E2825" s="953"/>
      <c r="F2825" s="953"/>
      <c r="G2825" s="953"/>
      <c r="H2825" s="953"/>
    </row>
    <row r="2826" spans="1:8" x14ac:dyDescent="0.25">
      <c r="A2826" s="952"/>
      <c r="B2826" s="953"/>
      <c r="C2826" s="953"/>
      <c r="D2826" s="953"/>
      <c r="E2826" s="953"/>
      <c r="F2826" s="953"/>
      <c r="G2826" s="953"/>
      <c r="H2826" s="953"/>
    </row>
    <row r="2827" spans="1:8" x14ac:dyDescent="0.25">
      <c r="A2827" s="952"/>
      <c r="B2827" s="953"/>
      <c r="C2827" s="953"/>
      <c r="D2827" s="953"/>
      <c r="E2827" s="953"/>
      <c r="F2827" s="953"/>
      <c r="G2827" s="953"/>
      <c r="H2827" s="953"/>
    </row>
    <row r="2828" spans="1:8" x14ac:dyDescent="0.25">
      <c r="A2828" s="952"/>
      <c r="B2828" s="953"/>
      <c r="C2828" s="953"/>
      <c r="D2828" s="953"/>
      <c r="E2828" s="953"/>
      <c r="F2828" s="953"/>
      <c r="G2828" s="953"/>
      <c r="H2828" s="953"/>
    </row>
    <row r="2829" spans="1:8" x14ac:dyDescent="0.25">
      <c r="A2829" s="952"/>
      <c r="B2829" s="953"/>
      <c r="C2829" s="953"/>
      <c r="D2829" s="953"/>
      <c r="E2829" s="953"/>
      <c r="F2829" s="953"/>
      <c r="G2829" s="953"/>
      <c r="H2829" s="953"/>
    </row>
    <row r="2830" spans="1:8" x14ac:dyDescent="0.25">
      <c r="A2830" s="952"/>
      <c r="B2830" s="953"/>
      <c r="C2830" s="953"/>
      <c r="D2830" s="953"/>
      <c r="E2830" s="953"/>
      <c r="F2830" s="953"/>
      <c r="G2830" s="953"/>
      <c r="H2830" s="953"/>
    </row>
    <row r="2831" spans="1:8" x14ac:dyDescent="0.25">
      <c r="A2831" s="952"/>
      <c r="B2831" s="953"/>
      <c r="C2831" s="953"/>
      <c r="D2831" s="953"/>
      <c r="E2831" s="953"/>
      <c r="F2831" s="953"/>
      <c r="G2831" s="953"/>
      <c r="H2831" s="953"/>
    </row>
    <row r="2832" spans="1:8" x14ac:dyDescent="0.25">
      <c r="A2832" s="952"/>
      <c r="B2832" s="953"/>
      <c r="C2832" s="953"/>
      <c r="D2832" s="953"/>
      <c r="E2832" s="953"/>
      <c r="F2832" s="953"/>
      <c r="G2832" s="953"/>
      <c r="H2832" s="953"/>
    </row>
    <row r="2833" spans="1:8" x14ac:dyDescent="0.25">
      <c r="A2833" s="952"/>
      <c r="B2833" s="953"/>
      <c r="C2833" s="953"/>
      <c r="D2833" s="953"/>
      <c r="E2833" s="953"/>
      <c r="F2833" s="953"/>
      <c r="G2833" s="953"/>
      <c r="H2833" s="953"/>
    </row>
    <row r="2834" spans="1:8" x14ac:dyDescent="0.25">
      <c r="A2834" s="952"/>
      <c r="B2834" s="953"/>
      <c r="C2834" s="953"/>
      <c r="D2834" s="953"/>
      <c r="E2834" s="953"/>
      <c r="F2834" s="953"/>
      <c r="G2834" s="953"/>
      <c r="H2834" s="953"/>
    </row>
    <row r="2835" spans="1:8" x14ac:dyDescent="0.25">
      <c r="A2835" s="952"/>
      <c r="B2835" s="953"/>
      <c r="C2835" s="953"/>
      <c r="D2835" s="953"/>
      <c r="E2835" s="953"/>
      <c r="F2835" s="953"/>
      <c r="G2835" s="953"/>
      <c r="H2835" s="953"/>
    </row>
    <row r="2836" spans="1:8" x14ac:dyDescent="0.25">
      <c r="A2836" s="952"/>
      <c r="B2836" s="953"/>
      <c r="C2836" s="953"/>
      <c r="D2836" s="953"/>
      <c r="E2836" s="953"/>
      <c r="F2836" s="953"/>
      <c r="G2836" s="953"/>
      <c r="H2836" s="953"/>
    </row>
    <row r="2837" spans="1:8" x14ac:dyDescent="0.25">
      <c r="A2837" s="952"/>
      <c r="B2837" s="953"/>
      <c r="C2837" s="953"/>
      <c r="D2837" s="953"/>
      <c r="E2837" s="953"/>
      <c r="F2837" s="953"/>
      <c r="G2837" s="953"/>
      <c r="H2837" s="953"/>
    </row>
    <row r="2838" spans="1:8" x14ac:dyDescent="0.25">
      <c r="A2838" s="952"/>
      <c r="B2838" s="953"/>
      <c r="C2838" s="953"/>
      <c r="D2838" s="953"/>
      <c r="E2838" s="953"/>
      <c r="F2838" s="953"/>
      <c r="G2838" s="953"/>
      <c r="H2838" s="953"/>
    </row>
    <row r="2839" spans="1:8" x14ac:dyDescent="0.25">
      <c r="A2839" s="952"/>
      <c r="B2839" s="953"/>
      <c r="C2839" s="953"/>
      <c r="D2839" s="953"/>
      <c r="E2839" s="953"/>
      <c r="F2839" s="953"/>
      <c r="G2839" s="953"/>
      <c r="H2839" s="953"/>
    </row>
    <row r="2840" spans="1:8" x14ac:dyDescent="0.25">
      <c r="A2840" s="952"/>
      <c r="B2840" s="953"/>
      <c r="C2840" s="953"/>
      <c r="D2840" s="953"/>
      <c r="E2840" s="953"/>
      <c r="F2840" s="953"/>
      <c r="G2840" s="953"/>
      <c r="H2840" s="953"/>
    </row>
    <row r="2841" spans="1:8" x14ac:dyDescent="0.25">
      <c r="A2841" s="952"/>
      <c r="B2841" s="953"/>
      <c r="C2841" s="953"/>
      <c r="D2841" s="953"/>
      <c r="E2841" s="953"/>
      <c r="F2841" s="953"/>
      <c r="G2841" s="953"/>
      <c r="H2841" s="953"/>
    </row>
    <row r="2842" spans="1:8" x14ac:dyDescent="0.25">
      <c r="A2842" s="952"/>
      <c r="B2842" s="953"/>
      <c r="C2842" s="953"/>
      <c r="D2842" s="953"/>
      <c r="E2842" s="953"/>
      <c r="F2842" s="953"/>
      <c r="G2842" s="953"/>
      <c r="H2842" s="953"/>
    </row>
    <row r="2843" spans="1:8" x14ac:dyDescent="0.25">
      <c r="A2843" s="952"/>
      <c r="B2843" s="953"/>
      <c r="C2843" s="953"/>
      <c r="D2843" s="953"/>
      <c r="E2843" s="953"/>
      <c r="F2843" s="953"/>
      <c r="G2843" s="953"/>
      <c r="H2843" s="953"/>
    </row>
    <row r="2844" spans="1:8" x14ac:dyDescent="0.25">
      <c r="A2844" s="952"/>
      <c r="B2844" s="953"/>
      <c r="C2844" s="953"/>
      <c r="D2844" s="953"/>
      <c r="E2844" s="953"/>
      <c r="F2844" s="953"/>
      <c r="G2844" s="953"/>
      <c r="H2844" s="953"/>
    </row>
    <row r="2845" spans="1:8" x14ac:dyDescent="0.25">
      <c r="A2845" s="952"/>
      <c r="B2845" s="953"/>
      <c r="C2845" s="953"/>
      <c r="D2845" s="953"/>
      <c r="E2845" s="953"/>
      <c r="F2845" s="953"/>
      <c r="G2845" s="953"/>
      <c r="H2845" s="953"/>
    </row>
    <row r="2846" spans="1:8" x14ac:dyDescent="0.25">
      <c r="A2846" s="952"/>
      <c r="B2846" s="953"/>
      <c r="C2846" s="953"/>
      <c r="D2846" s="953"/>
      <c r="E2846" s="953"/>
      <c r="F2846" s="953"/>
      <c r="G2846" s="953"/>
      <c r="H2846" s="953"/>
    </row>
    <row r="2847" spans="1:8" x14ac:dyDescent="0.25">
      <c r="A2847" s="952"/>
      <c r="B2847" s="953"/>
      <c r="C2847" s="953"/>
      <c r="D2847" s="953"/>
      <c r="E2847" s="953"/>
      <c r="F2847" s="953"/>
      <c r="G2847" s="953"/>
      <c r="H2847" s="953"/>
    </row>
    <row r="2848" spans="1:8" x14ac:dyDescent="0.25">
      <c r="A2848" s="952"/>
      <c r="B2848" s="953"/>
      <c r="C2848" s="953"/>
      <c r="D2848" s="953"/>
      <c r="E2848" s="953"/>
      <c r="F2848" s="953"/>
      <c r="G2848" s="953"/>
      <c r="H2848" s="953"/>
    </row>
    <row r="2849" spans="1:8" x14ac:dyDescent="0.25">
      <c r="A2849" s="952"/>
      <c r="B2849" s="953"/>
      <c r="C2849" s="953"/>
      <c r="D2849" s="953"/>
      <c r="E2849" s="953"/>
      <c r="F2849" s="953"/>
      <c r="G2849" s="953"/>
      <c r="H2849" s="953"/>
    </row>
    <row r="2850" spans="1:8" x14ac:dyDescent="0.25">
      <c r="A2850" s="952"/>
      <c r="B2850" s="953"/>
      <c r="C2850" s="953"/>
      <c r="D2850" s="953"/>
      <c r="E2850" s="953"/>
      <c r="F2850" s="953"/>
      <c r="G2850" s="953"/>
      <c r="H2850" s="953"/>
    </row>
    <row r="2851" spans="1:8" x14ac:dyDescent="0.25">
      <c r="A2851" s="952"/>
      <c r="B2851" s="953"/>
      <c r="C2851" s="953"/>
      <c r="D2851" s="953"/>
      <c r="E2851" s="953"/>
      <c r="F2851" s="953"/>
      <c r="G2851" s="953"/>
      <c r="H2851" s="953"/>
    </row>
    <row r="2852" spans="1:8" x14ac:dyDescent="0.25">
      <c r="A2852" s="952"/>
      <c r="B2852" s="953"/>
      <c r="C2852" s="953"/>
      <c r="D2852" s="953"/>
      <c r="E2852" s="953"/>
      <c r="F2852" s="953"/>
      <c r="G2852" s="953"/>
      <c r="H2852" s="953"/>
    </row>
    <row r="2853" spans="1:8" x14ac:dyDescent="0.25">
      <c r="A2853" s="952"/>
      <c r="B2853" s="953"/>
      <c r="C2853" s="953"/>
      <c r="D2853" s="953"/>
      <c r="E2853" s="953"/>
      <c r="F2853" s="953"/>
      <c r="G2853" s="953"/>
      <c r="H2853" s="953"/>
    </row>
    <row r="2854" spans="1:8" x14ac:dyDescent="0.25">
      <c r="A2854" s="952"/>
      <c r="B2854" s="953"/>
      <c r="C2854" s="953"/>
      <c r="D2854" s="953"/>
      <c r="E2854" s="953"/>
      <c r="F2854" s="953"/>
      <c r="G2854" s="953"/>
      <c r="H2854" s="953"/>
    </row>
    <row r="2855" spans="1:8" x14ac:dyDescent="0.25">
      <c r="A2855" s="952"/>
      <c r="B2855" s="953"/>
      <c r="C2855" s="953"/>
      <c r="D2855" s="953"/>
      <c r="E2855" s="953"/>
      <c r="F2855" s="953"/>
      <c r="G2855" s="953"/>
      <c r="H2855" s="953"/>
    </row>
    <row r="2856" spans="1:8" x14ac:dyDescent="0.25">
      <c r="A2856" s="952"/>
      <c r="B2856" s="953"/>
      <c r="C2856" s="953"/>
      <c r="D2856" s="953"/>
      <c r="E2856" s="953"/>
      <c r="F2856" s="953"/>
      <c r="G2856" s="953"/>
      <c r="H2856" s="953"/>
    </row>
    <row r="2857" spans="1:8" x14ac:dyDescent="0.25">
      <c r="A2857" s="952"/>
      <c r="B2857" s="953"/>
      <c r="C2857" s="953"/>
      <c r="D2857" s="953"/>
      <c r="E2857" s="953"/>
      <c r="F2857" s="953"/>
      <c r="G2857" s="953"/>
      <c r="H2857" s="953"/>
    </row>
    <row r="2858" spans="1:8" x14ac:dyDescent="0.25">
      <c r="A2858" s="952"/>
      <c r="B2858" s="953"/>
      <c r="C2858" s="953"/>
      <c r="D2858" s="953"/>
      <c r="E2858" s="953"/>
      <c r="F2858" s="953"/>
      <c r="G2858" s="953"/>
      <c r="H2858" s="953"/>
    </row>
    <row r="2859" spans="1:8" x14ac:dyDescent="0.25">
      <c r="A2859" s="952"/>
      <c r="B2859" s="953"/>
      <c r="C2859" s="953"/>
      <c r="D2859" s="953"/>
      <c r="E2859" s="953"/>
      <c r="F2859" s="953"/>
      <c r="G2859" s="953"/>
      <c r="H2859" s="953"/>
    </row>
    <row r="2860" spans="1:8" x14ac:dyDescent="0.25">
      <c r="A2860" s="952"/>
      <c r="B2860" s="953"/>
      <c r="C2860" s="953"/>
      <c r="D2860" s="953"/>
      <c r="E2860" s="953"/>
      <c r="F2860" s="953"/>
      <c r="G2860" s="953"/>
      <c r="H2860" s="953"/>
    </row>
    <row r="2861" spans="1:8" x14ac:dyDescent="0.25">
      <c r="A2861" s="952"/>
      <c r="B2861" s="953"/>
      <c r="C2861" s="953"/>
      <c r="D2861" s="953"/>
      <c r="E2861" s="953"/>
      <c r="F2861" s="953"/>
      <c r="G2861" s="953"/>
      <c r="H2861" s="953"/>
    </row>
    <row r="2862" spans="1:8" x14ac:dyDescent="0.25">
      <c r="A2862" s="952"/>
      <c r="B2862" s="953"/>
      <c r="C2862" s="953"/>
      <c r="D2862" s="953"/>
      <c r="E2862" s="953"/>
      <c r="F2862" s="953"/>
      <c r="G2862" s="953"/>
      <c r="H2862" s="953"/>
    </row>
    <row r="2863" spans="1:8" x14ac:dyDescent="0.25">
      <c r="A2863" s="952"/>
      <c r="B2863" s="953"/>
      <c r="C2863" s="953"/>
      <c r="D2863" s="953"/>
      <c r="E2863" s="953"/>
      <c r="F2863" s="953"/>
      <c r="G2863" s="953"/>
      <c r="H2863" s="953"/>
    </row>
    <row r="2864" spans="1:8" x14ac:dyDescent="0.25">
      <c r="A2864" s="952"/>
      <c r="B2864" s="953"/>
      <c r="C2864" s="953"/>
      <c r="D2864" s="953"/>
      <c r="E2864" s="953"/>
      <c r="F2864" s="953"/>
      <c r="G2864" s="953"/>
      <c r="H2864" s="953"/>
    </row>
    <row r="2865" spans="1:8" x14ac:dyDescent="0.25">
      <c r="A2865" s="952"/>
      <c r="B2865" s="953"/>
      <c r="C2865" s="953"/>
      <c r="D2865" s="953"/>
      <c r="E2865" s="953"/>
      <c r="F2865" s="953"/>
      <c r="G2865" s="953"/>
      <c r="H2865" s="953"/>
    </row>
    <row r="2866" spans="1:8" x14ac:dyDescent="0.25">
      <c r="A2866" s="952"/>
      <c r="B2866" s="953"/>
      <c r="C2866" s="953"/>
      <c r="D2866" s="953"/>
      <c r="E2866" s="953"/>
      <c r="F2866" s="953"/>
      <c r="G2866" s="953"/>
      <c r="H2866" s="953"/>
    </row>
    <row r="2867" spans="1:8" x14ac:dyDescent="0.25">
      <c r="A2867" s="952"/>
      <c r="B2867" s="953"/>
      <c r="C2867" s="953"/>
      <c r="D2867" s="953"/>
      <c r="E2867" s="953"/>
      <c r="F2867" s="953"/>
      <c r="G2867" s="953"/>
      <c r="H2867" s="953"/>
    </row>
    <row r="2868" spans="1:8" x14ac:dyDescent="0.25">
      <c r="A2868" s="952"/>
      <c r="B2868" s="953"/>
      <c r="C2868" s="953"/>
      <c r="D2868" s="953"/>
      <c r="E2868" s="953"/>
      <c r="F2868" s="953"/>
      <c r="G2868" s="953"/>
      <c r="H2868" s="953"/>
    </row>
    <row r="2869" spans="1:8" x14ac:dyDescent="0.25">
      <c r="A2869" s="952"/>
      <c r="B2869" s="953"/>
      <c r="C2869" s="953"/>
      <c r="D2869" s="953"/>
      <c r="E2869" s="953"/>
      <c r="F2869" s="953"/>
      <c r="G2869" s="953"/>
      <c r="H2869" s="953"/>
    </row>
    <row r="2870" spans="1:8" x14ac:dyDescent="0.25">
      <c r="A2870" s="952"/>
      <c r="B2870" s="953"/>
      <c r="C2870" s="953"/>
      <c r="D2870" s="953"/>
      <c r="E2870" s="953"/>
      <c r="F2870" s="953"/>
      <c r="G2870" s="953"/>
      <c r="H2870" s="953"/>
    </row>
    <row r="2871" spans="1:8" x14ac:dyDescent="0.25">
      <c r="A2871" s="952"/>
      <c r="B2871" s="953"/>
      <c r="C2871" s="953"/>
      <c r="D2871" s="953"/>
      <c r="E2871" s="953"/>
      <c r="F2871" s="953"/>
      <c r="G2871" s="953"/>
      <c r="H2871" s="953"/>
    </row>
    <row r="2872" spans="1:8" x14ac:dyDescent="0.25">
      <c r="A2872" s="952"/>
      <c r="B2872" s="953"/>
      <c r="C2872" s="953"/>
      <c r="D2872" s="953"/>
      <c r="E2872" s="953"/>
      <c r="F2872" s="953"/>
      <c r="G2872" s="953"/>
      <c r="H2872" s="953"/>
    </row>
    <row r="2873" spans="1:8" x14ac:dyDescent="0.25">
      <c r="A2873" s="952"/>
      <c r="B2873" s="953"/>
      <c r="C2873" s="953"/>
      <c r="D2873" s="953"/>
      <c r="E2873" s="953"/>
      <c r="F2873" s="953"/>
      <c r="G2873" s="953"/>
      <c r="H2873" s="953"/>
    </row>
    <row r="2874" spans="1:8" x14ac:dyDescent="0.25">
      <c r="A2874" s="952"/>
      <c r="B2874" s="953"/>
      <c r="C2874" s="953"/>
      <c r="D2874" s="953"/>
      <c r="E2874" s="953"/>
      <c r="F2874" s="953"/>
      <c r="G2874" s="953"/>
      <c r="H2874" s="953"/>
    </row>
    <row r="2875" spans="1:8" x14ac:dyDescent="0.25">
      <c r="A2875" s="952"/>
      <c r="B2875" s="953"/>
      <c r="C2875" s="953"/>
      <c r="D2875" s="953"/>
      <c r="E2875" s="953"/>
      <c r="F2875" s="953"/>
      <c r="G2875" s="953"/>
      <c r="H2875" s="953"/>
    </row>
    <row r="2876" spans="1:8" x14ac:dyDescent="0.25">
      <c r="A2876" s="952"/>
      <c r="B2876" s="953"/>
      <c r="C2876" s="953"/>
      <c r="D2876" s="953"/>
      <c r="E2876" s="953"/>
      <c r="F2876" s="953"/>
      <c r="G2876" s="953"/>
      <c r="H2876" s="953"/>
    </row>
    <row r="2877" spans="1:8" x14ac:dyDescent="0.25">
      <c r="A2877" s="952"/>
      <c r="B2877" s="953"/>
      <c r="C2877" s="953"/>
      <c r="D2877" s="953"/>
      <c r="E2877" s="953"/>
      <c r="F2877" s="953"/>
      <c r="G2877" s="953"/>
      <c r="H2877" s="953"/>
    </row>
    <row r="2878" spans="1:8" x14ac:dyDescent="0.25">
      <c r="A2878" s="952"/>
      <c r="B2878" s="953"/>
      <c r="C2878" s="953"/>
      <c r="D2878" s="953"/>
      <c r="E2878" s="953"/>
      <c r="F2878" s="953"/>
      <c r="G2878" s="953"/>
      <c r="H2878" s="953"/>
    </row>
    <row r="2879" spans="1:8" x14ac:dyDescent="0.25">
      <c r="A2879" s="952"/>
      <c r="B2879" s="953"/>
      <c r="C2879" s="953"/>
      <c r="D2879" s="953"/>
      <c r="E2879" s="953"/>
      <c r="F2879" s="953"/>
      <c r="G2879" s="953"/>
      <c r="H2879" s="953"/>
    </row>
    <row r="2880" spans="1:8" x14ac:dyDescent="0.25">
      <c r="A2880" s="952"/>
      <c r="B2880" s="953"/>
      <c r="C2880" s="953"/>
      <c r="D2880" s="953"/>
      <c r="E2880" s="953"/>
      <c r="F2880" s="953"/>
      <c r="G2880" s="953"/>
      <c r="H2880" s="953"/>
    </row>
    <row r="2881" spans="1:8" x14ac:dyDescent="0.25">
      <c r="A2881" s="952"/>
      <c r="B2881" s="953"/>
      <c r="C2881" s="953"/>
      <c r="D2881" s="953"/>
      <c r="E2881" s="953"/>
      <c r="F2881" s="953"/>
      <c r="G2881" s="953"/>
      <c r="H2881" s="953"/>
    </row>
    <row r="2882" spans="1:8" x14ac:dyDescent="0.25">
      <c r="A2882" s="952"/>
      <c r="B2882" s="953"/>
      <c r="C2882" s="953"/>
      <c r="D2882" s="953"/>
      <c r="E2882" s="953"/>
      <c r="F2882" s="953"/>
      <c r="G2882" s="953"/>
      <c r="H2882" s="953"/>
    </row>
    <row r="2883" spans="1:8" x14ac:dyDescent="0.25">
      <c r="A2883" s="952"/>
      <c r="B2883" s="953"/>
      <c r="C2883" s="953"/>
      <c r="D2883" s="953"/>
      <c r="E2883" s="953"/>
      <c r="F2883" s="953"/>
      <c r="G2883" s="953"/>
      <c r="H2883" s="953"/>
    </row>
    <row r="2884" spans="1:8" x14ac:dyDescent="0.25">
      <c r="A2884" s="952"/>
      <c r="B2884" s="953"/>
      <c r="C2884" s="953"/>
      <c r="D2884" s="953"/>
      <c r="E2884" s="953"/>
      <c r="F2884" s="953"/>
      <c r="G2884" s="953"/>
      <c r="H2884" s="953"/>
    </row>
    <row r="2885" spans="1:8" x14ac:dyDescent="0.25">
      <c r="A2885" s="952"/>
      <c r="B2885" s="953"/>
      <c r="C2885" s="953"/>
      <c r="D2885" s="953"/>
      <c r="E2885" s="953"/>
      <c r="F2885" s="953"/>
      <c r="G2885" s="953"/>
      <c r="H2885" s="953"/>
    </row>
    <row r="2886" spans="1:8" x14ac:dyDescent="0.25">
      <c r="A2886" s="952"/>
      <c r="B2886" s="953"/>
      <c r="C2886" s="953"/>
      <c r="D2886" s="953"/>
      <c r="E2886" s="953"/>
      <c r="F2886" s="953"/>
      <c r="G2886" s="953"/>
      <c r="H2886" s="953"/>
    </row>
    <row r="2887" spans="1:8" x14ac:dyDescent="0.25">
      <c r="A2887" s="952"/>
      <c r="B2887" s="953"/>
      <c r="C2887" s="953"/>
      <c r="D2887" s="953"/>
      <c r="E2887" s="953"/>
      <c r="F2887" s="953"/>
      <c r="G2887" s="953"/>
      <c r="H2887" s="953"/>
    </row>
    <row r="2888" spans="1:8" x14ac:dyDescent="0.25">
      <c r="A2888" s="952"/>
      <c r="B2888" s="953"/>
      <c r="C2888" s="953"/>
      <c r="D2888" s="953"/>
      <c r="E2888" s="953"/>
      <c r="F2888" s="953"/>
      <c r="G2888" s="953"/>
      <c r="H2888" s="953"/>
    </row>
    <row r="2889" spans="1:8" x14ac:dyDescent="0.25">
      <c r="A2889" s="952"/>
      <c r="B2889" s="953"/>
      <c r="C2889" s="953"/>
      <c r="D2889" s="953"/>
      <c r="E2889" s="953"/>
      <c r="F2889" s="953"/>
      <c r="G2889" s="953"/>
      <c r="H2889" s="953"/>
    </row>
    <row r="2890" spans="1:8" x14ac:dyDescent="0.25">
      <c r="A2890" s="952"/>
      <c r="B2890" s="953"/>
      <c r="C2890" s="953"/>
      <c r="D2890" s="953"/>
      <c r="E2890" s="953"/>
      <c r="F2890" s="953"/>
      <c r="G2890" s="953"/>
      <c r="H2890" s="953"/>
    </row>
    <row r="2891" spans="1:8" x14ac:dyDescent="0.25">
      <c r="A2891" s="952"/>
      <c r="B2891" s="953"/>
      <c r="C2891" s="953"/>
      <c r="D2891" s="953"/>
      <c r="E2891" s="953"/>
      <c r="F2891" s="953"/>
      <c r="G2891" s="953"/>
      <c r="H2891" s="953"/>
    </row>
    <row r="2892" spans="1:8" x14ac:dyDescent="0.25">
      <c r="A2892" s="952"/>
      <c r="B2892" s="953"/>
      <c r="C2892" s="953"/>
      <c r="D2892" s="953"/>
      <c r="E2892" s="953"/>
      <c r="F2892" s="953"/>
      <c r="G2892" s="953"/>
      <c r="H2892" s="953"/>
    </row>
    <row r="2893" spans="1:8" x14ac:dyDescent="0.25">
      <c r="A2893" s="952"/>
      <c r="B2893" s="953"/>
      <c r="C2893" s="953"/>
      <c r="D2893" s="953"/>
      <c r="E2893" s="953"/>
      <c r="F2893" s="953"/>
      <c r="G2893" s="953"/>
      <c r="H2893" s="953"/>
    </row>
    <row r="2894" spans="1:8" x14ac:dyDescent="0.25">
      <c r="A2894" s="952"/>
      <c r="B2894" s="953"/>
      <c r="C2894" s="953"/>
      <c r="D2894" s="953"/>
      <c r="E2894" s="953"/>
      <c r="F2894" s="953"/>
      <c r="G2894" s="953"/>
      <c r="H2894" s="953"/>
    </row>
    <row r="2895" spans="1:8" x14ac:dyDescent="0.25">
      <c r="A2895" s="952"/>
      <c r="B2895" s="953"/>
      <c r="C2895" s="953"/>
      <c r="D2895" s="953"/>
      <c r="E2895" s="953"/>
      <c r="F2895" s="953"/>
      <c r="G2895" s="953"/>
      <c r="H2895" s="953"/>
    </row>
    <row r="2896" spans="1:8" x14ac:dyDescent="0.25">
      <c r="A2896" s="952"/>
      <c r="B2896" s="953"/>
      <c r="C2896" s="953"/>
      <c r="D2896" s="953"/>
      <c r="E2896" s="953"/>
      <c r="F2896" s="953"/>
      <c r="G2896" s="953"/>
      <c r="H2896" s="953"/>
    </row>
    <row r="2897" spans="1:8" x14ac:dyDescent="0.25">
      <c r="A2897" s="952"/>
      <c r="B2897" s="953"/>
      <c r="C2897" s="953"/>
      <c r="D2897" s="953"/>
      <c r="E2897" s="953"/>
      <c r="F2897" s="953"/>
      <c r="G2897" s="953"/>
      <c r="H2897" s="953"/>
    </row>
    <row r="2898" spans="1:8" x14ac:dyDescent="0.25">
      <c r="A2898" s="952"/>
      <c r="B2898" s="953"/>
      <c r="C2898" s="953"/>
      <c r="D2898" s="953"/>
      <c r="E2898" s="953"/>
      <c r="F2898" s="953"/>
      <c r="G2898" s="953"/>
      <c r="H2898" s="953"/>
    </row>
    <row r="2899" spans="1:8" x14ac:dyDescent="0.25">
      <c r="A2899" s="952"/>
      <c r="B2899" s="953"/>
      <c r="C2899" s="953"/>
      <c r="D2899" s="953"/>
      <c r="E2899" s="953"/>
      <c r="F2899" s="953"/>
      <c r="G2899" s="953"/>
      <c r="H2899" s="953"/>
    </row>
    <row r="2900" spans="1:8" x14ac:dyDescent="0.25">
      <c r="A2900" s="952"/>
      <c r="B2900" s="953"/>
      <c r="C2900" s="953"/>
      <c r="D2900" s="953"/>
      <c r="E2900" s="953"/>
      <c r="F2900" s="953"/>
      <c r="G2900" s="953"/>
      <c r="H2900" s="953"/>
    </row>
    <row r="2901" spans="1:8" x14ac:dyDescent="0.25">
      <c r="A2901" s="952"/>
      <c r="B2901" s="953"/>
      <c r="C2901" s="953"/>
      <c r="D2901" s="953"/>
      <c r="E2901" s="953"/>
      <c r="F2901" s="953"/>
      <c r="G2901" s="953"/>
      <c r="H2901" s="953"/>
    </row>
    <row r="2902" spans="1:8" x14ac:dyDescent="0.25">
      <c r="A2902" s="952"/>
      <c r="B2902" s="953"/>
      <c r="C2902" s="953"/>
      <c r="D2902" s="953"/>
      <c r="E2902" s="953"/>
      <c r="F2902" s="953"/>
      <c r="G2902" s="953"/>
      <c r="H2902" s="953"/>
    </row>
    <row r="2903" spans="1:8" x14ac:dyDescent="0.25">
      <c r="A2903" s="952"/>
      <c r="B2903" s="953"/>
      <c r="C2903" s="953"/>
      <c r="D2903" s="953"/>
      <c r="E2903" s="953"/>
      <c r="F2903" s="953"/>
      <c r="G2903" s="953"/>
      <c r="H2903" s="953"/>
    </row>
    <row r="2904" spans="1:8" x14ac:dyDescent="0.25">
      <c r="A2904" s="952"/>
      <c r="B2904" s="953"/>
      <c r="C2904" s="953"/>
      <c r="D2904" s="953"/>
      <c r="E2904" s="953"/>
      <c r="F2904" s="953"/>
      <c r="G2904" s="953"/>
      <c r="H2904" s="953"/>
    </row>
    <row r="2905" spans="1:8" x14ac:dyDescent="0.25">
      <c r="A2905" s="952"/>
      <c r="B2905" s="953"/>
      <c r="C2905" s="953"/>
      <c r="D2905" s="953"/>
      <c r="E2905" s="953"/>
      <c r="F2905" s="953"/>
      <c r="G2905" s="953"/>
      <c r="H2905" s="953"/>
    </row>
    <row r="2906" spans="1:8" x14ac:dyDescent="0.25">
      <c r="A2906" s="952"/>
      <c r="B2906" s="953"/>
      <c r="C2906" s="953"/>
      <c r="D2906" s="953"/>
      <c r="E2906" s="953"/>
      <c r="F2906" s="953"/>
      <c r="G2906" s="953"/>
      <c r="H2906" s="953"/>
    </row>
    <row r="2907" spans="1:8" x14ac:dyDescent="0.25">
      <c r="A2907" s="952"/>
      <c r="B2907" s="953"/>
      <c r="C2907" s="953"/>
      <c r="D2907" s="953"/>
      <c r="E2907" s="953"/>
      <c r="F2907" s="953"/>
      <c r="G2907" s="953"/>
      <c r="H2907" s="953"/>
    </row>
    <row r="2908" spans="1:8" x14ac:dyDescent="0.25">
      <c r="A2908" s="952"/>
      <c r="B2908" s="953"/>
      <c r="C2908" s="953"/>
      <c r="D2908" s="953"/>
      <c r="E2908" s="953"/>
      <c r="F2908" s="953"/>
      <c r="G2908" s="953"/>
      <c r="H2908" s="953"/>
    </row>
    <row r="2909" spans="1:8" x14ac:dyDescent="0.25">
      <c r="A2909" s="952"/>
      <c r="B2909" s="953"/>
      <c r="C2909" s="953"/>
      <c r="D2909" s="953"/>
      <c r="E2909" s="953"/>
      <c r="F2909" s="953"/>
      <c r="G2909" s="953"/>
      <c r="H2909" s="953"/>
    </row>
    <row r="2910" spans="1:8" x14ac:dyDescent="0.25">
      <c r="A2910" s="952"/>
      <c r="B2910" s="953"/>
      <c r="C2910" s="953"/>
      <c r="D2910" s="953"/>
      <c r="E2910" s="953"/>
      <c r="F2910" s="953"/>
      <c r="G2910" s="953"/>
      <c r="H2910" s="953"/>
    </row>
    <row r="2911" spans="1:8" x14ac:dyDescent="0.25">
      <c r="A2911" s="952"/>
      <c r="B2911" s="953"/>
      <c r="C2911" s="953"/>
      <c r="D2911" s="953"/>
      <c r="E2911" s="953"/>
      <c r="F2911" s="953"/>
      <c r="G2911" s="953"/>
      <c r="H2911" s="953"/>
    </row>
    <row r="2912" spans="1:8" x14ac:dyDescent="0.25">
      <c r="A2912" s="952"/>
      <c r="B2912" s="953"/>
      <c r="C2912" s="953"/>
      <c r="D2912" s="953"/>
      <c r="E2912" s="953"/>
      <c r="F2912" s="953"/>
      <c r="G2912" s="953"/>
      <c r="H2912" s="953"/>
    </row>
    <row r="2913" spans="1:8" x14ac:dyDescent="0.25">
      <c r="A2913" s="952"/>
      <c r="B2913" s="953"/>
      <c r="C2913" s="953"/>
      <c r="D2913" s="953"/>
      <c r="E2913" s="953"/>
      <c r="F2913" s="953"/>
      <c r="G2913" s="953"/>
      <c r="H2913" s="953"/>
    </row>
    <row r="2914" spans="1:8" x14ac:dyDescent="0.25">
      <c r="A2914" s="952"/>
      <c r="B2914" s="953"/>
      <c r="C2914" s="953"/>
      <c r="D2914" s="953"/>
      <c r="E2914" s="953"/>
      <c r="F2914" s="953"/>
      <c r="G2914" s="953"/>
      <c r="H2914" s="953"/>
    </row>
    <row r="2915" spans="1:8" x14ac:dyDescent="0.25">
      <c r="A2915" s="952"/>
      <c r="B2915" s="953"/>
      <c r="C2915" s="953"/>
      <c r="D2915" s="953"/>
      <c r="E2915" s="953"/>
      <c r="F2915" s="953"/>
      <c r="G2915" s="953"/>
      <c r="H2915" s="953"/>
    </row>
    <row r="2916" spans="1:8" x14ac:dyDescent="0.25">
      <c r="A2916" s="952"/>
      <c r="B2916" s="953"/>
      <c r="C2916" s="953"/>
      <c r="D2916" s="953"/>
      <c r="E2916" s="953"/>
      <c r="F2916" s="953"/>
      <c r="G2916" s="953"/>
      <c r="H2916" s="953"/>
    </row>
    <row r="2917" spans="1:8" x14ac:dyDescent="0.25">
      <c r="A2917" s="952"/>
      <c r="B2917" s="953"/>
      <c r="C2917" s="953"/>
      <c r="D2917" s="953"/>
      <c r="E2917" s="953"/>
      <c r="F2917" s="953"/>
      <c r="G2917" s="953"/>
      <c r="H2917" s="953"/>
    </row>
    <row r="2918" spans="1:8" x14ac:dyDescent="0.25">
      <c r="A2918" s="952"/>
      <c r="B2918" s="953"/>
      <c r="C2918" s="953"/>
      <c r="D2918" s="953"/>
      <c r="E2918" s="953"/>
      <c r="F2918" s="953"/>
      <c r="G2918" s="953"/>
      <c r="H2918" s="953"/>
    </row>
    <row r="2919" spans="1:8" x14ac:dyDescent="0.25">
      <c r="A2919" s="952"/>
      <c r="B2919" s="953"/>
      <c r="C2919" s="953"/>
      <c r="D2919" s="953"/>
      <c r="E2919" s="953"/>
      <c r="F2919" s="953"/>
      <c r="G2919" s="953"/>
      <c r="H2919" s="953"/>
    </row>
    <row r="2920" spans="1:8" x14ac:dyDescent="0.25">
      <c r="A2920" s="952"/>
      <c r="B2920" s="953"/>
      <c r="C2920" s="953"/>
      <c r="D2920" s="953"/>
      <c r="E2920" s="953"/>
      <c r="F2920" s="953"/>
      <c r="G2920" s="953"/>
      <c r="H2920" s="953"/>
    </row>
    <row r="2921" spans="1:8" x14ac:dyDescent="0.25">
      <c r="A2921" s="952"/>
      <c r="B2921" s="953"/>
      <c r="C2921" s="953"/>
      <c r="D2921" s="953"/>
      <c r="E2921" s="953"/>
      <c r="F2921" s="953"/>
      <c r="G2921" s="953"/>
      <c r="H2921" s="953"/>
    </row>
    <row r="2922" spans="1:8" x14ac:dyDescent="0.25">
      <c r="A2922" s="952"/>
      <c r="B2922" s="953"/>
      <c r="C2922" s="953"/>
      <c r="D2922" s="953"/>
      <c r="E2922" s="953"/>
      <c r="F2922" s="953"/>
      <c r="G2922" s="953"/>
      <c r="H2922" s="953"/>
    </row>
    <row r="2923" spans="1:8" x14ac:dyDescent="0.25">
      <c r="A2923" s="952"/>
      <c r="B2923" s="953"/>
      <c r="C2923" s="953"/>
      <c r="D2923" s="953"/>
      <c r="E2923" s="953"/>
      <c r="F2923" s="953"/>
      <c r="G2923" s="953"/>
      <c r="H2923" s="953"/>
    </row>
    <row r="2924" spans="1:8" x14ac:dyDescent="0.25">
      <c r="A2924" s="952"/>
      <c r="B2924" s="953"/>
      <c r="C2924" s="953"/>
      <c r="D2924" s="953"/>
      <c r="E2924" s="953"/>
      <c r="F2924" s="953"/>
      <c r="G2924" s="953"/>
      <c r="H2924" s="953"/>
    </row>
    <row r="2925" spans="1:8" x14ac:dyDescent="0.25">
      <c r="A2925" s="952"/>
      <c r="B2925" s="953"/>
      <c r="C2925" s="953"/>
      <c r="D2925" s="953"/>
      <c r="E2925" s="953"/>
      <c r="F2925" s="953"/>
      <c r="G2925" s="953"/>
      <c r="H2925" s="953"/>
    </row>
    <row r="2926" spans="1:8" x14ac:dyDescent="0.25">
      <c r="A2926" s="952"/>
      <c r="B2926" s="953"/>
      <c r="C2926" s="953"/>
      <c r="D2926" s="953"/>
      <c r="E2926" s="953"/>
      <c r="F2926" s="953"/>
      <c r="G2926" s="953"/>
      <c r="H2926" s="953"/>
    </row>
    <row r="2927" spans="1:8" x14ac:dyDescent="0.25">
      <c r="A2927" s="952"/>
      <c r="B2927" s="953"/>
      <c r="C2927" s="953"/>
      <c r="D2927" s="953"/>
      <c r="E2927" s="953"/>
      <c r="F2927" s="953"/>
      <c r="G2927" s="953"/>
      <c r="H2927" s="953"/>
    </row>
    <row r="2928" spans="1:8" x14ac:dyDescent="0.25">
      <c r="A2928" s="952"/>
      <c r="B2928" s="953"/>
      <c r="C2928" s="953"/>
      <c r="D2928" s="953"/>
      <c r="E2928" s="953"/>
      <c r="F2928" s="953"/>
      <c r="G2928" s="953"/>
      <c r="H2928" s="953"/>
    </row>
    <row r="2929" spans="1:8" x14ac:dyDescent="0.25">
      <c r="A2929" s="952"/>
      <c r="B2929" s="953"/>
      <c r="C2929" s="953"/>
      <c r="D2929" s="953"/>
      <c r="E2929" s="953"/>
      <c r="F2929" s="953"/>
      <c r="G2929" s="953"/>
      <c r="H2929" s="953"/>
    </row>
    <row r="2930" spans="1:8" x14ac:dyDescent="0.25">
      <c r="A2930" s="952"/>
      <c r="B2930" s="953"/>
      <c r="C2930" s="953"/>
      <c r="D2930" s="953"/>
      <c r="E2930" s="953"/>
      <c r="F2930" s="953"/>
      <c r="G2930" s="953"/>
      <c r="H2930" s="953"/>
    </row>
    <row r="2931" spans="1:8" x14ac:dyDescent="0.25">
      <c r="A2931" s="952"/>
      <c r="B2931" s="953"/>
      <c r="C2931" s="953"/>
      <c r="D2931" s="953"/>
      <c r="E2931" s="953"/>
      <c r="F2931" s="953"/>
      <c r="G2931" s="953"/>
      <c r="H2931" s="953"/>
    </row>
    <row r="2932" spans="1:8" x14ac:dyDescent="0.25">
      <c r="A2932" s="952"/>
      <c r="B2932" s="953"/>
      <c r="C2932" s="953"/>
      <c r="D2932" s="953"/>
      <c r="E2932" s="953"/>
      <c r="F2932" s="953"/>
      <c r="G2932" s="953"/>
      <c r="H2932" s="953"/>
    </row>
    <row r="2933" spans="1:8" x14ac:dyDescent="0.25">
      <c r="A2933" s="952"/>
      <c r="B2933" s="953"/>
      <c r="C2933" s="953"/>
      <c r="D2933" s="953"/>
      <c r="E2933" s="953"/>
      <c r="F2933" s="953"/>
      <c r="G2933" s="953"/>
      <c r="H2933" s="953"/>
    </row>
    <row r="2934" spans="1:8" x14ac:dyDescent="0.25">
      <c r="A2934" s="952"/>
      <c r="B2934" s="953"/>
      <c r="C2934" s="953"/>
      <c r="D2934" s="953"/>
      <c r="E2934" s="953"/>
      <c r="F2934" s="953"/>
      <c r="G2934" s="953"/>
      <c r="H2934" s="953"/>
    </row>
    <row r="2935" spans="1:8" x14ac:dyDescent="0.25">
      <c r="A2935" s="952"/>
      <c r="B2935" s="953"/>
      <c r="C2935" s="953"/>
      <c r="D2935" s="953"/>
      <c r="E2935" s="953"/>
      <c r="F2935" s="953"/>
      <c r="G2935" s="953"/>
      <c r="H2935" s="953"/>
    </row>
    <row r="2936" spans="1:8" x14ac:dyDescent="0.25">
      <c r="A2936" s="952"/>
      <c r="B2936" s="953"/>
      <c r="C2936" s="953"/>
      <c r="D2936" s="953"/>
      <c r="E2936" s="953"/>
      <c r="F2936" s="953"/>
      <c r="G2936" s="953"/>
      <c r="H2936" s="953"/>
    </row>
    <row r="2937" spans="1:8" x14ac:dyDescent="0.25">
      <c r="A2937" s="952"/>
      <c r="B2937" s="953"/>
      <c r="C2937" s="953"/>
      <c r="D2937" s="953"/>
      <c r="E2937" s="953"/>
      <c r="F2937" s="953"/>
      <c r="G2937" s="953"/>
      <c r="H2937" s="953"/>
    </row>
    <row r="2938" spans="1:8" x14ac:dyDescent="0.25">
      <c r="A2938" s="952"/>
      <c r="B2938" s="953"/>
      <c r="C2938" s="953"/>
      <c r="D2938" s="953"/>
      <c r="E2938" s="953"/>
      <c r="F2938" s="953"/>
      <c r="G2938" s="953"/>
      <c r="H2938" s="953"/>
    </row>
    <row r="2939" spans="1:8" x14ac:dyDescent="0.25">
      <c r="A2939" s="952"/>
      <c r="B2939" s="953"/>
      <c r="C2939" s="953"/>
      <c r="D2939" s="953"/>
      <c r="E2939" s="953"/>
      <c r="F2939" s="953"/>
      <c r="G2939" s="953"/>
      <c r="H2939" s="953"/>
    </row>
    <row r="2940" spans="1:8" x14ac:dyDescent="0.25">
      <c r="A2940" s="952"/>
      <c r="B2940" s="953"/>
      <c r="C2940" s="953"/>
      <c r="D2940" s="953"/>
      <c r="E2940" s="953"/>
      <c r="F2940" s="953"/>
      <c r="G2940" s="953"/>
      <c r="H2940" s="953"/>
    </row>
    <row r="2941" spans="1:8" x14ac:dyDescent="0.25">
      <c r="A2941" s="952"/>
      <c r="B2941" s="953"/>
      <c r="C2941" s="953"/>
      <c r="D2941" s="953"/>
      <c r="E2941" s="953"/>
      <c r="F2941" s="953"/>
      <c r="G2941" s="953"/>
      <c r="H2941" s="953"/>
    </row>
    <row r="2942" spans="1:8" x14ac:dyDescent="0.25">
      <c r="A2942" s="952"/>
      <c r="B2942" s="953"/>
      <c r="C2942" s="953"/>
      <c r="D2942" s="953"/>
      <c r="E2942" s="953"/>
      <c r="F2942" s="953"/>
      <c r="G2942" s="953"/>
      <c r="H2942" s="953"/>
    </row>
    <row r="2943" spans="1:8" x14ac:dyDescent="0.25">
      <c r="A2943" s="952"/>
      <c r="B2943" s="953"/>
      <c r="C2943" s="953"/>
      <c r="D2943" s="953"/>
      <c r="E2943" s="953"/>
      <c r="F2943" s="953"/>
      <c r="G2943" s="953"/>
      <c r="H2943" s="953"/>
    </row>
    <row r="2944" spans="1:8" x14ac:dyDescent="0.25">
      <c r="A2944" s="952"/>
      <c r="B2944" s="953"/>
      <c r="C2944" s="953"/>
      <c r="D2944" s="953"/>
      <c r="E2944" s="953"/>
      <c r="F2944" s="953"/>
      <c r="G2944" s="953"/>
      <c r="H2944" s="953"/>
    </row>
    <row r="2945" spans="1:8" x14ac:dyDescent="0.25">
      <c r="A2945" s="952"/>
      <c r="B2945" s="953"/>
      <c r="C2945" s="953"/>
      <c r="D2945" s="953"/>
      <c r="E2945" s="953"/>
      <c r="F2945" s="953"/>
      <c r="G2945" s="953"/>
      <c r="H2945" s="953"/>
    </row>
    <row r="2946" spans="1:8" x14ac:dyDescent="0.25">
      <c r="A2946" s="952"/>
      <c r="B2946" s="953"/>
      <c r="C2946" s="953"/>
      <c r="D2946" s="953"/>
      <c r="E2946" s="953"/>
      <c r="F2946" s="953"/>
      <c r="G2946" s="953"/>
      <c r="H2946" s="953"/>
    </row>
    <row r="2947" spans="1:8" x14ac:dyDescent="0.25">
      <c r="A2947" s="952"/>
      <c r="B2947" s="953"/>
      <c r="C2947" s="953"/>
      <c r="D2947" s="953"/>
      <c r="E2947" s="953"/>
      <c r="F2947" s="953"/>
      <c r="G2947" s="953"/>
      <c r="H2947" s="953"/>
    </row>
    <row r="2948" spans="1:8" x14ac:dyDescent="0.25">
      <c r="A2948" s="952"/>
      <c r="B2948" s="953"/>
      <c r="C2948" s="953"/>
      <c r="D2948" s="953"/>
      <c r="E2948" s="953"/>
      <c r="F2948" s="953"/>
      <c r="G2948" s="953"/>
      <c r="H2948" s="953"/>
    </row>
    <row r="2949" spans="1:8" x14ac:dyDescent="0.25">
      <c r="A2949" s="952"/>
      <c r="B2949" s="953"/>
      <c r="C2949" s="953"/>
      <c r="D2949" s="953"/>
      <c r="E2949" s="953"/>
      <c r="F2949" s="953"/>
      <c r="G2949" s="953"/>
      <c r="H2949" s="953"/>
    </row>
    <row r="2950" spans="1:8" x14ac:dyDescent="0.25">
      <c r="A2950" s="952"/>
      <c r="B2950" s="953"/>
      <c r="C2950" s="953"/>
      <c r="D2950" s="953"/>
      <c r="E2950" s="953"/>
      <c r="F2950" s="953"/>
      <c r="G2950" s="953"/>
      <c r="H2950" s="953"/>
    </row>
    <row r="2951" spans="1:8" x14ac:dyDescent="0.25">
      <c r="A2951" s="952"/>
      <c r="B2951" s="953"/>
      <c r="C2951" s="953"/>
      <c r="D2951" s="953"/>
      <c r="E2951" s="953"/>
      <c r="F2951" s="953"/>
      <c r="G2951" s="953"/>
      <c r="H2951" s="953"/>
    </row>
    <row r="2952" spans="1:8" x14ac:dyDescent="0.25">
      <c r="A2952" s="952"/>
      <c r="B2952" s="953"/>
      <c r="C2952" s="953"/>
      <c r="D2952" s="953"/>
      <c r="E2952" s="953"/>
      <c r="F2952" s="953"/>
      <c r="G2952" s="953"/>
      <c r="H2952" s="953"/>
    </row>
    <row r="2953" spans="1:8" x14ac:dyDescent="0.25">
      <c r="A2953" s="952"/>
      <c r="B2953" s="953"/>
      <c r="C2953" s="953"/>
      <c r="D2953" s="953"/>
      <c r="E2953" s="953"/>
      <c r="F2953" s="953"/>
      <c r="G2953" s="953"/>
      <c r="H2953" s="953"/>
    </row>
    <row r="2954" spans="1:8" x14ac:dyDescent="0.25">
      <c r="A2954" s="952"/>
      <c r="B2954" s="953"/>
      <c r="C2954" s="953"/>
      <c r="D2954" s="953"/>
      <c r="E2954" s="953"/>
      <c r="F2954" s="953"/>
      <c r="G2954" s="953"/>
      <c r="H2954" s="953"/>
    </row>
    <row r="2955" spans="1:8" x14ac:dyDescent="0.25">
      <c r="A2955" s="952"/>
      <c r="B2955" s="953"/>
      <c r="C2955" s="953"/>
      <c r="D2955" s="953"/>
      <c r="E2955" s="953"/>
      <c r="F2955" s="953"/>
      <c r="G2955" s="953"/>
      <c r="H2955" s="953"/>
    </row>
    <row r="2956" spans="1:8" x14ac:dyDescent="0.25">
      <c r="A2956" s="952"/>
      <c r="B2956" s="953"/>
      <c r="C2956" s="953"/>
      <c r="D2956" s="953"/>
      <c r="E2956" s="953"/>
      <c r="F2956" s="953"/>
      <c r="G2956" s="953"/>
      <c r="H2956" s="953"/>
    </row>
    <row r="2957" spans="1:8" x14ac:dyDescent="0.25">
      <c r="A2957" s="952"/>
      <c r="B2957" s="953"/>
      <c r="C2957" s="953"/>
      <c r="D2957" s="953"/>
      <c r="E2957" s="953"/>
      <c r="F2957" s="953"/>
      <c r="G2957" s="953"/>
      <c r="H2957" s="953"/>
    </row>
    <row r="2958" spans="1:8" x14ac:dyDescent="0.25">
      <c r="A2958" s="952"/>
      <c r="B2958" s="953"/>
      <c r="C2958" s="953"/>
      <c r="D2958" s="953"/>
      <c r="E2958" s="953"/>
      <c r="F2958" s="953"/>
      <c r="G2958" s="953"/>
      <c r="H2958" s="953"/>
    </row>
    <row r="2959" spans="1:8" x14ac:dyDescent="0.25">
      <c r="A2959" s="952"/>
      <c r="B2959" s="953"/>
      <c r="C2959" s="953"/>
      <c r="D2959" s="953"/>
      <c r="E2959" s="953"/>
      <c r="F2959" s="953"/>
      <c r="G2959" s="953"/>
      <c r="H2959" s="953"/>
    </row>
    <row r="2960" spans="1:8" x14ac:dyDescent="0.25">
      <c r="A2960" s="952"/>
      <c r="B2960" s="953"/>
      <c r="C2960" s="953"/>
      <c r="D2960" s="953"/>
      <c r="E2960" s="953"/>
      <c r="F2960" s="953"/>
      <c r="G2960" s="953"/>
      <c r="H2960" s="953"/>
    </row>
    <row r="2961" spans="1:8" x14ac:dyDescent="0.25">
      <c r="A2961" s="952"/>
      <c r="B2961" s="953"/>
      <c r="C2961" s="953"/>
      <c r="D2961" s="953"/>
      <c r="E2961" s="953"/>
      <c r="F2961" s="953"/>
      <c r="G2961" s="953"/>
      <c r="H2961" s="953"/>
    </row>
    <row r="2962" spans="1:8" x14ac:dyDescent="0.25">
      <c r="A2962" s="952"/>
      <c r="B2962" s="953"/>
      <c r="C2962" s="953"/>
      <c r="D2962" s="953"/>
      <c r="E2962" s="953"/>
      <c r="F2962" s="953"/>
      <c r="G2962" s="953"/>
      <c r="H2962" s="953"/>
    </row>
    <row r="2963" spans="1:8" x14ac:dyDescent="0.25">
      <c r="A2963" s="952"/>
      <c r="B2963" s="953"/>
      <c r="C2963" s="953"/>
      <c r="D2963" s="953"/>
      <c r="E2963" s="953"/>
      <c r="F2963" s="953"/>
      <c r="G2963" s="953"/>
      <c r="H2963" s="953"/>
    </row>
    <row r="2964" spans="1:8" x14ac:dyDescent="0.25">
      <c r="A2964" s="952"/>
      <c r="B2964" s="953"/>
      <c r="C2964" s="953"/>
      <c r="D2964" s="953"/>
      <c r="E2964" s="953"/>
      <c r="F2964" s="953"/>
      <c r="G2964" s="953"/>
      <c r="H2964" s="953"/>
    </row>
    <row r="2965" spans="1:8" x14ac:dyDescent="0.25">
      <c r="A2965" s="952"/>
      <c r="B2965" s="953"/>
      <c r="C2965" s="953"/>
      <c r="D2965" s="953"/>
      <c r="E2965" s="953"/>
      <c r="F2965" s="953"/>
      <c r="G2965" s="953"/>
      <c r="H2965" s="953"/>
    </row>
    <row r="2966" spans="1:8" x14ac:dyDescent="0.25">
      <c r="A2966" s="952"/>
      <c r="B2966" s="953"/>
      <c r="C2966" s="953"/>
      <c r="D2966" s="953"/>
      <c r="E2966" s="953"/>
      <c r="F2966" s="953"/>
      <c r="G2966" s="953"/>
      <c r="H2966" s="953"/>
    </row>
    <row r="2967" spans="1:8" x14ac:dyDescent="0.25">
      <c r="A2967" s="952"/>
      <c r="B2967" s="953"/>
      <c r="C2967" s="953"/>
      <c r="D2967" s="953"/>
      <c r="E2967" s="953"/>
      <c r="F2967" s="953"/>
      <c r="G2967" s="953"/>
      <c r="H2967" s="953"/>
    </row>
    <row r="2968" spans="1:8" x14ac:dyDescent="0.25">
      <c r="A2968" s="952"/>
      <c r="B2968" s="953"/>
      <c r="C2968" s="953"/>
      <c r="D2968" s="953"/>
      <c r="E2968" s="953"/>
      <c r="F2968" s="953"/>
      <c r="G2968" s="953"/>
      <c r="H2968" s="953"/>
    </row>
    <row r="2969" spans="1:8" x14ac:dyDescent="0.25">
      <c r="A2969" s="952"/>
      <c r="B2969" s="953"/>
      <c r="C2969" s="953"/>
      <c r="D2969" s="953"/>
      <c r="E2969" s="953"/>
      <c r="F2969" s="953"/>
      <c r="G2969" s="953"/>
      <c r="H2969" s="953"/>
    </row>
    <row r="2970" spans="1:8" x14ac:dyDescent="0.25">
      <c r="A2970" s="952"/>
      <c r="B2970" s="953"/>
      <c r="C2970" s="953"/>
      <c r="D2970" s="953"/>
      <c r="E2970" s="953"/>
      <c r="F2970" s="953"/>
      <c r="G2970" s="953"/>
      <c r="H2970" s="953"/>
    </row>
    <row r="2971" spans="1:8" x14ac:dyDescent="0.25">
      <c r="A2971" s="952"/>
      <c r="B2971" s="953"/>
      <c r="C2971" s="953"/>
      <c r="D2971" s="953"/>
      <c r="E2971" s="953"/>
      <c r="F2971" s="953"/>
      <c r="G2971" s="953"/>
      <c r="H2971" s="953"/>
    </row>
    <row r="2972" spans="1:8" x14ac:dyDescent="0.25">
      <c r="A2972" s="952"/>
      <c r="B2972" s="953"/>
      <c r="C2972" s="953"/>
      <c r="D2972" s="953"/>
      <c r="E2972" s="953"/>
      <c r="F2972" s="953"/>
      <c r="G2972" s="953"/>
      <c r="H2972" s="953"/>
    </row>
    <row r="2973" spans="1:8" x14ac:dyDescent="0.25">
      <c r="A2973" s="952"/>
      <c r="B2973" s="953"/>
      <c r="C2973" s="953"/>
      <c r="D2973" s="953"/>
      <c r="E2973" s="953"/>
      <c r="F2973" s="953"/>
      <c r="G2973" s="953"/>
      <c r="H2973" s="953"/>
    </row>
    <row r="2974" spans="1:8" x14ac:dyDescent="0.25">
      <c r="A2974" s="952"/>
      <c r="B2974" s="953"/>
      <c r="C2974" s="953"/>
      <c r="D2974" s="953"/>
      <c r="E2974" s="953"/>
      <c r="F2974" s="953"/>
      <c r="G2974" s="953"/>
      <c r="H2974" s="953"/>
    </row>
    <row r="2975" spans="1:8" x14ac:dyDescent="0.25">
      <c r="A2975" s="952"/>
      <c r="B2975" s="953"/>
      <c r="C2975" s="953"/>
      <c r="D2975" s="953"/>
      <c r="E2975" s="953"/>
      <c r="F2975" s="953"/>
      <c r="G2975" s="953"/>
      <c r="H2975" s="953"/>
    </row>
    <row r="2976" spans="1:8" x14ac:dyDescent="0.25">
      <c r="A2976" s="952"/>
      <c r="B2976" s="953"/>
      <c r="C2976" s="953"/>
      <c r="D2976" s="953"/>
      <c r="E2976" s="953"/>
      <c r="F2976" s="953"/>
      <c r="G2976" s="953"/>
      <c r="H2976" s="953"/>
    </row>
    <row r="2977" spans="1:8" x14ac:dyDescent="0.25">
      <c r="A2977" s="952"/>
      <c r="B2977" s="953"/>
      <c r="C2977" s="953"/>
      <c r="D2977" s="953"/>
      <c r="E2977" s="953"/>
      <c r="F2977" s="953"/>
      <c r="G2977" s="953"/>
      <c r="H2977" s="953"/>
    </row>
    <row r="2978" spans="1:8" x14ac:dyDescent="0.25">
      <c r="A2978" s="952"/>
      <c r="B2978" s="953"/>
      <c r="C2978" s="953"/>
      <c r="D2978" s="953"/>
      <c r="E2978" s="953"/>
      <c r="F2978" s="953"/>
      <c r="G2978" s="953"/>
      <c r="H2978" s="953"/>
    </row>
    <row r="2979" spans="1:8" x14ac:dyDescent="0.25">
      <c r="A2979" s="952"/>
      <c r="B2979" s="953"/>
      <c r="C2979" s="953"/>
      <c r="D2979" s="953"/>
      <c r="E2979" s="953"/>
      <c r="F2979" s="953"/>
      <c r="G2979" s="953"/>
      <c r="H2979" s="953"/>
    </row>
    <row r="2980" spans="1:8" x14ac:dyDescent="0.25">
      <c r="A2980" s="952"/>
      <c r="B2980" s="953"/>
      <c r="C2980" s="953"/>
      <c r="D2980" s="953"/>
      <c r="E2980" s="953"/>
      <c r="F2980" s="953"/>
      <c r="G2980" s="953"/>
      <c r="H2980" s="953"/>
    </row>
    <row r="2981" spans="1:8" x14ac:dyDescent="0.25">
      <c r="A2981" s="952"/>
      <c r="B2981" s="953"/>
      <c r="C2981" s="953"/>
      <c r="D2981" s="953"/>
      <c r="E2981" s="953"/>
      <c r="F2981" s="953"/>
      <c r="G2981" s="953"/>
      <c r="H2981" s="953"/>
    </row>
    <row r="2982" spans="1:8" x14ac:dyDescent="0.25">
      <c r="A2982" s="952"/>
      <c r="B2982" s="953"/>
      <c r="C2982" s="953"/>
      <c r="D2982" s="953"/>
      <c r="E2982" s="953"/>
      <c r="F2982" s="953"/>
      <c r="G2982" s="953"/>
      <c r="H2982" s="953"/>
    </row>
    <row r="2983" spans="1:8" x14ac:dyDescent="0.25">
      <c r="A2983" s="952"/>
      <c r="B2983" s="953"/>
      <c r="C2983" s="953"/>
      <c r="D2983" s="953"/>
      <c r="E2983" s="953"/>
      <c r="F2983" s="953"/>
      <c r="G2983" s="953"/>
      <c r="H2983" s="953"/>
    </row>
    <row r="2984" spans="1:8" x14ac:dyDescent="0.25">
      <c r="A2984" s="952"/>
      <c r="B2984" s="953"/>
      <c r="C2984" s="953"/>
      <c r="D2984" s="953"/>
      <c r="E2984" s="953"/>
      <c r="F2984" s="953"/>
      <c r="G2984" s="953"/>
      <c r="H2984" s="953"/>
    </row>
    <row r="2985" spans="1:8" x14ac:dyDescent="0.25">
      <c r="A2985" s="952"/>
      <c r="B2985" s="953"/>
      <c r="C2985" s="953"/>
      <c r="D2985" s="953"/>
      <c r="E2985" s="953"/>
      <c r="F2985" s="953"/>
      <c r="G2985" s="953"/>
      <c r="H2985" s="953"/>
    </row>
    <row r="2986" spans="1:8" x14ac:dyDescent="0.25">
      <c r="A2986" s="952"/>
      <c r="B2986" s="953"/>
      <c r="C2986" s="953"/>
      <c r="D2986" s="953"/>
      <c r="E2986" s="953"/>
      <c r="F2986" s="953"/>
      <c r="G2986" s="953"/>
      <c r="H2986" s="953"/>
    </row>
    <row r="2987" spans="1:8" x14ac:dyDescent="0.25">
      <c r="A2987" s="952"/>
      <c r="B2987" s="953"/>
      <c r="C2987" s="953"/>
      <c r="D2987" s="953"/>
      <c r="E2987" s="953"/>
      <c r="F2987" s="953"/>
      <c r="G2987" s="953"/>
      <c r="H2987" s="953"/>
    </row>
    <row r="2988" spans="1:8" x14ac:dyDescent="0.25">
      <c r="A2988" s="952"/>
      <c r="B2988" s="953"/>
      <c r="C2988" s="953"/>
      <c r="D2988" s="953"/>
      <c r="E2988" s="953"/>
      <c r="F2988" s="953"/>
      <c r="G2988" s="953"/>
      <c r="H2988" s="953"/>
    </row>
    <row r="2989" spans="1:8" x14ac:dyDescent="0.25">
      <c r="A2989" s="952"/>
      <c r="B2989" s="953"/>
      <c r="C2989" s="953"/>
      <c r="D2989" s="953"/>
      <c r="E2989" s="953"/>
      <c r="F2989" s="953"/>
      <c r="G2989" s="953"/>
      <c r="H2989" s="953"/>
    </row>
    <row r="2990" spans="1:8" x14ac:dyDescent="0.25">
      <c r="A2990" s="952"/>
      <c r="B2990" s="953"/>
      <c r="C2990" s="953"/>
      <c r="D2990" s="953"/>
      <c r="E2990" s="953"/>
      <c r="F2990" s="953"/>
      <c r="G2990" s="953"/>
      <c r="H2990" s="953"/>
    </row>
    <row r="2991" spans="1:8" x14ac:dyDescent="0.25">
      <c r="A2991" s="952"/>
      <c r="B2991" s="953"/>
      <c r="C2991" s="953"/>
      <c r="D2991" s="953"/>
      <c r="E2991" s="953"/>
      <c r="F2991" s="953"/>
      <c r="G2991" s="953"/>
      <c r="H2991" s="953"/>
    </row>
    <row r="2992" spans="1:8" x14ac:dyDescent="0.25">
      <c r="A2992" s="952"/>
      <c r="B2992" s="953"/>
      <c r="C2992" s="953"/>
      <c r="D2992" s="953"/>
      <c r="E2992" s="953"/>
      <c r="F2992" s="953"/>
      <c r="G2992" s="953"/>
      <c r="H2992" s="953"/>
    </row>
    <row r="2993" spans="1:8" x14ac:dyDescent="0.25">
      <c r="A2993" s="952"/>
      <c r="B2993" s="953"/>
      <c r="C2993" s="953"/>
      <c r="D2993" s="953"/>
      <c r="E2993" s="953"/>
      <c r="F2993" s="953"/>
      <c r="G2993" s="953"/>
      <c r="H2993" s="953"/>
    </row>
    <row r="2994" spans="1:8" x14ac:dyDescent="0.25">
      <c r="A2994" s="952"/>
      <c r="B2994" s="953"/>
      <c r="C2994" s="953"/>
      <c r="D2994" s="953"/>
      <c r="E2994" s="953"/>
      <c r="F2994" s="953"/>
      <c r="G2994" s="953"/>
      <c r="H2994" s="953"/>
    </row>
    <row r="2995" spans="1:8" x14ac:dyDescent="0.25">
      <c r="A2995" s="952"/>
      <c r="B2995" s="953"/>
      <c r="C2995" s="953"/>
      <c r="D2995" s="953"/>
      <c r="E2995" s="953"/>
      <c r="F2995" s="953"/>
      <c r="G2995" s="953"/>
      <c r="H2995" s="953"/>
    </row>
    <row r="2996" spans="1:8" x14ac:dyDescent="0.25">
      <c r="A2996" s="952"/>
      <c r="B2996" s="953"/>
      <c r="C2996" s="953"/>
      <c r="D2996" s="953"/>
      <c r="E2996" s="953"/>
      <c r="F2996" s="953"/>
      <c r="G2996" s="953"/>
      <c r="H2996" s="953"/>
    </row>
    <row r="2997" spans="1:8" x14ac:dyDescent="0.25">
      <c r="A2997" s="952"/>
      <c r="B2997" s="953"/>
      <c r="C2997" s="953"/>
      <c r="D2997" s="953"/>
      <c r="E2997" s="953"/>
      <c r="F2997" s="953"/>
      <c r="G2997" s="953"/>
      <c r="H2997" s="953"/>
    </row>
    <row r="2998" spans="1:8" x14ac:dyDescent="0.25">
      <c r="A2998" s="952"/>
      <c r="B2998" s="953"/>
      <c r="C2998" s="953"/>
      <c r="D2998" s="953"/>
      <c r="E2998" s="953"/>
      <c r="F2998" s="953"/>
      <c r="G2998" s="953"/>
      <c r="H2998" s="953"/>
    </row>
    <row r="2999" spans="1:8" x14ac:dyDescent="0.25">
      <c r="A2999" s="952"/>
      <c r="B2999" s="953"/>
      <c r="C2999" s="953"/>
      <c r="D2999" s="953"/>
      <c r="E2999" s="953"/>
      <c r="F2999" s="953"/>
      <c r="G2999" s="953"/>
      <c r="H2999" s="953"/>
    </row>
    <row r="3000" spans="1:8" x14ac:dyDescent="0.25">
      <c r="A3000" s="952"/>
      <c r="B3000" s="953"/>
      <c r="C3000" s="953"/>
      <c r="D3000" s="953"/>
      <c r="E3000" s="953"/>
      <c r="F3000" s="953"/>
      <c r="G3000" s="953"/>
      <c r="H3000" s="953"/>
    </row>
    <row r="3001" spans="1:8" x14ac:dyDescent="0.25">
      <c r="A3001" s="952"/>
      <c r="B3001" s="953"/>
      <c r="C3001" s="953"/>
      <c r="D3001" s="953"/>
      <c r="E3001" s="953"/>
      <c r="F3001" s="953"/>
      <c r="G3001" s="953"/>
      <c r="H3001" s="953"/>
    </row>
    <row r="3002" spans="1:8" x14ac:dyDescent="0.25">
      <c r="A3002" s="952"/>
      <c r="B3002" s="953"/>
      <c r="C3002" s="953"/>
      <c r="D3002" s="953"/>
      <c r="E3002" s="953"/>
      <c r="F3002" s="953"/>
      <c r="G3002" s="953"/>
      <c r="H3002" s="953"/>
    </row>
    <row r="3003" spans="1:8" x14ac:dyDescent="0.25">
      <c r="A3003" s="952"/>
      <c r="B3003" s="953"/>
      <c r="C3003" s="953"/>
      <c r="D3003" s="953"/>
      <c r="E3003" s="953"/>
      <c r="F3003" s="953"/>
      <c r="G3003" s="953"/>
      <c r="H3003" s="953"/>
    </row>
    <row r="3004" spans="1:8" x14ac:dyDescent="0.25">
      <c r="A3004" s="952"/>
      <c r="B3004" s="953"/>
      <c r="C3004" s="953"/>
      <c r="D3004" s="953"/>
      <c r="E3004" s="953"/>
      <c r="F3004" s="953"/>
      <c r="G3004" s="953"/>
      <c r="H3004" s="953"/>
    </row>
    <row r="3005" spans="1:8" x14ac:dyDescent="0.25">
      <c r="A3005" s="952"/>
      <c r="B3005" s="953"/>
      <c r="C3005" s="953"/>
      <c r="D3005" s="953"/>
      <c r="E3005" s="953"/>
      <c r="F3005" s="953"/>
      <c r="G3005" s="953"/>
      <c r="H3005" s="953"/>
    </row>
    <row r="3006" spans="1:8" x14ac:dyDescent="0.25">
      <c r="A3006" s="952"/>
      <c r="B3006" s="953"/>
      <c r="C3006" s="953"/>
      <c r="D3006" s="953"/>
      <c r="E3006" s="953"/>
      <c r="F3006" s="953"/>
      <c r="G3006" s="953"/>
      <c r="H3006" s="953"/>
    </row>
    <row r="3007" spans="1:8" x14ac:dyDescent="0.25">
      <c r="A3007" s="952"/>
      <c r="B3007" s="953"/>
      <c r="C3007" s="953"/>
      <c r="D3007" s="953"/>
      <c r="E3007" s="953"/>
      <c r="F3007" s="953"/>
      <c r="G3007" s="953"/>
      <c r="H3007" s="953"/>
    </row>
    <row r="3008" spans="1:8" x14ac:dyDescent="0.25">
      <c r="A3008" s="952"/>
      <c r="B3008" s="953"/>
      <c r="C3008" s="953"/>
      <c r="D3008" s="953"/>
      <c r="E3008" s="953"/>
      <c r="F3008" s="953"/>
      <c r="G3008" s="953"/>
      <c r="H3008" s="953"/>
    </row>
    <row r="3009" spans="1:8" x14ac:dyDescent="0.25">
      <c r="A3009" s="952"/>
      <c r="B3009" s="953"/>
      <c r="C3009" s="953"/>
      <c r="D3009" s="953"/>
      <c r="E3009" s="953"/>
      <c r="F3009" s="953"/>
      <c r="G3009" s="953"/>
      <c r="H3009" s="953"/>
    </row>
    <row r="3010" spans="1:8" x14ac:dyDescent="0.25">
      <c r="A3010" s="952"/>
      <c r="B3010" s="953"/>
      <c r="C3010" s="953"/>
      <c r="D3010" s="953"/>
      <c r="E3010" s="953"/>
      <c r="F3010" s="953"/>
      <c r="G3010" s="953"/>
      <c r="H3010" s="953"/>
    </row>
    <row r="3011" spans="1:8" x14ac:dyDescent="0.25">
      <c r="A3011" s="952"/>
      <c r="B3011" s="953"/>
      <c r="C3011" s="953"/>
      <c r="D3011" s="953"/>
      <c r="E3011" s="953"/>
      <c r="F3011" s="953"/>
      <c r="G3011" s="953"/>
      <c r="H3011" s="953"/>
    </row>
    <row r="3012" spans="1:8" x14ac:dyDescent="0.25">
      <c r="A3012" s="952"/>
      <c r="B3012" s="953"/>
      <c r="C3012" s="953"/>
      <c r="D3012" s="953"/>
      <c r="E3012" s="953"/>
      <c r="F3012" s="953"/>
      <c r="G3012" s="953"/>
      <c r="H3012" s="953"/>
    </row>
    <row r="3013" spans="1:8" x14ac:dyDescent="0.25">
      <c r="A3013" s="952"/>
      <c r="B3013" s="953"/>
      <c r="C3013" s="953"/>
      <c r="D3013" s="953"/>
      <c r="E3013" s="953"/>
      <c r="F3013" s="953"/>
      <c r="G3013" s="953"/>
      <c r="H3013" s="953"/>
    </row>
    <row r="3014" spans="1:8" x14ac:dyDescent="0.25">
      <c r="A3014" s="952"/>
      <c r="B3014" s="953"/>
      <c r="C3014" s="953"/>
      <c r="D3014" s="953"/>
      <c r="E3014" s="953"/>
      <c r="F3014" s="953"/>
      <c r="G3014" s="953"/>
      <c r="H3014" s="953"/>
    </row>
    <row r="3015" spans="1:8" x14ac:dyDescent="0.25">
      <c r="A3015" s="952"/>
      <c r="B3015" s="953"/>
      <c r="C3015" s="953"/>
      <c r="D3015" s="953"/>
      <c r="E3015" s="953"/>
      <c r="F3015" s="953"/>
      <c r="G3015" s="953"/>
      <c r="H3015" s="953"/>
    </row>
    <row r="3016" spans="1:8" x14ac:dyDescent="0.25">
      <c r="A3016" s="952"/>
      <c r="B3016" s="953"/>
      <c r="C3016" s="953"/>
      <c r="D3016" s="953"/>
      <c r="E3016" s="953"/>
      <c r="F3016" s="953"/>
      <c r="G3016" s="953"/>
      <c r="H3016" s="953"/>
    </row>
    <row r="3017" spans="1:8" x14ac:dyDescent="0.25">
      <c r="A3017" s="952"/>
      <c r="B3017" s="953"/>
      <c r="C3017" s="953"/>
      <c r="D3017" s="953"/>
      <c r="E3017" s="953"/>
      <c r="F3017" s="953"/>
      <c r="G3017" s="953"/>
      <c r="H3017" s="953"/>
    </row>
    <row r="3018" spans="1:8" x14ac:dyDescent="0.25">
      <c r="A3018" s="952"/>
      <c r="B3018" s="953"/>
      <c r="C3018" s="953"/>
      <c r="D3018" s="953"/>
      <c r="E3018" s="953"/>
      <c r="F3018" s="953"/>
      <c r="G3018" s="953"/>
      <c r="H3018" s="953"/>
    </row>
    <row r="3019" spans="1:8" x14ac:dyDescent="0.25">
      <c r="A3019" s="952"/>
      <c r="B3019" s="953"/>
      <c r="C3019" s="953"/>
      <c r="D3019" s="953"/>
      <c r="E3019" s="953"/>
      <c r="F3019" s="953"/>
      <c r="G3019" s="953"/>
      <c r="H3019" s="953"/>
    </row>
    <row r="3020" spans="1:8" x14ac:dyDescent="0.25">
      <c r="A3020" s="952"/>
      <c r="B3020" s="953"/>
      <c r="C3020" s="953"/>
      <c r="D3020" s="953"/>
      <c r="E3020" s="953"/>
      <c r="F3020" s="953"/>
      <c r="G3020" s="953"/>
      <c r="H3020" s="953"/>
    </row>
    <row r="3021" spans="1:8" x14ac:dyDescent="0.25">
      <c r="A3021" s="952"/>
      <c r="B3021" s="953"/>
      <c r="C3021" s="953"/>
      <c r="D3021" s="953"/>
      <c r="E3021" s="953"/>
      <c r="F3021" s="953"/>
      <c r="G3021" s="953"/>
      <c r="H3021" s="953"/>
    </row>
    <row r="3022" spans="1:8" x14ac:dyDescent="0.25">
      <c r="A3022" s="952"/>
      <c r="B3022" s="953"/>
      <c r="C3022" s="953"/>
      <c r="D3022" s="953"/>
      <c r="E3022" s="953"/>
      <c r="F3022" s="953"/>
      <c r="G3022" s="953"/>
      <c r="H3022" s="953"/>
    </row>
    <row r="3023" spans="1:8" x14ac:dyDescent="0.25">
      <c r="A3023" s="952"/>
      <c r="B3023" s="953"/>
      <c r="C3023" s="953"/>
      <c r="D3023" s="953"/>
      <c r="E3023" s="953"/>
      <c r="F3023" s="953"/>
      <c r="G3023" s="953"/>
      <c r="H3023" s="953"/>
    </row>
    <row r="3024" spans="1:8" x14ac:dyDescent="0.25">
      <c r="A3024" s="952"/>
      <c r="B3024" s="953"/>
      <c r="C3024" s="953"/>
      <c r="D3024" s="953"/>
      <c r="E3024" s="953"/>
      <c r="F3024" s="953"/>
      <c r="G3024" s="953"/>
      <c r="H3024" s="953"/>
    </row>
    <row r="3025" spans="1:8" x14ac:dyDescent="0.25">
      <c r="A3025" s="952"/>
      <c r="B3025" s="953"/>
      <c r="C3025" s="953"/>
      <c r="D3025" s="953"/>
      <c r="E3025" s="953"/>
      <c r="F3025" s="953"/>
      <c r="G3025" s="953"/>
      <c r="H3025" s="953"/>
    </row>
    <row r="3026" spans="1:8" x14ac:dyDescent="0.25">
      <c r="A3026" s="952"/>
      <c r="B3026" s="953"/>
      <c r="C3026" s="953"/>
      <c r="D3026" s="953"/>
      <c r="E3026" s="953"/>
      <c r="F3026" s="953"/>
      <c r="G3026" s="953"/>
      <c r="H3026" s="953"/>
    </row>
    <row r="3027" spans="1:8" x14ac:dyDescent="0.25">
      <c r="A3027" s="952"/>
      <c r="B3027" s="953"/>
      <c r="C3027" s="953"/>
      <c r="D3027" s="953"/>
      <c r="E3027" s="953"/>
      <c r="F3027" s="953"/>
      <c r="G3027" s="953"/>
      <c r="H3027" s="953"/>
    </row>
    <row r="3028" spans="1:8" x14ac:dyDescent="0.25">
      <c r="A3028" s="952"/>
      <c r="B3028" s="953"/>
      <c r="C3028" s="953"/>
      <c r="D3028" s="953"/>
      <c r="E3028" s="953"/>
      <c r="F3028" s="953"/>
      <c r="G3028" s="953"/>
      <c r="H3028" s="953"/>
    </row>
    <row r="3029" spans="1:8" x14ac:dyDescent="0.25">
      <c r="A3029" s="952"/>
      <c r="B3029" s="953"/>
      <c r="C3029" s="953"/>
      <c r="D3029" s="953"/>
      <c r="E3029" s="953"/>
      <c r="F3029" s="953"/>
      <c r="G3029" s="953"/>
      <c r="H3029" s="953"/>
    </row>
    <row r="3030" spans="1:8" x14ac:dyDescent="0.25">
      <c r="A3030" s="952"/>
      <c r="B3030" s="953"/>
      <c r="C3030" s="953"/>
      <c r="D3030" s="953"/>
      <c r="E3030" s="953"/>
      <c r="F3030" s="953"/>
      <c r="G3030" s="953"/>
      <c r="H3030" s="953"/>
    </row>
    <row r="3031" spans="1:8" x14ac:dyDescent="0.25">
      <c r="A3031" s="952"/>
      <c r="B3031" s="953"/>
      <c r="C3031" s="953"/>
      <c r="D3031" s="953"/>
      <c r="E3031" s="953"/>
      <c r="F3031" s="953"/>
      <c r="G3031" s="953"/>
      <c r="H3031" s="953"/>
    </row>
    <row r="3032" spans="1:8" x14ac:dyDescent="0.25">
      <c r="A3032" s="952"/>
      <c r="B3032" s="953"/>
      <c r="C3032" s="953"/>
      <c r="D3032" s="953"/>
      <c r="E3032" s="953"/>
      <c r="F3032" s="953"/>
      <c r="G3032" s="953"/>
      <c r="H3032" s="953"/>
    </row>
    <row r="3033" spans="1:8" x14ac:dyDescent="0.25">
      <c r="A3033" s="952"/>
      <c r="B3033" s="953"/>
      <c r="C3033" s="953"/>
      <c r="D3033" s="953"/>
      <c r="E3033" s="953"/>
      <c r="F3033" s="953"/>
      <c r="G3033" s="953"/>
      <c r="H3033" s="953"/>
    </row>
    <row r="3034" spans="1:8" x14ac:dyDescent="0.25">
      <c r="A3034" s="952"/>
      <c r="B3034" s="953"/>
      <c r="C3034" s="953"/>
      <c r="D3034" s="953"/>
      <c r="E3034" s="953"/>
      <c r="F3034" s="953"/>
      <c r="G3034" s="953"/>
      <c r="H3034" s="953"/>
    </row>
    <row r="3035" spans="1:8" x14ac:dyDescent="0.25">
      <c r="A3035" s="952"/>
      <c r="B3035" s="953"/>
      <c r="C3035" s="953"/>
      <c r="D3035" s="953"/>
      <c r="E3035" s="953"/>
      <c r="F3035" s="953"/>
      <c r="G3035" s="953"/>
      <c r="H3035" s="953"/>
    </row>
    <row r="3036" spans="1:8" x14ac:dyDescent="0.25">
      <c r="A3036" s="952"/>
      <c r="B3036" s="953"/>
      <c r="C3036" s="953"/>
      <c r="D3036" s="953"/>
      <c r="E3036" s="953"/>
      <c r="F3036" s="953"/>
      <c r="G3036" s="953"/>
      <c r="H3036" s="953"/>
    </row>
    <row r="3037" spans="1:8" x14ac:dyDescent="0.25">
      <c r="A3037" s="952"/>
      <c r="B3037" s="953"/>
      <c r="C3037" s="953"/>
      <c r="D3037" s="953"/>
      <c r="E3037" s="953"/>
      <c r="F3037" s="953"/>
      <c r="G3037" s="953"/>
      <c r="H3037" s="953"/>
    </row>
    <row r="3038" spans="1:8" x14ac:dyDescent="0.25">
      <c r="A3038" s="952"/>
      <c r="B3038" s="953"/>
      <c r="C3038" s="953"/>
      <c r="D3038" s="953"/>
      <c r="E3038" s="953"/>
      <c r="F3038" s="953"/>
      <c r="G3038" s="953"/>
      <c r="H3038" s="953"/>
    </row>
    <row r="3039" spans="1:8" x14ac:dyDescent="0.25">
      <c r="A3039" s="952"/>
      <c r="B3039" s="953"/>
      <c r="C3039" s="953"/>
      <c r="D3039" s="953"/>
      <c r="E3039" s="953"/>
      <c r="F3039" s="953"/>
      <c r="G3039" s="953"/>
      <c r="H3039" s="953"/>
    </row>
    <row r="3040" spans="1:8" x14ac:dyDescent="0.25">
      <c r="A3040" s="952"/>
      <c r="B3040" s="953"/>
      <c r="C3040" s="953"/>
      <c r="D3040" s="953"/>
      <c r="E3040" s="953"/>
      <c r="F3040" s="953"/>
      <c r="G3040" s="953"/>
      <c r="H3040" s="953"/>
    </row>
    <row r="3041" spans="1:8" x14ac:dyDescent="0.25">
      <c r="A3041" s="952"/>
      <c r="B3041" s="953"/>
      <c r="C3041" s="953"/>
      <c r="D3041" s="953"/>
      <c r="E3041" s="953"/>
      <c r="F3041" s="953"/>
      <c r="G3041" s="953"/>
      <c r="H3041" s="953"/>
    </row>
    <row r="3042" spans="1:8" x14ac:dyDescent="0.25">
      <c r="A3042" s="952"/>
      <c r="B3042" s="953"/>
      <c r="C3042" s="953"/>
      <c r="D3042" s="953"/>
      <c r="E3042" s="953"/>
      <c r="F3042" s="953"/>
      <c r="G3042" s="953"/>
      <c r="H3042" s="953"/>
    </row>
    <row r="3043" spans="1:8" x14ac:dyDescent="0.25">
      <c r="A3043" s="952"/>
      <c r="B3043" s="953"/>
      <c r="C3043" s="953"/>
      <c r="D3043" s="953"/>
      <c r="E3043" s="953"/>
      <c r="F3043" s="953"/>
      <c r="G3043" s="953"/>
      <c r="H3043" s="953"/>
    </row>
    <row r="3044" spans="1:8" x14ac:dyDescent="0.25">
      <c r="A3044" s="952"/>
      <c r="B3044" s="953"/>
      <c r="C3044" s="953"/>
      <c r="D3044" s="953"/>
      <c r="E3044" s="953"/>
      <c r="F3044" s="953"/>
      <c r="G3044" s="953"/>
      <c r="H3044" s="953"/>
    </row>
    <row r="3045" spans="1:8" x14ac:dyDescent="0.25">
      <c r="A3045" s="952"/>
      <c r="B3045" s="953"/>
      <c r="C3045" s="953"/>
      <c r="D3045" s="953"/>
      <c r="E3045" s="953"/>
      <c r="F3045" s="953"/>
      <c r="G3045" s="953"/>
      <c r="H3045" s="953"/>
    </row>
    <row r="3046" spans="1:8" x14ac:dyDescent="0.25">
      <c r="A3046" s="952"/>
      <c r="B3046" s="953"/>
      <c r="C3046" s="953"/>
      <c r="D3046" s="953"/>
      <c r="E3046" s="953"/>
      <c r="F3046" s="953"/>
      <c r="G3046" s="953"/>
      <c r="H3046" s="953"/>
    </row>
    <row r="3047" spans="1:8" x14ac:dyDescent="0.25">
      <c r="A3047" s="952"/>
      <c r="B3047" s="953"/>
      <c r="C3047" s="953"/>
      <c r="D3047" s="953"/>
      <c r="E3047" s="953"/>
      <c r="F3047" s="953"/>
      <c r="G3047" s="953"/>
      <c r="H3047" s="953"/>
    </row>
    <row r="3048" spans="1:8" x14ac:dyDescent="0.25">
      <c r="A3048" s="952"/>
      <c r="B3048" s="953"/>
      <c r="C3048" s="953"/>
      <c r="D3048" s="953"/>
      <c r="E3048" s="953"/>
      <c r="F3048" s="953"/>
      <c r="G3048" s="953"/>
      <c r="H3048" s="953"/>
    </row>
    <row r="3049" spans="1:8" x14ac:dyDescent="0.25">
      <c r="A3049" s="952"/>
      <c r="B3049" s="953"/>
      <c r="C3049" s="953"/>
      <c r="D3049" s="953"/>
      <c r="E3049" s="953"/>
      <c r="F3049" s="953"/>
      <c r="G3049" s="953"/>
      <c r="H3049" s="953"/>
    </row>
    <row r="3050" spans="1:8" x14ac:dyDescent="0.25">
      <c r="A3050" s="952"/>
      <c r="B3050" s="953"/>
      <c r="C3050" s="953"/>
      <c r="D3050" s="953"/>
      <c r="E3050" s="953"/>
      <c r="F3050" s="953"/>
      <c r="G3050" s="953"/>
      <c r="H3050" s="953"/>
    </row>
    <row r="3051" spans="1:8" x14ac:dyDescent="0.25">
      <c r="A3051" s="952"/>
      <c r="B3051" s="953"/>
      <c r="C3051" s="953"/>
      <c r="D3051" s="953"/>
      <c r="E3051" s="953"/>
      <c r="F3051" s="953"/>
      <c r="G3051" s="953"/>
      <c r="H3051" s="953"/>
    </row>
    <row r="3052" spans="1:8" x14ac:dyDescent="0.25">
      <c r="A3052" s="952"/>
      <c r="B3052" s="953"/>
      <c r="C3052" s="953"/>
      <c r="D3052" s="953"/>
      <c r="E3052" s="953"/>
      <c r="F3052" s="953"/>
      <c r="G3052" s="953"/>
      <c r="H3052" s="953"/>
    </row>
    <row r="3053" spans="1:8" x14ac:dyDescent="0.25">
      <c r="A3053" s="952"/>
      <c r="B3053" s="953"/>
      <c r="C3053" s="953"/>
      <c r="D3053" s="953"/>
      <c r="E3053" s="953"/>
      <c r="F3053" s="953"/>
      <c r="G3053" s="953"/>
      <c r="H3053" s="953"/>
    </row>
    <row r="3054" spans="1:8" x14ac:dyDescent="0.25">
      <c r="A3054" s="952"/>
      <c r="B3054" s="953"/>
      <c r="C3054" s="953"/>
      <c r="D3054" s="953"/>
      <c r="E3054" s="953"/>
      <c r="F3054" s="953"/>
      <c r="G3054" s="953"/>
      <c r="H3054" s="953"/>
    </row>
    <row r="3055" spans="1:8" x14ac:dyDescent="0.25">
      <c r="A3055" s="952"/>
      <c r="B3055" s="953"/>
      <c r="C3055" s="953"/>
      <c r="D3055" s="953"/>
      <c r="E3055" s="953"/>
      <c r="F3055" s="953"/>
      <c r="G3055" s="953"/>
      <c r="H3055" s="953"/>
    </row>
    <row r="3056" spans="1:8" x14ac:dyDescent="0.25">
      <c r="A3056" s="952"/>
      <c r="B3056" s="953"/>
      <c r="C3056" s="953"/>
      <c r="D3056" s="953"/>
      <c r="E3056" s="953"/>
      <c r="F3056" s="953"/>
      <c r="G3056" s="953"/>
      <c r="H3056" s="953"/>
    </row>
    <row r="3057" spans="1:8" x14ac:dyDescent="0.25">
      <c r="A3057" s="952"/>
      <c r="B3057" s="953"/>
      <c r="C3057" s="953"/>
      <c r="D3057" s="953"/>
      <c r="E3057" s="953"/>
      <c r="F3057" s="953"/>
      <c r="G3057" s="953"/>
      <c r="H3057" s="953"/>
    </row>
    <row r="3058" spans="1:8" x14ac:dyDescent="0.25">
      <c r="A3058" s="952"/>
      <c r="B3058" s="953"/>
      <c r="C3058" s="953"/>
      <c r="D3058" s="953"/>
      <c r="E3058" s="953"/>
      <c r="F3058" s="953"/>
      <c r="G3058" s="953"/>
      <c r="H3058" s="953"/>
    </row>
    <row r="3059" spans="1:8" x14ac:dyDescent="0.25">
      <c r="A3059" s="952"/>
      <c r="B3059" s="953"/>
      <c r="C3059" s="953"/>
      <c r="D3059" s="953"/>
      <c r="E3059" s="953"/>
      <c r="F3059" s="953"/>
      <c r="G3059" s="953"/>
      <c r="H3059" s="953"/>
    </row>
    <row r="3060" spans="1:8" x14ac:dyDescent="0.25">
      <c r="A3060" s="952"/>
      <c r="B3060" s="953"/>
      <c r="C3060" s="953"/>
      <c r="D3060" s="953"/>
      <c r="E3060" s="953"/>
      <c r="F3060" s="953"/>
      <c r="G3060" s="953"/>
      <c r="H3060" s="953"/>
    </row>
    <row r="3061" spans="1:8" x14ac:dyDescent="0.25">
      <c r="A3061" s="952"/>
      <c r="B3061" s="953"/>
      <c r="C3061" s="953"/>
      <c r="D3061" s="953"/>
      <c r="E3061" s="953"/>
      <c r="F3061" s="953"/>
      <c r="G3061" s="953"/>
      <c r="H3061" s="953"/>
    </row>
    <row r="3062" spans="1:8" x14ac:dyDescent="0.25">
      <c r="A3062" s="952"/>
      <c r="B3062" s="953"/>
      <c r="C3062" s="953"/>
      <c r="D3062" s="953"/>
      <c r="E3062" s="953"/>
      <c r="F3062" s="953"/>
      <c r="G3062" s="953"/>
      <c r="H3062" s="953"/>
    </row>
    <row r="3063" spans="1:8" x14ac:dyDescent="0.25">
      <c r="A3063" s="952"/>
      <c r="B3063" s="953"/>
      <c r="C3063" s="953"/>
      <c r="D3063" s="953"/>
      <c r="E3063" s="953"/>
      <c r="F3063" s="953"/>
      <c r="G3063" s="953"/>
      <c r="H3063" s="953"/>
    </row>
    <row r="3064" spans="1:8" x14ac:dyDescent="0.25">
      <c r="A3064" s="952"/>
      <c r="B3064" s="953"/>
      <c r="C3064" s="953"/>
      <c r="D3064" s="953"/>
      <c r="E3064" s="953"/>
      <c r="F3064" s="953"/>
      <c r="G3064" s="953"/>
      <c r="H3064" s="953"/>
    </row>
    <row r="3065" spans="1:8" x14ac:dyDescent="0.25">
      <c r="A3065" s="952"/>
      <c r="B3065" s="953"/>
      <c r="C3065" s="953"/>
      <c r="D3065" s="953"/>
      <c r="E3065" s="953"/>
      <c r="F3065" s="953"/>
      <c r="G3065" s="953"/>
      <c r="H3065" s="953"/>
    </row>
    <row r="3066" spans="1:8" x14ac:dyDescent="0.25">
      <c r="A3066" s="952"/>
      <c r="B3066" s="953"/>
      <c r="C3066" s="953"/>
      <c r="D3066" s="953"/>
      <c r="E3066" s="953"/>
      <c r="F3066" s="953"/>
      <c r="G3066" s="953"/>
      <c r="H3066" s="953"/>
    </row>
    <row r="3067" spans="1:8" x14ac:dyDescent="0.25">
      <c r="A3067" s="952"/>
      <c r="B3067" s="953"/>
      <c r="C3067" s="953"/>
      <c r="D3067" s="953"/>
      <c r="E3067" s="953"/>
      <c r="F3067" s="953"/>
      <c r="G3067" s="953"/>
      <c r="H3067" s="953"/>
    </row>
    <row r="3068" spans="1:8" x14ac:dyDescent="0.25">
      <c r="A3068" s="952"/>
      <c r="B3068" s="953"/>
      <c r="C3068" s="953"/>
      <c r="D3068" s="953"/>
      <c r="E3068" s="953"/>
      <c r="F3068" s="953"/>
      <c r="G3068" s="953"/>
      <c r="H3068" s="953"/>
    </row>
    <row r="3069" spans="1:8" x14ac:dyDescent="0.25">
      <c r="A3069" s="952"/>
      <c r="B3069" s="953"/>
      <c r="C3069" s="953"/>
      <c r="D3069" s="953"/>
      <c r="E3069" s="953"/>
      <c r="F3069" s="953"/>
      <c r="G3069" s="953"/>
      <c r="H3069" s="953"/>
    </row>
    <row r="3070" spans="1:8" x14ac:dyDescent="0.25">
      <c r="A3070" s="952"/>
      <c r="B3070" s="953"/>
      <c r="C3070" s="953"/>
      <c r="D3070" s="953"/>
      <c r="E3070" s="953"/>
      <c r="F3070" s="953"/>
      <c r="G3070" s="953"/>
      <c r="H3070" s="953"/>
    </row>
    <row r="3071" spans="1:8" x14ac:dyDescent="0.25">
      <c r="A3071" s="952"/>
      <c r="B3071" s="953"/>
      <c r="C3071" s="953"/>
      <c r="D3071" s="953"/>
      <c r="E3071" s="953"/>
      <c r="F3071" s="953"/>
      <c r="G3071" s="953"/>
      <c r="H3071" s="953"/>
    </row>
    <row r="3072" spans="1:8" x14ac:dyDescent="0.25">
      <c r="A3072" s="952"/>
      <c r="B3072" s="953"/>
      <c r="C3072" s="953"/>
      <c r="D3072" s="953"/>
      <c r="E3072" s="953"/>
      <c r="F3072" s="953"/>
      <c r="G3072" s="953"/>
      <c r="H3072" s="953"/>
    </row>
    <row r="3073" spans="1:8" x14ac:dyDescent="0.25">
      <c r="A3073" s="952"/>
      <c r="B3073" s="953"/>
      <c r="C3073" s="953"/>
      <c r="D3073" s="953"/>
      <c r="E3073" s="953"/>
      <c r="F3073" s="953"/>
      <c r="G3073" s="953"/>
      <c r="H3073" s="953"/>
    </row>
    <row r="3074" spans="1:8" x14ac:dyDescent="0.25">
      <c r="A3074" s="952"/>
      <c r="B3074" s="953"/>
      <c r="C3074" s="953"/>
      <c r="D3074" s="953"/>
      <c r="E3074" s="953"/>
      <c r="F3074" s="953"/>
      <c r="G3074" s="953"/>
      <c r="H3074" s="953"/>
    </row>
    <row r="3075" spans="1:8" x14ac:dyDescent="0.25">
      <c r="A3075" s="952"/>
      <c r="B3075" s="953"/>
      <c r="C3075" s="953"/>
      <c r="D3075" s="953"/>
      <c r="E3075" s="953"/>
      <c r="F3075" s="953"/>
      <c r="G3075" s="953"/>
      <c r="H3075" s="953"/>
    </row>
    <row r="3076" spans="1:8" x14ac:dyDescent="0.25">
      <c r="A3076" s="952"/>
      <c r="B3076" s="953"/>
      <c r="C3076" s="953"/>
      <c r="D3076" s="953"/>
      <c r="E3076" s="953"/>
      <c r="F3076" s="953"/>
      <c r="G3076" s="953"/>
      <c r="H3076" s="953"/>
    </row>
    <row r="3077" spans="1:8" x14ac:dyDescent="0.25">
      <c r="A3077" s="952"/>
      <c r="B3077" s="953"/>
      <c r="C3077" s="953"/>
      <c r="D3077" s="953"/>
      <c r="E3077" s="953"/>
      <c r="F3077" s="953"/>
      <c r="G3077" s="953"/>
      <c r="H3077" s="953"/>
    </row>
    <row r="3078" spans="1:8" x14ac:dyDescent="0.25">
      <c r="A3078" s="952"/>
      <c r="B3078" s="953"/>
      <c r="C3078" s="953"/>
      <c r="D3078" s="953"/>
      <c r="E3078" s="953"/>
      <c r="F3078" s="953"/>
      <c r="G3078" s="953"/>
      <c r="H3078" s="953"/>
    </row>
    <row r="3079" spans="1:8" x14ac:dyDescent="0.25">
      <c r="A3079" s="952"/>
      <c r="B3079" s="953"/>
      <c r="C3079" s="953"/>
      <c r="D3079" s="953"/>
      <c r="E3079" s="953"/>
      <c r="F3079" s="953"/>
      <c r="G3079" s="953"/>
      <c r="H3079" s="953"/>
    </row>
    <row r="3080" spans="1:8" x14ac:dyDescent="0.25">
      <c r="A3080" s="952"/>
      <c r="B3080" s="953"/>
      <c r="C3080" s="953"/>
      <c r="D3080" s="953"/>
      <c r="E3080" s="953"/>
      <c r="F3080" s="953"/>
      <c r="G3080" s="953"/>
      <c r="H3080" s="953"/>
    </row>
    <row r="3081" spans="1:8" x14ac:dyDescent="0.25">
      <c r="A3081" s="952"/>
      <c r="B3081" s="953"/>
      <c r="C3081" s="953"/>
      <c r="D3081" s="953"/>
      <c r="E3081" s="953"/>
      <c r="F3081" s="953"/>
      <c r="G3081" s="953"/>
      <c r="H3081" s="953"/>
    </row>
    <row r="3082" spans="1:8" x14ac:dyDescent="0.25">
      <c r="A3082" s="952"/>
      <c r="B3082" s="953"/>
      <c r="C3082" s="953"/>
      <c r="D3082" s="953"/>
      <c r="E3082" s="953"/>
      <c r="F3082" s="953"/>
      <c r="G3082" s="953"/>
      <c r="H3082" s="953"/>
    </row>
    <row r="3083" spans="1:8" x14ac:dyDescent="0.25">
      <c r="A3083" s="952"/>
      <c r="B3083" s="953"/>
      <c r="C3083" s="953"/>
      <c r="D3083" s="953"/>
      <c r="E3083" s="953"/>
      <c r="F3083" s="953"/>
      <c r="G3083" s="953"/>
      <c r="H3083" s="953"/>
    </row>
    <row r="3084" spans="1:8" x14ac:dyDescent="0.25">
      <c r="A3084" s="952"/>
      <c r="B3084" s="953"/>
      <c r="C3084" s="953"/>
      <c r="D3084" s="953"/>
      <c r="E3084" s="953"/>
      <c r="F3084" s="953"/>
      <c r="G3084" s="953"/>
      <c r="H3084" s="953"/>
    </row>
    <row r="3085" spans="1:8" x14ac:dyDescent="0.25">
      <c r="A3085" s="952"/>
      <c r="B3085" s="953"/>
      <c r="C3085" s="953"/>
      <c r="D3085" s="953"/>
      <c r="E3085" s="953"/>
      <c r="F3085" s="953"/>
      <c r="G3085" s="953"/>
      <c r="H3085" s="953"/>
    </row>
    <row r="3086" spans="1:8" x14ac:dyDescent="0.25">
      <c r="A3086" s="952"/>
      <c r="B3086" s="953"/>
      <c r="C3086" s="953"/>
      <c r="D3086" s="953"/>
      <c r="E3086" s="953"/>
      <c r="F3086" s="953"/>
      <c r="G3086" s="953"/>
      <c r="H3086" s="953"/>
    </row>
    <row r="3087" spans="1:8" x14ac:dyDescent="0.25">
      <c r="A3087" s="952"/>
      <c r="B3087" s="953"/>
      <c r="C3087" s="953"/>
      <c r="D3087" s="953"/>
      <c r="E3087" s="953"/>
      <c r="F3087" s="953"/>
      <c r="G3087" s="953"/>
      <c r="H3087" s="953"/>
    </row>
    <row r="3088" spans="1:8" x14ac:dyDescent="0.25">
      <c r="A3088" s="952"/>
      <c r="B3088" s="953"/>
      <c r="C3088" s="953"/>
      <c r="D3088" s="953"/>
      <c r="E3088" s="953"/>
      <c r="F3088" s="953"/>
      <c r="G3088" s="953"/>
      <c r="H3088" s="953"/>
    </row>
    <row r="3089" spans="1:8" x14ac:dyDescent="0.25">
      <c r="A3089" s="952"/>
      <c r="B3089" s="953"/>
      <c r="C3089" s="953"/>
      <c r="D3089" s="953"/>
      <c r="E3089" s="953"/>
      <c r="F3089" s="953"/>
      <c r="G3089" s="953"/>
      <c r="H3089" s="953"/>
    </row>
    <row r="3090" spans="1:8" x14ac:dyDescent="0.25">
      <c r="A3090" s="952"/>
      <c r="B3090" s="953"/>
      <c r="C3090" s="953"/>
      <c r="D3090" s="953"/>
      <c r="E3090" s="953"/>
      <c r="F3090" s="953"/>
      <c r="G3090" s="953"/>
      <c r="H3090" s="953"/>
    </row>
    <row r="3091" spans="1:8" x14ac:dyDescent="0.25">
      <c r="A3091" s="952"/>
      <c r="B3091" s="953"/>
      <c r="C3091" s="953"/>
      <c r="D3091" s="953"/>
      <c r="E3091" s="953"/>
      <c r="F3091" s="953"/>
      <c r="G3091" s="953"/>
      <c r="H3091" s="953"/>
    </row>
    <row r="3092" spans="1:8" x14ac:dyDescent="0.25">
      <c r="A3092" s="952"/>
      <c r="B3092" s="953"/>
      <c r="C3092" s="953"/>
      <c r="D3092" s="953"/>
      <c r="E3092" s="953"/>
      <c r="F3092" s="953"/>
      <c r="G3092" s="953"/>
      <c r="H3092" s="953"/>
    </row>
    <row r="3093" spans="1:8" x14ac:dyDescent="0.25">
      <c r="A3093" s="952"/>
      <c r="B3093" s="953"/>
      <c r="C3093" s="953"/>
      <c r="D3093" s="953"/>
      <c r="E3093" s="953"/>
      <c r="F3093" s="953"/>
      <c r="G3093" s="953"/>
      <c r="H3093" s="953"/>
    </row>
    <row r="3094" spans="1:8" x14ac:dyDescent="0.25">
      <c r="A3094" s="952"/>
      <c r="B3094" s="953"/>
      <c r="C3094" s="953"/>
      <c r="D3094" s="953"/>
      <c r="E3094" s="953"/>
      <c r="F3094" s="953"/>
      <c r="G3094" s="953"/>
      <c r="H3094" s="953"/>
    </row>
    <row r="3095" spans="1:8" x14ac:dyDescent="0.25">
      <c r="A3095" s="952"/>
      <c r="B3095" s="953"/>
      <c r="C3095" s="953"/>
      <c r="D3095" s="953"/>
      <c r="E3095" s="953"/>
      <c r="F3095" s="953"/>
      <c r="G3095" s="953"/>
      <c r="H3095" s="953"/>
    </row>
    <row r="3096" spans="1:8" x14ac:dyDescent="0.25">
      <c r="A3096" s="952"/>
      <c r="B3096" s="953"/>
      <c r="C3096" s="953"/>
      <c r="D3096" s="953"/>
      <c r="E3096" s="953"/>
      <c r="F3096" s="953"/>
      <c r="G3096" s="953"/>
      <c r="H3096" s="953"/>
    </row>
    <row r="3097" spans="1:8" x14ac:dyDescent="0.25">
      <c r="A3097" s="952"/>
      <c r="B3097" s="953"/>
      <c r="C3097" s="953"/>
      <c r="D3097" s="953"/>
      <c r="E3097" s="953"/>
      <c r="F3097" s="953"/>
      <c r="G3097" s="953"/>
      <c r="H3097" s="953"/>
    </row>
    <row r="3098" spans="1:8" x14ac:dyDescent="0.25">
      <c r="A3098" s="952"/>
      <c r="B3098" s="953"/>
      <c r="C3098" s="953"/>
      <c r="D3098" s="953"/>
      <c r="E3098" s="953"/>
      <c r="F3098" s="953"/>
      <c r="G3098" s="953"/>
      <c r="H3098" s="953"/>
    </row>
    <row r="3099" spans="1:8" x14ac:dyDescent="0.25">
      <c r="A3099" s="952"/>
      <c r="B3099" s="953"/>
      <c r="C3099" s="953"/>
      <c r="D3099" s="953"/>
      <c r="E3099" s="953"/>
      <c r="F3099" s="953"/>
      <c r="G3099" s="953"/>
      <c r="H3099" s="953"/>
    </row>
    <row r="3100" spans="1:8" x14ac:dyDescent="0.25">
      <c r="A3100" s="952"/>
      <c r="B3100" s="953"/>
      <c r="C3100" s="953"/>
      <c r="D3100" s="953"/>
      <c r="E3100" s="953"/>
      <c r="F3100" s="953"/>
      <c r="G3100" s="953"/>
      <c r="H3100" s="953"/>
    </row>
    <row r="3101" spans="1:8" x14ac:dyDescent="0.25">
      <c r="A3101" s="952"/>
      <c r="B3101" s="953"/>
      <c r="C3101" s="953"/>
      <c r="D3101" s="953"/>
      <c r="E3101" s="953"/>
      <c r="F3101" s="953"/>
      <c r="G3101" s="953"/>
      <c r="H3101" s="953"/>
    </row>
    <row r="3102" spans="1:8" x14ac:dyDescent="0.25">
      <c r="A3102" s="952"/>
      <c r="B3102" s="953"/>
      <c r="C3102" s="953"/>
      <c r="D3102" s="953"/>
      <c r="E3102" s="953"/>
      <c r="F3102" s="953"/>
      <c r="G3102" s="953"/>
      <c r="H3102" s="953"/>
    </row>
    <row r="3103" spans="1:8" x14ac:dyDescent="0.25">
      <c r="A3103" s="952"/>
      <c r="B3103" s="953"/>
      <c r="C3103" s="953"/>
      <c r="D3103" s="953"/>
      <c r="E3103" s="953"/>
      <c r="F3103" s="953"/>
      <c r="G3103" s="953"/>
      <c r="H3103" s="953"/>
    </row>
    <row r="3104" spans="1:8" x14ac:dyDescent="0.25">
      <c r="A3104" s="952"/>
      <c r="B3104" s="953"/>
      <c r="C3104" s="953"/>
      <c r="D3104" s="953"/>
      <c r="E3104" s="953"/>
      <c r="F3104" s="953"/>
      <c r="G3104" s="953"/>
      <c r="H3104" s="953"/>
    </row>
    <row r="3105" spans="1:8" x14ac:dyDescent="0.25">
      <c r="A3105" s="952"/>
      <c r="B3105" s="953"/>
      <c r="C3105" s="953"/>
      <c r="D3105" s="953"/>
      <c r="E3105" s="953"/>
      <c r="F3105" s="953"/>
      <c r="G3105" s="953"/>
      <c r="H3105" s="953"/>
    </row>
    <row r="3106" spans="1:8" x14ac:dyDescent="0.25">
      <c r="A3106" s="952"/>
      <c r="B3106" s="953"/>
      <c r="C3106" s="953"/>
      <c r="D3106" s="953"/>
      <c r="E3106" s="953"/>
      <c r="F3106" s="953"/>
      <c r="G3106" s="953"/>
      <c r="H3106" s="953"/>
    </row>
    <row r="3107" spans="1:8" x14ac:dyDescent="0.25">
      <c r="A3107" s="952"/>
      <c r="B3107" s="953"/>
      <c r="C3107" s="953"/>
      <c r="D3107" s="953"/>
      <c r="E3107" s="953"/>
      <c r="F3107" s="953"/>
      <c r="G3107" s="953"/>
      <c r="H3107" s="953"/>
    </row>
    <row r="3108" spans="1:8" x14ac:dyDescent="0.25">
      <c r="A3108" s="952"/>
      <c r="B3108" s="953"/>
      <c r="C3108" s="953"/>
      <c r="D3108" s="953"/>
      <c r="E3108" s="953"/>
      <c r="F3108" s="953"/>
      <c r="G3108" s="953"/>
      <c r="H3108" s="953"/>
    </row>
    <row r="3109" spans="1:8" x14ac:dyDescent="0.25">
      <c r="A3109" s="952"/>
      <c r="B3109" s="953"/>
      <c r="C3109" s="953"/>
      <c r="D3109" s="953"/>
      <c r="E3109" s="953"/>
      <c r="F3109" s="953"/>
      <c r="G3109" s="953"/>
      <c r="H3109" s="953"/>
    </row>
    <row r="3110" spans="1:8" x14ac:dyDescent="0.25">
      <c r="A3110" s="952"/>
      <c r="B3110" s="953"/>
      <c r="C3110" s="953"/>
      <c r="D3110" s="953"/>
      <c r="E3110" s="953"/>
      <c r="F3110" s="953"/>
      <c r="G3110" s="953"/>
      <c r="H3110" s="953"/>
    </row>
    <row r="3111" spans="1:8" x14ac:dyDescent="0.25">
      <c r="A3111" s="952"/>
      <c r="B3111" s="953"/>
      <c r="C3111" s="953"/>
      <c r="D3111" s="953"/>
      <c r="E3111" s="953"/>
      <c r="F3111" s="953"/>
      <c r="G3111" s="953"/>
      <c r="H3111" s="953"/>
    </row>
    <row r="3112" spans="1:8" x14ac:dyDescent="0.25">
      <c r="A3112" s="952"/>
      <c r="B3112" s="953"/>
      <c r="C3112" s="953"/>
      <c r="D3112" s="953"/>
      <c r="E3112" s="953"/>
      <c r="F3112" s="953"/>
      <c r="G3112" s="953"/>
      <c r="H3112" s="953"/>
    </row>
    <row r="3113" spans="1:8" x14ac:dyDescent="0.25">
      <c r="A3113" s="952"/>
      <c r="B3113" s="953"/>
      <c r="C3113" s="953"/>
      <c r="D3113" s="953"/>
      <c r="E3113" s="953"/>
      <c r="F3113" s="953"/>
      <c r="G3113" s="953"/>
      <c r="H3113" s="953"/>
    </row>
    <row r="3114" spans="1:8" x14ac:dyDescent="0.25">
      <c r="A3114" s="952"/>
      <c r="B3114" s="953"/>
      <c r="C3114" s="953"/>
      <c r="D3114" s="953"/>
      <c r="E3114" s="953"/>
      <c r="F3114" s="953"/>
      <c r="G3114" s="953"/>
      <c r="H3114" s="953"/>
    </row>
    <row r="3115" spans="1:8" x14ac:dyDescent="0.25">
      <c r="A3115" s="952"/>
      <c r="B3115" s="953"/>
      <c r="C3115" s="953"/>
      <c r="D3115" s="953"/>
      <c r="E3115" s="953"/>
      <c r="F3115" s="953"/>
      <c r="G3115" s="953"/>
      <c r="H3115" s="953"/>
    </row>
    <row r="3116" spans="1:8" x14ac:dyDescent="0.25">
      <c r="A3116" s="952"/>
      <c r="B3116" s="953"/>
      <c r="C3116" s="953"/>
      <c r="D3116" s="953"/>
      <c r="E3116" s="953"/>
      <c r="F3116" s="953"/>
      <c r="G3116" s="953"/>
      <c r="H3116" s="953"/>
    </row>
    <row r="3117" spans="1:8" x14ac:dyDescent="0.25">
      <c r="A3117" s="952"/>
      <c r="B3117" s="953"/>
      <c r="C3117" s="953"/>
      <c r="D3117" s="953"/>
      <c r="E3117" s="953"/>
      <c r="F3117" s="953"/>
      <c r="G3117" s="953"/>
      <c r="H3117" s="953"/>
    </row>
    <row r="3118" spans="1:8" x14ac:dyDescent="0.25">
      <c r="A3118" s="952"/>
      <c r="B3118" s="953"/>
      <c r="C3118" s="953"/>
      <c r="D3118" s="953"/>
      <c r="E3118" s="953"/>
      <c r="F3118" s="953"/>
      <c r="G3118" s="953"/>
      <c r="H3118" s="953"/>
    </row>
    <row r="3119" spans="1:8" x14ac:dyDescent="0.25">
      <c r="A3119" s="952"/>
      <c r="B3119" s="953"/>
      <c r="C3119" s="953"/>
      <c r="D3119" s="953"/>
      <c r="E3119" s="953"/>
      <c r="F3119" s="953"/>
      <c r="G3119" s="953"/>
      <c r="H3119" s="953"/>
    </row>
    <row r="3120" spans="1:8" x14ac:dyDescent="0.25">
      <c r="A3120" s="952"/>
      <c r="B3120" s="953"/>
      <c r="C3120" s="953"/>
      <c r="D3120" s="953"/>
      <c r="E3120" s="953"/>
      <c r="F3120" s="953"/>
      <c r="G3120" s="953"/>
      <c r="H3120" s="953"/>
    </row>
    <row r="3121" spans="1:8" x14ac:dyDescent="0.25">
      <c r="A3121" s="952"/>
      <c r="B3121" s="953"/>
      <c r="C3121" s="953"/>
      <c r="D3121" s="953"/>
      <c r="E3121" s="953"/>
      <c r="F3121" s="953"/>
      <c r="G3121" s="953"/>
      <c r="H3121" s="953"/>
    </row>
    <row r="3122" spans="1:8" x14ac:dyDescent="0.25">
      <c r="A3122" s="952"/>
      <c r="B3122" s="953"/>
      <c r="C3122" s="953"/>
      <c r="D3122" s="953"/>
      <c r="E3122" s="953"/>
      <c r="F3122" s="953"/>
      <c r="G3122" s="953"/>
      <c r="H3122" s="953"/>
    </row>
    <row r="3123" spans="1:8" x14ac:dyDescent="0.25">
      <c r="A3123" s="952"/>
      <c r="B3123" s="953"/>
      <c r="C3123" s="953"/>
      <c r="D3123" s="953"/>
      <c r="E3123" s="953"/>
      <c r="F3123" s="953"/>
      <c r="G3123" s="953"/>
      <c r="H3123" s="953"/>
    </row>
    <row r="3124" spans="1:8" x14ac:dyDescent="0.25">
      <c r="A3124" s="952"/>
      <c r="B3124" s="953"/>
      <c r="C3124" s="953"/>
      <c r="D3124" s="953"/>
      <c r="E3124" s="953"/>
      <c r="F3124" s="953"/>
      <c r="G3124" s="953"/>
      <c r="H3124" s="953"/>
    </row>
    <row r="3125" spans="1:8" x14ac:dyDescent="0.25">
      <c r="A3125" s="952"/>
      <c r="B3125" s="953"/>
      <c r="C3125" s="953"/>
      <c r="D3125" s="953"/>
      <c r="E3125" s="953"/>
      <c r="F3125" s="953"/>
      <c r="G3125" s="953"/>
      <c r="H3125" s="953"/>
    </row>
    <row r="3126" spans="1:8" x14ac:dyDescent="0.25">
      <c r="A3126" s="952"/>
      <c r="B3126" s="953"/>
      <c r="C3126" s="953"/>
      <c r="D3126" s="953"/>
      <c r="E3126" s="953"/>
      <c r="F3126" s="953"/>
      <c r="G3126" s="953"/>
      <c r="H3126" s="953"/>
    </row>
    <row r="3127" spans="1:8" x14ac:dyDescent="0.25">
      <c r="A3127" s="952"/>
      <c r="B3127" s="953"/>
      <c r="C3127" s="953"/>
      <c r="D3127" s="953"/>
      <c r="E3127" s="953"/>
      <c r="F3127" s="953"/>
      <c r="G3127" s="953"/>
      <c r="H3127" s="953"/>
    </row>
    <row r="3128" spans="1:8" x14ac:dyDescent="0.25">
      <c r="A3128" s="952"/>
      <c r="B3128" s="953"/>
      <c r="C3128" s="953"/>
      <c r="D3128" s="953"/>
      <c r="E3128" s="953"/>
      <c r="F3128" s="953"/>
      <c r="G3128" s="953"/>
      <c r="H3128" s="953"/>
    </row>
    <row r="3129" spans="1:8" x14ac:dyDescent="0.25">
      <c r="A3129" s="952"/>
      <c r="B3129" s="953"/>
      <c r="C3129" s="953"/>
      <c r="D3129" s="953"/>
      <c r="E3129" s="953"/>
      <c r="F3129" s="953"/>
      <c r="G3129" s="953"/>
      <c r="H3129" s="953"/>
    </row>
    <row r="3130" spans="1:8" x14ac:dyDescent="0.25">
      <c r="A3130" s="952"/>
      <c r="B3130" s="953"/>
      <c r="C3130" s="953"/>
      <c r="D3130" s="953"/>
      <c r="E3130" s="953"/>
      <c r="F3130" s="953"/>
      <c r="G3130" s="953"/>
      <c r="H3130" s="953"/>
    </row>
    <row r="3131" spans="1:8" x14ac:dyDescent="0.25">
      <c r="A3131" s="952"/>
      <c r="B3131" s="953"/>
      <c r="C3131" s="953"/>
      <c r="D3131" s="953"/>
      <c r="E3131" s="953"/>
      <c r="F3131" s="953"/>
      <c r="G3131" s="953"/>
      <c r="H3131" s="953"/>
    </row>
    <row r="3132" spans="1:8" x14ac:dyDescent="0.25">
      <c r="A3132" s="952"/>
      <c r="B3132" s="953"/>
      <c r="C3132" s="953"/>
      <c r="D3132" s="953"/>
      <c r="E3132" s="953"/>
      <c r="F3132" s="953"/>
      <c r="G3132" s="953"/>
      <c r="H3132" s="953"/>
    </row>
    <row r="3133" spans="1:8" x14ac:dyDescent="0.25">
      <c r="A3133" s="952"/>
      <c r="B3133" s="953"/>
      <c r="C3133" s="953"/>
      <c r="D3133" s="953"/>
      <c r="E3133" s="953"/>
      <c r="F3133" s="953"/>
      <c r="G3133" s="953"/>
      <c r="H3133" s="953"/>
    </row>
    <row r="3134" spans="1:8" x14ac:dyDescent="0.25">
      <c r="A3134" s="952"/>
      <c r="B3134" s="953"/>
      <c r="C3134" s="953"/>
      <c r="D3134" s="953"/>
      <c r="E3134" s="953"/>
      <c r="F3134" s="953"/>
      <c r="G3134" s="953"/>
      <c r="H3134" s="953"/>
    </row>
    <row r="3135" spans="1:8" x14ac:dyDescent="0.25">
      <c r="A3135" s="952"/>
      <c r="B3135" s="953"/>
      <c r="C3135" s="953"/>
      <c r="D3135" s="953"/>
      <c r="E3135" s="953"/>
      <c r="F3135" s="953"/>
      <c r="G3135" s="953"/>
      <c r="H3135" s="953"/>
    </row>
    <row r="3136" spans="1:8" x14ac:dyDescent="0.25">
      <c r="A3136" s="952"/>
      <c r="B3136" s="953"/>
      <c r="C3136" s="953"/>
      <c r="D3136" s="953"/>
      <c r="E3136" s="953"/>
      <c r="F3136" s="953"/>
      <c r="G3136" s="953"/>
      <c r="H3136" s="953"/>
    </row>
    <row r="3137" spans="1:8" x14ac:dyDescent="0.25">
      <c r="A3137" s="952"/>
      <c r="B3137" s="953"/>
      <c r="C3137" s="953"/>
      <c r="D3137" s="953"/>
      <c r="E3137" s="953"/>
      <c r="F3137" s="953"/>
      <c r="G3137" s="953"/>
      <c r="H3137" s="953"/>
    </row>
    <row r="3138" spans="1:8" x14ac:dyDescent="0.25">
      <c r="A3138" s="952"/>
      <c r="B3138" s="953"/>
      <c r="C3138" s="953"/>
      <c r="D3138" s="953"/>
      <c r="E3138" s="953"/>
      <c r="F3138" s="953"/>
      <c r="G3138" s="953"/>
      <c r="H3138" s="953"/>
    </row>
    <row r="3139" spans="1:8" x14ac:dyDescent="0.25">
      <c r="A3139" s="952"/>
      <c r="B3139" s="953"/>
      <c r="C3139" s="953"/>
      <c r="D3139" s="953"/>
      <c r="E3139" s="953"/>
      <c r="F3139" s="953"/>
      <c r="G3139" s="953"/>
      <c r="H3139" s="953"/>
    </row>
    <row r="3140" spans="1:8" x14ac:dyDescent="0.25">
      <c r="A3140" s="952"/>
      <c r="B3140" s="953"/>
      <c r="C3140" s="953"/>
      <c r="D3140" s="953"/>
      <c r="E3140" s="953"/>
      <c r="F3140" s="953"/>
      <c r="G3140" s="953"/>
      <c r="H3140" s="953"/>
    </row>
    <row r="3141" spans="1:8" x14ac:dyDescent="0.25">
      <c r="A3141" s="952"/>
      <c r="B3141" s="953"/>
      <c r="C3141" s="953"/>
      <c r="D3141" s="953"/>
      <c r="E3141" s="953"/>
      <c r="F3141" s="953"/>
      <c r="G3141" s="953"/>
      <c r="H3141" s="953"/>
    </row>
    <row r="3142" spans="1:8" x14ac:dyDescent="0.25">
      <c r="A3142" s="952"/>
      <c r="B3142" s="953"/>
      <c r="C3142" s="953"/>
      <c r="D3142" s="953"/>
      <c r="E3142" s="953"/>
      <c r="F3142" s="953"/>
      <c r="G3142" s="953"/>
      <c r="H3142" s="953"/>
    </row>
    <row r="3143" spans="1:8" x14ac:dyDescent="0.25">
      <c r="A3143" s="952"/>
      <c r="B3143" s="953"/>
      <c r="C3143" s="953"/>
      <c r="D3143" s="953"/>
      <c r="E3143" s="953"/>
      <c r="F3143" s="953"/>
      <c r="G3143" s="953"/>
      <c r="H3143" s="953"/>
    </row>
    <row r="3144" spans="1:8" x14ac:dyDescent="0.25">
      <c r="A3144" s="952"/>
      <c r="B3144" s="953"/>
      <c r="C3144" s="953"/>
      <c r="D3144" s="953"/>
      <c r="E3144" s="953"/>
      <c r="F3144" s="953"/>
      <c r="G3144" s="953"/>
      <c r="H3144" s="953"/>
    </row>
    <row r="3145" spans="1:8" x14ac:dyDescent="0.25">
      <c r="A3145" s="952"/>
      <c r="B3145" s="953"/>
      <c r="C3145" s="953"/>
      <c r="D3145" s="953"/>
      <c r="E3145" s="953"/>
      <c r="F3145" s="953"/>
      <c r="G3145" s="953"/>
      <c r="H3145" s="953"/>
    </row>
    <row r="3146" spans="1:8" x14ac:dyDescent="0.25">
      <c r="A3146" s="952"/>
      <c r="B3146" s="953"/>
      <c r="C3146" s="953"/>
      <c r="D3146" s="953"/>
      <c r="E3146" s="953"/>
      <c r="F3146" s="953"/>
      <c r="G3146" s="953"/>
      <c r="H3146" s="953"/>
    </row>
    <row r="3147" spans="1:8" x14ac:dyDescent="0.25">
      <c r="A3147" s="952"/>
      <c r="B3147" s="953"/>
      <c r="C3147" s="953"/>
      <c r="D3147" s="953"/>
      <c r="E3147" s="953"/>
      <c r="F3147" s="953"/>
      <c r="G3147" s="953"/>
      <c r="H3147" s="953"/>
    </row>
    <row r="3148" spans="1:8" x14ac:dyDescent="0.25">
      <c r="A3148" s="952"/>
      <c r="B3148" s="953"/>
      <c r="C3148" s="953"/>
      <c r="D3148" s="953"/>
      <c r="E3148" s="953"/>
      <c r="F3148" s="953"/>
      <c r="G3148" s="953"/>
      <c r="H3148" s="953"/>
    </row>
    <row r="3149" spans="1:8" x14ac:dyDescent="0.25">
      <c r="A3149" s="952"/>
      <c r="B3149" s="953"/>
      <c r="C3149" s="953"/>
      <c r="D3149" s="953"/>
      <c r="E3149" s="953"/>
      <c r="F3149" s="953"/>
      <c r="G3149" s="953"/>
      <c r="H3149" s="953"/>
    </row>
    <row r="3150" spans="1:8" x14ac:dyDescent="0.25">
      <c r="A3150" s="952"/>
      <c r="B3150" s="953"/>
      <c r="C3150" s="953"/>
      <c r="D3150" s="953"/>
      <c r="E3150" s="953"/>
      <c r="F3150" s="953"/>
      <c r="G3150" s="953"/>
      <c r="H3150" s="953"/>
    </row>
    <row r="3151" spans="1:8" x14ac:dyDescent="0.25">
      <c r="A3151" s="952"/>
      <c r="B3151" s="953"/>
      <c r="C3151" s="953"/>
      <c r="D3151" s="953"/>
      <c r="E3151" s="953"/>
      <c r="F3151" s="953"/>
      <c r="G3151" s="953"/>
      <c r="H3151" s="953"/>
    </row>
    <row r="3152" spans="1:8" x14ac:dyDescent="0.25">
      <c r="A3152" s="952"/>
      <c r="B3152" s="953"/>
      <c r="C3152" s="953"/>
      <c r="D3152" s="953"/>
      <c r="E3152" s="953"/>
      <c r="F3152" s="953"/>
      <c r="G3152" s="953"/>
      <c r="H3152" s="953"/>
    </row>
    <row r="3153" spans="1:8" x14ac:dyDescent="0.25">
      <c r="A3153" s="952"/>
      <c r="B3153" s="953"/>
      <c r="C3153" s="953"/>
      <c r="D3153" s="953"/>
      <c r="E3153" s="953"/>
      <c r="F3153" s="953"/>
      <c r="G3153" s="953"/>
      <c r="H3153" s="953"/>
    </row>
    <row r="3154" spans="1:8" x14ac:dyDescent="0.25">
      <c r="A3154" s="952"/>
      <c r="B3154" s="953"/>
      <c r="C3154" s="953"/>
      <c r="D3154" s="953"/>
      <c r="E3154" s="953"/>
      <c r="F3154" s="953"/>
      <c r="G3154" s="953"/>
      <c r="H3154" s="953"/>
    </row>
    <row r="3155" spans="1:8" x14ac:dyDescent="0.25">
      <c r="A3155" s="952"/>
      <c r="B3155" s="953"/>
      <c r="C3155" s="953"/>
      <c r="D3155" s="953"/>
      <c r="E3155" s="953"/>
      <c r="F3155" s="953"/>
      <c r="G3155" s="953"/>
      <c r="H3155" s="953"/>
    </row>
    <row r="3156" spans="1:8" x14ac:dyDescent="0.25">
      <c r="A3156" s="952"/>
      <c r="B3156" s="953"/>
      <c r="C3156" s="953"/>
      <c r="D3156" s="953"/>
      <c r="E3156" s="953"/>
      <c r="F3156" s="953"/>
      <c r="G3156" s="953"/>
      <c r="H3156" s="953"/>
    </row>
    <row r="3157" spans="1:8" x14ac:dyDescent="0.25">
      <c r="A3157" s="952"/>
      <c r="B3157" s="953"/>
      <c r="C3157" s="953"/>
      <c r="D3157" s="953"/>
      <c r="E3157" s="953"/>
      <c r="F3157" s="953"/>
      <c r="G3157" s="953"/>
      <c r="H3157" s="953"/>
    </row>
    <row r="3158" spans="1:8" x14ac:dyDescent="0.25">
      <c r="A3158" s="952"/>
      <c r="B3158" s="953"/>
      <c r="C3158" s="953"/>
      <c r="D3158" s="953"/>
      <c r="E3158" s="953"/>
      <c r="F3158" s="953"/>
      <c r="G3158" s="953"/>
      <c r="H3158" s="953"/>
    </row>
    <row r="3159" spans="1:8" x14ac:dyDescent="0.25">
      <c r="A3159" s="952"/>
      <c r="B3159" s="953"/>
      <c r="C3159" s="953"/>
      <c r="D3159" s="953"/>
      <c r="E3159" s="953"/>
      <c r="F3159" s="953"/>
      <c r="G3159" s="953"/>
      <c r="H3159" s="953"/>
    </row>
    <row r="3160" spans="1:8" x14ac:dyDescent="0.25">
      <c r="A3160" s="952"/>
      <c r="B3160" s="953"/>
      <c r="C3160" s="953"/>
      <c r="D3160" s="953"/>
      <c r="E3160" s="953"/>
      <c r="F3160" s="953"/>
      <c r="G3160" s="953"/>
      <c r="H3160" s="953"/>
    </row>
    <row r="3161" spans="1:8" x14ac:dyDescent="0.25">
      <c r="A3161" s="952"/>
      <c r="B3161" s="953"/>
      <c r="C3161" s="953"/>
      <c r="D3161" s="953"/>
      <c r="E3161" s="953"/>
      <c r="F3161" s="953"/>
      <c r="G3161" s="953"/>
      <c r="H3161" s="953"/>
    </row>
    <row r="3162" spans="1:8" x14ac:dyDescent="0.25">
      <c r="A3162" s="952"/>
      <c r="B3162" s="953"/>
      <c r="C3162" s="953"/>
      <c r="D3162" s="953"/>
      <c r="E3162" s="953"/>
      <c r="F3162" s="953"/>
      <c r="G3162" s="953"/>
      <c r="H3162" s="953"/>
    </row>
    <row r="3163" spans="1:8" x14ac:dyDescent="0.25">
      <c r="A3163" s="952"/>
      <c r="B3163" s="953"/>
      <c r="C3163" s="953"/>
      <c r="D3163" s="953"/>
      <c r="E3163" s="953"/>
      <c r="F3163" s="953"/>
      <c r="G3163" s="953"/>
      <c r="H3163" s="953"/>
    </row>
    <row r="3164" spans="1:8" x14ac:dyDescent="0.25">
      <c r="A3164" s="952"/>
      <c r="B3164" s="953"/>
      <c r="C3164" s="953"/>
      <c r="D3164" s="953"/>
      <c r="E3164" s="953"/>
      <c r="F3164" s="953"/>
      <c r="G3164" s="953"/>
      <c r="H3164" s="953"/>
    </row>
    <row r="3165" spans="1:8" x14ac:dyDescent="0.25">
      <c r="A3165" s="952"/>
      <c r="B3165" s="953"/>
      <c r="C3165" s="953"/>
      <c r="D3165" s="953"/>
      <c r="E3165" s="953"/>
      <c r="F3165" s="953"/>
      <c r="G3165" s="953"/>
      <c r="H3165" s="953"/>
    </row>
    <row r="3166" spans="1:8" x14ac:dyDescent="0.25">
      <c r="A3166" s="952"/>
      <c r="B3166" s="953"/>
      <c r="C3166" s="953"/>
      <c r="D3166" s="953"/>
      <c r="E3166" s="953"/>
      <c r="F3166" s="953"/>
      <c r="G3166" s="953"/>
      <c r="H3166" s="953"/>
    </row>
    <row r="3167" spans="1:8" x14ac:dyDescent="0.25">
      <c r="A3167" s="952"/>
      <c r="B3167" s="953"/>
      <c r="C3167" s="953"/>
      <c r="D3167" s="953"/>
      <c r="E3167" s="953"/>
      <c r="F3167" s="953"/>
      <c r="G3167" s="953"/>
      <c r="H3167" s="953"/>
    </row>
    <row r="3168" spans="1:8" x14ac:dyDescent="0.25">
      <c r="A3168" s="952"/>
      <c r="B3168" s="953"/>
      <c r="C3168" s="953"/>
      <c r="D3168" s="953"/>
      <c r="E3168" s="953"/>
      <c r="F3168" s="953"/>
      <c r="G3168" s="953"/>
      <c r="H3168" s="953"/>
    </row>
    <row r="3169" spans="1:8" x14ac:dyDescent="0.25">
      <c r="A3169" s="952"/>
      <c r="B3169" s="953"/>
      <c r="C3169" s="953"/>
      <c r="D3169" s="953"/>
      <c r="E3169" s="953"/>
      <c r="F3169" s="953"/>
      <c r="G3169" s="953"/>
      <c r="H3169" s="953"/>
    </row>
    <row r="3170" spans="1:8" x14ac:dyDescent="0.25">
      <c r="A3170" s="952"/>
      <c r="B3170" s="953"/>
      <c r="C3170" s="953"/>
      <c r="D3170" s="953"/>
      <c r="E3170" s="953"/>
      <c r="F3170" s="953"/>
      <c r="G3170" s="953"/>
      <c r="H3170" s="953"/>
    </row>
    <row r="3171" spans="1:8" x14ac:dyDescent="0.25">
      <c r="A3171" s="952"/>
      <c r="B3171" s="953"/>
      <c r="C3171" s="953"/>
      <c r="D3171" s="953"/>
      <c r="E3171" s="953"/>
      <c r="F3171" s="953"/>
      <c r="G3171" s="953"/>
      <c r="H3171" s="953"/>
    </row>
    <row r="3172" spans="1:8" x14ac:dyDescent="0.25">
      <c r="A3172" s="952"/>
      <c r="B3172" s="953"/>
      <c r="C3172" s="953"/>
      <c r="D3172" s="953"/>
      <c r="E3172" s="953"/>
      <c r="F3172" s="953"/>
      <c r="G3172" s="953"/>
      <c r="H3172" s="953"/>
    </row>
    <row r="3173" spans="1:8" x14ac:dyDescent="0.25">
      <c r="A3173" s="952"/>
      <c r="B3173" s="953"/>
      <c r="C3173" s="953"/>
      <c r="D3173" s="953"/>
      <c r="E3173" s="953"/>
      <c r="F3173" s="953"/>
      <c r="G3173" s="953"/>
      <c r="H3173" s="953"/>
    </row>
    <row r="3174" spans="1:8" x14ac:dyDescent="0.25">
      <c r="A3174" s="952"/>
      <c r="B3174" s="953"/>
      <c r="C3174" s="953"/>
      <c r="D3174" s="953"/>
      <c r="E3174" s="953"/>
      <c r="F3174" s="953"/>
      <c r="G3174" s="953"/>
      <c r="H3174" s="953"/>
    </row>
    <row r="3175" spans="1:8" x14ac:dyDescent="0.25">
      <c r="A3175" s="952"/>
      <c r="B3175" s="953"/>
      <c r="C3175" s="953"/>
      <c r="D3175" s="953"/>
      <c r="E3175" s="953"/>
      <c r="F3175" s="953"/>
      <c r="G3175" s="953"/>
      <c r="H3175" s="953"/>
    </row>
    <row r="3176" spans="1:8" x14ac:dyDescent="0.25">
      <c r="A3176" s="952"/>
      <c r="B3176" s="953"/>
      <c r="C3176" s="953"/>
      <c r="D3176" s="953"/>
      <c r="E3176" s="953"/>
      <c r="F3176" s="953"/>
      <c r="G3176" s="953"/>
      <c r="H3176" s="953"/>
    </row>
    <row r="3177" spans="1:8" x14ac:dyDescent="0.25">
      <c r="A3177" s="952"/>
      <c r="B3177" s="953"/>
      <c r="C3177" s="953"/>
      <c r="D3177" s="953"/>
      <c r="E3177" s="953"/>
      <c r="F3177" s="953"/>
      <c r="G3177" s="953"/>
      <c r="H3177" s="953"/>
    </row>
    <row r="3178" spans="1:8" x14ac:dyDescent="0.25">
      <c r="A3178" s="952"/>
      <c r="B3178" s="953"/>
      <c r="C3178" s="953"/>
      <c r="D3178" s="953"/>
      <c r="E3178" s="953"/>
      <c r="F3178" s="953"/>
      <c r="G3178" s="953"/>
      <c r="H3178" s="953"/>
    </row>
    <row r="3179" spans="1:8" x14ac:dyDescent="0.25">
      <c r="A3179" s="952"/>
      <c r="B3179" s="953"/>
      <c r="C3179" s="953"/>
      <c r="D3179" s="953"/>
      <c r="E3179" s="953"/>
      <c r="F3179" s="953"/>
      <c r="G3179" s="953"/>
      <c r="H3179" s="953"/>
    </row>
    <row r="3180" spans="1:8" x14ac:dyDescent="0.25">
      <c r="A3180" s="952"/>
      <c r="B3180" s="953"/>
      <c r="C3180" s="953"/>
      <c r="D3180" s="953"/>
      <c r="E3180" s="953"/>
      <c r="F3180" s="953"/>
      <c r="G3180" s="953"/>
      <c r="H3180" s="953"/>
    </row>
    <row r="3181" spans="1:8" x14ac:dyDescent="0.25">
      <c r="A3181" s="952"/>
      <c r="B3181" s="953"/>
      <c r="C3181" s="953"/>
      <c r="D3181" s="953"/>
      <c r="E3181" s="953"/>
      <c r="F3181" s="953"/>
      <c r="G3181" s="953"/>
      <c r="H3181" s="953"/>
    </row>
    <row r="3182" spans="1:8" x14ac:dyDescent="0.25">
      <c r="A3182" s="952"/>
      <c r="B3182" s="953"/>
      <c r="C3182" s="953"/>
      <c r="D3182" s="953"/>
      <c r="E3182" s="953"/>
      <c r="F3182" s="953"/>
      <c r="G3182" s="953"/>
      <c r="H3182" s="953"/>
    </row>
    <row r="3183" spans="1:8" x14ac:dyDescent="0.25">
      <c r="A3183" s="952"/>
      <c r="B3183" s="953"/>
      <c r="C3183" s="953"/>
      <c r="D3183" s="953"/>
      <c r="E3183" s="953"/>
      <c r="F3183" s="953"/>
      <c r="G3183" s="953"/>
      <c r="H3183" s="953"/>
    </row>
    <row r="3184" spans="1:8" x14ac:dyDescent="0.25">
      <c r="A3184" s="952"/>
      <c r="B3184" s="953"/>
      <c r="C3184" s="953"/>
      <c r="D3184" s="953"/>
      <c r="E3184" s="953"/>
      <c r="F3184" s="953"/>
      <c r="G3184" s="953"/>
      <c r="H3184" s="953"/>
    </row>
    <row r="3185" spans="1:8" x14ac:dyDescent="0.25">
      <c r="A3185" s="952"/>
      <c r="B3185" s="953"/>
      <c r="C3185" s="953"/>
      <c r="D3185" s="953"/>
      <c r="E3185" s="953"/>
      <c r="F3185" s="953"/>
      <c r="G3185" s="953"/>
      <c r="H3185" s="953"/>
    </row>
    <row r="3186" spans="1:8" x14ac:dyDescent="0.25">
      <c r="A3186" s="952"/>
      <c r="B3186" s="953"/>
      <c r="C3186" s="953"/>
      <c r="D3186" s="953"/>
      <c r="E3186" s="953"/>
      <c r="F3186" s="953"/>
      <c r="G3186" s="953"/>
      <c r="H3186" s="953"/>
    </row>
    <row r="3187" spans="1:8" x14ac:dyDescent="0.25">
      <c r="A3187" s="952"/>
      <c r="B3187" s="953"/>
      <c r="C3187" s="953"/>
      <c r="D3187" s="953"/>
      <c r="E3187" s="953"/>
      <c r="F3187" s="953"/>
      <c r="G3187" s="953"/>
      <c r="H3187" s="953"/>
    </row>
    <row r="3188" spans="1:8" x14ac:dyDescent="0.25">
      <c r="A3188" s="952"/>
      <c r="B3188" s="953"/>
      <c r="C3188" s="953"/>
      <c r="D3188" s="953"/>
      <c r="E3188" s="953"/>
      <c r="F3188" s="953"/>
      <c r="G3188" s="953"/>
      <c r="H3188" s="953"/>
    </row>
    <row r="3189" spans="1:8" x14ac:dyDescent="0.25">
      <c r="A3189" s="952"/>
      <c r="B3189" s="953"/>
      <c r="C3189" s="953"/>
      <c r="D3189" s="953"/>
      <c r="E3189" s="953"/>
      <c r="F3189" s="953"/>
      <c r="G3189" s="953"/>
      <c r="H3189" s="953"/>
    </row>
    <row r="3190" spans="1:8" x14ac:dyDescent="0.25">
      <c r="A3190" s="952"/>
      <c r="B3190" s="953"/>
      <c r="C3190" s="953"/>
      <c r="D3190" s="953"/>
      <c r="E3190" s="953"/>
      <c r="F3190" s="953"/>
      <c r="G3190" s="953"/>
      <c r="H3190" s="953"/>
    </row>
    <row r="3191" spans="1:8" x14ac:dyDescent="0.25">
      <c r="A3191" s="952"/>
      <c r="B3191" s="953"/>
      <c r="C3191" s="953"/>
      <c r="D3191" s="953"/>
      <c r="E3191" s="953"/>
      <c r="F3191" s="953"/>
      <c r="G3191" s="953"/>
      <c r="H3191" s="953"/>
    </row>
    <row r="3192" spans="1:8" x14ac:dyDescent="0.25">
      <c r="A3192" s="952"/>
      <c r="B3192" s="953"/>
      <c r="C3192" s="953"/>
      <c r="D3192" s="953"/>
      <c r="E3192" s="953"/>
      <c r="F3192" s="953"/>
      <c r="G3192" s="953"/>
      <c r="H3192" s="953"/>
    </row>
    <row r="3193" spans="1:8" x14ac:dyDescent="0.25">
      <c r="A3193" s="952"/>
      <c r="B3193" s="953"/>
      <c r="C3193" s="953"/>
      <c r="D3193" s="953"/>
      <c r="E3193" s="953"/>
      <c r="F3193" s="953"/>
      <c r="G3193" s="953"/>
      <c r="H3193" s="953"/>
    </row>
    <row r="3194" spans="1:8" x14ac:dyDescent="0.25">
      <c r="A3194" s="952"/>
      <c r="B3194" s="953"/>
      <c r="C3194" s="953"/>
      <c r="D3194" s="953"/>
      <c r="E3194" s="953"/>
      <c r="F3194" s="953"/>
      <c r="G3194" s="953"/>
      <c r="H3194" s="953"/>
    </row>
    <row r="3195" spans="1:8" x14ac:dyDescent="0.25">
      <c r="A3195" s="952"/>
      <c r="B3195" s="953"/>
      <c r="C3195" s="953"/>
      <c r="D3195" s="953"/>
      <c r="E3195" s="953"/>
      <c r="F3195" s="953"/>
      <c r="G3195" s="953"/>
      <c r="H3195" s="953"/>
    </row>
    <row r="3196" spans="1:8" x14ac:dyDescent="0.25">
      <c r="A3196" s="952"/>
      <c r="B3196" s="953"/>
      <c r="C3196" s="953"/>
      <c r="D3196" s="953"/>
      <c r="E3196" s="953"/>
      <c r="F3196" s="953"/>
      <c r="G3196" s="953"/>
      <c r="H3196" s="953"/>
    </row>
    <row r="3197" spans="1:8" x14ac:dyDescent="0.25">
      <c r="A3197" s="952"/>
      <c r="B3197" s="953"/>
      <c r="C3197" s="953"/>
      <c r="D3197" s="953"/>
      <c r="E3197" s="953"/>
      <c r="F3197" s="953"/>
      <c r="G3197" s="953"/>
      <c r="H3197" s="953"/>
    </row>
    <row r="3198" spans="1:8" x14ac:dyDescent="0.25">
      <c r="A3198" s="952"/>
      <c r="B3198" s="953"/>
      <c r="C3198" s="953"/>
      <c r="D3198" s="953"/>
      <c r="E3198" s="953"/>
      <c r="F3198" s="953"/>
      <c r="G3198" s="953"/>
      <c r="H3198" s="953"/>
    </row>
    <row r="3199" spans="1:8" x14ac:dyDescent="0.25">
      <c r="A3199" s="952"/>
      <c r="B3199" s="953"/>
      <c r="C3199" s="953"/>
      <c r="D3199" s="953"/>
      <c r="E3199" s="953"/>
      <c r="F3199" s="953"/>
      <c r="G3199" s="953"/>
      <c r="H3199" s="953"/>
    </row>
    <row r="3200" spans="1:8" x14ac:dyDescent="0.25">
      <c r="A3200" s="952"/>
      <c r="B3200" s="953"/>
      <c r="C3200" s="953"/>
      <c r="D3200" s="953"/>
      <c r="E3200" s="953"/>
      <c r="F3200" s="953"/>
      <c r="G3200" s="953"/>
      <c r="H3200" s="953"/>
    </row>
    <row r="3201" spans="1:8" x14ac:dyDescent="0.25">
      <c r="A3201" s="952"/>
      <c r="B3201" s="953"/>
      <c r="C3201" s="953"/>
      <c r="D3201" s="953"/>
      <c r="E3201" s="953"/>
      <c r="F3201" s="953"/>
      <c r="G3201" s="953"/>
      <c r="H3201" s="953"/>
    </row>
    <row r="3202" spans="1:8" x14ac:dyDescent="0.25">
      <c r="A3202" s="952"/>
      <c r="B3202" s="953"/>
      <c r="C3202" s="953"/>
      <c r="D3202" s="953"/>
      <c r="E3202" s="953"/>
      <c r="F3202" s="953"/>
      <c r="G3202" s="953"/>
      <c r="H3202" s="953"/>
    </row>
    <row r="3203" spans="1:8" x14ac:dyDescent="0.25">
      <c r="A3203" s="952"/>
      <c r="B3203" s="953"/>
      <c r="C3203" s="953"/>
      <c r="D3203" s="953"/>
      <c r="E3203" s="953"/>
      <c r="F3203" s="953"/>
      <c r="G3203" s="953"/>
      <c r="H3203" s="953"/>
    </row>
    <row r="3204" spans="1:8" x14ac:dyDescent="0.25">
      <c r="A3204" s="952"/>
      <c r="B3204" s="953"/>
      <c r="C3204" s="953"/>
      <c r="D3204" s="953"/>
      <c r="E3204" s="953"/>
      <c r="F3204" s="953"/>
      <c r="G3204" s="953"/>
      <c r="H3204" s="953"/>
    </row>
    <row r="3205" spans="1:8" x14ac:dyDescent="0.25">
      <c r="A3205" s="952"/>
      <c r="B3205" s="953"/>
      <c r="C3205" s="953"/>
      <c r="D3205" s="953"/>
      <c r="E3205" s="953"/>
      <c r="F3205" s="953"/>
      <c r="G3205" s="953"/>
      <c r="H3205" s="953"/>
    </row>
    <row r="3206" spans="1:8" x14ac:dyDescent="0.25">
      <c r="A3206" s="952"/>
      <c r="B3206" s="953"/>
      <c r="C3206" s="953"/>
      <c r="D3206" s="953"/>
      <c r="E3206" s="953"/>
      <c r="F3206" s="953"/>
      <c r="G3206" s="953"/>
      <c r="H3206" s="953"/>
    </row>
    <row r="3207" spans="1:8" x14ac:dyDescent="0.25">
      <c r="A3207" s="952"/>
      <c r="B3207" s="953"/>
      <c r="C3207" s="953"/>
      <c r="D3207" s="953"/>
      <c r="E3207" s="953"/>
      <c r="F3207" s="953"/>
      <c r="G3207" s="953"/>
      <c r="H3207" s="953"/>
    </row>
    <row r="3208" spans="1:8" x14ac:dyDescent="0.25">
      <c r="A3208" s="952"/>
      <c r="B3208" s="953"/>
      <c r="C3208" s="953"/>
      <c r="D3208" s="953"/>
      <c r="E3208" s="953"/>
      <c r="F3208" s="953"/>
      <c r="G3208" s="953"/>
      <c r="H3208" s="953"/>
    </row>
    <row r="3209" spans="1:8" x14ac:dyDescent="0.25">
      <c r="A3209" s="952"/>
      <c r="B3209" s="953"/>
      <c r="C3209" s="953"/>
      <c r="D3209" s="953"/>
      <c r="E3209" s="953"/>
      <c r="F3209" s="953"/>
      <c r="G3209" s="953"/>
      <c r="H3209" s="953"/>
    </row>
    <row r="3210" spans="1:8" x14ac:dyDescent="0.25">
      <c r="A3210" s="952"/>
      <c r="B3210" s="953"/>
      <c r="C3210" s="953"/>
      <c r="D3210" s="953"/>
      <c r="E3210" s="953"/>
      <c r="F3210" s="953"/>
      <c r="G3210" s="953"/>
      <c r="H3210" s="953"/>
    </row>
    <row r="3211" spans="1:8" x14ac:dyDescent="0.25">
      <c r="A3211" s="952"/>
      <c r="B3211" s="953"/>
      <c r="C3211" s="953"/>
      <c r="D3211" s="953"/>
      <c r="E3211" s="953"/>
      <c r="F3211" s="953"/>
      <c r="G3211" s="953"/>
      <c r="H3211" s="953"/>
    </row>
    <row r="3212" spans="1:8" x14ac:dyDescent="0.25">
      <c r="A3212" s="952"/>
      <c r="B3212" s="953"/>
      <c r="C3212" s="953"/>
      <c r="D3212" s="953"/>
      <c r="E3212" s="953"/>
      <c r="F3212" s="953"/>
      <c r="G3212" s="953"/>
      <c r="H3212" s="953"/>
    </row>
    <row r="3213" spans="1:8" x14ac:dyDescent="0.25">
      <c r="A3213" s="952"/>
      <c r="B3213" s="953"/>
      <c r="C3213" s="953"/>
      <c r="D3213" s="953"/>
      <c r="E3213" s="953"/>
      <c r="F3213" s="953"/>
      <c r="G3213" s="953"/>
      <c r="H3213" s="953"/>
    </row>
    <row r="3214" spans="1:8" x14ac:dyDescent="0.25">
      <c r="A3214" s="952"/>
      <c r="B3214" s="953"/>
      <c r="C3214" s="953"/>
      <c r="D3214" s="953"/>
      <c r="E3214" s="953"/>
      <c r="F3214" s="953"/>
      <c r="G3214" s="953"/>
      <c r="H3214" s="953"/>
    </row>
    <row r="3215" spans="1:8" x14ac:dyDescent="0.25">
      <c r="A3215" s="952"/>
      <c r="B3215" s="953"/>
      <c r="C3215" s="953"/>
      <c r="D3215" s="953"/>
      <c r="E3215" s="953"/>
      <c r="F3215" s="953"/>
      <c r="G3215" s="953"/>
      <c r="H3215" s="953"/>
    </row>
    <row r="3216" spans="1:8" x14ac:dyDescent="0.25">
      <c r="A3216" s="952"/>
      <c r="B3216" s="953"/>
      <c r="C3216" s="953"/>
      <c r="D3216" s="953"/>
      <c r="E3216" s="953"/>
      <c r="F3216" s="953"/>
      <c r="G3216" s="953"/>
      <c r="H3216" s="953"/>
    </row>
    <row r="3217" spans="1:8" x14ac:dyDescent="0.25">
      <c r="A3217" s="952"/>
      <c r="B3217" s="953"/>
      <c r="C3217" s="953"/>
      <c r="D3217" s="953"/>
      <c r="E3217" s="953"/>
      <c r="F3217" s="953"/>
      <c r="G3217" s="953"/>
      <c r="H3217" s="953"/>
    </row>
    <row r="3218" spans="1:8" x14ac:dyDescent="0.25">
      <c r="A3218" s="952"/>
      <c r="B3218" s="953"/>
      <c r="C3218" s="953"/>
      <c r="D3218" s="953"/>
      <c r="E3218" s="953"/>
      <c r="F3218" s="953"/>
      <c r="G3218" s="953"/>
      <c r="H3218" s="953"/>
    </row>
    <row r="3219" spans="1:8" x14ac:dyDescent="0.25">
      <c r="A3219" s="952"/>
      <c r="B3219" s="953"/>
      <c r="C3219" s="953"/>
      <c r="D3219" s="953"/>
      <c r="E3219" s="953"/>
      <c r="F3219" s="953"/>
      <c r="G3219" s="953"/>
      <c r="H3219" s="953"/>
    </row>
    <row r="3220" spans="1:8" x14ac:dyDescent="0.25">
      <c r="A3220" s="952"/>
      <c r="B3220" s="953"/>
      <c r="C3220" s="953"/>
      <c r="D3220" s="953"/>
      <c r="E3220" s="953"/>
      <c r="F3220" s="953"/>
      <c r="G3220" s="953"/>
      <c r="H3220" s="953"/>
    </row>
    <row r="3221" spans="1:8" x14ac:dyDescent="0.25">
      <c r="A3221" s="952"/>
      <c r="B3221" s="953"/>
      <c r="C3221" s="953"/>
      <c r="D3221" s="953"/>
      <c r="E3221" s="953"/>
      <c r="F3221" s="953"/>
      <c r="G3221" s="953"/>
      <c r="H3221" s="953"/>
    </row>
    <row r="3222" spans="1:8" x14ac:dyDescent="0.25">
      <c r="A3222" s="952"/>
      <c r="B3222" s="953"/>
      <c r="C3222" s="953"/>
      <c r="D3222" s="953"/>
      <c r="E3222" s="953"/>
      <c r="F3222" s="953"/>
      <c r="G3222" s="953"/>
      <c r="H3222" s="953"/>
    </row>
    <row r="3223" spans="1:8" x14ac:dyDescent="0.25">
      <c r="A3223" s="952"/>
      <c r="B3223" s="953"/>
      <c r="C3223" s="953"/>
      <c r="D3223" s="953"/>
      <c r="E3223" s="953"/>
      <c r="F3223" s="953"/>
      <c r="G3223" s="953"/>
      <c r="H3223" s="953"/>
    </row>
    <row r="3224" spans="1:8" x14ac:dyDescent="0.25">
      <c r="A3224" s="952"/>
      <c r="B3224" s="953"/>
      <c r="C3224" s="953"/>
      <c r="D3224" s="953"/>
      <c r="E3224" s="953"/>
      <c r="F3224" s="953"/>
      <c r="G3224" s="953"/>
      <c r="H3224" s="953"/>
    </row>
    <row r="3225" spans="1:8" x14ac:dyDescent="0.25">
      <c r="A3225" s="952"/>
      <c r="B3225" s="953"/>
      <c r="C3225" s="953"/>
      <c r="D3225" s="953"/>
      <c r="E3225" s="953"/>
      <c r="F3225" s="953"/>
      <c r="G3225" s="953"/>
      <c r="H3225" s="953"/>
    </row>
    <row r="3226" spans="1:8" x14ac:dyDescent="0.25">
      <c r="A3226" s="952"/>
      <c r="B3226" s="953"/>
      <c r="C3226" s="953"/>
      <c r="D3226" s="953"/>
      <c r="E3226" s="953"/>
      <c r="F3226" s="953"/>
      <c r="G3226" s="953"/>
      <c r="H3226" s="953"/>
    </row>
    <row r="3227" spans="1:8" x14ac:dyDescent="0.25">
      <c r="A3227" s="952"/>
      <c r="B3227" s="953"/>
      <c r="C3227" s="953"/>
      <c r="D3227" s="953"/>
      <c r="E3227" s="953"/>
      <c r="F3227" s="953"/>
      <c r="G3227" s="953"/>
      <c r="H3227" s="953"/>
    </row>
    <row r="3228" spans="1:8" x14ac:dyDescent="0.25">
      <c r="A3228" s="952"/>
      <c r="B3228" s="953"/>
      <c r="C3228" s="953"/>
      <c r="D3228" s="953"/>
      <c r="E3228" s="953"/>
      <c r="F3228" s="953"/>
      <c r="G3228" s="953"/>
      <c r="H3228" s="953"/>
    </row>
    <row r="3229" spans="1:8" x14ac:dyDescent="0.25">
      <c r="A3229" s="952"/>
      <c r="B3229" s="953"/>
      <c r="C3229" s="953"/>
      <c r="D3229" s="953"/>
      <c r="E3229" s="953"/>
      <c r="F3229" s="953"/>
      <c r="G3229" s="953"/>
      <c r="H3229" s="953"/>
    </row>
    <row r="3230" spans="1:8" x14ac:dyDescent="0.25">
      <c r="A3230" s="952"/>
      <c r="B3230" s="953"/>
      <c r="C3230" s="953"/>
      <c r="D3230" s="953"/>
      <c r="E3230" s="953"/>
      <c r="F3230" s="953"/>
      <c r="G3230" s="953"/>
      <c r="H3230" s="953"/>
    </row>
    <row r="3231" spans="1:8" x14ac:dyDescent="0.25">
      <c r="A3231" s="952"/>
      <c r="B3231" s="953"/>
      <c r="C3231" s="953"/>
      <c r="D3231" s="953"/>
      <c r="E3231" s="953"/>
      <c r="F3231" s="953"/>
      <c r="G3231" s="953"/>
      <c r="H3231" s="953"/>
    </row>
    <row r="3232" spans="1:8" x14ac:dyDescent="0.25">
      <c r="A3232" s="952"/>
      <c r="B3232" s="953"/>
      <c r="C3232" s="953"/>
      <c r="D3232" s="953"/>
      <c r="E3232" s="953"/>
      <c r="F3232" s="953"/>
      <c r="G3232" s="953"/>
      <c r="H3232" s="953"/>
    </row>
    <row r="3233" spans="1:8" x14ac:dyDescent="0.25">
      <c r="A3233" s="952"/>
      <c r="B3233" s="953"/>
      <c r="C3233" s="953"/>
      <c r="D3233" s="953"/>
      <c r="E3233" s="953"/>
      <c r="F3233" s="953"/>
      <c r="G3233" s="953"/>
      <c r="H3233" s="953"/>
    </row>
    <row r="3234" spans="1:8" x14ac:dyDescent="0.25">
      <c r="A3234" s="952"/>
      <c r="B3234" s="953"/>
      <c r="C3234" s="953"/>
      <c r="D3234" s="953"/>
      <c r="E3234" s="953"/>
      <c r="F3234" s="953"/>
      <c r="G3234" s="953"/>
      <c r="H3234" s="953"/>
    </row>
    <row r="3235" spans="1:8" x14ac:dyDescent="0.25">
      <c r="A3235" s="952"/>
      <c r="B3235" s="953"/>
      <c r="C3235" s="953"/>
      <c r="D3235" s="953"/>
      <c r="E3235" s="953"/>
      <c r="F3235" s="953"/>
      <c r="G3235" s="953"/>
      <c r="H3235" s="953"/>
    </row>
    <row r="3236" spans="1:8" x14ac:dyDescent="0.25">
      <c r="A3236" s="952"/>
      <c r="B3236" s="953"/>
      <c r="C3236" s="953"/>
      <c r="D3236" s="953"/>
      <c r="E3236" s="953"/>
      <c r="F3236" s="953"/>
      <c r="G3236" s="953"/>
      <c r="H3236" s="953"/>
    </row>
    <row r="3237" spans="1:8" x14ac:dyDescent="0.25">
      <c r="A3237" s="952"/>
      <c r="B3237" s="953"/>
      <c r="C3237" s="953"/>
      <c r="D3237" s="953"/>
      <c r="E3237" s="953"/>
      <c r="F3237" s="953"/>
      <c r="G3237" s="953"/>
      <c r="H3237" s="953"/>
    </row>
    <row r="3238" spans="1:8" x14ac:dyDescent="0.25">
      <c r="A3238" s="952"/>
      <c r="B3238" s="953"/>
      <c r="C3238" s="953"/>
      <c r="D3238" s="953"/>
      <c r="E3238" s="953"/>
      <c r="F3238" s="953"/>
      <c r="G3238" s="953"/>
      <c r="H3238" s="953"/>
    </row>
    <row r="3239" spans="1:8" x14ac:dyDescent="0.25">
      <c r="A3239" s="952"/>
      <c r="B3239" s="953"/>
      <c r="C3239" s="953"/>
      <c r="D3239" s="953"/>
      <c r="E3239" s="953"/>
      <c r="F3239" s="953"/>
      <c r="G3239" s="953"/>
      <c r="H3239" s="953"/>
    </row>
    <row r="3240" spans="1:8" x14ac:dyDescent="0.25">
      <c r="A3240" s="952"/>
      <c r="B3240" s="953"/>
      <c r="C3240" s="953"/>
      <c r="D3240" s="953"/>
      <c r="E3240" s="953"/>
      <c r="F3240" s="953"/>
      <c r="G3240" s="953"/>
      <c r="H3240" s="953"/>
    </row>
    <row r="3241" spans="1:8" x14ac:dyDescent="0.25">
      <c r="A3241" s="952"/>
      <c r="B3241" s="953"/>
      <c r="C3241" s="953"/>
      <c r="D3241" s="953"/>
      <c r="E3241" s="953"/>
      <c r="F3241" s="953"/>
      <c r="G3241" s="953"/>
      <c r="H3241" s="953"/>
    </row>
    <row r="3242" spans="1:8" x14ac:dyDescent="0.25">
      <c r="A3242" s="952"/>
      <c r="B3242" s="953"/>
      <c r="C3242" s="953"/>
      <c r="D3242" s="953"/>
      <c r="E3242" s="953"/>
      <c r="F3242" s="953"/>
      <c r="G3242" s="953"/>
      <c r="H3242" s="953"/>
    </row>
    <row r="3243" spans="1:8" x14ac:dyDescent="0.25">
      <c r="A3243" s="952"/>
      <c r="B3243" s="953"/>
      <c r="C3243" s="953"/>
      <c r="D3243" s="953"/>
      <c r="E3243" s="953"/>
      <c r="F3243" s="953"/>
      <c r="G3243" s="953"/>
      <c r="H3243" s="953"/>
    </row>
    <row r="3244" spans="1:8" x14ac:dyDescent="0.25">
      <c r="A3244" s="952"/>
      <c r="B3244" s="953"/>
      <c r="C3244" s="953"/>
      <c r="D3244" s="953"/>
      <c r="E3244" s="953"/>
      <c r="F3244" s="953"/>
      <c r="G3244" s="953"/>
      <c r="H3244" s="953"/>
    </row>
    <row r="3245" spans="1:8" x14ac:dyDescent="0.25">
      <c r="A3245" s="952"/>
      <c r="B3245" s="953"/>
      <c r="C3245" s="953"/>
      <c r="D3245" s="953"/>
      <c r="E3245" s="953"/>
      <c r="F3245" s="953"/>
      <c r="G3245" s="953"/>
      <c r="H3245" s="953"/>
    </row>
    <row r="3246" spans="1:8" x14ac:dyDescent="0.25">
      <c r="A3246" s="952"/>
      <c r="B3246" s="953"/>
      <c r="C3246" s="953"/>
      <c r="D3246" s="953"/>
      <c r="E3246" s="953"/>
      <c r="F3246" s="953"/>
      <c r="G3246" s="953"/>
      <c r="H3246" s="953"/>
    </row>
    <row r="3247" spans="1:8" x14ac:dyDescent="0.25">
      <c r="A3247" s="952"/>
      <c r="B3247" s="953"/>
      <c r="C3247" s="953"/>
      <c r="D3247" s="953"/>
      <c r="E3247" s="953"/>
      <c r="F3247" s="953"/>
      <c r="G3247" s="953"/>
      <c r="H3247" s="953"/>
    </row>
    <row r="3248" spans="1:8" x14ac:dyDescent="0.25">
      <c r="A3248" s="952"/>
      <c r="B3248" s="953"/>
      <c r="C3248" s="953"/>
      <c r="D3248" s="953"/>
      <c r="E3248" s="953"/>
      <c r="F3248" s="953"/>
      <c r="G3248" s="953"/>
      <c r="H3248" s="953"/>
    </row>
    <row r="3249" spans="1:8" x14ac:dyDescent="0.25">
      <c r="A3249" s="952"/>
      <c r="B3249" s="953"/>
      <c r="C3249" s="953"/>
      <c r="D3249" s="953"/>
      <c r="E3249" s="953"/>
      <c r="F3249" s="953"/>
      <c r="G3249" s="953"/>
      <c r="H3249" s="953"/>
    </row>
    <row r="3250" spans="1:8" x14ac:dyDescent="0.25">
      <c r="A3250" s="952"/>
      <c r="B3250" s="953"/>
      <c r="C3250" s="953"/>
      <c r="D3250" s="953"/>
      <c r="E3250" s="953"/>
      <c r="F3250" s="953"/>
      <c r="G3250" s="953"/>
      <c r="H3250" s="953"/>
    </row>
    <row r="3251" spans="1:8" x14ac:dyDescent="0.25">
      <c r="A3251" s="952"/>
      <c r="B3251" s="953"/>
      <c r="C3251" s="953"/>
      <c r="D3251" s="953"/>
      <c r="E3251" s="953"/>
      <c r="F3251" s="953"/>
      <c r="G3251" s="953"/>
      <c r="H3251" s="953"/>
    </row>
    <row r="3252" spans="1:8" x14ac:dyDescent="0.25">
      <c r="A3252" s="952"/>
      <c r="B3252" s="953"/>
      <c r="C3252" s="953"/>
      <c r="D3252" s="953"/>
      <c r="E3252" s="953"/>
      <c r="F3252" s="953"/>
      <c r="G3252" s="953"/>
      <c r="H3252" s="953"/>
    </row>
    <row r="3253" spans="1:8" x14ac:dyDescent="0.25">
      <c r="A3253" s="952"/>
      <c r="B3253" s="953"/>
      <c r="C3253" s="953"/>
      <c r="D3253" s="953"/>
      <c r="E3253" s="953"/>
      <c r="F3253" s="953"/>
      <c r="G3253" s="953"/>
      <c r="H3253" s="953"/>
    </row>
    <row r="3254" spans="1:8" x14ac:dyDescent="0.25">
      <c r="A3254" s="952"/>
      <c r="B3254" s="953"/>
      <c r="C3254" s="953"/>
      <c r="D3254" s="953"/>
      <c r="E3254" s="953"/>
      <c r="F3254" s="953"/>
      <c r="G3254" s="953"/>
      <c r="H3254" s="953"/>
    </row>
    <row r="3255" spans="1:8" x14ac:dyDescent="0.25">
      <c r="A3255" s="952"/>
      <c r="B3255" s="953"/>
      <c r="C3255" s="953"/>
      <c r="D3255" s="953"/>
      <c r="E3255" s="953"/>
      <c r="F3255" s="953"/>
      <c r="G3255" s="953"/>
      <c r="H3255" s="953"/>
    </row>
    <row r="3256" spans="1:8" x14ac:dyDescent="0.25">
      <c r="A3256" s="952"/>
      <c r="B3256" s="953"/>
      <c r="C3256" s="953"/>
      <c r="D3256" s="953"/>
      <c r="E3256" s="953"/>
      <c r="F3256" s="953"/>
      <c r="G3256" s="953"/>
      <c r="H3256" s="953"/>
    </row>
    <row r="3257" spans="1:8" x14ac:dyDescent="0.25">
      <c r="A3257" s="952"/>
      <c r="B3257" s="953"/>
      <c r="C3257" s="953"/>
      <c r="D3257" s="953"/>
      <c r="E3257" s="953"/>
      <c r="F3257" s="953"/>
      <c r="G3257" s="953"/>
      <c r="H3257" s="953"/>
    </row>
    <row r="3258" spans="1:8" x14ac:dyDescent="0.25">
      <c r="A3258" s="952"/>
      <c r="B3258" s="953"/>
      <c r="C3258" s="953"/>
      <c r="D3258" s="953"/>
      <c r="E3258" s="953"/>
      <c r="F3258" s="953"/>
      <c r="G3258" s="953"/>
      <c r="H3258" s="953"/>
    </row>
    <row r="3259" spans="1:8" x14ac:dyDescent="0.25">
      <c r="A3259" s="952"/>
      <c r="B3259" s="953"/>
      <c r="C3259" s="953"/>
      <c r="D3259" s="953"/>
      <c r="E3259" s="953"/>
      <c r="F3259" s="953"/>
      <c r="G3259" s="953"/>
      <c r="H3259" s="953"/>
    </row>
    <row r="3260" spans="1:8" x14ac:dyDescent="0.25">
      <c r="A3260" s="952"/>
      <c r="B3260" s="953"/>
      <c r="C3260" s="953"/>
      <c r="D3260" s="953"/>
      <c r="E3260" s="953"/>
      <c r="F3260" s="953"/>
      <c r="G3260" s="953"/>
      <c r="H3260" s="953"/>
    </row>
    <row r="3261" spans="1:8" x14ac:dyDescent="0.25">
      <c r="A3261" s="952"/>
      <c r="B3261" s="953"/>
      <c r="C3261" s="953"/>
      <c r="D3261" s="953"/>
      <c r="E3261" s="953"/>
      <c r="F3261" s="953"/>
      <c r="G3261" s="953"/>
      <c r="H3261" s="953"/>
    </row>
    <row r="3262" spans="1:8" x14ac:dyDescent="0.25">
      <c r="A3262" s="952"/>
      <c r="B3262" s="953"/>
      <c r="C3262" s="953"/>
      <c r="D3262" s="953"/>
      <c r="E3262" s="953"/>
      <c r="F3262" s="953"/>
      <c r="G3262" s="953"/>
      <c r="H3262" s="953"/>
    </row>
    <row r="3263" spans="1:8" x14ac:dyDescent="0.25">
      <c r="A3263" s="952"/>
      <c r="B3263" s="953"/>
      <c r="C3263" s="953"/>
      <c r="D3263" s="953"/>
      <c r="E3263" s="953"/>
      <c r="F3263" s="953"/>
      <c r="G3263" s="953"/>
      <c r="H3263" s="953"/>
    </row>
    <row r="3264" spans="1:8" x14ac:dyDescent="0.25">
      <c r="A3264" s="952"/>
      <c r="B3264" s="953"/>
      <c r="C3264" s="953"/>
      <c r="D3264" s="953"/>
      <c r="E3264" s="953"/>
      <c r="F3264" s="953"/>
      <c r="G3264" s="953"/>
      <c r="H3264" s="953"/>
    </row>
    <row r="3265" spans="1:8" x14ac:dyDescent="0.25">
      <c r="A3265" s="952"/>
      <c r="B3265" s="953"/>
      <c r="C3265" s="953"/>
      <c r="D3265" s="953"/>
      <c r="E3265" s="953"/>
      <c r="F3265" s="953"/>
      <c r="G3265" s="953"/>
      <c r="H3265" s="953"/>
    </row>
    <row r="3266" spans="1:8" x14ac:dyDescent="0.25">
      <c r="A3266" s="952"/>
      <c r="B3266" s="953"/>
      <c r="C3266" s="953"/>
      <c r="D3266" s="953"/>
      <c r="E3266" s="953"/>
      <c r="F3266" s="953"/>
      <c r="G3266" s="953"/>
      <c r="H3266" s="953"/>
    </row>
    <row r="3267" spans="1:8" x14ac:dyDescent="0.25">
      <c r="A3267" s="952"/>
      <c r="B3267" s="953"/>
      <c r="C3267" s="953"/>
      <c r="D3267" s="953"/>
      <c r="E3267" s="953"/>
      <c r="F3267" s="953"/>
      <c r="G3267" s="953"/>
      <c r="H3267" s="953"/>
    </row>
    <row r="3268" spans="1:8" x14ac:dyDescent="0.25">
      <c r="A3268" s="952"/>
      <c r="B3268" s="953"/>
      <c r="C3268" s="953"/>
      <c r="D3268" s="953"/>
      <c r="E3268" s="953"/>
      <c r="F3268" s="953"/>
      <c r="G3268" s="953"/>
      <c r="H3268" s="953"/>
    </row>
    <row r="3269" spans="1:8" x14ac:dyDescent="0.25">
      <c r="A3269" s="952"/>
      <c r="B3269" s="953"/>
      <c r="C3269" s="953"/>
      <c r="D3269" s="953"/>
      <c r="E3269" s="953"/>
      <c r="F3269" s="953"/>
      <c r="G3269" s="953"/>
      <c r="H3269" s="953"/>
    </row>
    <row r="3270" spans="1:8" x14ac:dyDescent="0.25">
      <c r="A3270" s="952"/>
      <c r="B3270" s="953"/>
      <c r="C3270" s="953"/>
      <c r="D3270" s="953"/>
      <c r="E3270" s="953"/>
      <c r="F3270" s="953"/>
      <c r="G3270" s="953"/>
      <c r="H3270" s="953"/>
    </row>
    <row r="3271" spans="1:8" x14ac:dyDescent="0.25">
      <c r="A3271" s="952"/>
      <c r="B3271" s="953"/>
      <c r="C3271" s="953"/>
      <c r="D3271" s="953"/>
      <c r="E3271" s="953"/>
      <c r="F3271" s="953"/>
      <c r="G3271" s="953"/>
      <c r="H3271" s="953"/>
    </row>
    <row r="3272" spans="1:8" x14ac:dyDescent="0.25">
      <c r="A3272" s="952"/>
      <c r="B3272" s="953"/>
      <c r="C3272" s="953"/>
      <c r="D3272" s="953"/>
      <c r="E3272" s="953"/>
      <c r="F3272" s="953"/>
      <c r="G3272" s="953"/>
      <c r="H3272" s="953"/>
    </row>
    <row r="3273" spans="1:8" x14ac:dyDescent="0.25">
      <c r="A3273" s="952"/>
      <c r="B3273" s="953"/>
      <c r="C3273" s="953"/>
      <c r="D3273" s="953"/>
      <c r="E3273" s="953"/>
      <c r="F3273" s="953"/>
      <c r="G3273" s="953"/>
      <c r="H3273" s="953"/>
    </row>
    <row r="3274" spans="1:8" x14ac:dyDescent="0.25">
      <c r="A3274" s="952"/>
      <c r="B3274" s="953"/>
      <c r="C3274" s="953"/>
      <c r="D3274" s="953"/>
      <c r="E3274" s="953"/>
      <c r="F3274" s="953"/>
      <c r="G3274" s="953"/>
      <c r="H3274" s="953"/>
    </row>
    <row r="3275" spans="1:8" x14ac:dyDescent="0.25">
      <c r="A3275" s="952"/>
      <c r="B3275" s="953"/>
      <c r="C3275" s="953"/>
      <c r="D3275" s="953"/>
      <c r="E3275" s="953"/>
      <c r="F3275" s="953"/>
      <c r="G3275" s="953"/>
      <c r="H3275" s="953"/>
    </row>
    <row r="3276" spans="1:8" x14ac:dyDescent="0.25">
      <c r="A3276" s="952"/>
      <c r="B3276" s="953"/>
      <c r="C3276" s="953"/>
      <c r="D3276" s="953"/>
      <c r="E3276" s="953"/>
      <c r="F3276" s="953"/>
      <c r="G3276" s="953"/>
      <c r="H3276" s="953"/>
    </row>
    <row r="3277" spans="1:8" x14ac:dyDescent="0.25">
      <c r="A3277" s="952"/>
      <c r="B3277" s="953"/>
      <c r="C3277" s="953"/>
      <c r="D3277" s="953"/>
      <c r="E3277" s="953"/>
      <c r="F3277" s="953"/>
      <c r="G3277" s="953"/>
      <c r="H3277" s="953"/>
    </row>
    <row r="3278" spans="1:8" x14ac:dyDescent="0.25">
      <c r="A3278" s="952"/>
      <c r="B3278" s="953"/>
      <c r="C3278" s="953"/>
      <c r="D3278" s="953"/>
      <c r="E3278" s="953"/>
      <c r="F3278" s="953"/>
      <c r="G3278" s="953"/>
      <c r="H3278" s="953"/>
    </row>
    <row r="3279" spans="1:8" x14ac:dyDescent="0.25">
      <c r="A3279" s="952"/>
      <c r="B3279" s="953"/>
      <c r="C3279" s="953"/>
      <c r="D3279" s="953"/>
      <c r="E3279" s="953"/>
      <c r="F3279" s="953"/>
      <c r="G3279" s="953"/>
      <c r="H3279" s="953"/>
    </row>
    <row r="3280" spans="1:8" x14ac:dyDescent="0.25">
      <c r="A3280" s="952"/>
      <c r="B3280" s="953"/>
      <c r="C3280" s="953"/>
      <c r="D3280" s="953"/>
      <c r="E3280" s="953"/>
      <c r="F3280" s="953"/>
      <c r="G3280" s="953"/>
      <c r="H3280" s="953"/>
    </row>
    <row r="3281" spans="1:8" x14ac:dyDescent="0.25">
      <c r="A3281" s="952"/>
      <c r="B3281" s="953"/>
      <c r="C3281" s="953"/>
      <c r="D3281" s="953"/>
      <c r="E3281" s="953"/>
      <c r="F3281" s="953"/>
      <c r="G3281" s="953"/>
      <c r="H3281" s="953"/>
    </row>
    <row r="3282" spans="1:8" x14ac:dyDescent="0.25">
      <c r="A3282" s="952"/>
      <c r="B3282" s="953"/>
      <c r="C3282" s="953"/>
      <c r="D3282" s="953"/>
      <c r="E3282" s="953"/>
      <c r="F3282" s="953"/>
      <c r="G3282" s="953"/>
      <c r="H3282" s="953"/>
    </row>
    <row r="3283" spans="1:8" x14ac:dyDescent="0.25">
      <c r="A3283" s="952"/>
      <c r="B3283" s="953"/>
      <c r="C3283" s="953"/>
      <c r="D3283" s="953"/>
      <c r="E3283" s="953"/>
      <c r="F3283" s="953"/>
      <c r="G3283" s="953"/>
      <c r="H3283" s="953"/>
    </row>
    <row r="3284" spans="1:8" x14ac:dyDescent="0.25">
      <c r="A3284" s="952"/>
      <c r="B3284" s="953"/>
      <c r="C3284" s="953"/>
      <c r="D3284" s="953"/>
      <c r="E3284" s="953"/>
      <c r="F3284" s="953"/>
      <c r="G3284" s="953"/>
      <c r="H3284" s="953"/>
    </row>
    <row r="3285" spans="1:8" x14ac:dyDescent="0.25">
      <c r="A3285" s="952"/>
      <c r="B3285" s="953"/>
      <c r="C3285" s="953"/>
      <c r="D3285" s="953"/>
      <c r="E3285" s="953"/>
      <c r="F3285" s="953"/>
      <c r="G3285" s="953"/>
      <c r="H3285" s="953"/>
    </row>
    <row r="3286" spans="1:8" x14ac:dyDescent="0.25">
      <c r="A3286" s="952"/>
      <c r="B3286" s="953"/>
      <c r="C3286" s="953"/>
      <c r="D3286" s="953"/>
      <c r="E3286" s="953"/>
      <c r="F3286" s="953"/>
      <c r="G3286" s="953"/>
      <c r="H3286" s="953"/>
    </row>
    <row r="3287" spans="1:8" x14ac:dyDescent="0.25">
      <c r="A3287" s="952"/>
      <c r="B3287" s="953"/>
      <c r="C3287" s="953"/>
      <c r="D3287" s="953"/>
      <c r="E3287" s="953"/>
      <c r="F3287" s="953"/>
      <c r="G3287" s="953"/>
      <c r="H3287" s="953"/>
    </row>
    <row r="3288" spans="1:8" x14ac:dyDescent="0.25">
      <c r="A3288" s="952"/>
      <c r="B3288" s="953"/>
      <c r="C3288" s="953"/>
      <c r="D3288" s="953"/>
      <c r="E3288" s="953"/>
      <c r="F3288" s="953"/>
      <c r="G3288" s="953"/>
      <c r="H3288" s="953"/>
    </row>
    <row r="3289" spans="1:8" x14ac:dyDescent="0.25">
      <c r="A3289" s="952"/>
      <c r="B3289" s="953"/>
      <c r="C3289" s="953"/>
      <c r="D3289" s="953"/>
      <c r="E3289" s="953"/>
      <c r="F3289" s="953"/>
      <c r="G3289" s="953"/>
      <c r="H3289" s="953"/>
    </row>
    <row r="3290" spans="1:8" x14ac:dyDescent="0.25">
      <c r="A3290" s="952"/>
      <c r="B3290" s="953"/>
      <c r="C3290" s="953"/>
      <c r="D3290" s="953"/>
      <c r="E3290" s="953"/>
      <c r="F3290" s="953"/>
      <c r="G3290" s="953"/>
      <c r="H3290" s="953"/>
    </row>
    <row r="3291" spans="1:8" x14ac:dyDescent="0.25">
      <c r="A3291" s="952"/>
      <c r="B3291" s="953"/>
      <c r="C3291" s="953"/>
      <c r="D3291" s="953"/>
      <c r="E3291" s="953"/>
      <c r="F3291" s="953"/>
      <c r="G3291" s="953"/>
      <c r="H3291" s="953"/>
    </row>
    <row r="3292" spans="1:8" x14ac:dyDescent="0.25">
      <c r="A3292" s="952"/>
      <c r="B3292" s="953"/>
      <c r="C3292" s="953"/>
      <c r="D3292" s="953"/>
      <c r="E3292" s="953"/>
      <c r="F3292" s="953"/>
      <c r="G3292" s="953"/>
      <c r="H3292" s="953"/>
    </row>
    <row r="3293" spans="1:8" x14ac:dyDescent="0.25">
      <c r="A3293" s="952"/>
      <c r="B3293" s="953"/>
      <c r="C3293" s="953"/>
      <c r="D3293" s="953"/>
      <c r="E3293" s="953"/>
      <c r="F3293" s="953"/>
      <c r="G3293" s="953"/>
      <c r="H3293" s="953"/>
    </row>
    <row r="3294" spans="1:8" x14ac:dyDescent="0.25">
      <c r="A3294" s="952"/>
      <c r="B3294" s="953"/>
      <c r="C3294" s="953"/>
      <c r="D3294" s="953"/>
      <c r="E3294" s="953"/>
      <c r="F3294" s="953"/>
      <c r="G3294" s="953"/>
      <c r="H3294" s="953"/>
    </row>
    <row r="3295" spans="1:8" x14ac:dyDescent="0.25">
      <c r="A3295" s="952"/>
      <c r="B3295" s="953"/>
      <c r="C3295" s="953"/>
      <c r="D3295" s="953"/>
      <c r="E3295" s="953"/>
      <c r="F3295" s="953"/>
      <c r="G3295" s="953"/>
      <c r="H3295" s="953"/>
    </row>
    <row r="3296" spans="1:8" x14ac:dyDescent="0.25">
      <c r="A3296" s="952"/>
      <c r="B3296" s="953"/>
      <c r="C3296" s="953"/>
      <c r="D3296" s="953"/>
      <c r="E3296" s="953"/>
      <c r="F3296" s="953"/>
      <c r="G3296" s="953"/>
      <c r="H3296" s="953"/>
    </row>
    <row r="3297" spans="1:8" x14ac:dyDescent="0.25">
      <c r="A3297" s="952"/>
      <c r="B3297" s="953"/>
      <c r="C3297" s="953"/>
      <c r="D3297" s="953"/>
      <c r="E3297" s="953"/>
      <c r="F3297" s="953"/>
      <c r="G3297" s="953"/>
      <c r="H3297" s="953"/>
    </row>
    <row r="3298" spans="1:8" x14ac:dyDescent="0.25">
      <c r="A3298" s="952"/>
      <c r="B3298" s="953"/>
      <c r="C3298" s="953"/>
      <c r="D3298" s="953"/>
      <c r="E3298" s="953"/>
      <c r="F3298" s="953"/>
      <c r="G3298" s="953"/>
      <c r="H3298" s="953"/>
    </row>
    <row r="3299" spans="1:8" x14ac:dyDescent="0.25">
      <c r="A3299" s="952"/>
      <c r="B3299" s="953"/>
      <c r="C3299" s="953"/>
      <c r="D3299" s="953"/>
      <c r="E3299" s="953"/>
      <c r="F3299" s="953"/>
      <c r="G3299" s="953"/>
      <c r="H3299" s="953"/>
    </row>
    <row r="3300" spans="1:8" x14ac:dyDescent="0.25">
      <c r="A3300" s="952"/>
      <c r="B3300" s="953"/>
      <c r="C3300" s="953"/>
      <c r="D3300" s="953"/>
      <c r="E3300" s="953"/>
      <c r="F3300" s="953"/>
      <c r="G3300" s="953"/>
      <c r="H3300" s="953"/>
    </row>
    <row r="3301" spans="1:8" x14ac:dyDescent="0.25">
      <c r="A3301" s="952"/>
      <c r="B3301" s="953"/>
      <c r="C3301" s="953"/>
      <c r="D3301" s="953"/>
      <c r="E3301" s="953"/>
      <c r="F3301" s="953"/>
      <c r="G3301" s="953"/>
      <c r="H3301" s="953"/>
    </row>
    <row r="3302" spans="1:8" x14ac:dyDescent="0.25">
      <c r="A3302" s="952"/>
      <c r="B3302" s="953"/>
      <c r="C3302" s="953"/>
      <c r="D3302" s="953"/>
      <c r="E3302" s="953"/>
      <c r="F3302" s="953"/>
      <c r="G3302" s="953"/>
      <c r="H3302" s="953"/>
    </row>
    <row r="3303" spans="1:8" x14ac:dyDescent="0.25">
      <c r="A3303" s="952"/>
      <c r="B3303" s="953"/>
      <c r="C3303" s="953"/>
      <c r="D3303" s="953"/>
      <c r="E3303" s="953"/>
      <c r="F3303" s="953"/>
      <c r="G3303" s="953"/>
      <c r="H3303" s="953"/>
    </row>
    <row r="3304" spans="1:8" x14ac:dyDescent="0.25">
      <c r="A3304" s="952"/>
      <c r="B3304" s="953"/>
      <c r="C3304" s="953"/>
      <c r="D3304" s="953"/>
      <c r="E3304" s="953"/>
      <c r="F3304" s="953"/>
      <c r="G3304" s="953"/>
      <c r="H3304" s="953"/>
    </row>
    <row r="3305" spans="1:8" x14ac:dyDescent="0.25">
      <c r="A3305" s="952"/>
      <c r="B3305" s="953"/>
      <c r="C3305" s="953"/>
      <c r="D3305" s="953"/>
      <c r="E3305" s="953"/>
      <c r="F3305" s="953"/>
      <c r="G3305" s="953"/>
      <c r="H3305" s="953"/>
    </row>
    <row r="3306" spans="1:8" x14ac:dyDescent="0.25">
      <c r="A3306" s="952"/>
      <c r="B3306" s="953"/>
      <c r="C3306" s="953"/>
      <c r="D3306" s="953"/>
      <c r="E3306" s="953"/>
      <c r="F3306" s="953"/>
      <c r="G3306" s="953"/>
      <c r="H3306" s="953"/>
    </row>
    <row r="3307" spans="1:8" x14ac:dyDescent="0.25">
      <c r="A3307" s="952"/>
      <c r="B3307" s="953"/>
      <c r="C3307" s="953"/>
      <c r="D3307" s="953"/>
      <c r="E3307" s="953"/>
      <c r="F3307" s="953"/>
      <c r="G3307" s="953"/>
      <c r="H3307" s="953"/>
    </row>
    <row r="3308" spans="1:8" x14ac:dyDescent="0.25">
      <c r="A3308" s="952"/>
      <c r="B3308" s="953"/>
      <c r="C3308" s="953"/>
      <c r="D3308" s="953"/>
      <c r="E3308" s="953"/>
      <c r="F3308" s="953"/>
      <c r="G3308" s="953"/>
      <c r="H3308" s="953"/>
    </row>
    <row r="3309" spans="1:8" x14ac:dyDescent="0.25">
      <c r="A3309" s="952"/>
      <c r="B3309" s="953"/>
      <c r="C3309" s="953"/>
      <c r="D3309" s="953"/>
      <c r="E3309" s="953"/>
      <c r="F3309" s="953"/>
      <c r="G3309" s="953"/>
      <c r="H3309" s="953"/>
    </row>
    <row r="3310" spans="1:8" x14ac:dyDescent="0.25">
      <c r="A3310" s="952"/>
      <c r="B3310" s="953"/>
      <c r="C3310" s="953"/>
      <c r="D3310" s="953"/>
      <c r="E3310" s="953"/>
      <c r="F3310" s="953"/>
      <c r="G3310" s="953"/>
      <c r="H3310" s="953"/>
    </row>
    <row r="3311" spans="1:8" x14ac:dyDescent="0.25">
      <c r="A3311" s="952"/>
      <c r="B3311" s="953"/>
      <c r="C3311" s="953"/>
      <c r="D3311" s="953"/>
      <c r="E3311" s="953"/>
      <c r="F3311" s="953"/>
      <c r="G3311" s="953"/>
      <c r="H3311" s="953"/>
    </row>
    <row r="3312" spans="1:8" x14ac:dyDescent="0.25">
      <c r="A3312" s="952"/>
      <c r="B3312" s="953"/>
      <c r="C3312" s="953"/>
      <c r="D3312" s="953"/>
      <c r="E3312" s="953"/>
      <c r="F3312" s="953"/>
      <c r="G3312" s="953"/>
      <c r="H3312" s="953"/>
    </row>
    <row r="3313" spans="1:8" x14ac:dyDescent="0.25">
      <c r="A3313" s="952"/>
      <c r="B3313" s="953"/>
      <c r="C3313" s="953"/>
      <c r="D3313" s="953"/>
      <c r="E3313" s="953"/>
      <c r="F3313" s="953"/>
      <c r="G3313" s="953"/>
      <c r="H3313" s="953"/>
    </row>
    <row r="3314" spans="1:8" x14ac:dyDescent="0.25">
      <c r="A3314" s="952"/>
      <c r="B3314" s="953"/>
      <c r="C3314" s="953"/>
      <c r="D3314" s="953"/>
      <c r="E3314" s="953"/>
      <c r="F3314" s="953"/>
      <c r="G3314" s="953"/>
      <c r="H3314" s="953"/>
    </row>
    <row r="3315" spans="1:8" x14ac:dyDescent="0.25">
      <c r="A3315" s="952"/>
      <c r="B3315" s="953"/>
      <c r="C3315" s="953"/>
      <c r="D3315" s="953"/>
      <c r="E3315" s="953"/>
      <c r="F3315" s="953"/>
      <c r="G3315" s="953"/>
      <c r="H3315" s="953"/>
    </row>
    <row r="3316" spans="1:8" x14ac:dyDescent="0.25">
      <c r="A3316" s="952"/>
      <c r="B3316" s="953"/>
      <c r="C3316" s="953"/>
      <c r="D3316" s="953"/>
      <c r="E3316" s="953"/>
      <c r="F3316" s="953"/>
      <c r="G3316" s="953"/>
      <c r="H3316" s="953"/>
    </row>
    <row r="3317" spans="1:8" x14ac:dyDescent="0.25">
      <c r="A3317" s="952"/>
      <c r="B3317" s="953"/>
      <c r="C3317" s="953"/>
      <c r="D3317" s="953"/>
      <c r="E3317" s="953"/>
      <c r="F3317" s="953"/>
      <c r="G3317" s="953"/>
      <c r="H3317" s="953"/>
    </row>
    <row r="3318" spans="1:8" x14ac:dyDescent="0.25">
      <c r="A3318" s="952"/>
      <c r="B3318" s="953"/>
      <c r="C3318" s="953"/>
      <c r="D3318" s="953"/>
      <c r="E3318" s="953"/>
      <c r="F3318" s="953"/>
      <c r="G3318" s="953"/>
      <c r="H3318" s="953"/>
    </row>
    <row r="3319" spans="1:8" x14ac:dyDescent="0.25">
      <c r="A3319" s="952"/>
      <c r="B3319" s="953"/>
      <c r="C3319" s="953"/>
      <c r="D3319" s="953"/>
      <c r="E3319" s="953"/>
      <c r="F3319" s="953"/>
      <c r="G3319" s="953"/>
      <c r="H3319" s="953"/>
    </row>
    <row r="3320" spans="1:8" x14ac:dyDescent="0.25">
      <c r="A3320" s="952"/>
      <c r="B3320" s="953"/>
      <c r="C3320" s="953"/>
      <c r="D3320" s="953"/>
      <c r="E3320" s="953"/>
      <c r="F3320" s="953"/>
      <c r="G3320" s="953"/>
      <c r="H3320" s="953"/>
    </row>
    <row r="3321" spans="1:8" x14ac:dyDescent="0.25">
      <c r="A3321" s="952"/>
      <c r="B3321" s="953"/>
      <c r="C3321" s="953"/>
      <c r="D3321" s="953"/>
      <c r="E3321" s="953"/>
      <c r="F3321" s="953"/>
      <c r="G3321" s="953"/>
      <c r="H3321" s="953"/>
    </row>
    <row r="3322" spans="1:8" x14ac:dyDescent="0.25">
      <c r="A3322" s="952"/>
      <c r="B3322" s="953"/>
      <c r="C3322" s="953"/>
      <c r="D3322" s="953"/>
      <c r="E3322" s="953"/>
      <c r="F3322" s="953"/>
      <c r="G3322" s="953"/>
      <c r="H3322" s="953"/>
    </row>
    <row r="3323" spans="1:8" x14ac:dyDescent="0.25">
      <c r="A3323" s="952"/>
      <c r="B3323" s="953"/>
      <c r="C3323" s="953"/>
      <c r="D3323" s="953"/>
      <c r="E3323" s="953"/>
      <c r="F3323" s="953"/>
      <c r="G3323" s="953"/>
      <c r="H3323" s="953"/>
    </row>
    <row r="3324" spans="1:8" x14ac:dyDescent="0.25">
      <c r="A3324" s="952"/>
      <c r="B3324" s="953"/>
      <c r="C3324" s="953"/>
      <c r="D3324" s="953"/>
      <c r="E3324" s="953"/>
      <c r="F3324" s="953"/>
      <c r="G3324" s="953"/>
      <c r="H3324" s="953"/>
    </row>
    <row r="3325" spans="1:8" x14ac:dyDescent="0.25">
      <c r="A3325" s="952"/>
      <c r="B3325" s="953"/>
      <c r="C3325" s="953"/>
      <c r="D3325" s="953"/>
      <c r="E3325" s="953"/>
      <c r="F3325" s="953"/>
      <c r="G3325" s="953"/>
      <c r="H3325" s="953"/>
    </row>
    <row r="3326" spans="1:8" x14ac:dyDescent="0.25">
      <c r="A3326" s="952"/>
      <c r="B3326" s="953"/>
      <c r="C3326" s="953"/>
      <c r="D3326" s="953"/>
      <c r="E3326" s="953"/>
      <c r="F3326" s="953"/>
      <c r="G3326" s="953"/>
      <c r="H3326" s="953"/>
    </row>
    <row r="3327" spans="1:8" x14ac:dyDescent="0.25">
      <c r="A3327" s="952"/>
      <c r="B3327" s="953"/>
      <c r="C3327" s="953"/>
      <c r="D3327" s="953"/>
      <c r="E3327" s="953"/>
      <c r="F3327" s="953"/>
      <c r="G3327" s="953"/>
      <c r="H3327" s="953"/>
    </row>
    <row r="3328" spans="1:8" x14ac:dyDescent="0.25">
      <c r="A3328" s="952"/>
      <c r="B3328" s="953"/>
      <c r="C3328" s="953"/>
      <c r="D3328" s="953"/>
      <c r="E3328" s="953"/>
      <c r="F3328" s="953"/>
      <c r="G3328" s="953"/>
      <c r="H3328" s="953"/>
    </row>
    <row r="3329" spans="1:8" x14ac:dyDescent="0.25">
      <c r="A3329" s="952"/>
      <c r="B3329" s="953"/>
      <c r="C3329" s="953"/>
      <c r="D3329" s="953"/>
      <c r="E3329" s="953"/>
      <c r="F3329" s="953"/>
      <c r="G3329" s="953"/>
      <c r="H3329" s="953"/>
    </row>
    <row r="3330" spans="1:8" x14ac:dyDescent="0.25">
      <c r="A3330" s="952"/>
      <c r="B3330" s="953"/>
      <c r="C3330" s="953"/>
      <c r="D3330" s="953"/>
      <c r="E3330" s="953"/>
      <c r="F3330" s="953"/>
      <c r="G3330" s="953"/>
      <c r="H3330" s="953"/>
    </row>
    <row r="3331" spans="1:8" x14ac:dyDescent="0.25">
      <c r="A3331" s="952"/>
      <c r="B3331" s="953"/>
      <c r="C3331" s="953"/>
      <c r="D3331" s="953"/>
      <c r="E3331" s="953"/>
      <c r="F3331" s="953"/>
      <c r="G3331" s="953"/>
      <c r="H3331" s="953"/>
    </row>
    <row r="3332" spans="1:8" x14ac:dyDescent="0.25">
      <c r="A3332" s="952"/>
      <c r="B3332" s="953"/>
      <c r="C3332" s="953"/>
      <c r="D3332" s="953"/>
      <c r="E3332" s="953"/>
      <c r="F3332" s="953"/>
      <c r="G3332" s="953"/>
      <c r="H3332" s="953"/>
    </row>
    <row r="3333" spans="1:8" x14ac:dyDescent="0.25">
      <c r="A3333" s="952"/>
      <c r="B3333" s="953"/>
      <c r="C3333" s="953"/>
      <c r="D3333" s="953"/>
      <c r="E3333" s="953"/>
      <c r="F3333" s="953"/>
      <c r="G3333" s="953"/>
      <c r="H3333" s="953"/>
    </row>
    <row r="3334" spans="1:8" x14ac:dyDescent="0.25">
      <c r="A3334" s="952"/>
      <c r="B3334" s="953"/>
      <c r="C3334" s="953"/>
      <c r="D3334" s="953"/>
      <c r="E3334" s="953"/>
      <c r="F3334" s="953"/>
      <c r="G3334" s="953"/>
      <c r="H3334" s="953"/>
    </row>
    <row r="3335" spans="1:8" x14ac:dyDescent="0.25">
      <c r="A3335" s="952"/>
      <c r="B3335" s="953"/>
      <c r="C3335" s="953"/>
      <c r="D3335" s="953"/>
      <c r="E3335" s="953"/>
      <c r="F3335" s="953"/>
      <c r="G3335" s="953"/>
      <c r="H3335" s="953"/>
    </row>
    <row r="3336" spans="1:8" x14ac:dyDescent="0.25">
      <c r="A3336" s="952"/>
      <c r="B3336" s="953"/>
      <c r="C3336" s="953"/>
      <c r="D3336" s="953"/>
      <c r="E3336" s="953"/>
      <c r="F3336" s="953"/>
      <c r="G3336" s="953"/>
      <c r="H3336" s="953"/>
    </row>
    <row r="3337" spans="1:8" x14ac:dyDescent="0.25">
      <c r="A3337" s="952"/>
      <c r="B3337" s="953"/>
      <c r="C3337" s="953"/>
      <c r="D3337" s="953"/>
      <c r="E3337" s="953"/>
      <c r="F3337" s="953"/>
      <c r="G3337" s="953"/>
      <c r="H3337" s="953"/>
    </row>
    <row r="3338" spans="1:8" x14ac:dyDescent="0.25">
      <c r="A3338" s="952"/>
      <c r="B3338" s="953"/>
      <c r="C3338" s="953"/>
      <c r="D3338" s="953"/>
      <c r="E3338" s="953"/>
      <c r="F3338" s="953"/>
      <c r="G3338" s="953"/>
      <c r="H3338" s="953"/>
    </row>
    <row r="3339" spans="1:8" x14ac:dyDescent="0.25">
      <c r="A3339" s="952"/>
      <c r="B3339" s="953"/>
      <c r="C3339" s="953"/>
      <c r="D3339" s="953"/>
      <c r="E3339" s="953"/>
      <c r="F3339" s="953"/>
      <c r="G3339" s="953"/>
      <c r="H3339" s="953"/>
    </row>
    <row r="3340" spans="1:8" x14ac:dyDescent="0.25">
      <c r="A3340" s="952"/>
      <c r="B3340" s="953"/>
      <c r="C3340" s="953"/>
      <c r="D3340" s="953"/>
      <c r="E3340" s="953"/>
      <c r="F3340" s="953"/>
      <c r="G3340" s="953"/>
      <c r="H3340" s="953"/>
    </row>
    <row r="3341" spans="1:8" x14ac:dyDescent="0.25">
      <c r="A3341" s="952"/>
      <c r="B3341" s="953"/>
      <c r="C3341" s="953"/>
      <c r="D3341" s="953"/>
      <c r="E3341" s="953"/>
      <c r="F3341" s="953"/>
      <c r="G3341" s="953"/>
      <c r="H3341" s="953"/>
    </row>
    <row r="3342" spans="1:8" x14ac:dyDescent="0.25">
      <c r="A3342" s="952"/>
      <c r="B3342" s="953"/>
      <c r="C3342" s="953"/>
      <c r="D3342" s="953"/>
      <c r="E3342" s="953"/>
      <c r="F3342" s="953"/>
      <c r="G3342" s="953"/>
      <c r="H3342" s="953"/>
    </row>
    <row r="3343" spans="1:8" x14ac:dyDescent="0.25">
      <c r="A3343" s="952"/>
      <c r="B3343" s="953"/>
      <c r="C3343" s="953"/>
      <c r="D3343" s="953"/>
      <c r="E3343" s="953"/>
      <c r="F3343" s="953"/>
      <c r="G3343" s="953"/>
      <c r="H3343" s="953"/>
    </row>
    <row r="3344" spans="1:8" x14ac:dyDescent="0.25">
      <c r="A3344" s="952"/>
      <c r="B3344" s="953"/>
      <c r="C3344" s="953"/>
      <c r="D3344" s="953"/>
      <c r="E3344" s="953"/>
      <c r="F3344" s="953"/>
      <c r="G3344" s="953"/>
      <c r="H3344" s="953"/>
    </row>
    <row r="3345" spans="1:8" x14ac:dyDescent="0.25">
      <c r="A3345" s="952"/>
      <c r="B3345" s="953"/>
      <c r="C3345" s="953"/>
      <c r="D3345" s="953"/>
      <c r="E3345" s="953"/>
      <c r="F3345" s="953"/>
      <c r="G3345" s="953"/>
      <c r="H3345" s="953"/>
    </row>
    <row r="3346" spans="1:8" x14ac:dyDescent="0.25">
      <c r="A3346" s="952"/>
      <c r="B3346" s="953"/>
      <c r="C3346" s="953"/>
      <c r="D3346" s="953"/>
      <c r="E3346" s="953"/>
      <c r="F3346" s="953"/>
      <c r="G3346" s="953"/>
      <c r="H3346" s="953"/>
    </row>
    <row r="3347" spans="1:8" x14ac:dyDescent="0.25">
      <c r="A3347" s="952"/>
      <c r="B3347" s="953"/>
      <c r="C3347" s="953"/>
      <c r="D3347" s="953"/>
      <c r="E3347" s="953"/>
      <c r="F3347" s="953"/>
      <c r="G3347" s="953"/>
      <c r="H3347" s="953"/>
    </row>
    <row r="3348" spans="1:8" x14ac:dyDescent="0.25">
      <c r="A3348" s="952"/>
      <c r="B3348" s="953"/>
      <c r="C3348" s="953"/>
      <c r="D3348" s="953"/>
      <c r="E3348" s="953"/>
      <c r="F3348" s="953"/>
      <c r="G3348" s="953"/>
      <c r="H3348" s="953"/>
    </row>
    <row r="3349" spans="1:8" x14ac:dyDescent="0.25">
      <c r="A3349" s="952"/>
      <c r="B3349" s="953"/>
      <c r="C3349" s="953"/>
      <c r="D3349" s="953"/>
      <c r="E3349" s="953"/>
      <c r="F3349" s="953"/>
      <c r="G3349" s="953"/>
      <c r="H3349" s="953"/>
    </row>
    <row r="3350" spans="1:8" x14ac:dyDescent="0.25">
      <c r="A3350" s="952"/>
      <c r="B3350" s="953"/>
      <c r="C3350" s="953"/>
      <c r="D3350" s="953"/>
      <c r="E3350" s="953"/>
      <c r="F3350" s="953"/>
      <c r="G3350" s="953"/>
      <c r="H3350" s="953"/>
    </row>
    <row r="3351" spans="1:8" x14ac:dyDescent="0.25">
      <c r="A3351" s="952"/>
      <c r="B3351" s="953"/>
      <c r="C3351" s="953"/>
      <c r="D3351" s="953"/>
      <c r="E3351" s="953"/>
      <c r="F3351" s="953"/>
      <c r="G3351" s="953"/>
      <c r="H3351" s="953"/>
    </row>
    <row r="3352" spans="1:8" x14ac:dyDescent="0.25">
      <c r="A3352" s="952"/>
      <c r="B3352" s="953"/>
      <c r="C3352" s="953"/>
      <c r="D3352" s="953"/>
      <c r="E3352" s="953"/>
      <c r="F3352" s="953"/>
      <c r="G3352" s="953"/>
      <c r="H3352" s="953"/>
    </row>
    <row r="3353" spans="1:8" x14ac:dyDescent="0.25">
      <c r="A3353" s="952"/>
      <c r="B3353" s="953"/>
      <c r="C3353" s="953"/>
      <c r="D3353" s="953"/>
      <c r="E3353" s="953"/>
      <c r="F3353" s="953"/>
      <c r="G3353" s="953"/>
      <c r="H3353" s="953"/>
    </row>
    <row r="3354" spans="1:8" x14ac:dyDescent="0.25">
      <c r="A3354" s="952"/>
      <c r="B3354" s="953"/>
      <c r="C3354" s="953"/>
      <c r="D3354" s="953"/>
      <c r="E3354" s="953"/>
      <c r="F3354" s="953"/>
      <c r="G3354" s="953"/>
      <c r="H3354" s="953"/>
    </row>
    <row r="3355" spans="1:8" x14ac:dyDescent="0.25">
      <c r="A3355" s="952"/>
      <c r="B3355" s="953"/>
      <c r="C3355" s="953"/>
      <c r="D3355" s="953"/>
      <c r="E3355" s="953"/>
      <c r="F3355" s="953"/>
      <c r="G3355" s="953"/>
      <c r="H3355" s="953"/>
    </row>
    <row r="3356" spans="1:8" x14ac:dyDescent="0.25">
      <c r="A3356" s="952"/>
      <c r="B3356" s="953"/>
      <c r="C3356" s="953"/>
      <c r="D3356" s="953"/>
      <c r="E3356" s="953"/>
      <c r="F3356" s="953"/>
      <c r="G3356" s="953"/>
      <c r="H3356" s="953"/>
    </row>
    <row r="3357" spans="1:8" x14ac:dyDescent="0.25">
      <c r="A3357" s="952"/>
      <c r="B3357" s="953"/>
      <c r="C3357" s="953"/>
      <c r="D3357" s="953"/>
      <c r="E3357" s="953"/>
      <c r="F3357" s="953"/>
      <c r="G3357" s="953"/>
      <c r="H3357" s="953"/>
    </row>
    <row r="3358" spans="1:8" x14ac:dyDescent="0.25">
      <c r="A3358" s="952"/>
      <c r="B3358" s="953"/>
      <c r="C3358" s="953"/>
      <c r="D3358" s="953"/>
      <c r="E3358" s="953"/>
      <c r="F3358" s="953"/>
      <c r="G3358" s="953"/>
      <c r="H3358" s="953"/>
    </row>
    <row r="3359" spans="1:8" x14ac:dyDescent="0.25">
      <c r="A3359" s="952"/>
      <c r="B3359" s="953"/>
      <c r="C3359" s="953"/>
      <c r="D3359" s="953"/>
      <c r="E3359" s="953"/>
      <c r="F3359" s="953"/>
      <c r="G3359" s="953"/>
      <c r="H3359" s="953"/>
    </row>
    <row r="3360" spans="1:8" x14ac:dyDescent="0.25">
      <c r="A3360" s="952"/>
      <c r="B3360" s="953"/>
      <c r="C3360" s="953"/>
      <c r="D3360" s="953"/>
      <c r="E3360" s="953"/>
      <c r="F3360" s="953"/>
      <c r="G3360" s="953"/>
      <c r="H3360" s="953"/>
    </row>
    <row r="3361" spans="1:8" x14ac:dyDescent="0.25">
      <c r="A3361" s="952"/>
      <c r="B3361" s="953"/>
      <c r="C3361" s="953"/>
      <c r="D3361" s="953"/>
      <c r="E3361" s="953"/>
      <c r="F3361" s="953"/>
      <c r="G3361" s="953"/>
      <c r="H3361" s="953"/>
    </row>
    <row r="3362" spans="1:8" x14ac:dyDescent="0.25">
      <c r="A3362" s="952"/>
      <c r="B3362" s="953"/>
      <c r="C3362" s="953"/>
      <c r="D3362" s="953"/>
      <c r="E3362" s="953"/>
      <c r="F3362" s="953"/>
      <c r="G3362" s="953"/>
      <c r="H3362" s="953"/>
    </row>
    <row r="3363" spans="1:8" x14ac:dyDescent="0.25">
      <c r="A3363" s="952"/>
      <c r="B3363" s="953"/>
      <c r="C3363" s="953"/>
      <c r="D3363" s="953"/>
      <c r="E3363" s="953"/>
      <c r="F3363" s="953"/>
      <c r="G3363" s="953"/>
      <c r="H3363" s="953"/>
    </row>
    <row r="3364" spans="1:8" x14ac:dyDescent="0.25">
      <c r="A3364" s="952"/>
      <c r="B3364" s="953"/>
      <c r="C3364" s="953"/>
      <c r="D3364" s="953"/>
      <c r="E3364" s="953"/>
      <c r="F3364" s="953"/>
      <c r="G3364" s="953"/>
      <c r="H3364" s="953"/>
    </row>
    <row r="3365" spans="1:8" x14ac:dyDescent="0.25">
      <c r="A3365" s="952"/>
      <c r="B3365" s="953"/>
      <c r="C3365" s="953"/>
      <c r="D3365" s="953"/>
      <c r="E3365" s="953"/>
      <c r="F3365" s="953"/>
      <c r="G3365" s="953"/>
      <c r="H3365" s="953"/>
    </row>
    <row r="3366" spans="1:8" x14ac:dyDescent="0.25">
      <c r="A3366" s="952"/>
      <c r="B3366" s="953"/>
      <c r="C3366" s="953"/>
      <c r="D3366" s="953"/>
      <c r="E3366" s="953"/>
      <c r="F3366" s="953"/>
      <c r="G3366" s="953"/>
      <c r="H3366" s="953"/>
    </row>
    <row r="3367" spans="1:8" x14ac:dyDescent="0.25">
      <c r="A3367" s="952"/>
      <c r="B3367" s="953"/>
      <c r="C3367" s="953"/>
      <c r="D3367" s="953"/>
      <c r="E3367" s="953"/>
      <c r="F3367" s="953"/>
      <c r="G3367" s="953"/>
      <c r="H3367" s="953"/>
    </row>
    <row r="3368" spans="1:8" x14ac:dyDescent="0.25">
      <c r="A3368" s="952"/>
      <c r="B3368" s="953"/>
      <c r="C3368" s="953"/>
      <c r="D3368" s="953"/>
      <c r="E3368" s="953"/>
      <c r="F3368" s="953"/>
      <c r="G3368" s="953"/>
      <c r="H3368" s="953"/>
    </row>
    <row r="3369" spans="1:8" x14ac:dyDescent="0.25">
      <c r="A3369" s="952"/>
      <c r="B3369" s="953"/>
      <c r="C3369" s="953"/>
      <c r="D3369" s="953"/>
      <c r="E3369" s="953"/>
      <c r="F3369" s="953"/>
      <c r="G3369" s="953"/>
      <c r="H3369" s="953"/>
    </row>
    <row r="3370" spans="1:8" x14ac:dyDescent="0.25">
      <c r="A3370" s="952"/>
      <c r="B3370" s="953"/>
      <c r="C3370" s="953"/>
      <c r="D3370" s="953"/>
      <c r="E3370" s="953"/>
      <c r="F3370" s="953"/>
      <c r="G3370" s="953"/>
      <c r="H3370" s="953"/>
    </row>
    <row r="3371" spans="1:8" x14ac:dyDescent="0.25">
      <c r="A3371" s="952"/>
      <c r="B3371" s="953"/>
      <c r="C3371" s="953"/>
      <c r="D3371" s="953"/>
      <c r="E3371" s="953"/>
      <c r="F3371" s="953"/>
      <c r="G3371" s="953"/>
      <c r="H3371" s="953"/>
    </row>
    <row r="3372" spans="1:8" x14ac:dyDescent="0.25">
      <c r="A3372" s="952"/>
      <c r="B3372" s="953"/>
      <c r="C3372" s="953"/>
      <c r="D3372" s="953"/>
      <c r="E3372" s="953"/>
      <c r="F3372" s="953"/>
      <c r="G3372" s="953"/>
      <c r="H3372" s="953"/>
    </row>
    <row r="3373" spans="1:8" x14ac:dyDescent="0.25">
      <c r="A3373" s="952"/>
      <c r="B3373" s="953"/>
      <c r="C3373" s="953"/>
      <c r="D3373" s="953"/>
      <c r="E3373" s="953"/>
      <c r="F3373" s="953"/>
      <c r="G3373" s="953"/>
      <c r="H3373" s="953"/>
    </row>
    <row r="3374" spans="1:8" x14ac:dyDescent="0.25">
      <c r="A3374" s="952"/>
      <c r="B3374" s="953"/>
      <c r="C3374" s="953"/>
      <c r="D3374" s="953"/>
      <c r="E3374" s="953"/>
      <c r="F3374" s="953"/>
      <c r="G3374" s="953"/>
      <c r="H3374" s="953"/>
    </row>
    <row r="3375" spans="1:8" x14ac:dyDescent="0.25">
      <c r="A3375" s="952"/>
      <c r="B3375" s="953"/>
      <c r="C3375" s="953"/>
      <c r="D3375" s="953"/>
      <c r="E3375" s="953"/>
      <c r="F3375" s="953"/>
      <c r="G3375" s="953"/>
      <c r="H3375" s="953"/>
    </row>
    <row r="3376" spans="1:8" x14ac:dyDescent="0.25">
      <c r="A3376" s="952"/>
      <c r="B3376" s="953"/>
      <c r="C3376" s="953"/>
      <c r="D3376" s="953"/>
      <c r="E3376" s="953"/>
      <c r="F3376" s="953"/>
      <c r="G3376" s="953"/>
      <c r="H3376" s="953"/>
    </row>
    <row r="3377" spans="1:8" x14ac:dyDescent="0.25">
      <c r="A3377" s="952"/>
      <c r="B3377" s="953"/>
      <c r="C3377" s="953"/>
      <c r="D3377" s="953"/>
      <c r="E3377" s="953"/>
      <c r="F3377" s="953"/>
      <c r="G3377" s="953"/>
      <c r="H3377" s="953"/>
    </row>
    <row r="3378" spans="1:8" x14ac:dyDescent="0.25">
      <c r="A3378" s="952"/>
      <c r="B3378" s="953"/>
      <c r="C3378" s="953"/>
      <c r="D3378" s="953"/>
      <c r="E3378" s="953"/>
      <c r="F3378" s="953"/>
      <c r="G3378" s="953"/>
      <c r="H3378" s="953"/>
    </row>
    <row r="3379" spans="1:8" x14ac:dyDescent="0.25">
      <c r="A3379" s="952"/>
      <c r="B3379" s="953"/>
      <c r="C3379" s="953"/>
      <c r="D3379" s="953"/>
      <c r="E3379" s="953"/>
      <c r="F3379" s="953"/>
      <c r="G3379" s="953"/>
      <c r="H3379" s="953"/>
    </row>
    <row r="3380" spans="1:8" x14ac:dyDescent="0.25">
      <c r="A3380" s="952"/>
      <c r="B3380" s="953"/>
      <c r="C3380" s="953"/>
      <c r="D3380" s="953"/>
      <c r="E3380" s="953"/>
      <c r="F3380" s="953"/>
      <c r="G3380" s="953"/>
      <c r="H3380" s="953"/>
    </row>
    <row r="3381" spans="1:8" x14ac:dyDescent="0.25">
      <c r="A3381" s="952"/>
      <c r="B3381" s="953"/>
      <c r="C3381" s="953"/>
      <c r="D3381" s="953"/>
      <c r="E3381" s="953"/>
      <c r="F3381" s="953"/>
      <c r="G3381" s="953"/>
      <c r="H3381" s="953"/>
    </row>
    <row r="3382" spans="1:8" x14ac:dyDescent="0.25">
      <c r="A3382" s="952"/>
      <c r="B3382" s="953"/>
      <c r="C3382" s="953"/>
      <c r="D3382" s="953"/>
      <c r="E3382" s="953"/>
      <c r="F3382" s="953"/>
      <c r="G3382" s="953"/>
      <c r="H3382" s="953"/>
    </row>
    <row r="3383" spans="1:8" x14ac:dyDescent="0.25">
      <c r="A3383" s="952"/>
      <c r="B3383" s="953"/>
      <c r="C3383" s="953"/>
      <c r="D3383" s="953"/>
      <c r="E3383" s="953"/>
      <c r="F3383" s="953"/>
      <c r="G3383" s="953"/>
      <c r="H3383" s="953"/>
    </row>
    <row r="3384" spans="1:8" x14ac:dyDescent="0.25">
      <c r="A3384" s="952"/>
      <c r="B3384" s="953"/>
      <c r="C3384" s="953"/>
      <c r="D3384" s="953"/>
      <c r="E3384" s="953"/>
      <c r="F3384" s="953"/>
      <c r="G3384" s="953"/>
      <c r="H3384" s="953"/>
    </row>
    <row r="3385" spans="1:8" x14ac:dyDescent="0.25">
      <c r="A3385" s="952"/>
      <c r="B3385" s="953"/>
      <c r="C3385" s="953"/>
      <c r="D3385" s="953"/>
      <c r="E3385" s="953"/>
      <c r="F3385" s="953"/>
      <c r="G3385" s="953"/>
      <c r="H3385" s="953"/>
    </row>
    <row r="3386" spans="1:8" x14ac:dyDescent="0.25">
      <c r="A3386" s="952"/>
      <c r="B3386" s="953"/>
      <c r="C3386" s="953"/>
      <c r="D3386" s="953"/>
      <c r="E3386" s="953"/>
      <c r="F3386" s="953"/>
      <c r="G3386" s="953"/>
      <c r="H3386" s="953"/>
    </row>
    <row r="3387" spans="1:8" x14ac:dyDescent="0.25">
      <c r="A3387" s="952"/>
      <c r="B3387" s="953"/>
      <c r="C3387" s="953"/>
      <c r="D3387" s="953"/>
      <c r="E3387" s="953"/>
      <c r="F3387" s="953"/>
      <c r="G3387" s="953"/>
      <c r="H3387" s="953"/>
    </row>
    <row r="3388" spans="1:8" x14ac:dyDescent="0.25">
      <c r="A3388" s="952"/>
      <c r="B3388" s="953"/>
      <c r="C3388" s="953"/>
      <c r="D3388" s="953"/>
      <c r="E3388" s="953"/>
      <c r="F3388" s="953"/>
      <c r="G3388" s="953"/>
      <c r="H3388" s="953"/>
    </row>
    <row r="3389" spans="1:8" x14ac:dyDescent="0.25">
      <c r="A3389" s="952"/>
      <c r="B3389" s="953"/>
      <c r="C3389" s="953"/>
      <c r="D3389" s="953"/>
      <c r="E3389" s="953"/>
      <c r="F3389" s="953"/>
      <c r="G3389" s="953"/>
      <c r="H3389" s="953"/>
    </row>
    <row r="3390" spans="1:8" x14ac:dyDescent="0.25">
      <c r="A3390" s="952"/>
      <c r="B3390" s="953"/>
      <c r="C3390" s="953"/>
      <c r="D3390" s="953"/>
      <c r="E3390" s="953"/>
      <c r="F3390" s="953"/>
      <c r="G3390" s="953"/>
      <c r="H3390" s="953"/>
    </row>
    <row r="3391" spans="1:8" x14ac:dyDescent="0.25">
      <c r="A3391" s="952"/>
      <c r="B3391" s="953"/>
      <c r="C3391" s="953"/>
      <c r="D3391" s="953"/>
      <c r="E3391" s="953"/>
      <c r="F3391" s="953"/>
      <c r="G3391" s="953"/>
      <c r="H3391" s="953"/>
    </row>
    <row r="3392" spans="1:8" x14ac:dyDescent="0.25">
      <c r="A3392" s="952"/>
      <c r="B3392" s="953"/>
      <c r="C3392" s="953"/>
      <c r="D3392" s="953"/>
      <c r="E3392" s="953"/>
      <c r="F3392" s="953"/>
      <c r="G3392" s="953"/>
      <c r="H3392" s="953"/>
    </row>
    <row r="3393" spans="1:8" x14ac:dyDescent="0.25">
      <c r="A3393" s="952"/>
      <c r="B3393" s="953"/>
      <c r="C3393" s="953"/>
      <c r="D3393" s="953"/>
      <c r="E3393" s="953"/>
      <c r="F3393" s="953"/>
      <c r="G3393" s="953"/>
      <c r="H3393" s="953"/>
    </row>
    <row r="3394" spans="1:8" x14ac:dyDescent="0.25">
      <c r="A3394" s="952"/>
      <c r="B3394" s="953"/>
      <c r="C3394" s="953"/>
      <c r="D3394" s="953"/>
      <c r="E3394" s="953"/>
      <c r="F3394" s="953"/>
      <c r="G3394" s="953"/>
      <c r="H3394" s="953"/>
    </row>
    <row r="3395" spans="1:8" x14ac:dyDescent="0.25">
      <c r="A3395" s="952"/>
      <c r="B3395" s="953"/>
      <c r="C3395" s="953"/>
      <c r="D3395" s="953"/>
      <c r="E3395" s="953"/>
      <c r="F3395" s="953"/>
      <c r="G3395" s="953"/>
      <c r="H3395" s="953"/>
    </row>
    <row r="3396" spans="1:8" x14ac:dyDescent="0.25">
      <c r="A3396" s="952"/>
      <c r="B3396" s="953"/>
      <c r="C3396" s="953"/>
      <c r="D3396" s="953"/>
      <c r="E3396" s="953"/>
      <c r="F3396" s="953"/>
      <c r="G3396" s="953"/>
      <c r="H3396" s="953"/>
    </row>
    <row r="3397" spans="1:8" x14ac:dyDescent="0.25">
      <c r="A3397" s="952"/>
      <c r="B3397" s="953"/>
      <c r="C3397" s="953"/>
      <c r="D3397" s="953"/>
      <c r="E3397" s="953"/>
      <c r="F3397" s="953"/>
      <c r="G3397" s="953"/>
      <c r="H3397" s="953"/>
    </row>
    <row r="3398" spans="1:8" x14ac:dyDescent="0.25">
      <c r="A3398" s="952"/>
      <c r="B3398" s="953"/>
      <c r="C3398" s="953"/>
      <c r="D3398" s="953"/>
      <c r="E3398" s="953"/>
      <c r="F3398" s="953"/>
      <c r="G3398" s="953"/>
      <c r="H3398" s="953"/>
    </row>
    <row r="3399" spans="1:8" x14ac:dyDescent="0.25">
      <c r="A3399" s="952"/>
      <c r="B3399" s="953"/>
      <c r="C3399" s="953"/>
      <c r="D3399" s="953"/>
      <c r="E3399" s="953"/>
      <c r="F3399" s="953"/>
      <c r="G3399" s="953"/>
      <c r="H3399" s="953"/>
    </row>
    <row r="3400" spans="1:8" x14ac:dyDescent="0.25">
      <c r="A3400" s="952"/>
      <c r="B3400" s="953"/>
      <c r="C3400" s="953"/>
      <c r="D3400" s="953"/>
      <c r="E3400" s="953"/>
      <c r="F3400" s="953"/>
      <c r="G3400" s="953"/>
      <c r="H3400" s="953"/>
    </row>
    <row r="3401" spans="1:8" x14ac:dyDescent="0.25">
      <c r="A3401" s="952"/>
      <c r="B3401" s="953"/>
      <c r="C3401" s="953"/>
      <c r="D3401" s="953"/>
      <c r="E3401" s="953"/>
      <c r="F3401" s="953"/>
      <c r="G3401" s="953"/>
      <c r="H3401" s="953"/>
    </row>
    <row r="3402" spans="1:8" x14ac:dyDescent="0.25">
      <c r="A3402" s="952"/>
      <c r="B3402" s="953"/>
      <c r="C3402" s="953"/>
      <c r="D3402" s="953"/>
      <c r="E3402" s="953"/>
      <c r="F3402" s="953"/>
      <c r="G3402" s="953"/>
      <c r="H3402" s="953"/>
    </row>
    <row r="3403" spans="1:8" x14ac:dyDescent="0.25">
      <c r="A3403" s="952"/>
      <c r="B3403" s="953"/>
      <c r="C3403" s="953"/>
      <c r="D3403" s="953"/>
      <c r="E3403" s="953"/>
      <c r="F3403" s="953"/>
      <c r="G3403" s="953"/>
      <c r="H3403" s="953"/>
    </row>
    <row r="3404" spans="1:8" x14ac:dyDescent="0.25">
      <c r="A3404" s="952"/>
      <c r="B3404" s="953"/>
      <c r="C3404" s="953"/>
      <c r="D3404" s="953"/>
      <c r="E3404" s="953"/>
      <c r="F3404" s="953"/>
      <c r="G3404" s="953"/>
      <c r="H3404" s="953"/>
    </row>
    <row r="3405" spans="1:8" x14ac:dyDescent="0.25">
      <c r="A3405" s="952"/>
      <c r="B3405" s="953"/>
      <c r="C3405" s="953"/>
      <c r="D3405" s="953"/>
      <c r="E3405" s="953"/>
      <c r="F3405" s="953"/>
      <c r="G3405" s="953"/>
      <c r="H3405" s="953"/>
    </row>
    <row r="3406" spans="1:8" x14ac:dyDescent="0.25">
      <c r="A3406" s="952"/>
      <c r="B3406" s="953"/>
      <c r="C3406" s="953"/>
      <c r="D3406" s="953"/>
      <c r="E3406" s="953"/>
      <c r="F3406" s="953"/>
      <c r="G3406" s="953"/>
      <c r="H3406" s="953"/>
    </row>
    <row r="3407" spans="1:8" x14ac:dyDescent="0.25">
      <c r="A3407" s="952"/>
      <c r="B3407" s="953"/>
      <c r="C3407" s="953"/>
      <c r="D3407" s="953"/>
      <c r="E3407" s="953"/>
      <c r="F3407" s="953"/>
      <c r="G3407" s="953"/>
      <c r="H3407" s="953"/>
    </row>
    <row r="3408" spans="1:8" x14ac:dyDescent="0.25">
      <c r="A3408" s="952"/>
      <c r="B3408" s="953"/>
      <c r="C3408" s="953"/>
      <c r="D3408" s="953"/>
      <c r="E3408" s="953"/>
      <c r="F3408" s="953"/>
      <c r="G3408" s="953"/>
      <c r="H3408" s="953"/>
    </row>
    <row r="3409" spans="1:8" x14ac:dyDescent="0.25">
      <c r="A3409" s="952"/>
      <c r="B3409" s="953"/>
      <c r="C3409" s="953"/>
      <c r="D3409" s="953"/>
      <c r="E3409" s="953"/>
      <c r="F3409" s="953"/>
      <c r="G3409" s="953"/>
      <c r="H3409" s="953"/>
    </row>
    <row r="3410" spans="1:8" x14ac:dyDescent="0.25">
      <c r="A3410" s="952"/>
      <c r="B3410" s="953"/>
      <c r="C3410" s="953"/>
      <c r="D3410" s="953"/>
      <c r="E3410" s="953"/>
      <c r="F3410" s="953"/>
      <c r="G3410" s="953"/>
      <c r="H3410" s="953"/>
    </row>
    <row r="3411" spans="1:8" x14ac:dyDescent="0.25">
      <c r="A3411" s="952"/>
      <c r="B3411" s="953"/>
      <c r="C3411" s="953"/>
      <c r="D3411" s="953"/>
      <c r="E3411" s="953"/>
      <c r="F3411" s="953"/>
      <c r="G3411" s="953"/>
      <c r="H3411" s="953"/>
    </row>
    <row r="3412" spans="1:8" x14ac:dyDescent="0.25">
      <c r="A3412" s="952"/>
      <c r="B3412" s="953"/>
      <c r="C3412" s="953"/>
      <c r="D3412" s="953"/>
      <c r="E3412" s="953"/>
      <c r="F3412" s="953"/>
      <c r="G3412" s="953"/>
      <c r="H3412" s="953"/>
    </row>
    <row r="3413" spans="1:8" x14ac:dyDescent="0.25">
      <c r="A3413" s="952"/>
      <c r="B3413" s="953"/>
      <c r="C3413" s="953"/>
      <c r="D3413" s="953"/>
      <c r="E3413" s="953"/>
      <c r="F3413" s="953"/>
      <c r="G3413" s="953"/>
      <c r="H3413" s="953"/>
    </row>
    <row r="3414" spans="1:8" x14ac:dyDescent="0.25">
      <c r="A3414" s="952"/>
      <c r="B3414" s="953"/>
      <c r="C3414" s="953"/>
      <c r="D3414" s="953"/>
      <c r="E3414" s="953"/>
      <c r="F3414" s="953"/>
      <c r="G3414" s="953"/>
      <c r="H3414" s="953"/>
    </row>
    <row r="3415" spans="1:8" x14ac:dyDescent="0.25">
      <c r="A3415" s="952"/>
      <c r="B3415" s="953"/>
      <c r="C3415" s="953"/>
      <c r="D3415" s="953"/>
      <c r="E3415" s="953"/>
      <c r="F3415" s="953"/>
      <c r="G3415" s="953"/>
      <c r="H3415" s="953"/>
    </row>
    <row r="3416" spans="1:8" x14ac:dyDescent="0.25">
      <c r="A3416" s="952"/>
      <c r="B3416" s="953"/>
      <c r="C3416" s="953"/>
      <c r="D3416" s="953"/>
      <c r="E3416" s="953"/>
      <c r="F3416" s="953"/>
      <c r="G3416" s="953"/>
      <c r="H3416" s="953"/>
    </row>
    <row r="3417" spans="1:8" x14ac:dyDescent="0.25">
      <c r="A3417" s="952"/>
      <c r="B3417" s="953"/>
      <c r="C3417" s="953"/>
      <c r="D3417" s="953"/>
      <c r="E3417" s="953"/>
      <c r="F3417" s="953"/>
      <c r="G3417" s="953"/>
      <c r="H3417" s="953"/>
    </row>
    <row r="3418" spans="1:8" x14ac:dyDescent="0.25">
      <c r="A3418" s="952"/>
      <c r="B3418" s="953"/>
      <c r="C3418" s="953"/>
      <c r="D3418" s="953"/>
      <c r="E3418" s="953"/>
      <c r="F3418" s="953"/>
      <c r="G3418" s="953"/>
      <c r="H3418" s="953"/>
    </row>
    <row r="3419" spans="1:8" x14ac:dyDescent="0.25">
      <c r="A3419" s="952"/>
      <c r="B3419" s="953"/>
      <c r="C3419" s="953"/>
      <c r="D3419" s="953"/>
      <c r="E3419" s="953"/>
      <c r="F3419" s="953"/>
      <c r="G3419" s="953"/>
      <c r="H3419" s="953"/>
    </row>
    <row r="3420" spans="1:8" x14ac:dyDescent="0.25">
      <c r="A3420" s="952"/>
      <c r="B3420" s="953"/>
      <c r="C3420" s="953"/>
      <c r="D3420" s="953"/>
      <c r="E3420" s="953"/>
      <c r="F3420" s="953"/>
      <c r="G3420" s="953"/>
      <c r="H3420" s="953"/>
    </row>
    <row r="3421" spans="1:8" x14ac:dyDescent="0.25">
      <c r="A3421" s="952"/>
      <c r="B3421" s="953"/>
      <c r="C3421" s="953"/>
      <c r="D3421" s="953"/>
      <c r="E3421" s="953"/>
      <c r="F3421" s="953"/>
      <c r="G3421" s="953"/>
      <c r="H3421" s="953"/>
    </row>
    <row r="3422" spans="1:8" x14ac:dyDescent="0.25">
      <c r="A3422" s="952"/>
      <c r="B3422" s="953"/>
      <c r="C3422" s="953"/>
      <c r="D3422" s="953"/>
      <c r="E3422" s="953"/>
      <c r="F3422" s="953"/>
      <c r="G3422" s="953"/>
      <c r="H3422" s="953"/>
    </row>
    <row r="3423" spans="1:8" x14ac:dyDescent="0.25">
      <c r="A3423" s="952"/>
      <c r="B3423" s="953"/>
      <c r="C3423" s="953"/>
      <c r="D3423" s="953"/>
      <c r="E3423" s="953"/>
      <c r="F3423" s="953"/>
      <c r="G3423" s="953"/>
      <c r="H3423" s="953"/>
    </row>
    <row r="3424" spans="1:8" x14ac:dyDescent="0.25">
      <c r="A3424" s="952"/>
      <c r="B3424" s="953"/>
      <c r="C3424" s="953"/>
      <c r="D3424" s="953"/>
      <c r="E3424" s="953"/>
      <c r="F3424" s="953"/>
      <c r="G3424" s="953"/>
      <c r="H3424" s="953"/>
    </row>
    <row r="3425" spans="1:8" x14ac:dyDescent="0.25">
      <c r="A3425" s="952"/>
      <c r="B3425" s="953"/>
      <c r="C3425" s="953"/>
      <c r="D3425" s="953"/>
      <c r="E3425" s="953"/>
      <c r="F3425" s="953"/>
      <c r="G3425" s="953"/>
      <c r="H3425" s="953"/>
    </row>
    <row r="3426" spans="1:8" x14ac:dyDescent="0.25">
      <c r="A3426" s="952"/>
      <c r="B3426" s="953"/>
      <c r="C3426" s="953"/>
      <c r="D3426" s="953"/>
      <c r="E3426" s="953"/>
      <c r="F3426" s="953"/>
      <c r="G3426" s="953"/>
      <c r="H3426" s="953"/>
    </row>
    <row r="3427" spans="1:8" x14ac:dyDescent="0.25">
      <c r="A3427" s="952"/>
      <c r="B3427" s="953"/>
      <c r="C3427" s="953"/>
      <c r="D3427" s="953"/>
      <c r="E3427" s="953"/>
      <c r="F3427" s="953"/>
      <c r="G3427" s="953"/>
      <c r="H3427" s="953"/>
    </row>
    <row r="3428" spans="1:8" x14ac:dyDescent="0.25">
      <c r="A3428" s="952"/>
      <c r="B3428" s="953"/>
      <c r="C3428" s="953"/>
      <c r="D3428" s="953"/>
      <c r="E3428" s="953"/>
      <c r="F3428" s="953"/>
      <c r="G3428" s="953"/>
      <c r="H3428" s="953"/>
    </row>
    <row r="3429" spans="1:8" x14ac:dyDescent="0.25">
      <c r="A3429" s="952"/>
      <c r="B3429" s="953"/>
      <c r="C3429" s="953"/>
      <c r="D3429" s="953"/>
      <c r="E3429" s="953"/>
      <c r="F3429" s="953"/>
      <c r="G3429" s="953"/>
      <c r="H3429" s="953"/>
    </row>
    <row r="3430" spans="1:8" x14ac:dyDescent="0.25">
      <c r="A3430" s="952"/>
      <c r="B3430" s="953"/>
      <c r="C3430" s="953"/>
      <c r="D3430" s="953"/>
      <c r="E3430" s="953"/>
      <c r="F3430" s="953"/>
      <c r="G3430" s="953"/>
      <c r="H3430" s="953"/>
    </row>
    <row r="3431" spans="1:8" x14ac:dyDescent="0.25">
      <c r="A3431" s="952"/>
      <c r="B3431" s="953"/>
      <c r="C3431" s="953"/>
      <c r="D3431" s="953"/>
      <c r="E3431" s="953"/>
      <c r="F3431" s="953"/>
      <c r="G3431" s="953"/>
      <c r="H3431" s="953"/>
    </row>
    <row r="3432" spans="1:8" x14ac:dyDescent="0.25">
      <c r="A3432" s="952"/>
      <c r="B3432" s="953"/>
      <c r="C3432" s="953"/>
      <c r="D3432" s="953"/>
      <c r="E3432" s="953"/>
      <c r="F3432" s="953"/>
      <c r="G3432" s="953"/>
      <c r="H3432" s="953"/>
    </row>
    <row r="3433" spans="1:8" x14ac:dyDescent="0.25">
      <c r="A3433" s="952"/>
      <c r="B3433" s="953"/>
      <c r="C3433" s="953"/>
      <c r="D3433" s="953"/>
      <c r="E3433" s="953"/>
      <c r="F3433" s="953"/>
      <c r="G3433" s="953"/>
      <c r="H3433" s="953"/>
    </row>
    <row r="3434" spans="1:8" x14ac:dyDescent="0.25">
      <c r="A3434" s="952"/>
      <c r="B3434" s="953"/>
      <c r="C3434" s="953"/>
      <c r="D3434" s="953"/>
      <c r="E3434" s="953"/>
      <c r="F3434" s="953"/>
      <c r="G3434" s="953"/>
      <c r="H3434" s="953"/>
    </row>
    <row r="3435" spans="1:8" x14ac:dyDescent="0.25">
      <c r="A3435" s="952"/>
      <c r="B3435" s="953"/>
      <c r="C3435" s="953"/>
      <c r="D3435" s="953"/>
      <c r="E3435" s="953"/>
      <c r="F3435" s="953"/>
      <c r="G3435" s="953"/>
      <c r="H3435" s="953"/>
    </row>
    <row r="3436" spans="1:8" x14ac:dyDescent="0.25">
      <c r="A3436" s="952"/>
      <c r="B3436" s="953"/>
      <c r="C3436" s="953"/>
      <c r="D3436" s="953"/>
      <c r="E3436" s="953"/>
      <c r="F3436" s="953"/>
      <c r="G3436" s="953"/>
      <c r="H3436" s="953"/>
    </row>
    <row r="3437" spans="1:8" x14ac:dyDescent="0.25">
      <c r="A3437" s="952"/>
      <c r="B3437" s="953"/>
      <c r="C3437" s="953"/>
      <c r="D3437" s="953"/>
      <c r="E3437" s="953"/>
      <c r="F3437" s="953"/>
      <c r="G3437" s="953"/>
      <c r="H3437" s="953"/>
    </row>
    <row r="3438" spans="1:8" x14ac:dyDescent="0.25">
      <c r="A3438" s="952"/>
      <c r="B3438" s="953"/>
      <c r="C3438" s="953"/>
      <c r="D3438" s="953"/>
      <c r="E3438" s="953"/>
      <c r="F3438" s="953"/>
      <c r="G3438" s="953"/>
      <c r="H3438" s="953"/>
    </row>
    <row r="3439" spans="1:8" x14ac:dyDescent="0.25">
      <c r="A3439" s="952"/>
      <c r="B3439" s="953"/>
      <c r="C3439" s="953"/>
      <c r="D3439" s="953"/>
      <c r="E3439" s="953"/>
      <c r="F3439" s="953"/>
      <c r="G3439" s="953"/>
      <c r="H3439" s="953"/>
    </row>
    <row r="3440" spans="1:8" x14ac:dyDescent="0.25">
      <c r="A3440" s="952"/>
      <c r="B3440" s="953"/>
      <c r="C3440" s="953"/>
      <c r="D3440" s="953"/>
      <c r="E3440" s="953"/>
      <c r="F3440" s="953"/>
      <c r="G3440" s="953"/>
      <c r="H3440" s="953"/>
    </row>
    <row r="3441" spans="1:8" x14ac:dyDescent="0.25">
      <c r="A3441" s="952"/>
      <c r="B3441" s="953"/>
      <c r="C3441" s="953"/>
      <c r="D3441" s="953"/>
      <c r="E3441" s="953"/>
      <c r="F3441" s="953"/>
      <c r="G3441" s="953"/>
      <c r="H3441" s="953"/>
    </row>
    <row r="3442" spans="1:8" x14ac:dyDescent="0.25">
      <c r="A3442" s="952"/>
      <c r="B3442" s="953"/>
      <c r="C3442" s="953"/>
      <c r="D3442" s="953"/>
      <c r="E3442" s="953"/>
      <c r="F3442" s="953"/>
      <c r="G3442" s="953"/>
      <c r="H3442" s="953"/>
    </row>
    <row r="3443" spans="1:8" x14ac:dyDescent="0.25">
      <c r="A3443" s="952"/>
      <c r="B3443" s="953"/>
      <c r="C3443" s="953"/>
      <c r="D3443" s="953"/>
      <c r="E3443" s="953"/>
      <c r="F3443" s="953"/>
      <c r="G3443" s="953"/>
      <c r="H3443" s="953"/>
    </row>
    <row r="3444" spans="1:8" x14ac:dyDescent="0.25">
      <c r="A3444" s="952"/>
      <c r="B3444" s="953"/>
      <c r="C3444" s="953"/>
      <c r="D3444" s="953"/>
      <c r="E3444" s="953"/>
      <c r="F3444" s="953"/>
      <c r="G3444" s="953"/>
      <c r="H3444" s="953"/>
    </row>
    <row r="3445" spans="1:8" x14ac:dyDescent="0.25">
      <c r="A3445" s="952"/>
      <c r="B3445" s="953"/>
      <c r="C3445" s="953"/>
      <c r="D3445" s="953"/>
      <c r="E3445" s="953"/>
      <c r="F3445" s="953"/>
      <c r="G3445" s="953"/>
      <c r="H3445" s="953"/>
    </row>
    <row r="3446" spans="1:8" x14ac:dyDescent="0.25">
      <c r="A3446" s="952"/>
      <c r="B3446" s="953"/>
      <c r="C3446" s="953"/>
      <c r="D3446" s="953"/>
      <c r="E3446" s="953"/>
      <c r="F3446" s="953"/>
      <c r="G3446" s="953"/>
      <c r="H3446" s="953"/>
    </row>
    <row r="3447" spans="1:8" x14ac:dyDescent="0.25">
      <c r="A3447" s="952"/>
      <c r="B3447" s="953"/>
      <c r="C3447" s="953"/>
      <c r="D3447" s="953"/>
      <c r="E3447" s="953"/>
      <c r="F3447" s="953"/>
      <c r="G3447" s="953"/>
      <c r="H3447" s="953"/>
    </row>
    <row r="3448" spans="1:8" x14ac:dyDescent="0.25">
      <c r="A3448" s="952"/>
      <c r="B3448" s="953"/>
      <c r="C3448" s="953"/>
      <c r="D3448" s="953"/>
      <c r="E3448" s="953"/>
      <c r="F3448" s="953"/>
      <c r="G3448" s="953"/>
      <c r="H3448" s="953"/>
    </row>
    <row r="3449" spans="1:8" x14ac:dyDescent="0.25">
      <c r="A3449" s="952"/>
      <c r="B3449" s="953"/>
      <c r="C3449" s="953"/>
      <c r="D3449" s="953"/>
      <c r="E3449" s="953"/>
      <c r="F3449" s="953"/>
      <c r="G3449" s="953"/>
      <c r="H3449" s="953"/>
    </row>
    <row r="3450" spans="1:8" x14ac:dyDescent="0.25">
      <c r="A3450" s="952"/>
      <c r="B3450" s="953"/>
      <c r="C3450" s="953"/>
      <c r="D3450" s="953"/>
      <c r="E3450" s="953"/>
      <c r="F3450" s="953"/>
      <c r="G3450" s="953"/>
      <c r="H3450" s="953"/>
    </row>
    <row r="3451" spans="1:8" x14ac:dyDescent="0.25">
      <c r="A3451" s="952"/>
      <c r="B3451" s="953"/>
      <c r="C3451" s="953"/>
      <c r="D3451" s="953"/>
      <c r="E3451" s="953"/>
      <c r="F3451" s="953"/>
      <c r="G3451" s="953"/>
      <c r="H3451" s="953"/>
    </row>
    <row r="3452" spans="1:8" x14ac:dyDescent="0.25">
      <c r="A3452" s="952"/>
      <c r="B3452" s="953"/>
      <c r="C3452" s="953"/>
      <c r="D3452" s="953"/>
      <c r="E3452" s="953"/>
      <c r="F3452" s="953"/>
      <c r="G3452" s="953"/>
      <c r="H3452" s="953"/>
    </row>
    <row r="3453" spans="1:8" x14ac:dyDescent="0.25">
      <c r="A3453" s="952"/>
      <c r="B3453" s="953"/>
      <c r="C3453" s="953"/>
      <c r="D3453" s="953"/>
      <c r="E3453" s="953"/>
      <c r="F3453" s="953"/>
      <c r="G3453" s="953"/>
      <c r="H3453" s="953"/>
    </row>
    <row r="3454" spans="1:8" x14ac:dyDescent="0.25">
      <c r="A3454" s="952"/>
      <c r="B3454" s="953"/>
      <c r="C3454" s="953"/>
      <c r="D3454" s="953"/>
      <c r="E3454" s="953"/>
      <c r="F3454" s="953"/>
      <c r="G3454" s="953"/>
      <c r="H3454" s="953"/>
    </row>
    <row r="3455" spans="1:8" x14ac:dyDescent="0.25">
      <c r="A3455" s="952"/>
      <c r="B3455" s="953"/>
      <c r="C3455" s="953"/>
      <c r="D3455" s="953"/>
      <c r="E3455" s="953"/>
      <c r="F3455" s="953"/>
      <c r="G3455" s="953"/>
      <c r="H3455" s="953"/>
    </row>
    <row r="3456" spans="1:8" x14ac:dyDescent="0.25">
      <c r="A3456" s="952"/>
      <c r="B3456" s="953"/>
      <c r="C3456" s="953"/>
      <c r="D3456" s="953"/>
      <c r="E3456" s="953"/>
      <c r="F3456" s="953"/>
      <c r="G3456" s="953"/>
      <c r="H3456" s="953"/>
    </row>
    <row r="3457" spans="1:8" x14ac:dyDescent="0.25">
      <c r="A3457" s="952"/>
      <c r="B3457" s="953"/>
      <c r="C3457" s="953"/>
      <c r="D3457" s="953"/>
      <c r="E3457" s="953"/>
      <c r="F3457" s="953"/>
      <c r="G3457" s="953"/>
      <c r="H3457" s="953"/>
    </row>
    <row r="3458" spans="1:8" x14ac:dyDescent="0.25">
      <c r="A3458" s="952"/>
      <c r="B3458" s="953"/>
      <c r="C3458" s="953"/>
      <c r="D3458" s="953"/>
      <c r="E3458" s="953"/>
      <c r="F3458" s="953"/>
      <c r="G3458" s="953"/>
      <c r="H3458" s="953"/>
    </row>
    <row r="3459" spans="1:8" x14ac:dyDescent="0.25">
      <c r="A3459" s="952"/>
      <c r="B3459" s="953"/>
      <c r="C3459" s="953"/>
      <c r="D3459" s="953"/>
      <c r="E3459" s="953"/>
      <c r="F3459" s="953"/>
      <c r="G3459" s="953"/>
      <c r="H3459" s="953"/>
    </row>
    <row r="3460" spans="1:8" x14ac:dyDescent="0.25">
      <c r="A3460" s="952"/>
      <c r="B3460" s="953"/>
      <c r="C3460" s="953"/>
      <c r="D3460" s="953"/>
      <c r="E3460" s="953"/>
      <c r="F3460" s="953"/>
      <c r="G3460" s="953"/>
      <c r="H3460" s="953"/>
    </row>
    <row r="3461" spans="1:8" x14ac:dyDescent="0.25">
      <c r="A3461" s="952"/>
      <c r="B3461" s="953"/>
      <c r="C3461" s="953"/>
      <c r="D3461" s="953"/>
      <c r="E3461" s="953"/>
      <c r="F3461" s="953"/>
      <c r="G3461" s="953"/>
      <c r="H3461" s="953"/>
    </row>
    <row r="3462" spans="1:8" x14ac:dyDescent="0.25">
      <c r="A3462" s="952"/>
      <c r="B3462" s="953"/>
      <c r="C3462" s="953"/>
      <c r="D3462" s="953"/>
      <c r="E3462" s="953"/>
      <c r="F3462" s="953"/>
      <c r="G3462" s="953"/>
      <c r="H3462" s="953"/>
    </row>
    <row r="3463" spans="1:8" x14ac:dyDescent="0.25">
      <c r="A3463" s="952"/>
      <c r="B3463" s="953"/>
      <c r="C3463" s="953"/>
      <c r="D3463" s="953"/>
      <c r="E3463" s="953"/>
      <c r="F3463" s="953"/>
      <c r="G3463" s="953"/>
      <c r="H3463" s="953"/>
    </row>
    <row r="3464" spans="1:8" x14ac:dyDescent="0.25">
      <c r="A3464" s="952"/>
      <c r="B3464" s="953"/>
      <c r="C3464" s="953"/>
      <c r="D3464" s="953"/>
      <c r="E3464" s="953"/>
      <c r="F3464" s="953"/>
      <c r="G3464" s="953"/>
      <c r="H3464" s="953"/>
    </row>
    <row r="3465" spans="1:8" x14ac:dyDescent="0.25">
      <c r="A3465" s="952"/>
      <c r="B3465" s="953"/>
      <c r="C3465" s="953"/>
      <c r="D3465" s="953"/>
      <c r="E3465" s="953"/>
      <c r="F3465" s="953"/>
      <c r="G3465" s="953"/>
      <c r="H3465" s="953"/>
    </row>
    <row r="3466" spans="1:8" x14ac:dyDescent="0.25">
      <c r="A3466" s="952"/>
      <c r="B3466" s="953"/>
      <c r="C3466" s="953"/>
      <c r="D3466" s="953"/>
      <c r="E3466" s="953"/>
      <c r="F3466" s="953"/>
      <c r="G3466" s="953"/>
      <c r="H3466" s="953"/>
    </row>
    <row r="3467" spans="1:8" x14ac:dyDescent="0.25">
      <c r="A3467" s="952"/>
      <c r="B3467" s="953"/>
      <c r="C3467" s="953"/>
      <c r="D3467" s="953"/>
      <c r="E3467" s="953"/>
      <c r="F3467" s="953"/>
      <c r="G3467" s="953"/>
      <c r="H3467" s="953"/>
    </row>
    <row r="3468" spans="1:8" x14ac:dyDescent="0.25">
      <c r="A3468" s="952"/>
      <c r="B3468" s="953"/>
      <c r="C3468" s="953"/>
      <c r="D3468" s="953"/>
      <c r="E3468" s="953"/>
      <c r="F3468" s="953"/>
      <c r="G3468" s="953"/>
      <c r="H3468" s="953"/>
    </row>
    <row r="3469" spans="1:8" x14ac:dyDescent="0.25">
      <c r="A3469" s="952"/>
      <c r="B3469" s="953"/>
      <c r="C3469" s="953"/>
      <c r="D3469" s="953"/>
      <c r="E3469" s="953"/>
      <c r="F3469" s="953"/>
      <c r="G3469" s="953"/>
      <c r="H3469" s="953"/>
    </row>
    <row r="3470" spans="1:8" x14ac:dyDescent="0.25">
      <c r="A3470" s="952"/>
      <c r="B3470" s="953"/>
      <c r="C3470" s="953"/>
      <c r="D3470" s="953"/>
      <c r="E3470" s="953"/>
      <c r="F3470" s="953"/>
      <c r="G3470" s="953"/>
      <c r="H3470" s="953"/>
    </row>
    <row r="3471" spans="1:8" x14ac:dyDescent="0.25">
      <c r="A3471" s="952"/>
      <c r="B3471" s="953"/>
      <c r="C3471" s="953"/>
      <c r="D3471" s="953"/>
      <c r="E3471" s="953"/>
      <c r="F3471" s="953"/>
      <c r="G3471" s="953"/>
      <c r="H3471" s="953"/>
    </row>
    <row r="3472" spans="1:8" x14ac:dyDescent="0.25">
      <c r="A3472" s="952"/>
      <c r="B3472" s="953"/>
      <c r="C3472" s="953"/>
      <c r="D3472" s="953"/>
      <c r="E3472" s="953"/>
      <c r="F3472" s="953"/>
      <c r="G3472" s="953"/>
      <c r="H3472" s="953"/>
    </row>
    <row r="3473" spans="1:8" x14ac:dyDescent="0.25">
      <c r="A3473" s="952"/>
      <c r="B3473" s="953"/>
      <c r="C3473" s="953"/>
      <c r="D3473" s="953"/>
      <c r="E3473" s="953"/>
      <c r="F3473" s="953"/>
      <c r="G3473" s="953"/>
      <c r="H3473" s="953"/>
    </row>
    <row r="3474" spans="1:8" x14ac:dyDescent="0.25">
      <c r="A3474" s="952"/>
      <c r="B3474" s="953"/>
      <c r="C3474" s="953"/>
      <c r="D3474" s="953"/>
      <c r="E3474" s="953"/>
      <c r="F3474" s="953"/>
      <c r="G3474" s="953"/>
      <c r="H3474" s="953"/>
    </row>
    <row r="3475" spans="1:8" x14ac:dyDescent="0.25">
      <c r="A3475" s="952"/>
      <c r="B3475" s="953"/>
      <c r="C3475" s="953"/>
      <c r="D3475" s="953"/>
      <c r="E3475" s="953"/>
      <c r="F3475" s="953"/>
      <c r="G3475" s="953"/>
      <c r="H3475" s="953"/>
    </row>
    <row r="3476" spans="1:8" x14ac:dyDescent="0.25">
      <c r="A3476" s="952"/>
      <c r="B3476" s="953"/>
      <c r="C3476" s="953"/>
      <c r="D3476" s="953"/>
      <c r="E3476" s="953"/>
      <c r="F3476" s="953"/>
      <c r="G3476" s="953"/>
      <c r="H3476" s="953"/>
    </row>
    <row r="3477" spans="1:8" x14ac:dyDescent="0.25">
      <c r="A3477" s="952"/>
      <c r="B3477" s="953"/>
      <c r="C3477" s="953"/>
      <c r="D3477" s="953"/>
      <c r="E3477" s="953"/>
      <c r="F3477" s="953"/>
      <c r="G3477" s="953"/>
      <c r="H3477" s="953"/>
    </row>
    <row r="3478" spans="1:8" x14ac:dyDescent="0.25">
      <c r="A3478" s="952"/>
      <c r="B3478" s="953"/>
      <c r="C3478" s="953"/>
      <c r="D3478" s="953"/>
      <c r="E3478" s="953"/>
      <c r="F3478" s="953"/>
      <c r="G3478" s="953"/>
      <c r="H3478" s="953"/>
    </row>
    <row r="3479" spans="1:8" x14ac:dyDescent="0.25">
      <c r="A3479" s="952"/>
      <c r="B3479" s="953"/>
      <c r="C3479" s="953"/>
      <c r="D3479" s="953"/>
      <c r="E3479" s="953"/>
      <c r="F3479" s="953"/>
      <c r="G3479" s="953"/>
      <c r="H3479" s="953"/>
    </row>
    <row r="3480" spans="1:8" x14ac:dyDescent="0.25">
      <c r="A3480" s="952"/>
      <c r="B3480" s="953"/>
      <c r="C3480" s="953"/>
      <c r="D3480" s="953"/>
      <c r="E3480" s="953"/>
      <c r="F3480" s="953"/>
      <c r="G3480" s="953"/>
      <c r="H3480" s="953"/>
    </row>
    <row r="3481" spans="1:8" x14ac:dyDescent="0.25">
      <c r="A3481" s="952"/>
      <c r="B3481" s="953"/>
      <c r="C3481" s="953"/>
      <c r="D3481" s="953"/>
      <c r="E3481" s="953"/>
      <c r="F3481" s="953"/>
      <c r="G3481" s="953"/>
      <c r="H3481" s="953"/>
    </row>
    <row r="3482" spans="1:8" x14ac:dyDescent="0.25">
      <c r="A3482" s="952"/>
      <c r="B3482" s="953"/>
      <c r="C3482" s="953"/>
      <c r="D3482" s="953"/>
      <c r="E3482" s="953"/>
      <c r="F3482" s="953"/>
      <c r="G3482" s="953"/>
      <c r="H3482" s="953"/>
    </row>
    <row r="3483" spans="1:8" x14ac:dyDescent="0.25">
      <c r="A3483" s="952"/>
      <c r="B3483" s="953"/>
      <c r="C3483" s="953"/>
      <c r="D3483" s="953"/>
      <c r="E3483" s="953"/>
      <c r="F3483" s="953"/>
      <c r="G3483" s="953"/>
      <c r="H3483" s="953"/>
    </row>
    <row r="3484" spans="1:8" x14ac:dyDescent="0.25">
      <c r="A3484" s="952"/>
      <c r="B3484" s="953"/>
      <c r="C3484" s="953"/>
      <c r="D3484" s="953"/>
      <c r="E3484" s="953"/>
      <c r="F3484" s="953"/>
      <c r="G3484" s="953"/>
      <c r="H3484" s="953"/>
    </row>
    <row r="3485" spans="1:8" x14ac:dyDescent="0.25">
      <c r="A3485" s="952"/>
      <c r="B3485" s="953"/>
      <c r="C3485" s="953"/>
      <c r="D3485" s="953"/>
      <c r="E3485" s="953"/>
      <c r="F3485" s="953"/>
      <c r="G3485" s="953"/>
      <c r="H3485" s="953"/>
    </row>
    <row r="3486" spans="1:8" x14ac:dyDescent="0.25">
      <c r="A3486" s="952"/>
      <c r="B3486" s="953"/>
      <c r="C3486" s="953"/>
      <c r="D3486" s="953"/>
      <c r="E3486" s="953"/>
      <c r="F3486" s="953"/>
      <c r="G3486" s="953"/>
      <c r="H3486" s="953"/>
    </row>
    <row r="3487" spans="1:8" x14ac:dyDescent="0.25">
      <c r="A3487" s="952"/>
      <c r="B3487" s="953"/>
      <c r="C3487" s="953"/>
      <c r="D3487" s="953"/>
      <c r="E3487" s="953"/>
      <c r="F3487" s="953"/>
      <c r="G3487" s="953"/>
      <c r="H3487" s="953"/>
    </row>
    <row r="3488" spans="1:8" x14ac:dyDescent="0.25">
      <c r="A3488" s="952"/>
      <c r="B3488" s="953"/>
      <c r="C3488" s="953"/>
      <c r="D3488" s="953"/>
      <c r="E3488" s="953"/>
      <c r="F3488" s="953"/>
      <c r="G3488" s="953"/>
      <c r="H3488" s="953"/>
    </row>
    <row r="3489" spans="1:8" x14ac:dyDescent="0.25">
      <c r="A3489" s="952"/>
      <c r="B3489" s="953"/>
      <c r="C3489" s="953"/>
      <c r="D3489" s="953"/>
      <c r="E3489" s="953"/>
      <c r="F3489" s="953"/>
      <c r="G3489" s="953"/>
      <c r="H3489" s="953"/>
    </row>
    <row r="3490" spans="1:8" x14ac:dyDescent="0.25">
      <c r="A3490" s="952"/>
      <c r="B3490" s="953"/>
      <c r="C3490" s="953"/>
      <c r="D3490" s="953"/>
      <c r="E3490" s="953"/>
      <c r="F3490" s="953"/>
      <c r="G3490" s="953"/>
      <c r="H3490" s="953"/>
    </row>
    <row r="3491" spans="1:8" x14ac:dyDescent="0.25">
      <c r="A3491" s="952"/>
      <c r="B3491" s="953"/>
      <c r="C3491" s="953"/>
      <c r="D3491" s="953"/>
      <c r="E3491" s="953"/>
      <c r="F3491" s="953"/>
      <c r="G3491" s="953"/>
      <c r="H3491" s="953"/>
    </row>
    <row r="3492" spans="1:8" x14ac:dyDescent="0.25">
      <c r="A3492" s="952"/>
      <c r="B3492" s="953"/>
      <c r="C3492" s="953"/>
      <c r="D3492" s="953"/>
      <c r="E3492" s="953"/>
      <c r="F3492" s="953"/>
      <c r="G3492" s="953"/>
      <c r="H3492" s="953"/>
    </row>
    <row r="3493" spans="1:8" x14ac:dyDescent="0.25">
      <c r="A3493" s="952"/>
      <c r="B3493" s="953"/>
      <c r="C3493" s="953"/>
      <c r="D3493" s="953"/>
      <c r="E3493" s="953"/>
      <c r="F3493" s="953"/>
      <c r="G3493" s="953"/>
      <c r="H3493" s="953"/>
    </row>
    <row r="3494" spans="1:8" x14ac:dyDescent="0.25">
      <c r="A3494" s="952"/>
      <c r="B3494" s="953"/>
      <c r="C3494" s="953"/>
      <c r="D3494" s="953"/>
      <c r="E3494" s="953"/>
      <c r="F3494" s="953"/>
      <c r="G3494" s="953"/>
      <c r="H3494" s="953"/>
    </row>
    <row r="3495" spans="1:8" x14ac:dyDescent="0.25">
      <c r="A3495" s="952"/>
      <c r="B3495" s="953"/>
      <c r="C3495" s="953"/>
      <c r="D3495" s="953"/>
      <c r="E3495" s="953"/>
      <c r="F3495" s="953"/>
      <c r="G3495" s="953"/>
      <c r="H3495" s="953"/>
    </row>
    <row r="3496" spans="1:8" x14ac:dyDescent="0.25">
      <c r="A3496" s="952"/>
      <c r="B3496" s="953"/>
      <c r="C3496" s="953"/>
      <c r="D3496" s="953"/>
      <c r="E3496" s="953"/>
      <c r="F3496" s="953"/>
      <c r="G3496" s="953"/>
      <c r="H3496" s="953"/>
    </row>
    <row r="3497" spans="1:8" x14ac:dyDescent="0.25">
      <c r="A3497" s="952"/>
      <c r="B3497" s="953"/>
      <c r="C3497" s="953"/>
      <c r="D3497" s="953"/>
      <c r="E3497" s="953"/>
      <c r="F3497" s="953"/>
      <c r="G3497" s="953"/>
      <c r="H3497" s="953"/>
    </row>
    <row r="3498" spans="1:8" x14ac:dyDescent="0.25">
      <c r="A3498" s="952"/>
      <c r="B3498" s="953"/>
      <c r="C3498" s="953"/>
      <c r="D3498" s="953"/>
      <c r="E3498" s="953"/>
      <c r="F3498" s="953"/>
      <c r="G3498" s="953"/>
      <c r="H3498" s="953"/>
    </row>
    <row r="3499" spans="1:8" x14ac:dyDescent="0.25">
      <c r="A3499" s="952"/>
      <c r="B3499" s="953"/>
      <c r="C3499" s="953"/>
      <c r="D3499" s="953"/>
      <c r="E3499" s="953"/>
      <c r="F3499" s="953"/>
      <c r="G3499" s="953"/>
      <c r="H3499" s="953"/>
    </row>
    <row r="3500" spans="1:8" x14ac:dyDescent="0.25">
      <c r="A3500" s="952"/>
      <c r="B3500" s="953"/>
      <c r="C3500" s="953"/>
      <c r="D3500" s="953"/>
      <c r="E3500" s="953"/>
      <c r="F3500" s="953"/>
      <c r="G3500" s="953"/>
      <c r="H3500" s="953"/>
    </row>
    <row r="3501" spans="1:8" x14ac:dyDescent="0.25">
      <c r="A3501" s="952"/>
      <c r="B3501" s="953"/>
      <c r="C3501" s="953"/>
      <c r="D3501" s="953"/>
      <c r="E3501" s="953"/>
      <c r="F3501" s="953"/>
      <c r="G3501" s="953"/>
      <c r="H3501" s="953"/>
    </row>
    <row r="3502" spans="1:8" x14ac:dyDescent="0.25">
      <c r="A3502" s="952"/>
      <c r="B3502" s="953"/>
      <c r="C3502" s="953"/>
      <c r="D3502" s="953"/>
      <c r="E3502" s="953"/>
      <c r="F3502" s="953"/>
      <c r="G3502" s="953"/>
      <c r="H3502" s="953"/>
    </row>
    <row r="3503" spans="1:8" x14ac:dyDescent="0.25">
      <c r="A3503" s="952"/>
      <c r="B3503" s="953"/>
      <c r="C3503" s="953"/>
      <c r="D3503" s="953"/>
      <c r="E3503" s="953"/>
      <c r="F3503" s="953"/>
      <c r="G3503" s="953"/>
      <c r="H3503" s="953"/>
    </row>
    <row r="3504" spans="1:8" x14ac:dyDescent="0.25">
      <c r="A3504" s="952"/>
      <c r="B3504" s="953"/>
      <c r="C3504" s="953"/>
      <c r="D3504" s="953"/>
      <c r="E3504" s="953"/>
      <c r="F3504" s="953"/>
      <c r="G3504" s="953"/>
      <c r="H3504" s="953"/>
    </row>
    <row r="3505" spans="1:8" x14ac:dyDescent="0.25">
      <c r="A3505" s="952"/>
      <c r="B3505" s="953"/>
      <c r="C3505" s="953"/>
      <c r="D3505" s="953"/>
      <c r="E3505" s="953"/>
      <c r="F3505" s="953"/>
      <c r="G3505" s="953"/>
      <c r="H3505" s="953"/>
    </row>
    <row r="3506" spans="1:8" x14ac:dyDescent="0.25">
      <c r="A3506" s="952"/>
      <c r="B3506" s="953"/>
      <c r="C3506" s="953"/>
      <c r="D3506" s="953"/>
      <c r="E3506" s="953"/>
      <c r="F3506" s="953"/>
      <c r="G3506" s="953"/>
      <c r="H3506" s="953"/>
    </row>
    <row r="3507" spans="1:8" x14ac:dyDescent="0.25">
      <c r="A3507" s="952"/>
      <c r="B3507" s="953"/>
      <c r="C3507" s="953"/>
      <c r="D3507" s="953"/>
      <c r="E3507" s="953"/>
      <c r="F3507" s="953"/>
      <c r="G3507" s="953"/>
      <c r="H3507" s="953"/>
    </row>
    <row r="3508" spans="1:8" x14ac:dyDescent="0.25">
      <c r="A3508" s="952"/>
      <c r="B3508" s="953"/>
      <c r="C3508" s="953"/>
      <c r="D3508" s="953"/>
      <c r="E3508" s="953"/>
      <c r="F3508" s="953"/>
      <c r="G3508" s="953"/>
      <c r="H3508" s="953"/>
    </row>
    <row r="3509" spans="1:8" x14ac:dyDescent="0.25">
      <c r="A3509" s="952"/>
      <c r="B3509" s="953"/>
      <c r="C3509" s="953"/>
      <c r="D3509" s="953"/>
      <c r="E3509" s="953"/>
      <c r="F3509" s="953"/>
      <c r="G3509" s="953"/>
      <c r="H3509" s="953"/>
    </row>
    <row r="3510" spans="1:8" x14ac:dyDescent="0.25">
      <c r="A3510" s="952"/>
      <c r="B3510" s="953"/>
      <c r="C3510" s="953"/>
      <c r="D3510" s="953"/>
      <c r="E3510" s="953"/>
      <c r="F3510" s="953"/>
      <c r="G3510" s="953"/>
      <c r="H3510" s="953"/>
    </row>
    <row r="3511" spans="1:8" x14ac:dyDescent="0.25">
      <c r="A3511" s="952"/>
      <c r="B3511" s="953"/>
      <c r="C3511" s="953"/>
      <c r="D3511" s="953"/>
      <c r="E3511" s="953"/>
      <c r="F3511" s="953"/>
      <c r="G3511" s="953"/>
      <c r="H3511" s="953"/>
    </row>
    <row r="3512" spans="1:8" x14ac:dyDescent="0.25">
      <c r="A3512" s="952"/>
      <c r="B3512" s="953"/>
      <c r="C3512" s="953"/>
      <c r="D3512" s="953"/>
      <c r="E3512" s="953"/>
      <c r="F3512" s="953"/>
      <c r="G3512" s="953"/>
      <c r="H3512" s="953"/>
    </row>
    <row r="3513" spans="1:8" x14ac:dyDescent="0.25">
      <c r="A3513" s="952"/>
      <c r="B3513" s="953"/>
      <c r="C3513" s="953"/>
      <c r="D3513" s="953"/>
      <c r="E3513" s="953"/>
      <c r="F3513" s="953"/>
      <c r="G3513" s="953"/>
      <c r="H3513" s="953"/>
    </row>
    <row r="3514" spans="1:8" x14ac:dyDescent="0.25">
      <c r="A3514" s="952"/>
      <c r="B3514" s="953"/>
      <c r="C3514" s="953"/>
      <c r="D3514" s="953"/>
      <c r="E3514" s="953"/>
      <c r="F3514" s="953"/>
      <c r="G3514" s="953"/>
      <c r="H3514" s="953"/>
    </row>
    <row r="3515" spans="1:8" x14ac:dyDescent="0.25">
      <c r="A3515" s="952"/>
      <c r="B3515" s="953"/>
      <c r="C3515" s="953"/>
      <c r="D3515" s="953"/>
      <c r="E3515" s="953"/>
      <c r="F3515" s="953"/>
      <c r="G3515" s="953"/>
      <c r="H3515" s="953"/>
    </row>
    <row r="3516" spans="1:8" x14ac:dyDescent="0.25">
      <c r="A3516" s="952"/>
      <c r="B3516" s="953"/>
      <c r="C3516" s="953"/>
      <c r="D3516" s="953"/>
      <c r="E3516" s="953"/>
      <c r="F3516" s="953"/>
      <c r="G3516" s="953"/>
      <c r="H3516" s="953"/>
    </row>
    <row r="3517" spans="1:8" x14ac:dyDescent="0.25">
      <c r="A3517" s="952"/>
      <c r="B3517" s="953"/>
      <c r="C3517" s="953"/>
      <c r="D3517" s="953"/>
      <c r="E3517" s="953"/>
      <c r="F3517" s="953"/>
      <c r="G3517" s="953"/>
      <c r="H3517" s="953"/>
    </row>
    <row r="3518" spans="1:8" x14ac:dyDescent="0.25">
      <c r="A3518" s="952"/>
      <c r="B3518" s="953"/>
      <c r="C3518" s="953"/>
      <c r="D3518" s="953"/>
      <c r="E3518" s="953"/>
      <c r="F3518" s="953"/>
      <c r="G3518" s="953"/>
      <c r="H3518" s="953"/>
    </row>
    <row r="3519" spans="1:8" x14ac:dyDescent="0.25">
      <c r="A3519" s="952"/>
      <c r="B3519" s="953"/>
      <c r="C3519" s="953"/>
      <c r="D3519" s="953"/>
      <c r="E3519" s="953"/>
      <c r="F3519" s="953"/>
      <c r="G3519" s="953"/>
      <c r="H3519" s="953"/>
    </row>
    <row r="3520" spans="1:8" x14ac:dyDescent="0.25">
      <c r="A3520" s="952"/>
      <c r="B3520" s="953"/>
      <c r="C3520" s="953"/>
      <c r="D3520" s="953"/>
      <c r="E3520" s="953"/>
      <c r="F3520" s="953"/>
      <c r="G3520" s="953"/>
      <c r="H3520" s="953"/>
    </row>
    <row r="3521" spans="1:8" x14ac:dyDescent="0.25">
      <c r="A3521" s="952"/>
      <c r="B3521" s="953"/>
      <c r="C3521" s="953"/>
      <c r="D3521" s="953"/>
      <c r="E3521" s="953"/>
      <c r="F3521" s="953"/>
      <c r="G3521" s="953"/>
      <c r="H3521" s="953"/>
    </row>
    <row r="3522" spans="1:8" x14ac:dyDescent="0.25">
      <c r="A3522" s="952"/>
      <c r="B3522" s="953"/>
      <c r="C3522" s="953"/>
      <c r="D3522" s="953"/>
      <c r="E3522" s="953"/>
      <c r="F3522" s="953"/>
      <c r="G3522" s="953"/>
      <c r="H3522" s="953"/>
    </row>
    <row r="3523" spans="1:8" x14ac:dyDescent="0.25">
      <c r="A3523" s="952"/>
      <c r="B3523" s="953"/>
      <c r="C3523" s="953"/>
      <c r="D3523" s="953"/>
      <c r="E3523" s="953"/>
      <c r="F3523" s="953"/>
      <c r="G3523" s="953"/>
      <c r="H3523" s="953"/>
    </row>
    <row r="3524" spans="1:8" x14ac:dyDescent="0.25">
      <c r="A3524" s="952"/>
      <c r="B3524" s="953"/>
      <c r="C3524" s="953"/>
      <c r="D3524" s="953"/>
      <c r="E3524" s="953"/>
      <c r="F3524" s="953"/>
      <c r="G3524" s="953"/>
      <c r="H3524" s="953"/>
    </row>
    <row r="3525" spans="1:8" x14ac:dyDescent="0.25">
      <c r="A3525" s="952"/>
      <c r="B3525" s="953"/>
      <c r="C3525" s="953"/>
      <c r="D3525" s="953"/>
      <c r="E3525" s="953"/>
      <c r="F3525" s="953"/>
      <c r="G3525" s="953"/>
      <c r="H3525" s="953"/>
    </row>
    <row r="3526" spans="1:8" x14ac:dyDescent="0.25">
      <c r="A3526" s="952"/>
      <c r="B3526" s="953"/>
      <c r="C3526" s="953"/>
      <c r="D3526" s="953"/>
      <c r="E3526" s="953"/>
      <c r="F3526" s="953"/>
      <c r="G3526" s="953"/>
      <c r="H3526" s="953"/>
    </row>
    <row r="3527" spans="1:8" x14ac:dyDescent="0.25">
      <c r="A3527" s="952"/>
      <c r="B3527" s="953"/>
      <c r="C3527" s="953"/>
      <c r="D3527" s="953"/>
      <c r="E3527" s="953"/>
      <c r="F3527" s="953"/>
      <c r="G3527" s="953"/>
      <c r="H3527" s="953"/>
    </row>
    <row r="3528" spans="1:8" x14ac:dyDescent="0.25">
      <c r="A3528" s="952"/>
      <c r="B3528" s="953"/>
      <c r="C3528" s="953"/>
      <c r="D3528" s="953"/>
      <c r="E3528" s="953"/>
      <c r="F3528" s="953"/>
      <c r="G3528" s="953"/>
      <c r="H3528" s="953"/>
    </row>
    <row r="3529" spans="1:8" x14ac:dyDescent="0.25">
      <c r="A3529" s="952"/>
      <c r="B3529" s="953"/>
      <c r="C3529" s="953"/>
      <c r="D3529" s="953"/>
      <c r="E3529" s="953"/>
      <c r="F3529" s="953"/>
      <c r="G3529" s="953"/>
      <c r="H3529" s="953"/>
    </row>
    <row r="3530" spans="1:8" x14ac:dyDescent="0.25">
      <c r="A3530" s="952"/>
      <c r="B3530" s="953"/>
      <c r="C3530" s="953"/>
      <c r="D3530" s="953"/>
      <c r="E3530" s="953"/>
      <c r="F3530" s="953"/>
      <c r="G3530" s="953"/>
      <c r="H3530" s="953"/>
    </row>
    <row r="3531" spans="1:8" x14ac:dyDescent="0.25">
      <c r="A3531" s="952"/>
      <c r="B3531" s="953"/>
      <c r="C3531" s="953"/>
      <c r="D3531" s="953"/>
      <c r="E3531" s="953"/>
      <c r="F3531" s="953"/>
      <c r="G3531" s="953"/>
      <c r="H3531" s="953"/>
    </row>
    <row r="3532" spans="1:8" x14ac:dyDescent="0.25">
      <c r="A3532" s="952"/>
      <c r="B3532" s="953"/>
      <c r="C3532" s="953"/>
      <c r="D3532" s="953"/>
      <c r="E3532" s="953"/>
      <c r="F3532" s="953"/>
      <c r="G3532" s="953"/>
      <c r="H3532" s="953"/>
    </row>
    <row r="3533" spans="1:8" x14ac:dyDescent="0.25">
      <c r="A3533" s="952"/>
      <c r="B3533" s="953"/>
      <c r="C3533" s="953"/>
      <c r="D3533" s="953"/>
      <c r="E3533" s="953"/>
      <c r="F3533" s="953"/>
      <c r="G3533" s="953"/>
      <c r="H3533" s="953"/>
    </row>
    <row r="3534" spans="1:8" x14ac:dyDescent="0.25">
      <c r="A3534" s="952"/>
      <c r="B3534" s="953"/>
      <c r="C3534" s="953"/>
      <c r="D3534" s="953"/>
      <c r="E3534" s="953"/>
      <c r="F3534" s="953"/>
      <c r="G3534" s="953"/>
      <c r="H3534" s="953"/>
    </row>
    <row r="3535" spans="1:8" x14ac:dyDescent="0.25">
      <c r="A3535" s="952"/>
      <c r="B3535" s="953"/>
      <c r="C3535" s="953"/>
      <c r="D3535" s="953"/>
      <c r="E3535" s="953"/>
      <c r="F3535" s="953"/>
      <c r="G3535" s="953"/>
      <c r="H3535" s="953"/>
    </row>
    <row r="3536" spans="1:8" x14ac:dyDescent="0.25">
      <c r="A3536" s="952"/>
      <c r="B3536" s="953"/>
      <c r="C3536" s="953"/>
      <c r="D3536" s="953"/>
      <c r="E3536" s="953"/>
      <c r="F3536" s="953"/>
      <c r="G3536" s="953"/>
      <c r="H3536" s="953"/>
    </row>
    <row r="3537" spans="1:8" x14ac:dyDescent="0.25">
      <c r="A3537" s="952"/>
      <c r="B3537" s="953"/>
      <c r="C3537" s="953"/>
      <c r="D3537" s="953"/>
      <c r="E3537" s="953"/>
      <c r="F3537" s="953"/>
      <c r="G3537" s="953"/>
      <c r="H3537" s="953"/>
    </row>
    <row r="3538" spans="1:8" x14ac:dyDescent="0.25">
      <c r="A3538" s="952"/>
      <c r="B3538" s="953"/>
      <c r="C3538" s="953"/>
      <c r="D3538" s="953"/>
      <c r="E3538" s="953"/>
      <c r="F3538" s="953"/>
      <c r="G3538" s="953"/>
      <c r="H3538" s="953"/>
    </row>
    <row r="3539" spans="1:8" x14ac:dyDescent="0.25">
      <c r="A3539" s="952"/>
      <c r="B3539" s="953"/>
      <c r="C3539" s="953"/>
      <c r="D3539" s="953"/>
      <c r="E3539" s="953"/>
      <c r="F3539" s="953"/>
      <c r="G3539" s="953"/>
      <c r="H3539" s="953"/>
    </row>
    <row r="3540" spans="1:8" x14ac:dyDescent="0.25">
      <c r="A3540" s="952"/>
      <c r="B3540" s="953"/>
      <c r="C3540" s="953"/>
      <c r="D3540" s="953"/>
      <c r="E3540" s="953"/>
      <c r="F3540" s="953"/>
      <c r="G3540" s="953"/>
      <c r="H3540" s="953"/>
    </row>
    <row r="3541" spans="1:8" x14ac:dyDescent="0.25">
      <c r="A3541" s="952"/>
      <c r="B3541" s="953"/>
      <c r="C3541" s="953"/>
      <c r="D3541" s="953"/>
      <c r="E3541" s="953"/>
      <c r="F3541" s="953"/>
      <c r="G3541" s="953"/>
      <c r="H3541" s="953"/>
    </row>
    <row r="3542" spans="1:8" x14ac:dyDescent="0.25">
      <c r="A3542" s="952"/>
      <c r="B3542" s="953"/>
      <c r="C3542" s="953"/>
      <c r="D3542" s="953"/>
      <c r="E3542" s="953"/>
      <c r="F3542" s="953"/>
      <c r="G3542" s="953"/>
      <c r="H3542" s="953"/>
    </row>
    <row r="3543" spans="1:8" x14ac:dyDescent="0.25">
      <c r="A3543" s="952"/>
      <c r="B3543" s="953"/>
      <c r="C3543" s="953"/>
      <c r="D3543" s="953"/>
      <c r="E3543" s="953"/>
      <c r="F3543" s="953"/>
      <c r="G3543" s="953"/>
      <c r="H3543" s="953"/>
    </row>
    <row r="3544" spans="1:8" x14ac:dyDescent="0.25">
      <c r="A3544" s="952"/>
      <c r="B3544" s="953"/>
      <c r="C3544" s="953"/>
      <c r="D3544" s="953"/>
      <c r="E3544" s="953"/>
      <c r="F3544" s="953"/>
      <c r="G3544" s="953"/>
      <c r="H3544" s="953"/>
    </row>
    <row r="3545" spans="1:8" x14ac:dyDescent="0.25">
      <c r="A3545" s="952"/>
      <c r="B3545" s="953"/>
      <c r="C3545" s="953"/>
      <c r="D3545" s="953"/>
      <c r="E3545" s="953"/>
      <c r="F3545" s="953"/>
      <c r="G3545" s="953"/>
      <c r="H3545" s="953"/>
    </row>
    <row r="3546" spans="1:8" x14ac:dyDescent="0.25">
      <c r="A3546" s="952"/>
      <c r="B3546" s="953"/>
      <c r="C3546" s="953"/>
      <c r="D3546" s="953"/>
      <c r="E3546" s="953"/>
      <c r="F3546" s="953"/>
      <c r="G3546" s="953"/>
      <c r="H3546" s="953"/>
    </row>
    <row r="3547" spans="1:8" x14ac:dyDescent="0.25">
      <c r="A3547" s="952"/>
      <c r="B3547" s="953"/>
      <c r="C3547" s="953"/>
      <c r="D3547" s="953"/>
      <c r="E3547" s="953"/>
      <c r="F3547" s="953"/>
      <c r="G3547" s="953"/>
      <c r="H3547" s="953"/>
    </row>
    <row r="3548" spans="1:8" x14ac:dyDescent="0.25">
      <c r="A3548" s="952"/>
      <c r="B3548" s="953"/>
      <c r="C3548" s="953"/>
      <c r="D3548" s="953"/>
      <c r="E3548" s="953"/>
      <c r="F3548" s="953"/>
      <c r="G3548" s="953"/>
      <c r="H3548" s="953"/>
    </row>
    <row r="3549" spans="1:8" x14ac:dyDescent="0.25">
      <c r="A3549" s="952"/>
      <c r="B3549" s="953"/>
      <c r="C3549" s="953"/>
      <c r="D3549" s="953"/>
      <c r="E3549" s="953"/>
      <c r="F3549" s="953"/>
      <c r="G3549" s="953"/>
      <c r="H3549" s="953"/>
    </row>
    <row r="3550" spans="1:8" x14ac:dyDescent="0.25">
      <c r="A3550" s="952"/>
      <c r="B3550" s="953"/>
      <c r="C3550" s="953"/>
      <c r="D3550" s="953"/>
      <c r="E3550" s="953"/>
      <c r="F3550" s="953"/>
      <c r="G3550" s="953"/>
      <c r="H3550" s="953"/>
    </row>
    <row r="3551" spans="1:8" x14ac:dyDescent="0.25">
      <c r="A3551" s="952"/>
      <c r="B3551" s="953"/>
      <c r="C3551" s="953"/>
      <c r="D3551" s="953"/>
      <c r="E3551" s="953"/>
      <c r="F3551" s="953"/>
      <c r="G3551" s="953"/>
      <c r="H3551" s="953"/>
    </row>
    <row r="3552" spans="1:8" x14ac:dyDescent="0.25">
      <c r="A3552" s="952"/>
      <c r="B3552" s="953"/>
      <c r="C3552" s="953"/>
      <c r="D3552" s="953"/>
      <c r="E3552" s="953"/>
      <c r="F3552" s="953"/>
      <c r="G3552" s="953"/>
      <c r="H3552" s="953"/>
    </row>
    <row r="3553" spans="1:8" x14ac:dyDescent="0.25">
      <c r="A3553" s="952"/>
      <c r="B3553" s="953"/>
      <c r="C3553" s="953"/>
      <c r="D3553" s="953"/>
      <c r="E3553" s="953"/>
      <c r="F3553" s="953"/>
      <c r="G3553" s="953"/>
      <c r="H3553" s="953"/>
    </row>
    <row r="3554" spans="1:8" x14ac:dyDescent="0.25">
      <c r="A3554" s="952"/>
      <c r="B3554" s="953"/>
      <c r="C3554" s="953"/>
      <c r="D3554" s="953"/>
      <c r="E3554" s="953"/>
      <c r="F3554" s="953"/>
      <c r="G3554" s="953"/>
      <c r="H3554" s="953"/>
    </row>
    <row r="3555" spans="1:8" x14ac:dyDescent="0.25">
      <c r="A3555" s="952"/>
      <c r="B3555" s="953"/>
      <c r="C3555" s="953"/>
      <c r="D3555" s="953"/>
      <c r="E3555" s="953"/>
      <c r="F3555" s="953"/>
      <c r="G3555" s="953"/>
      <c r="H3555" s="953"/>
    </row>
    <row r="3556" spans="1:8" x14ac:dyDescent="0.25">
      <c r="A3556" s="952"/>
      <c r="B3556" s="953"/>
      <c r="C3556" s="953"/>
      <c r="D3556" s="953"/>
      <c r="E3556" s="953"/>
      <c r="F3556" s="953"/>
      <c r="G3556" s="953"/>
      <c r="H3556" s="953"/>
    </row>
    <row r="3557" spans="1:8" x14ac:dyDescent="0.25">
      <c r="A3557" s="952"/>
      <c r="B3557" s="953"/>
      <c r="C3557" s="953"/>
      <c r="D3557" s="953"/>
      <c r="E3557" s="953"/>
      <c r="F3557" s="953"/>
      <c r="G3557" s="953"/>
      <c r="H3557" s="953"/>
    </row>
    <row r="3558" spans="1:8" x14ac:dyDescent="0.25">
      <c r="A3558" s="952"/>
      <c r="B3558" s="953"/>
      <c r="C3558" s="953"/>
      <c r="D3558" s="953"/>
      <c r="E3558" s="953"/>
      <c r="F3558" s="953"/>
      <c r="G3558" s="953"/>
      <c r="H3558" s="953"/>
    </row>
    <row r="3559" spans="1:8" x14ac:dyDescent="0.25">
      <c r="A3559" s="952"/>
      <c r="B3559" s="953"/>
      <c r="C3559" s="953"/>
      <c r="D3559" s="953"/>
      <c r="E3559" s="953"/>
      <c r="F3559" s="953"/>
      <c r="G3559" s="953"/>
      <c r="H3559" s="953"/>
    </row>
    <row r="3560" spans="1:8" x14ac:dyDescent="0.25">
      <c r="A3560" s="952"/>
      <c r="B3560" s="953"/>
      <c r="C3560" s="953"/>
      <c r="D3560" s="953"/>
      <c r="E3560" s="953"/>
      <c r="F3560" s="953"/>
      <c r="G3560" s="953"/>
      <c r="H3560" s="953"/>
    </row>
    <row r="3561" spans="1:8" x14ac:dyDescent="0.25">
      <c r="A3561" s="952"/>
      <c r="B3561" s="953"/>
      <c r="C3561" s="953"/>
      <c r="D3561" s="953"/>
      <c r="E3561" s="953"/>
      <c r="F3561" s="953"/>
      <c r="G3561" s="953"/>
      <c r="H3561" s="953"/>
    </row>
    <row r="3562" spans="1:8" x14ac:dyDescent="0.25">
      <c r="A3562" s="952"/>
      <c r="B3562" s="953"/>
      <c r="C3562" s="953"/>
      <c r="D3562" s="953"/>
      <c r="E3562" s="953"/>
      <c r="F3562" s="953"/>
      <c r="G3562" s="953"/>
      <c r="H3562" s="953"/>
    </row>
    <row r="3563" spans="1:8" x14ac:dyDescent="0.25">
      <c r="A3563" s="952"/>
      <c r="B3563" s="953"/>
      <c r="C3563" s="953"/>
      <c r="D3563" s="953"/>
      <c r="E3563" s="953"/>
      <c r="F3563" s="953"/>
      <c r="G3563" s="953"/>
      <c r="H3563" s="953"/>
    </row>
    <row r="3564" spans="1:8" x14ac:dyDescent="0.25">
      <c r="A3564" s="952"/>
      <c r="B3564" s="953"/>
      <c r="C3564" s="953"/>
      <c r="D3564" s="953"/>
      <c r="E3564" s="953"/>
      <c r="F3564" s="953"/>
      <c r="G3564" s="953"/>
      <c r="H3564" s="953"/>
    </row>
    <row r="3565" spans="1:8" x14ac:dyDescent="0.25">
      <c r="A3565" s="952"/>
      <c r="B3565" s="953"/>
      <c r="C3565" s="953"/>
      <c r="D3565" s="953"/>
      <c r="E3565" s="953"/>
      <c r="F3565" s="953"/>
      <c r="G3565" s="953"/>
      <c r="H3565" s="953"/>
    </row>
    <row r="3566" spans="1:8" x14ac:dyDescent="0.25">
      <c r="A3566" s="952"/>
      <c r="B3566" s="953"/>
      <c r="C3566" s="953"/>
      <c r="D3566" s="953"/>
      <c r="E3566" s="953"/>
      <c r="F3566" s="953"/>
      <c r="G3566" s="953"/>
      <c r="H3566" s="953"/>
    </row>
    <row r="3567" spans="1:8" x14ac:dyDescent="0.25">
      <c r="A3567" s="952"/>
      <c r="B3567" s="953"/>
      <c r="C3567" s="953"/>
      <c r="D3567" s="953"/>
      <c r="E3567" s="953"/>
      <c r="F3567" s="953"/>
      <c r="G3567" s="953"/>
      <c r="H3567" s="953"/>
    </row>
    <row r="3568" spans="1:8" x14ac:dyDescent="0.25">
      <c r="A3568" s="952"/>
      <c r="B3568" s="953"/>
      <c r="C3568" s="953"/>
      <c r="D3568" s="953"/>
      <c r="E3568" s="953"/>
      <c r="F3568" s="953"/>
      <c r="G3568" s="953"/>
      <c r="H3568" s="953"/>
    </row>
    <row r="3569" spans="1:8" x14ac:dyDescent="0.25">
      <c r="A3569" s="952"/>
      <c r="B3569" s="953"/>
      <c r="C3569" s="953"/>
      <c r="D3569" s="953"/>
      <c r="E3569" s="953"/>
      <c r="F3569" s="953"/>
      <c r="G3569" s="953"/>
      <c r="H3569" s="953"/>
    </row>
    <row r="3570" spans="1:8" x14ac:dyDescent="0.25">
      <c r="A3570" s="952"/>
      <c r="B3570" s="953"/>
      <c r="C3570" s="953"/>
      <c r="D3570" s="953"/>
      <c r="E3570" s="953"/>
      <c r="F3570" s="953"/>
      <c r="G3570" s="953"/>
      <c r="H3570" s="953"/>
    </row>
    <row r="3571" spans="1:8" x14ac:dyDescent="0.25">
      <c r="A3571" s="952"/>
      <c r="B3571" s="953"/>
      <c r="C3571" s="953"/>
      <c r="D3571" s="953"/>
      <c r="E3571" s="953"/>
      <c r="F3571" s="953"/>
      <c r="G3571" s="953"/>
      <c r="H3571" s="953"/>
    </row>
    <row r="3572" spans="1:8" x14ac:dyDescent="0.25">
      <c r="A3572" s="952"/>
      <c r="B3572" s="953"/>
      <c r="C3572" s="953"/>
      <c r="D3572" s="953"/>
      <c r="E3572" s="953"/>
      <c r="F3572" s="953"/>
      <c r="G3572" s="953"/>
      <c r="H3572" s="953"/>
    </row>
    <row r="3573" spans="1:8" x14ac:dyDescent="0.25">
      <c r="A3573" s="952"/>
      <c r="B3573" s="953"/>
      <c r="C3573" s="953"/>
      <c r="D3573" s="953"/>
      <c r="E3573" s="953"/>
      <c r="F3573" s="953"/>
      <c r="G3573" s="953"/>
      <c r="H3573" s="953"/>
    </row>
    <row r="3574" spans="1:8" x14ac:dyDescent="0.25">
      <c r="A3574" s="952"/>
      <c r="B3574" s="953"/>
      <c r="C3574" s="953"/>
      <c r="D3574" s="953"/>
      <c r="E3574" s="953"/>
      <c r="F3574" s="953"/>
      <c r="G3574" s="953"/>
      <c r="H3574" s="953"/>
    </row>
    <row r="3575" spans="1:8" x14ac:dyDescent="0.25">
      <c r="A3575" s="952"/>
      <c r="B3575" s="953"/>
      <c r="C3575" s="953"/>
      <c r="D3575" s="953"/>
      <c r="E3575" s="953"/>
      <c r="F3575" s="953"/>
      <c r="G3575" s="953"/>
      <c r="H3575" s="953"/>
    </row>
    <row r="3576" spans="1:8" x14ac:dyDescent="0.25">
      <c r="A3576" s="952"/>
      <c r="B3576" s="953"/>
      <c r="C3576" s="953"/>
      <c r="D3576" s="953"/>
      <c r="E3576" s="953"/>
      <c r="F3576" s="953"/>
      <c r="G3576" s="953"/>
      <c r="H3576" s="953"/>
    </row>
    <row r="3577" spans="1:8" x14ac:dyDescent="0.25">
      <c r="A3577" s="952"/>
      <c r="B3577" s="953"/>
      <c r="C3577" s="953"/>
      <c r="D3577" s="953"/>
      <c r="E3577" s="953"/>
      <c r="F3577" s="953"/>
      <c r="G3577" s="953"/>
      <c r="H3577" s="953"/>
    </row>
    <row r="3578" spans="1:8" x14ac:dyDescent="0.25">
      <c r="A3578" s="952"/>
      <c r="B3578" s="953"/>
      <c r="C3578" s="953"/>
      <c r="D3578" s="953"/>
      <c r="E3578" s="953"/>
      <c r="F3578" s="953"/>
      <c r="G3578" s="953"/>
      <c r="H3578" s="953"/>
    </row>
    <row r="3579" spans="1:8" x14ac:dyDescent="0.25">
      <c r="A3579" s="952"/>
      <c r="B3579" s="953"/>
      <c r="C3579" s="953"/>
      <c r="D3579" s="953"/>
      <c r="E3579" s="953"/>
      <c r="F3579" s="953"/>
      <c r="G3579" s="953"/>
      <c r="H3579" s="953"/>
    </row>
    <row r="3580" spans="1:8" x14ac:dyDescent="0.25">
      <c r="A3580" s="952"/>
      <c r="B3580" s="953"/>
      <c r="C3580" s="953"/>
      <c r="D3580" s="953"/>
      <c r="E3580" s="953"/>
      <c r="F3580" s="953"/>
      <c r="G3580" s="953"/>
      <c r="H3580" s="953"/>
    </row>
    <row r="3581" spans="1:8" x14ac:dyDescent="0.25">
      <c r="A3581" s="952"/>
      <c r="B3581" s="953"/>
      <c r="C3581" s="953"/>
      <c r="D3581" s="953"/>
      <c r="E3581" s="953"/>
      <c r="F3581" s="953"/>
      <c r="G3581" s="953"/>
      <c r="H3581" s="953"/>
    </row>
    <row r="3582" spans="1:8" x14ac:dyDescent="0.25">
      <c r="A3582" s="952"/>
      <c r="B3582" s="953"/>
      <c r="C3582" s="953"/>
      <c r="D3582" s="953"/>
      <c r="E3582" s="953"/>
      <c r="F3582" s="953"/>
      <c r="G3582" s="953"/>
      <c r="H3582" s="953"/>
    </row>
    <row r="3583" spans="1:8" x14ac:dyDescent="0.25">
      <c r="A3583" s="952"/>
      <c r="B3583" s="953"/>
      <c r="C3583" s="953"/>
      <c r="D3583" s="953"/>
      <c r="E3583" s="953"/>
      <c r="F3583" s="953"/>
      <c r="G3583" s="953"/>
      <c r="H3583" s="953"/>
    </row>
    <row r="3584" spans="1:8" x14ac:dyDescent="0.25">
      <c r="A3584" s="952"/>
      <c r="B3584" s="953"/>
      <c r="C3584" s="953"/>
      <c r="D3584" s="953"/>
      <c r="E3584" s="953"/>
      <c r="F3584" s="953"/>
      <c r="G3584" s="953"/>
      <c r="H3584" s="953"/>
    </row>
    <row r="3585" spans="1:8" x14ac:dyDescent="0.25">
      <c r="A3585" s="952"/>
      <c r="B3585" s="953"/>
      <c r="C3585" s="953"/>
      <c r="D3585" s="953"/>
      <c r="E3585" s="953"/>
      <c r="F3585" s="953"/>
      <c r="G3585" s="953"/>
      <c r="H3585" s="953"/>
    </row>
    <row r="3586" spans="1:8" x14ac:dyDescent="0.25">
      <c r="A3586" s="952"/>
      <c r="B3586" s="953"/>
      <c r="C3586" s="953"/>
      <c r="D3586" s="953"/>
      <c r="E3586" s="953"/>
      <c r="F3586" s="953"/>
      <c r="G3586" s="953"/>
      <c r="H3586" s="953"/>
    </row>
    <row r="3587" spans="1:8" x14ac:dyDescent="0.25">
      <c r="A3587" s="952"/>
      <c r="B3587" s="953"/>
      <c r="C3587" s="953"/>
      <c r="D3587" s="953"/>
      <c r="E3587" s="953"/>
      <c r="F3587" s="953"/>
      <c r="G3587" s="953"/>
      <c r="H3587" s="953"/>
    </row>
    <row r="3588" spans="1:8" x14ac:dyDescent="0.25">
      <c r="A3588" s="952"/>
      <c r="B3588" s="953"/>
      <c r="C3588" s="953"/>
      <c r="D3588" s="953"/>
      <c r="E3588" s="953"/>
      <c r="F3588" s="953"/>
      <c r="G3588" s="953"/>
      <c r="H3588" s="953"/>
    </row>
    <row r="3589" spans="1:8" x14ac:dyDescent="0.25">
      <c r="A3589" s="952"/>
      <c r="B3589" s="953"/>
      <c r="C3589" s="953"/>
      <c r="D3589" s="953"/>
      <c r="E3589" s="953"/>
      <c r="F3589" s="953"/>
      <c r="G3589" s="953"/>
      <c r="H3589" s="953"/>
    </row>
    <row r="3590" spans="1:8" x14ac:dyDescent="0.25">
      <c r="A3590" s="952"/>
      <c r="B3590" s="953"/>
      <c r="C3590" s="953"/>
      <c r="D3590" s="953"/>
      <c r="E3590" s="953"/>
      <c r="F3590" s="953"/>
      <c r="G3590" s="953"/>
      <c r="H3590" s="953"/>
    </row>
    <row r="3591" spans="1:8" x14ac:dyDescent="0.25">
      <c r="A3591" s="952"/>
      <c r="B3591" s="953"/>
      <c r="C3591" s="953"/>
      <c r="D3591" s="953"/>
      <c r="E3591" s="953"/>
      <c r="F3591" s="953"/>
      <c r="G3591" s="953"/>
      <c r="H3591" s="953"/>
    </row>
    <row r="3592" spans="1:8" x14ac:dyDescent="0.25">
      <c r="A3592" s="952"/>
      <c r="B3592" s="953"/>
      <c r="C3592" s="953"/>
      <c r="D3592" s="953"/>
      <c r="E3592" s="953"/>
      <c r="F3592" s="953"/>
      <c r="G3592" s="953"/>
      <c r="H3592" s="953"/>
    </row>
    <row r="3593" spans="1:8" x14ac:dyDescent="0.25">
      <c r="A3593" s="952"/>
      <c r="B3593" s="953"/>
      <c r="C3593" s="953"/>
      <c r="D3593" s="953"/>
      <c r="E3593" s="953"/>
      <c r="F3593" s="953"/>
      <c r="G3593" s="953"/>
      <c r="H3593" s="953"/>
    </row>
    <row r="3594" spans="1:8" x14ac:dyDescent="0.25">
      <c r="A3594" s="952"/>
      <c r="B3594" s="953"/>
      <c r="C3594" s="953"/>
      <c r="D3594" s="953"/>
      <c r="E3594" s="953"/>
      <c r="F3594" s="953"/>
      <c r="G3594" s="953"/>
      <c r="H3594" s="953"/>
    </row>
    <row r="3595" spans="1:8" x14ac:dyDescent="0.25">
      <c r="A3595" s="952"/>
      <c r="B3595" s="953"/>
      <c r="C3595" s="953"/>
      <c r="D3595" s="953"/>
      <c r="E3595" s="953"/>
      <c r="F3595" s="953"/>
      <c r="G3595" s="953"/>
      <c r="H3595" s="953"/>
    </row>
    <row r="3596" spans="1:8" x14ac:dyDescent="0.25">
      <c r="A3596" s="952"/>
      <c r="B3596" s="953"/>
      <c r="C3596" s="953"/>
      <c r="D3596" s="953"/>
      <c r="E3596" s="953"/>
      <c r="F3596" s="953"/>
      <c r="G3596" s="953"/>
      <c r="H3596" s="953"/>
    </row>
    <row r="3597" spans="1:8" x14ac:dyDescent="0.25">
      <c r="A3597" s="952"/>
      <c r="B3597" s="953"/>
      <c r="C3597" s="953"/>
      <c r="D3597" s="953"/>
      <c r="E3597" s="953"/>
      <c r="F3597" s="953"/>
      <c r="G3597" s="953"/>
      <c r="H3597" s="953"/>
    </row>
    <row r="3598" spans="1:8" x14ac:dyDescent="0.25">
      <c r="A3598" s="952"/>
      <c r="B3598" s="953"/>
      <c r="C3598" s="953"/>
      <c r="D3598" s="953"/>
      <c r="E3598" s="953"/>
      <c r="F3598" s="953"/>
      <c r="G3598" s="953"/>
      <c r="H3598" s="953"/>
    </row>
    <row r="3599" spans="1:8" x14ac:dyDescent="0.25">
      <c r="A3599" s="952"/>
      <c r="B3599" s="953"/>
      <c r="C3599" s="953"/>
      <c r="D3599" s="953"/>
      <c r="E3599" s="953"/>
      <c r="F3599" s="953"/>
      <c r="G3599" s="953"/>
      <c r="H3599" s="953"/>
    </row>
    <row r="3600" spans="1:8" x14ac:dyDescent="0.25">
      <c r="A3600" s="952"/>
      <c r="B3600" s="953"/>
      <c r="C3600" s="953"/>
      <c r="D3600" s="953"/>
      <c r="E3600" s="953"/>
      <c r="F3600" s="953"/>
      <c r="G3600" s="953"/>
      <c r="H3600" s="953"/>
    </row>
    <row r="3601" spans="1:8" x14ac:dyDescent="0.25">
      <c r="A3601" s="952"/>
      <c r="B3601" s="953"/>
      <c r="C3601" s="953"/>
      <c r="D3601" s="953"/>
      <c r="E3601" s="953"/>
      <c r="F3601" s="953"/>
      <c r="G3601" s="953"/>
      <c r="H3601" s="953"/>
    </row>
    <row r="3602" spans="1:8" x14ac:dyDescent="0.25">
      <c r="A3602" s="952"/>
      <c r="B3602" s="953"/>
      <c r="C3602" s="953"/>
      <c r="D3602" s="953"/>
      <c r="E3602" s="953"/>
      <c r="F3602" s="953"/>
      <c r="G3602" s="953"/>
      <c r="H3602" s="953"/>
    </row>
    <row r="3603" spans="1:8" x14ac:dyDescent="0.25">
      <c r="A3603" s="952"/>
      <c r="B3603" s="953"/>
      <c r="C3603" s="953"/>
      <c r="D3603" s="953"/>
      <c r="E3603" s="953"/>
      <c r="F3603" s="953"/>
      <c r="G3603" s="953"/>
      <c r="H3603" s="953"/>
    </row>
    <row r="3604" spans="1:8" x14ac:dyDescent="0.25">
      <c r="A3604" s="952"/>
      <c r="B3604" s="953"/>
      <c r="C3604" s="953"/>
      <c r="D3604" s="953"/>
      <c r="E3604" s="953"/>
      <c r="F3604" s="953"/>
      <c r="G3604" s="953"/>
      <c r="H3604" s="953"/>
    </row>
    <row r="3605" spans="1:8" x14ac:dyDescent="0.25">
      <c r="A3605" s="952"/>
      <c r="B3605" s="953"/>
      <c r="C3605" s="953"/>
      <c r="D3605" s="953"/>
      <c r="E3605" s="953"/>
      <c r="F3605" s="953"/>
      <c r="G3605" s="953"/>
      <c r="H3605" s="953"/>
    </row>
    <row r="3606" spans="1:8" x14ac:dyDescent="0.25">
      <c r="A3606" s="952"/>
      <c r="B3606" s="953"/>
      <c r="C3606" s="953"/>
      <c r="D3606" s="953"/>
      <c r="E3606" s="953"/>
      <c r="F3606" s="953"/>
      <c r="G3606" s="953"/>
      <c r="H3606" s="953"/>
    </row>
    <row r="3607" spans="1:8" x14ac:dyDescent="0.25">
      <c r="A3607" s="952"/>
      <c r="B3607" s="953"/>
      <c r="C3607" s="953"/>
      <c r="D3607" s="953"/>
      <c r="E3607" s="953"/>
      <c r="F3607" s="953"/>
      <c r="G3607" s="953"/>
      <c r="H3607" s="953"/>
    </row>
    <row r="3608" spans="1:8" x14ac:dyDescent="0.25">
      <c r="A3608" s="952"/>
      <c r="B3608" s="953"/>
      <c r="C3608" s="953"/>
      <c r="D3608" s="953"/>
      <c r="E3608" s="953"/>
      <c r="F3608" s="953"/>
      <c r="G3608" s="953"/>
      <c r="H3608" s="953"/>
    </row>
    <row r="3609" spans="1:8" x14ac:dyDescent="0.25">
      <c r="A3609" s="952"/>
      <c r="B3609" s="953"/>
      <c r="C3609" s="953"/>
      <c r="D3609" s="953"/>
      <c r="E3609" s="953"/>
      <c r="F3609" s="953"/>
      <c r="G3609" s="953"/>
      <c r="H3609" s="953"/>
    </row>
    <row r="3610" spans="1:8" x14ac:dyDescent="0.25">
      <c r="A3610" s="952"/>
      <c r="B3610" s="953"/>
      <c r="C3610" s="953"/>
      <c r="D3610" s="953"/>
      <c r="E3610" s="953"/>
      <c r="F3610" s="953"/>
      <c r="G3610" s="953"/>
      <c r="H3610" s="953"/>
    </row>
    <row r="3611" spans="1:8" x14ac:dyDescent="0.25">
      <c r="A3611" s="952"/>
      <c r="B3611" s="953"/>
      <c r="C3611" s="953"/>
      <c r="D3611" s="953"/>
      <c r="E3611" s="953"/>
      <c r="F3611" s="953"/>
      <c r="G3611" s="953"/>
      <c r="H3611" s="953"/>
    </row>
    <row r="3612" spans="1:8" x14ac:dyDescent="0.25">
      <c r="A3612" s="952"/>
      <c r="B3612" s="953"/>
      <c r="C3612" s="953"/>
      <c r="D3612" s="953"/>
      <c r="E3612" s="953"/>
      <c r="F3612" s="953"/>
      <c r="G3612" s="953"/>
      <c r="H3612" s="953"/>
    </row>
    <row r="3613" spans="1:8" x14ac:dyDescent="0.25">
      <c r="A3613" s="952"/>
      <c r="B3613" s="953"/>
      <c r="C3613" s="953"/>
      <c r="D3613" s="953"/>
      <c r="E3613" s="953"/>
      <c r="F3613" s="953"/>
      <c r="G3613" s="953"/>
      <c r="H3613" s="953"/>
    </row>
    <row r="3614" spans="1:8" x14ac:dyDescent="0.25">
      <c r="A3614" s="952"/>
      <c r="B3614" s="953"/>
      <c r="C3614" s="953"/>
      <c r="D3614" s="953"/>
      <c r="E3614" s="953"/>
      <c r="F3614" s="953"/>
      <c r="G3614" s="953"/>
      <c r="H3614" s="953"/>
    </row>
    <row r="3615" spans="1:8" x14ac:dyDescent="0.25">
      <c r="A3615" s="952"/>
      <c r="B3615" s="953"/>
      <c r="C3615" s="953"/>
      <c r="D3615" s="953"/>
      <c r="E3615" s="953"/>
      <c r="F3615" s="953"/>
      <c r="G3615" s="953"/>
      <c r="H3615" s="953"/>
    </row>
    <row r="3616" spans="1:8" x14ac:dyDescent="0.25">
      <c r="A3616" s="952"/>
      <c r="B3616" s="953"/>
      <c r="C3616" s="953"/>
      <c r="D3616" s="953"/>
      <c r="E3616" s="953"/>
      <c r="F3616" s="953"/>
      <c r="G3616" s="953"/>
      <c r="H3616" s="953"/>
    </row>
    <row r="3617" spans="1:8" x14ac:dyDescent="0.25">
      <c r="A3617" s="952"/>
      <c r="B3617" s="953"/>
      <c r="C3617" s="953"/>
      <c r="D3617" s="953"/>
      <c r="E3617" s="953"/>
      <c r="F3617" s="953"/>
      <c r="G3617" s="953"/>
      <c r="H3617" s="953"/>
    </row>
    <row r="3618" spans="1:8" x14ac:dyDescent="0.25">
      <c r="A3618" s="952"/>
      <c r="B3618" s="953"/>
      <c r="C3618" s="953"/>
      <c r="D3618" s="953"/>
      <c r="E3618" s="953"/>
      <c r="F3618" s="953"/>
      <c r="G3618" s="953"/>
      <c r="H3618" s="953"/>
    </row>
    <row r="3619" spans="1:8" x14ac:dyDescent="0.25">
      <c r="A3619" s="952"/>
      <c r="B3619" s="953"/>
      <c r="C3619" s="953"/>
      <c r="D3619" s="953"/>
      <c r="E3619" s="953"/>
      <c r="F3619" s="953"/>
      <c r="G3619" s="953"/>
      <c r="H3619" s="953"/>
    </row>
    <row r="3620" spans="1:8" x14ac:dyDescent="0.25">
      <c r="A3620" s="952"/>
      <c r="B3620" s="953"/>
      <c r="C3620" s="953"/>
      <c r="D3620" s="953"/>
      <c r="E3620" s="953"/>
      <c r="F3620" s="953"/>
      <c r="G3620" s="953"/>
      <c r="H3620" s="953"/>
    </row>
    <row r="3621" spans="1:8" x14ac:dyDescent="0.25">
      <c r="A3621" s="952"/>
      <c r="B3621" s="953"/>
      <c r="C3621" s="953"/>
      <c r="D3621" s="953"/>
      <c r="E3621" s="953"/>
      <c r="F3621" s="953"/>
      <c r="G3621" s="953"/>
      <c r="H3621" s="953"/>
    </row>
    <row r="3622" spans="1:8" x14ac:dyDescent="0.25">
      <c r="A3622" s="952"/>
      <c r="B3622" s="953"/>
      <c r="C3622" s="953"/>
      <c r="D3622" s="953"/>
      <c r="E3622" s="953"/>
      <c r="F3622" s="953"/>
      <c r="G3622" s="953"/>
      <c r="H3622" s="953"/>
    </row>
    <row r="3623" spans="1:8" x14ac:dyDescent="0.25">
      <c r="A3623" s="952"/>
      <c r="B3623" s="953"/>
      <c r="C3623" s="953"/>
      <c r="D3623" s="953"/>
      <c r="E3623" s="953"/>
      <c r="F3623" s="953"/>
      <c r="G3623" s="953"/>
      <c r="H3623" s="953"/>
    </row>
    <row r="3624" spans="1:8" x14ac:dyDescent="0.25">
      <c r="A3624" s="952"/>
      <c r="B3624" s="953"/>
      <c r="C3624" s="953"/>
      <c r="D3624" s="953"/>
      <c r="E3624" s="953"/>
      <c r="F3624" s="953"/>
      <c r="G3624" s="953"/>
      <c r="H3624" s="953"/>
    </row>
    <row r="3625" spans="1:8" x14ac:dyDescent="0.25">
      <c r="A3625" s="952"/>
      <c r="B3625" s="953"/>
      <c r="C3625" s="953"/>
      <c r="D3625" s="953"/>
      <c r="E3625" s="953"/>
      <c r="F3625" s="953"/>
      <c r="G3625" s="953"/>
      <c r="H3625" s="953"/>
    </row>
    <row r="3626" spans="1:8" x14ac:dyDescent="0.25">
      <c r="A3626" s="952"/>
      <c r="B3626" s="953"/>
      <c r="C3626" s="953"/>
      <c r="D3626" s="953"/>
      <c r="E3626" s="953"/>
      <c r="F3626" s="953"/>
      <c r="G3626" s="953"/>
      <c r="H3626" s="953"/>
    </row>
    <row r="3627" spans="1:8" x14ac:dyDescent="0.25">
      <c r="A3627" s="952"/>
      <c r="B3627" s="953"/>
      <c r="C3627" s="953"/>
      <c r="D3627" s="953"/>
      <c r="E3627" s="953"/>
      <c r="F3627" s="953"/>
      <c r="G3627" s="953"/>
      <c r="H3627" s="953"/>
    </row>
    <row r="3628" spans="1:8" x14ac:dyDescent="0.25">
      <c r="A3628" s="952"/>
      <c r="B3628" s="953"/>
      <c r="C3628" s="953"/>
      <c r="D3628" s="953"/>
      <c r="E3628" s="953"/>
      <c r="F3628" s="953"/>
      <c r="G3628" s="953"/>
      <c r="H3628" s="953"/>
    </row>
    <row r="3629" spans="1:8" x14ac:dyDescent="0.25">
      <c r="A3629" s="952"/>
      <c r="B3629" s="953"/>
      <c r="C3629" s="953"/>
      <c r="D3629" s="953"/>
      <c r="E3629" s="953"/>
      <c r="F3629" s="953"/>
      <c r="G3629" s="953"/>
      <c r="H3629" s="953"/>
    </row>
    <row r="3630" spans="1:8" x14ac:dyDescent="0.25">
      <c r="A3630" s="952"/>
      <c r="B3630" s="953"/>
      <c r="C3630" s="953"/>
      <c r="D3630" s="953"/>
      <c r="E3630" s="953"/>
      <c r="F3630" s="953"/>
      <c r="G3630" s="953"/>
      <c r="H3630" s="953"/>
    </row>
    <row r="3631" spans="1:8" x14ac:dyDescent="0.25">
      <c r="A3631" s="952"/>
      <c r="B3631" s="953"/>
      <c r="C3631" s="953"/>
      <c r="D3631" s="953"/>
      <c r="E3631" s="953"/>
      <c r="F3631" s="953"/>
      <c r="G3631" s="953"/>
      <c r="H3631" s="953"/>
    </row>
    <row r="3632" spans="1:8" x14ac:dyDescent="0.25">
      <c r="A3632" s="952"/>
      <c r="B3632" s="953"/>
      <c r="C3632" s="953"/>
      <c r="D3632" s="953"/>
      <c r="E3632" s="953"/>
      <c r="F3632" s="953"/>
      <c r="G3632" s="953"/>
      <c r="H3632" s="953"/>
    </row>
    <row r="3633" spans="1:8" x14ac:dyDescent="0.25">
      <c r="A3633" s="952"/>
      <c r="B3633" s="953"/>
      <c r="C3633" s="953"/>
      <c r="D3633" s="953"/>
      <c r="E3633" s="953"/>
      <c r="F3633" s="953"/>
      <c r="G3633" s="953"/>
      <c r="H3633" s="953"/>
    </row>
    <row r="3634" spans="1:8" x14ac:dyDescent="0.25">
      <c r="A3634" s="952"/>
      <c r="B3634" s="953"/>
      <c r="C3634" s="953"/>
      <c r="D3634" s="953"/>
      <c r="E3634" s="953"/>
      <c r="F3634" s="953"/>
      <c r="G3634" s="953"/>
      <c r="H3634" s="953"/>
    </row>
    <row r="3635" spans="1:8" x14ac:dyDescent="0.25">
      <c r="A3635" s="952"/>
      <c r="B3635" s="953"/>
      <c r="C3635" s="953"/>
      <c r="D3635" s="953"/>
      <c r="E3635" s="953"/>
      <c r="F3635" s="953"/>
      <c r="G3635" s="953"/>
      <c r="H3635" s="953"/>
    </row>
    <row r="3636" spans="1:8" x14ac:dyDescent="0.25">
      <c r="A3636" s="952"/>
      <c r="B3636" s="953"/>
      <c r="C3636" s="953"/>
      <c r="D3636" s="953"/>
      <c r="E3636" s="953"/>
      <c r="F3636" s="953"/>
      <c r="G3636" s="953"/>
      <c r="H3636" s="953"/>
    </row>
    <row r="3637" spans="1:8" x14ac:dyDescent="0.25">
      <c r="A3637" s="952"/>
      <c r="B3637" s="953"/>
      <c r="C3637" s="953"/>
      <c r="D3637" s="953"/>
      <c r="E3637" s="953"/>
      <c r="F3637" s="953"/>
      <c r="G3637" s="953"/>
      <c r="H3637" s="953"/>
    </row>
    <row r="3638" spans="1:8" x14ac:dyDescent="0.25">
      <c r="A3638" s="952"/>
      <c r="B3638" s="953"/>
      <c r="C3638" s="953"/>
      <c r="D3638" s="953"/>
      <c r="E3638" s="953"/>
      <c r="F3638" s="953"/>
      <c r="G3638" s="953"/>
      <c r="H3638" s="953"/>
    </row>
    <row r="3639" spans="1:8" x14ac:dyDescent="0.25">
      <c r="A3639" s="952"/>
      <c r="B3639" s="953"/>
      <c r="C3639" s="953"/>
      <c r="D3639" s="953"/>
      <c r="E3639" s="953"/>
      <c r="F3639" s="953"/>
      <c r="G3639" s="953"/>
      <c r="H3639" s="953"/>
    </row>
    <row r="3640" spans="1:8" x14ac:dyDescent="0.25">
      <c r="A3640" s="952"/>
      <c r="B3640" s="953"/>
      <c r="C3640" s="953"/>
      <c r="D3640" s="953"/>
      <c r="E3640" s="953"/>
      <c r="F3640" s="953"/>
      <c r="G3640" s="953"/>
      <c r="H3640" s="953"/>
    </row>
    <row r="3641" spans="1:8" x14ac:dyDescent="0.25">
      <c r="A3641" s="952"/>
      <c r="B3641" s="953"/>
      <c r="C3641" s="953"/>
      <c r="D3641" s="953"/>
      <c r="E3641" s="953"/>
      <c r="F3641" s="953"/>
      <c r="G3641" s="953"/>
      <c r="H3641" s="953"/>
    </row>
    <row r="3642" spans="1:8" x14ac:dyDescent="0.25">
      <c r="A3642" s="952"/>
      <c r="B3642" s="953"/>
      <c r="C3642" s="953"/>
      <c r="D3642" s="953"/>
      <c r="E3642" s="953"/>
      <c r="F3642" s="953"/>
      <c r="G3642" s="953"/>
      <c r="H3642" s="953"/>
    </row>
    <row r="3643" spans="1:8" x14ac:dyDescent="0.25">
      <c r="A3643" s="952"/>
      <c r="B3643" s="953"/>
      <c r="C3643" s="953"/>
      <c r="D3643" s="953"/>
      <c r="E3643" s="953"/>
      <c r="F3643" s="953"/>
      <c r="G3643" s="953"/>
      <c r="H3643" s="953"/>
    </row>
    <row r="3644" spans="1:8" x14ac:dyDescent="0.25">
      <c r="A3644" s="952"/>
      <c r="B3644" s="953"/>
      <c r="C3644" s="953"/>
      <c r="D3644" s="953"/>
      <c r="E3644" s="953"/>
      <c r="F3644" s="953"/>
      <c r="G3644" s="953"/>
      <c r="H3644" s="953"/>
    </row>
    <row r="3645" spans="1:8" x14ac:dyDescent="0.25">
      <c r="A3645" s="952"/>
      <c r="B3645" s="953"/>
      <c r="C3645" s="953"/>
      <c r="D3645" s="953"/>
      <c r="E3645" s="953"/>
      <c r="F3645" s="953"/>
      <c r="G3645" s="953"/>
      <c r="H3645" s="953"/>
    </row>
    <row r="3646" spans="1:8" x14ac:dyDescent="0.25">
      <c r="A3646" s="952"/>
      <c r="B3646" s="953"/>
      <c r="C3646" s="953"/>
      <c r="D3646" s="953"/>
      <c r="E3646" s="953"/>
      <c r="F3646" s="953"/>
      <c r="G3646" s="953"/>
      <c r="H3646" s="953"/>
    </row>
    <row r="3647" spans="1:8" x14ac:dyDescent="0.25">
      <c r="A3647" s="952"/>
      <c r="B3647" s="953"/>
      <c r="C3647" s="953"/>
      <c r="D3647" s="953"/>
      <c r="E3647" s="953"/>
      <c r="F3647" s="953"/>
      <c r="G3647" s="953"/>
      <c r="H3647" s="953"/>
    </row>
    <row r="3648" spans="1:8" x14ac:dyDescent="0.25">
      <c r="A3648" s="952"/>
      <c r="B3648" s="953"/>
      <c r="C3648" s="953"/>
      <c r="D3648" s="953"/>
      <c r="E3648" s="953"/>
      <c r="F3648" s="953"/>
      <c r="G3648" s="953"/>
      <c r="H3648" s="953"/>
    </row>
    <row r="3649" spans="1:8" x14ac:dyDescent="0.25">
      <c r="A3649" s="952"/>
      <c r="B3649" s="953"/>
      <c r="C3649" s="953"/>
      <c r="D3649" s="953"/>
      <c r="E3649" s="953"/>
      <c r="F3649" s="953"/>
      <c r="G3649" s="953"/>
      <c r="H3649" s="953"/>
    </row>
    <row r="3650" spans="1:8" x14ac:dyDescent="0.25">
      <c r="A3650" s="952"/>
      <c r="B3650" s="953"/>
      <c r="C3650" s="953"/>
      <c r="D3650" s="953"/>
      <c r="E3650" s="953"/>
      <c r="F3650" s="953"/>
      <c r="G3650" s="953"/>
      <c r="H3650" s="953"/>
    </row>
    <row r="3651" spans="1:8" x14ac:dyDescent="0.25">
      <c r="A3651" s="952"/>
      <c r="B3651" s="953"/>
      <c r="C3651" s="953"/>
      <c r="D3651" s="953"/>
      <c r="E3651" s="953"/>
      <c r="F3651" s="953"/>
      <c r="G3651" s="953"/>
      <c r="H3651" s="953"/>
    </row>
    <row r="3652" spans="1:8" x14ac:dyDescent="0.25">
      <c r="A3652" s="952"/>
      <c r="B3652" s="953"/>
      <c r="C3652" s="953"/>
      <c r="D3652" s="953"/>
      <c r="E3652" s="953"/>
      <c r="F3652" s="953"/>
      <c r="G3652" s="953"/>
      <c r="H3652" s="953"/>
    </row>
    <row r="3653" spans="1:8" x14ac:dyDescent="0.25">
      <c r="A3653" s="952"/>
      <c r="B3653" s="953"/>
      <c r="C3653" s="953"/>
      <c r="D3653" s="953"/>
      <c r="E3653" s="953"/>
      <c r="F3653" s="953"/>
      <c r="G3653" s="953"/>
      <c r="H3653" s="953"/>
    </row>
    <row r="3654" spans="1:8" x14ac:dyDescent="0.25">
      <c r="A3654" s="952"/>
      <c r="B3654" s="953"/>
      <c r="C3654" s="953"/>
      <c r="D3654" s="953"/>
      <c r="E3654" s="953"/>
      <c r="F3654" s="953"/>
      <c r="G3654" s="953"/>
      <c r="H3654" s="953"/>
    </row>
    <row r="3655" spans="1:8" x14ac:dyDescent="0.25">
      <c r="A3655" s="952"/>
      <c r="B3655" s="953"/>
      <c r="C3655" s="953"/>
      <c r="D3655" s="953"/>
      <c r="E3655" s="953"/>
      <c r="F3655" s="953"/>
      <c r="G3655" s="953"/>
      <c r="H3655" s="953"/>
    </row>
    <row r="3656" spans="1:8" x14ac:dyDescent="0.25">
      <c r="A3656" s="952"/>
      <c r="B3656" s="953"/>
      <c r="C3656" s="953"/>
      <c r="D3656" s="953"/>
      <c r="E3656" s="953"/>
      <c r="F3656" s="953"/>
      <c r="G3656" s="953"/>
      <c r="H3656" s="953"/>
    </row>
    <row r="3657" spans="1:8" x14ac:dyDescent="0.25">
      <c r="A3657" s="952"/>
      <c r="B3657" s="953"/>
      <c r="C3657" s="953"/>
      <c r="D3657" s="953"/>
      <c r="E3657" s="953"/>
      <c r="F3657" s="953"/>
      <c r="G3657" s="953"/>
      <c r="H3657" s="953"/>
    </row>
    <row r="3658" spans="1:8" x14ac:dyDescent="0.25">
      <c r="A3658" s="952"/>
      <c r="B3658" s="953"/>
      <c r="C3658" s="953"/>
      <c r="D3658" s="953"/>
      <c r="E3658" s="953"/>
      <c r="F3658" s="953"/>
      <c r="G3658" s="953"/>
      <c r="H3658" s="953"/>
    </row>
    <row r="3659" spans="1:8" x14ac:dyDescent="0.25">
      <c r="A3659" s="952"/>
      <c r="B3659" s="953"/>
      <c r="C3659" s="953"/>
      <c r="D3659" s="953"/>
      <c r="E3659" s="953"/>
      <c r="F3659" s="953"/>
      <c r="G3659" s="953"/>
      <c r="H3659" s="953"/>
    </row>
    <row r="3660" spans="1:8" x14ac:dyDescent="0.25">
      <c r="A3660" s="952"/>
      <c r="B3660" s="953"/>
      <c r="C3660" s="953"/>
      <c r="D3660" s="953"/>
      <c r="E3660" s="953"/>
      <c r="F3660" s="953"/>
      <c r="G3660" s="953"/>
      <c r="H3660" s="953"/>
    </row>
    <row r="3661" spans="1:8" x14ac:dyDescent="0.25">
      <c r="A3661" s="952"/>
      <c r="B3661" s="953"/>
      <c r="C3661" s="953"/>
      <c r="D3661" s="953"/>
      <c r="E3661" s="953"/>
      <c r="F3661" s="953"/>
      <c r="G3661" s="953"/>
      <c r="H3661" s="953"/>
    </row>
    <row r="3662" spans="1:8" x14ac:dyDescent="0.25">
      <c r="A3662" s="952"/>
      <c r="B3662" s="953"/>
      <c r="C3662" s="953"/>
      <c r="D3662" s="953"/>
      <c r="E3662" s="953"/>
      <c r="F3662" s="953"/>
      <c r="G3662" s="953"/>
      <c r="H3662" s="953"/>
    </row>
    <row r="3663" spans="1:8" x14ac:dyDescent="0.25">
      <c r="A3663" s="952"/>
      <c r="B3663" s="953"/>
      <c r="C3663" s="953"/>
      <c r="D3663" s="953"/>
      <c r="E3663" s="953"/>
      <c r="F3663" s="953"/>
      <c r="G3663" s="953"/>
      <c r="H3663" s="953"/>
    </row>
    <row r="3664" spans="1:8" x14ac:dyDescent="0.25">
      <c r="A3664" s="952"/>
      <c r="B3664" s="953"/>
      <c r="C3664" s="953"/>
      <c r="D3664" s="953"/>
      <c r="E3664" s="953"/>
      <c r="F3664" s="953"/>
      <c r="G3664" s="953"/>
      <c r="H3664" s="953"/>
    </row>
    <row r="3665" spans="1:8" x14ac:dyDescent="0.25">
      <c r="A3665" s="952"/>
      <c r="B3665" s="953"/>
      <c r="C3665" s="953"/>
      <c r="D3665" s="953"/>
      <c r="E3665" s="953"/>
      <c r="F3665" s="953"/>
      <c r="G3665" s="953"/>
      <c r="H3665" s="953"/>
    </row>
    <row r="3666" spans="1:8" x14ac:dyDescent="0.25">
      <c r="A3666" s="952"/>
      <c r="B3666" s="953"/>
      <c r="C3666" s="953"/>
      <c r="D3666" s="953"/>
      <c r="E3666" s="953"/>
      <c r="F3666" s="953"/>
      <c r="G3666" s="953"/>
      <c r="H3666" s="953"/>
    </row>
    <row r="3667" spans="1:8" x14ac:dyDescent="0.25">
      <c r="A3667" s="952"/>
      <c r="B3667" s="953"/>
      <c r="C3667" s="953"/>
      <c r="D3667" s="953"/>
      <c r="E3667" s="953"/>
      <c r="F3667" s="953"/>
      <c r="G3667" s="953"/>
      <c r="H3667" s="953"/>
    </row>
    <row r="3668" spans="1:8" x14ac:dyDescent="0.25">
      <c r="A3668" s="952"/>
      <c r="B3668" s="953"/>
      <c r="C3668" s="953"/>
      <c r="D3668" s="953"/>
      <c r="E3668" s="953"/>
      <c r="F3668" s="953"/>
      <c r="G3668" s="953"/>
      <c r="H3668" s="953"/>
    </row>
    <row r="3669" spans="1:8" x14ac:dyDescent="0.25">
      <c r="A3669" s="952"/>
      <c r="B3669" s="953"/>
      <c r="C3669" s="953"/>
      <c r="D3669" s="953"/>
      <c r="E3669" s="953"/>
      <c r="F3669" s="953"/>
      <c r="G3669" s="953"/>
      <c r="H3669" s="953"/>
    </row>
    <row r="3670" spans="1:8" x14ac:dyDescent="0.25">
      <c r="A3670" s="952"/>
      <c r="B3670" s="953"/>
      <c r="C3670" s="953"/>
      <c r="D3670" s="953"/>
      <c r="E3670" s="953"/>
      <c r="F3670" s="953"/>
      <c r="G3670" s="953"/>
      <c r="H3670" s="953"/>
    </row>
    <row r="3671" spans="1:8" x14ac:dyDescent="0.25">
      <c r="A3671" s="952"/>
      <c r="B3671" s="953"/>
      <c r="C3671" s="953"/>
      <c r="D3671" s="953"/>
      <c r="E3671" s="953"/>
      <c r="F3671" s="953"/>
      <c r="G3671" s="953"/>
      <c r="H3671" s="953"/>
    </row>
    <row r="3672" spans="1:8" x14ac:dyDescent="0.25">
      <c r="A3672" s="952"/>
      <c r="B3672" s="953"/>
      <c r="C3672" s="953"/>
      <c r="D3672" s="953"/>
      <c r="E3672" s="953"/>
      <c r="F3672" s="953"/>
      <c r="G3672" s="953"/>
      <c r="H3672" s="953"/>
    </row>
    <row r="3673" spans="1:8" x14ac:dyDescent="0.25">
      <c r="A3673" s="952"/>
      <c r="B3673" s="953"/>
      <c r="C3673" s="953"/>
      <c r="D3673" s="953"/>
      <c r="E3673" s="953"/>
      <c r="F3673" s="953"/>
      <c r="G3673" s="953"/>
      <c r="H3673" s="953"/>
    </row>
    <row r="3674" spans="1:8" x14ac:dyDescent="0.25">
      <c r="A3674" s="952"/>
      <c r="B3674" s="953"/>
      <c r="C3674" s="953"/>
      <c r="D3674" s="953"/>
      <c r="E3674" s="953"/>
      <c r="F3674" s="953"/>
      <c r="G3674" s="953"/>
      <c r="H3674" s="953"/>
    </row>
    <row r="3675" spans="1:8" x14ac:dyDescent="0.25">
      <c r="A3675" s="952"/>
      <c r="B3675" s="953"/>
      <c r="C3675" s="953"/>
      <c r="D3675" s="953"/>
      <c r="E3675" s="953"/>
      <c r="F3675" s="953"/>
      <c r="G3675" s="953"/>
      <c r="H3675" s="953"/>
    </row>
    <row r="3676" spans="1:8" x14ac:dyDescent="0.25">
      <c r="A3676" s="952"/>
      <c r="B3676" s="953"/>
      <c r="C3676" s="953"/>
      <c r="D3676" s="953"/>
      <c r="E3676" s="953"/>
      <c r="F3676" s="953"/>
      <c r="G3676" s="953"/>
      <c r="H3676" s="953"/>
    </row>
    <row r="3677" spans="1:8" x14ac:dyDescent="0.25">
      <c r="A3677" s="952"/>
      <c r="B3677" s="953"/>
      <c r="C3677" s="953"/>
      <c r="D3677" s="953"/>
      <c r="E3677" s="953"/>
      <c r="F3677" s="953"/>
      <c r="G3677" s="953"/>
      <c r="H3677" s="953"/>
    </row>
    <row r="3678" spans="1:8" x14ac:dyDescent="0.25">
      <c r="A3678" s="952"/>
      <c r="B3678" s="953"/>
      <c r="C3678" s="953"/>
      <c r="D3678" s="953"/>
      <c r="E3678" s="953"/>
      <c r="F3678" s="953"/>
      <c r="G3678" s="953"/>
      <c r="H3678" s="953"/>
    </row>
    <row r="3679" spans="1:8" x14ac:dyDescent="0.25">
      <c r="A3679" s="952"/>
      <c r="B3679" s="953"/>
      <c r="C3679" s="953"/>
      <c r="D3679" s="953"/>
      <c r="E3679" s="953"/>
      <c r="F3679" s="953"/>
      <c r="G3679" s="953"/>
      <c r="H3679" s="953"/>
    </row>
    <row r="3680" spans="1:8" x14ac:dyDescent="0.25">
      <c r="A3680" s="952"/>
      <c r="B3680" s="953"/>
      <c r="C3680" s="953"/>
      <c r="D3680" s="953"/>
      <c r="E3680" s="953"/>
      <c r="F3680" s="953"/>
      <c r="G3680" s="953"/>
      <c r="H3680" s="953"/>
    </row>
    <row r="3681" spans="1:8" x14ac:dyDescent="0.25">
      <c r="A3681" s="952"/>
      <c r="B3681" s="953"/>
      <c r="C3681" s="953"/>
      <c r="D3681" s="953"/>
      <c r="E3681" s="953"/>
      <c r="F3681" s="953"/>
      <c r="G3681" s="953"/>
      <c r="H3681" s="953"/>
    </row>
    <row r="3682" spans="1:8" x14ac:dyDescent="0.25">
      <c r="A3682" s="952"/>
      <c r="B3682" s="953"/>
      <c r="C3682" s="953"/>
      <c r="D3682" s="953"/>
      <c r="E3682" s="953"/>
      <c r="F3682" s="953"/>
      <c r="G3682" s="953"/>
      <c r="H3682" s="953"/>
    </row>
    <row r="3683" spans="1:8" x14ac:dyDescent="0.25">
      <c r="A3683" s="952"/>
      <c r="B3683" s="953"/>
      <c r="C3683" s="953"/>
      <c r="D3683" s="953"/>
      <c r="E3683" s="953"/>
      <c r="F3683" s="953"/>
      <c r="G3683" s="953"/>
      <c r="H3683" s="953"/>
    </row>
    <row r="3684" spans="1:8" x14ac:dyDescent="0.25">
      <c r="A3684" s="952"/>
      <c r="B3684" s="953"/>
      <c r="C3684" s="953"/>
      <c r="D3684" s="953"/>
      <c r="E3684" s="953"/>
      <c r="F3684" s="953"/>
      <c r="G3684" s="953"/>
      <c r="H3684" s="953"/>
    </row>
    <row r="3685" spans="1:8" x14ac:dyDescent="0.25">
      <c r="A3685" s="952"/>
      <c r="B3685" s="953"/>
      <c r="C3685" s="953"/>
      <c r="D3685" s="953"/>
      <c r="E3685" s="953"/>
      <c r="F3685" s="953"/>
      <c r="G3685" s="953"/>
      <c r="H3685" s="953"/>
    </row>
    <row r="3686" spans="1:8" x14ac:dyDescent="0.25">
      <c r="A3686" s="952"/>
      <c r="B3686" s="953"/>
      <c r="C3686" s="953"/>
      <c r="D3686" s="953"/>
      <c r="E3686" s="953"/>
      <c r="F3686" s="953"/>
      <c r="G3686" s="953"/>
      <c r="H3686" s="953"/>
    </row>
    <row r="3687" spans="1:8" x14ac:dyDescent="0.25">
      <c r="A3687" s="952"/>
      <c r="B3687" s="953"/>
      <c r="C3687" s="953"/>
      <c r="D3687" s="953"/>
      <c r="E3687" s="953"/>
      <c r="F3687" s="953"/>
      <c r="G3687" s="953"/>
      <c r="H3687" s="953"/>
    </row>
    <row r="3688" spans="1:8" x14ac:dyDescent="0.25">
      <c r="A3688" s="952"/>
      <c r="B3688" s="953"/>
      <c r="C3688" s="953"/>
      <c r="D3688" s="953"/>
      <c r="E3688" s="953"/>
      <c r="F3688" s="953"/>
      <c r="G3688" s="953"/>
      <c r="H3688" s="953"/>
    </row>
    <row r="3689" spans="1:8" x14ac:dyDescent="0.25">
      <c r="A3689" s="952"/>
      <c r="B3689" s="953"/>
      <c r="C3689" s="953"/>
      <c r="D3689" s="953"/>
      <c r="E3689" s="953"/>
      <c r="F3689" s="953"/>
      <c r="G3689" s="953"/>
      <c r="H3689" s="953"/>
    </row>
    <row r="3690" spans="1:8" x14ac:dyDescent="0.25">
      <c r="A3690" s="952"/>
      <c r="B3690" s="953"/>
      <c r="C3690" s="953"/>
      <c r="D3690" s="953"/>
      <c r="E3690" s="953"/>
      <c r="F3690" s="953"/>
      <c r="G3690" s="953"/>
      <c r="H3690" s="953"/>
    </row>
    <row r="3691" spans="1:8" x14ac:dyDescent="0.25">
      <c r="A3691" s="952"/>
      <c r="B3691" s="953"/>
      <c r="C3691" s="953"/>
      <c r="D3691" s="953"/>
      <c r="E3691" s="953"/>
      <c r="F3691" s="953"/>
      <c r="G3691" s="953"/>
      <c r="H3691" s="953"/>
    </row>
    <row r="3692" spans="1:8" x14ac:dyDescent="0.25">
      <c r="A3692" s="952"/>
      <c r="B3692" s="953"/>
      <c r="C3692" s="953"/>
      <c r="D3692" s="953"/>
      <c r="E3692" s="953"/>
      <c r="F3692" s="953"/>
      <c r="G3692" s="953"/>
      <c r="H3692" s="953"/>
    </row>
    <row r="3693" spans="1:8" x14ac:dyDescent="0.25">
      <c r="A3693" s="952"/>
      <c r="B3693" s="953"/>
      <c r="C3693" s="953"/>
      <c r="D3693" s="953"/>
      <c r="E3693" s="953"/>
      <c r="F3693" s="953"/>
      <c r="G3693" s="953"/>
      <c r="H3693" s="953"/>
    </row>
    <row r="3694" spans="1:8" x14ac:dyDescent="0.25">
      <c r="A3694" s="952"/>
      <c r="B3694" s="953"/>
      <c r="C3694" s="953"/>
      <c r="D3694" s="953"/>
      <c r="E3694" s="953"/>
      <c r="F3694" s="953"/>
      <c r="G3694" s="953"/>
      <c r="H3694" s="953"/>
    </row>
    <row r="3695" spans="1:8" x14ac:dyDescent="0.25">
      <c r="A3695" s="952"/>
      <c r="B3695" s="953"/>
      <c r="C3695" s="953"/>
      <c r="D3695" s="953"/>
      <c r="E3695" s="953"/>
      <c r="F3695" s="953"/>
      <c r="G3695" s="953"/>
      <c r="H3695" s="953"/>
    </row>
    <row r="3696" spans="1:8" x14ac:dyDescent="0.25">
      <c r="A3696" s="952"/>
      <c r="B3696" s="953"/>
      <c r="C3696" s="953"/>
      <c r="D3696" s="953"/>
      <c r="E3696" s="953"/>
      <c r="F3696" s="953"/>
      <c r="G3696" s="953"/>
      <c r="H3696" s="953"/>
    </row>
    <row r="3697" spans="1:8" x14ac:dyDescent="0.25">
      <c r="A3697" s="952"/>
      <c r="B3697" s="953"/>
      <c r="C3697" s="953"/>
      <c r="D3697" s="953"/>
      <c r="E3697" s="953"/>
      <c r="F3697" s="953"/>
      <c r="G3697" s="953"/>
      <c r="H3697" s="953"/>
    </row>
    <row r="3698" spans="1:8" x14ac:dyDescent="0.25">
      <c r="A3698" s="952"/>
      <c r="B3698" s="953"/>
      <c r="C3698" s="953"/>
      <c r="D3698" s="953"/>
      <c r="E3698" s="953"/>
      <c r="F3698" s="953"/>
      <c r="G3698" s="953"/>
      <c r="H3698" s="953"/>
    </row>
    <row r="3699" spans="1:8" x14ac:dyDescent="0.25">
      <c r="A3699" s="952"/>
      <c r="B3699" s="953"/>
      <c r="C3699" s="953"/>
      <c r="D3699" s="953"/>
      <c r="E3699" s="953"/>
      <c r="F3699" s="953"/>
      <c r="G3699" s="953"/>
      <c r="H3699" s="953"/>
    </row>
    <row r="3700" spans="1:8" x14ac:dyDescent="0.25">
      <c r="A3700" s="952"/>
      <c r="B3700" s="953"/>
      <c r="C3700" s="953"/>
      <c r="D3700" s="953"/>
      <c r="E3700" s="953"/>
      <c r="F3700" s="953"/>
      <c r="G3700" s="953"/>
      <c r="H3700" s="953"/>
    </row>
    <row r="3701" spans="1:8" x14ac:dyDescent="0.25">
      <c r="A3701" s="952"/>
      <c r="B3701" s="953"/>
      <c r="C3701" s="953"/>
      <c r="D3701" s="953"/>
      <c r="E3701" s="953"/>
      <c r="F3701" s="953"/>
      <c r="G3701" s="953"/>
      <c r="H3701" s="953"/>
    </row>
    <row r="3702" spans="1:8" x14ac:dyDescent="0.25">
      <c r="A3702" s="952"/>
      <c r="B3702" s="953"/>
      <c r="C3702" s="953"/>
      <c r="D3702" s="953"/>
      <c r="E3702" s="953"/>
      <c r="F3702" s="953"/>
      <c r="G3702" s="953"/>
      <c r="H3702" s="953"/>
    </row>
    <row r="3703" spans="1:8" x14ac:dyDescent="0.25">
      <c r="A3703" s="952"/>
      <c r="B3703" s="953"/>
      <c r="C3703" s="953"/>
      <c r="D3703" s="953"/>
      <c r="E3703" s="953"/>
      <c r="F3703" s="953"/>
      <c r="G3703" s="953"/>
      <c r="H3703" s="953"/>
    </row>
    <row r="3704" spans="1:8" x14ac:dyDescent="0.25">
      <c r="A3704" s="952"/>
      <c r="B3704" s="953"/>
      <c r="C3704" s="953"/>
      <c r="D3704" s="953"/>
      <c r="E3704" s="953"/>
      <c r="F3704" s="953"/>
      <c r="G3704" s="953"/>
      <c r="H3704" s="953"/>
    </row>
    <row r="3705" spans="1:8" x14ac:dyDescent="0.25">
      <c r="A3705" s="952"/>
      <c r="B3705" s="953"/>
      <c r="C3705" s="953"/>
      <c r="D3705" s="953"/>
      <c r="E3705" s="953"/>
      <c r="F3705" s="953"/>
      <c r="G3705" s="953"/>
      <c r="H3705" s="953"/>
    </row>
    <row r="3706" spans="1:8" x14ac:dyDescent="0.25">
      <c r="A3706" s="952"/>
      <c r="B3706" s="953"/>
      <c r="C3706" s="953"/>
      <c r="D3706" s="953"/>
      <c r="E3706" s="953"/>
      <c r="F3706" s="953"/>
      <c r="G3706" s="953"/>
      <c r="H3706" s="953"/>
    </row>
    <row r="3707" spans="1:8" x14ac:dyDescent="0.25">
      <c r="A3707" s="952"/>
      <c r="B3707" s="953"/>
      <c r="C3707" s="953"/>
      <c r="D3707" s="953"/>
      <c r="E3707" s="953"/>
      <c r="F3707" s="953"/>
      <c r="G3707" s="953"/>
      <c r="H3707" s="953"/>
    </row>
    <row r="3708" spans="1:8" x14ac:dyDescent="0.25">
      <c r="A3708" s="952"/>
      <c r="B3708" s="953"/>
      <c r="C3708" s="953"/>
      <c r="D3708" s="953"/>
      <c r="E3708" s="953"/>
      <c r="F3708" s="953"/>
      <c r="G3708" s="953"/>
      <c r="H3708" s="953"/>
    </row>
    <row r="3709" spans="1:8" x14ac:dyDescent="0.25">
      <c r="A3709" s="952"/>
      <c r="B3709" s="953"/>
      <c r="C3709" s="953"/>
      <c r="D3709" s="953"/>
      <c r="E3709" s="953"/>
      <c r="F3709" s="953"/>
      <c r="G3709" s="953"/>
      <c r="H3709" s="953"/>
    </row>
    <row r="3710" spans="1:8" x14ac:dyDescent="0.25">
      <c r="A3710" s="952"/>
      <c r="B3710" s="953"/>
      <c r="C3710" s="953"/>
      <c r="D3710" s="953"/>
      <c r="E3710" s="953"/>
      <c r="F3710" s="953"/>
      <c r="G3710" s="953"/>
      <c r="H3710" s="953"/>
    </row>
    <row r="3711" spans="1:8" x14ac:dyDescent="0.25">
      <c r="A3711" s="952"/>
      <c r="B3711" s="953"/>
      <c r="C3711" s="953"/>
      <c r="D3711" s="953"/>
      <c r="E3711" s="953"/>
      <c r="F3711" s="953"/>
      <c r="G3711" s="953"/>
      <c r="H3711" s="953"/>
    </row>
    <row r="3712" spans="1:8" x14ac:dyDescent="0.25">
      <c r="A3712" s="952"/>
      <c r="B3712" s="953"/>
      <c r="C3712" s="953"/>
      <c r="D3712" s="953"/>
      <c r="E3712" s="953"/>
      <c r="F3712" s="953"/>
      <c r="G3712" s="953"/>
      <c r="H3712" s="953"/>
    </row>
    <row r="3713" spans="1:8" x14ac:dyDescent="0.25">
      <c r="A3713" s="952"/>
      <c r="B3713" s="953"/>
      <c r="C3713" s="953"/>
      <c r="D3713" s="953"/>
      <c r="E3713" s="953"/>
      <c r="F3713" s="953"/>
      <c r="G3713" s="953"/>
      <c r="H3713" s="953"/>
    </row>
    <row r="3714" spans="1:8" x14ac:dyDescent="0.25">
      <c r="A3714" s="952"/>
      <c r="B3714" s="953"/>
      <c r="C3714" s="953"/>
      <c r="D3714" s="953"/>
      <c r="E3714" s="953"/>
      <c r="F3714" s="953"/>
      <c r="G3714" s="953"/>
      <c r="H3714" s="953"/>
    </row>
    <row r="3715" spans="1:8" x14ac:dyDescent="0.25">
      <c r="A3715" s="952"/>
      <c r="B3715" s="953"/>
      <c r="C3715" s="953"/>
      <c r="D3715" s="953"/>
      <c r="E3715" s="953"/>
      <c r="F3715" s="953"/>
      <c r="G3715" s="953"/>
      <c r="H3715" s="953"/>
    </row>
    <row r="3716" spans="1:8" x14ac:dyDescent="0.25">
      <c r="A3716" s="952"/>
      <c r="B3716" s="953"/>
      <c r="C3716" s="953"/>
      <c r="D3716" s="953"/>
      <c r="E3716" s="953"/>
      <c r="F3716" s="953"/>
      <c r="G3716" s="953"/>
      <c r="H3716" s="953"/>
    </row>
    <row r="3717" spans="1:8" x14ac:dyDescent="0.25">
      <c r="A3717" s="952"/>
      <c r="B3717" s="953"/>
      <c r="C3717" s="953"/>
      <c r="D3717" s="953"/>
      <c r="E3717" s="953"/>
      <c r="F3717" s="953"/>
      <c r="G3717" s="953"/>
      <c r="H3717" s="953"/>
    </row>
    <row r="3718" spans="1:8" x14ac:dyDescent="0.25">
      <c r="A3718" s="952"/>
      <c r="B3718" s="953"/>
      <c r="C3718" s="953"/>
      <c r="D3718" s="953"/>
      <c r="E3718" s="953"/>
      <c r="F3718" s="953"/>
      <c r="G3718" s="953"/>
      <c r="H3718" s="953"/>
    </row>
    <row r="3719" spans="1:8" x14ac:dyDescent="0.25">
      <c r="A3719" s="952"/>
      <c r="B3719" s="953"/>
      <c r="C3719" s="953"/>
      <c r="D3719" s="953"/>
      <c r="E3719" s="953"/>
      <c r="F3719" s="953"/>
      <c r="G3719" s="953"/>
      <c r="H3719" s="953"/>
    </row>
    <row r="3720" spans="1:8" x14ac:dyDescent="0.25">
      <c r="A3720" s="952"/>
      <c r="B3720" s="953"/>
      <c r="C3720" s="953"/>
      <c r="D3720" s="953"/>
      <c r="E3720" s="953"/>
      <c r="F3720" s="953"/>
      <c r="G3720" s="953"/>
      <c r="H3720" s="953"/>
    </row>
    <row r="3721" spans="1:8" x14ac:dyDescent="0.25">
      <c r="A3721" s="952"/>
      <c r="B3721" s="953"/>
      <c r="C3721" s="953"/>
      <c r="D3721" s="953"/>
      <c r="E3721" s="953"/>
      <c r="F3721" s="953"/>
      <c r="G3721" s="953"/>
      <c r="H3721" s="953"/>
    </row>
    <row r="3722" spans="1:8" x14ac:dyDescent="0.25">
      <c r="A3722" s="952"/>
      <c r="B3722" s="953"/>
      <c r="C3722" s="953"/>
      <c r="D3722" s="953"/>
      <c r="E3722" s="953"/>
      <c r="F3722" s="953"/>
      <c r="G3722" s="953"/>
      <c r="H3722" s="953"/>
    </row>
    <row r="3723" spans="1:8" x14ac:dyDescent="0.25">
      <c r="A3723" s="952"/>
      <c r="B3723" s="953"/>
      <c r="C3723" s="953"/>
      <c r="D3723" s="953"/>
      <c r="E3723" s="953"/>
      <c r="F3723" s="953"/>
      <c r="G3723" s="953"/>
      <c r="H3723" s="953"/>
    </row>
    <row r="3724" spans="1:8" x14ac:dyDescent="0.25">
      <c r="A3724" s="952"/>
      <c r="B3724" s="953"/>
      <c r="C3724" s="953"/>
      <c r="D3724" s="953"/>
      <c r="E3724" s="953"/>
      <c r="F3724" s="953"/>
      <c r="G3724" s="953"/>
      <c r="H3724" s="953"/>
    </row>
    <row r="3725" spans="1:8" x14ac:dyDescent="0.25">
      <c r="A3725" s="952"/>
      <c r="B3725" s="953"/>
      <c r="C3725" s="953"/>
      <c r="D3725" s="953"/>
      <c r="E3725" s="953"/>
      <c r="F3725" s="953"/>
      <c r="G3725" s="953"/>
      <c r="H3725" s="953"/>
    </row>
    <row r="3726" spans="1:8" x14ac:dyDescent="0.25">
      <c r="A3726" s="952"/>
      <c r="B3726" s="953"/>
      <c r="C3726" s="953"/>
      <c r="D3726" s="953"/>
      <c r="E3726" s="953"/>
      <c r="F3726" s="953"/>
      <c r="G3726" s="953"/>
      <c r="H3726" s="953"/>
    </row>
    <row r="3727" spans="1:8" x14ac:dyDescent="0.25">
      <c r="A3727" s="952"/>
      <c r="B3727" s="953"/>
      <c r="C3727" s="953"/>
      <c r="D3727" s="953"/>
      <c r="E3727" s="953"/>
      <c r="F3727" s="953"/>
      <c r="G3727" s="953"/>
      <c r="H3727" s="953"/>
    </row>
    <row r="3728" spans="1:8" x14ac:dyDescent="0.25">
      <c r="A3728" s="952"/>
      <c r="B3728" s="953"/>
      <c r="C3728" s="953"/>
      <c r="D3728" s="953"/>
      <c r="E3728" s="953"/>
      <c r="F3728" s="953"/>
      <c r="G3728" s="953"/>
      <c r="H3728" s="953"/>
    </row>
    <row r="3729" spans="1:8" x14ac:dyDescent="0.25">
      <c r="A3729" s="952"/>
      <c r="B3729" s="953"/>
      <c r="C3729" s="953"/>
      <c r="D3729" s="953"/>
      <c r="E3729" s="953"/>
      <c r="F3729" s="953"/>
      <c r="G3729" s="953"/>
      <c r="H3729" s="953"/>
    </row>
    <row r="3730" spans="1:8" x14ac:dyDescent="0.25">
      <c r="A3730" s="952"/>
      <c r="B3730" s="953"/>
      <c r="C3730" s="953"/>
      <c r="D3730" s="953"/>
      <c r="E3730" s="953"/>
      <c r="F3730" s="953"/>
      <c r="G3730" s="953"/>
      <c r="H3730" s="953"/>
    </row>
    <row r="3731" spans="1:8" x14ac:dyDescent="0.25">
      <c r="A3731" s="952"/>
      <c r="B3731" s="953"/>
      <c r="C3731" s="953"/>
      <c r="D3731" s="953"/>
      <c r="E3731" s="953"/>
      <c r="F3731" s="953"/>
      <c r="G3731" s="953"/>
      <c r="H3731" s="953"/>
    </row>
    <row r="3732" spans="1:8" x14ac:dyDescent="0.25">
      <c r="A3732" s="952"/>
      <c r="B3732" s="953"/>
      <c r="C3732" s="953"/>
      <c r="D3732" s="953"/>
      <c r="E3732" s="953"/>
      <c r="F3732" s="953"/>
      <c r="G3732" s="953"/>
      <c r="H3732" s="953"/>
    </row>
    <row r="3733" spans="1:8" x14ac:dyDescent="0.25">
      <c r="A3733" s="952"/>
      <c r="B3733" s="953"/>
      <c r="C3733" s="953"/>
      <c r="D3733" s="953"/>
      <c r="E3733" s="953"/>
      <c r="F3733" s="953"/>
      <c r="G3733" s="953"/>
      <c r="H3733" s="953"/>
    </row>
    <row r="3734" spans="1:8" x14ac:dyDescent="0.25">
      <c r="A3734" s="952"/>
      <c r="B3734" s="953"/>
      <c r="C3734" s="953"/>
      <c r="D3734" s="953"/>
      <c r="E3734" s="953"/>
      <c r="F3734" s="953"/>
      <c r="G3734" s="953"/>
      <c r="H3734" s="953"/>
    </row>
    <row r="3735" spans="1:8" x14ac:dyDescent="0.25">
      <c r="A3735" s="952"/>
      <c r="B3735" s="953"/>
      <c r="C3735" s="953"/>
      <c r="D3735" s="953"/>
      <c r="E3735" s="953"/>
      <c r="F3735" s="953"/>
      <c r="G3735" s="953"/>
      <c r="H3735" s="953"/>
    </row>
    <row r="3736" spans="1:8" x14ac:dyDescent="0.25">
      <c r="A3736" s="952"/>
      <c r="B3736" s="953"/>
      <c r="C3736" s="953"/>
      <c r="D3736" s="953"/>
      <c r="E3736" s="953"/>
      <c r="F3736" s="953"/>
      <c r="G3736" s="953"/>
      <c r="H3736" s="953"/>
    </row>
    <row r="3737" spans="1:8" x14ac:dyDescent="0.25">
      <c r="A3737" s="952"/>
      <c r="B3737" s="953"/>
      <c r="C3737" s="953"/>
      <c r="D3737" s="953"/>
      <c r="E3737" s="953"/>
      <c r="F3737" s="953"/>
      <c r="G3737" s="953"/>
      <c r="H3737" s="953"/>
    </row>
    <row r="3738" spans="1:8" x14ac:dyDescent="0.25">
      <c r="A3738" s="952"/>
      <c r="B3738" s="953"/>
      <c r="C3738" s="953"/>
      <c r="D3738" s="953"/>
      <c r="E3738" s="953"/>
      <c r="F3738" s="953"/>
      <c r="G3738" s="953"/>
      <c r="H3738" s="953"/>
    </row>
    <row r="3739" spans="1:8" x14ac:dyDescent="0.25">
      <c r="A3739" s="952"/>
      <c r="B3739" s="953"/>
      <c r="C3739" s="953"/>
      <c r="D3739" s="953"/>
      <c r="E3739" s="953"/>
      <c r="F3739" s="953"/>
      <c r="G3739" s="953"/>
      <c r="H3739" s="953"/>
    </row>
    <row r="3740" spans="1:8" x14ac:dyDescent="0.25">
      <c r="A3740" s="952"/>
      <c r="B3740" s="953"/>
      <c r="C3740" s="953"/>
      <c r="D3740" s="953"/>
      <c r="E3740" s="953"/>
      <c r="F3740" s="953"/>
      <c r="G3740" s="953"/>
      <c r="H3740" s="953"/>
    </row>
    <row r="3741" spans="1:8" x14ac:dyDescent="0.25">
      <c r="A3741" s="952"/>
      <c r="B3741" s="953"/>
      <c r="C3741" s="953"/>
      <c r="D3741" s="953"/>
      <c r="E3741" s="953"/>
      <c r="F3741" s="953"/>
      <c r="G3741" s="953"/>
      <c r="H3741" s="953"/>
    </row>
    <row r="3742" spans="1:8" x14ac:dyDescent="0.25">
      <c r="A3742" s="952"/>
      <c r="B3742" s="953"/>
      <c r="C3742" s="953"/>
      <c r="D3742" s="953"/>
      <c r="E3742" s="953"/>
      <c r="F3742" s="953"/>
      <c r="G3742" s="953"/>
      <c r="H3742" s="953"/>
    </row>
    <row r="3743" spans="1:8" x14ac:dyDescent="0.25">
      <c r="A3743" s="952"/>
      <c r="B3743" s="953"/>
      <c r="C3743" s="953"/>
      <c r="D3743" s="953"/>
      <c r="E3743" s="953"/>
      <c r="F3743" s="953"/>
      <c r="G3743" s="953"/>
      <c r="H3743" s="953"/>
    </row>
    <row r="3744" spans="1:8" x14ac:dyDescent="0.25">
      <c r="A3744" s="952"/>
      <c r="B3744" s="953"/>
      <c r="C3744" s="953"/>
      <c r="D3744" s="953"/>
      <c r="E3744" s="953"/>
      <c r="F3744" s="953"/>
      <c r="G3744" s="953"/>
      <c r="H3744" s="953"/>
    </row>
    <row r="3745" spans="1:8" x14ac:dyDescent="0.25">
      <c r="A3745" s="952"/>
      <c r="B3745" s="953"/>
      <c r="C3745" s="953"/>
      <c r="D3745" s="953"/>
      <c r="E3745" s="953"/>
      <c r="F3745" s="953"/>
      <c r="G3745" s="953"/>
      <c r="H3745" s="953"/>
    </row>
    <row r="3746" spans="1:8" x14ac:dyDescent="0.25">
      <c r="A3746" s="952"/>
      <c r="B3746" s="953"/>
      <c r="C3746" s="953"/>
      <c r="D3746" s="953"/>
      <c r="E3746" s="953"/>
      <c r="F3746" s="953"/>
      <c r="G3746" s="953"/>
      <c r="H3746" s="953"/>
    </row>
    <row r="3747" spans="1:8" x14ac:dyDescent="0.25">
      <c r="A3747" s="952"/>
      <c r="B3747" s="953"/>
      <c r="C3747" s="953"/>
      <c r="D3747" s="953"/>
      <c r="E3747" s="953"/>
      <c r="F3747" s="953"/>
      <c r="G3747" s="953"/>
      <c r="H3747" s="953"/>
    </row>
    <row r="3748" spans="1:8" x14ac:dyDescent="0.25">
      <c r="A3748" s="952"/>
      <c r="B3748" s="953"/>
      <c r="C3748" s="953"/>
      <c r="D3748" s="953"/>
      <c r="E3748" s="953"/>
      <c r="F3748" s="953"/>
      <c r="G3748" s="953"/>
      <c r="H3748" s="953"/>
    </row>
    <row r="3749" spans="1:8" x14ac:dyDescent="0.25">
      <c r="A3749" s="952"/>
      <c r="B3749" s="953"/>
      <c r="C3749" s="953"/>
      <c r="D3749" s="953"/>
      <c r="E3749" s="953"/>
      <c r="F3749" s="953"/>
      <c r="G3749" s="953"/>
      <c r="H3749" s="953"/>
    </row>
    <row r="3750" spans="1:8" x14ac:dyDescent="0.25">
      <c r="A3750" s="952"/>
      <c r="B3750" s="953"/>
      <c r="C3750" s="953"/>
      <c r="D3750" s="953"/>
      <c r="E3750" s="953"/>
      <c r="F3750" s="953"/>
      <c r="G3750" s="953"/>
      <c r="H3750" s="953"/>
    </row>
    <row r="3751" spans="1:8" x14ac:dyDescent="0.25">
      <c r="A3751" s="952"/>
      <c r="B3751" s="953"/>
      <c r="C3751" s="953"/>
      <c r="D3751" s="953"/>
      <c r="E3751" s="953"/>
      <c r="F3751" s="953"/>
      <c r="G3751" s="953"/>
      <c r="H3751" s="953"/>
    </row>
    <row r="3752" spans="1:8" x14ac:dyDescent="0.25">
      <c r="A3752" s="952"/>
      <c r="B3752" s="953"/>
      <c r="C3752" s="953"/>
      <c r="D3752" s="953"/>
      <c r="E3752" s="953"/>
      <c r="F3752" s="953"/>
      <c r="G3752" s="953"/>
      <c r="H3752" s="953"/>
    </row>
    <row r="3753" spans="1:8" x14ac:dyDescent="0.25">
      <c r="A3753" s="952"/>
      <c r="B3753" s="953"/>
      <c r="C3753" s="953"/>
      <c r="D3753" s="953"/>
      <c r="E3753" s="953"/>
      <c r="F3753" s="953"/>
      <c r="G3753" s="953"/>
      <c r="H3753" s="953"/>
    </row>
    <row r="3754" spans="1:8" x14ac:dyDescent="0.25">
      <c r="A3754" s="952"/>
      <c r="B3754" s="953"/>
      <c r="C3754" s="953"/>
      <c r="D3754" s="953"/>
      <c r="E3754" s="953"/>
      <c r="F3754" s="953"/>
      <c r="G3754" s="953"/>
      <c r="H3754" s="953"/>
    </row>
    <row r="3755" spans="1:8" x14ac:dyDescent="0.25">
      <c r="A3755" s="952"/>
      <c r="B3755" s="953"/>
      <c r="C3755" s="953"/>
      <c r="D3755" s="953"/>
      <c r="E3755" s="953"/>
      <c r="F3755" s="953"/>
      <c r="G3755" s="953"/>
      <c r="H3755" s="953"/>
    </row>
    <row r="3756" spans="1:8" x14ac:dyDescent="0.25">
      <c r="A3756" s="952"/>
      <c r="B3756" s="953"/>
      <c r="C3756" s="953"/>
      <c r="D3756" s="953"/>
      <c r="E3756" s="953"/>
      <c r="F3756" s="953"/>
      <c r="G3756" s="953"/>
      <c r="H3756" s="953"/>
    </row>
    <row r="3757" spans="1:8" x14ac:dyDescent="0.25">
      <c r="A3757" s="952"/>
      <c r="B3757" s="953"/>
      <c r="C3757" s="953"/>
      <c r="D3757" s="953"/>
      <c r="E3757" s="953"/>
      <c r="F3757" s="953"/>
      <c r="G3757" s="953"/>
      <c r="H3757" s="953"/>
    </row>
    <row r="3758" spans="1:8" x14ac:dyDescent="0.25">
      <c r="A3758" s="952"/>
      <c r="B3758" s="953"/>
      <c r="C3758" s="953"/>
      <c r="D3758" s="953"/>
      <c r="E3758" s="953"/>
      <c r="F3758" s="953"/>
      <c r="G3758" s="953"/>
      <c r="H3758" s="953"/>
    </row>
    <row r="3759" spans="1:8" x14ac:dyDescent="0.25">
      <c r="A3759" s="952"/>
      <c r="B3759" s="953"/>
      <c r="C3759" s="953"/>
      <c r="D3759" s="953"/>
      <c r="E3759" s="953"/>
      <c r="F3759" s="953"/>
      <c r="G3759" s="953"/>
      <c r="H3759" s="953"/>
    </row>
    <row r="3760" spans="1:8" x14ac:dyDescent="0.25">
      <c r="A3760" s="952"/>
      <c r="B3760" s="953"/>
      <c r="C3760" s="953"/>
      <c r="D3760" s="953"/>
      <c r="E3760" s="953"/>
      <c r="F3760" s="953"/>
      <c r="G3760" s="953"/>
      <c r="H3760" s="953"/>
    </row>
    <row r="3761" spans="1:8" x14ac:dyDescent="0.25">
      <c r="A3761" s="952"/>
      <c r="B3761" s="953"/>
      <c r="C3761" s="953"/>
      <c r="D3761" s="953"/>
      <c r="E3761" s="953"/>
      <c r="F3761" s="953"/>
      <c r="G3761" s="953"/>
      <c r="H3761" s="953"/>
    </row>
    <row r="3762" spans="1:8" x14ac:dyDescent="0.25">
      <c r="A3762" s="952"/>
      <c r="B3762" s="953"/>
      <c r="C3762" s="953"/>
      <c r="D3762" s="953"/>
      <c r="E3762" s="953"/>
      <c r="F3762" s="953"/>
      <c r="G3762" s="953"/>
      <c r="H3762" s="953"/>
    </row>
    <row r="3763" spans="1:8" x14ac:dyDescent="0.25">
      <c r="A3763" s="952"/>
      <c r="B3763" s="953"/>
      <c r="C3763" s="953"/>
      <c r="D3763" s="953"/>
      <c r="E3763" s="953"/>
      <c r="F3763" s="953"/>
      <c r="G3763" s="953"/>
      <c r="H3763" s="953"/>
    </row>
    <row r="3764" spans="1:8" x14ac:dyDescent="0.25">
      <c r="A3764" s="952"/>
      <c r="B3764" s="953"/>
      <c r="C3764" s="953"/>
      <c r="D3764" s="953"/>
      <c r="E3764" s="953"/>
      <c r="F3764" s="953"/>
      <c r="G3764" s="953"/>
      <c r="H3764" s="953"/>
    </row>
    <row r="3765" spans="1:8" x14ac:dyDescent="0.25">
      <c r="A3765" s="952"/>
      <c r="B3765" s="953"/>
      <c r="C3765" s="953"/>
      <c r="D3765" s="953"/>
      <c r="E3765" s="953"/>
      <c r="F3765" s="953"/>
      <c r="G3765" s="953"/>
      <c r="H3765" s="953"/>
    </row>
    <row r="3766" spans="1:8" x14ac:dyDescent="0.25">
      <c r="A3766" s="952"/>
      <c r="B3766" s="953"/>
      <c r="C3766" s="953"/>
      <c r="D3766" s="953"/>
      <c r="E3766" s="953"/>
      <c r="F3766" s="953"/>
      <c r="G3766" s="953"/>
      <c r="H3766" s="953"/>
    </row>
    <row r="3767" spans="1:8" x14ac:dyDescent="0.25">
      <c r="A3767" s="952"/>
      <c r="B3767" s="953"/>
      <c r="C3767" s="953"/>
      <c r="D3767" s="953"/>
      <c r="E3767" s="953"/>
      <c r="F3767" s="953"/>
      <c r="G3767" s="953"/>
      <c r="H3767" s="953"/>
    </row>
    <row r="3768" spans="1:8" x14ac:dyDescent="0.25">
      <c r="A3768" s="952"/>
      <c r="B3768" s="953"/>
      <c r="C3768" s="953"/>
      <c r="D3768" s="953"/>
      <c r="E3768" s="953"/>
      <c r="F3768" s="953"/>
      <c r="G3768" s="953"/>
      <c r="H3768" s="953"/>
    </row>
    <row r="3769" spans="1:8" x14ac:dyDescent="0.25">
      <c r="A3769" s="952"/>
      <c r="B3769" s="953"/>
      <c r="C3769" s="953"/>
      <c r="D3769" s="953"/>
      <c r="E3769" s="953"/>
      <c r="F3769" s="953"/>
      <c r="G3769" s="953"/>
      <c r="H3769" s="953"/>
    </row>
    <row r="3770" spans="1:8" x14ac:dyDescent="0.25">
      <c r="A3770" s="952"/>
      <c r="B3770" s="953"/>
      <c r="C3770" s="953"/>
      <c r="D3770" s="953"/>
      <c r="E3770" s="953"/>
      <c r="F3770" s="953"/>
      <c r="G3770" s="953"/>
      <c r="H3770" s="953"/>
    </row>
    <row r="3771" spans="1:8" x14ac:dyDescent="0.25">
      <c r="A3771" s="952"/>
      <c r="B3771" s="953"/>
      <c r="C3771" s="953"/>
      <c r="D3771" s="953"/>
      <c r="E3771" s="953"/>
      <c r="F3771" s="953"/>
      <c r="G3771" s="953"/>
      <c r="H3771" s="953"/>
    </row>
    <row r="3772" spans="1:8" x14ac:dyDescent="0.25">
      <c r="A3772" s="952"/>
      <c r="B3772" s="953"/>
      <c r="C3772" s="953"/>
      <c r="D3772" s="953"/>
      <c r="E3772" s="953"/>
      <c r="F3772" s="953"/>
      <c r="G3772" s="953"/>
      <c r="H3772" s="953"/>
    </row>
    <row r="3773" spans="1:8" x14ac:dyDescent="0.25">
      <c r="A3773" s="952"/>
      <c r="B3773" s="953"/>
      <c r="C3773" s="953"/>
      <c r="D3773" s="953"/>
      <c r="E3773" s="953"/>
      <c r="F3773" s="953"/>
      <c r="G3773" s="953"/>
      <c r="H3773" s="953"/>
    </row>
    <row r="3774" spans="1:8" x14ac:dyDescent="0.25">
      <c r="A3774" s="952"/>
      <c r="B3774" s="953"/>
      <c r="C3774" s="953"/>
      <c r="D3774" s="953"/>
      <c r="E3774" s="953"/>
      <c r="F3774" s="953"/>
      <c r="G3774" s="953"/>
      <c r="H3774" s="953"/>
    </row>
    <row r="3775" spans="1:8" x14ac:dyDescent="0.25">
      <c r="A3775" s="952"/>
      <c r="B3775" s="953"/>
      <c r="C3775" s="953"/>
      <c r="D3775" s="953"/>
      <c r="E3775" s="953"/>
      <c r="F3775" s="953"/>
      <c r="G3775" s="953"/>
      <c r="H3775" s="953"/>
    </row>
    <row r="3776" spans="1:8" x14ac:dyDescent="0.25">
      <c r="A3776" s="952"/>
      <c r="B3776" s="953"/>
      <c r="C3776" s="953"/>
      <c r="D3776" s="953"/>
      <c r="E3776" s="953"/>
      <c r="F3776" s="953"/>
      <c r="G3776" s="953"/>
      <c r="H3776" s="953"/>
    </row>
    <row r="3777" spans="1:8" x14ac:dyDescent="0.25">
      <c r="A3777" s="952"/>
      <c r="B3777" s="953"/>
      <c r="C3777" s="953"/>
      <c r="D3777" s="953"/>
      <c r="E3777" s="953"/>
      <c r="F3777" s="953"/>
      <c r="G3777" s="953"/>
      <c r="H3777" s="953"/>
    </row>
    <row r="3778" spans="1:8" x14ac:dyDescent="0.25">
      <c r="A3778" s="952"/>
      <c r="B3778" s="953"/>
      <c r="C3778" s="953"/>
      <c r="D3778" s="953"/>
      <c r="E3778" s="953"/>
      <c r="F3778" s="953"/>
      <c r="G3778" s="953"/>
      <c r="H3778" s="953"/>
    </row>
    <row r="3779" spans="1:8" x14ac:dyDescent="0.25">
      <c r="A3779" s="952"/>
      <c r="B3779" s="953"/>
      <c r="C3779" s="953"/>
      <c r="D3779" s="953"/>
      <c r="E3779" s="953"/>
      <c r="F3779" s="953"/>
      <c r="G3779" s="953"/>
      <c r="H3779" s="953"/>
    </row>
    <row r="3780" spans="1:8" x14ac:dyDescent="0.25">
      <c r="A3780" s="952"/>
      <c r="B3780" s="953"/>
      <c r="C3780" s="953"/>
      <c r="D3780" s="953"/>
      <c r="E3780" s="953"/>
      <c r="F3780" s="953"/>
      <c r="G3780" s="953"/>
      <c r="H3780" s="953"/>
    </row>
    <row r="3781" spans="1:8" x14ac:dyDescent="0.25">
      <c r="A3781" s="952"/>
      <c r="B3781" s="953"/>
      <c r="C3781" s="953"/>
      <c r="D3781" s="953"/>
      <c r="E3781" s="953"/>
      <c r="F3781" s="953"/>
      <c r="G3781" s="953"/>
      <c r="H3781" s="953"/>
    </row>
    <row r="3782" spans="1:8" x14ac:dyDescent="0.25">
      <c r="A3782" s="952"/>
      <c r="B3782" s="953"/>
      <c r="C3782" s="953"/>
      <c r="D3782" s="953"/>
      <c r="E3782" s="953"/>
      <c r="F3782" s="953"/>
      <c r="G3782" s="953"/>
      <c r="H3782" s="953"/>
    </row>
    <row r="3783" spans="1:8" x14ac:dyDescent="0.25">
      <c r="A3783" s="952"/>
      <c r="B3783" s="953"/>
      <c r="C3783" s="953"/>
      <c r="D3783" s="953"/>
      <c r="E3783" s="953"/>
      <c r="F3783" s="953"/>
      <c r="G3783" s="953"/>
      <c r="H3783" s="953"/>
    </row>
    <row r="3784" spans="1:8" x14ac:dyDescent="0.25">
      <c r="A3784" s="952"/>
      <c r="B3784" s="953"/>
      <c r="C3784" s="953"/>
      <c r="D3784" s="953"/>
      <c r="E3784" s="953"/>
      <c r="F3784" s="953"/>
      <c r="G3784" s="953"/>
      <c r="H3784" s="953"/>
    </row>
    <row r="3785" spans="1:8" x14ac:dyDescent="0.25">
      <c r="A3785" s="952"/>
      <c r="B3785" s="953"/>
      <c r="C3785" s="953"/>
      <c r="D3785" s="953"/>
      <c r="E3785" s="953"/>
      <c r="F3785" s="953"/>
      <c r="G3785" s="953"/>
      <c r="H3785" s="953"/>
    </row>
    <row r="3786" spans="1:8" x14ac:dyDescent="0.25">
      <c r="A3786" s="952"/>
      <c r="B3786" s="953"/>
      <c r="C3786" s="953"/>
      <c r="D3786" s="953"/>
      <c r="E3786" s="953"/>
      <c r="F3786" s="953"/>
      <c r="G3786" s="953"/>
      <c r="H3786" s="953"/>
    </row>
    <row r="3787" spans="1:8" x14ac:dyDescent="0.25">
      <c r="A3787" s="952"/>
      <c r="B3787" s="953"/>
      <c r="C3787" s="953"/>
      <c r="D3787" s="953"/>
      <c r="E3787" s="953"/>
      <c r="F3787" s="953"/>
      <c r="G3787" s="953"/>
      <c r="H3787" s="953"/>
    </row>
    <row r="3788" spans="1:8" x14ac:dyDescent="0.25">
      <c r="A3788" s="952"/>
      <c r="B3788" s="953"/>
      <c r="C3788" s="953"/>
      <c r="D3788" s="953"/>
      <c r="E3788" s="953"/>
      <c r="F3788" s="953"/>
      <c r="G3788" s="953"/>
      <c r="H3788" s="953"/>
    </row>
    <row r="3789" spans="1:8" x14ac:dyDescent="0.25">
      <c r="A3789" s="952"/>
      <c r="B3789" s="953"/>
      <c r="C3789" s="953"/>
      <c r="D3789" s="953"/>
      <c r="E3789" s="953"/>
      <c r="F3789" s="953"/>
      <c r="G3789" s="953"/>
      <c r="H3789" s="953"/>
    </row>
    <row r="3790" spans="1:8" x14ac:dyDescent="0.25">
      <c r="A3790" s="952"/>
      <c r="B3790" s="953"/>
      <c r="C3790" s="953"/>
      <c r="D3790" s="953"/>
      <c r="E3790" s="953"/>
      <c r="F3790" s="953"/>
      <c r="G3790" s="953"/>
      <c r="H3790" s="953"/>
    </row>
    <row r="3791" spans="1:8" x14ac:dyDescent="0.25">
      <c r="A3791" s="952"/>
      <c r="B3791" s="953"/>
      <c r="C3791" s="953"/>
      <c r="D3791" s="953"/>
      <c r="E3791" s="953"/>
      <c r="F3791" s="953"/>
      <c r="G3791" s="953"/>
      <c r="H3791" s="953"/>
    </row>
    <row r="3792" spans="1:8" x14ac:dyDescent="0.25">
      <c r="A3792" s="952"/>
      <c r="B3792" s="953"/>
      <c r="C3792" s="953"/>
      <c r="D3792" s="953"/>
      <c r="E3792" s="953"/>
      <c r="F3792" s="953"/>
      <c r="G3792" s="953"/>
      <c r="H3792" s="953"/>
    </row>
    <row r="3793" spans="1:8" x14ac:dyDescent="0.25">
      <c r="A3793" s="952"/>
      <c r="B3793" s="953"/>
      <c r="C3793" s="953"/>
      <c r="D3793" s="953"/>
      <c r="E3793" s="953"/>
      <c r="F3793" s="953"/>
      <c r="G3793" s="953"/>
      <c r="H3793" s="953"/>
    </row>
    <row r="3794" spans="1:8" x14ac:dyDescent="0.25">
      <c r="A3794" s="952"/>
      <c r="B3794" s="953"/>
      <c r="C3794" s="953"/>
      <c r="D3794" s="953"/>
      <c r="E3794" s="953"/>
      <c r="F3794" s="953"/>
      <c r="G3794" s="953"/>
      <c r="H3794" s="953"/>
    </row>
    <row r="3795" spans="1:8" x14ac:dyDescent="0.25">
      <c r="A3795" s="952"/>
      <c r="B3795" s="953"/>
      <c r="C3795" s="953"/>
      <c r="D3795" s="953"/>
      <c r="E3795" s="953"/>
      <c r="F3795" s="953"/>
      <c r="G3795" s="953"/>
      <c r="H3795" s="953"/>
    </row>
    <row r="3796" spans="1:8" x14ac:dyDescent="0.25">
      <c r="A3796" s="952"/>
      <c r="B3796" s="953"/>
      <c r="C3796" s="953"/>
      <c r="D3796" s="953"/>
      <c r="E3796" s="953"/>
      <c r="F3796" s="953"/>
      <c r="G3796" s="953"/>
      <c r="H3796" s="953"/>
    </row>
    <row r="3797" spans="1:8" x14ac:dyDescent="0.25">
      <c r="A3797" s="952"/>
      <c r="B3797" s="953"/>
      <c r="C3797" s="953"/>
      <c r="D3797" s="953"/>
      <c r="E3797" s="953"/>
      <c r="F3797" s="953"/>
      <c r="G3797" s="953"/>
      <c r="H3797" s="953"/>
    </row>
    <row r="3798" spans="1:8" x14ac:dyDescent="0.25">
      <c r="A3798" s="952"/>
      <c r="B3798" s="953"/>
      <c r="C3798" s="953"/>
      <c r="D3798" s="953"/>
      <c r="E3798" s="953"/>
      <c r="F3798" s="953"/>
      <c r="G3798" s="953"/>
      <c r="H3798" s="953"/>
    </row>
    <row r="3799" spans="1:8" x14ac:dyDescent="0.25">
      <c r="A3799" s="952"/>
      <c r="B3799" s="953"/>
      <c r="C3799" s="953"/>
      <c r="D3799" s="953"/>
      <c r="E3799" s="953"/>
      <c r="F3799" s="953"/>
      <c r="G3799" s="953"/>
      <c r="H3799" s="953"/>
    </row>
    <row r="3800" spans="1:8" x14ac:dyDescent="0.25">
      <c r="A3800" s="952"/>
      <c r="B3800" s="953"/>
      <c r="C3800" s="953"/>
      <c r="D3800" s="953"/>
      <c r="E3800" s="953"/>
      <c r="F3800" s="953"/>
      <c r="G3800" s="953"/>
      <c r="H3800" s="953"/>
    </row>
    <row r="3801" spans="1:8" x14ac:dyDescent="0.25">
      <c r="A3801" s="952"/>
      <c r="B3801" s="953"/>
      <c r="C3801" s="953"/>
      <c r="D3801" s="953"/>
      <c r="E3801" s="953"/>
      <c r="F3801" s="953"/>
      <c r="G3801" s="953"/>
      <c r="H3801" s="953"/>
    </row>
    <row r="3802" spans="1:8" x14ac:dyDescent="0.25">
      <c r="A3802" s="952"/>
      <c r="B3802" s="953"/>
      <c r="C3802" s="953"/>
      <c r="D3802" s="953"/>
      <c r="E3802" s="953"/>
      <c r="F3802" s="953"/>
      <c r="G3802" s="953"/>
      <c r="H3802" s="953"/>
    </row>
    <row r="3803" spans="1:8" x14ac:dyDescent="0.25">
      <c r="A3803" s="952"/>
      <c r="B3803" s="953"/>
      <c r="C3803" s="953"/>
      <c r="D3803" s="953"/>
      <c r="E3803" s="953"/>
      <c r="F3803" s="953"/>
      <c r="G3803" s="953"/>
      <c r="H3803" s="953"/>
    </row>
    <row r="3804" spans="1:8" x14ac:dyDescent="0.25">
      <c r="A3804" s="952"/>
      <c r="B3804" s="953"/>
      <c r="C3804" s="953"/>
      <c r="D3804" s="953"/>
      <c r="E3804" s="953"/>
      <c r="F3804" s="953"/>
      <c r="G3804" s="953"/>
      <c r="H3804" s="953"/>
    </row>
    <row r="3805" spans="1:8" x14ac:dyDescent="0.25">
      <c r="A3805" s="952"/>
      <c r="B3805" s="953"/>
      <c r="C3805" s="953"/>
      <c r="D3805" s="953"/>
      <c r="E3805" s="953"/>
      <c r="F3805" s="953"/>
      <c r="G3805" s="953"/>
      <c r="H3805" s="953"/>
    </row>
    <row r="3806" spans="1:8" x14ac:dyDescent="0.25">
      <c r="A3806" s="952"/>
      <c r="B3806" s="953"/>
      <c r="C3806" s="953"/>
      <c r="D3806" s="953"/>
      <c r="E3806" s="953"/>
      <c r="F3806" s="953"/>
      <c r="G3806" s="953"/>
      <c r="H3806" s="953"/>
    </row>
    <row r="3807" spans="1:8" x14ac:dyDescent="0.25">
      <c r="A3807" s="952"/>
      <c r="B3807" s="953"/>
      <c r="C3807" s="953"/>
      <c r="D3807" s="953"/>
      <c r="E3807" s="953"/>
      <c r="F3807" s="953"/>
      <c r="G3807" s="953"/>
      <c r="H3807" s="953"/>
    </row>
    <row r="3808" spans="1:8" x14ac:dyDescent="0.25">
      <c r="A3808" s="952"/>
      <c r="B3808" s="953"/>
      <c r="C3808" s="953"/>
      <c r="D3808" s="953"/>
      <c r="E3808" s="953"/>
      <c r="F3808" s="953"/>
      <c r="G3808" s="953"/>
      <c r="H3808" s="953"/>
    </row>
    <row r="3809" spans="1:8" x14ac:dyDescent="0.25">
      <c r="A3809" s="952"/>
      <c r="B3809" s="953"/>
      <c r="C3809" s="953"/>
      <c r="D3809" s="953"/>
      <c r="E3809" s="953"/>
      <c r="F3809" s="953"/>
      <c r="G3809" s="953"/>
      <c r="H3809" s="953"/>
    </row>
    <row r="3810" spans="1:8" x14ac:dyDescent="0.25">
      <c r="A3810" s="952"/>
      <c r="B3810" s="953"/>
      <c r="C3810" s="953"/>
      <c r="D3810" s="953"/>
      <c r="E3810" s="953"/>
      <c r="F3810" s="953"/>
      <c r="G3810" s="953"/>
      <c r="H3810" s="953"/>
    </row>
    <row r="3811" spans="1:8" x14ac:dyDescent="0.25">
      <c r="A3811" s="952"/>
      <c r="B3811" s="953"/>
      <c r="C3811" s="953"/>
      <c r="D3811" s="953"/>
      <c r="E3811" s="953"/>
      <c r="F3811" s="953"/>
      <c r="G3811" s="953"/>
      <c r="H3811" s="953"/>
    </row>
    <row r="3812" spans="1:8" x14ac:dyDescent="0.25">
      <c r="A3812" s="952"/>
      <c r="B3812" s="953"/>
      <c r="C3812" s="953"/>
      <c r="D3812" s="953"/>
      <c r="E3812" s="953"/>
      <c r="F3812" s="953"/>
      <c r="G3812" s="953"/>
      <c r="H3812" s="953"/>
    </row>
    <row r="3813" spans="1:8" x14ac:dyDescent="0.25">
      <c r="A3813" s="952"/>
      <c r="B3813" s="953"/>
      <c r="C3813" s="953"/>
      <c r="D3813" s="953"/>
      <c r="E3813" s="953"/>
      <c r="F3813" s="953"/>
      <c r="G3813" s="953"/>
      <c r="H3813" s="953"/>
    </row>
    <row r="3814" spans="1:8" x14ac:dyDescent="0.25">
      <c r="A3814" s="952"/>
      <c r="B3814" s="953"/>
      <c r="C3814" s="953"/>
      <c r="D3814" s="953"/>
      <c r="E3814" s="953"/>
      <c r="F3814" s="953"/>
      <c r="G3814" s="953"/>
      <c r="H3814" s="953"/>
    </row>
    <row r="3815" spans="1:8" x14ac:dyDescent="0.25">
      <c r="A3815" s="952"/>
      <c r="B3815" s="953"/>
      <c r="C3815" s="953"/>
      <c r="D3815" s="953"/>
      <c r="E3815" s="953"/>
      <c r="F3815" s="953"/>
      <c r="G3815" s="953"/>
      <c r="H3815" s="953"/>
    </row>
    <row r="3816" spans="1:8" x14ac:dyDescent="0.25">
      <c r="A3816" s="952"/>
      <c r="B3816" s="953"/>
      <c r="C3816" s="953"/>
      <c r="D3816" s="953"/>
      <c r="E3816" s="953"/>
      <c r="F3816" s="953"/>
      <c r="G3816" s="953"/>
      <c r="H3816" s="953"/>
    </row>
    <row r="3817" spans="1:8" x14ac:dyDescent="0.25">
      <c r="A3817" s="952"/>
      <c r="B3817" s="953"/>
      <c r="C3817" s="953"/>
      <c r="D3817" s="953"/>
      <c r="E3817" s="953"/>
      <c r="F3817" s="953"/>
      <c r="G3817" s="953"/>
      <c r="H3817" s="953"/>
    </row>
    <row r="3818" spans="1:8" x14ac:dyDescent="0.25">
      <c r="A3818" s="952"/>
      <c r="B3818" s="953"/>
      <c r="C3818" s="953"/>
      <c r="D3818" s="953"/>
      <c r="E3818" s="953"/>
      <c r="F3818" s="953"/>
      <c r="G3818" s="953"/>
      <c r="H3818" s="953"/>
    </row>
    <row r="3819" spans="1:8" x14ac:dyDescent="0.25">
      <c r="A3819" s="952"/>
      <c r="B3819" s="953"/>
      <c r="C3819" s="953"/>
      <c r="D3819" s="953"/>
      <c r="E3819" s="953"/>
      <c r="F3819" s="953"/>
      <c r="G3819" s="953"/>
      <c r="H3819" s="953"/>
    </row>
    <row r="3820" spans="1:8" x14ac:dyDescent="0.25">
      <c r="A3820" s="952"/>
      <c r="B3820" s="953"/>
      <c r="C3820" s="953"/>
      <c r="D3820" s="953"/>
      <c r="E3820" s="953"/>
      <c r="F3820" s="953"/>
      <c r="G3820" s="953"/>
      <c r="H3820" s="953"/>
    </row>
    <row r="3821" spans="1:8" x14ac:dyDescent="0.25">
      <c r="A3821" s="952"/>
      <c r="B3821" s="953"/>
      <c r="C3821" s="953"/>
      <c r="D3821" s="953"/>
      <c r="E3821" s="953"/>
      <c r="F3821" s="953"/>
      <c r="G3821" s="953"/>
      <c r="H3821" s="953"/>
    </row>
    <row r="3822" spans="1:8" x14ac:dyDescent="0.25">
      <c r="A3822" s="952"/>
      <c r="B3822" s="953"/>
      <c r="C3822" s="953"/>
      <c r="D3822" s="953"/>
      <c r="E3822" s="953"/>
      <c r="F3822" s="953"/>
      <c r="G3822" s="953"/>
      <c r="H3822" s="953"/>
    </row>
    <row r="3823" spans="1:8" x14ac:dyDescent="0.25">
      <c r="A3823" s="952"/>
      <c r="B3823" s="953"/>
      <c r="C3823" s="953"/>
      <c r="D3823" s="953"/>
      <c r="E3823" s="953"/>
      <c r="F3823" s="953"/>
      <c r="G3823" s="953"/>
      <c r="H3823" s="953"/>
    </row>
    <row r="3824" spans="1:8" x14ac:dyDescent="0.25">
      <c r="A3824" s="952"/>
      <c r="B3824" s="953"/>
      <c r="C3824" s="953"/>
      <c r="D3824" s="953"/>
      <c r="E3824" s="953"/>
      <c r="F3824" s="953"/>
      <c r="G3824" s="953"/>
      <c r="H3824" s="953"/>
    </row>
    <row r="3825" spans="1:8" x14ac:dyDescent="0.25">
      <c r="A3825" s="952"/>
      <c r="B3825" s="953"/>
      <c r="C3825" s="953"/>
      <c r="D3825" s="953"/>
      <c r="E3825" s="953"/>
      <c r="F3825" s="953"/>
      <c r="G3825" s="953"/>
      <c r="H3825" s="953"/>
    </row>
    <row r="3826" spans="1:8" x14ac:dyDescent="0.25">
      <c r="A3826" s="952"/>
      <c r="B3826" s="953"/>
      <c r="C3826" s="953"/>
      <c r="D3826" s="953"/>
      <c r="E3826" s="953"/>
      <c r="F3826" s="953"/>
      <c r="G3826" s="953"/>
      <c r="H3826" s="953"/>
    </row>
    <row r="3827" spans="1:8" x14ac:dyDescent="0.25">
      <c r="A3827" s="952"/>
      <c r="B3827" s="953"/>
      <c r="C3827" s="953"/>
      <c r="D3827" s="953"/>
      <c r="E3827" s="953"/>
      <c r="F3827" s="953"/>
      <c r="G3827" s="953"/>
      <c r="H3827" s="953"/>
    </row>
    <row r="3828" spans="1:8" x14ac:dyDescent="0.25">
      <c r="A3828" s="952"/>
      <c r="B3828" s="953"/>
      <c r="C3828" s="953"/>
      <c r="D3828" s="953"/>
      <c r="E3828" s="953"/>
      <c r="F3828" s="953"/>
      <c r="G3828" s="953"/>
      <c r="H3828" s="953"/>
    </row>
    <row r="3829" spans="1:8" x14ac:dyDescent="0.25">
      <c r="A3829" s="952"/>
      <c r="B3829" s="953"/>
      <c r="C3829" s="953"/>
      <c r="D3829" s="953"/>
      <c r="E3829" s="953"/>
      <c r="F3829" s="953"/>
      <c r="G3829" s="953"/>
      <c r="H3829" s="953"/>
    </row>
    <row r="3830" spans="1:8" x14ac:dyDescent="0.25">
      <c r="A3830" s="952"/>
      <c r="B3830" s="953"/>
      <c r="C3830" s="953"/>
      <c r="D3830" s="953"/>
      <c r="E3830" s="953"/>
      <c r="F3830" s="953"/>
      <c r="G3830" s="953"/>
      <c r="H3830" s="953"/>
    </row>
    <row r="3831" spans="1:8" x14ac:dyDescent="0.25">
      <c r="A3831" s="952"/>
      <c r="B3831" s="953"/>
      <c r="C3831" s="953"/>
      <c r="D3831" s="953"/>
      <c r="E3831" s="953"/>
      <c r="F3831" s="953"/>
      <c r="G3831" s="953"/>
      <c r="H3831" s="953"/>
    </row>
    <row r="3832" spans="1:8" x14ac:dyDescent="0.25">
      <c r="A3832" s="952"/>
      <c r="B3832" s="953"/>
      <c r="C3832" s="953"/>
      <c r="D3832" s="953"/>
      <c r="E3832" s="953"/>
      <c r="F3832" s="953"/>
      <c r="G3832" s="953"/>
      <c r="H3832" s="953"/>
    </row>
    <row r="3833" spans="1:8" x14ac:dyDescent="0.25">
      <c r="A3833" s="952"/>
      <c r="B3833" s="953"/>
      <c r="C3833" s="953"/>
      <c r="D3833" s="953"/>
      <c r="E3833" s="953"/>
      <c r="F3833" s="953"/>
      <c r="G3833" s="953"/>
      <c r="H3833" s="953"/>
    </row>
    <row r="3834" spans="1:8" x14ac:dyDescent="0.25">
      <c r="A3834" s="952"/>
      <c r="B3834" s="953"/>
      <c r="C3834" s="953"/>
      <c r="D3834" s="953"/>
      <c r="E3834" s="953"/>
      <c r="F3834" s="953"/>
      <c r="G3834" s="953"/>
      <c r="H3834" s="953"/>
    </row>
    <row r="3835" spans="1:8" x14ac:dyDescent="0.25">
      <c r="A3835" s="952"/>
      <c r="B3835" s="953"/>
      <c r="C3835" s="953"/>
      <c r="D3835" s="953"/>
      <c r="E3835" s="953"/>
      <c r="F3835" s="953"/>
      <c r="G3835" s="953"/>
      <c r="H3835" s="953"/>
    </row>
    <row r="3836" spans="1:8" x14ac:dyDescent="0.25">
      <c r="A3836" s="952"/>
      <c r="B3836" s="953"/>
      <c r="C3836" s="953"/>
      <c r="D3836" s="953"/>
      <c r="E3836" s="953"/>
      <c r="F3836" s="953"/>
      <c r="G3836" s="953"/>
      <c r="H3836" s="953"/>
    </row>
    <row r="3837" spans="1:8" x14ac:dyDescent="0.25">
      <c r="A3837" s="952"/>
      <c r="B3837" s="953"/>
      <c r="C3837" s="953"/>
      <c r="D3837" s="953"/>
      <c r="E3837" s="953"/>
      <c r="F3837" s="953"/>
      <c r="G3837" s="953"/>
      <c r="H3837" s="953"/>
    </row>
    <row r="3838" spans="1:8" x14ac:dyDescent="0.25">
      <c r="A3838" s="952"/>
      <c r="B3838" s="953"/>
      <c r="C3838" s="953"/>
      <c r="D3838" s="953"/>
      <c r="E3838" s="953"/>
      <c r="F3838" s="953"/>
      <c r="G3838" s="953"/>
      <c r="H3838" s="953"/>
    </row>
    <row r="3839" spans="1:8" x14ac:dyDescent="0.25">
      <c r="A3839" s="952"/>
      <c r="B3839" s="953"/>
      <c r="C3839" s="953"/>
      <c r="D3839" s="953"/>
      <c r="E3839" s="953"/>
      <c r="F3839" s="953"/>
      <c r="G3839" s="953"/>
      <c r="H3839" s="953"/>
    </row>
    <row r="3840" spans="1:8" x14ac:dyDescent="0.25">
      <c r="A3840" s="952"/>
      <c r="B3840" s="953"/>
      <c r="C3840" s="953"/>
      <c r="D3840" s="953"/>
      <c r="E3840" s="953"/>
      <c r="F3840" s="953"/>
      <c r="G3840" s="953"/>
      <c r="H3840" s="953"/>
    </row>
    <row r="3841" spans="1:8" x14ac:dyDescent="0.25">
      <c r="A3841" s="952"/>
      <c r="B3841" s="953"/>
      <c r="C3841" s="953"/>
      <c r="D3841" s="953"/>
      <c r="E3841" s="953"/>
      <c r="F3841" s="953"/>
      <c r="G3841" s="953"/>
      <c r="H3841" s="953"/>
    </row>
    <row r="3842" spans="1:8" x14ac:dyDescent="0.25">
      <c r="A3842" s="952"/>
      <c r="B3842" s="953"/>
      <c r="C3842" s="953"/>
      <c r="D3842" s="953"/>
      <c r="E3842" s="953"/>
      <c r="F3842" s="953"/>
      <c r="G3842" s="953"/>
      <c r="H3842" s="953"/>
    </row>
    <row r="3843" spans="1:8" x14ac:dyDescent="0.25">
      <c r="A3843" s="952"/>
      <c r="B3843" s="953"/>
      <c r="C3843" s="953"/>
      <c r="D3843" s="953"/>
      <c r="E3843" s="953"/>
      <c r="F3843" s="953"/>
      <c r="G3843" s="953"/>
      <c r="H3843" s="953"/>
    </row>
    <row r="3844" spans="1:8" x14ac:dyDescent="0.25">
      <c r="A3844" s="952"/>
      <c r="B3844" s="953"/>
      <c r="C3844" s="953"/>
      <c r="D3844" s="953"/>
      <c r="E3844" s="953"/>
      <c r="F3844" s="953"/>
      <c r="G3844" s="953"/>
      <c r="H3844" s="953"/>
    </row>
    <row r="3845" spans="1:8" x14ac:dyDescent="0.25">
      <c r="A3845" s="952"/>
      <c r="B3845" s="953"/>
      <c r="C3845" s="953"/>
      <c r="D3845" s="953"/>
      <c r="E3845" s="953"/>
      <c r="F3845" s="953"/>
      <c r="G3845" s="953"/>
      <c r="H3845" s="953"/>
    </row>
    <row r="3846" spans="1:8" x14ac:dyDescent="0.25">
      <c r="A3846" s="952"/>
      <c r="B3846" s="953"/>
      <c r="C3846" s="953"/>
      <c r="D3846" s="953"/>
      <c r="E3846" s="953"/>
      <c r="F3846" s="953"/>
      <c r="G3846" s="953"/>
      <c r="H3846" s="953"/>
    </row>
    <row r="3847" spans="1:8" x14ac:dyDescent="0.25">
      <c r="A3847" s="952"/>
      <c r="B3847" s="953"/>
      <c r="C3847" s="953"/>
      <c r="D3847" s="953"/>
      <c r="E3847" s="953"/>
      <c r="F3847" s="953"/>
      <c r="G3847" s="953"/>
      <c r="H3847" s="953"/>
    </row>
    <row r="3848" spans="1:8" x14ac:dyDescent="0.25">
      <c r="A3848" s="952"/>
      <c r="B3848" s="953"/>
      <c r="C3848" s="953"/>
      <c r="D3848" s="953"/>
      <c r="E3848" s="953"/>
      <c r="F3848" s="953"/>
      <c r="G3848" s="953"/>
      <c r="H3848" s="953"/>
    </row>
    <row r="3849" spans="1:8" x14ac:dyDescent="0.25">
      <c r="A3849" s="952"/>
      <c r="B3849" s="953"/>
      <c r="C3849" s="953"/>
      <c r="D3849" s="953"/>
      <c r="E3849" s="953"/>
      <c r="F3849" s="953"/>
      <c r="G3849" s="953"/>
      <c r="H3849" s="953"/>
    </row>
    <row r="3850" spans="1:8" x14ac:dyDescent="0.25">
      <c r="A3850" s="952"/>
      <c r="B3850" s="953"/>
      <c r="C3850" s="953"/>
      <c r="D3850" s="953"/>
      <c r="E3850" s="953"/>
      <c r="F3850" s="953"/>
      <c r="G3850" s="953"/>
      <c r="H3850" s="953"/>
    </row>
    <row r="3851" spans="1:8" x14ac:dyDescent="0.25">
      <c r="A3851" s="952"/>
      <c r="B3851" s="953"/>
      <c r="C3851" s="953"/>
      <c r="D3851" s="953"/>
      <c r="E3851" s="953"/>
      <c r="F3851" s="953"/>
      <c r="G3851" s="953"/>
      <c r="H3851" s="953"/>
    </row>
    <row r="3852" spans="1:8" x14ac:dyDescent="0.25">
      <c r="A3852" s="952"/>
      <c r="B3852" s="953"/>
      <c r="C3852" s="953"/>
      <c r="D3852" s="953"/>
      <c r="E3852" s="953"/>
      <c r="F3852" s="953"/>
      <c r="G3852" s="953"/>
      <c r="H3852" s="953"/>
    </row>
    <row r="3853" spans="1:8" x14ac:dyDescent="0.25">
      <c r="A3853" s="952"/>
      <c r="B3853" s="953"/>
      <c r="C3853" s="953"/>
      <c r="D3853" s="953"/>
      <c r="E3853" s="953"/>
      <c r="F3853" s="953"/>
      <c r="G3853" s="953"/>
      <c r="H3853" s="953"/>
    </row>
    <row r="3854" spans="1:8" x14ac:dyDescent="0.25">
      <c r="A3854" s="952"/>
      <c r="B3854" s="953"/>
      <c r="C3854" s="953"/>
      <c r="D3854" s="953"/>
      <c r="E3854" s="953"/>
      <c r="F3854" s="953"/>
      <c r="G3854" s="953"/>
      <c r="H3854" s="953"/>
    </row>
    <row r="3855" spans="1:8" x14ac:dyDescent="0.25">
      <c r="A3855" s="952"/>
      <c r="B3855" s="953"/>
      <c r="C3855" s="953"/>
      <c r="D3855" s="953"/>
      <c r="E3855" s="953"/>
      <c r="F3855" s="953"/>
      <c r="G3855" s="953"/>
      <c r="H3855" s="953"/>
    </row>
    <row r="3856" spans="1:8" x14ac:dyDescent="0.25">
      <c r="A3856" s="952"/>
      <c r="B3856" s="953"/>
      <c r="C3856" s="953"/>
      <c r="D3856" s="953"/>
      <c r="E3856" s="953"/>
      <c r="F3856" s="953"/>
      <c r="G3856" s="953"/>
      <c r="H3856" s="953"/>
    </row>
    <row r="3857" spans="1:8" x14ac:dyDescent="0.25">
      <c r="A3857" s="952"/>
      <c r="B3857" s="953"/>
      <c r="C3857" s="953"/>
      <c r="D3857" s="953"/>
      <c r="E3857" s="953"/>
      <c r="F3857" s="953"/>
      <c r="G3857" s="953"/>
      <c r="H3857" s="953"/>
    </row>
    <row r="3858" spans="1:8" x14ac:dyDescent="0.25">
      <c r="A3858" s="952"/>
      <c r="B3858" s="953"/>
      <c r="C3858" s="953"/>
      <c r="D3858" s="953"/>
      <c r="E3858" s="953"/>
      <c r="F3858" s="953"/>
      <c r="G3858" s="953"/>
      <c r="H3858" s="953"/>
    </row>
    <row r="3859" spans="1:8" x14ac:dyDescent="0.25">
      <c r="A3859" s="952"/>
      <c r="B3859" s="953"/>
      <c r="C3859" s="953"/>
      <c r="D3859" s="953"/>
      <c r="E3859" s="953"/>
      <c r="F3859" s="953"/>
      <c r="G3859" s="953"/>
      <c r="H3859" s="953"/>
    </row>
    <row r="3860" spans="1:8" x14ac:dyDescent="0.25">
      <c r="A3860" s="952"/>
      <c r="B3860" s="953"/>
      <c r="C3860" s="953"/>
      <c r="D3860" s="953"/>
      <c r="E3860" s="953"/>
      <c r="F3860" s="953"/>
      <c r="G3860" s="953"/>
      <c r="H3860" s="953"/>
    </row>
    <row r="3861" spans="1:8" x14ac:dyDescent="0.25">
      <c r="A3861" s="952"/>
      <c r="B3861" s="953"/>
      <c r="C3861" s="953"/>
      <c r="D3861" s="953"/>
      <c r="E3861" s="953"/>
      <c r="F3861" s="953"/>
      <c r="G3861" s="953"/>
      <c r="H3861" s="953"/>
    </row>
    <row r="3862" spans="1:8" x14ac:dyDescent="0.25">
      <c r="A3862" s="952"/>
      <c r="B3862" s="953"/>
      <c r="C3862" s="953"/>
      <c r="D3862" s="953"/>
      <c r="E3862" s="953"/>
      <c r="F3862" s="953"/>
      <c r="G3862" s="953"/>
      <c r="H3862" s="953"/>
    </row>
    <row r="3863" spans="1:8" x14ac:dyDescent="0.25">
      <c r="A3863" s="952"/>
      <c r="B3863" s="953"/>
      <c r="C3863" s="953"/>
      <c r="D3863" s="953"/>
      <c r="E3863" s="953"/>
      <c r="F3863" s="953"/>
      <c r="G3863" s="953"/>
      <c r="H3863" s="953"/>
    </row>
    <row r="3864" spans="1:8" x14ac:dyDescent="0.25">
      <c r="A3864" s="952"/>
      <c r="B3864" s="953"/>
      <c r="C3864" s="953"/>
      <c r="D3864" s="953"/>
      <c r="E3864" s="953"/>
      <c r="F3864" s="953"/>
      <c r="G3864" s="953"/>
      <c r="H3864" s="953"/>
    </row>
    <row r="3865" spans="1:8" x14ac:dyDescent="0.25">
      <c r="A3865" s="952"/>
      <c r="B3865" s="953"/>
      <c r="C3865" s="953"/>
      <c r="D3865" s="953"/>
      <c r="E3865" s="953"/>
      <c r="F3865" s="953"/>
      <c r="G3865" s="953"/>
      <c r="H3865" s="953"/>
    </row>
    <row r="3866" spans="1:8" x14ac:dyDescent="0.25">
      <c r="A3866" s="952"/>
      <c r="B3866" s="953"/>
      <c r="C3866" s="953"/>
      <c r="D3866" s="953"/>
      <c r="E3866" s="953"/>
      <c r="F3866" s="953"/>
      <c r="G3866" s="953"/>
      <c r="H3866" s="953"/>
    </row>
    <row r="3867" spans="1:8" x14ac:dyDescent="0.25">
      <c r="A3867" s="952"/>
      <c r="B3867" s="953"/>
      <c r="C3867" s="953"/>
      <c r="D3867" s="953"/>
      <c r="E3867" s="953"/>
      <c r="F3867" s="953"/>
      <c r="G3867" s="953"/>
      <c r="H3867" s="953"/>
    </row>
    <row r="3868" spans="1:8" x14ac:dyDescent="0.25">
      <c r="A3868" s="952"/>
      <c r="B3868" s="953"/>
      <c r="C3868" s="953"/>
      <c r="D3868" s="953"/>
      <c r="E3868" s="953"/>
      <c r="F3868" s="953"/>
      <c r="G3868" s="953"/>
      <c r="H3868" s="953"/>
    </row>
    <row r="3869" spans="1:8" x14ac:dyDescent="0.25">
      <c r="A3869" s="952"/>
      <c r="B3869" s="953"/>
      <c r="C3869" s="953"/>
      <c r="D3869" s="953"/>
      <c r="E3869" s="953"/>
      <c r="F3869" s="953"/>
      <c r="G3869" s="953"/>
      <c r="H3869" s="953"/>
    </row>
    <row r="3870" spans="1:8" x14ac:dyDescent="0.25">
      <c r="A3870" s="952"/>
      <c r="B3870" s="953"/>
      <c r="C3870" s="953"/>
      <c r="D3870" s="953"/>
      <c r="E3870" s="953"/>
      <c r="F3870" s="953"/>
      <c r="G3870" s="953"/>
      <c r="H3870" s="953"/>
    </row>
    <row r="3871" spans="1:8" x14ac:dyDescent="0.25">
      <c r="A3871" s="952"/>
      <c r="B3871" s="953"/>
      <c r="C3871" s="953"/>
      <c r="D3871" s="953"/>
      <c r="E3871" s="953"/>
      <c r="F3871" s="953"/>
      <c r="G3871" s="953"/>
      <c r="H3871" s="953"/>
    </row>
    <row r="3872" spans="1:8" x14ac:dyDescent="0.25">
      <c r="A3872" s="952"/>
      <c r="B3872" s="953"/>
      <c r="C3872" s="953"/>
      <c r="D3872" s="953"/>
      <c r="E3872" s="953"/>
      <c r="F3872" s="953"/>
      <c r="G3872" s="953"/>
      <c r="H3872" s="953"/>
    </row>
    <row r="3873" spans="1:8" x14ac:dyDescent="0.25">
      <c r="A3873" s="952"/>
      <c r="B3873" s="953"/>
      <c r="C3873" s="953"/>
      <c r="D3873" s="953"/>
      <c r="E3873" s="953"/>
      <c r="F3873" s="953"/>
      <c r="G3873" s="953"/>
      <c r="H3873" s="953"/>
    </row>
    <row r="3874" spans="1:8" x14ac:dyDescent="0.25">
      <c r="A3874" s="952"/>
      <c r="B3874" s="953"/>
      <c r="C3874" s="953"/>
      <c r="D3874" s="953"/>
      <c r="E3874" s="953"/>
      <c r="F3874" s="953"/>
      <c r="G3874" s="953"/>
      <c r="H3874" s="953"/>
    </row>
    <row r="3875" spans="1:8" x14ac:dyDescent="0.25">
      <c r="A3875" s="952"/>
      <c r="B3875" s="953"/>
      <c r="C3875" s="953"/>
      <c r="D3875" s="953"/>
      <c r="E3875" s="953"/>
      <c r="F3875" s="953"/>
      <c r="G3875" s="953"/>
      <c r="H3875" s="953"/>
    </row>
    <row r="3876" spans="1:8" x14ac:dyDescent="0.25">
      <c r="A3876" s="952"/>
      <c r="B3876" s="953"/>
      <c r="C3876" s="953"/>
      <c r="D3876" s="953"/>
      <c r="E3876" s="953"/>
      <c r="F3876" s="953"/>
      <c r="G3876" s="953"/>
      <c r="H3876" s="953"/>
    </row>
    <row r="3877" spans="1:8" x14ac:dyDescent="0.25">
      <c r="A3877" s="952"/>
      <c r="B3877" s="953"/>
      <c r="C3877" s="953"/>
      <c r="D3877" s="953"/>
      <c r="E3877" s="953"/>
      <c r="F3877" s="953"/>
      <c r="G3877" s="953"/>
      <c r="H3877" s="953"/>
    </row>
    <row r="3878" spans="1:8" x14ac:dyDescent="0.25">
      <c r="A3878" s="952"/>
      <c r="B3878" s="953"/>
      <c r="C3878" s="953"/>
      <c r="D3878" s="953"/>
      <c r="E3878" s="953"/>
      <c r="F3878" s="953"/>
      <c r="G3878" s="953"/>
      <c r="H3878" s="953"/>
    </row>
    <row r="3879" spans="1:8" x14ac:dyDescent="0.25">
      <c r="A3879" s="952"/>
      <c r="B3879" s="953"/>
      <c r="C3879" s="953"/>
      <c r="D3879" s="953"/>
      <c r="E3879" s="953"/>
      <c r="F3879" s="953"/>
      <c r="G3879" s="953"/>
      <c r="H3879" s="953"/>
    </row>
    <row r="3880" spans="1:8" x14ac:dyDescent="0.25">
      <c r="A3880" s="952"/>
      <c r="B3880" s="953"/>
      <c r="C3880" s="953"/>
      <c r="D3880" s="953"/>
      <c r="E3880" s="953"/>
      <c r="F3880" s="953"/>
      <c r="G3880" s="953"/>
      <c r="H3880" s="953"/>
    </row>
    <row r="3881" spans="1:8" x14ac:dyDescent="0.25">
      <c r="A3881" s="952"/>
      <c r="B3881" s="953"/>
      <c r="C3881" s="953"/>
      <c r="D3881" s="953"/>
      <c r="E3881" s="953"/>
      <c r="F3881" s="953"/>
      <c r="G3881" s="953"/>
      <c r="H3881" s="953"/>
    </row>
    <row r="3882" spans="1:8" x14ac:dyDescent="0.25">
      <c r="A3882" s="952"/>
      <c r="B3882" s="953"/>
      <c r="C3882" s="953"/>
      <c r="D3882" s="953"/>
      <c r="E3882" s="953"/>
      <c r="F3882" s="953"/>
      <c r="G3882" s="953"/>
      <c r="H3882" s="953"/>
    </row>
    <row r="3883" spans="1:8" x14ac:dyDescent="0.25">
      <c r="A3883" s="952"/>
      <c r="B3883" s="953"/>
      <c r="C3883" s="953"/>
      <c r="D3883" s="953"/>
      <c r="E3883" s="953"/>
      <c r="F3883" s="953"/>
      <c r="G3883" s="953"/>
      <c r="H3883" s="953"/>
    </row>
    <row r="3884" spans="1:8" x14ac:dyDescent="0.25">
      <c r="A3884" s="952"/>
      <c r="B3884" s="953"/>
      <c r="C3884" s="953"/>
      <c r="D3884" s="953"/>
      <c r="E3884" s="953"/>
      <c r="F3884" s="953"/>
      <c r="G3884" s="953"/>
      <c r="H3884" s="953"/>
    </row>
    <row r="3885" spans="1:8" x14ac:dyDescent="0.25">
      <c r="A3885" s="952"/>
      <c r="B3885" s="953"/>
      <c r="C3885" s="953"/>
      <c r="D3885" s="953"/>
      <c r="E3885" s="953"/>
      <c r="F3885" s="953"/>
      <c r="G3885" s="953"/>
      <c r="H3885" s="953"/>
    </row>
    <row r="3886" spans="1:8" x14ac:dyDescent="0.25">
      <c r="A3886" s="952"/>
      <c r="B3886" s="953"/>
      <c r="C3886" s="953"/>
      <c r="D3886" s="953"/>
      <c r="E3886" s="953"/>
      <c r="F3886" s="953"/>
      <c r="G3886" s="953"/>
      <c r="H3886" s="953"/>
    </row>
    <row r="3887" spans="1:8" x14ac:dyDescent="0.25">
      <c r="A3887" s="952"/>
      <c r="B3887" s="953"/>
      <c r="C3887" s="953"/>
      <c r="D3887" s="953"/>
      <c r="E3887" s="953"/>
      <c r="F3887" s="953"/>
      <c r="G3887" s="953"/>
      <c r="H3887" s="953"/>
    </row>
    <row r="3888" spans="1:8" x14ac:dyDescent="0.25">
      <c r="A3888" s="952"/>
      <c r="B3888" s="953"/>
      <c r="C3888" s="953"/>
      <c r="D3888" s="953"/>
      <c r="E3888" s="953"/>
      <c r="F3888" s="953"/>
      <c r="G3888" s="953"/>
      <c r="H3888" s="953"/>
    </row>
    <row r="3889" spans="1:8" x14ac:dyDescent="0.25">
      <c r="A3889" s="952"/>
      <c r="B3889" s="953"/>
      <c r="C3889" s="953"/>
      <c r="D3889" s="953"/>
      <c r="E3889" s="953"/>
      <c r="F3889" s="953"/>
      <c r="G3889" s="953"/>
      <c r="H3889" s="953"/>
    </row>
    <row r="3890" spans="1:8" x14ac:dyDescent="0.25">
      <c r="A3890" s="952"/>
      <c r="B3890" s="953"/>
      <c r="C3890" s="953"/>
      <c r="D3890" s="953"/>
      <c r="E3890" s="953"/>
      <c r="F3890" s="953"/>
      <c r="G3890" s="953"/>
      <c r="H3890" s="953"/>
    </row>
    <row r="3891" spans="1:8" x14ac:dyDescent="0.25">
      <c r="A3891" s="952"/>
      <c r="B3891" s="953"/>
      <c r="C3891" s="953"/>
      <c r="D3891" s="953"/>
      <c r="E3891" s="953"/>
      <c r="F3891" s="953"/>
      <c r="G3891" s="953"/>
      <c r="H3891" s="953"/>
    </row>
    <row r="3892" spans="1:8" x14ac:dyDescent="0.25">
      <c r="A3892" s="952"/>
      <c r="B3892" s="953"/>
      <c r="C3892" s="953"/>
      <c r="D3892" s="953"/>
      <c r="E3892" s="953"/>
      <c r="F3892" s="953"/>
      <c r="G3892" s="953"/>
      <c r="H3892" s="953"/>
    </row>
    <row r="3893" spans="1:8" x14ac:dyDescent="0.25">
      <c r="A3893" s="952"/>
      <c r="B3893" s="953"/>
      <c r="C3893" s="953"/>
      <c r="D3893" s="953"/>
      <c r="E3893" s="953"/>
      <c r="F3893" s="953"/>
      <c r="G3893" s="953"/>
      <c r="H3893" s="953"/>
    </row>
    <row r="3894" spans="1:8" x14ac:dyDescent="0.25">
      <c r="A3894" s="952"/>
      <c r="B3894" s="953"/>
      <c r="C3894" s="953"/>
      <c r="D3894" s="953"/>
      <c r="E3894" s="953"/>
      <c r="F3894" s="953"/>
      <c r="G3894" s="953"/>
      <c r="H3894" s="953"/>
    </row>
    <row r="3895" spans="1:8" x14ac:dyDescent="0.25">
      <c r="A3895" s="952"/>
      <c r="B3895" s="953"/>
      <c r="C3895" s="953"/>
      <c r="D3895" s="953"/>
      <c r="E3895" s="953"/>
      <c r="F3895" s="953"/>
      <c r="G3895" s="953"/>
      <c r="H3895" s="953"/>
    </row>
    <row r="3896" spans="1:8" x14ac:dyDescent="0.25">
      <c r="A3896" s="952"/>
      <c r="B3896" s="953"/>
      <c r="C3896" s="953"/>
      <c r="D3896" s="953"/>
      <c r="E3896" s="953"/>
      <c r="F3896" s="953"/>
      <c r="G3896" s="953"/>
      <c r="H3896" s="953"/>
    </row>
    <row r="3897" spans="1:8" x14ac:dyDescent="0.25">
      <c r="A3897" s="952"/>
      <c r="B3897" s="953"/>
      <c r="C3897" s="953"/>
      <c r="D3897" s="953"/>
      <c r="E3897" s="953"/>
      <c r="F3897" s="953"/>
      <c r="G3897" s="953"/>
      <c r="H3897" s="953"/>
    </row>
    <row r="3898" spans="1:8" x14ac:dyDescent="0.25">
      <c r="A3898" s="952"/>
      <c r="B3898" s="953"/>
      <c r="C3898" s="953"/>
      <c r="D3898" s="953"/>
      <c r="E3898" s="953"/>
      <c r="F3898" s="953"/>
      <c r="G3898" s="953"/>
      <c r="H3898" s="953"/>
    </row>
    <row r="3899" spans="1:8" x14ac:dyDescent="0.25">
      <c r="A3899" s="952"/>
      <c r="B3899" s="953"/>
      <c r="C3899" s="953"/>
      <c r="D3899" s="953"/>
      <c r="E3899" s="953"/>
      <c r="F3899" s="953"/>
      <c r="G3899" s="953"/>
      <c r="H3899" s="953"/>
    </row>
    <row r="3900" spans="1:8" x14ac:dyDescent="0.25">
      <c r="A3900" s="952"/>
      <c r="B3900" s="953"/>
      <c r="C3900" s="953"/>
      <c r="D3900" s="953"/>
      <c r="E3900" s="953"/>
      <c r="F3900" s="953"/>
      <c r="G3900" s="953"/>
      <c r="H3900" s="953"/>
    </row>
    <row r="3901" spans="1:8" x14ac:dyDescent="0.25">
      <c r="A3901" s="952"/>
      <c r="B3901" s="953"/>
      <c r="C3901" s="953"/>
      <c r="D3901" s="953"/>
      <c r="E3901" s="953"/>
      <c r="F3901" s="953"/>
      <c r="G3901" s="953"/>
      <c r="H3901" s="953"/>
    </row>
    <row r="3902" spans="1:8" x14ac:dyDescent="0.25">
      <c r="A3902" s="952"/>
      <c r="B3902" s="953"/>
      <c r="C3902" s="953"/>
      <c r="D3902" s="953"/>
      <c r="E3902" s="953"/>
      <c r="F3902" s="953"/>
      <c r="G3902" s="953"/>
      <c r="H3902" s="953"/>
    </row>
    <row r="3903" spans="1:8" x14ac:dyDescent="0.25">
      <c r="A3903" s="952"/>
      <c r="B3903" s="953"/>
      <c r="C3903" s="953"/>
      <c r="D3903" s="953"/>
      <c r="E3903" s="953"/>
      <c r="F3903" s="953"/>
      <c r="G3903" s="953"/>
      <c r="H3903" s="953"/>
    </row>
    <row r="3904" spans="1:8" x14ac:dyDescent="0.25">
      <c r="A3904" s="952"/>
      <c r="B3904" s="953"/>
      <c r="C3904" s="953"/>
      <c r="D3904" s="953"/>
      <c r="E3904" s="953"/>
      <c r="F3904" s="953"/>
      <c r="G3904" s="953"/>
      <c r="H3904" s="953"/>
    </row>
    <row r="3905" spans="1:8" x14ac:dyDescent="0.25">
      <c r="A3905" s="952"/>
      <c r="B3905" s="953"/>
      <c r="C3905" s="953"/>
      <c r="D3905" s="953"/>
      <c r="E3905" s="953"/>
      <c r="F3905" s="953"/>
      <c r="G3905" s="953"/>
      <c r="H3905" s="953"/>
    </row>
    <row r="3906" spans="1:8" x14ac:dyDescent="0.25">
      <c r="A3906" s="952"/>
      <c r="B3906" s="953"/>
      <c r="C3906" s="953"/>
      <c r="D3906" s="953"/>
      <c r="E3906" s="953"/>
      <c r="F3906" s="953"/>
      <c r="G3906" s="953"/>
      <c r="H3906" s="953"/>
    </row>
    <row r="3907" spans="1:8" x14ac:dyDescent="0.25">
      <c r="A3907" s="952"/>
      <c r="B3907" s="953"/>
      <c r="C3907" s="953"/>
      <c r="D3907" s="953"/>
      <c r="E3907" s="953"/>
      <c r="F3907" s="953"/>
      <c r="G3907" s="953"/>
      <c r="H3907" s="953"/>
    </row>
    <row r="3908" spans="1:8" x14ac:dyDescent="0.25">
      <c r="A3908" s="952"/>
      <c r="B3908" s="953"/>
      <c r="C3908" s="953"/>
      <c r="D3908" s="953"/>
      <c r="E3908" s="953"/>
      <c r="F3908" s="953"/>
      <c r="G3908" s="953"/>
      <c r="H3908" s="953"/>
    </row>
    <row r="3909" spans="1:8" x14ac:dyDescent="0.25">
      <c r="A3909" s="952"/>
      <c r="B3909" s="953"/>
      <c r="C3909" s="953"/>
      <c r="D3909" s="953"/>
      <c r="E3909" s="953"/>
      <c r="F3909" s="953"/>
      <c r="G3909" s="953"/>
      <c r="H3909" s="953"/>
    </row>
    <row r="3910" spans="1:8" x14ac:dyDescent="0.25">
      <c r="A3910" s="952"/>
      <c r="B3910" s="953"/>
      <c r="C3910" s="953"/>
      <c r="D3910" s="953"/>
      <c r="E3910" s="953"/>
      <c r="F3910" s="953"/>
      <c r="G3910" s="953"/>
      <c r="H3910" s="953"/>
    </row>
    <row r="3911" spans="1:8" x14ac:dyDescent="0.25">
      <c r="A3911" s="952"/>
      <c r="B3911" s="953"/>
      <c r="C3911" s="953"/>
      <c r="D3911" s="953"/>
      <c r="E3911" s="953"/>
      <c r="F3911" s="953"/>
      <c r="G3911" s="953"/>
      <c r="H3911" s="953"/>
    </row>
    <row r="3912" spans="1:8" x14ac:dyDescent="0.25">
      <c r="A3912" s="952"/>
      <c r="B3912" s="953"/>
      <c r="C3912" s="953"/>
      <c r="D3912" s="953"/>
      <c r="E3912" s="953"/>
      <c r="F3912" s="953"/>
      <c r="G3912" s="953"/>
      <c r="H3912" s="953"/>
    </row>
    <row r="3913" spans="1:8" x14ac:dyDescent="0.25">
      <c r="A3913" s="952"/>
      <c r="B3913" s="953"/>
      <c r="C3913" s="953"/>
      <c r="D3913" s="953"/>
      <c r="E3913" s="953"/>
      <c r="F3913" s="953"/>
      <c r="G3913" s="953"/>
      <c r="H3913" s="953"/>
    </row>
    <row r="3914" spans="1:8" x14ac:dyDescent="0.25">
      <c r="A3914" s="952"/>
      <c r="B3914" s="953"/>
      <c r="C3914" s="953"/>
      <c r="D3914" s="953"/>
      <c r="E3914" s="953"/>
      <c r="F3914" s="953"/>
      <c r="G3914" s="953"/>
      <c r="H3914" s="953"/>
    </row>
    <row r="3915" spans="1:8" x14ac:dyDescent="0.25">
      <c r="A3915" s="952"/>
      <c r="B3915" s="953"/>
      <c r="C3915" s="953"/>
      <c r="D3915" s="953"/>
      <c r="E3915" s="953"/>
      <c r="F3915" s="953"/>
      <c r="G3915" s="953"/>
      <c r="H3915" s="953"/>
    </row>
    <row r="3916" spans="1:8" x14ac:dyDescent="0.25">
      <c r="A3916" s="952"/>
      <c r="B3916" s="953"/>
      <c r="C3916" s="953"/>
      <c r="D3916" s="953"/>
      <c r="E3916" s="953"/>
      <c r="F3916" s="953"/>
      <c r="G3916" s="953"/>
      <c r="H3916" s="953"/>
    </row>
    <row r="3917" spans="1:8" x14ac:dyDescent="0.25">
      <c r="A3917" s="952"/>
      <c r="B3917" s="953"/>
      <c r="C3917" s="953"/>
      <c r="D3917" s="953"/>
      <c r="E3917" s="953"/>
      <c r="F3917" s="953"/>
      <c r="G3917" s="953"/>
      <c r="H3917" s="953"/>
    </row>
    <row r="3918" spans="1:8" x14ac:dyDescent="0.25">
      <c r="A3918" s="952"/>
      <c r="B3918" s="953"/>
      <c r="C3918" s="953"/>
      <c r="D3918" s="953"/>
      <c r="E3918" s="953"/>
      <c r="F3918" s="953"/>
      <c r="G3918" s="953"/>
      <c r="H3918" s="953"/>
    </row>
    <row r="3919" spans="1:8" x14ac:dyDescent="0.25">
      <c r="A3919" s="952"/>
      <c r="B3919" s="953"/>
      <c r="C3919" s="953"/>
      <c r="D3919" s="953"/>
      <c r="E3919" s="953"/>
      <c r="F3919" s="953"/>
      <c r="G3919" s="953"/>
      <c r="H3919" s="953"/>
    </row>
    <row r="3920" spans="1:8" x14ac:dyDescent="0.25">
      <c r="A3920" s="952"/>
      <c r="B3920" s="953"/>
      <c r="C3920" s="953"/>
      <c r="D3920" s="953"/>
      <c r="E3920" s="953"/>
      <c r="F3920" s="953"/>
      <c r="G3920" s="953"/>
      <c r="H3920" s="953"/>
    </row>
    <row r="3921" spans="1:8" x14ac:dyDescent="0.25">
      <c r="A3921" s="952"/>
      <c r="B3921" s="953"/>
      <c r="C3921" s="953"/>
      <c r="D3921" s="953"/>
      <c r="E3921" s="953"/>
      <c r="F3921" s="953"/>
      <c r="G3921" s="953"/>
      <c r="H3921" s="953"/>
    </row>
    <row r="3922" spans="1:8" x14ac:dyDescent="0.25">
      <c r="A3922" s="952"/>
      <c r="B3922" s="953"/>
      <c r="C3922" s="953"/>
      <c r="D3922" s="953"/>
      <c r="E3922" s="953"/>
      <c r="F3922" s="953"/>
      <c r="G3922" s="953"/>
      <c r="H3922" s="953"/>
    </row>
    <row r="3923" spans="1:8" x14ac:dyDescent="0.25">
      <c r="A3923" s="952"/>
      <c r="B3923" s="953"/>
      <c r="C3923" s="953"/>
      <c r="D3923" s="953"/>
      <c r="E3923" s="953"/>
      <c r="F3923" s="953"/>
      <c r="G3923" s="953"/>
      <c r="H3923" s="953"/>
    </row>
    <row r="3924" spans="1:8" x14ac:dyDescent="0.25">
      <c r="A3924" s="952"/>
      <c r="B3924" s="953"/>
      <c r="C3924" s="953"/>
      <c r="D3924" s="953"/>
      <c r="E3924" s="953"/>
      <c r="F3924" s="953"/>
      <c r="G3924" s="953"/>
      <c r="H3924" s="953"/>
    </row>
    <row r="3925" spans="1:8" x14ac:dyDescent="0.25">
      <c r="A3925" s="952"/>
      <c r="B3925" s="953"/>
      <c r="C3925" s="953"/>
      <c r="D3925" s="953"/>
      <c r="E3925" s="953"/>
      <c r="F3925" s="953"/>
      <c r="G3925" s="953"/>
      <c r="H3925" s="953"/>
    </row>
    <row r="3926" spans="1:8" x14ac:dyDescent="0.25">
      <c r="A3926" s="952"/>
      <c r="B3926" s="953"/>
      <c r="C3926" s="953"/>
      <c r="D3926" s="953"/>
      <c r="E3926" s="953"/>
      <c r="F3926" s="953"/>
      <c r="G3926" s="953"/>
      <c r="H3926" s="953"/>
    </row>
    <row r="3927" spans="1:8" x14ac:dyDescent="0.25">
      <c r="A3927" s="952"/>
      <c r="B3927" s="953"/>
      <c r="C3927" s="953"/>
      <c r="D3927" s="953"/>
      <c r="E3927" s="953"/>
      <c r="F3927" s="953"/>
      <c r="G3927" s="953"/>
      <c r="H3927" s="953"/>
    </row>
    <row r="3928" spans="1:8" x14ac:dyDescent="0.25">
      <c r="A3928" s="952"/>
      <c r="B3928" s="953"/>
      <c r="C3928" s="953"/>
      <c r="D3928" s="953"/>
      <c r="E3928" s="953"/>
      <c r="F3928" s="953"/>
      <c r="G3928" s="953"/>
      <c r="H3928" s="953"/>
    </row>
    <row r="3929" spans="1:8" x14ac:dyDescent="0.25">
      <c r="A3929" s="952"/>
      <c r="B3929" s="953"/>
      <c r="C3929" s="953"/>
      <c r="D3929" s="953"/>
      <c r="E3929" s="953"/>
      <c r="F3929" s="953"/>
      <c r="G3929" s="953"/>
      <c r="H3929" s="953"/>
    </row>
    <row r="3930" spans="1:8" x14ac:dyDescent="0.25">
      <c r="A3930" s="952"/>
      <c r="B3930" s="953"/>
      <c r="C3930" s="953"/>
      <c r="D3930" s="953"/>
      <c r="E3930" s="953"/>
      <c r="F3930" s="953"/>
      <c r="G3930" s="953"/>
      <c r="H3930" s="953"/>
    </row>
    <row r="3931" spans="1:8" x14ac:dyDescent="0.25">
      <c r="A3931" s="952"/>
      <c r="B3931" s="953"/>
      <c r="C3931" s="953"/>
      <c r="D3931" s="953"/>
      <c r="E3931" s="953"/>
      <c r="F3931" s="953"/>
      <c r="G3931" s="953"/>
      <c r="H3931" s="953"/>
    </row>
    <row r="3932" spans="1:8" x14ac:dyDescent="0.25">
      <c r="A3932" s="952"/>
      <c r="B3932" s="953"/>
      <c r="C3932" s="953"/>
      <c r="D3932" s="953"/>
      <c r="E3932" s="953"/>
      <c r="F3932" s="953"/>
      <c r="G3932" s="953"/>
      <c r="H3932" s="953"/>
    </row>
    <row r="3933" spans="1:8" x14ac:dyDescent="0.25">
      <c r="A3933" s="952"/>
      <c r="B3933" s="953"/>
      <c r="C3933" s="953"/>
      <c r="D3933" s="953"/>
      <c r="E3933" s="953"/>
      <c r="F3933" s="953"/>
      <c r="G3933" s="953"/>
      <c r="H3933" s="953"/>
    </row>
    <row r="3934" spans="1:8" x14ac:dyDescent="0.25">
      <c r="A3934" s="952"/>
      <c r="B3934" s="953"/>
      <c r="C3934" s="953"/>
      <c r="D3934" s="953"/>
      <c r="E3934" s="953"/>
      <c r="F3934" s="953"/>
      <c r="G3934" s="953"/>
      <c r="H3934" s="953"/>
    </row>
    <row r="3935" spans="1:8" x14ac:dyDescent="0.25">
      <c r="A3935" s="952"/>
      <c r="B3935" s="953"/>
      <c r="C3935" s="953"/>
      <c r="D3935" s="953"/>
      <c r="E3935" s="953"/>
      <c r="F3935" s="953"/>
      <c r="G3935" s="953"/>
      <c r="H3935" s="953"/>
    </row>
    <row r="3936" spans="1:8" x14ac:dyDescent="0.25">
      <c r="A3936" s="952"/>
      <c r="B3936" s="953"/>
      <c r="C3936" s="953"/>
      <c r="D3936" s="953"/>
      <c r="E3936" s="953"/>
      <c r="F3936" s="953"/>
      <c r="G3936" s="953"/>
      <c r="H3936" s="953"/>
    </row>
    <row r="3937" spans="1:8" x14ac:dyDescent="0.25">
      <c r="A3937" s="952"/>
      <c r="B3937" s="953"/>
      <c r="C3937" s="953"/>
      <c r="D3937" s="953"/>
      <c r="E3937" s="953"/>
      <c r="F3937" s="953"/>
      <c r="G3937" s="953"/>
      <c r="H3937" s="953"/>
    </row>
    <row r="3938" spans="1:8" x14ac:dyDescent="0.25">
      <c r="A3938" s="952"/>
      <c r="B3938" s="953"/>
      <c r="C3938" s="953"/>
      <c r="D3938" s="953"/>
      <c r="E3938" s="953"/>
      <c r="F3938" s="953"/>
      <c r="G3938" s="953"/>
      <c r="H3938" s="953"/>
    </row>
    <row r="3939" spans="1:8" x14ac:dyDescent="0.25">
      <c r="A3939" s="952"/>
      <c r="B3939" s="953"/>
      <c r="C3939" s="953"/>
      <c r="D3939" s="953"/>
      <c r="E3939" s="953"/>
      <c r="F3939" s="953"/>
      <c r="G3939" s="953"/>
      <c r="H3939" s="953"/>
    </row>
    <row r="3940" spans="1:8" x14ac:dyDescent="0.25">
      <c r="A3940" s="952"/>
      <c r="B3940" s="953"/>
      <c r="C3940" s="953"/>
      <c r="D3940" s="953"/>
      <c r="E3940" s="953"/>
      <c r="F3940" s="953"/>
      <c r="G3940" s="953"/>
      <c r="H3940" s="953"/>
    </row>
    <row r="3941" spans="1:8" x14ac:dyDescent="0.25">
      <c r="A3941" s="952"/>
      <c r="B3941" s="953"/>
      <c r="C3941" s="953"/>
      <c r="D3941" s="953"/>
      <c r="E3941" s="953"/>
      <c r="F3941" s="953"/>
      <c r="G3941" s="953"/>
      <c r="H3941" s="953"/>
    </row>
    <row r="3942" spans="1:8" x14ac:dyDescent="0.25">
      <c r="A3942" s="952"/>
      <c r="B3942" s="953"/>
      <c r="C3942" s="953"/>
      <c r="D3942" s="953"/>
      <c r="E3942" s="953"/>
      <c r="F3942" s="953"/>
      <c r="G3942" s="953"/>
      <c r="H3942" s="953"/>
    </row>
    <row r="3943" spans="1:8" x14ac:dyDescent="0.25">
      <c r="A3943" s="952"/>
      <c r="B3943" s="953"/>
      <c r="C3943" s="953"/>
      <c r="D3943" s="953"/>
      <c r="E3943" s="953"/>
      <c r="F3943" s="953"/>
      <c r="G3943" s="953"/>
      <c r="H3943" s="953"/>
    </row>
    <row r="3944" spans="1:8" x14ac:dyDescent="0.25">
      <c r="A3944" s="952"/>
      <c r="B3944" s="953"/>
      <c r="C3944" s="953"/>
      <c r="D3944" s="953"/>
      <c r="E3944" s="953"/>
      <c r="F3944" s="953"/>
      <c r="G3944" s="953"/>
      <c r="H3944" s="953"/>
    </row>
    <row r="3945" spans="1:8" x14ac:dyDescent="0.25">
      <c r="A3945" s="952"/>
      <c r="B3945" s="953"/>
      <c r="C3945" s="953"/>
      <c r="D3945" s="953"/>
      <c r="E3945" s="953"/>
      <c r="F3945" s="953"/>
      <c r="G3945" s="953"/>
      <c r="H3945" s="953"/>
    </row>
    <row r="3946" spans="1:8" x14ac:dyDescent="0.25">
      <c r="A3946" s="952"/>
      <c r="B3946" s="953"/>
      <c r="C3946" s="953"/>
      <c r="D3946" s="953"/>
      <c r="E3946" s="953"/>
      <c r="F3946" s="953"/>
      <c r="G3946" s="953"/>
      <c r="H3946" s="953"/>
    </row>
    <row r="3947" spans="1:8" x14ac:dyDescent="0.25">
      <c r="A3947" s="952"/>
      <c r="B3947" s="953"/>
      <c r="C3947" s="953"/>
      <c r="D3947" s="953"/>
      <c r="E3947" s="953"/>
      <c r="F3947" s="953"/>
      <c r="G3947" s="953"/>
      <c r="H3947" s="953"/>
    </row>
    <row r="3948" spans="1:8" x14ac:dyDescent="0.25">
      <c r="A3948" s="952"/>
      <c r="B3948" s="953"/>
      <c r="C3948" s="953"/>
      <c r="D3948" s="953"/>
      <c r="E3948" s="953"/>
      <c r="F3948" s="953"/>
      <c r="G3948" s="953"/>
      <c r="H3948" s="953"/>
    </row>
    <row r="3949" spans="1:8" x14ac:dyDescent="0.25">
      <c r="A3949" s="952"/>
      <c r="B3949" s="953"/>
      <c r="C3949" s="953"/>
      <c r="D3949" s="953"/>
      <c r="E3949" s="953"/>
      <c r="F3949" s="953"/>
      <c r="G3949" s="953"/>
      <c r="H3949" s="953"/>
    </row>
    <row r="3950" spans="1:8" x14ac:dyDescent="0.25">
      <c r="A3950" s="952"/>
      <c r="B3950" s="953"/>
      <c r="C3950" s="953"/>
      <c r="D3950" s="953"/>
      <c r="E3950" s="953"/>
      <c r="F3950" s="953"/>
      <c r="G3950" s="953"/>
      <c r="H3950" s="953"/>
    </row>
    <row r="3951" spans="1:8" x14ac:dyDescent="0.25">
      <c r="A3951" s="952"/>
      <c r="B3951" s="953"/>
      <c r="C3951" s="953"/>
      <c r="D3951" s="953"/>
      <c r="E3951" s="953"/>
      <c r="F3951" s="953"/>
      <c r="G3951" s="953"/>
      <c r="H3951" s="953"/>
    </row>
    <row r="3952" spans="1:8" x14ac:dyDescent="0.25">
      <c r="A3952" s="952"/>
      <c r="B3952" s="953"/>
      <c r="C3952" s="953"/>
      <c r="D3952" s="953"/>
      <c r="E3952" s="953"/>
      <c r="F3952" s="953"/>
      <c r="G3952" s="953"/>
      <c r="H3952" s="953"/>
    </row>
    <row r="3953" spans="1:8" x14ac:dyDescent="0.25">
      <c r="A3953" s="952"/>
      <c r="B3953" s="953"/>
      <c r="C3953" s="953"/>
      <c r="D3953" s="953"/>
      <c r="E3953" s="953"/>
      <c r="F3953" s="953"/>
      <c r="G3953" s="953"/>
      <c r="H3953" s="953"/>
    </row>
    <row r="3954" spans="1:8" x14ac:dyDescent="0.25">
      <c r="A3954" s="952"/>
      <c r="B3954" s="953"/>
      <c r="C3954" s="953"/>
      <c r="D3954" s="953"/>
      <c r="E3954" s="953"/>
      <c r="F3954" s="953"/>
      <c r="G3954" s="953"/>
      <c r="H3954" s="953"/>
    </row>
    <row r="3955" spans="1:8" x14ac:dyDescent="0.25">
      <c r="A3955" s="952"/>
      <c r="B3955" s="953"/>
      <c r="C3955" s="953"/>
      <c r="D3955" s="953"/>
      <c r="E3955" s="953"/>
      <c r="F3955" s="953"/>
      <c r="G3955" s="953"/>
      <c r="H3955" s="953"/>
    </row>
    <row r="3956" spans="1:8" x14ac:dyDescent="0.25">
      <c r="A3956" s="952"/>
      <c r="B3956" s="953"/>
      <c r="C3956" s="953"/>
      <c r="D3956" s="953"/>
      <c r="E3956" s="953"/>
      <c r="F3956" s="953"/>
      <c r="G3956" s="953"/>
      <c r="H3956" s="953"/>
    </row>
    <row r="3957" spans="1:8" x14ac:dyDescent="0.25">
      <c r="A3957" s="952"/>
      <c r="B3957" s="953"/>
      <c r="C3957" s="953"/>
      <c r="D3957" s="953"/>
      <c r="E3957" s="953"/>
      <c r="F3957" s="953"/>
      <c r="G3957" s="953"/>
      <c r="H3957" s="953"/>
    </row>
    <row r="3958" spans="1:8" x14ac:dyDescent="0.25">
      <c r="A3958" s="952"/>
      <c r="B3958" s="953"/>
      <c r="C3958" s="953"/>
      <c r="D3958" s="953"/>
      <c r="E3958" s="953"/>
      <c r="F3958" s="953"/>
      <c r="G3958" s="953"/>
      <c r="H3958" s="953"/>
    </row>
    <row r="3959" spans="1:8" x14ac:dyDescent="0.25">
      <c r="A3959" s="952"/>
      <c r="B3959" s="953"/>
      <c r="C3959" s="953"/>
      <c r="D3959" s="953"/>
      <c r="E3959" s="953"/>
      <c r="F3959" s="953"/>
      <c r="G3959" s="953"/>
      <c r="H3959" s="953"/>
    </row>
    <row r="3960" spans="1:8" x14ac:dyDescent="0.25">
      <c r="A3960" s="952"/>
      <c r="B3960" s="953"/>
      <c r="C3960" s="953"/>
      <c r="D3960" s="953"/>
      <c r="E3960" s="953"/>
      <c r="F3960" s="953"/>
      <c r="G3960" s="953"/>
      <c r="H3960" s="953"/>
    </row>
    <row r="3961" spans="1:8" x14ac:dyDescent="0.25">
      <c r="A3961" s="952"/>
      <c r="B3961" s="953"/>
      <c r="C3961" s="953"/>
      <c r="D3961" s="953"/>
      <c r="E3961" s="953"/>
      <c r="F3961" s="953"/>
      <c r="G3961" s="953"/>
      <c r="H3961" s="953"/>
    </row>
    <row r="3962" spans="1:8" x14ac:dyDescent="0.25">
      <c r="A3962" s="952"/>
      <c r="B3962" s="953"/>
      <c r="C3962" s="953"/>
      <c r="D3962" s="953"/>
      <c r="E3962" s="953"/>
      <c r="F3962" s="953"/>
      <c r="G3962" s="953"/>
      <c r="H3962" s="953"/>
    </row>
    <row r="3963" spans="1:8" x14ac:dyDescent="0.25">
      <c r="A3963" s="952"/>
      <c r="B3963" s="953"/>
      <c r="C3963" s="953"/>
      <c r="D3963" s="953"/>
      <c r="E3963" s="953"/>
      <c r="F3963" s="953"/>
      <c r="G3963" s="953"/>
      <c r="H3963" s="953"/>
    </row>
    <row r="3964" spans="1:8" x14ac:dyDescent="0.25">
      <c r="A3964" s="952"/>
      <c r="B3964" s="953"/>
      <c r="C3964" s="953"/>
      <c r="D3964" s="953"/>
      <c r="E3964" s="953"/>
      <c r="F3964" s="953"/>
      <c r="G3964" s="953"/>
      <c r="H3964" s="953"/>
    </row>
    <row r="3965" spans="1:8" x14ac:dyDescent="0.25">
      <c r="A3965" s="952"/>
      <c r="B3965" s="953"/>
      <c r="C3965" s="953"/>
      <c r="D3965" s="953"/>
      <c r="E3965" s="953"/>
      <c r="F3965" s="953"/>
      <c r="G3965" s="953"/>
      <c r="H3965" s="953"/>
    </row>
    <row r="3966" spans="1:8" x14ac:dyDescent="0.25">
      <c r="A3966" s="952"/>
      <c r="B3966" s="953"/>
      <c r="C3966" s="953"/>
      <c r="D3966" s="953"/>
      <c r="E3966" s="953"/>
      <c r="F3966" s="953"/>
      <c r="G3966" s="953"/>
      <c r="H3966" s="953"/>
    </row>
    <row r="3967" spans="1:8" x14ac:dyDescent="0.25">
      <c r="A3967" s="952"/>
      <c r="B3967" s="953"/>
      <c r="C3967" s="953"/>
      <c r="D3967" s="953"/>
      <c r="E3967" s="953"/>
      <c r="F3967" s="953"/>
      <c r="G3967" s="953"/>
      <c r="H3967" s="953"/>
    </row>
    <row r="3968" spans="1:8" x14ac:dyDescent="0.25">
      <c r="A3968" s="952"/>
      <c r="B3968" s="953"/>
      <c r="C3968" s="953"/>
      <c r="D3968" s="953"/>
      <c r="E3968" s="953"/>
      <c r="F3968" s="953"/>
      <c r="G3968" s="953"/>
      <c r="H3968" s="953"/>
    </row>
    <row r="3969" spans="1:8" x14ac:dyDescent="0.25">
      <c r="A3969" s="952"/>
      <c r="B3969" s="953"/>
      <c r="C3969" s="953"/>
      <c r="D3969" s="953"/>
      <c r="E3969" s="953"/>
      <c r="F3969" s="953"/>
      <c r="G3969" s="953"/>
      <c r="H3969" s="953"/>
    </row>
    <row r="3970" spans="1:8" x14ac:dyDescent="0.25">
      <c r="A3970" s="952"/>
      <c r="B3970" s="953"/>
      <c r="C3970" s="953"/>
      <c r="D3970" s="953"/>
      <c r="E3970" s="953"/>
      <c r="F3970" s="953"/>
      <c r="G3970" s="953"/>
      <c r="H3970" s="953"/>
    </row>
    <row r="3971" spans="1:8" x14ac:dyDescent="0.25">
      <c r="A3971" s="952"/>
      <c r="B3971" s="953"/>
      <c r="C3971" s="953"/>
      <c r="D3971" s="953"/>
      <c r="E3971" s="953"/>
      <c r="F3971" s="953"/>
      <c r="G3971" s="953"/>
      <c r="H3971" s="953"/>
    </row>
    <row r="3972" spans="1:8" x14ac:dyDescent="0.25">
      <c r="A3972" s="952"/>
      <c r="B3972" s="953"/>
      <c r="C3972" s="953"/>
      <c r="D3972" s="953"/>
      <c r="E3972" s="953"/>
      <c r="F3972" s="953"/>
      <c r="G3972" s="953"/>
      <c r="H3972" s="953"/>
    </row>
    <row r="3973" spans="1:8" x14ac:dyDescent="0.25">
      <c r="A3973" s="952"/>
      <c r="B3973" s="953"/>
      <c r="C3973" s="953"/>
      <c r="D3973" s="953"/>
      <c r="E3973" s="953"/>
      <c r="F3973" s="953"/>
      <c r="G3973" s="953"/>
      <c r="H3973" s="953"/>
    </row>
    <row r="3974" spans="1:8" x14ac:dyDescent="0.25">
      <c r="A3974" s="952"/>
      <c r="B3974" s="953"/>
      <c r="C3974" s="953"/>
      <c r="D3974" s="953"/>
      <c r="E3974" s="953"/>
      <c r="F3974" s="953"/>
      <c r="G3974" s="953"/>
      <c r="H3974" s="953"/>
    </row>
    <row r="3975" spans="1:8" x14ac:dyDescent="0.25">
      <c r="A3975" s="952"/>
      <c r="B3975" s="953"/>
      <c r="C3975" s="953"/>
      <c r="D3975" s="953"/>
      <c r="E3975" s="953"/>
      <c r="F3975" s="953"/>
      <c r="G3975" s="953"/>
      <c r="H3975" s="953"/>
    </row>
    <row r="3976" spans="1:8" x14ac:dyDescent="0.25">
      <c r="A3976" s="952"/>
      <c r="B3976" s="953"/>
      <c r="C3976" s="953"/>
      <c r="D3976" s="953"/>
      <c r="E3976" s="953"/>
      <c r="F3976" s="953"/>
      <c r="G3976" s="953"/>
      <c r="H3976" s="953"/>
    </row>
    <row r="3977" spans="1:8" x14ac:dyDescent="0.25">
      <c r="A3977" s="952"/>
      <c r="B3977" s="953"/>
      <c r="C3977" s="953"/>
      <c r="D3977" s="953"/>
      <c r="E3977" s="953"/>
      <c r="F3977" s="953"/>
      <c r="G3977" s="953"/>
      <c r="H3977" s="953"/>
    </row>
    <row r="3978" spans="1:8" x14ac:dyDescent="0.25">
      <c r="A3978" s="952"/>
      <c r="B3978" s="953"/>
      <c r="C3978" s="953"/>
      <c r="D3978" s="953"/>
      <c r="E3978" s="953"/>
      <c r="F3978" s="953"/>
      <c r="G3978" s="953"/>
      <c r="H3978" s="953"/>
    </row>
    <row r="3979" spans="1:8" x14ac:dyDescent="0.25">
      <c r="A3979" s="952"/>
      <c r="B3979" s="953"/>
      <c r="C3979" s="953"/>
      <c r="D3979" s="953"/>
      <c r="E3979" s="953"/>
      <c r="F3979" s="953"/>
      <c r="G3979" s="953"/>
      <c r="H3979" s="953"/>
    </row>
    <row r="3980" spans="1:8" x14ac:dyDescent="0.25">
      <c r="A3980" s="952"/>
      <c r="B3980" s="953"/>
      <c r="C3980" s="953"/>
      <c r="D3980" s="953"/>
      <c r="E3980" s="953"/>
      <c r="F3980" s="953"/>
      <c r="G3980" s="953"/>
      <c r="H3980" s="953"/>
    </row>
    <row r="3981" spans="1:8" x14ac:dyDescent="0.25">
      <c r="A3981" s="952"/>
      <c r="B3981" s="953"/>
      <c r="C3981" s="953"/>
      <c r="D3981" s="953"/>
      <c r="E3981" s="953"/>
      <c r="F3981" s="953"/>
      <c r="G3981" s="953"/>
      <c r="H3981" s="953"/>
    </row>
    <row r="3982" spans="1:8" x14ac:dyDescent="0.25">
      <c r="A3982" s="952"/>
      <c r="B3982" s="953"/>
      <c r="C3982" s="953"/>
      <c r="D3982" s="953"/>
      <c r="E3982" s="953"/>
      <c r="F3982" s="953"/>
      <c r="G3982" s="953"/>
      <c r="H3982" s="953"/>
    </row>
    <row r="3983" spans="1:8" x14ac:dyDescent="0.25">
      <c r="A3983" s="952"/>
      <c r="B3983" s="953"/>
      <c r="C3983" s="953"/>
      <c r="D3983" s="953"/>
      <c r="E3983" s="953"/>
      <c r="F3983" s="953"/>
      <c r="G3983" s="953"/>
      <c r="H3983" s="953"/>
    </row>
    <row r="3984" spans="1:8" x14ac:dyDescent="0.25">
      <c r="A3984" s="952"/>
      <c r="B3984" s="953"/>
      <c r="C3984" s="953"/>
      <c r="D3984" s="953"/>
      <c r="E3984" s="953"/>
      <c r="F3984" s="953"/>
      <c r="G3984" s="953"/>
      <c r="H3984" s="953"/>
    </row>
    <row r="3985" spans="1:8" x14ac:dyDescent="0.25">
      <c r="A3985" s="952"/>
      <c r="B3985" s="953"/>
      <c r="C3985" s="953"/>
      <c r="D3985" s="953"/>
      <c r="E3985" s="953"/>
      <c r="F3985" s="953"/>
      <c r="G3985" s="953"/>
      <c r="H3985" s="953"/>
    </row>
    <row r="3986" spans="1:8" x14ac:dyDescent="0.25">
      <c r="A3986" s="952"/>
      <c r="B3986" s="953"/>
      <c r="C3986" s="953"/>
      <c r="D3986" s="953"/>
      <c r="E3986" s="953"/>
      <c r="F3986" s="953"/>
      <c r="G3986" s="953"/>
      <c r="H3986" s="953"/>
    </row>
    <row r="3987" spans="1:8" x14ac:dyDescent="0.25">
      <c r="A3987" s="952"/>
      <c r="B3987" s="953"/>
      <c r="C3987" s="953"/>
      <c r="D3987" s="953"/>
      <c r="E3987" s="953"/>
      <c r="F3987" s="953"/>
      <c r="G3987" s="953"/>
      <c r="H3987" s="953"/>
    </row>
    <row r="3988" spans="1:8" x14ac:dyDescent="0.25">
      <c r="A3988" s="952"/>
      <c r="B3988" s="953"/>
      <c r="C3988" s="953"/>
      <c r="D3988" s="953"/>
      <c r="E3988" s="953"/>
      <c r="F3988" s="953"/>
      <c r="G3988" s="953"/>
      <c r="H3988" s="953"/>
    </row>
    <row r="3989" spans="1:8" x14ac:dyDescent="0.25">
      <c r="A3989" s="952"/>
      <c r="B3989" s="953"/>
      <c r="C3989" s="953"/>
      <c r="D3989" s="953"/>
      <c r="E3989" s="953"/>
      <c r="F3989" s="953"/>
      <c r="G3989" s="953"/>
      <c r="H3989" s="953"/>
    </row>
    <row r="3990" spans="1:8" x14ac:dyDescent="0.25">
      <c r="A3990" s="952"/>
      <c r="B3990" s="953"/>
      <c r="C3990" s="953"/>
      <c r="D3990" s="953"/>
      <c r="E3990" s="953"/>
      <c r="F3990" s="953"/>
      <c r="G3990" s="953"/>
      <c r="H3990" s="953"/>
    </row>
    <row r="3991" spans="1:8" x14ac:dyDescent="0.25">
      <c r="A3991" s="952"/>
      <c r="B3991" s="953"/>
      <c r="C3991" s="953"/>
      <c r="D3991" s="953"/>
      <c r="E3991" s="953"/>
      <c r="F3991" s="953"/>
      <c r="G3991" s="953"/>
      <c r="H3991" s="953"/>
    </row>
    <row r="3992" spans="1:8" x14ac:dyDescent="0.25">
      <c r="A3992" s="952"/>
      <c r="B3992" s="953"/>
      <c r="C3992" s="953"/>
      <c r="D3992" s="953"/>
      <c r="E3992" s="953"/>
      <c r="F3992" s="953"/>
      <c r="G3992" s="953"/>
      <c r="H3992" s="953"/>
    </row>
    <row r="3993" spans="1:8" x14ac:dyDescent="0.25">
      <c r="A3993" s="952"/>
      <c r="B3993" s="953"/>
      <c r="C3993" s="953"/>
      <c r="D3993" s="953"/>
      <c r="E3993" s="953"/>
      <c r="F3993" s="953"/>
      <c r="G3993" s="953"/>
      <c r="H3993" s="953"/>
    </row>
    <row r="3994" spans="1:8" x14ac:dyDescent="0.25">
      <c r="A3994" s="952"/>
      <c r="B3994" s="953"/>
      <c r="C3994" s="953"/>
      <c r="D3994" s="953"/>
      <c r="E3994" s="953"/>
      <c r="F3994" s="953"/>
      <c r="G3994" s="953"/>
      <c r="H3994" s="953"/>
    </row>
    <row r="3995" spans="1:8" x14ac:dyDescent="0.25">
      <c r="A3995" s="952"/>
      <c r="B3995" s="953"/>
      <c r="C3995" s="953"/>
      <c r="D3995" s="953"/>
      <c r="E3995" s="953"/>
      <c r="F3995" s="953"/>
      <c r="G3995" s="953"/>
      <c r="H3995" s="953"/>
    </row>
    <row r="3996" spans="1:8" x14ac:dyDescent="0.25">
      <c r="A3996" s="952"/>
      <c r="B3996" s="953"/>
      <c r="C3996" s="953"/>
      <c r="D3996" s="953"/>
      <c r="E3996" s="953"/>
      <c r="F3996" s="953"/>
      <c r="G3996" s="953"/>
      <c r="H3996" s="953"/>
    </row>
    <row r="3997" spans="1:8" x14ac:dyDescent="0.25">
      <c r="A3997" s="952"/>
      <c r="B3997" s="953"/>
      <c r="C3997" s="953"/>
      <c r="D3997" s="953"/>
      <c r="E3997" s="953"/>
      <c r="F3997" s="953"/>
      <c r="G3997" s="953"/>
      <c r="H3997" s="953"/>
    </row>
    <row r="3998" spans="1:8" x14ac:dyDescent="0.25">
      <c r="A3998" s="952"/>
      <c r="B3998" s="953"/>
      <c r="C3998" s="953"/>
      <c r="D3998" s="953"/>
      <c r="E3998" s="953"/>
      <c r="F3998" s="953"/>
      <c r="G3998" s="953"/>
      <c r="H3998" s="953"/>
    </row>
    <row r="3999" spans="1:8" x14ac:dyDescent="0.25">
      <c r="A3999" s="952"/>
      <c r="B3999" s="953"/>
      <c r="C3999" s="953"/>
      <c r="D3999" s="953"/>
      <c r="E3999" s="953"/>
      <c r="F3999" s="953"/>
      <c r="G3999" s="953"/>
      <c r="H3999" s="953"/>
    </row>
    <row r="4000" spans="1:8" x14ac:dyDescent="0.25">
      <c r="A4000" s="952"/>
      <c r="B4000" s="953"/>
      <c r="C4000" s="953"/>
      <c r="D4000" s="953"/>
      <c r="E4000" s="953"/>
      <c r="F4000" s="953"/>
      <c r="G4000" s="953"/>
      <c r="H4000" s="953"/>
    </row>
    <row r="4001" spans="1:8" x14ac:dyDescent="0.25">
      <c r="A4001" s="952"/>
      <c r="B4001" s="953"/>
      <c r="C4001" s="953"/>
      <c r="D4001" s="953"/>
      <c r="E4001" s="953"/>
      <c r="F4001" s="953"/>
      <c r="G4001" s="953"/>
      <c r="H4001" s="953"/>
    </row>
    <row r="4002" spans="1:8" x14ac:dyDescent="0.25">
      <c r="A4002" s="952"/>
      <c r="B4002" s="953"/>
      <c r="C4002" s="953"/>
      <c r="D4002" s="953"/>
      <c r="E4002" s="953"/>
      <c r="F4002" s="953"/>
      <c r="G4002" s="953"/>
      <c r="H4002" s="953"/>
    </row>
    <row r="4003" spans="1:8" x14ac:dyDescent="0.25">
      <c r="A4003" s="952"/>
      <c r="B4003" s="953"/>
      <c r="C4003" s="953"/>
      <c r="D4003" s="953"/>
      <c r="E4003" s="953"/>
      <c r="F4003" s="953"/>
      <c r="G4003" s="953"/>
      <c r="H4003" s="953"/>
    </row>
    <row r="4004" spans="1:8" x14ac:dyDescent="0.25">
      <c r="A4004" s="952"/>
      <c r="B4004" s="953"/>
      <c r="C4004" s="953"/>
      <c r="D4004" s="953"/>
      <c r="E4004" s="953"/>
      <c r="F4004" s="953"/>
      <c r="G4004" s="953"/>
      <c r="H4004" s="953"/>
    </row>
    <row r="4005" spans="1:8" x14ac:dyDescent="0.25">
      <c r="A4005" s="952"/>
      <c r="B4005" s="953"/>
      <c r="C4005" s="953"/>
      <c r="D4005" s="953"/>
      <c r="E4005" s="953"/>
      <c r="F4005" s="953"/>
      <c r="G4005" s="953"/>
      <c r="H4005" s="953"/>
    </row>
    <row r="4006" spans="1:8" x14ac:dyDescent="0.25">
      <c r="A4006" s="952"/>
      <c r="B4006" s="953"/>
      <c r="C4006" s="953"/>
      <c r="D4006" s="953"/>
      <c r="E4006" s="953"/>
      <c r="F4006" s="953"/>
      <c r="G4006" s="953"/>
      <c r="H4006" s="953"/>
    </row>
    <row r="4007" spans="1:8" x14ac:dyDescent="0.25">
      <c r="A4007" s="952"/>
      <c r="B4007" s="953"/>
      <c r="C4007" s="953"/>
      <c r="D4007" s="953"/>
      <c r="E4007" s="953"/>
      <c r="F4007" s="953"/>
      <c r="G4007" s="953"/>
      <c r="H4007" s="953"/>
    </row>
    <row r="4008" spans="1:8" x14ac:dyDescent="0.25">
      <c r="A4008" s="952"/>
      <c r="B4008" s="953"/>
      <c r="C4008" s="953"/>
      <c r="D4008" s="953"/>
      <c r="E4008" s="953"/>
      <c r="F4008" s="953"/>
      <c r="G4008" s="953"/>
      <c r="H4008" s="953"/>
    </row>
    <row r="4009" spans="1:8" x14ac:dyDescent="0.25">
      <c r="A4009" s="952"/>
      <c r="B4009" s="953"/>
      <c r="C4009" s="953"/>
      <c r="D4009" s="953"/>
      <c r="E4009" s="953"/>
      <c r="F4009" s="953"/>
      <c r="G4009" s="953"/>
      <c r="H4009" s="953"/>
    </row>
    <row r="4010" spans="1:8" x14ac:dyDescent="0.25">
      <c r="A4010" s="952"/>
      <c r="B4010" s="953"/>
      <c r="C4010" s="953"/>
      <c r="D4010" s="953"/>
      <c r="E4010" s="953"/>
      <c r="F4010" s="953"/>
      <c r="G4010" s="953"/>
      <c r="H4010" s="953"/>
    </row>
    <row r="4011" spans="1:8" x14ac:dyDescent="0.25">
      <c r="A4011" s="952"/>
      <c r="B4011" s="953"/>
      <c r="C4011" s="953"/>
      <c r="D4011" s="953"/>
      <c r="E4011" s="953"/>
      <c r="F4011" s="953"/>
      <c r="G4011" s="953"/>
      <c r="H4011" s="953"/>
    </row>
    <row r="4012" spans="1:8" x14ac:dyDescent="0.25">
      <c r="A4012" s="952"/>
      <c r="B4012" s="953"/>
      <c r="C4012" s="953"/>
      <c r="D4012" s="953"/>
      <c r="E4012" s="953"/>
      <c r="F4012" s="953"/>
      <c r="G4012" s="953"/>
      <c r="H4012" s="953"/>
    </row>
    <row r="4013" spans="1:8" x14ac:dyDescent="0.25">
      <c r="A4013" s="952"/>
      <c r="B4013" s="953"/>
      <c r="C4013" s="953"/>
      <c r="D4013" s="953"/>
      <c r="E4013" s="953"/>
      <c r="F4013" s="953"/>
      <c r="G4013" s="953"/>
      <c r="H4013" s="953"/>
    </row>
    <row r="4014" spans="1:8" x14ac:dyDescent="0.25">
      <c r="A4014" s="952"/>
      <c r="B4014" s="953"/>
      <c r="C4014" s="953"/>
      <c r="D4014" s="953"/>
      <c r="E4014" s="953"/>
      <c r="F4014" s="953"/>
      <c r="G4014" s="953"/>
      <c r="H4014" s="953"/>
    </row>
    <row r="4015" spans="1:8" x14ac:dyDescent="0.25">
      <c r="A4015" s="952"/>
      <c r="B4015" s="953"/>
      <c r="C4015" s="953"/>
      <c r="D4015" s="953"/>
      <c r="E4015" s="953"/>
      <c r="F4015" s="953"/>
      <c r="G4015" s="953"/>
      <c r="H4015" s="953"/>
    </row>
    <row r="4016" spans="1:8" x14ac:dyDescent="0.25">
      <c r="A4016" s="952"/>
      <c r="B4016" s="953"/>
      <c r="C4016" s="953"/>
      <c r="D4016" s="953"/>
      <c r="E4016" s="953"/>
      <c r="F4016" s="953"/>
      <c r="G4016" s="953"/>
      <c r="H4016" s="953"/>
    </row>
    <row r="4017" spans="1:8" x14ac:dyDescent="0.25">
      <c r="A4017" s="952"/>
      <c r="B4017" s="953"/>
      <c r="C4017" s="953"/>
      <c r="D4017" s="953"/>
      <c r="E4017" s="953"/>
      <c r="F4017" s="953"/>
      <c r="G4017" s="953"/>
      <c r="H4017" s="953"/>
    </row>
    <row r="4018" spans="1:8" x14ac:dyDescent="0.25">
      <c r="A4018" s="952"/>
      <c r="B4018" s="953"/>
      <c r="C4018" s="953"/>
      <c r="D4018" s="953"/>
      <c r="E4018" s="953"/>
      <c r="F4018" s="953"/>
      <c r="G4018" s="953"/>
      <c r="H4018" s="953"/>
    </row>
    <row r="4019" spans="1:8" x14ac:dyDescent="0.25">
      <c r="A4019" s="952"/>
      <c r="B4019" s="953"/>
      <c r="C4019" s="953"/>
      <c r="D4019" s="953"/>
      <c r="E4019" s="953"/>
      <c r="F4019" s="953"/>
      <c r="G4019" s="953"/>
      <c r="H4019" s="953"/>
    </row>
    <row r="4020" spans="1:8" x14ac:dyDescent="0.25">
      <c r="A4020" s="952"/>
      <c r="B4020" s="953"/>
      <c r="C4020" s="953"/>
      <c r="D4020" s="953"/>
      <c r="E4020" s="953"/>
      <c r="F4020" s="953"/>
      <c r="G4020" s="953"/>
      <c r="H4020" s="953"/>
    </row>
    <row r="4021" spans="1:8" x14ac:dyDescent="0.25">
      <c r="A4021" s="952"/>
      <c r="B4021" s="953"/>
      <c r="C4021" s="953"/>
      <c r="D4021" s="953"/>
      <c r="E4021" s="953"/>
      <c r="F4021" s="953"/>
      <c r="G4021" s="953"/>
      <c r="H4021" s="953"/>
    </row>
    <row r="4022" spans="1:8" x14ac:dyDescent="0.25">
      <c r="A4022" s="952"/>
      <c r="B4022" s="953"/>
      <c r="C4022" s="953"/>
      <c r="D4022" s="953"/>
      <c r="E4022" s="953"/>
      <c r="F4022" s="953"/>
      <c r="G4022" s="953"/>
      <c r="H4022" s="953"/>
    </row>
    <row r="4023" spans="1:8" x14ac:dyDescent="0.25">
      <c r="A4023" s="952"/>
      <c r="B4023" s="953"/>
      <c r="C4023" s="953"/>
      <c r="D4023" s="953"/>
      <c r="E4023" s="953"/>
      <c r="F4023" s="953"/>
      <c r="G4023" s="953"/>
      <c r="H4023" s="953"/>
    </row>
    <row r="4024" spans="1:8" x14ac:dyDescent="0.25">
      <c r="A4024" s="952"/>
      <c r="B4024" s="953"/>
      <c r="C4024" s="953"/>
      <c r="D4024" s="953"/>
      <c r="E4024" s="953"/>
      <c r="F4024" s="953"/>
      <c r="G4024" s="953"/>
      <c r="H4024" s="953"/>
    </row>
    <row r="4025" spans="1:8" x14ac:dyDescent="0.25">
      <c r="A4025" s="952"/>
      <c r="B4025" s="953"/>
      <c r="C4025" s="953"/>
      <c r="D4025" s="953"/>
      <c r="E4025" s="953"/>
      <c r="F4025" s="953"/>
      <c r="G4025" s="953"/>
      <c r="H4025" s="953"/>
    </row>
    <row r="4026" spans="1:8" x14ac:dyDescent="0.25">
      <c r="A4026" s="952"/>
      <c r="B4026" s="953"/>
      <c r="C4026" s="953"/>
      <c r="D4026" s="953"/>
      <c r="E4026" s="953"/>
      <c r="F4026" s="953"/>
      <c r="G4026" s="953"/>
      <c r="H4026" s="953"/>
    </row>
    <row r="4027" spans="1:8" x14ac:dyDescent="0.25">
      <c r="A4027" s="952"/>
      <c r="B4027" s="953"/>
      <c r="C4027" s="953"/>
      <c r="D4027" s="953"/>
      <c r="E4027" s="953"/>
      <c r="F4027" s="953"/>
      <c r="G4027" s="953"/>
      <c r="H4027" s="953"/>
    </row>
    <row r="4028" spans="1:8" x14ac:dyDescent="0.25">
      <c r="A4028" s="952"/>
      <c r="B4028" s="953"/>
      <c r="C4028" s="953"/>
      <c r="D4028" s="953"/>
      <c r="E4028" s="953"/>
      <c r="F4028" s="953"/>
      <c r="G4028" s="953"/>
      <c r="H4028" s="953"/>
    </row>
    <row r="4029" spans="1:8" x14ac:dyDescent="0.25">
      <c r="A4029" s="952"/>
      <c r="B4029" s="953"/>
      <c r="C4029" s="953"/>
      <c r="D4029" s="953"/>
      <c r="E4029" s="953"/>
      <c r="F4029" s="953"/>
      <c r="G4029" s="953"/>
      <c r="H4029" s="953"/>
    </row>
    <row r="4030" spans="1:8" x14ac:dyDescent="0.25">
      <c r="A4030" s="952"/>
      <c r="B4030" s="953"/>
      <c r="C4030" s="953"/>
      <c r="D4030" s="953"/>
      <c r="E4030" s="953"/>
      <c r="F4030" s="953"/>
      <c r="G4030" s="953"/>
      <c r="H4030" s="953"/>
    </row>
    <row r="4031" spans="1:8" x14ac:dyDescent="0.25">
      <c r="A4031" s="952"/>
      <c r="B4031" s="953"/>
      <c r="C4031" s="953"/>
      <c r="D4031" s="953"/>
      <c r="E4031" s="953"/>
      <c r="F4031" s="953"/>
      <c r="G4031" s="953"/>
      <c r="H4031" s="953"/>
    </row>
    <row r="4032" spans="1:8" x14ac:dyDescent="0.25">
      <c r="A4032" s="952"/>
      <c r="B4032" s="953"/>
      <c r="C4032" s="953"/>
      <c r="D4032" s="953"/>
      <c r="E4032" s="953"/>
      <c r="F4032" s="953"/>
      <c r="G4032" s="953"/>
      <c r="H4032" s="953"/>
    </row>
    <row r="4033" spans="1:8" x14ac:dyDescent="0.25">
      <c r="A4033" s="952"/>
      <c r="B4033" s="953"/>
      <c r="C4033" s="953"/>
      <c r="D4033" s="953"/>
      <c r="E4033" s="953"/>
      <c r="F4033" s="953"/>
      <c r="G4033" s="953"/>
      <c r="H4033" s="953"/>
    </row>
    <row r="4034" spans="1:8" x14ac:dyDescent="0.25">
      <c r="A4034" s="952"/>
      <c r="B4034" s="953"/>
      <c r="C4034" s="953"/>
      <c r="D4034" s="953"/>
      <c r="E4034" s="953"/>
      <c r="F4034" s="953"/>
      <c r="G4034" s="953"/>
      <c r="H4034" s="953"/>
    </row>
    <row r="4035" spans="1:8" x14ac:dyDescent="0.25">
      <c r="A4035" s="952"/>
      <c r="B4035" s="953"/>
      <c r="C4035" s="953"/>
      <c r="D4035" s="953"/>
      <c r="E4035" s="953"/>
      <c r="F4035" s="953"/>
      <c r="G4035" s="953"/>
      <c r="H4035" s="953"/>
    </row>
    <row r="4036" spans="1:8" x14ac:dyDescent="0.25">
      <c r="A4036" s="952"/>
      <c r="B4036" s="953"/>
      <c r="C4036" s="953"/>
      <c r="D4036" s="953"/>
      <c r="E4036" s="953"/>
      <c r="F4036" s="953"/>
      <c r="G4036" s="953"/>
      <c r="H4036" s="953"/>
    </row>
    <row r="4037" spans="1:8" x14ac:dyDescent="0.25">
      <c r="A4037" s="952"/>
      <c r="B4037" s="953"/>
      <c r="C4037" s="953"/>
      <c r="D4037" s="953"/>
      <c r="E4037" s="953"/>
      <c r="F4037" s="953"/>
      <c r="G4037" s="953"/>
      <c r="H4037" s="953"/>
    </row>
    <row r="4038" spans="1:8" x14ac:dyDescent="0.25">
      <c r="A4038" s="952"/>
      <c r="B4038" s="953"/>
      <c r="C4038" s="953"/>
      <c r="D4038" s="953"/>
      <c r="E4038" s="953"/>
      <c r="F4038" s="953"/>
      <c r="G4038" s="953"/>
      <c r="H4038" s="953"/>
    </row>
    <row r="4039" spans="1:8" x14ac:dyDescent="0.25">
      <c r="A4039" s="952"/>
      <c r="B4039" s="953"/>
      <c r="C4039" s="953"/>
      <c r="D4039" s="953"/>
      <c r="E4039" s="953"/>
      <c r="F4039" s="953"/>
      <c r="G4039" s="953"/>
      <c r="H4039" s="953"/>
    </row>
    <row r="4040" spans="1:8" x14ac:dyDescent="0.25">
      <c r="A4040" s="952"/>
      <c r="B4040" s="953"/>
      <c r="C4040" s="953"/>
      <c r="D4040" s="953"/>
      <c r="E4040" s="953"/>
      <c r="F4040" s="953"/>
      <c r="G4040" s="953"/>
      <c r="H4040" s="953"/>
    </row>
    <row r="4041" spans="1:8" x14ac:dyDescent="0.25">
      <c r="A4041" s="952"/>
      <c r="B4041" s="953"/>
      <c r="C4041" s="953"/>
      <c r="D4041" s="953"/>
      <c r="E4041" s="953"/>
      <c r="F4041" s="953"/>
      <c r="G4041" s="953"/>
      <c r="H4041" s="953"/>
    </row>
    <row r="4042" spans="1:8" x14ac:dyDescent="0.25">
      <c r="A4042" s="952"/>
      <c r="B4042" s="953"/>
      <c r="C4042" s="953"/>
      <c r="D4042" s="953"/>
      <c r="E4042" s="953"/>
      <c r="F4042" s="953"/>
      <c r="G4042" s="953"/>
      <c r="H4042" s="953"/>
    </row>
    <row r="4043" spans="1:8" x14ac:dyDescent="0.25">
      <c r="A4043" s="952"/>
      <c r="B4043" s="953"/>
      <c r="C4043" s="953"/>
      <c r="D4043" s="953"/>
      <c r="E4043" s="953"/>
      <c r="F4043" s="953"/>
      <c r="G4043" s="953"/>
      <c r="H4043" s="953"/>
    </row>
    <row r="4044" spans="1:8" x14ac:dyDescent="0.25">
      <c r="A4044" s="952"/>
      <c r="B4044" s="953"/>
      <c r="C4044" s="953"/>
      <c r="D4044" s="953"/>
      <c r="E4044" s="953"/>
      <c r="F4044" s="953"/>
      <c r="G4044" s="953"/>
      <c r="H4044" s="953"/>
    </row>
    <row r="4045" spans="1:8" x14ac:dyDescent="0.25">
      <c r="A4045" s="952"/>
      <c r="B4045" s="953"/>
      <c r="C4045" s="953"/>
      <c r="D4045" s="953"/>
      <c r="E4045" s="953"/>
      <c r="F4045" s="953"/>
      <c r="G4045" s="953"/>
      <c r="H4045" s="953"/>
    </row>
    <row r="4046" spans="1:8" x14ac:dyDescent="0.25">
      <c r="A4046" s="952"/>
      <c r="B4046" s="953"/>
      <c r="C4046" s="953"/>
      <c r="D4046" s="953"/>
      <c r="E4046" s="953"/>
      <c r="F4046" s="953"/>
      <c r="G4046" s="953"/>
      <c r="H4046" s="953"/>
    </row>
    <row r="4047" spans="1:8" x14ac:dyDescent="0.25">
      <c r="A4047" s="952"/>
      <c r="B4047" s="953"/>
      <c r="C4047" s="953"/>
      <c r="D4047" s="953"/>
      <c r="E4047" s="953"/>
      <c r="F4047" s="953"/>
      <c r="G4047" s="953"/>
      <c r="H4047" s="953"/>
    </row>
    <row r="4048" spans="1:8" x14ac:dyDescent="0.25">
      <c r="A4048" s="952"/>
      <c r="B4048" s="953"/>
      <c r="C4048" s="953"/>
      <c r="D4048" s="953"/>
      <c r="E4048" s="953"/>
      <c r="F4048" s="953"/>
      <c r="G4048" s="953"/>
      <c r="H4048" s="953"/>
    </row>
    <row r="4049" spans="1:8" x14ac:dyDescent="0.25">
      <c r="A4049" s="952"/>
      <c r="B4049" s="953"/>
      <c r="C4049" s="953"/>
      <c r="D4049" s="953"/>
      <c r="E4049" s="953"/>
      <c r="F4049" s="953"/>
      <c r="G4049" s="953"/>
      <c r="H4049" s="953"/>
    </row>
    <row r="4050" spans="1:8" x14ac:dyDescent="0.25">
      <c r="A4050" s="952"/>
      <c r="B4050" s="953"/>
      <c r="C4050" s="953"/>
      <c r="D4050" s="953"/>
      <c r="E4050" s="953"/>
      <c r="F4050" s="953"/>
      <c r="G4050" s="953"/>
      <c r="H4050" s="953"/>
    </row>
    <row r="4051" spans="1:8" x14ac:dyDescent="0.25">
      <c r="A4051" s="952"/>
      <c r="B4051" s="953"/>
      <c r="C4051" s="953"/>
      <c r="D4051" s="953"/>
      <c r="E4051" s="953"/>
      <c r="F4051" s="953"/>
      <c r="G4051" s="953"/>
      <c r="H4051" s="953"/>
    </row>
    <row r="4052" spans="1:8" x14ac:dyDescent="0.25">
      <c r="A4052" s="952"/>
      <c r="B4052" s="953"/>
      <c r="C4052" s="953"/>
      <c r="D4052" s="953"/>
      <c r="E4052" s="953"/>
      <c r="F4052" s="953"/>
      <c r="G4052" s="953"/>
      <c r="H4052" s="953"/>
    </row>
    <row r="4053" spans="1:8" x14ac:dyDescent="0.25">
      <c r="A4053" s="952"/>
      <c r="B4053" s="953"/>
      <c r="C4053" s="953"/>
      <c r="D4053" s="953"/>
      <c r="E4053" s="953"/>
      <c r="F4053" s="953"/>
      <c r="G4053" s="953"/>
      <c r="H4053" s="953"/>
    </row>
    <row r="4054" spans="1:8" x14ac:dyDescent="0.25">
      <c r="A4054" s="952"/>
      <c r="B4054" s="953"/>
      <c r="C4054" s="953"/>
      <c r="D4054" s="953"/>
      <c r="E4054" s="953"/>
      <c r="F4054" s="953"/>
      <c r="G4054" s="953"/>
      <c r="H4054" s="953"/>
    </row>
    <row r="4055" spans="1:8" x14ac:dyDescent="0.25">
      <c r="A4055" s="952"/>
      <c r="B4055" s="953"/>
      <c r="C4055" s="953"/>
      <c r="D4055" s="953"/>
      <c r="E4055" s="953"/>
      <c r="F4055" s="953"/>
      <c r="G4055" s="953"/>
      <c r="H4055" s="953"/>
    </row>
    <row r="4056" spans="1:8" x14ac:dyDescent="0.25">
      <c r="A4056" s="952"/>
      <c r="B4056" s="953"/>
      <c r="C4056" s="953"/>
      <c r="D4056" s="953"/>
      <c r="E4056" s="953"/>
      <c r="F4056" s="953"/>
      <c r="G4056" s="953"/>
      <c r="H4056" s="953"/>
    </row>
    <row r="4057" spans="1:8" x14ac:dyDescent="0.25">
      <c r="A4057" s="952"/>
      <c r="B4057" s="953"/>
      <c r="C4057" s="953"/>
      <c r="D4057" s="953"/>
      <c r="E4057" s="953"/>
      <c r="F4057" s="953"/>
      <c r="G4057" s="953"/>
      <c r="H4057" s="953"/>
    </row>
    <row r="4058" spans="1:8" x14ac:dyDescent="0.25">
      <c r="A4058" s="952"/>
      <c r="B4058" s="953"/>
      <c r="C4058" s="953"/>
      <c r="D4058" s="953"/>
      <c r="E4058" s="953"/>
      <c r="F4058" s="953"/>
      <c r="G4058" s="953"/>
      <c r="H4058" s="953"/>
    </row>
    <row r="4059" spans="1:8" x14ac:dyDescent="0.25">
      <c r="A4059" s="952"/>
      <c r="B4059" s="953"/>
      <c r="C4059" s="953"/>
      <c r="D4059" s="953"/>
      <c r="E4059" s="953"/>
      <c r="F4059" s="953"/>
      <c r="G4059" s="953"/>
      <c r="H4059" s="953"/>
    </row>
    <row r="4060" spans="1:8" x14ac:dyDescent="0.25">
      <c r="A4060" s="952"/>
      <c r="B4060" s="953"/>
      <c r="C4060" s="953"/>
      <c r="D4060" s="953"/>
      <c r="E4060" s="953"/>
      <c r="F4060" s="953"/>
      <c r="G4060" s="953"/>
      <c r="H4060" s="953"/>
    </row>
    <row r="4061" spans="1:8" x14ac:dyDescent="0.25">
      <c r="A4061" s="952"/>
      <c r="B4061" s="953"/>
      <c r="C4061" s="953"/>
      <c r="D4061" s="953"/>
      <c r="E4061" s="953"/>
      <c r="F4061" s="953"/>
      <c r="G4061" s="953"/>
      <c r="H4061" s="953"/>
    </row>
    <row r="4062" spans="1:8" x14ac:dyDescent="0.25">
      <c r="A4062" s="952"/>
      <c r="B4062" s="953"/>
      <c r="C4062" s="953"/>
      <c r="D4062" s="953"/>
      <c r="E4062" s="953"/>
      <c r="F4062" s="953"/>
      <c r="G4062" s="953"/>
      <c r="H4062" s="953"/>
    </row>
    <row r="4063" spans="1:8" x14ac:dyDescent="0.25">
      <c r="A4063" s="952"/>
      <c r="B4063" s="953"/>
      <c r="C4063" s="953"/>
      <c r="D4063" s="953"/>
      <c r="E4063" s="953"/>
      <c r="F4063" s="953"/>
      <c r="G4063" s="953"/>
      <c r="H4063" s="953"/>
    </row>
    <row r="4064" spans="1:8" x14ac:dyDescent="0.25">
      <c r="A4064" s="952"/>
      <c r="B4064" s="953"/>
      <c r="C4064" s="953"/>
      <c r="D4064" s="953"/>
      <c r="E4064" s="953"/>
      <c r="F4064" s="953"/>
      <c r="G4064" s="953"/>
      <c r="H4064" s="953"/>
    </row>
    <row r="4065" spans="1:8" x14ac:dyDescent="0.25">
      <c r="A4065" s="952"/>
      <c r="B4065" s="953"/>
      <c r="C4065" s="953"/>
      <c r="D4065" s="953"/>
      <c r="E4065" s="953"/>
      <c r="F4065" s="953"/>
      <c r="G4065" s="953"/>
      <c r="H4065" s="953"/>
    </row>
    <row r="4066" spans="1:8" x14ac:dyDescent="0.25">
      <c r="A4066" s="952"/>
      <c r="B4066" s="953"/>
      <c r="C4066" s="953"/>
      <c r="D4066" s="953"/>
      <c r="E4066" s="953"/>
      <c r="F4066" s="953"/>
      <c r="G4066" s="953"/>
      <c r="H4066" s="953"/>
    </row>
    <row r="4067" spans="1:8" x14ac:dyDescent="0.25">
      <c r="A4067" s="952"/>
      <c r="B4067" s="953"/>
      <c r="C4067" s="953"/>
      <c r="D4067" s="953"/>
      <c r="E4067" s="953"/>
      <c r="F4067" s="953"/>
      <c r="G4067" s="953"/>
      <c r="H4067" s="953"/>
    </row>
    <row r="4068" spans="1:8" x14ac:dyDescent="0.25">
      <c r="A4068" s="952"/>
      <c r="B4068" s="953"/>
      <c r="C4068" s="953"/>
      <c r="D4068" s="953"/>
      <c r="E4068" s="953"/>
      <c r="F4068" s="953"/>
      <c r="G4068" s="953"/>
      <c r="H4068" s="953"/>
    </row>
    <row r="4069" spans="1:8" x14ac:dyDescent="0.25">
      <c r="A4069" s="952"/>
      <c r="B4069" s="953"/>
      <c r="C4069" s="953"/>
      <c r="D4069" s="953"/>
      <c r="E4069" s="953"/>
      <c r="F4069" s="953"/>
      <c r="G4069" s="953"/>
      <c r="H4069" s="953"/>
    </row>
    <row r="4070" spans="1:8" x14ac:dyDescent="0.25">
      <c r="A4070" s="952"/>
      <c r="B4070" s="953"/>
      <c r="C4070" s="953"/>
      <c r="D4070" s="953"/>
      <c r="E4070" s="953"/>
      <c r="F4070" s="953"/>
      <c r="G4070" s="953"/>
      <c r="H4070" s="953"/>
    </row>
    <row r="4071" spans="1:8" x14ac:dyDescent="0.25">
      <c r="A4071" s="952"/>
      <c r="B4071" s="953"/>
      <c r="C4071" s="953"/>
      <c r="D4071" s="953"/>
      <c r="E4071" s="953"/>
      <c r="F4071" s="953"/>
      <c r="G4071" s="953"/>
      <c r="H4071" s="953"/>
    </row>
    <row r="4072" spans="1:8" x14ac:dyDescent="0.25">
      <c r="A4072" s="952"/>
      <c r="B4072" s="953"/>
      <c r="C4072" s="953"/>
      <c r="D4072" s="953"/>
      <c r="E4072" s="953"/>
      <c r="F4072" s="953"/>
      <c r="G4072" s="953"/>
      <c r="H4072" s="953"/>
    </row>
    <row r="4073" spans="1:8" x14ac:dyDescent="0.25">
      <c r="A4073" s="952"/>
      <c r="B4073" s="953"/>
      <c r="C4073" s="953"/>
      <c r="D4073" s="953"/>
      <c r="E4073" s="953"/>
      <c r="F4073" s="953"/>
      <c r="G4073" s="953"/>
      <c r="H4073" s="953"/>
    </row>
    <row r="4074" spans="1:8" x14ac:dyDescent="0.25">
      <c r="A4074" s="952"/>
      <c r="B4074" s="953"/>
      <c r="C4074" s="953"/>
      <c r="D4074" s="953"/>
      <c r="E4074" s="953"/>
      <c r="F4074" s="953"/>
      <c r="G4074" s="953"/>
      <c r="H4074" s="953"/>
    </row>
    <row r="4075" spans="1:8" x14ac:dyDescent="0.25">
      <c r="A4075" s="952"/>
      <c r="B4075" s="953"/>
      <c r="C4075" s="953"/>
      <c r="D4075" s="953"/>
      <c r="E4075" s="953"/>
      <c r="F4075" s="953"/>
      <c r="G4075" s="953"/>
      <c r="H4075" s="953"/>
    </row>
    <row r="4076" spans="1:8" x14ac:dyDescent="0.25">
      <c r="A4076" s="952"/>
      <c r="B4076" s="953"/>
      <c r="C4076" s="953"/>
      <c r="D4076" s="953"/>
      <c r="E4076" s="953"/>
      <c r="F4076" s="953"/>
      <c r="G4076" s="953"/>
      <c r="H4076" s="953"/>
    </row>
    <row r="4077" spans="1:8" x14ac:dyDescent="0.25">
      <c r="A4077" s="952"/>
      <c r="B4077" s="953"/>
      <c r="C4077" s="953"/>
      <c r="D4077" s="953"/>
      <c r="E4077" s="953"/>
      <c r="F4077" s="953"/>
      <c r="G4077" s="953"/>
      <c r="H4077" s="953"/>
    </row>
    <row r="4078" spans="1:8" x14ac:dyDescent="0.25">
      <c r="A4078" s="952"/>
      <c r="B4078" s="953"/>
      <c r="C4078" s="953"/>
      <c r="D4078" s="953"/>
      <c r="E4078" s="953"/>
      <c r="F4078" s="953"/>
      <c r="G4078" s="953"/>
      <c r="H4078" s="953"/>
    </row>
    <row r="4079" spans="1:8" x14ac:dyDescent="0.25">
      <c r="A4079" s="952"/>
      <c r="B4079" s="953"/>
      <c r="C4079" s="953"/>
      <c r="D4079" s="953"/>
      <c r="E4079" s="953"/>
      <c r="F4079" s="953"/>
      <c r="G4079" s="953"/>
      <c r="H4079" s="953"/>
    </row>
    <row r="4080" spans="1:8" x14ac:dyDescent="0.25">
      <c r="A4080" s="952"/>
      <c r="B4080" s="953"/>
      <c r="C4080" s="953"/>
      <c r="D4080" s="953"/>
      <c r="E4080" s="953"/>
      <c r="F4080" s="953"/>
      <c r="G4080" s="953"/>
      <c r="H4080" s="953"/>
    </row>
    <row r="4081" spans="1:8" x14ac:dyDescent="0.25">
      <c r="A4081" s="952"/>
      <c r="B4081" s="953"/>
      <c r="C4081" s="953"/>
      <c r="D4081" s="953"/>
      <c r="E4081" s="953"/>
      <c r="F4081" s="953"/>
      <c r="G4081" s="953"/>
      <c r="H4081" s="953"/>
    </row>
    <row r="4082" spans="1:8" x14ac:dyDescent="0.25">
      <c r="A4082" s="952"/>
      <c r="B4082" s="953"/>
      <c r="C4082" s="953"/>
      <c r="D4082" s="953"/>
      <c r="E4082" s="953"/>
      <c r="F4082" s="953"/>
      <c r="G4082" s="953"/>
      <c r="H4082" s="953"/>
    </row>
    <row r="4083" spans="1:8" x14ac:dyDescent="0.25">
      <c r="A4083" s="952"/>
      <c r="B4083" s="953"/>
      <c r="C4083" s="953"/>
      <c r="D4083" s="953"/>
      <c r="E4083" s="953"/>
      <c r="F4083" s="953"/>
      <c r="G4083" s="953"/>
      <c r="H4083" s="953"/>
    </row>
    <row r="4084" spans="1:8" x14ac:dyDescent="0.25">
      <c r="A4084" s="952"/>
      <c r="B4084" s="953"/>
      <c r="C4084" s="953"/>
      <c r="D4084" s="953"/>
      <c r="E4084" s="953"/>
      <c r="F4084" s="953"/>
      <c r="G4084" s="953"/>
      <c r="H4084" s="953"/>
    </row>
    <row r="4085" spans="1:8" x14ac:dyDescent="0.25">
      <c r="A4085" s="952"/>
      <c r="B4085" s="953"/>
      <c r="C4085" s="953"/>
      <c r="D4085" s="953"/>
      <c r="E4085" s="953"/>
      <c r="F4085" s="953"/>
      <c r="G4085" s="953"/>
      <c r="H4085" s="953"/>
    </row>
    <row r="4086" spans="1:8" x14ac:dyDescent="0.25">
      <c r="A4086" s="952"/>
      <c r="B4086" s="953"/>
      <c r="C4086" s="953"/>
      <c r="D4086" s="953"/>
      <c r="E4086" s="953"/>
      <c r="F4086" s="953"/>
      <c r="G4086" s="953"/>
      <c r="H4086" s="953"/>
    </row>
    <row r="4087" spans="1:8" x14ac:dyDescent="0.25">
      <c r="A4087" s="952"/>
      <c r="B4087" s="953"/>
      <c r="C4087" s="953"/>
      <c r="D4087" s="953"/>
      <c r="E4087" s="953"/>
      <c r="F4087" s="953"/>
      <c r="G4087" s="953"/>
      <c r="H4087" s="953"/>
    </row>
    <row r="4088" spans="1:8" x14ac:dyDescent="0.25">
      <c r="A4088" s="952"/>
      <c r="B4088" s="953"/>
      <c r="C4088" s="953"/>
      <c r="D4088" s="953"/>
      <c r="E4088" s="953"/>
      <c r="F4088" s="953"/>
      <c r="G4088" s="953"/>
      <c r="H4088" s="953"/>
    </row>
    <row r="4089" spans="1:8" x14ac:dyDescent="0.25">
      <c r="A4089" s="952"/>
      <c r="B4089" s="953"/>
      <c r="C4089" s="953"/>
      <c r="D4089" s="953"/>
      <c r="E4089" s="953"/>
      <c r="F4089" s="953"/>
      <c r="G4089" s="953"/>
      <c r="H4089" s="953"/>
    </row>
    <row r="4090" spans="1:8" x14ac:dyDescent="0.25">
      <c r="A4090" s="952"/>
      <c r="B4090" s="953"/>
      <c r="C4090" s="953"/>
      <c r="D4090" s="953"/>
      <c r="E4090" s="953"/>
      <c r="F4090" s="953"/>
      <c r="G4090" s="953"/>
      <c r="H4090" s="953"/>
    </row>
    <row r="4091" spans="1:8" x14ac:dyDescent="0.25">
      <c r="A4091" s="952"/>
      <c r="B4091" s="953"/>
      <c r="C4091" s="953"/>
      <c r="D4091" s="953"/>
      <c r="E4091" s="953"/>
      <c r="F4091" s="953"/>
      <c r="G4091" s="953"/>
      <c r="H4091" s="953"/>
    </row>
    <row r="4092" spans="1:8" x14ac:dyDescent="0.25">
      <c r="A4092" s="952"/>
      <c r="B4092" s="953"/>
      <c r="C4092" s="953"/>
      <c r="D4092" s="953"/>
      <c r="E4092" s="953"/>
      <c r="F4092" s="953"/>
      <c r="G4092" s="953"/>
      <c r="H4092" s="953"/>
    </row>
    <row r="4093" spans="1:8" x14ac:dyDescent="0.25">
      <c r="A4093" s="952"/>
      <c r="B4093" s="953"/>
      <c r="C4093" s="953"/>
      <c r="D4093" s="953"/>
      <c r="E4093" s="953"/>
      <c r="F4093" s="953"/>
      <c r="G4093" s="953"/>
      <c r="H4093" s="953"/>
    </row>
    <row r="4094" spans="1:8" x14ac:dyDescent="0.25">
      <c r="A4094" s="952"/>
      <c r="B4094" s="953"/>
      <c r="C4094" s="953"/>
      <c r="D4094" s="953"/>
      <c r="E4094" s="953"/>
      <c r="F4094" s="953"/>
      <c r="G4094" s="953"/>
      <c r="H4094" s="953"/>
    </row>
    <row r="4095" spans="1:8" x14ac:dyDescent="0.25">
      <c r="A4095" s="952"/>
      <c r="B4095" s="953"/>
      <c r="C4095" s="953"/>
      <c r="D4095" s="953"/>
      <c r="E4095" s="953"/>
      <c r="F4095" s="953"/>
      <c r="G4095" s="953"/>
      <c r="H4095" s="953"/>
    </row>
    <row r="4096" spans="1:8" x14ac:dyDescent="0.25">
      <c r="A4096" s="952"/>
      <c r="B4096" s="953"/>
      <c r="C4096" s="953"/>
      <c r="D4096" s="953"/>
      <c r="E4096" s="953"/>
      <c r="F4096" s="953"/>
      <c r="G4096" s="953"/>
      <c r="H4096" s="953"/>
    </row>
    <row r="4097" spans="1:8" x14ac:dyDescent="0.25">
      <c r="A4097" s="952"/>
      <c r="B4097" s="953"/>
      <c r="C4097" s="953"/>
      <c r="D4097" s="953"/>
      <c r="E4097" s="953"/>
      <c r="F4097" s="953"/>
      <c r="G4097" s="953"/>
      <c r="H4097" s="953"/>
    </row>
    <row r="4098" spans="1:8" x14ac:dyDescent="0.25">
      <c r="A4098" s="952"/>
      <c r="B4098" s="953"/>
      <c r="C4098" s="953"/>
      <c r="D4098" s="953"/>
      <c r="E4098" s="953"/>
      <c r="F4098" s="953"/>
      <c r="G4098" s="953"/>
      <c r="H4098" s="953"/>
    </row>
    <row r="4099" spans="1:8" x14ac:dyDescent="0.25">
      <c r="A4099" s="952"/>
      <c r="B4099" s="953"/>
      <c r="C4099" s="953"/>
      <c r="D4099" s="953"/>
      <c r="E4099" s="953"/>
      <c r="F4099" s="953"/>
      <c r="G4099" s="953"/>
      <c r="H4099" s="953"/>
    </row>
    <row r="4100" spans="1:8" x14ac:dyDescent="0.25">
      <c r="A4100" s="952"/>
      <c r="B4100" s="953"/>
      <c r="C4100" s="953"/>
      <c r="D4100" s="953"/>
      <c r="E4100" s="953"/>
      <c r="F4100" s="953"/>
      <c r="G4100" s="953"/>
      <c r="H4100" s="953"/>
    </row>
    <row r="4101" spans="1:8" x14ac:dyDescent="0.25">
      <c r="A4101" s="952"/>
      <c r="B4101" s="953"/>
      <c r="C4101" s="953"/>
      <c r="D4101" s="953"/>
      <c r="E4101" s="953"/>
      <c r="F4101" s="953"/>
      <c r="G4101" s="953"/>
      <c r="H4101" s="953"/>
    </row>
    <row r="4102" spans="1:8" x14ac:dyDescent="0.25">
      <c r="A4102" s="952"/>
      <c r="B4102" s="953"/>
      <c r="C4102" s="953"/>
      <c r="D4102" s="953"/>
      <c r="E4102" s="953"/>
      <c r="F4102" s="953"/>
      <c r="G4102" s="953"/>
      <c r="H4102" s="953"/>
    </row>
    <row r="4103" spans="1:8" x14ac:dyDescent="0.25">
      <c r="A4103" s="952"/>
      <c r="B4103" s="953"/>
      <c r="C4103" s="953"/>
      <c r="D4103" s="953"/>
      <c r="E4103" s="953"/>
      <c r="F4103" s="953"/>
      <c r="G4103" s="953"/>
      <c r="H4103" s="953"/>
    </row>
    <row r="4104" spans="1:8" x14ac:dyDescent="0.25">
      <c r="A4104" s="952"/>
      <c r="B4104" s="953"/>
      <c r="C4104" s="953"/>
      <c r="D4104" s="953"/>
      <c r="E4104" s="953"/>
      <c r="F4104" s="953"/>
      <c r="G4104" s="953"/>
      <c r="H4104" s="953"/>
    </row>
    <row r="4105" spans="1:8" x14ac:dyDescent="0.25">
      <c r="A4105" s="952"/>
      <c r="B4105" s="953"/>
      <c r="C4105" s="953"/>
      <c r="D4105" s="953"/>
      <c r="E4105" s="953"/>
      <c r="F4105" s="953"/>
      <c r="G4105" s="953"/>
      <c r="H4105" s="953"/>
    </row>
    <row r="4106" spans="1:8" x14ac:dyDescent="0.25">
      <c r="A4106" s="952"/>
      <c r="B4106" s="953"/>
      <c r="C4106" s="953"/>
      <c r="D4106" s="953"/>
      <c r="E4106" s="953"/>
      <c r="F4106" s="953"/>
      <c r="G4106" s="953"/>
      <c r="H4106" s="953"/>
    </row>
    <row r="4107" spans="1:8" x14ac:dyDescent="0.25">
      <c r="A4107" s="952"/>
      <c r="B4107" s="953"/>
      <c r="C4107" s="953"/>
      <c r="D4107" s="953"/>
      <c r="E4107" s="953"/>
      <c r="F4107" s="953"/>
      <c r="G4107" s="953"/>
      <c r="H4107" s="953"/>
    </row>
    <row r="4108" spans="1:8" x14ac:dyDescent="0.25">
      <c r="A4108" s="952"/>
      <c r="B4108" s="953"/>
      <c r="C4108" s="953"/>
      <c r="D4108" s="953"/>
      <c r="E4108" s="953"/>
      <c r="F4108" s="953"/>
      <c r="G4108" s="953"/>
      <c r="H4108" s="953"/>
    </row>
    <row r="4109" spans="1:8" x14ac:dyDescent="0.25">
      <c r="A4109" s="952"/>
      <c r="B4109" s="953"/>
      <c r="C4109" s="953"/>
      <c r="D4109" s="953"/>
      <c r="E4109" s="953"/>
      <c r="F4109" s="953"/>
      <c r="G4109" s="953"/>
      <c r="H4109" s="953"/>
    </row>
    <row r="4110" spans="1:8" x14ac:dyDescent="0.25">
      <c r="A4110" s="952"/>
      <c r="B4110" s="953"/>
      <c r="C4110" s="953"/>
      <c r="D4110" s="953"/>
      <c r="E4110" s="953"/>
      <c r="F4110" s="953"/>
      <c r="G4110" s="953"/>
      <c r="H4110" s="953"/>
    </row>
    <row r="4111" spans="1:8" x14ac:dyDescent="0.25">
      <c r="A4111" s="952"/>
      <c r="B4111" s="953"/>
      <c r="C4111" s="953"/>
      <c r="D4111" s="953"/>
      <c r="E4111" s="953"/>
      <c r="F4111" s="953"/>
      <c r="G4111" s="953"/>
      <c r="H4111" s="953"/>
    </row>
    <row r="4112" spans="1:8" x14ac:dyDescent="0.25">
      <c r="A4112" s="952"/>
      <c r="B4112" s="953"/>
      <c r="C4112" s="953"/>
      <c r="D4112" s="953"/>
      <c r="E4112" s="953"/>
      <c r="F4112" s="953"/>
      <c r="G4112" s="953"/>
      <c r="H4112" s="953"/>
    </row>
    <row r="4113" spans="1:8" x14ac:dyDescent="0.25">
      <c r="A4113" s="952"/>
      <c r="B4113" s="953"/>
      <c r="C4113" s="953"/>
      <c r="D4113" s="953"/>
      <c r="E4113" s="953"/>
      <c r="F4113" s="953"/>
      <c r="G4113" s="953"/>
      <c r="H4113" s="953"/>
    </row>
    <row r="4114" spans="1:8" x14ac:dyDescent="0.25">
      <c r="A4114" s="952"/>
      <c r="B4114" s="953"/>
      <c r="C4114" s="953"/>
      <c r="D4114" s="953"/>
      <c r="E4114" s="953"/>
      <c r="F4114" s="953"/>
      <c r="G4114" s="953"/>
      <c r="H4114" s="953"/>
    </row>
    <row r="4115" spans="1:8" x14ac:dyDescent="0.25">
      <c r="A4115" s="952"/>
      <c r="B4115" s="953"/>
      <c r="C4115" s="953"/>
      <c r="D4115" s="953"/>
      <c r="E4115" s="953"/>
      <c r="F4115" s="953"/>
      <c r="G4115" s="953"/>
      <c r="H4115" s="953"/>
    </row>
    <row r="4116" spans="1:8" x14ac:dyDescent="0.25">
      <c r="A4116" s="952"/>
      <c r="B4116" s="953"/>
      <c r="C4116" s="953"/>
      <c r="D4116" s="953"/>
      <c r="E4116" s="953"/>
      <c r="F4116" s="953"/>
      <c r="G4116" s="953"/>
      <c r="H4116" s="953"/>
    </row>
    <row r="4117" spans="1:8" x14ac:dyDescent="0.25">
      <c r="A4117" s="952"/>
      <c r="B4117" s="953"/>
      <c r="C4117" s="953"/>
      <c r="D4117" s="953"/>
      <c r="E4117" s="953"/>
      <c r="F4117" s="953"/>
      <c r="G4117" s="953"/>
      <c r="H4117" s="953"/>
    </row>
    <row r="4118" spans="1:8" x14ac:dyDescent="0.25">
      <c r="A4118" s="952"/>
      <c r="B4118" s="953"/>
      <c r="C4118" s="953"/>
      <c r="D4118" s="953"/>
      <c r="E4118" s="953"/>
      <c r="F4118" s="953"/>
      <c r="G4118" s="953"/>
      <c r="H4118" s="953"/>
    </row>
    <row r="4119" spans="1:8" x14ac:dyDescent="0.25">
      <c r="A4119" s="952"/>
      <c r="B4119" s="953"/>
      <c r="C4119" s="953"/>
      <c r="D4119" s="953"/>
      <c r="E4119" s="953"/>
      <c r="F4119" s="953"/>
      <c r="G4119" s="953"/>
      <c r="H4119" s="953"/>
    </row>
    <row r="4120" spans="1:8" x14ac:dyDescent="0.25">
      <c r="A4120" s="952"/>
      <c r="B4120" s="953"/>
      <c r="C4120" s="953"/>
      <c r="D4120" s="953"/>
      <c r="E4120" s="953"/>
      <c r="F4120" s="953"/>
      <c r="G4120" s="953"/>
      <c r="H4120" s="953"/>
    </row>
    <row r="4121" spans="1:8" x14ac:dyDescent="0.25">
      <c r="A4121" s="952"/>
      <c r="B4121" s="953"/>
      <c r="C4121" s="953"/>
      <c r="D4121" s="953"/>
      <c r="E4121" s="953"/>
      <c r="F4121" s="953"/>
      <c r="G4121" s="953"/>
      <c r="H4121" s="953"/>
    </row>
    <row r="4122" spans="1:8" x14ac:dyDescent="0.25">
      <c r="A4122" s="952"/>
      <c r="B4122" s="953"/>
      <c r="C4122" s="953"/>
      <c r="D4122" s="953"/>
      <c r="E4122" s="953"/>
      <c r="F4122" s="953"/>
      <c r="G4122" s="953"/>
      <c r="H4122" s="953"/>
    </row>
    <row r="4123" spans="1:8" x14ac:dyDescent="0.25">
      <c r="A4123" s="952"/>
      <c r="B4123" s="953"/>
      <c r="C4123" s="953"/>
      <c r="D4123" s="953"/>
      <c r="E4123" s="953"/>
      <c r="F4123" s="953"/>
      <c r="G4123" s="953"/>
      <c r="H4123" s="953"/>
    </row>
    <row r="4124" spans="1:8" x14ac:dyDescent="0.25">
      <c r="A4124" s="952"/>
      <c r="B4124" s="953"/>
      <c r="C4124" s="953"/>
      <c r="D4124" s="953"/>
      <c r="E4124" s="953"/>
      <c r="F4124" s="953"/>
      <c r="G4124" s="953"/>
      <c r="H4124" s="953"/>
    </row>
    <row r="4125" spans="1:8" x14ac:dyDescent="0.25">
      <c r="A4125" s="952"/>
      <c r="B4125" s="953"/>
      <c r="C4125" s="953"/>
      <c r="D4125" s="953"/>
      <c r="E4125" s="953"/>
      <c r="F4125" s="953"/>
      <c r="G4125" s="953"/>
      <c r="H4125" s="953"/>
    </row>
    <row r="4126" spans="1:8" x14ac:dyDescent="0.25">
      <c r="A4126" s="952"/>
      <c r="B4126" s="953"/>
      <c r="C4126" s="953"/>
      <c r="D4126" s="953"/>
      <c r="E4126" s="953"/>
      <c r="F4126" s="953"/>
      <c r="G4126" s="953"/>
      <c r="H4126" s="953"/>
    </row>
    <row r="4127" spans="1:8" x14ac:dyDescent="0.25">
      <c r="A4127" s="952"/>
      <c r="B4127" s="953"/>
      <c r="C4127" s="953"/>
      <c r="D4127" s="953"/>
      <c r="E4127" s="953"/>
      <c r="F4127" s="953"/>
      <c r="G4127" s="953"/>
      <c r="H4127" s="953"/>
    </row>
    <row r="4128" spans="1:8" x14ac:dyDescent="0.25">
      <c r="A4128" s="952"/>
      <c r="B4128" s="953"/>
      <c r="C4128" s="953"/>
      <c r="D4128" s="953"/>
      <c r="E4128" s="953"/>
      <c r="F4128" s="953"/>
      <c r="G4128" s="953"/>
      <c r="H4128" s="953"/>
    </row>
    <row r="4129" spans="1:8" x14ac:dyDescent="0.25">
      <c r="A4129" s="952"/>
      <c r="B4129" s="953"/>
      <c r="C4129" s="953"/>
      <c r="D4129" s="953"/>
      <c r="E4129" s="953"/>
      <c r="F4129" s="953"/>
      <c r="G4129" s="953"/>
      <c r="H4129" s="953"/>
    </row>
    <row r="4130" spans="1:8" x14ac:dyDescent="0.25">
      <c r="A4130" s="952"/>
      <c r="B4130" s="953"/>
      <c r="C4130" s="953"/>
      <c r="D4130" s="953"/>
      <c r="E4130" s="953"/>
      <c r="F4130" s="953"/>
      <c r="G4130" s="953"/>
      <c r="H4130" s="953"/>
    </row>
    <row r="4131" spans="1:8" x14ac:dyDescent="0.25">
      <c r="A4131" s="952"/>
      <c r="B4131" s="953"/>
      <c r="C4131" s="953"/>
      <c r="D4131" s="953"/>
      <c r="E4131" s="953"/>
      <c r="F4131" s="953"/>
      <c r="G4131" s="953"/>
      <c r="H4131" s="953"/>
    </row>
    <row r="4132" spans="1:8" x14ac:dyDescent="0.25">
      <c r="A4132" s="952"/>
      <c r="B4132" s="953"/>
      <c r="C4132" s="953"/>
      <c r="D4132" s="953"/>
      <c r="E4132" s="953"/>
      <c r="F4132" s="953"/>
      <c r="G4132" s="953"/>
      <c r="H4132" s="953"/>
    </row>
    <row r="4133" spans="1:8" x14ac:dyDescent="0.25">
      <c r="A4133" s="952"/>
      <c r="B4133" s="953"/>
      <c r="C4133" s="953"/>
      <c r="D4133" s="953"/>
      <c r="E4133" s="953"/>
      <c r="F4133" s="953"/>
      <c r="G4133" s="953"/>
      <c r="H4133" s="953"/>
    </row>
    <row r="4134" spans="1:8" x14ac:dyDescent="0.25">
      <c r="A4134" s="952"/>
      <c r="B4134" s="953"/>
      <c r="C4134" s="953"/>
      <c r="D4134" s="953"/>
      <c r="E4134" s="953"/>
      <c r="F4134" s="953"/>
      <c r="G4134" s="953"/>
      <c r="H4134" s="953"/>
    </row>
    <row r="4135" spans="1:8" x14ac:dyDescent="0.25">
      <c r="A4135" s="952"/>
      <c r="B4135" s="953"/>
      <c r="C4135" s="953"/>
      <c r="D4135" s="953"/>
      <c r="E4135" s="953"/>
      <c r="F4135" s="953"/>
      <c r="G4135" s="953"/>
      <c r="H4135" s="953"/>
    </row>
    <row r="4136" spans="1:8" x14ac:dyDescent="0.25">
      <c r="A4136" s="952"/>
      <c r="B4136" s="953"/>
      <c r="C4136" s="953"/>
      <c r="D4136" s="953"/>
      <c r="E4136" s="953"/>
      <c r="F4136" s="953"/>
      <c r="G4136" s="953"/>
      <c r="H4136" s="953"/>
    </row>
    <row r="4137" spans="1:8" x14ac:dyDescent="0.25">
      <c r="A4137" s="952"/>
      <c r="B4137" s="953"/>
      <c r="C4137" s="953"/>
      <c r="D4137" s="953"/>
      <c r="E4137" s="953"/>
      <c r="F4137" s="953"/>
      <c r="G4137" s="953"/>
      <c r="H4137" s="953"/>
    </row>
    <row r="4138" spans="1:8" x14ac:dyDescent="0.25">
      <c r="A4138" s="952"/>
      <c r="B4138" s="953"/>
      <c r="C4138" s="953"/>
      <c r="D4138" s="953"/>
      <c r="E4138" s="953"/>
      <c r="F4138" s="953"/>
      <c r="G4138" s="953"/>
      <c r="H4138" s="953"/>
    </row>
    <row r="4139" spans="1:8" x14ac:dyDescent="0.25">
      <c r="A4139" s="952"/>
      <c r="B4139" s="953"/>
      <c r="C4139" s="953"/>
      <c r="D4139" s="953"/>
      <c r="E4139" s="953"/>
      <c r="F4139" s="953"/>
      <c r="G4139" s="953"/>
      <c r="H4139" s="953"/>
    </row>
    <row r="4140" spans="1:8" x14ac:dyDescent="0.25">
      <c r="A4140" s="952"/>
      <c r="B4140" s="953"/>
      <c r="C4140" s="953"/>
      <c r="D4140" s="953"/>
      <c r="E4140" s="953"/>
      <c r="F4140" s="953"/>
      <c r="G4140" s="953"/>
      <c r="H4140" s="953"/>
    </row>
    <row r="4141" spans="1:8" x14ac:dyDescent="0.25">
      <c r="A4141" s="952"/>
      <c r="B4141" s="953"/>
      <c r="C4141" s="953"/>
      <c r="D4141" s="953"/>
      <c r="E4141" s="953"/>
      <c r="F4141" s="953"/>
      <c r="G4141" s="953"/>
      <c r="H4141" s="953"/>
    </row>
    <row r="4142" spans="1:8" x14ac:dyDescent="0.25">
      <c r="A4142" s="952"/>
      <c r="B4142" s="953"/>
      <c r="C4142" s="953"/>
      <c r="D4142" s="953"/>
      <c r="E4142" s="953"/>
      <c r="F4142" s="953"/>
      <c r="G4142" s="953"/>
      <c r="H4142" s="953"/>
    </row>
    <row r="4143" spans="1:8" x14ac:dyDescent="0.25">
      <c r="A4143" s="952"/>
      <c r="B4143" s="953"/>
      <c r="C4143" s="953"/>
      <c r="D4143" s="953"/>
      <c r="E4143" s="953"/>
      <c r="F4143" s="953"/>
      <c r="G4143" s="953"/>
      <c r="H4143" s="953"/>
    </row>
    <row r="4144" spans="1:8" x14ac:dyDescent="0.25">
      <c r="A4144" s="952"/>
      <c r="B4144" s="953"/>
      <c r="C4144" s="953"/>
      <c r="D4144" s="953"/>
      <c r="E4144" s="953"/>
      <c r="F4144" s="953"/>
      <c r="G4144" s="953"/>
      <c r="H4144" s="953"/>
    </row>
    <row r="4145" spans="1:8" x14ac:dyDescent="0.25">
      <c r="A4145" s="952"/>
      <c r="B4145" s="953"/>
      <c r="C4145" s="953"/>
      <c r="D4145" s="953"/>
      <c r="E4145" s="953"/>
      <c r="F4145" s="953"/>
      <c r="G4145" s="953"/>
      <c r="H4145" s="953"/>
    </row>
    <row r="4146" spans="1:8" x14ac:dyDescent="0.25">
      <c r="A4146" s="952"/>
      <c r="B4146" s="953"/>
      <c r="C4146" s="953"/>
      <c r="D4146" s="953"/>
      <c r="E4146" s="953"/>
      <c r="F4146" s="953"/>
      <c r="G4146" s="953"/>
      <c r="H4146" s="953"/>
    </row>
    <row r="4147" spans="1:8" x14ac:dyDescent="0.25">
      <c r="A4147" s="952"/>
      <c r="B4147" s="953"/>
      <c r="C4147" s="953"/>
      <c r="D4147" s="953"/>
      <c r="E4147" s="953"/>
      <c r="F4147" s="953"/>
      <c r="G4147" s="953"/>
      <c r="H4147" s="953"/>
    </row>
    <row r="4148" spans="1:8" x14ac:dyDescent="0.25">
      <c r="A4148" s="952"/>
      <c r="B4148" s="953"/>
      <c r="C4148" s="953"/>
      <c r="D4148" s="953"/>
      <c r="E4148" s="953"/>
      <c r="F4148" s="953"/>
      <c r="G4148" s="953"/>
      <c r="H4148" s="953"/>
    </row>
    <row r="4149" spans="1:8" x14ac:dyDescent="0.25">
      <c r="A4149" s="952"/>
      <c r="B4149" s="953"/>
      <c r="C4149" s="953"/>
      <c r="D4149" s="953"/>
      <c r="E4149" s="953"/>
      <c r="F4149" s="953"/>
      <c r="G4149" s="953"/>
      <c r="H4149" s="953"/>
    </row>
    <row r="4150" spans="1:8" x14ac:dyDescent="0.25">
      <c r="A4150" s="952"/>
      <c r="B4150" s="953"/>
      <c r="C4150" s="953"/>
      <c r="D4150" s="953"/>
      <c r="E4150" s="953"/>
      <c r="F4150" s="953"/>
      <c r="G4150" s="953"/>
      <c r="H4150" s="953"/>
    </row>
    <row r="4151" spans="1:8" x14ac:dyDescent="0.25">
      <c r="A4151" s="952"/>
      <c r="B4151" s="953"/>
      <c r="C4151" s="953"/>
      <c r="D4151" s="953"/>
      <c r="E4151" s="953"/>
      <c r="F4151" s="953"/>
      <c r="G4151" s="953"/>
      <c r="H4151" s="953"/>
    </row>
    <row r="4152" spans="1:8" x14ac:dyDescent="0.25">
      <c r="A4152" s="952"/>
      <c r="B4152" s="953"/>
      <c r="C4152" s="953"/>
      <c r="D4152" s="953"/>
      <c r="E4152" s="953"/>
      <c r="F4152" s="953"/>
      <c r="G4152" s="953"/>
      <c r="H4152" s="953"/>
    </row>
    <row r="4153" spans="1:8" x14ac:dyDescent="0.25">
      <c r="A4153" s="952"/>
      <c r="B4153" s="953"/>
      <c r="C4153" s="953"/>
      <c r="D4153" s="953"/>
      <c r="E4153" s="953"/>
      <c r="F4153" s="953"/>
      <c r="G4153" s="953"/>
      <c r="H4153" s="953"/>
    </row>
    <row r="4154" spans="1:8" x14ac:dyDescent="0.25">
      <c r="A4154" s="952"/>
      <c r="B4154" s="953"/>
      <c r="C4154" s="953"/>
      <c r="D4154" s="953"/>
      <c r="E4154" s="953"/>
      <c r="F4154" s="953"/>
      <c r="G4154" s="953"/>
      <c r="H4154" s="953"/>
    </row>
    <row r="4155" spans="1:8" x14ac:dyDescent="0.25">
      <c r="A4155" s="952"/>
      <c r="B4155" s="953"/>
      <c r="C4155" s="953"/>
      <c r="D4155" s="953"/>
      <c r="E4155" s="953"/>
      <c r="F4155" s="953"/>
      <c r="G4155" s="953"/>
      <c r="H4155" s="953"/>
    </row>
    <row r="4156" spans="1:8" x14ac:dyDescent="0.25">
      <c r="A4156" s="952"/>
      <c r="B4156" s="953"/>
      <c r="C4156" s="953"/>
      <c r="D4156" s="953"/>
      <c r="E4156" s="953"/>
      <c r="F4156" s="953"/>
      <c r="G4156" s="953"/>
      <c r="H4156" s="953"/>
    </row>
    <row r="4157" spans="1:8" x14ac:dyDescent="0.25">
      <c r="A4157" s="952"/>
      <c r="B4157" s="953"/>
      <c r="C4157" s="953"/>
      <c r="D4157" s="953"/>
      <c r="E4157" s="953"/>
      <c r="F4157" s="953"/>
      <c r="G4157" s="953"/>
      <c r="H4157" s="953"/>
    </row>
    <row r="4158" spans="1:8" x14ac:dyDescent="0.25">
      <c r="A4158" s="952"/>
      <c r="B4158" s="953"/>
      <c r="C4158" s="953"/>
      <c r="D4158" s="953"/>
      <c r="E4158" s="953"/>
      <c r="F4158" s="953"/>
      <c r="G4158" s="953"/>
      <c r="H4158" s="953"/>
    </row>
    <row r="4159" spans="1:8" x14ac:dyDescent="0.25">
      <c r="A4159" s="952"/>
      <c r="B4159" s="953"/>
      <c r="C4159" s="953"/>
      <c r="D4159" s="953"/>
      <c r="E4159" s="953"/>
      <c r="F4159" s="953"/>
      <c r="G4159" s="953"/>
      <c r="H4159" s="953"/>
    </row>
    <row r="4160" spans="1:8" x14ac:dyDescent="0.25">
      <c r="A4160" s="952"/>
      <c r="B4160" s="953"/>
      <c r="C4160" s="953"/>
      <c r="D4160" s="953"/>
      <c r="E4160" s="953"/>
      <c r="F4160" s="953"/>
      <c r="G4160" s="953"/>
      <c r="H4160" s="953"/>
    </row>
    <row r="4161" spans="1:8" x14ac:dyDescent="0.25">
      <c r="A4161" s="952"/>
      <c r="B4161" s="953"/>
      <c r="C4161" s="953"/>
      <c r="D4161" s="953"/>
      <c r="E4161" s="953"/>
      <c r="F4161" s="953"/>
      <c r="G4161" s="953"/>
      <c r="H4161" s="953"/>
    </row>
    <row r="4162" spans="1:8" x14ac:dyDescent="0.25">
      <c r="A4162" s="952"/>
      <c r="B4162" s="953"/>
      <c r="C4162" s="953"/>
      <c r="D4162" s="953"/>
      <c r="E4162" s="953"/>
      <c r="F4162" s="953"/>
      <c r="G4162" s="953"/>
      <c r="H4162" s="953"/>
    </row>
    <row r="4163" spans="1:8" x14ac:dyDescent="0.25">
      <c r="A4163" s="952"/>
      <c r="B4163" s="953"/>
      <c r="C4163" s="953"/>
      <c r="D4163" s="953"/>
      <c r="E4163" s="953"/>
      <c r="F4163" s="953"/>
      <c r="G4163" s="953"/>
      <c r="H4163" s="953"/>
    </row>
    <row r="4164" spans="1:8" x14ac:dyDescent="0.25">
      <c r="A4164" s="952"/>
      <c r="B4164" s="953"/>
      <c r="C4164" s="953"/>
      <c r="D4164" s="953"/>
      <c r="E4164" s="953"/>
      <c r="F4164" s="953"/>
      <c r="G4164" s="953"/>
      <c r="H4164" s="953"/>
    </row>
    <row r="4165" spans="1:8" x14ac:dyDescent="0.25">
      <c r="A4165" s="952"/>
      <c r="B4165" s="953"/>
      <c r="C4165" s="953"/>
      <c r="D4165" s="953"/>
      <c r="E4165" s="953"/>
      <c r="F4165" s="953"/>
      <c r="G4165" s="953"/>
      <c r="H4165" s="953"/>
    </row>
    <row r="4166" spans="1:8" x14ac:dyDescent="0.25">
      <c r="A4166" s="952"/>
      <c r="B4166" s="953"/>
      <c r="C4166" s="953"/>
      <c r="D4166" s="953"/>
      <c r="E4166" s="953"/>
      <c r="F4166" s="953"/>
      <c r="G4166" s="953"/>
      <c r="H4166" s="953"/>
    </row>
    <row r="4167" spans="1:8" x14ac:dyDescent="0.25">
      <c r="A4167" s="952"/>
      <c r="B4167" s="953"/>
      <c r="C4167" s="953"/>
      <c r="D4167" s="953"/>
      <c r="E4167" s="953"/>
      <c r="F4167" s="953"/>
      <c r="G4167" s="953"/>
      <c r="H4167" s="953"/>
    </row>
    <row r="4168" spans="1:8" x14ac:dyDescent="0.25">
      <c r="A4168" s="952"/>
      <c r="B4168" s="953"/>
      <c r="C4168" s="953"/>
      <c r="D4168" s="953"/>
      <c r="E4168" s="953"/>
      <c r="F4168" s="953"/>
      <c r="G4168" s="953"/>
      <c r="H4168" s="953"/>
    </row>
    <row r="4169" spans="1:8" x14ac:dyDescent="0.25">
      <c r="A4169" s="952"/>
      <c r="B4169" s="953"/>
      <c r="C4169" s="953"/>
      <c r="D4169" s="953"/>
      <c r="E4169" s="953"/>
      <c r="F4169" s="953"/>
      <c r="G4169" s="953"/>
      <c r="H4169" s="953"/>
    </row>
    <row r="4170" spans="1:8" x14ac:dyDescent="0.25">
      <c r="A4170" s="952"/>
      <c r="B4170" s="953"/>
      <c r="C4170" s="953"/>
      <c r="D4170" s="953"/>
      <c r="E4170" s="953"/>
      <c r="F4170" s="953"/>
      <c r="G4170" s="953"/>
      <c r="H4170" s="953"/>
    </row>
    <row r="4171" spans="1:8" x14ac:dyDescent="0.25">
      <c r="A4171" s="952"/>
      <c r="B4171" s="953"/>
      <c r="C4171" s="953"/>
      <c r="D4171" s="953"/>
      <c r="E4171" s="953"/>
      <c r="F4171" s="953"/>
      <c r="G4171" s="953"/>
      <c r="H4171" s="953"/>
    </row>
    <row r="4172" spans="1:8" x14ac:dyDescent="0.25">
      <c r="A4172" s="952"/>
      <c r="B4172" s="953"/>
      <c r="C4172" s="953"/>
      <c r="D4172" s="953"/>
      <c r="E4172" s="953"/>
      <c r="F4172" s="953"/>
      <c r="G4172" s="953"/>
      <c r="H4172" s="953"/>
    </row>
    <row r="4173" spans="1:8" x14ac:dyDescent="0.25">
      <c r="A4173" s="952"/>
      <c r="B4173" s="953"/>
      <c r="C4173" s="953"/>
      <c r="D4173" s="953"/>
      <c r="E4173" s="953"/>
      <c r="F4173" s="953"/>
      <c r="G4173" s="953"/>
      <c r="H4173" s="953"/>
    </row>
    <row r="4174" spans="1:8" x14ac:dyDescent="0.25">
      <c r="A4174" s="952"/>
      <c r="B4174" s="953"/>
      <c r="C4174" s="953"/>
      <c r="D4174" s="953"/>
      <c r="E4174" s="953"/>
      <c r="F4174" s="953"/>
      <c r="G4174" s="953"/>
      <c r="H4174" s="953"/>
    </row>
    <row r="4175" spans="1:8" x14ac:dyDescent="0.25">
      <c r="A4175" s="952"/>
      <c r="B4175" s="953"/>
      <c r="C4175" s="953"/>
      <c r="D4175" s="953"/>
      <c r="E4175" s="953"/>
      <c r="F4175" s="953"/>
      <c r="G4175" s="953"/>
      <c r="H4175" s="953"/>
    </row>
    <row r="4176" spans="1:8" x14ac:dyDescent="0.25">
      <c r="A4176" s="952"/>
      <c r="B4176" s="953"/>
      <c r="C4176" s="953"/>
      <c r="D4176" s="953"/>
      <c r="E4176" s="953"/>
      <c r="F4176" s="953"/>
      <c r="G4176" s="953"/>
      <c r="H4176" s="953"/>
    </row>
    <row r="4177" spans="1:8" x14ac:dyDescent="0.25">
      <c r="A4177" s="952"/>
      <c r="B4177" s="953"/>
      <c r="C4177" s="953"/>
      <c r="D4177" s="953"/>
      <c r="E4177" s="953"/>
      <c r="F4177" s="953"/>
      <c r="G4177" s="953"/>
      <c r="H4177" s="953"/>
    </row>
    <row r="4178" spans="1:8" x14ac:dyDescent="0.25">
      <c r="A4178" s="952"/>
      <c r="B4178" s="953"/>
      <c r="C4178" s="953"/>
      <c r="D4178" s="953"/>
      <c r="E4178" s="953"/>
      <c r="F4178" s="953"/>
      <c r="G4178" s="953"/>
      <c r="H4178" s="953"/>
    </row>
    <row r="4179" spans="1:8" x14ac:dyDescent="0.25">
      <c r="A4179" s="952"/>
      <c r="B4179" s="953"/>
      <c r="C4179" s="953"/>
      <c r="D4179" s="953"/>
      <c r="E4179" s="953"/>
      <c r="F4179" s="953"/>
      <c r="G4179" s="953"/>
      <c r="H4179" s="953"/>
    </row>
    <row r="4180" spans="1:8" x14ac:dyDescent="0.25">
      <c r="A4180" s="952"/>
      <c r="B4180" s="953"/>
      <c r="C4180" s="953"/>
      <c r="D4180" s="953"/>
      <c r="E4180" s="953"/>
      <c r="F4180" s="953"/>
      <c r="G4180" s="953"/>
      <c r="H4180" s="953"/>
    </row>
    <row r="4181" spans="1:8" x14ac:dyDescent="0.25">
      <c r="A4181" s="952"/>
      <c r="B4181" s="953"/>
      <c r="C4181" s="953"/>
      <c r="D4181" s="953"/>
      <c r="E4181" s="953"/>
      <c r="F4181" s="953"/>
      <c r="G4181" s="953"/>
      <c r="H4181" s="953"/>
    </row>
    <row r="4182" spans="1:8" x14ac:dyDescent="0.25">
      <c r="A4182" s="952"/>
      <c r="B4182" s="953"/>
      <c r="C4182" s="953"/>
      <c r="D4182" s="953"/>
      <c r="E4182" s="953"/>
      <c r="F4182" s="953"/>
      <c r="G4182" s="953"/>
      <c r="H4182" s="953"/>
    </row>
    <row r="4183" spans="1:8" x14ac:dyDescent="0.25">
      <c r="A4183" s="952"/>
      <c r="B4183" s="953"/>
      <c r="C4183" s="953"/>
      <c r="D4183" s="953"/>
      <c r="E4183" s="953"/>
      <c r="F4183" s="953"/>
      <c r="G4183" s="953"/>
      <c r="H4183" s="953"/>
    </row>
    <row r="4184" spans="1:8" x14ac:dyDescent="0.25">
      <c r="A4184" s="952"/>
      <c r="B4184" s="953"/>
      <c r="C4184" s="953"/>
      <c r="D4184" s="953"/>
      <c r="E4184" s="953"/>
      <c r="F4184" s="953"/>
      <c r="G4184" s="953"/>
      <c r="H4184" s="953"/>
    </row>
    <row r="4185" spans="1:8" x14ac:dyDescent="0.25">
      <c r="A4185" s="952"/>
      <c r="B4185" s="953"/>
      <c r="C4185" s="953"/>
      <c r="D4185" s="953"/>
      <c r="E4185" s="953"/>
      <c r="F4185" s="953"/>
      <c r="G4185" s="953"/>
      <c r="H4185" s="953"/>
    </row>
    <row r="4186" spans="1:8" x14ac:dyDescent="0.25">
      <c r="A4186" s="952"/>
      <c r="B4186" s="953"/>
      <c r="C4186" s="953"/>
      <c r="D4186" s="953"/>
      <c r="E4186" s="953"/>
      <c r="F4186" s="953"/>
      <c r="G4186" s="953"/>
      <c r="H4186" s="953"/>
    </row>
    <row r="4187" spans="1:8" x14ac:dyDescent="0.25">
      <c r="A4187" s="952"/>
      <c r="B4187" s="953"/>
      <c r="C4187" s="953"/>
      <c r="D4187" s="953"/>
      <c r="E4187" s="953"/>
      <c r="F4187" s="953"/>
      <c r="G4187" s="953"/>
      <c r="H4187" s="953"/>
    </row>
    <row r="4188" spans="1:8" x14ac:dyDescent="0.25">
      <c r="A4188" s="952"/>
      <c r="B4188" s="953"/>
      <c r="C4188" s="953"/>
      <c r="D4188" s="953"/>
      <c r="E4188" s="953"/>
      <c r="F4188" s="953"/>
      <c r="G4188" s="953"/>
      <c r="H4188" s="953"/>
    </row>
    <row r="4189" spans="1:8" x14ac:dyDescent="0.25">
      <c r="A4189" s="952"/>
      <c r="B4189" s="953"/>
      <c r="C4189" s="953"/>
      <c r="D4189" s="953"/>
      <c r="E4189" s="953"/>
      <c r="F4189" s="953"/>
      <c r="G4189" s="953"/>
      <c r="H4189" s="953"/>
    </row>
    <row r="4190" spans="1:8" x14ac:dyDescent="0.25">
      <c r="A4190" s="952"/>
      <c r="B4190" s="953"/>
      <c r="C4190" s="953"/>
      <c r="D4190" s="953"/>
      <c r="E4190" s="953"/>
      <c r="F4190" s="953"/>
      <c r="G4190" s="953"/>
      <c r="H4190" s="953"/>
    </row>
    <row r="4191" spans="1:8" x14ac:dyDescent="0.25">
      <c r="A4191" s="952"/>
      <c r="B4191" s="953"/>
      <c r="C4191" s="953"/>
      <c r="D4191" s="953"/>
      <c r="E4191" s="953"/>
      <c r="F4191" s="953"/>
      <c r="G4191" s="953"/>
      <c r="H4191" s="953"/>
    </row>
    <row r="4192" spans="1:8" x14ac:dyDescent="0.25">
      <c r="A4192" s="952"/>
      <c r="B4192" s="953"/>
      <c r="C4192" s="953"/>
      <c r="D4192" s="953"/>
      <c r="E4192" s="953"/>
      <c r="F4192" s="953"/>
      <c r="G4192" s="953"/>
      <c r="H4192" s="953"/>
    </row>
    <row r="4193" spans="1:8" x14ac:dyDescent="0.25">
      <c r="A4193" s="952"/>
      <c r="B4193" s="953"/>
      <c r="C4193" s="953"/>
      <c r="D4193" s="953"/>
      <c r="E4193" s="953"/>
      <c r="F4193" s="953"/>
      <c r="G4193" s="953"/>
      <c r="H4193" s="953"/>
    </row>
    <row r="4194" spans="1:8" x14ac:dyDescent="0.25">
      <c r="A4194" s="952"/>
      <c r="B4194" s="953"/>
      <c r="C4194" s="953"/>
      <c r="D4194" s="953"/>
      <c r="E4194" s="953"/>
      <c r="F4194" s="953"/>
      <c r="G4194" s="953"/>
      <c r="H4194" s="953"/>
    </row>
    <row r="4195" spans="1:8" x14ac:dyDescent="0.25">
      <c r="A4195" s="952"/>
      <c r="B4195" s="953"/>
      <c r="C4195" s="953"/>
      <c r="D4195" s="953"/>
      <c r="E4195" s="953"/>
      <c r="F4195" s="953"/>
      <c r="G4195" s="953"/>
      <c r="H4195" s="953"/>
    </row>
    <row r="4196" spans="1:8" x14ac:dyDescent="0.25">
      <c r="A4196" s="952"/>
      <c r="B4196" s="953"/>
      <c r="C4196" s="953"/>
      <c r="D4196" s="953"/>
      <c r="E4196" s="953"/>
      <c r="F4196" s="953"/>
      <c r="G4196" s="953"/>
      <c r="H4196" s="953"/>
    </row>
    <row r="4197" spans="1:8" x14ac:dyDescent="0.25">
      <c r="A4197" s="952"/>
      <c r="B4197" s="953"/>
      <c r="C4197" s="953"/>
      <c r="D4197" s="953"/>
      <c r="E4197" s="953"/>
      <c r="F4197" s="953"/>
      <c r="G4197" s="953"/>
      <c r="H4197" s="953"/>
    </row>
    <row r="4198" spans="1:8" x14ac:dyDescent="0.25">
      <c r="A4198" s="952"/>
      <c r="B4198" s="953"/>
      <c r="C4198" s="953"/>
      <c r="D4198" s="953"/>
      <c r="E4198" s="953"/>
      <c r="F4198" s="953"/>
      <c r="G4198" s="953"/>
      <c r="H4198" s="953"/>
    </row>
    <row r="4199" spans="1:8" x14ac:dyDescent="0.25">
      <c r="A4199" s="952"/>
      <c r="B4199" s="953"/>
      <c r="C4199" s="953"/>
      <c r="D4199" s="953"/>
      <c r="E4199" s="953"/>
      <c r="F4199" s="953"/>
      <c r="G4199" s="953"/>
      <c r="H4199" s="953"/>
    </row>
    <row r="4200" spans="1:8" x14ac:dyDescent="0.25">
      <c r="A4200" s="952"/>
      <c r="B4200" s="953"/>
      <c r="C4200" s="953"/>
      <c r="D4200" s="953"/>
      <c r="E4200" s="953"/>
      <c r="F4200" s="953"/>
      <c r="G4200" s="953"/>
      <c r="H4200" s="953"/>
    </row>
    <row r="4201" spans="1:8" x14ac:dyDescent="0.25">
      <c r="A4201" s="952"/>
      <c r="B4201" s="953"/>
      <c r="C4201" s="953"/>
      <c r="D4201" s="953"/>
      <c r="E4201" s="953"/>
      <c r="F4201" s="953"/>
      <c r="G4201" s="953"/>
      <c r="H4201" s="953"/>
    </row>
    <row r="4202" spans="1:8" x14ac:dyDescent="0.25">
      <c r="A4202" s="952"/>
      <c r="B4202" s="953"/>
      <c r="C4202" s="953"/>
      <c r="D4202" s="953"/>
      <c r="E4202" s="953"/>
      <c r="F4202" s="953"/>
      <c r="G4202" s="953"/>
      <c r="H4202" s="953"/>
    </row>
    <row r="4203" spans="1:8" x14ac:dyDescent="0.25">
      <c r="A4203" s="952"/>
      <c r="B4203" s="953"/>
      <c r="C4203" s="953"/>
      <c r="D4203" s="953"/>
      <c r="E4203" s="953"/>
      <c r="F4203" s="953"/>
      <c r="G4203" s="953"/>
      <c r="H4203" s="953"/>
    </row>
    <row r="4204" spans="1:8" x14ac:dyDescent="0.25">
      <c r="A4204" s="952"/>
      <c r="B4204" s="953"/>
      <c r="C4204" s="953"/>
      <c r="D4204" s="953"/>
      <c r="E4204" s="953"/>
      <c r="F4204" s="953"/>
      <c r="G4204" s="953"/>
      <c r="H4204" s="953"/>
    </row>
    <row r="4205" spans="1:8" x14ac:dyDescent="0.25">
      <c r="A4205" s="952"/>
      <c r="B4205" s="953"/>
      <c r="C4205" s="953"/>
      <c r="D4205" s="953"/>
      <c r="E4205" s="953"/>
      <c r="F4205" s="953"/>
      <c r="G4205" s="953"/>
      <c r="H4205" s="953"/>
    </row>
    <row r="4206" spans="1:8" x14ac:dyDescent="0.25">
      <c r="A4206" s="952"/>
      <c r="B4206" s="953"/>
      <c r="C4206" s="953"/>
      <c r="D4206" s="953"/>
      <c r="E4206" s="953"/>
      <c r="F4206" s="953"/>
      <c r="G4206" s="953"/>
      <c r="H4206" s="953"/>
    </row>
    <row r="4207" spans="1:8" x14ac:dyDescent="0.25">
      <c r="A4207" s="952"/>
      <c r="B4207" s="953"/>
      <c r="C4207" s="953"/>
      <c r="D4207" s="953"/>
      <c r="E4207" s="953"/>
      <c r="F4207" s="953"/>
      <c r="G4207" s="953"/>
      <c r="H4207" s="953"/>
    </row>
    <row r="4208" spans="1:8" x14ac:dyDescent="0.25">
      <c r="A4208" s="952"/>
      <c r="B4208" s="953"/>
      <c r="C4208" s="953"/>
      <c r="D4208" s="953"/>
      <c r="E4208" s="953"/>
      <c r="F4208" s="953"/>
      <c r="G4208" s="953"/>
      <c r="H4208" s="953"/>
    </row>
    <row r="4209" spans="1:8" x14ac:dyDescent="0.25">
      <c r="A4209" s="952"/>
      <c r="B4209" s="953"/>
      <c r="C4209" s="953"/>
      <c r="D4209" s="953"/>
      <c r="E4209" s="953"/>
      <c r="F4209" s="953"/>
      <c r="G4209" s="953"/>
      <c r="H4209" s="953"/>
    </row>
    <row r="4210" spans="1:8" x14ac:dyDescent="0.25">
      <c r="A4210" s="952"/>
      <c r="B4210" s="953"/>
      <c r="C4210" s="953"/>
      <c r="D4210" s="953"/>
      <c r="E4210" s="953"/>
      <c r="F4210" s="953"/>
      <c r="G4210" s="953"/>
      <c r="H4210" s="953"/>
    </row>
    <row r="4211" spans="1:8" x14ac:dyDescent="0.25">
      <c r="A4211" s="952"/>
      <c r="B4211" s="953"/>
      <c r="C4211" s="953"/>
      <c r="D4211" s="953"/>
      <c r="E4211" s="953"/>
      <c r="F4211" s="953"/>
      <c r="G4211" s="953"/>
      <c r="H4211" s="953"/>
    </row>
    <row r="4212" spans="1:8" x14ac:dyDescent="0.25">
      <c r="A4212" s="952"/>
      <c r="B4212" s="953"/>
      <c r="C4212" s="953"/>
      <c r="D4212" s="953"/>
      <c r="E4212" s="953"/>
      <c r="F4212" s="953"/>
      <c r="G4212" s="953"/>
      <c r="H4212" s="953"/>
    </row>
    <row r="4213" spans="1:8" x14ac:dyDescent="0.25">
      <c r="A4213" s="952"/>
      <c r="B4213" s="953"/>
      <c r="C4213" s="953"/>
      <c r="D4213" s="953"/>
      <c r="E4213" s="953"/>
      <c r="F4213" s="953"/>
      <c r="G4213" s="953"/>
      <c r="H4213" s="953"/>
    </row>
    <row r="4214" spans="1:8" x14ac:dyDescent="0.25">
      <c r="A4214" s="952"/>
      <c r="B4214" s="953"/>
      <c r="C4214" s="953"/>
      <c r="D4214" s="953"/>
      <c r="E4214" s="953"/>
      <c r="F4214" s="953"/>
      <c r="G4214" s="953"/>
      <c r="H4214" s="953"/>
    </row>
    <row r="4215" spans="1:8" x14ac:dyDescent="0.25">
      <c r="A4215" s="952"/>
      <c r="B4215" s="953"/>
      <c r="C4215" s="953"/>
      <c r="D4215" s="953"/>
      <c r="E4215" s="953"/>
      <c r="F4215" s="953"/>
      <c r="G4215" s="953"/>
      <c r="H4215" s="953"/>
    </row>
    <row r="4216" spans="1:8" x14ac:dyDescent="0.25">
      <c r="A4216" s="952"/>
      <c r="B4216" s="953"/>
      <c r="C4216" s="953"/>
      <c r="D4216" s="953"/>
      <c r="E4216" s="953"/>
      <c r="F4216" s="953"/>
      <c r="G4216" s="953"/>
      <c r="H4216" s="953"/>
    </row>
    <row r="4217" spans="1:8" x14ac:dyDescent="0.25">
      <c r="A4217" s="952"/>
      <c r="B4217" s="953"/>
      <c r="C4217" s="953"/>
      <c r="D4217" s="953"/>
      <c r="E4217" s="953"/>
      <c r="F4217" s="953"/>
      <c r="G4217" s="953"/>
      <c r="H4217" s="953"/>
    </row>
    <row r="4218" spans="1:8" x14ac:dyDescent="0.25">
      <c r="A4218" s="952"/>
      <c r="B4218" s="953"/>
      <c r="C4218" s="953"/>
      <c r="D4218" s="953"/>
      <c r="E4218" s="953"/>
      <c r="F4218" s="953"/>
      <c r="G4218" s="953"/>
      <c r="H4218" s="953"/>
    </row>
    <row r="4219" spans="1:8" x14ac:dyDescent="0.25">
      <c r="A4219" s="952"/>
      <c r="B4219" s="953"/>
      <c r="C4219" s="953"/>
      <c r="D4219" s="953"/>
      <c r="E4219" s="953"/>
      <c r="F4219" s="953"/>
      <c r="G4219" s="953"/>
      <c r="H4219" s="953"/>
    </row>
    <row r="4220" spans="1:8" x14ac:dyDescent="0.25">
      <c r="A4220" s="952"/>
      <c r="B4220" s="953"/>
      <c r="C4220" s="953"/>
      <c r="D4220" s="953"/>
      <c r="E4220" s="953"/>
      <c r="F4220" s="953"/>
      <c r="G4220" s="953"/>
      <c r="H4220" s="953"/>
    </row>
    <row r="4221" spans="1:8" x14ac:dyDescent="0.25">
      <c r="A4221" s="952"/>
      <c r="B4221" s="953"/>
      <c r="C4221" s="953"/>
      <c r="D4221" s="953"/>
      <c r="E4221" s="953"/>
      <c r="F4221" s="953"/>
      <c r="G4221" s="953"/>
      <c r="H4221" s="953"/>
    </row>
    <row r="4222" spans="1:8" x14ac:dyDescent="0.25">
      <c r="A4222" s="952"/>
      <c r="B4222" s="953"/>
      <c r="C4222" s="953"/>
      <c r="D4222" s="953"/>
      <c r="E4222" s="953"/>
      <c r="F4222" s="953"/>
      <c r="G4222" s="953"/>
      <c r="H4222" s="953"/>
    </row>
    <row r="4223" spans="1:8" x14ac:dyDescent="0.25">
      <c r="A4223" s="952"/>
      <c r="B4223" s="953"/>
      <c r="C4223" s="953"/>
      <c r="D4223" s="953"/>
      <c r="E4223" s="953"/>
      <c r="F4223" s="953"/>
      <c r="G4223" s="953"/>
      <c r="H4223" s="953"/>
    </row>
    <row r="4224" spans="1:8" x14ac:dyDescent="0.25">
      <c r="A4224" s="952"/>
      <c r="B4224" s="953"/>
      <c r="C4224" s="953"/>
      <c r="D4224" s="953"/>
      <c r="E4224" s="953"/>
      <c r="F4224" s="953"/>
      <c r="G4224" s="953"/>
      <c r="H4224" s="953"/>
    </row>
    <row r="4225" spans="1:8" x14ac:dyDescent="0.25">
      <c r="A4225" s="952"/>
      <c r="B4225" s="953"/>
      <c r="C4225" s="953"/>
      <c r="D4225" s="953"/>
      <c r="E4225" s="953"/>
      <c r="F4225" s="953"/>
      <c r="G4225" s="953"/>
      <c r="H4225" s="953"/>
    </row>
    <row r="4226" spans="1:8" x14ac:dyDescent="0.25">
      <c r="A4226" s="952"/>
      <c r="B4226" s="953"/>
      <c r="C4226" s="953"/>
      <c r="D4226" s="953"/>
      <c r="E4226" s="953"/>
      <c r="F4226" s="953"/>
      <c r="G4226" s="953"/>
      <c r="H4226" s="953"/>
    </row>
    <row r="4227" spans="1:8" x14ac:dyDescent="0.25">
      <c r="A4227" s="952"/>
      <c r="B4227" s="953"/>
      <c r="C4227" s="953"/>
      <c r="D4227" s="953"/>
      <c r="E4227" s="953"/>
      <c r="F4227" s="953"/>
      <c r="G4227" s="953"/>
      <c r="H4227" s="953"/>
    </row>
    <row r="4228" spans="1:8" x14ac:dyDescent="0.25">
      <c r="A4228" s="952"/>
      <c r="B4228" s="953"/>
      <c r="C4228" s="953"/>
      <c r="D4228" s="953"/>
      <c r="E4228" s="953"/>
      <c r="F4228" s="953"/>
      <c r="G4228" s="953"/>
      <c r="H4228" s="953"/>
    </row>
    <row r="4229" spans="1:8" x14ac:dyDescent="0.25">
      <c r="A4229" s="952"/>
      <c r="B4229" s="953"/>
      <c r="C4229" s="953"/>
      <c r="D4229" s="953"/>
      <c r="E4229" s="953"/>
      <c r="F4229" s="953"/>
      <c r="G4229" s="953"/>
      <c r="H4229" s="953"/>
    </row>
    <row r="4230" spans="1:8" x14ac:dyDescent="0.25">
      <c r="A4230" s="952"/>
      <c r="B4230" s="953"/>
      <c r="C4230" s="953"/>
      <c r="D4230" s="953"/>
      <c r="E4230" s="953"/>
      <c r="F4230" s="953"/>
      <c r="G4230" s="953"/>
      <c r="H4230" s="953"/>
    </row>
    <row r="4231" spans="1:8" x14ac:dyDescent="0.25">
      <c r="A4231" s="952"/>
      <c r="B4231" s="953"/>
      <c r="C4231" s="953"/>
      <c r="D4231" s="953"/>
      <c r="E4231" s="953"/>
      <c r="F4231" s="953"/>
      <c r="G4231" s="953"/>
      <c r="H4231" s="953"/>
    </row>
    <row r="4232" spans="1:8" x14ac:dyDescent="0.25">
      <c r="A4232" s="952"/>
      <c r="B4232" s="953"/>
      <c r="C4232" s="953"/>
      <c r="D4232" s="953"/>
      <c r="E4232" s="953"/>
      <c r="F4232" s="953"/>
      <c r="G4232" s="953"/>
      <c r="H4232" s="953"/>
    </row>
    <row r="4233" spans="1:8" x14ac:dyDescent="0.25">
      <c r="A4233" s="952"/>
      <c r="B4233" s="953"/>
      <c r="C4233" s="953"/>
      <c r="D4233" s="953"/>
      <c r="E4233" s="953"/>
      <c r="F4233" s="953"/>
      <c r="G4233" s="953"/>
      <c r="H4233" s="953"/>
    </row>
    <row r="4234" spans="1:8" x14ac:dyDescent="0.25">
      <c r="A4234" s="952"/>
      <c r="B4234" s="953"/>
      <c r="C4234" s="953"/>
      <c r="D4234" s="953"/>
      <c r="E4234" s="953"/>
      <c r="F4234" s="953"/>
      <c r="G4234" s="953"/>
      <c r="H4234" s="953"/>
    </row>
    <row r="4235" spans="1:8" x14ac:dyDescent="0.25">
      <c r="A4235" s="952"/>
      <c r="B4235" s="953"/>
      <c r="C4235" s="953"/>
      <c r="D4235" s="953"/>
      <c r="E4235" s="953"/>
      <c r="F4235" s="953"/>
      <c r="G4235" s="953"/>
      <c r="H4235" s="953"/>
    </row>
    <row r="4236" spans="1:8" x14ac:dyDescent="0.25">
      <c r="A4236" s="952"/>
      <c r="B4236" s="953"/>
      <c r="C4236" s="953"/>
      <c r="D4236" s="953"/>
      <c r="E4236" s="953"/>
      <c r="F4236" s="953"/>
      <c r="G4236" s="953"/>
      <c r="H4236" s="953"/>
    </row>
    <row r="4237" spans="1:8" x14ac:dyDescent="0.25">
      <c r="A4237" s="952"/>
      <c r="B4237" s="953"/>
      <c r="C4237" s="953"/>
      <c r="D4237" s="953"/>
      <c r="E4237" s="953"/>
      <c r="F4237" s="953"/>
      <c r="G4237" s="953"/>
      <c r="H4237" s="953"/>
    </row>
    <row r="4238" spans="1:8" x14ac:dyDescent="0.25">
      <c r="A4238" s="952"/>
      <c r="B4238" s="953"/>
      <c r="C4238" s="953"/>
      <c r="D4238" s="953"/>
      <c r="E4238" s="953"/>
      <c r="F4238" s="953"/>
      <c r="G4238" s="953"/>
      <c r="H4238" s="953"/>
    </row>
    <row r="4239" spans="1:8" x14ac:dyDescent="0.25">
      <c r="A4239" s="952"/>
      <c r="B4239" s="953"/>
      <c r="C4239" s="953"/>
      <c r="D4239" s="953"/>
      <c r="E4239" s="953"/>
      <c r="F4239" s="953"/>
      <c r="G4239" s="953"/>
      <c r="H4239" s="953"/>
    </row>
    <row r="4240" spans="1:8" x14ac:dyDescent="0.25">
      <c r="A4240" s="952"/>
      <c r="B4240" s="953"/>
      <c r="C4240" s="953"/>
      <c r="D4240" s="953"/>
      <c r="E4240" s="953"/>
      <c r="F4240" s="953"/>
      <c r="G4240" s="953"/>
      <c r="H4240" s="953"/>
    </row>
    <row r="4241" spans="1:8" x14ac:dyDescent="0.25">
      <c r="A4241" s="952"/>
      <c r="B4241" s="953"/>
      <c r="C4241" s="953"/>
      <c r="D4241" s="953"/>
      <c r="E4241" s="953"/>
      <c r="F4241" s="953"/>
      <c r="G4241" s="953"/>
      <c r="H4241" s="953"/>
    </row>
    <row r="4242" spans="1:8" x14ac:dyDescent="0.25">
      <c r="A4242" s="952"/>
      <c r="B4242" s="953"/>
      <c r="C4242" s="953"/>
      <c r="D4242" s="953"/>
      <c r="E4242" s="953"/>
      <c r="F4242" s="953"/>
      <c r="G4242" s="953"/>
      <c r="H4242" s="953"/>
    </row>
    <row r="4243" spans="1:8" x14ac:dyDescent="0.25">
      <c r="A4243" s="952"/>
      <c r="B4243" s="953"/>
      <c r="C4243" s="953"/>
      <c r="D4243" s="953"/>
      <c r="E4243" s="953"/>
      <c r="F4243" s="953"/>
      <c r="G4243" s="953"/>
      <c r="H4243" s="953"/>
    </row>
    <row r="4244" spans="1:8" x14ac:dyDescent="0.25">
      <c r="A4244" s="952"/>
      <c r="B4244" s="953"/>
      <c r="C4244" s="953"/>
      <c r="D4244" s="953"/>
      <c r="E4244" s="953"/>
      <c r="F4244" s="953"/>
      <c r="G4244" s="953"/>
      <c r="H4244" s="953"/>
    </row>
    <row r="4245" spans="1:8" x14ac:dyDescent="0.25">
      <c r="A4245" s="952"/>
      <c r="B4245" s="953"/>
      <c r="C4245" s="953"/>
      <c r="D4245" s="953"/>
      <c r="E4245" s="953"/>
      <c r="F4245" s="953"/>
      <c r="G4245" s="953"/>
      <c r="H4245" s="953"/>
    </row>
    <row r="4246" spans="1:8" x14ac:dyDescent="0.25">
      <c r="A4246" s="952"/>
      <c r="B4246" s="953"/>
      <c r="C4246" s="953"/>
      <c r="D4246" s="953"/>
      <c r="E4246" s="953"/>
      <c r="F4246" s="953"/>
      <c r="G4246" s="953"/>
      <c r="H4246" s="953"/>
    </row>
    <row r="4247" spans="1:8" x14ac:dyDescent="0.25">
      <c r="A4247" s="952"/>
      <c r="B4247" s="953"/>
      <c r="C4247" s="953"/>
      <c r="D4247" s="953"/>
      <c r="E4247" s="953"/>
      <c r="F4247" s="953"/>
      <c r="G4247" s="953"/>
      <c r="H4247" s="953"/>
    </row>
    <row r="4248" spans="1:8" x14ac:dyDescent="0.25">
      <c r="A4248" s="952"/>
      <c r="B4248" s="953"/>
      <c r="C4248" s="953"/>
      <c r="D4248" s="953"/>
      <c r="E4248" s="953"/>
      <c r="F4248" s="953"/>
      <c r="G4248" s="953"/>
      <c r="H4248" s="953"/>
    </row>
    <row r="4249" spans="1:8" x14ac:dyDescent="0.25">
      <c r="A4249" s="952"/>
      <c r="B4249" s="953"/>
      <c r="C4249" s="953"/>
      <c r="D4249" s="953"/>
      <c r="E4249" s="953"/>
      <c r="F4249" s="953"/>
      <c r="G4249" s="953"/>
      <c r="H4249" s="953"/>
    </row>
    <row r="4250" spans="1:8" x14ac:dyDescent="0.25">
      <c r="A4250" s="952"/>
      <c r="B4250" s="953"/>
      <c r="C4250" s="953"/>
      <c r="D4250" s="953"/>
      <c r="E4250" s="953"/>
      <c r="F4250" s="953"/>
      <c r="G4250" s="953"/>
      <c r="H4250" s="953"/>
    </row>
    <row r="4251" spans="1:8" x14ac:dyDescent="0.25">
      <c r="A4251" s="952"/>
      <c r="B4251" s="953"/>
      <c r="C4251" s="953"/>
      <c r="D4251" s="953"/>
      <c r="E4251" s="953"/>
      <c r="F4251" s="953"/>
      <c r="G4251" s="953"/>
      <c r="H4251" s="953"/>
    </row>
    <row r="4252" spans="1:8" x14ac:dyDescent="0.25">
      <c r="A4252" s="952"/>
      <c r="B4252" s="953"/>
      <c r="C4252" s="953"/>
      <c r="D4252" s="953"/>
      <c r="E4252" s="953"/>
      <c r="F4252" s="953"/>
      <c r="G4252" s="953"/>
      <c r="H4252" s="953"/>
    </row>
    <row r="4253" spans="1:8" x14ac:dyDescent="0.25">
      <c r="A4253" s="952"/>
      <c r="B4253" s="953"/>
      <c r="C4253" s="953"/>
      <c r="D4253" s="953"/>
      <c r="E4253" s="953"/>
      <c r="F4253" s="953"/>
      <c r="G4253" s="953"/>
      <c r="H4253" s="953"/>
    </row>
    <row r="4254" spans="1:8" x14ac:dyDescent="0.25">
      <c r="A4254" s="952"/>
      <c r="B4254" s="953"/>
      <c r="C4254" s="953"/>
      <c r="D4254" s="953"/>
      <c r="E4254" s="953"/>
      <c r="F4254" s="953"/>
      <c r="G4254" s="953"/>
      <c r="H4254" s="953"/>
    </row>
    <row r="4255" spans="1:8" x14ac:dyDescent="0.25">
      <c r="A4255" s="952"/>
      <c r="B4255" s="953"/>
      <c r="C4255" s="953"/>
      <c r="D4255" s="953"/>
      <c r="E4255" s="953"/>
      <c r="F4255" s="953"/>
      <c r="G4255" s="953"/>
      <c r="H4255" s="953"/>
    </row>
    <row r="4256" spans="1:8" x14ac:dyDescent="0.25">
      <c r="A4256" s="952"/>
      <c r="B4256" s="953"/>
      <c r="C4256" s="953"/>
      <c r="D4256" s="953"/>
      <c r="E4256" s="953"/>
      <c r="F4256" s="953"/>
      <c r="G4256" s="953"/>
      <c r="H4256" s="953"/>
    </row>
    <row r="4257" spans="1:8" x14ac:dyDescent="0.25">
      <c r="A4257" s="952"/>
      <c r="B4257" s="953"/>
      <c r="C4257" s="953"/>
      <c r="D4257" s="953"/>
      <c r="E4257" s="953"/>
      <c r="F4257" s="953"/>
      <c r="G4257" s="953"/>
      <c r="H4257" s="953"/>
    </row>
    <row r="4258" spans="1:8" x14ac:dyDescent="0.25">
      <c r="A4258" s="952"/>
      <c r="B4258" s="953"/>
      <c r="C4258" s="953"/>
      <c r="D4258" s="953"/>
      <c r="E4258" s="953"/>
      <c r="F4258" s="953"/>
      <c r="G4258" s="953"/>
      <c r="H4258" s="953"/>
    </row>
    <row r="4259" spans="1:8" x14ac:dyDescent="0.25">
      <c r="A4259" s="952"/>
      <c r="B4259" s="953"/>
      <c r="C4259" s="953"/>
      <c r="D4259" s="953"/>
      <c r="E4259" s="953"/>
      <c r="F4259" s="953"/>
      <c r="G4259" s="953"/>
      <c r="H4259" s="953"/>
    </row>
    <row r="4260" spans="1:8" x14ac:dyDescent="0.25">
      <c r="A4260" s="952"/>
      <c r="B4260" s="953"/>
      <c r="C4260" s="953"/>
      <c r="D4260" s="953"/>
      <c r="E4260" s="953"/>
      <c r="F4260" s="953"/>
      <c r="G4260" s="953"/>
      <c r="H4260" s="953"/>
    </row>
    <row r="4261" spans="1:8" x14ac:dyDescent="0.25">
      <c r="A4261" s="952"/>
      <c r="B4261" s="953"/>
      <c r="C4261" s="953"/>
      <c r="D4261" s="953"/>
      <c r="E4261" s="953"/>
      <c r="F4261" s="953"/>
      <c r="G4261" s="953"/>
      <c r="H4261" s="953"/>
    </row>
    <row r="4262" spans="1:8" x14ac:dyDescent="0.25">
      <c r="A4262" s="952"/>
      <c r="B4262" s="953"/>
      <c r="C4262" s="953"/>
      <c r="D4262" s="953"/>
      <c r="E4262" s="953"/>
      <c r="F4262" s="953"/>
      <c r="G4262" s="953"/>
      <c r="H4262" s="953"/>
    </row>
    <row r="4263" spans="1:8" x14ac:dyDescent="0.25">
      <c r="A4263" s="952"/>
      <c r="B4263" s="953"/>
      <c r="C4263" s="953"/>
      <c r="D4263" s="953"/>
      <c r="E4263" s="953"/>
      <c r="F4263" s="953"/>
      <c r="G4263" s="953"/>
      <c r="H4263" s="953"/>
    </row>
    <row r="4264" spans="1:8" x14ac:dyDescent="0.25">
      <c r="A4264" s="952"/>
      <c r="B4264" s="953"/>
      <c r="C4264" s="953"/>
      <c r="D4264" s="953"/>
      <c r="E4264" s="953"/>
      <c r="F4264" s="953"/>
      <c r="G4264" s="953"/>
      <c r="H4264" s="953"/>
    </row>
    <row r="4265" spans="1:8" x14ac:dyDescent="0.25">
      <c r="A4265" s="952"/>
      <c r="B4265" s="953"/>
      <c r="C4265" s="953"/>
      <c r="D4265" s="953"/>
      <c r="E4265" s="953"/>
      <c r="F4265" s="953"/>
      <c r="G4265" s="953"/>
      <c r="H4265" s="953"/>
    </row>
    <row r="4266" spans="1:8" x14ac:dyDescent="0.25">
      <c r="A4266" s="952"/>
      <c r="B4266" s="953"/>
      <c r="C4266" s="953"/>
      <c r="D4266" s="953"/>
      <c r="E4266" s="953"/>
      <c r="F4266" s="953"/>
      <c r="G4266" s="953"/>
      <c r="H4266" s="953"/>
    </row>
    <row r="4267" spans="1:8" x14ac:dyDescent="0.25">
      <c r="A4267" s="952"/>
      <c r="B4267" s="953"/>
      <c r="C4267" s="953"/>
      <c r="D4267" s="953"/>
      <c r="E4267" s="953"/>
      <c r="F4267" s="953"/>
      <c r="G4267" s="953"/>
      <c r="H4267" s="953"/>
    </row>
    <row r="4268" spans="1:8" x14ac:dyDescent="0.25">
      <c r="A4268" s="952"/>
      <c r="B4268" s="953"/>
      <c r="C4268" s="953"/>
      <c r="D4268" s="953"/>
      <c r="E4268" s="953"/>
      <c r="F4268" s="953"/>
      <c r="G4268" s="953"/>
      <c r="H4268" s="953"/>
    </row>
    <row r="4269" spans="1:8" x14ac:dyDescent="0.25">
      <c r="A4269" s="952"/>
      <c r="B4269" s="953"/>
      <c r="C4269" s="953"/>
      <c r="D4269" s="953"/>
      <c r="E4269" s="953"/>
      <c r="F4269" s="953"/>
      <c r="G4269" s="953"/>
      <c r="H4269" s="953"/>
    </row>
    <row r="4270" spans="1:8" x14ac:dyDescent="0.25">
      <c r="A4270" s="952"/>
      <c r="B4270" s="953"/>
      <c r="C4270" s="953"/>
      <c r="D4270" s="953"/>
      <c r="E4270" s="953"/>
      <c r="F4270" s="953"/>
      <c r="G4270" s="953"/>
      <c r="H4270" s="953"/>
    </row>
    <row r="4271" spans="1:8" x14ac:dyDescent="0.25">
      <c r="A4271" s="952"/>
      <c r="B4271" s="953"/>
      <c r="C4271" s="953"/>
      <c r="D4271" s="953"/>
      <c r="E4271" s="953"/>
      <c r="F4271" s="953"/>
      <c r="G4271" s="953"/>
      <c r="H4271" s="953"/>
    </row>
    <row r="4272" spans="1:8" x14ac:dyDescent="0.25">
      <c r="A4272" s="952"/>
      <c r="B4272" s="953"/>
      <c r="C4272" s="953"/>
      <c r="D4272" s="953"/>
      <c r="E4272" s="953"/>
      <c r="F4272" s="953"/>
      <c r="G4272" s="953"/>
      <c r="H4272" s="953"/>
    </row>
    <row r="4273" spans="1:8" x14ac:dyDescent="0.25">
      <c r="A4273" s="952"/>
      <c r="B4273" s="953"/>
      <c r="C4273" s="953"/>
      <c r="D4273" s="953"/>
      <c r="E4273" s="953"/>
      <c r="F4273" s="953"/>
      <c r="G4273" s="953"/>
      <c r="H4273" s="953"/>
    </row>
    <row r="4274" spans="1:8" x14ac:dyDescent="0.25">
      <c r="A4274" s="952"/>
      <c r="B4274" s="953"/>
      <c r="C4274" s="953"/>
      <c r="D4274" s="953"/>
      <c r="E4274" s="953"/>
      <c r="F4274" s="953"/>
      <c r="G4274" s="953"/>
      <c r="H4274" s="953"/>
    </row>
    <row r="4275" spans="1:8" x14ac:dyDescent="0.25">
      <c r="A4275" s="952"/>
      <c r="B4275" s="953"/>
      <c r="C4275" s="953"/>
      <c r="D4275" s="953"/>
      <c r="E4275" s="953"/>
      <c r="F4275" s="953"/>
      <c r="G4275" s="953"/>
      <c r="H4275" s="953"/>
    </row>
    <row r="4276" spans="1:8" x14ac:dyDescent="0.25">
      <c r="A4276" s="952"/>
      <c r="B4276" s="953"/>
      <c r="C4276" s="953"/>
      <c r="D4276" s="953"/>
      <c r="E4276" s="953"/>
      <c r="F4276" s="953"/>
      <c r="G4276" s="953"/>
      <c r="H4276" s="953"/>
    </row>
    <row r="4277" spans="1:8" x14ac:dyDescent="0.25">
      <c r="A4277" s="952"/>
      <c r="B4277" s="953"/>
      <c r="C4277" s="953"/>
      <c r="D4277" s="953"/>
      <c r="E4277" s="953"/>
      <c r="F4277" s="953"/>
      <c r="G4277" s="953"/>
      <c r="H4277" s="953"/>
    </row>
    <row r="4278" spans="1:8" x14ac:dyDescent="0.25">
      <c r="A4278" s="952"/>
      <c r="B4278" s="953"/>
      <c r="C4278" s="953"/>
      <c r="D4278" s="953"/>
      <c r="E4278" s="953"/>
      <c r="F4278" s="953"/>
      <c r="G4278" s="953"/>
      <c r="H4278" s="953"/>
    </row>
    <row r="4279" spans="1:8" x14ac:dyDescent="0.25">
      <c r="A4279" s="952"/>
      <c r="B4279" s="953"/>
      <c r="C4279" s="953"/>
      <c r="D4279" s="953"/>
      <c r="E4279" s="953"/>
      <c r="F4279" s="953"/>
      <c r="G4279" s="953"/>
      <c r="H4279" s="953"/>
    </row>
    <row r="4280" spans="1:8" x14ac:dyDescent="0.25">
      <c r="A4280" s="952"/>
      <c r="B4280" s="953"/>
      <c r="C4280" s="953"/>
      <c r="D4280" s="953"/>
      <c r="E4280" s="953"/>
      <c r="F4280" s="953"/>
      <c r="G4280" s="953"/>
      <c r="H4280" s="953"/>
    </row>
    <row r="4281" spans="1:8" x14ac:dyDescent="0.25">
      <c r="A4281" s="952"/>
      <c r="B4281" s="953"/>
      <c r="C4281" s="953"/>
      <c r="D4281" s="953"/>
      <c r="E4281" s="953"/>
      <c r="F4281" s="953"/>
      <c r="G4281" s="953"/>
      <c r="H4281" s="953"/>
    </row>
    <row r="4282" spans="1:8" x14ac:dyDescent="0.25">
      <c r="A4282" s="952"/>
      <c r="B4282" s="953"/>
      <c r="C4282" s="953"/>
      <c r="D4282" s="953"/>
      <c r="E4282" s="953"/>
      <c r="F4282" s="953"/>
      <c r="G4282" s="953"/>
      <c r="H4282" s="953"/>
    </row>
    <row r="4283" spans="1:8" x14ac:dyDescent="0.25">
      <c r="A4283" s="952"/>
      <c r="B4283" s="953"/>
      <c r="C4283" s="953"/>
      <c r="D4283" s="953"/>
      <c r="E4283" s="953"/>
      <c r="F4283" s="953"/>
      <c r="G4283" s="953"/>
      <c r="H4283" s="953"/>
    </row>
    <row r="4284" spans="1:8" x14ac:dyDescent="0.25">
      <c r="A4284" s="952"/>
      <c r="B4284" s="953"/>
      <c r="C4284" s="953"/>
      <c r="D4284" s="953"/>
      <c r="E4284" s="953"/>
      <c r="F4284" s="953"/>
      <c r="G4284" s="953"/>
      <c r="H4284" s="953"/>
    </row>
    <row r="4285" spans="1:8" x14ac:dyDescent="0.25">
      <c r="A4285" s="952"/>
      <c r="B4285" s="953"/>
      <c r="C4285" s="953"/>
      <c r="D4285" s="953"/>
      <c r="E4285" s="953"/>
      <c r="F4285" s="953"/>
      <c r="G4285" s="953"/>
      <c r="H4285" s="953"/>
    </row>
    <row r="4286" spans="1:8" x14ac:dyDescent="0.25">
      <c r="A4286" s="952"/>
      <c r="B4286" s="953"/>
      <c r="C4286" s="953"/>
      <c r="D4286" s="953"/>
      <c r="E4286" s="953"/>
      <c r="F4286" s="953"/>
      <c r="G4286" s="953"/>
      <c r="H4286" s="953"/>
    </row>
    <row r="4287" spans="1:8" x14ac:dyDescent="0.25">
      <c r="A4287" s="952"/>
      <c r="B4287" s="953"/>
      <c r="C4287" s="953"/>
      <c r="D4287" s="953"/>
      <c r="E4287" s="953"/>
      <c r="F4287" s="953"/>
      <c r="G4287" s="953"/>
      <c r="H4287" s="953"/>
    </row>
    <row r="4288" spans="1:8" x14ac:dyDescent="0.25">
      <c r="A4288" s="952"/>
      <c r="B4288" s="953"/>
      <c r="C4288" s="953"/>
      <c r="D4288" s="953"/>
      <c r="E4288" s="953"/>
      <c r="F4288" s="953"/>
      <c r="G4288" s="953"/>
      <c r="H4288" s="953"/>
    </row>
    <row r="4289" spans="1:8" x14ac:dyDescent="0.25">
      <c r="A4289" s="952"/>
      <c r="B4289" s="953"/>
      <c r="C4289" s="953"/>
      <c r="D4289" s="953"/>
      <c r="E4289" s="953"/>
      <c r="F4289" s="953"/>
      <c r="G4289" s="953"/>
      <c r="H4289" s="953"/>
    </row>
    <row r="4290" spans="1:8" x14ac:dyDescent="0.25">
      <c r="A4290" s="952"/>
      <c r="B4290" s="953"/>
      <c r="C4290" s="953"/>
      <c r="D4290" s="953"/>
      <c r="E4290" s="953"/>
      <c r="F4290" s="953"/>
      <c r="G4290" s="953"/>
      <c r="H4290" s="953"/>
    </row>
    <row r="4291" spans="1:8" x14ac:dyDescent="0.25">
      <c r="A4291" s="952"/>
      <c r="B4291" s="953"/>
      <c r="C4291" s="953"/>
      <c r="D4291" s="953"/>
      <c r="E4291" s="953"/>
      <c r="F4291" s="953"/>
      <c r="G4291" s="953"/>
      <c r="H4291" s="953"/>
    </row>
    <row r="4292" spans="1:8" x14ac:dyDescent="0.25">
      <c r="A4292" s="952"/>
      <c r="B4292" s="953"/>
      <c r="C4292" s="953"/>
      <c r="D4292" s="953"/>
      <c r="E4292" s="953"/>
      <c r="F4292" s="953"/>
      <c r="G4292" s="953"/>
      <c r="H4292" s="953"/>
    </row>
    <row r="4293" spans="1:8" x14ac:dyDescent="0.25">
      <c r="A4293" s="952"/>
      <c r="B4293" s="953"/>
      <c r="C4293" s="953"/>
      <c r="D4293" s="953"/>
      <c r="E4293" s="953"/>
      <c r="F4293" s="953"/>
      <c r="G4293" s="953"/>
      <c r="H4293" s="953"/>
    </row>
    <row r="4294" spans="1:8" x14ac:dyDescent="0.25">
      <c r="A4294" s="952"/>
      <c r="B4294" s="953"/>
      <c r="C4294" s="953"/>
      <c r="D4294" s="953"/>
      <c r="E4294" s="953"/>
      <c r="F4294" s="953"/>
      <c r="G4294" s="953"/>
      <c r="H4294" s="953"/>
    </row>
    <row r="4295" spans="1:8" x14ac:dyDescent="0.25">
      <c r="A4295" s="952"/>
      <c r="B4295" s="953"/>
      <c r="C4295" s="953"/>
      <c r="D4295" s="953"/>
      <c r="E4295" s="953"/>
      <c r="F4295" s="953"/>
      <c r="G4295" s="953"/>
      <c r="H4295" s="953"/>
    </row>
    <row r="4296" spans="1:8" x14ac:dyDescent="0.25">
      <c r="A4296" s="952"/>
      <c r="B4296" s="953"/>
      <c r="C4296" s="953"/>
      <c r="D4296" s="953"/>
      <c r="E4296" s="953"/>
      <c r="F4296" s="953"/>
      <c r="G4296" s="953"/>
      <c r="H4296" s="953"/>
    </row>
    <row r="4297" spans="1:8" x14ac:dyDescent="0.25">
      <c r="A4297" s="952"/>
      <c r="B4297" s="953"/>
      <c r="C4297" s="953"/>
      <c r="D4297" s="953"/>
      <c r="E4297" s="953"/>
      <c r="F4297" s="953"/>
      <c r="G4297" s="953"/>
      <c r="H4297" s="953"/>
    </row>
    <row r="4298" spans="1:8" x14ac:dyDescent="0.25">
      <c r="A4298" s="952"/>
      <c r="B4298" s="953"/>
      <c r="C4298" s="953"/>
      <c r="D4298" s="953"/>
      <c r="E4298" s="953"/>
      <c r="F4298" s="953"/>
      <c r="G4298" s="953"/>
      <c r="H4298" s="953"/>
    </row>
    <row r="4299" spans="1:8" x14ac:dyDescent="0.25">
      <c r="A4299" s="952"/>
      <c r="B4299" s="953"/>
      <c r="C4299" s="953"/>
      <c r="D4299" s="953"/>
      <c r="E4299" s="953"/>
      <c r="F4299" s="953"/>
      <c r="G4299" s="953"/>
      <c r="H4299" s="953"/>
    </row>
    <row r="4300" spans="1:8" x14ac:dyDescent="0.25">
      <c r="A4300" s="952"/>
      <c r="B4300" s="953"/>
      <c r="C4300" s="953"/>
      <c r="D4300" s="953"/>
      <c r="E4300" s="953"/>
      <c r="F4300" s="953"/>
      <c r="G4300" s="953"/>
      <c r="H4300" s="953"/>
    </row>
    <row r="4301" spans="1:8" x14ac:dyDescent="0.25">
      <c r="A4301" s="952"/>
      <c r="B4301" s="953"/>
      <c r="C4301" s="953"/>
      <c r="D4301" s="953"/>
      <c r="E4301" s="953"/>
      <c r="F4301" s="953"/>
      <c r="G4301" s="953"/>
      <c r="H4301" s="953"/>
    </row>
    <row r="4302" spans="1:8" x14ac:dyDescent="0.25">
      <c r="A4302" s="952"/>
      <c r="B4302" s="953"/>
      <c r="C4302" s="953"/>
      <c r="D4302" s="953"/>
      <c r="E4302" s="953"/>
      <c r="F4302" s="953"/>
      <c r="G4302" s="953"/>
      <c r="H4302" s="953"/>
    </row>
    <row r="4303" spans="1:8" x14ac:dyDescent="0.25">
      <c r="A4303" s="952"/>
      <c r="B4303" s="953"/>
      <c r="C4303" s="953"/>
      <c r="D4303" s="953"/>
      <c r="E4303" s="953"/>
      <c r="F4303" s="953"/>
      <c r="G4303" s="953"/>
      <c r="H4303" s="953"/>
    </row>
    <row r="4304" spans="1:8" x14ac:dyDescent="0.25">
      <c r="A4304" s="952"/>
      <c r="B4304" s="953"/>
      <c r="C4304" s="953"/>
      <c r="D4304" s="953"/>
      <c r="E4304" s="953"/>
      <c r="F4304" s="953"/>
      <c r="G4304" s="953"/>
      <c r="H4304" s="953"/>
    </row>
    <row r="4305" spans="1:8" x14ac:dyDescent="0.25">
      <c r="A4305" s="952"/>
      <c r="B4305" s="953"/>
      <c r="C4305" s="953"/>
      <c r="D4305" s="953"/>
      <c r="E4305" s="953"/>
      <c r="F4305" s="953"/>
      <c r="G4305" s="953"/>
      <c r="H4305" s="953"/>
    </row>
    <row r="4306" spans="1:8" x14ac:dyDescent="0.25">
      <c r="A4306" s="952"/>
      <c r="B4306" s="953"/>
      <c r="C4306" s="953"/>
      <c r="D4306" s="953"/>
      <c r="E4306" s="953"/>
      <c r="F4306" s="953"/>
      <c r="G4306" s="953"/>
      <c r="H4306" s="953"/>
    </row>
    <row r="4307" spans="1:8" x14ac:dyDescent="0.25">
      <c r="A4307" s="952"/>
      <c r="B4307" s="953"/>
      <c r="C4307" s="953"/>
      <c r="D4307" s="953"/>
      <c r="E4307" s="953"/>
      <c r="F4307" s="953"/>
      <c r="G4307" s="953"/>
      <c r="H4307" s="953"/>
    </row>
    <row r="4308" spans="1:8" x14ac:dyDescent="0.25">
      <c r="A4308" s="952"/>
      <c r="B4308" s="953"/>
      <c r="C4308" s="953"/>
      <c r="D4308" s="953"/>
      <c r="E4308" s="953"/>
      <c r="F4308" s="953"/>
      <c r="G4308" s="953"/>
      <c r="H4308" s="953"/>
    </row>
    <row r="4309" spans="1:8" x14ac:dyDescent="0.25">
      <c r="A4309" s="952"/>
      <c r="B4309" s="953"/>
      <c r="C4309" s="953"/>
      <c r="D4309" s="953"/>
      <c r="E4309" s="953"/>
      <c r="F4309" s="953"/>
      <c r="G4309" s="953"/>
      <c r="H4309" s="953"/>
    </row>
    <row r="4310" spans="1:8" x14ac:dyDescent="0.25">
      <c r="A4310" s="952"/>
      <c r="B4310" s="953"/>
      <c r="C4310" s="953"/>
      <c r="D4310" s="953"/>
      <c r="E4310" s="953"/>
      <c r="F4310" s="953"/>
      <c r="G4310" s="953"/>
      <c r="H4310" s="953"/>
    </row>
    <row r="4311" spans="1:8" x14ac:dyDescent="0.25">
      <c r="A4311" s="952"/>
      <c r="B4311" s="953"/>
      <c r="C4311" s="953"/>
      <c r="D4311" s="953"/>
      <c r="E4311" s="953"/>
      <c r="F4311" s="953"/>
      <c r="G4311" s="953"/>
      <c r="H4311" s="953"/>
    </row>
    <row r="4312" spans="1:8" x14ac:dyDescent="0.25">
      <c r="A4312" s="952"/>
      <c r="B4312" s="953"/>
      <c r="C4312" s="953"/>
      <c r="D4312" s="953"/>
      <c r="E4312" s="953"/>
      <c r="F4312" s="953"/>
      <c r="G4312" s="953"/>
      <c r="H4312" s="953"/>
    </row>
    <row r="4313" spans="1:8" x14ac:dyDescent="0.25">
      <c r="A4313" s="952"/>
      <c r="B4313" s="953"/>
      <c r="C4313" s="953"/>
      <c r="D4313" s="953"/>
      <c r="E4313" s="953"/>
      <c r="F4313" s="953"/>
      <c r="G4313" s="953"/>
      <c r="H4313" s="953"/>
    </row>
    <row r="4314" spans="1:8" x14ac:dyDescent="0.25">
      <c r="A4314" s="952"/>
      <c r="B4314" s="953"/>
      <c r="C4314" s="953"/>
      <c r="D4314" s="953"/>
      <c r="E4314" s="953"/>
      <c r="F4314" s="953"/>
      <c r="G4314" s="953"/>
      <c r="H4314" s="953"/>
    </row>
    <row r="4315" spans="1:8" x14ac:dyDescent="0.25">
      <c r="A4315" s="952"/>
      <c r="B4315" s="953"/>
      <c r="C4315" s="953"/>
      <c r="D4315" s="953"/>
      <c r="E4315" s="953"/>
      <c r="F4315" s="953"/>
      <c r="G4315" s="953"/>
      <c r="H4315" s="953"/>
    </row>
    <row r="4316" spans="1:8" x14ac:dyDescent="0.25">
      <c r="A4316" s="952"/>
      <c r="B4316" s="953"/>
      <c r="C4316" s="953"/>
      <c r="D4316" s="953"/>
      <c r="E4316" s="953"/>
      <c r="F4316" s="953"/>
      <c r="G4316" s="953"/>
      <c r="H4316" s="953"/>
    </row>
    <row r="4317" spans="1:8" x14ac:dyDescent="0.25">
      <c r="A4317" s="952"/>
      <c r="B4317" s="953"/>
      <c r="C4317" s="953"/>
      <c r="D4317" s="953"/>
      <c r="E4317" s="953"/>
      <c r="F4317" s="953"/>
      <c r="G4317" s="953"/>
      <c r="H4317" s="953"/>
    </row>
    <row r="4318" spans="1:8" x14ac:dyDescent="0.25">
      <c r="A4318" s="952"/>
      <c r="B4318" s="953"/>
      <c r="C4318" s="953"/>
      <c r="D4318" s="953"/>
      <c r="E4318" s="953"/>
      <c r="F4318" s="953"/>
      <c r="G4318" s="953"/>
      <c r="H4318" s="953"/>
    </row>
    <row r="4319" spans="1:8" x14ac:dyDescent="0.25">
      <c r="A4319" s="952"/>
      <c r="B4319" s="953"/>
      <c r="C4319" s="953"/>
      <c r="D4319" s="953"/>
      <c r="E4319" s="953"/>
      <c r="F4319" s="953"/>
      <c r="G4319" s="953"/>
      <c r="H4319" s="953"/>
    </row>
    <row r="4320" spans="1:8" x14ac:dyDescent="0.25">
      <c r="A4320" s="952"/>
      <c r="B4320" s="953"/>
      <c r="C4320" s="953"/>
      <c r="D4320" s="953"/>
      <c r="E4320" s="953"/>
      <c r="F4320" s="953"/>
      <c r="G4320" s="953"/>
      <c r="H4320" s="953"/>
    </row>
    <row r="4321" spans="1:8" x14ac:dyDescent="0.25">
      <c r="A4321" s="952"/>
      <c r="B4321" s="953"/>
      <c r="C4321" s="953"/>
      <c r="D4321" s="953"/>
      <c r="E4321" s="953"/>
      <c r="F4321" s="953"/>
      <c r="G4321" s="953"/>
      <c r="H4321" s="953"/>
    </row>
    <row r="4322" spans="1:8" x14ac:dyDescent="0.25">
      <c r="A4322" s="952"/>
      <c r="B4322" s="953"/>
      <c r="C4322" s="953"/>
      <c r="D4322" s="953"/>
      <c r="E4322" s="953"/>
      <c r="F4322" s="953"/>
      <c r="G4322" s="953"/>
      <c r="H4322" s="953"/>
    </row>
    <row r="4323" spans="1:8" x14ac:dyDescent="0.25">
      <c r="A4323" s="952"/>
      <c r="B4323" s="953"/>
      <c r="C4323" s="953"/>
      <c r="D4323" s="953"/>
      <c r="E4323" s="953"/>
      <c r="F4323" s="953"/>
      <c r="G4323" s="953"/>
      <c r="H4323" s="953"/>
    </row>
    <row r="4324" spans="1:8" x14ac:dyDescent="0.25">
      <c r="A4324" s="952"/>
      <c r="B4324" s="953"/>
      <c r="C4324" s="953"/>
      <c r="D4324" s="953"/>
      <c r="E4324" s="953"/>
      <c r="F4324" s="953"/>
      <c r="G4324" s="953"/>
      <c r="H4324" s="953"/>
    </row>
    <row r="4325" spans="1:8" x14ac:dyDescent="0.25">
      <c r="A4325" s="952"/>
      <c r="B4325" s="953"/>
      <c r="C4325" s="953"/>
      <c r="D4325" s="953"/>
      <c r="E4325" s="953"/>
      <c r="F4325" s="953"/>
      <c r="G4325" s="953"/>
      <c r="H4325" s="953"/>
    </row>
    <row r="4326" spans="1:8" x14ac:dyDescent="0.25">
      <c r="A4326" s="952"/>
      <c r="B4326" s="953"/>
      <c r="C4326" s="953"/>
      <c r="D4326" s="953"/>
      <c r="E4326" s="953"/>
      <c r="F4326" s="953"/>
      <c r="G4326" s="953"/>
      <c r="H4326" s="953"/>
    </row>
    <row r="4327" spans="1:8" x14ac:dyDescent="0.25">
      <c r="A4327" s="952"/>
      <c r="B4327" s="953"/>
      <c r="C4327" s="953"/>
      <c r="D4327" s="953"/>
      <c r="E4327" s="953"/>
      <c r="F4327" s="953"/>
      <c r="G4327" s="953"/>
      <c r="H4327" s="953"/>
    </row>
    <row r="4328" spans="1:8" x14ac:dyDescent="0.25">
      <c r="A4328" s="952"/>
      <c r="B4328" s="953"/>
      <c r="C4328" s="953"/>
      <c r="D4328" s="953"/>
      <c r="E4328" s="953"/>
      <c r="F4328" s="953"/>
      <c r="G4328" s="953"/>
      <c r="H4328" s="953"/>
    </row>
    <row r="4329" spans="1:8" x14ac:dyDescent="0.25">
      <c r="A4329" s="952"/>
      <c r="B4329" s="953"/>
      <c r="C4329" s="953"/>
      <c r="D4329" s="953"/>
      <c r="E4329" s="953"/>
      <c r="F4329" s="953"/>
      <c r="G4329" s="953"/>
      <c r="H4329" s="953"/>
    </row>
    <row r="4330" spans="1:8" x14ac:dyDescent="0.25">
      <c r="A4330" s="952"/>
      <c r="B4330" s="953"/>
      <c r="C4330" s="953"/>
      <c r="D4330" s="953"/>
      <c r="E4330" s="953"/>
      <c r="F4330" s="953"/>
      <c r="G4330" s="953"/>
      <c r="H4330" s="953"/>
    </row>
    <row r="4331" spans="1:8" x14ac:dyDescent="0.25">
      <c r="A4331" s="952"/>
      <c r="B4331" s="953"/>
      <c r="C4331" s="953"/>
      <c r="D4331" s="953"/>
      <c r="E4331" s="953"/>
      <c r="F4331" s="953"/>
      <c r="G4331" s="953"/>
      <c r="H4331" s="953"/>
    </row>
    <row r="4332" spans="1:8" x14ac:dyDescent="0.25">
      <c r="A4332" s="952"/>
      <c r="B4332" s="953"/>
      <c r="C4332" s="953"/>
      <c r="D4332" s="953"/>
      <c r="E4332" s="953"/>
      <c r="F4332" s="953"/>
      <c r="G4332" s="953"/>
      <c r="H4332" s="953"/>
    </row>
    <row r="4333" spans="1:8" x14ac:dyDescent="0.25">
      <c r="A4333" s="952"/>
      <c r="B4333" s="953"/>
      <c r="C4333" s="953"/>
      <c r="D4333" s="953"/>
      <c r="E4333" s="953"/>
      <c r="F4333" s="953"/>
      <c r="G4333" s="953"/>
      <c r="H4333" s="953"/>
    </row>
    <row r="4334" spans="1:8" x14ac:dyDescent="0.25">
      <c r="A4334" s="952"/>
      <c r="B4334" s="953"/>
      <c r="C4334" s="953"/>
      <c r="D4334" s="953"/>
      <c r="E4334" s="953"/>
      <c r="F4334" s="953"/>
      <c r="G4334" s="953"/>
      <c r="H4334" s="953"/>
    </row>
    <row r="4335" spans="1:8" x14ac:dyDescent="0.25">
      <c r="A4335" s="952"/>
      <c r="B4335" s="953"/>
      <c r="C4335" s="953"/>
      <c r="D4335" s="953"/>
      <c r="E4335" s="953"/>
      <c r="F4335" s="953"/>
      <c r="G4335" s="953"/>
      <c r="H4335" s="953"/>
    </row>
    <row r="4336" spans="1:8" x14ac:dyDescent="0.25">
      <c r="A4336" s="952"/>
      <c r="B4336" s="953"/>
      <c r="C4336" s="953"/>
      <c r="D4336" s="953"/>
      <c r="E4336" s="953"/>
      <c r="F4336" s="953"/>
      <c r="G4336" s="953"/>
      <c r="H4336" s="953"/>
    </row>
    <row r="4337" spans="1:8" x14ac:dyDescent="0.25">
      <c r="A4337" s="952"/>
      <c r="B4337" s="953"/>
      <c r="C4337" s="953"/>
      <c r="D4337" s="953"/>
      <c r="E4337" s="953"/>
      <c r="F4337" s="953"/>
      <c r="G4337" s="953"/>
      <c r="H4337" s="953"/>
    </row>
    <row r="4338" spans="1:8" x14ac:dyDescent="0.25">
      <c r="A4338" s="952"/>
      <c r="B4338" s="953"/>
      <c r="C4338" s="953"/>
      <c r="D4338" s="953"/>
      <c r="E4338" s="953"/>
      <c r="F4338" s="953"/>
      <c r="G4338" s="953"/>
      <c r="H4338" s="953"/>
    </row>
    <row r="4339" spans="1:8" x14ac:dyDescent="0.25">
      <c r="A4339" s="952"/>
      <c r="B4339" s="953"/>
      <c r="C4339" s="953"/>
      <c r="D4339" s="953"/>
      <c r="E4339" s="953"/>
      <c r="F4339" s="953"/>
      <c r="G4339" s="953"/>
      <c r="H4339" s="953"/>
    </row>
    <row r="4340" spans="1:8" x14ac:dyDescent="0.25">
      <c r="A4340" s="952"/>
      <c r="B4340" s="953"/>
      <c r="C4340" s="953"/>
      <c r="D4340" s="953"/>
      <c r="E4340" s="953"/>
      <c r="F4340" s="953"/>
      <c r="G4340" s="953"/>
      <c r="H4340" s="953"/>
    </row>
    <row r="4341" spans="1:8" x14ac:dyDescent="0.25">
      <c r="A4341" s="952"/>
      <c r="B4341" s="953"/>
      <c r="C4341" s="953"/>
      <c r="D4341" s="953"/>
      <c r="E4341" s="953"/>
      <c r="F4341" s="953"/>
      <c r="G4341" s="953"/>
      <c r="H4341" s="953"/>
    </row>
    <row r="4342" spans="1:8" x14ac:dyDescent="0.25">
      <c r="A4342" s="952"/>
      <c r="B4342" s="953"/>
      <c r="C4342" s="953"/>
      <c r="D4342" s="953"/>
      <c r="E4342" s="953"/>
      <c r="F4342" s="953"/>
      <c r="G4342" s="953"/>
      <c r="H4342" s="953"/>
    </row>
    <row r="4343" spans="1:8" x14ac:dyDescent="0.25">
      <c r="A4343" s="952"/>
      <c r="B4343" s="953"/>
      <c r="C4343" s="953"/>
      <c r="D4343" s="953"/>
      <c r="E4343" s="953"/>
      <c r="F4343" s="953"/>
      <c r="G4343" s="953"/>
      <c r="H4343" s="953"/>
    </row>
    <row r="4344" spans="1:8" x14ac:dyDescent="0.25">
      <c r="A4344" s="952"/>
      <c r="B4344" s="953"/>
      <c r="C4344" s="953"/>
      <c r="D4344" s="953"/>
      <c r="E4344" s="953"/>
      <c r="F4344" s="953"/>
      <c r="G4344" s="953"/>
      <c r="H4344" s="953"/>
    </row>
    <row r="4345" spans="1:8" x14ac:dyDescent="0.25">
      <c r="A4345" s="952"/>
      <c r="B4345" s="953"/>
      <c r="C4345" s="953"/>
      <c r="D4345" s="953"/>
      <c r="E4345" s="953"/>
      <c r="F4345" s="953"/>
      <c r="G4345" s="953"/>
      <c r="H4345" s="953"/>
    </row>
    <row r="4346" spans="1:8" x14ac:dyDescent="0.25">
      <c r="A4346" s="952"/>
      <c r="B4346" s="953"/>
      <c r="C4346" s="953"/>
      <c r="D4346" s="953"/>
      <c r="E4346" s="953"/>
      <c r="F4346" s="953"/>
      <c r="G4346" s="953"/>
      <c r="H4346" s="953"/>
    </row>
    <row r="4347" spans="1:8" x14ac:dyDescent="0.25">
      <c r="A4347" s="952"/>
      <c r="B4347" s="953"/>
      <c r="C4347" s="953"/>
      <c r="D4347" s="953"/>
      <c r="E4347" s="953"/>
      <c r="F4347" s="953"/>
      <c r="G4347" s="953"/>
      <c r="H4347" s="953"/>
    </row>
    <row r="4348" spans="1:8" x14ac:dyDescent="0.25">
      <c r="A4348" s="952"/>
      <c r="B4348" s="953"/>
      <c r="C4348" s="953"/>
      <c r="D4348" s="953"/>
      <c r="E4348" s="953"/>
      <c r="F4348" s="953"/>
      <c r="G4348" s="953"/>
      <c r="H4348" s="953"/>
    </row>
    <row r="4349" spans="1:8" x14ac:dyDescent="0.25">
      <c r="A4349" s="952"/>
      <c r="B4349" s="953"/>
      <c r="C4349" s="953"/>
      <c r="D4349" s="953"/>
      <c r="E4349" s="953"/>
      <c r="F4349" s="953"/>
      <c r="G4349" s="953"/>
      <c r="H4349" s="953"/>
    </row>
    <row r="4350" spans="1:8" x14ac:dyDescent="0.25">
      <c r="A4350" s="952"/>
      <c r="B4350" s="953"/>
      <c r="C4350" s="953"/>
      <c r="D4350" s="953"/>
      <c r="E4350" s="953"/>
      <c r="F4350" s="953"/>
      <c r="G4350" s="953"/>
      <c r="H4350" s="953"/>
    </row>
    <row r="4351" spans="1:8" x14ac:dyDescent="0.25">
      <c r="A4351" s="952"/>
      <c r="B4351" s="953"/>
      <c r="C4351" s="953"/>
      <c r="D4351" s="953"/>
      <c r="E4351" s="953"/>
      <c r="F4351" s="953"/>
      <c r="G4351" s="953"/>
      <c r="H4351" s="953"/>
    </row>
    <row r="4352" spans="1:8" x14ac:dyDescent="0.25">
      <c r="A4352" s="952"/>
      <c r="B4352" s="953"/>
      <c r="C4352" s="953"/>
      <c r="D4352" s="953"/>
      <c r="E4352" s="953"/>
      <c r="F4352" s="953"/>
      <c r="G4352" s="953"/>
      <c r="H4352" s="953"/>
    </row>
    <row r="4353" spans="1:8" x14ac:dyDescent="0.25">
      <c r="A4353" s="952"/>
      <c r="B4353" s="953"/>
      <c r="C4353" s="953"/>
      <c r="D4353" s="953"/>
      <c r="E4353" s="953"/>
      <c r="F4353" s="953"/>
      <c r="G4353" s="953"/>
      <c r="H4353" s="953"/>
    </row>
    <row r="4354" spans="1:8" x14ac:dyDescent="0.25">
      <c r="A4354" s="952"/>
      <c r="B4354" s="953"/>
      <c r="C4354" s="953"/>
      <c r="D4354" s="953"/>
      <c r="E4354" s="953"/>
      <c r="F4354" s="953"/>
      <c r="G4354" s="953"/>
      <c r="H4354" s="953"/>
    </row>
    <row r="4355" spans="1:8" x14ac:dyDescent="0.25">
      <c r="A4355" s="952"/>
      <c r="B4355" s="953"/>
      <c r="C4355" s="953"/>
      <c r="D4355" s="953"/>
      <c r="E4355" s="953"/>
      <c r="F4355" s="953"/>
      <c r="G4355" s="953"/>
      <c r="H4355" s="953"/>
    </row>
    <row r="4356" spans="1:8" x14ac:dyDescent="0.25">
      <c r="A4356" s="952"/>
      <c r="B4356" s="953"/>
      <c r="C4356" s="953"/>
      <c r="D4356" s="953"/>
      <c r="E4356" s="953"/>
      <c r="F4356" s="953"/>
      <c r="G4356" s="953"/>
      <c r="H4356" s="953"/>
    </row>
    <row r="4357" spans="1:8" x14ac:dyDescent="0.25">
      <c r="A4357" s="952"/>
      <c r="B4357" s="953"/>
      <c r="C4357" s="953"/>
      <c r="D4357" s="953"/>
      <c r="E4357" s="953"/>
      <c r="F4357" s="953"/>
      <c r="G4357" s="953"/>
      <c r="H4357" s="953"/>
    </row>
    <row r="4358" spans="1:8" x14ac:dyDescent="0.25">
      <c r="A4358" s="952"/>
      <c r="B4358" s="953"/>
      <c r="C4358" s="953"/>
      <c r="D4358" s="953"/>
      <c r="E4358" s="953"/>
      <c r="F4358" s="953"/>
      <c r="G4358" s="953"/>
      <c r="H4358" s="953"/>
    </row>
    <row r="4359" spans="1:8" x14ac:dyDescent="0.25">
      <c r="A4359" s="952"/>
      <c r="B4359" s="953"/>
      <c r="C4359" s="953"/>
      <c r="D4359" s="953"/>
      <c r="E4359" s="953"/>
      <c r="F4359" s="953"/>
      <c r="G4359" s="953"/>
      <c r="H4359" s="953"/>
    </row>
    <row r="4360" spans="1:8" x14ac:dyDescent="0.25">
      <c r="A4360" s="952"/>
      <c r="B4360" s="953"/>
      <c r="C4360" s="953"/>
      <c r="D4360" s="953"/>
      <c r="E4360" s="953"/>
      <c r="F4360" s="953"/>
      <c r="G4360" s="953"/>
      <c r="H4360" s="953"/>
    </row>
    <row r="4361" spans="1:8" x14ac:dyDescent="0.25">
      <c r="A4361" s="952"/>
      <c r="B4361" s="953"/>
      <c r="C4361" s="953"/>
      <c r="D4361" s="953"/>
      <c r="E4361" s="953"/>
      <c r="F4361" s="953"/>
      <c r="G4361" s="953"/>
      <c r="H4361" s="953"/>
    </row>
    <row r="4362" spans="1:8" x14ac:dyDescent="0.25">
      <c r="A4362" s="952"/>
      <c r="B4362" s="953"/>
      <c r="C4362" s="953"/>
      <c r="D4362" s="953"/>
      <c r="E4362" s="953"/>
      <c r="F4362" s="953"/>
      <c r="G4362" s="953"/>
      <c r="H4362" s="953"/>
    </row>
    <row r="4363" spans="1:8" x14ac:dyDescent="0.25">
      <c r="A4363" s="952"/>
      <c r="B4363" s="953"/>
      <c r="C4363" s="953"/>
      <c r="D4363" s="953"/>
      <c r="E4363" s="953"/>
      <c r="F4363" s="953"/>
      <c r="G4363" s="953"/>
      <c r="H4363" s="953"/>
    </row>
    <row r="4364" spans="1:8" x14ac:dyDescent="0.25">
      <c r="A4364" s="952"/>
      <c r="B4364" s="953"/>
      <c r="C4364" s="953"/>
      <c r="D4364" s="953"/>
      <c r="E4364" s="953"/>
      <c r="F4364" s="953"/>
      <c r="G4364" s="953"/>
      <c r="H4364" s="953"/>
    </row>
    <row r="4365" spans="1:8" x14ac:dyDescent="0.25">
      <c r="A4365" s="952"/>
      <c r="B4365" s="953"/>
      <c r="C4365" s="953"/>
      <c r="D4365" s="953"/>
      <c r="E4365" s="953"/>
      <c r="F4365" s="953"/>
      <c r="G4365" s="953"/>
      <c r="H4365" s="953"/>
    </row>
    <row r="4366" spans="1:8" x14ac:dyDescent="0.25">
      <c r="A4366" s="952"/>
      <c r="B4366" s="953"/>
      <c r="C4366" s="953"/>
      <c r="D4366" s="953"/>
      <c r="E4366" s="953"/>
      <c r="F4366" s="953"/>
      <c r="G4366" s="953"/>
      <c r="H4366" s="953"/>
    </row>
    <row r="4367" spans="1:8" x14ac:dyDescent="0.25">
      <c r="A4367" s="952"/>
      <c r="B4367" s="953"/>
      <c r="C4367" s="953"/>
      <c r="D4367" s="953"/>
      <c r="E4367" s="953"/>
      <c r="F4367" s="953"/>
      <c r="G4367" s="953"/>
      <c r="H4367" s="953"/>
    </row>
    <row r="4368" spans="1:8" x14ac:dyDescent="0.25">
      <c r="A4368" s="952"/>
      <c r="B4368" s="953"/>
      <c r="C4368" s="953"/>
      <c r="D4368" s="953"/>
      <c r="E4368" s="953"/>
      <c r="F4368" s="953"/>
      <c r="G4368" s="953"/>
      <c r="H4368" s="953"/>
    </row>
    <row r="4369" spans="1:8" x14ac:dyDescent="0.25">
      <c r="A4369" s="952"/>
      <c r="B4369" s="953"/>
      <c r="C4369" s="953"/>
      <c r="D4369" s="953"/>
      <c r="E4369" s="953"/>
      <c r="F4369" s="953"/>
      <c r="G4369" s="953"/>
      <c r="H4369" s="953"/>
    </row>
    <row r="4370" spans="1:8" x14ac:dyDescent="0.25">
      <c r="A4370" s="952"/>
      <c r="B4370" s="953"/>
      <c r="C4370" s="953"/>
      <c r="D4370" s="953"/>
      <c r="E4370" s="953"/>
      <c r="F4370" s="953"/>
      <c r="G4370" s="953"/>
      <c r="H4370" s="953"/>
    </row>
    <row r="4371" spans="1:8" x14ac:dyDescent="0.25">
      <c r="A4371" s="952"/>
      <c r="B4371" s="953"/>
      <c r="C4371" s="953"/>
      <c r="D4371" s="953"/>
      <c r="E4371" s="953"/>
      <c r="F4371" s="953"/>
      <c r="G4371" s="953"/>
      <c r="H4371" s="953"/>
    </row>
    <row r="4372" spans="1:8" x14ac:dyDescent="0.25">
      <c r="A4372" s="952"/>
      <c r="B4372" s="953"/>
      <c r="C4372" s="953"/>
      <c r="D4372" s="953"/>
      <c r="E4372" s="953"/>
      <c r="F4372" s="953"/>
      <c r="G4372" s="953"/>
      <c r="H4372" s="953"/>
    </row>
    <row r="4373" spans="1:8" x14ac:dyDescent="0.25">
      <c r="A4373" s="952"/>
      <c r="B4373" s="953"/>
      <c r="C4373" s="953"/>
      <c r="D4373" s="953"/>
      <c r="E4373" s="953"/>
      <c r="F4373" s="953"/>
      <c r="G4373" s="953"/>
      <c r="H4373" s="953"/>
    </row>
    <row r="4374" spans="1:8" x14ac:dyDescent="0.25">
      <c r="A4374" s="952"/>
      <c r="B4374" s="953"/>
      <c r="C4374" s="953"/>
      <c r="D4374" s="953"/>
      <c r="E4374" s="953"/>
      <c r="F4374" s="953"/>
      <c r="G4374" s="953"/>
      <c r="H4374" s="953"/>
    </row>
    <row r="4375" spans="1:8" x14ac:dyDescent="0.25">
      <c r="A4375" s="952"/>
      <c r="B4375" s="953"/>
      <c r="C4375" s="953"/>
      <c r="D4375" s="953"/>
      <c r="E4375" s="953"/>
      <c r="F4375" s="953"/>
      <c r="G4375" s="953"/>
      <c r="H4375" s="953"/>
    </row>
    <row r="4376" spans="1:8" x14ac:dyDescent="0.25">
      <c r="A4376" s="952"/>
      <c r="B4376" s="953"/>
      <c r="C4376" s="953"/>
      <c r="D4376" s="953"/>
      <c r="E4376" s="953"/>
      <c r="F4376" s="953"/>
      <c r="G4376" s="953"/>
      <c r="H4376" s="953"/>
    </row>
    <row r="4377" spans="1:8" x14ac:dyDescent="0.25">
      <c r="A4377" s="952"/>
      <c r="B4377" s="953"/>
      <c r="C4377" s="953"/>
      <c r="D4377" s="953"/>
      <c r="E4377" s="953"/>
      <c r="F4377" s="953"/>
      <c r="G4377" s="953"/>
      <c r="H4377" s="953"/>
    </row>
    <row r="4378" spans="1:8" x14ac:dyDescent="0.25">
      <c r="A4378" s="952"/>
      <c r="B4378" s="953"/>
      <c r="C4378" s="953"/>
      <c r="D4378" s="953"/>
      <c r="E4378" s="953"/>
      <c r="F4378" s="953"/>
      <c r="G4378" s="953"/>
      <c r="H4378" s="953"/>
    </row>
    <row r="4379" spans="1:8" x14ac:dyDescent="0.25">
      <c r="A4379" s="952"/>
      <c r="B4379" s="953"/>
      <c r="C4379" s="953"/>
      <c r="D4379" s="953"/>
      <c r="E4379" s="953"/>
      <c r="F4379" s="953"/>
      <c r="G4379" s="953"/>
      <c r="H4379" s="953"/>
    </row>
    <row r="4380" spans="1:8" x14ac:dyDescent="0.25">
      <c r="A4380" s="952"/>
      <c r="B4380" s="953"/>
      <c r="C4380" s="953"/>
      <c r="D4380" s="953"/>
      <c r="E4380" s="953"/>
      <c r="F4380" s="953"/>
      <c r="G4380" s="953"/>
      <c r="H4380" s="953"/>
    </row>
    <row r="4381" spans="1:8" x14ac:dyDescent="0.25">
      <c r="A4381" s="952"/>
      <c r="B4381" s="953"/>
      <c r="C4381" s="953"/>
      <c r="D4381" s="953"/>
      <c r="E4381" s="953"/>
      <c r="F4381" s="953"/>
      <c r="G4381" s="953"/>
      <c r="H4381" s="953"/>
    </row>
    <row r="4382" spans="1:8" x14ac:dyDescent="0.25">
      <c r="A4382" s="952"/>
      <c r="B4382" s="953"/>
      <c r="C4382" s="953"/>
      <c r="D4382" s="953"/>
      <c r="E4382" s="953"/>
      <c r="F4382" s="953"/>
      <c r="G4382" s="953"/>
      <c r="H4382" s="953"/>
    </row>
    <row r="4383" spans="1:8" x14ac:dyDescent="0.25">
      <c r="A4383" s="952"/>
      <c r="B4383" s="953"/>
      <c r="C4383" s="953"/>
      <c r="D4383" s="953"/>
      <c r="E4383" s="953"/>
      <c r="F4383" s="953"/>
      <c r="G4383" s="953"/>
      <c r="H4383" s="953"/>
    </row>
    <row r="4384" spans="1:8" x14ac:dyDescent="0.25">
      <c r="A4384" s="952"/>
      <c r="B4384" s="953"/>
      <c r="C4384" s="953"/>
      <c r="D4384" s="953"/>
      <c r="E4384" s="953"/>
      <c r="F4384" s="953"/>
      <c r="G4384" s="953"/>
      <c r="H4384" s="953"/>
    </row>
    <row r="4385" spans="1:8" x14ac:dyDescent="0.25">
      <c r="A4385" s="952"/>
      <c r="B4385" s="953"/>
      <c r="C4385" s="953"/>
      <c r="D4385" s="953"/>
      <c r="E4385" s="953"/>
      <c r="F4385" s="953"/>
      <c r="G4385" s="953"/>
      <c r="H4385" s="953"/>
    </row>
    <row r="4386" spans="1:8" x14ac:dyDescent="0.25">
      <c r="A4386" s="952"/>
      <c r="B4386" s="953"/>
      <c r="C4386" s="953"/>
      <c r="D4386" s="953"/>
      <c r="E4386" s="953"/>
      <c r="F4386" s="953"/>
      <c r="G4386" s="953"/>
      <c r="H4386" s="953"/>
    </row>
    <row r="4387" spans="1:8" x14ac:dyDescent="0.25">
      <c r="A4387" s="952"/>
      <c r="B4387" s="953"/>
      <c r="C4387" s="953"/>
      <c r="D4387" s="953"/>
      <c r="E4387" s="953"/>
      <c r="F4387" s="953"/>
      <c r="G4387" s="953"/>
      <c r="H4387" s="953"/>
    </row>
    <row r="4388" spans="1:8" x14ac:dyDescent="0.25">
      <c r="A4388" s="952"/>
      <c r="B4388" s="953"/>
      <c r="C4388" s="953"/>
      <c r="D4388" s="953"/>
      <c r="E4388" s="953"/>
      <c r="F4388" s="953"/>
      <c r="G4388" s="953"/>
      <c r="H4388" s="953"/>
    </row>
    <row r="4389" spans="1:8" x14ac:dyDescent="0.25">
      <c r="A4389" s="952"/>
      <c r="B4389" s="953"/>
      <c r="C4389" s="953"/>
      <c r="D4389" s="953"/>
      <c r="E4389" s="953"/>
      <c r="F4389" s="953"/>
      <c r="G4389" s="953"/>
      <c r="H4389" s="953"/>
    </row>
    <row r="4390" spans="1:8" x14ac:dyDescent="0.25">
      <c r="A4390" s="952"/>
      <c r="B4390" s="953"/>
      <c r="C4390" s="953"/>
      <c r="D4390" s="953"/>
      <c r="E4390" s="953"/>
      <c r="F4390" s="953"/>
      <c r="G4390" s="953"/>
      <c r="H4390" s="953"/>
    </row>
    <row r="4391" spans="1:8" x14ac:dyDescent="0.25">
      <c r="A4391" s="952"/>
      <c r="B4391" s="953"/>
      <c r="C4391" s="953"/>
      <c r="D4391" s="953"/>
      <c r="E4391" s="953"/>
      <c r="F4391" s="953"/>
      <c r="G4391" s="953"/>
      <c r="H4391" s="953"/>
    </row>
    <row r="4392" spans="1:8" x14ac:dyDescent="0.25">
      <c r="A4392" s="952"/>
      <c r="B4392" s="953"/>
      <c r="C4392" s="953"/>
      <c r="D4392" s="953"/>
      <c r="E4392" s="953"/>
      <c r="F4392" s="953"/>
      <c r="G4392" s="953"/>
      <c r="H4392" s="953"/>
    </row>
    <row r="4393" spans="1:8" x14ac:dyDescent="0.25">
      <c r="A4393" s="952"/>
      <c r="B4393" s="953"/>
      <c r="C4393" s="953"/>
      <c r="D4393" s="953"/>
      <c r="E4393" s="953"/>
      <c r="F4393" s="953"/>
      <c r="G4393" s="953"/>
      <c r="H4393" s="953"/>
    </row>
    <row r="4394" spans="1:8" x14ac:dyDescent="0.25">
      <c r="A4394" s="952"/>
      <c r="B4394" s="953"/>
      <c r="C4394" s="953"/>
      <c r="D4394" s="953"/>
      <c r="E4394" s="953"/>
      <c r="F4394" s="953"/>
      <c r="G4394" s="953"/>
      <c r="H4394" s="953"/>
    </row>
    <row r="4395" spans="1:8" x14ac:dyDescent="0.25">
      <c r="A4395" s="952"/>
      <c r="B4395" s="953"/>
      <c r="C4395" s="953"/>
      <c r="D4395" s="953"/>
      <c r="E4395" s="953"/>
      <c r="F4395" s="953"/>
      <c r="G4395" s="953"/>
      <c r="H4395" s="953"/>
    </row>
    <row r="4396" spans="1:8" x14ac:dyDescent="0.25">
      <c r="A4396" s="952"/>
      <c r="B4396" s="953"/>
      <c r="C4396" s="953"/>
      <c r="D4396" s="953"/>
      <c r="E4396" s="953"/>
      <c r="F4396" s="953"/>
      <c r="G4396" s="953"/>
      <c r="H4396" s="953"/>
    </row>
    <row r="4397" spans="1:8" x14ac:dyDescent="0.25">
      <c r="A4397" s="952"/>
      <c r="B4397" s="953"/>
      <c r="C4397" s="953"/>
      <c r="D4397" s="953"/>
      <c r="E4397" s="953"/>
      <c r="F4397" s="953"/>
      <c r="G4397" s="953"/>
      <c r="H4397" s="953"/>
    </row>
    <row r="4398" spans="1:8" x14ac:dyDescent="0.25">
      <c r="A4398" s="952"/>
      <c r="B4398" s="953"/>
      <c r="C4398" s="953"/>
      <c r="D4398" s="953"/>
      <c r="E4398" s="953"/>
      <c r="F4398" s="953"/>
      <c r="G4398" s="953"/>
      <c r="H4398" s="953"/>
    </row>
    <row r="4399" spans="1:8" x14ac:dyDescent="0.25">
      <c r="A4399" s="952"/>
      <c r="B4399" s="953"/>
      <c r="C4399" s="953"/>
      <c r="D4399" s="953"/>
      <c r="E4399" s="953"/>
      <c r="F4399" s="953"/>
      <c r="G4399" s="953"/>
      <c r="H4399" s="953"/>
    </row>
    <row r="4400" spans="1:8" x14ac:dyDescent="0.25">
      <c r="A4400" s="952"/>
      <c r="B4400" s="953"/>
      <c r="C4400" s="953"/>
      <c r="D4400" s="953"/>
      <c r="E4400" s="953"/>
      <c r="F4400" s="953"/>
      <c r="G4400" s="953"/>
      <c r="H4400" s="953"/>
    </row>
    <row r="4401" spans="1:8" x14ac:dyDescent="0.25">
      <c r="A4401" s="952"/>
      <c r="B4401" s="953"/>
      <c r="C4401" s="953"/>
      <c r="D4401" s="953"/>
      <c r="E4401" s="953"/>
      <c r="F4401" s="953"/>
      <c r="G4401" s="953"/>
      <c r="H4401" s="953"/>
    </row>
    <row r="4402" spans="1:8" x14ac:dyDescent="0.25">
      <c r="A4402" s="952"/>
      <c r="B4402" s="953"/>
      <c r="C4402" s="953"/>
      <c r="D4402" s="953"/>
      <c r="E4402" s="953"/>
      <c r="F4402" s="953"/>
      <c r="G4402" s="953"/>
      <c r="H4402" s="953"/>
    </row>
    <row r="4403" spans="1:8" x14ac:dyDescent="0.25">
      <c r="A4403" s="952"/>
      <c r="B4403" s="953"/>
      <c r="C4403" s="953"/>
      <c r="D4403" s="953"/>
      <c r="E4403" s="953"/>
      <c r="F4403" s="953"/>
      <c r="G4403" s="953"/>
      <c r="H4403" s="953"/>
    </row>
    <row r="4404" spans="1:8" x14ac:dyDescent="0.25">
      <c r="A4404" s="952"/>
      <c r="B4404" s="953"/>
      <c r="C4404" s="953"/>
      <c r="D4404" s="953"/>
      <c r="E4404" s="953"/>
      <c r="F4404" s="953"/>
      <c r="G4404" s="953"/>
      <c r="H4404" s="953"/>
    </row>
    <row r="4405" spans="1:8" x14ac:dyDescent="0.25">
      <c r="A4405" s="952"/>
      <c r="B4405" s="953"/>
      <c r="C4405" s="953"/>
      <c r="D4405" s="953"/>
      <c r="E4405" s="953"/>
      <c r="F4405" s="953"/>
      <c r="G4405" s="953"/>
      <c r="H4405" s="953"/>
    </row>
    <row r="4406" spans="1:8" x14ac:dyDescent="0.25">
      <c r="A4406" s="952"/>
      <c r="B4406" s="953"/>
      <c r="C4406" s="953"/>
      <c r="D4406" s="953"/>
      <c r="E4406" s="953"/>
      <c r="F4406" s="953"/>
      <c r="G4406" s="953"/>
      <c r="H4406" s="953"/>
    </row>
    <row r="4407" spans="1:8" x14ac:dyDescent="0.25">
      <c r="A4407" s="952"/>
      <c r="B4407" s="953"/>
      <c r="C4407" s="953"/>
      <c r="D4407" s="953"/>
      <c r="E4407" s="953"/>
      <c r="F4407" s="953"/>
      <c r="G4407" s="953"/>
      <c r="H4407" s="953"/>
    </row>
    <row r="4408" spans="1:8" x14ac:dyDescent="0.25">
      <c r="A4408" s="952"/>
      <c r="B4408" s="953"/>
      <c r="C4408" s="953"/>
      <c r="D4408" s="953"/>
      <c r="E4408" s="953"/>
      <c r="F4408" s="953"/>
      <c r="G4408" s="953"/>
      <c r="H4408" s="953"/>
    </row>
    <row r="4409" spans="1:8" x14ac:dyDescent="0.25">
      <c r="A4409" s="952"/>
      <c r="B4409" s="953"/>
      <c r="C4409" s="953"/>
      <c r="D4409" s="953"/>
      <c r="E4409" s="953"/>
      <c r="F4409" s="953"/>
      <c r="G4409" s="953"/>
      <c r="H4409" s="953"/>
    </row>
    <row r="4410" spans="1:8" x14ac:dyDescent="0.25">
      <c r="A4410" s="952"/>
      <c r="B4410" s="953"/>
      <c r="C4410" s="953"/>
      <c r="D4410" s="953"/>
      <c r="E4410" s="953"/>
      <c r="F4410" s="953"/>
      <c r="G4410" s="953"/>
      <c r="H4410" s="953"/>
    </row>
    <row r="4411" spans="1:8" x14ac:dyDescent="0.25">
      <c r="A4411" s="952"/>
      <c r="B4411" s="953"/>
      <c r="C4411" s="953"/>
      <c r="D4411" s="953"/>
      <c r="E4411" s="953"/>
      <c r="F4411" s="953"/>
      <c r="G4411" s="953"/>
      <c r="H4411" s="953"/>
    </row>
    <row r="4412" spans="1:8" x14ac:dyDescent="0.25">
      <c r="A4412" s="952"/>
      <c r="B4412" s="953"/>
      <c r="C4412" s="953"/>
      <c r="D4412" s="953"/>
      <c r="E4412" s="953"/>
      <c r="F4412" s="953"/>
      <c r="G4412" s="953"/>
      <c r="H4412" s="953"/>
    </row>
    <row r="4413" spans="1:8" x14ac:dyDescent="0.25">
      <c r="A4413" s="952"/>
      <c r="B4413" s="953"/>
      <c r="C4413" s="953"/>
      <c r="D4413" s="953"/>
      <c r="E4413" s="953"/>
      <c r="F4413" s="953"/>
      <c r="G4413" s="953"/>
      <c r="H4413" s="953"/>
    </row>
    <row r="4414" spans="1:8" x14ac:dyDescent="0.25">
      <c r="A4414" s="952"/>
      <c r="B4414" s="953"/>
      <c r="C4414" s="953"/>
      <c r="D4414" s="953"/>
      <c r="E4414" s="953"/>
      <c r="F4414" s="953"/>
      <c r="G4414" s="953"/>
      <c r="H4414" s="953"/>
    </row>
    <row r="4415" spans="1:8" x14ac:dyDescent="0.25">
      <c r="A4415" s="952"/>
      <c r="B4415" s="953"/>
      <c r="C4415" s="953"/>
      <c r="D4415" s="953"/>
      <c r="E4415" s="953"/>
      <c r="F4415" s="953"/>
      <c r="G4415" s="953"/>
      <c r="H4415" s="953"/>
    </row>
    <row r="4416" spans="1:8" x14ac:dyDescent="0.25">
      <c r="A4416" s="952"/>
      <c r="B4416" s="953"/>
      <c r="C4416" s="953"/>
      <c r="D4416" s="953"/>
      <c r="E4416" s="953"/>
      <c r="F4416" s="953"/>
      <c r="G4416" s="953"/>
      <c r="H4416" s="953"/>
    </row>
    <row r="4417" spans="1:8" x14ac:dyDescent="0.25">
      <c r="A4417" s="952"/>
      <c r="B4417" s="953"/>
      <c r="C4417" s="953"/>
      <c r="D4417" s="953"/>
      <c r="E4417" s="953"/>
      <c r="F4417" s="953"/>
      <c r="G4417" s="953"/>
      <c r="H4417" s="953"/>
    </row>
    <row r="4418" spans="1:8" x14ac:dyDescent="0.25">
      <c r="A4418" s="952"/>
      <c r="B4418" s="953"/>
      <c r="C4418" s="953"/>
      <c r="D4418" s="953"/>
      <c r="E4418" s="953"/>
      <c r="F4418" s="953"/>
      <c r="G4418" s="953"/>
      <c r="H4418" s="953"/>
    </row>
    <row r="4419" spans="1:8" x14ac:dyDescent="0.25">
      <c r="A4419" s="952"/>
      <c r="B4419" s="953"/>
      <c r="C4419" s="953"/>
      <c r="D4419" s="953"/>
      <c r="E4419" s="953"/>
      <c r="F4419" s="953"/>
      <c r="G4419" s="953"/>
      <c r="H4419" s="953"/>
    </row>
    <row r="4420" spans="1:8" x14ac:dyDescent="0.25">
      <c r="A4420" s="952"/>
      <c r="B4420" s="953"/>
      <c r="C4420" s="953"/>
      <c r="D4420" s="953"/>
      <c r="E4420" s="953"/>
      <c r="F4420" s="953"/>
      <c r="G4420" s="953"/>
      <c r="H4420" s="953"/>
    </row>
    <row r="4421" spans="1:8" x14ac:dyDescent="0.25">
      <c r="A4421" s="952"/>
      <c r="B4421" s="953"/>
      <c r="C4421" s="953"/>
      <c r="D4421" s="953"/>
      <c r="E4421" s="953"/>
      <c r="F4421" s="953"/>
      <c r="G4421" s="953"/>
      <c r="H4421" s="953"/>
    </row>
    <row r="4422" spans="1:8" x14ac:dyDescent="0.25">
      <c r="A4422" s="952"/>
      <c r="B4422" s="953"/>
      <c r="C4422" s="953"/>
      <c r="D4422" s="953"/>
      <c r="E4422" s="953"/>
      <c r="F4422" s="953"/>
      <c r="G4422" s="953"/>
      <c r="H4422" s="953"/>
    </row>
    <row r="4423" spans="1:8" x14ac:dyDescent="0.25">
      <c r="A4423" s="952"/>
      <c r="B4423" s="953"/>
      <c r="C4423" s="953"/>
      <c r="D4423" s="953"/>
      <c r="E4423" s="953"/>
      <c r="F4423" s="953"/>
      <c r="G4423" s="953"/>
      <c r="H4423" s="953"/>
    </row>
    <row r="4424" spans="1:8" x14ac:dyDescent="0.25">
      <c r="A4424" s="952"/>
      <c r="B4424" s="953"/>
      <c r="C4424" s="953"/>
      <c r="D4424" s="953"/>
      <c r="E4424" s="953"/>
      <c r="F4424" s="953"/>
      <c r="G4424" s="953"/>
      <c r="H4424" s="953"/>
    </row>
    <row r="4425" spans="1:8" x14ac:dyDescent="0.25">
      <c r="A4425" s="952"/>
      <c r="B4425" s="953"/>
      <c r="C4425" s="953"/>
      <c r="D4425" s="953"/>
      <c r="E4425" s="953"/>
      <c r="F4425" s="953"/>
      <c r="G4425" s="953"/>
      <c r="H4425" s="953"/>
    </row>
    <row r="4426" spans="1:8" x14ac:dyDescent="0.25">
      <c r="A4426" s="952"/>
      <c r="B4426" s="953"/>
      <c r="C4426" s="953"/>
      <c r="D4426" s="953"/>
      <c r="E4426" s="953"/>
      <c r="F4426" s="953"/>
      <c r="G4426" s="953"/>
      <c r="H4426" s="953"/>
    </row>
    <row r="4427" spans="1:8" x14ac:dyDescent="0.25">
      <c r="A4427" s="952"/>
      <c r="B4427" s="953"/>
      <c r="C4427" s="953"/>
      <c r="D4427" s="953"/>
      <c r="E4427" s="953"/>
      <c r="F4427" s="953"/>
      <c r="G4427" s="953"/>
      <c r="H4427" s="953"/>
    </row>
    <row r="4428" spans="1:8" x14ac:dyDescent="0.25">
      <c r="A4428" s="952"/>
      <c r="B4428" s="953"/>
      <c r="C4428" s="953"/>
      <c r="D4428" s="953"/>
      <c r="E4428" s="953"/>
      <c r="F4428" s="953"/>
      <c r="G4428" s="953"/>
      <c r="H4428" s="953"/>
    </row>
    <row r="4429" spans="1:8" x14ac:dyDescent="0.25">
      <c r="A4429" s="952"/>
      <c r="B4429" s="953"/>
      <c r="C4429" s="953"/>
      <c r="D4429" s="953"/>
      <c r="E4429" s="953"/>
      <c r="F4429" s="953"/>
      <c r="G4429" s="953"/>
      <c r="H4429" s="953"/>
    </row>
    <row r="4430" spans="1:8" x14ac:dyDescent="0.25">
      <c r="A4430" s="952"/>
      <c r="B4430" s="953"/>
      <c r="C4430" s="953"/>
      <c r="D4430" s="953"/>
      <c r="E4430" s="953"/>
      <c r="F4430" s="953"/>
      <c r="G4430" s="953"/>
      <c r="H4430" s="953"/>
    </row>
    <row r="4431" spans="1:8" x14ac:dyDescent="0.25">
      <c r="A4431" s="952"/>
      <c r="B4431" s="953"/>
      <c r="C4431" s="953"/>
      <c r="D4431" s="953"/>
      <c r="E4431" s="953"/>
      <c r="F4431" s="953"/>
      <c r="G4431" s="953"/>
      <c r="H4431" s="953"/>
    </row>
    <row r="4432" spans="1:8" x14ac:dyDescent="0.25">
      <c r="A4432" s="952"/>
      <c r="B4432" s="953"/>
      <c r="C4432" s="953"/>
      <c r="D4432" s="953"/>
      <c r="E4432" s="953"/>
      <c r="F4432" s="953"/>
      <c r="G4432" s="953"/>
      <c r="H4432" s="953"/>
    </row>
    <row r="4433" spans="1:8" x14ac:dyDescent="0.25">
      <c r="A4433" s="952"/>
      <c r="B4433" s="953"/>
      <c r="C4433" s="953"/>
      <c r="D4433" s="953"/>
      <c r="E4433" s="953"/>
      <c r="F4433" s="953"/>
      <c r="G4433" s="953"/>
      <c r="H4433" s="953"/>
    </row>
    <row r="4434" spans="1:8" x14ac:dyDescent="0.25">
      <c r="A4434" s="952"/>
      <c r="B4434" s="953"/>
      <c r="C4434" s="953"/>
      <c r="D4434" s="953"/>
      <c r="E4434" s="953"/>
      <c r="F4434" s="953"/>
      <c r="G4434" s="953"/>
      <c r="H4434" s="953"/>
    </row>
    <row r="4435" spans="1:8" x14ac:dyDescent="0.25">
      <c r="A4435" s="952"/>
      <c r="B4435" s="953"/>
      <c r="C4435" s="953"/>
      <c r="D4435" s="953"/>
      <c r="E4435" s="953"/>
      <c r="F4435" s="953"/>
      <c r="G4435" s="953"/>
      <c r="H4435" s="953"/>
    </row>
    <row r="4436" spans="1:8" x14ac:dyDescent="0.25">
      <c r="A4436" s="952"/>
      <c r="B4436" s="953"/>
      <c r="C4436" s="953"/>
      <c r="D4436" s="953"/>
      <c r="E4436" s="953"/>
      <c r="F4436" s="953"/>
      <c r="G4436" s="953"/>
      <c r="H4436" s="953"/>
    </row>
    <row r="4437" spans="1:8" x14ac:dyDescent="0.25">
      <c r="A4437" s="952"/>
      <c r="B4437" s="953"/>
      <c r="C4437" s="953"/>
      <c r="D4437" s="953"/>
      <c r="E4437" s="953"/>
      <c r="F4437" s="953"/>
      <c r="G4437" s="953"/>
      <c r="H4437" s="953"/>
    </row>
    <row r="4438" spans="1:8" x14ac:dyDescent="0.25">
      <c r="A4438" s="952"/>
      <c r="B4438" s="953"/>
      <c r="C4438" s="953"/>
      <c r="D4438" s="953"/>
      <c r="E4438" s="953"/>
      <c r="F4438" s="953"/>
      <c r="G4438" s="953"/>
      <c r="H4438" s="953"/>
    </row>
    <row r="4439" spans="1:8" x14ac:dyDescent="0.25">
      <c r="A4439" s="952"/>
      <c r="B4439" s="953"/>
      <c r="C4439" s="953"/>
      <c r="D4439" s="953"/>
      <c r="E4439" s="953"/>
      <c r="F4439" s="953"/>
      <c r="G4439" s="953"/>
      <c r="H4439" s="953"/>
    </row>
    <row r="4440" spans="1:8" x14ac:dyDescent="0.25">
      <c r="A4440" s="952"/>
      <c r="B4440" s="953"/>
      <c r="C4440" s="953"/>
      <c r="D4440" s="953"/>
      <c r="E4440" s="953"/>
      <c r="F4440" s="953"/>
      <c r="G4440" s="953"/>
      <c r="H4440" s="953"/>
    </row>
    <row r="4441" spans="1:8" x14ac:dyDescent="0.25">
      <c r="A4441" s="952"/>
      <c r="B4441" s="953"/>
      <c r="C4441" s="953"/>
      <c r="D4441" s="953"/>
      <c r="E4441" s="953"/>
      <c r="F4441" s="953"/>
      <c r="G4441" s="953"/>
      <c r="H4441" s="953"/>
    </row>
    <row r="4442" spans="1:8" x14ac:dyDescent="0.25">
      <c r="A4442" s="952"/>
      <c r="B4442" s="953"/>
      <c r="C4442" s="953"/>
      <c r="D4442" s="953"/>
      <c r="E4442" s="953"/>
      <c r="F4442" s="953"/>
      <c r="G4442" s="953"/>
      <c r="H4442" s="953"/>
    </row>
    <row r="4443" spans="1:8" x14ac:dyDescent="0.25">
      <c r="A4443" s="952"/>
      <c r="B4443" s="953"/>
      <c r="C4443" s="953"/>
      <c r="D4443" s="953"/>
      <c r="E4443" s="953"/>
      <c r="F4443" s="953"/>
      <c r="G4443" s="953"/>
      <c r="H4443" s="953"/>
    </row>
    <row r="4444" spans="1:8" x14ac:dyDescent="0.25">
      <c r="A4444" s="952"/>
      <c r="B4444" s="953"/>
      <c r="C4444" s="953"/>
      <c r="D4444" s="953"/>
      <c r="E4444" s="953"/>
      <c r="F4444" s="953"/>
      <c r="G4444" s="953"/>
      <c r="H4444" s="953"/>
    </row>
    <row r="4445" spans="1:8" x14ac:dyDescent="0.25">
      <c r="A4445" s="952"/>
      <c r="B4445" s="953"/>
      <c r="C4445" s="953"/>
      <c r="D4445" s="953"/>
      <c r="E4445" s="953"/>
      <c r="F4445" s="953"/>
      <c r="G4445" s="953"/>
      <c r="H4445" s="953"/>
    </row>
    <row r="4446" spans="1:8" x14ac:dyDescent="0.25">
      <c r="A4446" s="952"/>
      <c r="B4446" s="953"/>
      <c r="C4446" s="953"/>
      <c r="D4446" s="953"/>
      <c r="E4446" s="953"/>
      <c r="F4446" s="953"/>
      <c r="G4446" s="953"/>
      <c r="H4446" s="953"/>
    </row>
    <row r="4447" spans="1:8" x14ac:dyDescent="0.25">
      <c r="A4447" s="952"/>
      <c r="B4447" s="953"/>
      <c r="C4447" s="953"/>
      <c r="D4447" s="953"/>
      <c r="E4447" s="953"/>
      <c r="F4447" s="953"/>
      <c r="G4447" s="953"/>
      <c r="H4447" s="953"/>
    </row>
    <row r="4448" spans="1:8" x14ac:dyDescent="0.25">
      <c r="A4448" s="952"/>
      <c r="B4448" s="953"/>
      <c r="C4448" s="953"/>
      <c r="D4448" s="953"/>
      <c r="E4448" s="953"/>
      <c r="F4448" s="953"/>
      <c r="G4448" s="953"/>
      <c r="H4448" s="953"/>
    </row>
    <row r="4449" spans="1:8" x14ac:dyDescent="0.25">
      <c r="A4449" s="952"/>
      <c r="B4449" s="953"/>
      <c r="C4449" s="953"/>
      <c r="D4449" s="953"/>
      <c r="E4449" s="953"/>
      <c r="F4449" s="953"/>
      <c r="G4449" s="953"/>
      <c r="H4449" s="953"/>
    </row>
    <row r="4450" spans="1:8" x14ac:dyDescent="0.25">
      <c r="A4450" s="952"/>
      <c r="B4450" s="953"/>
      <c r="C4450" s="953"/>
      <c r="D4450" s="953"/>
      <c r="E4450" s="953"/>
      <c r="F4450" s="953"/>
      <c r="G4450" s="953"/>
      <c r="H4450" s="953"/>
    </row>
    <row r="4451" spans="1:8" x14ac:dyDescent="0.25">
      <c r="A4451" s="952"/>
      <c r="B4451" s="953"/>
      <c r="C4451" s="953"/>
      <c r="D4451" s="953"/>
      <c r="E4451" s="953"/>
      <c r="F4451" s="953"/>
      <c r="G4451" s="953"/>
      <c r="H4451" s="953"/>
    </row>
    <row r="4452" spans="1:8" x14ac:dyDescent="0.25">
      <c r="A4452" s="952"/>
      <c r="B4452" s="953"/>
      <c r="C4452" s="953"/>
      <c r="D4452" s="953"/>
      <c r="E4452" s="953"/>
      <c r="F4452" s="953"/>
      <c r="G4452" s="953"/>
      <c r="H4452" s="953"/>
    </row>
    <row r="4453" spans="1:8" x14ac:dyDescent="0.25">
      <c r="A4453" s="952"/>
      <c r="B4453" s="953"/>
      <c r="C4453" s="953"/>
      <c r="D4453" s="953"/>
      <c r="E4453" s="953"/>
      <c r="F4453" s="953"/>
      <c r="G4453" s="953"/>
      <c r="H4453" s="953"/>
    </row>
    <row r="4454" spans="1:8" x14ac:dyDescent="0.25">
      <c r="A4454" s="952"/>
      <c r="B4454" s="953"/>
      <c r="C4454" s="953"/>
      <c r="D4454" s="953"/>
      <c r="E4454" s="953"/>
      <c r="F4454" s="953"/>
      <c r="G4454" s="953"/>
      <c r="H4454" s="953"/>
    </row>
    <row r="4455" spans="1:8" x14ac:dyDescent="0.25">
      <c r="A4455" s="952"/>
      <c r="B4455" s="953"/>
      <c r="C4455" s="953"/>
      <c r="D4455" s="953"/>
      <c r="E4455" s="953"/>
      <c r="F4455" s="953"/>
      <c r="G4455" s="953"/>
      <c r="H4455" s="953"/>
    </row>
    <row r="4456" spans="1:8" x14ac:dyDescent="0.25">
      <c r="A4456" s="952"/>
      <c r="B4456" s="953"/>
      <c r="C4456" s="953"/>
      <c r="D4456" s="953"/>
      <c r="E4456" s="953"/>
      <c r="F4456" s="953"/>
      <c r="G4456" s="953"/>
      <c r="H4456" s="953"/>
    </row>
    <row r="4457" spans="1:8" x14ac:dyDescent="0.25">
      <c r="A4457" s="952"/>
      <c r="B4457" s="953"/>
      <c r="C4457" s="953"/>
      <c r="D4457" s="953"/>
      <c r="E4457" s="953"/>
      <c r="F4457" s="953"/>
      <c r="G4457" s="953"/>
      <c r="H4457" s="953"/>
    </row>
    <row r="4458" spans="1:8" x14ac:dyDescent="0.25">
      <c r="A4458" s="952"/>
      <c r="B4458" s="953"/>
      <c r="C4458" s="953"/>
      <c r="D4458" s="953"/>
      <c r="E4458" s="953"/>
      <c r="F4458" s="953"/>
      <c r="G4458" s="953"/>
      <c r="H4458" s="953"/>
    </row>
    <row r="4459" spans="1:8" x14ac:dyDescent="0.25">
      <c r="A4459" s="952"/>
      <c r="B4459" s="953"/>
      <c r="C4459" s="953"/>
      <c r="D4459" s="953"/>
      <c r="E4459" s="953"/>
      <c r="F4459" s="953"/>
      <c r="G4459" s="953"/>
      <c r="H4459" s="953"/>
    </row>
    <row r="4460" spans="1:8" x14ac:dyDescent="0.25">
      <c r="A4460" s="952"/>
      <c r="B4460" s="953"/>
      <c r="C4460" s="953"/>
      <c r="D4460" s="953"/>
      <c r="E4460" s="953"/>
      <c r="F4460" s="953"/>
      <c r="G4460" s="953"/>
      <c r="H4460" s="953"/>
    </row>
    <row r="4461" spans="1:8" x14ac:dyDescent="0.25">
      <c r="A4461" s="952"/>
      <c r="B4461" s="953"/>
      <c r="C4461" s="953"/>
      <c r="D4461" s="953"/>
      <c r="E4461" s="953"/>
      <c r="F4461" s="953"/>
      <c r="G4461" s="953"/>
      <c r="H4461" s="953"/>
    </row>
    <row r="4462" spans="1:8" x14ac:dyDescent="0.25">
      <c r="A4462" s="952"/>
      <c r="B4462" s="953"/>
      <c r="C4462" s="953"/>
      <c r="D4462" s="953"/>
      <c r="E4462" s="953"/>
      <c r="F4462" s="953"/>
      <c r="G4462" s="953"/>
      <c r="H4462" s="953"/>
    </row>
    <row r="4463" spans="1:8" x14ac:dyDescent="0.25">
      <c r="A4463" s="952"/>
      <c r="B4463" s="953"/>
      <c r="C4463" s="953"/>
      <c r="D4463" s="953"/>
      <c r="E4463" s="953"/>
      <c r="F4463" s="953"/>
      <c r="G4463" s="953"/>
      <c r="H4463" s="953"/>
    </row>
    <row r="4464" spans="1:8" x14ac:dyDescent="0.25">
      <c r="A4464" s="952"/>
      <c r="B4464" s="953"/>
      <c r="C4464" s="953"/>
      <c r="D4464" s="953"/>
      <c r="E4464" s="953"/>
      <c r="F4464" s="953"/>
      <c r="G4464" s="953"/>
      <c r="H4464" s="953"/>
    </row>
    <row r="4465" spans="1:8" x14ac:dyDescent="0.25">
      <c r="A4465" s="952"/>
      <c r="B4465" s="953"/>
      <c r="C4465" s="953"/>
      <c r="D4465" s="953"/>
      <c r="E4465" s="953"/>
      <c r="F4465" s="953"/>
      <c r="G4465" s="953"/>
      <c r="H4465" s="953"/>
    </row>
    <row r="4466" spans="1:8" x14ac:dyDescent="0.25">
      <c r="A4466" s="952"/>
      <c r="B4466" s="953"/>
      <c r="C4466" s="953"/>
      <c r="D4466" s="953"/>
      <c r="E4466" s="953"/>
      <c r="F4466" s="953"/>
      <c r="G4466" s="953"/>
      <c r="H4466" s="953"/>
    </row>
    <row r="4467" spans="1:8" x14ac:dyDescent="0.25">
      <c r="A4467" s="952"/>
      <c r="B4467" s="953"/>
      <c r="C4467" s="953"/>
      <c r="D4467" s="953"/>
      <c r="E4467" s="953"/>
      <c r="F4467" s="953"/>
      <c r="G4467" s="953"/>
      <c r="H4467" s="953"/>
    </row>
    <row r="4468" spans="1:8" x14ac:dyDescent="0.25">
      <c r="A4468" s="952"/>
      <c r="B4468" s="953"/>
      <c r="C4468" s="953"/>
      <c r="D4468" s="953"/>
      <c r="E4468" s="953"/>
      <c r="F4468" s="953"/>
      <c r="G4468" s="953"/>
      <c r="H4468" s="953"/>
    </row>
    <row r="4469" spans="1:8" x14ac:dyDescent="0.25">
      <c r="A4469" s="952"/>
      <c r="B4469" s="953"/>
      <c r="C4469" s="953"/>
      <c r="D4469" s="953"/>
      <c r="E4469" s="953"/>
      <c r="F4469" s="953"/>
      <c r="G4469" s="953"/>
      <c r="H4469" s="953"/>
    </row>
    <row r="4470" spans="1:8" x14ac:dyDescent="0.25">
      <c r="A4470" s="952"/>
      <c r="B4470" s="953"/>
      <c r="C4470" s="953"/>
      <c r="D4470" s="953"/>
      <c r="E4470" s="953"/>
      <c r="F4470" s="953"/>
      <c r="G4470" s="953"/>
      <c r="H4470" s="953"/>
    </row>
    <row r="4471" spans="1:8" x14ac:dyDescent="0.25">
      <c r="A4471" s="952"/>
      <c r="B4471" s="953"/>
      <c r="C4471" s="953"/>
      <c r="D4471" s="953"/>
      <c r="E4471" s="953"/>
      <c r="F4471" s="953"/>
      <c r="G4471" s="953"/>
      <c r="H4471" s="953"/>
    </row>
    <row r="4472" spans="1:8" x14ac:dyDescent="0.25">
      <c r="A4472" s="952"/>
      <c r="B4472" s="953"/>
      <c r="C4472" s="953"/>
      <c r="D4472" s="953"/>
      <c r="E4472" s="953"/>
      <c r="F4472" s="953"/>
      <c r="G4472" s="953"/>
      <c r="H4472" s="953"/>
    </row>
    <row r="4473" spans="1:8" x14ac:dyDescent="0.25">
      <c r="A4473" s="952"/>
      <c r="B4473" s="953"/>
      <c r="C4473" s="953"/>
      <c r="D4473" s="953"/>
      <c r="E4473" s="953"/>
      <c r="F4473" s="953"/>
      <c r="G4473" s="953"/>
      <c r="H4473" s="953"/>
    </row>
    <row r="4474" spans="1:8" x14ac:dyDescent="0.25">
      <c r="A4474" s="952"/>
      <c r="B4474" s="953"/>
      <c r="C4474" s="953"/>
      <c r="D4474" s="953"/>
      <c r="E4474" s="953"/>
      <c r="F4474" s="953"/>
      <c r="G4474" s="953"/>
      <c r="H4474" s="953"/>
    </row>
    <row r="4475" spans="1:8" x14ac:dyDescent="0.25">
      <c r="A4475" s="952"/>
      <c r="B4475" s="953"/>
      <c r="C4475" s="953"/>
      <c r="D4475" s="953"/>
      <c r="E4475" s="953"/>
      <c r="F4475" s="953"/>
      <c r="G4475" s="953"/>
      <c r="H4475" s="953"/>
    </row>
    <row r="4476" spans="1:8" x14ac:dyDescent="0.25">
      <c r="A4476" s="952"/>
      <c r="B4476" s="953"/>
      <c r="C4476" s="953"/>
      <c r="D4476" s="953"/>
      <c r="E4476" s="953"/>
      <c r="F4476" s="953"/>
      <c r="G4476" s="953"/>
      <c r="H4476" s="953"/>
    </row>
    <row r="4477" spans="1:8" x14ac:dyDescent="0.25">
      <c r="A4477" s="952"/>
      <c r="B4477" s="953"/>
      <c r="C4477" s="953"/>
      <c r="D4477" s="953"/>
      <c r="E4477" s="953"/>
      <c r="F4477" s="953"/>
      <c r="G4477" s="953"/>
      <c r="H4477" s="953"/>
    </row>
    <row r="4478" spans="1:8" x14ac:dyDescent="0.25">
      <c r="A4478" s="952"/>
      <c r="B4478" s="953"/>
      <c r="C4478" s="953"/>
      <c r="D4478" s="953"/>
      <c r="E4478" s="953"/>
      <c r="F4478" s="953"/>
      <c r="G4478" s="953"/>
      <c r="H4478" s="953"/>
    </row>
    <row r="4479" spans="1:8" x14ac:dyDescent="0.25">
      <c r="A4479" s="952"/>
      <c r="B4479" s="953"/>
      <c r="C4479" s="953"/>
      <c r="D4479" s="953"/>
      <c r="E4479" s="953"/>
      <c r="F4479" s="953"/>
      <c r="G4479" s="953"/>
      <c r="H4479" s="953"/>
    </row>
    <row r="4480" spans="1:8" x14ac:dyDescent="0.25">
      <c r="A4480" s="952"/>
      <c r="B4480" s="953"/>
      <c r="C4480" s="953"/>
      <c r="D4480" s="953"/>
      <c r="E4480" s="953"/>
      <c r="F4480" s="953"/>
      <c r="G4480" s="953"/>
      <c r="H4480" s="953"/>
    </row>
    <row r="4481" spans="1:8" x14ac:dyDescent="0.25">
      <c r="A4481" s="952"/>
      <c r="B4481" s="953"/>
      <c r="C4481" s="953"/>
      <c r="D4481" s="953"/>
      <c r="E4481" s="953"/>
      <c r="F4481" s="953"/>
      <c r="G4481" s="953"/>
      <c r="H4481" s="953"/>
    </row>
    <row r="4482" spans="1:8" x14ac:dyDescent="0.25">
      <c r="A4482" s="952"/>
      <c r="B4482" s="953"/>
      <c r="C4482" s="953"/>
      <c r="D4482" s="953"/>
      <c r="E4482" s="953"/>
      <c r="F4482" s="953"/>
      <c r="G4482" s="953"/>
      <c r="H4482" s="953"/>
    </row>
    <row r="4483" spans="1:8" x14ac:dyDescent="0.25">
      <c r="A4483" s="952"/>
      <c r="B4483" s="953"/>
      <c r="C4483" s="953"/>
      <c r="D4483" s="953"/>
      <c r="E4483" s="953"/>
      <c r="F4483" s="953"/>
      <c r="G4483" s="953"/>
      <c r="H4483" s="953"/>
    </row>
    <row r="4484" spans="1:8" x14ac:dyDescent="0.25">
      <c r="A4484" s="952"/>
      <c r="B4484" s="953"/>
      <c r="C4484" s="953"/>
      <c r="D4484" s="953"/>
      <c r="E4484" s="953"/>
      <c r="F4484" s="953"/>
      <c r="G4484" s="953"/>
      <c r="H4484" s="953"/>
    </row>
    <row r="4485" spans="1:8" x14ac:dyDescent="0.25">
      <c r="A4485" s="952"/>
      <c r="B4485" s="953"/>
      <c r="C4485" s="953"/>
      <c r="D4485" s="953"/>
      <c r="E4485" s="953"/>
      <c r="F4485" s="953"/>
      <c r="G4485" s="953"/>
      <c r="H4485" s="953"/>
    </row>
    <row r="4486" spans="1:8" x14ac:dyDescent="0.25">
      <c r="A4486" s="952"/>
      <c r="B4486" s="953"/>
      <c r="C4486" s="953"/>
      <c r="D4486" s="953"/>
      <c r="E4486" s="953"/>
      <c r="F4486" s="953"/>
      <c r="G4486" s="953"/>
      <c r="H4486" s="953"/>
    </row>
    <row r="4487" spans="1:8" x14ac:dyDescent="0.25">
      <c r="A4487" s="952"/>
      <c r="B4487" s="953"/>
      <c r="C4487" s="953"/>
      <c r="D4487" s="953"/>
      <c r="E4487" s="953"/>
      <c r="F4487" s="953"/>
      <c r="G4487" s="953"/>
      <c r="H4487" s="953"/>
    </row>
    <row r="4488" spans="1:8" x14ac:dyDescent="0.25">
      <c r="A4488" s="952"/>
      <c r="B4488" s="953"/>
      <c r="C4488" s="953"/>
      <c r="D4488" s="953"/>
      <c r="E4488" s="953"/>
      <c r="F4488" s="953"/>
      <c r="G4488" s="953"/>
      <c r="H4488" s="953"/>
    </row>
    <row r="4489" spans="1:8" x14ac:dyDescent="0.25">
      <c r="A4489" s="952"/>
      <c r="B4489" s="953"/>
      <c r="C4489" s="953"/>
      <c r="D4489" s="953"/>
      <c r="E4489" s="953"/>
      <c r="F4489" s="953"/>
      <c r="G4489" s="953"/>
      <c r="H4489" s="953"/>
    </row>
    <row r="4490" spans="1:8" x14ac:dyDescent="0.25">
      <c r="A4490" s="952"/>
      <c r="B4490" s="953"/>
      <c r="C4490" s="953"/>
      <c r="D4490" s="953"/>
      <c r="E4490" s="953"/>
      <c r="F4490" s="953"/>
      <c r="G4490" s="953"/>
      <c r="H4490" s="953"/>
    </row>
    <row r="4491" spans="1:8" x14ac:dyDescent="0.25">
      <c r="A4491" s="952"/>
      <c r="B4491" s="953"/>
      <c r="C4491" s="953"/>
      <c r="D4491" s="953"/>
      <c r="E4491" s="953"/>
      <c r="F4491" s="953"/>
      <c r="G4491" s="953"/>
      <c r="H4491" s="953"/>
    </row>
    <row r="4492" spans="1:8" x14ac:dyDescent="0.25">
      <c r="A4492" s="952"/>
      <c r="B4492" s="953"/>
      <c r="C4492" s="953"/>
      <c r="D4492" s="953"/>
      <c r="E4492" s="953"/>
      <c r="F4492" s="953"/>
      <c r="G4492" s="953"/>
      <c r="H4492" s="953"/>
    </row>
    <row r="4493" spans="1:8" x14ac:dyDescent="0.25">
      <c r="A4493" s="952"/>
      <c r="B4493" s="953"/>
      <c r="C4493" s="953"/>
      <c r="D4493" s="953"/>
      <c r="E4493" s="953"/>
      <c r="F4493" s="953"/>
      <c r="G4493" s="953"/>
      <c r="H4493" s="953"/>
    </row>
    <row r="4494" spans="1:8" x14ac:dyDescent="0.25">
      <c r="A4494" s="952"/>
      <c r="B4494" s="953"/>
      <c r="C4494" s="953"/>
      <c r="D4494" s="953"/>
      <c r="E4494" s="953"/>
      <c r="F4494" s="953"/>
      <c r="G4494" s="953"/>
      <c r="H4494" s="953"/>
    </row>
    <row r="4495" spans="1:8" x14ac:dyDescent="0.25">
      <c r="A4495" s="952"/>
      <c r="B4495" s="953"/>
      <c r="C4495" s="953"/>
      <c r="D4495" s="953"/>
      <c r="E4495" s="953"/>
      <c r="F4495" s="953"/>
      <c r="G4495" s="953"/>
      <c r="H4495" s="953"/>
    </row>
    <row r="4496" spans="1:8" x14ac:dyDescent="0.25">
      <c r="A4496" s="952"/>
      <c r="B4496" s="953"/>
      <c r="C4496" s="953"/>
      <c r="D4496" s="953"/>
      <c r="E4496" s="953"/>
      <c r="F4496" s="953"/>
      <c r="G4496" s="953"/>
      <c r="H4496" s="953"/>
    </row>
    <row r="4497" spans="1:8" x14ac:dyDescent="0.25">
      <c r="A4497" s="952"/>
      <c r="B4497" s="953"/>
      <c r="C4497" s="953"/>
      <c r="D4497" s="953"/>
      <c r="E4497" s="953"/>
      <c r="F4497" s="953"/>
      <c r="G4497" s="953"/>
      <c r="H4497" s="953"/>
    </row>
    <row r="4498" spans="1:8" x14ac:dyDescent="0.25">
      <c r="A4498" s="952"/>
      <c r="B4498" s="953"/>
      <c r="C4498" s="953"/>
      <c r="D4498" s="953"/>
      <c r="E4498" s="953"/>
      <c r="F4498" s="953"/>
      <c r="G4498" s="953"/>
      <c r="H4498" s="953"/>
    </row>
    <row r="4499" spans="1:8" x14ac:dyDescent="0.25">
      <c r="A4499" s="952"/>
      <c r="B4499" s="953"/>
      <c r="C4499" s="953"/>
      <c r="D4499" s="953"/>
      <c r="E4499" s="953"/>
      <c r="F4499" s="953"/>
      <c r="G4499" s="953"/>
      <c r="H4499" s="953"/>
    </row>
    <row r="4500" spans="1:8" x14ac:dyDescent="0.25">
      <c r="A4500" s="952"/>
      <c r="B4500" s="953"/>
      <c r="C4500" s="953"/>
      <c r="D4500" s="953"/>
      <c r="E4500" s="953"/>
      <c r="F4500" s="953"/>
      <c r="G4500" s="953"/>
      <c r="H4500" s="953"/>
    </row>
    <row r="4501" spans="1:8" x14ac:dyDescent="0.25">
      <c r="A4501" s="952"/>
      <c r="B4501" s="953"/>
      <c r="C4501" s="953"/>
      <c r="D4501" s="953"/>
      <c r="E4501" s="953"/>
      <c r="F4501" s="953"/>
      <c r="G4501" s="953"/>
      <c r="H4501" s="953"/>
    </row>
    <row r="4502" spans="1:8" x14ac:dyDescent="0.25">
      <c r="A4502" s="952"/>
      <c r="B4502" s="953"/>
      <c r="C4502" s="953"/>
      <c r="D4502" s="953"/>
      <c r="E4502" s="953"/>
      <c r="F4502" s="953"/>
      <c r="G4502" s="953"/>
      <c r="H4502" s="953"/>
    </row>
    <row r="4503" spans="1:8" x14ac:dyDescent="0.25">
      <c r="A4503" s="952"/>
      <c r="B4503" s="953"/>
      <c r="C4503" s="953"/>
      <c r="D4503" s="953"/>
      <c r="E4503" s="953"/>
      <c r="F4503" s="953"/>
      <c r="G4503" s="953"/>
      <c r="H4503" s="953"/>
    </row>
    <row r="4504" spans="1:8" x14ac:dyDescent="0.25">
      <c r="A4504" s="952"/>
      <c r="B4504" s="953"/>
      <c r="C4504" s="953"/>
      <c r="D4504" s="953"/>
      <c r="E4504" s="953"/>
      <c r="F4504" s="953"/>
      <c r="G4504" s="953"/>
      <c r="H4504" s="953"/>
    </row>
    <row r="4505" spans="1:8" x14ac:dyDescent="0.25">
      <c r="A4505" s="952"/>
      <c r="B4505" s="953"/>
      <c r="C4505" s="953"/>
      <c r="D4505" s="953"/>
      <c r="E4505" s="953"/>
      <c r="F4505" s="953"/>
      <c r="G4505" s="953"/>
      <c r="H4505" s="953"/>
    </row>
    <row r="4506" spans="1:8" x14ac:dyDescent="0.25">
      <c r="A4506" s="952"/>
      <c r="B4506" s="953"/>
      <c r="C4506" s="953"/>
      <c r="D4506" s="953"/>
      <c r="E4506" s="953"/>
      <c r="F4506" s="953"/>
      <c r="G4506" s="953"/>
      <c r="H4506" s="953"/>
    </row>
    <row r="4507" spans="1:8" x14ac:dyDescent="0.25">
      <c r="A4507" s="952"/>
      <c r="B4507" s="953"/>
      <c r="C4507" s="953"/>
      <c r="D4507" s="953"/>
      <c r="E4507" s="953"/>
      <c r="F4507" s="953"/>
      <c r="G4507" s="953"/>
      <c r="H4507" s="953"/>
    </row>
    <row r="4508" spans="1:8" x14ac:dyDescent="0.25">
      <c r="A4508" s="952"/>
      <c r="B4508" s="953"/>
      <c r="C4508" s="953"/>
      <c r="D4508" s="953"/>
      <c r="E4508" s="953"/>
      <c r="F4508" s="953"/>
      <c r="G4508" s="953"/>
      <c r="H4508" s="953"/>
    </row>
    <row r="4509" spans="1:8" x14ac:dyDescent="0.25">
      <c r="A4509" s="952"/>
      <c r="B4509" s="953"/>
      <c r="C4509" s="953"/>
      <c r="D4509" s="953"/>
      <c r="E4509" s="953"/>
      <c r="F4509" s="953"/>
      <c r="G4509" s="953"/>
      <c r="H4509" s="953"/>
    </row>
    <row r="4510" spans="1:8" x14ac:dyDescent="0.25">
      <c r="A4510" s="952"/>
      <c r="B4510" s="953"/>
      <c r="C4510" s="953"/>
      <c r="D4510" s="953"/>
      <c r="E4510" s="953"/>
      <c r="F4510" s="953"/>
      <c r="G4510" s="953"/>
      <c r="H4510" s="953"/>
    </row>
    <row r="4511" spans="1:8" x14ac:dyDescent="0.25">
      <c r="A4511" s="952"/>
      <c r="B4511" s="953"/>
      <c r="C4511" s="953"/>
      <c r="D4511" s="953"/>
      <c r="E4511" s="953"/>
      <c r="F4511" s="953"/>
      <c r="G4511" s="953"/>
      <c r="H4511" s="953"/>
    </row>
    <row r="4512" spans="1:8" x14ac:dyDescent="0.25">
      <c r="A4512" s="952"/>
      <c r="B4512" s="953"/>
      <c r="C4512" s="953"/>
      <c r="D4512" s="953"/>
      <c r="E4512" s="953"/>
      <c r="F4512" s="953"/>
      <c r="G4512" s="953"/>
      <c r="H4512" s="953"/>
    </row>
    <row r="4513" spans="1:8" x14ac:dyDescent="0.25">
      <c r="A4513" s="952"/>
      <c r="B4513" s="953"/>
      <c r="C4513" s="953"/>
      <c r="D4513" s="953"/>
      <c r="E4513" s="953"/>
      <c r="F4513" s="953"/>
      <c r="G4513" s="953"/>
      <c r="H4513" s="953"/>
    </row>
    <row r="4514" spans="1:8" x14ac:dyDescent="0.25">
      <c r="A4514" s="952"/>
      <c r="B4514" s="953"/>
      <c r="C4514" s="953"/>
      <c r="D4514" s="953"/>
      <c r="E4514" s="953"/>
      <c r="F4514" s="953"/>
      <c r="G4514" s="953"/>
      <c r="H4514" s="953"/>
    </row>
    <row r="4515" spans="1:8" x14ac:dyDescent="0.25">
      <c r="A4515" s="952"/>
      <c r="B4515" s="953"/>
      <c r="C4515" s="953"/>
      <c r="D4515" s="953"/>
      <c r="E4515" s="953"/>
      <c r="F4515" s="953"/>
      <c r="G4515" s="953"/>
      <c r="H4515" s="953"/>
    </row>
    <row r="4516" spans="1:8" x14ac:dyDescent="0.25">
      <c r="A4516" s="952"/>
      <c r="B4516" s="953"/>
      <c r="C4516" s="953"/>
      <c r="D4516" s="953"/>
      <c r="E4516" s="953"/>
      <c r="F4516" s="953"/>
      <c r="G4516" s="953"/>
      <c r="H4516" s="953"/>
    </row>
    <row r="4517" spans="1:8" x14ac:dyDescent="0.25">
      <c r="A4517" s="952"/>
      <c r="B4517" s="953"/>
      <c r="C4517" s="953"/>
      <c r="D4517" s="953"/>
      <c r="E4517" s="953"/>
      <c r="F4517" s="953"/>
      <c r="G4517" s="953"/>
      <c r="H4517" s="953"/>
    </row>
    <row r="4518" spans="1:8" x14ac:dyDescent="0.25">
      <c r="A4518" s="952"/>
      <c r="B4518" s="953"/>
      <c r="C4518" s="953"/>
      <c r="D4518" s="953"/>
      <c r="E4518" s="953"/>
      <c r="F4518" s="953"/>
      <c r="G4518" s="953"/>
      <c r="H4518" s="953"/>
    </row>
    <row r="4519" spans="1:8" x14ac:dyDescent="0.25">
      <c r="A4519" s="952"/>
      <c r="B4519" s="953"/>
      <c r="C4519" s="953"/>
      <c r="D4519" s="953"/>
      <c r="E4519" s="953"/>
      <c r="F4519" s="953"/>
      <c r="G4519" s="953"/>
      <c r="H4519" s="953"/>
    </row>
    <row r="4520" spans="1:8" x14ac:dyDescent="0.25">
      <c r="A4520" s="952"/>
      <c r="B4520" s="953"/>
      <c r="C4520" s="953"/>
      <c r="D4520" s="953"/>
      <c r="E4520" s="953"/>
      <c r="F4520" s="953"/>
      <c r="G4520" s="953"/>
      <c r="H4520" s="953"/>
    </row>
    <row r="4521" spans="1:8" x14ac:dyDescent="0.25">
      <c r="A4521" s="952"/>
      <c r="B4521" s="953"/>
      <c r="C4521" s="953"/>
      <c r="D4521" s="953"/>
      <c r="E4521" s="953"/>
      <c r="F4521" s="953"/>
      <c r="G4521" s="953"/>
      <c r="H4521" s="953"/>
    </row>
    <row r="4522" spans="1:8" x14ac:dyDescent="0.25">
      <c r="A4522" s="952"/>
      <c r="B4522" s="953"/>
      <c r="C4522" s="953"/>
      <c r="D4522" s="953"/>
      <c r="E4522" s="953"/>
      <c r="F4522" s="953"/>
      <c r="G4522" s="953"/>
      <c r="H4522" s="953"/>
    </row>
    <row r="4523" spans="1:8" x14ac:dyDescent="0.25">
      <c r="A4523" s="952"/>
      <c r="B4523" s="953"/>
      <c r="C4523" s="953"/>
      <c r="D4523" s="953"/>
      <c r="E4523" s="953"/>
      <c r="F4523" s="953"/>
      <c r="G4523" s="953"/>
      <c r="H4523" s="953"/>
    </row>
    <row r="4524" spans="1:8" x14ac:dyDescent="0.25">
      <c r="A4524" s="952"/>
      <c r="B4524" s="953"/>
      <c r="C4524" s="953"/>
      <c r="D4524" s="953"/>
      <c r="E4524" s="953"/>
      <c r="F4524" s="953"/>
      <c r="G4524" s="953"/>
      <c r="H4524" s="953"/>
    </row>
    <row r="4525" spans="1:8" x14ac:dyDescent="0.25">
      <c r="A4525" s="952"/>
      <c r="B4525" s="953"/>
      <c r="C4525" s="953"/>
      <c r="D4525" s="953"/>
      <c r="E4525" s="953"/>
      <c r="F4525" s="953"/>
      <c r="G4525" s="953"/>
      <c r="H4525" s="953"/>
    </row>
    <row r="4526" spans="1:8" x14ac:dyDescent="0.25">
      <c r="A4526" s="952"/>
      <c r="B4526" s="953"/>
      <c r="C4526" s="953"/>
      <c r="D4526" s="953"/>
      <c r="E4526" s="953"/>
      <c r="F4526" s="953"/>
      <c r="G4526" s="953"/>
      <c r="H4526" s="953"/>
    </row>
    <row r="4527" spans="1:8" x14ac:dyDescent="0.25">
      <c r="A4527" s="952"/>
      <c r="B4527" s="953"/>
      <c r="C4527" s="953"/>
      <c r="D4527" s="953"/>
      <c r="E4527" s="953"/>
      <c r="F4527" s="953"/>
      <c r="G4527" s="953"/>
      <c r="H4527" s="953"/>
    </row>
    <row r="4528" spans="1:8" x14ac:dyDescent="0.25">
      <c r="A4528" s="952"/>
      <c r="B4528" s="953"/>
      <c r="C4528" s="953"/>
      <c r="D4528" s="953"/>
      <c r="E4528" s="953"/>
      <c r="F4528" s="953"/>
      <c r="G4528" s="953"/>
      <c r="H4528" s="953"/>
    </row>
    <row r="4529" spans="1:8" x14ac:dyDescent="0.25">
      <c r="A4529" s="952"/>
      <c r="B4529" s="953"/>
      <c r="C4529" s="953"/>
      <c r="D4529" s="953"/>
      <c r="E4529" s="953"/>
      <c r="F4529" s="953"/>
      <c r="G4529" s="953"/>
      <c r="H4529" s="953"/>
    </row>
    <row r="4530" spans="1:8" x14ac:dyDescent="0.25">
      <c r="A4530" s="952"/>
      <c r="B4530" s="953"/>
      <c r="C4530" s="953"/>
      <c r="D4530" s="953"/>
      <c r="E4530" s="953"/>
      <c r="F4530" s="953"/>
      <c r="G4530" s="953"/>
      <c r="H4530" s="953"/>
    </row>
    <row r="4531" spans="1:8" x14ac:dyDescent="0.25">
      <c r="A4531" s="952"/>
      <c r="B4531" s="953"/>
      <c r="C4531" s="953"/>
      <c r="D4531" s="953"/>
      <c r="E4531" s="953"/>
      <c r="F4531" s="953"/>
      <c r="G4531" s="953"/>
      <c r="H4531" s="953"/>
    </row>
    <row r="4532" spans="1:8" x14ac:dyDescent="0.25">
      <c r="A4532" s="952"/>
      <c r="B4532" s="953"/>
      <c r="C4532" s="953"/>
      <c r="D4532" s="953"/>
      <c r="E4532" s="953"/>
      <c r="F4532" s="953"/>
      <c r="G4532" s="953"/>
      <c r="H4532" s="953"/>
    </row>
    <row r="4533" spans="1:8" x14ac:dyDescent="0.25">
      <c r="A4533" s="952"/>
      <c r="B4533" s="953"/>
      <c r="C4533" s="953"/>
      <c r="D4533" s="953"/>
      <c r="E4533" s="953"/>
      <c r="F4533" s="953"/>
      <c r="G4533" s="953"/>
      <c r="H4533" s="953"/>
    </row>
    <row r="4534" spans="1:8" x14ac:dyDescent="0.25">
      <c r="A4534" s="952"/>
      <c r="B4534" s="953"/>
      <c r="C4534" s="953"/>
      <c r="D4534" s="953"/>
      <c r="E4534" s="953"/>
      <c r="F4534" s="953"/>
      <c r="G4534" s="953"/>
      <c r="H4534" s="953"/>
    </row>
    <row r="4535" spans="1:8" x14ac:dyDescent="0.25">
      <c r="A4535" s="952"/>
      <c r="B4535" s="953"/>
      <c r="C4535" s="953"/>
      <c r="D4535" s="953"/>
      <c r="E4535" s="953"/>
      <c r="F4535" s="953"/>
      <c r="G4535" s="953"/>
      <c r="H4535" s="953"/>
    </row>
    <row r="4536" spans="1:8" x14ac:dyDescent="0.25">
      <c r="A4536" s="952"/>
      <c r="B4536" s="953"/>
      <c r="C4536" s="953"/>
      <c r="D4536" s="953"/>
      <c r="E4536" s="953"/>
      <c r="F4536" s="953"/>
      <c r="G4536" s="953"/>
      <c r="H4536" s="953"/>
    </row>
    <row r="4537" spans="1:8" x14ac:dyDescent="0.25">
      <c r="A4537" s="952"/>
      <c r="B4537" s="953"/>
      <c r="C4537" s="953"/>
      <c r="D4537" s="953"/>
      <c r="E4537" s="953"/>
      <c r="F4537" s="953"/>
      <c r="G4537" s="953"/>
      <c r="H4537" s="953"/>
    </row>
    <row r="4538" spans="1:8" x14ac:dyDescent="0.25">
      <c r="A4538" s="952"/>
      <c r="B4538" s="953"/>
      <c r="C4538" s="953"/>
      <c r="D4538" s="953"/>
      <c r="E4538" s="953"/>
      <c r="F4538" s="953"/>
      <c r="G4538" s="953"/>
      <c r="H4538" s="953"/>
    </row>
    <row r="4539" spans="1:8" x14ac:dyDescent="0.25">
      <c r="A4539" s="952"/>
      <c r="B4539" s="953"/>
      <c r="C4539" s="953"/>
      <c r="D4539" s="953"/>
      <c r="E4539" s="953"/>
      <c r="F4539" s="953"/>
      <c r="G4539" s="953"/>
      <c r="H4539" s="953"/>
    </row>
    <row r="4540" spans="1:8" x14ac:dyDescent="0.25">
      <c r="A4540" s="952"/>
      <c r="B4540" s="953"/>
      <c r="C4540" s="953"/>
      <c r="D4540" s="953"/>
      <c r="E4540" s="953"/>
      <c r="F4540" s="953"/>
      <c r="G4540" s="953"/>
      <c r="H4540" s="953"/>
    </row>
    <row r="4541" spans="1:8" x14ac:dyDescent="0.25">
      <c r="A4541" s="952"/>
      <c r="B4541" s="953"/>
      <c r="C4541" s="953"/>
      <c r="D4541" s="953"/>
      <c r="E4541" s="953"/>
      <c r="F4541" s="953"/>
      <c r="G4541" s="953"/>
      <c r="H4541" s="953"/>
    </row>
    <row r="4542" spans="1:8" x14ac:dyDescent="0.25">
      <c r="A4542" s="952"/>
      <c r="B4542" s="953"/>
      <c r="C4542" s="953"/>
      <c r="D4542" s="953"/>
      <c r="E4542" s="953"/>
      <c r="F4542" s="953"/>
      <c r="G4542" s="953"/>
      <c r="H4542" s="953"/>
    </row>
    <row r="4543" spans="1:8" x14ac:dyDescent="0.25">
      <c r="A4543" s="952"/>
      <c r="B4543" s="953"/>
      <c r="C4543" s="953"/>
      <c r="D4543" s="953"/>
      <c r="E4543" s="953"/>
      <c r="F4543" s="953"/>
      <c r="G4543" s="953"/>
      <c r="H4543" s="953"/>
    </row>
    <row r="4544" spans="1:8" x14ac:dyDescent="0.25">
      <c r="A4544" s="952"/>
      <c r="B4544" s="953"/>
      <c r="C4544" s="953"/>
      <c r="D4544" s="953"/>
      <c r="E4544" s="953"/>
      <c r="F4544" s="953"/>
      <c r="G4544" s="953"/>
      <c r="H4544" s="953"/>
    </row>
    <row r="4545" spans="1:8" x14ac:dyDescent="0.25">
      <c r="A4545" s="952"/>
      <c r="B4545" s="953"/>
      <c r="C4545" s="953"/>
      <c r="D4545" s="953"/>
      <c r="E4545" s="953"/>
      <c r="F4545" s="953"/>
      <c r="G4545" s="953"/>
      <c r="H4545" s="953"/>
    </row>
    <row r="4546" spans="1:8" x14ac:dyDescent="0.25">
      <c r="A4546" s="952"/>
      <c r="B4546" s="953"/>
      <c r="C4546" s="953"/>
      <c r="D4546" s="953"/>
      <c r="E4546" s="953"/>
      <c r="F4546" s="953"/>
      <c r="G4546" s="953"/>
      <c r="H4546" s="953"/>
    </row>
    <row r="4547" spans="1:8" x14ac:dyDescent="0.25">
      <c r="A4547" s="952"/>
      <c r="B4547" s="953"/>
      <c r="C4547" s="953"/>
      <c r="D4547" s="953"/>
      <c r="E4547" s="953"/>
      <c r="F4547" s="953"/>
      <c r="G4547" s="953"/>
      <c r="H4547" s="953"/>
    </row>
    <row r="4548" spans="1:8" x14ac:dyDescent="0.25">
      <c r="A4548" s="952"/>
      <c r="B4548" s="953"/>
      <c r="C4548" s="953"/>
      <c r="D4548" s="953"/>
      <c r="E4548" s="953"/>
      <c r="F4548" s="953"/>
      <c r="G4548" s="953"/>
      <c r="H4548" s="953"/>
    </row>
    <row r="4549" spans="1:8" x14ac:dyDescent="0.25">
      <c r="A4549" s="952"/>
      <c r="B4549" s="953"/>
      <c r="C4549" s="953"/>
      <c r="D4549" s="953"/>
      <c r="E4549" s="953"/>
      <c r="F4549" s="953"/>
      <c r="G4549" s="953"/>
      <c r="H4549" s="953"/>
    </row>
    <row r="4550" spans="1:8" x14ac:dyDescent="0.25">
      <c r="A4550" s="952"/>
      <c r="B4550" s="953"/>
      <c r="C4550" s="953"/>
      <c r="D4550" s="953"/>
      <c r="E4550" s="953"/>
      <c r="F4550" s="953"/>
      <c r="G4550" s="953"/>
      <c r="H4550" s="953"/>
    </row>
    <row r="4551" spans="1:8" x14ac:dyDescent="0.25">
      <c r="A4551" s="952"/>
      <c r="B4551" s="953"/>
      <c r="C4551" s="953"/>
      <c r="D4551" s="953"/>
      <c r="E4551" s="953"/>
      <c r="F4551" s="953"/>
      <c r="G4551" s="953"/>
      <c r="H4551" s="953"/>
    </row>
    <row r="4552" spans="1:8" x14ac:dyDescent="0.25">
      <c r="A4552" s="952"/>
      <c r="B4552" s="953"/>
      <c r="C4552" s="953"/>
      <c r="D4552" s="953"/>
      <c r="E4552" s="953"/>
      <c r="F4552" s="953"/>
      <c r="G4552" s="953"/>
      <c r="H4552" s="953"/>
    </row>
    <row r="4553" spans="1:8" x14ac:dyDescent="0.25">
      <c r="A4553" s="952"/>
      <c r="B4553" s="953"/>
      <c r="C4553" s="953"/>
      <c r="D4553" s="953"/>
      <c r="E4553" s="953"/>
      <c r="F4553" s="953"/>
      <c r="G4553" s="953"/>
      <c r="H4553" s="953"/>
    </row>
    <row r="4554" spans="1:8" x14ac:dyDescent="0.25">
      <c r="A4554" s="952"/>
      <c r="B4554" s="953"/>
      <c r="C4554" s="953"/>
      <c r="D4554" s="953"/>
      <c r="E4554" s="953"/>
      <c r="F4554" s="953"/>
      <c r="G4554" s="953"/>
      <c r="H4554" s="953"/>
    </row>
    <row r="4555" spans="1:8" x14ac:dyDescent="0.25">
      <c r="A4555" s="952"/>
      <c r="B4555" s="953"/>
      <c r="C4555" s="953"/>
      <c r="D4555" s="953"/>
      <c r="E4555" s="953"/>
      <c r="F4555" s="953"/>
      <c r="G4555" s="953"/>
      <c r="H4555" s="953"/>
    </row>
    <row r="4556" spans="1:8" x14ac:dyDescent="0.25">
      <c r="A4556" s="952"/>
      <c r="B4556" s="953"/>
      <c r="C4556" s="953"/>
      <c r="D4556" s="953"/>
      <c r="E4556" s="953"/>
      <c r="F4556" s="953"/>
      <c r="G4556" s="953"/>
      <c r="H4556" s="953"/>
    </row>
    <row r="4557" spans="1:8" x14ac:dyDescent="0.25">
      <c r="A4557" s="952"/>
      <c r="B4557" s="953"/>
      <c r="C4557" s="953"/>
      <c r="D4557" s="953"/>
      <c r="E4557" s="953"/>
      <c r="F4557" s="953"/>
      <c r="G4557" s="953"/>
      <c r="H4557" s="953"/>
    </row>
    <row r="4558" spans="1:8" x14ac:dyDescent="0.25">
      <c r="A4558" s="952"/>
      <c r="B4558" s="953"/>
      <c r="C4558" s="953"/>
      <c r="D4558" s="953"/>
      <c r="E4558" s="953"/>
      <c r="F4558" s="953"/>
      <c r="G4558" s="953"/>
      <c r="H4558" s="953"/>
    </row>
    <row r="4559" spans="1:8" x14ac:dyDescent="0.25">
      <c r="A4559" s="952"/>
      <c r="B4559" s="953"/>
      <c r="C4559" s="953"/>
      <c r="D4559" s="953"/>
      <c r="E4559" s="953"/>
      <c r="F4559" s="953"/>
      <c r="G4559" s="953"/>
      <c r="H4559" s="953"/>
    </row>
    <row r="4560" spans="1:8" x14ac:dyDescent="0.25">
      <c r="A4560" s="952"/>
      <c r="B4560" s="953"/>
      <c r="C4560" s="953"/>
      <c r="D4560" s="953"/>
      <c r="E4560" s="953"/>
      <c r="F4560" s="953"/>
      <c r="G4560" s="953"/>
      <c r="H4560" s="953"/>
    </row>
    <row r="4561" spans="1:8" x14ac:dyDescent="0.25">
      <c r="A4561" s="952"/>
      <c r="B4561" s="953"/>
      <c r="C4561" s="953"/>
      <c r="D4561" s="953"/>
      <c r="E4561" s="953"/>
      <c r="F4561" s="953"/>
      <c r="G4561" s="953"/>
      <c r="H4561" s="953"/>
    </row>
    <row r="4562" spans="1:8" x14ac:dyDescent="0.25">
      <c r="A4562" s="952"/>
      <c r="B4562" s="953"/>
      <c r="C4562" s="953"/>
      <c r="D4562" s="953"/>
      <c r="E4562" s="953"/>
      <c r="F4562" s="953"/>
      <c r="G4562" s="953"/>
      <c r="H4562" s="953"/>
    </row>
    <row r="4563" spans="1:8" x14ac:dyDescent="0.25">
      <c r="A4563" s="952"/>
      <c r="B4563" s="953"/>
      <c r="C4563" s="953"/>
      <c r="D4563" s="953"/>
      <c r="E4563" s="953"/>
      <c r="F4563" s="953"/>
      <c r="G4563" s="953"/>
      <c r="H4563" s="953"/>
    </row>
    <row r="4564" spans="1:8" x14ac:dyDescent="0.25">
      <c r="A4564" s="952"/>
      <c r="B4564" s="953"/>
      <c r="C4564" s="953"/>
      <c r="D4564" s="953"/>
      <c r="E4564" s="953"/>
      <c r="F4564" s="953"/>
      <c r="G4564" s="953"/>
      <c r="H4564" s="953"/>
    </row>
    <row r="4565" spans="1:8" x14ac:dyDescent="0.25">
      <c r="A4565" s="952"/>
      <c r="B4565" s="953"/>
      <c r="C4565" s="953"/>
      <c r="D4565" s="953"/>
      <c r="E4565" s="953"/>
      <c r="F4565" s="953"/>
      <c r="G4565" s="953"/>
      <c r="H4565" s="953"/>
    </row>
    <row r="4566" spans="1:8" x14ac:dyDescent="0.25">
      <c r="A4566" s="952"/>
      <c r="B4566" s="953"/>
      <c r="C4566" s="953"/>
      <c r="D4566" s="953"/>
      <c r="E4566" s="953"/>
      <c r="F4566" s="953"/>
      <c r="G4566" s="953"/>
      <c r="H4566" s="953"/>
    </row>
    <row r="4567" spans="1:8" x14ac:dyDescent="0.25">
      <c r="A4567" s="952"/>
      <c r="B4567" s="953"/>
      <c r="C4567" s="953"/>
      <c r="D4567" s="953"/>
      <c r="E4567" s="953"/>
      <c r="F4567" s="953"/>
      <c r="G4567" s="953"/>
      <c r="H4567" s="953"/>
    </row>
    <row r="4568" spans="1:8" x14ac:dyDescent="0.25">
      <c r="A4568" s="952"/>
      <c r="B4568" s="953"/>
      <c r="C4568" s="953"/>
      <c r="D4568" s="953"/>
      <c r="E4568" s="953"/>
      <c r="F4568" s="953"/>
      <c r="G4568" s="953"/>
      <c r="H4568" s="953"/>
    </row>
    <row r="4569" spans="1:8" x14ac:dyDescent="0.25">
      <c r="A4569" s="952"/>
      <c r="B4569" s="953"/>
      <c r="C4569" s="953"/>
      <c r="D4569" s="953"/>
      <c r="E4569" s="953"/>
      <c r="F4569" s="953"/>
      <c r="G4569" s="953"/>
      <c r="H4569" s="953"/>
    </row>
    <row r="4570" spans="1:8" x14ac:dyDescent="0.25">
      <c r="A4570" s="952"/>
      <c r="B4570" s="953"/>
      <c r="C4570" s="953"/>
      <c r="D4570" s="953"/>
      <c r="E4570" s="953"/>
      <c r="F4570" s="953"/>
      <c r="G4570" s="953"/>
      <c r="H4570" s="953"/>
    </row>
    <row r="4571" spans="1:8" x14ac:dyDescent="0.25">
      <c r="A4571" s="952"/>
      <c r="B4571" s="953"/>
      <c r="C4571" s="953"/>
      <c r="D4571" s="953"/>
      <c r="E4571" s="953"/>
      <c r="F4571" s="953"/>
      <c r="G4571" s="953"/>
      <c r="H4571" s="953"/>
    </row>
    <row r="4572" spans="1:8" x14ac:dyDescent="0.25">
      <c r="A4572" s="952"/>
      <c r="B4572" s="953"/>
      <c r="C4572" s="953"/>
      <c r="D4572" s="953"/>
      <c r="E4572" s="953"/>
      <c r="F4572" s="953"/>
      <c r="G4572" s="953"/>
      <c r="H4572" s="953"/>
    </row>
    <row r="4573" spans="1:8" x14ac:dyDescent="0.25">
      <c r="A4573" s="952"/>
      <c r="B4573" s="953"/>
      <c r="C4573" s="953"/>
      <c r="D4573" s="953"/>
      <c r="E4573" s="953"/>
      <c r="F4573" s="953"/>
      <c r="G4573" s="953"/>
      <c r="H4573" s="953"/>
    </row>
    <row r="4574" spans="1:8" x14ac:dyDescent="0.25">
      <c r="A4574" s="952"/>
      <c r="B4574" s="953"/>
      <c r="C4574" s="953"/>
      <c r="D4574" s="953"/>
      <c r="E4574" s="953"/>
      <c r="F4574" s="953"/>
      <c r="G4574" s="953"/>
      <c r="H4574" s="953"/>
    </row>
    <row r="4575" spans="1:8" x14ac:dyDescent="0.25">
      <c r="A4575" s="952"/>
      <c r="B4575" s="953"/>
      <c r="C4575" s="953"/>
      <c r="D4575" s="953"/>
      <c r="E4575" s="953"/>
      <c r="F4575" s="953"/>
      <c r="G4575" s="953"/>
      <c r="H4575" s="953"/>
    </row>
    <row r="4576" spans="1:8" x14ac:dyDescent="0.25">
      <c r="A4576" s="952"/>
      <c r="B4576" s="953"/>
      <c r="C4576" s="953"/>
      <c r="D4576" s="953"/>
      <c r="E4576" s="953"/>
      <c r="F4576" s="953"/>
      <c r="G4576" s="953"/>
      <c r="H4576" s="953"/>
    </row>
    <row r="4577" spans="1:8" x14ac:dyDescent="0.25">
      <c r="A4577" s="952"/>
      <c r="B4577" s="953"/>
      <c r="C4577" s="953"/>
      <c r="D4577" s="953"/>
      <c r="E4577" s="953"/>
      <c r="F4577" s="953"/>
      <c r="G4577" s="953"/>
      <c r="H4577" s="953"/>
    </row>
    <row r="4578" spans="1:8" x14ac:dyDescent="0.25">
      <c r="A4578" s="952"/>
      <c r="B4578" s="953"/>
      <c r="C4578" s="953"/>
      <c r="D4578" s="953"/>
      <c r="E4578" s="953"/>
      <c r="F4578" s="953"/>
      <c r="G4578" s="953"/>
      <c r="H4578" s="953"/>
    </row>
    <row r="4579" spans="1:8" x14ac:dyDescent="0.25">
      <c r="A4579" s="952"/>
      <c r="B4579" s="953"/>
      <c r="C4579" s="953"/>
      <c r="D4579" s="953"/>
      <c r="E4579" s="953"/>
      <c r="F4579" s="953"/>
      <c r="G4579" s="953"/>
      <c r="H4579" s="953"/>
    </row>
    <row r="4580" spans="1:8" x14ac:dyDescent="0.25">
      <c r="A4580" s="952"/>
      <c r="B4580" s="953"/>
      <c r="C4580" s="953"/>
      <c r="D4580" s="953"/>
      <c r="E4580" s="953"/>
      <c r="F4580" s="953"/>
      <c r="G4580" s="953"/>
      <c r="H4580" s="953"/>
    </row>
    <row r="4581" spans="1:8" x14ac:dyDescent="0.25">
      <c r="A4581" s="952"/>
      <c r="B4581" s="953"/>
      <c r="C4581" s="953"/>
      <c r="D4581" s="953"/>
      <c r="E4581" s="953"/>
      <c r="F4581" s="953"/>
      <c r="G4581" s="953"/>
      <c r="H4581" s="953"/>
    </row>
    <row r="4582" spans="1:8" x14ac:dyDescent="0.25">
      <c r="A4582" s="952"/>
      <c r="B4582" s="953"/>
      <c r="C4582" s="953"/>
      <c r="D4582" s="953"/>
      <c r="E4582" s="953"/>
      <c r="F4582" s="953"/>
      <c r="G4582" s="953"/>
      <c r="H4582" s="953"/>
    </row>
    <row r="4583" spans="1:8" x14ac:dyDescent="0.25">
      <c r="A4583" s="952"/>
      <c r="B4583" s="953"/>
      <c r="C4583" s="953"/>
      <c r="D4583" s="953"/>
      <c r="E4583" s="953"/>
      <c r="F4583" s="953"/>
      <c r="G4583" s="953"/>
      <c r="H4583" s="953"/>
    </row>
    <row r="4584" spans="1:8" x14ac:dyDescent="0.25">
      <c r="A4584" s="952"/>
      <c r="B4584" s="953"/>
      <c r="C4584" s="953"/>
      <c r="D4584" s="953"/>
      <c r="E4584" s="953"/>
      <c r="F4584" s="953"/>
      <c r="G4584" s="953"/>
      <c r="H4584" s="953"/>
    </row>
    <row r="4585" spans="1:8" x14ac:dyDescent="0.25">
      <c r="A4585" s="952"/>
      <c r="B4585" s="953"/>
      <c r="C4585" s="953"/>
      <c r="D4585" s="953"/>
      <c r="E4585" s="953"/>
      <c r="F4585" s="953"/>
      <c r="G4585" s="953"/>
      <c r="H4585" s="953"/>
    </row>
    <row r="4586" spans="1:8" x14ac:dyDescent="0.25">
      <c r="A4586" s="952"/>
      <c r="B4586" s="953"/>
      <c r="C4586" s="953"/>
      <c r="D4586" s="953"/>
      <c r="E4586" s="953"/>
      <c r="F4586" s="953"/>
      <c r="G4586" s="953"/>
      <c r="H4586" s="953"/>
    </row>
    <row r="4587" spans="1:8" x14ac:dyDescent="0.25">
      <c r="A4587" s="952"/>
      <c r="B4587" s="953"/>
      <c r="C4587" s="953"/>
      <c r="D4587" s="953"/>
      <c r="E4587" s="953"/>
      <c r="F4587" s="953"/>
      <c r="G4587" s="953"/>
      <c r="H4587" s="953"/>
    </row>
    <row r="4588" spans="1:8" x14ac:dyDescent="0.25">
      <c r="A4588" s="952"/>
      <c r="B4588" s="953"/>
      <c r="C4588" s="953"/>
      <c r="D4588" s="953"/>
      <c r="E4588" s="953"/>
      <c r="F4588" s="953"/>
      <c r="G4588" s="953"/>
      <c r="H4588" s="953"/>
    </row>
    <row r="4589" spans="1:8" x14ac:dyDescent="0.25">
      <c r="A4589" s="952"/>
      <c r="B4589" s="953"/>
      <c r="C4589" s="953"/>
      <c r="D4589" s="953"/>
      <c r="E4589" s="953"/>
      <c r="F4589" s="953"/>
      <c r="G4589" s="953"/>
      <c r="H4589" s="953"/>
    </row>
    <row r="4590" spans="1:8" x14ac:dyDescent="0.25">
      <c r="A4590" s="952"/>
      <c r="B4590" s="953"/>
      <c r="C4590" s="953"/>
      <c r="D4590" s="953"/>
      <c r="E4590" s="953"/>
      <c r="F4590" s="953"/>
      <c r="G4590" s="953"/>
      <c r="H4590" s="953"/>
    </row>
    <row r="4591" spans="1:8" x14ac:dyDescent="0.25">
      <c r="A4591" s="952"/>
      <c r="B4591" s="953"/>
      <c r="C4591" s="953"/>
      <c r="D4591" s="953"/>
      <c r="E4591" s="953"/>
      <c r="F4591" s="953"/>
      <c r="G4591" s="953"/>
      <c r="H4591" s="953"/>
    </row>
    <row r="4592" spans="1:8" x14ac:dyDescent="0.25">
      <c r="A4592" s="952"/>
      <c r="B4592" s="953"/>
      <c r="C4592" s="953"/>
      <c r="D4592" s="953"/>
      <c r="E4592" s="953"/>
      <c r="F4592" s="953"/>
      <c r="G4592" s="953"/>
      <c r="H4592" s="953"/>
    </row>
    <row r="4593" spans="1:8" x14ac:dyDescent="0.25">
      <c r="A4593" s="952"/>
      <c r="B4593" s="953"/>
      <c r="C4593" s="953"/>
      <c r="D4593" s="953"/>
      <c r="E4593" s="953"/>
      <c r="F4593" s="953"/>
      <c r="G4593" s="953"/>
      <c r="H4593" s="953"/>
    </row>
    <row r="4594" spans="1:8" x14ac:dyDescent="0.25">
      <c r="A4594" s="952"/>
      <c r="B4594" s="953"/>
      <c r="C4594" s="953"/>
      <c r="D4594" s="953"/>
      <c r="E4594" s="953"/>
      <c r="F4594" s="953"/>
      <c r="G4594" s="953"/>
      <c r="H4594" s="953"/>
    </row>
    <row r="4595" spans="1:8" x14ac:dyDescent="0.25">
      <c r="A4595" s="952"/>
      <c r="B4595" s="953"/>
      <c r="C4595" s="953"/>
      <c r="D4595" s="953"/>
      <c r="E4595" s="953"/>
      <c r="F4595" s="953"/>
      <c r="G4595" s="953"/>
      <c r="H4595" s="953"/>
    </row>
    <row r="4596" spans="1:8" x14ac:dyDescent="0.25">
      <c r="A4596" s="952"/>
      <c r="B4596" s="953"/>
      <c r="C4596" s="953"/>
      <c r="D4596" s="953"/>
      <c r="E4596" s="953"/>
      <c r="F4596" s="953"/>
      <c r="G4596" s="953"/>
      <c r="H4596" s="953"/>
    </row>
    <row r="4597" spans="1:8" x14ac:dyDescent="0.25">
      <c r="A4597" s="952"/>
      <c r="B4597" s="953"/>
      <c r="C4597" s="953"/>
      <c r="D4597" s="953"/>
      <c r="E4597" s="953"/>
      <c r="F4597" s="953"/>
      <c r="G4597" s="953"/>
      <c r="H4597" s="953"/>
    </row>
    <row r="4598" spans="1:8" x14ac:dyDescent="0.25">
      <c r="A4598" s="952"/>
      <c r="B4598" s="953"/>
      <c r="C4598" s="953"/>
      <c r="D4598" s="953"/>
      <c r="E4598" s="953"/>
      <c r="F4598" s="953"/>
      <c r="G4598" s="953"/>
      <c r="H4598" s="953"/>
    </row>
    <row r="4599" spans="1:8" x14ac:dyDescent="0.25">
      <c r="A4599" s="952"/>
      <c r="B4599" s="953"/>
      <c r="C4599" s="953"/>
      <c r="D4599" s="953"/>
      <c r="E4599" s="953"/>
      <c r="F4599" s="953"/>
      <c r="G4599" s="953"/>
      <c r="H4599" s="953"/>
    </row>
    <row r="4600" spans="1:8" x14ac:dyDescent="0.25">
      <c r="A4600" s="952"/>
      <c r="B4600" s="953"/>
      <c r="C4600" s="953"/>
      <c r="D4600" s="953"/>
      <c r="E4600" s="953"/>
      <c r="F4600" s="953"/>
      <c r="G4600" s="953"/>
      <c r="H4600" s="953"/>
    </row>
    <row r="4601" spans="1:8" x14ac:dyDescent="0.25">
      <c r="A4601" s="952"/>
      <c r="B4601" s="953"/>
      <c r="C4601" s="953"/>
      <c r="D4601" s="953"/>
      <c r="E4601" s="953"/>
      <c r="F4601" s="953"/>
      <c r="G4601" s="953"/>
      <c r="H4601" s="953"/>
    </row>
    <row r="4602" spans="1:8" x14ac:dyDescent="0.25">
      <c r="A4602" s="952"/>
      <c r="B4602" s="953"/>
      <c r="C4602" s="953"/>
      <c r="D4602" s="953"/>
      <c r="E4602" s="953"/>
      <c r="F4602" s="953"/>
      <c r="G4602" s="953"/>
      <c r="H4602" s="953"/>
    </row>
    <row r="4603" spans="1:8" x14ac:dyDescent="0.25">
      <c r="A4603" s="952"/>
      <c r="B4603" s="953"/>
      <c r="C4603" s="953"/>
      <c r="D4603" s="953"/>
      <c r="E4603" s="953"/>
      <c r="F4603" s="953"/>
      <c r="G4603" s="953"/>
      <c r="H4603" s="953"/>
    </row>
    <row r="4604" spans="1:8" x14ac:dyDescent="0.25">
      <c r="A4604" s="952"/>
      <c r="B4604" s="953"/>
      <c r="C4604" s="953"/>
      <c r="D4604" s="953"/>
      <c r="E4604" s="953"/>
      <c r="F4604" s="953"/>
      <c r="G4604" s="953"/>
      <c r="H4604" s="953"/>
    </row>
    <row r="4605" spans="1:8" x14ac:dyDescent="0.25">
      <c r="A4605" s="952"/>
      <c r="B4605" s="953"/>
      <c r="C4605" s="953"/>
      <c r="D4605" s="953"/>
      <c r="E4605" s="953"/>
      <c r="F4605" s="953"/>
      <c r="G4605" s="953"/>
      <c r="H4605" s="953"/>
    </row>
    <row r="4606" spans="1:8" x14ac:dyDescent="0.25">
      <c r="A4606" s="952"/>
      <c r="B4606" s="953"/>
      <c r="C4606" s="953"/>
      <c r="D4606" s="953"/>
      <c r="E4606" s="953"/>
      <c r="F4606" s="953"/>
      <c r="G4606" s="953"/>
      <c r="H4606" s="953"/>
    </row>
    <row r="4607" spans="1:8" x14ac:dyDescent="0.25">
      <c r="A4607" s="952"/>
      <c r="B4607" s="953"/>
      <c r="C4607" s="953"/>
      <c r="D4607" s="953"/>
      <c r="E4607" s="953"/>
      <c r="F4607" s="953"/>
      <c r="G4607" s="953"/>
      <c r="H4607" s="953"/>
    </row>
    <row r="4608" spans="1:8" x14ac:dyDescent="0.25">
      <c r="A4608" s="952"/>
      <c r="B4608" s="953"/>
      <c r="C4608" s="953"/>
      <c r="D4608" s="953"/>
      <c r="E4608" s="953"/>
      <c r="F4608" s="953"/>
      <c r="G4608" s="953"/>
      <c r="H4608" s="953"/>
    </row>
    <row r="4609" spans="1:8" x14ac:dyDescent="0.25">
      <c r="A4609" s="952"/>
      <c r="B4609" s="953"/>
      <c r="C4609" s="953"/>
      <c r="D4609" s="953"/>
      <c r="E4609" s="953"/>
      <c r="F4609" s="953"/>
      <c r="G4609" s="953"/>
      <c r="H4609" s="953"/>
    </row>
    <row r="4610" spans="1:8" x14ac:dyDescent="0.25">
      <c r="A4610" s="952"/>
      <c r="B4610" s="953"/>
      <c r="C4610" s="953"/>
      <c r="D4610" s="953"/>
      <c r="E4610" s="953"/>
      <c r="F4610" s="953"/>
      <c r="G4610" s="953"/>
      <c r="H4610" s="953"/>
    </row>
    <row r="4611" spans="1:8" x14ac:dyDescent="0.25">
      <c r="A4611" s="952"/>
      <c r="B4611" s="953"/>
      <c r="C4611" s="953"/>
      <c r="D4611" s="953"/>
      <c r="E4611" s="953"/>
      <c r="F4611" s="953"/>
      <c r="G4611" s="953"/>
      <c r="H4611" s="953"/>
    </row>
    <row r="4612" spans="1:8" x14ac:dyDescent="0.25">
      <c r="A4612" s="952"/>
      <c r="B4612" s="953"/>
      <c r="C4612" s="953"/>
      <c r="D4612" s="953"/>
      <c r="E4612" s="953"/>
      <c r="F4612" s="953"/>
      <c r="G4612" s="953"/>
      <c r="H4612" s="953"/>
    </row>
    <row r="4613" spans="1:8" x14ac:dyDescent="0.25">
      <c r="A4613" s="952"/>
      <c r="B4613" s="953"/>
      <c r="C4613" s="953"/>
      <c r="D4613" s="953"/>
      <c r="E4613" s="953"/>
      <c r="F4613" s="953"/>
      <c r="G4613" s="953"/>
      <c r="H4613" s="953"/>
    </row>
    <row r="4614" spans="1:8" x14ac:dyDescent="0.25">
      <c r="A4614" s="952"/>
      <c r="B4614" s="953"/>
      <c r="C4614" s="953"/>
      <c r="D4614" s="953"/>
      <c r="E4614" s="953"/>
      <c r="F4614" s="953"/>
      <c r="G4614" s="953"/>
      <c r="H4614" s="953"/>
    </row>
    <row r="4615" spans="1:8" x14ac:dyDescent="0.25">
      <c r="A4615" s="952"/>
      <c r="B4615" s="953"/>
      <c r="C4615" s="953"/>
      <c r="D4615" s="953"/>
      <c r="E4615" s="953"/>
      <c r="F4615" s="953"/>
      <c r="G4615" s="953"/>
      <c r="H4615" s="953"/>
    </row>
    <row r="4616" spans="1:8" x14ac:dyDescent="0.25">
      <c r="A4616" s="952"/>
      <c r="B4616" s="953"/>
      <c r="C4616" s="953"/>
      <c r="D4616" s="953"/>
      <c r="E4616" s="953"/>
      <c r="F4616" s="953"/>
      <c r="G4616" s="953"/>
      <c r="H4616" s="953"/>
    </row>
    <row r="4617" spans="1:8" x14ac:dyDescent="0.25">
      <c r="A4617" s="952"/>
      <c r="B4617" s="953"/>
      <c r="C4617" s="953"/>
      <c r="D4617" s="953"/>
      <c r="E4617" s="953"/>
      <c r="F4617" s="953"/>
      <c r="G4617" s="953"/>
      <c r="H4617" s="953"/>
    </row>
    <row r="4618" spans="1:8" x14ac:dyDescent="0.25">
      <c r="A4618" s="952"/>
      <c r="B4618" s="953"/>
      <c r="C4618" s="953"/>
      <c r="D4618" s="953"/>
      <c r="E4618" s="953"/>
      <c r="F4618" s="953"/>
      <c r="G4618" s="953"/>
      <c r="H4618" s="953"/>
    </row>
    <row r="4619" spans="1:8" x14ac:dyDescent="0.25">
      <c r="A4619" s="952"/>
      <c r="B4619" s="953"/>
      <c r="C4619" s="953"/>
      <c r="D4619" s="953"/>
      <c r="E4619" s="953"/>
      <c r="F4619" s="953"/>
      <c r="G4619" s="953"/>
      <c r="H4619" s="953"/>
    </row>
    <row r="4620" spans="1:8" x14ac:dyDescent="0.25">
      <c r="A4620" s="952"/>
      <c r="B4620" s="953"/>
      <c r="C4620" s="953"/>
      <c r="D4620" s="953"/>
      <c r="E4620" s="953"/>
      <c r="F4620" s="953"/>
      <c r="G4620" s="953"/>
      <c r="H4620" s="953"/>
    </row>
    <row r="4621" spans="1:8" x14ac:dyDescent="0.25">
      <c r="A4621" s="952"/>
      <c r="B4621" s="953"/>
      <c r="C4621" s="953"/>
      <c r="D4621" s="953"/>
      <c r="E4621" s="953"/>
      <c r="F4621" s="953"/>
      <c r="G4621" s="953"/>
      <c r="H4621" s="953"/>
    </row>
    <row r="4622" spans="1:8" x14ac:dyDescent="0.25">
      <c r="A4622" s="952"/>
      <c r="B4622" s="953"/>
      <c r="C4622" s="953"/>
      <c r="D4622" s="953"/>
      <c r="E4622" s="953"/>
      <c r="F4622" s="953"/>
      <c r="G4622" s="953"/>
      <c r="H4622" s="953"/>
    </row>
    <row r="4623" spans="1:8" x14ac:dyDescent="0.25">
      <c r="A4623" s="952"/>
      <c r="B4623" s="953"/>
      <c r="C4623" s="953"/>
      <c r="D4623" s="953"/>
      <c r="E4623" s="953"/>
      <c r="F4623" s="953"/>
      <c r="G4623" s="953"/>
      <c r="H4623" s="953"/>
    </row>
    <row r="4624" spans="1:8" x14ac:dyDescent="0.25">
      <c r="A4624" s="952"/>
      <c r="B4624" s="953"/>
      <c r="C4624" s="953"/>
      <c r="D4624" s="953"/>
      <c r="E4624" s="953"/>
      <c r="F4624" s="953"/>
      <c r="G4624" s="953"/>
      <c r="H4624" s="953"/>
    </row>
    <row r="4625" spans="1:8" x14ac:dyDescent="0.25">
      <c r="A4625" s="952"/>
      <c r="B4625" s="953"/>
      <c r="C4625" s="953"/>
      <c r="D4625" s="953"/>
      <c r="E4625" s="953"/>
      <c r="F4625" s="953"/>
      <c r="G4625" s="953"/>
      <c r="H4625" s="953"/>
    </row>
    <row r="4626" spans="1:8" x14ac:dyDescent="0.25">
      <c r="A4626" s="952"/>
      <c r="B4626" s="953"/>
      <c r="C4626" s="953"/>
      <c r="D4626" s="953"/>
      <c r="E4626" s="953"/>
      <c r="F4626" s="953"/>
      <c r="G4626" s="953"/>
      <c r="H4626" s="953"/>
    </row>
    <row r="4627" spans="1:8" x14ac:dyDescent="0.25">
      <c r="A4627" s="952"/>
      <c r="B4627" s="953"/>
      <c r="C4627" s="953"/>
      <c r="D4627" s="953"/>
      <c r="E4627" s="953"/>
      <c r="F4627" s="953"/>
      <c r="G4627" s="953"/>
      <c r="H4627" s="953"/>
    </row>
    <row r="4628" spans="1:8" x14ac:dyDescent="0.25">
      <c r="A4628" s="952"/>
      <c r="B4628" s="953"/>
      <c r="C4628" s="953"/>
      <c r="D4628" s="953"/>
      <c r="E4628" s="953"/>
      <c r="F4628" s="953"/>
      <c r="G4628" s="953"/>
      <c r="H4628" s="953"/>
    </row>
    <row r="4629" spans="1:8" x14ac:dyDescent="0.25">
      <c r="A4629" s="952"/>
      <c r="B4629" s="953"/>
      <c r="C4629" s="953"/>
      <c r="D4629" s="953"/>
      <c r="E4629" s="953"/>
      <c r="F4629" s="953"/>
      <c r="G4629" s="953"/>
      <c r="H4629" s="953"/>
    </row>
    <row r="4630" spans="1:8" x14ac:dyDescent="0.25">
      <c r="A4630" s="952"/>
      <c r="B4630" s="953"/>
      <c r="C4630" s="953"/>
      <c r="D4630" s="953"/>
      <c r="E4630" s="953"/>
      <c r="F4630" s="953"/>
      <c r="G4630" s="953"/>
      <c r="H4630" s="953"/>
    </row>
    <row r="4631" spans="1:8" x14ac:dyDescent="0.25">
      <c r="A4631" s="952"/>
      <c r="B4631" s="953"/>
      <c r="C4631" s="953"/>
      <c r="D4631" s="953"/>
      <c r="E4631" s="953"/>
      <c r="F4631" s="953"/>
      <c r="G4631" s="953"/>
      <c r="H4631" s="953"/>
    </row>
    <row r="4632" spans="1:8" x14ac:dyDescent="0.25">
      <c r="A4632" s="952"/>
      <c r="B4632" s="953"/>
      <c r="C4632" s="953"/>
      <c r="D4632" s="953"/>
      <c r="E4632" s="953"/>
      <c r="F4632" s="953"/>
      <c r="G4632" s="953"/>
      <c r="H4632" s="953"/>
    </row>
    <row r="4633" spans="1:8" x14ac:dyDescent="0.25">
      <c r="A4633" s="952"/>
      <c r="B4633" s="953"/>
      <c r="C4633" s="953"/>
      <c r="D4633" s="953"/>
      <c r="E4633" s="953"/>
      <c r="F4633" s="953"/>
      <c r="G4633" s="953"/>
      <c r="H4633" s="953"/>
    </row>
    <row r="4634" spans="1:8" x14ac:dyDescent="0.25">
      <c r="A4634" s="952"/>
      <c r="B4634" s="953"/>
      <c r="C4634" s="953"/>
      <c r="D4634" s="953"/>
      <c r="E4634" s="953"/>
      <c r="F4634" s="953"/>
      <c r="G4634" s="953"/>
      <c r="H4634" s="953"/>
    </row>
    <row r="4635" spans="1:8" x14ac:dyDescent="0.25">
      <c r="A4635" s="952"/>
      <c r="B4635" s="953"/>
      <c r="C4635" s="953"/>
      <c r="D4635" s="953"/>
      <c r="E4635" s="953"/>
      <c r="F4635" s="953"/>
      <c r="G4635" s="953"/>
      <c r="H4635" s="953"/>
    </row>
    <row r="4636" spans="1:8" x14ac:dyDescent="0.25">
      <c r="A4636" s="952"/>
      <c r="B4636" s="953"/>
      <c r="C4636" s="953"/>
      <c r="D4636" s="953"/>
      <c r="E4636" s="953"/>
      <c r="F4636" s="953"/>
      <c r="G4636" s="953"/>
      <c r="H4636" s="953"/>
    </row>
    <row r="4637" spans="1:8" x14ac:dyDescent="0.25">
      <c r="A4637" s="952"/>
      <c r="B4637" s="953"/>
      <c r="C4637" s="953"/>
      <c r="D4637" s="953"/>
      <c r="E4637" s="953"/>
      <c r="F4637" s="953"/>
      <c r="G4637" s="953"/>
      <c r="H4637" s="953"/>
    </row>
    <row r="4638" spans="1:8" x14ac:dyDescent="0.25">
      <c r="A4638" s="952"/>
      <c r="B4638" s="953"/>
      <c r="C4638" s="953"/>
      <c r="D4638" s="953"/>
      <c r="E4638" s="953"/>
      <c r="F4638" s="953"/>
      <c r="G4638" s="953"/>
      <c r="H4638" s="953"/>
    </row>
    <row r="4639" spans="1:8" x14ac:dyDescent="0.25">
      <c r="A4639" s="952"/>
      <c r="B4639" s="953"/>
      <c r="C4639" s="953"/>
      <c r="D4639" s="953"/>
      <c r="E4639" s="953"/>
      <c r="F4639" s="953"/>
      <c r="G4639" s="953"/>
      <c r="H4639" s="953"/>
    </row>
    <row r="4640" spans="1:8" x14ac:dyDescent="0.25">
      <c r="A4640" s="952"/>
      <c r="B4640" s="953"/>
      <c r="C4640" s="953"/>
      <c r="D4640" s="953"/>
      <c r="E4640" s="953"/>
      <c r="F4640" s="953"/>
      <c r="G4640" s="953"/>
      <c r="H4640" s="953"/>
    </row>
    <row r="4641" spans="1:8" x14ac:dyDescent="0.25">
      <c r="A4641" s="952"/>
      <c r="B4641" s="953"/>
      <c r="C4641" s="953"/>
      <c r="D4641" s="953"/>
      <c r="E4641" s="953"/>
      <c r="F4641" s="953"/>
      <c r="G4641" s="953"/>
      <c r="H4641" s="953"/>
    </row>
    <row r="4642" spans="1:8" x14ac:dyDescent="0.25">
      <c r="A4642" s="952"/>
      <c r="B4642" s="953"/>
      <c r="C4642" s="953"/>
      <c r="D4642" s="953"/>
      <c r="E4642" s="953"/>
      <c r="F4642" s="953"/>
      <c r="G4642" s="953"/>
      <c r="H4642" s="953"/>
    </row>
    <row r="4643" spans="1:8" x14ac:dyDescent="0.25">
      <c r="A4643" s="952"/>
      <c r="B4643" s="953"/>
      <c r="C4643" s="953"/>
      <c r="D4643" s="953"/>
      <c r="E4643" s="953"/>
      <c r="F4643" s="953"/>
      <c r="G4643" s="953"/>
      <c r="H4643" s="953"/>
    </row>
    <row r="4644" spans="1:8" x14ac:dyDescent="0.25">
      <c r="A4644" s="952"/>
      <c r="B4644" s="953"/>
      <c r="C4644" s="953"/>
      <c r="D4644" s="953"/>
      <c r="E4644" s="953"/>
      <c r="F4644" s="953"/>
      <c r="G4644" s="953"/>
      <c r="H4644" s="953"/>
    </row>
    <row r="4645" spans="1:8" x14ac:dyDescent="0.25">
      <c r="A4645" s="952"/>
      <c r="B4645" s="953"/>
      <c r="C4645" s="953"/>
      <c r="D4645" s="953"/>
      <c r="E4645" s="953"/>
      <c r="F4645" s="953"/>
      <c r="G4645" s="953"/>
      <c r="H4645" s="953"/>
    </row>
    <row r="4646" spans="1:8" x14ac:dyDescent="0.25">
      <c r="A4646" s="952"/>
      <c r="B4646" s="953"/>
      <c r="C4646" s="953"/>
      <c r="D4646" s="953"/>
      <c r="E4646" s="953"/>
      <c r="F4646" s="953"/>
      <c r="G4646" s="953"/>
      <c r="H4646" s="953"/>
    </row>
    <row r="4647" spans="1:8" x14ac:dyDescent="0.25">
      <c r="A4647" s="952"/>
      <c r="B4647" s="953"/>
      <c r="C4647" s="953"/>
      <c r="D4647" s="953"/>
      <c r="E4647" s="953"/>
      <c r="F4647" s="953"/>
      <c r="G4647" s="953"/>
      <c r="H4647" s="953"/>
    </row>
    <row r="4648" spans="1:8" x14ac:dyDescent="0.25">
      <c r="A4648" s="952"/>
      <c r="B4648" s="953"/>
      <c r="C4648" s="953"/>
      <c r="D4648" s="953"/>
      <c r="E4648" s="953"/>
      <c r="F4648" s="953"/>
      <c r="G4648" s="953"/>
      <c r="H4648" s="953"/>
    </row>
    <row r="4649" spans="1:8" x14ac:dyDescent="0.25">
      <c r="A4649" s="952"/>
      <c r="B4649" s="953"/>
      <c r="C4649" s="953"/>
      <c r="D4649" s="953"/>
      <c r="E4649" s="953"/>
      <c r="F4649" s="953"/>
      <c r="G4649" s="953"/>
      <c r="H4649" s="953"/>
    </row>
    <row r="4650" spans="1:8" x14ac:dyDescent="0.25">
      <c r="A4650" s="952"/>
      <c r="B4650" s="953"/>
      <c r="C4650" s="953"/>
      <c r="D4650" s="953"/>
      <c r="E4650" s="953"/>
      <c r="F4650" s="953"/>
      <c r="G4650" s="953"/>
      <c r="H4650" s="953"/>
    </row>
    <row r="4651" spans="1:8" x14ac:dyDescent="0.25">
      <c r="A4651" s="952"/>
      <c r="B4651" s="953"/>
      <c r="C4651" s="953"/>
      <c r="D4651" s="953"/>
      <c r="E4651" s="953"/>
      <c r="F4651" s="953"/>
      <c r="G4651" s="953"/>
      <c r="H4651" s="953"/>
    </row>
    <row r="4652" spans="1:8" x14ac:dyDescent="0.25">
      <c r="A4652" s="952"/>
      <c r="B4652" s="953"/>
      <c r="C4652" s="953"/>
      <c r="D4652" s="953"/>
      <c r="E4652" s="953"/>
      <c r="F4652" s="953"/>
      <c r="G4652" s="953"/>
      <c r="H4652" s="953"/>
    </row>
    <row r="4653" spans="1:8" x14ac:dyDescent="0.25">
      <c r="A4653" s="952"/>
      <c r="B4653" s="953"/>
      <c r="C4653" s="953"/>
      <c r="D4653" s="953"/>
      <c r="E4653" s="953"/>
      <c r="F4653" s="953"/>
      <c r="G4653" s="953"/>
      <c r="H4653" s="953"/>
    </row>
    <row r="4654" spans="1:8" x14ac:dyDescent="0.25">
      <c r="A4654" s="952"/>
      <c r="B4654" s="953"/>
      <c r="C4654" s="953"/>
      <c r="D4654" s="953"/>
      <c r="E4654" s="953"/>
      <c r="F4654" s="953"/>
      <c r="G4654" s="953"/>
      <c r="H4654" s="953"/>
    </row>
    <row r="4655" spans="1:8" x14ac:dyDescent="0.25">
      <c r="A4655" s="952"/>
      <c r="B4655" s="953"/>
      <c r="C4655" s="953"/>
      <c r="D4655" s="953"/>
      <c r="E4655" s="953"/>
      <c r="F4655" s="953"/>
      <c r="G4655" s="953"/>
      <c r="H4655" s="953"/>
    </row>
    <row r="4656" spans="1:8" x14ac:dyDescent="0.25">
      <c r="A4656" s="952"/>
      <c r="B4656" s="953"/>
      <c r="C4656" s="953"/>
      <c r="D4656" s="953"/>
      <c r="E4656" s="953"/>
      <c r="F4656" s="953"/>
      <c r="G4656" s="953"/>
      <c r="H4656" s="953"/>
    </row>
    <row r="4657" spans="1:8" x14ac:dyDescent="0.25">
      <c r="A4657" s="952"/>
      <c r="B4657" s="953"/>
      <c r="C4657" s="953"/>
      <c r="D4657" s="953"/>
      <c r="E4657" s="953"/>
      <c r="F4657" s="953"/>
      <c r="G4657" s="953"/>
      <c r="H4657" s="953"/>
    </row>
    <row r="4658" spans="1:8" x14ac:dyDescent="0.25">
      <c r="A4658" s="952"/>
      <c r="B4658" s="953"/>
      <c r="C4658" s="953"/>
      <c r="D4658" s="953"/>
      <c r="E4658" s="953"/>
      <c r="F4658" s="953"/>
      <c r="G4658" s="953"/>
      <c r="H4658" s="953"/>
    </row>
    <row r="4659" spans="1:8" x14ac:dyDescent="0.25">
      <c r="A4659" s="952"/>
      <c r="B4659" s="953"/>
      <c r="C4659" s="953"/>
      <c r="D4659" s="953"/>
      <c r="E4659" s="953"/>
      <c r="F4659" s="953"/>
      <c r="G4659" s="953"/>
      <c r="H4659" s="953"/>
    </row>
    <row r="4660" spans="1:8" x14ac:dyDescent="0.25">
      <c r="A4660" s="952"/>
      <c r="B4660" s="953"/>
      <c r="C4660" s="953"/>
      <c r="D4660" s="953"/>
      <c r="E4660" s="953"/>
      <c r="F4660" s="953"/>
      <c r="G4660" s="953"/>
      <c r="H4660" s="953"/>
    </row>
    <row r="4661" spans="1:8" x14ac:dyDescent="0.25">
      <c r="A4661" s="952"/>
      <c r="B4661" s="953"/>
      <c r="C4661" s="953"/>
      <c r="D4661" s="953"/>
      <c r="E4661" s="953"/>
      <c r="F4661" s="953"/>
      <c r="G4661" s="953"/>
      <c r="H4661" s="953"/>
    </row>
    <row r="4662" spans="1:8" x14ac:dyDescent="0.25">
      <c r="A4662" s="952"/>
      <c r="B4662" s="953"/>
      <c r="C4662" s="953"/>
      <c r="D4662" s="953"/>
      <c r="E4662" s="953"/>
      <c r="F4662" s="953"/>
      <c r="G4662" s="953"/>
      <c r="H4662" s="953"/>
    </row>
    <row r="4663" spans="1:8" x14ac:dyDescent="0.25">
      <c r="A4663" s="952"/>
      <c r="B4663" s="953"/>
      <c r="C4663" s="953"/>
      <c r="D4663" s="953"/>
      <c r="E4663" s="953"/>
      <c r="F4663" s="953"/>
      <c r="G4663" s="953"/>
      <c r="H4663" s="953"/>
    </row>
    <row r="4664" spans="1:8" x14ac:dyDescent="0.25">
      <c r="A4664" s="952"/>
      <c r="B4664" s="953"/>
      <c r="C4664" s="953"/>
      <c r="D4664" s="953"/>
      <c r="E4664" s="953"/>
      <c r="F4664" s="953"/>
      <c r="G4664" s="953"/>
      <c r="H4664" s="953"/>
    </row>
    <row r="4665" spans="1:8" x14ac:dyDescent="0.25">
      <c r="A4665" s="952"/>
      <c r="B4665" s="953"/>
      <c r="C4665" s="953"/>
      <c r="D4665" s="953"/>
      <c r="E4665" s="953"/>
      <c r="F4665" s="953"/>
      <c r="G4665" s="953"/>
      <c r="H4665" s="953"/>
    </row>
    <row r="4666" spans="1:8" x14ac:dyDescent="0.25">
      <c r="A4666" s="952"/>
      <c r="B4666" s="953"/>
      <c r="C4666" s="953"/>
      <c r="D4666" s="953"/>
      <c r="E4666" s="953"/>
      <c r="F4666" s="953"/>
      <c r="G4666" s="953"/>
      <c r="H4666" s="953"/>
    </row>
    <row r="4667" spans="1:8" x14ac:dyDescent="0.25">
      <c r="A4667" s="952"/>
      <c r="B4667" s="953"/>
      <c r="C4667" s="953"/>
      <c r="D4667" s="953"/>
      <c r="E4667" s="953"/>
      <c r="F4667" s="953"/>
      <c r="G4667" s="953"/>
      <c r="H4667" s="953"/>
    </row>
    <row r="4668" spans="1:8" x14ac:dyDescent="0.25">
      <c r="A4668" s="952"/>
      <c r="B4668" s="953"/>
      <c r="C4668" s="953"/>
      <c r="D4668" s="953"/>
      <c r="E4668" s="953"/>
      <c r="F4668" s="953"/>
      <c r="G4668" s="953"/>
      <c r="H4668" s="953"/>
    </row>
    <row r="4669" spans="1:8" x14ac:dyDescent="0.25">
      <c r="A4669" s="952"/>
      <c r="B4669" s="953"/>
      <c r="C4669" s="953"/>
      <c r="D4669" s="953"/>
      <c r="E4669" s="953"/>
      <c r="F4669" s="953"/>
      <c r="G4669" s="953"/>
      <c r="H4669" s="953"/>
    </row>
    <row r="4670" spans="1:8" x14ac:dyDescent="0.25">
      <c r="A4670" s="952"/>
      <c r="B4670" s="953"/>
      <c r="C4670" s="953"/>
      <c r="D4670" s="953"/>
      <c r="E4670" s="953"/>
      <c r="F4670" s="953"/>
      <c r="G4670" s="953"/>
      <c r="H4670" s="953"/>
    </row>
    <row r="4671" spans="1:8" x14ac:dyDescent="0.25">
      <c r="A4671" s="952"/>
      <c r="B4671" s="953"/>
      <c r="C4671" s="953"/>
      <c r="D4671" s="953"/>
      <c r="E4671" s="953"/>
      <c r="F4671" s="953"/>
      <c r="G4671" s="953"/>
      <c r="H4671" s="953"/>
    </row>
    <row r="4672" spans="1:8" x14ac:dyDescent="0.25">
      <c r="A4672" s="952"/>
      <c r="B4672" s="953"/>
      <c r="C4672" s="953"/>
      <c r="D4672" s="953"/>
      <c r="E4672" s="953"/>
      <c r="F4672" s="953"/>
      <c r="G4672" s="953"/>
      <c r="H4672" s="953"/>
    </row>
    <row r="4673" spans="1:8" x14ac:dyDescent="0.25">
      <c r="A4673" s="952"/>
      <c r="B4673" s="953"/>
      <c r="C4673" s="953"/>
      <c r="D4673" s="953"/>
      <c r="E4673" s="953"/>
      <c r="F4673" s="953"/>
      <c r="G4673" s="953"/>
      <c r="H4673" s="953"/>
    </row>
    <row r="4674" spans="1:8" x14ac:dyDescent="0.25">
      <c r="A4674" s="952"/>
      <c r="B4674" s="953"/>
      <c r="C4674" s="953"/>
      <c r="D4674" s="953"/>
      <c r="E4674" s="953"/>
      <c r="F4674" s="953"/>
      <c r="G4674" s="953"/>
      <c r="H4674" s="953"/>
    </row>
    <row r="4675" spans="1:8" x14ac:dyDescent="0.25">
      <c r="A4675" s="952"/>
      <c r="B4675" s="953"/>
      <c r="C4675" s="953"/>
      <c r="D4675" s="953"/>
      <c r="E4675" s="953"/>
      <c r="F4675" s="953"/>
      <c r="G4675" s="953"/>
      <c r="H4675" s="953"/>
    </row>
    <row r="4676" spans="1:8" x14ac:dyDescent="0.25">
      <c r="A4676" s="952"/>
      <c r="B4676" s="953"/>
      <c r="C4676" s="953"/>
      <c r="D4676" s="953"/>
      <c r="E4676" s="953"/>
      <c r="F4676" s="953"/>
      <c r="G4676" s="953"/>
      <c r="H4676" s="953"/>
    </row>
    <row r="4677" spans="1:8" x14ac:dyDescent="0.25">
      <c r="A4677" s="952"/>
      <c r="B4677" s="953"/>
      <c r="C4677" s="953"/>
      <c r="D4677" s="953"/>
      <c r="E4677" s="953"/>
      <c r="F4677" s="953"/>
      <c r="G4677" s="953"/>
      <c r="H4677" s="953"/>
    </row>
    <row r="4678" spans="1:8" x14ac:dyDescent="0.25">
      <c r="A4678" s="952"/>
      <c r="B4678" s="953"/>
      <c r="C4678" s="953"/>
      <c r="D4678" s="953"/>
      <c r="E4678" s="953"/>
      <c r="F4678" s="953"/>
      <c r="G4678" s="953"/>
      <c r="H4678" s="953"/>
    </row>
    <row r="4679" spans="1:8" x14ac:dyDescent="0.25">
      <c r="A4679" s="952"/>
      <c r="B4679" s="953"/>
      <c r="C4679" s="953"/>
      <c r="D4679" s="953"/>
      <c r="E4679" s="953"/>
      <c r="F4679" s="953"/>
      <c r="G4679" s="953"/>
      <c r="H4679" s="953"/>
    </row>
    <row r="4680" spans="1:8" x14ac:dyDescent="0.25">
      <c r="A4680" s="952"/>
      <c r="B4680" s="953"/>
      <c r="C4680" s="953"/>
      <c r="D4680" s="953"/>
      <c r="E4680" s="953"/>
      <c r="F4680" s="953"/>
      <c r="G4680" s="953"/>
      <c r="H4680" s="953"/>
    </row>
    <row r="4681" spans="1:8" x14ac:dyDescent="0.25">
      <c r="A4681" s="952"/>
      <c r="B4681" s="953"/>
      <c r="C4681" s="953"/>
      <c r="D4681" s="953"/>
      <c r="E4681" s="953"/>
      <c r="F4681" s="953"/>
      <c r="G4681" s="953"/>
      <c r="H4681" s="953"/>
    </row>
    <row r="4682" spans="1:8" x14ac:dyDescent="0.25">
      <c r="A4682" s="952"/>
      <c r="B4682" s="953"/>
      <c r="C4682" s="953"/>
      <c r="D4682" s="953"/>
      <c r="E4682" s="953"/>
      <c r="F4682" s="953"/>
      <c r="G4682" s="953"/>
      <c r="H4682" s="953"/>
    </row>
    <row r="4683" spans="1:8" x14ac:dyDescent="0.25">
      <c r="A4683" s="952"/>
      <c r="B4683" s="953"/>
      <c r="C4683" s="953"/>
      <c r="D4683" s="953"/>
      <c r="E4683" s="953"/>
      <c r="F4683" s="953"/>
      <c r="G4683" s="953"/>
      <c r="H4683" s="953"/>
    </row>
    <row r="4684" spans="1:8" x14ac:dyDescent="0.25">
      <c r="A4684" s="952"/>
      <c r="B4684" s="953"/>
      <c r="C4684" s="953"/>
      <c r="D4684" s="953"/>
      <c r="E4684" s="953"/>
      <c r="F4684" s="953"/>
      <c r="G4684" s="953"/>
      <c r="H4684" s="953"/>
    </row>
    <row r="4685" spans="1:8" x14ac:dyDescent="0.25">
      <c r="A4685" s="952"/>
      <c r="B4685" s="953"/>
      <c r="C4685" s="953"/>
      <c r="D4685" s="953"/>
      <c r="E4685" s="953"/>
      <c r="F4685" s="953"/>
      <c r="G4685" s="953"/>
      <c r="H4685" s="953"/>
    </row>
    <row r="4686" spans="1:8" x14ac:dyDescent="0.25">
      <c r="A4686" s="952"/>
      <c r="B4686" s="953"/>
      <c r="C4686" s="953"/>
      <c r="D4686" s="953"/>
      <c r="E4686" s="953"/>
      <c r="F4686" s="953"/>
      <c r="G4686" s="953"/>
      <c r="H4686" s="953"/>
    </row>
    <row r="4687" spans="1:8" x14ac:dyDescent="0.25">
      <c r="A4687" s="952"/>
      <c r="B4687" s="953"/>
      <c r="C4687" s="953"/>
      <c r="D4687" s="953"/>
      <c r="E4687" s="953"/>
      <c r="F4687" s="953"/>
      <c r="G4687" s="953"/>
      <c r="H4687" s="953"/>
    </row>
    <row r="4688" spans="1:8" x14ac:dyDescent="0.25">
      <c r="A4688" s="952"/>
      <c r="B4688" s="953"/>
      <c r="C4688" s="953"/>
      <c r="D4688" s="953"/>
      <c r="E4688" s="953"/>
      <c r="F4688" s="953"/>
      <c r="G4688" s="953"/>
      <c r="H4688" s="953"/>
    </row>
    <row r="4689" spans="1:8" x14ac:dyDescent="0.25">
      <c r="A4689" s="952"/>
      <c r="B4689" s="953"/>
      <c r="C4689" s="953"/>
      <c r="D4689" s="953"/>
      <c r="E4689" s="953"/>
      <c r="F4689" s="953"/>
      <c r="G4689" s="953"/>
      <c r="H4689" s="953"/>
    </row>
    <row r="4690" spans="1:8" x14ac:dyDescent="0.25">
      <c r="A4690" s="952"/>
      <c r="B4690" s="953"/>
      <c r="C4690" s="953"/>
      <c r="D4690" s="953"/>
      <c r="E4690" s="953"/>
      <c r="F4690" s="953"/>
      <c r="G4690" s="953"/>
      <c r="H4690" s="953"/>
    </row>
    <row r="4691" spans="1:8" x14ac:dyDescent="0.25">
      <c r="A4691" s="952"/>
      <c r="B4691" s="953"/>
      <c r="C4691" s="953"/>
      <c r="D4691" s="953"/>
      <c r="E4691" s="953"/>
      <c r="F4691" s="953"/>
      <c r="G4691" s="953"/>
      <c r="H4691" s="953"/>
    </row>
    <row r="4692" spans="1:8" x14ac:dyDescent="0.25">
      <c r="A4692" s="952"/>
      <c r="B4692" s="953"/>
      <c r="C4692" s="953"/>
      <c r="D4692" s="953"/>
      <c r="E4692" s="953"/>
      <c r="F4692" s="953"/>
      <c r="G4692" s="953"/>
      <c r="H4692" s="953"/>
    </row>
    <row r="4693" spans="1:8" x14ac:dyDescent="0.25">
      <c r="A4693" s="952"/>
      <c r="B4693" s="953"/>
      <c r="C4693" s="953"/>
      <c r="D4693" s="953"/>
      <c r="E4693" s="953"/>
      <c r="F4693" s="953"/>
      <c r="G4693" s="953"/>
      <c r="H4693" s="953"/>
    </row>
    <row r="4694" spans="1:8" x14ac:dyDescent="0.25">
      <c r="A4694" s="952"/>
      <c r="B4694" s="953"/>
      <c r="C4694" s="953"/>
      <c r="D4694" s="953"/>
      <c r="E4694" s="953"/>
      <c r="F4694" s="953"/>
      <c r="G4694" s="953"/>
      <c r="H4694" s="953"/>
    </row>
    <row r="4695" spans="1:8" x14ac:dyDescent="0.25">
      <c r="A4695" s="952"/>
      <c r="B4695" s="953"/>
      <c r="C4695" s="953"/>
      <c r="D4695" s="953"/>
      <c r="E4695" s="953"/>
      <c r="F4695" s="953"/>
      <c r="G4695" s="953"/>
      <c r="H4695" s="953"/>
    </row>
    <row r="4696" spans="1:8" x14ac:dyDescent="0.25">
      <c r="A4696" s="952"/>
      <c r="B4696" s="953"/>
      <c r="C4696" s="953"/>
      <c r="D4696" s="953"/>
      <c r="E4696" s="953"/>
      <c r="F4696" s="953"/>
      <c r="G4696" s="953"/>
      <c r="H4696" s="953"/>
    </row>
    <row r="4697" spans="1:8" x14ac:dyDescent="0.25">
      <c r="A4697" s="952"/>
      <c r="B4697" s="953"/>
      <c r="C4697" s="953"/>
      <c r="D4697" s="953"/>
      <c r="E4697" s="953"/>
      <c r="F4697" s="953"/>
      <c r="G4697" s="953"/>
      <c r="H4697" s="953"/>
    </row>
    <row r="4698" spans="1:8" x14ac:dyDescent="0.25">
      <c r="A4698" s="952"/>
      <c r="B4698" s="953"/>
      <c r="C4698" s="953"/>
      <c r="D4698" s="953"/>
      <c r="E4698" s="953"/>
      <c r="F4698" s="953"/>
      <c r="G4698" s="953"/>
      <c r="H4698" s="953"/>
    </row>
    <row r="4699" spans="1:8" x14ac:dyDescent="0.25">
      <c r="A4699" s="952"/>
      <c r="B4699" s="953"/>
      <c r="C4699" s="953"/>
      <c r="D4699" s="953"/>
      <c r="E4699" s="953"/>
      <c r="F4699" s="953"/>
      <c r="G4699" s="953"/>
      <c r="H4699" s="953"/>
    </row>
    <row r="4700" spans="1:8" x14ac:dyDescent="0.25">
      <c r="A4700" s="952"/>
      <c r="B4700" s="953"/>
      <c r="C4700" s="953"/>
      <c r="D4700" s="953"/>
      <c r="E4700" s="953"/>
      <c r="F4700" s="953"/>
      <c r="G4700" s="953"/>
      <c r="H4700" s="953"/>
    </row>
    <row r="4701" spans="1:8" x14ac:dyDescent="0.25">
      <c r="A4701" s="952"/>
      <c r="B4701" s="953"/>
      <c r="C4701" s="953"/>
      <c r="D4701" s="953"/>
      <c r="E4701" s="953"/>
      <c r="F4701" s="953"/>
      <c r="G4701" s="953"/>
      <c r="H4701" s="953"/>
    </row>
    <row r="4702" spans="1:8" x14ac:dyDescent="0.25">
      <c r="A4702" s="952"/>
      <c r="B4702" s="953"/>
      <c r="C4702" s="953"/>
      <c r="D4702" s="953"/>
      <c r="E4702" s="953"/>
      <c r="F4702" s="953"/>
      <c r="G4702" s="953"/>
      <c r="H4702" s="953"/>
    </row>
    <row r="4703" spans="1:8" x14ac:dyDescent="0.25">
      <c r="A4703" s="952"/>
      <c r="B4703" s="953"/>
      <c r="C4703" s="953"/>
      <c r="D4703" s="953"/>
      <c r="E4703" s="953"/>
      <c r="F4703" s="953"/>
      <c r="G4703" s="953"/>
      <c r="H4703" s="953"/>
    </row>
    <row r="4704" spans="1:8" x14ac:dyDescent="0.25">
      <c r="A4704" s="952"/>
      <c r="B4704" s="953"/>
      <c r="C4704" s="953"/>
      <c r="D4704" s="953"/>
      <c r="E4704" s="953"/>
      <c r="F4704" s="953"/>
      <c r="G4704" s="953"/>
      <c r="H4704" s="953"/>
    </row>
    <row r="4705" spans="1:8" x14ac:dyDescent="0.25">
      <c r="A4705" s="952"/>
      <c r="B4705" s="953"/>
      <c r="C4705" s="953"/>
      <c r="D4705" s="953"/>
      <c r="E4705" s="953"/>
      <c r="F4705" s="953"/>
      <c r="G4705" s="953"/>
      <c r="H4705" s="953"/>
    </row>
    <row r="4706" spans="1:8" x14ac:dyDescent="0.25">
      <c r="A4706" s="952"/>
      <c r="B4706" s="953"/>
      <c r="C4706" s="953"/>
      <c r="D4706" s="953"/>
      <c r="E4706" s="953"/>
      <c r="F4706" s="953"/>
      <c r="G4706" s="953"/>
      <c r="H4706" s="953"/>
    </row>
    <row r="4707" spans="1:8" x14ac:dyDescent="0.25">
      <c r="A4707" s="952"/>
      <c r="B4707" s="953"/>
      <c r="C4707" s="953"/>
      <c r="D4707" s="953"/>
      <c r="E4707" s="953"/>
      <c r="F4707" s="953"/>
      <c r="G4707" s="953"/>
      <c r="H4707" s="953"/>
    </row>
    <row r="4708" spans="1:8" x14ac:dyDescent="0.25">
      <c r="A4708" s="952"/>
      <c r="B4708" s="953"/>
      <c r="C4708" s="953"/>
      <c r="D4708" s="953"/>
      <c r="E4708" s="953"/>
      <c r="F4708" s="953"/>
      <c r="G4708" s="953"/>
      <c r="H4708" s="953"/>
    </row>
    <row r="4709" spans="1:8" x14ac:dyDescent="0.25">
      <c r="A4709" s="952"/>
      <c r="B4709" s="953"/>
      <c r="C4709" s="953"/>
      <c r="D4709" s="953"/>
      <c r="E4709" s="953"/>
      <c r="F4709" s="953"/>
      <c r="G4709" s="953"/>
      <c r="H4709" s="953"/>
    </row>
    <row r="4710" spans="1:8" x14ac:dyDescent="0.25">
      <c r="A4710" s="952"/>
      <c r="B4710" s="953"/>
      <c r="C4710" s="953"/>
      <c r="D4710" s="953"/>
      <c r="E4710" s="953"/>
      <c r="F4710" s="953"/>
      <c r="G4710" s="953"/>
      <c r="H4710" s="953"/>
    </row>
    <row r="4711" spans="1:8" x14ac:dyDescent="0.25">
      <c r="A4711" s="952"/>
      <c r="B4711" s="953"/>
      <c r="C4711" s="953"/>
      <c r="D4711" s="953"/>
      <c r="E4711" s="953"/>
      <c r="F4711" s="953"/>
      <c r="G4711" s="953"/>
      <c r="H4711" s="953"/>
    </row>
    <row r="4712" spans="1:8" x14ac:dyDescent="0.25">
      <c r="A4712" s="952"/>
      <c r="B4712" s="953"/>
      <c r="C4712" s="953"/>
      <c r="D4712" s="953"/>
      <c r="E4712" s="953"/>
      <c r="F4712" s="953"/>
      <c r="G4712" s="953"/>
      <c r="H4712" s="953"/>
    </row>
    <row r="4713" spans="1:8" x14ac:dyDescent="0.25">
      <c r="A4713" s="952"/>
      <c r="B4713" s="953"/>
      <c r="C4713" s="953"/>
      <c r="D4713" s="953"/>
      <c r="E4713" s="953"/>
      <c r="F4713" s="953"/>
      <c r="G4713" s="953"/>
      <c r="H4713" s="953"/>
    </row>
    <row r="4714" spans="1:8" x14ac:dyDescent="0.25">
      <c r="A4714" s="952"/>
      <c r="B4714" s="953"/>
      <c r="C4714" s="953"/>
      <c r="D4714" s="953"/>
      <c r="E4714" s="953"/>
      <c r="F4714" s="953"/>
      <c r="G4714" s="953"/>
      <c r="H4714" s="953"/>
    </row>
    <row r="4715" spans="1:8" x14ac:dyDescent="0.25">
      <c r="A4715" s="952"/>
      <c r="B4715" s="953"/>
      <c r="C4715" s="953"/>
      <c r="D4715" s="953"/>
      <c r="E4715" s="953"/>
      <c r="F4715" s="953"/>
      <c r="G4715" s="953"/>
      <c r="H4715" s="953"/>
    </row>
    <row r="4716" spans="1:8" x14ac:dyDescent="0.25">
      <c r="A4716" s="952"/>
      <c r="B4716" s="953"/>
      <c r="C4716" s="953"/>
      <c r="D4716" s="953"/>
      <c r="E4716" s="953"/>
      <c r="F4716" s="953"/>
      <c r="G4716" s="953"/>
      <c r="H4716" s="953"/>
    </row>
    <row r="4717" spans="1:8" x14ac:dyDescent="0.25">
      <c r="A4717" s="952"/>
      <c r="B4717" s="953"/>
      <c r="C4717" s="953"/>
      <c r="D4717" s="953"/>
      <c r="E4717" s="953"/>
      <c r="F4717" s="953"/>
      <c r="G4717" s="953"/>
      <c r="H4717" s="953"/>
    </row>
    <row r="4718" spans="1:8" x14ac:dyDescent="0.25">
      <c r="A4718" s="952"/>
      <c r="B4718" s="953"/>
      <c r="C4718" s="953"/>
      <c r="D4718" s="953"/>
      <c r="E4718" s="953"/>
      <c r="F4718" s="953"/>
      <c r="G4718" s="953"/>
      <c r="H4718" s="953"/>
    </row>
    <row r="4719" spans="1:8" x14ac:dyDescent="0.25">
      <c r="A4719" s="952"/>
      <c r="B4719" s="953"/>
      <c r="C4719" s="953"/>
      <c r="D4719" s="953"/>
      <c r="E4719" s="953"/>
      <c r="F4719" s="953"/>
      <c r="G4719" s="953"/>
      <c r="H4719" s="953"/>
    </row>
    <row r="4720" spans="1:8" x14ac:dyDescent="0.25">
      <c r="A4720" s="952"/>
      <c r="B4720" s="953"/>
      <c r="C4720" s="953"/>
      <c r="D4720" s="953"/>
      <c r="E4720" s="953"/>
      <c r="F4720" s="953"/>
      <c r="G4720" s="953"/>
      <c r="H4720" s="953"/>
    </row>
    <row r="4721" spans="1:8" x14ac:dyDescent="0.25">
      <c r="A4721" s="952"/>
      <c r="B4721" s="953"/>
      <c r="C4721" s="953"/>
      <c r="D4721" s="953"/>
      <c r="E4721" s="953"/>
      <c r="F4721" s="953"/>
      <c r="G4721" s="953"/>
      <c r="H4721" s="953"/>
    </row>
    <row r="4722" spans="1:8" x14ac:dyDescent="0.25">
      <c r="A4722" s="952"/>
      <c r="B4722" s="953"/>
      <c r="C4722" s="953"/>
      <c r="D4722" s="953"/>
      <c r="E4722" s="953"/>
      <c r="F4722" s="953"/>
      <c r="G4722" s="953"/>
      <c r="H4722" s="953"/>
    </row>
    <row r="4723" spans="1:8" x14ac:dyDescent="0.25">
      <c r="A4723" s="952"/>
      <c r="B4723" s="953"/>
      <c r="C4723" s="953"/>
      <c r="D4723" s="953"/>
      <c r="E4723" s="953"/>
      <c r="F4723" s="953"/>
      <c r="G4723" s="953"/>
      <c r="H4723" s="953"/>
    </row>
    <row r="4724" spans="1:8" x14ac:dyDescent="0.25">
      <c r="A4724" s="952"/>
      <c r="B4724" s="953"/>
      <c r="C4724" s="953"/>
      <c r="D4724" s="953"/>
      <c r="E4724" s="953"/>
      <c r="F4724" s="953"/>
      <c r="G4724" s="953"/>
      <c r="H4724" s="953"/>
    </row>
    <row r="4725" spans="1:8" x14ac:dyDescent="0.25">
      <c r="A4725" s="952"/>
      <c r="B4725" s="953"/>
      <c r="C4725" s="953"/>
      <c r="D4725" s="953"/>
      <c r="E4725" s="953"/>
      <c r="F4725" s="953"/>
      <c r="G4725" s="953"/>
      <c r="H4725" s="953"/>
    </row>
    <row r="4726" spans="1:8" x14ac:dyDescent="0.25">
      <c r="A4726" s="952"/>
      <c r="B4726" s="953"/>
      <c r="C4726" s="953"/>
      <c r="D4726" s="953"/>
      <c r="E4726" s="953"/>
      <c r="F4726" s="953"/>
      <c r="G4726" s="953"/>
      <c r="H4726" s="953"/>
    </row>
    <row r="4727" spans="1:8" x14ac:dyDescent="0.25">
      <c r="A4727" s="952"/>
      <c r="B4727" s="953"/>
      <c r="C4727" s="953"/>
      <c r="D4727" s="953"/>
      <c r="E4727" s="953"/>
      <c r="F4727" s="953"/>
      <c r="G4727" s="953"/>
      <c r="H4727" s="953"/>
    </row>
    <row r="4728" spans="1:8" x14ac:dyDescent="0.25">
      <c r="A4728" s="952"/>
      <c r="B4728" s="953"/>
      <c r="C4728" s="953"/>
      <c r="D4728" s="953"/>
      <c r="E4728" s="953"/>
      <c r="F4728" s="953"/>
      <c r="G4728" s="953"/>
      <c r="H4728" s="953"/>
    </row>
    <row r="4729" spans="1:8" x14ac:dyDescent="0.25">
      <c r="A4729" s="952"/>
      <c r="B4729" s="953"/>
      <c r="C4729" s="953"/>
      <c r="D4729" s="953"/>
      <c r="E4729" s="953"/>
      <c r="F4729" s="953"/>
      <c r="G4729" s="953"/>
      <c r="H4729" s="953"/>
    </row>
    <row r="4730" spans="1:8" x14ac:dyDescent="0.25">
      <c r="A4730" s="952"/>
      <c r="B4730" s="953"/>
      <c r="C4730" s="953"/>
      <c r="D4730" s="953"/>
      <c r="E4730" s="953"/>
      <c r="F4730" s="953"/>
      <c r="G4730" s="953"/>
      <c r="H4730" s="953"/>
    </row>
    <row r="4731" spans="1:8" x14ac:dyDescent="0.25">
      <c r="A4731" s="952"/>
      <c r="B4731" s="953"/>
      <c r="C4731" s="953"/>
      <c r="D4731" s="953"/>
      <c r="E4731" s="953"/>
      <c r="F4731" s="953"/>
      <c r="G4731" s="953"/>
      <c r="H4731" s="953"/>
    </row>
    <row r="4732" spans="1:8" x14ac:dyDescent="0.25">
      <c r="A4732" s="952"/>
      <c r="B4732" s="953"/>
      <c r="C4732" s="953"/>
      <c r="D4732" s="953"/>
      <c r="E4732" s="953"/>
      <c r="F4732" s="953"/>
      <c r="G4732" s="953"/>
      <c r="H4732" s="953"/>
    </row>
    <row r="4733" spans="1:8" x14ac:dyDescent="0.25">
      <c r="A4733" s="952"/>
      <c r="B4733" s="953"/>
      <c r="C4733" s="953"/>
      <c r="D4733" s="953"/>
      <c r="E4733" s="953"/>
      <c r="F4733" s="953"/>
      <c r="G4733" s="953"/>
      <c r="H4733" s="953"/>
    </row>
    <row r="4734" spans="1:8" x14ac:dyDescent="0.25">
      <c r="A4734" s="952"/>
      <c r="B4734" s="953"/>
      <c r="C4734" s="953"/>
      <c r="D4734" s="953"/>
      <c r="E4734" s="953"/>
      <c r="F4734" s="953"/>
      <c r="G4734" s="953"/>
      <c r="H4734" s="953"/>
    </row>
    <row r="4735" spans="1:8" x14ac:dyDescent="0.25">
      <c r="A4735" s="952"/>
      <c r="B4735" s="953"/>
      <c r="C4735" s="953"/>
      <c r="D4735" s="953"/>
      <c r="E4735" s="953"/>
      <c r="F4735" s="953"/>
      <c r="G4735" s="953"/>
      <c r="H4735" s="953"/>
    </row>
    <row r="4736" spans="1:8" x14ac:dyDescent="0.25">
      <c r="A4736" s="952"/>
      <c r="B4736" s="953"/>
      <c r="C4736" s="953"/>
      <c r="D4736" s="953"/>
      <c r="E4736" s="953"/>
      <c r="F4736" s="953"/>
      <c r="G4736" s="953"/>
      <c r="H4736" s="953"/>
    </row>
    <row r="4737" spans="1:8" x14ac:dyDescent="0.25">
      <c r="A4737" s="952"/>
      <c r="B4737" s="953"/>
      <c r="C4737" s="953"/>
      <c r="D4737" s="953"/>
      <c r="E4737" s="953"/>
      <c r="F4737" s="953"/>
      <c r="G4737" s="953"/>
      <c r="H4737" s="953"/>
    </row>
    <row r="4738" spans="1:8" x14ac:dyDescent="0.25">
      <c r="A4738" s="952"/>
      <c r="B4738" s="953"/>
      <c r="C4738" s="953"/>
      <c r="D4738" s="953"/>
      <c r="E4738" s="953"/>
      <c r="F4738" s="953"/>
      <c r="G4738" s="953"/>
      <c r="H4738" s="953"/>
    </row>
    <row r="4739" spans="1:8" x14ac:dyDescent="0.25">
      <c r="A4739" s="952"/>
      <c r="B4739" s="953"/>
      <c r="C4739" s="953"/>
      <c r="D4739" s="953"/>
      <c r="E4739" s="953"/>
      <c r="F4739" s="953"/>
      <c r="G4739" s="953"/>
      <c r="H4739" s="953"/>
    </row>
    <row r="4740" spans="1:8" x14ac:dyDescent="0.25">
      <c r="A4740" s="952"/>
      <c r="B4740" s="953"/>
      <c r="C4740" s="953"/>
      <c r="D4740" s="953"/>
      <c r="E4740" s="953"/>
      <c r="F4740" s="953"/>
      <c r="G4740" s="953"/>
      <c r="H4740" s="953"/>
    </row>
    <row r="4741" spans="1:8" x14ac:dyDescent="0.25">
      <c r="A4741" s="952"/>
      <c r="B4741" s="953"/>
      <c r="C4741" s="953"/>
      <c r="D4741" s="953"/>
      <c r="E4741" s="953"/>
      <c r="F4741" s="953"/>
      <c r="G4741" s="953"/>
      <c r="H4741" s="953"/>
    </row>
    <row r="4742" spans="1:8" x14ac:dyDescent="0.25">
      <c r="A4742" s="952"/>
      <c r="B4742" s="953"/>
      <c r="C4742" s="953"/>
      <c r="D4742" s="953"/>
      <c r="E4742" s="953"/>
      <c r="F4742" s="953"/>
      <c r="G4742" s="953"/>
      <c r="H4742" s="953"/>
    </row>
    <row r="4743" spans="1:8" x14ac:dyDescent="0.25">
      <c r="A4743" s="952"/>
      <c r="B4743" s="953"/>
      <c r="C4743" s="953"/>
      <c r="D4743" s="953"/>
      <c r="E4743" s="953"/>
      <c r="F4743" s="953"/>
      <c r="G4743" s="953"/>
      <c r="H4743" s="953"/>
    </row>
    <row r="4744" spans="1:8" x14ac:dyDescent="0.25">
      <c r="A4744" s="952"/>
      <c r="B4744" s="953"/>
      <c r="C4744" s="953"/>
      <c r="D4744" s="953"/>
      <c r="E4744" s="953"/>
      <c r="F4744" s="953"/>
      <c r="G4744" s="953"/>
      <c r="H4744" s="953"/>
    </row>
    <row r="4745" spans="1:8" x14ac:dyDescent="0.25">
      <c r="A4745" s="952"/>
      <c r="B4745" s="953"/>
      <c r="C4745" s="953"/>
      <c r="D4745" s="953"/>
      <c r="E4745" s="953"/>
      <c r="F4745" s="953"/>
      <c r="G4745" s="953"/>
      <c r="H4745" s="953"/>
    </row>
    <row r="4746" spans="1:8" x14ac:dyDescent="0.25">
      <c r="A4746" s="952"/>
      <c r="B4746" s="953"/>
      <c r="C4746" s="953"/>
      <c r="D4746" s="953"/>
      <c r="E4746" s="953"/>
      <c r="F4746" s="953"/>
      <c r="G4746" s="953"/>
      <c r="H4746" s="953"/>
    </row>
    <row r="4747" spans="1:8" x14ac:dyDescent="0.25">
      <c r="A4747" s="952"/>
      <c r="B4747" s="953"/>
      <c r="C4747" s="953"/>
      <c r="D4747" s="953"/>
      <c r="E4747" s="953"/>
      <c r="F4747" s="953"/>
      <c r="G4747" s="953"/>
      <c r="H4747" s="953"/>
    </row>
    <row r="4748" spans="1:8" x14ac:dyDescent="0.25">
      <c r="A4748" s="952"/>
      <c r="B4748" s="953"/>
      <c r="C4748" s="953"/>
      <c r="D4748" s="953"/>
      <c r="E4748" s="953"/>
      <c r="F4748" s="953"/>
      <c r="G4748" s="953"/>
      <c r="H4748" s="953"/>
    </row>
    <row r="4749" spans="1:8" x14ac:dyDescent="0.25">
      <c r="A4749" s="952"/>
      <c r="B4749" s="953"/>
      <c r="C4749" s="953"/>
      <c r="D4749" s="953"/>
      <c r="E4749" s="953"/>
      <c r="F4749" s="953"/>
      <c r="G4749" s="953"/>
      <c r="H4749" s="953"/>
    </row>
    <row r="4750" spans="1:8" x14ac:dyDescent="0.25">
      <c r="A4750" s="952"/>
      <c r="B4750" s="953"/>
      <c r="C4750" s="953"/>
      <c r="D4750" s="953"/>
      <c r="E4750" s="953"/>
      <c r="F4750" s="953"/>
      <c r="G4750" s="953"/>
      <c r="H4750" s="953"/>
    </row>
    <row r="4751" spans="1:8" x14ac:dyDescent="0.25">
      <c r="A4751" s="952"/>
      <c r="B4751" s="953"/>
      <c r="C4751" s="953"/>
      <c r="D4751" s="953"/>
      <c r="E4751" s="953"/>
      <c r="F4751" s="953"/>
      <c r="G4751" s="953"/>
      <c r="H4751" s="953"/>
    </row>
    <row r="4752" spans="1:8" x14ac:dyDescent="0.25">
      <c r="A4752" s="952"/>
      <c r="B4752" s="953"/>
      <c r="C4752" s="953"/>
      <c r="D4752" s="953"/>
      <c r="E4752" s="953"/>
      <c r="F4752" s="953"/>
      <c r="G4752" s="953"/>
      <c r="H4752" s="953"/>
    </row>
    <row r="4753" spans="1:8" x14ac:dyDescent="0.25">
      <c r="A4753" s="952"/>
      <c r="B4753" s="953"/>
      <c r="C4753" s="953"/>
      <c r="D4753" s="953"/>
      <c r="E4753" s="953"/>
      <c r="F4753" s="953"/>
      <c r="G4753" s="953"/>
      <c r="H4753" s="953"/>
    </row>
    <row r="4754" spans="1:8" x14ac:dyDescent="0.25">
      <c r="A4754" s="952"/>
      <c r="B4754" s="953"/>
      <c r="C4754" s="953"/>
      <c r="D4754" s="953"/>
      <c r="E4754" s="953"/>
      <c r="F4754" s="953"/>
      <c r="G4754" s="953"/>
      <c r="H4754" s="953"/>
    </row>
    <row r="4755" spans="1:8" x14ac:dyDescent="0.25">
      <c r="A4755" s="952"/>
      <c r="B4755" s="953"/>
      <c r="C4755" s="953"/>
      <c r="D4755" s="953"/>
      <c r="E4755" s="953"/>
      <c r="F4755" s="953"/>
      <c r="G4755" s="953"/>
      <c r="H4755" s="953"/>
    </row>
    <row r="4756" spans="1:8" x14ac:dyDescent="0.25">
      <c r="A4756" s="952"/>
      <c r="B4756" s="953"/>
      <c r="C4756" s="953"/>
      <c r="D4756" s="953"/>
      <c r="E4756" s="953"/>
      <c r="F4756" s="953"/>
      <c r="G4756" s="953"/>
      <c r="H4756" s="953"/>
    </row>
    <row r="4757" spans="1:8" x14ac:dyDescent="0.25">
      <c r="A4757" s="952"/>
      <c r="B4757" s="953"/>
      <c r="C4757" s="953"/>
      <c r="D4757" s="953"/>
      <c r="E4757" s="953"/>
      <c r="F4757" s="953"/>
      <c r="G4757" s="953"/>
      <c r="H4757" s="953"/>
    </row>
    <row r="4758" spans="1:8" x14ac:dyDescent="0.25">
      <c r="A4758" s="952"/>
      <c r="B4758" s="953"/>
      <c r="C4758" s="953"/>
      <c r="D4758" s="953"/>
      <c r="E4758" s="953"/>
      <c r="F4758" s="953"/>
      <c r="G4758" s="953"/>
      <c r="H4758" s="953"/>
    </row>
    <row r="4759" spans="1:8" x14ac:dyDescent="0.25">
      <c r="A4759" s="952"/>
      <c r="B4759" s="953"/>
      <c r="C4759" s="953"/>
      <c r="D4759" s="953"/>
      <c r="E4759" s="953"/>
      <c r="F4759" s="953"/>
      <c r="G4759" s="953"/>
      <c r="H4759" s="953"/>
    </row>
    <row r="4760" spans="1:8" x14ac:dyDescent="0.25">
      <c r="A4760" s="952"/>
      <c r="B4760" s="953"/>
      <c r="C4760" s="953"/>
      <c r="D4760" s="953"/>
      <c r="E4760" s="953"/>
      <c r="F4760" s="953"/>
      <c r="G4760" s="953"/>
      <c r="H4760" s="953"/>
    </row>
    <row r="4761" spans="1:8" x14ac:dyDescent="0.25">
      <c r="A4761" s="952"/>
      <c r="B4761" s="953"/>
      <c r="C4761" s="953"/>
      <c r="D4761" s="953"/>
      <c r="E4761" s="953"/>
      <c r="F4761" s="953"/>
      <c r="G4761" s="953"/>
      <c r="H4761" s="953"/>
    </row>
    <row r="4762" spans="1:8" x14ac:dyDescent="0.25">
      <c r="A4762" s="952"/>
      <c r="B4762" s="953"/>
      <c r="C4762" s="953"/>
      <c r="D4762" s="953"/>
      <c r="E4762" s="953"/>
      <c r="F4762" s="953"/>
      <c r="G4762" s="953"/>
      <c r="H4762" s="953"/>
    </row>
    <row r="4763" spans="1:8" x14ac:dyDescent="0.25">
      <c r="A4763" s="952"/>
      <c r="B4763" s="953"/>
      <c r="C4763" s="953"/>
      <c r="D4763" s="953"/>
      <c r="E4763" s="953"/>
      <c r="F4763" s="953"/>
      <c r="G4763" s="953"/>
      <c r="H4763" s="953"/>
    </row>
    <row r="4764" spans="1:8" x14ac:dyDescent="0.25">
      <c r="A4764" s="952"/>
      <c r="B4764" s="953"/>
      <c r="C4764" s="953"/>
      <c r="D4764" s="953"/>
      <c r="E4764" s="953"/>
      <c r="F4764" s="953"/>
      <c r="G4764" s="953"/>
      <c r="H4764" s="953"/>
    </row>
    <row r="4765" spans="1:8" x14ac:dyDescent="0.25">
      <c r="A4765" s="952"/>
      <c r="B4765" s="953"/>
      <c r="C4765" s="953"/>
      <c r="D4765" s="953"/>
      <c r="E4765" s="953"/>
      <c r="F4765" s="953"/>
      <c r="G4765" s="953"/>
      <c r="H4765" s="953"/>
    </row>
    <row r="4766" spans="1:8" x14ac:dyDescent="0.25">
      <c r="A4766" s="952"/>
      <c r="B4766" s="953"/>
      <c r="C4766" s="953"/>
      <c r="D4766" s="953"/>
      <c r="E4766" s="953"/>
      <c r="F4766" s="953"/>
      <c r="G4766" s="953"/>
      <c r="H4766" s="953"/>
    </row>
    <row r="4767" spans="1:8" x14ac:dyDescent="0.25">
      <c r="A4767" s="952"/>
      <c r="B4767" s="953"/>
      <c r="C4767" s="953"/>
      <c r="D4767" s="953"/>
      <c r="E4767" s="953"/>
      <c r="F4767" s="953"/>
      <c r="G4767" s="953"/>
      <c r="H4767" s="953"/>
    </row>
    <row r="4768" spans="1:8" x14ac:dyDescent="0.25">
      <c r="A4768" s="952"/>
      <c r="B4768" s="953"/>
      <c r="C4768" s="953"/>
      <c r="D4768" s="953"/>
      <c r="E4768" s="953"/>
      <c r="F4768" s="953"/>
      <c r="G4768" s="953"/>
      <c r="H4768" s="953"/>
    </row>
    <row r="4769" spans="1:8" x14ac:dyDescent="0.25">
      <c r="A4769" s="952"/>
      <c r="B4769" s="953"/>
      <c r="C4769" s="953"/>
      <c r="D4769" s="953"/>
      <c r="E4769" s="953"/>
      <c r="F4769" s="953"/>
      <c r="G4769" s="953"/>
      <c r="H4769" s="953"/>
    </row>
    <row r="4770" spans="1:8" x14ac:dyDescent="0.25">
      <c r="A4770" s="952"/>
      <c r="B4770" s="953"/>
      <c r="C4770" s="953"/>
      <c r="D4770" s="953"/>
      <c r="E4770" s="953"/>
      <c r="F4770" s="953"/>
      <c r="G4770" s="953"/>
      <c r="H4770" s="953"/>
    </row>
    <row r="4771" spans="1:8" x14ac:dyDescent="0.25">
      <c r="A4771" s="952"/>
      <c r="B4771" s="953"/>
      <c r="C4771" s="953"/>
      <c r="D4771" s="953"/>
      <c r="E4771" s="953"/>
      <c r="F4771" s="953"/>
      <c r="G4771" s="953"/>
      <c r="H4771" s="953"/>
    </row>
    <row r="4772" spans="1:8" x14ac:dyDescent="0.25">
      <c r="A4772" s="952"/>
      <c r="B4772" s="953"/>
      <c r="C4772" s="953"/>
      <c r="D4772" s="953"/>
      <c r="E4772" s="953"/>
      <c r="F4772" s="953"/>
      <c r="G4772" s="953"/>
      <c r="H4772" s="953"/>
    </row>
    <row r="4773" spans="1:8" x14ac:dyDescent="0.25">
      <c r="A4773" s="952"/>
      <c r="B4773" s="953"/>
      <c r="C4773" s="953"/>
      <c r="D4773" s="953"/>
      <c r="E4773" s="953"/>
      <c r="F4773" s="953"/>
      <c r="G4773" s="953"/>
      <c r="H4773" s="953"/>
    </row>
    <row r="4774" spans="1:8" x14ac:dyDescent="0.25">
      <c r="A4774" s="952"/>
      <c r="B4774" s="953"/>
      <c r="C4774" s="953"/>
      <c r="D4774" s="953"/>
      <c r="E4774" s="953"/>
      <c r="F4774" s="953"/>
      <c r="G4774" s="953"/>
      <c r="H4774" s="953"/>
    </row>
    <row r="4775" spans="1:8" x14ac:dyDescent="0.25">
      <c r="A4775" s="952"/>
      <c r="B4775" s="953"/>
      <c r="C4775" s="953"/>
      <c r="D4775" s="953"/>
      <c r="E4775" s="953"/>
      <c r="F4775" s="953"/>
      <c r="G4775" s="953"/>
      <c r="H4775" s="953"/>
    </row>
    <row r="4776" spans="1:8" x14ac:dyDescent="0.25">
      <c r="A4776" s="952"/>
      <c r="B4776" s="953"/>
      <c r="C4776" s="953"/>
      <c r="D4776" s="953"/>
      <c r="E4776" s="953"/>
      <c r="F4776" s="953"/>
      <c r="G4776" s="953"/>
      <c r="H4776" s="953"/>
    </row>
    <row r="4777" spans="1:8" x14ac:dyDescent="0.25">
      <c r="A4777" s="952"/>
      <c r="B4777" s="953"/>
      <c r="C4777" s="953"/>
      <c r="D4777" s="953"/>
      <c r="E4777" s="953"/>
      <c r="F4777" s="953"/>
      <c r="G4777" s="953"/>
      <c r="H4777" s="953"/>
    </row>
    <row r="4778" spans="1:8" x14ac:dyDescent="0.25">
      <c r="A4778" s="952"/>
      <c r="B4778" s="953"/>
      <c r="C4778" s="953"/>
      <c r="D4778" s="953"/>
      <c r="E4778" s="953"/>
      <c r="F4778" s="953"/>
      <c r="G4778" s="953"/>
      <c r="H4778" s="953"/>
    </row>
    <row r="4779" spans="1:8" x14ac:dyDescent="0.25">
      <c r="A4779" s="952"/>
      <c r="B4779" s="953"/>
      <c r="C4779" s="953"/>
      <c r="D4779" s="953"/>
      <c r="E4779" s="953"/>
      <c r="F4779" s="953"/>
      <c r="G4779" s="953"/>
      <c r="H4779" s="953"/>
    </row>
    <row r="4780" spans="1:8" x14ac:dyDescent="0.25">
      <c r="A4780" s="952"/>
      <c r="B4780" s="953"/>
      <c r="C4780" s="953"/>
      <c r="D4780" s="953"/>
      <c r="E4780" s="953"/>
      <c r="F4780" s="953"/>
      <c r="G4780" s="953"/>
      <c r="H4780" s="953"/>
    </row>
    <row r="4781" spans="1:8" x14ac:dyDescent="0.25">
      <c r="A4781" s="952"/>
      <c r="B4781" s="953"/>
      <c r="C4781" s="953"/>
      <c r="D4781" s="953"/>
      <c r="E4781" s="953"/>
      <c r="F4781" s="953"/>
      <c r="G4781" s="953"/>
      <c r="H4781" s="953"/>
    </row>
    <row r="4782" spans="1:8" x14ac:dyDescent="0.25">
      <c r="A4782" s="952"/>
      <c r="B4782" s="953"/>
      <c r="C4782" s="953"/>
      <c r="D4782" s="953"/>
      <c r="E4782" s="953"/>
      <c r="F4782" s="953"/>
      <c r="G4782" s="953"/>
      <c r="H4782" s="953"/>
    </row>
    <row r="4783" spans="1:8" x14ac:dyDescent="0.25">
      <c r="A4783" s="952"/>
      <c r="B4783" s="953"/>
      <c r="C4783" s="953"/>
      <c r="D4783" s="953"/>
      <c r="E4783" s="953"/>
      <c r="F4783" s="953"/>
      <c r="G4783" s="953"/>
      <c r="H4783" s="953"/>
    </row>
    <row r="4784" spans="1:8" x14ac:dyDescent="0.25">
      <c r="A4784" s="952"/>
      <c r="B4784" s="953"/>
      <c r="C4784" s="953"/>
      <c r="D4784" s="953"/>
      <c r="E4784" s="953"/>
      <c r="F4784" s="953"/>
      <c r="G4784" s="953"/>
      <c r="H4784" s="953"/>
    </row>
    <row r="4785" spans="1:8" x14ac:dyDescent="0.25">
      <c r="A4785" s="952"/>
      <c r="B4785" s="953"/>
      <c r="C4785" s="953"/>
      <c r="D4785" s="953"/>
      <c r="E4785" s="953"/>
      <c r="F4785" s="953"/>
      <c r="G4785" s="953"/>
      <c r="H4785" s="953"/>
    </row>
    <row r="4786" spans="1:8" x14ac:dyDescent="0.25">
      <c r="A4786" s="952"/>
      <c r="B4786" s="953"/>
      <c r="C4786" s="953"/>
      <c r="D4786" s="953"/>
      <c r="E4786" s="953"/>
      <c r="F4786" s="953"/>
      <c r="G4786" s="953"/>
      <c r="H4786" s="953"/>
    </row>
    <row r="4787" spans="1:8" x14ac:dyDescent="0.25">
      <c r="A4787" s="952"/>
      <c r="B4787" s="953"/>
      <c r="C4787" s="953"/>
      <c r="D4787" s="953"/>
      <c r="E4787" s="953"/>
      <c r="F4787" s="953"/>
      <c r="G4787" s="953"/>
      <c r="H4787" s="953"/>
    </row>
    <row r="4788" spans="1:8" x14ac:dyDescent="0.25">
      <c r="A4788" s="952"/>
      <c r="B4788" s="953"/>
      <c r="C4788" s="953"/>
      <c r="D4788" s="953"/>
      <c r="E4788" s="953"/>
      <c r="F4788" s="953"/>
      <c r="G4788" s="953"/>
      <c r="H4788" s="953"/>
    </row>
    <row r="4789" spans="1:8" x14ac:dyDescent="0.25">
      <c r="A4789" s="952"/>
      <c r="B4789" s="953"/>
      <c r="C4789" s="953"/>
      <c r="D4789" s="953"/>
      <c r="E4789" s="953"/>
      <c r="F4789" s="953"/>
      <c r="G4789" s="953"/>
      <c r="H4789" s="953"/>
    </row>
    <row r="4790" spans="1:8" x14ac:dyDescent="0.25">
      <c r="A4790" s="952"/>
      <c r="B4790" s="953"/>
      <c r="C4790" s="953"/>
      <c r="D4790" s="953"/>
      <c r="E4790" s="953"/>
      <c r="F4790" s="953"/>
      <c r="G4790" s="953"/>
      <c r="H4790" s="953"/>
    </row>
    <row r="4791" spans="1:8" x14ac:dyDescent="0.25">
      <c r="A4791" s="952"/>
      <c r="B4791" s="953"/>
      <c r="C4791" s="953"/>
      <c r="D4791" s="953"/>
      <c r="E4791" s="953"/>
      <c r="F4791" s="953"/>
      <c r="G4791" s="953"/>
      <c r="H4791" s="953"/>
    </row>
    <row r="4792" spans="1:8" x14ac:dyDescent="0.25">
      <c r="A4792" s="952"/>
      <c r="B4792" s="953"/>
      <c r="C4792" s="953"/>
      <c r="D4792" s="953"/>
      <c r="E4792" s="953"/>
      <c r="F4792" s="953"/>
      <c r="G4792" s="953"/>
      <c r="H4792" s="953"/>
    </row>
    <row r="4793" spans="1:8" x14ac:dyDescent="0.25">
      <c r="A4793" s="952"/>
      <c r="B4793" s="953"/>
      <c r="C4793" s="953"/>
      <c r="D4793" s="953"/>
      <c r="E4793" s="953"/>
      <c r="F4793" s="953"/>
      <c r="G4793" s="953"/>
      <c r="H4793" s="953"/>
    </row>
    <row r="4794" spans="1:8" x14ac:dyDescent="0.25">
      <c r="A4794" s="952"/>
      <c r="B4794" s="953"/>
      <c r="C4794" s="953"/>
      <c r="D4794" s="953"/>
      <c r="E4794" s="953"/>
      <c r="F4794" s="953"/>
      <c r="G4794" s="953"/>
      <c r="H4794" s="953"/>
    </row>
    <row r="4795" spans="1:8" x14ac:dyDescent="0.25">
      <c r="A4795" s="952"/>
      <c r="B4795" s="953"/>
      <c r="C4795" s="953"/>
      <c r="D4795" s="953"/>
      <c r="E4795" s="953"/>
      <c r="F4795" s="953"/>
      <c r="G4795" s="953"/>
      <c r="H4795" s="953"/>
    </row>
    <row r="4796" spans="1:8" x14ac:dyDescent="0.25">
      <c r="A4796" s="952"/>
      <c r="B4796" s="953"/>
      <c r="C4796" s="953"/>
      <c r="D4796" s="953"/>
      <c r="E4796" s="953"/>
      <c r="F4796" s="953"/>
      <c r="G4796" s="953"/>
      <c r="H4796" s="953"/>
    </row>
    <row r="4797" spans="1:8" x14ac:dyDescent="0.25">
      <c r="A4797" s="952"/>
      <c r="B4797" s="953"/>
      <c r="C4797" s="953"/>
      <c r="D4797" s="953"/>
      <c r="E4797" s="953"/>
      <c r="F4797" s="953"/>
      <c r="G4797" s="953"/>
      <c r="H4797" s="953"/>
    </row>
    <row r="4798" spans="1:8" x14ac:dyDescent="0.25">
      <c r="A4798" s="952"/>
      <c r="B4798" s="953"/>
      <c r="C4798" s="953"/>
      <c r="D4798" s="953"/>
      <c r="E4798" s="953"/>
      <c r="F4798" s="953"/>
      <c r="G4798" s="953"/>
      <c r="H4798" s="953"/>
    </row>
    <row r="4799" spans="1:8" x14ac:dyDescent="0.25">
      <c r="A4799" s="952"/>
      <c r="B4799" s="953"/>
      <c r="C4799" s="953"/>
      <c r="D4799" s="953"/>
      <c r="E4799" s="953"/>
      <c r="F4799" s="953"/>
      <c r="G4799" s="953"/>
      <c r="H4799" s="953"/>
    </row>
    <row r="4800" spans="1:8" x14ac:dyDescent="0.25">
      <c r="A4800" s="952"/>
      <c r="B4800" s="953"/>
      <c r="C4800" s="953"/>
      <c r="D4800" s="953"/>
      <c r="E4800" s="953"/>
      <c r="F4800" s="953"/>
      <c r="G4800" s="953"/>
      <c r="H4800" s="953"/>
    </row>
    <row r="4801" spans="1:8" x14ac:dyDescent="0.25">
      <c r="A4801" s="952"/>
      <c r="B4801" s="953"/>
      <c r="C4801" s="953"/>
      <c r="D4801" s="953"/>
      <c r="E4801" s="953"/>
      <c r="F4801" s="953"/>
      <c r="G4801" s="953"/>
      <c r="H4801" s="953"/>
    </row>
    <row r="4802" spans="1:8" x14ac:dyDescent="0.25">
      <c r="A4802" s="952"/>
      <c r="B4802" s="953"/>
      <c r="C4802" s="953"/>
      <c r="D4802" s="953"/>
      <c r="E4802" s="953"/>
      <c r="F4802" s="953"/>
      <c r="G4802" s="953"/>
      <c r="H4802" s="953"/>
    </row>
    <row r="4803" spans="1:8" x14ac:dyDescent="0.25">
      <c r="A4803" s="952"/>
      <c r="B4803" s="953"/>
      <c r="C4803" s="953"/>
      <c r="D4803" s="953"/>
      <c r="E4803" s="953"/>
      <c r="F4803" s="953"/>
      <c r="G4803" s="953"/>
      <c r="H4803" s="953"/>
    </row>
    <row r="4804" spans="1:8" x14ac:dyDescent="0.25">
      <c r="A4804" s="952"/>
      <c r="B4804" s="953"/>
      <c r="C4804" s="953"/>
      <c r="D4804" s="953"/>
      <c r="E4804" s="953"/>
      <c r="F4804" s="953"/>
      <c r="G4804" s="953"/>
      <c r="H4804" s="953"/>
    </row>
    <row r="4805" spans="1:8" x14ac:dyDescent="0.25">
      <c r="A4805" s="952"/>
      <c r="B4805" s="953"/>
      <c r="C4805" s="953"/>
      <c r="D4805" s="953"/>
      <c r="E4805" s="953"/>
      <c r="F4805" s="953"/>
      <c r="G4805" s="953"/>
      <c r="H4805" s="953"/>
    </row>
    <row r="4806" spans="1:8" x14ac:dyDescent="0.25">
      <c r="A4806" s="952"/>
      <c r="B4806" s="953"/>
      <c r="C4806" s="953"/>
      <c r="D4806" s="953"/>
      <c r="E4806" s="953"/>
      <c r="F4806" s="953"/>
      <c r="G4806" s="953"/>
      <c r="H4806" s="953"/>
    </row>
    <row r="4807" spans="1:8" x14ac:dyDescent="0.25">
      <c r="A4807" s="952"/>
      <c r="B4807" s="953"/>
      <c r="C4807" s="953"/>
      <c r="D4807" s="953"/>
      <c r="E4807" s="953"/>
      <c r="F4807" s="953"/>
      <c r="G4807" s="953"/>
      <c r="H4807" s="953"/>
    </row>
    <row r="4808" spans="1:8" x14ac:dyDescent="0.25">
      <c r="A4808" s="952"/>
      <c r="B4808" s="953"/>
      <c r="C4808" s="953"/>
      <c r="D4808" s="953"/>
      <c r="E4808" s="953"/>
      <c r="F4808" s="953"/>
      <c r="G4808" s="953"/>
      <c r="H4808" s="953"/>
    </row>
    <row r="4809" spans="1:8" x14ac:dyDescent="0.25">
      <c r="A4809" s="952"/>
      <c r="B4809" s="953"/>
      <c r="C4809" s="953"/>
      <c r="D4809" s="953"/>
      <c r="E4809" s="953"/>
      <c r="F4809" s="953"/>
      <c r="G4809" s="953"/>
      <c r="H4809" s="953"/>
    </row>
    <row r="4810" spans="1:8" x14ac:dyDescent="0.25">
      <c r="A4810" s="952"/>
      <c r="B4810" s="953"/>
      <c r="C4810" s="953"/>
      <c r="D4810" s="953"/>
      <c r="E4810" s="953"/>
      <c r="F4810" s="953"/>
      <c r="G4810" s="953"/>
      <c r="H4810" s="953"/>
    </row>
    <row r="4811" spans="1:8" x14ac:dyDescent="0.25">
      <c r="A4811" s="952"/>
      <c r="B4811" s="953"/>
      <c r="C4811" s="953"/>
      <c r="D4811" s="953"/>
      <c r="E4811" s="953"/>
      <c r="F4811" s="953"/>
      <c r="G4811" s="953"/>
      <c r="H4811" s="953"/>
    </row>
    <row r="4812" spans="1:8" x14ac:dyDescent="0.25">
      <c r="A4812" s="952"/>
      <c r="B4812" s="953"/>
      <c r="C4812" s="953"/>
      <c r="D4812" s="953"/>
      <c r="E4812" s="953"/>
      <c r="F4812" s="953"/>
      <c r="G4812" s="953"/>
      <c r="H4812" s="953"/>
    </row>
    <row r="4813" spans="1:8" x14ac:dyDescent="0.25">
      <c r="A4813" s="952"/>
      <c r="B4813" s="953"/>
      <c r="C4813" s="953"/>
      <c r="D4813" s="953"/>
      <c r="E4813" s="953"/>
      <c r="F4813" s="953"/>
      <c r="G4813" s="953"/>
      <c r="H4813" s="953"/>
    </row>
    <row r="4814" spans="1:8" x14ac:dyDescent="0.25">
      <c r="A4814" s="952"/>
      <c r="B4814" s="953"/>
      <c r="C4814" s="953"/>
      <c r="D4814" s="953"/>
      <c r="E4814" s="953"/>
      <c r="F4814" s="953"/>
      <c r="G4814" s="953"/>
      <c r="H4814" s="953"/>
    </row>
    <row r="4815" spans="1:8" x14ac:dyDescent="0.25">
      <c r="A4815" s="952"/>
      <c r="B4815" s="953"/>
      <c r="C4815" s="953"/>
      <c r="D4815" s="953"/>
      <c r="E4815" s="953"/>
      <c r="F4815" s="953"/>
      <c r="G4815" s="953"/>
      <c r="H4815" s="953"/>
    </row>
    <row r="4816" spans="1:8" x14ac:dyDescent="0.25">
      <c r="A4816" s="952"/>
      <c r="B4816" s="953"/>
      <c r="C4816" s="953"/>
      <c r="D4816" s="953"/>
      <c r="E4816" s="953"/>
      <c r="F4816" s="953"/>
      <c r="G4816" s="953"/>
      <c r="H4816" s="953"/>
    </row>
    <row r="4817" spans="1:8" x14ac:dyDescent="0.25">
      <c r="A4817" s="952"/>
      <c r="B4817" s="953"/>
      <c r="C4817" s="953"/>
      <c r="D4817" s="953"/>
      <c r="E4817" s="953"/>
      <c r="F4817" s="953"/>
      <c r="G4817" s="953"/>
      <c r="H4817" s="953"/>
    </row>
    <row r="4818" spans="1:8" x14ac:dyDescent="0.25">
      <c r="A4818" s="952"/>
      <c r="B4818" s="953"/>
      <c r="C4818" s="953"/>
      <c r="D4818" s="953"/>
      <c r="E4818" s="953"/>
      <c r="F4818" s="953"/>
      <c r="G4818" s="953"/>
      <c r="H4818" s="953"/>
    </row>
    <row r="4819" spans="1:8" x14ac:dyDescent="0.25">
      <c r="A4819" s="952"/>
      <c r="B4819" s="953"/>
      <c r="C4819" s="953"/>
      <c r="D4819" s="953"/>
      <c r="E4819" s="953"/>
      <c r="F4819" s="953"/>
      <c r="G4819" s="953"/>
      <c r="H4819" s="953"/>
    </row>
    <row r="4820" spans="1:8" x14ac:dyDescent="0.25">
      <c r="A4820" s="952"/>
      <c r="B4820" s="953"/>
      <c r="C4820" s="953"/>
      <c r="D4820" s="953"/>
      <c r="E4820" s="953"/>
      <c r="F4820" s="953"/>
      <c r="G4820" s="953"/>
      <c r="H4820" s="953"/>
    </row>
    <row r="4821" spans="1:8" x14ac:dyDescent="0.25">
      <c r="A4821" s="952"/>
      <c r="B4821" s="953"/>
      <c r="C4821" s="953"/>
      <c r="D4821" s="953"/>
      <c r="E4821" s="953"/>
      <c r="F4821" s="953"/>
      <c r="G4821" s="953"/>
      <c r="H4821" s="953"/>
    </row>
    <row r="4822" spans="1:8" x14ac:dyDescent="0.25">
      <c r="A4822" s="952"/>
      <c r="B4822" s="953"/>
      <c r="C4822" s="953"/>
      <c r="D4822" s="953"/>
      <c r="E4822" s="953"/>
      <c r="F4822" s="953"/>
      <c r="G4822" s="953"/>
      <c r="H4822" s="953"/>
    </row>
    <row r="4823" spans="1:8" x14ac:dyDescent="0.25">
      <c r="A4823" s="952"/>
      <c r="B4823" s="953"/>
      <c r="C4823" s="953"/>
      <c r="D4823" s="953"/>
      <c r="E4823" s="953"/>
      <c r="F4823" s="953"/>
      <c r="G4823" s="953"/>
      <c r="H4823" s="953"/>
    </row>
    <row r="4824" spans="1:8" x14ac:dyDescent="0.25">
      <c r="A4824" s="952"/>
      <c r="B4824" s="953"/>
      <c r="C4824" s="953"/>
      <c r="D4824" s="953"/>
      <c r="E4824" s="953"/>
      <c r="F4824" s="953"/>
      <c r="G4824" s="953"/>
      <c r="H4824" s="953"/>
    </row>
    <row r="4825" spans="1:8" x14ac:dyDescent="0.25">
      <c r="A4825" s="952"/>
      <c r="B4825" s="953"/>
      <c r="C4825" s="953"/>
      <c r="D4825" s="953"/>
      <c r="E4825" s="953"/>
      <c r="F4825" s="953"/>
      <c r="G4825" s="953"/>
      <c r="H4825" s="953"/>
    </row>
    <row r="4826" spans="1:8" x14ac:dyDescent="0.25">
      <c r="A4826" s="952"/>
      <c r="B4826" s="953"/>
      <c r="C4826" s="953"/>
      <c r="D4826" s="953"/>
      <c r="E4826" s="953"/>
      <c r="F4826" s="953"/>
      <c r="G4826" s="953"/>
      <c r="H4826" s="953"/>
    </row>
    <row r="4827" spans="1:8" x14ac:dyDescent="0.25">
      <c r="A4827" s="952"/>
      <c r="B4827" s="953"/>
      <c r="C4827" s="953"/>
      <c r="D4827" s="953"/>
      <c r="E4827" s="953"/>
      <c r="F4827" s="953"/>
      <c r="G4827" s="953"/>
      <c r="H4827" s="953"/>
    </row>
    <row r="4828" spans="1:8" x14ac:dyDescent="0.25">
      <c r="A4828" s="952"/>
      <c r="B4828" s="953"/>
      <c r="C4828" s="953"/>
      <c r="D4828" s="953"/>
      <c r="E4828" s="953"/>
      <c r="F4828" s="953"/>
      <c r="G4828" s="953"/>
      <c r="H4828" s="953"/>
    </row>
    <row r="4829" spans="1:8" x14ac:dyDescent="0.25">
      <c r="A4829" s="952"/>
      <c r="B4829" s="953"/>
      <c r="C4829" s="953"/>
      <c r="D4829" s="953"/>
      <c r="E4829" s="953"/>
      <c r="F4829" s="953"/>
      <c r="G4829" s="953"/>
      <c r="H4829" s="953"/>
    </row>
    <row r="4830" spans="1:8" x14ac:dyDescent="0.25">
      <c r="A4830" s="952"/>
      <c r="B4830" s="953"/>
      <c r="C4830" s="953"/>
      <c r="D4830" s="953"/>
      <c r="E4830" s="953"/>
      <c r="F4830" s="953"/>
      <c r="G4830" s="953"/>
      <c r="H4830" s="953"/>
    </row>
    <row r="4831" spans="1:8" x14ac:dyDescent="0.25">
      <c r="A4831" s="952"/>
      <c r="B4831" s="953"/>
      <c r="C4831" s="953"/>
      <c r="D4831" s="953"/>
      <c r="E4831" s="953"/>
      <c r="F4831" s="953"/>
      <c r="G4831" s="953"/>
      <c r="H4831" s="953"/>
    </row>
    <row r="4832" spans="1:8" x14ac:dyDescent="0.25">
      <c r="A4832" s="952"/>
      <c r="B4832" s="953"/>
      <c r="C4832" s="953"/>
      <c r="D4832" s="953"/>
      <c r="E4832" s="953"/>
      <c r="F4832" s="953"/>
      <c r="G4832" s="953"/>
      <c r="H4832" s="953"/>
    </row>
    <row r="4833" spans="1:8" x14ac:dyDescent="0.25">
      <c r="A4833" s="952"/>
      <c r="B4833" s="953"/>
      <c r="C4833" s="953"/>
      <c r="D4833" s="953"/>
      <c r="E4833" s="953"/>
      <c r="F4833" s="953"/>
      <c r="G4833" s="953"/>
      <c r="H4833" s="953"/>
    </row>
    <row r="4834" spans="1:8" x14ac:dyDescent="0.25">
      <c r="A4834" s="952"/>
      <c r="B4834" s="953"/>
      <c r="C4834" s="953"/>
      <c r="D4834" s="953"/>
      <c r="E4834" s="953"/>
      <c r="F4834" s="953"/>
      <c r="G4834" s="953"/>
      <c r="H4834" s="953"/>
    </row>
    <row r="4835" spans="1:8" x14ac:dyDescent="0.25">
      <c r="A4835" s="952"/>
      <c r="B4835" s="953"/>
      <c r="C4835" s="953"/>
      <c r="D4835" s="953"/>
      <c r="E4835" s="953"/>
      <c r="F4835" s="953"/>
      <c r="G4835" s="953"/>
      <c r="H4835" s="953"/>
    </row>
    <row r="4836" spans="1:8" x14ac:dyDescent="0.25">
      <c r="A4836" s="952"/>
      <c r="B4836" s="953"/>
      <c r="C4836" s="953"/>
      <c r="D4836" s="953"/>
      <c r="E4836" s="953"/>
      <c r="F4836" s="953"/>
      <c r="G4836" s="953"/>
      <c r="H4836" s="953"/>
    </row>
    <row r="4837" spans="1:8" x14ac:dyDescent="0.25">
      <c r="A4837" s="952"/>
      <c r="B4837" s="953"/>
      <c r="C4837" s="953"/>
      <c r="D4837" s="953"/>
      <c r="E4837" s="953"/>
      <c r="F4837" s="953"/>
      <c r="G4837" s="953"/>
      <c r="H4837" s="953"/>
    </row>
    <row r="4838" spans="1:8" x14ac:dyDescent="0.25">
      <c r="A4838" s="952"/>
      <c r="B4838" s="953"/>
      <c r="C4838" s="953"/>
      <c r="D4838" s="953"/>
      <c r="E4838" s="953"/>
      <c r="F4838" s="953"/>
      <c r="G4838" s="953"/>
      <c r="H4838" s="953"/>
    </row>
    <row r="4839" spans="1:8" x14ac:dyDescent="0.25">
      <c r="A4839" s="952"/>
      <c r="B4839" s="953"/>
      <c r="C4839" s="953"/>
      <c r="D4839" s="953"/>
      <c r="E4839" s="953"/>
      <c r="F4839" s="953"/>
      <c r="G4839" s="953"/>
      <c r="H4839" s="953"/>
    </row>
    <row r="4840" spans="1:8" x14ac:dyDescent="0.25">
      <c r="A4840" s="952"/>
      <c r="B4840" s="953"/>
      <c r="C4840" s="953"/>
      <c r="D4840" s="953"/>
      <c r="E4840" s="953"/>
      <c r="F4840" s="953"/>
      <c r="G4840" s="953"/>
      <c r="H4840" s="953"/>
    </row>
    <row r="4841" spans="1:8" x14ac:dyDescent="0.25">
      <c r="A4841" s="952"/>
      <c r="B4841" s="953"/>
      <c r="C4841" s="953"/>
      <c r="D4841" s="953"/>
      <c r="E4841" s="953"/>
      <c r="F4841" s="953"/>
      <c r="G4841" s="953"/>
      <c r="H4841" s="953"/>
    </row>
    <row r="4842" spans="1:8" x14ac:dyDescent="0.25">
      <c r="A4842" s="952"/>
      <c r="B4842" s="953"/>
      <c r="C4842" s="953"/>
      <c r="D4842" s="953"/>
      <c r="E4842" s="953"/>
      <c r="F4842" s="953"/>
      <c r="G4842" s="953"/>
      <c r="H4842" s="953"/>
    </row>
    <row r="4843" spans="1:8" x14ac:dyDescent="0.25">
      <c r="A4843" s="952"/>
      <c r="B4843" s="953"/>
      <c r="C4843" s="953"/>
      <c r="D4843" s="953"/>
      <c r="E4843" s="953"/>
      <c r="F4843" s="953"/>
      <c r="G4843" s="953"/>
      <c r="H4843" s="953"/>
    </row>
    <row r="4844" spans="1:8" x14ac:dyDescent="0.25">
      <c r="A4844" s="952"/>
      <c r="B4844" s="953"/>
      <c r="C4844" s="953"/>
      <c r="D4844" s="953"/>
      <c r="E4844" s="953"/>
      <c r="F4844" s="953"/>
      <c r="G4844" s="953"/>
      <c r="H4844" s="953"/>
    </row>
    <row r="4845" spans="1:8" x14ac:dyDescent="0.25">
      <c r="A4845" s="952"/>
      <c r="B4845" s="953"/>
      <c r="C4845" s="953"/>
      <c r="D4845" s="953"/>
      <c r="E4845" s="953"/>
      <c r="F4845" s="953"/>
      <c r="G4845" s="953"/>
      <c r="H4845" s="953"/>
    </row>
    <row r="4846" spans="1:8" x14ac:dyDescent="0.25">
      <c r="A4846" s="952"/>
      <c r="B4846" s="953"/>
      <c r="C4846" s="953"/>
      <c r="D4846" s="953"/>
      <c r="E4846" s="953"/>
      <c r="F4846" s="953"/>
      <c r="G4846" s="953"/>
      <c r="H4846" s="953"/>
    </row>
    <row r="4847" spans="1:8" x14ac:dyDescent="0.25">
      <c r="A4847" s="952"/>
      <c r="B4847" s="953"/>
      <c r="C4847" s="953"/>
      <c r="D4847" s="953"/>
      <c r="E4847" s="953"/>
      <c r="F4847" s="953"/>
      <c r="G4847" s="953"/>
      <c r="H4847" s="953"/>
    </row>
    <row r="4848" spans="1:8" x14ac:dyDescent="0.25">
      <c r="A4848" s="952"/>
      <c r="B4848" s="953"/>
      <c r="C4848" s="953"/>
      <c r="D4848" s="953"/>
      <c r="E4848" s="953"/>
      <c r="F4848" s="953"/>
      <c r="G4848" s="953"/>
      <c r="H4848" s="953"/>
    </row>
    <row r="4849" spans="1:8" x14ac:dyDescent="0.25">
      <c r="A4849" s="952"/>
      <c r="B4849" s="953"/>
      <c r="C4849" s="953"/>
      <c r="D4849" s="953"/>
      <c r="E4849" s="953"/>
      <c r="F4849" s="953"/>
      <c r="G4849" s="953"/>
      <c r="H4849" s="953"/>
    </row>
    <row r="4850" spans="1:8" x14ac:dyDescent="0.25">
      <c r="A4850" s="952"/>
      <c r="B4850" s="953"/>
      <c r="C4850" s="953"/>
      <c r="D4850" s="953"/>
      <c r="E4850" s="953"/>
      <c r="F4850" s="953"/>
      <c r="G4850" s="953"/>
      <c r="H4850" s="953"/>
    </row>
    <row r="4851" spans="1:8" x14ac:dyDescent="0.25">
      <c r="A4851" s="952"/>
      <c r="B4851" s="953"/>
      <c r="C4851" s="953"/>
      <c r="D4851" s="953"/>
      <c r="E4851" s="953"/>
      <c r="F4851" s="953"/>
      <c r="G4851" s="953"/>
      <c r="H4851" s="953"/>
    </row>
    <row r="4852" spans="1:8" x14ac:dyDescent="0.25">
      <c r="A4852" s="952"/>
      <c r="B4852" s="953"/>
      <c r="C4852" s="953"/>
      <c r="D4852" s="953"/>
      <c r="E4852" s="953"/>
      <c r="F4852" s="953"/>
      <c r="G4852" s="953"/>
      <c r="H4852" s="953"/>
    </row>
    <row r="4853" spans="1:8" x14ac:dyDescent="0.25">
      <c r="A4853" s="952"/>
      <c r="B4853" s="953"/>
      <c r="C4853" s="953"/>
      <c r="D4853" s="953"/>
      <c r="E4853" s="953"/>
      <c r="F4853" s="953"/>
      <c r="G4853" s="953"/>
      <c r="H4853" s="953"/>
    </row>
    <row r="4854" spans="1:8" x14ac:dyDescent="0.25">
      <c r="A4854" s="952"/>
      <c r="B4854" s="953"/>
      <c r="C4854" s="953"/>
      <c r="D4854" s="953"/>
      <c r="E4854" s="953"/>
      <c r="F4854" s="953"/>
      <c r="G4854" s="953"/>
      <c r="H4854" s="953"/>
    </row>
    <row r="4855" spans="1:8" x14ac:dyDescent="0.25">
      <c r="A4855" s="952"/>
      <c r="B4855" s="953"/>
      <c r="C4855" s="953"/>
      <c r="D4855" s="953"/>
      <c r="E4855" s="953"/>
      <c r="F4855" s="953"/>
      <c r="G4855" s="953"/>
      <c r="H4855" s="953"/>
    </row>
    <row r="4856" spans="1:8" x14ac:dyDescent="0.25">
      <c r="A4856" s="952"/>
      <c r="B4856" s="953"/>
      <c r="C4856" s="953"/>
      <c r="D4856" s="953"/>
      <c r="E4856" s="953"/>
      <c r="F4856" s="953"/>
      <c r="G4856" s="953"/>
      <c r="H4856" s="953"/>
    </row>
    <row r="4857" spans="1:8" x14ac:dyDescent="0.25">
      <c r="A4857" s="952"/>
      <c r="B4857" s="953"/>
      <c r="C4857" s="953"/>
      <c r="D4857" s="953"/>
      <c r="E4857" s="953"/>
      <c r="F4857" s="953"/>
      <c r="G4857" s="953"/>
      <c r="H4857" s="953"/>
    </row>
    <row r="4858" spans="1:8" x14ac:dyDescent="0.25">
      <c r="A4858" s="952"/>
      <c r="B4858" s="953"/>
      <c r="C4858" s="953"/>
      <c r="D4858" s="953"/>
      <c r="E4858" s="953"/>
      <c r="F4858" s="953"/>
      <c r="G4858" s="953"/>
      <c r="H4858" s="953"/>
    </row>
    <row r="4859" spans="1:8" x14ac:dyDescent="0.25">
      <c r="A4859" s="952"/>
      <c r="B4859" s="953"/>
      <c r="C4859" s="953"/>
      <c r="D4859" s="953"/>
      <c r="E4859" s="953"/>
      <c r="F4859" s="953"/>
      <c r="G4859" s="953"/>
      <c r="H4859" s="953"/>
    </row>
    <row r="4860" spans="1:8" x14ac:dyDescent="0.25">
      <c r="A4860" s="952"/>
      <c r="B4860" s="953"/>
      <c r="C4860" s="953"/>
      <c r="D4860" s="953"/>
      <c r="E4860" s="953"/>
      <c r="F4860" s="953"/>
      <c r="G4860" s="953"/>
      <c r="H4860" s="953"/>
    </row>
    <row r="4861" spans="1:8" x14ac:dyDescent="0.25">
      <c r="A4861" s="952"/>
      <c r="B4861" s="953"/>
      <c r="C4861" s="953"/>
      <c r="D4861" s="953"/>
      <c r="E4861" s="953"/>
      <c r="F4861" s="953"/>
      <c r="G4861" s="953"/>
      <c r="H4861" s="953"/>
    </row>
    <row r="4862" spans="1:8" x14ac:dyDescent="0.25">
      <c r="A4862" s="952"/>
      <c r="B4862" s="953"/>
      <c r="C4862" s="953"/>
      <c r="D4862" s="953"/>
      <c r="E4862" s="953"/>
      <c r="F4862" s="953"/>
      <c r="G4862" s="953"/>
      <c r="H4862" s="953"/>
    </row>
    <row r="4863" spans="1:8" x14ac:dyDescent="0.25">
      <c r="A4863" s="952"/>
      <c r="B4863" s="953"/>
      <c r="C4863" s="953"/>
      <c r="D4863" s="953"/>
      <c r="E4863" s="953"/>
      <c r="F4863" s="953"/>
      <c r="G4863" s="953"/>
      <c r="H4863" s="953"/>
    </row>
    <row r="4864" spans="1:8" x14ac:dyDescent="0.25">
      <c r="A4864" s="952"/>
      <c r="B4864" s="953"/>
      <c r="C4864" s="953"/>
      <c r="D4864" s="953"/>
      <c r="E4864" s="953"/>
      <c r="F4864" s="953"/>
      <c r="G4864" s="953"/>
      <c r="H4864" s="953"/>
    </row>
    <row r="4865" spans="1:8" x14ac:dyDescent="0.25">
      <c r="A4865" s="952"/>
      <c r="B4865" s="953"/>
      <c r="C4865" s="953"/>
      <c r="D4865" s="953"/>
      <c r="E4865" s="953"/>
      <c r="F4865" s="953"/>
      <c r="G4865" s="953"/>
      <c r="H4865" s="953"/>
    </row>
    <row r="4866" spans="1:8" x14ac:dyDescent="0.25">
      <c r="A4866" s="952"/>
      <c r="B4866" s="953"/>
      <c r="C4866" s="953"/>
      <c r="D4866" s="953"/>
      <c r="E4866" s="953"/>
      <c r="F4866" s="953"/>
      <c r="G4866" s="953"/>
      <c r="H4866" s="953"/>
    </row>
    <row r="4867" spans="1:8" x14ac:dyDescent="0.25">
      <c r="A4867" s="952"/>
      <c r="B4867" s="953"/>
      <c r="C4867" s="953"/>
      <c r="D4867" s="953"/>
      <c r="E4867" s="953"/>
      <c r="F4867" s="953"/>
      <c r="G4867" s="953"/>
      <c r="H4867" s="953"/>
    </row>
    <row r="4868" spans="1:8" x14ac:dyDescent="0.25">
      <c r="A4868" s="952"/>
      <c r="B4868" s="953"/>
      <c r="C4868" s="953"/>
      <c r="D4868" s="953"/>
      <c r="E4868" s="953"/>
      <c r="F4868" s="953"/>
      <c r="G4868" s="953"/>
      <c r="H4868" s="953"/>
    </row>
    <row r="4869" spans="1:8" x14ac:dyDescent="0.25">
      <c r="A4869" s="952"/>
      <c r="B4869" s="953"/>
      <c r="C4869" s="953"/>
      <c r="D4869" s="953"/>
      <c r="E4869" s="953"/>
      <c r="F4869" s="953"/>
      <c r="G4869" s="953"/>
      <c r="H4869" s="953"/>
    </row>
    <row r="4870" spans="1:8" x14ac:dyDescent="0.25">
      <c r="A4870" s="952"/>
      <c r="B4870" s="953"/>
      <c r="C4870" s="953"/>
      <c r="D4870" s="953"/>
      <c r="E4870" s="953"/>
      <c r="F4870" s="953"/>
      <c r="G4870" s="953"/>
      <c r="H4870" s="953"/>
    </row>
    <row r="4871" spans="1:8" x14ac:dyDescent="0.25">
      <c r="A4871" s="952"/>
      <c r="B4871" s="953"/>
      <c r="C4871" s="953"/>
      <c r="D4871" s="953"/>
      <c r="E4871" s="953"/>
      <c r="F4871" s="953"/>
      <c r="G4871" s="953"/>
      <c r="H4871" s="953"/>
    </row>
    <row r="4872" spans="1:8" x14ac:dyDescent="0.25">
      <c r="A4872" s="952"/>
      <c r="B4872" s="953"/>
      <c r="C4872" s="953"/>
      <c r="D4872" s="953"/>
      <c r="E4872" s="953"/>
      <c r="F4872" s="953"/>
      <c r="G4872" s="953"/>
      <c r="H4872" s="953"/>
    </row>
    <row r="4873" spans="1:8" x14ac:dyDescent="0.25">
      <c r="A4873" s="952"/>
      <c r="B4873" s="953"/>
      <c r="C4873" s="953"/>
      <c r="D4873" s="953"/>
      <c r="E4873" s="953"/>
      <c r="F4873" s="953"/>
      <c r="G4873" s="953"/>
      <c r="H4873" s="953"/>
    </row>
    <row r="4874" spans="1:8" x14ac:dyDescent="0.25">
      <c r="A4874" s="952"/>
      <c r="B4874" s="953"/>
      <c r="C4874" s="953"/>
      <c r="D4874" s="953"/>
      <c r="E4874" s="953"/>
      <c r="F4874" s="953"/>
      <c r="G4874" s="953"/>
      <c r="H4874" s="953"/>
    </row>
    <row r="4875" spans="1:8" x14ac:dyDescent="0.25">
      <c r="A4875" s="952"/>
      <c r="B4875" s="953"/>
      <c r="C4875" s="953"/>
      <c r="D4875" s="953"/>
      <c r="E4875" s="953"/>
      <c r="F4875" s="953"/>
      <c r="G4875" s="953"/>
      <c r="H4875" s="953"/>
    </row>
    <row r="4876" spans="1:8" x14ac:dyDescent="0.25">
      <c r="A4876" s="952"/>
      <c r="B4876" s="953"/>
      <c r="C4876" s="953"/>
      <c r="D4876" s="953"/>
      <c r="E4876" s="953"/>
      <c r="F4876" s="953"/>
      <c r="G4876" s="953"/>
      <c r="H4876" s="953"/>
    </row>
    <row r="4877" spans="1:8" x14ac:dyDescent="0.25">
      <c r="A4877" s="952"/>
      <c r="B4877" s="953"/>
      <c r="C4877" s="953"/>
      <c r="D4877" s="953"/>
      <c r="E4877" s="953"/>
      <c r="F4877" s="953"/>
      <c r="G4877" s="953"/>
      <c r="H4877" s="953"/>
    </row>
    <row r="4878" spans="1:8" x14ac:dyDescent="0.25">
      <c r="A4878" s="952"/>
      <c r="B4878" s="953"/>
      <c r="C4878" s="953"/>
      <c r="D4878" s="953"/>
      <c r="E4878" s="953"/>
      <c r="F4878" s="953"/>
      <c r="G4878" s="953"/>
      <c r="H4878" s="953"/>
    </row>
    <row r="4879" spans="1:8" x14ac:dyDescent="0.25">
      <c r="A4879" s="952"/>
      <c r="B4879" s="953"/>
      <c r="C4879" s="953"/>
      <c r="D4879" s="953"/>
      <c r="E4879" s="953"/>
      <c r="F4879" s="953"/>
      <c r="G4879" s="953"/>
      <c r="H4879" s="953"/>
    </row>
    <row r="4880" spans="1:8" x14ac:dyDescent="0.25">
      <c r="A4880" s="952"/>
      <c r="B4880" s="953"/>
      <c r="C4880" s="953"/>
      <c r="D4880" s="953"/>
      <c r="E4880" s="953"/>
      <c r="F4880" s="953"/>
      <c r="G4880" s="953"/>
      <c r="H4880" s="953"/>
    </row>
    <row r="4881" spans="1:8" x14ac:dyDescent="0.25">
      <c r="A4881" s="952"/>
      <c r="B4881" s="953"/>
      <c r="C4881" s="953"/>
      <c r="D4881" s="953"/>
      <c r="E4881" s="953"/>
      <c r="F4881" s="953"/>
      <c r="G4881" s="953"/>
      <c r="H4881" s="953"/>
    </row>
    <row r="4882" spans="1:8" x14ac:dyDescent="0.25">
      <c r="A4882" s="952"/>
      <c r="B4882" s="953"/>
      <c r="C4882" s="953"/>
      <c r="D4882" s="953"/>
      <c r="E4882" s="953"/>
      <c r="F4882" s="953"/>
      <c r="G4882" s="953"/>
      <c r="H4882" s="953"/>
    </row>
    <row r="4883" spans="1:8" x14ac:dyDescent="0.25">
      <c r="A4883" s="952"/>
      <c r="B4883" s="953"/>
      <c r="C4883" s="953"/>
      <c r="D4883" s="953"/>
      <c r="E4883" s="953"/>
      <c r="F4883" s="953"/>
      <c r="G4883" s="953"/>
      <c r="H4883" s="953"/>
    </row>
    <row r="4884" spans="1:8" x14ac:dyDescent="0.25">
      <c r="A4884" s="952"/>
      <c r="B4884" s="953"/>
      <c r="C4884" s="953"/>
      <c r="D4884" s="953"/>
      <c r="E4884" s="953"/>
      <c r="F4884" s="953"/>
      <c r="G4884" s="953"/>
      <c r="H4884" s="953"/>
    </row>
    <row r="4885" spans="1:8" x14ac:dyDescent="0.25">
      <c r="A4885" s="952"/>
      <c r="B4885" s="953"/>
      <c r="C4885" s="953"/>
      <c r="D4885" s="953"/>
      <c r="E4885" s="953"/>
      <c r="F4885" s="953"/>
      <c r="G4885" s="953"/>
      <c r="H4885" s="953"/>
    </row>
    <row r="4886" spans="1:8" x14ac:dyDescent="0.25">
      <c r="A4886" s="952"/>
      <c r="B4886" s="953"/>
      <c r="C4886" s="953"/>
      <c r="D4886" s="953"/>
      <c r="E4886" s="953"/>
      <c r="F4886" s="953"/>
      <c r="G4886" s="953"/>
      <c r="H4886" s="953"/>
    </row>
    <row r="4887" spans="1:8" x14ac:dyDescent="0.25">
      <c r="A4887" s="952"/>
      <c r="B4887" s="953"/>
      <c r="C4887" s="953"/>
      <c r="D4887" s="953"/>
      <c r="E4887" s="953"/>
      <c r="F4887" s="953"/>
      <c r="G4887" s="953"/>
      <c r="H4887" s="953"/>
    </row>
    <row r="4888" spans="1:8" x14ac:dyDescent="0.25">
      <c r="A4888" s="952"/>
      <c r="B4888" s="953"/>
      <c r="C4888" s="953"/>
      <c r="D4888" s="953"/>
      <c r="E4888" s="953"/>
      <c r="F4888" s="953"/>
      <c r="G4888" s="953"/>
      <c r="H4888" s="953"/>
    </row>
    <row r="4889" spans="1:8" x14ac:dyDescent="0.25">
      <c r="A4889" s="952"/>
      <c r="B4889" s="953"/>
      <c r="C4889" s="953"/>
      <c r="D4889" s="953"/>
      <c r="E4889" s="953"/>
      <c r="F4889" s="953"/>
      <c r="G4889" s="953"/>
      <c r="H4889" s="953"/>
    </row>
    <row r="4890" spans="1:8" x14ac:dyDescent="0.25">
      <c r="A4890" s="952"/>
      <c r="B4890" s="953"/>
      <c r="C4890" s="953"/>
      <c r="D4890" s="953"/>
      <c r="E4890" s="953"/>
      <c r="F4890" s="953"/>
      <c r="G4890" s="953"/>
      <c r="H4890" s="953"/>
    </row>
    <row r="4891" spans="1:8" x14ac:dyDescent="0.25">
      <c r="A4891" s="952"/>
      <c r="B4891" s="953"/>
      <c r="C4891" s="953"/>
      <c r="D4891" s="953"/>
      <c r="E4891" s="953"/>
      <c r="F4891" s="953"/>
      <c r="G4891" s="953"/>
      <c r="H4891" s="953"/>
    </row>
    <row r="4892" spans="1:8" x14ac:dyDescent="0.25">
      <c r="A4892" s="952"/>
      <c r="B4892" s="953"/>
      <c r="C4892" s="953"/>
      <c r="D4892" s="953"/>
      <c r="E4892" s="953"/>
      <c r="F4892" s="953"/>
      <c r="G4892" s="953"/>
      <c r="H4892" s="953"/>
    </row>
    <row r="4893" spans="1:8" x14ac:dyDescent="0.25">
      <c r="A4893" s="952"/>
      <c r="B4893" s="953"/>
      <c r="C4893" s="953"/>
      <c r="D4893" s="953"/>
      <c r="E4893" s="953"/>
      <c r="F4893" s="953"/>
      <c r="G4893" s="953"/>
      <c r="H4893" s="953"/>
    </row>
    <row r="4894" spans="1:8" x14ac:dyDescent="0.25">
      <c r="A4894" s="952"/>
      <c r="B4894" s="953"/>
      <c r="C4894" s="953"/>
      <c r="D4894" s="953"/>
      <c r="E4894" s="953"/>
      <c r="F4894" s="953"/>
      <c r="G4894" s="953"/>
      <c r="H4894" s="953"/>
    </row>
    <row r="4895" spans="1:8" x14ac:dyDescent="0.25">
      <c r="A4895" s="952"/>
      <c r="B4895" s="953"/>
      <c r="C4895" s="953"/>
      <c r="D4895" s="953"/>
      <c r="E4895" s="953"/>
      <c r="F4895" s="953"/>
      <c r="G4895" s="953"/>
      <c r="H4895" s="953"/>
    </row>
    <row r="4896" spans="1:8" x14ac:dyDescent="0.25">
      <c r="A4896" s="952"/>
      <c r="B4896" s="953"/>
      <c r="C4896" s="953"/>
      <c r="D4896" s="953"/>
      <c r="E4896" s="953"/>
      <c r="F4896" s="953"/>
      <c r="G4896" s="953"/>
      <c r="H4896" s="953"/>
    </row>
    <row r="4897" spans="1:8" x14ac:dyDescent="0.25">
      <c r="A4897" s="952"/>
      <c r="B4897" s="953"/>
      <c r="C4897" s="953"/>
      <c r="D4897" s="953"/>
      <c r="E4897" s="953"/>
      <c r="F4897" s="953"/>
      <c r="G4897" s="953"/>
      <c r="H4897" s="953"/>
    </row>
    <row r="4898" spans="1:8" x14ac:dyDescent="0.25">
      <c r="A4898" s="952"/>
      <c r="B4898" s="953"/>
      <c r="C4898" s="953"/>
      <c r="D4898" s="953"/>
      <c r="E4898" s="953"/>
      <c r="F4898" s="953"/>
      <c r="G4898" s="953"/>
      <c r="H4898" s="953"/>
    </row>
    <row r="4899" spans="1:8" x14ac:dyDescent="0.25">
      <c r="A4899" s="952"/>
      <c r="B4899" s="953"/>
      <c r="C4899" s="953"/>
      <c r="D4899" s="953"/>
      <c r="E4899" s="953"/>
      <c r="F4899" s="953"/>
      <c r="G4899" s="953"/>
      <c r="H4899" s="953"/>
    </row>
    <row r="4900" spans="1:8" x14ac:dyDescent="0.25">
      <c r="A4900" s="952"/>
      <c r="B4900" s="953"/>
      <c r="C4900" s="953"/>
      <c r="D4900" s="953"/>
      <c r="E4900" s="953"/>
      <c r="F4900" s="953"/>
      <c r="G4900" s="953"/>
      <c r="H4900" s="953"/>
    </row>
    <row r="4901" spans="1:8" x14ac:dyDescent="0.25">
      <c r="A4901" s="952"/>
      <c r="B4901" s="953"/>
      <c r="C4901" s="953"/>
      <c r="D4901" s="953"/>
      <c r="E4901" s="953"/>
      <c r="F4901" s="953"/>
      <c r="G4901" s="953"/>
      <c r="H4901" s="953"/>
    </row>
    <row r="4902" spans="1:8" x14ac:dyDescent="0.25">
      <c r="A4902" s="952"/>
      <c r="B4902" s="953"/>
      <c r="C4902" s="953"/>
      <c r="D4902" s="953"/>
      <c r="E4902" s="953"/>
      <c r="F4902" s="953"/>
      <c r="G4902" s="953"/>
      <c r="H4902" s="953"/>
    </row>
    <row r="4903" spans="1:8" x14ac:dyDescent="0.25">
      <c r="A4903" s="952"/>
      <c r="B4903" s="953"/>
      <c r="C4903" s="953"/>
      <c r="D4903" s="953"/>
      <c r="E4903" s="953"/>
      <c r="F4903" s="953"/>
      <c r="G4903" s="953"/>
      <c r="H4903" s="953"/>
    </row>
    <row r="4904" spans="1:8" x14ac:dyDescent="0.25">
      <c r="A4904" s="952"/>
      <c r="B4904" s="953"/>
      <c r="C4904" s="953"/>
      <c r="D4904" s="953"/>
      <c r="E4904" s="953"/>
      <c r="F4904" s="953"/>
      <c r="G4904" s="953"/>
      <c r="H4904" s="953"/>
    </row>
    <row r="4905" spans="1:8" x14ac:dyDescent="0.25">
      <c r="A4905" s="952"/>
      <c r="B4905" s="953"/>
      <c r="C4905" s="953"/>
      <c r="D4905" s="953"/>
      <c r="E4905" s="953"/>
      <c r="F4905" s="953"/>
      <c r="G4905" s="953"/>
      <c r="H4905" s="953"/>
    </row>
    <row r="4906" spans="1:8" x14ac:dyDescent="0.25">
      <c r="A4906" s="952"/>
      <c r="B4906" s="953"/>
      <c r="C4906" s="953"/>
      <c r="D4906" s="953"/>
      <c r="E4906" s="953"/>
      <c r="F4906" s="953"/>
      <c r="G4906" s="953"/>
      <c r="H4906" s="953"/>
    </row>
    <row r="4907" spans="1:8" x14ac:dyDescent="0.25">
      <c r="A4907" s="952"/>
      <c r="B4907" s="953"/>
      <c r="C4907" s="953"/>
      <c r="D4907" s="953"/>
      <c r="E4907" s="953"/>
      <c r="F4907" s="953"/>
      <c r="G4907" s="953"/>
      <c r="H4907" s="953"/>
    </row>
    <row r="4908" spans="1:8" x14ac:dyDescent="0.25">
      <c r="A4908" s="952"/>
      <c r="B4908" s="953"/>
      <c r="C4908" s="953"/>
      <c r="D4908" s="953"/>
      <c r="E4908" s="953"/>
      <c r="F4908" s="953"/>
      <c r="G4908" s="953"/>
      <c r="H4908" s="953"/>
    </row>
    <row r="4909" spans="1:8" x14ac:dyDescent="0.25">
      <c r="A4909" s="952"/>
      <c r="B4909" s="953"/>
      <c r="C4909" s="953"/>
      <c r="D4909" s="953"/>
      <c r="E4909" s="953"/>
      <c r="F4909" s="953"/>
      <c r="G4909" s="953"/>
      <c r="H4909" s="953"/>
    </row>
    <row r="4910" spans="1:8" x14ac:dyDescent="0.25">
      <c r="A4910" s="952"/>
      <c r="B4910" s="953"/>
      <c r="C4910" s="953"/>
      <c r="D4910" s="953"/>
      <c r="E4910" s="953"/>
      <c r="F4910" s="953"/>
      <c r="G4910" s="953"/>
      <c r="H4910" s="953"/>
    </row>
    <row r="4911" spans="1:8" x14ac:dyDescent="0.25">
      <c r="A4911" s="952"/>
      <c r="B4911" s="953"/>
      <c r="C4911" s="953"/>
      <c r="D4911" s="953"/>
      <c r="E4911" s="953"/>
      <c r="F4911" s="953"/>
      <c r="G4911" s="953"/>
      <c r="H4911" s="953"/>
    </row>
    <row r="4912" spans="1:8" x14ac:dyDescent="0.25">
      <c r="A4912" s="952"/>
      <c r="B4912" s="953"/>
      <c r="C4912" s="953"/>
      <c r="D4912" s="953"/>
      <c r="E4912" s="953"/>
      <c r="F4912" s="953"/>
      <c r="G4912" s="953"/>
      <c r="H4912" s="953"/>
    </row>
    <row r="4913" spans="1:8" x14ac:dyDescent="0.25">
      <c r="A4913" s="952"/>
      <c r="B4913" s="953"/>
      <c r="C4913" s="953"/>
      <c r="D4913" s="953"/>
      <c r="E4913" s="953"/>
      <c r="F4913" s="953"/>
      <c r="G4913" s="953"/>
      <c r="H4913" s="953"/>
    </row>
    <row r="4914" spans="1:8" x14ac:dyDescent="0.25">
      <c r="A4914" s="952"/>
      <c r="B4914" s="953"/>
      <c r="C4914" s="953"/>
      <c r="D4914" s="953"/>
      <c r="E4914" s="953"/>
      <c r="F4914" s="953"/>
      <c r="G4914" s="953"/>
      <c r="H4914" s="953"/>
    </row>
    <row r="4915" spans="1:8" x14ac:dyDescent="0.25">
      <c r="A4915" s="952"/>
      <c r="B4915" s="953"/>
      <c r="C4915" s="953"/>
      <c r="D4915" s="953"/>
      <c r="E4915" s="953"/>
      <c r="F4915" s="953"/>
      <c r="G4915" s="953"/>
      <c r="H4915" s="953"/>
    </row>
    <row r="4916" spans="1:8" x14ac:dyDescent="0.25">
      <c r="A4916" s="952"/>
      <c r="B4916" s="953"/>
      <c r="C4916" s="953"/>
      <c r="D4916" s="953"/>
      <c r="E4916" s="953"/>
      <c r="F4916" s="953"/>
      <c r="G4916" s="953"/>
      <c r="H4916" s="953"/>
    </row>
    <row r="4917" spans="1:8" x14ac:dyDescent="0.25">
      <c r="A4917" s="952"/>
      <c r="B4917" s="953"/>
      <c r="C4917" s="953"/>
      <c r="D4917" s="953"/>
      <c r="E4917" s="953"/>
      <c r="F4917" s="953"/>
      <c r="G4917" s="953"/>
      <c r="H4917" s="953"/>
    </row>
    <row r="4918" spans="1:8" x14ac:dyDescent="0.25">
      <c r="A4918" s="952"/>
      <c r="B4918" s="953"/>
      <c r="C4918" s="953"/>
      <c r="D4918" s="953"/>
      <c r="E4918" s="953"/>
      <c r="F4918" s="953"/>
      <c r="G4918" s="953"/>
      <c r="H4918" s="953"/>
    </row>
    <row r="4919" spans="1:8" x14ac:dyDescent="0.25">
      <c r="A4919" s="952"/>
      <c r="B4919" s="953"/>
      <c r="C4919" s="953"/>
      <c r="D4919" s="953"/>
      <c r="E4919" s="953"/>
      <c r="F4919" s="953"/>
      <c r="G4919" s="953"/>
      <c r="H4919" s="953"/>
    </row>
    <row r="4920" spans="1:8" x14ac:dyDescent="0.25">
      <c r="A4920" s="952"/>
      <c r="B4920" s="953"/>
      <c r="C4920" s="953"/>
      <c r="D4920" s="953"/>
      <c r="E4920" s="953"/>
      <c r="F4920" s="953"/>
      <c r="G4920" s="953"/>
      <c r="H4920" s="953"/>
    </row>
    <row r="4921" spans="1:8" x14ac:dyDescent="0.25">
      <c r="A4921" s="952"/>
      <c r="B4921" s="953"/>
      <c r="C4921" s="953"/>
      <c r="D4921" s="953"/>
      <c r="E4921" s="953"/>
      <c r="F4921" s="953"/>
      <c r="G4921" s="953"/>
      <c r="H4921" s="953"/>
    </row>
    <row r="4922" spans="1:8" x14ac:dyDescent="0.25">
      <c r="A4922" s="952"/>
      <c r="B4922" s="953"/>
      <c r="C4922" s="953"/>
      <c r="D4922" s="953"/>
      <c r="E4922" s="953"/>
      <c r="F4922" s="953"/>
      <c r="G4922" s="953"/>
      <c r="H4922" s="953"/>
    </row>
    <row r="4923" spans="1:8" x14ac:dyDescent="0.25">
      <c r="A4923" s="952"/>
      <c r="B4923" s="953"/>
      <c r="C4923" s="953"/>
      <c r="D4923" s="953"/>
      <c r="E4923" s="953"/>
      <c r="F4923" s="953"/>
      <c r="G4923" s="953"/>
      <c r="H4923" s="953"/>
    </row>
    <row r="4924" spans="1:8" x14ac:dyDescent="0.25">
      <c r="A4924" s="952"/>
      <c r="B4924" s="953"/>
      <c r="C4924" s="953"/>
      <c r="D4924" s="953"/>
      <c r="E4924" s="953"/>
      <c r="F4924" s="953"/>
      <c r="G4924" s="953"/>
      <c r="H4924" s="953"/>
    </row>
    <row r="4925" spans="1:8" x14ac:dyDescent="0.25">
      <c r="A4925" s="952"/>
      <c r="B4925" s="953"/>
      <c r="C4925" s="953"/>
      <c r="D4925" s="953"/>
      <c r="E4925" s="953"/>
      <c r="F4925" s="953"/>
      <c r="G4925" s="953"/>
      <c r="H4925" s="953"/>
    </row>
    <row r="4926" spans="1:8" x14ac:dyDescent="0.25">
      <c r="A4926" s="952"/>
      <c r="B4926" s="953"/>
      <c r="C4926" s="953"/>
      <c r="D4926" s="953"/>
      <c r="E4926" s="953"/>
      <c r="F4926" s="953"/>
      <c r="G4926" s="953"/>
      <c r="H4926" s="953"/>
    </row>
    <row r="4927" spans="1:8" x14ac:dyDescent="0.25">
      <c r="A4927" s="952"/>
      <c r="B4927" s="953"/>
      <c r="C4927" s="953"/>
      <c r="D4927" s="953"/>
      <c r="E4927" s="953"/>
      <c r="F4927" s="953"/>
      <c r="G4927" s="953"/>
      <c r="H4927" s="953"/>
    </row>
    <row r="4928" spans="1:8" x14ac:dyDescent="0.25">
      <c r="A4928" s="952"/>
      <c r="B4928" s="953"/>
      <c r="C4928" s="953"/>
      <c r="D4928" s="953"/>
      <c r="E4928" s="953"/>
      <c r="F4928" s="953"/>
      <c r="G4928" s="953"/>
      <c r="H4928" s="953"/>
    </row>
    <row r="4929" spans="1:8" x14ac:dyDescent="0.25">
      <c r="A4929" s="952"/>
      <c r="B4929" s="953"/>
      <c r="C4929" s="953"/>
      <c r="D4929" s="953"/>
      <c r="E4929" s="953"/>
      <c r="F4929" s="953"/>
      <c r="G4929" s="953"/>
      <c r="H4929" s="953"/>
    </row>
    <row r="4930" spans="1:8" x14ac:dyDescent="0.25">
      <c r="A4930" s="952"/>
      <c r="B4930" s="953"/>
      <c r="C4930" s="953"/>
      <c r="D4930" s="953"/>
      <c r="E4930" s="953"/>
      <c r="F4930" s="953"/>
      <c r="G4930" s="953"/>
      <c r="H4930" s="953"/>
    </row>
    <row r="4931" spans="1:8" x14ac:dyDescent="0.25">
      <c r="A4931" s="952"/>
      <c r="B4931" s="953"/>
      <c r="C4931" s="953"/>
      <c r="D4931" s="953"/>
      <c r="E4931" s="953"/>
      <c r="F4931" s="953"/>
      <c r="G4931" s="953"/>
      <c r="H4931" s="953"/>
    </row>
    <row r="4932" spans="1:8" x14ac:dyDescent="0.25">
      <c r="A4932" s="952"/>
      <c r="B4932" s="953"/>
      <c r="C4932" s="953"/>
      <c r="D4932" s="953"/>
      <c r="E4932" s="953"/>
      <c r="F4932" s="953"/>
      <c r="G4932" s="953"/>
      <c r="H4932" s="953"/>
    </row>
    <row r="4933" spans="1:8" x14ac:dyDescent="0.25">
      <c r="A4933" s="952"/>
      <c r="B4933" s="953"/>
      <c r="C4933" s="953"/>
      <c r="D4933" s="953"/>
      <c r="E4933" s="953"/>
      <c r="F4933" s="953"/>
      <c r="G4933" s="953"/>
      <c r="H4933" s="953"/>
    </row>
    <row r="4934" spans="1:8" x14ac:dyDescent="0.25">
      <c r="A4934" s="952"/>
      <c r="B4934" s="953"/>
      <c r="C4934" s="953"/>
      <c r="D4934" s="953"/>
      <c r="E4934" s="953"/>
      <c r="F4934" s="953"/>
      <c r="G4934" s="953"/>
      <c r="H4934" s="953"/>
    </row>
    <row r="4935" spans="1:8" x14ac:dyDescent="0.25">
      <c r="A4935" s="952"/>
      <c r="B4935" s="953"/>
      <c r="C4935" s="953"/>
      <c r="D4935" s="953"/>
      <c r="E4935" s="953"/>
      <c r="F4935" s="953"/>
      <c r="G4935" s="953"/>
      <c r="H4935" s="953"/>
    </row>
    <row r="4936" spans="1:8" x14ac:dyDescent="0.25">
      <c r="A4936" s="952"/>
      <c r="B4936" s="953"/>
      <c r="C4936" s="953"/>
      <c r="D4936" s="953"/>
      <c r="E4936" s="953"/>
      <c r="F4936" s="953"/>
      <c r="G4936" s="953"/>
      <c r="H4936" s="953"/>
    </row>
    <row r="4937" spans="1:8" x14ac:dyDescent="0.25">
      <c r="A4937" s="952"/>
      <c r="B4937" s="953"/>
      <c r="C4937" s="953"/>
      <c r="D4937" s="953"/>
      <c r="E4937" s="953"/>
      <c r="F4937" s="953"/>
      <c r="G4937" s="953"/>
      <c r="H4937" s="953"/>
    </row>
    <row r="4938" spans="1:8" x14ac:dyDescent="0.25">
      <c r="A4938" s="952"/>
      <c r="B4938" s="953"/>
      <c r="C4938" s="953"/>
      <c r="D4938" s="953"/>
      <c r="E4938" s="953"/>
      <c r="F4938" s="953"/>
      <c r="G4938" s="953"/>
      <c r="H4938" s="953"/>
    </row>
    <row r="4939" spans="1:8" x14ac:dyDescent="0.25">
      <c r="A4939" s="952"/>
      <c r="B4939" s="953"/>
      <c r="C4939" s="953"/>
      <c r="D4939" s="953"/>
      <c r="E4939" s="953"/>
      <c r="F4939" s="953"/>
      <c r="G4939" s="953"/>
      <c r="H4939" s="953"/>
    </row>
    <row r="4940" spans="1:8" x14ac:dyDescent="0.25">
      <c r="A4940" s="952"/>
      <c r="B4940" s="953"/>
      <c r="C4940" s="953"/>
      <c r="D4940" s="953"/>
      <c r="E4940" s="953"/>
      <c r="F4940" s="953"/>
      <c r="G4940" s="953"/>
      <c r="H4940" s="953"/>
    </row>
    <row r="4941" spans="1:8" x14ac:dyDescent="0.25">
      <c r="A4941" s="952"/>
      <c r="B4941" s="953"/>
      <c r="C4941" s="953"/>
      <c r="D4941" s="953"/>
      <c r="E4941" s="953"/>
      <c r="F4941" s="953"/>
      <c r="G4941" s="953"/>
      <c r="H4941" s="953"/>
    </row>
    <row r="4942" spans="1:8" x14ac:dyDescent="0.25">
      <c r="A4942" s="952"/>
      <c r="B4942" s="953"/>
      <c r="C4942" s="953"/>
      <c r="D4942" s="953"/>
      <c r="E4942" s="953"/>
      <c r="F4942" s="953"/>
      <c r="G4942" s="953"/>
      <c r="H4942" s="953"/>
    </row>
    <row r="4943" spans="1:8" x14ac:dyDescent="0.25">
      <c r="A4943" s="952"/>
      <c r="B4943" s="953"/>
      <c r="C4943" s="953"/>
      <c r="D4943" s="953"/>
      <c r="E4943" s="953"/>
      <c r="F4943" s="953"/>
      <c r="G4943" s="953"/>
      <c r="H4943" s="953"/>
    </row>
    <row r="4944" spans="1:8" x14ac:dyDescent="0.25">
      <c r="A4944" s="952"/>
      <c r="B4944" s="953"/>
      <c r="C4944" s="953"/>
      <c r="D4944" s="953"/>
      <c r="E4944" s="953"/>
      <c r="F4944" s="953"/>
      <c r="G4944" s="953"/>
      <c r="H4944" s="953"/>
    </row>
    <row r="4945" spans="1:8" x14ac:dyDescent="0.25">
      <c r="A4945" s="952"/>
      <c r="B4945" s="953"/>
      <c r="C4945" s="953"/>
      <c r="D4945" s="953"/>
      <c r="E4945" s="953"/>
      <c r="F4945" s="953"/>
      <c r="G4945" s="953"/>
      <c r="H4945" s="953"/>
    </row>
    <row r="4946" spans="1:8" x14ac:dyDescent="0.25">
      <c r="A4946" s="952"/>
      <c r="B4946" s="953"/>
      <c r="C4946" s="953"/>
      <c r="D4946" s="953"/>
      <c r="E4946" s="953"/>
      <c r="F4946" s="953"/>
      <c r="G4946" s="953"/>
      <c r="H4946" s="953"/>
    </row>
    <row r="4947" spans="1:8" x14ac:dyDescent="0.25">
      <c r="A4947" s="952"/>
      <c r="B4947" s="953"/>
      <c r="C4947" s="953"/>
      <c r="D4947" s="953"/>
      <c r="E4947" s="953"/>
      <c r="F4947" s="953"/>
      <c r="G4947" s="953"/>
      <c r="H4947" s="953"/>
    </row>
    <row r="4948" spans="1:8" x14ac:dyDescent="0.25">
      <c r="A4948" s="952"/>
      <c r="B4948" s="953"/>
      <c r="C4948" s="953"/>
      <c r="D4948" s="953"/>
      <c r="E4948" s="953"/>
      <c r="F4948" s="953"/>
      <c r="G4948" s="953"/>
      <c r="H4948" s="953"/>
    </row>
    <row r="4949" spans="1:8" x14ac:dyDescent="0.25">
      <c r="A4949" s="952"/>
      <c r="B4949" s="953"/>
      <c r="C4949" s="953"/>
      <c r="D4949" s="953"/>
      <c r="E4949" s="953"/>
      <c r="F4949" s="953"/>
      <c r="G4949" s="953"/>
      <c r="H4949" s="953"/>
    </row>
    <row r="4950" spans="1:8" x14ac:dyDescent="0.25">
      <c r="A4950" s="952"/>
      <c r="B4950" s="953"/>
      <c r="C4950" s="953"/>
      <c r="D4950" s="953"/>
      <c r="E4950" s="953"/>
      <c r="F4950" s="953"/>
      <c r="G4950" s="953"/>
      <c r="H4950" s="953"/>
    </row>
    <row r="4951" spans="1:8" x14ac:dyDescent="0.25">
      <c r="A4951" s="952"/>
      <c r="B4951" s="953"/>
      <c r="C4951" s="953"/>
      <c r="D4951" s="953"/>
      <c r="E4951" s="953"/>
      <c r="F4951" s="953"/>
      <c r="G4951" s="953"/>
      <c r="H4951" s="953"/>
    </row>
    <row r="4952" spans="1:8" x14ac:dyDescent="0.25">
      <c r="A4952" s="952"/>
      <c r="B4952" s="953"/>
      <c r="C4952" s="953"/>
      <c r="D4952" s="953"/>
      <c r="E4952" s="953"/>
      <c r="F4952" s="953"/>
      <c r="G4952" s="953"/>
      <c r="H4952" s="953"/>
    </row>
    <row r="4953" spans="1:8" x14ac:dyDescent="0.25">
      <c r="A4953" s="952"/>
      <c r="B4953" s="953"/>
      <c r="C4953" s="953"/>
      <c r="D4953" s="953"/>
      <c r="E4953" s="953"/>
      <c r="F4953" s="953"/>
      <c r="G4953" s="953"/>
      <c r="H4953" s="953"/>
    </row>
    <row r="4954" spans="1:8" x14ac:dyDescent="0.25">
      <c r="A4954" s="952"/>
      <c r="B4954" s="953"/>
      <c r="C4954" s="953"/>
      <c r="D4954" s="953"/>
      <c r="E4954" s="953"/>
      <c r="F4954" s="953"/>
      <c r="G4954" s="953"/>
      <c r="H4954" s="953"/>
    </row>
    <row r="4955" spans="1:8" x14ac:dyDescent="0.25">
      <c r="A4955" s="952"/>
      <c r="B4955" s="953"/>
      <c r="C4955" s="953"/>
      <c r="D4955" s="953"/>
      <c r="E4955" s="953"/>
      <c r="F4955" s="953"/>
      <c r="G4955" s="953"/>
      <c r="H4955" s="953"/>
    </row>
    <row r="4956" spans="1:8" x14ac:dyDescent="0.25">
      <c r="A4956" s="952"/>
      <c r="B4956" s="953"/>
      <c r="C4956" s="953"/>
      <c r="D4956" s="953"/>
      <c r="E4956" s="953"/>
      <c r="F4956" s="953"/>
      <c r="G4956" s="953"/>
      <c r="H4956" s="953"/>
    </row>
    <row r="4957" spans="1:8" x14ac:dyDescent="0.25">
      <c r="A4957" s="952"/>
      <c r="B4957" s="953"/>
      <c r="C4957" s="953"/>
      <c r="D4957" s="953"/>
      <c r="E4957" s="953"/>
      <c r="F4957" s="953"/>
      <c r="G4957" s="953"/>
      <c r="H4957" s="953"/>
    </row>
    <row r="4958" spans="1:8" x14ac:dyDescent="0.25">
      <c r="A4958" s="952"/>
      <c r="B4958" s="953"/>
      <c r="C4958" s="953"/>
      <c r="D4958" s="953"/>
      <c r="E4958" s="953"/>
      <c r="F4958" s="953"/>
      <c r="G4958" s="953"/>
      <c r="H4958" s="953"/>
    </row>
    <row r="4959" spans="1:8" x14ac:dyDescent="0.25">
      <c r="A4959" s="952"/>
      <c r="B4959" s="953"/>
      <c r="C4959" s="953"/>
      <c r="D4959" s="953"/>
      <c r="E4959" s="953"/>
      <c r="F4959" s="953"/>
      <c r="G4959" s="953"/>
      <c r="H4959" s="953"/>
    </row>
    <row r="4960" spans="1:8" x14ac:dyDescent="0.25">
      <c r="A4960" s="952"/>
      <c r="B4960" s="953"/>
      <c r="C4960" s="953"/>
      <c r="D4960" s="953"/>
      <c r="E4960" s="953"/>
      <c r="F4960" s="953"/>
      <c r="G4960" s="953"/>
      <c r="H4960" s="953"/>
    </row>
    <row r="4961" spans="1:8" x14ac:dyDescent="0.25">
      <c r="A4961" s="952"/>
      <c r="B4961" s="953"/>
      <c r="C4961" s="953"/>
      <c r="D4961" s="953"/>
      <c r="E4961" s="953"/>
      <c r="F4961" s="953"/>
      <c r="G4961" s="953"/>
      <c r="H4961" s="953"/>
    </row>
    <row r="4962" spans="1:8" x14ac:dyDescent="0.25">
      <c r="A4962" s="952"/>
      <c r="B4962" s="953"/>
      <c r="C4962" s="953"/>
      <c r="D4962" s="953"/>
      <c r="E4962" s="953"/>
      <c r="F4962" s="953"/>
      <c r="G4962" s="953"/>
      <c r="H4962" s="953"/>
    </row>
    <row r="4963" spans="1:8" x14ac:dyDescent="0.25">
      <c r="A4963" s="952"/>
      <c r="B4963" s="953"/>
      <c r="C4963" s="953"/>
      <c r="D4963" s="953"/>
      <c r="E4963" s="953"/>
      <c r="F4963" s="953"/>
      <c r="G4963" s="953"/>
      <c r="H4963" s="953"/>
    </row>
    <row r="4964" spans="1:8" x14ac:dyDescent="0.25">
      <c r="A4964" s="952"/>
      <c r="B4964" s="953"/>
      <c r="C4964" s="953"/>
      <c r="D4964" s="953"/>
      <c r="E4964" s="953"/>
      <c r="F4964" s="953"/>
      <c r="G4964" s="953"/>
      <c r="H4964" s="953"/>
    </row>
    <row r="4965" spans="1:8" x14ac:dyDescent="0.25">
      <c r="A4965" s="952"/>
      <c r="B4965" s="953"/>
      <c r="C4965" s="953"/>
      <c r="D4965" s="953"/>
      <c r="E4965" s="953"/>
      <c r="F4965" s="953"/>
      <c r="G4965" s="953"/>
      <c r="H4965" s="953"/>
    </row>
    <row r="4966" spans="1:8" x14ac:dyDescent="0.25">
      <c r="A4966" s="952"/>
      <c r="B4966" s="953"/>
      <c r="C4966" s="953"/>
      <c r="D4966" s="953"/>
      <c r="E4966" s="953"/>
      <c r="F4966" s="953"/>
      <c r="G4966" s="953"/>
      <c r="H4966" s="953"/>
    </row>
    <row r="4967" spans="1:8" x14ac:dyDescent="0.25">
      <c r="A4967" s="952"/>
      <c r="B4967" s="953"/>
      <c r="C4967" s="953"/>
      <c r="D4967" s="953"/>
      <c r="E4967" s="953"/>
      <c r="F4967" s="953"/>
      <c r="G4967" s="953"/>
      <c r="H4967" s="953"/>
    </row>
    <row r="4968" spans="1:8" x14ac:dyDescent="0.25">
      <c r="A4968" s="952"/>
      <c r="B4968" s="953"/>
      <c r="C4968" s="953"/>
      <c r="D4968" s="953"/>
      <c r="E4968" s="953"/>
      <c r="F4968" s="953"/>
      <c r="G4968" s="953"/>
      <c r="H4968" s="953"/>
    </row>
    <row r="4969" spans="1:8" x14ac:dyDescent="0.25">
      <c r="A4969" s="952"/>
      <c r="B4969" s="953"/>
      <c r="C4969" s="953"/>
      <c r="D4969" s="953"/>
      <c r="E4969" s="953"/>
      <c r="F4969" s="953"/>
      <c r="G4969" s="953"/>
      <c r="H4969" s="953"/>
    </row>
    <row r="4970" spans="1:8" x14ac:dyDescent="0.25">
      <c r="A4970" s="952"/>
      <c r="B4970" s="953"/>
      <c r="C4970" s="953"/>
      <c r="D4970" s="953"/>
      <c r="E4970" s="953"/>
      <c r="F4970" s="953"/>
      <c r="G4970" s="953"/>
      <c r="H4970" s="953"/>
    </row>
    <row r="4971" spans="1:8" x14ac:dyDescent="0.25">
      <c r="A4971" s="952"/>
      <c r="B4971" s="953"/>
      <c r="C4971" s="953"/>
      <c r="D4971" s="953"/>
      <c r="E4971" s="953"/>
      <c r="F4971" s="953"/>
      <c r="G4971" s="953"/>
      <c r="H4971" s="953"/>
    </row>
    <row r="4972" spans="1:8" x14ac:dyDescent="0.25">
      <c r="A4972" s="952"/>
      <c r="B4972" s="953"/>
      <c r="C4972" s="953"/>
      <c r="D4972" s="953"/>
      <c r="E4972" s="953"/>
      <c r="F4972" s="953"/>
      <c r="G4972" s="953"/>
      <c r="H4972" s="953"/>
    </row>
    <row r="4973" spans="1:8" x14ac:dyDescent="0.25">
      <c r="A4973" s="952"/>
      <c r="B4973" s="953"/>
      <c r="C4973" s="953"/>
      <c r="D4973" s="953"/>
      <c r="E4973" s="953"/>
      <c r="F4973" s="953"/>
      <c r="G4973" s="953"/>
      <c r="H4973" s="953"/>
    </row>
    <row r="4974" spans="1:8" x14ac:dyDescent="0.25">
      <c r="A4974" s="952"/>
      <c r="B4974" s="953"/>
      <c r="C4974" s="953"/>
      <c r="D4974" s="953"/>
      <c r="E4974" s="953"/>
      <c r="F4974" s="953"/>
      <c r="G4974" s="953"/>
      <c r="H4974" s="953"/>
    </row>
    <row r="4975" spans="1:8" x14ac:dyDescent="0.25">
      <c r="A4975" s="952"/>
      <c r="B4975" s="953"/>
      <c r="C4975" s="953"/>
      <c r="D4975" s="953"/>
      <c r="E4975" s="953"/>
      <c r="F4975" s="953"/>
      <c r="G4975" s="953"/>
      <c r="H4975" s="953"/>
    </row>
    <row r="4976" spans="1:8" x14ac:dyDescent="0.25">
      <c r="A4976" s="952"/>
      <c r="B4976" s="953"/>
      <c r="C4976" s="953"/>
      <c r="D4976" s="953"/>
      <c r="E4976" s="953"/>
      <c r="F4976" s="953"/>
      <c r="G4976" s="953"/>
      <c r="H4976" s="953"/>
    </row>
    <row r="4977" spans="1:8" x14ac:dyDescent="0.25">
      <c r="A4977" s="952"/>
      <c r="B4977" s="953"/>
      <c r="C4977" s="953"/>
      <c r="D4977" s="953"/>
      <c r="E4977" s="953"/>
      <c r="F4977" s="953"/>
      <c r="G4977" s="953"/>
      <c r="H4977" s="953"/>
    </row>
    <row r="4978" spans="1:8" x14ac:dyDescent="0.25">
      <c r="A4978" s="952"/>
      <c r="B4978" s="953"/>
      <c r="C4978" s="953"/>
      <c r="D4978" s="953"/>
      <c r="E4978" s="953"/>
      <c r="F4978" s="953"/>
      <c r="G4978" s="953"/>
      <c r="H4978" s="953"/>
    </row>
    <row r="4979" spans="1:8" x14ac:dyDescent="0.25">
      <c r="A4979" s="952"/>
      <c r="B4979" s="953"/>
      <c r="C4979" s="953"/>
      <c r="D4979" s="953"/>
      <c r="E4979" s="953"/>
      <c r="F4979" s="953"/>
      <c r="G4979" s="953"/>
      <c r="H4979" s="953"/>
    </row>
    <row r="4980" spans="1:8" x14ac:dyDescent="0.25">
      <c r="A4980" s="952"/>
      <c r="B4980" s="953"/>
      <c r="C4980" s="953"/>
      <c r="D4980" s="953"/>
      <c r="E4980" s="953"/>
      <c r="F4980" s="953"/>
      <c r="G4980" s="953"/>
      <c r="H4980" s="953"/>
    </row>
    <row r="4981" spans="1:8" x14ac:dyDescent="0.25">
      <c r="A4981" s="952"/>
      <c r="B4981" s="953"/>
      <c r="C4981" s="953"/>
      <c r="D4981" s="953"/>
      <c r="E4981" s="953"/>
      <c r="F4981" s="953"/>
      <c r="G4981" s="953"/>
      <c r="H4981" s="953"/>
    </row>
    <row r="4982" spans="1:8" x14ac:dyDescent="0.25">
      <c r="A4982" s="952"/>
      <c r="B4982" s="953"/>
      <c r="C4982" s="953"/>
      <c r="D4982" s="953"/>
      <c r="E4982" s="953"/>
      <c r="F4982" s="953"/>
      <c r="G4982" s="953"/>
      <c r="H4982" s="953"/>
    </row>
    <row r="4983" spans="1:8" x14ac:dyDescent="0.25">
      <c r="A4983" s="952"/>
      <c r="B4983" s="953"/>
      <c r="C4983" s="953"/>
      <c r="D4983" s="953"/>
      <c r="E4983" s="953"/>
      <c r="F4983" s="953"/>
      <c r="G4983" s="953"/>
      <c r="H4983" s="953"/>
    </row>
    <row r="4984" spans="1:8" x14ac:dyDescent="0.25">
      <c r="A4984" s="952"/>
      <c r="B4984" s="953"/>
      <c r="C4984" s="953"/>
      <c r="D4984" s="953"/>
      <c r="E4984" s="953"/>
      <c r="F4984" s="953"/>
      <c r="G4984" s="953"/>
      <c r="H4984" s="953"/>
    </row>
    <row r="4985" spans="1:8" x14ac:dyDescent="0.25">
      <c r="A4985" s="952"/>
      <c r="B4985" s="953"/>
      <c r="C4985" s="953"/>
      <c r="D4985" s="953"/>
      <c r="E4985" s="953"/>
      <c r="F4985" s="953"/>
      <c r="G4985" s="953"/>
      <c r="H4985" s="953"/>
    </row>
    <row r="4986" spans="1:8" x14ac:dyDescent="0.25">
      <c r="A4986" s="952"/>
      <c r="B4986" s="953"/>
      <c r="C4986" s="953"/>
      <c r="D4986" s="953"/>
      <c r="E4986" s="953"/>
      <c r="F4986" s="953"/>
      <c r="G4986" s="953"/>
      <c r="H4986" s="953"/>
    </row>
    <row r="4987" spans="1:8" x14ac:dyDescent="0.25">
      <c r="A4987" s="952"/>
      <c r="B4987" s="953"/>
      <c r="C4987" s="953"/>
      <c r="D4987" s="953"/>
      <c r="E4987" s="953"/>
      <c r="F4987" s="953"/>
      <c r="G4987" s="953"/>
      <c r="H4987" s="953"/>
    </row>
    <row r="4988" spans="1:8" x14ac:dyDescent="0.25">
      <c r="A4988" s="952"/>
      <c r="B4988" s="953"/>
      <c r="C4988" s="953"/>
      <c r="D4988" s="953"/>
      <c r="E4988" s="953"/>
      <c r="F4988" s="953"/>
      <c r="G4988" s="953"/>
      <c r="H4988" s="953"/>
    </row>
    <row r="4989" spans="1:8" x14ac:dyDescent="0.25">
      <c r="A4989" s="952"/>
      <c r="B4989" s="953"/>
      <c r="C4989" s="953"/>
      <c r="D4989" s="953"/>
      <c r="E4989" s="953"/>
      <c r="F4989" s="953"/>
      <c r="G4989" s="953"/>
      <c r="H4989" s="953"/>
    </row>
    <row r="4990" spans="1:8" x14ac:dyDescent="0.25">
      <c r="A4990" s="952"/>
      <c r="B4990" s="953"/>
      <c r="C4990" s="953"/>
      <c r="D4990" s="953"/>
      <c r="E4990" s="953"/>
      <c r="F4990" s="953"/>
      <c r="G4990" s="953"/>
      <c r="H4990" s="953"/>
    </row>
    <row r="4991" spans="1:8" x14ac:dyDescent="0.25">
      <c r="A4991" s="952"/>
      <c r="B4991" s="953"/>
      <c r="C4991" s="953"/>
      <c r="D4991" s="953"/>
      <c r="E4991" s="953"/>
      <c r="F4991" s="953"/>
      <c r="G4991" s="953"/>
      <c r="H4991" s="953"/>
    </row>
    <row r="4992" spans="1:8" x14ac:dyDescent="0.25">
      <c r="A4992" s="952"/>
      <c r="B4992" s="953"/>
      <c r="C4992" s="953"/>
      <c r="D4992" s="953"/>
      <c r="E4992" s="953"/>
      <c r="F4992" s="953"/>
      <c r="G4992" s="953"/>
      <c r="H4992" s="953"/>
    </row>
    <row r="4993" spans="1:8" x14ac:dyDescent="0.25">
      <c r="A4993" s="952"/>
      <c r="B4993" s="953"/>
      <c r="C4993" s="953"/>
      <c r="D4993" s="953"/>
      <c r="E4993" s="953"/>
      <c r="F4993" s="953"/>
      <c r="G4993" s="953"/>
      <c r="H4993" s="953"/>
    </row>
    <row r="4994" spans="1:8" x14ac:dyDescent="0.25">
      <c r="A4994" s="952"/>
      <c r="B4994" s="953"/>
      <c r="C4994" s="953"/>
      <c r="D4994" s="953"/>
      <c r="E4994" s="953"/>
      <c r="F4994" s="953"/>
      <c r="G4994" s="953"/>
      <c r="H4994" s="953"/>
    </row>
    <row r="4995" spans="1:8" x14ac:dyDescent="0.25">
      <c r="A4995" s="952"/>
      <c r="B4995" s="953"/>
      <c r="C4995" s="953"/>
      <c r="D4995" s="953"/>
      <c r="E4995" s="953"/>
      <c r="F4995" s="953"/>
      <c r="G4995" s="953"/>
      <c r="H4995" s="953"/>
    </row>
    <row r="4996" spans="1:8" x14ac:dyDescent="0.25">
      <c r="A4996" s="952"/>
      <c r="B4996" s="953"/>
      <c r="C4996" s="953"/>
      <c r="D4996" s="953"/>
      <c r="E4996" s="953"/>
      <c r="F4996" s="953"/>
      <c r="G4996" s="953"/>
      <c r="H4996" s="953"/>
    </row>
    <row r="4997" spans="1:8" x14ac:dyDescent="0.25">
      <c r="A4997" s="952"/>
      <c r="B4997" s="953"/>
      <c r="C4997" s="953"/>
      <c r="D4997" s="953"/>
      <c r="E4997" s="953"/>
      <c r="F4997" s="953"/>
      <c r="G4997" s="953"/>
      <c r="H4997" s="953"/>
    </row>
    <row r="4998" spans="1:8" x14ac:dyDescent="0.25">
      <c r="A4998" s="952"/>
      <c r="B4998" s="953"/>
      <c r="C4998" s="953"/>
      <c r="D4998" s="953"/>
      <c r="E4998" s="953"/>
      <c r="F4998" s="953"/>
      <c r="G4998" s="953"/>
      <c r="H4998" s="953"/>
    </row>
    <row r="4999" spans="1:8" x14ac:dyDescent="0.25">
      <c r="A4999" s="952"/>
      <c r="B4999" s="953"/>
      <c r="C4999" s="953"/>
      <c r="D4999" s="953"/>
      <c r="E4999" s="953"/>
      <c r="F4999" s="953"/>
      <c r="G4999" s="953"/>
      <c r="H4999" s="953"/>
    </row>
    <row r="5000" spans="1:8" x14ac:dyDescent="0.25">
      <c r="A5000" s="952"/>
      <c r="B5000" s="953"/>
      <c r="C5000" s="953"/>
      <c r="D5000" s="953"/>
      <c r="E5000" s="953"/>
      <c r="F5000" s="953"/>
      <c r="G5000" s="953"/>
      <c r="H5000" s="953"/>
    </row>
    <row r="5001" spans="1:8" x14ac:dyDescent="0.25">
      <c r="A5001" s="952"/>
      <c r="B5001" s="953"/>
      <c r="C5001" s="953"/>
      <c r="D5001" s="953"/>
      <c r="E5001" s="953"/>
      <c r="F5001" s="953"/>
      <c r="G5001" s="953"/>
      <c r="H5001" s="953"/>
    </row>
    <row r="5002" spans="1:8" x14ac:dyDescent="0.25">
      <c r="A5002" s="952"/>
      <c r="B5002" s="953"/>
      <c r="C5002" s="953"/>
      <c r="D5002" s="953"/>
      <c r="E5002" s="953"/>
      <c r="F5002" s="953"/>
      <c r="G5002" s="953"/>
      <c r="H5002" s="953"/>
    </row>
    <row r="5003" spans="1:8" x14ac:dyDescent="0.25">
      <c r="A5003" s="952"/>
      <c r="B5003" s="953"/>
      <c r="C5003" s="953"/>
      <c r="D5003" s="953"/>
      <c r="E5003" s="953"/>
      <c r="F5003" s="953"/>
      <c r="G5003" s="953"/>
      <c r="H5003" s="953"/>
    </row>
    <row r="5004" spans="1:8" x14ac:dyDescent="0.25">
      <c r="A5004" s="952"/>
      <c r="B5004" s="953"/>
      <c r="C5004" s="953"/>
      <c r="D5004" s="953"/>
      <c r="E5004" s="953"/>
      <c r="F5004" s="953"/>
      <c r="G5004" s="953"/>
      <c r="H5004" s="953"/>
    </row>
    <row r="5005" spans="1:8" x14ac:dyDescent="0.25">
      <c r="A5005" s="952"/>
      <c r="B5005" s="953"/>
      <c r="C5005" s="953"/>
      <c r="D5005" s="953"/>
      <c r="E5005" s="953"/>
      <c r="F5005" s="953"/>
      <c r="G5005" s="953"/>
      <c r="H5005" s="953"/>
    </row>
    <row r="5006" spans="1:8" x14ac:dyDescent="0.25">
      <c r="A5006" s="952"/>
      <c r="B5006" s="953"/>
      <c r="C5006" s="953"/>
      <c r="D5006" s="953"/>
      <c r="E5006" s="953"/>
      <c r="F5006" s="953"/>
      <c r="G5006" s="953"/>
      <c r="H5006" s="953"/>
    </row>
    <row r="5007" spans="1:8" x14ac:dyDescent="0.25">
      <c r="A5007" s="952"/>
      <c r="B5007" s="953"/>
      <c r="C5007" s="953"/>
      <c r="D5007" s="953"/>
      <c r="E5007" s="953"/>
      <c r="F5007" s="953"/>
      <c r="G5007" s="953"/>
      <c r="H5007" s="953"/>
    </row>
    <row r="5008" spans="1:8" x14ac:dyDescent="0.25">
      <c r="A5008" s="952"/>
      <c r="B5008" s="953"/>
      <c r="C5008" s="953"/>
      <c r="D5008" s="953"/>
      <c r="E5008" s="953"/>
      <c r="F5008" s="953"/>
      <c r="G5008" s="953"/>
      <c r="H5008" s="953"/>
    </row>
    <row r="5009" spans="1:8" x14ac:dyDescent="0.25">
      <c r="A5009" s="952"/>
      <c r="B5009" s="953"/>
      <c r="C5009" s="953"/>
      <c r="D5009" s="953"/>
      <c r="E5009" s="953"/>
      <c r="F5009" s="953"/>
      <c r="G5009" s="953"/>
      <c r="H5009" s="953"/>
    </row>
    <row r="5010" spans="1:8" x14ac:dyDescent="0.25">
      <c r="A5010" s="952"/>
      <c r="B5010" s="953"/>
      <c r="C5010" s="953"/>
      <c r="D5010" s="953"/>
      <c r="E5010" s="953"/>
      <c r="F5010" s="953"/>
      <c r="G5010" s="953"/>
      <c r="H5010" s="953"/>
    </row>
    <row r="5011" spans="1:8" x14ac:dyDescent="0.25">
      <c r="A5011" s="952"/>
      <c r="B5011" s="953"/>
      <c r="C5011" s="953"/>
      <c r="D5011" s="953"/>
      <c r="E5011" s="953"/>
      <c r="F5011" s="953"/>
      <c r="G5011" s="953"/>
      <c r="H5011" s="953"/>
    </row>
    <row r="5012" spans="1:8" x14ac:dyDescent="0.25">
      <c r="A5012" s="952"/>
      <c r="B5012" s="953"/>
      <c r="C5012" s="953"/>
      <c r="D5012" s="953"/>
      <c r="E5012" s="953"/>
      <c r="F5012" s="953"/>
      <c r="G5012" s="953"/>
      <c r="H5012" s="953"/>
    </row>
    <row r="5013" spans="1:8" x14ac:dyDescent="0.25">
      <c r="A5013" s="952"/>
      <c r="B5013" s="953"/>
      <c r="C5013" s="953"/>
      <c r="D5013" s="953"/>
      <c r="E5013" s="953"/>
      <c r="F5013" s="953"/>
      <c r="G5013" s="953"/>
      <c r="H5013" s="953"/>
    </row>
    <row r="5014" spans="1:8" x14ac:dyDescent="0.25">
      <c r="A5014" s="952"/>
      <c r="B5014" s="953"/>
      <c r="C5014" s="953"/>
      <c r="D5014" s="953"/>
      <c r="E5014" s="953"/>
      <c r="F5014" s="953"/>
      <c r="G5014" s="953"/>
      <c r="H5014" s="953"/>
    </row>
    <row r="5015" spans="1:8" x14ac:dyDescent="0.25">
      <c r="A5015" s="952"/>
      <c r="B5015" s="953"/>
      <c r="C5015" s="953"/>
      <c r="D5015" s="953"/>
      <c r="E5015" s="953"/>
      <c r="F5015" s="953"/>
      <c r="G5015" s="953"/>
      <c r="H5015" s="953"/>
    </row>
    <row r="5016" spans="1:8" x14ac:dyDescent="0.25">
      <c r="A5016" s="952"/>
      <c r="B5016" s="953"/>
      <c r="C5016" s="953"/>
      <c r="D5016" s="953"/>
      <c r="E5016" s="953"/>
      <c r="F5016" s="953"/>
      <c r="G5016" s="953"/>
      <c r="H5016" s="953"/>
    </row>
    <row r="5017" spans="1:8" x14ac:dyDescent="0.25">
      <c r="A5017" s="952"/>
      <c r="B5017" s="953"/>
      <c r="C5017" s="953"/>
      <c r="D5017" s="953"/>
      <c r="E5017" s="953"/>
      <c r="F5017" s="953"/>
      <c r="G5017" s="953"/>
      <c r="H5017" s="953"/>
    </row>
    <row r="5018" spans="1:8" x14ac:dyDescent="0.25">
      <c r="A5018" s="952"/>
      <c r="B5018" s="953"/>
      <c r="C5018" s="953"/>
      <c r="D5018" s="953"/>
      <c r="E5018" s="953"/>
      <c r="F5018" s="953"/>
      <c r="G5018" s="953"/>
      <c r="H5018" s="953"/>
    </row>
    <row r="5019" spans="1:8" x14ac:dyDescent="0.25">
      <c r="A5019" s="952"/>
      <c r="B5019" s="953"/>
      <c r="C5019" s="953"/>
      <c r="D5019" s="953"/>
      <c r="E5019" s="953"/>
      <c r="F5019" s="953"/>
      <c r="G5019" s="953"/>
      <c r="H5019" s="953"/>
    </row>
    <row r="5020" spans="1:8" x14ac:dyDescent="0.25">
      <c r="A5020" s="952"/>
      <c r="B5020" s="953"/>
      <c r="C5020" s="953"/>
      <c r="D5020" s="953"/>
      <c r="E5020" s="953"/>
      <c r="F5020" s="953"/>
      <c r="G5020" s="953"/>
      <c r="H5020" s="953"/>
    </row>
    <row r="5021" spans="1:8" x14ac:dyDescent="0.25">
      <c r="A5021" s="952"/>
      <c r="B5021" s="953"/>
      <c r="C5021" s="953"/>
      <c r="D5021" s="953"/>
      <c r="E5021" s="953"/>
      <c r="F5021" s="953"/>
      <c r="G5021" s="953"/>
      <c r="H5021" s="953"/>
    </row>
    <row r="5022" spans="1:8" x14ac:dyDescent="0.25">
      <c r="A5022" s="952"/>
      <c r="B5022" s="953"/>
      <c r="C5022" s="953"/>
      <c r="D5022" s="953"/>
      <c r="E5022" s="953"/>
      <c r="F5022" s="953"/>
      <c r="G5022" s="953"/>
      <c r="H5022" s="953"/>
    </row>
    <row r="5023" spans="1:8" x14ac:dyDescent="0.25">
      <c r="A5023" s="952"/>
      <c r="B5023" s="953"/>
      <c r="C5023" s="953"/>
      <c r="D5023" s="953"/>
      <c r="E5023" s="953"/>
      <c r="F5023" s="953"/>
      <c r="G5023" s="953"/>
      <c r="H5023" s="953"/>
    </row>
    <row r="5024" spans="1:8" x14ac:dyDescent="0.25">
      <c r="A5024" s="952"/>
      <c r="B5024" s="953"/>
      <c r="C5024" s="953"/>
      <c r="D5024" s="953"/>
      <c r="E5024" s="953"/>
      <c r="F5024" s="953"/>
      <c r="G5024" s="953"/>
      <c r="H5024" s="953"/>
    </row>
    <row r="5025" spans="1:8" x14ac:dyDescent="0.25">
      <c r="A5025" s="952"/>
      <c r="B5025" s="953"/>
      <c r="C5025" s="953"/>
      <c r="D5025" s="953"/>
      <c r="E5025" s="953"/>
      <c r="F5025" s="953"/>
      <c r="G5025" s="953"/>
      <c r="H5025" s="953"/>
    </row>
    <row r="5026" spans="1:8" x14ac:dyDescent="0.25">
      <c r="A5026" s="952"/>
      <c r="B5026" s="953"/>
      <c r="C5026" s="953"/>
      <c r="D5026" s="953"/>
      <c r="E5026" s="953"/>
      <c r="F5026" s="953"/>
      <c r="G5026" s="953"/>
      <c r="H5026" s="953"/>
    </row>
    <row r="5027" spans="1:8" x14ac:dyDescent="0.25">
      <c r="A5027" s="952"/>
      <c r="B5027" s="953"/>
      <c r="C5027" s="953"/>
      <c r="D5027" s="953"/>
      <c r="E5027" s="953"/>
      <c r="F5027" s="953"/>
      <c r="G5027" s="953"/>
      <c r="H5027" s="953"/>
    </row>
    <row r="5028" spans="1:8" x14ac:dyDescent="0.25">
      <c r="A5028" s="952"/>
      <c r="B5028" s="953"/>
      <c r="C5028" s="953"/>
      <c r="D5028" s="953"/>
      <c r="E5028" s="953"/>
      <c r="F5028" s="953"/>
      <c r="G5028" s="953"/>
      <c r="H5028" s="953"/>
    </row>
    <row r="5029" spans="1:8" x14ac:dyDescent="0.25">
      <c r="A5029" s="952"/>
      <c r="B5029" s="953"/>
      <c r="C5029" s="953"/>
      <c r="D5029" s="953"/>
      <c r="E5029" s="953"/>
      <c r="F5029" s="953"/>
      <c r="G5029" s="953"/>
      <c r="H5029" s="953"/>
    </row>
    <row r="5030" spans="1:8" x14ac:dyDescent="0.25">
      <c r="A5030" s="952"/>
      <c r="B5030" s="953"/>
      <c r="C5030" s="953"/>
      <c r="D5030" s="953"/>
      <c r="E5030" s="953"/>
      <c r="F5030" s="953"/>
      <c r="G5030" s="953"/>
      <c r="H5030" s="953"/>
    </row>
    <row r="5031" spans="1:8" x14ac:dyDescent="0.25">
      <c r="A5031" s="952"/>
      <c r="B5031" s="953"/>
      <c r="C5031" s="953"/>
      <c r="D5031" s="953"/>
      <c r="E5031" s="953"/>
      <c r="F5031" s="953"/>
      <c r="G5031" s="953"/>
      <c r="H5031" s="953"/>
    </row>
    <row r="5032" spans="1:8" x14ac:dyDescent="0.25">
      <c r="A5032" s="952"/>
      <c r="B5032" s="953"/>
      <c r="C5032" s="953"/>
      <c r="D5032" s="953"/>
      <c r="E5032" s="953"/>
      <c r="F5032" s="953"/>
      <c r="G5032" s="953"/>
      <c r="H5032" s="953"/>
    </row>
    <row r="5033" spans="1:8" x14ac:dyDescent="0.25">
      <c r="A5033" s="952"/>
      <c r="B5033" s="953"/>
      <c r="C5033" s="953"/>
      <c r="D5033" s="953"/>
      <c r="E5033" s="953"/>
      <c r="F5033" s="953"/>
      <c r="G5033" s="953"/>
      <c r="H5033" s="953"/>
    </row>
    <row r="5034" spans="1:8" x14ac:dyDescent="0.25">
      <c r="A5034" s="952"/>
      <c r="B5034" s="953"/>
      <c r="C5034" s="953"/>
      <c r="D5034" s="953"/>
      <c r="E5034" s="953"/>
      <c r="F5034" s="953"/>
      <c r="G5034" s="953"/>
      <c r="H5034" s="953"/>
    </row>
    <row r="5035" spans="1:8" x14ac:dyDescent="0.25">
      <c r="A5035" s="952"/>
      <c r="B5035" s="953"/>
      <c r="C5035" s="953"/>
      <c r="D5035" s="953"/>
      <c r="E5035" s="953"/>
      <c r="F5035" s="953"/>
      <c r="G5035" s="953"/>
      <c r="H5035" s="953"/>
    </row>
    <row r="5036" spans="1:8" x14ac:dyDescent="0.25">
      <c r="A5036" s="952"/>
      <c r="B5036" s="953"/>
      <c r="C5036" s="953"/>
      <c r="D5036" s="953"/>
      <c r="E5036" s="953"/>
      <c r="F5036" s="953"/>
      <c r="G5036" s="953"/>
      <c r="H5036" s="953"/>
    </row>
    <row r="5037" spans="1:8" x14ac:dyDescent="0.25">
      <c r="A5037" s="952"/>
      <c r="B5037" s="953"/>
      <c r="C5037" s="953"/>
      <c r="D5037" s="953"/>
      <c r="E5037" s="953"/>
      <c r="F5037" s="953"/>
      <c r="G5037" s="953"/>
      <c r="H5037" s="953"/>
    </row>
    <row r="5038" spans="1:8" x14ac:dyDescent="0.25">
      <c r="A5038" s="952"/>
      <c r="B5038" s="953"/>
      <c r="C5038" s="953"/>
      <c r="D5038" s="953"/>
      <c r="E5038" s="953"/>
      <c r="F5038" s="953"/>
      <c r="G5038" s="953"/>
      <c r="H5038" s="953"/>
    </row>
    <row r="5039" spans="1:8" x14ac:dyDescent="0.25">
      <c r="A5039" s="952"/>
      <c r="B5039" s="953"/>
      <c r="C5039" s="953"/>
      <c r="D5039" s="953"/>
      <c r="E5039" s="953"/>
      <c r="F5039" s="953"/>
      <c r="G5039" s="953"/>
      <c r="H5039" s="953"/>
    </row>
    <row r="5040" spans="1:8" x14ac:dyDescent="0.25">
      <c r="A5040" s="952"/>
      <c r="B5040" s="953"/>
      <c r="C5040" s="953"/>
      <c r="D5040" s="953"/>
      <c r="E5040" s="953"/>
      <c r="F5040" s="953"/>
      <c r="G5040" s="953"/>
      <c r="H5040" s="953"/>
    </row>
    <row r="5041" spans="1:8" x14ac:dyDescent="0.25">
      <c r="A5041" s="952"/>
      <c r="B5041" s="953"/>
      <c r="C5041" s="953"/>
      <c r="D5041" s="953"/>
      <c r="E5041" s="953"/>
      <c r="F5041" s="953"/>
      <c r="G5041" s="953"/>
      <c r="H5041" s="953"/>
    </row>
    <row r="5042" spans="1:8" x14ac:dyDescent="0.25">
      <c r="A5042" s="952"/>
      <c r="B5042" s="953"/>
      <c r="C5042" s="953"/>
      <c r="D5042" s="953"/>
      <c r="E5042" s="953"/>
      <c r="F5042" s="953"/>
      <c r="G5042" s="953"/>
      <c r="H5042" s="953"/>
    </row>
    <row r="5043" spans="1:8" x14ac:dyDescent="0.25">
      <c r="A5043" s="952"/>
      <c r="B5043" s="953"/>
      <c r="C5043" s="953"/>
      <c r="D5043" s="953"/>
      <c r="E5043" s="953"/>
      <c r="F5043" s="953"/>
      <c r="G5043" s="953"/>
      <c r="H5043" s="953"/>
    </row>
    <row r="5044" spans="1:8" x14ac:dyDescent="0.25">
      <c r="A5044" s="952"/>
      <c r="B5044" s="953"/>
      <c r="C5044" s="953"/>
      <c r="D5044" s="953"/>
      <c r="E5044" s="953"/>
      <c r="F5044" s="953"/>
      <c r="G5044" s="953"/>
      <c r="H5044" s="953"/>
    </row>
    <row r="5045" spans="1:8" x14ac:dyDescent="0.25">
      <c r="A5045" s="952"/>
      <c r="B5045" s="953"/>
      <c r="C5045" s="953"/>
      <c r="D5045" s="953"/>
      <c r="E5045" s="953"/>
      <c r="F5045" s="953"/>
      <c r="G5045" s="953"/>
      <c r="H5045" s="953"/>
    </row>
    <row r="5046" spans="1:8" x14ac:dyDescent="0.25">
      <c r="A5046" s="952"/>
      <c r="B5046" s="953"/>
      <c r="C5046" s="953"/>
      <c r="D5046" s="953"/>
      <c r="E5046" s="953"/>
      <c r="F5046" s="953"/>
      <c r="G5046" s="953"/>
      <c r="H5046" s="953"/>
    </row>
    <row r="5047" spans="1:8" x14ac:dyDescent="0.25">
      <c r="A5047" s="952"/>
      <c r="B5047" s="953"/>
      <c r="C5047" s="953"/>
      <c r="D5047" s="953"/>
      <c r="E5047" s="953"/>
      <c r="F5047" s="953"/>
      <c r="G5047" s="953"/>
      <c r="H5047" s="953"/>
    </row>
    <row r="5048" spans="1:8" x14ac:dyDescent="0.25">
      <c r="A5048" s="952"/>
      <c r="B5048" s="953"/>
      <c r="C5048" s="953"/>
      <c r="D5048" s="953"/>
      <c r="E5048" s="953"/>
      <c r="F5048" s="953"/>
      <c r="G5048" s="953"/>
      <c r="H5048" s="953"/>
    </row>
    <row r="5049" spans="1:8" x14ac:dyDescent="0.25">
      <c r="A5049" s="952"/>
      <c r="B5049" s="953"/>
      <c r="C5049" s="953"/>
      <c r="D5049" s="953"/>
      <c r="E5049" s="953"/>
      <c r="F5049" s="953"/>
      <c r="G5049" s="953"/>
      <c r="H5049" s="953"/>
    </row>
    <row r="5050" spans="1:8" x14ac:dyDescent="0.25">
      <c r="A5050" s="952"/>
      <c r="B5050" s="953"/>
      <c r="C5050" s="953"/>
      <c r="D5050" s="953"/>
      <c r="E5050" s="953"/>
      <c r="F5050" s="953"/>
      <c r="G5050" s="953"/>
      <c r="H5050" s="953"/>
    </row>
    <row r="5051" spans="1:8" x14ac:dyDescent="0.25">
      <c r="A5051" s="952"/>
      <c r="B5051" s="953"/>
      <c r="C5051" s="953"/>
      <c r="D5051" s="953"/>
      <c r="E5051" s="953"/>
      <c r="F5051" s="953"/>
      <c r="G5051" s="953"/>
      <c r="H5051" s="953"/>
    </row>
    <row r="5052" spans="1:8" x14ac:dyDescent="0.25">
      <c r="A5052" s="952"/>
      <c r="B5052" s="953"/>
      <c r="C5052" s="953"/>
      <c r="D5052" s="953"/>
      <c r="E5052" s="953"/>
      <c r="F5052" s="953"/>
      <c r="G5052" s="953"/>
      <c r="H5052" s="953"/>
    </row>
    <row r="5053" spans="1:8" x14ac:dyDescent="0.25">
      <c r="A5053" s="952"/>
      <c r="B5053" s="953"/>
      <c r="C5053" s="953"/>
      <c r="D5053" s="953"/>
      <c r="E5053" s="953"/>
      <c r="F5053" s="953"/>
      <c r="G5053" s="953"/>
      <c r="H5053" s="953"/>
    </row>
    <row r="5054" spans="1:8" x14ac:dyDescent="0.25">
      <c r="A5054" s="952"/>
      <c r="B5054" s="953"/>
      <c r="C5054" s="953"/>
      <c r="D5054" s="953"/>
      <c r="E5054" s="953"/>
      <c r="F5054" s="953"/>
      <c r="G5054" s="953"/>
      <c r="H5054" s="953"/>
    </row>
    <row r="5055" spans="1:8" x14ac:dyDescent="0.25">
      <c r="A5055" s="952"/>
      <c r="B5055" s="953"/>
      <c r="C5055" s="953"/>
      <c r="D5055" s="953"/>
      <c r="E5055" s="953"/>
      <c r="F5055" s="953"/>
      <c r="G5055" s="953"/>
      <c r="H5055" s="953"/>
    </row>
    <row r="5056" spans="1:8" x14ac:dyDescent="0.25">
      <c r="A5056" s="952"/>
      <c r="B5056" s="953"/>
      <c r="C5056" s="953"/>
      <c r="D5056" s="953"/>
      <c r="E5056" s="953"/>
      <c r="F5056" s="953"/>
      <c r="G5056" s="953"/>
      <c r="H5056" s="953"/>
    </row>
    <row r="5057" spans="1:8" x14ac:dyDescent="0.25">
      <c r="A5057" s="952"/>
      <c r="B5057" s="953"/>
      <c r="C5057" s="953"/>
      <c r="D5057" s="953"/>
      <c r="E5057" s="953"/>
      <c r="F5057" s="953"/>
      <c r="G5057" s="953"/>
      <c r="H5057" s="953"/>
    </row>
    <row r="5058" spans="1:8" x14ac:dyDescent="0.25">
      <c r="A5058" s="952"/>
      <c r="B5058" s="953"/>
      <c r="C5058" s="953"/>
      <c r="D5058" s="953"/>
      <c r="E5058" s="953"/>
      <c r="F5058" s="953"/>
      <c r="G5058" s="953"/>
      <c r="H5058" s="953"/>
    </row>
    <row r="5059" spans="1:8" x14ac:dyDescent="0.25">
      <c r="A5059" s="952"/>
      <c r="B5059" s="953"/>
      <c r="C5059" s="953"/>
      <c r="D5059" s="953"/>
      <c r="E5059" s="953"/>
      <c r="F5059" s="953"/>
      <c r="G5059" s="953"/>
      <c r="H5059" s="953"/>
    </row>
    <row r="5060" spans="1:8" x14ac:dyDescent="0.25">
      <c r="A5060" s="952"/>
      <c r="B5060" s="953"/>
      <c r="C5060" s="953"/>
      <c r="D5060" s="953"/>
      <c r="E5060" s="953"/>
      <c r="F5060" s="953"/>
      <c r="G5060" s="953"/>
      <c r="H5060" s="953"/>
    </row>
    <row r="5061" spans="1:8" x14ac:dyDescent="0.25">
      <c r="A5061" s="952"/>
      <c r="B5061" s="953"/>
      <c r="C5061" s="953"/>
      <c r="D5061" s="953"/>
      <c r="E5061" s="953"/>
      <c r="F5061" s="953"/>
      <c r="G5061" s="953"/>
      <c r="H5061" s="953"/>
    </row>
    <row r="5062" spans="1:8" x14ac:dyDescent="0.25">
      <c r="A5062" s="952"/>
      <c r="B5062" s="953"/>
      <c r="C5062" s="953"/>
      <c r="D5062" s="953"/>
      <c r="E5062" s="953"/>
      <c r="F5062" s="953"/>
      <c r="G5062" s="953"/>
      <c r="H5062" s="953"/>
    </row>
    <row r="5063" spans="1:8" x14ac:dyDescent="0.25">
      <c r="A5063" s="952"/>
      <c r="B5063" s="953"/>
      <c r="C5063" s="953"/>
      <c r="D5063" s="953"/>
      <c r="E5063" s="953"/>
      <c r="F5063" s="953"/>
      <c r="G5063" s="953"/>
      <c r="H5063" s="953"/>
    </row>
    <row r="5064" spans="1:8" x14ac:dyDescent="0.25">
      <c r="A5064" s="952"/>
      <c r="B5064" s="953"/>
      <c r="C5064" s="953"/>
      <c r="D5064" s="953"/>
      <c r="E5064" s="953"/>
      <c r="F5064" s="953"/>
      <c r="G5064" s="953"/>
      <c r="H5064" s="953"/>
    </row>
    <row r="5065" spans="1:8" x14ac:dyDescent="0.25">
      <c r="A5065" s="952"/>
      <c r="B5065" s="953"/>
      <c r="C5065" s="953"/>
      <c r="D5065" s="953"/>
      <c r="E5065" s="953"/>
      <c r="F5065" s="953"/>
      <c r="G5065" s="953"/>
      <c r="H5065" s="953"/>
    </row>
    <row r="5066" spans="1:8" x14ac:dyDescent="0.25">
      <c r="A5066" s="952"/>
      <c r="B5066" s="953"/>
      <c r="C5066" s="953"/>
      <c r="D5066" s="953"/>
      <c r="E5066" s="953"/>
      <c r="F5066" s="953"/>
      <c r="G5066" s="953"/>
      <c r="H5066" s="953"/>
    </row>
    <row r="5067" spans="1:8" x14ac:dyDescent="0.25">
      <c r="A5067" s="952"/>
      <c r="B5067" s="953"/>
      <c r="C5067" s="953"/>
      <c r="D5067" s="953"/>
      <c r="E5067" s="953"/>
      <c r="F5067" s="953"/>
      <c r="G5067" s="953"/>
      <c r="H5067" s="953"/>
    </row>
    <row r="5068" spans="1:8" x14ac:dyDescent="0.25">
      <c r="A5068" s="952"/>
      <c r="B5068" s="953"/>
      <c r="C5068" s="953"/>
      <c r="D5068" s="953"/>
      <c r="E5068" s="953"/>
      <c r="F5068" s="953"/>
      <c r="G5068" s="953"/>
      <c r="H5068" s="953"/>
    </row>
    <row r="5069" spans="1:8" x14ac:dyDescent="0.25">
      <c r="A5069" s="952"/>
      <c r="B5069" s="953"/>
      <c r="C5069" s="953"/>
      <c r="D5069" s="953"/>
      <c r="E5069" s="953"/>
      <c r="F5069" s="953"/>
      <c r="G5069" s="953"/>
      <c r="H5069" s="953"/>
    </row>
    <row r="5070" spans="1:8" x14ac:dyDescent="0.25">
      <c r="A5070" s="952"/>
      <c r="B5070" s="953"/>
      <c r="C5070" s="953"/>
      <c r="D5070" s="953"/>
      <c r="E5070" s="953"/>
      <c r="F5070" s="953"/>
      <c r="G5070" s="953"/>
      <c r="H5070" s="953"/>
    </row>
    <row r="5071" spans="1:8" x14ac:dyDescent="0.25">
      <c r="A5071" s="952"/>
      <c r="B5071" s="953"/>
      <c r="C5071" s="953"/>
      <c r="D5071" s="953"/>
      <c r="E5071" s="953"/>
      <c r="F5071" s="953"/>
      <c r="G5071" s="953"/>
      <c r="H5071" s="953"/>
    </row>
    <row r="5072" spans="1:8" x14ac:dyDescent="0.25">
      <c r="A5072" s="952"/>
      <c r="B5072" s="953"/>
      <c r="C5072" s="953"/>
      <c r="D5072" s="953"/>
      <c r="E5072" s="953"/>
      <c r="F5072" s="953"/>
      <c r="G5072" s="953"/>
      <c r="H5072" s="953"/>
    </row>
    <row r="5073" spans="1:8" x14ac:dyDescent="0.25">
      <c r="A5073" s="952"/>
      <c r="B5073" s="953"/>
      <c r="C5073" s="953"/>
      <c r="D5073" s="953"/>
      <c r="E5073" s="953"/>
      <c r="F5073" s="953"/>
      <c r="G5073" s="953"/>
      <c r="H5073" s="953"/>
    </row>
    <row r="5074" spans="1:8" x14ac:dyDescent="0.25">
      <c r="A5074" s="952"/>
      <c r="B5074" s="953"/>
      <c r="C5074" s="953"/>
      <c r="D5074" s="953"/>
      <c r="E5074" s="953"/>
      <c r="F5074" s="953"/>
      <c r="G5074" s="953"/>
      <c r="H5074" s="953"/>
    </row>
    <row r="5075" spans="1:8" x14ac:dyDescent="0.25">
      <c r="A5075" s="952"/>
      <c r="B5075" s="953"/>
      <c r="C5075" s="953"/>
      <c r="D5075" s="953"/>
      <c r="E5075" s="953"/>
      <c r="F5075" s="953"/>
      <c r="G5075" s="953"/>
      <c r="H5075" s="953"/>
    </row>
    <row r="5076" spans="1:8" x14ac:dyDescent="0.25">
      <c r="A5076" s="952"/>
      <c r="B5076" s="953"/>
      <c r="C5076" s="953"/>
      <c r="D5076" s="953"/>
      <c r="E5076" s="953"/>
      <c r="F5076" s="953"/>
      <c r="G5076" s="953"/>
      <c r="H5076" s="953"/>
    </row>
    <row r="5077" spans="1:8" x14ac:dyDescent="0.25">
      <c r="A5077" s="952"/>
      <c r="B5077" s="953"/>
      <c r="C5077" s="953"/>
      <c r="D5077" s="953"/>
      <c r="E5077" s="953"/>
      <c r="F5077" s="953"/>
      <c r="G5077" s="953"/>
      <c r="H5077" s="953"/>
    </row>
    <row r="5078" spans="1:8" x14ac:dyDescent="0.25">
      <c r="A5078" s="952"/>
      <c r="B5078" s="953"/>
      <c r="C5078" s="953"/>
      <c r="D5078" s="953"/>
      <c r="E5078" s="953"/>
      <c r="F5078" s="953"/>
      <c r="G5078" s="953"/>
      <c r="H5078" s="953"/>
    </row>
    <row r="5079" spans="1:8" x14ac:dyDescent="0.25">
      <c r="A5079" s="952"/>
      <c r="B5079" s="953"/>
      <c r="C5079" s="953"/>
      <c r="D5079" s="953"/>
      <c r="E5079" s="953"/>
      <c r="F5079" s="953"/>
      <c r="G5079" s="953"/>
      <c r="H5079" s="953"/>
    </row>
    <row r="5080" spans="1:8" x14ac:dyDescent="0.25">
      <c r="A5080" s="952"/>
      <c r="B5080" s="953"/>
      <c r="C5080" s="953"/>
      <c r="D5080" s="953"/>
      <c r="E5080" s="953"/>
      <c r="F5080" s="953"/>
      <c r="G5080" s="953"/>
      <c r="H5080" s="953"/>
    </row>
    <row r="5081" spans="1:8" x14ac:dyDescent="0.25">
      <c r="A5081" s="952"/>
      <c r="B5081" s="953"/>
      <c r="C5081" s="953"/>
      <c r="D5081" s="953"/>
      <c r="E5081" s="953"/>
      <c r="F5081" s="953"/>
      <c r="G5081" s="953"/>
      <c r="H5081" s="953"/>
    </row>
    <row r="5082" spans="1:8" x14ac:dyDescent="0.25">
      <c r="A5082" s="952"/>
      <c r="B5082" s="953"/>
      <c r="C5082" s="953"/>
      <c r="D5082" s="953"/>
      <c r="E5082" s="953"/>
      <c r="F5082" s="953"/>
      <c r="G5082" s="953"/>
      <c r="H5082" s="953"/>
    </row>
    <row r="5083" spans="1:8" x14ac:dyDescent="0.25">
      <c r="A5083" s="952"/>
      <c r="B5083" s="953"/>
      <c r="C5083" s="953"/>
      <c r="D5083" s="953"/>
      <c r="E5083" s="953"/>
      <c r="F5083" s="953"/>
      <c r="G5083" s="953"/>
      <c r="H5083" s="953"/>
    </row>
    <row r="5084" spans="1:8" x14ac:dyDescent="0.25">
      <c r="A5084" s="952"/>
      <c r="B5084" s="953"/>
      <c r="C5084" s="953"/>
      <c r="D5084" s="953"/>
      <c r="E5084" s="953"/>
      <c r="F5084" s="953"/>
      <c r="G5084" s="953"/>
      <c r="H5084" s="953"/>
    </row>
    <row r="5085" spans="1:8" x14ac:dyDescent="0.25">
      <c r="A5085" s="952"/>
      <c r="B5085" s="953"/>
      <c r="C5085" s="953"/>
      <c r="D5085" s="953"/>
      <c r="E5085" s="953"/>
      <c r="F5085" s="953"/>
      <c r="G5085" s="953"/>
      <c r="H5085" s="953"/>
    </row>
    <row r="5086" spans="1:8" x14ac:dyDescent="0.25">
      <c r="A5086" s="952"/>
      <c r="B5086" s="953"/>
      <c r="C5086" s="953"/>
      <c r="D5086" s="953"/>
      <c r="E5086" s="953"/>
      <c r="F5086" s="953"/>
      <c r="G5086" s="953"/>
      <c r="H5086" s="953"/>
    </row>
    <row r="5087" spans="1:8" x14ac:dyDescent="0.25">
      <c r="A5087" s="952"/>
      <c r="B5087" s="953"/>
      <c r="C5087" s="953"/>
      <c r="D5087" s="953"/>
      <c r="E5087" s="953"/>
      <c r="F5087" s="953"/>
      <c r="G5087" s="953"/>
      <c r="H5087" s="953"/>
    </row>
    <row r="5088" spans="1:8" x14ac:dyDescent="0.25">
      <c r="A5088" s="952"/>
      <c r="B5088" s="953"/>
      <c r="C5088" s="953"/>
      <c r="D5088" s="953"/>
      <c r="E5088" s="953"/>
      <c r="F5088" s="953"/>
      <c r="G5088" s="953"/>
      <c r="H5088" s="953"/>
    </row>
    <row r="5089" spans="1:8" x14ac:dyDescent="0.25">
      <c r="A5089" s="952"/>
      <c r="B5089" s="953"/>
      <c r="C5089" s="953"/>
      <c r="D5089" s="953"/>
      <c r="E5089" s="953"/>
      <c r="F5089" s="953"/>
      <c r="G5089" s="953"/>
      <c r="H5089" s="953"/>
    </row>
    <row r="5090" spans="1:8" x14ac:dyDescent="0.25">
      <c r="A5090" s="952"/>
      <c r="B5090" s="953"/>
      <c r="C5090" s="953"/>
      <c r="D5090" s="953"/>
      <c r="E5090" s="953"/>
      <c r="F5090" s="953"/>
      <c r="G5090" s="953"/>
      <c r="H5090" s="953"/>
    </row>
    <row r="5091" spans="1:8" x14ac:dyDescent="0.25">
      <c r="A5091" s="952"/>
      <c r="B5091" s="953"/>
      <c r="C5091" s="953"/>
      <c r="D5091" s="953"/>
      <c r="E5091" s="953"/>
      <c r="F5091" s="953"/>
      <c r="G5091" s="953"/>
      <c r="H5091" s="953"/>
    </row>
    <row r="5092" spans="1:8" x14ac:dyDescent="0.25">
      <c r="A5092" s="952"/>
      <c r="B5092" s="953"/>
      <c r="C5092" s="953"/>
      <c r="D5092" s="953"/>
      <c r="E5092" s="953"/>
      <c r="F5092" s="953"/>
      <c r="G5092" s="953"/>
      <c r="H5092" s="953"/>
    </row>
    <row r="5093" spans="1:8" x14ac:dyDescent="0.25">
      <c r="A5093" s="952"/>
      <c r="B5093" s="953"/>
      <c r="C5093" s="953"/>
      <c r="D5093" s="953"/>
      <c r="E5093" s="953"/>
      <c r="F5093" s="953"/>
      <c r="G5093" s="953"/>
      <c r="H5093" s="953"/>
    </row>
    <row r="5094" spans="1:8" x14ac:dyDescent="0.25">
      <c r="A5094" s="952"/>
      <c r="B5094" s="953"/>
      <c r="C5094" s="953"/>
      <c r="D5094" s="953"/>
      <c r="E5094" s="953"/>
      <c r="F5094" s="953"/>
      <c r="G5094" s="953"/>
      <c r="H5094" s="953"/>
    </row>
    <row r="5095" spans="1:8" x14ac:dyDescent="0.25">
      <c r="A5095" s="952"/>
      <c r="B5095" s="953"/>
      <c r="C5095" s="953"/>
      <c r="D5095" s="953"/>
      <c r="E5095" s="953"/>
      <c r="F5095" s="953"/>
      <c r="G5095" s="953"/>
      <c r="H5095" s="953"/>
    </row>
    <row r="5096" spans="1:8" x14ac:dyDescent="0.25">
      <c r="A5096" s="952"/>
      <c r="B5096" s="953"/>
      <c r="C5096" s="953"/>
      <c r="D5096" s="953"/>
      <c r="E5096" s="953"/>
      <c r="F5096" s="953"/>
      <c r="G5096" s="953"/>
      <c r="H5096" s="953"/>
    </row>
    <row r="5097" spans="1:8" x14ac:dyDescent="0.25">
      <c r="A5097" s="952"/>
      <c r="B5097" s="953"/>
      <c r="C5097" s="953"/>
      <c r="D5097" s="953"/>
      <c r="E5097" s="953"/>
      <c r="F5097" s="953"/>
      <c r="G5097" s="953"/>
      <c r="H5097" s="953"/>
    </row>
    <row r="5098" spans="1:8" x14ac:dyDescent="0.25">
      <c r="A5098" s="952"/>
      <c r="B5098" s="953"/>
      <c r="C5098" s="953"/>
      <c r="D5098" s="953"/>
      <c r="E5098" s="953"/>
      <c r="F5098" s="953"/>
      <c r="G5098" s="953"/>
      <c r="H5098" s="953"/>
    </row>
    <row r="5099" spans="1:8" x14ac:dyDescent="0.25">
      <c r="A5099" s="952"/>
      <c r="B5099" s="953"/>
      <c r="C5099" s="953"/>
      <c r="D5099" s="953"/>
      <c r="E5099" s="953"/>
      <c r="F5099" s="953"/>
      <c r="G5099" s="953"/>
      <c r="H5099" s="953"/>
    </row>
    <row r="5100" spans="1:8" x14ac:dyDescent="0.25">
      <c r="A5100" s="952"/>
      <c r="B5100" s="953"/>
      <c r="C5100" s="953"/>
      <c r="D5100" s="953"/>
      <c r="E5100" s="953"/>
      <c r="F5100" s="953"/>
      <c r="G5100" s="953"/>
      <c r="H5100" s="953"/>
    </row>
    <row r="5101" spans="1:8" x14ac:dyDescent="0.25">
      <c r="A5101" s="952"/>
      <c r="B5101" s="953"/>
      <c r="C5101" s="953"/>
      <c r="D5101" s="953"/>
      <c r="E5101" s="953"/>
      <c r="F5101" s="953"/>
      <c r="G5101" s="953"/>
      <c r="H5101" s="953"/>
    </row>
    <row r="5102" spans="1:8" x14ac:dyDescent="0.25">
      <c r="A5102" s="952"/>
      <c r="B5102" s="953"/>
      <c r="C5102" s="953"/>
      <c r="D5102" s="953"/>
      <c r="E5102" s="953"/>
      <c r="F5102" s="953"/>
      <c r="G5102" s="953"/>
      <c r="H5102" s="953"/>
    </row>
    <row r="5103" spans="1:8" x14ac:dyDescent="0.25">
      <c r="A5103" s="952"/>
      <c r="B5103" s="953"/>
      <c r="C5103" s="953"/>
      <c r="D5103" s="953"/>
      <c r="E5103" s="953"/>
      <c r="F5103" s="953"/>
      <c r="G5103" s="953"/>
      <c r="H5103" s="953"/>
    </row>
    <row r="5104" spans="1:8" x14ac:dyDescent="0.25">
      <c r="A5104" s="952"/>
      <c r="B5104" s="953"/>
      <c r="C5104" s="953"/>
      <c r="D5104" s="953"/>
      <c r="E5104" s="953"/>
      <c r="F5104" s="953"/>
      <c r="G5104" s="953"/>
      <c r="H5104" s="953"/>
    </row>
    <row r="5105" spans="1:8" x14ac:dyDescent="0.25">
      <c r="A5105" s="952"/>
      <c r="B5105" s="953"/>
      <c r="C5105" s="953"/>
      <c r="D5105" s="953"/>
      <c r="E5105" s="953"/>
      <c r="F5105" s="953"/>
      <c r="G5105" s="953"/>
      <c r="H5105" s="953"/>
    </row>
    <row r="5106" spans="1:8" x14ac:dyDescent="0.25">
      <c r="A5106" s="952"/>
      <c r="B5106" s="953"/>
      <c r="C5106" s="953"/>
      <c r="D5106" s="953"/>
      <c r="E5106" s="953"/>
      <c r="F5106" s="953"/>
      <c r="G5106" s="953"/>
      <c r="H5106" s="953"/>
    </row>
    <row r="5107" spans="1:8" x14ac:dyDescent="0.25">
      <c r="A5107" s="952"/>
      <c r="B5107" s="953"/>
      <c r="C5107" s="953"/>
      <c r="D5107" s="953"/>
      <c r="E5107" s="953"/>
      <c r="F5107" s="953"/>
      <c r="G5107" s="953"/>
      <c r="H5107" s="953"/>
    </row>
    <row r="5108" spans="1:8" x14ac:dyDescent="0.25">
      <c r="A5108" s="952"/>
      <c r="B5108" s="953"/>
      <c r="C5108" s="953"/>
      <c r="D5108" s="953"/>
      <c r="E5108" s="953"/>
      <c r="F5108" s="953"/>
      <c r="G5108" s="953"/>
      <c r="H5108" s="953"/>
    </row>
    <row r="5109" spans="1:8" x14ac:dyDescent="0.25">
      <c r="A5109" s="952"/>
      <c r="B5109" s="953"/>
      <c r="C5109" s="953"/>
      <c r="D5109" s="953"/>
      <c r="E5109" s="953"/>
      <c r="F5109" s="953"/>
      <c r="G5109" s="953"/>
      <c r="H5109" s="953"/>
    </row>
    <row r="5110" spans="1:8" x14ac:dyDescent="0.25">
      <c r="A5110" s="952"/>
      <c r="B5110" s="953"/>
      <c r="C5110" s="953"/>
      <c r="D5110" s="953"/>
      <c r="E5110" s="953"/>
      <c r="F5110" s="953"/>
      <c r="G5110" s="953"/>
      <c r="H5110" s="953"/>
    </row>
    <row r="5111" spans="1:8" x14ac:dyDescent="0.25">
      <c r="A5111" s="952"/>
      <c r="B5111" s="953"/>
      <c r="C5111" s="953"/>
      <c r="D5111" s="953"/>
      <c r="E5111" s="953"/>
      <c r="F5111" s="953"/>
      <c r="G5111" s="953"/>
      <c r="H5111" s="953"/>
    </row>
    <row r="5112" spans="1:8" x14ac:dyDescent="0.25">
      <c r="A5112" s="952"/>
      <c r="B5112" s="953"/>
      <c r="C5112" s="953"/>
      <c r="D5112" s="953"/>
      <c r="E5112" s="953"/>
      <c r="F5112" s="953"/>
      <c r="G5112" s="953"/>
      <c r="H5112" s="953"/>
    </row>
    <row r="5113" spans="1:8" x14ac:dyDescent="0.25">
      <c r="A5113" s="952"/>
      <c r="B5113" s="953"/>
      <c r="C5113" s="953"/>
      <c r="D5113" s="953"/>
      <c r="E5113" s="953"/>
      <c r="F5113" s="953"/>
      <c r="G5113" s="953"/>
      <c r="H5113" s="953"/>
    </row>
    <row r="5114" spans="1:8" x14ac:dyDescent="0.25">
      <c r="A5114" s="952"/>
      <c r="B5114" s="953"/>
      <c r="C5114" s="953"/>
      <c r="D5114" s="953"/>
      <c r="E5114" s="953"/>
      <c r="F5114" s="953"/>
      <c r="G5114" s="953"/>
      <c r="H5114" s="953"/>
    </row>
    <row r="5115" spans="1:8" x14ac:dyDescent="0.25">
      <c r="A5115" s="952"/>
      <c r="B5115" s="953"/>
      <c r="C5115" s="953"/>
      <c r="D5115" s="953"/>
      <c r="E5115" s="953"/>
      <c r="F5115" s="953"/>
      <c r="G5115" s="953"/>
      <c r="H5115" s="953"/>
    </row>
    <row r="5116" spans="1:8" x14ac:dyDescent="0.25">
      <c r="A5116" s="952"/>
      <c r="B5116" s="953"/>
      <c r="C5116" s="953"/>
      <c r="D5116" s="953"/>
      <c r="E5116" s="953"/>
      <c r="F5116" s="953"/>
      <c r="G5116" s="953"/>
      <c r="H5116" s="953"/>
    </row>
    <row r="5117" spans="1:8" x14ac:dyDescent="0.25">
      <c r="A5117" s="952"/>
      <c r="B5117" s="953"/>
      <c r="C5117" s="953"/>
      <c r="D5117" s="953"/>
      <c r="E5117" s="953"/>
      <c r="F5117" s="953"/>
      <c r="G5117" s="953"/>
      <c r="H5117" s="953"/>
    </row>
    <row r="5118" spans="1:8" x14ac:dyDescent="0.25">
      <c r="A5118" s="952"/>
      <c r="B5118" s="953"/>
      <c r="C5118" s="953"/>
      <c r="D5118" s="953"/>
      <c r="E5118" s="953"/>
      <c r="F5118" s="953"/>
      <c r="G5118" s="953"/>
      <c r="H5118" s="953"/>
    </row>
    <row r="5119" spans="1:8" x14ac:dyDescent="0.25">
      <c r="A5119" s="952"/>
      <c r="B5119" s="953"/>
      <c r="C5119" s="953"/>
      <c r="D5119" s="953"/>
      <c r="E5119" s="953"/>
      <c r="F5119" s="953"/>
      <c r="G5119" s="953"/>
      <c r="H5119" s="953"/>
    </row>
    <row r="5120" spans="1:8" x14ac:dyDescent="0.25">
      <c r="A5120" s="952"/>
      <c r="B5120" s="953"/>
      <c r="C5120" s="953"/>
      <c r="D5120" s="953"/>
      <c r="E5120" s="953"/>
      <c r="F5120" s="953"/>
      <c r="G5120" s="953"/>
      <c r="H5120" s="953"/>
    </row>
    <row r="5121" spans="1:8" x14ac:dyDescent="0.25">
      <c r="A5121" s="952"/>
      <c r="B5121" s="953"/>
      <c r="C5121" s="953"/>
      <c r="D5121" s="953"/>
      <c r="E5121" s="953"/>
      <c r="F5121" s="953"/>
      <c r="G5121" s="953"/>
      <c r="H5121" s="953"/>
    </row>
    <row r="5122" spans="1:8" x14ac:dyDescent="0.25">
      <c r="A5122" s="952"/>
      <c r="B5122" s="953"/>
      <c r="C5122" s="953"/>
      <c r="D5122" s="953"/>
      <c r="E5122" s="953"/>
      <c r="F5122" s="953"/>
      <c r="G5122" s="953"/>
      <c r="H5122" s="953"/>
    </row>
    <row r="5123" spans="1:8" x14ac:dyDescent="0.25">
      <c r="A5123" s="952"/>
      <c r="B5123" s="953"/>
      <c r="C5123" s="953"/>
      <c r="D5123" s="953"/>
      <c r="E5123" s="953"/>
      <c r="F5123" s="953"/>
      <c r="G5123" s="953"/>
      <c r="H5123" s="953"/>
    </row>
    <row r="5124" spans="1:8" x14ac:dyDescent="0.25">
      <c r="A5124" s="952"/>
      <c r="B5124" s="953"/>
      <c r="C5124" s="953"/>
      <c r="D5124" s="953"/>
      <c r="E5124" s="953"/>
      <c r="F5124" s="953"/>
      <c r="G5124" s="953"/>
      <c r="H5124" s="953"/>
    </row>
    <row r="5125" spans="1:8" x14ac:dyDescent="0.25">
      <c r="A5125" s="952"/>
      <c r="B5125" s="953"/>
      <c r="C5125" s="953"/>
      <c r="D5125" s="953"/>
      <c r="E5125" s="953"/>
      <c r="F5125" s="953"/>
      <c r="G5125" s="953"/>
      <c r="H5125" s="953"/>
    </row>
    <row r="5126" spans="1:8" x14ac:dyDescent="0.25">
      <c r="A5126" s="952"/>
      <c r="B5126" s="953"/>
      <c r="C5126" s="953"/>
      <c r="D5126" s="953"/>
      <c r="E5126" s="953"/>
      <c r="F5126" s="953"/>
      <c r="G5126" s="953"/>
      <c r="H5126" s="953"/>
    </row>
    <row r="5127" spans="1:8" x14ac:dyDescent="0.25">
      <c r="A5127" s="952"/>
      <c r="B5127" s="953"/>
      <c r="C5127" s="953"/>
      <c r="D5127" s="953"/>
      <c r="E5127" s="953"/>
      <c r="F5127" s="953"/>
      <c r="G5127" s="953"/>
      <c r="H5127" s="953"/>
    </row>
    <row r="5128" spans="1:8" x14ac:dyDescent="0.25">
      <c r="A5128" s="952"/>
      <c r="B5128" s="953"/>
      <c r="C5128" s="953"/>
      <c r="D5128" s="953"/>
      <c r="E5128" s="953"/>
      <c r="F5128" s="953"/>
      <c r="G5128" s="953"/>
      <c r="H5128" s="953"/>
    </row>
    <row r="5129" spans="1:8" x14ac:dyDescent="0.25">
      <c r="A5129" s="952"/>
      <c r="B5129" s="953"/>
      <c r="C5129" s="953"/>
      <c r="D5129" s="953"/>
      <c r="E5129" s="953"/>
      <c r="F5129" s="953"/>
      <c r="G5129" s="953"/>
      <c r="H5129" s="953"/>
    </row>
    <row r="5130" spans="1:8" x14ac:dyDescent="0.25">
      <c r="A5130" s="952"/>
      <c r="B5130" s="953"/>
      <c r="C5130" s="953"/>
      <c r="D5130" s="953"/>
      <c r="E5130" s="953"/>
      <c r="F5130" s="953"/>
      <c r="G5130" s="953"/>
      <c r="H5130" s="953"/>
    </row>
    <row r="5131" spans="1:8" x14ac:dyDescent="0.25">
      <c r="A5131" s="952"/>
      <c r="B5131" s="953"/>
      <c r="C5131" s="953"/>
      <c r="D5131" s="953"/>
      <c r="E5131" s="953"/>
      <c r="F5131" s="953"/>
      <c r="G5131" s="953"/>
      <c r="H5131" s="953"/>
    </row>
    <row r="5132" spans="1:8" x14ac:dyDescent="0.25">
      <c r="A5132" s="952"/>
      <c r="B5132" s="953"/>
      <c r="C5132" s="953"/>
      <c r="D5132" s="953"/>
      <c r="E5132" s="953"/>
      <c r="F5132" s="953"/>
      <c r="G5132" s="953"/>
      <c r="H5132" s="953"/>
    </row>
    <row r="5133" spans="1:8" x14ac:dyDescent="0.25">
      <c r="A5133" s="952"/>
      <c r="B5133" s="953"/>
      <c r="C5133" s="953"/>
      <c r="D5133" s="953"/>
      <c r="E5133" s="953"/>
      <c r="F5133" s="953"/>
      <c r="G5133" s="953"/>
      <c r="H5133" s="953"/>
    </row>
    <row r="5134" spans="1:8" x14ac:dyDescent="0.25">
      <c r="A5134" s="952"/>
      <c r="B5134" s="953"/>
      <c r="C5134" s="953"/>
      <c r="D5134" s="953"/>
      <c r="E5134" s="953"/>
      <c r="F5134" s="953"/>
      <c r="G5134" s="953"/>
      <c r="H5134" s="953"/>
    </row>
    <row r="5135" spans="1:8" x14ac:dyDescent="0.25">
      <c r="A5135" s="952"/>
      <c r="B5135" s="953"/>
      <c r="C5135" s="953"/>
      <c r="D5135" s="953"/>
      <c r="E5135" s="953"/>
      <c r="F5135" s="953"/>
      <c r="G5135" s="953"/>
      <c r="H5135" s="953"/>
    </row>
    <row r="5136" spans="1:8" x14ac:dyDescent="0.25">
      <c r="A5136" s="952"/>
      <c r="B5136" s="953"/>
      <c r="C5136" s="953"/>
      <c r="D5136" s="953"/>
      <c r="E5136" s="953"/>
      <c r="F5136" s="953"/>
      <c r="G5136" s="953"/>
      <c r="H5136" s="953"/>
    </row>
    <row r="5137" spans="1:8" x14ac:dyDescent="0.25">
      <c r="A5137" s="952"/>
      <c r="B5137" s="953"/>
      <c r="C5137" s="953"/>
      <c r="D5137" s="953"/>
      <c r="E5137" s="953"/>
      <c r="F5137" s="953"/>
      <c r="G5137" s="953"/>
      <c r="H5137" s="953"/>
    </row>
    <row r="5138" spans="1:8" x14ac:dyDescent="0.25">
      <c r="A5138" s="952"/>
      <c r="B5138" s="953"/>
      <c r="C5138" s="953"/>
      <c r="D5138" s="953"/>
      <c r="E5138" s="953"/>
      <c r="F5138" s="953"/>
      <c r="G5138" s="953"/>
      <c r="H5138" s="953"/>
    </row>
    <row r="5139" spans="1:8" x14ac:dyDescent="0.25">
      <c r="A5139" s="952"/>
      <c r="B5139" s="953"/>
      <c r="C5139" s="953"/>
      <c r="D5139" s="953"/>
      <c r="E5139" s="953"/>
      <c r="F5139" s="953"/>
      <c r="G5139" s="953"/>
      <c r="H5139" s="953"/>
    </row>
    <row r="5140" spans="1:8" x14ac:dyDescent="0.25">
      <c r="A5140" s="952"/>
      <c r="B5140" s="953"/>
      <c r="C5140" s="953"/>
      <c r="D5140" s="953"/>
      <c r="E5140" s="953"/>
      <c r="F5140" s="953"/>
      <c r="G5140" s="953"/>
      <c r="H5140" s="953"/>
    </row>
    <row r="5141" spans="1:8" x14ac:dyDescent="0.25">
      <c r="A5141" s="952"/>
      <c r="B5141" s="953"/>
      <c r="C5141" s="953"/>
      <c r="D5141" s="953"/>
      <c r="E5141" s="953"/>
      <c r="F5141" s="953"/>
      <c r="G5141" s="953"/>
      <c r="H5141" s="953"/>
    </row>
    <row r="5142" spans="1:8" x14ac:dyDescent="0.25">
      <c r="A5142" s="952"/>
      <c r="B5142" s="953"/>
      <c r="C5142" s="953"/>
      <c r="D5142" s="953"/>
      <c r="E5142" s="953"/>
      <c r="F5142" s="953"/>
      <c r="G5142" s="953"/>
      <c r="H5142" s="953"/>
    </row>
    <row r="5143" spans="1:8" x14ac:dyDescent="0.25">
      <c r="A5143" s="952"/>
      <c r="B5143" s="953"/>
      <c r="C5143" s="953"/>
      <c r="D5143" s="953"/>
      <c r="E5143" s="953"/>
      <c r="F5143" s="953"/>
      <c r="G5143" s="953"/>
      <c r="H5143" s="953"/>
    </row>
    <row r="5144" spans="1:8" x14ac:dyDescent="0.25">
      <c r="A5144" s="952"/>
      <c r="B5144" s="953"/>
      <c r="C5144" s="953"/>
      <c r="D5144" s="953"/>
      <c r="E5144" s="953"/>
      <c r="F5144" s="953"/>
      <c r="G5144" s="953"/>
      <c r="H5144" s="953"/>
    </row>
    <row r="5145" spans="1:8" x14ac:dyDescent="0.25">
      <c r="A5145" s="952"/>
      <c r="B5145" s="953"/>
      <c r="C5145" s="953"/>
      <c r="D5145" s="953"/>
      <c r="E5145" s="953"/>
      <c r="F5145" s="953"/>
      <c r="G5145" s="953"/>
      <c r="H5145" s="953"/>
    </row>
    <row r="5146" spans="1:8" x14ac:dyDescent="0.25">
      <c r="A5146" s="952"/>
      <c r="B5146" s="953"/>
      <c r="C5146" s="953"/>
      <c r="D5146" s="953"/>
      <c r="E5146" s="953"/>
      <c r="F5146" s="953"/>
      <c r="G5146" s="953"/>
      <c r="H5146" s="953"/>
    </row>
    <row r="5147" spans="1:8" x14ac:dyDescent="0.25">
      <c r="A5147" s="952"/>
      <c r="B5147" s="953"/>
      <c r="C5147" s="953"/>
      <c r="D5147" s="953"/>
      <c r="E5147" s="953"/>
      <c r="F5147" s="953"/>
      <c r="G5147" s="953"/>
      <c r="H5147" s="953"/>
    </row>
    <row r="5148" spans="1:8" x14ac:dyDescent="0.25">
      <c r="A5148" s="952"/>
      <c r="B5148" s="953"/>
      <c r="C5148" s="953"/>
      <c r="D5148" s="953"/>
      <c r="E5148" s="953"/>
      <c r="F5148" s="953"/>
      <c r="G5148" s="953"/>
      <c r="H5148" s="953"/>
    </row>
    <row r="5149" spans="1:8" x14ac:dyDescent="0.25">
      <c r="A5149" s="952"/>
      <c r="B5149" s="953"/>
      <c r="C5149" s="953"/>
      <c r="D5149" s="953"/>
      <c r="E5149" s="953"/>
      <c r="F5149" s="953"/>
      <c r="G5149" s="953"/>
      <c r="H5149" s="953"/>
    </row>
    <row r="5150" spans="1:8" x14ac:dyDescent="0.25">
      <c r="A5150" s="952"/>
      <c r="B5150" s="953"/>
      <c r="C5150" s="953"/>
      <c r="D5150" s="953"/>
      <c r="E5150" s="953"/>
      <c r="F5150" s="953"/>
      <c r="G5150" s="953"/>
      <c r="H5150" s="953"/>
    </row>
    <row r="5151" spans="1:8" x14ac:dyDescent="0.25">
      <c r="A5151" s="952"/>
      <c r="B5151" s="953"/>
      <c r="C5151" s="953"/>
      <c r="D5151" s="953"/>
      <c r="E5151" s="953"/>
      <c r="F5151" s="953"/>
      <c r="G5151" s="953"/>
      <c r="H5151" s="953"/>
    </row>
    <row r="5152" spans="1:8" x14ac:dyDescent="0.25">
      <c r="A5152" s="952"/>
      <c r="B5152" s="953"/>
      <c r="C5152" s="953"/>
      <c r="D5152" s="953"/>
      <c r="E5152" s="953"/>
      <c r="F5152" s="953"/>
      <c r="G5152" s="953"/>
      <c r="H5152" s="953"/>
    </row>
    <row r="5153" spans="1:8" x14ac:dyDescent="0.25">
      <c r="A5153" s="952"/>
      <c r="B5153" s="953"/>
      <c r="C5153" s="953"/>
      <c r="D5153" s="953"/>
      <c r="E5153" s="953"/>
      <c r="F5153" s="953"/>
      <c r="G5153" s="953"/>
      <c r="H5153" s="953"/>
    </row>
    <row r="5154" spans="1:8" x14ac:dyDescent="0.25">
      <c r="A5154" s="952"/>
      <c r="B5154" s="953"/>
      <c r="C5154" s="953"/>
      <c r="D5154" s="953"/>
      <c r="E5154" s="953"/>
      <c r="F5154" s="953"/>
      <c r="G5154" s="953"/>
      <c r="H5154" s="953"/>
    </row>
    <row r="5155" spans="1:8" x14ac:dyDescent="0.25">
      <c r="A5155" s="952"/>
      <c r="B5155" s="953"/>
      <c r="C5155" s="953"/>
      <c r="D5155" s="953"/>
      <c r="E5155" s="953"/>
      <c r="F5155" s="953"/>
      <c r="G5155" s="953"/>
      <c r="H5155" s="953"/>
    </row>
    <row r="5156" spans="1:8" x14ac:dyDescent="0.25">
      <c r="A5156" s="952"/>
      <c r="B5156" s="953"/>
      <c r="C5156" s="953"/>
      <c r="D5156" s="953"/>
      <c r="E5156" s="953"/>
      <c r="F5156" s="953"/>
      <c r="G5156" s="953"/>
      <c r="H5156" s="953"/>
    </row>
    <row r="5157" spans="1:8" x14ac:dyDescent="0.25">
      <c r="A5157" s="952"/>
      <c r="B5157" s="953"/>
      <c r="C5157" s="953"/>
      <c r="D5157" s="953"/>
      <c r="E5157" s="953"/>
      <c r="F5157" s="953"/>
      <c r="G5157" s="953"/>
      <c r="H5157" s="953"/>
    </row>
    <row r="5158" spans="1:8" x14ac:dyDescent="0.25">
      <c r="A5158" s="952"/>
      <c r="B5158" s="953"/>
      <c r="C5158" s="953"/>
      <c r="D5158" s="953"/>
      <c r="E5158" s="953"/>
      <c r="F5158" s="953"/>
      <c r="G5158" s="953"/>
      <c r="H5158" s="953"/>
    </row>
    <row r="5159" spans="1:8" x14ac:dyDescent="0.25">
      <c r="A5159" s="952"/>
      <c r="B5159" s="953"/>
      <c r="C5159" s="953"/>
      <c r="D5159" s="953"/>
      <c r="E5159" s="953"/>
      <c r="F5159" s="953"/>
      <c r="G5159" s="953"/>
      <c r="H5159" s="953"/>
    </row>
    <row r="5160" spans="1:8" x14ac:dyDescent="0.25">
      <c r="A5160" s="952"/>
      <c r="B5160" s="953"/>
      <c r="C5160" s="953"/>
      <c r="D5160" s="953"/>
      <c r="E5160" s="953"/>
      <c r="F5160" s="953"/>
      <c r="G5160" s="953"/>
      <c r="H5160" s="953"/>
    </row>
    <row r="5161" spans="1:8" x14ac:dyDescent="0.25">
      <c r="A5161" s="952"/>
      <c r="B5161" s="953"/>
      <c r="C5161" s="953"/>
      <c r="D5161" s="953"/>
      <c r="E5161" s="953"/>
      <c r="F5161" s="953"/>
      <c r="G5161" s="953"/>
      <c r="H5161" s="953"/>
    </row>
    <row r="5162" spans="1:8" x14ac:dyDescent="0.25">
      <c r="A5162" s="952"/>
      <c r="B5162" s="953"/>
      <c r="C5162" s="953"/>
      <c r="D5162" s="953"/>
      <c r="E5162" s="953"/>
      <c r="F5162" s="953"/>
      <c r="G5162" s="953"/>
      <c r="H5162" s="953"/>
    </row>
    <row r="5163" spans="1:8" x14ac:dyDescent="0.25">
      <c r="A5163" s="952"/>
      <c r="B5163" s="953"/>
      <c r="C5163" s="953"/>
      <c r="D5163" s="953"/>
      <c r="E5163" s="953"/>
      <c r="F5163" s="953"/>
      <c r="G5163" s="953"/>
      <c r="H5163" s="953"/>
    </row>
    <row r="5164" spans="1:8" x14ac:dyDescent="0.25">
      <c r="A5164" s="952"/>
      <c r="B5164" s="953"/>
      <c r="C5164" s="953"/>
      <c r="D5164" s="953"/>
      <c r="E5164" s="953"/>
      <c r="F5164" s="953"/>
      <c r="G5164" s="953"/>
      <c r="H5164" s="953"/>
    </row>
    <row r="5165" spans="1:8" x14ac:dyDescent="0.25">
      <c r="A5165" s="952"/>
      <c r="B5165" s="953"/>
      <c r="C5165" s="953"/>
      <c r="D5165" s="953"/>
      <c r="E5165" s="953"/>
      <c r="F5165" s="953"/>
      <c r="G5165" s="953"/>
      <c r="H5165" s="953"/>
    </row>
    <row r="5166" spans="1:8" x14ac:dyDescent="0.25">
      <c r="A5166" s="952"/>
      <c r="B5166" s="953"/>
      <c r="C5166" s="953"/>
      <c r="D5166" s="953"/>
      <c r="E5166" s="953"/>
      <c r="F5166" s="953"/>
      <c r="G5166" s="953"/>
      <c r="H5166" s="953"/>
    </row>
    <row r="5167" spans="1:8" x14ac:dyDescent="0.25">
      <c r="A5167" s="952"/>
      <c r="B5167" s="953"/>
      <c r="C5167" s="953"/>
      <c r="D5167" s="953"/>
      <c r="E5167" s="953"/>
      <c r="F5167" s="953"/>
      <c r="G5167" s="953"/>
      <c r="H5167" s="953"/>
    </row>
    <row r="5168" spans="1:8" x14ac:dyDescent="0.25">
      <c r="A5168" s="952"/>
      <c r="B5168" s="953"/>
      <c r="C5168" s="953"/>
      <c r="D5168" s="953"/>
      <c r="E5168" s="953"/>
      <c r="F5168" s="953"/>
      <c r="G5168" s="953"/>
      <c r="H5168" s="953"/>
    </row>
    <row r="5169" spans="1:8" x14ac:dyDescent="0.25">
      <c r="A5169" s="952"/>
      <c r="B5169" s="953"/>
      <c r="C5169" s="953"/>
      <c r="D5169" s="953"/>
      <c r="E5169" s="953"/>
      <c r="F5169" s="953"/>
      <c r="G5169" s="953"/>
      <c r="H5169" s="953"/>
    </row>
    <row r="5170" spans="1:8" x14ac:dyDescent="0.25">
      <c r="A5170" s="952"/>
      <c r="B5170" s="953"/>
      <c r="C5170" s="953"/>
      <c r="D5170" s="953"/>
      <c r="E5170" s="953"/>
      <c r="F5170" s="953"/>
      <c r="G5170" s="953"/>
      <c r="H5170" s="953"/>
    </row>
    <row r="5171" spans="1:8" x14ac:dyDescent="0.25">
      <c r="A5171" s="952"/>
      <c r="B5171" s="953"/>
      <c r="C5171" s="953"/>
      <c r="D5171" s="953"/>
      <c r="E5171" s="953"/>
      <c r="F5171" s="953"/>
      <c r="G5171" s="953"/>
      <c r="H5171" s="953"/>
    </row>
    <row r="5172" spans="1:8" x14ac:dyDescent="0.25">
      <c r="A5172" s="952"/>
      <c r="B5172" s="953"/>
      <c r="C5172" s="953"/>
      <c r="D5172" s="953"/>
      <c r="E5172" s="953"/>
      <c r="F5172" s="953"/>
      <c r="G5172" s="953"/>
      <c r="H5172" s="953"/>
    </row>
    <row r="5173" spans="1:8" x14ac:dyDescent="0.25">
      <c r="A5173" s="952"/>
      <c r="B5173" s="953"/>
      <c r="C5173" s="953"/>
      <c r="D5173" s="953"/>
      <c r="E5173" s="953"/>
      <c r="F5173" s="953"/>
      <c r="G5173" s="953"/>
      <c r="H5173" s="953"/>
    </row>
    <row r="5174" spans="1:8" x14ac:dyDescent="0.25">
      <c r="A5174" s="952"/>
      <c r="B5174" s="953"/>
      <c r="C5174" s="953"/>
      <c r="D5174" s="953"/>
      <c r="E5174" s="953"/>
      <c r="F5174" s="953"/>
      <c r="G5174" s="953"/>
      <c r="H5174" s="953"/>
    </row>
    <row r="5175" spans="1:8" x14ac:dyDescent="0.25">
      <c r="A5175" s="952"/>
      <c r="B5175" s="953"/>
      <c r="C5175" s="953"/>
      <c r="D5175" s="953"/>
      <c r="E5175" s="953"/>
      <c r="F5175" s="953"/>
      <c r="G5175" s="953"/>
      <c r="H5175" s="953"/>
    </row>
    <row r="5176" spans="1:8" x14ac:dyDescent="0.25">
      <c r="A5176" s="952"/>
      <c r="B5176" s="953"/>
      <c r="C5176" s="953"/>
      <c r="D5176" s="953"/>
      <c r="E5176" s="953"/>
      <c r="F5176" s="953"/>
      <c r="G5176" s="953"/>
      <c r="H5176" s="953"/>
    </row>
    <row r="5177" spans="1:8" x14ac:dyDescent="0.25">
      <c r="A5177" s="952"/>
      <c r="B5177" s="953"/>
      <c r="C5177" s="953"/>
      <c r="D5177" s="953"/>
      <c r="E5177" s="953"/>
      <c r="F5177" s="953"/>
      <c r="G5177" s="953"/>
      <c r="H5177" s="953"/>
    </row>
    <row r="5178" spans="1:8" x14ac:dyDescent="0.25">
      <c r="A5178" s="952"/>
      <c r="B5178" s="953"/>
      <c r="C5178" s="953"/>
      <c r="D5178" s="953"/>
      <c r="E5178" s="953"/>
      <c r="F5178" s="953"/>
      <c r="G5178" s="953"/>
      <c r="H5178" s="953"/>
    </row>
    <row r="5179" spans="1:8" x14ac:dyDescent="0.25">
      <c r="A5179" s="952"/>
      <c r="B5179" s="953"/>
      <c r="C5179" s="953"/>
      <c r="D5179" s="953"/>
      <c r="E5179" s="953"/>
      <c r="F5179" s="953"/>
      <c r="G5179" s="953"/>
      <c r="H5179" s="953"/>
    </row>
    <row r="5180" spans="1:8" x14ac:dyDescent="0.25">
      <c r="A5180" s="952"/>
      <c r="B5180" s="953"/>
      <c r="C5180" s="953"/>
      <c r="D5180" s="953"/>
      <c r="E5180" s="953"/>
      <c r="F5180" s="953"/>
      <c r="G5180" s="953"/>
      <c r="H5180" s="953"/>
    </row>
    <row r="5181" spans="1:8" x14ac:dyDescent="0.25">
      <c r="A5181" s="952"/>
      <c r="B5181" s="953"/>
      <c r="C5181" s="953"/>
      <c r="D5181" s="953"/>
      <c r="E5181" s="953"/>
      <c r="F5181" s="953"/>
      <c r="G5181" s="953"/>
      <c r="H5181" s="953"/>
    </row>
    <row r="5182" spans="1:8" x14ac:dyDescent="0.25">
      <c r="A5182" s="952"/>
      <c r="B5182" s="953"/>
      <c r="C5182" s="953"/>
      <c r="D5182" s="953"/>
      <c r="E5182" s="953"/>
      <c r="F5182" s="953"/>
      <c r="G5182" s="953"/>
      <c r="H5182" s="953"/>
    </row>
    <row r="5183" spans="1:8" x14ac:dyDescent="0.25">
      <c r="A5183" s="952"/>
      <c r="B5183" s="953"/>
      <c r="C5183" s="953"/>
      <c r="D5183" s="953"/>
      <c r="E5183" s="953"/>
      <c r="F5183" s="953"/>
      <c r="G5183" s="953"/>
      <c r="H5183" s="953"/>
    </row>
    <row r="5184" spans="1:8" x14ac:dyDescent="0.25">
      <c r="A5184" s="952"/>
      <c r="B5184" s="953"/>
      <c r="C5184" s="953"/>
      <c r="D5184" s="953"/>
      <c r="E5184" s="953"/>
      <c r="F5184" s="953"/>
      <c r="G5184" s="953"/>
      <c r="H5184" s="953"/>
    </row>
    <row r="5185" spans="1:8" x14ac:dyDescent="0.25">
      <c r="A5185" s="952"/>
      <c r="B5185" s="953"/>
      <c r="C5185" s="953"/>
      <c r="D5185" s="953"/>
      <c r="E5185" s="953"/>
      <c r="F5185" s="953"/>
      <c r="G5185" s="953"/>
      <c r="H5185" s="953"/>
    </row>
    <row r="5186" spans="1:8" x14ac:dyDescent="0.25">
      <c r="A5186" s="952"/>
      <c r="B5186" s="953"/>
      <c r="C5186" s="953"/>
      <c r="D5186" s="953"/>
      <c r="E5186" s="953"/>
      <c r="F5186" s="953"/>
      <c r="G5186" s="953"/>
      <c r="H5186" s="953"/>
    </row>
    <row r="5187" spans="1:8" x14ac:dyDescent="0.25">
      <c r="A5187" s="952"/>
      <c r="B5187" s="953"/>
      <c r="C5187" s="953"/>
      <c r="D5187" s="953"/>
      <c r="E5187" s="953"/>
      <c r="F5187" s="953"/>
      <c r="G5187" s="953"/>
      <c r="H5187" s="953"/>
    </row>
    <row r="5188" spans="1:8" x14ac:dyDescent="0.25">
      <c r="A5188" s="952"/>
      <c r="B5188" s="953"/>
      <c r="C5188" s="953"/>
      <c r="D5188" s="953"/>
      <c r="E5188" s="953"/>
      <c r="F5188" s="953"/>
      <c r="G5188" s="953"/>
      <c r="H5188" s="953"/>
    </row>
    <row r="5189" spans="1:8" x14ac:dyDescent="0.25">
      <c r="A5189" s="952"/>
      <c r="B5189" s="953"/>
      <c r="C5189" s="953"/>
      <c r="D5189" s="953"/>
      <c r="E5189" s="953"/>
      <c r="F5189" s="953"/>
      <c r="G5189" s="953"/>
      <c r="H5189" s="953"/>
    </row>
    <row r="5190" spans="1:8" x14ac:dyDescent="0.25">
      <c r="A5190" s="952"/>
      <c r="B5190" s="953"/>
      <c r="C5190" s="953"/>
      <c r="D5190" s="953"/>
      <c r="E5190" s="953"/>
      <c r="F5190" s="953"/>
      <c r="G5190" s="953"/>
      <c r="H5190" s="953"/>
    </row>
    <row r="5191" spans="1:8" x14ac:dyDescent="0.25">
      <c r="A5191" s="952"/>
      <c r="B5191" s="953"/>
      <c r="C5191" s="953"/>
      <c r="D5191" s="953"/>
      <c r="E5191" s="953"/>
      <c r="F5191" s="953"/>
      <c r="G5191" s="953"/>
      <c r="H5191" s="953"/>
    </row>
    <row r="5192" spans="1:8" x14ac:dyDescent="0.25">
      <c r="A5192" s="952"/>
      <c r="B5192" s="953"/>
      <c r="C5192" s="953"/>
      <c r="D5192" s="953"/>
      <c r="E5192" s="953"/>
      <c r="F5192" s="953"/>
      <c r="G5192" s="953"/>
      <c r="H5192" s="953"/>
    </row>
    <row r="5193" spans="1:8" x14ac:dyDescent="0.25">
      <c r="A5193" s="952"/>
      <c r="B5193" s="953"/>
      <c r="C5193" s="953"/>
      <c r="D5193" s="953"/>
      <c r="E5193" s="953"/>
      <c r="F5193" s="953"/>
      <c r="G5193" s="953"/>
      <c r="H5193" s="953"/>
    </row>
    <row r="5194" spans="1:8" x14ac:dyDescent="0.25">
      <c r="A5194" s="952"/>
      <c r="B5194" s="953"/>
      <c r="C5194" s="953"/>
      <c r="D5194" s="953"/>
      <c r="E5194" s="953"/>
      <c r="F5194" s="953"/>
      <c r="G5194" s="953"/>
      <c r="H5194" s="953"/>
    </row>
    <row r="5195" spans="1:8" x14ac:dyDescent="0.25">
      <c r="A5195" s="952"/>
      <c r="B5195" s="953"/>
      <c r="C5195" s="953"/>
      <c r="D5195" s="953"/>
      <c r="E5195" s="953"/>
      <c r="F5195" s="953"/>
      <c r="G5195" s="953"/>
      <c r="H5195" s="953"/>
    </row>
    <row r="5196" spans="1:8" x14ac:dyDescent="0.25">
      <c r="A5196" s="952"/>
      <c r="B5196" s="953"/>
      <c r="C5196" s="953"/>
      <c r="D5196" s="953"/>
      <c r="E5196" s="953"/>
      <c r="F5196" s="953"/>
      <c r="G5196" s="953"/>
      <c r="H5196" s="953"/>
    </row>
    <row r="5197" spans="1:8" x14ac:dyDescent="0.25">
      <c r="A5197" s="952"/>
      <c r="B5197" s="953"/>
      <c r="C5197" s="953"/>
      <c r="D5197" s="953"/>
      <c r="E5197" s="953"/>
      <c r="F5197" s="953"/>
      <c r="G5197" s="953"/>
      <c r="H5197" s="953"/>
    </row>
    <row r="5198" spans="1:8" x14ac:dyDescent="0.25">
      <c r="A5198" s="952"/>
      <c r="B5198" s="953"/>
      <c r="C5198" s="953"/>
      <c r="D5198" s="953"/>
      <c r="E5198" s="953"/>
      <c r="F5198" s="953"/>
      <c r="G5198" s="953"/>
      <c r="H5198" s="953"/>
    </row>
    <row r="5199" spans="1:8" x14ac:dyDescent="0.25">
      <c r="A5199" s="952"/>
      <c r="B5199" s="953"/>
      <c r="C5199" s="953"/>
      <c r="D5199" s="953"/>
      <c r="E5199" s="953"/>
      <c r="F5199" s="953"/>
      <c r="G5199" s="953"/>
      <c r="H5199" s="953"/>
    </row>
    <row r="5200" spans="1:8" x14ac:dyDescent="0.25">
      <c r="A5200" s="952"/>
      <c r="B5200" s="953"/>
      <c r="C5200" s="953"/>
      <c r="D5200" s="953"/>
      <c r="E5200" s="953"/>
      <c r="F5200" s="953"/>
      <c r="G5200" s="953"/>
      <c r="H5200" s="953"/>
    </row>
    <row r="5201" spans="1:8" x14ac:dyDescent="0.25">
      <c r="A5201" s="952"/>
      <c r="B5201" s="953"/>
      <c r="C5201" s="953"/>
      <c r="D5201" s="953"/>
      <c r="E5201" s="953"/>
      <c r="F5201" s="953"/>
      <c r="G5201" s="953"/>
      <c r="H5201" s="953"/>
    </row>
    <row r="5202" spans="1:8" x14ac:dyDescent="0.25">
      <c r="A5202" s="952"/>
      <c r="B5202" s="953"/>
      <c r="C5202" s="953"/>
      <c r="D5202" s="953"/>
      <c r="E5202" s="953"/>
      <c r="F5202" s="953"/>
      <c r="G5202" s="953"/>
      <c r="H5202" s="953"/>
    </row>
    <row r="5203" spans="1:8" x14ac:dyDescent="0.25">
      <c r="A5203" s="952"/>
      <c r="B5203" s="953"/>
      <c r="C5203" s="953"/>
      <c r="D5203" s="953"/>
      <c r="E5203" s="953"/>
      <c r="F5203" s="953"/>
      <c r="G5203" s="953"/>
      <c r="H5203" s="953"/>
    </row>
    <row r="5204" spans="1:8" x14ac:dyDescent="0.25">
      <c r="A5204" s="952"/>
      <c r="B5204" s="953"/>
      <c r="C5204" s="953"/>
      <c r="D5204" s="953"/>
      <c r="E5204" s="953"/>
      <c r="F5204" s="953"/>
      <c r="G5204" s="953"/>
      <c r="H5204" s="953"/>
    </row>
    <row r="5205" spans="1:8" x14ac:dyDescent="0.25">
      <c r="A5205" s="952"/>
      <c r="B5205" s="953"/>
      <c r="C5205" s="953"/>
      <c r="D5205" s="953"/>
      <c r="E5205" s="953"/>
      <c r="F5205" s="953"/>
      <c r="G5205" s="953"/>
      <c r="H5205" s="953"/>
    </row>
    <row r="5206" spans="1:8" x14ac:dyDescent="0.25">
      <c r="A5206" s="952"/>
      <c r="B5206" s="953"/>
      <c r="C5206" s="953"/>
      <c r="D5206" s="953"/>
      <c r="E5206" s="953"/>
      <c r="F5206" s="953"/>
      <c r="G5206" s="953"/>
      <c r="H5206" s="953"/>
    </row>
    <row r="5207" spans="1:8" x14ac:dyDescent="0.25">
      <c r="A5207" s="952"/>
      <c r="B5207" s="953"/>
      <c r="C5207" s="953"/>
      <c r="D5207" s="953"/>
      <c r="E5207" s="953"/>
      <c r="F5207" s="953"/>
      <c r="G5207" s="953"/>
      <c r="H5207" s="953"/>
    </row>
    <row r="5208" spans="1:8" x14ac:dyDescent="0.25">
      <c r="A5208" s="952"/>
      <c r="B5208" s="953"/>
      <c r="C5208" s="953"/>
      <c r="D5208" s="953"/>
      <c r="E5208" s="953"/>
      <c r="F5208" s="953"/>
      <c r="G5208" s="953"/>
      <c r="H5208" s="953"/>
    </row>
    <row r="5209" spans="1:8" x14ac:dyDescent="0.25">
      <c r="A5209" s="952"/>
      <c r="B5209" s="953"/>
      <c r="C5209" s="953"/>
      <c r="D5209" s="953"/>
      <c r="E5209" s="953"/>
      <c r="F5209" s="953"/>
      <c r="G5209" s="953"/>
      <c r="H5209" s="953"/>
    </row>
    <row r="5210" spans="1:8" x14ac:dyDescent="0.25">
      <c r="A5210" s="952"/>
      <c r="B5210" s="953"/>
      <c r="C5210" s="953"/>
      <c r="D5210" s="953"/>
      <c r="E5210" s="953"/>
      <c r="F5210" s="953"/>
      <c r="G5210" s="953"/>
      <c r="H5210" s="953"/>
    </row>
    <row r="5211" spans="1:8" x14ac:dyDescent="0.25">
      <c r="A5211" s="952"/>
      <c r="B5211" s="953"/>
      <c r="C5211" s="953"/>
      <c r="D5211" s="953"/>
      <c r="E5211" s="953"/>
      <c r="F5211" s="953"/>
      <c r="G5211" s="953"/>
      <c r="H5211" s="953"/>
    </row>
    <row r="5212" spans="1:8" x14ac:dyDescent="0.25">
      <c r="A5212" s="952"/>
      <c r="B5212" s="953"/>
      <c r="C5212" s="953"/>
      <c r="D5212" s="953"/>
      <c r="E5212" s="953"/>
      <c r="F5212" s="953"/>
      <c r="G5212" s="953"/>
      <c r="H5212" s="953"/>
    </row>
    <row r="5213" spans="1:8" x14ac:dyDescent="0.25">
      <c r="A5213" s="952"/>
      <c r="B5213" s="953"/>
      <c r="C5213" s="953"/>
      <c r="D5213" s="953"/>
      <c r="E5213" s="953"/>
      <c r="F5213" s="953"/>
      <c r="G5213" s="953"/>
      <c r="H5213" s="953"/>
    </row>
    <row r="5214" spans="1:8" x14ac:dyDescent="0.25">
      <c r="A5214" s="952"/>
      <c r="B5214" s="953"/>
      <c r="C5214" s="953"/>
      <c r="D5214" s="953"/>
      <c r="E5214" s="953"/>
      <c r="F5214" s="953"/>
      <c r="G5214" s="953"/>
      <c r="H5214" s="953"/>
    </row>
    <row r="5215" spans="1:8" x14ac:dyDescent="0.25">
      <c r="A5215" s="952"/>
      <c r="B5215" s="953"/>
      <c r="C5215" s="953"/>
      <c r="D5215" s="953"/>
      <c r="E5215" s="953"/>
      <c r="F5215" s="953"/>
      <c r="G5215" s="953"/>
      <c r="H5215" s="953"/>
    </row>
    <row r="5216" spans="1:8" x14ac:dyDescent="0.25">
      <c r="A5216" s="952"/>
      <c r="B5216" s="953"/>
      <c r="C5216" s="953"/>
      <c r="D5216" s="953"/>
      <c r="E5216" s="953"/>
      <c r="F5216" s="953"/>
      <c r="G5216" s="953"/>
      <c r="H5216" s="953"/>
    </row>
    <row r="5217" spans="1:8" x14ac:dyDescent="0.25">
      <c r="A5217" s="952"/>
      <c r="B5217" s="953"/>
      <c r="C5217" s="953"/>
      <c r="D5217" s="953"/>
      <c r="E5217" s="953"/>
      <c r="F5217" s="953"/>
      <c r="G5217" s="953"/>
      <c r="H5217" s="953"/>
    </row>
    <row r="5218" spans="1:8" x14ac:dyDescent="0.25">
      <c r="A5218" s="952"/>
      <c r="B5218" s="953"/>
      <c r="C5218" s="953"/>
      <c r="D5218" s="953"/>
      <c r="E5218" s="953"/>
      <c r="F5218" s="953"/>
      <c r="G5218" s="953"/>
      <c r="H5218" s="953"/>
    </row>
    <row r="5219" spans="1:8" x14ac:dyDescent="0.25">
      <c r="A5219" s="952"/>
      <c r="B5219" s="953"/>
      <c r="C5219" s="953"/>
      <c r="D5219" s="953"/>
      <c r="E5219" s="953"/>
      <c r="F5219" s="953"/>
      <c r="G5219" s="953"/>
      <c r="H5219" s="953"/>
    </row>
    <row r="5220" spans="1:8" x14ac:dyDescent="0.25">
      <c r="A5220" s="952"/>
      <c r="B5220" s="953"/>
      <c r="C5220" s="953"/>
      <c r="D5220" s="953"/>
      <c r="E5220" s="953"/>
      <c r="F5220" s="953"/>
      <c r="G5220" s="953"/>
      <c r="H5220" s="953"/>
    </row>
    <row r="5221" spans="1:8" x14ac:dyDescent="0.25">
      <c r="A5221" s="952"/>
      <c r="B5221" s="953"/>
      <c r="C5221" s="953"/>
      <c r="D5221" s="953"/>
      <c r="E5221" s="953"/>
      <c r="F5221" s="953"/>
      <c r="G5221" s="953"/>
      <c r="H5221" s="953"/>
    </row>
    <row r="5222" spans="1:8" x14ac:dyDescent="0.25">
      <c r="A5222" s="952"/>
      <c r="B5222" s="953"/>
      <c r="C5222" s="953"/>
      <c r="D5222" s="953"/>
      <c r="E5222" s="953"/>
      <c r="F5222" s="953"/>
      <c r="G5222" s="953"/>
      <c r="H5222" s="953"/>
    </row>
    <row r="5223" spans="1:8" x14ac:dyDescent="0.25">
      <c r="A5223" s="952"/>
      <c r="B5223" s="953"/>
      <c r="C5223" s="953"/>
      <c r="D5223" s="953"/>
      <c r="E5223" s="953"/>
      <c r="F5223" s="953"/>
      <c r="G5223" s="953"/>
      <c r="H5223" s="953"/>
    </row>
    <row r="5224" spans="1:8" x14ac:dyDescent="0.25">
      <c r="A5224" s="952"/>
      <c r="B5224" s="953"/>
      <c r="C5224" s="953"/>
      <c r="D5224" s="953"/>
      <c r="E5224" s="953"/>
      <c r="F5224" s="953"/>
      <c r="G5224" s="953"/>
      <c r="H5224" s="953"/>
    </row>
    <row r="5225" spans="1:8" x14ac:dyDescent="0.25">
      <c r="A5225" s="952"/>
      <c r="B5225" s="953"/>
      <c r="C5225" s="953"/>
      <c r="D5225" s="953"/>
      <c r="E5225" s="953"/>
      <c r="F5225" s="953"/>
      <c r="G5225" s="953"/>
      <c r="H5225" s="953"/>
    </row>
    <row r="5226" spans="1:8" x14ac:dyDescent="0.25">
      <c r="A5226" s="952"/>
      <c r="B5226" s="953"/>
      <c r="C5226" s="953"/>
      <c r="D5226" s="953"/>
      <c r="E5226" s="953"/>
      <c r="F5226" s="953"/>
      <c r="G5226" s="953"/>
      <c r="H5226" s="953"/>
    </row>
    <row r="5227" spans="1:8" x14ac:dyDescent="0.25">
      <c r="A5227" s="952"/>
      <c r="B5227" s="953"/>
      <c r="C5227" s="953"/>
      <c r="D5227" s="953"/>
      <c r="E5227" s="953"/>
      <c r="F5227" s="953"/>
      <c r="G5227" s="953"/>
      <c r="H5227" s="953"/>
    </row>
    <row r="5228" spans="1:8" x14ac:dyDescent="0.25">
      <c r="A5228" s="952"/>
      <c r="B5228" s="953"/>
      <c r="C5228" s="953"/>
      <c r="D5228" s="953"/>
      <c r="E5228" s="953"/>
      <c r="F5228" s="953"/>
      <c r="G5228" s="953"/>
      <c r="H5228" s="953"/>
    </row>
    <row r="5229" spans="1:8" x14ac:dyDescent="0.25">
      <c r="A5229" s="952"/>
      <c r="B5229" s="953"/>
      <c r="C5229" s="953"/>
      <c r="D5229" s="953"/>
      <c r="E5229" s="953"/>
      <c r="F5229" s="953"/>
      <c r="G5229" s="953"/>
      <c r="H5229" s="953"/>
    </row>
    <row r="5230" spans="1:8" x14ac:dyDescent="0.25">
      <c r="A5230" s="952"/>
      <c r="B5230" s="953"/>
      <c r="C5230" s="953"/>
      <c r="D5230" s="953"/>
      <c r="E5230" s="953"/>
      <c r="F5230" s="953"/>
      <c r="G5230" s="953"/>
      <c r="H5230" s="953"/>
    </row>
    <row r="5231" spans="1:8" x14ac:dyDescent="0.25">
      <c r="A5231" s="952"/>
      <c r="B5231" s="953"/>
      <c r="C5231" s="953"/>
      <c r="D5231" s="953"/>
      <c r="E5231" s="953"/>
      <c r="F5231" s="953"/>
      <c r="G5231" s="953"/>
      <c r="H5231" s="953"/>
    </row>
    <row r="5232" spans="1:8" x14ac:dyDescent="0.25">
      <c r="A5232" s="952"/>
      <c r="B5232" s="953"/>
      <c r="C5232" s="953"/>
      <c r="D5232" s="953"/>
      <c r="E5232" s="953"/>
      <c r="F5232" s="953"/>
      <c r="G5232" s="953"/>
      <c r="H5232" s="953"/>
    </row>
    <row r="5233" spans="1:8" x14ac:dyDescent="0.25">
      <c r="A5233" s="952"/>
      <c r="B5233" s="953"/>
      <c r="C5233" s="953"/>
      <c r="D5233" s="953"/>
      <c r="E5233" s="953"/>
      <c r="F5233" s="953"/>
      <c r="G5233" s="953"/>
      <c r="H5233" s="953"/>
    </row>
    <row r="5234" spans="1:8" x14ac:dyDescent="0.25">
      <c r="A5234" s="952"/>
      <c r="B5234" s="953"/>
      <c r="C5234" s="953"/>
      <c r="D5234" s="953"/>
      <c r="E5234" s="953"/>
      <c r="F5234" s="953"/>
      <c r="G5234" s="953"/>
      <c r="H5234" s="953"/>
    </row>
    <row r="5235" spans="1:8" x14ac:dyDescent="0.25">
      <c r="A5235" s="952"/>
      <c r="B5235" s="953"/>
      <c r="C5235" s="953"/>
      <c r="D5235" s="953"/>
      <c r="E5235" s="953"/>
      <c r="F5235" s="953"/>
      <c r="G5235" s="953"/>
      <c r="H5235" s="953"/>
    </row>
    <row r="5236" spans="1:8" x14ac:dyDescent="0.25">
      <c r="A5236" s="952"/>
      <c r="B5236" s="953"/>
      <c r="C5236" s="953"/>
      <c r="D5236" s="953"/>
      <c r="E5236" s="953"/>
      <c r="F5236" s="953"/>
      <c r="G5236" s="953"/>
      <c r="H5236" s="953"/>
    </row>
    <row r="5237" spans="1:8" x14ac:dyDescent="0.25">
      <c r="A5237" s="952"/>
      <c r="B5237" s="953"/>
      <c r="C5237" s="953"/>
      <c r="D5237" s="953"/>
      <c r="E5237" s="953"/>
      <c r="F5237" s="953"/>
      <c r="G5237" s="953"/>
      <c r="H5237" s="953"/>
    </row>
    <row r="5238" spans="1:8" x14ac:dyDescent="0.25">
      <c r="A5238" s="952"/>
      <c r="B5238" s="953"/>
      <c r="C5238" s="953"/>
      <c r="D5238" s="953"/>
      <c r="E5238" s="953"/>
      <c r="F5238" s="953"/>
      <c r="G5238" s="953"/>
      <c r="H5238" s="953"/>
    </row>
    <row r="5239" spans="1:8" x14ac:dyDescent="0.25">
      <c r="A5239" s="952"/>
      <c r="B5239" s="953"/>
      <c r="C5239" s="953"/>
      <c r="D5239" s="953"/>
      <c r="E5239" s="953"/>
      <c r="F5239" s="953"/>
      <c r="G5239" s="953"/>
      <c r="H5239" s="953"/>
    </row>
    <row r="5240" spans="1:8" x14ac:dyDescent="0.25">
      <c r="A5240" s="952"/>
      <c r="B5240" s="953"/>
      <c r="C5240" s="953"/>
      <c r="D5240" s="953"/>
      <c r="E5240" s="953"/>
      <c r="F5240" s="953"/>
      <c r="G5240" s="953"/>
      <c r="H5240" s="953"/>
    </row>
    <row r="5241" spans="1:8" x14ac:dyDescent="0.25">
      <c r="A5241" s="952"/>
      <c r="B5241" s="953"/>
      <c r="C5241" s="953"/>
      <c r="D5241" s="953"/>
      <c r="E5241" s="953"/>
      <c r="F5241" s="953"/>
      <c r="G5241" s="953"/>
      <c r="H5241" s="953"/>
    </row>
    <row r="5242" spans="1:8" x14ac:dyDescent="0.25">
      <c r="A5242" s="952"/>
      <c r="B5242" s="953"/>
      <c r="C5242" s="953"/>
      <c r="D5242" s="953"/>
      <c r="E5242" s="953"/>
      <c r="F5242" s="953"/>
      <c r="G5242" s="953"/>
      <c r="H5242" s="953"/>
    </row>
    <row r="5243" spans="1:8" x14ac:dyDescent="0.25">
      <c r="A5243" s="952"/>
      <c r="B5243" s="953"/>
      <c r="C5243" s="953"/>
      <c r="D5243" s="953"/>
      <c r="E5243" s="953"/>
      <c r="F5243" s="953"/>
      <c r="G5243" s="953"/>
      <c r="H5243" s="953"/>
    </row>
    <row r="5244" spans="1:8" x14ac:dyDescent="0.25">
      <c r="A5244" s="952"/>
      <c r="B5244" s="953"/>
      <c r="C5244" s="953"/>
      <c r="D5244" s="953"/>
      <c r="E5244" s="953"/>
      <c r="F5244" s="953"/>
      <c r="G5244" s="953"/>
      <c r="H5244" s="953"/>
    </row>
    <row r="5245" spans="1:8" x14ac:dyDescent="0.25">
      <c r="A5245" s="952"/>
      <c r="B5245" s="953"/>
      <c r="C5245" s="953"/>
      <c r="D5245" s="953"/>
      <c r="E5245" s="953"/>
      <c r="F5245" s="953"/>
      <c r="G5245" s="953"/>
      <c r="H5245" s="953"/>
    </row>
    <row r="5246" spans="1:8" x14ac:dyDescent="0.25">
      <c r="A5246" s="952"/>
      <c r="B5246" s="953"/>
      <c r="C5246" s="953"/>
      <c r="D5246" s="953"/>
      <c r="E5246" s="953"/>
      <c r="F5246" s="953"/>
      <c r="G5246" s="953"/>
      <c r="H5246" s="953"/>
    </row>
    <row r="5247" spans="1:8" x14ac:dyDescent="0.25">
      <c r="A5247" s="952"/>
      <c r="B5247" s="953"/>
      <c r="C5247" s="953"/>
      <c r="D5247" s="953"/>
      <c r="E5247" s="953"/>
      <c r="F5247" s="953"/>
      <c r="G5247" s="953"/>
      <c r="H5247" s="953"/>
    </row>
    <row r="5248" spans="1:8" x14ac:dyDescent="0.25">
      <c r="A5248" s="952"/>
      <c r="B5248" s="953"/>
      <c r="C5248" s="953"/>
      <c r="D5248" s="953"/>
      <c r="E5248" s="953"/>
      <c r="F5248" s="953"/>
      <c r="G5248" s="953"/>
      <c r="H5248" s="953"/>
    </row>
    <row r="5249" spans="1:8" x14ac:dyDescent="0.25">
      <c r="A5249" s="952"/>
      <c r="B5249" s="953"/>
      <c r="C5249" s="953"/>
      <c r="D5249" s="953"/>
      <c r="E5249" s="953"/>
      <c r="F5249" s="953"/>
      <c r="G5249" s="953"/>
      <c r="H5249" s="953"/>
    </row>
    <row r="5250" spans="1:8" x14ac:dyDescent="0.25">
      <c r="A5250" s="952"/>
      <c r="B5250" s="953"/>
      <c r="C5250" s="953"/>
      <c r="D5250" s="953"/>
      <c r="E5250" s="953"/>
      <c r="F5250" s="953"/>
      <c r="G5250" s="953"/>
      <c r="H5250" s="953"/>
    </row>
    <row r="5251" spans="1:8" x14ac:dyDescent="0.25">
      <c r="A5251" s="952"/>
      <c r="B5251" s="953"/>
      <c r="C5251" s="953"/>
      <c r="D5251" s="953"/>
      <c r="E5251" s="953"/>
      <c r="F5251" s="953"/>
      <c r="G5251" s="953"/>
      <c r="H5251" s="953"/>
    </row>
    <row r="5252" spans="1:8" x14ac:dyDescent="0.25">
      <c r="A5252" s="952"/>
      <c r="B5252" s="953"/>
      <c r="C5252" s="953"/>
      <c r="D5252" s="953"/>
      <c r="E5252" s="953"/>
      <c r="F5252" s="953"/>
      <c r="G5252" s="953"/>
      <c r="H5252" s="953"/>
    </row>
    <row r="5253" spans="1:8" x14ac:dyDescent="0.25">
      <c r="A5253" s="952"/>
      <c r="B5253" s="953"/>
      <c r="C5253" s="953"/>
      <c r="D5253" s="953"/>
      <c r="E5253" s="953"/>
      <c r="F5253" s="953"/>
      <c r="G5253" s="953"/>
      <c r="H5253" s="953"/>
    </row>
    <row r="5254" spans="1:8" x14ac:dyDescent="0.25">
      <c r="A5254" s="952"/>
      <c r="B5254" s="953"/>
      <c r="C5254" s="953"/>
      <c r="D5254" s="953"/>
      <c r="E5254" s="953"/>
      <c r="F5254" s="953"/>
      <c r="G5254" s="953"/>
      <c r="H5254" s="953"/>
    </row>
    <row r="5255" spans="1:8" x14ac:dyDescent="0.25">
      <c r="A5255" s="952"/>
      <c r="B5255" s="953"/>
      <c r="C5255" s="953"/>
      <c r="D5255" s="953"/>
      <c r="E5255" s="953"/>
      <c r="F5255" s="953"/>
      <c r="G5255" s="953"/>
      <c r="H5255" s="953"/>
    </row>
    <row r="5256" spans="1:8" x14ac:dyDescent="0.25">
      <c r="A5256" s="952"/>
      <c r="B5256" s="953"/>
      <c r="C5256" s="953"/>
      <c r="D5256" s="953"/>
      <c r="E5256" s="953"/>
      <c r="F5256" s="953"/>
      <c r="G5256" s="953"/>
      <c r="H5256" s="953"/>
    </row>
    <row r="5257" spans="1:8" x14ac:dyDescent="0.25">
      <c r="A5257" s="952"/>
      <c r="B5257" s="953"/>
      <c r="C5257" s="953"/>
      <c r="D5257" s="953"/>
      <c r="E5257" s="953"/>
      <c r="F5257" s="953"/>
      <c r="G5257" s="953"/>
      <c r="H5257" s="953"/>
    </row>
    <row r="5258" spans="1:8" x14ac:dyDescent="0.25">
      <c r="A5258" s="952"/>
      <c r="B5258" s="953"/>
      <c r="C5258" s="953"/>
      <c r="D5258" s="953"/>
      <c r="E5258" s="953"/>
      <c r="F5258" s="953"/>
      <c r="G5258" s="953"/>
      <c r="H5258" s="953"/>
    </row>
    <row r="5259" spans="1:8" x14ac:dyDescent="0.25">
      <c r="A5259" s="952"/>
      <c r="B5259" s="953"/>
      <c r="C5259" s="953"/>
      <c r="D5259" s="953"/>
      <c r="E5259" s="953"/>
      <c r="F5259" s="953"/>
      <c r="G5259" s="953"/>
      <c r="H5259" s="953"/>
    </row>
    <row r="5260" spans="1:8" x14ac:dyDescent="0.25">
      <c r="A5260" s="952"/>
      <c r="B5260" s="953"/>
      <c r="C5260" s="953"/>
      <c r="D5260" s="953"/>
      <c r="E5260" s="953"/>
      <c r="F5260" s="953"/>
      <c r="G5260" s="953"/>
      <c r="H5260" s="953"/>
    </row>
    <row r="5261" spans="1:8" x14ac:dyDescent="0.25">
      <c r="A5261" s="952"/>
      <c r="B5261" s="953"/>
      <c r="C5261" s="953"/>
      <c r="D5261" s="953"/>
      <c r="E5261" s="953"/>
      <c r="F5261" s="953"/>
      <c r="G5261" s="953"/>
      <c r="H5261" s="953"/>
    </row>
    <row r="5262" spans="1:8" x14ac:dyDescent="0.25">
      <c r="A5262" s="952"/>
      <c r="B5262" s="953"/>
      <c r="C5262" s="953"/>
      <c r="D5262" s="953"/>
      <c r="E5262" s="953"/>
      <c r="F5262" s="953"/>
      <c r="G5262" s="953"/>
      <c r="H5262" s="953"/>
    </row>
    <row r="5263" spans="1:8" x14ac:dyDescent="0.25">
      <c r="A5263" s="952"/>
      <c r="B5263" s="953"/>
      <c r="C5263" s="953"/>
      <c r="D5263" s="953"/>
      <c r="E5263" s="953"/>
      <c r="F5263" s="953"/>
      <c r="G5263" s="953"/>
      <c r="H5263" s="953"/>
    </row>
    <row r="5264" spans="1:8" x14ac:dyDescent="0.25">
      <c r="A5264" s="952"/>
      <c r="B5264" s="953"/>
      <c r="C5264" s="953"/>
      <c r="D5264" s="953"/>
      <c r="E5264" s="953"/>
      <c r="F5264" s="953"/>
      <c r="G5264" s="953"/>
      <c r="H5264" s="953"/>
    </row>
    <row r="5265" spans="1:8" x14ac:dyDescent="0.25">
      <c r="A5265" s="952"/>
      <c r="B5265" s="953"/>
      <c r="C5265" s="953"/>
      <c r="D5265" s="953"/>
      <c r="E5265" s="953"/>
      <c r="F5265" s="953"/>
      <c r="G5265" s="953"/>
      <c r="H5265" s="953"/>
    </row>
    <row r="5266" spans="1:8" x14ac:dyDescent="0.25">
      <c r="A5266" s="952"/>
      <c r="B5266" s="953"/>
      <c r="C5266" s="953"/>
      <c r="D5266" s="953"/>
      <c r="E5266" s="953"/>
      <c r="F5266" s="953"/>
      <c r="G5266" s="953"/>
      <c r="H5266" s="953"/>
    </row>
    <row r="5267" spans="1:8" x14ac:dyDescent="0.25">
      <c r="A5267" s="952"/>
      <c r="B5267" s="953"/>
      <c r="C5267" s="953"/>
      <c r="D5267" s="953"/>
      <c r="E5267" s="953"/>
      <c r="F5267" s="953"/>
      <c r="G5267" s="953"/>
      <c r="H5267" s="953"/>
    </row>
    <row r="5268" spans="1:8" x14ac:dyDescent="0.25">
      <c r="A5268" s="952"/>
      <c r="B5268" s="953"/>
      <c r="C5268" s="953"/>
      <c r="D5268" s="953"/>
      <c r="E5268" s="953"/>
      <c r="F5268" s="953"/>
      <c r="G5268" s="953"/>
      <c r="H5268" s="953"/>
    </row>
    <row r="5269" spans="1:8" x14ac:dyDescent="0.25">
      <c r="A5269" s="952"/>
      <c r="B5269" s="953"/>
      <c r="C5269" s="953"/>
      <c r="D5269" s="953"/>
      <c r="E5269" s="953"/>
      <c r="F5269" s="953"/>
      <c r="G5269" s="953"/>
      <c r="H5269" s="953"/>
    </row>
    <row r="5270" spans="1:8" x14ac:dyDescent="0.25">
      <c r="A5270" s="952"/>
      <c r="B5270" s="953"/>
      <c r="C5270" s="953"/>
      <c r="D5270" s="953"/>
      <c r="E5270" s="953"/>
      <c r="F5270" s="953"/>
      <c r="G5270" s="953"/>
      <c r="H5270" s="953"/>
    </row>
    <row r="5271" spans="1:8" x14ac:dyDescent="0.25">
      <c r="A5271" s="952"/>
      <c r="B5271" s="953"/>
      <c r="C5271" s="953"/>
      <c r="D5271" s="953"/>
      <c r="E5271" s="953"/>
      <c r="F5271" s="953"/>
      <c r="G5271" s="953"/>
      <c r="H5271" s="953"/>
    </row>
    <row r="5272" spans="1:8" x14ac:dyDescent="0.25">
      <c r="A5272" s="952"/>
      <c r="B5272" s="953"/>
      <c r="C5272" s="953"/>
      <c r="D5272" s="953"/>
      <c r="E5272" s="953"/>
      <c r="F5272" s="953"/>
      <c r="G5272" s="953"/>
      <c r="H5272" s="953"/>
    </row>
    <row r="5273" spans="1:8" x14ac:dyDescent="0.25">
      <c r="A5273" s="952"/>
      <c r="B5273" s="953"/>
      <c r="C5273" s="953"/>
      <c r="D5273" s="953"/>
      <c r="E5273" s="953"/>
      <c r="F5273" s="953"/>
      <c r="G5273" s="953"/>
      <c r="H5273" s="953"/>
    </row>
    <row r="5274" spans="1:8" x14ac:dyDescent="0.25">
      <c r="A5274" s="952"/>
      <c r="B5274" s="953"/>
      <c r="C5274" s="953"/>
      <c r="D5274" s="953"/>
      <c r="E5274" s="953"/>
      <c r="F5274" s="953"/>
      <c r="G5274" s="953"/>
      <c r="H5274" s="953"/>
    </row>
    <row r="5275" spans="1:8" x14ac:dyDescent="0.25">
      <c r="A5275" s="952"/>
      <c r="B5275" s="953"/>
      <c r="C5275" s="953"/>
      <c r="D5275" s="953"/>
      <c r="E5275" s="953"/>
      <c r="F5275" s="953"/>
      <c r="G5275" s="953"/>
      <c r="H5275" s="953"/>
    </row>
    <row r="5276" spans="1:8" x14ac:dyDescent="0.25">
      <c r="A5276" s="952"/>
      <c r="B5276" s="953"/>
      <c r="C5276" s="953"/>
      <c r="D5276" s="953"/>
      <c r="E5276" s="953"/>
      <c r="F5276" s="953"/>
      <c r="G5276" s="953"/>
      <c r="H5276" s="953"/>
    </row>
    <row r="5277" spans="1:8" x14ac:dyDescent="0.25">
      <c r="A5277" s="952"/>
      <c r="B5277" s="953"/>
      <c r="C5277" s="953"/>
      <c r="D5277" s="953"/>
      <c r="E5277" s="953"/>
      <c r="F5277" s="953"/>
      <c r="G5277" s="953"/>
      <c r="H5277" s="953"/>
    </row>
    <row r="5278" spans="1:8" x14ac:dyDescent="0.25">
      <c r="A5278" s="952"/>
      <c r="B5278" s="953"/>
      <c r="C5278" s="953"/>
      <c r="D5278" s="953"/>
      <c r="E5278" s="953"/>
      <c r="F5278" s="953"/>
      <c r="G5278" s="953"/>
      <c r="H5278" s="953"/>
    </row>
    <row r="5279" spans="1:8" x14ac:dyDescent="0.25">
      <c r="A5279" s="952"/>
      <c r="B5279" s="953"/>
      <c r="C5279" s="953"/>
      <c r="D5279" s="953"/>
      <c r="E5279" s="953"/>
      <c r="F5279" s="953"/>
      <c r="G5279" s="953"/>
      <c r="H5279" s="953"/>
    </row>
    <row r="5280" spans="1:8" x14ac:dyDescent="0.25">
      <c r="A5280" s="952"/>
      <c r="B5280" s="953"/>
      <c r="C5280" s="953"/>
      <c r="D5280" s="953"/>
      <c r="E5280" s="953"/>
      <c r="F5280" s="953"/>
      <c r="G5280" s="953"/>
      <c r="H5280" s="953"/>
    </row>
    <row r="5281" spans="1:8" x14ac:dyDescent="0.25">
      <c r="A5281" s="952"/>
      <c r="B5281" s="953"/>
      <c r="C5281" s="953"/>
      <c r="D5281" s="953"/>
      <c r="E5281" s="953"/>
      <c r="F5281" s="953"/>
      <c r="G5281" s="953"/>
      <c r="H5281" s="953"/>
    </row>
    <row r="5282" spans="1:8" x14ac:dyDescent="0.25">
      <c r="A5282" s="952"/>
      <c r="B5282" s="953"/>
      <c r="C5282" s="953"/>
      <c r="D5282" s="953"/>
      <c r="E5282" s="953"/>
      <c r="F5282" s="953"/>
      <c r="G5282" s="953"/>
      <c r="H5282" s="953"/>
    </row>
    <row r="5283" spans="1:8" x14ac:dyDescent="0.25">
      <c r="A5283" s="952"/>
      <c r="B5283" s="953"/>
      <c r="C5283" s="953"/>
      <c r="D5283" s="953"/>
      <c r="E5283" s="953"/>
      <c r="F5283" s="953"/>
      <c r="G5283" s="953"/>
      <c r="H5283" s="953"/>
    </row>
    <row r="5284" spans="1:8" x14ac:dyDescent="0.25">
      <c r="A5284" s="952"/>
      <c r="B5284" s="953"/>
      <c r="C5284" s="953"/>
      <c r="D5284" s="953"/>
      <c r="E5284" s="953"/>
      <c r="F5284" s="953"/>
      <c r="G5284" s="953"/>
      <c r="H5284" s="953"/>
    </row>
    <row r="5285" spans="1:8" x14ac:dyDescent="0.25">
      <c r="A5285" s="952"/>
      <c r="B5285" s="953"/>
      <c r="C5285" s="953"/>
      <c r="D5285" s="953"/>
      <c r="E5285" s="953"/>
      <c r="F5285" s="953"/>
      <c r="G5285" s="953"/>
      <c r="H5285" s="953"/>
    </row>
    <row r="5286" spans="1:8" x14ac:dyDescent="0.25">
      <c r="A5286" s="952"/>
      <c r="B5286" s="953"/>
      <c r="C5286" s="953"/>
      <c r="D5286" s="953"/>
      <c r="E5286" s="953"/>
      <c r="F5286" s="953"/>
      <c r="G5286" s="953"/>
      <c r="H5286" s="953"/>
    </row>
    <row r="5287" spans="1:8" x14ac:dyDescent="0.25">
      <c r="A5287" s="952"/>
      <c r="B5287" s="953"/>
      <c r="C5287" s="953"/>
      <c r="D5287" s="953"/>
      <c r="E5287" s="953"/>
      <c r="F5287" s="953"/>
      <c r="G5287" s="953"/>
      <c r="H5287" s="953"/>
    </row>
    <row r="5288" spans="1:8" x14ac:dyDescent="0.25">
      <c r="A5288" s="952"/>
      <c r="B5288" s="953"/>
      <c r="C5288" s="953"/>
      <c r="D5288" s="953"/>
      <c r="E5288" s="953"/>
      <c r="F5288" s="953"/>
      <c r="G5288" s="953"/>
      <c r="H5288" s="953"/>
    </row>
    <row r="5289" spans="1:8" x14ac:dyDescent="0.25">
      <c r="A5289" s="952"/>
      <c r="B5289" s="953"/>
      <c r="C5289" s="953"/>
      <c r="D5289" s="953"/>
      <c r="E5289" s="953"/>
      <c r="F5289" s="953"/>
      <c r="G5289" s="953"/>
      <c r="H5289" s="953"/>
    </row>
    <row r="5290" spans="1:8" x14ac:dyDescent="0.25">
      <c r="A5290" s="952"/>
      <c r="B5290" s="953"/>
      <c r="C5290" s="953"/>
      <c r="D5290" s="953"/>
      <c r="E5290" s="953"/>
      <c r="F5290" s="953"/>
      <c r="G5290" s="953"/>
      <c r="H5290" s="953"/>
    </row>
    <row r="5291" spans="1:8" x14ac:dyDescent="0.25">
      <c r="A5291" s="952"/>
      <c r="B5291" s="953"/>
      <c r="C5291" s="953"/>
      <c r="D5291" s="953"/>
      <c r="E5291" s="953"/>
      <c r="F5291" s="953"/>
      <c r="G5291" s="953"/>
      <c r="H5291" s="953"/>
    </row>
    <row r="5292" spans="1:8" x14ac:dyDescent="0.25">
      <c r="A5292" s="952"/>
      <c r="B5292" s="953"/>
      <c r="C5292" s="953"/>
      <c r="D5292" s="953"/>
      <c r="E5292" s="953"/>
      <c r="F5292" s="953"/>
      <c r="G5292" s="953"/>
      <c r="H5292" s="953"/>
    </row>
    <row r="5293" spans="1:8" x14ac:dyDescent="0.25">
      <c r="A5293" s="952"/>
      <c r="B5293" s="953"/>
      <c r="C5293" s="953"/>
      <c r="D5293" s="953"/>
      <c r="E5293" s="953"/>
      <c r="F5293" s="953"/>
      <c r="G5293" s="953"/>
      <c r="H5293" s="953"/>
    </row>
    <row r="5294" spans="1:8" x14ac:dyDescent="0.25">
      <c r="A5294" s="952"/>
      <c r="B5294" s="953"/>
      <c r="C5294" s="953"/>
      <c r="D5294" s="953"/>
      <c r="E5294" s="953"/>
      <c r="F5294" s="953"/>
      <c r="G5294" s="953"/>
      <c r="H5294" s="953"/>
    </row>
    <row r="5295" spans="1:8" x14ac:dyDescent="0.25">
      <c r="A5295" s="952"/>
      <c r="B5295" s="953"/>
      <c r="C5295" s="953"/>
      <c r="D5295" s="953"/>
      <c r="E5295" s="953"/>
      <c r="F5295" s="953"/>
      <c r="G5295" s="953"/>
      <c r="H5295" s="953"/>
    </row>
    <row r="5296" spans="1:8" x14ac:dyDescent="0.25">
      <c r="A5296" s="952"/>
      <c r="B5296" s="953"/>
      <c r="C5296" s="953"/>
      <c r="D5296" s="953"/>
      <c r="E5296" s="953"/>
      <c r="F5296" s="953"/>
      <c r="G5296" s="953"/>
      <c r="H5296" s="953"/>
    </row>
    <row r="5297" spans="1:8" x14ac:dyDescent="0.25">
      <c r="A5297" s="952"/>
      <c r="B5297" s="953"/>
      <c r="C5297" s="953"/>
      <c r="D5297" s="953"/>
      <c r="E5297" s="953"/>
      <c r="F5297" s="953"/>
      <c r="G5297" s="953"/>
      <c r="H5297" s="953"/>
    </row>
    <row r="5298" spans="1:8" x14ac:dyDescent="0.25">
      <c r="A5298" s="952"/>
      <c r="B5298" s="953"/>
      <c r="C5298" s="953"/>
      <c r="D5298" s="953"/>
      <c r="E5298" s="953"/>
      <c r="F5298" s="953"/>
      <c r="G5298" s="953"/>
      <c r="H5298" s="953"/>
    </row>
    <row r="5299" spans="1:8" x14ac:dyDescent="0.25">
      <c r="A5299" s="952"/>
      <c r="B5299" s="953"/>
      <c r="C5299" s="953"/>
      <c r="D5299" s="953"/>
      <c r="E5299" s="953"/>
      <c r="F5299" s="953"/>
      <c r="G5299" s="953"/>
      <c r="H5299" s="953"/>
    </row>
    <row r="5300" spans="1:8" x14ac:dyDescent="0.25">
      <c r="A5300" s="952"/>
      <c r="B5300" s="953"/>
      <c r="C5300" s="953"/>
      <c r="D5300" s="953"/>
      <c r="E5300" s="953"/>
      <c r="F5300" s="953"/>
      <c r="G5300" s="953"/>
      <c r="H5300" s="953"/>
    </row>
    <row r="5301" spans="1:8" x14ac:dyDescent="0.25">
      <c r="A5301" s="952"/>
      <c r="B5301" s="953"/>
      <c r="C5301" s="953"/>
      <c r="D5301" s="953"/>
      <c r="E5301" s="953"/>
      <c r="F5301" s="953"/>
      <c r="G5301" s="953"/>
      <c r="H5301" s="953"/>
    </row>
    <row r="5302" spans="1:8" x14ac:dyDescent="0.25">
      <c r="A5302" s="952"/>
      <c r="B5302" s="953"/>
      <c r="C5302" s="953"/>
      <c r="D5302" s="953"/>
      <c r="E5302" s="953"/>
      <c r="F5302" s="953"/>
      <c r="G5302" s="953"/>
      <c r="H5302" s="953"/>
    </row>
    <row r="5303" spans="1:8" x14ac:dyDescent="0.25">
      <c r="A5303" s="952"/>
      <c r="B5303" s="953"/>
      <c r="C5303" s="953"/>
      <c r="D5303" s="953"/>
      <c r="E5303" s="953"/>
      <c r="F5303" s="953"/>
      <c r="G5303" s="953"/>
      <c r="H5303" s="953"/>
    </row>
    <row r="5304" spans="1:8" x14ac:dyDescent="0.25">
      <c r="A5304" s="952"/>
      <c r="B5304" s="953"/>
      <c r="C5304" s="953"/>
      <c r="D5304" s="953"/>
      <c r="E5304" s="953"/>
      <c r="F5304" s="953"/>
      <c r="G5304" s="953"/>
      <c r="H5304" s="953"/>
    </row>
    <row r="5305" spans="1:8" x14ac:dyDescent="0.25">
      <c r="A5305" s="952"/>
      <c r="B5305" s="953"/>
      <c r="C5305" s="953"/>
      <c r="D5305" s="953"/>
      <c r="E5305" s="953"/>
      <c r="F5305" s="953"/>
      <c r="G5305" s="953"/>
      <c r="H5305" s="953"/>
    </row>
    <row r="5306" spans="1:8" x14ac:dyDescent="0.25">
      <c r="A5306" s="952"/>
      <c r="B5306" s="953"/>
      <c r="C5306" s="953"/>
      <c r="D5306" s="953"/>
      <c r="E5306" s="953"/>
      <c r="F5306" s="953"/>
      <c r="G5306" s="953"/>
      <c r="H5306" s="953"/>
    </row>
    <row r="5307" spans="1:8" x14ac:dyDescent="0.25">
      <c r="A5307" s="952"/>
      <c r="B5307" s="953"/>
      <c r="C5307" s="953"/>
      <c r="D5307" s="953"/>
      <c r="E5307" s="953"/>
      <c r="F5307" s="953"/>
      <c r="G5307" s="953"/>
      <c r="H5307" s="953"/>
    </row>
    <row r="5308" spans="1:8" x14ac:dyDescent="0.25">
      <c r="A5308" s="952"/>
      <c r="B5308" s="953"/>
      <c r="C5308" s="953"/>
      <c r="D5308" s="953"/>
      <c r="E5308" s="953"/>
      <c r="F5308" s="953"/>
      <c r="G5308" s="953"/>
      <c r="H5308" s="953"/>
    </row>
    <row r="5309" spans="1:8" x14ac:dyDescent="0.25">
      <c r="A5309" s="952"/>
      <c r="B5309" s="953"/>
      <c r="C5309" s="953"/>
      <c r="D5309" s="953"/>
      <c r="E5309" s="953"/>
      <c r="F5309" s="953"/>
      <c r="G5309" s="953"/>
      <c r="H5309" s="953"/>
    </row>
    <row r="5310" spans="1:8" x14ac:dyDescent="0.25">
      <c r="A5310" s="952"/>
      <c r="B5310" s="953"/>
      <c r="C5310" s="953"/>
      <c r="D5310" s="953"/>
      <c r="E5310" s="953"/>
      <c r="F5310" s="953"/>
      <c r="G5310" s="953"/>
      <c r="H5310" s="953"/>
    </row>
    <row r="5311" spans="1:8" x14ac:dyDescent="0.25">
      <c r="A5311" s="952"/>
      <c r="B5311" s="953"/>
      <c r="C5311" s="953"/>
      <c r="D5311" s="953"/>
      <c r="E5311" s="953"/>
      <c r="F5311" s="953"/>
      <c r="G5311" s="953"/>
      <c r="H5311" s="953"/>
    </row>
    <row r="5312" spans="1:8" x14ac:dyDescent="0.25">
      <c r="A5312" s="952"/>
      <c r="B5312" s="953"/>
      <c r="C5312" s="953"/>
      <c r="D5312" s="953"/>
      <c r="E5312" s="953"/>
      <c r="F5312" s="953"/>
      <c r="G5312" s="953"/>
      <c r="H5312" s="953"/>
    </row>
    <row r="5313" spans="1:8" x14ac:dyDescent="0.25">
      <c r="A5313" s="952"/>
      <c r="B5313" s="953"/>
      <c r="C5313" s="953"/>
      <c r="D5313" s="953"/>
      <c r="E5313" s="953"/>
      <c r="F5313" s="953"/>
      <c r="G5313" s="953"/>
      <c r="H5313" s="953"/>
    </row>
    <row r="5314" spans="1:8" x14ac:dyDescent="0.25">
      <c r="A5314" s="952"/>
      <c r="B5314" s="953"/>
      <c r="C5314" s="953"/>
      <c r="D5314" s="953"/>
      <c r="E5314" s="953"/>
      <c r="F5314" s="953"/>
      <c r="G5314" s="953"/>
      <c r="H5314" s="953"/>
    </row>
    <row r="5315" spans="1:8" x14ac:dyDescent="0.25">
      <c r="A5315" s="952"/>
      <c r="B5315" s="953"/>
      <c r="C5315" s="953"/>
      <c r="D5315" s="953"/>
      <c r="E5315" s="953"/>
      <c r="F5315" s="953"/>
      <c r="G5315" s="953"/>
      <c r="H5315" s="953"/>
    </row>
    <row r="5316" spans="1:8" x14ac:dyDescent="0.25">
      <c r="A5316" s="952"/>
      <c r="B5316" s="953"/>
      <c r="C5316" s="953"/>
      <c r="D5316" s="953"/>
      <c r="E5316" s="953"/>
      <c r="F5316" s="953"/>
      <c r="G5316" s="953"/>
      <c r="H5316" s="953"/>
    </row>
    <row r="5317" spans="1:8" x14ac:dyDescent="0.25">
      <c r="A5317" s="952"/>
      <c r="B5317" s="953"/>
      <c r="C5317" s="953"/>
      <c r="D5317" s="953"/>
      <c r="E5317" s="953"/>
      <c r="F5317" s="953"/>
      <c r="G5317" s="953"/>
      <c r="H5317" s="953"/>
    </row>
    <row r="5318" spans="1:8" x14ac:dyDescent="0.25">
      <c r="A5318" s="952"/>
      <c r="B5318" s="953"/>
      <c r="C5318" s="953"/>
      <c r="D5318" s="953"/>
      <c r="E5318" s="953"/>
      <c r="F5318" s="953"/>
      <c r="G5318" s="953"/>
      <c r="H5318" s="953"/>
    </row>
    <row r="5319" spans="1:8" x14ac:dyDescent="0.25">
      <c r="A5319" s="952"/>
      <c r="B5319" s="953"/>
      <c r="C5319" s="953"/>
      <c r="D5319" s="953"/>
      <c r="E5319" s="953"/>
      <c r="F5319" s="953"/>
      <c r="G5319" s="953"/>
      <c r="H5319" s="953"/>
    </row>
    <row r="5320" spans="1:8" x14ac:dyDescent="0.25">
      <c r="A5320" s="952"/>
      <c r="B5320" s="953"/>
      <c r="C5320" s="953"/>
      <c r="D5320" s="953"/>
      <c r="E5320" s="953"/>
      <c r="F5320" s="953"/>
      <c r="G5320" s="953"/>
      <c r="H5320" s="953"/>
    </row>
    <row r="5321" spans="1:8" x14ac:dyDescent="0.25">
      <c r="A5321" s="952"/>
      <c r="B5321" s="953"/>
      <c r="C5321" s="953"/>
      <c r="D5321" s="953"/>
      <c r="E5321" s="953"/>
      <c r="F5321" s="953"/>
      <c r="G5321" s="953"/>
      <c r="H5321" s="953"/>
    </row>
    <row r="5322" spans="1:8" x14ac:dyDescent="0.25">
      <c r="A5322" s="952"/>
      <c r="B5322" s="953"/>
      <c r="C5322" s="953"/>
      <c r="D5322" s="953"/>
      <c r="E5322" s="953"/>
      <c r="F5322" s="953"/>
      <c r="G5322" s="953"/>
      <c r="H5322" s="953"/>
    </row>
    <row r="5323" spans="1:8" x14ac:dyDescent="0.25">
      <c r="A5323" s="952"/>
      <c r="B5323" s="953"/>
      <c r="C5323" s="953"/>
      <c r="D5323" s="953"/>
      <c r="E5323" s="953"/>
      <c r="F5323" s="953"/>
      <c r="G5323" s="953"/>
      <c r="H5323" s="953"/>
    </row>
    <row r="5324" spans="1:8" x14ac:dyDescent="0.25">
      <c r="A5324" s="952"/>
      <c r="B5324" s="953"/>
      <c r="C5324" s="953"/>
      <c r="D5324" s="953"/>
      <c r="E5324" s="953"/>
      <c r="F5324" s="953"/>
      <c r="G5324" s="953"/>
      <c r="H5324" s="953"/>
    </row>
    <row r="5325" spans="1:8" x14ac:dyDescent="0.25">
      <c r="A5325" s="952"/>
      <c r="B5325" s="953"/>
      <c r="C5325" s="953"/>
      <c r="D5325" s="953"/>
      <c r="E5325" s="953"/>
      <c r="F5325" s="953"/>
      <c r="G5325" s="953"/>
      <c r="H5325" s="953"/>
    </row>
    <row r="5326" spans="1:8" x14ac:dyDescent="0.25">
      <c r="A5326" s="952"/>
      <c r="B5326" s="953"/>
      <c r="C5326" s="953"/>
      <c r="D5326" s="953"/>
      <c r="E5326" s="953"/>
      <c r="F5326" s="953"/>
      <c r="G5326" s="953"/>
      <c r="H5326" s="953"/>
    </row>
    <row r="5327" spans="1:8" x14ac:dyDescent="0.25">
      <c r="A5327" s="952"/>
      <c r="B5327" s="953"/>
      <c r="C5327" s="953"/>
      <c r="D5327" s="953"/>
      <c r="E5327" s="953"/>
      <c r="F5327" s="953"/>
      <c r="G5327" s="953"/>
      <c r="H5327" s="953"/>
    </row>
    <row r="5328" spans="1:8" x14ac:dyDescent="0.25">
      <c r="A5328" s="952"/>
      <c r="B5328" s="953"/>
      <c r="C5328" s="953"/>
      <c r="D5328" s="953"/>
      <c r="E5328" s="953"/>
      <c r="F5328" s="953"/>
      <c r="G5328" s="953"/>
      <c r="H5328" s="953"/>
    </row>
    <row r="5329" spans="1:8" x14ac:dyDescent="0.25">
      <c r="A5329" s="952"/>
      <c r="B5329" s="953"/>
      <c r="C5329" s="953"/>
      <c r="D5329" s="953"/>
      <c r="E5329" s="953"/>
      <c r="F5329" s="953"/>
      <c r="G5329" s="953"/>
      <c r="H5329" s="953"/>
    </row>
    <row r="5330" spans="1:8" x14ac:dyDescent="0.25">
      <c r="A5330" s="952"/>
      <c r="B5330" s="953"/>
      <c r="C5330" s="953"/>
      <c r="D5330" s="953"/>
      <c r="E5330" s="953"/>
      <c r="F5330" s="953"/>
      <c r="G5330" s="953"/>
      <c r="H5330" s="953"/>
    </row>
    <row r="5331" spans="1:8" x14ac:dyDescent="0.25">
      <c r="A5331" s="952"/>
      <c r="B5331" s="953"/>
      <c r="C5331" s="953"/>
      <c r="D5331" s="953"/>
      <c r="E5331" s="953"/>
      <c r="F5331" s="953"/>
      <c r="G5331" s="953"/>
      <c r="H5331" s="953"/>
    </row>
    <row r="5332" spans="1:8" x14ac:dyDescent="0.25">
      <c r="A5332" s="952"/>
      <c r="B5332" s="953"/>
      <c r="C5332" s="953"/>
      <c r="D5332" s="953"/>
      <c r="E5332" s="953"/>
      <c r="F5332" s="953"/>
      <c r="G5332" s="953"/>
      <c r="H5332" s="953"/>
    </row>
    <row r="5333" spans="1:8" x14ac:dyDescent="0.25">
      <c r="A5333" s="952"/>
      <c r="B5333" s="953"/>
      <c r="C5333" s="953"/>
      <c r="D5333" s="953"/>
      <c r="E5333" s="953"/>
      <c r="F5333" s="953"/>
      <c r="G5333" s="953"/>
      <c r="H5333" s="953"/>
    </row>
    <row r="5334" spans="1:8" x14ac:dyDescent="0.25">
      <c r="A5334" s="952"/>
      <c r="B5334" s="953"/>
      <c r="C5334" s="953"/>
      <c r="D5334" s="953"/>
      <c r="E5334" s="953"/>
      <c r="F5334" s="953"/>
      <c r="G5334" s="953"/>
      <c r="H5334" s="953"/>
    </row>
    <row r="5335" spans="1:8" x14ac:dyDescent="0.25">
      <c r="A5335" s="952"/>
      <c r="B5335" s="953"/>
      <c r="C5335" s="953"/>
      <c r="D5335" s="953"/>
      <c r="E5335" s="953"/>
      <c r="F5335" s="953"/>
      <c r="G5335" s="953"/>
      <c r="H5335" s="953"/>
    </row>
    <row r="5336" spans="1:8" x14ac:dyDescent="0.25">
      <c r="A5336" s="952"/>
      <c r="B5336" s="953"/>
      <c r="C5336" s="953"/>
      <c r="D5336" s="953"/>
      <c r="E5336" s="953"/>
      <c r="F5336" s="953"/>
      <c r="G5336" s="953"/>
      <c r="H5336" s="953"/>
    </row>
    <row r="5337" spans="1:8" x14ac:dyDescent="0.25">
      <c r="A5337" s="952"/>
      <c r="B5337" s="953"/>
      <c r="C5337" s="953"/>
      <c r="D5337" s="953"/>
      <c r="E5337" s="953"/>
      <c r="F5337" s="953"/>
      <c r="G5337" s="953"/>
      <c r="H5337" s="953"/>
    </row>
    <row r="5338" spans="1:8" x14ac:dyDescent="0.25">
      <c r="A5338" s="952"/>
      <c r="B5338" s="953"/>
      <c r="C5338" s="953"/>
      <c r="D5338" s="953"/>
      <c r="E5338" s="953"/>
      <c r="F5338" s="953"/>
      <c r="G5338" s="953"/>
      <c r="H5338" s="953"/>
    </row>
    <row r="5339" spans="1:8" x14ac:dyDescent="0.25">
      <c r="A5339" s="952"/>
      <c r="B5339" s="953"/>
      <c r="C5339" s="953"/>
      <c r="D5339" s="953"/>
      <c r="E5339" s="953"/>
      <c r="F5339" s="953"/>
      <c r="G5339" s="953"/>
      <c r="H5339" s="953"/>
    </row>
    <row r="5340" spans="1:8" x14ac:dyDescent="0.25">
      <c r="A5340" s="952"/>
      <c r="B5340" s="953"/>
      <c r="C5340" s="953"/>
      <c r="D5340" s="953"/>
      <c r="E5340" s="953"/>
      <c r="F5340" s="953"/>
      <c r="G5340" s="953"/>
      <c r="H5340" s="953"/>
    </row>
    <row r="5341" spans="1:8" x14ac:dyDescent="0.25">
      <c r="A5341" s="952"/>
      <c r="B5341" s="953"/>
      <c r="C5341" s="953"/>
      <c r="D5341" s="953"/>
      <c r="E5341" s="953"/>
      <c r="F5341" s="953"/>
      <c r="G5341" s="953"/>
      <c r="H5341" s="953"/>
    </row>
    <row r="5342" spans="1:8" x14ac:dyDescent="0.25">
      <c r="A5342" s="952"/>
      <c r="B5342" s="953"/>
      <c r="C5342" s="953"/>
      <c r="D5342" s="953"/>
      <c r="E5342" s="953"/>
      <c r="F5342" s="953"/>
      <c r="G5342" s="953"/>
      <c r="H5342" s="953"/>
    </row>
    <row r="5343" spans="1:8" x14ac:dyDescent="0.25">
      <c r="A5343" s="952"/>
      <c r="B5343" s="953"/>
      <c r="C5343" s="953"/>
      <c r="D5343" s="953"/>
      <c r="E5343" s="953"/>
      <c r="F5343" s="953"/>
      <c r="G5343" s="953"/>
      <c r="H5343" s="953"/>
    </row>
    <row r="5344" spans="1:8" x14ac:dyDescent="0.25">
      <c r="A5344" s="952"/>
      <c r="B5344" s="953"/>
      <c r="C5344" s="953"/>
      <c r="D5344" s="953"/>
      <c r="E5344" s="953"/>
      <c r="F5344" s="953"/>
      <c r="G5344" s="953"/>
      <c r="H5344" s="953"/>
    </row>
    <row r="5345" spans="1:8" x14ac:dyDescent="0.25">
      <c r="A5345" s="952"/>
      <c r="B5345" s="953"/>
      <c r="C5345" s="953"/>
      <c r="D5345" s="953"/>
      <c r="E5345" s="953"/>
      <c r="F5345" s="953"/>
      <c r="G5345" s="953"/>
      <c r="H5345" s="953"/>
    </row>
    <row r="5346" spans="1:8" x14ac:dyDescent="0.25">
      <c r="A5346" s="952"/>
      <c r="B5346" s="953"/>
      <c r="C5346" s="953"/>
      <c r="D5346" s="953"/>
      <c r="E5346" s="953"/>
      <c r="F5346" s="953"/>
      <c r="G5346" s="953"/>
      <c r="H5346" s="953"/>
    </row>
    <row r="5347" spans="1:8" x14ac:dyDescent="0.25">
      <c r="A5347" s="952"/>
      <c r="B5347" s="953"/>
      <c r="C5347" s="953"/>
      <c r="D5347" s="953"/>
      <c r="E5347" s="953"/>
      <c r="F5347" s="953"/>
      <c r="G5347" s="953"/>
      <c r="H5347" s="953"/>
    </row>
    <row r="5348" spans="1:8" x14ac:dyDescent="0.25">
      <c r="A5348" s="952"/>
      <c r="B5348" s="953"/>
      <c r="C5348" s="953"/>
      <c r="D5348" s="953"/>
      <c r="E5348" s="953"/>
      <c r="F5348" s="953"/>
      <c r="G5348" s="953"/>
      <c r="H5348" s="953"/>
    </row>
    <row r="5349" spans="1:8" x14ac:dyDescent="0.25">
      <c r="A5349" s="952"/>
      <c r="B5349" s="953"/>
      <c r="C5349" s="953"/>
      <c r="D5349" s="953"/>
      <c r="E5349" s="953"/>
      <c r="F5349" s="953"/>
      <c r="G5349" s="953"/>
      <c r="H5349" s="953"/>
    </row>
    <row r="5350" spans="1:8" x14ac:dyDescent="0.25">
      <c r="A5350" s="952"/>
      <c r="B5350" s="953"/>
      <c r="C5350" s="953"/>
      <c r="D5350" s="953"/>
      <c r="E5350" s="953"/>
      <c r="F5350" s="953"/>
      <c r="G5350" s="953"/>
      <c r="H5350" s="953"/>
    </row>
    <row r="5351" spans="1:8" x14ac:dyDescent="0.25">
      <c r="A5351" s="952"/>
      <c r="B5351" s="953"/>
      <c r="C5351" s="953"/>
      <c r="D5351" s="953"/>
      <c r="E5351" s="953"/>
      <c r="F5351" s="953"/>
      <c r="G5351" s="953"/>
      <c r="H5351" s="953"/>
    </row>
    <row r="5352" spans="1:8" x14ac:dyDescent="0.25">
      <c r="A5352" s="952"/>
      <c r="B5352" s="953"/>
      <c r="C5352" s="953"/>
      <c r="D5352" s="953"/>
      <c r="E5352" s="953"/>
      <c r="F5352" s="953"/>
      <c r="G5352" s="953"/>
      <c r="H5352" s="953"/>
    </row>
    <row r="5353" spans="1:8" x14ac:dyDescent="0.25">
      <c r="A5353" s="952"/>
      <c r="B5353" s="953"/>
      <c r="C5353" s="953"/>
      <c r="D5353" s="953"/>
      <c r="E5353" s="953"/>
      <c r="F5353" s="953"/>
      <c r="G5353" s="953"/>
      <c r="H5353" s="953"/>
    </row>
    <row r="5354" spans="1:8" x14ac:dyDescent="0.25">
      <c r="A5354" s="952"/>
      <c r="B5354" s="953"/>
      <c r="C5354" s="953"/>
      <c r="D5354" s="953"/>
      <c r="E5354" s="953"/>
      <c r="F5354" s="953"/>
      <c r="G5354" s="953"/>
      <c r="H5354" s="953"/>
    </row>
    <row r="5355" spans="1:8" x14ac:dyDescent="0.25">
      <c r="A5355" s="952"/>
      <c r="B5355" s="953"/>
      <c r="C5355" s="953"/>
      <c r="D5355" s="953"/>
      <c r="E5355" s="953"/>
      <c r="F5355" s="953"/>
      <c r="G5355" s="953"/>
      <c r="H5355" s="953"/>
    </row>
    <row r="5356" spans="1:8" x14ac:dyDescent="0.25">
      <c r="A5356" s="952"/>
      <c r="B5356" s="953"/>
      <c r="C5356" s="953"/>
      <c r="D5356" s="953"/>
      <c r="E5356" s="953"/>
      <c r="F5356" s="953"/>
      <c r="G5356" s="953"/>
      <c r="H5356" s="953"/>
    </row>
    <row r="5357" spans="1:8" x14ac:dyDescent="0.25">
      <c r="A5357" s="952"/>
      <c r="B5357" s="953"/>
      <c r="C5357" s="953"/>
      <c r="D5357" s="953"/>
      <c r="E5357" s="953"/>
      <c r="F5357" s="953"/>
      <c r="G5357" s="953"/>
      <c r="H5357" s="953"/>
    </row>
    <row r="5358" spans="1:8" x14ac:dyDescent="0.25">
      <c r="A5358" s="952"/>
      <c r="B5358" s="953"/>
      <c r="C5358" s="953"/>
      <c r="D5358" s="953"/>
      <c r="E5358" s="953"/>
      <c r="F5358" s="953"/>
      <c r="G5358" s="953"/>
      <c r="H5358" s="953"/>
    </row>
    <row r="5359" spans="1:8" x14ac:dyDescent="0.25">
      <c r="A5359" s="952"/>
      <c r="B5359" s="953"/>
      <c r="C5359" s="953"/>
      <c r="D5359" s="953"/>
      <c r="E5359" s="953"/>
      <c r="F5359" s="953"/>
      <c r="G5359" s="953"/>
      <c r="H5359" s="953"/>
    </row>
    <row r="5360" spans="1:8" x14ac:dyDescent="0.25">
      <c r="A5360" s="952"/>
      <c r="B5360" s="953"/>
      <c r="C5360" s="953"/>
      <c r="D5360" s="953"/>
      <c r="E5360" s="953"/>
      <c r="F5360" s="953"/>
      <c r="G5360" s="953"/>
      <c r="H5360" s="953"/>
    </row>
    <row r="5361" spans="1:8" x14ac:dyDescent="0.25">
      <c r="A5361" s="952"/>
      <c r="B5361" s="953"/>
      <c r="C5361" s="953"/>
      <c r="D5361" s="953"/>
      <c r="E5361" s="953"/>
      <c r="F5361" s="953"/>
      <c r="G5361" s="953"/>
      <c r="H5361" s="953"/>
    </row>
    <row r="5362" spans="1:8" x14ac:dyDescent="0.25">
      <c r="A5362" s="952"/>
      <c r="B5362" s="953"/>
      <c r="C5362" s="953"/>
      <c r="D5362" s="953"/>
      <c r="E5362" s="953"/>
      <c r="F5362" s="953"/>
      <c r="G5362" s="953"/>
      <c r="H5362" s="953"/>
    </row>
    <row r="5363" spans="1:8" x14ac:dyDescent="0.25">
      <c r="A5363" s="952"/>
      <c r="B5363" s="953"/>
      <c r="C5363" s="953"/>
      <c r="D5363" s="953"/>
      <c r="E5363" s="953"/>
      <c r="F5363" s="953"/>
      <c r="G5363" s="953"/>
      <c r="H5363" s="953"/>
    </row>
    <row r="5364" spans="1:8" x14ac:dyDescent="0.25">
      <c r="A5364" s="952"/>
      <c r="B5364" s="953"/>
      <c r="C5364" s="953"/>
      <c r="D5364" s="953"/>
      <c r="E5364" s="953"/>
      <c r="F5364" s="953"/>
      <c r="G5364" s="953"/>
      <c r="H5364" s="953"/>
    </row>
    <row r="5365" spans="1:8" x14ac:dyDescent="0.25">
      <c r="A5365" s="952"/>
      <c r="B5365" s="953"/>
      <c r="C5365" s="953"/>
      <c r="D5365" s="953"/>
      <c r="E5365" s="953"/>
      <c r="F5365" s="953"/>
      <c r="G5365" s="953"/>
      <c r="H5365" s="953"/>
    </row>
    <row r="5366" spans="1:8" x14ac:dyDescent="0.25">
      <c r="A5366" s="952"/>
      <c r="B5366" s="953"/>
      <c r="C5366" s="953"/>
      <c r="D5366" s="953"/>
      <c r="E5366" s="953"/>
      <c r="F5366" s="953"/>
      <c r="G5366" s="953"/>
      <c r="H5366" s="953"/>
    </row>
    <row r="5367" spans="1:8" x14ac:dyDescent="0.25">
      <c r="A5367" s="952"/>
      <c r="B5367" s="953"/>
      <c r="C5367" s="953"/>
      <c r="D5367" s="953"/>
      <c r="E5367" s="953"/>
      <c r="F5367" s="953"/>
      <c r="G5367" s="953"/>
      <c r="H5367" s="953"/>
    </row>
    <row r="5368" spans="1:8" x14ac:dyDescent="0.25">
      <c r="A5368" s="952"/>
      <c r="B5368" s="953"/>
      <c r="C5368" s="953"/>
      <c r="D5368" s="953"/>
      <c r="E5368" s="953"/>
      <c r="F5368" s="953"/>
      <c r="G5368" s="953"/>
      <c r="H5368" s="953"/>
    </row>
    <row r="5369" spans="1:8" x14ac:dyDescent="0.25">
      <c r="A5369" s="952"/>
      <c r="B5369" s="953"/>
      <c r="C5369" s="953"/>
      <c r="D5369" s="953"/>
      <c r="E5369" s="953"/>
      <c r="F5369" s="953"/>
      <c r="G5369" s="953"/>
      <c r="H5369" s="953"/>
    </row>
    <row r="5370" spans="1:8" x14ac:dyDescent="0.25">
      <c r="A5370" s="952"/>
      <c r="B5370" s="953"/>
      <c r="C5370" s="953"/>
      <c r="D5370" s="953"/>
      <c r="E5370" s="953"/>
      <c r="F5370" s="953"/>
      <c r="G5370" s="953"/>
      <c r="H5370" s="953"/>
    </row>
    <row r="5371" spans="1:8" x14ac:dyDescent="0.25">
      <c r="A5371" s="952"/>
      <c r="B5371" s="953"/>
      <c r="C5371" s="953"/>
      <c r="D5371" s="953"/>
      <c r="E5371" s="953"/>
      <c r="F5371" s="953"/>
      <c r="G5371" s="953"/>
      <c r="H5371" s="953"/>
    </row>
    <row r="5372" spans="1:8" x14ac:dyDescent="0.25">
      <c r="A5372" s="952"/>
      <c r="B5372" s="953"/>
      <c r="C5372" s="953"/>
      <c r="D5372" s="953"/>
      <c r="E5372" s="953"/>
      <c r="F5372" s="953"/>
      <c r="G5372" s="953"/>
      <c r="H5372" s="953"/>
    </row>
    <row r="5373" spans="1:8" x14ac:dyDescent="0.25">
      <c r="A5373" s="952"/>
      <c r="B5373" s="953"/>
      <c r="C5373" s="953"/>
      <c r="D5373" s="953"/>
      <c r="E5373" s="953"/>
      <c r="F5373" s="953"/>
      <c r="G5373" s="953"/>
      <c r="H5373" s="953"/>
    </row>
    <row r="5374" spans="1:8" x14ac:dyDescent="0.25">
      <c r="A5374" s="952"/>
      <c r="B5374" s="953"/>
      <c r="C5374" s="953"/>
      <c r="D5374" s="953"/>
      <c r="E5374" s="953"/>
      <c r="F5374" s="953"/>
      <c r="G5374" s="953"/>
      <c r="H5374" s="953"/>
    </row>
    <row r="5375" spans="1:8" x14ac:dyDescent="0.25">
      <c r="A5375" s="952"/>
      <c r="B5375" s="953"/>
      <c r="C5375" s="953"/>
      <c r="D5375" s="953"/>
      <c r="E5375" s="953"/>
      <c r="F5375" s="953"/>
      <c r="G5375" s="953"/>
      <c r="H5375" s="953"/>
    </row>
    <row r="5376" spans="1:8" x14ac:dyDescent="0.25">
      <c r="A5376" s="952"/>
      <c r="B5376" s="953"/>
      <c r="C5376" s="953"/>
      <c r="D5376" s="953"/>
      <c r="E5376" s="953"/>
      <c r="F5376" s="953"/>
      <c r="G5376" s="953"/>
      <c r="H5376" s="953"/>
    </row>
    <row r="5377" spans="1:8" x14ac:dyDescent="0.25">
      <c r="A5377" s="952"/>
      <c r="B5377" s="953"/>
      <c r="C5377" s="953"/>
      <c r="D5377" s="953"/>
      <c r="E5377" s="953"/>
      <c r="F5377" s="953"/>
      <c r="G5377" s="953"/>
      <c r="H5377" s="953"/>
    </row>
    <row r="5378" spans="1:8" x14ac:dyDescent="0.25">
      <c r="A5378" s="952"/>
      <c r="B5378" s="953"/>
      <c r="C5378" s="953"/>
      <c r="D5378" s="953"/>
      <c r="E5378" s="953"/>
      <c r="F5378" s="953"/>
      <c r="G5378" s="953"/>
      <c r="H5378" s="953"/>
    </row>
    <row r="5379" spans="1:8" x14ac:dyDescent="0.25">
      <c r="A5379" s="952"/>
      <c r="B5379" s="953"/>
      <c r="C5379" s="953"/>
      <c r="D5379" s="953"/>
      <c r="E5379" s="953"/>
      <c r="F5379" s="953"/>
      <c r="G5379" s="953"/>
      <c r="H5379" s="953"/>
    </row>
    <row r="5380" spans="1:8" x14ac:dyDescent="0.25">
      <c r="A5380" s="952"/>
      <c r="B5380" s="953"/>
      <c r="C5380" s="953"/>
      <c r="D5380" s="953"/>
      <c r="E5380" s="953"/>
      <c r="F5380" s="953"/>
      <c r="G5380" s="953"/>
      <c r="H5380" s="953"/>
    </row>
    <row r="5381" spans="1:8" x14ac:dyDescent="0.25">
      <c r="A5381" s="952"/>
      <c r="B5381" s="953"/>
      <c r="C5381" s="953"/>
      <c r="D5381" s="953"/>
      <c r="E5381" s="953"/>
      <c r="F5381" s="953"/>
      <c r="G5381" s="953"/>
      <c r="H5381" s="953"/>
    </row>
    <row r="5382" spans="1:8" x14ac:dyDescent="0.25">
      <c r="A5382" s="952"/>
      <c r="B5382" s="953"/>
      <c r="C5382" s="953"/>
      <c r="D5382" s="953"/>
      <c r="E5382" s="953"/>
      <c r="F5382" s="953"/>
      <c r="G5382" s="953"/>
      <c r="H5382" s="953"/>
    </row>
    <row r="5383" spans="1:8" x14ac:dyDescent="0.25">
      <c r="A5383" s="952"/>
      <c r="B5383" s="953"/>
      <c r="C5383" s="953"/>
      <c r="D5383" s="953"/>
      <c r="E5383" s="953"/>
      <c r="F5383" s="953"/>
      <c r="G5383" s="953"/>
      <c r="H5383" s="953"/>
    </row>
    <row r="5384" spans="1:8" x14ac:dyDescent="0.25">
      <c r="A5384" s="952"/>
      <c r="B5384" s="953"/>
      <c r="C5384" s="953"/>
      <c r="D5384" s="953"/>
      <c r="E5384" s="953"/>
      <c r="F5384" s="953"/>
      <c r="G5384" s="953"/>
      <c r="H5384" s="953"/>
    </row>
    <row r="5385" spans="1:8" x14ac:dyDescent="0.25">
      <c r="A5385" s="952"/>
      <c r="B5385" s="953"/>
      <c r="C5385" s="953"/>
      <c r="D5385" s="953"/>
      <c r="E5385" s="953"/>
      <c r="F5385" s="953"/>
      <c r="G5385" s="953"/>
      <c r="H5385" s="953"/>
    </row>
    <row r="5386" spans="1:8" x14ac:dyDescent="0.25">
      <c r="A5386" s="952"/>
      <c r="B5386" s="953"/>
      <c r="C5386" s="953"/>
      <c r="D5386" s="953"/>
      <c r="E5386" s="953"/>
      <c r="F5386" s="953"/>
      <c r="G5386" s="953"/>
      <c r="H5386" s="953"/>
    </row>
    <row r="5387" spans="1:8" x14ac:dyDescent="0.25">
      <c r="A5387" s="952"/>
      <c r="B5387" s="953"/>
      <c r="C5387" s="953"/>
      <c r="D5387" s="953"/>
      <c r="E5387" s="953"/>
      <c r="F5387" s="953"/>
      <c r="G5387" s="953"/>
      <c r="H5387" s="953"/>
    </row>
    <row r="5388" spans="1:8" x14ac:dyDescent="0.25">
      <c r="A5388" s="952"/>
      <c r="B5388" s="953"/>
      <c r="C5388" s="953"/>
      <c r="D5388" s="953"/>
      <c r="E5388" s="953"/>
      <c r="F5388" s="953"/>
      <c r="G5388" s="953"/>
      <c r="H5388" s="953"/>
    </row>
    <row r="5389" spans="1:8" x14ac:dyDescent="0.25">
      <c r="A5389" s="952"/>
      <c r="B5389" s="953"/>
      <c r="C5389" s="953"/>
      <c r="D5389" s="953"/>
      <c r="E5389" s="953"/>
      <c r="F5389" s="953"/>
      <c r="G5389" s="953"/>
      <c r="H5389" s="953"/>
    </row>
    <row r="5390" spans="1:8" x14ac:dyDescent="0.25">
      <c r="A5390" s="952"/>
      <c r="B5390" s="953"/>
      <c r="C5390" s="953"/>
      <c r="D5390" s="953"/>
      <c r="E5390" s="953"/>
      <c r="F5390" s="953"/>
      <c r="G5390" s="953"/>
      <c r="H5390" s="953"/>
    </row>
    <row r="5391" spans="1:8" x14ac:dyDescent="0.25">
      <c r="A5391" s="952"/>
      <c r="B5391" s="953"/>
      <c r="C5391" s="953"/>
      <c r="D5391" s="953"/>
      <c r="E5391" s="953"/>
      <c r="F5391" s="953"/>
      <c r="G5391" s="953"/>
      <c r="H5391" s="953"/>
    </row>
    <row r="5392" spans="1:8" x14ac:dyDescent="0.25">
      <c r="A5392" s="952"/>
      <c r="B5392" s="953"/>
      <c r="C5392" s="953"/>
      <c r="D5392" s="953"/>
      <c r="E5392" s="953"/>
      <c r="F5392" s="953"/>
      <c r="G5392" s="953"/>
      <c r="H5392" s="953"/>
    </row>
    <row r="5393" spans="1:8" x14ac:dyDescent="0.25">
      <c r="A5393" s="952"/>
      <c r="B5393" s="953"/>
      <c r="C5393" s="953"/>
      <c r="D5393" s="953"/>
      <c r="E5393" s="953"/>
      <c r="F5393" s="953"/>
      <c r="G5393" s="953"/>
      <c r="H5393" s="953"/>
    </row>
    <row r="5394" spans="1:8" x14ac:dyDescent="0.25">
      <c r="A5394" s="952"/>
      <c r="B5394" s="953"/>
      <c r="C5394" s="953"/>
      <c r="D5394" s="953"/>
      <c r="E5394" s="953"/>
      <c r="F5394" s="953"/>
      <c r="G5394" s="953"/>
      <c r="H5394" s="953"/>
    </row>
    <row r="5395" spans="1:8" x14ac:dyDescent="0.25">
      <c r="A5395" s="952"/>
      <c r="B5395" s="953"/>
      <c r="C5395" s="953"/>
      <c r="D5395" s="953"/>
      <c r="E5395" s="953"/>
      <c r="F5395" s="953"/>
      <c r="G5395" s="953"/>
      <c r="H5395" s="953"/>
    </row>
    <row r="5396" spans="1:8" x14ac:dyDescent="0.25">
      <c r="A5396" s="952"/>
      <c r="B5396" s="953"/>
      <c r="C5396" s="953"/>
      <c r="D5396" s="953"/>
      <c r="E5396" s="953"/>
      <c r="F5396" s="953"/>
      <c r="G5396" s="953"/>
      <c r="H5396" s="953"/>
    </row>
    <row r="5397" spans="1:8" x14ac:dyDescent="0.25">
      <c r="A5397" s="952"/>
      <c r="B5397" s="953"/>
      <c r="C5397" s="953"/>
      <c r="D5397" s="953"/>
      <c r="E5397" s="953"/>
      <c r="F5397" s="953"/>
      <c r="G5397" s="953"/>
      <c r="H5397" s="953"/>
    </row>
    <row r="5398" spans="1:8" x14ac:dyDescent="0.25">
      <c r="A5398" s="952"/>
      <c r="B5398" s="953"/>
      <c r="C5398" s="953"/>
      <c r="D5398" s="953"/>
      <c r="E5398" s="953"/>
      <c r="F5398" s="953"/>
      <c r="G5398" s="953"/>
      <c r="H5398" s="953"/>
    </row>
    <row r="5399" spans="1:8" x14ac:dyDescent="0.25">
      <c r="A5399" s="952"/>
      <c r="B5399" s="953"/>
      <c r="C5399" s="953"/>
      <c r="D5399" s="953"/>
      <c r="E5399" s="953"/>
      <c r="F5399" s="953"/>
      <c r="G5399" s="953"/>
      <c r="H5399" s="953"/>
    </row>
    <row r="5400" spans="1:8" x14ac:dyDescent="0.25">
      <c r="A5400" s="952"/>
      <c r="B5400" s="953"/>
      <c r="C5400" s="953"/>
      <c r="D5400" s="953"/>
      <c r="E5400" s="953"/>
      <c r="F5400" s="953"/>
      <c r="G5400" s="953"/>
      <c r="H5400" s="953"/>
    </row>
    <row r="5401" spans="1:8" x14ac:dyDescent="0.25">
      <c r="A5401" s="952"/>
      <c r="B5401" s="953"/>
      <c r="C5401" s="953"/>
      <c r="D5401" s="953"/>
      <c r="E5401" s="953"/>
      <c r="F5401" s="953"/>
      <c r="G5401" s="953"/>
      <c r="H5401" s="953"/>
    </row>
    <row r="5402" spans="1:8" x14ac:dyDescent="0.25">
      <c r="A5402" s="952"/>
      <c r="B5402" s="953"/>
      <c r="C5402" s="953"/>
      <c r="D5402" s="953"/>
      <c r="E5402" s="953"/>
      <c r="F5402" s="953"/>
      <c r="G5402" s="953"/>
      <c r="H5402" s="953"/>
    </row>
    <row r="5403" spans="1:8" x14ac:dyDescent="0.25">
      <c r="A5403" s="952"/>
      <c r="B5403" s="953"/>
      <c r="C5403" s="953"/>
      <c r="D5403" s="953"/>
      <c r="E5403" s="953"/>
      <c r="F5403" s="953"/>
      <c r="G5403" s="953"/>
      <c r="H5403" s="953"/>
    </row>
    <row r="5404" spans="1:8" x14ac:dyDescent="0.25">
      <c r="A5404" s="952"/>
      <c r="B5404" s="953"/>
      <c r="C5404" s="953"/>
      <c r="D5404" s="953"/>
      <c r="E5404" s="953"/>
      <c r="F5404" s="953"/>
      <c r="G5404" s="953"/>
      <c r="H5404" s="953"/>
    </row>
    <row r="5405" spans="1:8" x14ac:dyDescent="0.25">
      <c r="A5405" s="952"/>
      <c r="B5405" s="953"/>
      <c r="C5405" s="953"/>
      <c r="D5405" s="953"/>
      <c r="E5405" s="953"/>
      <c r="F5405" s="953"/>
      <c r="G5405" s="953"/>
      <c r="H5405" s="953"/>
    </row>
    <row r="5406" spans="1:8" x14ac:dyDescent="0.25">
      <c r="A5406" s="952"/>
      <c r="B5406" s="953"/>
      <c r="C5406" s="953"/>
      <c r="D5406" s="953"/>
      <c r="E5406" s="953"/>
      <c r="F5406" s="953"/>
      <c r="G5406" s="953"/>
      <c r="H5406" s="953"/>
    </row>
    <row r="5407" spans="1:8" x14ac:dyDescent="0.25">
      <c r="A5407" s="952"/>
      <c r="B5407" s="953"/>
      <c r="C5407" s="953"/>
      <c r="D5407" s="953"/>
      <c r="E5407" s="953"/>
      <c r="F5407" s="953"/>
      <c r="G5407" s="953"/>
      <c r="H5407" s="953"/>
    </row>
    <row r="5408" spans="1:8" x14ac:dyDescent="0.25">
      <c r="A5408" s="952"/>
      <c r="B5408" s="953"/>
      <c r="C5408" s="953"/>
      <c r="D5408" s="953"/>
      <c r="E5408" s="953"/>
      <c r="F5408" s="953"/>
      <c r="G5408" s="953"/>
      <c r="H5408" s="953"/>
    </row>
    <row r="5409" spans="1:8" x14ac:dyDescent="0.25">
      <c r="A5409" s="952"/>
      <c r="B5409" s="953"/>
      <c r="C5409" s="953"/>
      <c r="D5409" s="953"/>
      <c r="E5409" s="953"/>
      <c r="F5409" s="953"/>
      <c r="G5409" s="953"/>
      <c r="H5409" s="953"/>
    </row>
    <row r="5410" spans="1:8" x14ac:dyDescent="0.25">
      <c r="A5410" s="952"/>
      <c r="B5410" s="953"/>
      <c r="C5410" s="953"/>
      <c r="D5410" s="953"/>
      <c r="E5410" s="953"/>
      <c r="F5410" s="953"/>
      <c r="G5410" s="953"/>
      <c r="H5410" s="953"/>
    </row>
    <row r="5411" spans="1:8" x14ac:dyDescent="0.25">
      <c r="A5411" s="952"/>
      <c r="B5411" s="953"/>
      <c r="C5411" s="953"/>
      <c r="D5411" s="953"/>
      <c r="E5411" s="953"/>
      <c r="F5411" s="953"/>
      <c r="G5411" s="953"/>
      <c r="H5411" s="953"/>
    </row>
    <row r="5412" spans="1:8" x14ac:dyDescent="0.25">
      <c r="A5412" s="952"/>
      <c r="B5412" s="953"/>
      <c r="C5412" s="953"/>
      <c r="D5412" s="953"/>
      <c r="E5412" s="953"/>
      <c r="F5412" s="953"/>
      <c r="G5412" s="953"/>
      <c r="H5412" s="953"/>
    </row>
    <row r="5413" spans="1:8" x14ac:dyDescent="0.25">
      <c r="A5413" s="952"/>
      <c r="B5413" s="953"/>
      <c r="C5413" s="953"/>
      <c r="D5413" s="953"/>
      <c r="E5413" s="953"/>
      <c r="F5413" s="953"/>
      <c r="G5413" s="953"/>
      <c r="H5413" s="953"/>
    </row>
    <row r="5414" spans="1:8" x14ac:dyDescent="0.25">
      <c r="A5414" s="952"/>
      <c r="B5414" s="953"/>
      <c r="C5414" s="953"/>
      <c r="D5414" s="953"/>
      <c r="E5414" s="953"/>
      <c r="F5414" s="953"/>
      <c r="G5414" s="953"/>
      <c r="H5414" s="953"/>
    </row>
    <row r="5415" spans="1:8" x14ac:dyDescent="0.25">
      <c r="A5415" s="952"/>
      <c r="B5415" s="953"/>
      <c r="C5415" s="953"/>
      <c r="D5415" s="953"/>
      <c r="E5415" s="953"/>
      <c r="F5415" s="953"/>
      <c r="G5415" s="953"/>
      <c r="H5415" s="953"/>
    </row>
    <row r="5416" spans="1:8" x14ac:dyDescent="0.25">
      <c r="A5416" s="952"/>
      <c r="B5416" s="953"/>
      <c r="C5416" s="953"/>
      <c r="D5416" s="953"/>
      <c r="E5416" s="953"/>
      <c r="F5416" s="953"/>
      <c r="G5416" s="953"/>
      <c r="H5416" s="953"/>
    </row>
    <row r="5417" spans="1:8" x14ac:dyDescent="0.25">
      <c r="A5417" s="952"/>
      <c r="B5417" s="953"/>
      <c r="C5417" s="953"/>
      <c r="D5417" s="953"/>
      <c r="E5417" s="953"/>
      <c r="F5417" s="953"/>
      <c r="G5417" s="953"/>
      <c r="H5417" s="953"/>
    </row>
    <row r="5418" spans="1:8" x14ac:dyDescent="0.25">
      <c r="A5418" s="952"/>
      <c r="B5418" s="953"/>
      <c r="C5418" s="953"/>
      <c r="D5418" s="953"/>
      <c r="E5418" s="953"/>
      <c r="F5418" s="953"/>
      <c r="G5418" s="953"/>
      <c r="H5418" s="953"/>
    </row>
    <row r="5419" spans="1:8" x14ac:dyDescent="0.25">
      <c r="A5419" s="952"/>
      <c r="B5419" s="953"/>
      <c r="C5419" s="953"/>
      <c r="D5419" s="953"/>
      <c r="E5419" s="953"/>
      <c r="F5419" s="953"/>
      <c r="G5419" s="953"/>
      <c r="H5419" s="953"/>
    </row>
    <row r="5420" spans="1:8" x14ac:dyDescent="0.25">
      <c r="A5420" s="952"/>
      <c r="B5420" s="953"/>
      <c r="C5420" s="953"/>
      <c r="D5420" s="953"/>
      <c r="E5420" s="953"/>
      <c r="F5420" s="953"/>
      <c r="G5420" s="953"/>
      <c r="H5420" s="953"/>
    </row>
    <row r="5421" spans="1:8" x14ac:dyDescent="0.25">
      <c r="A5421" s="952"/>
      <c r="B5421" s="953"/>
      <c r="C5421" s="953"/>
      <c r="D5421" s="953"/>
      <c r="E5421" s="953"/>
      <c r="F5421" s="953"/>
      <c r="G5421" s="953"/>
      <c r="H5421" s="953"/>
    </row>
    <row r="5422" spans="1:8" x14ac:dyDescent="0.25">
      <c r="A5422" s="952"/>
      <c r="B5422" s="953"/>
      <c r="C5422" s="953"/>
      <c r="D5422" s="953"/>
      <c r="E5422" s="953"/>
      <c r="F5422" s="953"/>
      <c r="G5422" s="953"/>
      <c r="H5422" s="953"/>
    </row>
    <row r="5423" spans="1:8" x14ac:dyDescent="0.25">
      <c r="A5423" s="952"/>
      <c r="B5423" s="953"/>
      <c r="C5423" s="953"/>
      <c r="D5423" s="953"/>
      <c r="E5423" s="953"/>
      <c r="F5423" s="953"/>
      <c r="G5423" s="953"/>
      <c r="H5423" s="953"/>
    </row>
    <row r="5424" spans="1:8" x14ac:dyDescent="0.25">
      <c r="A5424" s="952"/>
      <c r="B5424" s="953"/>
      <c r="C5424" s="953"/>
      <c r="D5424" s="953"/>
      <c r="E5424" s="953"/>
      <c r="F5424" s="953"/>
      <c r="G5424" s="953"/>
      <c r="H5424" s="953"/>
    </row>
    <row r="5425" spans="1:8" x14ac:dyDescent="0.25">
      <c r="A5425" s="952"/>
      <c r="B5425" s="953"/>
      <c r="C5425" s="953"/>
      <c r="D5425" s="953"/>
      <c r="E5425" s="953"/>
      <c r="F5425" s="953"/>
      <c r="G5425" s="953"/>
      <c r="H5425" s="953"/>
    </row>
    <row r="5426" spans="1:8" x14ac:dyDescent="0.25">
      <c r="A5426" s="952"/>
      <c r="B5426" s="953"/>
      <c r="C5426" s="953"/>
      <c r="D5426" s="953"/>
      <c r="E5426" s="953"/>
      <c r="F5426" s="953"/>
      <c r="G5426" s="953"/>
      <c r="H5426" s="953"/>
    </row>
    <row r="5427" spans="1:8" x14ac:dyDescent="0.25">
      <c r="A5427" s="952"/>
      <c r="B5427" s="953"/>
      <c r="C5427" s="953"/>
      <c r="D5427" s="953"/>
      <c r="E5427" s="953"/>
      <c r="F5427" s="953"/>
      <c r="G5427" s="953"/>
      <c r="H5427" s="953"/>
    </row>
    <row r="5428" spans="1:8" x14ac:dyDescent="0.25">
      <c r="A5428" s="952"/>
      <c r="B5428" s="953"/>
      <c r="C5428" s="953"/>
      <c r="D5428" s="953"/>
      <c r="E5428" s="953"/>
      <c r="F5428" s="953"/>
      <c r="G5428" s="953"/>
      <c r="H5428" s="953"/>
    </row>
    <row r="5429" spans="1:8" x14ac:dyDescent="0.25">
      <c r="A5429" s="952"/>
      <c r="B5429" s="953"/>
      <c r="C5429" s="953"/>
      <c r="D5429" s="953"/>
      <c r="E5429" s="953"/>
      <c r="F5429" s="953"/>
      <c r="G5429" s="953"/>
      <c r="H5429" s="953"/>
    </row>
    <row r="5430" spans="1:8" x14ac:dyDescent="0.25">
      <c r="A5430" s="952"/>
      <c r="B5430" s="953"/>
      <c r="C5430" s="953"/>
      <c r="D5430" s="953"/>
      <c r="E5430" s="953"/>
      <c r="F5430" s="953"/>
      <c r="G5430" s="953"/>
      <c r="H5430" s="953"/>
    </row>
    <row r="5431" spans="1:8" x14ac:dyDescent="0.25">
      <c r="A5431" s="952"/>
      <c r="B5431" s="953"/>
      <c r="C5431" s="953"/>
      <c r="D5431" s="953"/>
      <c r="E5431" s="953"/>
      <c r="F5431" s="953"/>
      <c r="G5431" s="953"/>
      <c r="H5431" s="953"/>
    </row>
    <row r="5432" spans="1:8" x14ac:dyDescent="0.25">
      <c r="A5432" s="952"/>
      <c r="B5432" s="953"/>
      <c r="C5432" s="953"/>
      <c r="D5432" s="953"/>
      <c r="E5432" s="953"/>
      <c r="F5432" s="953"/>
      <c r="G5432" s="953"/>
      <c r="H5432" s="953"/>
    </row>
    <row r="5433" spans="1:8" x14ac:dyDescent="0.25">
      <c r="A5433" s="952"/>
      <c r="B5433" s="953"/>
      <c r="C5433" s="953"/>
      <c r="D5433" s="953"/>
      <c r="E5433" s="953"/>
      <c r="F5433" s="953"/>
      <c r="G5433" s="953"/>
      <c r="H5433" s="953"/>
    </row>
    <row r="5434" spans="1:8" x14ac:dyDescent="0.25">
      <c r="A5434" s="952"/>
      <c r="B5434" s="953"/>
      <c r="C5434" s="953"/>
      <c r="D5434" s="953"/>
      <c r="E5434" s="953"/>
      <c r="F5434" s="953"/>
      <c r="G5434" s="953"/>
      <c r="H5434" s="953"/>
    </row>
    <row r="5435" spans="1:8" x14ac:dyDescent="0.25">
      <c r="A5435" s="952"/>
      <c r="B5435" s="953"/>
      <c r="C5435" s="953"/>
      <c r="D5435" s="953"/>
      <c r="E5435" s="953"/>
      <c r="F5435" s="953"/>
      <c r="G5435" s="953"/>
      <c r="H5435" s="953"/>
    </row>
    <row r="5436" spans="1:8" x14ac:dyDescent="0.25">
      <c r="A5436" s="952"/>
      <c r="B5436" s="953"/>
      <c r="C5436" s="953"/>
      <c r="D5436" s="953"/>
      <c r="E5436" s="953"/>
      <c r="F5436" s="953"/>
      <c r="G5436" s="953"/>
      <c r="H5436" s="953"/>
    </row>
    <row r="5437" spans="1:8" x14ac:dyDescent="0.25">
      <c r="A5437" s="952"/>
      <c r="B5437" s="953"/>
      <c r="C5437" s="953"/>
      <c r="D5437" s="953"/>
      <c r="E5437" s="953"/>
      <c r="F5437" s="953"/>
      <c r="G5437" s="953"/>
      <c r="H5437" s="953"/>
    </row>
    <row r="5438" spans="1:8" x14ac:dyDescent="0.25">
      <c r="A5438" s="952"/>
      <c r="B5438" s="953"/>
      <c r="C5438" s="953"/>
      <c r="D5438" s="953"/>
      <c r="E5438" s="953"/>
      <c r="F5438" s="953"/>
      <c r="G5438" s="953"/>
      <c r="H5438" s="953"/>
    </row>
    <row r="5439" spans="1:8" x14ac:dyDescent="0.25">
      <c r="A5439" s="952"/>
      <c r="B5439" s="953"/>
      <c r="C5439" s="953"/>
      <c r="D5439" s="953"/>
      <c r="E5439" s="953"/>
      <c r="F5439" s="953"/>
      <c r="G5439" s="953"/>
      <c r="H5439" s="953"/>
    </row>
    <row r="5440" spans="1:8" x14ac:dyDescent="0.25">
      <c r="A5440" s="952"/>
      <c r="B5440" s="953"/>
      <c r="C5440" s="953"/>
      <c r="D5440" s="953"/>
      <c r="E5440" s="953"/>
      <c r="F5440" s="953"/>
      <c r="G5440" s="953"/>
      <c r="H5440" s="953"/>
    </row>
    <row r="5441" spans="1:8" x14ac:dyDescent="0.25">
      <c r="A5441" s="952"/>
      <c r="B5441" s="953"/>
      <c r="C5441" s="953"/>
      <c r="D5441" s="953"/>
      <c r="E5441" s="953"/>
      <c r="F5441" s="953"/>
      <c r="G5441" s="953"/>
      <c r="H5441" s="953"/>
    </row>
    <row r="5442" spans="1:8" x14ac:dyDescent="0.25">
      <c r="A5442" s="952"/>
      <c r="B5442" s="953"/>
      <c r="C5442" s="953"/>
      <c r="D5442" s="953"/>
      <c r="E5442" s="953"/>
      <c r="F5442" s="953"/>
      <c r="G5442" s="953"/>
      <c r="H5442" s="953"/>
    </row>
    <row r="5443" spans="1:8" x14ac:dyDescent="0.25">
      <c r="A5443" s="952"/>
      <c r="B5443" s="953"/>
      <c r="C5443" s="953"/>
      <c r="D5443" s="953"/>
      <c r="E5443" s="953"/>
      <c r="F5443" s="953"/>
      <c r="G5443" s="953"/>
      <c r="H5443" s="953"/>
    </row>
    <row r="5444" spans="1:8" x14ac:dyDescent="0.25">
      <c r="A5444" s="952"/>
      <c r="B5444" s="953"/>
      <c r="C5444" s="953"/>
      <c r="D5444" s="953"/>
      <c r="E5444" s="953"/>
      <c r="F5444" s="953"/>
      <c r="G5444" s="953"/>
      <c r="H5444" s="953"/>
    </row>
    <row r="5445" spans="1:8" x14ac:dyDescent="0.25">
      <c r="A5445" s="952"/>
      <c r="B5445" s="953"/>
      <c r="C5445" s="953"/>
      <c r="D5445" s="953"/>
      <c r="E5445" s="953"/>
      <c r="F5445" s="953"/>
      <c r="G5445" s="953"/>
      <c r="H5445" s="953"/>
    </row>
    <row r="5446" spans="1:8" x14ac:dyDescent="0.25">
      <c r="A5446" s="952"/>
      <c r="B5446" s="953"/>
      <c r="C5446" s="953"/>
      <c r="D5446" s="953"/>
      <c r="E5446" s="953"/>
      <c r="F5446" s="953"/>
      <c r="G5446" s="953"/>
      <c r="H5446" s="953"/>
    </row>
    <row r="5447" spans="1:8" x14ac:dyDescent="0.25">
      <c r="A5447" s="952"/>
      <c r="B5447" s="953"/>
      <c r="C5447" s="953"/>
      <c r="D5447" s="953"/>
      <c r="E5447" s="953"/>
      <c r="F5447" s="953"/>
      <c r="G5447" s="953"/>
      <c r="H5447" s="953"/>
    </row>
    <row r="5448" spans="1:8" x14ac:dyDescent="0.25">
      <c r="A5448" s="952"/>
      <c r="B5448" s="953"/>
      <c r="C5448" s="953"/>
      <c r="D5448" s="953"/>
      <c r="E5448" s="953"/>
      <c r="F5448" s="953"/>
      <c r="G5448" s="953"/>
      <c r="H5448" s="953"/>
    </row>
    <row r="5449" spans="1:8" x14ac:dyDescent="0.25">
      <c r="A5449" s="952"/>
      <c r="B5449" s="953"/>
      <c r="C5449" s="953"/>
      <c r="D5449" s="953"/>
      <c r="E5449" s="953"/>
      <c r="F5449" s="953"/>
      <c r="G5449" s="953"/>
      <c r="H5449" s="953"/>
    </row>
    <row r="5450" spans="1:8" x14ac:dyDescent="0.25">
      <c r="A5450" s="952"/>
      <c r="B5450" s="953"/>
      <c r="C5450" s="953"/>
      <c r="D5450" s="953"/>
      <c r="E5450" s="953"/>
      <c r="F5450" s="953"/>
      <c r="G5450" s="953"/>
      <c r="H5450" s="953"/>
    </row>
    <row r="5451" spans="1:8" x14ac:dyDescent="0.25">
      <c r="A5451" s="952"/>
      <c r="B5451" s="953"/>
      <c r="C5451" s="953"/>
      <c r="D5451" s="953"/>
      <c r="E5451" s="953"/>
      <c r="F5451" s="953"/>
      <c r="G5451" s="953"/>
      <c r="H5451" s="953"/>
    </row>
    <row r="5452" spans="1:8" x14ac:dyDescent="0.25">
      <c r="A5452" s="952"/>
      <c r="B5452" s="953"/>
      <c r="C5452" s="953"/>
      <c r="D5452" s="953"/>
      <c r="E5452" s="953"/>
      <c r="F5452" s="953"/>
      <c r="G5452" s="953"/>
      <c r="H5452" s="953"/>
    </row>
    <row r="5453" spans="1:8" x14ac:dyDescent="0.25">
      <c r="A5453" s="952"/>
      <c r="B5453" s="953"/>
      <c r="C5453" s="953"/>
      <c r="D5453" s="953"/>
      <c r="E5453" s="953"/>
      <c r="F5453" s="953"/>
      <c r="G5453" s="953"/>
      <c r="H5453" s="953"/>
    </row>
    <row r="5454" spans="1:8" x14ac:dyDescent="0.25">
      <c r="A5454" s="952"/>
      <c r="B5454" s="953"/>
      <c r="C5454" s="953"/>
      <c r="D5454" s="953"/>
      <c r="E5454" s="953"/>
      <c r="F5454" s="953"/>
      <c r="G5454" s="953"/>
      <c r="H5454" s="953"/>
    </row>
    <row r="5455" spans="1:8" x14ac:dyDescent="0.25">
      <c r="A5455" s="952"/>
      <c r="B5455" s="953"/>
      <c r="C5455" s="953"/>
      <c r="D5455" s="953"/>
      <c r="E5455" s="953"/>
      <c r="F5455" s="953"/>
      <c r="G5455" s="953"/>
      <c r="H5455" s="953"/>
    </row>
    <row r="5456" spans="1:8" x14ac:dyDescent="0.25">
      <c r="A5456" s="952"/>
      <c r="B5456" s="953"/>
      <c r="C5456" s="953"/>
      <c r="D5456" s="953"/>
      <c r="E5456" s="953"/>
      <c r="F5456" s="953"/>
      <c r="G5456" s="953"/>
      <c r="H5456" s="953"/>
    </row>
    <row r="5457" spans="1:8" x14ac:dyDescent="0.25">
      <c r="A5457" s="952"/>
      <c r="B5457" s="953"/>
      <c r="C5457" s="953"/>
      <c r="D5457" s="953"/>
      <c r="E5457" s="953"/>
      <c r="F5457" s="953"/>
      <c r="G5457" s="953"/>
      <c r="H5457" s="953"/>
    </row>
    <row r="5458" spans="1:8" x14ac:dyDescent="0.25">
      <c r="A5458" s="952"/>
      <c r="B5458" s="953"/>
      <c r="C5458" s="953"/>
      <c r="D5458" s="953"/>
      <c r="E5458" s="953"/>
      <c r="F5458" s="953"/>
      <c r="G5458" s="953"/>
      <c r="H5458" s="953"/>
    </row>
    <row r="5459" spans="1:8" x14ac:dyDescent="0.25">
      <c r="A5459" s="952"/>
      <c r="B5459" s="953"/>
      <c r="C5459" s="953"/>
      <c r="D5459" s="953"/>
      <c r="E5459" s="953"/>
      <c r="F5459" s="953"/>
      <c r="G5459" s="953"/>
      <c r="H5459" s="953"/>
    </row>
    <row r="5460" spans="1:8" x14ac:dyDescent="0.25">
      <c r="A5460" s="952"/>
      <c r="B5460" s="953"/>
      <c r="C5460" s="953"/>
      <c r="D5460" s="953"/>
      <c r="E5460" s="953"/>
      <c r="F5460" s="953"/>
      <c r="G5460" s="953"/>
      <c r="H5460" s="953"/>
    </row>
    <row r="5461" spans="1:8" x14ac:dyDescent="0.25">
      <c r="A5461" s="952"/>
      <c r="B5461" s="953"/>
      <c r="C5461" s="953"/>
      <c r="D5461" s="953"/>
      <c r="E5461" s="953"/>
      <c r="F5461" s="953"/>
      <c r="G5461" s="953"/>
      <c r="H5461" s="953"/>
    </row>
    <row r="5462" spans="1:8" x14ac:dyDescent="0.25">
      <c r="A5462" s="952"/>
      <c r="B5462" s="953"/>
      <c r="C5462" s="953"/>
      <c r="D5462" s="953"/>
      <c r="E5462" s="953"/>
      <c r="F5462" s="953"/>
      <c r="G5462" s="953"/>
      <c r="H5462" s="953"/>
    </row>
    <row r="5463" spans="1:8" x14ac:dyDescent="0.25">
      <c r="A5463" s="952"/>
      <c r="B5463" s="953"/>
      <c r="C5463" s="953"/>
      <c r="D5463" s="953"/>
      <c r="E5463" s="953"/>
      <c r="F5463" s="953"/>
      <c r="G5463" s="953"/>
      <c r="H5463" s="953"/>
    </row>
    <row r="5464" spans="1:8" x14ac:dyDescent="0.25">
      <c r="A5464" s="952"/>
      <c r="B5464" s="953"/>
      <c r="C5464" s="953"/>
      <c r="D5464" s="953"/>
      <c r="E5464" s="953"/>
      <c r="F5464" s="953"/>
      <c r="G5464" s="953"/>
      <c r="H5464" s="953"/>
    </row>
    <row r="5465" spans="1:8" x14ac:dyDescent="0.25">
      <c r="A5465" s="952"/>
      <c r="B5465" s="953"/>
      <c r="C5465" s="953"/>
      <c r="D5465" s="953"/>
      <c r="E5465" s="953"/>
      <c r="F5465" s="953"/>
      <c r="G5465" s="953"/>
      <c r="H5465" s="953"/>
    </row>
    <row r="5466" spans="1:8" x14ac:dyDescent="0.25">
      <c r="A5466" s="952"/>
      <c r="B5466" s="953"/>
      <c r="C5466" s="953"/>
      <c r="D5466" s="953"/>
      <c r="E5466" s="953"/>
      <c r="F5466" s="953"/>
      <c r="G5466" s="953"/>
      <c r="H5466" s="953"/>
    </row>
    <row r="5467" spans="1:8" x14ac:dyDescent="0.25">
      <c r="A5467" s="952"/>
      <c r="B5467" s="953"/>
      <c r="C5467" s="953"/>
      <c r="D5467" s="953"/>
      <c r="E5467" s="953"/>
      <c r="F5467" s="953"/>
      <c r="G5467" s="953"/>
      <c r="H5467" s="953"/>
    </row>
    <row r="5468" spans="1:8" x14ac:dyDescent="0.25">
      <c r="A5468" s="952"/>
      <c r="B5468" s="953"/>
      <c r="C5468" s="953"/>
      <c r="D5468" s="953"/>
      <c r="E5468" s="953"/>
      <c r="F5468" s="953"/>
      <c r="G5468" s="953"/>
      <c r="H5468" s="953"/>
    </row>
    <row r="5469" spans="1:8" x14ac:dyDescent="0.25">
      <c r="A5469" s="952"/>
      <c r="B5469" s="953"/>
      <c r="C5469" s="953"/>
      <c r="D5469" s="953"/>
      <c r="E5469" s="953"/>
      <c r="F5469" s="953"/>
      <c r="G5469" s="953"/>
      <c r="H5469" s="953"/>
    </row>
    <row r="5470" spans="1:8" x14ac:dyDescent="0.25">
      <c r="A5470" s="952"/>
      <c r="B5470" s="953"/>
      <c r="C5470" s="953"/>
      <c r="D5470" s="953"/>
      <c r="E5470" s="953"/>
      <c r="F5470" s="953"/>
      <c r="G5470" s="953"/>
      <c r="H5470" s="953"/>
    </row>
    <row r="5471" spans="1:8" x14ac:dyDescent="0.25">
      <c r="A5471" s="952"/>
      <c r="B5471" s="953"/>
      <c r="C5471" s="953"/>
      <c r="D5471" s="953"/>
      <c r="E5471" s="953"/>
      <c r="F5471" s="953"/>
      <c r="G5471" s="953"/>
      <c r="H5471" s="953"/>
    </row>
    <row r="5472" spans="1:8" x14ac:dyDescent="0.25">
      <c r="A5472" s="952"/>
      <c r="B5472" s="953"/>
      <c r="C5472" s="953"/>
      <c r="D5472" s="953"/>
      <c r="E5472" s="953"/>
      <c r="F5472" s="953"/>
      <c r="G5472" s="953"/>
      <c r="H5472" s="953"/>
    </row>
    <row r="5473" spans="1:8" x14ac:dyDescent="0.25">
      <c r="A5473" s="952"/>
      <c r="B5473" s="953"/>
      <c r="C5473" s="953"/>
      <c r="D5473" s="953"/>
      <c r="E5473" s="953"/>
      <c r="F5473" s="953"/>
      <c r="G5473" s="953"/>
      <c r="H5473" s="953"/>
    </row>
    <row r="5474" spans="1:8" x14ac:dyDescent="0.25">
      <c r="A5474" s="952"/>
      <c r="B5474" s="953"/>
      <c r="C5474" s="953"/>
      <c r="D5474" s="953"/>
      <c r="E5474" s="953"/>
      <c r="F5474" s="953"/>
      <c r="G5474" s="953"/>
      <c r="H5474" s="953"/>
    </row>
    <row r="5475" spans="1:8" x14ac:dyDescent="0.25">
      <c r="A5475" s="952"/>
      <c r="B5475" s="953"/>
      <c r="C5475" s="953"/>
      <c r="D5475" s="953"/>
      <c r="E5475" s="953"/>
      <c r="F5475" s="953"/>
      <c r="G5475" s="953"/>
      <c r="H5475" s="953"/>
    </row>
    <row r="5476" spans="1:8" x14ac:dyDescent="0.25">
      <c r="A5476" s="952"/>
      <c r="B5476" s="953"/>
      <c r="C5476" s="953"/>
      <c r="D5476" s="953"/>
      <c r="E5476" s="953"/>
      <c r="F5476" s="953"/>
      <c r="G5476" s="953"/>
      <c r="H5476" s="953"/>
    </row>
    <row r="5477" spans="1:8" x14ac:dyDescent="0.25">
      <c r="A5477" s="952"/>
      <c r="B5477" s="953"/>
      <c r="C5477" s="953"/>
      <c r="D5477" s="953"/>
      <c r="E5477" s="953"/>
      <c r="F5477" s="953"/>
      <c r="G5477" s="953"/>
      <c r="H5477" s="953"/>
    </row>
    <row r="5478" spans="1:8" x14ac:dyDescent="0.25">
      <c r="A5478" s="952"/>
      <c r="B5478" s="953"/>
      <c r="C5478" s="953"/>
      <c r="D5478" s="953"/>
      <c r="E5478" s="953"/>
      <c r="F5478" s="953"/>
      <c r="G5478" s="953"/>
      <c r="H5478" s="953"/>
    </row>
    <row r="5479" spans="1:8" x14ac:dyDescent="0.25">
      <c r="A5479" s="952"/>
      <c r="B5479" s="953"/>
      <c r="C5479" s="953"/>
      <c r="D5479" s="953"/>
      <c r="E5479" s="953"/>
      <c r="F5479" s="953"/>
      <c r="G5479" s="953"/>
      <c r="H5479" s="953"/>
    </row>
    <row r="5480" spans="1:8" x14ac:dyDescent="0.25">
      <c r="A5480" s="952"/>
      <c r="B5480" s="953"/>
      <c r="C5480" s="953"/>
      <c r="D5480" s="953"/>
      <c r="E5480" s="953"/>
      <c r="F5480" s="953"/>
      <c r="G5480" s="953"/>
      <c r="H5480" s="953"/>
    </row>
    <row r="5481" spans="1:8" x14ac:dyDescent="0.25">
      <c r="A5481" s="952"/>
      <c r="B5481" s="953"/>
      <c r="C5481" s="953"/>
      <c r="D5481" s="953"/>
      <c r="E5481" s="953"/>
      <c r="F5481" s="953"/>
      <c r="G5481" s="953"/>
      <c r="H5481" s="953"/>
    </row>
    <row r="5482" spans="1:8" x14ac:dyDescent="0.25">
      <c r="A5482" s="952"/>
      <c r="B5482" s="953"/>
      <c r="C5482" s="953"/>
      <c r="D5482" s="953"/>
      <c r="E5482" s="953"/>
      <c r="F5482" s="953"/>
      <c r="G5482" s="953"/>
      <c r="H5482" s="953"/>
    </row>
    <row r="5483" spans="1:8" x14ac:dyDescent="0.25">
      <c r="A5483" s="952"/>
      <c r="B5483" s="953"/>
      <c r="C5483" s="953"/>
      <c r="D5483" s="953"/>
      <c r="E5483" s="953"/>
      <c r="F5483" s="953"/>
      <c r="G5483" s="953"/>
      <c r="H5483" s="953"/>
    </row>
    <row r="5484" spans="1:8" x14ac:dyDescent="0.25">
      <c r="A5484" s="952"/>
      <c r="B5484" s="953"/>
      <c r="C5484" s="953"/>
      <c r="D5484" s="953"/>
      <c r="E5484" s="953"/>
      <c r="F5484" s="953"/>
      <c r="G5484" s="953"/>
      <c r="H5484" s="953"/>
    </row>
    <row r="5485" spans="1:8" x14ac:dyDescent="0.25">
      <c r="A5485" s="952"/>
      <c r="B5485" s="953"/>
      <c r="C5485" s="953"/>
      <c r="D5485" s="953"/>
      <c r="E5485" s="953"/>
      <c r="F5485" s="953"/>
      <c r="G5485" s="953"/>
      <c r="H5485" s="953"/>
    </row>
    <row r="5486" spans="1:8" x14ac:dyDescent="0.25">
      <c r="A5486" s="952"/>
      <c r="B5486" s="953"/>
      <c r="C5486" s="953"/>
      <c r="D5486" s="953"/>
      <c r="E5486" s="953"/>
      <c r="F5486" s="953"/>
      <c r="G5486" s="953"/>
      <c r="H5486" s="953"/>
    </row>
    <row r="5487" spans="1:8" x14ac:dyDescent="0.25">
      <c r="A5487" s="952"/>
      <c r="B5487" s="953"/>
      <c r="C5487" s="953"/>
      <c r="D5487" s="953"/>
      <c r="E5487" s="953"/>
      <c r="F5487" s="953"/>
      <c r="G5487" s="953"/>
      <c r="H5487" s="953"/>
    </row>
    <row r="5488" spans="1:8" x14ac:dyDescent="0.25">
      <c r="A5488" s="952"/>
      <c r="B5488" s="953"/>
      <c r="C5488" s="953"/>
      <c r="D5488" s="953"/>
      <c r="E5488" s="953"/>
      <c r="F5488" s="953"/>
      <c r="G5488" s="953"/>
      <c r="H5488" s="953"/>
    </row>
    <row r="5489" spans="1:8" x14ac:dyDescent="0.25">
      <c r="A5489" s="952"/>
      <c r="B5489" s="953"/>
      <c r="C5489" s="953"/>
      <c r="D5489" s="953"/>
      <c r="E5489" s="953"/>
      <c r="F5489" s="953"/>
      <c r="G5489" s="953"/>
      <c r="H5489" s="953"/>
    </row>
    <row r="5490" spans="1:8" x14ac:dyDescent="0.25">
      <c r="A5490" s="952"/>
      <c r="B5490" s="953"/>
      <c r="C5490" s="953"/>
      <c r="D5490" s="953"/>
      <c r="E5490" s="953"/>
      <c r="F5490" s="953"/>
      <c r="G5490" s="953"/>
      <c r="H5490" s="953"/>
    </row>
    <row r="5491" spans="1:8" x14ac:dyDescent="0.25">
      <c r="A5491" s="952"/>
      <c r="B5491" s="953"/>
      <c r="C5491" s="953"/>
      <c r="D5491" s="953"/>
      <c r="E5491" s="953"/>
      <c r="F5491" s="953"/>
      <c r="G5491" s="953"/>
      <c r="H5491" s="953"/>
    </row>
    <row r="5492" spans="1:8" x14ac:dyDescent="0.25">
      <c r="A5492" s="952"/>
      <c r="B5492" s="953"/>
      <c r="C5492" s="953"/>
      <c r="D5492" s="953"/>
      <c r="E5492" s="953"/>
      <c r="F5492" s="953"/>
      <c r="G5492" s="953"/>
      <c r="H5492" s="953"/>
    </row>
    <row r="5493" spans="1:8" x14ac:dyDescent="0.25">
      <c r="A5493" s="952"/>
      <c r="B5493" s="953"/>
      <c r="C5493" s="953"/>
      <c r="D5493" s="953"/>
      <c r="E5493" s="953"/>
      <c r="F5493" s="953"/>
      <c r="G5493" s="953"/>
      <c r="H5493" s="953"/>
    </row>
    <row r="5494" spans="1:8" x14ac:dyDescent="0.25">
      <c r="A5494" s="952"/>
      <c r="B5494" s="953"/>
      <c r="C5494" s="953"/>
      <c r="D5494" s="953"/>
      <c r="E5494" s="953"/>
      <c r="F5494" s="953"/>
      <c r="G5494" s="953"/>
      <c r="H5494" s="953"/>
    </row>
    <row r="5495" spans="1:8" x14ac:dyDescent="0.25">
      <c r="A5495" s="952"/>
      <c r="B5495" s="953"/>
      <c r="C5495" s="953"/>
      <c r="D5495" s="953"/>
      <c r="E5495" s="953"/>
      <c r="F5495" s="953"/>
      <c r="G5495" s="953"/>
      <c r="H5495" s="953"/>
    </row>
    <row r="5496" spans="1:8" x14ac:dyDescent="0.25">
      <c r="A5496" s="952"/>
      <c r="B5496" s="953"/>
      <c r="C5496" s="953"/>
      <c r="D5496" s="953"/>
      <c r="E5496" s="953"/>
      <c r="F5496" s="953"/>
      <c r="G5496" s="953"/>
      <c r="H5496" s="953"/>
    </row>
    <row r="5497" spans="1:8" x14ac:dyDescent="0.25">
      <c r="A5497" s="952"/>
      <c r="B5497" s="953"/>
      <c r="C5497" s="953"/>
      <c r="D5497" s="953"/>
      <c r="E5497" s="953"/>
      <c r="F5497" s="953"/>
      <c r="G5497" s="953"/>
      <c r="H5497" s="953"/>
    </row>
    <row r="5498" spans="1:8" x14ac:dyDescent="0.25">
      <c r="A5498" s="952"/>
      <c r="B5498" s="953"/>
      <c r="C5498" s="953"/>
      <c r="D5498" s="953"/>
      <c r="E5498" s="953"/>
      <c r="F5498" s="953"/>
      <c r="G5498" s="953"/>
      <c r="H5498" s="953"/>
    </row>
    <row r="5499" spans="1:8" x14ac:dyDescent="0.25">
      <c r="A5499" s="952"/>
      <c r="B5499" s="953"/>
      <c r="C5499" s="953"/>
      <c r="D5499" s="953"/>
      <c r="E5499" s="953"/>
      <c r="F5499" s="953"/>
      <c r="G5499" s="953"/>
      <c r="H5499" s="953"/>
    </row>
    <row r="5500" spans="1:8" x14ac:dyDescent="0.25">
      <c r="A5500" s="952"/>
      <c r="B5500" s="953"/>
      <c r="C5500" s="953"/>
      <c r="D5500" s="953"/>
      <c r="E5500" s="953"/>
      <c r="F5500" s="953"/>
      <c r="G5500" s="953"/>
      <c r="H5500" s="953"/>
    </row>
    <row r="5501" spans="1:8" x14ac:dyDescent="0.25">
      <c r="A5501" s="952"/>
      <c r="B5501" s="953"/>
      <c r="C5501" s="953"/>
      <c r="D5501" s="953"/>
      <c r="E5501" s="953"/>
      <c r="F5501" s="953"/>
      <c r="G5501" s="953"/>
      <c r="H5501" s="953"/>
    </row>
    <row r="5502" spans="1:8" x14ac:dyDescent="0.25">
      <c r="A5502" s="952"/>
      <c r="B5502" s="953"/>
      <c r="C5502" s="953"/>
      <c r="D5502" s="953"/>
      <c r="E5502" s="953"/>
      <c r="F5502" s="953"/>
      <c r="G5502" s="953"/>
      <c r="H5502" s="953"/>
    </row>
    <row r="5503" spans="1:8" x14ac:dyDescent="0.25">
      <c r="A5503" s="952"/>
      <c r="B5503" s="953"/>
      <c r="C5503" s="953"/>
      <c r="D5503" s="953"/>
      <c r="E5503" s="953"/>
      <c r="F5503" s="953"/>
      <c r="G5503" s="953"/>
      <c r="H5503" s="953"/>
    </row>
    <row r="5504" spans="1:8" x14ac:dyDescent="0.25">
      <c r="A5504" s="952"/>
      <c r="B5504" s="953"/>
      <c r="C5504" s="953"/>
      <c r="D5504" s="953"/>
      <c r="E5504" s="953"/>
      <c r="F5504" s="953"/>
      <c r="G5504" s="953"/>
      <c r="H5504" s="953"/>
    </row>
    <row r="5505" spans="1:8" x14ac:dyDescent="0.25">
      <c r="A5505" s="952"/>
      <c r="B5505" s="953"/>
      <c r="C5505" s="953"/>
      <c r="D5505" s="953"/>
      <c r="E5505" s="953"/>
      <c r="F5505" s="953"/>
      <c r="G5505" s="953"/>
      <c r="H5505" s="953"/>
    </row>
    <row r="5506" spans="1:8" x14ac:dyDescent="0.25">
      <c r="A5506" s="952"/>
      <c r="B5506" s="953"/>
      <c r="C5506" s="953"/>
      <c r="D5506" s="953"/>
      <c r="E5506" s="953"/>
      <c r="F5506" s="953"/>
      <c r="G5506" s="953"/>
      <c r="H5506" s="953"/>
    </row>
    <row r="5507" spans="1:8" x14ac:dyDescent="0.25">
      <c r="A5507" s="952"/>
      <c r="B5507" s="953"/>
      <c r="C5507" s="953"/>
      <c r="D5507" s="953"/>
      <c r="E5507" s="953"/>
      <c r="F5507" s="953"/>
      <c r="G5507" s="953"/>
      <c r="H5507" s="953"/>
    </row>
    <row r="5508" spans="1:8" x14ac:dyDescent="0.25">
      <c r="A5508" s="952"/>
      <c r="B5508" s="953"/>
      <c r="C5508" s="953"/>
      <c r="D5508" s="953"/>
      <c r="E5508" s="953"/>
      <c r="F5508" s="953"/>
      <c r="G5508" s="953"/>
      <c r="H5508" s="953"/>
    </row>
    <row r="5509" spans="1:8" x14ac:dyDescent="0.25">
      <c r="A5509" s="952"/>
      <c r="B5509" s="953"/>
      <c r="C5509" s="953"/>
      <c r="D5509" s="953"/>
      <c r="E5509" s="953"/>
      <c r="F5509" s="953"/>
      <c r="G5509" s="953"/>
      <c r="H5509" s="953"/>
    </row>
    <row r="5510" spans="1:8" x14ac:dyDescent="0.25">
      <c r="A5510" s="952"/>
      <c r="B5510" s="953"/>
      <c r="C5510" s="953"/>
      <c r="D5510" s="953"/>
      <c r="E5510" s="953"/>
      <c r="F5510" s="953"/>
      <c r="G5510" s="953"/>
      <c r="H5510" s="953"/>
    </row>
    <row r="5511" spans="1:8" x14ac:dyDescent="0.25">
      <c r="A5511" s="952"/>
      <c r="B5511" s="953"/>
      <c r="C5511" s="953"/>
      <c r="D5511" s="953"/>
      <c r="E5511" s="953"/>
      <c r="F5511" s="953"/>
      <c r="G5511" s="953"/>
      <c r="H5511" s="953"/>
    </row>
    <row r="5512" spans="1:8" x14ac:dyDescent="0.25">
      <c r="A5512" s="952"/>
      <c r="B5512" s="953"/>
      <c r="C5512" s="953"/>
      <c r="D5512" s="953"/>
      <c r="E5512" s="953"/>
      <c r="F5512" s="953"/>
      <c r="G5512" s="953"/>
      <c r="H5512" s="953"/>
    </row>
    <row r="5513" spans="1:8" x14ac:dyDescent="0.25">
      <c r="A5513" s="952"/>
      <c r="B5513" s="953"/>
      <c r="C5513" s="953"/>
      <c r="D5513" s="953"/>
      <c r="E5513" s="953"/>
      <c r="F5513" s="953"/>
      <c r="G5513" s="953"/>
      <c r="H5513" s="953"/>
    </row>
    <row r="5514" spans="1:8" x14ac:dyDescent="0.25">
      <c r="A5514" s="952"/>
      <c r="B5514" s="953"/>
      <c r="C5514" s="953"/>
      <c r="D5514" s="953"/>
      <c r="E5514" s="953"/>
      <c r="F5514" s="953"/>
      <c r="G5514" s="953"/>
      <c r="H5514" s="953"/>
    </row>
    <row r="5515" spans="1:8" x14ac:dyDescent="0.25">
      <c r="A5515" s="952"/>
      <c r="B5515" s="953"/>
      <c r="C5515" s="953"/>
      <c r="D5515" s="953"/>
      <c r="E5515" s="953"/>
      <c r="F5515" s="953"/>
      <c r="G5515" s="953"/>
      <c r="H5515" s="953"/>
    </row>
    <row r="5516" spans="1:8" x14ac:dyDescent="0.25">
      <c r="A5516" s="952"/>
      <c r="B5516" s="953"/>
      <c r="C5516" s="953"/>
      <c r="D5516" s="953"/>
      <c r="E5516" s="953"/>
      <c r="F5516" s="953"/>
      <c r="G5516" s="953"/>
      <c r="H5516" s="953"/>
    </row>
    <row r="5517" spans="1:8" x14ac:dyDescent="0.25">
      <c r="A5517" s="952"/>
      <c r="B5517" s="953"/>
      <c r="C5517" s="953"/>
      <c r="D5517" s="953"/>
      <c r="E5517" s="953"/>
      <c r="F5517" s="953"/>
      <c r="G5517" s="953"/>
      <c r="H5517" s="953"/>
    </row>
    <row r="5518" spans="1:8" x14ac:dyDescent="0.25">
      <c r="A5518" s="952"/>
      <c r="B5518" s="953"/>
      <c r="C5518" s="953"/>
      <c r="D5518" s="953"/>
      <c r="E5518" s="953"/>
      <c r="F5518" s="953"/>
      <c r="G5518" s="953"/>
      <c r="H5518" s="953"/>
    </row>
    <row r="5519" spans="1:8" x14ac:dyDescent="0.25">
      <c r="A5519" s="952"/>
      <c r="B5519" s="953"/>
      <c r="C5519" s="953"/>
      <c r="D5519" s="953"/>
      <c r="E5519" s="953"/>
      <c r="F5519" s="953"/>
      <c r="G5519" s="953"/>
      <c r="H5519" s="953"/>
    </row>
    <row r="5520" spans="1:8" x14ac:dyDescent="0.25">
      <c r="A5520" s="952"/>
      <c r="B5520" s="953"/>
      <c r="C5520" s="953"/>
      <c r="D5520" s="953"/>
      <c r="E5520" s="953"/>
      <c r="F5520" s="953"/>
      <c r="G5520" s="953"/>
      <c r="H5520" s="953"/>
    </row>
    <row r="5521" spans="1:8" x14ac:dyDescent="0.25">
      <c r="A5521" s="952"/>
      <c r="B5521" s="953"/>
      <c r="C5521" s="953"/>
      <c r="D5521" s="953"/>
      <c r="E5521" s="953"/>
      <c r="F5521" s="953"/>
      <c r="G5521" s="953"/>
      <c r="H5521" s="953"/>
    </row>
    <row r="5522" spans="1:8" x14ac:dyDescent="0.25">
      <c r="A5522" s="952"/>
      <c r="B5522" s="953"/>
      <c r="C5522" s="953"/>
      <c r="D5522" s="953"/>
      <c r="E5522" s="953"/>
      <c r="F5522" s="953"/>
      <c r="G5522" s="953"/>
      <c r="H5522" s="953"/>
    </row>
    <row r="5523" spans="1:8" x14ac:dyDescent="0.25">
      <c r="A5523" s="952"/>
      <c r="B5523" s="953"/>
      <c r="C5523" s="953"/>
      <c r="D5523" s="953"/>
      <c r="E5523" s="953"/>
      <c r="F5523" s="953"/>
      <c r="G5523" s="953"/>
      <c r="H5523" s="953"/>
    </row>
    <row r="5524" spans="1:8" x14ac:dyDescent="0.25">
      <c r="A5524" s="952"/>
      <c r="B5524" s="953"/>
      <c r="C5524" s="953"/>
      <c r="D5524" s="953"/>
      <c r="E5524" s="953"/>
      <c r="F5524" s="953"/>
      <c r="G5524" s="953"/>
      <c r="H5524" s="953"/>
    </row>
    <row r="5525" spans="1:8" x14ac:dyDescent="0.25">
      <c r="A5525" s="952"/>
      <c r="B5525" s="953"/>
      <c r="C5525" s="953"/>
      <c r="D5525" s="953"/>
      <c r="E5525" s="953"/>
      <c r="F5525" s="953"/>
      <c r="G5525" s="953"/>
      <c r="H5525" s="953"/>
    </row>
    <row r="5526" spans="1:8" x14ac:dyDescent="0.25">
      <c r="A5526" s="952"/>
      <c r="B5526" s="953"/>
      <c r="C5526" s="953"/>
      <c r="D5526" s="953"/>
      <c r="E5526" s="953"/>
      <c r="F5526" s="953"/>
      <c r="G5526" s="953"/>
      <c r="H5526" s="953"/>
    </row>
    <row r="5527" spans="1:8" x14ac:dyDescent="0.25">
      <c r="A5527" s="952"/>
      <c r="B5527" s="953"/>
      <c r="C5527" s="953"/>
      <c r="D5527" s="953"/>
      <c r="E5527" s="953"/>
      <c r="F5527" s="953"/>
      <c r="G5527" s="953"/>
      <c r="H5527" s="953"/>
    </row>
    <row r="5528" spans="1:8" x14ac:dyDescent="0.25">
      <c r="A5528" s="952"/>
      <c r="B5528" s="953"/>
      <c r="C5528" s="953"/>
      <c r="D5528" s="953"/>
      <c r="E5528" s="953"/>
      <c r="F5528" s="953"/>
      <c r="G5528" s="953"/>
      <c r="H5528" s="953"/>
    </row>
    <row r="5529" spans="1:8" x14ac:dyDescent="0.25">
      <c r="A5529" s="952"/>
      <c r="B5529" s="953"/>
      <c r="C5529" s="953"/>
      <c r="D5529" s="953"/>
      <c r="E5529" s="953"/>
      <c r="F5529" s="953"/>
      <c r="G5529" s="953"/>
      <c r="H5529" s="953"/>
    </row>
    <row r="5530" spans="1:8" x14ac:dyDescent="0.25">
      <c r="A5530" s="952"/>
      <c r="B5530" s="953"/>
      <c r="C5530" s="953"/>
      <c r="D5530" s="953"/>
      <c r="E5530" s="953"/>
      <c r="F5530" s="953"/>
      <c r="G5530" s="953"/>
      <c r="H5530" s="953"/>
    </row>
    <row r="5531" spans="1:8" x14ac:dyDescent="0.25">
      <c r="A5531" s="952"/>
      <c r="B5531" s="953"/>
      <c r="C5531" s="953"/>
      <c r="D5531" s="953"/>
      <c r="E5531" s="953"/>
      <c r="F5531" s="953"/>
      <c r="G5531" s="953"/>
      <c r="H5531" s="953"/>
    </row>
    <row r="5532" spans="1:8" x14ac:dyDescent="0.25">
      <c r="A5532" s="952"/>
      <c r="B5532" s="953"/>
      <c r="C5532" s="953"/>
      <c r="D5532" s="953"/>
      <c r="E5532" s="953"/>
      <c r="F5532" s="953"/>
      <c r="G5532" s="953"/>
      <c r="H5532" s="953"/>
    </row>
    <row r="5533" spans="1:8" x14ac:dyDescent="0.25">
      <c r="A5533" s="952"/>
      <c r="B5533" s="953"/>
      <c r="C5533" s="953"/>
      <c r="D5533" s="953"/>
      <c r="E5533" s="953"/>
      <c r="F5533" s="953"/>
      <c r="G5533" s="953"/>
      <c r="H5533" s="953"/>
    </row>
    <row r="5534" spans="1:8" x14ac:dyDescent="0.25">
      <c r="A5534" s="952"/>
      <c r="B5534" s="953"/>
      <c r="C5534" s="953"/>
      <c r="D5534" s="953"/>
      <c r="E5534" s="953"/>
      <c r="F5534" s="953"/>
      <c r="G5534" s="953"/>
      <c r="H5534" s="953"/>
    </row>
    <row r="5535" spans="1:8" x14ac:dyDescent="0.25">
      <c r="A5535" s="952"/>
      <c r="B5535" s="953"/>
      <c r="C5535" s="953"/>
      <c r="D5535" s="953"/>
      <c r="E5535" s="953"/>
      <c r="F5535" s="953"/>
      <c r="G5535" s="953"/>
      <c r="H5535" s="953"/>
    </row>
    <row r="5536" spans="1:8" x14ac:dyDescent="0.25">
      <c r="A5536" s="952"/>
      <c r="B5536" s="953"/>
      <c r="C5536" s="953"/>
      <c r="D5536" s="953"/>
      <c r="E5536" s="953"/>
      <c r="F5536" s="953"/>
      <c r="G5536" s="953"/>
      <c r="H5536" s="953"/>
    </row>
    <row r="5537" spans="1:8" x14ac:dyDescent="0.25">
      <c r="A5537" s="952"/>
      <c r="B5537" s="953"/>
      <c r="C5537" s="953"/>
      <c r="D5537" s="953"/>
      <c r="E5537" s="953"/>
      <c r="F5537" s="953"/>
      <c r="G5537" s="953"/>
      <c r="H5537" s="953"/>
    </row>
    <row r="5538" spans="1:8" x14ac:dyDescent="0.25">
      <c r="A5538" s="952"/>
      <c r="B5538" s="953"/>
      <c r="C5538" s="953"/>
      <c r="D5538" s="953"/>
      <c r="E5538" s="953"/>
      <c r="F5538" s="953"/>
      <c r="G5538" s="953"/>
      <c r="H5538" s="953"/>
    </row>
    <row r="5539" spans="1:8" x14ac:dyDescent="0.25">
      <c r="A5539" s="952"/>
      <c r="B5539" s="953"/>
      <c r="C5539" s="953"/>
      <c r="D5539" s="953"/>
      <c r="E5539" s="953"/>
      <c r="F5539" s="953"/>
      <c r="G5539" s="953"/>
      <c r="H5539" s="953"/>
    </row>
    <row r="5540" spans="1:8" x14ac:dyDescent="0.25">
      <c r="A5540" s="952"/>
      <c r="B5540" s="953"/>
      <c r="C5540" s="953"/>
      <c r="D5540" s="953"/>
      <c r="E5540" s="953"/>
      <c r="F5540" s="953"/>
      <c r="G5540" s="953"/>
      <c r="H5540" s="953"/>
    </row>
    <row r="5541" spans="1:8" x14ac:dyDescent="0.25">
      <c r="A5541" s="952"/>
      <c r="B5541" s="953"/>
      <c r="C5541" s="953"/>
      <c r="D5541" s="953"/>
      <c r="E5541" s="953"/>
      <c r="F5541" s="953"/>
      <c r="G5541" s="953"/>
      <c r="H5541" s="953"/>
    </row>
    <row r="5542" spans="1:8" x14ac:dyDescent="0.25">
      <c r="A5542" s="952"/>
      <c r="B5542" s="953"/>
      <c r="C5542" s="953"/>
      <c r="D5542" s="953"/>
      <c r="E5542" s="953"/>
      <c r="F5542" s="953"/>
      <c r="G5542" s="953"/>
      <c r="H5542" s="953"/>
    </row>
    <row r="5543" spans="1:8" x14ac:dyDescent="0.25">
      <c r="A5543" s="952"/>
      <c r="B5543" s="953"/>
      <c r="C5543" s="953"/>
      <c r="D5543" s="953"/>
      <c r="E5543" s="953"/>
      <c r="F5543" s="953"/>
      <c r="G5543" s="953"/>
      <c r="H5543" s="953"/>
    </row>
    <row r="5544" spans="1:8" x14ac:dyDescent="0.25">
      <c r="A5544" s="952"/>
      <c r="B5544" s="953"/>
      <c r="C5544" s="953"/>
      <c r="D5544" s="953"/>
      <c r="E5544" s="953"/>
      <c r="F5544" s="953"/>
      <c r="G5544" s="953"/>
      <c r="H5544" s="953"/>
    </row>
    <row r="5545" spans="1:8" x14ac:dyDescent="0.25">
      <c r="A5545" s="952"/>
      <c r="B5545" s="953"/>
      <c r="C5545" s="953"/>
      <c r="D5545" s="953"/>
      <c r="E5545" s="953"/>
      <c r="F5545" s="953"/>
      <c r="G5545" s="953"/>
      <c r="H5545" s="953"/>
    </row>
    <row r="5546" spans="1:8" x14ac:dyDescent="0.25">
      <c r="A5546" s="952"/>
      <c r="B5546" s="953"/>
      <c r="C5546" s="953"/>
      <c r="D5546" s="953"/>
      <c r="E5546" s="953"/>
      <c r="F5546" s="953"/>
      <c r="G5546" s="953"/>
      <c r="H5546" s="953"/>
    </row>
    <row r="5547" spans="1:8" x14ac:dyDescent="0.25">
      <c r="A5547" s="952"/>
      <c r="B5547" s="953"/>
      <c r="C5547" s="953"/>
      <c r="D5547" s="953"/>
      <c r="E5547" s="953"/>
      <c r="F5547" s="953"/>
      <c r="G5547" s="953"/>
      <c r="H5547" s="953"/>
    </row>
    <row r="5548" spans="1:8" x14ac:dyDescent="0.25">
      <c r="A5548" s="952"/>
      <c r="B5548" s="953"/>
      <c r="C5548" s="953"/>
      <c r="D5548" s="953"/>
      <c r="E5548" s="953"/>
      <c r="F5548" s="953"/>
      <c r="G5548" s="953"/>
      <c r="H5548" s="953"/>
    </row>
    <row r="5549" spans="1:8" x14ac:dyDescent="0.25">
      <c r="A5549" s="952"/>
      <c r="B5549" s="953"/>
      <c r="C5549" s="953"/>
      <c r="D5549" s="953"/>
      <c r="E5549" s="953"/>
      <c r="F5549" s="953"/>
      <c r="G5549" s="953"/>
      <c r="H5549" s="953"/>
    </row>
    <row r="5550" spans="1:8" x14ac:dyDescent="0.25">
      <c r="A5550" s="952"/>
      <c r="B5550" s="953"/>
      <c r="C5550" s="953"/>
      <c r="D5550" s="953"/>
      <c r="E5550" s="953"/>
      <c r="F5550" s="953"/>
      <c r="G5550" s="953"/>
      <c r="H5550" s="953"/>
    </row>
    <row r="5551" spans="1:8" x14ac:dyDescent="0.25">
      <c r="A5551" s="952"/>
      <c r="B5551" s="953"/>
      <c r="C5551" s="953"/>
      <c r="D5551" s="953"/>
      <c r="E5551" s="953"/>
      <c r="F5551" s="953"/>
      <c r="G5551" s="953"/>
      <c r="H5551" s="953"/>
    </row>
    <row r="5552" spans="1:8" x14ac:dyDescent="0.25">
      <c r="A5552" s="952"/>
      <c r="B5552" s="953"/>
      <c r="C5552" s="953"/>
      <c r="D5552" s="953"/>
      <c r="E5552" s="953"/>
      <c r="F5552" s="953"/>
      <c r="G5552" s="953"/>
      <c r="H5552" s="953"/>
    </row>
    <row r="5553" spans="1:8" x14ac:dyDescent="0.25">
      <c r="A5553" s="952"/>
      <c r="B5553" s="953"/>
      <c r="C5553" s="953"/>
      <c r="D5553" s="953"/>
      <c r="E5553" s="953"/>
      <c r="F5553" s="953"/>
      <c r="G5553" s="953"/>
      <c r="H5553" s="953"/>
    </row>
    <row r="5554" spans="1:8" x14ac:dyDescent="0.25">
      <c r="A5554" s="952"/>
      <c r="B5554" s="953"/>
      <c r="C5554" s="953"/>
      <c r="D5554" s="953"/>
      <c r="E5554" s="953"/>
      <c r="F5554" s="953"/>
      <c r="G5554" s="953"/>
      <c r="H5554" s="953"/>
    </row>
    <row r="5555" spans="1:8" x14ac:dyDescent="0.25">
      <c r="A5555" s="952"/>
      <c r="B5555" s="953"/>
      <c r="C5555" s="953"/>
      <c r="D5555" s="953"/>
      <c r="E5555" s="953"/>
      <c r="F5555" s="953"/>
      <c r="G5555" s="953"/>
      <c r="H5555" s="953"/>
    </row>
    <row r="5556" spans="1:8" x14ac:dyDescent="0.25">
      <c r="A5556" s="952"/>
      <c r="B5556" s="953"/>
      <c r="C5556" s="953"/>
      <c r="D5556" s="953"/>
      <c r="E5556" s="953"/>
      <c r="F5556" s="953"/>
      <c r="G5556" s="953"/>
      <c r="H5556" s="953"/>
    </row>
    <row r="5557" spans="1:8" x14ac:dyDescent="0.25">
      <c r="A5557" s="952"/>
      <c r="B5557" s="953"/>
      <c r="C5557" s="953"/>
      <c r="D5557" s="953"/>
      <c r="E5557" s="953"/>
      <c r="F5557" s="953"/>
      <c r="G5557" s="953"/>
      <c r="H5557" s="953"/>
    </row>
    <row r="5558" spans="1:8" x14ac:dyDescent="0.25">
      <c r="A5558" s="952"/>
      <c r="B5558" s="953"/>
      <c r="C5558" s="953"/>
      <c r="D5558" s="953"/>
      <c r="E5558" s="953"/>
      <c r="F5558" s="953"/>
      <c r="G5558" s="953"/>
      <c r="H5558" s="953"/>
    </row>
    <row r="5559" spans="1:8" x14ac:dyDescent="0.25">
      <c r="A5559" s="952"/>
      <c r="B5559" s="953"/>
      <c r="C5559" s="953"/>
      <c r="D5559" s="953"/>
      <c r="E5559" s="953"/>
      <c r="F5559" s="953"/>
      <c r="G5559" s="953"/>
      <c r="H5559" s="953"/>
    </row>
    <row r="5560" spans="1:8" x14ac:dyDescent="0.25">
      <c r="A5560" s="952"/>
      <c r="B5560" s="953"/>
      <c r="C5560" s="953"/>
      <c r="D5560" s="953"/>
      <c r="E5560" s="953"/>
      <c r="F5560" s="953"/>
      <c r="G5560" s="953"/>
      <c r="H5560" s="953"/>
    </row>
    <row r="5561" spans="1:8" x14ac:dyDescent="0.25">
      <c r="A5561" s="952"/>
      <c r="B5561" s="953"/>
      <c r="C5561" s="953"/>
      <c r="D5561" s="953"/>
      <c r="E5561" s="953"/>
      <c r="F5561" s="953"/>
      <c r="G5561" s="953"/>
      <c r="H5561" s="953"/>
    </row>
    <row r="5562" spans="1:8" x14ac:dyDescent="0.25">
      <c r="A5562" s="952"/>
      <c r="B5562" s="953"/>
      <c r="C5562" s="953"/>
      <c r="D5562" s="953"/>
      <c r="E5562" s="953"/>
      <c r="F5562" s="953"/>
      <c r="G5562" s="953"/>
      <c r="H5562" s="953"/>
    </row>
    <row r="5563" spans="1:8" x14ac:dyDescent="0.25">
      <c r="A5563" s="952"/>
      <c r="B5563" s="953"/>
      <c r="C5563" s="953"/>
      <c r="D5563" s="953"/>
      <c r="E5563" s="953"/>
      <c r="F5563" s="953"/>
      <c r="G5563" s="953"/>
      <c r="H5563" s="953"/>
    </row>
    <row r="5564" spans="1:8" x14ac:dyDescent="0.25">
      <c r="A5564" s="952"/>
      <c r="B5564" s="953"/>
      <c r="C5564" s="953"/>
      <c r="D5564" s="953"/>
      <c r="E5564" s="953"/>
      <c r="F5564" s="953"/>
      <c r="G5564" s="953"/>
      <c r="H5564" s="953"/>
    </row>
    <row r="5565" spans="1:8" x14ac:dyDescent="0.25">
      <c r="A5565" s="952"/>
      <c r="B5565" s="953"/>
      <c r="C5565" s="953"/>
      <c r="D5565" s="953"/>
      <c r="E5565" s="953"/>
      <c r="F5565" s="953"/>
      <c r="G5565" s="953"/>
      <c r="H5565" s="953"/>
    </row>
    <row r="5566" spans="1:8" x14ac:dyDescent="0.25">
      <c r="A5566" s="952"/>
      <c r="B5566" s="953"/>
      <c r="C5566" s="953"/>
      <c r="D5566" s="953"/>
      <c r="E5566" s="953"/>
      <c r="F5566" s="953"/>
      <c r="G5566" s="953"/>
      <c r="H5566" s="953"/>
    </row>
    <row r="5567" spans="1:8" x14ac:dyDescent="0.25">
      <c r="A5567" s="952"/>
      <c r="B5567" s="953"/>
      <c r="C5567" s="953"/>
      <c r="D5567" s="953"/>
      <c r="E5567" s="953"/>
      <c r="F5567" s="953"/>
      <c r="G5567" s="953"/>
      <c r="H5567" s="953"/>
    </row>
    <row r="5568" spans="1:8" x14ac:dyDescent="0.25">
      <c r="A5568" s="952"/>
      <c r="B5568" s="953"/>
      <c r="C5568" s="953"/>
      <c r="D5568" s="953"/>
      <c r="E5568" s="953"/>
      <c r="F5568" s="953"/>
      <c r="G5568" s="953"/>
      <c r="H5568" s="953"/>
    </row>
    <row r="5569" spans="1:8" x14ac:dyDescent="0.25">
      <c r="A5569" s="952"/>
      <c r="B5569" s="953"/>
      <c r="C5569" s="953"/>
      <c r="D5569" s="953"/>
      <c r="E5569" s="953"/>
      <c r="F5569" s="953"/>
      <c r="G5569" s="953"/>
      <c r="H5569" s="953"/>
    </row>
    <row r="5570" spans="1:8" x14ac:dyDescent="0.25">
      <c r="A5570" s="952"/>
      <c r="B5570" s="953"/>
      <c r="C5570" s="953"/>
      <c r="D5570" s="953"/>
      <c r="E5570" s="953"/>
      <c r="F5570" s="953"/>
      <c r="G5570" s="953"/>
      <c r="H5570" s="953"/>
    </row>
    <row r="5571" spans="1:8" x14ac:dyDescent="0.25">
      <c r="A5571" s="952"/>
      <c r="B5571" s="953"/>
      <c r="C5571" s="953"/>
      <c r="D5571" s="953"/>
      <c r="E5571" s="953"/>
      <c r="F5571" s="953"/>
      <c r="G5571" s="953"/>
      <c r="H5571" s="953"/>
    </row>
    <row r="5572" spans="1:8" x14ac:dyDescent="0.25">
      <c r="A5572" s="952"/>
      <c r="B5572" s="953"/>
      <c r="C5572" s="953"/>
      <c r="D5572" s="953"/>
      <c r="E5572" s="953"/>
      <c r="F5572" s="953"/>
      <c r="G5572" s="953"/>
      <c r="H5572" s="953"/>
    </row>
    <row r="5573" spans="1:8" x14ac:dyDescent="0.25">
      <c r="A5573" s="952"/>
      <c r="B5573" s="953"/>
      <c r="C5573" s="953"/>
      <c r="D5573" s="953"/>
      <c r="E5573" s="953"/>
      <c r="F5573" s="953"/>
      <c r="G5573" s="953"/>
      <c r="H5573" s="953"/>
    </row>
    <row r="5574" spans="1:8" x14ac:dyDescent="0.25">
      <c r="A5574" s="952"/>
      <c r="B5574" s="953"/>
      <c r="C5574" s="953"/>
      <c r="D5574" s="953"/>
      <c r="E5574" s="953"/>
      <c r="F5574" s="953"/>
      <c r="G5574" s="953"/>
      <c r="H5574" s="953"/>
    </row>
    <row r="5575" spans="1:8" x14ac:dyDescent="0.25">
      <c r="A5575" s="952"/>
      <c r="B5575" s="953"/>
      <c r="C5575" s="953"/>
      <c r="D5575" s="953"/>
      <c r="E5575" s="953"/>
      <c r="F5575" s="953"/>
      <c r="G5575" s="953"/>
      <c r="H5575" s="953"/>
    </row>
    <row r="5576" spans="1:8" x14ac:dyDescent="0.25">
      <c r="A5576" s="952"/>
      <c r="B5576" s="953"/>
      <c r="C5576" s="953"/>
      <c r="D5576" s="953"/>
      <c r="E5576" s="953"/>
      <c r="F5576" s="953"/>
      <c r="G5576" s="953"/>
      <c r="H5576" s="953"/>
    </row>
    <row r="5577" spans="1:8" x14ac:dyDescent="0.25">
      <c r="A5577" s="952"/>
      <c r="B5577" s="953"/>
      <c r="C5577" s="953"/>
      <c r="D5577" s="953"/>
      <c r="E5577" s="953"/>
      <c r="F5577" s="953"/>
      <c r="G5577" s="953"/>
      <c r="H5577" s="953"/>
    </row>
    <row r="5578" spans="1:8" x14ac:dyDescent="0.25">
      <c r="A5578" s="952"/>
      <c r="B5578" s="953"/>
      <c r="C5578" s="953"/>
      <c r="D5578" s="953"/>
      <c r="E5578" s="953"/>
      <c r="F5578" s="953"/>
      <c r="G5578" s="953"/>
      <c r="H5578" s="953"/>
    </row>
    <row r="5579" spans="1:8" x14ac:dyDescent="0.25">
      <c r="A5579" s="952"/>
      <c r="B5579" s="953"/>
      <c r="C5579" s="953"/>
      <c r="D5579" s="953"/>
      <c r="E5579" s="953"/>
      <c r="F5579" s="953"/>
      <c r="G5579" s="953"/>
      <c r="H5579" s="953"/>
    </row>
    <row r="5580" spans="1:8" x14ac:dyDescent="0.25">
      <c r="A5580" s="952"/>
      <c r="B5580" s="953"/>
      <c r="C5580" s="953"/>
      <c r="D5580" s="953"/>
      <c r="E5580" s="953"/>
      <c r="F5580" s="953"/>
      <c r="G5580" s="953"/>
      <c r="H5580" s="953"/>
    </row>
    <row r="5581" spans="1:8" x14ac:dyDescent="0.25">
      <c r="A5581" s="952"/>
      <c r="B5581" s="953"/>
      <c r="C5581" s="953"/>
      <c r="D5581" s="953"/>
      <c r="E5581" s="953"/>
      <c r="F5581" s="953"/>
      <c r="G5581" s="953"/>
      <c r="H5581" s="953"/>
    </row>
    <row r="5582" spans="1:8" x14ac:dyDescent="0.25">
      <c r="A5582" s="952"/>
      <c r="B5582" s="953"/>
      <c r="C5582" s="953"/>
      <c r="D5582" s="953"/>
      <c r="E5582" s="953"/>
      <c r="F5582" s="953"/>
      <c r="G5582" s="953"/>
      <c r="H5582" s="953"/>
    </row>
    <row r="5583" spans="1:8" x14ac:dyDescent="0.25">
      <c r="A5583" s="952"/>
      <c r="B5583" s="953"/>
      <c r="C5583" s="953"/>
      <c r="D5583" s="953"/>
      <c r="E5583" s="953"/>
      <c r="F5583" s="953"/>
      <c r="G5583" s="953"/>
      <c r="H5583" s="953"/>
    </row>
    <row r="5584" spans="1:8" x14ac:dyDescent="0.25">
      <c r="A5584" s="952"/>
      <c r="B5584" s="953"/>
      <c r="C5584" s="953"/>
      <c r="D5584" s="953"/>
      <c r="E5584" s="953"/>
      <c r="F5584" s="953"/>
      <c r="G5584" s="953"/>
      <c r="H5584" s="953"/>
    </row>
    <row r="5585" spans="1:8" x14ac:dyDescent="0.25">
      <c r="A5585" s="952"/>
      <c r="B5585" s="953"/>
      <c r="C5585" s="953"/>
      <c r="D5585" s="953"/>
      <c r="E5585" s="953"/>
      <c r="F5585" s="953"/>
      <c r="G5585" s="953"/>
      <c r="H5585" s="953"/>
    </row>
    <row r="5586" spans="1:8" x14ac:dyDescent="0.25">
      <c r="A5586" s="952"/>
      <c r="B5586" s="953"/>
      <c r="C5586" s="953"/>
      <c r="D5586" s="953"/>
      <c r="E5586" s="953"/>
      <c r="F5586" s="953"/>
      <c r="G5586" s="953"/>
      <c r="H5586" s="953"/>
    </row>
    <row r="5587" spans="1:8" x14ac:dyDescent="0.25">
      <c r="A5587" s="952"/>
      <c r="B5587" s="953"/>
      <c r="C5587" s="953"/>
      <c r="D5587" s="953"/>
      <c r="E5587" s="953"/>
      <c r="F5587" s="953"/>
      <c r="G5587" s="953"/>
      <c r="H5587" s="953"/>
    </row>
    <row r="5588" spans="1:8" x14ac:dyDescent="0.25">
      <c r="A5588" s="952"/>
      <c r="B5588" s="953"/>
      <c r="C5588" s="953"/>
      <c r="D5588" s="953"/>
      <c r="E5588" s="953"/>
      <c r="F5588" s="953"/>
      <c r="G5588" s="953"/>
      <c r="H5588" s="953"/>
    </row>
    <row r="5589" spans="1:8" x14ac:dyDescent="0.25">
      <c r="A5589" s="952"/>
      <c r="B5589" s="953"/>
      <c r="C5589" s="953"/>
      <c r="D5589" s="953"/>
      <c r="E5589" s="953"/>
      <c r="F5589" s="953"/>
      <c r="G5589" s="953"/>
      <c r="H5589" s="953"/>
    </row>
    <row r="5590" spans="1:8" x14ac:dyDescent="0.25">
      <c r="A5590" s="952"/>
      <c r="B5590" s="953"/>
      <c r="C5590" s="953"/>
      <c r="D5590" s="953"/>
      <c r="E5590" s="953"/>
      <c r="F5590" s="953"/>
      <c r="G5590" s="953"/>
      <c r="H5590" s="953"/>
    </row>
    <row r="5591" spans="1:8" x14ac:dyDescent="0.25">
      <c r="A5591" s="952"/>
      <c r="B5591" s="953"/>
      <c r="C5591" s="953"/>
      <c r="D5591" s="953"/>
      <c r="E5591" s="953"/>
      <c r="F5591" s="953"/>
      <c r="G5591" s="953"/>
      <c r="H5591" s="953"/>
    </row>
    <row r="5592" spans="1:8" x14ac:dyDescent="0.25">
      <c r="A5592" s="952"/>
      <c r="B5592" s="953"/>
      <c r="C5592" s="953"/>
      <c r="D5592" s="953"/>
      <c r="E5592" s="953"/>
      <c r="F5592" s="953"/>
      <c r="G5592" s="953"/>
      <c r="H5592" s="953"/>
    </row>
    <row r="5593" spans="1:8" x14ac:dyDescent="0.25">
      <c r="A5593" s="952"/>
      <c r="B5593" s="953"/>
      <c r="C5593" s="953"/>
      <c r="D5593" s="953"/>
      <c r="E5593" s="953"/>
      <c r="F5593" s="953"/>
      <c r="G5593" s="953"/>
      <c r="H5593" s="953"/>
    </row>
    <row r="5594" spans="1:8" x14ac:dyDescent="0.25">
      <c r="A5594" s="952"/>
      <c r="B5594" s="953"/>
      <c r="C5594" s="953"/>
      <c r="D5594" s="953"/>
      <c r="E5594" s="953"/>
      <c r="F5594" s="953"/>
      <c r="G5594" s="953"/>
      <c r="H5594" s="953"/>
    </row>
    <row r="5595" spans="1:8" x14ac:dyDescent="0.25">
      <c r="A5595" s="952"/>
      <c r="B5595" s="953"/>
      <c r="C5595" s="953"/>
      <c r="D5595" s="953"/>
      <c r="E5595" s="953"/>
      <c r="F5595" s="953"/>
      <c r="G5595" s="953"/>
      <c r="H5595" s="953"/>
    </row>
    <row r="5596" spans="1:8" x14ac:dyDescent="0.25">
      <c r="A5596" s="952"/>
      <c r="B5596" s="953"/>
      <c r="C5596" s="953"/>
      <c r="D5596" s="953"/>
      <c r="E5596" s="953"/>
      <c r="F5596" s="953"/>
      <c r="G5596" s="953"/>
      <c r="H5596" s="953"/>
    </row>
    <row r="5597" spans="1:8" x14ac:dyDescent="0.25">
      <c r="A5597" s="952"/>
      <c r="B5597" s="953"/>
      <c r="C5597" s="953"/>
      <c r="D5597" s="953"/>
      <c r="E5597" s="953"/>
      <c r="F5597" s="953"/>
      <c r="G5597" s="953"/>
      <c r="H5597" s="953"/>
    </row>
    <row r="5598" spans="1:8" x14ac:dyDescent="0.25">
      <c r="A5598" s="952"/>
      <c r="B5598" s="953"/>
      <c r="C5598" s="953"/>
      <c r="D5598" s="953"/>
      <c r="E5598" s="953"/>
      <c r="F5598" s="953"/>
      <c r="G5598" s="953"/>
      <c r="H5598" s="953"/>
    </row>
    <row r="5599" spans="1:8" x14ac:dyDescent="0.25">
      <c r="A5599" s="952"/>
      <c r="B5599" s="953"/>
      <c r="C5599" s="953"/>
      <c r="D5599" s="953"/>
      <c r="E5599" s="953"/>
      <c r="F5599" s="953"/>
      <c r="G5599" s="953"/>
      <c r="H5599" s="953"/>
    </row>
    <row r="5600" spans="1:8" x14ac:dyDescent="0.25">
      <c r="A5600" s="952"/>
      <c r="B5600" s="953"/>
      <c r="C5600" s="953"/>
      <c r="D5600" s="953"/>
      <c r="E5600" s="953"/>
      <c r="F5600" s="953"/>
      <c r="G5600" s="953"/>
      <c r="H5600" s="953"/>
    </row>
    <row r="5601" spans="1:8" x14ac:dyDescent="0.25">
      <c r="A5601" s="952"/>
      <c r="B5601" s="953"/>
      <c r="C5601" s="953"/>
      <c r="D5601" s="953"/>
      <c r="E5601" s="953"/>
      <c r="F5601" s="953"/>
      <c r="G5601" s="953"/>
      <c r="H5601" s="953"/>
    </row>
    <row r="5602" spans="1:8" x14ac:dyDescent="0.25">
      <c r="A5602" s="952"/>
      <c r="B5602" s="953"/>
      <c r="C5602" s="953"/>
      <c r="D5602" s="953"/>
      <c r="E5602" s="953"/>
      <c r="F5602" s="953"/>
      <c r="G5602" s="953"/>
      <c r="H5602" s="953"/>
    </row>
    <row r="5603" spans="1:8" x14ac:dyDescent="0.25">
      <c r="A5603" s="952"/>
      <c r="B5603" s="953"/>
      <c r="C5603" s="953"/>
      <c r="D5603" s="953"/>
      <c r="E5603" s="953"/>
      <c r="F5603" s="953"/>
      <c r="G5603" s="953"/>
      <c r="H5603" s="953"/>
    </row>
    <row r="5604" spans="1:8" x14ac:dyDescent="0.25">
      <c r="A5604" s="952"/>
      <c r="B5604" s="953"/>
      <c r="C5604" s="953"/>
      <c r="D5604" s="953"/>
      <c r="E5604" s="953"/>
      <c r="F5604" s="953"/>
      <c r="G5604" s="953"/>
      <c r="H5604" s="953"/>
    </row>
    <row r="5605" spans="1:8" x14ac:dyDescent="0.25">
      <c r="A5605" s="952"/>
      <c r="B5605" s="953"/>
      <c r="C5605" s="953"/>
      <c r="D5605" s="953"/>
      <c r="E5605" s="953"/>
      <c r="F5605" s="953"/>
      <c r="G5605" s="953"/>
      <c r="H5605" s="953"/>
    </row>
    <row r="5606" spans="1:8" x14ac:dyDescent="0.25">
      <c r="A5606" s="952"/>
      <c r="B5606" s="953"/>
      <c r="C5606" s="953"/>
      <c r="D5606" s="953"/>
      <c r="E5606" s="953"/>
      <c r="F5606" s="953"/>
      <c r="G5606" s="953"/>
      <c r="H5606" s="953"/>
    </row>
    <row r="5607" spans="1:8" x14ac:dyDescent="0.25">
      <c r="A5607" s="952"/>
      <c r="B5607" s="953"/>
      <c r="C5607" s="953"/>
      <c r="D5607" s="953"/>
      <c r="E5607" s="953"/>
      <c r="F5607" s="953"/>
      <c r="G5607" s="953"/>
      <c r="H5607" s="953"/>
    </row>
    <row r="5608" spans="1:8" x14ac:dyDescent="0.25">
      <c r="A5608" s="952"/>
      <c r="B5608" s="953"/>
      <c r="C5608" s="953"/>
      <c r="D5608" s="953"/>
      <c r="E5608" s="953"/>
      <c r="F5608" s="953"/>
      <c r="G5608" s="953"/>
      <c r="H5608" s="953"/>
    </row>
    <row r="5609" spans="1:8" x14ac:dyDescent="0.25">
      <c r="A5609" s="952"/>
      <c r="B5609" s="953"/>
      <c r="C5609" s="953"/>
      <c r="D5609" s="953"/>
      <c r="E5609" s="953"/>
      <c r="F5609" s="953"/>
      <c r="G5609" s="953"/>
      <c r="H5609" s="953"/>
    </row>
    <row r="5610" spans="1:8" x14ac:dyDescent="0.25">
      <c r="A5610" s="952"/>
      <c r="B5610" s="953"/>
      <c r="C5610" s="953"/>
      <c r="D5610" s="953"/>
      <c r="E5610" s="953"/>
      <c r="F5610" s="953"/>
      <c r="G5610" s="953"/>
      <c r="H5610" s="953"/>
    </row>
    <row r="5611" spans="1:8" x14ac:dyDescent="0.25">
      <c r="A5611" s="952"/>
      <c r="B5611" s="953"/>
      <c r="C5611" s="953"/>
      <c r="D5611" s="953"/>
      <c r="E5611" s="953"/>
      <c r="F5611" s="953"/>
      <c r="G5611" s="953"/>
      <c r="H5611" s="953"/>
    </row>
    <row r="5612" spans="1:8" x14ac:dyDescent="0.25">
      <c r="A5612" s="952"/>
      <c r="B5612" s="953"/>
      <c r="C5612" s="953"/>
      <c r="D5612" s="953"/>
      <c r="E5612" s="953"/>
      <c r="F5612" s="953"/>
      <c r="G5612" s="953"/>
      <c r="H5612" s="953"/>
    </row>
    <row r="5613" spans="1:8" x14ac:dyDescent="0.25">
      <c r="A5613" s="952"/>
      <c r="B5613" s="953"/>
      <c r="C5613" s="953"/>
      <c r="D5613" s="953"/>
      <c r="E5613" s="953"/>
      <c r="F5613" s="953"/>
      <c r="G5613" s="953"/>
      <c r="H5613" s="953"/>
    </row>
    <row r="5614" spans="1:8" x14ac:dyDescent="0.25">
      <c r="A5614" s="952"/>
      <c r="B5614" s="953"/>
      <c r="C5614" s="953"/>
      <c r="D5614" s="953"/>
      <c r="E5614" s="953"/>
      <c r="F5614" s="953"/>
      <c r="G5614" s="953"/>
      <c r="H5614" s="953"/>
    </row>
    <row r="5615" spans="1:8" x14ac:dyDescent="0.25">
      <c r="A5615" s="952"/>
      <c r="B5615" s="953"/>
      <c r="C5615" s="953"/>
      <c r="D5615" s="953"/>
      <c r="E5615" s="953"/>
      <c r="F5615" s="953"/>
      <c r="G5615" s="953"/>
      <c r="H5615" s="953"/>
    </row>
    <row r="5616" spans="1:8" x14ac:dyDescent="0.25">
      <c r="A5616" s="952"/>
      <c r="B5616" s="953"/>
      <c r="C5616" s="953"/>
      <c r="D5616" s="953"/>
      <c r="E5616" s="953"/>
      <c r="F5616" s="953"/>
      <c r="G5616" s="953"/>
      <c r="H5616" s="953"/>
    </row>
    <row r="5617" spans="1:8" x14ac:dyDescent="0.25">
      <c r="A5617" s="952"/>
      <c r="B5617" s="953"/>
      <c r="C5617" s="953"/>
      <c r="D5617" s="953"/>
      <c r="E5617" s="953"/>
      <c r="F5617" s="953"/>
      <c r="G5617" s="953"/>
      <c r="H5617" s="953"/>
    </row>
    <row r="5618" spans="1:8" x14ac:dyDescent="0.25">
      <c r="A5618" s="952"/>
      <c r="B5618" s="953"/>
      <c r="C5618" s="953"/>
      <c r="D5618" s="953"/>
      <c r="E5618" s="953"/>
      <c r="F5618" s="953"/>
      <c r="G5618" s="953"/>
      <c r="H5618" s="953"/>
    </row>
    <row r="5619" spans="1:8" x14ac:dyDescent="0.25">
      <c r="A5619" s="952"/>
      <c r="B5619" s="953"/>
      <c r="C5619" s="953"/>
      <c r="D5619" s="953"/>
      <c r="E5619" s="953"/>
      <c r="F5619" s="953"/>
      <c r="G5619" s="953"/>
      <c r="H5619" s="953"/>
    </row>
    <row r="5620" spans="1:8" x14ac:dyDescent="0.25">
      <c r="A5620" s="952"/>
      <c r="B5620" s="953"/>
      <c r="C5620" s="953"/>
      <c r="D5620" s="953"/>
      <c r="E5620" s="953"/>
      <c r="F5620" s="953"/>
      <c r="G5620" s="953"/>
      <c r="H5620" s="953"/>
    </row>
    <row r="5621" spans="1:8" x14ac:dyDescent="0.25">
      <c r="A5621" s="952"/>
      <c r="B5621" s="953"/>
      <c r="C5621" s="953"/>
      <c r="D5621" s="953"/>
      <c r="E5621" s="953"/>
      <c r="F5621" s="953"/>
      <c r="G5621" s="953"/>
      <c r="H5621" s="953"/>
    </row>
    <row r="5622" spans="1:8" x14ac:dyDescent="0.25">
      <c r="A5622" s="952"/>
      <c r="B5622" s="953"/>
      <c r="C5622" s="953"/>
      <c r="D5622" s="953"/>
      <c r="E5622" s="953"/>
      <c r="F5622" s="953"/>
      <c r="G5622" s="953"/>
      <c r="H5622" s="953"/>
    </row>
    <row r="5623" spans="1:8" x14ac:dyDescent="0.25">
      <c r="A5623" s="952"/>
      <c r="B5623" s="953"/>
      <c r="C5623" s="953"/>
      <c r="D5623" s="953"/>
      <c r="E5623" s="953"/>
      <c r="F5623" s="953"/>
      <c r="G5623" s="953"/>
      <c r="H5623" s="953"/>
    </row>
    <row r="5624" spans="1:8" x14ac:dyDescent="0.25">
      <c r="A5624" s="952"/>
      <c r="B5624" s="953"/>
      <c r="C5624" s="953"/>
      <c r="D5624" s="953"/>
      <c r="E5624" s="953"/>
      <c r="F5624" s="953"/>
      <c r="G5624" s="953"/>
      <c r="H5624" s="953"/>
    </row>
    <row r="5625" spans="1:8" x14ac:dyDescent="0.25">
      <c r="A5625" s="952"/>
      <c r="B5625" s="953"/>
      <c r="C5625" s="953"/>
      <c r="D5625" s="953"/>
      <c r="E5625" s="953"/>
      <c r="F5625" s="953"/>
      <c r="G5625" s="953"/>
      <c r="H5625" s="953"/>
    </row>
    <row r="5626" spans="1:8" x14ac:dyDescent="0.25">
      <c r="A5626" s="952"/>
      <c r="B5626" s="953"/>
      <c r="C5626" s="953"/>
      <c r="D5626" s="953"/>
      <c r="E5626" s="953"/>
      <c r="F5626" s="953"/>
      <c r="G5626" s="953"/>
      <c r="H5626" s="953"/>
    </row>
    <row r="5627" spans="1:8" x14ac:dyDescent="0.25">
      <c r="A5627" s="952"/>
      <c r="B5627" s="953"/>
      <c r="C5627" s="953"/>
      <c r="D5627" s="953"/>
      <c r="E5627" s="953"/>
      <c r="F5627" s="953"/>
      <c r="G5627" s="953"/>
      <c r="H5627" s="953"/>
    </row>
    <row r="5628" spans="1:8" x14ac:dyDescent="0.25">
      <c r="A5628" s="952"/>
      <c r="B5628" s="953"/>
      <c r="C5628" s="953"/>
      <c r="D5628" s="953"/>
      <c r="E5628" s="953"/>
      <c r="F5628" s="953"/>
      <c r="G5628" s="953"/>
      <c r="H5628" s="953"/>
    </row>
    <row r="5629" spans="1:8" x14ac:dyDescent="0.25">
      <c r="A5629" s="952"/>
      <c r="B5629" s="953"/>
      <c r="C5629" s="953"/>
      <c r="D5629" s="953"/>
      <c r="E5629" s="953"/>
      <c r="F5629" s="953"/>
      <c r="G5629" s="953"/>
      <c r="H5629" s="953"/>
    </row>
    <row r="5630" spans="1:8" x14ac:dyDescent="0.25">
      <c r="A5630" s="952"/>
      <c r="B5630" s="953"/>
      <c r="C5630" s="953"/>
      <c r="D5630" s="953"/>
      <c r="E5630" s="953"/>
      <c r="F5630" s="953"/>
      <c r="G5630" s="953"/>
      <c r="H5630" s="953"/>
    </row>
    <row r="5631" spans="1:8" x14ac:dyDescent="0.25">
      <c r="A5631" s="952"/>
      <c r="B5631" s="953"/>
      <c r="C5631" s="953"/>
      <c r="D5631" s="953"/>
      <c r="E5631" s="953"/>
      <c r="F5631" s="953"/>
      <c r="G5631" s="953"/>
      <c r="H5631" s="953"/>
    </row>
    <row r="5632" spans="1:8" x14ac:dyDescent="0.25">
      <c r="A5632" s="952"/>
      <c r="B5632" s="953"/>
      <c r="C5632" s="953"/>
      <c r="D5632" s="953"/>
      <c r="E5632" s="953"/>
      <c r="F5632" s="953"/>
      <c r="G5632" s="953"/>
      <c r="H5632" s="953"/>
    </row>
    <row r="5633" spans="1:8" x14ac:dyDescent="0.25">
      <c r="A5633" s="952"/>
      <c r="B5633" s="953"/>
      <c r="C5633" s="953"/>
      <c r="D5633" s="953"/>
      <c r="E5633" s="953"/>
      <c r="F5633" s="953"/>
      <c r="G5633" s="953"/>
      <c r="H5633" s="953"/>
    </row>
    <row r="5634" spans="1:8" x14ac:dyDescent="0.25">
      <c r="A5634" s="952"/>
      <c r="B5634" s="953"/>
      <c r="C5634" s="953"/>
      <c r="D5634" s="953"/>
      <c r="E5634" s="953"/>
      <c r="F5634" s="953"/>
      <c r="G5634" s="953"/>
      <c r="H5634" s="953"/>
    </row>
    <row r="5635" spans="1:8" x14ac:dyDescent="0.25">
      <c r="A5635" s="952"/>
      <c r="B5635" s="953"/>
      <c r="C5635" s="953"/>
      <c r="D5635" s="953"/>
      <c r="E5635" s="953"/>
      <c r="F5635" s="953"/>
      <c r="G5635" s="953"/>
      <c r="H5635" s="953"/>
    </row>
    <row r="5636" spans="1:8" x14ac:dyDescent="0.25">
      <c r="A5636" s="952"/>
      <c r="B5636" s="953"/>
      <c r="C5636" s="953"/>
      <c r="D5636" s="953"/>
      <c r="E5636" s="953"/>
      <c r="F5636" s="953"/>
      <c r="G5636" s="953"/>
      <c r="H5636" s="953"/>
    </row>
    <row r="5637" spans="1:8" x14ac:dyDescent="0.25">
      <c r="A5637" s="952"/>
      <c r="B5637" s="953"/>
      <c r="C5637" s="953"/>
      <c r="D5637" s="953"/>
      <c r="E5637" s="953"/>
      <c r="F5637" s="953"/>
      <c r="G5637" s="953"/>
      <c r="H5637" s="953"/>
    </row>
    <row r="5638" spans="1:8" x14ac:dyDescent="0.25">
      <c r="A5638" s="952"/>
      <c r="B5638" s="953"/>
      <c r="C5638" s="953"/>
      <c r="D5638" s="953"/>
      <c r="E5638" s="953"/>
      <c r="F5638" s="953"/>
      <c r="G5638" s="953"/>
      <c r="H5638" s="953"/>
    </row>
    <row r="5639" spans="1:8" x14ac:dyDescent="0.25">
      <c r="A5639" s="952"/>
      <c r="B5639" s="953"/>
      <c r="C5639" s="953"/>
      <c r="D5639" s="953"/>
      <c r="E5639" s="953"/>
      <c r="F5639" s="953"/>
      <c r="G5639" s="953"/>
      <c r="H5639" s="953"/>
    </row>
    <row r="5640" spans="1:8" x14ac:dyDescent="0.25">
      <c r="A5640" s="952"/>
      <c r="B5640" s="953"/>
      <c r="C5640" s="953"/>
      <c r="D5640" s="953"/>
      <c r="E5640" s="953"/>
      <c r="F5640" s="953"/>
      <c r="G5640" s="953"/>
      <c r="H5640" s="953"/>
    </row>
    <row r="5641" spans="1:8" x14ac:dyDescent="0.25">
      <c r="A5641" s="952"/>
      <c r="B5641" s="953"/>
      <c r="C5641" s="953"/>
      <c r="D5641" s="953"/>
      <c r="E5641" s="953"/>
      <c r="F5641" s="953"/>
      <c r="G5641" s="953"/>
      <c r="H5641" s="953"/>
    </row>
    <row r="5642" spans="1:8" x14ac:dyDescent="0.25">
      <c r="A5642" s="952"/>
      <c r="B5642" s="953"/>
      <c r="C5642" s="953"/>
      <c r="D5642" s="953"/>
      <c r="E5642" s="953"/>
      <c r="F5642" s="953"/>
      <c r="G5642" s="953"/>
      <c r="H5642" s="953"/>
    </row>
    <row r="5643" spans="1:8" x14ac:dyDescent="0.25">
      <c r="A5643" s="952"/>
      <c r="B5643" s="953"/>
      <c r="C5643" s="953"/>
      <c r="D5643" s="953"/>
      <c r="E5643" s="953"/>
      <c r="F5643" s="953"/>
      <c r="G5643" s="953"/>
      <c r="H5643" s="953"/>
    </row>
    <row r="5644" spans="1:8" x14ac:dyDescent="0.25">
      <c r="A5644" s="952"/>
      <c r="B5644" s="953"/>
      <c r="C5644" s="953"/>
      <c r="D5644" s="953"/>
      <c r="E5644" s="953"/>
      <c r="F5644" s="953"/>
      <c r="G5644" s="953"/>
      <c r="H5644" s="953"/>
    </row>
    <row r="5645" spans="1:8" x14ac:dyDescent="0.25">
      <c r="A5645" s="952"/>
      <c r="B5645" s="953"/>
      <c r="C5645" s="953"/>
      <c r="D5645" s="953"/>
      <c r="E5645" s="953"/>
      <c r="F5645" s="953"/>
      <c r="G5645" s="953"/>
      <c r="H5645" s="953"/>
    </row>
    <row r="5646" spans="1:8" x14ac:dyDescent="0.25">
      <c r="A5646" s="952"/>
      <c r="B5646" s="953"/>
      <c r="C5646" s="953"/>
      <c r="D5646" s="953"/>
      <c r="E5646" s="953"/>
      <c r="F5646" s="953"/>
      <c r="G5646" s="953"/>
      <c r="H5646" s="953"/>
    </row>
    <row r="5647" spans="1:8" x14ac:dyDescent="0.25">
      <c r="A5647" s="952"/>
      <c r="B5647" s="953"/>
      <c r="C5647" s="953"/>
      <c r="D5647" s="953"/>
      <c r="E5647" s="953"/>
      <c r="F5647" s="953"/>
      <c r="G5647" s="953"/>
      <c r="H5647" s="953"/>
    </row>
    <row r="5648" spans="1:8" x14ac:dyDescent="0.25">
      <c r="A5648" s="952"/>
      <c r="B5648" s="953"/>
      <c r="C5648" s="953"/>
      <c r="D5648" s="953"/>
      <c r="E5648" s="953"/>
      <c r="F5648" s="953"/>
      <c r="G5648" s="953"/>
      <c r="H5648" s="953"/>
    </row>
    <row r="5649" spans="1:8" x14ac:dyDescent="0.25">
      <c r="A5649" s="952"/>
      <c r="B5649" s="953"/>
      <c r="C5649" s="953"/>
      <c r="D5649" s="953"/>
      <c r="E5649" s="953"/>
      <c r="F5649" s="953"/>
      <c r="G5649" s="953"/>
      <c r="H5649" s="953"/>
    </row>
    <row r="5650" spans="1:8" x14ac:dyDescent="0.25">
      <c r="A5650" s="952"/>
      <c r="B5650" s="953"/>
      <c r="C5650" s="953"/>
      <c r="D5650" s="953"/>
      <c r="E5650" s="953"/>
      <c r="F5650" s="953"/>
      <c r="G5650" s="953"/>
      <c r="H5650" s="953"/>
    </row>
    <row r="5651" spans="1:8" x14ac:dyDescent="0.25">
      <c r="A5651" s="952"/>
      <c r="B5651" s="953"/>
      <c r="C5651" s="953"/>
      <c r="D5651" s="953"/>
      <c r="E5651" s="953"/>
      <c r="F5651" s="953"/>
      <c r="G5651" s="953"/>
      <c r="H5651" s="953"/>
    </row>
    <row r="5652" spans="1:8" x14ac:dyDescent="0.25">
      <c r="A5652" s="952"/>
      <c r="B5652" s="953"/>
      <c r="C5652" s="953"/>
      <c r="D5652" s="953"/>
      <c r="E5652" s="953"/>
      <c r="F5652" s="953"/>
      <c r="G5652" s="953"/>
      <c r="H5652" s="953"/>
    </row>
    <row r="5653" spans="1:8" x14ac:dyDescent="0.25">
      <c r="A5653" s="952"/>
      <c r="B5653" s="953"/>
      <c r="C5653" s="953"/>
      <c r="D5653" s="953"/>
      <c r="E5653" s="953"/>
      <c r="F5653" s="953"/>
      <c r="G5653" s="953"/>
      <c r="H5653" s="953"/>
    </row>
    <row r="5654" spans="1:8" x14ac:dyDescent="0.25">
      <c r="A5654" s="952"/>
      <c r="B5654" s="953"/>
      <c r="C5654" s="953"/>
      <c r="D5654" s="953"/>
      <c r="E5654" s="953"/>
      <c r="F5654" s="953"/>
      <c r="G5654" s="953"/>
      <c r="H5654" s="953"/>
    </row>
    <row r="5655" spans="1:8" x14ac:dyDescent="0.25">
      <c r="A5655" s="952"/>
      <c r="B5655" s="953"/>
      <c r="C5655" s="953"/>
      <c r="D5655" s="953"/>
      <c r="E5655" s="953"/>
      <c r="F5655" s="953"/>
      <c r="G5655" s="953"/>
      <c r="H5655" s="953"/>
    </row>
    <row r="5656" spans="1:8" x14ac:dyDescent="0.25">
      <c r="A5656" s="952"/>
      <c r="B5656" s="953"/>
      <c r="C5656" s="953"/>
      <c r="D5656" s="953"/>
      <c r="E5656" s="953"/>
      <c r="F5656" s="953"/>
      <c r="G5656" s="953"/>
      <c r="H5656" s="953"/>
    </row>
    <row r="5657" spans="1:8" x14ac:dyDescent="0.25">
      <c r="A5657" s="952"/>
      <c r="B5657" s="953"/>
      <c r="C5657" s="953"/>
      <c r="D5657" s="953"/>
      <c r="E5657" s="953"/>
      <c r="F5657" s="953"/>
      <c r="G5657" s="953"/>
      <c r="H5657" s="953"/>
    </row>
    <row r="5658" spans="1:8" x14ac:dyDescent="0.25">
      <c r="A5658" s="952"/>
      <c r="B5658" s="953"/>
      <c r="C5658" s="953"/>
      <c r="D5658" s="953"/>
      <c r="E5658" s="953"/>
      <c r="F5658" s="953"/>
      <c r="G5658" s="953"/>
      <c r="H5658" s="953"/>
    </row>
    <row r="5659" spans="1:8" x14ac:dyDescent="0.25">
      <c r="A5659" s="952"/>
      <c r="B5659" s="953"/>
      <c r="C5659" s="953"/>
      <c r="D5659" s="953"/>
      <c r="E5659" s="953"/>
      <c r="F5659" s="953"/>
      <c r="G5659" s="953"/>
      <c r="H5659" s="953"/>
    </row>
    <row r="5660" spans="1:8" x14ac:dyDescent="0.25">
      <c r="A5660" s="952"/>
      <c r="B5660" s="953"/>
      <c r="C5660" s="953"/>
      <c r="D5660" s="953"/>
      <c r="E5660" s="953"/>
      <c r="F5660" s="953"/>
      <c r="G5660" s="953"/>
      <c r="H5660" s="953"/>
    </row>
    <row r="5661" spans="1:8" x14ac:dyDescent="0.25">
      <c r="A5661" s="952"/>
      <c r="B5661" s="953"/>
      <c r="C5661" s="953"/>
      <c r="D5661" s="953"/>
      <c r="E5661" s="953"/>
      <c r="F5661" s="953"/>
      <c r="G5661" s="953"/>
      <c r="H5661" s="953"/>
    </row>
    <row r="5662" spans="1:8" x14ac:dyDescent="0.25">
      <c r="A5662" s="952"/>
      <c r="B5662" s="953"/>
      <c r="C5662" s="953"/>
      <c r="D5662" s="953"/>
      <c r="E5662" s="953"/>
      <c r="F5662" s="953"/>
      <c r="G5662" s="953"/>
      <c r="H5662" s="953"/>
    </row>
    <row r="5663" spans="1:8" x14ac:dyDescent="0.25">
      <c r="A5663" s="952"/>
      <c r="B5663" s="953"/>
      <c r="C5663" s="953"/>
      <c r="D5663" s="953"/>
      <c r="E5663" s="953"/>
      <c r="F5663" s="953"/>
      <c r="G5663" s="953"/>
      <c r="H5663" s="953"/>
    </row>
    <row r="5664" spans="1:8" x14ac:dyDescent="0.25">
      <c r="A5664" s="952"/>
      <c r="B5664" s="953"/>
      <c r="C5664" s="953"/>
      <c r="D5664" s="953"/>
      <c r="E5664" s="953"/>
      <c r="F5664" s="953"/>
      <c r="G5664" s="953"/>
      <c r="H5664" s="953"/>
    </row>
    <row r="5665" spans="1:8" x14ac:dyDescent="0.25">
      <c r="A5665" s="952"/>
      <c r="B5665" s="953"/>
      <c r="C5665" s="953"/>
      <c r="D5665" s="953"/>
      <c r="E5665" s="953"/>
      <c r="F5665" s="953"/>
      <c r="G5665" s="953"/>
      <c r="H5665" s="953"/>
    </row>
    <row r="5666" spans="1:8" x14ac:dyDescent="0.25">
      <c r="A5666" s="952"/>
      <c r="B5666" s="953"/>
      <c r="C5666" s="953"/>
      <c r="D5666" s="953"/>
      <c r="E5666" s="953"/>
      <c r="F5666" s="953"/>
      <c r="G5666" s="953"/>
      <c r="H5666" s="953"/>
    </row>
    <row r="5667" spans="1:8" x14ac:dyDescent="0.25">
      <c r="A5667" s="952"/>
      <c r="B5667" s="953"/>
      <c r="C5667" s="953"/>
      <c r="D5667" s="953"/>
      <c r="E5667" s="953"/>
      <c r="F5667" s="953"/>
      <c r="G5667" s="953"/>
      <c r="H5667" s="953"/>
    </row>
    <row r="5668" spans="1:8" x14ac:dyDescent="0.25">
      <c r="A5668" s="952"/>
      <c r="B5668" s="953"/>
      <c r="C5668" s="953"/>
      <c r="D5668" s="953"/>
      <c r="E5668" s="953"/>
      <c r="F5668" s="953"/>
      <c r="G5668" s="953"/>
      <c r="H5668" s="953"/>
    </row>
    <row r="5669" spans="1:8" x14ac:dyDescent="0.25">
      <c r="A5669" s="952"/>
      <c r="B5669" s="953"/>
      <c r="C5669" s="953"/>
      <c r="D5669" s="953"/>
      <c r="E5669" s="953"/>
      <c r="F5669" s="953"/>
      <c r="G5669" s="953"/>
      <c r="H5669" s="953"/>
    </row>
    <row r="5670" spans="1:8" x14ac:dyDescent="0.25">
      <c r="A5670" s="952"/>
      <c r="B5670" s="953"/>
      <c r="C5670" s="953"/>
      <c r="D5670" s="953"/>
      <c r="E5670" s="953"/>
      <c r="F5670" s="953"/>
      <c r="G5670" s="953"/>
      <c r="H5670" s="953"/>
    </row>
    <row r="5671" spans="1:8" x14ac:dyDescent="0.25">
      <c r="A5671" s="952"/>
      <c r="B5671" s="953"/>
      <c r="C5671" s="953"/>
      <c r="D5671" s="953"/>
      <c r="E5671" s="953"/>
      <c r="F5671" s="953"/>
      <c r="G5671" s="953"/>
      <c r="H5671" s="953"/>
    </row>
    <row r="5672" spans="1:8" x14ac:dyDescent="0.25">
      <c r="A5672" s="952"/>
      <c r="B5672" s="953"/>
      <c r="C5672" s="953"/>
      <c r="D5672" s="953"/>
      <c r="E5672" s="953"/>
      <c r="F5672" s="953"/>
      <c r="G5672" s="953"/>
      <c r="H5672" s="953"/>
    </row>
    <row r="5673" spans="1:8" x14ac:dyDescent="0.25">
      <c r="A5673" s="952"/>
      <c r="B5673" s="953"/>
      <c r="C5673" s="953"/>
      <c r="D5673" s="953"/>
      <c r="E5673" s="953"/>
      <c r="F5673" s="953"/>
      <c r="G5673" s="953"/>
      <c r="H5673" s="953"/>
    </row>
    <row r="5674" spans="1:8" x14ac:dyDescent="0.25">
      <c r="A5674" s="952"/>
      <c r="B5674" s="953"/>
      <c r="C5674" s="953"/>
      <c r="D5674" s="953"/>
      <c r="E5674" s="953"/>
      <c r="F5674" s="953"/>
      <c r="G5674" s="953"/>
      <c r="H5674" s="953"/>
    </row>
    <row r="5675" spans="1:8" x14ac:dyDescent="0.25">
      <c r="A5675" s="952"/>
      <c r="B5675" s="953"/>
      <c r="C5675" s="953"/>
      <c r="D5675" s="953"/>
      <c r="E5675" s="953"/>
      <c r="F5675" s="953"/>
      <c r="G5675" s="953"/>
      <c r="H5675" s="953"/>
    </row>
    <row r="5676" spans="1:8" x14ac:dyDescent="0.25">
      <c r="A5676" s="952"/>
      <c r="B5676" s="953"/>
      <c r="C5676" s="953"/>
      <c r="D5676" s="953"/>
      <c r="E5676" s="953"/>
      <c r="F5676" s="953"/>
      <c r="G5676" s="953"/>
      <c r="H5676" s="953"/>
    </row>
    <row r="5677" spans="1:8" x14ac:dyDescent="0.25">
      <c r="A5677" s="952"/>
      <c r="B5677" s="953"/>
      <c r="C5677" s="953"/>
      <c r="D5677" s="953"/>
      <c r="E5677" s="953"/>
      <c r="F5677" s="953"/>
      <c r="G5677" s="953"/>
      <c r="H5677" s="953"/>
    </row>
    <row r="5678" spans="1:8" x14ac:dyDescent="0.25">
      <c r="A5678" s="952"/>
      <c r="B5678" s="953"/>
      <c r="C5678" s="953"/>
      <c r="D5678" s="953"/>
      <c r="E5678" s="953"/>
      <c r="F5678" s="953"/>
      <c r="G5678" s="953"/>
      <c r="H5678" s="953"/>
    </row>
    <row r="5679" spans="1:8" x14ac:dyDescent="0.25">
      <c r="A5679" s="952"/>
      <c r="B5679" s="953"/>
      <c r="C5679" s="953"/>
      <c r="D5679" s="953"/>
      <c r="E5679" s="953"/>
      <c r="F5679" s="953"/>
      <c r="G5679" s="953"/>
      <c r="H5679" s="953"/>
    </row>
    <row r="5680" spans="1:8" x14ac:dyDescent="0.25">
      <c r="A5680" s="952"/>
      <c r="B5680" s="953"/>
      <c r="C5680" s="953"/>
      <c r="D5680" s="953"/>
      <c r="E5680" s="953"/>
      <c r="F5680" s="953"/>
      <c r="G5680" s="953"/>
      <c r="H5680" s="953"/>
    </row>
    <row r="5681" spans="1:8" x14ac:dyDescent="0.25">
      <c r="A5681" s="952"/>
      <c r="B5681" s="953"/>
      <c r="C5681" s="953"/>
      <c r="D5681" s="953"/>
      <c r="E5681" s="953"/>
      <c r="F5681" s="953"/>
      <c r="G5681" s="953"/>
      <c r="H5681" s="953"/>
    </row>
    <row r="5682" spans="1:8" x14ac:dyDescent="0.25">
      <c r="A5682" s="952"/>
      <c r="B5682" s="953"/>
      <c r="C5682" s="953"/>
      <c r="D5682" s="953"/>
      <c r="E5682" s="953"/>
      <c r="F5682" s="953"/>
      <c r="G5682" s="953"/>
      <c r="H5682" s="953"/>
    </row>
    <row r="5683" spans="1:8" x14ac:dyDescent="0.25">
      <c r="A5683" s="952"/>
      <c r="B5683" s="953"/>
      <c r="C5683" s="953"/>
      <c r="D5683" s="953"/>
      <c r="E5683" s="953"/>
      <c r="F5683" s="953"/>
      <c r="G5683" s="953"/>
      <c r="H5683" s="953"/>
    </row>
    <row r="5684" spans="1:8" x14ac:dyDescent="0.25">
      <c r="A5684" s="952"/>
      <c r="B5684" s="953"/>
      <c r="C5684" s="953"/>
      <c r="D5684" s="953"/>
      <c r="E5684" s="953"/>
      <c r="F5684" s="953"/>
      <c r="G5684" s="953"/>
      <c r="H5684" s="953"/>
    </row>
    <row r="5685" spans="1:8" x14ac:dyDescent="0.25">
      <c r="A5685" s="952"/>
      <c r="B5685" s="953"/>
      <c r="C5685" s="953"/>
      <c r="D5685" s="953"/>
      <c r="E5685" s="953"/>
      <c r="F5685" s="953"/>
      <c r="G5685" s="953"/>
      <c r="H5685" s="953"/>
    </row>
    <row r="5686" spans="1:8" x14ac:dyDescent="0.25">
      <c r="A5686" s="952"/>
      <c r="B5686" s="953"/>
      <c r="C5686" s="953"/>
      <c r="D5686" s="953"/>
      <c r="E5686" s="953"/>
      <c r="F5686" s="953"/>
      <c r="G5686" s="953"/>
      <c r="H5686" s="953"/>
    </row>
    <row r="5687" spans="1:8" x14ac:dyDescent="0.25">
      <c r="A5687" s="952"/>
      <c r="B5687" s="953"/>
      <c r="C5687" s="953"/>
      <c r="D5687" s="953"/>
      <c r="E5687" s="953"/>
      <c r="F5687" s="953"/>
      <c r="G5687" s="953"/>
      <c r="H5687" s="953"/>
    </row>
    <row r="5688" spans="1:8" x14ac:dyDescent="0.25">
      <c r="A5688" s="952"/>
      <c r="B5688" s="953"/>
      <c r="C5688" s="953"/>
      <c r="D5688" s="953"/>
      <c r="E5688" s="953"/>
      <c r="F5688" s="953"/>
      <c r="G5688" s="953"/>
      <c r="H5688" s="953"/>
    </row>
    <row r="5689" spans="1:8" x14ac:dyDescent="0.25">
      <c r="A5689" s="952"/>
      <c r="B5689" s="953"/>
      <c r="C5689" s="953"/>
      <c r="D5689" s="953"/>
      <c r="E5689" s="953"/>
      <c r="F5689" s="953"/>
      <c r="G5689" s="953"/>
      <c r="H5689" s="953"/>
    </row>
    <row r="5690" spans="1:8" x14ac:dyDescent="0.25">
      <c r="A5690" s="952"/>
      <c r="B5690" s="953"/>
      <c r="C5690" s="953"/>
      <c r="D5690" s="953"/>
      <c r="E5690" s="953"/>
      <c r="F5690" s="953"/>
      <c r="G5690" s="953"/>
      <c r="H5690" s="953"/>
    </row>
    <row r="5691" spans="1:8" x14ac:dyDescent="0.25">
      <c r="A5691" s="952"/>
      <c r="B5691" s="953"/>
      <c r="C5691" s="953"/>
      <c r="D5691" s="953"/>
      <c r="E5691" s="953"/>
      <c r="F5691" s="953"/>
      <c r="G5691" s="953"/>
      <c r="H5691" s="953"/>
    </row>
    <row r="5692" spans="1:8" x14ac:dyDescent="0.25">
      <c r="A5692" s="952"/>
      <c r="B5692" s="953"/>
      <c r="C5692" s="953"/>
      <c r="D5692" s="953"/>
      <c r="E5692" s="953"/>
      <c r="F5692" s="953"/>
      <c r="G5692" s="953"/>
      <c r="H5692" s="953"/>
    </row>
    <row r="5693" spans="1:8" x14ac:dyDescent="0.25">
      <c r="A5693" s="952"/>
      <c r="B5693" s="953"/>
      <c r="C5693" s="953"/>
      <c r="D5693" s="953"/>
      <c r="E5693" s="953"/>
      <c r="F5693" s="953"/>
      <c r="G5693" s="953"/>
      <c r="H5693" s="953"/>
    </row>
    <row r="5694" spans="1:8" x14ac:dyDescent="0.25">
      <c r="A5694" s="952"/>
      <c r="B5694" s="953"/>
      <c r="C5694" s="953"/>
      <c r="D5694" s="953"/>
      <c r="E5694" s="953"/>
      <c r="F5694" s="953"/>
      <c r="G5694" s="953"/>
      <c r="H5694" s="953"/>
    </row>
    <row r="5695" spans="1:8" x14ac:dyDescent="0.25">
      <c r="A5695" s="952"/>
      <c r="B5695" s="953"/>
      <c r="C5695" s="953"/>
      <c r="D5695" s="953"/>
      <c r="E5695" s="953"/>
      <c r="F5695" s="953"/>
      <c r="G5695" s="953"/>
      <c r="H5695" s="953"/>
    </row>
    <row r="5696" spans="1:8" x14ac:dyDescent="0.25">
      <c r="A5696" s="952"/>
      <c r="B5696" s="953"/>
      <c r="C5696" s="953"/>
      <c r="D5696" s="953"/>
      <c r="E5696" s="953"/>
      <c r="F5696" s="953"/>
      <c r="G5696" s="953"/>
      <c r="H5696" s="953"/>
    </row>
    <row r="5697" spans="1:8" x14ac:dyDescent="0.25">
      <c r="A5697" s="952"/>
      <c r="B5697" s="953"/>
      <c r="C5697" s="953"/>
      <c r="D5697" s="953"/>
      <c r="E5697" s="953"/>
      <c r="F5697" s="953"/>
      <c r="G5697" s="953"/>
      <c r="H5697" s="953"/>
    </row>
    <row r="5698" spans="1:8" x14ac:dyDescent="0.25">
      <c r="A5698" s="952"/>
      <c r="B5698" s="953"/>
      <c r="C5698" s="953"/>
      <c r="D5698" s="953"/>
      <c r="E5698" s="953"/>
      <c r="F5698" s="953"/>
      <c r="G5698" s="953"/>
      <c r="H5698" s="953"/>
    </row>
    <row r="5699" spans="1:8" x14ac:dyDescent="0.25">
      <c r="A5699" s="952"/>
      <c r="B5699" s="953"/>
      <c r="C5699" s="953"/>
      <c r="D5699" s="953"/>
      <c r="E5699" s="953"/>
      <c r="F5699" s="953"/>
      <c r="G5699" s="953"/>
      <c r="H5699" s="953"/>
    </row>
    <row r="5700" spans="1:8" x14ac:dyDescent="0.25">
      <c r="A5700" s="952"/>
      <c r="B5700" s="953"/>
      <c r="C5700" s="953"/>
      <c r="D5700" s="953"/>
      <c r="E5700" s="953"/>
      <c r="F5700" s="953"/>
      <c r="G5700" s="953"/>
      <c r="H5700" s="953"/>
    </row>
    <row r="5701" spans="1:8" x14ac:dyDescent="0.25">
      <c r="A5701" s="952"/>
      <c r="B5701" s="953"/>
      <c r="C5701" s="953"/>
      <c r="D5701" s="953"/>
      <c r="E5701" s="953"/>
      <c r="F5701" s="953"/>
      <c r="G5701" s="953"/>
      <c r="H5701" s="953"/>
    </row>
    <row r="5702" spans="1:8" x14ac:dyDescent="0.25">
      <c r="A5702" s="952"/>
      <c r="B5702" s="953"/>
      <c r="C5702" s="953"/>
      <c r="D5702" s="953"/>
      <c r="E5702" s="953"/>
      <c r="F5702" s="953"/>
      <c r="G5702" s="953"/>
      <c r="H5702" s="953"/>
    </row>
    <row r="5703" spans="1:8" x14ac:dyDescent="0.25">
      <c r="A5703" s="952"/>
      <c r="B5703" s="953"/>
      <c r="C5703" s="953"/>
      <c r="D5703" s="953"/>
      <c r="E5703" s="953"/>
      <c r="F5703" s="953"/>
      <c r="G5703" s="953"/>
      <c r="H5703" s="953"/>
    </row>
    <row r="5704" spans="1:8" x14ac:dyDescent="0.25">
      <c r="A5704" s="952"/>
      <c r="B5704" s="953"/>
      <c r="C5704" s="953"/>
      <c r="D5704" s="953"/>
      <c r="E5704" s="953"/>
      <c r="F5704" s="953"/>
      <c r="G5704" s="953"/>
      <c r="H5704" s="953"/>
    </row>
    <row r="5705" spans="1:8" x14ac:dyDescent="0.25">
      <c r="A5705" s="952"/>
      <c r="B5705" s="953"/>
      <c r="C5705" s="953"/>
      <c r="D5705" s="953"/>
      <c r="E5705" s="953"/>
      <c r="F5705" s="953"/>
      <c r="G5705" s="953"/>
      <c r="H5705" s="953"/>
    </row>
    <row r="5706" spans="1:8" x14ac:dyDescent="0.25">
      <c r="A5706" s="952"/>
      <c r="B5706" s="953"/>
      <c r="C5706" s="953"/>
      <c r="D5706" s="953"/>
      <c r="E5706" s="953"/>
      <c r="F5706" s="953"/>
      <c r="G5706" s="953"/>
      <c r="H5706" s="953"/>
    </row>
    <row r="5707" spans="1:8" x14ac:dyDescent="0.25">
      <c r="A5707" s="952"/>
      <c r="B5707" s="953"/>
      <c r="C5707" s="953"/>
      <c r="D5707" s="953"/>
      <c r="E5707" s="953"/>
      <c r="F5707" s="953"/>
      <c r="G5707" s="953"/>
      <c r="H5707" s="953"/>
    </row>
    <row r="5708" spans="1:8" x14ac:dyDescent="0.25">
      <c r="A5708" s="952"/>
      <c r="B5708" s="953"/>
      <c r="C5708" s="953"/>
      <c r="D5708" s="953"/>
      <c r="E5708" s="953"/>
      <c r="F5708" s="953"/>
      <c r="G5708" s="953"/>
      <c r="H5708" s="953"/>
    </row>
    <row r="5709" spans="1:8" x14ac:dyDescent="0.25">
      <c r="A5709" s="952"/>
      <c r="B5709" s="953"/>
      <c r="C5709" s="953"/>
      <c r="D5709" s="953"/>
      <c r="E5709" s="953"/>
      <c r="F5709" s="953"/>
      <c r="G5709" s="953"/>
      <c r="H5709" s="953"/>
    </row>
    <row r="5710" spans="1:8" x14ac:dyDescent="0.25">
      <c r="A5710" s="952"/>
      <c r="B5710" s="953"/>
      <c r="C5710" s="953"/>
      <c r="D5710" s="953"/>
      <c r="E5710" s="953"/>
      <c r="F5710" s="953"/>
      <c r="G5710" s="953"/>
      <c r="H5710" s="953"/>
    </row>
    <row r="5711" spans="1:8" x14ac:dyDescent="0.25">
      <c r="A5711" s="952"/>
      <c r="B5711" s="953"/>
      <c r="C5711" s="953"/>
      <c r="D5711" s="953"/>
      <c r="E5711" s="953"/>
      <c r="F5711" s="953"/>
      <c r="G5711" s="953"/>
      <c r="H5711" s="953"/>
    </row>
    <row r="5712" spans="1:8" x14ac:dyDescent="0.25">
      <c r="A5712" s="952"/>
      <c r="B5712" s="953"/>
      <c r="C5712" s="953"/>
      <c r="D5712" s="953"/>
      <c r="E5712" s="953"/>
      <c r="F5712" s="953"/>
      <c r="G5712" s="953"/>
      <c r="H5712" s="953"/>
    </row>
    <row r="5713" spans="1:8" x14ac:dyDescent="0.25">
      <c r="A5713" s="952"/>
      <c r="B5713" s="953"/>
      <c r="C5713" s="953"/>
      <c r="D5713" s="953"/>
      <c r="E5713" s="953"/>
      <c r="F5713" s="953"/>
      <c r="G5713" s="953"/>
      <c r="H5713" s="953"/>
    </row>
    <row r="5714" spans="1:8" x14ac:dyDescent="0.25">
      <c r="A5714" s="952"/>
      <c r="B5714" s="953"/>
      <c r="C5714" s="953"/>
      <c r="D5714" s="953"/>
      <c r="E5714" s="953"/>
      <c r="F5714" s="953"/>
      <c r="G5714" s="953"/>
      <c r="H5714" s="953"/>
    </row>
    <row r="5715" spans="1:8" x14ac:dyDescent="0.25">
      <c r="A5715" s="952"/>
      <c r="B5715" s="953"/>
      <c r="C5715" s="953"/>
      <c r="D5715" s="953"/>
      <c r="E5715" s="953"/>
      <c r="F5715" s="953"/>
      <c r="G5715" s="953"/>
      <c r="H5715" s="953"/>
    </row>
    <row r="5716" spans="1:8" x14ac:dyDescent="0.25">
      <c r="A5716" s="952"/>
      <c r="B5716" s="953"/>
      <c r="C5716" s="953"/>
      <c r="D5716" s="953"/>
      <c r="E5716" s="953"/>
      <c r="F5716" s="953"/>
      <c r="G5716" s="953"/>
      <c r="H5716" s="953"/>
    </row>
    <row r="5717" spans="1:8" x14ac:dyDescent="0.25">
      <c r="A5717" s="952"/>
      <c r="B5717" s="953"/>
      <c r="C5717" s="953"/>
      <c r="D5717" s="953"/>
      <c r="E5717" s="953"/>
      <c r="F5717" s="953"/>
      <c r="G5717" s="953"/>
      <c r="H5717" s="953"/>
    </row>
    <row r="5718" spans="1:8" x14ac:dyDescent="0.25">
      <c r="A5718" s="952"/>
      <c r="B5718" s="953"/>
      <c r="C5718" s="953"/>
      <c r="D5718" s="953"/>
      <c r="E5718" s="953"/>
      <c r="F5718" s="953"/>
      <c r="G5718" s="953"/>
      <c r="H5718" s="953"/>
    </row>
    <row r="5719" spans="1:8" x14ac:dyDescent="0.25">
      <c r="A5719" s="952"/>
      <c r="B5719" s="953"/>
      <c r="C5719" s="953"/>
      <c r="D5719" s="953"/>
      <c r="E5719" s="953"/>
      <c r="F5719" s="953"/>
      <c r="G5719" s="953"/>
      <c r="H5719" s="953"/>
    </row>
    <row r="5720" spans="1:8" x14ac:dyDescent="0.25">
      <c r="A5720" s="952"/>
      <c r="B5720" s="953"/>
      <c r="C5720" s="953"/>
      <c r="D5720" s="953"/>
      <c r="E5720" s="953"/>
      <c r="F5720" s="953"/>
      <c r="G5720" s="953"/>
      <c r="H5720" s="953"/>
    </row>
    <row r="5721" spans="1:8" x14ac:dyDescent="0.25">
      <c r="A5721" s="952"/>
      <c r="B5721" s="953"/>
      <c r="C5721" s="953"/>
      <c r="D5721" s="953"/>
      <c r="E5721" s="953"/>
      <c r="F5721" s="953"/>
      <c r="G5721" s="953"/>
      <c r="H5721" s="953"/>
    </row>
    <row r="5722" spans="1:8" x14ac:dyDescent="0.25">
      <c r="A5722" s="952"/>
      <c r="B5722" s="953"/>
      <c r="C5722" s="953"/>
      <c r="D5722" s="953"/>
      <c r="E5722" s="953"/>
      <c r="F5722" s="953"/>
      <c r="G5722" s="953"/>
      <c r="H5722" s="953"/>
    </row>
    <row r="5723" spans="1:8" x14ac:dyDescent="0.25">
      <c r="A5723" s="952"/>
      <c r="B5723" s="953"/>
      <c r="C5723" s="953"/>
      <c r="D5723" s="953"/>
      <c r="E5723" s="953"/>
      <c r="F5723" s="953"/>
      <c r="G5723" s="953"/>
      <c r="H5723" s="953"/>
    </row>
    <row r="5724" spans="1:8" x14ac:dyDescent="0.25">
      <c r="A5724" s="952"/>
      <c r="B5724" s="953"/>
      <c r="C5724" s="953"/>
      <c r="D5724" s="953"/>
      <c r="E5724" s="953"/>
      <c r="F5724" s="953"/>
      <c r="G5724" s="953"/>
      <c r="H5724" s="953"/>
    </row>
    <row r="5725" spans="1:8" x14ac:dyDescent="0.25">
      <c r="A5725" s="952"/>
      <c r="B5725" s="953"/>
      <c r="C5725" s="953"/>
      <c r="D5725" s="953"/>
      <c r="E5725" s="953"/>
      <c r="F5725" s="953"/>
      <c r="G5725" s="953"/>
      <c r="H5725" s="953"/>
    </row>
    <row r="5726" spans="1:8" x14ac:dyDescent="0.25">
      <c r="A5726" s="952"/>
      <c r="B5726" s="953"/>
      <c r="C5726" s="953"/>
      <c r="D5726" s="953"/>
      <c r="E5726" s="953"/>
      <c r="F5726" s="953"/>
      <c r="G5726" s="953"/>
      <c r="H5726" s="953"/>
    </row>
    <row r="5727" spans="1:8" x14ac:dyDescent="0.25">
      <c r="A5727" s="952"/>
      <c r="B5727" s="953"/>
      <c r="C5727" s="953"/>
      <c r="D5727" s="953"/>
      <c r="E5727" s="953"/>
      <c r="F5727" s="953"/>
      <c r="G5727" s="953"/>
      <c r="H5727" s="953"/>
    </row>
    <row r="5728" spans="1:8" x14ac:dyDescent="0.25">
      <c r="A5728" s="952"/>
      <c r="B5728" s="953"/>
      <c r="C5728" s="953"/>
      <c r="D5728" s="953"/>
      <c r="E5728" s="953"/>
      <c r="F5728" s="953"/>
      <c r="G5728" s="953"/>
      <c r="H5728" s="953"/>
    </row>
    <row r="5729" spans="1:8" x14ac:dyDescent="0.25">
      <c r="A5729" s="952"/>
      <c r="B5729" s="953"/>
      <c r="C5729" s="953"/>
      <c r="D5729" s="953"/>
      <c r="E5729" s="953"/>
      <c r="F5729" s="953"/>
      <c r="G5729" s="953"/>
      <c r="H5729" s="953"/>
    </row>
    <row r="5730" spans="1:8" x14ac:dyDescent="0.25">
      <c r="A5730" s="952"/>
      <c r="B5730" s="953"/>
      <c r="C5730" s="953"/>
      <c r="D5730" s="953"/>
      <c r="E5730" s="953"/>
      <c r="F5730" s="953"/>
      <c r="G5730" s="953"/>
      <c r="H5730" s="953"/>
    </row>
    <row r="5731" spans="1:8" x14ac:dyDescent="0.25">
      <c r="A5731" s="952"/>
      <c r="B5731" s="953"/>
      <c r="C5731" s="953"/>
      <c r="D5731" s="953"/>
      <c r="E5731" s="953"/>
      <c r="F5731" s="953"/>
      <c r="G5731" s="953"/>
      <c r="H5731" s="953"/>
    </row>
    <row r="5732" spans="1:8" x14ac:dyDescent="0.25">
      <c r="A5732" s="952"/>
      <c r="B5732" s="953"/>
      <c r="C5732" s="953"/>
      <c r="D5732" s="953"/>
      <c r="E5732" s="953"/>
      <c r="F5732" s="953"/>
      <c r="G5732" s="953"/>
      <c r="H5732" s="953"/>
    </row>
    <row r="5733" spans="1:8" x14ac:dyDescent="0.25">
      <c r="A5733" s="952"/>
      <c r="B5733" s="953"/>
      <c r="C5733" s="953"/>
      <c r="D5733" s="953"/>
      <c r="E5733" s="953"/>
      <c r="F5733" s="953"/>
      <c r="G5733" s="953"/>
      <c r="H5733" s="953"/>
    </row>
    <row r="5734" spans="1:8" x14ac:dyDescent="0.25">
      <c r="A5734" s="952"/>
      <c r="B5734" s="953"/>
      <c r="C5734" s="953"/>
      <c r="D5734" s="953"/>
      <c r="E5734" s="953"/>
      <c r="F5734" s="953"/>
      <c r="G5734" s="953"/>
      <c r="H5734" s="953"/>
    </row>
    <row r="5735" spans="1:8" x14ac:dyDescent="0.25">
      <c r="A5735" s="952"/>
      <c r="B5735" s="953"/>
      <c r="C5735" s="953"/>
      <c r="D5735" s="953"/>
      <c r="E5735" s="953"/>
      <c r="F5735" s="953"/>
      <c r="G5735" s="953"/>
      <c r="H5735" s="953"/>
    </row>
    <row r="5736" spans="1:8" x14ac:dyDescent="0.25">
      <c r="A5736" s="952"/>
      <c r="B5736" s="953"/>
      <c r="C5736" s="953"/>
      <c r="D5736" s="953"/>
      <c r="E5736" s="953"/>
      <c r="F5736" s="953"/>
      <c r="G5736" s="953"/>
      <c r="H5736" s="953"/>
    </row>
    <row r="5737" spans="1:8" x14ac:dyDescent="0.25">
      <c r="A5737" s="952"/>
      <c r="B5737" s="953"/>
      <c r="C5737" s="953"/>
      <c r="D5737" s="953"/>
      <c r="E5737" s="953"/>
      <c r="F5737" s="953"/>
      <c r="G5737" s="953"/>
      <c r="H5737" s="953"/>
    </row>
    <row r="5738" spans="1:8" x14ac:dyDescent="0.25">
      <c r="A5738" s="952"/>
      <c r="B5738" s="953"/>
      <c r="C5738" s="953"/>
      <c r="D5738" s="953"/>
      <c r="E5738" s="953"/>
      <c r="F5738" s="953"/>
      <c r="G5738" s="953"/>
      <c r="H5738" s="953"/>
    </row>
    <row r="5739" spans="1:8" x14ac:dyDescent="0.25">
      <c r="A5739" s="952"/>
      <c r="B5739" s="953"/>
      <c r="C5739" s="953"/>
      <c r="D5739" s="953"/>
      <c r="E5739" s="953"/>
      <c r="F5739" s="953"/>
      <c r="G5739" s="953"/>
      <c r="H5739" s="953"/>
    </row>
    <row r="5740" spans="1:8" x14ac:dyDescent="0.25">
      <c r="A5740" s="952"/>
      <c r="B5740" s="953"/>
      <c r="C5740" s="953"/>
      <c r="D5740" s="953"/>
      <c r="E5740" s="953"/>
      <c r="F5740" s="953"/>
      <c r="G5740" s="953"/>
      <c r="H5740" s="953"/>
    </row>
    <row r="5741" spans="1:8" x14ac:dyDescent="0.25">
      <c r="A5741" s="952"/>
      <c r="B5741" s="953"/>
      <c r="C5741" s="953"/>
      <c r="D5741" s="953"/>
      <c r="E5741" s="953"/>
      <c r="F5741" s="953"/>
      <c r="G5741" s="953"/>
      <c r="H5741" s="953"/>
    </row>
    <row r="5742" spans="1:8" x14ac:dyDescent="0.25">
      <c r="A5742" s="952"/>
      <c r="B5742" s="953"/>
      <c r="C5742" s="953"/>
      <c r="D5742" s="953"/>
      <c r="E5742" s="953"/>
      <c r="F5742" s="953"/>
      <c r="G5742" s="953"/>
      <c r="H5742" s="953"/>
    </row>
    <row r="5743" spans="1:8" x14ac:dyDescent="0.25">
      <c r="A5743" s="952"/>
      <c r="B5743" s="953"/>
      <c r="C5743" s="953"/>
      <c r="D5743" s="953"/>
      <c r="E5743" s="953"/>
      <c r="F5743" s="953"/>
      <c r="G5743" s="953"/>
      <c r="H5743" s="953"/>
    </row>
    <row r="5744" spans="1:8" x14ac:dyDescent="0.25">
      <c r="A5744" s="952"/>
      <c r="B5744" s="953"/>
      <c r="C5744" s="953"/>
      <c r="D5744" s="953"/>
      <c r="E5744" s="953"/>
      <c r="F5744" s="953"/>
      <c r="G5744" s="953"/>
      <c r="H5744" s="953"/>
    </row>
    <row r="5745" spans="1:8" x14ac:dyDescent="0.25">
      <c r="A5745" s="952"/>
      <c r="B5745" s="953"/>
      <c r="C5745" s="953"/>
      <c r="D5745" s="953"/>
      <c r="E5745" s="953"/>
      <c r="F5745" s="953"/>
      <c r="G5745" s="953"/>
      <c r="H5745" s="953"/>
    </row>
    <row r="5746" spans="1:8" x14ac:dyDescent="0.25">
      <c r="A5746" s="952"/>
      <c r="B5746" s="953"/>
      <c r="C5746" s="953"/>
      <c r="D5746" s="953"/>
      <c r="E5746" s="953"/>
      <c r="F5746" s="953"/>
      <c r="G5746" s="953"/>
      <c r="H5746" s="953"/>
    </row>
    <row r="5747" spans="1:8" x14ac:dyDescent="0.25">
      <c r="A5747" s="952"/>
      <c r="B5747" s="953"/>
      <c r="C5747" s="953"/>
      <c r="D5747" s="953"/>
      <c r="E5747" s="953"/>
      <c r="F5747" s="953"/>
      <c r="G5747" s="953"/>
      <c r="H5747" s="953"/>
    </row>
    <row r="5748" spans="1:8" x14ac:dyDescent="0.25">
      <c r="A5748" s="952"/>
      <c r="B5748" s="953"/>
      <c r="C5748" s="953"/>
      <c r="D5748" s="953"/>
      <c r="E5748" s="953"/>
      <c r="F5748" s="953"/>
      <c r="G5748" s="953"/>
      <c r="H5748" s="953"/>
    </row>
    <row r="5749" spans="1:8" x14ac:dyDescent="0.25">
      <c r="A5749" s="952"/>
      <c r="B5749" s="953"/>
      <c r="C5749" s="953"/>
      <c r="D5749" s="953"/>
      <c r="E5749" s="953"/>
      <c r="F5749" s="953"/>
      <c r="G5749" s="953"/>
      <c r="H5749" s="953"/>
    </row>
    <row r="5750" spans="1:8" x14ac:dyDescent="0.25">
      <c r="A5750" s="952"/>
      <c r="B5750" s="953"/>
      <c r="C5750" s="953"/>
      <c r="D5750" s="953"/>
      <c r="E5750" s="953"/>
      <c r="F5750" s="953"/>
      <c r="G5750" s="953"/>
      <c r="H5750" s="953"/>
    </row>
    <row r="5751" spans="1:8" x14ac:dyDescent="0.25">
      <c r="A5751" s="952"/>
      <c r="B5751" s="953"/>
      <c r="C5751" s="953"/>
      <c r="D5751" s="953"/>
      <c r="E5751" s="953"/>
      <c r="F5751" s="953"/>
      <c r="G5751" s="953"/>
      <c r="H5751" s="953"/>
    </row>
    <row r="5752" spans="1:8" x14ac:dyDescent="0.25">
      <c r="A5752" s="952"/>
      <c r="B5752" s="953"/>
      <c r="C5752" s="953"/>
      <c r="D5752" s="953"/>
      <c r="E5752" s="953"/>
      <c r="F5752" s="953"/>
      <c r="G5752" s="953"/>
      <c r="H5752" s="953"/>
    </row>
    <row r="5753" spans="1:8" x14ac:dyDescent="0.25">
      <c r="A5753" s="952"/>
      <c r="B5753" s="953"/>
      <c r="C5753" s="953"/>
      <c r="D5753" s="953"/>
      <c r="E5753" s="953"/>
      <c r="F5753" s="953"/>
      <c r="G5753" s="953"/>
      <c r="H5753" s="953"/>
    </row>
    <row r="5754" spans="1:8" x14ac:dyDescent="0.25">
      <c r="A5754" s="952"/>
      <c r="B5754" s="953"/>
      <c r="C5754" s="953"/>
      <c r="D5754" s="953"/>
      <c r="E5754" s="953"/>
      <c r="F5754" s="953"/>
      <c r="G5754" s="953"/>
      <c r="H5754" s="953"/>
    </row>
    <row r="5755" spans="1:8" x14ac:dyDescent="0.25">
      <c r="A5755" s="952"/>
      <c r="B5755" s="953"/>
      <c r="C5755" s="953"/>
      <c r="D5755" s="953"/>
      <c r="E5755" s="953"/>
      <c r="F5755" s="953"/>
      <c r="G5755" s="953"/>
      <c r="H5755" s="953"/>
    </row>
    <row r="5756" spans="1:8" x14ac:dyDescent="0.25">
      <c r="A5756" s="952"/>
      <c r="B5756" s="953"/>
      <c r="C5756" s="953"/>
      <c r="D5756" s="953"/>
      <c r="E5756" s="953"/>
      <c r="F5756" s="953"/>
      <c r="G5756" s="953"/>
      <c r="H5756" s="953"/>
    </row>
    <row r="5757" spans="1:8" x14ac:dyDescent="0.25">
      <c r="A5757" s="952"/>
      <c r="B5757" s="953"/>
      <c r="C5757" s="953"/>
      <c r="D5757" s="953"/>
      <c r="E5757" s="953"/>
      <c r="F5757" s="953"/>
      <c r="G5757" s="953"/>
      <c r="H5757" s="953"/>
    </row>
    <row r="5758" spans="1:8" x14ac:dyDescent="0.25">
      <c r="A5758" s="952"/>
      <c r="B5758" s="953"/>
      <c r="C5758" s="953"/>
      <c r="D5758" s="953"/>
      <c r="E5758" s="953"/>
      <c r="F5758" s="953"/>
      <c r="G5758" s="953"/>
      <c r="H5758" s="953"/>
    </row>
    <row r="5759" spans="1:8" x14ac:dyDescent="0.25">
      <c r="A5759" s="952"/>
      <c r="B5759" s="953"/>
      <c r="C5759" s="953"/>
      <c r="D5759" s="953"/>
      <c r="E5759" s="953"/>
      <c r="F5759" s="953"/>
      <c r="G5759" s="953"/>
      <c r="H5759" s="953"/>
    </row>
    <row r="5760" spans="1:8" x14ac:dyDescent="0.25">
      <c r="A5760" s="952"/>
      <c r="B5760" s="953"/>
      <c r="C5760" s="953"/>
      <c r="D5760" s="953"/>
      <c r="E5760" s="953"/>
      <c r="F5760" s="953"/>
      <c r="G5760" s="953"/>
      <c r="H5760" s="953"/>
    </row>
    <row r="5761" spans="1:8" x14ac:dyDescent="0.25">
      <c r="A5761" s="952"/>
      <c r="B5761" s="953"/>
      <c r="C5761" s="953"/>
      <c r="D5761" s="953"/>
      <c r="E5761" s="953"/>
      <c r="F5761" s="953"/>
      <c r="G5761" s="953"/>
      <c r="H5761" s="953"/>
    </row>
    <row r="5762" spans="1:8" x14ac:dyDescent="0.25">
      <c r="A5762" s="952"/>
      <c r="B5762" s="953"/>
      <c r="C5762" s="953"/>
      <c r="D5762" s="953"/>
      <c r="E5762" s="953"/>
      <c r="F5762" s="953"/>
      <c r="G5762" s="953"/>
      <c r="H5762" s="953"/>
    </row>
    <row r="5763" spans="1:8" x14ac:dyDescent="0.25">
      <c r="A5763" s="952"/>
      <c r="B5763" s="953"/>
      <c r="C5763" s="953"/>
      <c r="D5763" s="953"/>
      <c r="E5763" s="953"/>
      <c r="F5763" s="953"/>
      <c r="G5763" s="953"/>
      <c r="H5763" s="953"/>
    </row>
    <row r="5764" spans="1:8" x14ac:dyDescent="0.25">
      <c r="A5764" s="952"/>
      <c r="B5764" s="953"/>
      <c r="C5764" s="953"/>
      <c r="D5764" s="953"/>
      <c r="E5764" s="953"/>
      <c r="F5764" s="953"/>
      <c r="G5764" s="953"/>
      <c r="H5764" s="953"/>
    </row>
    <row r="5765" spans="1:8" x14ac:dyDescent="0.25">
      <c r="A5765" s="952"/>
      <c r="B5765" s="953"/>
      <c r="C5765" s="953"/>
      <c r="D5765" s="953"/>
      <c r="E5765" s="953"/>
      <c r="F5765" s="953"/>
      <c r="G5765" s="953"/>
      <c r="H5765" s="953"/>
    </row>
    <row r="5766" spans="1:8" x14ac:dyDescent="0.25">
      <c r="A5766" s="952"/>
      <c r="B5766" s="953"/>
      <c r="C5766" s="953"/>
      <c r="D5766" s="953"/>
      <c r="E5766" s="953"/>
      <c r="F5766" s="953"/>
      <c r="G5766" s="953"/>
      <c r="H5766" s="953"/>
    </row>
    <row r="5767" spans="1:8" x14ac:dyDescent="0.25">
      <c r="A5767" s="952"/>
      <c r="B5767" s="953"/>
      <c r="C5767" s="953"/>
      <c r="D5767" s="953"/>
      <c r="E5767" s="953"/>
      <c r="F5767" s="953"/>
      <c r="G5767" s="953"/>
      <c r="H5767" s="953"/>
    </row>
    <row r="5768" spans="1:8" x14ac:dyDescent="0.25">
      <c r="A5768" s="952"/>
      <c r="B5768" s="953"/>
      <c r="C5768" s="953"/>
      <c r="D5768" s="953"/>
      <c r="E5768" s="953"/>
      <c r="F5768" s="953"/>
      <c r="G5768" s="953"/>
      <c r="H5768" s="953"/>
    </row>
    <row r="5769" spans="1:8" x14ac:dyDescent="0.25">
      <c r="A5769" s="952"/>
      <c r="B5769" s="953"/>
      <c r="C5769" s="953"/>
      <c r="D5769" s="953"/>
      <c r="E5769" s="953"/>
      <c r="F5769" s="953"/>
      <c r="G5769" s="953"/>
      <c r="H5769" s="953"/>
    </row>
    <row r="5770" spans="1:8" x14ac:dyDescent="0.25">
      <c r="A5770" s="952"/>
      <c r="B5770" s="953"/>
      <c r="C5770" s="953"/>
      <c r="D5770" s="953"/>
      <c r="E5770" s="953"/>
      <c r="F5770" s="953"/>
      <c r="G5770" s="953"/>
      <c r="H5770" s="953"/>
    </row>
    <row r="5771" spans="1:8" x14ac:dyDescent="0.25">
      <c r="A5771" s="952"/>
      <c r="B5771" s="953"/>
      <c r="C5771" s="953"/>
      <c r="D5771" s="953"/>
      <c r="E5771" s="953"/>
      <c r="F5771" s="953"/>
      <c r="G5771" s="953"/>
      <c r="H5771" s="953"/>
    </row>
    <row r="5772" spans="1:8" x14ac:dyDescent="0.25">
      <c r="A5772" s="952"/>
      <c r="B5772" s="953"/>
      <c r="C5772" s="953"/>
      <c r="D5772" s="953"/>
      <c r="E5772" s="953"/>
      <c r="F5772" s="953"/>
      <c r="G5772" s="953"/>
      <c r="H5772" s="953"/>
    </row>
    <row r="5773" spans="1:8" x14ac:dyDescent="0.25">
      <c r="A5773" s="952"/>
      <c r="B5773" s="953"/>
      <c r="C5773" s="953"/>
      <c r="D5773" s="953"/>
      <c r="E5773" s="953"/>
      <c r="F5773" s="953"/>
      <c r="G5773" s="953"/>
      <c r="H5773" s="953"/>
    </row>
    <row r="5774" spans="1:8" x14ac:dyDescent="0.25">
      <c r="A5774" s="952"/>
      <c r="B5774" s="953"/>
      <c r="C5774" s="953"/>
      <c r="D5774" s="953"/>
      <c r="E5774" s="953"/>
      <c r="F5774" s="953"/>
      <c r="G5774" s="953"/>
      <c r="H5774" s="953"/>
    </row>
    <row r="5775" spans="1:8" x14ac:dyDescent="0.25">
      <c r="A5775" s="952"/>
      <c r="B5775" s="953"/>
      <c r="C5775" s="953"/>
      <c r="D5775" s="953"/>
      <c r="E5775" s="953"/>
      <c r="F5775" s="953"/>
      <c r="G5775" s="953"/>
      <c r="H5775" s="953"/>
    </row>
    <row r="5776" spans="1:8" x14ac:dyDescent="0.25">
      <c r="A5776" s="952"/>
      <c r="B5776" s="953"/>
      <c r="C5776" s="953"/>
      <c r="D5776" s="953"/>
      <c r="E5776" s="953"/>
      <c r="F5776" s="953"/>
      <c r="G5776" s="953"/>
      <c r="H5776" s="953"/>
    </row>
    <row r="5777" spans="1:8" x14ac:dyDescent="0.25">
      <c r="A5777" s="952"/>
      <c r="B5777" s="953"/>
      <c r="C5777" s="953"/>
      <c r="D5777" s="953"/>
      <c r="E5777" s="953"/>
      <c r="F5777" s="953"/>
      <c r="G5777" s="953"/>
      <c r="H5777" s="953"/>
    </row>
    <row r="5778" spans="1:8" x14ac:dyDescent="0.25">
      <c r="A5778" s="952"/>
      <c r="B5778" s="953"/>
      <c r="C5778" s="953"/>
      <c r="D5778" s="953"/>
      <c r="E5778" s="953"/>
      <c r="F5778" s="953"/>
      <c r="G5778" s="953"/>
      <c r="H5778" s="953"/>
    </row>
    <row r="5779" spans="1:8" x14ac:dyDescent="0.25">
      <c r="A5779" s="952"/>
      <c r="B5779" s="953"/>
      <c r="C5779" s="953"/>
      <c r="D5779" s="953"/>
      <c r="E5779" s="953"/>
      <c r="F5779" s="953"/>
      <c r="G5779" s="953"/>
      <c r="H5779" s="953"/>
    </row>
    <row r="5780" spans="1:8" x14ac:dyDescent="0.25">
      <c r="A5780" s="952"/>
      <c r="B5780" s="953"/>
      <c r="C5780" s="953"/>
      <c r="D5780" s="953"/>
      <c r="E5780" s="953"/>
      <c r="F5780" s="953"/>
      <c r="G5780" s="953"/>
      <c r="H5780" s="953"/>
    </row>
    <row r="5781" spans="1:8" x14ac:dyDescent="0.25">
      <c r="A5781" s="952"/>
      <c r="B5781" s="953"/>
      <c r="C5781" s="953"/>
      <c r="D5781" s="953"/>
      <c r="E5781" s="953"/>
      <c r="F5781" s="953"/>
      <c r="G5781" s="953"/>
      <c r="H5781" s="953"/>
    </row>
    <row r="5782" spans="1:8" x14ac:dyDescent="0.25">
      <c r="A5782" s="952"/>
      <c r="B5782" s="953"/>
      <c r="C5782" s="953"/>
      <c r="D5782" s="953"/>
      <c r="E5782" s="953"/>
      <c r="F5782" s="953"/>
      <c r="G5782" s="953"/>
      <c r="H5782" s="953"/>
    </row>
    <row r="5783" spans="1:8" x14ac:dyDescent="0.25">
      <c r="A5783" s="952"/>
      <c r="B5783" s="953"/>
      <c r="C5783" s="953"/>
      <c r="D5783" s="953"/>
      <c r="E5783" s="953"/>
      <c r="F5783" s="953"/>
      <c r="G5783" s="953"/>
      <c r="H5783" s="953"/>
    </row>
    <row r="5784" spans="1:8" x14ac:dyDescent="0.25">
      <c r="A5784" s="952"/>
      <c r="B5784" s="953"/>
      <c r="C5784" s="953"/>
      <c r="D5784" s="953"/>
      <c r="E5784" s="953"/>
      <c r="F5784" s="953"/>
      <c r="G5784" s="953"/>
      <c r="H5784" s="953"/>
    </row>
    <row r="5785" spans="1:8" x14ac:dyDescent="0.25">
      <c r="A5785" s="952"/>
      <c r="B5785" s="953"/>
      <c r="C5785" s="953"/>
      <c r="D5785" s="953"/>
      <c r="E5785" s="953"/>
      <c r="F5785" s="953"/>
      <c r="G5785" s="953"/>
      <c r="H5785" s="953"/>
    </row>
    <row r="5786" spans="1:8" x14ac:dyDescent="0.25">
      <c r="A5786" s="952"/>
      <c r="B5786" s="953"/>
      <c r="C5786" s="953"/>
      <c r="D5786" s="953"/>
      <c r="E5786" s="953"/>
      <c r="F5786" s="953"/>
      <c r="G5786" s="953"/>
      <c r="H5786" s="953"/>
    </row>
    <row r="5787" spans="1:8" x14ac:dyDescent="0.25">
      <c r="A5787" s="952"/>
      <c r="B5787" s="953"/>
      <c r="C5787" s="953"/>
      <c r="D5787" s="953"/>
      <c r="E5787" s="953"/>
      <c r="F5787" s="953"/>
      <c r="G5787" s="953"/>
      <c r="H5787" s="953"/>
    </row>
    <row r="5788" spans="1:8" x14ac:dyDescent="0.25">
      <c r="A5788" s="952"/>
      <c r="B5788" s="953"/>
      <c r="C5788" s="953"/>
      <c r="D5788" s="953"/>
      <c r="E5788" s="953"/>
      <c r="F5788" s="953"/>
      <c r="G5788" s="953"/>
      <c r="H5788" s="953"/>
    </row>
    <row r="5789" spans="1:8" x14ac:dyDescent="0.25">
      <c r="A5789" s="952"/>
      <c r="B5789" s="953"/>
      <c r="C5789" s="953"/>
      <c r="D5789" s="953"/>
      <c r="E5789" s="953"/>
      <c r="F5789" s="953"/>
      <c r="G5789" s="953"/>
      <c r="H5789" s="953"/>
    </row>
    <row r="5790" spans="1:8" x14ac:dyDescent="0.25">
      <c r="A5790" s="952"/>
      <c r="B5790" s="953"/>
      <c r="C5790" s="953"/>
      <c r="D5790" s="953"/>
      <c r="E5790" s="953"/>
      <c r="F5790" s="953"/>
      <c r="G5790" s="953"/>
      <c r="H5790" s="953"/>
    </row>
    <row r="5791" spans="1:8" x14ac:dyDescent="0.25">
      <c r="A5791" s="952"/>
      <c r="B5791" s="953"/>
      <c r="C5791" s="953"/>
      <c r="D5791" s="953"/>
      <c r="E5791" s="953"/>
      <c r="F5791" s="953"/>
      <c r="G5791" s="953"/>
      <c r="H5791" s="953"/>
    </row>
    <row r="5792" spans="1:8" x14ac:dyDescent="0.25">
      <c r="A5792" s="952"/>
      <c r="B5792" s="953"/>
      <c r="C5792" s="953"/>
      <c r="D5792" s="953"/>
      <c r="E5792" s="953"/>
      <c r="F5792" s="953"/>
      <c r="G5792" s="953"/>
      <c r="H5792" s="953"/>
    </row>
    <row r="5793" spans="1:8" x14ac:dyDescent="0.25">
      <c r="A5793" s="952"/>
      <c r="B5793" s="953"/>
      <c r="C5793" s="953"/>
      <c r="D5793" s="953"/>
      <c r="E5793" s="953"/>
      <c r="F5793" s="953"/>
      <c r="G5793" s="953"/>
      <c r="H5793" s="953"/>
    </row>
    <row r="5794" spans="1:8" x14ac:dyDescent="0.25">
      <c r="A5794" s="952"/>
      <c r="B5794" s="953"/>
      <c r="C5794" s="953"/>
      <c r="D5794" s="953"/>
      <c r="E5794" s="953"/>
      <c r="F5794" s="953"/>
      <c r="G5794" s="953"/>
      <c r="H5794" s="953"/>
    </row>
    <row r="5795" spans="1:8" x14ac:dyDescent="0.25">
      <c r="A5795" s="952"/>
      <c r="B5795" s="953"/>
      <c r="C5795" s="953"/>
      <c r="D5795" s="953"/>
      <c r="E5795" s="953"/>
      <c r="F5795" s="953"/>
      <c r="G5795" s="953"/>
      <c r="H5795" s="953"/>
    </row>
    <row r="5796" spans="1:8" x14ac:dyDescent="0.25">
      <c r="A5796" s="952"/>
      <c r="B5796" s="953"/>
      <c r="C5796" s="953"/>
      <c r="D5796" s="953"/>
      <c r="E5796" s="953"/>
      <c r="F5796" s="953"/>
      <c r="G5796" s="953"/>
      <c r="H5796" s="953"/>
    </row>
    <row r="5797" spans="1:8" x14ac:dyDescent="0.25">
      <c r="A5797" s="952"/>
      <c r="B5797" s="953"/>
      <c r="C5797" s="953"/>
      <c r="D5797" s="953"/>
      <c r="E5797" s="953"/>
      <c r="F5797" s="953"/>
      <c r="G5797" s="953"/>
      <c r="H5797" s="953"/>
    </row>
    <row r="5798" spans="1:8" x14ac:dyDescent="0.25">
      <c r="A5798" s="952"/>
      <c r="B5798" s="953"/>
      <c r="C5798" s="953"/>
      <c r="D5798" s="953"/>
      <c r="E5798" s="953"/>
      <c r="F5798" s="953"/>
      <c r="G5798" s="953"/>
      <c r="H5798" s="953"/>
    </row>
    <row r="5799" spans="1:8" x14ac:dyDescent="0.25">
      <c r="A5799" s="952"/>
      <c r="B5799" s="953"/>
      <c r="C5799" s="953"/>
      <c r="D5799" s="953"/>
      <c r="E5799" s="953"/>
      <c r="F5799" s="953"/>
      <c r="G5799" s="953"/>
      <c r="H5799" s="953"/>
    </row>
    <row r="5800" spans="1:8" x14ac:dyDescent="0.25">
      <c r="A5800" s="952"/>
      <c r="B5800" s="953"/>
      <c r="C5800" s="953"/>
      <c r="D5800" s="953"/>
      <c r="E5800" s="953"/>
      <c r="F5800" s="953"/>
      <c r="G5800" s="953"/>
      <c r="H5800" s="953"/>
    </row>
    <row r="5801" spans="1:8" x14ac:dyDescent="0.25">
      <c r="A5801" s="952"/>
      <c r="B5801" s="953"/>
      <c r="C5801" s="953"/>
      <c r="D5801" s="953"/>
      <c r="E5801" s="953"/>
      <c r="F5801" s="953"/>
      <c r="G5801" s="953"/>
      <c r="H5801" s="953"/>
    </row>
    <row r="5802" spans="1:8" x14ac:dyDescent="0.25">
      <c r="A5802" s="952"/>
      <c r="B5802" s="953"/>
      <c r="C5802" s="953"/>
      <c r="D5802" s="953"/>
      <c r="E5802" s="953"/>
      <c r="F5802" s="953"/>
      <c r="G5802" s="953"/>
      <c r="H5802" s="953"/>
    </row>
    <row r="5803" spans="1:8" x14ac:dyDescent="0.25">
      <c r="A5803" s="952"/>
      <c r="B5803" s="953"/>
      <c r="C5803" s="953"/>
      <c r="D5803" s="953"/>
      <c r="E5803" s="953"/>
      <c r="F5803" s="953"/>
      <c r="G5803" s="953"/>
      <c r="H5803" s="953"/>
    </row>
    <row r="5804" spans="1:8" x14ac:dyDescent="0.25">
      <c r="A5804" s="952"/>
      <c r="B5804" s="953"/>
      <c r="C5804" s="953"/>
      <c r="D5804" s="953"/>
      <c r="E5804" s="953"/>
      <c r="F5804" s="953"/>
      <c r="G5804" s="953"/>
      <c r="H5804" s="953"/>
    </row>
    <row r="5805" spans="1:8" x14ac:dyDescent="0.25">
      <c r="A5805" s="952"/>
      <c r="B5805" s="953"/>
      <c r="C5805" s="953"/>
      <c r="D5805" s="953"/>
      <c r="E5805" s="953"/>
      <c r="F5805" s="953"/>
      <c r="G5805" s="953"/>
      <c r="H5805" s="953"/>
    </row>
    <row r="5806" spans="1:8" x14ac:dyDescent="0.25">
      <c r="A5806" s="952"/>
      <c r="B5806" s="953"/>
      <c r="C5806" s="953"/>
      <c r="D5806" s="953"/>
      <c r="E5806" s="953"/>
      <c r="F5806" s="953"/>
      <c r="G5806" s="953"/>
      <c r="H5806" s="953"/>
    </row>
    <row r="5807" spans="1:8" x14ac:dyDescent="0.25">
      <c r="A5807" s="952"/>
      <c r="B5807" s="953"/>
      <c r="C5807" s="953"/>
      <c r="D5807" s="953"/>
      <c r="E5807" s="953"/>
      <c r="F5807" s="953"/>
      <c r="G5807" s="953"/>
      <c r="H5807" s="953"/>
    </row>
    <row r="5808" spans="1:8" x14ac:dyDescent="0.25">
      <c r="A5808" s="952"/>
      <c r="B5808" s="953"/>
      <c r="C5808" s="953"/>
      <c r="D5808" s="953"/>
      <c r="E5808" s="953"/>
      <c r="F5808" s="953"/>
      <c r="G5808" s="953"/>
      <c r="H5808" s="953"/>
    </row>
    <row r="5809" spans="1:8" x14ac:dyDescent="0.25">
      <c r="A5809" s="952"/>
      <c r="B5809" s="953"/>
      <c r="C5809" s="953"/>
      <c r="D5809" s="953"/>
      <c r="E5809" s="953"/>
      <c r="F5809" s="953"/>
      <c r="G5809" s="953"/>
      <c r="H5809" s="953"/>
    </row>
    <row r="5810" spans="1:8" x14ac:dyDescent="0.25">
      <c r="A5810" s="952"/>
      <c r="B5810" s="953"/>
      <c r="C5810" s="953"/>
      <c r="D5810" s="953"/>
      <c r="E5810" s="953"/>
      <c r="F5810" s="953"/>
      <c r="G5810" s="953"/>
      <c r="H5810" s="953"/>
    </row>
    <row r="5811" spans="1:8" x14ac:dyDescent="0.25">
      <c r="A5811" s="952"/>
      <c r="B5811" s="953"/>
      <c r="C5811" s="953"/>
      <c r="D5811" s="953"/>
      <c r="E5811" s="953"/>
      <c r="F5811" s="953"/>
      <c r="G5811" s="953"/>
      <c r="H5811" s="953"/>
    </row>
    <row r="5812" spans="1:8" x14ac:dyDescent="0.25">
      <c r="A5812" s="952"/>
      <c r="B5812" s="953"/>
      <c r="C5812" s="953"/>
      <c r="D5812" s="953"/>
      <c r="E5812" s="953"/>
      <c r="F5812" s="953"/>
      <c r="G5812" s="953"/>
      <c r="H5812" s="953"/>
    </row>
    <row r="5813" spans="1:8" x14ac:dyDescent="0.25">
      <c r="A5813" s="952"/>
      <c r="B5813" s="953"/>
      <c r="C5813" s="953"/>
      <c r="D5813" s="953"/>
      <c r="E5813" s="953"/>
      <c r="F5813" s="953"/>
      <c r="G5813" s="953"/>
      <c r="H5813" s="953"/>
    </row>
    <row r="5814" spans="1:8" x14ac:dyDescent="0.25">
      <c r="A5814" s="952"/>
      <c r="B5814" s="953"/>
      <c r="C5814" s="953"/>
      <c r="D5814" s="953"/>
      <c r="E5814" s="953"/>
      <c r="F5814" s="953"/>
      <c r="G5814" s="953"/>
      <c r="H5814" s="953"/>
    </row>
    <row r="5815" spans="1:8" x14ac:dyDescent="0.25">
      <c r="A5815" s="952"/>
      <c r="B5815" s="953"/>
      <c r="C5815" s="953"/>
      <c r="D5815" s="953"/>
      <c r="E5815" s="953"/>
      <c r="F5815" s="953"/>
      <c r="G5815" s="953"/>
      <c r="H5815" s="953"/>
    </row>
    <row r="5816" spans="1:8" x14ac:dyDescent="0.25">
      <c r="A5816" s="952"/>
      <c r="B5816" s="953"/>
      <c r="C5816" s="953"/>
      <c r="D5816" s="953"/>
      <c r="E5816" s="953"/>
      <c r="F5816" s="953"/>
      <c r="G5816" s="953"/>
      <c r="H5816" s="953"/>
    </row>
    <row r="5817" spans="1:8" x14ac:dyDescent="0.25">
      <c r="A5817" s="952"/>
      <c r="B5817" s="953"/>
      <c r="C5817" s="953"/>
      <c r="D5817" s="953"/>
      <c r="E5817" s="953"/>
      <c r="F5817" s="953"/>
      <c r="G5817" s="953"/>
      <c r="H5817" s="953"/>
    </row>
    <row r="5818" spans="1:8" x14ac:dyDescent="0.25">
      <c r="A5818" s="952"/>
      <c r="B5818" s="953"/>
      <c r="C5818" s="953"/>
      <c r="D5818" s="953"/>
      <c r="E5818" s="953"/>
      <c r="F5818" s="953"/>
      <c r="G5818" s="953"/>
      <c r="H5818" s="953"/>
    </row>
    <row r="5819" spans="1:8" x14ac:dyDescent="0.25">
      <c r="A5819" s="952"/>
      <c r="B5819" s="953"/>
      <c r="C5819" s="953"/>
      <c r="D5819" s="953"/>
      <c r="E5819" s="953"/>
      <c r="F5819" s="953"/>
      <c r="G5819" s="953"/>
      <c r="H5819" s="953"/>
    </row>
    <row r="5820" spans="1:8" x14ac:dyDescent="0.25">
      <c r="A5820" s="952"/>
      <c r="B5820" s="953"/>
      <c r="C5820" s="953"/>
      <c r="D5820" s="953"/>
      <c r="E5820" s="953"/>
      <c r="F5820" s="953"/>
      <c r="G5820" s="953"/>
      <c r="H5820" s="953"/>
    </row>
    <row r="5821" spans="1:8" x14ac:dyDescent="0.25">
      <c r="A5821" s="952"/>
      <c r="B5821" s="953"/>
      <c r="C5821" s="953"/>
      <c r="D5821" s="953"/>
      <c r="E5821" s="953"/>
      <c r="F5821" s="953"/>
      <c r="G5821" s="953"/>
      <c r="H5821" s="953"/>
    </row>
    <row r="5822" spans="1:8" x14ac:dyDescent="0.25">
      <c r="A5822" s="952"/>
      <c r="B5822" s="953"/>
      <c r="C5822" s="953"/>
      <c r="D5822" s="953"/>
      <c r="E5822" s="953"/>
      <c r="F5822" s="953"/>
      <c r="G5822" s="953"/>
      <c r="H5822" s="953"/>
    </row>
    <row r="5823" spans="1:8" x14ac:dyDescent="0.25">
      <c r="A5823" s="952"/>
      <c r="B5823" s="953"/>
      <c r="C5823" s="953"/>
      <c r="D5823" s="953"/>
      <c r="E5823" s="953"/>
      <c r="F5823" s="953"/>
      <c r="G5823" s="953"/>
      <c r="H5823" s="953"/>
    </row>
    <row r="5824" spans="1:8" x14ac:dyDescent="0.25">
      <c r="A5824" s="952"/>
      <c r="B5824" s="953"/>
      <c r="C5824" s="953"/>
      <c r="D5824" s="953"/>
      <c r="E5824" s="953"/>
      <c r="F5824" s="953"/>
      <c r="G5824" s="953"/>
      <c r="H5824" s="953"/>
    </row>
    <row r="5825" spans="1:8" x14ac:dyDescent="0.25">
      <c r="A5825" s="952"/>
      <c r="B5825" s="953"/>
      <c r="C5825" s="953"/>
      <c r="D5825" s="953"/>
      <c r="E5825" s="953"/>
      <c r="F5825" s="953"/>
      <c r="G5825" s="953"/>
      <c r="H5825" s="953"/>
    </row>
    <row r="5826" spans="1:8" x14ac:dyDescent="0.25">
      <c r="A5826" s="952"/>
      <c r="B5826" s="953"/>
      <c r="C5826" s="953"/>
      <c r="D5826" s="953"/>
      <c r="E5826" s="953"/>
      <c r="F5826" s="953"/>
      <c r="G5826" s="953"/>
      <c r="H5826" s="953"/>
    </row>
    <row r="5827" spans="1:8" x14ac:dyDescent="0.25">
      <c r="A5827" s="952"/>
      <c r="B5827" s="953"/>
      <c r="C5827" s="953"/>
      <c r="D5827" s="953"/>
      <c r="E5827" s="953"/>
      <c r="F5827" s="953"/>
      <c r="G5827" s="953"/>
      <c r="H5827" s="953"/>
    </row>
    <row r="5828" spans="1:8" x14ac:dyDescent="0.25">
      <c r="A5828" s="952"/>
      <c r="B5828" s="953"/>
      <c r="C5828" s="953"/>
      <c r="D5828" s="953"/>
      <c r="E5828" s="953"/>
      <c r="F5828" s="953"/>
      <c r="G5828" s="953"/>
      <c r="H5828" s="953"/>
    </row>
    <row r="5829" spans="1:8" x14ac:dyDescent="0.25">
      <c r="A5829" s="952"/>
      <c r="B5829" s="953"/>
      <c r="C5829" s="953"/>
      <c r="D5829" s="953"/>
      <c r="E5829" s="953"/>
      <c r="F5829" s="953"/>
      <c r="G5829" s="953"/>
      <c r="H5829" s="953"/>
    </row>
    <row r="5830" spans="1:8" x14ac:dyDescent="0.25">
      <c r="A5830" s="952"/>
      <c r="B5830" s="953"/>
      <c r="C5830" s="953"/>
      <c r="D5830" s="953"/>
      <c r="E5830" s="953"/>
      <c r="F5830" s="953"/>
      <c r="G5830" s="953"/>
      <c r="H5830" s="953"/>
    </row>
    <row r="5831" spans="1:8" x14ac:dyDescent="0.25">
      <c r="A5831" s="952"/>
      <c r="B5831" s="953"/>
      <c r="C5831" s="953"/>
      <c r="D5831" s="953"/>
      <c r="E5831" s="953"/>
      <c r="F5831" s="953"/>
      <c r="G5831" s="953"/>
      <c r="H5831" s="953"/>
    </row>
    <row r="5832" spans="1:8" x14ac:dyDescent="0.25">
      <c r="A5832" s="952"/>
      <c r="B5832" s="953"/>
      <c r="C5832" s="953"/>
      <c r="D5832" s="953"/>
      <c r="E5832" s="953"/>
      <c r="F5832" s="953"/>
      <c r="G5832" s="953"/>
      <c r="H5832" s="953"/>
    </row>
    <row r="5833" spans="1:8" x14ac:dyDescent="0.25">
      <c r="A5833" s="952"/>
      <c r="B5833" s="953"/>
      <c r="C5833" s="953"/>
      <c r="D5833" s="953"/>
      <c r="E5833" s="953"/>
      <c r="F5833" s="953"/>
      <c r="G5833" s="953"/>
      <c r="H5833" s="953"/>
    </row>
    <row r="5834" spans="1:8" x14ac:dyDescent="0.25">
      <c r="A5834" s="952"/>
      <c r="B5834" s="953"/>
      <c r="C5834" s="953"/>
      <c r="D5834" s="953"/>
      <c r="E5834" s="953"/>
      <c r="F5834" s="953"/>
      <c r="G5834" s="953"/>
      <c r="H5834" s="953"/>
    </row>
    <row r="5835" spans="1:8" x14ac:dyDescent="0.25">
      <c r="A5835" s="952"/>
      <c r="B5835" s="953"/>
      <c r="C5835" s="953"/>
      <c r="D5835" s="953"/>
      <c r="E5835" s="953"/>
      <c r="F5835" s="953"/>
      <c r="G5835" s="953"/>
      <c r="H5835" s="953"/>
    </row>
    <row r="5836" spans="1:8" x14ac:dyDescent="0.25">
      <c r="A5836" s="952"/>
      <c r="B5836" s="953"/>
      <c r="C5836" s="953"/>
      <c r="D5836" s="953"/>
      <c r="E5836" s="953"/>
      <c r="F5836" s="953"/>
      <c r="G5836" s="953"/>
      <c r="H5836" s="953"/>
    </row>
    <row r="5837" spans="1:8" x14ac:dyDescent="0.25">
      <c r="A5837" s="952"/>
      <c r="B5837" s="953"/>
      <c r="C5837" s="953"/>
      <c r="D5837" s="953"/>
      <c r="E5837" s="953"/>
      <c r="F5837" s="953"/>
      <c r="G5837" s="953"/>
      <c r="H5837" s="953"/>
    </row>
    <row r="5838" spans="1:8" x14ac:dyDescent="0.25">
      <c r="A5838" s="952"/>
      <c r="B5838" s="953"/>
      <c r="C5838" s="953"/>
      <c r="D5838" s="953"/>
      <c r="E5838" s="953"/>
      <c r="F5838" s="953"/>
      <c r="G5838" s="953"/>
      <c r="H5838" s="953"/>
    </row>
    <row r="5839" spans="1:8" x14ac:dyDescent="0.25">
      <c r="A5839" s="952"/>
      <c r="B5839" s="953"/>
      <c r="C5839" s="953"/>
      <c r="D5839" s="953"/>
      <c r="E5839" s="953"/>
      <c r="F5839" s="953"/>
      <c r="G5839" s="953"/>
      <c r="H5839" s="953"/>
    </row>
    <row r="5840" spans="1:8" x14ac:dyDescent="0.25">
      <c r="A5840" s="952"/>
      <c r="B5840" s="953"/>
      <c r="C5840" s="953"/>
      <c r="D5840" s="953"/>
      <c r="E5840" s="953"/>
      <c r="F5840" s="953"/>
      <c r="G5840" s="953"/>
      <c r="H5840" s="953"/>
    </row>
    <row r="5841" spans="1:8" x14ac:dyDescent="0.25">
      <c r="A5841" s="952"/>
      <c r="B5841" s="953"/>
      <c r="C5841" s="953"/>
      <c r="D5841" s="953"/>
      <c r="E5841" s="953"/>
      <c r="F5841" s="953"/>
      <c r="G5841" s="953"/>
      <c r="H5841" s="953"/>
    </row>
    <row r="5842" spans="1:8" x14ac:dyDescent="0.25">
      <c r="A5842" s="952"/>
      <c r="B5842" s="953"/>
      <c r="C5842" s="953"/>
      <c r="D5842" s="953"/>
      <c r="E5842" s="953"/>
      <c r="F5842" s="953"/>
      <c r="G5842" s="953"/>
      <c r="H5842" s="953"/>
    </row>
    <row r="5843" spans="1:8" x14ac:dyDescent="0.25">
      <c r="A5843" s="952"/>
      <c r="B5843" s="953"/>
      <c r="C5843" s="953"/>
      <c r="D5843" s="953"/>
      <c r="E5843" s="953"/>
      <c r="F5843" s="953"/>
      <c r="G5843" s="953"/>
      <c r="H5843" s="953"/>
    </row>
    <row r="5844" spans="1:8" x14ac:dyDescent="0.25">
      <c r="A5844" s="952"/>
      <c r="B5844" s="953"/>
      <c r="C5844" s="953"/>
      <c r="D5844" s="953"/>
      <c r="E5844" s="953"/>
      <c r="F5844" s="953"/>
      <c r="G5844" s="953"/>
      <c r="H5844" s="953"/>
    </row>
    <row r="5845" spans="1:8" x14ac:dyDescent="0.25">
      <c r="A5845" s="952"/>
      <c r="B5845" s="953"/>
      <c r="C5845" s="953"/>
      <c r="D5845" s="953"/>
      <c r="E5845" s="953"/>
      <c r="F5845" s="953"/>
      <c r="G5845" s="953"/>
      <c r="H5845" s="953"/>
    </row>
    <row r="5846" spans="1:8" x14ac:dyDescent="0.25">
      <c r="A5846" s="952"/>
      <c r="B5846" s="953"/>
      <c r="C5846" s="953"/>
      <c r="D5846" s="953"/>
      <c r="E5846" s="953"/>
      <c r="F5846" s="953"/>
      <c r="G5846" s="953"/>
      <c r="H5846" s="953"/>
    </row>
    <row r="5847" spans="1:8" x14ac:dyDescent="0.25">
      <c r="A5847" s="952"/>
      <c r="B5847" s="953"/>
      <c r="C5847" s="953"/>
      <c r="D5847" s="953"/>
      <c r="E5847" s="953"/>
      <c r="F5847" s="953"/>
      <c r="G5847" s="953"/>
      <c r="H5847" s="953"/>
    </row>
    <row r="5848" spans="1:8" x14ac:dyDescent="0.25">
      <c r="A5848" s="952"/>
      <c r="B5848" s="953"/>
      <c r="C5848" s="953"/>
      <c r="D5848" s="953"/>
      <c r="E5848" s="953"/>
      <c r="F5848" s="953"/>
      <c r="G5848" s="953"/>
      <c r="H5848" s="953"/>
    </row>
    <row r="5849" spans="1:8" x14ac:dyDescent="0.25">
      <c r="A5849" s="952"/>
      <c r="B5849" s="953"/>
      <c r="C5849" s="953"/>
      <c r="D5849" s="953"/>
      <c r="E5849" s="953"/>
      <c r="F5849" s="953"/>
      <c r="G5849" s="953"/>
      <c r="H5849" s="953"/>
    </row>
    <row r="5850" spans="1:8" x14ac:dyDescent="0.25">
      <c r="A5850" s="952"/>
      <c r="B5850" s="953"/>
      <c r="C5850" s="953"/>
      <c r="D5850" s="953"/>
      <c r="E5850" s="953"/>
      <c r="F5850" s="953"/>
      <c r="G5850" s="953"/>
      <c r="H5850" s="953"/>
    </row>
    <row r="5851" spans="1:8" x14ac:dyDescent="0.25">
      <c r="A5851" s="952"/>
      <c r="B5851" s="953"/>
      <c r="C5851" s="953"/>
      <c r="D5851" s="953"/>
      <c r="E5851" s="953"/>
      <c r="F5851" s="953"/>
      <c r="G5851" s="953"/>
      <c r="H5851" s="953"/>
    </row>
    <row r="5852" spans="1:8" x14ac:dyDescent="0.25">
      <c r="A5852" s="952"/>
      <c r="B5852" s="953"/>
      <c r="C5852" s="953"/>
      <c r="D5852" s="953"/>
      <c r="E5852" s="953"/>
      <c r="F5852" s="953"/>
      <c r="G5852" s="953"/>
      <c r="H5852" s="953"/>
    </row>
    <row r="5853" spans="1:8" x14ac:dyDescent="0.25">
      <c r="A5853" s="952"/>
      <c r="B5853" s="953"/>
      <c r="C5853" s="953"/>
      <c r="D5853" s="953"/>
      <c r="E5853" s="953"/>
      <c r="F5853" s="953"/>
      <c r="G5853" s="953"/>
      <c r="H5853" s="953"/>
    </row>
    <row r="5854" spans="1:8" x14ac:dyDescent="0.25">
      <c r="A5854" s="952"/>
      <c r="B5854" s="953"/>
      <c r="C5854" s="953"/>
      <c r="D5854" s="953"/>
      <c r="E5854" s="953"/>
      <c r="F5854" s="953"/>
      <c r="G5854" s="953"/>
      <c r="H5854" s="953"/>
    </row>
    <row r="5855" spans="1:8" x14ac:dyDescent="0.25">
      <c r="A5855" s="952"/>
      <c r="B5855" s="953"/>
      <c r="C5855" s="953"/>
      <c r="D5855" s="953"/>
      <c r="E5855" s="953"/>
      <c r="F5855" s="953"/>
      <c r="G5855" s="953"/>
      <c r="H5855" s="953"/>
    </row>
    <row r="5856" spans="1:8" x14ac:dyDescent="0.25">
      <c r="A5856" s="952"/>
      <c r="B5856" s="953"/>
      <c r="C5856" s="953"/>
      <c r="D5856" s="953"/>
      <c r="E5856" s="953"/>
      <c r="F5856" s="953"/>
      <c r="G5856" s="953"/>
      <c r="H5856" s="953"/>
    </row>
    <row r="5857" spans="1:8" x14ac:dyDescent="0.25">
      <c r="A5857" s="952"/>
      <c r="B5857" s="953"/>
      <c r="C5857" s="953"/>
      <c r="D5857" s="953"/>
      <c r="E5857" s="953"/>
      <c r="F5857" s="953"/>
      <c r="G5857" s="953"/>
      <c r="H5857" s="953"/>
    </row>
    <row r="5858" spans="1:8" x14ac:dyDescent="0.25">
      <c r="A5858" s="952"/>
      <c r="B5858" s="953"/>
      <c r="C5858" s="953"/>
      <c r="D5858" s="953"/>
      <c r="E5858" s="953"/>
      <c r="F5858" s="953"/>
      <c r="G5858" s="953"/>
      <c r="H5858" s="953"/>
    </row>
    <row r="5859" spans="1:8" x14ac:dyDescent="0.25">
      <c r="A5859" s="952"/>
      <c r="B5859" s="953"/>
      <c r="C5859" s="953"/>
      <c r="D5859" s="953"/>
      <c r="E5859" s="953"/>
      <c r="F5859" s="953"/>
      <c r="G5859" s="953"/>
      <c r="H5859" s="953"/>
    </row>
    <row r="5860" spans="1:8" x14ac:dyDescent="0.25">
      <c r="A5860" s="952"/>
      <c r="B5860" s="953"/>
      <c r="C5860" s="953"/>
      <c r="D5860" s="953"/>
      <c r="E5860" s="953"/>
      <c r="F5860" s="953"/>
      <c r="G5860" s="953"/>
      <c r="H5860" s="953"/>
    </row>
    <row r="5861" spans="1:8" x14ac:dyDescent="0.25">
      <c r="A5861" s="952"/>
      <c r="B5861" s="953"/>
      <c r="C5861" s="953"/>
      <c r="D5861" s="953"/>
      <c r="E5861" s="953"/>
      <c r="F5861" s="953"/>
      <c r="G5861" s="953"/>
      <c r="H5861" s="953"/>
    </row>
    <row r="5862" spans="1:8" x14ac:dyDescent="0.25">
      <c r="A5862" s="952"/>
      <c r="B5862" s="953"/>
      <c r="C5862" s="953"/>
      <c r="D5862" s="953"/>
      <c r="E5862" s="953"/>
      <c r="F5862" s="953"/>
      <c r="G5862" s="953"/>
      <c r="H5862" s="953"/>
    </row>
    <row r="5863" spans="1:8" x14ac:dyDescent="0.25">
      <c r="A5863" s="952"/>
      <c r="B5863" s="953"/>
      <c r="C5863" s="953"/>
      <c r="D5863" s="953"/>
      <c r="E5863" s="953"/>
      <c r="F5863" s="953"/>
      <c r="G5863" s="953"/>
      <c r="H5863" s="953"/>
    </row>
    <row r="5864" spans="1:8" x14ac:dyDescent="0.25">
      <c r="A5864" s="952"/>
      <c r="B5864" s="953"/>
      <c r="C5864" s="953"/>
      <c r="D5864" s="953"/>
      <c r="E5864" s="953"/>
      <c r="F5864" s="953"/>
      <c r="G5864" s="953"/>
      <c r="H5864" s="953"/>
    </row>
    <row r="5865" spans="1:8" x14ac:dyDescent="0.25">
      <c r="A5865" s="952"/>
      <c r="B5865" s="953"/>
      <c r="C5865" s="953"/>
      <c r="D5865" s="953"/>
      <c r="E5865" s="953"/>
      <c r="F5865" s="953"/>
      <c r="G5865" s="953"/>
      <c r="H5865" s="953"/>
    </row>
    <row r="5866" spans="1:8" x14ac:dyDescent="0.25">
      <c r="A5866" s="952"/>
      <c r="B5866" s="953"/>
      <c r="C5866" s="953"/>
      <c r="D5866" s="953"/>
      <c r="E5866" s="953"/>
      <c r="F5866" s="953"/>
      <c r="G5866" s="953"/>
      <c r="H5866" s="953"/>
    </row>
    <row r="5867" spans="1:8" x14ac:dyDescent="0.25">
      <c r="A5867" s="952"/>
      <c r="B5867" s="953"/>
      <c r="C5867" s="953"/>
      <c r="D5867" s="953"/>
      <c r="E5867" s="953"/>
      <c r="F5867" s="953"/>
      <c r="G5867" s="953"/>
      <c r="H5867" s="953"/>
    </row>
    <row r="5868" spans="1:8" x14ac:dyDescent="0.25">
      <c r="A5868" s="952"/>
      <c r="B5868" s="953"/>
      <c r="C5868" s="953"/>
      <c r="D5868" s="953"/>
      <c r="E5868" s="953"/>
      <c r="F5868" s="953"/>
      <c r="G5868" s="953"/>
      <c r="H5868" s="953"/>
    </row>
    <row r="5869" spans="1:8" x14ac:dyDescent="0.25">
      <c r="A5869" s="952"/>
      <c r="B5869" s="953"/>
      <c r="C5869" s="953"/>
      <c r="D5869" s="953"/>
      <c r="E5869" s="953"/>
      <c r="F5869" s="953"/>
      <c r="G5869" s="953"/>
      <c r="H5869" s="953"/>
    </row>
    <row r="5870" spans="1:8" x14ac:dyDescent="0.25">
      <c r="A5870" s="952"/>
      <c r="B5870" s="953"/>
      <c r="C5870" s="953"/>
      <c r="D5870" s="953"/>
      <c r="E5870" s="953"/>
      <c r="F5870" s="953"/>
      <c r="G5870" s="953"/>
      <c r="H5870" s="953"/>
    </row>
    <row r="5871" spans="1:8" x14ac:dyDescent="0.25">
      <c r="A5871" s="952"/>
      <c r="B5871" s="953"/>
      <c r="C5871" s="953"/>
      <c r="D5871" s="953"/>
      <c r="E5871" s="953"/>
      <c r="F5871" s="953"/>
      <c r="G5871" s="953"/>
      <c r="H5871" s="953"/>
    </row>
    <row r="5872" spans="1:8" x14ac:dyDescent="0.25">
      <c r="A5872" s="952"/>
      <c r="B5872" s="953"/>
      <c r="C5872" s="953"/>
      <c r="D5872" s="953"/>
      <c r="E5872" s="953"/>
      <c r="F5872" s="953"/>
      <c r="G5872" s="953"/>
      <c r="H5872" s="953"/>
    </row>
    <row r="5873" spans="1:8" x14ac:dyDescent="0.25">
      <c r="A5873" s="952"/>
      <c r="B5873" s="953"/>
      <c r="C5873" s="953"/>
      <c r="D5873" s="953"/>
      <c r="E5873" s="953"/>
      <c r="F5873" s="953"/>
      <c r="G5873" s="953"/>
      <c r="H5873" s="953"/>
    </row>
    <row r="5874" spans="1:8" x14ac:dyDescent="0.25">
      <c r="A5874" s="952"/>
      <c r="B5874" s="953"/>
      <c r="C5874" s="953"/>
      <c r="D5874" s="953"/>
      <c r="E5874" s="953"/>
      <c r="F5874" s="953"/>
      <c r="G5874" s="953"/>
      <c r="H5874" s="953"/>
    </row>
    <row r="5875" spans="1:8" x14ac:dyDescent="0.25">
      <c r="A5875" s="952"/>
      <c r="B5875" s="953"/>
      <c r="C5875" s="953"/>
      <c r="D5875" s="953"/>
      <c r="E5875" s="953"/>
      <c r="F5875" s="953"/>
      <c r="G5875" s="953"/>
      <c r="H5875" s="953"/>
    </row>
    <row r="5876" spans="1:8" x14ac:dyDescent="0.25">
      <c r="A5876" s="952"/>
      <c r="B5876" s="953"/>
      <c r="C5876" s="953"/>
      <c r="D5876" s="953"/>
      <c r="E5876" s="953"/>
      <c r="F5876" s="953"/>
      <c r="G5876" s="953"/>
      <c r="H5876" s="953"/>
    </row>
    <row r="5877" spans="1:8" x14ac:dyDescent="0.25">
      <c r="A5877" s="952"/>
      <c r="B5877" s="953"/>
      <c r="C5877" s="953"/>
      <c r="D5877" s="953"/>
      <c r="E5877" s="953"/>
      <c r="F5877" s="953"/>
      <c r="G5877" s="953"/>
      <c r="H5877" s="953"/>
    </row>
    <row r="5878" spans="1:8" x14ac:dyDescent="0.25">
      <c r="A5878" s="952"/>
      <c r="B5878" s="953"/>
      <c r="C5878" s="953"/>
      <c r="D5878" s="953"/>
      <c r="E5878" s="953"/>
      <c r="F5878" s="953"/>
      <c r="G5878" s="953"/>
      <c r="H5878" s="953"/>
    </row>
    <row r="5879" spans="1:8" x14ac:dyDescent="0.25">
      <c r="A5879" s="952"/>
      <c r="B5879" s="953"/>
      <c r="C5879" s="953"/>
      <c r="D5879" s="953"/>
      <c r="E5879" s="953"/>
      <c r="F5879" s="953"/>
      <c r="G5879" s="953"/>
      <c r="H5879" s="953"/>
    </row>
    <row r="5880" spans="1:8" x14ac:dyDescent="0.25">
      <c r="A5880" s="952"/>
      <c r="B5880" s="953"/>
      <c r="C5880" s="953"/>
      <c r="D5880" s="953"/>
      <c r="E5880" s="953"/>
      <c r="F5880" s="953"/>
      <c r="G5880" s="953"/>
      <c r="H5880" s="953"/>
    </row>
    <row r="5881" spans="1:8" x14ac:dyDescent="0.25">
      <c r="A5881" s="952"/>
      <c r="B5881" s="953"/>
      <c r="C5881" s="953"/>
      <c r="D5881" s="953"/>
      <c r="E5881" s="953"/>
      <c r="F5881" s="953"/>
      <c r="G5881" s="953"/>
      <c r="H5881" s="953"/>
    </row>
    <row r="5882" spans="1:8" x14ac:dyDescent="0.25">
      <c r="A5882" s="952"/>
      <c r="B5882" s="953"/>
      <c r="C5882" s="953"/>
      <c r="D5882" s="953"/>
      <c r="E5882" s="953"/>
      <c r="F5882" s="953"/>
      <c r="G5882" s="953"/>
      <c r="H5882" s="953"/>
    </row>
    <row r="5883" spans="1:8" x14ac:dyDescent="0.25">
      <c r="A5883" s="952"/>
      <c r="B5883" s="953"/>
      <c r="C5883" s="953"/>
      <c r="D5883" s="953"/>
      <c r="E5883" s="953"/>
      <c r="F5883" s="953"/>
      <c r="G5883" s="953"/>
      <c r="H5883" s="953"/>
    </row>
    <row r="5884" spans="1:8" x14ac:dyDescent="0.25">
      <c r="A5884" s="952"/>
      <c r="B5884" s="953"/>
      <c r="C5884" s="953"/>
      <c r="D5884" s="953"/>
      <c r="E5884" s="953"/>
      <c r="F5884" s="953"/>
      <c r="G5884" s="953"/>
      <c r="H5884" s="953"/>
    </row>
    <row r="5885" spans="1:8" x14ac:dyDescent="0.25">
      <c r="A5885" s="952"/>
      <c r="B5885" s="953"/>
      <c r="C5885" s="953"/>
      <c r="D5885" s="953"/>
      <c r="E5885" s="953"/>
      <c r="F5885" s="953"/>
      <c r="G5885" s="953"/>
      <c r="H5885" s="953"/>
    </row>
    <row r="5886" spans="1:8" x14ac:dyDescent="0.25">
      <c r="A5886" s="952"/>
      <c r="B5886" s="953"/>
      <c r="C5886" s="953"/>
      <c r="D5886" s="953"/>
      <c r="E5886" s="953"/>
      <c r="F5886" s="953"/>
      <c r="G5886" s="953"/>
      <c r="H5886" s="953"/>
    </row>
    <row r="5887" spans="1:8" x14ac:dyDescent="0.25">
      <c r="A5887" s="952"/>
      <c r="B5887" s="953"/>
      <c r="C5887" s="953"/>
      <c r="D5887" s="953"/>
      <c r="E5887" s="953"/>
      <c r="F5887" s="953"/>
      <c r="G5887" s="953"/>
      <c r="H5887" s="953"/>
    </row>
    <row r="5888" spans="1:8" x14ac:dyDescent="0.25">
      <c r="A5888" s="952"/>
      <c r="B5888" s="953"/>
      <c r="C5888" s="953"/>
      <c r="D5888" s="953"/>
      <c r="E5888" s="953"/>
      <c r="F5888" s="953"/>
      <c r="G5888" s="953"/>
      <c r="H5888" s="953"/>
    </row>
    <row r="5889" spans="1:8" x14ac:dyDescent="0.25">
      <c r="A5889" s="952"/>
      <c r="B5889" s="953"/>
      <c r="C5889" s="953"/>
      <c r="D5889" s="953"/>
      <c r="E5889" s="953"/>
      <c r="F5889" s="953"/>
      <c r="G5889" s="953"/>
      <c r="H5889" s="953"/>
    </row>
    <row r="5890" spans="1:8" x14ac:dyDescent="0.25">
      <c r="A5890" s="952"/>
      <c r="B5890" s="953"/>
      <c r="C5890" s="953"/>
      <c r="D5890" s="953"/>
      <c r="E5890" s="953"/>
      <c r="F5890" s="953"/>
      <c r="G5890" s="953"/>
      <c r="H5890" s="953"/>
    </row>
    <row r="5891" spans="1:8" x14ac:dyDescent="0.25">
      <c r="A5891" s="952"/>
      <c r="B5891" s="953"/>
      <c r="C5891" s="953"/>
      <c r="D5891" s="953"/>
      <c r="E5891" s="953"/>
      <c r="F5891" s="953"/>
      <c r="G5891" s="953"/>
      <c r="H5891" s="953"/>
    </row>
    <row r="5892" spans="1:8" x14ac:dyDescent="0.25">
      <c r="A5892" s="952"/>
      <c r="B5892" s="953"/>
      <c r="C5892" s="953"/>
      <c r="D5892" s="953"/>
      <c r="E5892" s="953"/>
      <c r="F5892" s="953"/>
      <c r="G5892" s="953"/>
      <c r="H5892" s="953"/>
    </row>
    <row r="5893" spans="1:8" x14ac:dyDescent="0.25">
      <c r="A5893" s="952"/>
      <c r="B5893" s="953"/>
      <c r="C5893" s="953"/>
      <c r="D5893" s="953"/>
      <c r="E5893" s="953"/>
      <c r="F5893" s="953"/>
      <c r="G5893" s="953"/>
      <c r="H5893" s="953"/>
    </row>
    <row r="5894" spans="1:8" x14ac:dyDescent="0.25">
      <c r="A5894" s="952"/>
      <c r="B5894" s="953"/>
      <c r="C5894" s="953"/>
      <c r="D5894" s="953"/>
      <c r="E5894" s="953"/>
      <c r="F5894" s="953"/>
      <c r="G5894" s="953"/>
      <c r="H5894" s="953"/>
    </row>
    <row r="5895" spans="1:8" x14ac:dyDescent="0.25">
      <c r="A5895" s="952"/>
      <c r="B5895" s="953"/>
      <c r="C5895" s="953"/>
      <c r="D5895" s="953"/>
      <c r="E5895" s="953"/>
      <c r="F5895" s="953"/>
      <c r="G5895" s="953"/>
      <c r="H5895" s="953"/>
    </row>
    <row r="5896" spans="1:8" x14ac:dyDescent="0.25">
      <c r="A5896" s="952"/>
      <c r="B5896" s="953"/>
      <c r="C5896" s="953"/>
      <c r="D5896" s="953"/>
      <c r="E5896" s="953"/>
      <c r="F5896" s="953"/>
      <c r="G5896" s="953"/>
      <c r="H5896" s="953"/>
    </row>
    <row r="5897" spans="1:8" x14ac:dyDescent="0.25">
      <c r="A5897" s="952"/>
      <c r="B5897" s="953"/>
      <c r="C5897" s="953"/>
      <c r="D5897" s="953"/>
      <c r="E5897" s="953"/>
      <c r="F5897" s="953"/>
      <c r="G5897" s="953"/>
      <c r="H5897" s="953"/>
    </row>
    <row r="5898" spans="1:8" x14ac:dyDescent="0.25">
      <c r="A5898" s="952"/>
      <c r="B5898" s="953"/>
      <c r="C5898" s="953"/>
      <c r="D5898" s="953"/>
      <c r="E5898" s="953"/>
      <c r="F5898" s="953"/>
      <c r="G5898" s="953"/>
      <c r="H5898" s="953"/>
    </row>
    <row r="5899" spans="1:8" x14ac:dyDescent="0.25">
      <c r="A5899" s="952"/>
      <c r="B5899" s="953"/>
      <c r="C5899" s="953"/>
      <c r="D5899" s="953"/>
      <c r="E5899" s="953"/>
      <c r="F5899" s="953"/>
      <c r="G5899" s="953"/>
      <c r="H5899" s="953"/>
    </row>
    <row r="5900" spans="1:8" x14ac:dyDescent="0.25">
      <c r="A5900" s="952"/>
      <c r="B5900" s="953"/>
      <c r="C5900" s="953"/>
      <c r="D5900" s="953"/>
      <c r="E5900" s="953"/>
      <c r="F5900" s="953"/>
      <c r="G5900" s="953"/>
      <c r="H5900" s="953"/>
    </row>
    <row r="5901" spans="1:8" x14ac:dyDescent="0.25">
      <c r="A5901" s="952"/>
      <c r="B5901" s="953"/>
      <c r="C5901" s="953"/>
      <c r="D5901" s="953"/>
      <c r="E5901" s="953"/>
      <c r="F5901" s="953"/>
      <c r="G5901" s="953"/>
      <c r="H5901" s="953"/>
    </row>
    <row r="5902" spans="1:8" x14ac:dyDescent="0.25">
      <c r="A5902" s="952"/>
      <c r="B5902" s="953"/>
      <c r="C5902" s="953"/>
      <c r="D5902" s="953"/>
      <c r="E5902" s="953"/>
      <c r="F5902" s="953"/>
      <c r="G5902" s="953"/>
      <c r="H5902" s="953"/>
    </row>
    <row r="5903" spans="1:8" x14ac:dyDescent="0.25">
      <c r="A5903" s="952"/>
      <c r="B5903" s="953"/>
      <c r="C5903" s="953"/>
      <c r="D5903" s="953"/>
      <c r="E5903" s="953"/>
      <c r="F5903" s="953"/>
      <c r="G5903" s="953"/>
      <c r="H5903" s="953"/>
    </row>
    <row r="5904" spans="1:8" x14ac:dyDescent="0.25">
      <c r="A5904" s="952"/>
      <c r="B5904" s="953"/>
      <c r="C5904" s="953"/>
      <c r="D5904" s="953"/>
      <c r="E5904" s="953"/>
      <c r="F5904" s="953"/>
      <c r="G5904" s="953"/>
      <c r="H5904" s="953"/>
    </row>
    <row r="5905" spans="1:8" x14ac:dyDescent="0.25">
      <c r="A5905" s="952"/>
      <c r="B5905" s="953"/>
      <c r="C5905" s="953"/>
      <c r="D5905" s="953"/>
      <c r="E5905" s="953"/>
      <c r="F5905" s="953"/>
      <c r="G5905" s="953"/>
      <c r="H5905" s="953"/>
    </row>
    <row r="5906" spans="1:8" x14ac:dyDescent="0.25">
      <c r="A5906" s="952"/>
      <c r="B5906" s="953"/>
      <c r="C5906" s="953"/>
      <c r="D5906" s="953"/>
      <c r="E5906" s="953"/>
      <c r="F5906" s="953"/>
      <c r="G5906" s="953"/>
      <c r="H5906" s="953"/>
    </row>
    <row r="5907" spans="1:8" x14ac:dyDescent="0.25">
      <c r="A5907" s="952"/>
      <c r="B5907" s="953"/>
      <c r="C5907" s="953"/>
      <c r="D5907" s="953"/>
      <c r="E5907" s="953"/>
      <c r="F5907" s="953"/>
      <c r="G5907" s="953"/>
      <c r="H5907" s="953"/>
    </row>
    <row r="5908" spans="1:8" x14ac:dyDescent="0.25">
      <c r="A5908" s="952"/>
      <c r="B5908" s="953"/>
      <c r="C5908" s="953"/>
      <c r="D5908" s="953"/>
      <c r="E5908" s="953"/>
      <c r="F5908" s="953"/>
      <c r="G5908" s="953"/>
      <c r="H5908" s="953"/>
    </row>
    <row r="5909" spans="1:8" x14ac:dyDescent="0.25">
      <c r="A5909" s="952"/>
      <c r="B5909" s="953"/>
      <c r="C5909" s="953"/>
      <c r="D5909" s="953"/>
      <c r="E5909" s="953"/>
      <c r="F5909" s="953"/>
      <c r="G5909" s="953"/>
      <c r="H5909" s="953"/>
    </row>
    <row r="5910" spans="1:8" x14ac:dyDescent="0.25">
      <c r="A5910" s="952"/>
      <c r="B5910" s="953"/>
      <c r="C5910" s="953"/>
      <c r="D5910" s="953"/>
      <c r="E5910" s="953"/>
      <c r="F5910" s="953"/>
      <c r="G5910" s="953"/>
      <c r="H5910" s="953"/>
    </row>
    <row r="5911" spans="1:8" x14ac:dyDescent="0.25">
      <c r="A5911" s="952"/>
      <c r="B5911" s="953"/>
      <c r="C5911" s="953"/>
      <c r="D5911" s="953"/>
      <c r="E5911" s="953"/>
      <c r="F5911" s="953"/>
      <c r="G5911" s="953"/>
      <c r="H5911" s="953"/>
    </row>
    <row r="5912" spans="1:8" x14ac:dyDescent="0.25">
      <c r="A5912" s="952"/>
      <c r="B5912" s="953"/>
      <c r="C5912" s="953"/>
      <c r="D5912" s="953"/>
      <c r="E5912" s="953"/>
      <c r="F5912" s="953"/>
      <c r="G5912" s="953"/>
      <c r="H5912" s="953"/>
    </row>
    <row r="5913" spans="1:8" x14ac:dyDescent="0.25">
      <c r="A5913" s="952"/>
      <c r="B5913" s="953"/>
      <c r="C5913" s="953"/>
      <c r="D5913" s="953"/>
      <c r="E5913" s="953"/>
      <c r="F5913" s="953"/>
      <c r="G5913" s="953"/>
      <c r="H5913" s="953"/>
    </row>
    <row r="5914" spans="1:8" x14ac:dyDescent="0.25">
      <c r="A5914" s="952"/>
      <c r="B5914" s="953"/>
      <c r="C5914" s="953"/>
      <c r="D5914" s="953"/>
      <c r="E5914" s="953"/>
      <c r="F5914" s="953"/>
      <c r="G5914" s="953"/>
      <c r="H5914" s="953"/>
    </row>
    <row r="5915" spans="1:8" x14ac:dyDescent="0.25">
      <c r="A5915" s="952"/>
      <c r="B5915" s="953"/>
      <c r="C5915" s="953"/>
      <c r="D5915" s="953"/>
      <c r="E5915" s="953"/>
      <c r="F5915" s="953"/>
      <c r="G5915" s="953"/>
      <c r="H5915" s="953"/>
    </row>
    <row r="5916" spans="1:8" x14ac:dyDescent="0.25">
      <c r="A5916" s="952"/>
      <c r="B5916" s="953"/>
      <c r="C5916" s="953"/>
      <c r="D5916" s="953"/>
      <c r="E5916" s="953"/>
      <c r="F5916" s="953"/>
      <c r="G5916" s="953"/>
      <c r="H5916" s="953"/>
    </row>
    <row r="5917" spans="1:8" x14ac:dyDescent="0.25">
      <c r="A5917" s="952"/>
      <c r="B5917" s="953"/>
      <c r="C5917" s="953"/>
      <c r="D5917" s="953"/>
      <c r="E5917" s="953"/>
      <c r="F5917" s="953"/>
      <c r="G5917" s="953"/>
      <c r="H5917" s="953"/>
    </row>
    <row r="5918" spans="1:8" x14ac:dyDescent="0.25">
      <c r="A5918" s="952"/>
      <c r="B5918" s="953"/>
      <c r="C5918" s="953"/>
      <c r="D5918" s="953"/>
      <c r="E5918" s="953"/>
      <c r="F5918" s="953"/>
      <c r="G5918" s="953"/>
      <c r="H5918" s="953"/>
    </row>
    <row r="5919" spans="1:8" x14ac:dyDescent="0.25">
      <c r="A5919" s="952"/>
      <c r="B5919" s="953"/>
      <c r="C5919" s="953"/>
      <c r="D5919" s="953"/>
      <c r="E5919" s="953"/>
      <c r="F5919" s="953"/>
      <c r="G5919" s="953"/>
      <c r="H5919" s="953"/>
    </row>
    <row r="5920" spans="1:8" x14ac:dyDescent="0.25">
      <c r="A5920" s="952"/>
      <c r="B5920" s="953"/>
      <c r="C5920" s="953"/>
      <c r="D5920" s="953"/>
      <c r="E5920" s="953"/>
      <c r="F5920" s="953"/>
      <c r="G5920" s="953"/>
      <c r="H5920" s="953"/>
    </row>
    <row r="5921" spans="1:8" x14ac:dyDescent="0.25">
      <c r="A5921" s="952"/>
      <c r="B5921" s="953"/>
      <c r="C5921" s="953"/>
      <c r="D5921" s="953"/>
      <c r="E5921" s="953"/>
      <c r="F5921" s="953"/>
      <c r="G5921" s="953"/>
      <c r="H5921" s="953"/>
    </row>
    <row r="5922" spans="1:8" x14ac:dyDescent="0.25">
      <c r="A5922" s="952"/>
      <c r="B5922" s="953"/>
      <c r="C5922" s="953"/>
      <c r="D5922" s="953"/>
      <c r="E5922" s="953"/>
      <c r="F5922" s="953"/>
      <c r="G5922" s="953"/>
      <c r="H5922" s="953"/>
    </row>
    <row r="5923" spans="1:8" x14ac:dyDescent="0.25">
      <c r="A5923" s="952"/>
      <c r="B5923" s="953"/>
      <c r="C5923" s="953"/>
      <c r="D5923" s="953"/>
      <c r="E5923" s="953"/>
      <c r="F5923" s="953"/>
      <c r="G5923" s="953"/>
      <c r="H5923" s="953"/>
    </row>
    <row r="5924" spans="1:8" x14ac:dyDescent="0.25">
      <c r="A5924" s="952"/>
      <c r="B5924" s="953"/>
      <c r="C5924" s="953"/>
      <c r="D5924" s="953"/>
      <c r="E5924" s="953"/>
      <c r="F5924" s="953"/>
      <c r="G5924" s="953"/>
      <c r="H5924" s="953"/>
    </row>
    <row r="5925" spans="1:8" x14ac:dyDescent="0.25">
      <c r="A5925" s="952"/>
      <c r="B5925" s="953"/>
      <c r="C5925" s="953"/>
      <c r="D5925" s="953"/>
      <c r="E5925" s="953"/>
      <c r="F5925" s="953"/>
      <c r="G5925" s="953"/>
      <c r="H5925" s="953"/>
    </row>
    <row r="5926" spans="1:8" x14ac:dyDescent="0.25">
      <c r="A5926" s="952"/>
      <c r="B5926" s="953"/>
      <c r="C5926" s="953"/>
      <c r="D5926" s="953"/>
      <c r="E5926" s="953"/>
      <c r="F5926" s="953"/>
      <c r="G5926" s="953"/>
      <c r="H5926" s="953"/>
    </row>
    <row r="5927" spans="1:8" x14ac:dyDescent="0.25">
      <c r="A5927" s="952"/>
      <c r="B5927" s="953"/>
      <c r="C5927" s="953"/>
      <c r="D5927" s="953"/>
      <c r="E5927" s="953"/>
      <c r="F5927" s="953"/>
      <c r="G5927" s="953"/>
      <c r="H5927" s="953"/>
    </row>
    <row r="5928" spans="1:8" x14ac:dyDescent="0.25">
      <c r="A5928" s="952"/>
      <c r="B5928" s="953"/>
      <c r="C5928" s="953"/>
      <c r="D5928" s="953"/>
      <c r="E5928" s="953"/>
      <c r="F5928" s="953"/>
      <c r="G5928" s="953"/>
      <c r="H5928" s="953"/>
    </row>
    <row r="5929" spans="1:8" x14ac:dyDescent="0.25">
      <c r="A5929" s="952"/>
      <c r="B5929" s="953"/>
      <c r="C5929" s="953"/>
      <c r="D5929" s="953"/>
      <c r="E5929" s="953"/>
      <c r="F5929" s="953"/>
      <c r="G5929" s="953"/>
      <c r="H5929" s="953"/>
    </row>
    <row r="5930" spans="1:8" x14ac:dyDescent="0.25">
      <c r="A5930" s="952"/>
      <c r="B5930" s="953"/>
      <c r="C5930" s="953"/>
      <c r="D5930" s="953"/>
      <c r="E5930" s="953"/>
      <c r="F5930" s="953"/>
      <c r="G5930" s="953"/>
      <c r="H5930" s="953"/>
    </row>
    <row r="5931" spans="1:8" x14ac:dyDescent="0.25">
      <c r="A5931" s="952"/>
      <c r="B5931" s="953"/>
      <c r="C5931" s="953"/>
      <c r="D5931" s="953"/>
      <c r="E5931" s="953"/>
      <c r="F5931" s="953"/>
      <c r="G5931" s="953"/>
      <c r="H5931" s="953"/>
    </row>
    <row r="5932" spans="1:8" x14ac:dyDescent="0.25">
      <c r="A5932" s="952"/>
      <c r="B5932" s="953"/>
      <c r="C5932" s="953"/>
      <c r="D5932" s="953"/>
      <c r="E5932" s="953"/>
      <c r="F5932" s="953"/>
      <c r="G5932" s="953"/>
      <c r="H5932" s="953"/>
    </row>
    <row r="5933" spans="1:8" x14ac:dyDescent="0.25">
      <c r="A5933" s="952"/>
      <c r="B5933" s="953"/>
      <c r="C5933" s="953"/>
      <c r="D5933" s="953"/>
      <c r="E5933" s="953"/>
      <c r="F5933" s="953"/>
      <c r="G5933" s="953"/>
      <c r="H5933" s="953"/>
    </row>
    <row r="5934" spans="1:8" x14ac:dyDescent="0.25">
      <c r="A5934" s="952"/>
      <c r="B5934" s="953"/>
      <c r="C5934" s="953"/>
      <c r="D5934" s="953"/>
      <c r="E5934" s="953"/>
      <c r="F5934" s="953"/>
      <c r="G5934" s="953"/>
      <c r="H5934" s="953"/>
    </row>
    <row r="5935" spans="1:8" x14ac:dyDescent="0.25">
      <c r="A5935" s="952"/>
      <c r="B5935" s="953"/>
      <c r="C5935" s="953"/>
      <c r="D5935" s="953"/>
      <c r="E5935" s="953"/>
      <c r="F5935" s="953"/>
      <c r="G5935" s="953"/>
      <c r="H5935" s="953"/>
    </row>
    <row r="5936" spans="1:8" x14ac:dyDescent="0.25">
      <c r="A5936" s="952"/>
      <c r="B5936" s="953"/>
      <c r="C5936" s="953"/>
      <c r="D5936" s="953"/>
      <c r="E5936" s="953"/>
      <c r="F5936" s="953"/>
      <c r="G5936" s="953"/>
      <c r="H5936" s="953"/>
    </row>
    <row r="5937" spans="1:8" x14ac:dyDescent="0.25">
      <c r="A5937" s="952"/>
      <c r="B5937" s="953"/>
      <c r="C5937" s="953"/>
      <c r="D5937" s="953"/>
      <c r="E5937" s="953"/>
      <c r="F5937" s="953"/>
      <c r="G5937" s="953"/>
      <c r="H5937" s="953"/>
    </row>
    <row r="5938" spans="1:8" x14ac:dyDescent="0.25">
      <c r="A5938" s="952"/>
      <c r="B5938" s="953"/>
      <c r="C5938" s="953"/>
      <c r="D5938" s="953"/>
      <c r="E5938" s="953"/>
      <c r="F5938" s="953"/>
      <c r="G5938" s="953"/>
      <c r="H5938" s="953"/>
    </row>
    <row r="5939" spans="1:8" x14ac:dyDescent="0.25">
      <c r="A5939" s="952"/>
      <c r="B5939" s="953"/>
      <c r="C5939" s="953"/>
      <c r="D5939" s="953"/>
      <c r="E5939" s="953"/>
      <c r="F5939" s="953"/>
      <c r="G5939" s="953"/>
      <c r="H5939" s="953"/>
    </row>
    <row r="5940" spans="1:8" x14ac:dyDescent="0.25">
      <c r="A5940" s="952"/>
      <c r="B5940" s="953"/>
      <c r="C5940" s="953"/>
      <c r="D5940" s="953"/>
      <c r="E5940" s="953"/>
      <c r="F5940" s="953"/>
      <c r="G5940" s="953"/>
      <c r="H5940" s="953"/>
    </row>
    <row r="5941" spans="1:8" x14ac:dyDescent="0.25">
      <c r="A5941" s="952"/>
      <c r="B5941" s="953"/>
      <c r="C5941" s="953"/>
      <c r="D5941" s="953"/>
      <c r="E5941" s="953"/>
      <c r="F5941" s="953"/>
      <c r="G5941" s="953"/>
      <c r="H5941" s="953"/>
    </row>
    <row r="5942" spans="1:8" x14ac:dyDescent="0.25">
      <c r="A5942" s="952"/>
      <c r="B5942" s="953"/>
      <c r="C5942" s="953"/>
      <c r="D5942" s="953"/>
      <c r="E5942" s="953"/>
      <c r="F5942" s="953"/>
      <c r="G5942" s="953"/>
      <c r="H5942" s="953"/>
    </row>
    <row r="5943" spans="1:8" x14ac:dyDescent="0.25">
      <c r="A5943" s="952"/>
      <c r="B5943" s="953"/>
      <c r="C5943" s="953"/>
      <c r="D5943" s="953"/>
      <c r="E5943" s="953"/>
      <c r="F5943" s="953"/>
      <c r="G5943" s="953"/>
      <c r="H5943" s="953"/>
    </row>
    <row r="5944" spans="1:8" x14ac:dyDescent="0.25">
      <c r="A5944" s="952"/>
      <c r="B5944" s="953"/>
      <c r="C5944" s="953"/>
      <c r="D5944" s="953"/>
      <c r="E5944" s="953"/>
      <c r="F5944" s="953"/>
      <c r="G5944" s="953"/>
      <c r="H5944" s="953"/>
    </row>
    <row r="5945" spans="1:8" x14ac:dyDescent="0.25">
      <c r="A5945" s="952"/>
      <c r="B5945" s="953"/>
      <c r="C5945" s="953"/>
      <c r="D5945" s="953"/>
      <c r="E5945" s="953"/>
      <c r="F5945" s="953"/>
      <c r="G5945" s="953"/>
      <c r="H5945" s="953"/>
    </row>
    <row r="5946" spans="1:8" x14ac:dyDescent="0.25">
      <c r="A5946" s="952"/>
      <c r="B5946" s="953"/>
      <c r="C5946" s="953"/>
      <c r="D5946" s="953"/>
      <c r="E5946" s="953"/>
      <c r="F5946" s="953"/>
      <c r="G5946" s="953"/>
      <c r="H5946" s="953"/>
    </row>
    <row r="5947" spans="1:8" x14ac:dyDescent="0.25">
      <c r="A5947" s="952"/>
      <c r="B5947" s="953"/>
      <c r="C5947" s="953"/>
      <c r="D5947" s="953"/>
      <c r="E5947" s="953"/>
      <c r="F5947" s="953"/>
      <c r="G5947" s="953"/>
      <c r="H5947" s="953"/>
    </row>
    <row r="5948" spans="1:8" x14ac:dyDescent="0.25">
      <c r="A5948" s="952"/>
      <c r="B5948" s="953"/>
      <c r="C5948" s="953"/>
      <c r="D5948" s="953"/>
      <c r="E5948" s="953"/>
      <c r="F5948" s="953"/>
      <c r="G5948" s="953"/>
      <c r="H5948" s="953"/>
    </row>
    <row r="5949" spans="1:8" x14ac:dyDescent="0.25">
      <c r="A5949" s="952"/>
      <c r="B5949" s="953"/>
      <c r="C5949" s="953"/>
      <c r="D5949" s="953"/>
      <c r="E5949" s="953"/>
      <c r="F5949" s="953"/>
      <c r="G5949" s="953"/>
      <c r="H5949" s="953"/>
    </row>
    <row r="5950" spans="1:8" x14ac:dyDescent="0.25">
      <c r="A5950" s="952"/>
      <c r="B5950" s="953"/>
      <c r="C5950" s="953"/>
      <c r="D5950" s="953"/>
      <c r="E5950" s="953"/>
      <c r="F5950" s="953"/>
      <c r="G5950" s="953"/>
      <c r="H5950" s="953"/>
    </row>
    <row r="5951" spans="1:8" x14ac:dyDescent="0.25">
      <c r="A5951" s="952"/>
      <c r="B5951" s="953"/>
      <c r="C5951" s="953"/>
      <c r="D5951" s="953"/>
      <c r="E5951" s="953"/>
      <c r="F5951" s="953"/>
      <c r="G5951" s="953"/>
      <c r="H5951" s="953"/>
    </row>
    <row r="5952" spans="1:8" x14ac:dyDescent="0.25">
      <c r="A5952" s="952"/>
      <c r="B5952" s="953"/>
      <c r="C5952" s="953"/>
      <c r="D5952" s="953"/>
      <c r="E5952" s="953"/>
      <c r="F5952" s="953"/>
      <c r="G5952" s="953"/>
      <c r="H5952" s="953"/>
    </row>
    <row r="5953" spans="1:8" x14ac:dyDescent="0.25">
      <c r="A5953" s="952"/>
      <c r="B5953" s="953"/>
      <c r="C5953" s="953"/>
      <c r="D5953" s="953"/>
      <c r="E5953" s="953"/>
      <c r="F5953" s="953"/>
      <c r="G5953" s="953"/>
      <c r="H5953" s="953"/>
    </row>
    <row r="5954" spans="1:8" x14ac:dyDescent="0.25">
      <c r="A5954" s="952"/>
      <c r="B5954" s="953"/>
      <c r="C5954" s="953"/>
      <c r="D5954" s="953"/>
      <c r="E5954" s="953"/>
      <c r="F5954" s="953"/>
      <c r="G5954" s="953"/>
      <c r="H5954" s="953"/>
    </row>
    <row r="5955" spans="1:8" x14ac:dyDescent="0.25">
      <c r="A5955" s="952"/>
      <c r="B5955" s="953"/>
      <c r="C5955" s="953"/>
      <c r="D5955" s="953"/>
      <c r="E5955" s="953"/>
      <c r="F5955" s="953"/>
      <c r="G5955" s="953"/>
      <c r="H5955" s="953"/>
    </row>
    <row r="5956" spans="1:8" x14ac:dyDescent="0.25">
      <c r="A5956" s="952"/>
      <c r="B5956" s="953"/>
      <c r="C5956" s="953"/>
      <c r="D5956" s="953"/>
      <c r="E5956" s="953"/>
      <c r="F5956" s="953"/>
      <c r="G5956" s="953"/>
      <c r="H5956" s="953"/>
    </row>
    <row r="5957" spans="1:8" x14ac:dyDescent="0.25">
      <c r="A5957" s="952"/>
      <c r="B5957" s="953"/>
      <c r="C5957" s="953"/>
      <c r="D5957" s="953"/>
      <c r="E5957" s="953"/>
      <c r="F5957" s="953"/>
      <c r="G5957" s="953"/>
      <c r="H5957" s="953"/>
    </row>
    <row r="5958" spans="1:8" x14ac:dyDescent="0.25">
      <c r="A5958" s="952"/>
      <c r="B5958" s="953"/>
      <c r="C5958" s="953"/>
      <c r="D5958" s="953"/>
      <c r="E5958" s="953"/>
      <c r="F5958" s="953"/>
      <c r="G5958" s="953"/>
      <c r="H5958" s="953"/>
    </row>
    <row r="5959" spans="1:8" x14ac:dyDescent="0.25">
      <c r="A5959" s="952"/>
      <c r="B5959" s="953"/>
      <c r="C5959" s="953"/>
      <c r="D5959" s="953"/>
      <c r="E5959" s="953"/>
      <c r="F5959" s="953"/>
      <c r="G5959" s="953"/>
      <c r="H5959" s="953"/>
    </row>
    <row r="5960" spans="1:8" x14ac:dyDescent="0.25">
      <c r="A5960" s="952"/>
      <c r="B5960" s="953"/>
      <c r="C5960" s="953"/>
      <c r="D5960" s="953"/>
      <c r="E5960" s="953"/>
      <c r="F5960" s="953"/>
      <c r="G5960" s="953"/>
      <c r="H5960" s="953"/>
    </row>
    <row r="5961" spans="1:8" x14ac:dyDescent="0.25">
      <c r="A5961" s="952"/>
      <c r="B5961" s="953"/>
      <c r="C5961" s="953"/>
      <c r="D5961" s="953"/>
      <c r="E5961" s="953"/>
      <c r="F5961" s="953"/>
      <c r="G5961" s="953"/>
      <c r="H5961" s="953"/>
    </row>
    <row r="5962" spans="1:8" x14ac:dyDescent="0.25">
      <c r="A5962" s="952"/>
      <c r="B5962" s="953"/>
      <c r="C5962" s="953"/>
      <c r="D5962" s="953"/>
      <c r="E5962" s="953"/>
      <c r="F5962" s="953"/>
      <c r="G5962" s="953"/>
      <c r="H5962" s="953"/>
    </row>
    <row r="5963" spans="1:8" x14ac:dyDescent="0.25">
      <c r="A5963" s="952"/>
      <c r="B5963" s="953"/>
      <c r="C5963" s="953"/>
      <c r="D5963" s="953"/>
      <c r="E5963" s="953"/>
      <c r="F5963" s="953"/>
      <c r="G5963" s="953"/>
      <c r="H5963" s="953"/>
    </row>
    <row r="5964" spans="1:8" x14ac:dyDescent="0.25">
      <c r="A5964" s="952"/>
      <c r="B5964" s="953"/>
      <c r="C5964" s="953"/>
      <c r="D5964" s="953"/>
      <c r="E5964" s="953"/>
      <c r="F5964" s="953"/>
      <c r="G5964" s="953"/>
      <c r="H5964" s="953"/>
    </row>
    <row r="5965" spans="1:8" x14ac:dyDescent="0.25">
      <c r="A5965" s="952"/>
      <c r="B5965" s="953"/>
      <c r="C5965" s="953"/>
      <c r="D5965" s="953"/>
      <c r="E5965" s="953"/>
      <c r="F5965" s="953"/>
      <c r="G5965" s="953"/>
      <c r="H5965" s="953"/>
    </row>
    <row r="5966" spans="1:8" x14ac:dyDescent="0.25">
      <c r="A5966" s="952"/>
      <c r="B5966" s="953"/>
      <c r="C5966" s="953"/>
      <c r="D5966" s="953"/>
      <c r="E5966" s="953"/>
      <c r="F5966" s="953"/>
      <c r="G5966" s="953"/>
      <c r="H5966" s="953"/>
    </row>
    <row r="5967" spans="1:8" x14ac:dyDescent="0.25">
      <c r="A5967" s="952"/>
      <c r="B5967" s="953"/>
      <c r="C5967" s="953"/>
      <c r="D5967" s="953"/>
      <c r="E5967" s="953"/>
      <c r="F5967" s="953"/>
      <c r="G5967" s="953"/>
      <c r="H5967" s="953"/>
    </row>
    <row r="5968" spans="1:8" x14ac:dyDescent="0.25">
      <c r="A5968" s="952"/>
      <c r="B5968" s="953"/>
      <c r="C5968" s="953"/>
      <c r="D5968" s="953"/>
      <c r="E5968" s="953"/>
      <c r="F5968" s="953"/>
      <c r="G5968" s="953"/>
      <c r="H5968" s="953"/>
    </row>
    <row r="5969" spans="1:8" x14ac:dyDescent="0.25">
      <c r="A5969" s="952"/>
      <c r="B5969" s="953"/>
      <c r="C5969" s="953"/>
      <c r="D5969" s="953"/>
      <c r="E5969" s="953"/>
      <c r="F5969" s="953"/>
      <c r="G5969" s="953"/>
      <c r="H5969" s="953"/>
    </row>
    <row r="5970" spans="1:8" x14ac:dyDescent="0.25">
      <c r="A5970" s="952"/>
      <c r="B5970" s="953"/>
      <c r="C5970" s="953"/>
      <c r="D5970" s="953"/>
      <c r="E5970" s="953"/>
      <c r="F5970" s="953"/>
      <c r="G5970" s="953"/>
      <c r="H5970" s="953"/>
    </row>
    <row r="5971" spans="1:8" x14ac:dyDescent="0.25">
      <c r="A5971" s="952"/>
      <c r="B5971" s="953"/>
      <c r="C5971" s="953"/>
      <c r="D5971" s="953"/>
      <c r="E5971" s="953"/>
      <c r="F5971" s="953"/>
      <c r="G5971" s="953"/>
      <c r="H5971" s="953"/>
    </row>
    <row r="5972" spans="1:8" x14ac:dyDescent="0.25">
      <c r="A5972" s="952"/>
      <c r="B5972" s="953"/>
      <c r="C5972" s="953"/>
      <c r="D5972" s="953"/>
      <c r="E5972" s="953"/>
      <c r="F5972" s="953"/>
      <c r="G5972" s="953"/>
      <c r="H5972" s="953"/>
    </row>
    <row r="5973" spans="1:8" x14ac:dyDescent="0.25">
      <c r="A5973" s="952"/>
      <c r="B5973" s="953"/>
      <c r="C5973" s="953"/>
      <c r="D5973" s="953"/>
      <c r="E5973" s="953"/>
      <c r="F5973" s="953"/>
      <c r="G5973" s="953"/>
      <c r="H5973" s="953"/>
    </row>
    <row r="5974" spans="1:8" x14ac:dyDescent="0.25">
      <c r="A5974" s="952"/>
      <c r="B5974" s="953"/>
      <c r="C5974" s="953"/>
      <c r="D5974" s="953"/>
      <c r="E5974" s="953"/>
      <c r="F5974" s="953"/>
      <c r="G5974" s="953"/>
      <c r="H5974" s="953"/>
    </row>
    <row r="5975" spans="1:8" x14ac:dyDescent="0.25">
      <c r="A5975" s="952"/>
      <c r="B5975" s="953"/>
      <c r="C5975" s="953"/>
      <c r="D5975" s="953"/>
      <c r="E5975" s="953"/>
      <c r="F5975" s="953"/>
      <c r="G5975" s="953"/>
      <c r="H5975" s="953"/>
    </row>
    <row r="5976" spans="1:8" x14ac:dyDescent="0.25">
      <c r="A5976" s="952"/>
      <c r="B5976" s="953"/>
      <c r="C5976" s="953"/>
      <c r="D5976" s="953"/>
      <c r="E5976" s="953"/>
      <c r="F5976" s="953"/>
      <c r="G5976" s="953"/>
      <c r="H5976" s="953"/>
    </row>
    <row r="5977" spans="1:8" x14ac:dyDescent="0.25">
      <c r="A5977" s="952"/>
      <c r="B5977" s="953"/>
      <c r="C5977" s="953"/>
      <c r="D5977" s="953"/>
      <c r="E5977" s="953"/>
      <c r="F5977" s="953"/>
      <c r="G5977" s="953"/>
      <c r="H5977" s="953"/>
    </row>
    <row r="5978" spans="1:8" x14ac:dyDescent="0.25">
      <c r="A5978" s="952"/>
      <c r="B5978" s="953"/>
      <c r="C5978" s="953"/>
      <c r="D5978" s="953"/>
      <c r="E5978" s="953"/>
      <c r="F5978" s="953"/>
      <c r="G5978" s="953"/>
      <c r="H5978" s="953"/>
    </row>
    <row r="5979" spans="1:8" x14ac:dyDescent="0.25">
      <c r="A5979" s="952"/>
      <c r="B5979" s="953"/>
      <c r="C5979" s="953"/>
      <c r="D5979" s="953"/>
      <c r="E5979" s="953"/>
      <c r="F5979" s="953"/>
      <c r="G5979" s="953"/>
      <c r="H5979" s="953"/>
    </row>
    <row r="5980" spans="1:8" x14ac:dyDescent="0.25">
      <c r="A5980" s="952"/>
      <c r="B5980" s="953"/>
      <c r="C5980" s="953"/>
      <c r="D5980" s="953"/>
      <c r="E5980" s="953"/>
      <c r="F5980" s="953"/>
      <c r="G5980" s="953"/>
      <c r="H5980" s="953"/>
    </row>
    <row r="5981" spans="1:8" x14ac:dyDescent="0.25">
      <c r="A5981" s="952"/>
      <c r="B5981" s="953"/>
      <c r="C5981" s="953"/>
      <c r="D5981" s="953"/>
      <c r="E5981" s="953"/>
      <c r="F5981" s="953"/>
      <c r="G5981" s="953"/>
      <c r="H5981" s="953"/>
    </row>
    <row r="5982" spans="1:8" x14ac:dyDescent="0.25">
      <c r="A5982" s="952"/>
      <c r="B5982" s="953"/>
      <c r="C5982" s="953"/>
      <c r="D5982" s="953"/>
      <c r="E5982" s="953"/>
      <c r="F5982" s="953"/>
      <c r="G5982" s="953"/>
      <c r="H5982" s="953"/>
    </row>
    <row r="5983" spans="1:8" x14ac:dyDescent="0.25">
      <c r="A5983" s="952"/>
      <c r="B5983" s="953"/>
      <c r="C5983" s="953"/>
      <c r="D5983" s="953"/>
      <c r="E5983" s="953"/>
      <c r="F5983" s="953"/>
      <c r="G5983" s="953"/>
      <c r="H5983" s="953"/>
    </row>
    <row r="5984" spans="1:8" x14ac:dyDescent="0.25">
      <c r="A5984" s="952"/>
      <c r="B5984" s="953"/>
      <c r="C5984" s="953"/>
      <c r="D5984" s="953"/>
      <c r="E5984" s="953"/>
      <c r="F5984" s="953"/>
      <c r="G5984" s="953"/>
      <c r="H5984" s="953"/>
    </row>
    <row r="5985" spans="1:8" x14ac:dyDescent="0.25">
      <c r="A5985" s="952"/>
      <c r="B5985" s="953"/>
      <c r="C5985" s="953"/>
      <c r="D5985" s="953"/>
      <c r="E5985" s="953"/>
      <c r="F5985" s="953"/>
      <c r="G5985" s="953"/>
      <c r="H5985" s="953"/>
    </row>
    <row r="5986" spans="1:8" x14ac:dyDescent="0.25">
      <c r="A5986" s="952"/>
      <c r="B5986" s="953"/>
      <c r="C5986" s="953"/>
      <c r="D5986" s="953"/>
      <c r="E5986" s="953"/>
      <c r="F5986" s="953"/>
      <c r="G5986" s="953"/>
      <c r="H5986" s="953"/>
    </row>
    <row r="5987" spans="1:8" x14ac:dyDescent="0.25">
      <c r="A5987" s="952"/>
      <c r="B5987" s="953"/>
      <c r="C5987" s="953"/>
      <c r="D5987" s="953"/>
      <c r="E5987" s="953"/>
      <c r="F5987" s="953"/>
      <c r="G5987" s="953"/>
      <c r="H5987" s="953"/>
    </row>
    <row r="5988" spans="1:8" x14ac:dyDescent="0.25">
      <c r="A5988" s="952"/>
      <c r="B5988" s="953"/>
      <c r="C5988" s="953"/>
      <c r="D5988" s="953"/>
      <c r="E5988" s="953"/>
      <c r="F5988" s="953"/>
      <c r="G5988" s="953"/>
      <c r="H5988" s="953"/>
    </row>
    <row r="5989" spans="1:8" x14ac:dyDescent="0.25">
      <c r="A5989" s="952"/>
      <c r="B5989" s="953"/>
      <c r="C5989" s="953"/>
      <c r="D5989" s="953"/>
      <c r="E5989" s="953"/>
      <c r="F5989" s="953"/>
      <c r="G5989" s="953"/>
      <c r="H5989" s="953"/>
    </row>
    <row r="5990" spans="1:8" x14ac:dyDescent="0.25">
      <c r="A5990" s="952"/>
      <c r="B5990" s="953"/>
      <c r="C5990" s="953"/>
      <c r="D5990" s="953"/>
      <c r="E5990" s="953"/>
      <c r="F5990" s="953"/>
      <c r="G5990" s="953"/>
      <c r="H5990" s="953"/>
    </row>
    <row r="5991" spans="1:8" x14ac:dyDescent="0.25">
      <c r="A5991" s="952"/>
      <c r="B5991" s="953"/>
      <c r="C5991" s="953"/>
      <c r="D5991" s="953"/>
      <c r="E5991" s="953"/>
      <c r="F5991" s="953"/>
      <c r="G5991" s="953"/>
      <c r="H5991" s="953"/>
    </row>
    <row r="5992" spans="1:8" x14ac:dyDescent="0.25">
      <c r="A5992" s="952"/>
      <c r="B5992" s="953"/>
      <c r="C5992" s="953"/>
      <c r="D5992" s="953"/>
      <c r="E5992" s="953"/>
      <c r="F5992" s="953"/>
      <c r="G5992" s="953"/>
      <c r="H5992" s="953"/>
    </row>
    <row r="5993" spans="1:8" x14ac:dyDescent="0.25">
      <c r="A5993" s="952"/>
      <c r="B5993" s="953"/>
      <c r="C5993" s="953"/>
      <c r="D5993" s="953"/>
      <c r="E5993" s="953"/>
      <c r="F5993" s="953"/>
      <c r="G5993" s="953"/>
      <c r="H5993" s="953"/>
    </row>
    <row r="5994" spans="1:8" x14ac:dyDescent="0.25">
      <c r="A5994" s="952"/>
      <c r="B5994" s="953"/>
      <c r="C5994" s="953"/>
      <c r="D5994" s="953"/>
      <c r="E5994" s="953"/>
      <c r="F5994" s="953"/>
      <c r="G5994" s="953"/>
      <c r="H5994" s="953"/>
    </row>
    <row r="5995" spans="1:8" x14ac:dyDescent="0.25">
      <c r="A5995" s="952"/>
      <c r="B5995" s="953"/>
      <c r="C5995" s="953"/>
      <c r="D5995" s="953"/>
      <c r="E5995" s="953"/>
      <c r="F5995" s="953"/>
      <c r="G5995" s="953"/>
      <c r="H5995" s="953"/>
    </row>
    <row r="5996" spans="1:8" x14ac:dyDescent="0.25">
      <c r="A5996" s="952"/>
      <c r="B5996" s="953"/>
      <c r="C5996" s="953"/>
      <c r="D5996" s="953"/>
      <c r="E5996" s="953"/>
      <c r="F5996" s="953"/>
      <c r="G5996" s="953"/>
      <c r="H5996" s="953"/>
    </row>
    <row r="5997" spans="1:8" x14ac:dyDescent="0.25">
      <c r="A5997" s="952"/>
      <c r="B5997" s="953"/>
      <c r="C5997" s="953"/>
      <c r="D5997" s="953"/>
      <c r="E5997" s="953"/>
      <c r="F5997" s="953"/>
      <c r="G5997" s="953"/>
      <c r="H5997" s="953"/>
    </row>
    <row r="5998" spans="1:8" x14ac:dyDescent="0.25">
      <c r="A5998" s="952"/>
      <c r="B5998" s="953"/>
      <c r="C5998" s="953"/>
      <c r="D5998" s="953"/>
      <c r="E5998" s="953"/>
      <c r="F5998" s="953"/>
      <c r="G5998" s="953"/>
      <c r="H5998" s="953"/>
    </row>
    <row r="5999" spans="1:8" x14ac:dyDescent="0.25">
      <c r="A5999" s="952"/>
      <c r="B5999" s="953"/>
      <c r="C5999" s="953"/>
      <c r="D5999" s="953"/>
      <c r="E5999" s="953"/>
      <c r="F5999" s="953"/>
      <c r="G5999" s="953"/>
      <c r="H5999" s="953"/>
    </row>
    <row r="6000" spans="1:8" x14ac:dyDescent="0.25">
      <c r="A6000" s="952"/>
      <c r="B6000" s="953"/>
      <c r="C6000" s="953"/>
      <c r="D6000" s="953"/>
      <c r="E6000" s="953"/>
      <c r="F6000" s="953"/>
      <c r="G6000" s="953"/>
      <c r="H6000" s="953"/>
    </row>
    <row r="6001" spans="1:8" x14ac:dyDescent="0.25">
      <c r="A6001" s="952"/>
      <c r="B6001" s="953"/>
      <c r="C6001" s="953"/>
      <c r="D6001" s="953"/>
      <c r="E6001" s="953"/>
      <c r="F6001" s="953"/>
      <c r="G6001" s="953"/>
      <c r="H6001" s="953"/>
    </row>
    <row r="6002" spans="1:8" x14ac:dyDescent="0.25">
      <c r="A6002" s="952"/>
      <c r="B6002" s="953"/>
      <c r="C6002" s="953"/>
      <c r="D6002" s="953"/>
      <c r="E6002" s="953"/>
      <c r="F6002" s="953"/>
      <c r="G6002" s="953"/>
      <c r="H6002" s="953"/>
    </row>
    <row r="6003" spans="1:8" x14ac:dyDescent="0.25">
      <c r="A6003" s="952"/>
      <c r="B6003" s="953"/>
      <c r="C6003" s="953"/>
      <c r="D6003" s="953"/>
      <c r="E6003" s="953"/>
      <c r="F6003" s="953"/>
      <c r="G6003" s="953"/>
      <c r="H6003" s="953"/>
    </row>
    <row r="6004" spans="1:8" x14ac:dyDescent="0.25">
      <c r="A6004" s="952"/>
      <c r="B6004" s="953"/>
      <c r="C6004" s="953"/>
      <c r="D6004" s="953"/>
      <c r="E6004" s="953"/>
      <c r="F6004" s="953"/>
      <c r="G6004" s="953"/>
      <c r="H6004" s="953"/>
    </row>
    <row r="6005" spans="1:8" x14ac:dyDescent="0.25">
      <c r="A6005" s="952"/>
      <c r="B6005" s="953"/>
      <c r="C6005" s="953"/>
      <c r="D6005" s="953"/>
      <c r="E6005" s="953"/>
      <c r="F6005" s="953"/>
      <c r="G6005" s="953"/>
      <c r="H6005" s="953"/>
    </row>
    <row r="6006" spans="1:8" x14ac:dyDescent="0.25">
      <c r="A6006" s="952"/>
      <c r="B6006" s="953"/>
      <c r="C6006" s="953"/>
      <c r="D6006" s="953"/>
      <c r="E6006" s="953"/>
      <c r="F6006" s="953"/>
      <c r="G6006" s="953"/>
      <c r="H6006" s="953"/>
    </row>
    <row r="6007" spans="1:8" x14ac:dyDescent="0.25">
      <c r="A6007" s="952"/>
      <c r="B6007" s="953"/>
      <c r="C6007" s="953"/>
      <c r="D6007" s="953"/>
      <c r="E6007" s="953"/>
      <c r="F6007" s="953"/>
      <c r="G6007" s="953"/>
      <c r="H6007" s="953"/>
    </row>
    <row r="6008" spans="1:8" x14ac:dyDescent="0.25">
      <c r="A6008" s="952"/>
      <c r="B6008" s="953"/>
      <c r="C6008" s="953"/>
      <c r="D6008" s="953"/>
      <c r="E6008" s="953"/>
      <c r="F6008" s="953"/>
      <c r="G6008" s="953"/>
      <c r="H6008" s="953"/>
    </row>
    <row r="6009" spans="1:8" x14ac:dyDescent="0.25">
      <c r="A6009" s="952"/>
      <c r="B6009" s="953"/>
      <c r="C6009" s="953"/>
      <c r="D6009" s="953"/>
      <c r="E6009" s="953"/>
      <c r="F6009" s="953"/>
      <c r="G6009" s="953"/>
      <c r="H6009" s="953"/>
    </row>
    <row r="6010" spans="1:8" x14ac:dyDescent="0.25">
      <c r="A6010" s="952"/>
      <c r="B6010" s="953"/>
      <c r="C6010" s="953"/>
      <c r="D6010" s="953"/>
      <c r="E6010" s="953"/>
      <c r="F6010" s="953"/>
      <c r="G6010" s="953"/>
      <c r="H6010" s="953"/>
    </row>
    <row r="6011" spans="1:8" x14ac:dyDescent="0.25">
      <c r="A6011" s="952"/>
      <c r="B6011" s="953"/>
      <c r="C6011" s="953"/>
      <c r="D6011" s="953"/>
      <c r="E6011" s="953"/>
      <c r="F6011" s="953"/>
      <c r="G6011" s="953"/>
      <c r="H6011" s="953"/>
    </row>
    <row r="6012" spans="1:8" x14ac:dyDescent="0.25">
      <c r="A6012" s="952"/>
      <c r="B6012" s="953"/>
      <c r="C6012" s="953"/>
      <c r="D6012" s="953"/>
      <c r="E6012" s="953"/>
      <c r="F6012" s="953"/>
      <c r="G6012" s="953"/>
      <c r="H6012" s="953"/>
    </row>
    <row r="6013" spans="1:8" x14ac:dyDescent="0.25">
      <c r="A6013" s="952"/>
      <c r="B6013" s="953"/>
      <c r="C6013" s="953"/>
      <c r="D6013" s="953"/>
      <c r="E6013" s="953"/>
      <c r="F6013" s="953"/>
      <c r="G6013" s="953"/>
      <c r="H6013" s="953"/>
    </row>
    <row r="6014" spans="1:8" x14ac:dyDescent="0.25">
      <c r="A6014" s="952"/>
      <c r="B6014" s="953"/>
      <c r="C6014" s="953"/>
      <c r="D6014" s="953"/>
      <c r="E6014" s="953"/>
      <c r="F6014" s="953"/>
      <c r="G6014" s="953"/>
      <c r="H6014" s="953"/>
    </row>
    <row r="6015" spans="1:8" x14ac:dyDescent="0.25">
      <c r="A6015" s="952"/>
      <c r="B6015" s="953"/>
      <c r="C6015" s="953"/>
      <c r="D6015" s="953"/>
      <c r="E6015" s="953"/>
      <c r="F6015" s="953"/>
      <c r="G6015" s="953"/>
      <c r="H6015" s="953"/>
    </row>
    <row r="6016" spans="1:8" x14ac:dyDescent="0.25">
      <c r="A6016" s="952"/>
      <c r="B6016" s="953"/>
      <c r="C6016" s="953"/>
      <c r="D6016" s="953"/>
      <c r="E6016" s="953"/>
      <c r="F6016" s="953"/>
      <c r="G6016" s="953"/>
      <c r="H6016" s="953"/>
    </row>
    <row r="6017" spans="1:8" x14ac:dyDescent="0.25">
      <c r="A6017" s="952"/>
      <c r="B6017" s="953"/>
      <c r="C6017" s="953"/>
      <c r="D6017" s="953"/>
      <c r="E6017" s="953"/>
      <c r="F6017" s="953"/>
      <c r="G6017" s="953"/>
      <c r="H6017" s="953"/>
    </row>
    <row r="6018" spans="1:8" x14ac:dyDescent="0.25">
      <c r="A6018" s="952"/>
      <c r="B6018" s="953"/>
      <c r="C6018" s="953"/>
      <c r="D6018" s="953"/>
      <c r="E6018" s="953"/>
      <c r="F6018" s="953"/>
      <c r="G6018" s="953"/>
      <c r="H6018" s="953"/>
    </row>
    <row r="6019" spans="1:8" x14ac:dyDescent="0.25">
      <c r="A6019" s="952"/>
      <c r="B6019" s="953"/>
      <c r="C6019" s="953"/>
      <c r="D6019" s="953"/>
      <c r="E6019" s="953"/>
      <c r="F6019" s="953"/>
      <c r="G6019" s="953"/>
      <c r="H6019" s="953"/>
    </row>
    <row r="6020" spans="1:8" x14ac:dyDescent="0.25">
      <c r="A6020" s="952"/>
      <c r="B6020" s="953"/>
      <c r="C6020" s="953"/>
      <c r="D6020" s="953"/>
      <c r="E6020" s="953"/>
      <c r="F6020" s="953"/>
      <c r="G6020" s="953"/>
      <c r="H6020" s="953"/>
    </row>
    <row r="6021" spans="1:8" x14ac:dyDescent="0.25">
      <c r="A6021" s="952"/>
      <c r="B6021" s="953"/>
      <c r="C6021" s="953"/>
      <c r="D6021" s="953"/>
      <c r="E6021" s="953"/>
      <c r="F6021" s="953"/>
      <c r="G6021" s="953"/>
      <c r="H6021" s="953"/>
    </row>
    <row r="6022" spans="1:8" x14ac:dyDescent="0.25">
      <c r="A6022" s="952"/>
      <c r="B6022" s="953"/>
      <c r="C6022" s="953"/>
      <c r="D6022" s="953"/>
      <c r="E6022" s="953"/>
      <c r="F6022" s="953"/>
      <c r="G6022" s="953"/>
      <c r="H6022" s="953"/>
    </row>
    <row r="6023" spans="1:8" x14ac:dyDescent="0.25">
      <c r="A6023" s="952"/>
      <c r="B6023" s="953"/>
      <c r="C6023" s="953"/>
      <c r="D6023" s="953"/>
      <c r="E6023" s="953"/>
      <c r="F6023" s="953"/>
      <c r="G6023" s="953"/>
      <c r="H6023" s="953"/>
    </row>
    <row r="6024" spans="1:8" x14ac:dyDescent="0.25">
      <c r="A6024" s="952"/>
      <c r="B6024" s="953"/>
      <c r="C6024" s="953"/>
      <c r="D6024" s="953"/>
      <c r="E6024" s="953"/>
      <c r="F6024" s="953"/>
      <c r="G6024" s="953"/>
      <c r="H6024" s="953"/>
    </row>
    <row r="6025" spans="1:8" x14ac:dyDescent="0.25">
      <c r="A6025" s="952"/>
      <c r="B6025" s="953"/>
      <c r="C6025" s="953"/>
      <c r="D6025" s="953"/>
      <c r="E6025" s="953"/>
      <c r="F6025" s="953"/>
      <c r="G6025" s="953"/>
      <c r="H6025" s="953"/>
    </row>
    <row r="6026" spans="1:8" x14ac:dyDescent="0.25">
      <c r="A6026" s="952"/>
      <c r="B6026" s="953"/>
      <c r="C6026" s="953"/>
      <c r="D6026" s="953"/>
      <c r="E6026" s="953"/>
      <c r="F6026" s="953"/>
      <c r="G6026" s="953"/>
      <c r="H6026" s="953"/>
    </row>
    <row r="6027" spans="1:8" x14ac:dyDescent="0.25">
      <c r="A6027" s="952"/>
      <c r="B6027" s="953"/>
      <c r="C6027" s="953"/>
      <c r="D6027" s="953"/>
      <c r="E6027" s="953"/>
      <c r="F6027" s="953"/>
      <c r="G6027" s="953"/>
      <c r="H6027" s="953"/>
    </row>
    <row r="6028" spans="1:8" x14ac:dyDescent="0.25">
      <c r="A6028" s="952"/>
      <c r="B6028" s="953"/>
      <c r="C6028" s="953"/>
      <c r="D6028" s="953"/>
      <c r="E6028" s="953"/>
      <c r="F6028" s="953"/>
      <c r="G6028" s="953"/>
      <c r="H6028" s="953"/>
    </row>
    <row r="6029" spans="1:8" x14ac:dyDescent="0.25">
      <c r="A6029" s="952"/>
      <c r="B6029" s="953"/>
      <c r="C6029" s="953"/>
      <c r="D6029" s="953"/>
      <c r="E6029" s="953"/>
      <c r="F6029" s="953"/>
      <c r="G6029" s="953"/>
      <c r="H6029" s="953"/>
    </row>
    <row r="6030" spans="1:8" x14ac:dyDescent="0.25">
      <c r="A6030" s="952"/>
      <c r="B6030" s="953"/>
      <c r="C6030" s="953"/>
      <c r="D6030" s="953"/>
      <c r="E6030" s="953"/>
      <c r="F6030" s="953"/>
      <c r="G6030" s="953"/>
      <c r="H6030" s="953"/>
    </row>
    <row r="6031" spans="1:8" x14ac:dyDescent="0.25">
      <c r="A6031" s="952"/>
      <c r="B6031" s="953"/>
      <c r="C6031" s="953"/>
      <c r="D6031" s="953"/>
      <c r="E6031" s="953"/>
      <c r="F6031" s="953"/>
      <c r="G6031" s="953"/>
      <c r="H6031" s="953"/>
    </row>
    <row r="6032" spans="1:8" x14ac:dyDescent="0.25">
      <c r="A6032" s="952"/>
      <c r="B6032" s="953"/>
      <c r="C6032" s="953"/>
      <c r="D6032" s="953"/>
      <c r="E6032" s="953"/>
      <c r="F6032" s="953"/>
      <c r="G6032" s="953"/>
      <c r="H6032" s="953"/>
    </row>
    <row r="6033" spans="1:8" x14ac:dyDescent="0.25">
      <c r="A6033" s="952"/>
      <c r="B6033" s="953"/>
      <c r="C6033" s="953"/>
      <c r="D6033" s="953"/>
      <c r="E6033" s="953"/>
      <c r="F6033" s="953"/>
      <c r="G6033" s="953"/>
      <c r="H6033" s="953"/>
    </row>
    <row r="6034" spans="1:8" x14ac:dyDescent="0.25">
      <c r="A6034" s="952"/>
      <c r="B6034" s="953"/>
      <c r="C6034" s="953"/>
      <c r="D6034" s="953"/>
      <c r="E6034" s="953"/>
      <c r="F6034" s="953"/>
      <c r="G6034" s="953"/>
      <c r="H6034" s="953"/>
    </row>
    <row r="6035" spans="1:8" x14ac:dyDescent="0.25">
      <c r="A6035" s="952"/>
      <c r="B6035" s="953"/>
      <c r="C6035" s="953"/>
      <c r="D6035" s="953"/>
      <c r="E6035" s="953"/>
      <c r="F6035" s="953"/>
      <c r="G6035" s="953"/>
      <c r="H6035" s="953"/>
    </row>
    <row r="6036" spans="1:8" x14ac:dyDescent="0.25">
      <c r="A6036" s="952"/>
      <c r="B6036" s="953"/>
      <c r="C6036" s="953"/>
      <c r="D6036" s="953"/>
      <c r="E6036" s="953"/>
      <c r="F6036" s="953"/>
      <c r="G6036" s="953"/>
      <c r="H6036" s="953"/>
    </row>
    <row r="6037" spans="1:8" x14ac:dyDescent="0.25">
      <c r="A6037" s="952"/>
      <c r="B6037" s="953"/>
      <c r="C6037" s="953"/>
      <c r="D6037" s="953"/>
      <c r="E6037" s="953"/>
      <c r="F6037" s="953"/>
      <c r="G6037" s="953"/>
      <c r="H6037" s="953"/>
    </row>
    <row r="6038" spans="1:8" x14ac:dyDescent="0.25">
      <c r="A6038" s="952"/>
      <c r="B6038" s="953"/>
      <c r="C6038" s="953"/>
      <c r="D6038" s="953"/>
      <c r="E6038" s="953"/>
      <c r="F6038" s="953"/>
      <c r="G6038" s="953"/>
      <c r="H6038" s="953"/>
    </row>
    <row r="6039" spans="1:8" x14ac:dyDescent="0.25">
      <c r="A6039" s="952"/>
      <c r="B6039" s="953"/>
      <c r="C6039" s="953"/>
      <c r="D6039" s="953"/>
      <c r="E6039" s="953"/>
      <c r="F6039" s="953"/>
      <c r="G6039" s="953"/>
      <c r="H6039" s="953"/>
    </row>
    <row r="6040" spans="1:8" x14ac:dyDescent="0.25">
      <c r="A6040" s="952"/>
      <c r="B6040" s="953"/>
      <c r="C6040" s="953"/>
      <c r="D6040" s="953"/>
      <c r="E6040" s="953"/>
      <c r="F6040" s="953"/>
      <c r="G6040" s="953"/>
      <c r="H6040" s="953"/>
    </row>
    <row r="6041" spans="1:8" x14ac:dyDescent="0.25">
      <c r="A6041" s="952"/>
      <c r="B6041" s="953"/>
      <c r="C6041" s="953"/>
      <c r="D6041" s="953"/>
      <c r="E6041" s="953"/>
      <c r="F6041" s="953"/>
      <c r="G6041" s="953"/>
      <c r="H6041" s="953"/>
    </row>
    <row r="6042" spans="1:8" x14ac:dyDescent="0.25">
      <c r="A6042" s="952"/>
      <c r="B6042" s="953"/>
      <c r="C6042" s="953"/>
      <c r="D6042" s="953"/>
      <c r="E6042" s="953"/>
      <c r="F6042" s="953"/>
      <c r="G6042" s="953"/>
      <c r="H6042" s="953"/>
    </row>
    <row r="6043" spans="1:8" x14ac:dyDescent="0.25">
      <c r="A6043" s="952"/>
      <c r="B6043" s="953"/>
      <c r="C6043" s="953"/>
      <c r="D6043" s="953"/>
      <c r="E6043" s="953"/>
      <c r="F6043" s="953"/>
      <c r="G6043" s="953"/>
      <c r="H6043" s="953"/>
    </row>
    <row r="6044" spans="1:8" x14ac:dyDescent="0.25">
      <c r="A6044" s="952"/>
      <c r="B6044" s="953"/>
      <c r="C6044" s="953"/>
      <c r="D6044" s="953"/>
      <c r="E6044" s="953"/>
      <c r="F6044" s="953"/>
      <c r="G6044" s="953"/>
      <c r="H6044" s="953"/>
    </row>
    <row r="6045" spans="1:8" x14ac:dyDescent="0.25">
      <c r="A6045" s="952"/>
      <c r="B6045" s="953"/>
      <c r="C6045" s="953"/>
      <c r="D6045" s="953"/>
      <c r="E6045" s="953"/>
      <c r="F6045" s="953"/>
      <c r="G6045" s="953"/>
      <c r="H6045" s="953"/>
    </row>
    <row r="6046" spans="1:8" x14ac:dyDescent="0.25">
      <c r="A6046" s="952"/>
      <c r="B6046" s="953"/>
      <c r="C6046" s="953"/>
      <c r="D6046" s="953"/>
      <c r="E6046" s="953"/>
      <c r="F6046" s="953"/>
      <c r="G6046" s="953"/>
      <c r="H6046" s="953"/>
    </row>
    <row r="6047" spans="1:8" x14ac:dyDescent="0.25">
      <c r="A6047" s="952"/>
      <c r="B6047" s="953"/>
      <c r="C6047" s="953"/>
      <c r="D6047" s="953"/>
      <c r="E6047" s="953"/>
      <c r="F6047" s="953"/>
      <c r="G6047" s="953"/>
      <c r="H6047" s="953"/>
    </row>
    <row r="6048" spans="1:8" x14ac:dyDescent="0.25">
      <c r="A6048" s="952"/>
      <c r="B6048" s="953"/>
      <c r="C6048" s="953"/>
      <c r="D6048" s="953"/>
      <c r="E6048" s="953"/>
      <c r="F6048" s="953"/>
      <c r="G6048" s="953"/>
      <c r="H6048" s="953"/>
    </row>
    <row r="6049" spans="1:8" x14ac:dyDescent="0.25">
      <c r="A6049" s="952"/>
      <c r="B6049" s="953"/>
      <c r="C6049" s="953"/>
      <c r="D6049" s="953"/>
      <c r="E6049" s="953"/>
      <c r="F6049" s="953"/>
      <c r="G6049" s="953"/>
      <c r="H6049" s="953"/>
    </row>
    <row r="6050" spans="1:8" x14ac:dyDescent="0.25">
      <c r="A6050" s="952"/>
      <c r="B6050" s="953"/>
      <c r="C6050" s="953"/>
      <c r="D6050" s="953"/>
      <c r="E6050" s="953"/>
      <c r="F6050" s="953"/>
      <c r="G6050" s="953"/>
      <c r="H6050" s="953"/>
    </row>
    <row r="6051" spans="1:8" x14ac:dyDescent="0.25">
      <c r="A6051" s="952"/>
      <c r="B6051" s="953"/>
      <c r="C6051" s="953"/>
      <c r="D6051" s="953"/>
      <c r="E6051" s="953"/>
      <c r="F6051" s="953"/>
      <c r="G6051" s="953"/>
      <c r="H6051" s="953"/>
    </row>
    <row r="6052" spans="1:8" x14ac:dyDescent="0.25">
      <c r="A6052" s="952"/>
      <c r="B6052" s="953"/>
      <c r="C6052" s="953"/>
      <c r="D6052" s="953"/>
      <c r="E6052" s="953"/>
      <c r="F6052" s="953"/>
      <c r="G6052" s="953"/>
      <c r="H6052" s="953"/>
    </row>
    <row r="6053" spans="1:8" x14ac:dyDescent="0.25">
      <c r="A6053" s="952"/>
      <c r="B6053" s="953"/>
      <c r="C6053" s="953"/>
      <c r="D6053" s="953"/>
      <c r="E6053" s="953"/>
      <c r="F6053" s="953"/>
      <c r="G6053" s="953"/>
      <c r="H6053" s="953"/>
    </row>
    <row r="6054" spans="1:8" x14ac:dyDescent="0.25">
      <c r="A6054" s="952"/>
      <c r="B6054" s="953"/>
      <c r="C6054" s="953"/>
      <c r="D6054" s="953"/>
      <c r="E6054" s="953"/>
      <c r="F6054" s="953"/>
      <c r="G6054" s="953"/>
      <c r="H6054" s="953"/>
    </row>
    <row r="6055" spans="1:8" x14ac:dyDescent="0.25">
      <c r="A6055" s="952"/>
      <c r="B6055" s="953"/>
      <c r="C6055" s="953"/>
      <c r="D6055" s="953"/>
      <c r="E6055" s="953"/>
      <c r="F6055" s="953"/>
      <c r="G6055" s="953"/>
      <c r="H6055" s="953"/>
    </row>
    <row r="6056" spans="1:8" x14ac:dyDescent="0.25">
      <c r="A6056" s="952"/>
      <c r="B6056" s="953"/>
      <c r="C6056" s="953"/>
      <c r="D6056" s="953"/>
      <c r="E6056" s="953"/>
      <c r="F6056" s="953"/>
      <c r="G6056" s="953"/>
      <c r="H6056" s="953"/>
    </row>
    <row r="6057" spans="1:8" x14ac:dyDescent="0.25">
      <c r="A6057" s="952"/>
      <c r="B6057" s="953"/>
      <c r="C6057" s="953"/>
      <c r="D6057" s="953"/>
      <c r="E6057" s="953"/>
      <c r="F6057" s="953"/>
      <c r="G6057" s="953"/>
      <c r="H6057" s="953"/>
    </row>
    <row r="6058" spans="1:8" x14ac:dyDescent="0.25">
      <c r="A6058" s="952"/>
      <c r="B6058" s="953"/>
      <c r="C6058" s="953"/>
      <c r="D6058" s="953"/>
      <c r="E6058" s="953"/>
      <c r="F6058" s="953"/>
      <c r="G6058" s="953"/>
      <c r="H6058" s="953"/>
    </row>
    <row r="6059" spans="1:8" x14ac:dyDescent="0.25">
      <c r="A6059" s="952"/>
      <c r="B6059" s="953"/>
      <c r="C6059" s="953"/>
      <c r="D6059" s="953"/>
      <c r="E6059" s="953"/>
      <c r="F6059" s="953"/>
      <c r="G6059" s="953"/>
      <c r="H6059" s="953"/>
    </row>
    <row r="6060" spans="1:8" x14ac:dyDescent="0.25">
      <c r="A6060" s="952"/>
      <c r="B6060" s="953"/>
      <c r="C6060" s="953"/>
      <c r="D6060" s="953"/>
      <c r="E6060" s="953"/>
      <c r="F6060" s="953"/>
      <c r="G6060" s="953"/>
      <c r="H6060" s="953"/>
    </row>
    <row r="6061" spans="1:8" x14ac:dyDescent="0.25">
      <c r="A6061" s="952"/>
      <c r="B6061" s="953"/>
      <c r="C6061" s="953"/>
      <c r="D6061" s="953"/>
      <c r="E6061" s="953"/>
      <c r="F6061" s="953"/>
      <c r="G6061" s="953"/>
      <c r="H6061" s="953"/>
    </row>
    <row r="6062" spans="1:8" x14ac:dyDescent="0.25">
      <c r="A6062" s="952"/>
      <c r="B6062" s="953"/>
      <c r="C6062" s="953"/>
      <c r="D6062" s="953"/>
      <c r="E6062" s="953"/>
      <c r="F6062" s="953"/>
      <c r="G6062" s="953"/>
      <c r="H6062" s="953"/>
    </row>
    <row r="6063" spans="1:8" x14ac:dyDescent="0.25">
      <c r="A6063" s="952"/>
      <c r="B6063" s="953"/>
      <c r="C6063" s="953"/>
      <c r="D6063" s="953"/>
      <c r="E6063" s="953"/>
      <c r="F6063" s="953"/>
      <c r="G6063" s="953"/>
      <c r="H6063" s="953"/>
    </row>
    <row r="6064" spans="1:8" x14ac:dyDescent="0.25">
      <c r="A6064" s="952"/>
      <c r="B6064" s="953"/>
      <c r="C6064" s="953"/>
      <c r="D6064" s="953"/>
      <c r="E6064" s="953"/>
      <c r="F6064" s="953"/>
      <c r="G6064" s="953"/>
      <c r="H6064" s="953"/>
    </row>
    <row r="6065" spans="1:8" x14ac:dyDescent="0.25">
      <c r="A6065" s="952"/>
      <c r="B6065" s="953"/>
      <c r="C6065" s="953"/>
      <c r="D6065" s="953"/>
      <c r="E6065" s="953"/>
      <c r="F6065" s="953"/>
      <c r="G6065" s="953"/>
      <c r="H6065" s="953"/>
    </row>
    <row r="6066" spans="1:8" x14ac:dyDescent="0.25">
      <c r="A6066" s="952"/>
      <c r="B6066" s="953"/>
      <c r="C6066" s="953"/>
      <c r="D6066" s="953"/>
      <c r="E6066" s="953"/>
      <c r="F6066" s="953"/>
      <c r="G6066" s="953"/>
      <c r="H6066" s="953"/>
    </row>
    <row r="6067" spans="1:8" x14ac:dyDescent="0.25">
      <c r="A6067" s="952"/>
      <c r="B6067" s="953"/>
      <c r="C6067" s="953"/>
      <c r="D6067" s="953"/>
      <c r="E6067" s="953"/>
      <c r="F6067" s="953"/>
      <c r="G6067" s="953"/>
      <c r="H6067" s="953"/>
    </row>
    <row r="6068" spans="1:8" x14ac:dyDescent="0.25">
      <c r="A6068" s="952"/>
      <c r="B6068" s="953"/>
      <c r="C6068" s="953"/>
      <c r="D6068" s="953"/>
      <c r="E6068" s="953"/>
      <c r="F6068" s="953"/>
      <c r="G6068" s="953"/>
      <c r="H6068" s="953"/>
    </row>
    <row r="6069" spans="1:8" x14ac:dyDescent="0.25">
      <c r="A6069" s="952"/>
      <c r="B6069" s="953"/>
      <c r="C6069" s="953"/>
      <c r="D6069" s="953"/>
      <c r="E6069" s="953"/>
      <c r="F6069" s="953"/>
      <c r="G6069" s="953"/>
      <c r="H6069" s="953"/>
    </row>
    <row r="6070" spans="1:8" x14ac:dyDescent="0.25">
      <c r="A6070" s="952"/>
      <c r="B6070" s="953"/>
      <c r="C6070" s="953"/>
      <c r="D6070" s="953"/>
      <c r="E6070" s="953"/>
      <c r="F6070" s="953"/>
      <c r="G6070" s="953"/>
      <c r="H6070" s="953"/>
    </row>
    <row r="6071" spans="1:8" x14ac:dyDescent="0.25">
      <c r="A6071" s="952"/>
      <c r="B6071" s="953"/>
      <c r="C6071" s="953"/>
      <c r="D6071" s="953"/>
      <c r="E6071" s="953"/>
      <c r="F6071" s="953"/>
      <c r="G6071" s="953"/>
      <c r="H6071" s="953"/>
    </row>
    <row r="6072" spans="1:8" x14ac:dyDescent="0.25">
      <c r="A6072" s="952"/>
      <c r="B6072" s="953"/>
      <c r="C6072" s="953"/>
      <c r="D6072" s="953"/>
      <c r="E6072" s="953"/>
      <c r="F6072" s="953"/>
      <c r="G6072" s="953"/>
      <c r="H6072" s="953"/>
    </row>
    <row r="6073" spans="1:8" x14ac:dyDescent="0.25">
      <c r="A6073" s="952"/>
      <c r="B6073" s="953"/>
      <c r="C6073" s="953"/>
      <c r="D6073" s="953"/>
      <c r="E6073" s="953"/>
      <c r="F6073" s="953"/>
      <c r="G6073" s="953"/>
      <c r="H6073" s="953"/>
    </row>
    <row r="6074" spans="1:8" x14ac:dyDescent="0.25">
      <c r="A6074" s="952"/>
      <c r="B6074" s="953"/>
      <c r="C6074" s="953"/>
      <c r="D6074" s="953"/>
      <c r="E6074" s="953"/>
      <c r="F6074" s="953"/>
      <c r="G6074" s="953"/>
      <c r="H6074" s="953"/>
    </row>
    <row r="6075" spans="1:8" x14ac:dyDescent="0.25">
      <c r="A6075" s="952"/>
      <c r="B6075" s="953"/>
      <c r="C6075" s="953"/>
      <c r="D6075" s="953"/>
      <c r="E6075" s="953"/>
      <c r="F6075" s="953"/>
      <c r="G6075" s="953"/>
      <c r="H6075" s="953"/>
    </row>
    <row r="6076" spans="1:8" x14ac:dyDescent="0.25">
      <c r="A6076" s="952"/>
      <c r="B6076" s="953"/>
      <c r="C6076" s="953"/>
      <c r="D6076" s="953"/>
      <c r="E6076" s="953"/>
      <c r="F6076" s="953"/>
      <c r="G6076" s="953"/>
      <c r="H6076" s="953"/>
    </row>
    <row r="6077" spans="1:8" x14ac:dyDescent="0.25">
      <c r="A6077" s="952"/>
      <c r="B6077" s="953"/>
      <c r="C6077" s="953"/>
      <c r="D6077" s="953"/>
      <c r="E6077" s="953"/>
      <c r="F6077" s="953"/>
      <c r="G6077" s="953"/>
      <c r="H6077" s="953"/>
    </row>
    <row r="6078" spans="1:8" x14ac:dyDescent="0.25">
      <c r="A6078" s="952"/>
      <c r="B6078" s="953"/>
      <c r="C6078" s="953"/>
      <c r="D6078" s="953"/>
      <c r="E6078" s="953"/>
      <c r="F6078" s="953"/>
      <c r="G6078" s="953"/>
      <c r="H6078" s="953"/>
    </row>
    <row r="6079" spans="1:8" x14ac:dyDescent="0.25">
      <c r="A6079" s="952"/>
      <c r="B6079" s="953"/>
      <c r="C6079" s="953"/>
      <c r="D6079" s="953"/>
      <c r="E6079" s="953"/>
      <c r="F6079" s="953"/>
      <c r="G6079" s="953"/>
      <c r="H6079" s="953"/>
    </row>
    <row r="6080" spans="1:8" x14ac:dyDescent="0.25">
      <c r="A6080" s="952"/>
      <c r="B6080" s="953"/>
      <c r="C6080" s="953"/>
      <c r="D6080" s="953"/>
      <c r="E6080" s="953"/>
      <c r="F6080" s="953"/>
      <c r="G6080" s="953"/>
      <c r="H6080" s="953"/>
    </row>
    <row r="6081" spans="1:8" x14ac:dyDescent="0.25">
      <c r="A6081" s="952"/>
      <c r="B6081" s="953"/>
      <c r="C6081" s="953"/>
      <c r="D6081" s="953"/>
      <c r="E6081" s="953"/>
      <c r="F6081" s="953"/>
      <c r="G6081" s="953"/>
      <c r="H6081" s="953"/>
    </row>
    <row r="6082" spans="1:8" x14ac:dyDescent="0.25">
      <c r="A6082" s="952"/>
      <c r="B6082" s="953"/>
      <c r="C6082" s="953"/>
      <c r="D6082" s="953"/>
      <c r="E6082" s="953"/>
      <c r="F6082" s="953"/>
      <c r="G6082" s="953"/>
      <c r="H6082" s="953"/>
    </row>
    <row r="6083" spans="1:8" x14ac:dyDescent="0.25">
      <c r="A6083" s="952"/>
      <c r="B6083" s="953"/>
      <c r="C6083" s="953"/>
      <c r="D6083" s="953"/>
      <c r="E6083" s="953"/>
      <c r="F6083" s="953"/>
      <c r="G6083" s="953"/>
      <c r="H6083" s="953"/>
    </row>
    <row r="6084" spans="1:8" x14ac:dyDescent="0.25">
      <c r="A6084" s="952"/>
      <c r="B6084" s="953"/>
      <c r="C6084" s="953"/>
      <c r="D6084" s="953"/>
      <c r="E6084" s="953"/>
      <c r="F6084" s="953"/>
      <c r="G6084" s="953"/>
      <c r="H6084" s="953"/>
    </row>
    <row r="6085" spans="1:8" x14ac:dyDescent="0.25">
      <c r="A6085" s="952"/>
      <c r="B6085" s="953"/>
      <c r="C6085" s="953"/>
      <c r="D6085" s="953"/>
      <c r="E6085" s="953"/>
      <c r="F6085" s="953"/>
      <c r="G6085" s="953"/>
      <c r="H6085" s="953"/>
    </row>
    <row r="6086" spans="1:8" x14ac:dyDescent="0.25">
      <c r="A6086" s="952"/>
      <c r="B6086" s="953"/>
      <c r="C6086" s="953"/>
      <c r="D6086" s="953"/>
      <c r="E6086" s="953"/>
      <c r="F6086" s="953"/>
      <c r="G6086" s="953"/>
      <c r="H6086" s="953"/>
    </row>
    <row r="6087" spans="1:8" x14ac:dyDescent="0.25">
      <c r="A6087" s="952"/>
      <c r="B6087" s="953"/>
      <c r="C6087" s="953"/>
      <c r="D6087" s="953"/>
      <c r="E6087" s="953"/>
      <c r="F6087" s="953"/>
      <c r="G6087" s="953"/>
      <c r="H6087" s="953"/>
    </row>
    <row r="6088" spans="1:8" x14ac:dyDescent="0.25">
      <c r="A6088" s="952"/>
      <c r="B6088" s="953"/>
      <c r="C6088" s="953"/>
      <c r="D6088" s="953"/>
      <c r="E6088" s="953"/>
      <c r="F6088" s="953"/>
      <c r="G6088" s="953"/>
      <c r="H6088" s="953"/>
    </row>
    <row r="6089" spans="1:8" x14ac:dyDescent="0.25">
      <c r="A6089" s="952"/>
      <c r="B6089" s="953"/>
      <c r="C6089" s="953"/>
      <c r="D6089" s="953"/>
      <c r="E6089" s="953"/>
      <c r="F6089" s="953"/>
      <c r="G6089" s="953"/>
      <c r="H6089" s="953"/>
    </row>
    <row r="6090" spans="1:8" x14ac:dyDescent="0.25">
      <c r="A6090" s="952"/>
      <c r="B6090" s="953"/>
      <c r="C6090" s="953"/>
      <c r="D6090" s="953"/>
      <c r="E6090" s="953"/>
      <c r="F6090" s="953"/>
      <c r="G6090" s="953"/>
      <c r="H6090" s="953"/>
    </row>
    <row r="6091" spans="1:8" x14ac:dyDescent="0.25">
      <c r="A6091" s="952"/>
      <c r="B6091" s="953"/>
      <c r="C6091" s="953"/>
      <c r="D6091" s="953"/>
      <c r="E6091" s="953"/>
      <c r="F6091" s="953"/>
      <c r="G6091" s="953"/>
      <c r="H6091" s="953"/>
    </row>
    <row r="6092" spans="1:8" x14ac:dyDescent="0.25">
      <c r="A6092" s="952"/>
      <c r="B6092" s="953"/>
      <c r="C6092" s="953"/>
      <c r="D6092" s="953"/>
      <c r="E6092" s="953"/>
      <c r="F6092" s="953"/>
      <c r="G6092" s="953"/>
      <c r="H6092" s="953"/>
    </row>
    <row r="6093" spans="1:8" x14ac:dyDescent="0.25">
      <c r="A6093" s="952"/>
      <c r="B6093" s="953"/>
      <c r="C6093" s="953"/>
      <c r="D6093" s="953"/>
      <c r="E6093" s="953"/>
      <c r="F6093" s="953"/>
      <c r="G6093" s="953"/>
      <c r="H6093" s="953"/>
    </row>
    <row r="6094" spans="1:8" x14ac:dyDescent="0.25">
      <c r="A6094" s="952"/>
      <c r="B6094" s="953"/>
      <c r="C6094" s="953"/>
      <c r="D6094" s="953"/>
      <c r="E6094" s="953"/>
      <c r="F6094" s="953"/>
      <c r="G6094" s="953"/>
      <c r="H6094" s="953"/>
    </row>
    <row r="6095" spans="1:8" x14ac:dyDescent="0.25">
      <c r="A6095" s="952"/>
      <c r="B6095" s="953"/>
      <c r="C6095" s="953"/>
      <c r="D6095" s="953"/>
      <c r="E6095" s="953"/>
      <c r="F6095" s="953"/>
      <c r="G6095" s="953"/>
      <c r="H6095" s="953"/>
    </row>
    <row r="6096" spans="1:8" x14ac:dyDescent="0.25">
      <c r="A6096" s="952"/>
      <c r="B6096" s="953"/>
      <c r="C6096" s="953"/>
      <c r="D6096" s="953"/>
      <c r="E6096" s="953"/>
      <c r="F6096" s="953"/>
      <c r="G6096" s="953"/>
      <c r="H6096" s="953"/>
    </row>
    <row r="6097" spans="1:8" x14ac:dyDescent="0.25">
      <c r="A6097" s="952"/>
      <c r="B6097" s="953"/>
      <c r="C6097" s="953"/>
      <c r="D6097" s="953"/>
      <c r="E6097" s="953"/>
      <c r="F6097" s="953"/>
      <c r="G6097" s="953"/>
      <c r="H6097" s="953"/>
    </row>
    <row r="6098" spans="1:8" x14ac:dyDescent="0.25">
      <c r="A6098" s="952"/>
      <c r="B6098" s="953"/>
      <c r="C6098" s="953"/>
      <c r="D6098" s="953"/>
      <c r="E6098" s="953"/>
      <c r="F6098" s="953"/>
      <c r="G6098" s="953"/>
      <c r="H6098" s="953"/>
    </row>
    <row r="6099" spans="1:8" x14ac:dyDescent="0.25">
      <c r="A6099" s="952"/>
      <c r="B6099" s="953"/>
      <c r="C6099" s="953"/>
      <c r="D6099" s="953"/>
      <c r="E6099" s="953"/>
      <c r="F6099" s="953"/>
      <c r="G6099" s="953"/>
      <c r="H6099" s="953"/>
    </row>
    <row r="6100" spans="1:8" x14ac:dyDescent="0.25">
      <c r="A6100" s="952"/>
      <c r="B6100" s="953"/>
      <c r="C6100" s="953"/>
      <c r="D6100" s="953"/>
      <c r="E6100" s="953"/>
      <c r="F6100" s="953"/>
      <c r="G6100" s="953"/>
      <c r="H6100" s="953"/>
    </row>
    <row r="6101" spans="1:8" x14ac:dyDescent="0.25">
      <c r="A6101" s="952"/>
      <c r="B6101" s="953"/>
      <c r="C6101" s="953"/>
      <c r="D6101" s="953"/>
      <c r="E6101" s="953"/>
      <c r="F6101" s="953"/>
      <c r="G6101" s="953"/>
      <c r="H6101" s="953"/>
    </row>
    <row r="6102" spans="1:8" x14ac:dyDescent="0.25">
      <c r="A6102" s="952"/>
      <c r="B6102" s="953"/>
      <c r="C6102" s="953"/>
      <c r="D6102" s="953"/>
      <c r="E6102" s="953"/>
      <c r="F6102" s="953"/>
      <c r="G6102" s="953"/>
      <c r="H6102" s="953"/>
    </row>
    <row r="6103" spans="1:8" x14ac:dyDescent="0.25">
      <c r="A6103" s="952"/>
      <c r="B6103" s="953"/>
      <c r="C6103" s="953"/>
      <c r="D6103" s="953"/>
      <c r="E6103" s="953"/>
      <c r="F6103" s="953"/>
      <c r="G6103" s="953"/>
      <c r="H6103" s="953"/>
    </row>
    <row r="6104" spans="1:8" x14ac:dyDescent="0.25">
      <c r="A6104" s="952"/>
      <c r="B6104" s="953"/>
      <c r="C6104" s="953"/>
      <c r="D6104" s="953"/>
      <c r="E6104" s="953"/>
      <c r="F6104" s="953"/>
      <c r="G6104" s="953"/>
      <c r="H6104" s="953"/>
    </row>
    <row r="6105" spans="1:8" x14ac:dyDescent="0.25">
      <c r="A6105" s="952"/>
      <c r="B6105" s="953"/>
      <c r="C6105" s="953"/>
      <c r="D6105" s="953"/>
      <c r="E6105" s="953"/>
      <c r="F6105" s="953"/>
      <c r="G6105" s="953"/>
      <c r="H6105" s="953"/>
    </row>
    <row r="6106" spans="1:8" x14ac:dyDescent="0.25">
      <c r="A6106" s="952"/>
      <c r="B6106" s="953"/>
      <c r="C6106" s="953"/>
      <c r="D6106" s="953"/>
      <c r="E6106" s="953"/>
      <c r="F6106" s="953"/>
      <c r="G6106" s="953"/>
      <c r="H6106" s="953"/>
    </row>
    <row r="6107" spans="1:8" x14ac:dyDescent="0.25">
      <c r="A6107" s="952"/>
      <c r="B6107" s="953"/>
      <c r="C6107" s="953"/>
      <c r="D6107" s="953"/>
      <c r="E6107" s="953"/>
      <c r="F6107" s="953"/>
      <c r="G6107" s="953"/>
      <c r="H6107" s="953"/>
    </row>
    <row r="6108" spans="1:8" x14ac:dyDescent="0.25">
      <c r="A6108" s="952"/>
      <c r="B6108" s="953"/>
      <c r="C6108" s="953"/>
      <c r="D6108" s="953"/>
      <c r="E6108" s="953"/>
      <c r="F6108" s="953"/>
      <c r="G6108" s="953"/>
      <c r="H6108" s="953"/>
    </row>
    <row r="6109" spans="1:8" x14ac:dyDescent="0.25">
      <c r="A6109" s="952"/>
      <c r="B6109" s="953"/>
      <c r="C6109" s="953"/>
      <c r="D6109" s="953"/>
      <c r="E6109" s="953"/>
      <c r="F6109" s="953"/>
      <c r="G6109" s="953"/>
      <c r="H6109" s="953"/>
    </row>
    <row r="6110" spans="1:8" x14ac:dyDescent="0.25">
      <c r="A6110" s="952"/>
      <c r="B6110" s="953"/>
      <c r="C6110" s="953"/>
      <c r="D6110" s="953"/>
      <c r="E6110" s="953"/>
      <c r="F6110" s="953"/>
      <c r="G6110" s="953"/>
      <c r="H6110" s="953"/>
    </row>
    <row r="6111" spans="1:8" x14ac:dyDescent="0.25">
      <c r="A6111" s="952"/>
      <c r="B6111" s="953"/>
      <c r="C6111" s="953"/>
      <c r="D6111" s="953"/>
      <c r="E6111" s="953"/>
      <c r="F6111" s="953"/>
      <c r="G6111" s="953"/>
      <c r="H6111" s="953"/>
    </row>
    <row r="6112" spans="1:8" x14ac:dyDescent="0.25">
      <c r="A6112" s="952"/>
      <c r="B6112" s="953"/>
      <c r="C6112" s="953"/>
      <c r="D6112" s="953"/>
      <c r="E6112" s="953"/>
      <c r="F6112" s="953"/>
      <c r="G6112" s="953"/>
      <c r="H6112" s="953"/>
    </row>
    <row r="6113" spans="1:8" x14ac:dyDescent="0.25">
      <c r="A6113" s="952"/>
      <c r="B6113" s="953"/>
      <c r="C6113" s="953"/>
      <c r="D6113" s="953"/>
      <c r="E6113" s="953"/>
      <c r="F6113" s="953"/>
      <c r="G6113" s="953"/>
      <c r="H6113" s="953"/>
    </row>
    <row r="6114" spans="1:8" x14ac:dyDescent="0.25">
      <c r="A6114" s="952"/>
      <c r="B6114" s="953"/>
      <c r="C6114" s="953"/>
      <c r="D6114" s="953"/>
      <c r="E6114" s="953"/>
      <c r="F6114" s="953"/>
      <c r="G6114" s="953"/>
      <c r="H6114" s="953"/>
    </row>
    <row r="6115" spans="1:8" x14ac:dyDescent="0.25">
      <c r="A6115" s="952"/>
      <c r="B6115" s="953"/>
      <c r="C6115" s="953"/>
      <c r="D6115" s="953"/>
      <c r="E6115" s="953"/>
      <c r="F6115" s="953"/>
      <c r="G6115" s="953"/>
      <c r="H6115" s="953"/>
    </row>
    <row r="6116" spans="1:8" x14ac:dyDescent="0.25">
      <c r="A6116" s="952"/>
      <c r="B6116" s="953"/>
      <c r="C6116" s="953"/>
      <c r="D6116" s="953"/>
      <c r="E6116" s="953"/>
      <c r="F6116" s="953"/>
      <c r="G6116" s="953"/>
      <c r="H6116" s="953"/>
    </row>
    <row r="6117" spans="1:8" x14ac:dyDescent="0.25">
      <c r="A6117" s="952"/>
      <c r="B6117" s="953"/>
      <c r="C6117" s="953"/>
      <c r="D6117" s="953"/>
      <c r="E6117" s="953"/>
      <c r="F6117" s="953"/>
      <c r="G6117" s="953"/>
      <c r="H6117" s="953"/>
    </row>
    <row r="6118" spans="1:8" x14ac:dyDescent="0.25">
      <c r="A6118" s="952"/>
      <c r="B6118" s="953"/>
      <c r="C6118" s="953"/>
      <c r="D6118" s="953"/>
      <c r="E6118" s="953"/>
      <c r="F6118" s="953"/>
      <c r="G6118" s="953"/>
      <c r="H6118" s="953"/>
    </row>
    <row r="6119" spans="1:8" x14ac:dyDescent="0.25">
      <c r="A6119" s="952"/>
      <c r="B6119" s="953"/>
      <c r="C6119" s="953"/>
      <c r="D6119" s="953"/>
      <c r="E6119" s="953"/>
      <c r="F6119" s="953"/>
      <c r="G6119" s="953"/>
      <c r="H6119" s="953"/>
    </row>
    <row r="6120" spans="1:8" x14ac:dyDescent="0.25">
      <c r="A6120" s="952"/>
      <c r="B6120" s="953"/>
      <c r="C6120" s="953"/>
      <c r="D6120" s="953"/>
      <c r="E6120" s="953"/>
      <c r="F6120" s="953"/>
      <c r="G6120" s="953"/>
      <c r="H6120" s="953"/>
    </row>
    <row r="6121" spans="1:8" x14ac:dyDescent="0.25">
      <c r="A6121" s="952"/>
      <c r="B6121" s="953"/>
      <c r="C6121" s="953"/>
      <c r="D6121" s="953"/>
      <c r="E6121" s="953"/>
      <c r="F6121" s="953"/>
      <c r="G6121" s="953"/>
      <c r="H6121" s="953"/>
    </row>
    <row r="6122" spans="1:8" x14ac:dyDescent="0.25">
      <c r="A6122" s="952"/>
      <c r="B6122" s="953"/>
      <c r="C6122" s="953"/>
      <c r="D6122" s="953"/>
      <c r="E6122" s="953"/>
      <c r="F6122" s="953"/>
      <c r="G6122" s="953"/>
      <c r="H6122" s="953"/>
    </row>
    <row r="6123" spans="1:8" x14ac:dyDescent="0.25">
      <c r="A6123" s="952"/>
      <c r="B6123" s="953"/>
      <c r="C6123" s="953"/>
      <c r="D6123" s="953"/>
      <c r="E6123" s="953"/>
      <c r="F6123" s="953"/>
      <c r="G6123" s="953"/>
      <c r="H6123" s="953"/>
    </row>
    <row r="6124" spans="1:8" x14ac:dyDescent="0.25">
      <c r="A6124" s="952"/>
      <c r="B6124" s="953"/>
      <c r="C6124" s="953"/>
      <c r="D6124" s="953"/>
      <c r="E6124" s="953"/>
      <c r="F6124" s="953"/>
      <c r="G6124" s="953"/>
      <c r="H6124" s="953"/>
    </row>
    <row r="6125" spans="1:8" x14ac:dyDescent="0.25">
      <c r="A6125" s="952"/>
      <c r="B6125" s="953"/>
      <c r="C6125" s="953"/>
      <c r="D6125" s="953"/>
      <c r="E6125" s="953"/>
      <c r="F6125" s="953"/>
      <c r="G6125" s="953"/>
      <c r="H6125" s="953"/>
    </row>
    <row r="6126" spans="1:8" x14ac:dyDescent="0.25">
      <c r="A6126" s="952"/>
      <c r="B6126" s="953"/>
      <c r="C6126" s="953"/>
      <c r="D6126" s="953"/>
      <c r="E6126" s="953"/>
      <c r="F6126" s="953"/>
      <c r="G6126" s="953"/>
      <c r="H6126" s="953"/>
    </row>
    <row r="6127" spans="1:8" x14ac:dyDescent="0.25">
      <c r="A6127" s="952"/>
      <c r="B6127" s="953"/>
      <c r="C6127" s="953"/>
      <c r="D6127" s="953"/>
      <c r="E6127" s="953"/>
      <c r="F6127" s="953"/>
      <c r="G6127" s="953"/>
      <c r="H6127" s="953"/>
    </row>
    <row r="6128" spans="1:8" x14ac:dyDescent="0.25">
      <c r="A6128" s="952"/>
      <c r="B6128" s="953"/>
      <c r="C6128" s="953"/>
      <c r="D6128" s="953"/>
      <c r="E6128" s="953"/>
      <c r="F6128" s="953"/>
      <c r="G6128" s="953"/>
      <c r="H6128" s="953"/>
    </row>
    <row r="6129" spans="1:8" x14ac:dyDescent="0.25">
      <c r="A6129" s="952"/>
      <c r="B6129" s="953"/>
      <c r="C6129" s="953"/>
      <c r="D6129" s="953"/>
      <c r="E6129" s="953"/>
      <c r="F6129" s="953"/>
      <c r="G6129" s="953"/>
      <c r="H6129" s="953"/>
    </row>
    <row r="6130" spans="1:8" x14ac:dyDescent="0.25">
      <c r="A6130" s="952"/>
      <c r="B6130" s="953"/>
      <c r="C6130" s="953"/>
      <c r="D6130" s="953"/>
      <c r="E6130" s="953"/>
      <c r="F6130" s="953"/>
      <c r="G6130" s="953"/>
      <c r="H6130" s="953"/>
    </row>
    <row r="6131" spans="1:8" x14ac:dyDescent="0.25">
      <c r="A6131" s="952"/>
      <c r="B6131" s="953"/>
      <c r="C6131" s="953"/>
      <c r="D6131" s="953"/>
      <c r="E6131" s="953"/>
      <c r="F6131" s="953"/>
      <c r="G6131" s="953"/>
      <c r="H6131" s="953"/>
    </row>
    <row r="6132" spans="1:8" x14ac:dyDescent="0.25">
      <c r="A6132" s="952"/>
      <c r="B6132" s="953"/>
      <c r="C6132" s="953"/>
      <c r="D6132" s="953"/>
      <c r="E6132" s="953"/>
      <c r="F6132" s="953"/>
      <c r="G6132" s="953"/>
      <c r="H6132" s="953"/>
    </row>
    <row r="6133" spans="1:8" x14ac:dyDescent="0.25">
      <c r="A6133" s="952"/>
      <c r="B6133" s="953"/>
      <c r="C6133" s="953"/>
      <c r="D6133" s="953"/>
      <c r="E6133" s="953"/>
      <c r="F6133" s="953"/>
      <c r="G6133" s="953"/>
      <c r="H6133" s="953"/>
    </row>
    <row r="6134" spans="1:8" x14ac:dyDescent="0.25">
      <c r="A6134" s="952"/>
      <c r="B6134" s="953"/>
      <c r="C6134" s="953"/>
      <c r="D6134" s="953"/>
      <c r="E6134" s="953"/>
      <c r="F6134" s="953"/>
      <c r="G6134" s="953"/>
      <c r="H6134" s="953"/>
    </row>
    <row r="6135" spans="1:8" x14ac:dyDescent="0.25">
      <c r="A6135" s="952"/>
      <c r="B6135" s="953"/>
      <c r="C6135" s="953"/>
      <c r="D6135" s="953"/>
      <c r="E6135" s="953"/>
      <c r="F6135" s="953"/>
      <c r="G6135" s="953"/>
      <c r="H6135" s="953"/>
    </row>
    <row r="6136" spans="1:8" x14ac:dyDescent="0.25">
      <c r="A6136" s="952"/>
      <c r="B6136" s="953"/>
      <c r="C6136" s="953"/>
      <c r="D6136" s="953"/>
      <c r="E6136" s="953"/>
      <c r="F6136" s="953"/>
      <c r="G6136" s="953"/>
      <c r="H6136" s="953"/>
    </row>
    <row r="6137" spans="1:8" x14ac:dyDescent="0.25">
      <c r="A6137" s="952"/>
      <c r="B6137" s="953"/>
      <c r="C6137" s="953"/>
      <c r="D6137" s="953"/>
      <c r="E6137" s="953"/>
      <c r="F6137" s="953"/>
      <c r="G6137" s="953"/>
      <c r="H6137" s="953"/>
    </row>
    <row r="6138" spans="1:8" x14ac:dyDescent="0.25">
      <c r="A6138" s="952"/>
      <c r="B6138" s="953"/>
      <c r="C6138" s="953"/>
      <c r="D6138" s="953"/>
      <c r="E6138" s="953"/>
      <c r="F6138" s="953"/>
      <c r="G6138" s="953"/>
      <c r="H6138" s="953"/>
    </row>
    <row r="6139" spans="1:8" x14ac:dyDescent="0.25">
      <c r="A6139" s="952"/>
      <c r="B6139" s="953"/>
      <c r="C6139" s="953"/>
      <c r="D6139" s="953"/>
      <c r="E6139" s="953"/>
      <c r="F6139" s="953"/>
      <c r="G6139" s="953"/>
      <c r="H6139" s="953"/>
    </row>
    <row r="6140" spans="1:8" x14ac:dyDescent="0.25">
      <c r="A6140" s="952"/>
      <c r="B6140" s="953"/>
      <c r="C6140" s="953"/>
      <c r="D6140" s="953"/>
      <c r="E6140" s="953"/>
      <c r="F6140" s="953"/>
      <c r="G6140" s="953"/>
      <c r="H6140" s="953"/>
    </row>
    <row r="6141" spans="1:8" x14ac:dyDescent="0.25">
      <c r="A6141" s="952"/>
      <c r="B6141" s="953"/>
      <c r="C6141" s="953"/>
      <c r="D6141" s="953"/>
      <c r="E6141" s="953"/>
      <c r="F6141" s="953"/>
      <c r="G6141" s="953"/>
      <c r="H6141" s="953"/>
    </row>
    <row r="6142" spans="1:8" x14ac:dyDescent="0.25">
      <c r="A6142" s="952"/>
      <c r="B6142" s="953"/>
      <c r="C6142" s="953"/>
      <c r="D6142" s="953"/>
      <c r="E6142" s="953"/>
      <c r="F6142" s="953"/>
      <c r="G6142" s="953"/>
      <c r="H6142" s="953"/>
    </row>
    <row r="6143" spans="1:8" x14ac:dyDescent="0.25">
      <c r="A6143" s="952"/>
      <c r="B6143" s="953"/>
      <c r="C6143" s="953"/>
      <c r="D6143" s="953"/>
      <c r="E6143" s="953"/>
      <c r="F6143" s="953"/>
      <c r="G6143" s="953"/>
      <c r="H6143" s="953"/>
    </row>
    <row r="6144" spans="1:8" x14ac:dyDescent="0.25">
      <c r="A6144" s="952"/>
      <c r="B6144" s="953"/>
      <c r="C6144" s="953"/>
      <c r="D6144" s="953"/>
      <c r="E6144" s="953"/>
      <c r="F6144" s="953"/>
      <c r="G6144" s="953"/>
      <c r="H6144" s="953"/>
    </row>
    <row r="6145" spans="1:8" x14ac:dyDescent="0.25">
      <c r="A6145" s="952"/>
      <c r="B6145" s="953"/>
      <c r="C6145" s="953"/>
      <c r="D6145" s="953"/>
      <c r="E6145" s="953"/>
      <c r="F6145" s="953"/>
      <c r="G6145" s="953"/>
      <c r="H6145" s="953"/>
    </row>
    <row r="6146" spans="1:8" x14ac:dyDescent="0.25">
      <c r="A6146" s="952"/>
      <c r="B6146" s="953"/>
      <c r="C6146" s="953"/>
      <c r="D6146" s="953"/>
      <c r="E6146" s="953"/>
      <c r="F6146" s="953"/>
      <c r="G6146" s="953"/>
      <c r="H6146" s="953"/>
    </row>
    <row r="6147" spans="1:8" x14ac:dyDescent="0.25">
      <c r="A6147" s="952"/>
      <c r="B6147" s="953"/>
      <c r="C6147" s="953"/>
      <c r="D6147" s="953"/>
      <c r="E6147" s="953"/>
      <c r="F6147" s="953"/>
      <c r="G6147" s="953"/>
      <c r="H6147" s="953"/>
    </row>
    <row r="6148" spans="1:8" x14ac:dyDescent="0.25">
      <c r="A6148" s="952"/>
      <c r="B6148" s="953"/>
      <c r="C6148" s="953"/>
      <c r="D6148" s="953"/>
      <c r="E6148" s="953"/>
      <c r="F6148" s="953"/>
      <c r="G6148" s="953"/>
      <c r="H6148" s="953"/>
    </row>
    <row r="6149" spans="1:8" x14ac:dyDescent="0.25">
      <c r="A6149" s="952"/>
      <c r="B6149" s="953"/>
      <c r="C6149" s="953"/>
      <c r="D6149" s="953"/>
      <c r="E6149" s="953"/>
      <c r="F6149" s="953"/>
      <c r="G6149" s="953"/>
      <c r="H6149" s="953"/>
    </row>
    <row r="6150" spans="1:8" x14ac:dyDescent="0.25">
      <c r="A6150" s="952"/>
      <c r="B6150" s="953"/>
      <c r="C6150" s="953"/>
      <c r="D6150" s="953"/>
      <c r="E6150" s="953"/>
      <c r="F6150" s="953"/>
      <c r="G6150" s="953"/>
      <c r="H6150" s="953"/>
    </row>
    <row r="6151" spans="1:8" x14ac:dyDescent="0.25">
      <c r="A6151" s="952"/>
      <c r="B6151" s="953"/>
      <c r="C6151" s="953"/>
      <c r="D6151" s="953"/>
      <c r="E6151" s="953"/>
      <c r="F6151" s="953"/>
      <c r="G6151" s="953"/>
      <c r="H6151" s="953"/>
    </row>
    <row r="6152" spans="1:8" x14ac:dyDescent="0.25">
      <c r="A6152" s="952"/>
      <c r="B6152" s="953"/>
      <c r="C6152" s="953"/>
      <c r="D6152" s="953"/>
      <c r="E6152" s="953"/>
      <c r="F6152" s="953"/>
      <c r="G6152" s="953"/>
      <c r="H6152" s="953"/>
    </row>
    <row r="6153" spans="1:8" x14ac:dyDescent="0.25">
      <c r="A6153" s="952"/>
      <c r="B6153" s="953"/>
      <c r="C6153" s="953"/>
      <c r="D6153" s="953"/>
      <c r="E6153" s="953"/>
      <c r="F6153" s="953"/>
      <c r="G6153" s="953"/>
      <c r="H6153" s="953"/>
    </row>
    <row r="6154" spans="1:8" x14ac:dyDescent="0.25">
      <c r="A6154" s="952"/>
      <c r="B6154" s="953"/>
      <c r="C6154" s="953"/>
      <c r="D6154" s="953"/>
      <c r="E6154" s="953"/>
      <c r="F6154" s="953"/>
      <c r="G6154" s="953"/>
      <c r="H6154" s="953"/>
    </row>
    <row r="6155" spans="1:8" x14ac:dyDescent="0.25">
      <c r="A6155" s="952"/>
      <c r="B6155" s="953"/>
      <c r="C6155" s="953"/>
      <c r="D6155" s="953"/>
      <c r="E6155" s="953"/>
      <c r="F6155" s="953"/>
      <c r="G6155" s="953"/>
      <c r="H6155" s="953"/>
    </row>
    <row r="6156" spans="1:8" x14ac:dyDescent="0.25">
      <c r="A6156" s="952"/>
      <c r="B6156" s="953"/>
      <c r="C6156" s="953"/>
      <c r="D6156" s="953"/>
      <c r="E6156" s="953"/>
      <c r="F6156" s="953"/>
      <c r="G6156" s="953"/>
      <c r="H6156" s="953"/>
    </row>
    <row r="6157" spans="1:8" x14ac:dyDescent="0.25">
      <c r="A6157" s="952"/>
      <c r="B6157" s="953"/>
      <c r="C6157" s="953"/>
      <c r="D6157" s="953"/>
      <c r="E6157" s="953"/>
      <c r="F6157" s="953"/>
      <c r="G6157" s="953"/>
      <c r="H6157" s="953"/>
    </row>
    <row r="6158" spans="1:8" x14ac:dyDescent="0.25">
      <c r="A6158" s="952"/>
      <c r="B6158" s="953"/>
      <c r="C6158" s="953"/>
      <c r="D6158" s="953"/>
      <c r="E6158" s="953"/>
      <c r="F6158" s="953"/>
      <c r="G6158" s="953"/>
      <c r="H6158" s="953"/>
    </row>
    <row r="6159" spans="1:8" x14ac:dyDescent="0.25">
      <c r="A6159" s="952"/>
      <c r="B6159" s="953"/>
      <c r="C6159" s="953"/>
      <c r="D6159" s="953"/>
      <c r="E6159" s="953"/>
      <c r="F6159" s="953"/>
      <c r="G6159" s="953"/>
      <c r="H6159" s="953"/>
    </row>
    <row r="6160" spans="1:8" x14ac:dyDescent="0.25">
      <c r="A6160" s="952"/>
      <c r="B6160" s="953"/>
      <c r="C6160" s="953"/>
      <c r="D6160" s="953"/>
      <c r="E6160" s="953"/>
      <c r="F6160" s="953"/>
      <c r="G6160" s="953"/>
      <c r="H6160" s="953"/>
    </row>
    <row r="6161" spans="1:8" x14ac:dyDescent="0.25">
      <c r="A6161" s="952"/>
      <c r="B6161" s="953"/>
      <c r="C6161" s="953"/>
      <c r="D6161" s="953"/>
      <c r="E6161" s="953"/>
      <c r="F6161" s="953"/>
      <c r="G6161" s="953"/>
      <c r="H6161" s="953"/>
    </row>
    <row r="6162" spans="1:8" x14ac:dyDescent="0.25">
      <c r="A6162" s="952"/>
      <c r="B6162" s="953"/>
      <c r="C6162" s="953"/>
      <c r="D6162" s="953"/>
      <c r="E6162" s="953"/>
      <c r="F6162" s="953"/>
      <c r="G6162" s="953"/>
      <c r="H6162" s="953"/>
    </row>
    <row r="6163" spans="1:8" x14ac:dyDescent="0.25">
      <c r="A6163" s="952"/>
      <c r="B6163" s="953"/>
      <c r="C6163" s="953"/>
      <c r="D6163" s="953"/>
      <c r="E6163" s="953"/>
      <c r="F6163" s="953"/>
      <c r="G6163" s="953"/>
      <c r="H6163" s="953"/>
    </row>
    <row r="6164" spans="1:8" x14ac:dyDescent="0.25">
      <c r="A6164" s="952"/>
      <c r="B6164" s="953"/>
      <c r="C6164" s="953"/>
      <c r="D6164" s="953"/>
      <c r="E6164" s="953"/>
      <c r="F6164" s="953"/>
      <c r="G6164" s="953"/>
      <c r="H6164" s="953"/>
    </row>
    <row r="6165" spans="1:8" x14ac:dyDescent="0.25">
      <c r="A6165" s="952"/>
      <c r="B6165" s="953"/>
      <c r="C6165" s="953"/>
      <c r="D6165" s="953"/>
      <c r="E6165" s="953"/>
      <c r="F6165" s="953"/>
      <c r="G6165" s="953"/>
      <c r="H6165" s="953"/>
    </row>
    <row r="6166" spans="1:8" x14ac:dyDescent="0.25">
      <c r="A6166" s="952"/>
      <c r="B6166" s="953"/>
      <c r="C6166" s="953"/>
      <c r="D6166" s="953"/>
      <c r="E6166" s="953"/>
      <c r="F6166" s="953"/>
      <c r="G6166" s="953"/>
      <c r="H6166" s="953"/>
    </row>
    <row r="6167" spans="1:8" x14ac:dyDescent="0.25">
      <c r="A6167" s="952"/>
      <c r="B6167" s="953"/>
      <c r="C6167" s="953"/>
      <c r="D6167" s="953"/>
      <c r="E6167" s="953"/>
      <c r="F6167" s="953"/>
      <c r="G6167" s="953"/>
      <c r="H6167" s="953"/>
    </row>
    <row r="6168" spans="1:8" x14ac:dyDescent="0.25">
      <c r="A6168" s="952"/>
      <c r="B6168" s="953"/>
      <c r="C6168" s="953"/>
      <c r="D6168" s="953"/>
      <c r="E6168" s="953"/>
      <c r="F6168" s="953"/>
      <c r="G6168" s="953"/>
      <c r="H6168" s="953"/>
    </row>
    <row r="6169" spans="1:8" x14ac:dyDescent="0.25">
      <c r="A6169" s="952"/>
      <c r="B6169" s="953"/>
      <c r="C6169" s="953"/>
      <c r="D6169" s="953"/>
      <c r="E6169" s="953"/>
      <c r="F6169" s="953"/>
      <c r="G6169" s="953"/>
      <c r="H6169" s="953"/>
    </row>
    <row r="6170" spans="1:8" x14ac:dyDescent="0.25">
      <c r="A6170" s="952"/>
      <c r="B6170" s="953"/>
      <c r="C6170" s="953"/>
      <c r="D6170" s="953"/>
      <c r="E6170" s="953"/>
      <c r="F6170" s="953"/>
      <c r="G6170" s="953"/>
      <c r="H6170" s="953"/>
    </row>
    <row r="6171" spans="1:8" x14ac:dyDescent="0.25">
      <c r="A6171" s="952"/>
      <c r="B6171" s="953"/>
      <c r="C6171" s="953"/>
      <c r="D6171" s="953"/>
      <c r="E6171" s="953"/>
      <c r="F6171" s="953"/>
      <c r="G6171" s="953"/>
      <c r="H6171" s="953"/>
    </row>
    <row r="6172" spans="1:8" x14ac:dyDescent="0.25">
      <c r="A6172" s="952"/>
      <c r="B6172" s="953"/>
      <c r="C6172" s="953"/>
      <c r="D6172" s="953"/>
      <c r="E6172" s="953"/>
      <c r="F6172" s="953"/>
      <c r="G6172" s="953"/>
      <c r="H6172" s="953"/>
    </row>
    <row r="6173" spans="1:8" x14ac:dyDescent="0.25">
      <c r="A6173" s="952"/>
      <c r="B6173" s="953"/>
      <c r="C6173" s="953"/>
      <c r="D6173" s="953"/>
      <c r="E6173" s="953"/>
      <c r="F6173" s="953"/>
      <c r="G6173" s="953"/>
      <c r="H6173" s="953"/>
    </row>
    <row r="6174" spans="1:8" x14ac:dyDescent="0.25">
      <c r="A6174" s="952"/>
      <c r="B6174" s="953"/>
      <c r="C6174" s="953"/>
      <c r="D6174" s="953"/>
      <c r="E6174" s="953"/>
      <c r="F6174" s="953"/>
      <c r="G6174" s="953"/>
      <c r="H6174" s="953"/>
    </row>
    <row r="6175" spans="1:8" x14ac:dyDescent="0.25">
      <c r="A6175" s="952"/>
      <c r="B6175" s="953"/>
      <c r="C6175" s="953"/>
      <c r="D6175" s="953"/>
      <c r="E6175" s="953"/>
      <c r="F6175" s="953"/>
      <c r="G6175" s="953"/>
      <c r="H6175" s="953"/>
    </row>
    <row r="6176" spans="1:8" x14ac:dyDescent="0.25">
      <c r="A6176" s="952"/>
      <c r="B6176" s="953"/>
      <c r="C6176" s="953"/>
      <c r="D6176" s="953"/>
      <c r="E6176" s="953"/>
      <c r="F6176" s="953"/>
      <c r="G6176" s="953"/>
      <c r="H6176" s="953"/>
    </row>
    <row r="6177" spans="1:8" x14ac:dyDescent="0.25">
      <c r="A6177" s="952"/>
      <c r="B6177" s="953"/>
      <c r="C6177" s="953"/>
      <c r="D6177" s="953"/>
      <c r="E6177" s="953"/>
      <c r="F6177" s="953"/>
      <c r="G6177" s="953"/>
      <c r="H6177" s="953"/>
    </row>
    <row r="6178" spans="1:8" x14ac:dyDescent="0.25">
      <c r="A6178" s="952"/>
      <c r="B6178" s="953"/>
      <c r="C6178" s="953"/>
      <c r="D6178" s="953"/>
      <c r="E6178" s="953"/>
      <c r="F6178" s="953"/>
      <c r="G6178" s="953"/>
      <c r="H6178" s="953"/>
    </row>
    <row r="6179" spans="1:8" x14ac:dyDescent="0.25">
      <c r="A6179" s="952"/>
      <c r="B6179" s="953"/>
      <c r="C6179" s="953"/>
      <c r="D6179" s="953"/>
      <c r="E6179" s="953"/>
      <c r="F6179" s="953"/>
      <c r="G6179" s="953"/>
      <c r="H6179" s="953"/>
    </row>
    <row r="6180" spans="1:8" x14ac:dyDescent="0.25">
      <c r="A6180" s="952"/>
      <c r="B6180" s="953"/>
      <c r="C6180" s="953"/>
      <c r="D6180" s="953"/>
      <c r="E6180" s="953"/>
      <c r="F6180" s="953"/>
      <c r="G6180" s="953"/>
      <c r="H6180" s="953"/>
    </row>
    <row r="6181" spans="1:8" x14ac:dyDescent="0.25">
      <c r="A6181" s="952"/>
      <c r="B6181" s="953"/>
      <c r="C6181" s="953"/>
      <c r="D6181" s="953"/>
      <c r="E6181" s="953"/>
      <c r="F6181" s="953"/>
      <c r="G6181" s="953"/>
      <c r="H6181" s="953"/>
    </row>
    <row r="6182" spans="1:8" x14ac:dyDescent="0.25">
      <c r="A6182" s="952"/>
      <c r="B6182" s="953"/>
      <c r="C6182" s="953"/>
      <c r="D6182" s="953"/>
      <c r="E6182" s="953"/>
      <c r="F6182" s="953"/>
      <c r="G6182" s="953"/>
      <c r="H6182" s="953"/>
    </row>
    <row r="6183" spans="1:8" x14ac:dyDescent="0.25">
      <c r="A6183" s="952"/>
      <c r="B6183" s="953"/>
      <c r="C6183" s="953"/>
      <c r="D6183" s="953"/>
      <c r="E6183" s="953"/>
      <c r="F6183" s="953"/>
      <c r="G6183" s="953"/>
      <c r="H6183" s="953"/>
    </row>
    <row r="6184" spans="1:8" x14ac:dyDescent="0.25">
      <c r="A6184" s="952"/>
      <c r="B6184" s="953"/>
      <c r="C6184" s="953"/>
      <c r="D6184" s="953"/>
      <c r="E6184" s="953"/>
      <c r="F6184" s="953"/>
      <c r="G6184" s="953"/>
      <c r="H6184" s="953"/>
    </row>
    <row r="6185" spans="1:8" x14ac:dyDescent="0.25">
      <c r="A6185" s="952"/>
      <c r="B6185" s="953"/>
      <c r="C6185" s="953"/>
      <c r="D6185" s="953"/>
      <c r="E6185" s="953"/>
      <c r="F6185" s="953"/>
      <c r="G6185" s="953"/>
      <c r="H6185" s="953"/>
    </row>
    <row r="6186" spans="1:8" x14ac:dyDescent="0.25">
      <c r="A6186" s="952"/>
      <c r="B6186" s="953"/>
      <c r="C6186" s="953"/>
      <c r="D6186" s="953"/>
      <c r="E6186" s="953"/>
      <c r="F6186" s="953"/>
      <c r="G6186" s="953"/>
      <c r="H6186" s="953"/>
    </row>
    <row r="6187" spans="1:8" x14ac:dyDescent="0.25">
      <c r="A6187" s="952"/>
      <c r="B6187" s="953"/>
      <c r="C6187" s="953"/>
      <c r="D6187" s="953"/>
      <c r="E6187" s="953"/>
      <c r="F6187" s="953"/>
      <c r="G6187" s="953"/>
      <c r="H6187" s="953"/>
    </row>
    <row r="6188" spans="1:8" x14ac:dyDescent="0.25">
      <c r="A6188" s="952"/>
      <c r="B6188" s="953"/>
      <c r="C6188" s="953"/>
      <c r="D6188" s="953"/>
      <c r="E6188" s="953"/>
      <c r="F6188" s="953"/>
      <c r="G6188" s="953"/>
      <c r="H6188" s="953"/>
    </row>
    <row r="6189" spans="1:8" x14ac:dyDescent="0.25">
      <c r="A6189" s="952"/>
      <c r="B6189" s="953"/>
      <c r="C6189" s="953"/>
      <c r="D6189" s="953"/>
      <c r="E6189" s="953"/>
      <c r="F6189" s="953"/>
      <c r="G6189" s="953"/>
      <c r="H6189" s="953"/>
    </row>
    <row r="6190" spans="1:8" x14ac:dyDescent="0.25">
      <c r="A6190" s="952"/>
      <c r="B6190" s="953"/>
      <c r="C6190" s="953"/>
      <c r="D6190" s="953"/>
      <c r="E6190" s="953"/>
      <c r="F6190" s="953"/>
      <c r="G6190" s="953"/>
      <c r="H6190" s="953"/>
    </row>
    <row r="6191" spans="1:8" x14ac:dyDescent="0.25">
      <c r="A6191" s="952"/>
      <c r="B6191" s="953"/>
      <c r="C6191" s="953"/>
      <c r="D6191" s="953"/>
      <c r="E6191" s="953"/>
      <c r="F6191" s="953"/>
      <c r="G6191" s="953"/>
      <c r="H6191" s="953"/>
    </row>
    <row r="6192" spans="1:8" x14ac:dyDescent="0.25">
      <c r="A6192" s="952"/>
      <c r="B6192" s="953"/>
      <c r="C6192" s="953"/>
      <c r="D6192" s="953"/>
      <c r="E6192" s="953"/>
      <c r="F6192" s="953"/>
      <c r="G6192" s="953"/>
      <c r="H6192" s="953"/>
    </row>
    <row r="6193" spans="1:8" x14ac:dyDescent="0.25">
      <c r="A6193" s="952"/>
      <c r="B6193" s="953"/>
      <c r="C6193" s="953"/>
      <c r="D6193" s="953"/>
      <c r="E6193" s="953"/>
      <c r="F6193" s="953"/>
      <c r="G6193" s="953"/>
      <c r="H6193" s="953"/>
    </row>
    <row r="6194" spans="1:8" x14ac:dyDescent="0.25">
      <c r="A6194" s="952"/>
      <c r="B6194" s="953"/>
      <c r="C6194" s="953"/>
      <c r="D6194" s="953"/>
      <c r="E6194" s="953"/>
      <c r="F6194" s="953"/>
      <c r="G6194" s="953"/>
      <c r="H6194" s="953"/>
    </row>
    <row r="6195" spans="1:8" x14ac:dyDescent="0.25">
      <c r="A6195" s="952"/>
      <c r="B6195" s="953"/>
      <c r="C6195" s="953"/>
      <c r="D6195" s="953"/>
      <c r="E6195" s="953"/>
      <c r="F6195" s="953"/>
      <c r="G6195" s="953"/>
      <c r="H6195" s="953"/>
    </row>
    <row r="6196" spans="1:8" x14ac:dyDescent="0.25">
      <c r="A6196" s="952"/>
      <c r="B6196" s="953"/>
      <c r="C6196" s="953"/>
      <c r="D6196" s="953"/>
      <c r="E6196" s="953"/>
      <c r="F6196" s="953"/>
      <c r="G6196" s="953"/>
      <c r="H6196" s="953"/>
    </row>
    <row r="6197" spans="1:8" x14ac:dyDescent="0.25">
      <c r="A6197" s="952"/>
      <c r="B6197" s="953"/>
      <c r="C6197" s="953"/>
      <c r="D6197" s="953"/>
      <c r="E6197" s="953"/>
      <c r="F6197" s="953"/>
      <c r="G6197" s="953"/>
      <c r="H6197" s="953"/>
    </row>
    <row r="6198" spans="1:8" x14ac:dyDescent="0.25">
      <c r="A6198" s="952"/>
      <c r="B6198" s="953"/>
      <c r="C6198" s="953"/>
      <c r="D6198" s="953"/>
      <c r="E6198" s="953"/>
      <c r="F6198" s="953"/>
      <c r="G6198" s="953"/>
      <c r="H6198" s="953"/>
    </row>
    <row r="6199" spans="1:8" x14ac:dyDescent="0.25">
      <c r="A6199" s="952"/>
      <c r="B6199" s="953"/>
      <c r="C6199" s="953"/>
      <c r="D6199" s="953"/>
      <c r="E6199" s="953"/>
      <c r="F6199" s="953"/>
      <c r="G6199" s="953"/>
      <c r="H6199" s="953"/>
    </row>
    <row r="6200" spans="1:8" x14ac:dyDescent="0.25">
      <c r="A6200" s="952"/>
      <c r="B6200" s="953"/>
      <c r="C6200" s="953"/>
      <c r="D6200" s="953"/>
      <c r="E6200" s="953"/>
      <c r="F6200" s="953"/>
      <c r="G6200" s="953"/>
      <c r="H6200" s="953"/>
    </row>
    <row r="6201" spans="1:8" x14ac:dyDescent="0.25">
      <c r="A6201" s="952"/>
      <c r="B6201" s="953"/>
      <c r="C6201" s="953"/>
      <c r="D6201" s="953"/>
      <c r="E6201" s="953"/>
      <c r="F6201" s="953"/>
      <c r="G6201" s="953"/>
      <c r="H6201" s="953"/>
    </row>
    <row r="6202" spans="1:8" x14ac:dyDescent="0.25">
      <c r="A6202" s="952"/>
      <c r="B6202" s="953"/>
      <c r="C6202" s="953"/>
      <c r="D6202" s="953"/>
      <c r="E6202" s="953"/>
      <c r="F6202" s="953"/>
      <c r="G6202" s="953"/>
      <c r="H6202" s="953"/>
    </row>
    <row r="6203" spans="1:8" x14ac:dyDescent="0.25">
      <c r="A6203" s="952"/>
      <c r="B6203" s="953"/>
      <c r="C6203" s="953"/>
      <c r="D6203" s="953"/>
      <c r="E6203" s="953"/>
      <c r="F6203" s="953"/>
      <c r="G6203" s="953"/>
      <c r="H6203" s="953"/>
    </row>
    <row r="6204" spans="1:8" x14ac:dyDescent="0.25">
      <c r="A6204" s="952"/>
      <c r="B6204" s="953"/>
      <c r="C6204" s="953"/>
      <c r="D6204" s="953"/>
      <c r="E6204" s="953"/>
      <c r="F6204" s="953"/>
      <c r="G6204" s="953"/>
      <c r="H6204" s="953"/>
    </row>
    <row r="6205" spans="1:8" x14ac:dyDescent="0.25">
      <c r="A6205" s="952"/>
      <c r="B6205" s="953"/>
      <c r="C6205" s="953"/>
      <c r="D6205" s="953"/>
      <c r="E6205" s="953"/>
      <c r="F6205" s="953"/>
      <c r="G6205" s="953"/>
      <c r="H6205" s="953"/>
    </row>
    <row r="6206" spans="1:8" x14ac:dyDescent="0.25">
      <c r="A6206" s="952"/>
      <c r="B6206" s="953"/>
      <c r="C6206" s="953"/>
      <c r="D6206" s="953"/>
      <c r="E6206" s="953"/>
      <c r="F6206" s="953"/>
      <c r="G6206" s="953"/>
      <c r="H6206" s="953"/>
    </row>
    <row r="6207" spans="1:8" x14ac:dyDescent="0.25">
      <c r="A6207" s="952"/>
      <c r="B6207" s="953"/>
      <c r="C6207" s="953"/>
      <c r="D6207" s="953"/>
      <c r="E6207" s="953"/>
      <c r="F6207" s="953"/>
      <c r="G6207" s="953"/>
      <c r="H6207" s="953"/>
    </row>
    <row r="6208" spans="1:8" x14ac:dyDescent="0.25">
      <c r="A6208" s="952"/>
      <c r="B6208" s="953"/>
      <c r="C6208" s="953"/>
      <c r="D6208" s="953"/>
      <c r="E6208" s="953"/>
      <c r="F6208" s="953"/>
      <c r="G6208" s="953"/>
      <c r="H6208" s="953"/>
    </row>
    <row r="6209" spans="1:8" x14ac:dyDescent="0.25">
      <c r="A6209" s="952"/>
      <c r="B6209" s="953"/>
      <c r="C6209" s="953"/>
      <c r="D6209" s="953"/>
      <c r="E6209" s="953"/>
      <c r="F6209" s="953"/>
      <c r="G6209" s="953"/>
      <c r="H6209" s="953"/>
    </row>
    <row r="6210" spans="1:8" x14ac:dyDescent="0.25">
      <c r="A6210" s="952"/>
      <c r="B6210" s="953"/>
      <c r="C6210" s="953"/>
      <c r="D6210" s="953"/>
      <c r="E6210" s="953"/>
      <c r="F6210" s="953"/>
      <c r="G6210" s="953"/>
      <c r="H6210" s="953"/>
    </row>
    <row r="6211" spans="1:8" x14ac:dyDescent="0.25">
      <c r="A6211" s="952"/>
      <c r="B6211" s="953"/>
      <c r="C6211" s="953"/>
      <c r="D6211" s="953"/>
      <c r="E6211" s="953"/>
      <c r="F6211" s="953"/>
      <c r="G6211" s="953"/>
      <c r="H6211" s="953"/>
    </row>
    <row r="6212" spans="1:8" x14ac:dyDescent="0.25">
      <c r="A6212" s="952"/>
      <c r="B6212" s="953"/>
      <c r="C6212" s="953"/>
      <c r="D6212" s="953"/>
      <c r="E6212" s="953"/>
      <c r="F6212" s="953"/>
      <c r="G6212" s="953"/>
      <c r="H6212" s="953"/>
    </row>
    <row r="6213" spans="1:8" x14ac:dyDescent="0.25">
      <c r="A6213" s="952"/>
      <c r="B6213" s="953"/>
      <c r="C6213" s="953"/>
      <c r="D6213" s="953"/>
      <c r="E6213" s="953"/>
      <c r="F6213" s="953"/>
      <c r="G6213" s="953"/>
      <c r="H6213" s="953"/>
    </row>
    <row r="6214" spans="1:8" x14ac:dyDescent="0.25">
      <c r="A6214" s="952"/>
      <c r="B6214" s="953"/>
      <c r="C6214" s="953"/>
      <c r="D6214" s="953"/>
      <c r="E6214" s="953"/>
      <c r="F6214" s="953"/>
      <c r="G6214" s="953"/>
      <c r="H6214" s="953"/>
    </row>
    <row r="6215" spans="1:8" x14ac:dyDescent="0.25">
      <c r="A6215" s="952"/>
      <c r="B6215" s="953"/>
      <c r="C6215" s="953"/>
      <c r="D6215" s="953"/>
      <c r="E6215" s="953"/>
      <c r="F6215" s="953"/>
      <c r="G6215" s="953"/>
      <c r="H6215" s="953"/>
    </row>
    <row r="6216" spans="1:8" x14ac:dyDescent="0.25">
      <c r="A6216" s="952"/>
      <c r="B6216" s="953"/>
      <c r="C6216" s="953"/>
      <c r="D6216" s="953"/>
      <c r="E6216" s="953"/>
      <c r="F6216" s="953"/>
      <c r="G6216" s="953"/>
      <c r="H6216" s="953"/>
    </row>
    <row r="6217" spans="1:8" x14ac:dyDescent="0.25">
      <c r="A6217" s="952"/>
      <c r="B6217" s="953"/>
      <c r="C6217" s="953"/>
      <c r="D6217" s="953"/>
      <c r="E6217" s="953"/>
      <c r="F6217" s="953"/>
      <c r="G6217" s="953"/>
      <c r="H6217" s="953"/>
    </row>
    <row r="6218" spans="1:8" x14ac:dyDescent="0.25">
      <c r="A6218" s="952"/>
      <c r="B6218" s="953"/>
      <c r="C6218" s="953"/>
      <c r="D6218" s="953"/>
      <c r="E6218" s="953"/>
      <c r="F6218" s="953"/>
      <c r="G6218" s="953"/>
      <c r="H6218" s="953"/>
    </row>
    <row r="6219" spans="1:8" x14ac:dyDescent="0.25">
      <c r="A6219" s="952"/>
      <c r="B6219" s="953"/>
      <c r="C6219" s="953"/>
      <c r="D6219" s="953"/>
      <c r="E6219" s="953"/>
      <c r="F6219" s="953"/>
      <c r="G6219" s="953"/>
      <c r="H6219" s="953"/>
    </row>
    <row r="6220" spans="1:8" x14ac:dyDescent="0.25">
      <c r="A6220" s="952"/>
      <c r="B6220" s="953"/>
      <c r="C6220" s="953"/>
      <c r="D6220" s="953"/>
      <c r="E6220" s="953"/>
      <c r="F6220" s="953"/>
      <c r="G6220" s="953"/>
      <c r="H6220" s="953"/>
    </row>
    <row r="6221" spans="1:8" x14ac:dyDescent="0.25">
      <c r="A6221" s="952"/>
      <c r="B6221" s="953"/>
      <c r="C6221" s="953"/>
      <c r="D6221" s="953"/>
      <c r="E6221" s="953"/>
      <c r="F6221" s="953"/>
      <c r="G6221" s="953"/>
      <c r="H6221" s="953"/>
    </row>
    <row r="6222" spans="1:8" x14ac:dyDescent="0.25">
      <c r="A6222" s="952"/>
      <c r="B6222" s="953"/>
      <c r="C6222" s="953"/>
      <c r="D6222" s="953"/>
      <c r="E6222" s="953"/>
      <c r="F6222" s="953"/>
      <c r="G6222" s="953"/>
      <c r="H6222" s="953"/>
    </row>
    <row r="6223" spans="1:8" x14ac:dyDescent="0.25">
      <c r="A6223" s="952"/>
      <c r="B6223" s="953"/>
      <c r="C6223" s="953"/>
      <c r="D6223" s="953"/>
      <c r="E6223" s="953"/>
      <c r="F6223" s="953"/>
      <c r="G6223" s="953"/>
      <c r="H6223" s="953"/>
    </row>
    <row r="6224" spans="1:8" x14ac:dyDescent="0.25">
      <c r="A6224" s="952"/>
      <c r="B6224" s="953"/>
      <c r="C6224" s="953"/>
      <c r="D6224" s="953"/>
      <c r="E6224" s="953"/>
      <c r="F6224" s="953"/>
      <c r="G6224" s="953"/>
      <c r="H6224" s="953"/>
    </row>
    <row r="6225" spans="1:8" x14ac:dyDescent="0.25">
      <c r="A6225" s="952"/>
      <c r="B6225" s="953"/>
      <c r="C6225" s="953"/>
      <c r="D6225" s="953"/>
      <c r="E6225" s="953"/>
      <c r="F6225" s="953"/>
      <c r="G6225" s="953"/>
      <c r="H6225" s="953"/>
    </row>
    <row r="6226" spans="1:8" x14ac:dyDescent="0.25">
      <c r="A6226" s="952"/>
      <c r="B6226" s="953"/>
      <c r="C6226" s="953"/>
      <c r="D6226" s="953"/>
      <c r="E6226" s="953"/>
      <c r="F6226" s="953"/>
      <c r="G6226" s="953"/>
      <c r="H6226" s="953"/>
    </row>
    <row r="6227" spans="1:8" x14ac:dyDescent="0.25">
      <c r="A6227" s="952"/>
      <c r="B6227" s="953"/>
      <c r="C6227" s="953"/>
      <c r="D6227" s="953"/>
      <c r="E6227" s="953"/>
      <c r="F6227" s="953"/>
      <c r="G6227" s="953"/>
      <c r="H6227" s="953"/>
    </row>
    <row r="6228" spans="1:8" x14ac:dyDescent="0.25">
      <c r="A6228" s="952"/>
      <c r="B6228" s="953"/>
      <c r="C6228" s="953"/>
      <c r="D6228" s="953"/>
      <c r="E6228" s="953"/>
      <c r="F6228" s="953"/>
      <c r="G6228" s="953"/>
      <c r="H6228" s="953"/>
    </row>
    <row r="6229" spans="1:8" x14ac:dyDescent="0.25">
      <c r="A6229" s="952"/>
      <c r="B6229" s="953"/>
      <c r="C6229" s="953"/>
      <c r="D6229" s="953"/>
      <c r="E6229" s="953"/>
      <c r="F6229" s="953"/>
      <c r="G6229" s="953"/>
      <c r="H6229" s="953"/>
    </row>
    <row r="6230" spans="1:8" x14ac:dyDescent="0.25">
      <c r="A6230" s="952"/>
      <c r="B6230" s="953"/>
      <c r="C6230" s="953"/>
      <c r="D6230" s="953"/>
      <c r="E6230" s="953"/>
      <c r="F6230" s="953"/>
      <c r="G6230" s="953"/>
      <c r="H6230" s="953"/>
    </row>
    <row r="6231" spans="1:8" x14ac:dyDescent="0.25">
      <c r="A6231" s="952"/>
      <c r="B6231" s="953"/>
      <c r="C6231" s="953"/>
      <c r="D6231" s="953"/>
      <c r="E6231" s="953"/>
      <c r="F6231" s="953"/>
      <c r="G6231" s="953"/>
      <c r="H6231" s="953"/>
    </row>
    <row r="6232" spans="1:8" x14ac:dyDescent="0.25">
      <c r="A6232" s="952"/>
      <c r="B6232" s="953"/>
      <c r="C6232" s="953"/>
      <c r="D6232" s="953"/>
      <c r="E6232" s="953"/>
      <c r="F6232" s="953"/>
      <c r="G6232" s="953"/>
      <c r="H6232" s="953"/>
    </row>
    <row r="6233" spans="1:8" x14ac:dyDescent="0.25">
      <c r="A6233" s="952"/>
      <c r="B6233" s="953"/>
      <c r="C6233" s="953"/>
      <c r="D6233" s="953"/>
      <c r="E6233" s="953"/>
      <c r="F6233" s="953"/>
      <c r="G6233" s="953"/>
      <c r="H6233" s="953"/>
    </row>
    <row r="6234" spans="1:8" x14ac:dyDescent="0.25">
      <c r="A6234" s="952"/>
      <c r="B6234" s="953"/>
      <c r="C6234" s="953"/>
      <c r="D6234" s="953"/>
      <c r="E6234" s="953"/>
      <c r="F6234" s="953"/>
      <c r="G6234" s="953"/>
      <c r="H6234" s="953"/>
    </row>
    <row r="6235" spans="1:8" x14ac:dyDescent="0.25">
      <c r="A6235" s="952"/>
      <c r="B6235" s="953"/>
      <c r="C6235" s="953"/>
      <c r="D6235" s="953"/>
      <c r="E6235" s="953"/>
      <c r="F6235" s="953"/>
      <c r="G6235" s="953"/>
      <c r="H6235" s="953"/>
    </row>
    <row r="6236" spans="1:8" x14ac:dyDescent="0.25">
      <c r="A6236" s="952"/>
      <c r="B6236" s="953"/>
      <c r="C6236" s="953"/>
      <c r="D6236" s="953"/>
      <c r="E6236" s="953"/>
      <c r="F6236" s="953"/>
      <c r="G6236" s="953"/>
      <c r="H6236" s="953"/>
    </row>
    <row r="6237" spans="1:8" x14ac:dyDescent="0.25">
      <c r="A6237" s="952"/>
      <c r="B6237" s="953"/>
      <c r="C6237" s="953"/>
      <c r="D6237" s="953"/>
      <c r="E6237" s="953"/>
      <c r="F6237" s="953"/>
      <c r="G6237" s="953"/>
      <c r="H6237" s="953"/>
    </row>
    <row r="6238" spans="1:8" x14ac:dyDescent="0.25">
      <c r="A6238" s="952"/>
      <c r="B6238" s="953"/>
      <c r="C6238" s="953"/>
      <c r="D6238" s="953"/>
      <c r="E6238" s="953"/>
      <c r="F6238" s="953"/>
      <c r="G6238" s="953"/>
      <c r="H6238" s="953"/>
    </row>
    <row r="6239" spans="1:8" x14ac:dyDescent="0.25">
      <c r="A6239" s="952"/>
      <c r="B6239" s="953"/>
      <c r="C6239" s="953"/>
      <c r="D6239" s="953"/>
      <c r="E6239" s="953"/>
      <c r="F6239" s="953"/>
      <c r="G6239" s="953"/>
      <c r="H6239" s="953"/>
    </row>
    <row r="6240" spans="1:8" x14ac:dyDescent="0.25">
      <c r="A6240" s="952"/>
      <c r="B6240" s="953"/>
      <c r="C6240" s="953"/>
      <c r="D6240" s="953"/>
      <c r="E6240" s="953"/>
      <c r="F6240" s="953"/>
      <c r="G6240" s="953"/>
      <c r="H6240" s="953"/>
    </row>
    <row r="6241" spans="1:8" x14ac:dyDescent="0.25">
      <c r="A6241" s="952"/>
      <c r="B6241" s="953"/>
      <c r="C6241" s="953"/>
      <c r="D6241" s="953"/>
      <c r="E6241" s="953"/>
      <c r="F6241" s="953"/>
      <c r="G6241" s="953"/>
      <c r="H6241" s="953"/>
    </row>
    <row r="6242" spans="1:8" x14ac:dyDescent="0.25">
      <c r="A6242" s="952"/>
      <c r="B6242" s="953"/>
      <c r="C6242" s="953"/>
      <c r="D6242" s="953"/>
      <c r="E6242" s="953"/>
      <c r="F6242" s="953"/>
      <c r="G6242" s="953"/>
      <c r="H6242" s="953"/>
    </row>
    <row r="6243" spans="1:8" x14ac:dyDescent="0.25">
      <c r="A6243" s="952"/>
      <c r="B6243" s="953"/>
      <c r="C6243" s="953"/>
      <c r="D6243" s="953"/>
      <c r="E6243" s="953"/>
      <c r="F6243" s="953"/>
      <c r="G6243" s="953"/>
      <c r="H6243" s="953"/>
    </row>
    <row r="6244" spans="1:8" x14ac:dyDescent="0.25">
      <c r="A6244" s="952"/>
      <c r="B6244" s="953"/>
      <c r="C6244" s="953"/>
      <c r="D6244" s="953"/>
      <c r="E6244" s="953"/>
      <c r="F6244" s="953"/>
      <c r="G6244" s="953"/>
      <c r="H6244" s="953"/>
    </row>
    <row r="6245" spans="1:8" x14ac:dyDescent="0.25">
      <c r="A6245" s="952"/>
      <c r="B6245" s="953"/>
      <c r="C6245" s="953"/>
      <c r="D6245" s="953"/>
      <c r="E6245" s="953"/>
      <c r="F6245" s="953"/>
      <c r="G6245" s="953"/>
      <c r="H6245" s="953"/>
    </row>
    <row r="6246" spans="1:8" x14ac:dyDescent="0.25">
      <c r="A6246" s="952"/>
      <c r="B6246" s="953"/>
      <c r="C6246" s="953"/>
      <c r="D6246" s="953"/>
      <c r="E6246" s="953"/>
      <c r="F6246" s="953"/>
      <c r="G6246" s="953"/>
      <c r="H6246" s="953"/>
    </row>
    <row r="6247" spans="1:8" x14ac:dyDescent="0.25">
      <c r="A6247" s="952"/>
      <c r="B6247" s="953"/>
      <c r="C6247" s="953"/>
      <c r="D6247" s="953"/>
      <c r="E6247" s="953"/>
      <c r="F6247" s="953"/>
      <c r="G6247" s="953"/>
      <c r="H6247" s="953"/>
    </row>
    <row r="6248" spans="1:8" x14ac:dyDescent="0.25">
      <c r="A6248" s="952"/>
      <c r="B6248" s="953"/>
      <c r="C6248" s="953"/>
      <c r="D6248" s="953"/>
      <c r="E6248" s="953"/>
      <c r="F6248" s="953"/>
      <c r="G6248" s="953"/>
      <c r="H6248" s="953"/>
    </row>
    <row r="6249" spans="1:8" x14ac:dyDescent="0.25">
      <c r="A6249" s="952"/>
      <c r="B6249" s="953"/>
      <c r="C6249" s="953"/>
      <c r="D6249" s="953"/>
      <c r="E6249" s="953"/>
      <c r="F6249" s="953"/>
      <c r="G6249" s="953"/>
      <c r="H6249" s="953"/>
    </row>
    <row r="6250" spans="1:8" x14ac:dyDescent="0.25">
      <c r="A6250" s="952"/>
      <c r="B6250" s="953"/>
      <c r="C6250" s="953"/>
      <c r="D6250" s="953"/>
      <c r="E6250" s="953"/>
      <c r="F6250" s="953"/>
      <c r="G6250" s="953"/>
      <c r="H6250" s="953"/>
    </row>
    <row r="6251" spans="1:8" x14ac:dyDescent="0.25">
      <c r="A6251" s="952"/>
      <c r="B6251" s="953"/>
      <c r="C6251" s="953"/>
      <c r="D6251" s="953"/>
      <c r="E6251" s="953"/>
      <c r="F6251" s="953"/>
      <c r="G6251" s="953"/>
      <c r="H6251" s="953"/>
    </row>
    <row r="6252" spans="1:8" x14ac:dyDescent="0.25">
      <c r="A6252" s="952"/>
      <c r="B6252" s="953"/>
      <c r="C6252" s="953"/>
      <c r="D6252" s="953"/>
      <c r="E6252" s="953"/>
      <c r="F6252" s="953"/>
      <c r="G6252" s="953"/>
      <c r="H6252" s="953"/>
    </row>
    <row r="6253" spans="1:8" x14ac:dyDescent="0.25">
      <c r="A6253" s="952"/>
      <c r="B6253" s="953"/>
      <c r="C6253" s="953"/>
      <c r="D6253" s="953"/>
      <c r="E6253" s="953"/>
      <c r="F6253" s="953"/>
      <c r="G6253" s="953"/>
      <c r="H6253" s="953"/>
    </row>
    <row r="6254" spans="1:8" x14ac:dyDescent="0.25">
      <c r="A6254" s="952"/>
      <c r="B6254" s="953"/>
      <c r="C6254" s="953"/>
      <c r="D6254" s="953"/>
      <c r="E6254" s="953"/>
      <c r="F6254" s="953"/>
      <c r="G6254" s="953"/>
      <c r="H6254" s="953"/>
    </row>
    <row r="6255" spans="1:8" x14ac:dyDescent="0.25">
      <c r="A6255" s="952"/>
      <c r="B6255" s="953"/>
      <c r="C6255" s="953"/>
      <c r="D6255" s="953"/>
      <c r="E6255" s="953"/>
      <c r="F6255" s="953"/>
      <c r="G6255" s="953"/>
      <c r="H6255" s="953"/>
    </row>
    <row r="6256" spans="1:8" x14ac:dyDescent="0.25">
      <c r="A6256" s="952"/>
      <c r="B6256" s="953"/>
      <c r="C6256" s="953"/>
      <c r="D6256" s="953"/>
      <c r="E6256" s="953"/>
      <c r="F6256" s="953"/>
      <c r="G6256" s="953"/>
      <c r="H6256" s="953"/>
    </row>
    <row r="6257" spans="1:8" x14ac:dyDescent="0.25">
      <c r="A6257" s="952"/>
      <c r="B6257" s="953"/>
      <c r="C6257" s="953"/>
      <c r="D6257" s="953"/>
      <c r="E6257" s="953"/>
      <c r="F6257" s="953"/>
      <c r="G6257" s="953"/>
      <c r="H6257" s="953"/>
    </row>
    <row r="6258" spans="1:8" x14ac:dyDescent="0.25">
      <c r="A6258" s="952"/>
      <c r="B6258" s="953"/>
      <c r="C6258" s="953"/>
      <c r="D6258" s="953"/>
      <c r="E6258" s="953"/>
      <c r="F6258" s="953"/>
      <c r="G6258" s="953"/>
      <c r="H6258" s="953"/>
    </row>
    <row r="6259" spans="1:8" x14ac:dyDescent="0.25">
      <c r="A6259" s="952"/>
      <c r="B6259" s="953"/>
      <c r="C6259" s="953"/>
      <c r="D6259" s="953"/>
      <c r="E6259" s="953"/>
      <c r="F6259" s="953"/>
      <c r="G6259" s="953"/>
      <c r="H6259" s="953"/>
    </row>
    <row r="6260" spans="1:8" x14ac:dyDescent="0.25">
      <c r="A6260" s="952"/>
      <c r="B6260" s="953"/>
      <c r="C6260" s="953"/>
      <c r="D6260" s="953"/>
      <c r="E6260" s="953"/>
      <c r="F6260" s="953"/>
      <c r="G6260" s="953"/>
      <c r="H6260" s="953"/>
    </row>
    <row r="6261" spans="1:8" x14ac:dyDescent="0.25">
      <c r="A6261" s="952"/>
      <c r="B6261" s="953"/>
      <c r="C6261" s="953"/>
      <c r="D6261" s="953"/>
      <c r="E6261" s="953"/>
      <c r="F6261" s="953"/>
      <c r="G6261" s="953"/>
      <c r="H6261" s="953"/>
    </row>
    <row r="6262" spans="1:8" x14ac:dyDescent="0.25">
      <c r="A6262" s="952"/>
      <c r="B6262" s="953"/>
      <c r="C6262" s="953"/>
      <c r="D6262" s="953"/>
      <c r="E6262" s="953"/>
      <c r="F6262" s="953"/>
      <c r="G6262" s="953"/>
      <c r="H6262" s="953"/>
    </row>
    <row r="6263" spans="1:8" x14ac:dyDescent="0.25">
      <c r="A6263" s="952"/>
      <c r="B6263" s="953"/>
      <c r="C6263" s="953"/>
      <c r="D6263" s="953"/>
      <c r="E6263" s="953"/>
      <c r="F6263" s="953"/>
      <c r="G6263" s="953"/>
      <c r="H6263" s="953"/>
    </row>
    <row r="6264" spans="1:8" x14ac:dyDescent="0.25">
      <c r="A6264" s="952"/>
      <c r="B6264" s="953"/>
      <c r="C6264" s="953"/>
      <c r="D6264" s="953"/>
      <c r="E6264" s="953"/>
      <c r="F6264" s="953"/>
      <c r="G6264" s="953"/>
      <c r="H6264" s="953"/>
    </row>
    <row r="6265" spans="1:8" x14ac:dyDescent="0.25">
      <c r="A6265" s="952"/>
      <c r="B6265" s="953"/>
      <c r="C6265" s="953"/>
      <c r="D6265" s="953"/>
      <c r="E6265" s="953"/>
      <c r="F6265" s="953"/>
      <c r="G6265" s="953"/>
      <c r="H6265" s="953"/>
    </row>
    <row r="6266" spans="1:8" x14ac:dyDescent="0.25">
      <c r="A6266" s="952"/>
      <c r="B6266" s="953"/>
      <c r="C6266" s="953"/>
      <c r="D6266" s="953"/>
      <c r="E6266" s="953"/>
      <c r="F6266" s="953"/>
      <c r="G6266" s="953"/>
      <c r="H6266" s="953"/>
    </row>
    <row r="6267" spans="1:8" x14ac:dyDescent="0.25">
      <c r="A6267" s="952"/>
      <c r="B6267" s="953"/>
      <c r="C6267" s="953"/>
      <c r="D6267" s="953"/>
      <c r="E6267" s="953"/>
      <c r="F6267" s="953"/>
      <c r="G6267" s="953"/>
      <c r="H6267" s="953"/>
    </row>
    <row r="6268" spans="1:8" x14ac:dyDescent="0.25">
      <c r="A6268" s="952"/>
      <c r="B6268" s="953"/>
      <c r="C6268" s="953"/>
      <c r="D6268" s="953"/>
      <c r="E6268" s="953"/>
      <c r="F6268" s="953"/>
      <c r="G6268" s="953"/>
      <c r="H6268" s="953"/>
    </row>
    <row r="6269" spans="1:8" x14ac:dyDescent="0.25">
      <c r="A6269" s="952"/>
      <c r="B6269" s="953"/>
      <c r="C6269" s="953"/>
      <c r="D6269" s="953"/>
      <c r="E6269" s="953"/>
      <c r="F6269" s="953"/>
      <c r="G6269" s="953"/>
      <c r="H6269" s="953"/>
    </row>
    <row r="6270" spans="1:8" x14ac:dyDescent="0.25">
      <c r="A6270" s="952"/>
      <c r="B6270" s="953"/>
      <c r="C6270" s="953"/>
      <c r="D6270" s="953"/>
      <c r="E6270" s="953"/>
      <c r="F6270" s="953"/>
      <c r="G6270" s="953"/>
      <c r="H6270" s="953"/>
    </row>
    <row r="6271" spans="1:8" x14ac:dyDescent="0.25">
      <c r="A6271" s="952"/>
      <c r="B6271" s="953"/>
      <c r="C6271" s="953"/>
      <c r="D6271" s="953"/>
      <c r="E6271" s="953"/>
      <c r="F6271" s="953"/>
      <c r="G6271" s="953"/>
      <c r="H6271" s="953"/>
    </row>
    <row r="6272" spans="1:8" x14ac:dyDescent="0.25">
      <c r="A6272" s="952"/>
      <c r="B6272" s="953"/>
      <c r="C6272" s="953"/>
      <c r="D6272" s="953"/>
      <c r="E6272" s="953"/>
      <c r="F6272" s="953"/>
      <c r="G6272" s="953"/>
      <c r="H6272" s="953"/>
    </row>
    <row r="6273" spans="1:8" x14ac:dyDescent="0.25">
      <c r="A6273" s="952"/>
      <c r="B6273" s="953"/>
      <c r="C6273" s="953"/>
      <c r="D6273" s="953"/>
      <c r="E6273" s="953"/>
      <c r="F6273" s="953"/>
      <c r="G6273" s="953"/>
      <c r="H6273" s="953"/>
    </row>
    <row r="6274" spans="1:8" x14ac:dyDescent="0.25">
      <c r="A6274" s="952"/>
      <c r="B6274" s="953"/>
      <c r="C6274" s="953"/>
      <c r="D6274" s="953"/>
      <c r="E6274" s="953"/>
      <c r="F6274" s="953"/>
      <c r="G6274" s="953"/>
      <c r="H6274" s="953"/>
    </row>
    <row r="6275" spans="1:8" x14ac:dyDescent="0.25">
      <c r="A6275" s="952"/>
      <c r="B6275" s="953"/>
      <c r="C6275" s="953"/>
      <c r="D6275" s="953"/>
      <c r="E6275" s="953"/>
      <c r="F6275" s="953"/>
      <c r="G6275" s="953"/>
      <c r="H6275" s="953"/>
    </row>
    <row r="6276" spans="1:8" x14ac:dyDescent="0.25">
      <c r="A6276" s="952"/>
      <c r="B6276" s="953"/>
      <c r="C6276" s="953"/>
      <c r="D6276" s="953"/>
      <c r="E6276" s="953"/>
      <c r="F6276" s="953"/>
      <c r="G6276" s="953"/>
      <c r="H6276" s="953"/>
    </row>
    <row r="6277" spans="1:8" x14ac:dyDescent="0.25">
      <c r="A6277" s="952"/>
      <c r="B6277" s="953"/>
      <c r="C6277" s="953"/>
      <c r="D6277" s="953"/>
      <c r="E6277" s="953"/>
      <c r="F6277" s="953"/>
      <c r="G6277" s="953"/>
      <c r="H6277" s="953"/>
    </row>
    <row r="6278" spans="1:8" x14ac:dyDescent="0.25">
      <c r="A6278" s="952"/>
      <c r="B6278" s="953"/>
      <c r="C6278" s="953"/>
      <c r="D6278" s="953"/>
      <c r="E6278" s="953"/>
      <c r="F6278" s="953"/>
      <c r="G6278" s="953"/>
      <c r="H6278" s="953"/>
    </row>
    <row r="6279" spans="1:8" x14ac:dyDescent="0.25">
      <c r="A6279" s="952"/>
      <c r="B6279" s="953"/>
      <c r="C6279" s="953"/>
      <c r="D6279" s="953"/>
      <c r="E6279" s="953"/>
      <c r="F6279" s="953"/>
      <c r="G6279" s="953"/>
      <c r="H6279" s="953"/>
    </row>
    <row r="6280" spans="1:8" x14ac:dyDescent="0.25">
      <c r="A6280" s="952"/>
      <c r="B6280" s="953"/>
      <c r="C6280" s="953"/>
      <c r="D6280" s="953"/>
      <c r="E6280" s="953"/>
      <c r="F6280" s="953"/>
      <c r="G6280" s="953"/>
      <c r="H6280" s="953"/>
    </row>
    <row r="6281" spans="1:8" x14ac:dyDescent="0.25">
      <c r="A6281" s="952"/>
      <c r="B6281" s="953"/>
      <c r="C6281" s="953"/>
      <c r="D6281" s="953"/>
      <c r="E6281" s="953"/>
      <c r="F6281" s="953"/>
      <c r="G6281" s="953"/>
      <c r="H6281" s="953"/>
    </row>
    <row r="6282" spans="1:8" x14ac:dyDescent="0.25">
      <c r="A6282" s="952"/>
      <c r="B6282" s="953"/>
      <c r="C6282" s="953"/>
      <c r="D6282" s="953"/>
      <c r="E6282" s="953"/>
      <c r="F6282" s="953"/>
      <c r="G6282" s="953"/>
      <c r="H6282" s="953"/>
    </row>
    <row r="6283" spans="1:8" x14ac:dyDescent="0.25">
      <c r="A6283" s="952"/>
      <c r="B6283" s="953"/>
      <c r="C6283" s="953"/>
      <c r="D6283" s="953"/>
      <c r="E6283" s="953"/>
      <c r="F6283" s="953"/>
      <c r="G6283" s="953"/>
      <c r="H6283" s="953"/>
    </row>
    <row r="6284" spans="1:8" x14ac:dyDescent="0.25">
      <c r="A6284" s="952"/>
      <c r="B6284" s="953"/>
      <c r="C6284" s="953"/>
      <c r="D6284" s="953"/>
      <c r="E6284" s="953"/>
      <c r="F6284" s="953"/>
      <c r="G6284" s="953"/>
      <c r="H6284" s="953"/>
    </row>
    <row r="6285" spans="1:8" x14ac:dyDescent="0.25">
      <c r="A6285" s="952"/>
      <c r="B6285" s="953"/>
      <c r="C6285" s="953"/>
      <c r="D6285" s="953"/>
      <c r="E6285" s="953"/>
      <c r="F6285" s="953"/>
      <c r="G6285" s="953"/>
      <c r="H6285" s="953"/>
    </row>
    <row r="6286" spans="1:8" x14ac:dyDescent="0.25">
      <c r="A6286" s="952"/>
      <c r="B6286" s="953"/>
      <c r="C6286" s="953"/>
      <c r="D6286" s="953"/>
      <c r="E6286" s="953"/>
      <c r="F6286" s="953"/>
      <c r="G6286" s="953"/>
      <c r="H6286" s="953"/>
    </row>
    <row r="6287" spans="1:8" x14ac:dyDescent="0.25">
      <c r="A6287" s="952"/>
      <c r="B6287" s="953"/>
      <c r="C6287" s="953"/>
      <c r="D6287" s="953"/>
      <c r="E6287" s="953"/>
      <c r="F6287" s="953"/>
      <c r="G6287" s="953"/>
      <c r="H6287" s="953"/>
    </row>
    <row r="6288" spans="1:8" x14ac:dyDescent="0.25">
      <c r="A6288" s="952"/>
      <c r="B6288" s="953"/>
      <c r="C6288" s="953"/>
      <c r="D6288" s="953"/>
      <c r="E6288" s="953"/>
      <c r="F6288" s="953"/>
      <c r="G6288" s="953"/>
      <c r="H6288" s="953"/>
    </row>
    <row r="6289" spans="1:8" x14ac:dyDescent="0.25">
      <c r="A6289" s="952"/>
      <c r="B6289" s="953"/>
      <c r="C6289" s="953"/>
      <c r="D6289" s="953"/>
      <c r="E6289" s="953"/>
      <c r="F6289" s="953"/>
      <c r="G6289" s="953"/>
      <c r="H6289" s="953"/>
    </row>
    <row r="6290" spans="1:8" x14ac:dyDescent="0.25">
      <c r="A6290" s="952"/>
      <c r="B6290" s="953"/>
      <c r="C6290" s="953"/>
      <c r="D6290" s="953"/>
      <c r="E6290" s="953"/>
      <c r="F6290" s="953"/>
      <c r="G6290" s="953"/>
      <c r="H6290" s="953"/>
    </row>
    <row r="6291" spans="1:8" x14ac:dyDescent="0.25">
      <c r="A6291" s="952"/>
      <c r="B6291" s="953"/>
      <c r="C6291" s="953"/>
      <c r="D6291" s="953"/>
      <c r="E6291" s="953"/>
      <c r="F6291" s="953"/>
      <c r="G6291" s="953"/>
      <c r="H6291" s="953"/>
    </row>
    <row r="6292" spans="1:8" x14ac:dyDescent="0.25">
      <c r="A6292" s="952"/>
      <c r="B6292" s="953"/>
      <c r="C6292" s="953"/>
      <c r="D6292" s="953"/>
      <c r="E6292" s="953"/>
      <c r="F6292" s="953"/>
      <c r="G6292" s="953"/>
      <c r="H6292" s="953"/>
    </row>
    <row r="6293" spans="1:8" x14ac:dyDescent="0.25">
      <c r="A6293" s="952"/>
      <c r="B6293" s="953"/>
      <c r="C6293" s="953"/>
      <c r="D6293" s="953"/>
      <c r="E6293" s="953"/>
      <c r="F6293" s="953"/>
      <c r="G6293" s="953"/>
      <c r="H6293" s="953"/>
    </row>
    <row r="6294" spans="1:8" x14ac:dyDescent="0.25">
      <c r="A6294" s="952"/>
      <c r="B6294" s="953"/>
      <c r="C6294" s="953"/>
      <c r="D6294" s="953"/>
      <c r="E6294" s="953"/>
      <c r="F6294" s="953"/>
      <c r="G6294" s="953"/>
      <c r="H6294" s="953"/>
    </row>
    <row r="6295" spans="1:8" x14ac:dyDescent="0.25">
      <c r="A6295" s="952"/>
      <c r="B6295" s="953"/>
      <c r="C6295" s="953"/>
      <c r="D6295" s="953"/>
      <c r="E6295" s="953"/>
      <c r="F6295" s="953"/>
      <c r="G6295" s="953"/>
      <c r="H6295" s="953"/>
    </row>
    <row r="6296" spans="1:8" x14ac:dyDescent="0.25">
      <c r="A6296" s="952"/>
      <c r="B6296" s="953"/>
      <c r="C6296" s="953"/>
      <c r="D6296" s="953"/>
      <c r="E6296" s="953"/>
      <c r="F6296" s="953"/>
      <c r="G6296" s="953"/>
      <c r="H6296" s="953"/>
    </row>
    <row r="6297" spans="1:8" x14ac:dyDescent="0.25">
      <c r="A6297" s="952"/>
      <c r="B6297" s="953"/>
      <c r="C6297" s="953"/>
      <c r="D6297" s="953"/>
      <c r="E6297" s="953"/>
      <c r="F6297" s="953"/>
      <c r="G6297" s="953"/>
      <c r="H6297" s="953"/>
    </row>
    <row r="6298" spans="1:8" x14ac:dyDescent="0.25">
      <c r="A6298" s="952"/>
      <c r="B6298" s="953"/>
      <c r="C6298" s="953"/>
      <c r="D6298" s="953"/>
      <c r="E6298" s="953"/>
      <c r="F6298" s="953"/>
      <c r="G6298" s="953"/>
      <c r="H6298" s="953"/>
    </row>
    <row r="6299" spans="1:8" x14ac:dyDescent="0.25">
      <c r="A6299" s="952"/>
      <c r="B6299" s="953"/>
      <c r="C6299" s="953"/>
      <c r="D6299" s="953"/>
      <c r="E6299" s="953"/>
      <c r="F6299" s="953"/>
      <c r="G6299" s="953"/>
      <c r="H6299" s="953"/>
    </row>
    <row r="6300" spans="1:8" x14ac:dyDescent="0.25">
      <c r="A6300" s="952"/>
      <c r="B6300" s="953"/>
      <c r="C6300" s="953"/>
      <c r="D6300" s="953"/>
      <c r="E6300" s="953"/>
      <c r="F6300" s="953"/>
      <c r="G6300" s="953"/>
      <c r="H6300" s="953"/>
    </row>
    <row r="6301" spans="1:8" x14ac:dyDescent="0.25">
      <c r="A6301" s="952"/>
      <c r="B6301" s="953"/>
      <c r="C6301" s="953"/>
      <c r="D6301" s="953"/>
      <c r="E6301" s="953"/>
      <c r="F6301" s="953"/>
      <c r="G6301" s="953"/>
      <c r="H6301" s="953"/>
    </row>
    <row r="6302" spans="1:8" x14ac:dyDescent="0.25">
      <c r="A6302" s="952"/>
      <c r="B6302" s="953"/>
      <c r="C6302" s="953"/>
      <c r="D6302" s="953"/>
      <c r="E6302" s="953"/>
      <c r="F6302" s="953"/>
      <c r="G6302" s="953"/>
      <c r="H6302" s="953"/>
    </row>
    <row r="6303" spans="1:8" x14ac:dyDescent="0.25">
      <c r="A6303" s="952"/>
      <c r="B6303" s="953"/>
      <c r="C6303" s="953"/>
      <c r="D6303" s="953"/>
      <c r="E6303" s="953"/>
      <c r="F6303" s="953"/>
      <c r="G6303" s="953"/>
      <c r="H6303" s="953"/>
    </row>
    <row r="6304" spans="1:8" x14ac:dyDescent="0.25">
      <c r="A6304" s="952"/>
      <c r="B6304" s="953"/>
      <c r="C6304" s="953"/>
      <c r="D6304" s="953"/>
      <c r="E6304" s="953"/>
      <c r="F6304" s="953"/>
      <c r="G6304" s="953"/>
      <c r="H6304" s="953"/>
    </row>
    <row r="6305" spans="1:8" x14ac:dyDescent="0.25">
      <c r="A6305" s="952"/>
      <c r="B6305" s="953"/>
      <c r="C6305" s="953"/>
      <c r="D6305" s="953"/>
      <c r="E6305" s="953"/>
      <c r="F6305" s="953"/>
      <c r="G6305" s="953"/>
      <c r="H6305" s="953"/>
    </row>
    <row r="6306" spans="1:8" x14ac:dyDescent="0.25">
      <c r="A6306" s="952"/>
      <c r="B6306" s="953"/>
      <c r="C6306" s="953"/>
      <c r="D6306" s="953"/>
      <c r="E6306" s="953"/>
      <c r="F6306" s="953"/>
      <c r="G6306" s="953"/>
      <c r="H6306" s="953"/>
    </row>
    <row r="6307" spans="1:8" x14ac:dyDescent="0.25">
      <c r="A6307" s="952"/>
      <c r="B6307" s="953"/>
      <c r="C6307" s="953"/>
      <c r="D6307" s="953"/>
      <c r="E6307" s="953"/>
      <c r="F6307" s="953"/>
      <c r="G6307" s="953"/>
      <c r="H6307" s="953"/>
    </row>
    <row r="6308" spans="1:8" x14ac:dyDescent="0.25">
      <c r="A6308" s="952"/>
      <c r="B6308" s="953"/>
      <c r="C6308" s="953"/>
      <c r="D6308" s="953"/>
      <c r="E6308" s="953"/>
      <c r="F6308" s="953"/>
      <c r="G6308" s="953"/>
      <c r="H6308" s="953"/>
    </row>
    <row r="6309" spans="1:8" x14ac:dyDescent="0.25">
      <c r="A6309" s="952"/>
      <c r="B6309" s="953"/>
      <c r="C6309" s="953"/>
      <c r="D6309" s="953"/>
      <c r="E6309" s="953"/>
      <c r="F6309" s="953"/>
      <c r="G6309" s="953"/>
      <c r="H6309" s="953"/>
    </row>
    <row r="6310" spans="1:8" x14ac:dyDescent="0.25">
      <c r="A6310" s="952"/>
      <c r="B6310" s="953"/>
      <c r="C6310" s="953"/>
      <c r="D6310" s="953"/>
      <c r="E6310" s="953"/>
      <c r="F6310" s="953"/>
      <c r="G6310" s="953"/>
      <c r="H6310" s="953"/>
    </row>
    <row r="6311" spans="1:8" x14ac:dyDescent="0.25">
      <c r="A6311" s="952"/>
      <c r="B6311" s="953"/>
      <c r="C6311" s="953"/>
      <c r="D6311" s="953"/>
      <c r="E6311" s="953"/>
      <c r="F6311" s="953"/>
      <c r="G6311" s="953"/>
      <c r="H6311" s="953"/>
    </row>
    <row r="6312" spans="1:8" x14ac:dyDescent="0.25">
      <c r="A6312" s="952"/>
      <c r="B6312" s="953"/>
      <c r="C6312" s="953"/>
      <c r="D6312" s="953"/>
      <c r="E6312" s="953"/>
      <c r="F6312" s="953"/>
      <c r="G6312" s="953"/>
      <c r="H6312" s="953"/>
    </row>
    <row r="6313" spans="1:8" x14ac:dyDescent="0.25">
      <c r="A6313" s="952"/>
      <c r="B6313" s="953"/>
      <c r="C6313" s="953"/>
      <c r="D6313" s="953"/>
      <c r="E6313" s="953"/>
      <c r="F6313" s="953"/>
      <c r="G6313" s="953"/>
      <c r="H6313" s="953"/>
    </row>
    <row r="6314" spans="1:8" x14ac:dyDescent="0.25">
      <c r="A6314" s="952"/>
      <c r="B6314" s="953"/>
      <c r="C6314" s="953"/>
      <c r="D6314" s="953"/>
      <c r="E6314" s="953"/>
      <c r="F6314" s="953"/>
      <c r="G6314" s="953"/>
      <c r="H6314" s="953"/>
    </row>
    <row r="6315" spans="1:8" x14ac:dyDescent="0.25">
      <c r="A6315" s="952"/>
      <c r="B6315" s="953"/>
      <c r="C6315" s="953"/>
      <c r="D6315" s="953"/>
      <c r="E6315" s="953"/>
      <c r="F6315" s="953"/>
      <c r="G6315" s="953"/>
      <c r="H6315" s="953"/>
    </row>
    <row r="6316" spans="1:8" x14ac:dyDescent="0.25">
      <c r="A6316" s="952"/>
      <c r="B6316" s="953"/>
      <c r="C6316" s="953"/>
      <c r="D6316" s="953"/>
      <c r="E6316" s="953"/>
      <c r="F6316" s="953"/>
      <c r="G6316" s="953"/>
      <c r="H6316" s="953"/>
    </row>
    <row r="6317" spans="1:8" x14ac:dyDescent="0.25">
      <c r="A6317" s="952"/>
      <c r="B6317" s="953"/>
      <c r="C6317" s="953"/>
      <c r="D6317" s="953"/>
      <c r="E6317" s="953"/>
      <c r="F6317" s="953"/>
      <c r="G6317" s="953"/>
      <c r="H6317" s="953"/>
    </row>
    <row r="6318" spans="1:8" x14ac:dyDescent="0.25">
      <c r="A6318" s="952"/>
      <c r="B6318" s="953"/>
      <c r="C6318" s="953"/>
      <c r="D6318" s="953"/>
      <c r="E6318" s="953"/>
      <c r="F6318" s="953"/>
      <c r="G6318" s="953"/>
      <c r="H6318" s="953"/>
    </row>
    <row r="6319" spans="1:8" x14ac:dyDescent="0.25">
      <c r="A6319" s="952"/>
      <c r="B6319" s="953"/>
      <c r="C6319" s="953"/>
      <c r="D6319" s="953"/>
      <c r="E6319" s="953"/>
      <c r="F6319" s="953"/>
      <c r="G6319" s="953"/>
      <c r="H6319" s="953"/>
    </row>
    <row r="6320" spans="1:8" x14ac:dyDescent="0.25">
      <c r="A6320" s="952"/>
      <c r="B6320" s="953"/>
      <c r="C6320" s="953"/>
      <c r="D6320" s="953"/>
      <c r="E6320" s="953"/>
      <c r="F6320" s="953"/>
      <c r="G6320" s="953"/>
      <c r="H6320" s="953"/>
    </row>
    <row r="6321" spans="1:8" x14ac:dyDescent="0.25">
      <c r="A6321" s="952"/>
      <c r="B6321" s="953"/>
      <c r="C6321" s="953"/>
      <c r="D6321" s="953"/>
      <c r="E6321" s="953"/>
      <c r="F6321" s="953"/>
      <c r="G6321" s="953"/>
      <c r="H6321" s="953"/>
    </row>
    <row r="6322" spans="1:8" x14ac:dyDescent="0.25">
      <c r="A6322" s="952"/>
      <c r="B6322" s="953"/>
      <c r="C6322" s="953"/>
      <c r="D6322" s="953"/>
      <c r="E6322" s="953"/>
      <c r="F6322" s="953"/>
      <c r="G6322" s="953"/>
      <c r="H6322" s="953"/>
    </row>
    <row r="6323" spans="1:8" x14ac:dyDescent="0.25">
      <c r="A6323" s="952"/>
      <c r="B6323" s="953"/>
      <c r="C6323" s="953"/>
      <c r="D6323" s="953"/>
      <c r="E6323" s="953"/>
      <c r="F6323" s="953"/>
      <c r="G6323" s="953"/>
      <c r="H6323" s="953"/>
    </row>
    <row r="6324" spans="1:8" x14ac:dyDescent="0.25">
      <c r="A6324" s="952"/>
      <c r="B6324" s="953"/>
      <c r="C6324" s="953"/>
      <c r="D6324" s="953"/>
      <c r="E6324" s="953"/>
      <c r="F6324" s="953"/>
      <c r="G6324" s="953"/>
      <c r="H6324" s="953"/>
    </row>
    <row r="6325" spans="1:8" x14ac:dyDescent="0.25">
      <c r="A6325" s="952"/>
      <c r="B6325" s="953"/>
      <c r="C6325" s="953"/>
      <c r="D6325" s="953"/>
      <c r="E6325" s="953"/>
      <c r="F6325" s="953"/>
      <c r="G6325" s="953"/>
      <c r="H6325" s="953"/>
    </row>
    <row r="6326" spans="1:8" x14ac:dyDescent="0.25">
      <c r="A6326" s="952"/>
      <c r="B6326" s="953"/>
      <c r="C6326" s="953"/>
      <c r="D6326" s="953"/>
      <c r="E6326" s="953"/>
      <c r="F6326" s="953"/>
      <c r="G6326" s="953"/>
      <c r="H6326" s="953"/>
    </row>
    <row r="6327" spans="1:8" x14ac:dyDescent="0.25">
      <c r="A6327" s="952"/>
      <c r="B6327" s="953"/>
      <c r="C6327" s="953"/>
      <c r="D6327" s="953"/>
      <c r="E6327" s="953"/>
      <c r="F6327" s="953"/>
      <c r="G6327" s="953"/>
      <c r="H6327" s="953"/>
    </row>
    <row r="6328" spans="1:8" x14ac:dyDescent="0.25">
      <c r="A6328" s="952"/>
      <c r="B6328" s="953"/>
      <c r="C6328" s="953"/>
      <c r="D6328" s="953"/>
      <c r="E6328" s="953"/>
      <c r="F6328" s="953"/>
      <c r="G6328" s="953"/>
      <c r="H6328" s="953"/>
    </row>
    <row r="6329" spans="1:8" x14ac:dyDescent="0.25">
      <c r="A6329" s="952"/>
      <c r="B6329" s="953"/>
      <c r="C6329" s="953"/>
      <c r="D6329" s="953"/>
      <c r="E6329" s="953"/>
      <c r="F6329" s="953"/>
      <c r="G6329" s="953"/>
      <c r="H6329" s="953"/>
    </row>
    <row r="6330" spans="1:8" x14ac:dyDescent="0.25">
      <c r="A6330" s="952"/>
      <c r="B6330" s="953"/>
      <c r="C6330" s="953"/>
      <c r="D6330" s="953"/>
      <c r="E6330" s="953"/>
      <c r="F6330" s="953"/>
      <c r="G6330" s="953"/>
      <c r="H6330" s="953"/>
    </row>
    <row r="6331" spans="1:8" x14ac:dyDescent="0.25">
      <c r="A6331" s="952"/>
      <c r="B6331" s="953"/>
      <c r="C6331" s="953"/>
      <c r="D6331" s="953"/>
      <c r="E6331" s="953"/>
      <c r="F6331" s="953"/>
      <c r="G6331" s="953"/>
      <c r="H6331" s="953"/>
    </row>
    <row r="6332" spans="1:8" x14ac:dyDescent="0.25">
      <c r="A6332" s="952"/>
      <c r="B6332" s="953"/>
      <c r="C6332" s="953"/>
      <c r="D6332" s="953"/>
      <c r="E6332" s="953"/>
      <c r="F6332" s="953"/>
      <c r="G6332" s="953"/>
      <c r="H6332" s="953"/>
    </row>
    <row r="6333" spans="1:8" x14ac:dyDescent="0.25">
      <c r="A6333" s="952"/>
      <c r="B6333" s="953"/>
      <c r="C6333" s="953"/>
      <c r="D6333" s="953"/>
      <c r="E6333" s="953"/>
      <c r="F6333" s="953"/>
      <c r="G6333" s="953"/>
      <c r="H6333" s="953"/>
    </row>
    <row r="6334" spans="1:8" x14ac:dyDescent="0.25">
      <c r="A6334" s="952"/>
      <c r="B6334" s="953"/>
      <c r="C6334" s="953"/>
      <c r="D6334" s="953"/>
      <c r="E6334" s="953"/>
      <c r="F6334" s="953"/>
      <c r="G6334" s="953"/>
      <c r="H6334" s="953"/>
    </row>
    <row r="6335" spans="1:8" x14ac:dyDescent="0.25">
      <c r="A6335" s="952"/>
      <c r="B6335" s="953"/>
      <c r="C6335" s="953"/>
      <c r="D6335" s="953"/>
      <c r="E6335" s="953"/>
      <c r="F6335" s="953"/>
      <c r="G6335" s="953"/>
      <c r="H6335" s="953"/>
    </row>
    <row r="6336" spans="1:8" x14ac:dyDescent="0.25">
      <c r="A6336" s="952"/>
      <c r="B6336" s="953"/>
      <c r="C6336" s="953"/>
      <c r="D6336" s="953"/>
      <c r="E6336" s="953"/>
      <c r="F6336" s="953"/>
      <c r="G6336" s="953"/>
      <c r="H6336" s="953"/>
    </row>
    <row r="6337" spans="1:8" x14ac:dyDescent="0.25">
      <c r="A6337" s="952"/>
      <c r="B6337" s="953"/>
      <c r="C6337" s="953"/>
      <c r="D6337" s="953"/>
      <c r="E6337" s="953"/>
      <c r="F6337" s="953"/>
      <c r="G6337" s="953"/>
      <c r="H6337" s="953"/>
    </row>
    <row r="6338" spans="1:8" x14ac:dyDescent="0.25">
      <c r="A6338" s="952"/>
      <c r="B6338" s="953"/>
      <c r="C6338" s="953"/>
      <c r="D6338" s="953"/>
      <c r="E6338" s="953"/>
      <c r="F6338" s="953"/>
      <c r="G6338" s="953"/>
      <c r="H6338" s="953"/>
    </row>
    <row r="6339" spans="1:8" x14ac:dyDescent="0.25">
      <c r="A6339" s="952"/>
      <c r="B6339" s="953"/>
      <c r="C6339" s="953"/>
      <c r="D6339" s="953"/>
      <c r="E6339" s="953"/>
      <c r="F6339" s="953"/>
      <c r="G6339" s="953"/>
      <c r="H6339" s="953"/>
    </row>
    <row r="6340" spans="1:8" x14ac:dyDescent="0.25">
      <c r="A6340" s="952"/>
      <c r="B6340" s="953"/>
      <c r="C6340" s="953"/>
      <c r="D6340" s="953"/>
      <c r="E6340" s="953"/>
      <c r="F6340" s="953"/>
      <c r="G6340" s="953"/>
      <c r="H6340" s="953"/>
    </row>
    <row r="6341" spans="1:8" x14ac:dyDescent="0.25">
      <c r="A6341" s="952"/>
      <c r="B6341" s="953"/>
      <c r="C6341" s="953"/>
      <c r="D6341" s="953"/>
      <c r="E6341" s="953"/>
      <c r="F6341" s="953"/>
      <c r="G6341" s="953"/>
      <c r="H6341" s="953"/>
    </row>
    <row r="6342" spans="1:8" x14ac:dyDescent="0.25">
      <c r="A6342" s="952"/>
      <c r="B6342" s="953"/>
      <c r="C6342" s="953"/>
      <c r="D6342" s="953"/>
      <c r="E6342" s="953"/>
      <c r="F6342" s="953"/>
      <c r="G6342" s="953"/>
      <c r="H6342" s="953"/>
    </row>
    <row r="6343" spans="1:8" x14ac:dyDescent="0.25">
      <c r="A6343" s="952"/>
      <c r="B6343" s="953"/>
      <c r="C6343" s="953"/>
      <c r="D6343" s="953"/>
      <c r="E6343" s="953"/>
      <c r="F6343" s="953"/>
      <c r="G6343" s="953"/>
      <c r="H6343" s="953"/>
    </row>
    <row r="6344" spans="1:8" x14ac:dyDescent="0.25">
      <c r="A6344" s="952"/>
      <c r="B6344" s="953"/>
      <c r="C6344" s="953"/>
      <c r="D6344" s="953"/>
      <c r="E6344" s="953"/>
      <c r="F6344" s="953"/>
      <c r="G6344" s="953"/>
      <c r="H6344" s="953"/>
    </row>
    <row r="6345" spans="1:8" x14ac:dyDescent="0.25">
      <c r="A6345" s="952"/>
      <c r="B6345" s="953"/>
      <c r="C6345" s="953"/>
      <c r="D6345" s="953"/>
      <c r="E6345" s="953"/>
      <c r="F6345" s="953"/>
      <c r="G6345" s="953"/>
      <c r="H6345" s="953"/>
    </row>
    <row r="6346" spans="1:8" x14ac:dyDescent="0.25">
      <c r="A6346" s="952"/>
      <c r="B6346" s="953"/>
      <c r="C6346" s="953"/>
      <c r="D6346" s="953"/>
      <c r="E6346" s="953"/>
      <c r="F6346" s="953"/>
      <c r="G6346" s="953"/>
      <c r="H6346" s="953"/>
    </row>
    <row r="6347" spans="1:8" x14ac:dyDescent="0.25">
      <c r="A6347" s="952"/>
      <c r="B6347" s="953"/>
      <c r="C6347" s="953"/>
      <c r="D6347" s="953"/>
      <c r="E6347" s="953"/>
      <c r="F6347" s="953"/>
      <c r="G6347" s="953"/>
      <c r="H6347" s="953"/>
    </row>
    <row r="6348" spans="1:8" x14ac:dyDescent="0.25">
      <c r="A6348" s="952"/>
      <c r="B6348" s="953"/>
      <c r="C6348" s="953"/>
      <c r="D6348" s="953"/>
      <c r="E6348" s="953"/>
      <c r="F6348" s="953"/>
      <c r="G6348" s="953"/>
      <c r="H6348" s="953"/>
    </row>
    <row r="6349" spans="1:8" x14ac:dyDescent="0.25">
      <c r="A6349" s="952"/>
      <c r="B6349" s="953"/>
      <c r="C6349" s="953"/>
      <c r="D6349" s="953"/>
      <c r="E6349" s="953"/>
      <c r="F6349" s="953"/>
      <c r="G6349" s="953"/>
      <c r="H6349" s="953"/>
    </row>
    <row r="6350" spans="1:8" x14ac:dyDescent="0.25">
      <c r="A6350" s="952"/>
      <c r="B6350" s="953"/>
      <c r="C6350" s="953"/>
      <c r="D6350" s="953"/>
      <c r="E6350" s="953"/>
      <c r="F6350" s="953"/>
      <c r="G6350" s="953"/>
      <c r="H6350" s="953"/>
    </row>
    <row r="6351" spans="1:8" x14ac:dyDescent="0.25">
      <c r="A6351" s="952"/>
      <c r="B6351" s="953"/>
      <c r="C6351" s="953"/>
      <c r="D6351" s="953"/>
      <c r="E6351" s="953"/>
      <c r="F6351" s="953"/>
      <c r="G6351" s="953"/>
      <c r="H6351" s="953"/>
    </row>
    <row r="6352" spans="1:8" x14ac:dyDescent="0.25">
      <c r="A6352" s="952"/>
      <c r="B6352" s="953"/>
      <c r="C6352" s="953"/>
      <c r="D6352" s="953"/>
      <c r="E6352" s="953"/>
      <c r="F6352" s="953"/>
      <c r="G6352" s="953"/>
      <c r="H6352" s="953"/>
    </row>
    <row r="6353" spans="1:8" x14ac:dyDescent="0.25">
      <c r="A6353" s="952"/>
      <c r="B6353" s="953"/>
      <c r="C6353" s="953"/>
      <c r="D6353" s="953"/>
      <c r="E6353" s="953"/>
      <c r="F6353" s="953"/>
      <c r="G6353" s="953"/>
      <c r="H6353" s="953"/>
    </row>
    <row r="6354" spans="1:8" x14ac:dyDescent="0.25">
      <c r="A6354" s="952"/>
      <c r="B6354" s="953"/>
      <c r="C6354" s="953"/>
      <c r="D6354" s="953"/>
      <c r="E6354" s="953"/>
      <c r="F6354" s="953"/>
      <c r="G6354" s="953"/>
      <c r="H6354" s="953"/>
    </row>
    <row r="6355" spans="1:8" x14ac:dyDescent="0.25">
      <c r="A6355" s="952"/>
      <c r="B6355" s="953"/>
      <c r="C6355" s="953"/>
      <c r="D6355" s="953"/>
      <c r="E6355" s="953"/>
      <c r="F6355" s="953"/>
      <c r="G6355" s="953"/>
      <c r="H6355" s="953"/>
    </row>
    <row r="6356" spans="1:8" x14ac:dyDescent="0.25">
      <c r="A6356" s="952"/>
      <c r="B6356" s="953"/>
      <c r="C6356" s="953"/>
      <c r="D6356" s="953"/>
      <c r="E6356" s="953"/>
      <c r="F6356" s="953"/>
      <c r="G6356" s="953"/>
      <c r="H6356" s="953"/>
    </row>
    <row r="6357" spans="1:8" x14ac:dyDescent="0.25">
      <c r="A6357" s="952"/>
      <c r="B6357" s="953"/>
      <c r="C6357" s="953"/>
      <c r="D6357" s="953"/>
      <c r="E6357" s="953"/>
      <c r="F6357" s="953"/>
      <c r="G6357" s="953"/>
      <c r="H6357" s="953"/>
    </row>
    <row r="6358" spans="1:8" x14ac:dyDescent="0.25">
      <c r="A6358" s="952"/>
      <c r="B6358" s="953"/>
      <c r="C6358" s="953"/>
      <c r="D6358" s="953"/>
      <c r="E6358" s="953"/>
      <c r="F6358" s="953"/>
      <c r="G6358" s="953"/>
      <c r="H6358" s="953"/>
    </row>
    <row r="6359" spans="1:8" x14ac:dyDescent="0.25">
      <c r="A6359" s="952"/>
      <c r="B6359" s="953"/>
      <c r="C6359" s="953"/>
      <c r="D6359" s="953"/>
      <c r="E6359" s="953"/>
      <c r="F6359" s="953"/>
      <c r="G6359" s="953"/>
      <c r="H6359" s="953"/>
    </row>
    <row r="6360" spans="1:8" x14ac:dyDescent="0.25">
      <c r="A6360" s="952"/>
      <c r="B6360" s="953"/>
      <c r="C6360" s="953"/>
      <c r="D6360" s="953"/>
      <c r="E6360" s="953"/>
      <c r="F6360" s="953"/>
      <c r="G6360" s="953"/>
      <c r="H6360" s="953"/>
    </row>
    <row r="6361" spans="1:8" x14ac:dyDescent="0.25">
      <c r="A6361" s="952"/>
      <c r="B6361" s="953"/>
      <c r="C6361" s="953"/>
      <c r="D6361" s="953"/>
      <c r="E6361" s="953"/>
      <c r="F6361" s="953"/>
      <c r="G6361" s="953"/>
      <c r="H6361" s="953"/>
    </row>
    <row r="6362" spans="1:8" x14ac:dyDescent="0.25">
      <c r="A6362" s="952"/>
      <c r="B6362" s="953"/>
      <c r="C6362" s="953"/>
      <c r="D6362" s="953"/>
      <c r="E6362" s="953"/>
      <c r="F6362" s="953"/>
      <c r="G6362" s="953"/>
      <c r="H6362" s="953"/>
    </row>
    <row r="6363" spans="1:8" x14ac:dyDescent="0.25">
      <c r="A6363" s="952"/>
      <c r="B6363" s="953"/>
      <c r="C6363" s="953"/>
      <c r="D6363" s="953"/>
      <c r="E6363" s="953"/>
      <c r="F6363" s="953"/>
      <c r="G6363" s="953"/>
      <c r="H6363" s="953"/>
    </row>
    <row r="6364" spans="1:8" x14ac:dyDescent="0.25">
      <c r="A6364" s="952"/>
      <c r="B6364" s="953"/>
      <c r="C6364" s="953"/>
      <c r="D6364" s="953"/>
      <c r="E6364" s="953"/>
      <c r="F6364" s="953"/>
      <c r="G6364" s="953"/>
      <c r="H6364" s="953"/>
    </row>
    <row r="6365" spans="1:8" x14ac:dyDescent="0.25">
      <c r="A6365" s="952"/>
      <c r="B6365" s="953"/>
      <c r="C6365" s="953"/>
      <c r="D6365" s="953"/>
      <c r="E6365" s="953"/>
      <c r="F6365" s="953"/>
      <c r="G6365" s="953"/>
      <c r="H6365" s="953"/>
    </row>
    <row r="6366" spans="1:8" x14ac:dyDescent="0.25">
      <c r="A6366" s="952"/>
      <c r="B6366" s="953"/>
      <c r="C6366" s="953"/>
      <c r="D6366" s="953"/>
      <c r="E6366" s="953"/>
      <c r="F6366" s="953"/>
      <c r="G6366" s="953"/>
      <c r="H6366" s="953"/>
    </row>
    <row r="6367" spans="1:8" x14ac:dyDescent="0.25">
      <c r="A6367" s="952"/>
      <c r="B6367" s="953"/>
      <c r="C6367" s="953"/>
      <c r="D6367" s="953"/>
      <c r="E6367" s="953"/>
      <c r="F6367" s="953"/>
      <c r="G6367" s="953"/>
      <c r="H6367" s="953"/>
    </row>
    <row r="6368" spans="1:8" x14ac:dyDescent="0.25">
      <c r="A6368" s="952"/>
      <c r="B6368" s="953"/>
      <c r="C6368" s="953"/>
      <c r="D6368" s="953"/>
      <c r="E6368" s="953"/>
      <c r="F6368" s="953"/>
      <c r="G6368" s="953"/>
      <c r="H6368" s="953"/>
    </row>
    <row r="6369" spans="1:8" x14ac:dyDescent="0.25">
      <c r="A6369" s="952"/>
      <c r="B6369" s="953"/>
      <c r="C6369" s="953"/>
      <c r="D6369" s="953"/>
      <c r="E6369" s="953"/>
      <c r="F6369" s="953"/>
      <c r="G6369" s="953"/>
      <c r="H6369" s="953"/>
    </row>
    <row r="6370" spans="1:8" x14ac:dyDescent="0.25">
      <c r="A6370" s="952"/>
      <c r="B6370" s="953"/>
      <c r="C6370" s="953"/>
      <c r="D6370" s="953"/>
      <c r="E6370" s="953"/>
      <c r="F6370" s="953"/>
      <c r="G6370" s="953"/>
      <c r="H6370" s="953"/>
    </row>
    <row r="6371" spans="1:8" x14ac:dyDescent="0.25">
      <c r="A6371" s="952"/>
      <c r="B6371" s="953"/>
      <c r="C6371" s="953"/>
      <c r="D6371" s="953"/>
      <c r="E6371" s="953"/>
      <c r="F6371" s="953"/>
      <c r="G6371" s="953"/>
      <c r="H6371" s="953"/>
    </row>
    <row r="6372" spans="1:8" x14ac:dyDescent="0.25">
      <c r="A6372" s="952"/>
      <c r="B6372" s="953"/>
      <c r="C6372" s="953"/>
      <c r="D6372" s="953"/>
      <c r="E6372" s="953"/>
      <c r="F6372" s="953"/>
      <c r="G6372" s="953"/>
      <c r="H6372" s="953"/>
    </row>
    <row r="6373" spans="1:8" x14ac:dyDescent="0.25">
      <c r="A6373" s="952"/>
      <c r="B6373" s="953"/>
      <c r="C6373" s="953"/>
      <c r="D6373" s="953"/>
      <c r="E6373" s="953"/>
      <c r="F6373" s="953"/>
      <c r="G6373" s="953"/>
      <c r="H6373" s="953"/>
    </row>
    <row r="6374" spans="1:8" x14ac:dyDescent="0.25">
      <c r="A6374" s="952"/>
      <c r="B6374" s="953"/>
      <c r="C6374" s="953"/>
      <c r="D6374" s="953"/>
      <c r="E6374" s="953"/>
      <c r="F6374" s="953"/>
      <c r="G6374" s="953"/>
      <c r="H6374" s="953"/>
    </row>
    <row r="6375" spans="1:8" x14ac:dyDescent="0.25">
      <c r="A6375" s="952"/>
      <c r="B6375" s="953"/>
      <c r="C6375" s="953"/>
      <c r="D6375" s="953"/>
      <c r="E6375" s="953"/>
      <c r="F6375" s="953"/>
      <c r="G6375" s="953"/>
      <c r="H6375" s="953"/>
    </row>
    <row r="6376" spans="1:8" x14ac:dyDescent="0.25">
      <c r="A6376" s="952"/>
      <c r="B6376" s="953"/>
      <c r="C6376" s="953"/>
      <c r="D6376" s="953"/>
      <c r="E6376" s="953"/>
      <c r="F6376" s="953"/>
      <c r="G6376" s="953"/>
      <c r="H6376" s="953"/>
    </row>
    <row r="6377" spans="1:8" x14ac:dyDescent="0.25">
      <c r="A6377" s="952"/>
      <c r="B6377" s="953"/>
      <c r="C6377" s="953"/>
      <c r="D6377" s="953"/>
      <c r="E6377" s="953"/>
      <c r="F6377" s="953"/>
      <c r="G6377" s="953"/>
      <c r="H6377" s="953"/>
    </row>
    <row r="6378" spans="1:8" x14ac:dyDescent="0.25">
      <c r="A6378" s="952"/>
      <c r="B6378" s="953"/>
      <c r="C6378" s="953"/>
      <c r="D6378" s="953"/>
      <c r="E6378" s="953"/>
      <c r="F6378" s="953"/>
      <c r="G6378" s="953"/>
      <c r="H6378" s="953"/>
    </row>
    <row r="6379" spans="1:8" x14ac:dyDescent="0.25">
      <c r="A6379" s="952"/>
      <c r="B6379" s="953"/>
      <c r="C6379" s="953"/>
      <c r="D6379" s="953"/>
      <c r="E6379" s="953"/>
      <c r="F6379" s="953"/>
      <c r="G6379" s="953"/>
      <c r="H6379" s="953"/>
    </row>
    <row r="6380" spans="1:8" x14ac:dyDescent="0.25">
      <c r="A6380" s="952"/>
      <c r="B6380" s="953"/>
      <c r="C6380" s="953"/>
      <c r="D6380" s="953"/>
      <c r="E6380" s="953"/>
      <c r="F6380" s="953"/>
      <c r="G6380" s="953"/>
      <c r="H6380" s="953"/>
    </row>
    <row r="6381" spans="1:8" x14ac:dyDescent="0.25">
      <c r="A6381" s="952"/>
      <c r="B6381" s="953"/>
      <c r="C6381" s="953"/>
      <c r="D6381" s="953"/>
      <c r="E6381" s="953"/>
      <c r="F6381" s="953"/>
      <c r="G6381" s="953"/>
      <c r="H6381" s="953"/>
    </row>
    <row r="6382" spans="1:8" x14ac:dyDescent="0.25">
      <c r="A6382" s="952"/>
      <c r="B6382" s="953"/>
      <c r="C6382" s="953"/>
      <c r="D6382" s="953"/>
      <c r="E6382" s="953"/>
      <c r="F6382" s="953"/>
      <c r="G6382" s="953"/>
      <c r="H6382" s="953"/>
    </row>
    <row r="6383" spans="1:8" x14ac:dyDescent="0.25">
      <c r="A6383" s="952"/>
      <c r="B6383" s="953"/>
      <c r="C6383" s="953"/>
      <c r="D6383" s="953"/>
      <c r="E6383" s="953"/>
      <c r="F6383" s="953"/>
      <c r="G6383" s="953"/>
      <c r="H6383" s="953"/>
    </row>
    <row r="6384" spans="1:8" x14ac:dyDescent="0.25">
      <c r="A6384" s="952"/>
      <c r="B6384" s="953"/>
      <c r="C6384" s="953"/>
      <c r="D6384" s="953"/>
      <c r="E6384" s="953"/>
      <c r="F6384" s="953"/>
      <c r="G6384" s="953"/>
      <c r="H6384" s="953"/>
    </row>
    <row r="6385" spans="1:8" x14ac:dyDescent="0.25">
      <c r="A6385" s="952"/>
      <c r="B6385" s="953"/>
      <c r="C6385" s="953"/>
      <c r="D6385" s="953"/>
      <c r="E6385" s="953"/>
      <c r="F6385" s="953"/>
      <c r="G6385" s="953"/>
      <c r="H6385" s="953"/>
    </row>
    <row r="6386" spans="1:8" x14ac:dyDescent="0.25">
      <c r="A6386" s="952"/>
      <c r="B6386" s="953"/>
      <c r="C6386" s="953"/>
      <c r="D6386" s="953"/>
      <c r="E6386" s="953"/>
      <c r="F6386" s="953"/>
      <c r="G6386" s="953"/>
      <c r="H6386" s="953"/>
    </row>
    <row r="6387" spans="1:8" x14ac:dyDescent="0.25">
      <c r="A6387" s="952"/>
      <c r="B6387" s="953"/>
      <c r="C6387" s="953"/>
      <c r="D6387" s="953"/>
      <c r="E6387" s="953"/>
      <c r="F6387" s="953"/>
      <c r="G6387" s="953"/>
      <c r="H6387" s="953"/>
    </row>
    <row r="6388" spans="1:8" x14ac:dyDescent="0.25">
      <c r="A6388" s="952"/>
      <c r="B6388" s="953"/>
      <c r="C6388" s="953"/>
      <c r="D6388" s="953"/>
      <c r="E6388" s="953"/>
      <c r="F6388" s="953"/>
      <c r="G6388" s="953"/>
      <c r="H6388" s="953"/>
    </row>
    <row r="6389" spans="1:8" x14ac:dyDescent="0.25">
      <c r="A6389" s="952"/>
      <c r="B6389" s="953"/>
      <c r="C6389" s="953"/>
      <c r="D6389" s="953"/>
      <c r="E6389" s="953"/>
      <c r="F6389" s="953"/>
      <c r="G6389" s="953"/>
      <c r="H6389" s="953"/>
    </row>
    <row r="6390" spans="1:8" x14ac:dyDescent="0.25">
      <c r="A6390" s="952"/>
      <c r="B6390" s="953"/>
      <c r="C6390" s="953"/>
      <c r="D6390" s="953"/>
      <c r="E6390" s="953"/>
      <c r="F6390" s="953"/>
      <c r="G6390" s="953"/>
      <c r="H6390" s="953"/>
    </row>
    <row r="6391" spans="1:8" x14ac:dyDescent="0.25">
      <c r="A6391" s="952"/>
      <c r="B6391" s="953"/>
      <c r="C6391" s="953"/>
      <c r="D6391" s="953"/>
      <c r="E6391" s="953"/>
      <c r="F6391" s="953"/>
      <c r="G6391" s="953"/>
      <c r="H6391" s="953"/>
    </row>
    <row r="6392" spans="1:8" x14ac:dyDescent="0.25">
      <c r="A6392" s="952"/>
      <c r="B6392" s="953"/>
      <c r="C6392" s="953"/>
      <c r="D6392" s="953"/>
      <c r="E6392" s="953"/>
      <c r="F6392" s="953"/>
      <c r="G6392" s="953"/>
      <c r="H6392" s="953"/>
    </row>
    <row r="6393" spans="1:8" x14ac:dyDescent="0.25">
      <c r="A6393" s="952"/>
      <c r="B6393" s="953"/>
      <c r="C6393" s="953"/>
      <c r="D6393" s="953"/>
      <c r="E6393" s="953"/>
      <c r="F6393" s="953"/>
      <c r="G6393" s="953"/>
      <c r="H6393" s="953"/>
    </row>
    <row r="6394" spans="1:8" x14ac:dyDescent="0.25">
      <c r="A6394" s="952"/>
      <c r="B6394" s="953"/>
      <c r="C6394" s="953"/>
      <c r="D6394" s="953"/>
      <c r="E6394" s="953"/>
      <c r="F6394" s="953"/>
      <c r="G6394" s="953"/>
      <c r="H6394" s="953"/>
    </row>
    <row r="6395" spans="1:8" x14ac:dyDescent="0.25">
      <c r="A6395" s="952"/>
      <c r="B6395" s="953"/>
      <c r="C6395" s="953"/>
      <c r="D6395" s="953"/>
      <c r="E6395" s="953"/>
      <c r="F6395" s="953"/>
      <c r="G6395" s="953"/>
      <c r="H6395" s="953"/>
    </row>
    <row r="6396" spans="1:8" x14ac:dyDescent="0.25">
      <c r="A6396" s="952"/>
      <c r="B6396" s="953"/>
      <c r="C6396" s="953"/>
      <c r="D6396" s="953"/>
      <c r="E6396" s="953"/>
      <c r="F6396" s="953"/>
      <c r="G6396" s="953"/>
      <c r="H6396" s="953"/>
    </row>
    <row r="6397" spans="1:8" x14ac:dyDescent="0.25">
      <c r="A6397" s="952"/>
      <c r="B6397" s="953"/>
      <c r="C6397" s="953"/>
      <c r="D6397" s="953"/>
      <c r="E6397" s="953"/>
      <c r="F6397" s="953"/>
      <c r="G6397" s="953"/>
      <c r="H6397" s="953"/>
    </row>
    <row r="6398" spans="1:8" x14ac:dyDescent="0.25">
      <c r="A6398" s="952"/>
      <c r="B6398" s="953"/>
      <c r="C6398" s="953"/>
      <c r="D6398" s="953"/>
      <c r="E6398" s="953"/>
      <c r="F6398" s="953"/>
      <c r="G6398" s="953"/>
      <c r="H6398" s="953"/>
    </row>
    <row r="6399" spans="1:8" x14ac:dyDescent="0.25">
      <c r="A6399" s="952"/>
      <c r="B6399" s="953"/>
      <c r="C6399" s="953"/>
      <c r="D6399" s="953"/>
      <c r="E6399" s="953"/>
      <c r="F6399" s="953"/>
      <c r="G6399" s="953"/>
      <c r="H6399" s="953"/>
    </row>
    <row r="6400" spans="1:8" x14ac:dyDescent="0.25">
      <c r="A6400" s="952"/>
      <c r="B6400" s="953"/>
      <c r="C6400" s="953"/>
      <c r="D6400" s="953"/>
      <c r="E6400" s="953"/>
      <c r="F6400" s="953"/>
      <c r="G6400" s="953"/>
      <c r="H6400" s="953"/>
    </row>
    <row r="6401" spans="1:8" x14ac:dyDescent="0.25">
      <c r="A6401" s="952"/>
      <c r="B6401" s="953"/>
      <c r="C6401" s="953"/>
      <c r="D6401" s="953"/>
      <c r="E6401" s="953"/>
      <c r="F6401" s="953"/>
      <c r="G6401" s="953"/>
      <c r="H6401" s="953"/>
    </row>
    <row r="6402" spans="1:8" x14ac:dyDescent="0.25">
      <c r="A6402" s="952"/>
      <c r="B6402" s="953"/>
      <c r="C6402" s="953"/>
      <c r="D6402" s="953"/>
      <c r="E6402" s="953"/>
      <c r="F6402" s="953"/>
      <c r="G6402" s="953"/>
      <c r="H6402" s="953"/>
    </row>
    <row r="6403" spans="1:8" x14ac:dyDescent="0.25">
      <c r="A6403" s="952"/>
      <c r="B6403" s="953"/>
      <c r="C6403" s="953"/>
      <c r="D6403" s="953"/>
      <c r="E6403" s="953"/>
      <c r="F6403" s="953"/>
      <c r="G6403" s="953"/>
      <c r="H6403" s="953"/>
    </row>
    <row r="6404" spans="1:8" x14ac:dyDescent="0.25">
      <c r="A6404" s="952"/>
      <c r="B6404" s="953"/>
      <c r="C6404" s="953"/>
      <c r="D6404" s="953"/>
      <c r="E6404" s="953"/>
      <c r="F6404" s="953"/>
      <c r="G6404" s="953"/>
      <c r="H6404" s="953"/>
    </row>
    <row r="6405" spans="1:8" x14ac:dyDescent="0.25">
      <c r="A6405" s="952"/>
      <c r="B6405" s="953"/>
      <c r="C6405" s="953"/>
      <c r="D6405" s="953"/>
      <c r="E6405" s="953"/>
      <c r="F6405" s="953"/>
      <c r="G6405" s="953"/>
      <c r="H6405" s="953"/>
    </row>
    <row r="6406" spans="1:8" x14ac:dyDescent="0.25">
      <c r="A6406" s="952"/>
      <c r="B6406" s="953"/>
      <c r="C6406" s="953"/>
      <c r="D6406" s="953"/>
      <c r="E6406" s="953"/>
      <c r="F6406" s="953"/>
      <c r="G6406" s="953"/>
      <c r="H6406" s="953"/>
    </row>
    <row r="6407" spans="1:8" x14ac:dyDescent="0.25">
      <c r="A6407" s="952"/>
      <c r="B6407" s="953"/>
      <c r="C6407" s="953"/>
      <c r="D6407" s="953"/>
      <c r="E6407" s="953"/>
      <c r="F6407" s="953"/>
      <c r="G6407" s="953"/>
      <c r="H6407" s="953"/>
    </row>
    <row r="6408" spans="1:8" x14ac:dyDescent="0.25">
      <c r="A6408" s="952"/>
      <c r="B6408" s="953"/>
      <c r="C6408" s="953"/>
      <c r="D6408" s="953"/>
      <c r="E6408" s="953"/>
      <c r="F6408" s="953"/>
      <c r="G6408" s="953"/>
      <c r="H6408" s="953"/>
    </row>
    <row r="6409" spans="1:8" x14ac:dyDescent="0.25">
      <c r="A6409" s="952"/>
      <c r="B6409" s="953"/>
      <c r="C6409" s="953"/>
      <c r="D6409" s="953"/>
      <c r="E6409" s="953"/>
      <c r="F6409" s="953"/>
      <c r="G6409" s="953"/>
      <c r="H6409" s="953"/>
    </row>
    <row r="6410" spans="1:8" x14ac:dyDescent="0.25">
      <c r="A6410" s="952"/>
      <c r="B6410" s="953"/>
      <c r="C6410" s="953"/>
      <c r="D6410" s="953"/>
      <c r="E6410" s="953"/>
      <c r="F6410" s="953"/>
      <c r="G6410" s="953"/>
      <c r="H6410" s="953"/>
    </row>
    <row r="6411" spans="1:8" x14ac:dyDescent="0.25">
      <c r="A6411" s="952"/>
      <c r="B6411" s="953"/>
      <c r="C6411" s="953"/>
      <c r="D6411" s="953"/>
      <c r="E6411" s="953"/>
      <c r="F6411" s="953"/>
      <c r="G6411" s="953"/>
      <c r="H6411" s="953"/>
    </row>
    <row r="6412" spans="1:8" x14ac:dyDescent="0.25">
      <c r="A6412" s="952"/>
      <c r="B6412" s="953"/>
      <c r="C6412" s="953"/>
      <c r="D6412" s="953"/>
      <c r="E6412" s="953"/>
      <c r="F6412" s="953"/>
      <c r="G6412" s="953"/>
      <c r="H6412" s="953"/>
    </row>
    <row r="6413" spans="1:8" x14ac:dyDescent="0.25">
      <c r="A6413" s="952"/>
      <c r="B6413" s="953"/>
      <c r="C6413" s="953"/>
      <c r="D6413" s="953"/>
      <c r="E6413" s="953"/>
      <c r="F6413" s="953"/>
      <c r="G6413" s="953"/>
      <c r="H6413" s="953"/>
    </row>
    <row r="6414" spans="1:8" x14ac:dyDescent="0.25">
      <c r="A6414" s="952"/>
      <c r="B6414" s="953"/>
      <c r="C6414" s="953"/>
      <c r="D6414" s="953"/>
      <c r="E6414" s="953"/>
      <c r="F6414" s="953"/>
      <c r="G6414" s="953"/>
      <c r="H6414" s="953"/>
    </row>
    <row r="6415" spans="1:8" x14ac:dyDescent="0.25">
      <c r="A6415" s="952"/>
      <c r="B6415" s="953"/>
      <c r="C6415" s="953"/>
      <c r="D6415" s="953"/>
      <c r="E6415" s="953"/>
      <c r="F6415" s="953"/>
      <c r="G6415" s="953"/>
      <c r="H6415" s="953"/>
    </row>
    <row r="6416" spans="1:8" x14ac:dyDescent="0.25">
      <c r="A6416" s="952"/>
      <c r="B6416" s="953"/>
      <c r="C6416" s="953"/>
      <c r="D6416" s="953"/>
      <c r="E6416" s="953"/>
      <c r="F6416" s="953"/>
      <c r="G6416" s="953"/>
      <c r="H6416" s="953"/>
    </row>
    <row r="6417" spans="1:8" x14ac:dyDescent="0.25">
      <c r="A6417" s="952"/>
      <c r="B6417" s="953"/>
      <c r="C6417" s="953"/>
      <c r="D6417" s="953"/>
      <c r="E6417" s="953"/>
      <c r="F6417" s="953"/>
      <c r="G6417" s="953"/>
      <c r="H6417" s="953"/>
    </row>
    <row r="6418" spans="1:8" x14ac:dyDescent="0.25">
      <c r="A6418" s="952"/>
      <c r="B6418" s="953"/>
      <c r="C6418" s="953"/>
      <c r="D6418" s="953"/>
      <c r="E6418" s="953"/>
      <c r="F6418" s="953"/>
      <c r="G6418" s="953"/>
      <c r="H6418" s="953"/>
    </row>
    <row r="6419" spans="1:8" x14ac:dyDescent="0.25">
      <c r="A6419" s="952"/>
      <c r="B6419" s="953"/>
      <c r="C6419" s="953"/>
      <c r="D6419" s="953"/>
      <c r="E6419" s="953"/>
      <c r="F6419" s="953"/>
      <c r="G6419" s="953"/>
      <c r="H6419" s="953"/>
    </row>
    <row r="6420" spans="1:8" x14ac:dyDescent="0.25">
      <c r="A6420" s="952"/>
      <c r="B6420" s="953"/>
      <c r="C6420" s="953"/>
      <c r="D6420" s="953"/>
      <c r="E6420" s="953"/>
      <c r="F6420" s="953"/>
      <c r="G6420" s="953"/>
      <c r="H6420" s="953"/>
    </row>
    <row r="6421" spans="1:8" x14ac:dyDescent="0.25">
      <c r="A6421" s="952"/>
      <c r="B6421" s="953"/>
      <c r="C6421" s="953"/>
      <c r="D6421" s="953"/>
      <c r="E6421" s="953"/>
      <c r="F6421" s="953"/>
      <c r="G6421" s="953"/>
      <c r="H6421" s="953"/>
    </row>
    <row r="6422" spans="1:8" x14ac:dyDescent="0.25">
      <c r="A6422" s="952"/>
      <c r="B6422" s="953"/>
      <c r="C6422" s="953"/>
      <c r="D6422" s="953"/>
      <c r="E6422" s="953"/>
      <c r="F6422" s="953"/>
      <c r="G6422" s="953"/>
      <c r="H6422" s="953"/>
    </row>
    <row r="6423" spans="1:8" x14ac:dyDescent="0.25">
      <c r="A6423" s="952"/>
      <c r="B6423" s="953"/>
      <c r="C6423" s="953"/>
      <c r="D6423" s="953"/>
      <c r="E6423" s="953"/>
      <c r="F6423" s="953"/>
      <c r="G6423" s="953"/>
      <c r="H6423" s="953"/>
    </row>
    <row r="6424" spans="1:8" x14ac:dyDescent="0.25">
      <c r="A6424" s="952"/>
      <c r="B6424" s="953"/>
      <c r="C6424" s="953"/>
      <c r="D6424" s="953"/>
      <c r="E6424" s="953"/>
      <c r="F6424" s="953"/>
      <c r="G6424" s="953"/>
      <c r="H6424" s="953"/>
    </row>
    <row r="6425" spans="1:8" x14ac:dyDescent="0.25">
      <c r="A6425" s="952"/>
      <c r="B6425" s="953"/>
      <c r="C6425" s="953"/>
      <c r="D6425" s="953"/>
      <c r="E6425" s="953"/>
      <c r="F6425" s="953"/>
      <c r="G6425" s="953"/>
      <c r="H6425" s="953"/>
    </row>
    <row r="6426" spans="1:8" x14ac:dyDescent="0.25">
      <c r="A6426" s="952"/>
      <c r="B6426" s="953"/>
      <c r="C6426" s="953"/>
      <c r="D6426" s="953"/>
      <c r="E6426" s="953"/>
      <c r="F6426" s="953"/>
      <c r="G6426" s="953"/>
      <c r="H6426" s="953"/>
    </row>
    <row r="6427" spans="1:8" x14ac:dyDescent="0.25">
      <c r="A6427" s="952"/>
      <c r="B6427" s="953"/>
      <c r="C6427" s="953"/>
      <c r="D6427" s="953"/>
      <c r="E6427" s="953"/>
      <c r="F6427" s="953"/>
      <c r="G6427" s="953"/>
      <c r="H6427" s="953"/>
    </row>
    <row r="6428" spans="1:8" x14ac:dyDescent="0.25">
      <c r="A6428" s="952"/>
      <c r="B6428" s="953"/>
      <c r="C6428" s="953"/>
      <c r="D6428" s="953"/>
      <c r="E6428" s="953"/>
      <c r="F6428" s="953"/>
      <c r="G6428" s="953"/>
      <c r="H6428" s="953"/>
    </row>
    <row r="6429" spans="1:8" x14ac:dyDescent="0.25">
      <c r="A6429" s="952"/>
      <c r="B6429" s="953"/>
      <c r="C6429" s="953"/>
      <c r="D6429" s="953"/>
      <c r="E6429" s="953"/>
      <c r="F6429" s="953"/>
      <c r="G6429" s="953"/>
      <c r="H6429" s="953"/>
    </row>
    <row r="6430" spans="1:8" x14ac:dyDescent="0.25">
      <c r="A6430" s="952"/>
      <c r="B6430" s="953"/>
      <c r="C6430" s="953"/>
      <c r="D6430" s="953"/>
      <c r="E6430" s="953"/>
      <c r="F6430" s="953"/>
      <c r="G6430" s="953"/>
      <c r="H6430" s="953"/>
    </row>
    <row r="6431" spans="1:8" x14ac:dyDescent="0.25">
      <c r="A6431" s="952"/>
      <c r="B6431" s="953"/>
      <c r="C6431" s="953"/>
      <c r="D6431" s="953"/>
      <c r="E6431" s="953"/>
      <c r="F6431" s="953"/>
      <c r="G6431" s="953"/>
      <c r="H6431" s="953"/>
    </row>
    <row r="6432" spans="1:8" x14ac:dyDescent="0.25">
      <c r="A6432" s="952"/>
      <c r="B6432" s="953"/>
      <c r="C6432" s="953"/>
      <c r="D6432" s="953"/>
      <c r="E6432" s="953"/>
      <c r="F6432" s="953"/>
      <c r="G6432" s="953"/>
      <c r="H6432" s="953"/>
    </row>
    <row r="6433" spans="1:8" x14ac:dyDescent="0.25">
      <c r="A6433" s="952"/>
      <c r="B6433" s="953"/>
      <c r="C6433" s="953"/>
      <c r="D6433" s="953"/>
      <c r="E6433" s="953"/>
      <c r="F6433" s="953"/>
      <c r="G6433" s="953"/>
      <c r="H6433" s="953"/>
    </row>
    <row r="6434" spans="1:8" x14ac:dyDescent="0.25">
      <c r="A6434" s="952"/>
      <c r="B6434" s="953"/>
      <c r="C6434" s="953"/>
      <c r="D6434" s="953"/>
      <c r="E6434" s="953"/>
      <c r="F6434" s="953"/>
      <c r="G6434" s="953"/>
      <c r="H6434" s="953"/>
    </row>
    <row r="6435" spans="1:8" x14ac:dyDescent="0.25">
      <c r="A6435" s="952"/>
      <c r="B6435" s="953"/>
      <c r="C6435" s="953"/>
      <c r="D6435" s="953"/>
      <c r="E6435" s="953"/>
      <c r="F6435" s="953"/>
      <c r="G6435" s="953"/>
      <c r="H6435" s="953"/>
    </row>
    <row r="6436" spans="1:8" x14ac:dyDescent="0.25">
      <c r="A6436" s="952"/>
      <c r="B6436" s="953"/>
      <c r="C6436" s="953"/>
      <c r="D6436" s="953"/>
      <c r="E6436" s="953"/>
      <c r="F6436" s="953"/>
      <c r="G6436" s="953"/>
      <c r="H6436" s="953"/>
    </row>
    <row r="6437" spans="1:8" x14ac:dyDescent="0.25">
      <c r="A6437" s="952"/>
      <c r="B6437" s="953"/>
      <c r="C6437" s="953"/>
      <c r="D6437" s="953"/>
      <c r="E6437" s="953"/>
      <c r="F6437" s="953"/>
      <c r="G6437" s="953"/>
      <c r="H6437" s="953"/>
    </row>
    <row r="6438" spans="1:8" x14ac:dyDescent="0.25">
      <c r="A6438" s="952"/>
      <c r="B6438" s="953"/>
      <c r="C6438" s="953"/>
      <c r="D6438" s="953"/>
      <c r="E6438" s="953"/>
      <c r="F6438" s="953"/>
      <c r="G6438" s="953"/>
      <c r="H6438" s="953"/>
    </row>
    <row r="6439" spans="1:8" x14ac:dyDescent="0.25">
      <c r="A6439" s="952"/>
      <c r="B6439" s="953"/>
      <c r="C6439" s="953"/>
      <c r="D6439" s="953"/>
      <c r="E6439" s="953"/>
      <c r="F6439" s="953"/>
      <c r="G6439" s="953"/>
      <c r="H6439" s="953"/>
    </row>
    <row r="6440" spans="1:8" x14ac:dyDescent="0.25">
      <c r="A6440" s="952"/>
      <c r="B6440" s="953"/>
      <c r="C6440" s="953"/>
      <c r="D6440" s="953"/>
      <c r="E6440" s="953"/>
      <c r="F6440" s="953"/>
      <c r="G6440" s="953"/>
      <c r="H6440" s="953"/>
    </row>
    <row r="6441" spans="1:8" x14ac:dyDescent="0.25">
      <c r="A6441" s="952"/>
      <c r="B6441" s="953"/>
      <c r="C6441" s="953"/>
      <c r="D6441" s="953"/>
      <c r="E6441" s="953"/>
      <c r="F6441" s="953"/>
      <c r="G6441" s="953"/>
      <c r="H6441" s="953"/>
    </row>
    <row r="6442" spans="1:8" x14ac:dyDescent="0.25">
      <c r="A6442" s="952"/>
      <c r="B6442" s="953"/>
      <c r="C6442" s="953"/>
      <c r="D6442" s="953"/>
      <c r="E6442" s="953"/>
      <c r="F6442" s="953"/>
      <c r="G6442" s="953"/>
      <c r="H6442" s="953"/>
    </row>
    <row r="6443" spans="1:8" x14ac:dyDescent="0.25">
      <c r="A6443" s="952"/>
      <c r="B6443" s="953"/>
      <c r="C6443" s="953"/>
      <c r="D6443" s="953"/>
      <c r="E6443" s="953"/>
      <c r="F6443" s="953"/>
      <c r="G6443" s="953"/>
      <c r="H6443" s="953"/>
    </row>
    <row r="6444" spans="1:8" x14ac:dyDescent="0.25">
      <c r="A6444" s="952"/>
      <c r="B6444" s="953"/>
      <c r="C6444" s="953"/>
      <c r="D6444" s="953"/>
      <c r="E6444" s="953"/>
      <c r="F6444" s="953"/>
      <c r="G6444" s="953"/>
      <c r="H6444" s="953"/>
    </row>
    <row r="6445" spans="1:8" x14ac:dyDescent="0.25">
      <c r="A6445" s="952"/>
      <c r="B6445" s="953"/>
      <c r="C6445" s="953"/>
      <c r="D6445" s="953"/>
      <c r="E6445" s="953"/>
      <c r="F6445" s="953"/>
      <c r="G6445" s="953"/>
      <c r="H6445" s="953"/>
    </row>
    <row r="6446" spans="1:8" x14ac:dyDescent="0.25">
      <c r="A6446" s="952"/>
      <c r="B6446" s="953"/>
      <c r="C6446" s="953"/>
      <c r="D6446" s="953"/>
      <c r="E6446" s="953"/>
      <c r="F6446" s="953"/>
      <c r="G6446" s="953"/>
      <c r="H6446" s="953"/>
    </row>
    <row r="6447" spans="1:8" x14ac:dyDescent="0.25">
      <c r="A6447" s="952"/>
      <c r="B6447" s="953"/>
      <c r="C6447" s="953"/>
      <c r="D6447" s="953"/>
      <c r="E6447" s="953"/>
      <c r="F6447" s="953"/>
      <c r="G6447" s="953"/>
      <c r="H6447" s="953"/>
    </row>
    <row r="6448" spans="1:8" x14ac:dyDescent="0.25">
      <c r="A6448" s="952"/>
      <c r="B6448" s="953"/>
      <c r="C6448" s="953"/>
      <c r="D6448" s="953"/>
      <c r="E6448" s="953"/>
      <c r="F6448" s="953"/>
      <c r="G6448" s="953"/>
      <c r="H6448" s="953"/>
    </row>
    <row r="6449" spans="1:8" x14ac:dyDescent="0.25">
      <c r="A6449" s="952"/>
      <c r="B6449" s="953"/>
      <c r="C6449" s="953"/>
      <c r="D6449" s="953"/>
      <c r="E6449" s="953"/>
      <c r="F6449" s="953"/>
      <c r="G6449" s="953"/>
      <c r="H6449" s="953"/>
    </row>
    <row r="6450" spans="1:8" x14ac:dyDescent="0.25">
      <c r="A6450" s="952"/>
      <c r="B6450" s="953"/>
      <c r="C6450" s="953"/>
      <c r="D6450" s="953"/>
      <c r="E6450" s="953"/>
      <c r="F6450" s="953"/>
      <c r="G6450" s="953"/>
      <c r="H6450" s="953"/>
    </row>
    <row r="6451" spans="1:8" x14ac:dyDescent="0.25">
      <c r="A6451" s="952"/>
      <c r="B6451" s="953"/>
      <c r="C6451" s="953"/>
      <c r="D6451" s="953"/>
      <c r="E6451" s="953"/>
      <c r="F6451" s="953"/>
      <c r="G6451" s="953"/>
      <c r="H6451" s="953"/>
    </row>
    <row r="6452" spans="1:8" x14ac:dyDescent="0.25">
      <c r="A6452" s="952"/>
      <c r="B6452" s="953"/>
      <c r="C6452" s="953"/>
      <c r="D6452" s="953"/>
      <c r="E6452" s="953"/>
      <c r="F6452" s="953"/>
      <c r="G6452" s="953"/>
      <c r="H6452" s="953"/>
    </row>
    <row r="6453" spans="1:8" x14ac:dyDescent="0.25">
      <c r="A6453" s="952"/>
      <c r="B6453" s="953"/>
      <c r="C6453" s="953"/>
      <c r="D6453" s="953"/>
      <c r="E6453" s="953"/>
      <c r="F6453" s="953"/>
      <c r="G6453" s="953"/>
      <c r="H6453" s="953"/>
    </row>
    <row r="6454" spans="1:8" x14ac:dyDescent="0.25">
      <c r="A6454" s="952"/>
      <c r="B6454" s="953"/>
      <c r="C6454" s="953"/>
      <c r="D6454" s="953"/>
      <c r="E6454" s="953"/>
      <c r="F6454" s="953"/>
      <c r="G6454" s="953"/>
      <c r="H6454" s="953"/>
    </row>
    <row r="6455" spans="1:8" x14ac:dyDescent="0.25">
      <c r="A6455" s="952"/>
      <c r="B6455" s="953"/>
      <c r="C6455" s="953"/>
      <c r="D6455" s="953"/>
      <c r="E6455" s="953"/>
      <c r="F6455" s="953"/>
      <c r="G6455" s="953"/>
      <c r="H6455" s="953"/>
    </row>
    <row r="6456" spans="1:8" x14ac:dyDescent="0.25">
      <c r="A6456" s="952"/>
      <c r="B6456" s="953"/>
      <c r="C6456" s="953"/>
      <c r="D6456" s="953"/>
      <c r="E6456" s="953"/>
      <c r="F6456" s="953"/>
      <c r="G6456" s="953"/>
      <c r="H6456" s="953"/>
    </row>
    <row r="6457" spans="1:8" x14ac:dyDescent="0.25">
      <c r="A6457" s="952"/>
      <c r="B6457" s="953"/>
      <c r="C6457" s="953"/>
      <c r="D6457" s="953"/>
      <c r="E6457" s="953"/>
      <c r="F6457" s="953"/>
      <c r="G6457" s="953"/>
      <c r="H6457" s="953"/>
    </row>
    <row r="6458" spans="1:8" x14ac:dyDescent="0.25">
      <c r="A6458" s="952"/>
      <c r="B6458" s="953"/>
      <c r="C6458" s="953"/>
      <c r="D6458" s="953"/>
      <c r="E6458" s="953"/>
      <c r="F6458" s="953"/>
      <c r="G6458" s="953"/>
      <c r="H6458" s="953"/>
    </row>
    <row r="6459" spans="1:8" x14ac:dyDescent="0.25">
      <c r="A6459" s="952"/>
      <c r="B6459" s="953"/>
      <c r="C6459" s="953"/>
      <c r="D6459" s="953"/>
      <c r="E6459" s="953"/>
      <c r="F6459" s="953"/>
      <c r="G6459" s="953"/>
      <c r="H6459" s="953"/>
    </row>
    <row r="6460" spans="1:8" x14ac:dyDescent="0.25">
      <c r="A6460" s="952"/>
      <c r="B6460" s="953"/>
      <c r="C6460" s="953"/>
      <c r="D6460" s="953"/>
      <c r="E6460" s="953"/>
      <c r="F6460" s="953"/>
      <c r="G6460" s="953"/>
      <c r="H6460" s="953"/>
    </row>
    <row r="6461" spans="1:8" x14ac:dyDescent="0.25">
      <c r="A6461" s="952"/>
      <c r="B6461" s="953"/>
      <c r="C6461" s="953"/>
      <c r="D6461" s="953"/>
      <c r="E6461" s="953"/>
      <c r="F6461" s="953"/>
      <c r="G6461" s="953"/>
      <c r="H6461" s="953"/>
    </row>
    <row r="6462" spans="1:8" x14ac:dyDescent="0.25">
      <c r="A6462" s="952"/>
      <c r="B6462" s="953"/>
      <c r="C6462" s="953"/>
      <c r="D6462" s="953"/>
      <c r="E6462" s="953"/>
      <c r="F6462" s="953"/>
      <c r="G6462" s="953"/>
      <c r="H6462" s="953"/>
    </row>
    <row r="6463" spans="1:8" x14ac:dyDescent="0.25">
      <c r="A6463" s="952"/>
      <c r="B6463" s="953"/>
      <c r="C6463" s="953"/>
      <c r="D6463" s="953"/>
      <c r="E6463" s="953"/>
      <c r="F6463" s="953"/>
      <c r="G6463" s="953"/>
      <c r="H6463" s="953"/>
    </row>
    <row r="6464" spans="1:8" x14ac:dyDescent="0.25">
      <c r="A6464" s="952"/>
      <c r="B6464" s="953"/>
      <c r="C6464" s="953"/>
      <c r="D6464" s="953"/>
      <c r="E6464" s="953"/>
      <c r="F6464" s="953"/>
      <c r="G6464" s="953"/>
      <c r="H6464" s="953"/>
    </row>
    <row r="6465" spans="1:8" x14ac:dyDescent="0.25">
      <c r="A6465" s="952"/>
      <c r="B6465" s="953"/>
      <c r="C6465" s="953"/>
      <c r="D6465" s="953"/>
      <c r="E6465" s="953"/>
      <c r="F6465" s="953"/>
      <c r="G6465" s="953"/>
      <c r="H6465" s="953"/>
    </row>
    <row r="6466" spans="1:8" x14ac:dyDescent="0.25">
      <c r="A6466" s="952"/>
      <c r="B6466" s="953"/>
      <c r="C6466" s="953"/>
      <c r="D6466" s="953"/>
      <c r="E6466" s="953"/>
      <c r="F6466" s="953"/>
      <c r="G6466" s="953"/>
      <c r="H6466" s="953"/>
    </row>
    <row r="6467" spans="1:8" x14ac:dyDescent="0.25">
      <c r="A6467" s="952"/>
      <c r="B6467" s="953"/>
      <c r="C6467" s="953"/>
      <c r="D6467" s="953"/>
      <c r="E6467" s="953"/>
      <c r="F6467" s="953"/>
      <c r="G6467" s="953"/>
      <c r="H6467" s="953"/>
    </row>
    <row r="6468" spans="1:8" x14ac:dyDescent="0.25">
      <c r="A6468" s="952"/>
      <c r="B6468" s="953"/>
      <c r="C6468" s="953"/>
      <c r="D6468" s="953"/>
      <c r="E6468" s="953"/>
      <c r="F6468" s="953"/>
      <c r="G6468" s="953"/>
      <c r="H6468" s="953"/>
    </row>
    <row r="6469" spans="1:8" x14ac:dyDescent="0.25">
      <c r="A6469" s="952"/>
      <c r="B6469" s="953"/>
      <c r="C6469" s="953"/>
      <c r="D6469" s="953"/>
      <c r="E6469" s="953"/>
      <c r="F6469" s="953"/>
      <c r="G6469" s="953"/>
      <c r="H6469" s="953"/>
    </row>
    <row r="6470" spans="1:8" x14ac:dyDescent="0.25">
      <c r="A6470" s="952"/>
      <c r="B6470" s="953"/>
      <c r="C6470" s="953"/>
      <c r="D6470" s="953"/>
      <c r="E6470" s="953"/>
      <c r="F6470" s="953"/>
      <c r="G6470" s="953"/>
      <c r="H6470" s="953"/>
    </row>
    <row r="6471" spans="1:8" x14ac:dyDescent="0.25">
      <c r="A6471" s="952"/>
      <c r="B6471" s="953"/>
      <c r="C6471" s="953"/>
      <c r="D6471" s="953"/>
      <c r="E6471" s="953"/>
      <c r="F6471" s="953"/>
      <c r="G6471" s="953"/>
      <c r="H6471" s="953"/>
    </row>
    <row r="6472" spans="1:8" x14ac:dyDescent="0.25">
      <c r="A6472" s="952"/>
      <c r="B6472" s="953"/>
      <c r="C6472" s="953"/>
      <c r="D6472" s="953"/>
      <c r="E6472" s="953"/>
      <c r="F6472" s="953"/>
      <c r="G6472" s="953"/>
      <c r="H6472" s="953"/>
    </row>
    <row r="6473" spans="1:8" x14ac:dyDescent="0.25">
      <c r="A6473" s="952"/>
      <c r="B6473" s="953"/>
      <c r="C6473" s="953"/>
      <c r="D6473" s="953"/>
      <c r="E6473" s="953"/>
      <c r="F6473" s="953"/>
      <c r="G6473" s="953"/>
      <c r="H6473" s="953"/>
    </row>
    <row r="6474" spans="1:8" x14ac:dyDescent="0.25">
      <c r="A6474" s="952"/>
      <c r="B6474" s="953"/>
      <c r="C6474" s="953"/>
      <c r="D6474" s="953"/>
      <c r="E6474" s="953"/>
      <c r="F6474" s="953"/>
      <c r="G6474" s="953"/>
      <c r="H6474" s="953"/>
    </row>
    <row r="6475" spans="1:8" x14ac:dyDescent="0.25">
      <c r="A6475" s="952"/>
      <c r="B6475" s="953"/>
      <c r="C6475" s="953"/>
      <c r="D6475" s="953"/>
      <c r="E6475" s="953"/>
      <c r="F6475" s="953"/>
      <c r="G6475" s="953"/>
      <c r="H6475" s="953"/>
    </row>
    <row r="6476" spans="1:8" x14ac:dyDescent="0.25">
      <c r="A6476" s="952"/>
      <c r="B6476" s="953"/>
      <c r="C6476" s="953"/>
      <c r="D6476" s="953"/>
      <c r="E6476" s="953"/>
      <c r="F6476" s="953"/>
      <c r="G6476" s="953"/>
      <c r="H6476" s="953"/>
    </row>
    <row r="6477" spans="1:8" x14ac:dyDescent="0.25">
      <c r="A6477" s="952"/>
      <c r="B6477" s="953"/>
      <c r="C6477" s="953"/>
      <c r="D6477" s="953"/>
      <c r="E6477" s="953"/>
      <c r="F6477" s="953"/>
      <c r="G6477" s="953"/>
      <c r="H6477" s="953"/>
    </row>
    <row r="6478" spans="1:8" x14ac:dyDescent="0.25">
      <c r="A6478" s="952"/>
      <c r="B6478" s="953"/>
      <c r="C6478" s="953"/>
      <c r="D6478" s="953"/>
      <c r="E6478" s="953"/>
      <c r="F6478" s="953"/>
      <c r="G6478" s="953"/>
      <c r="H6478" s="953"/>
    </row>
    <row r="6479" spans="1:8" x14ac:dyDescent="0.25">
      <c r="A6479" s="952"/>
      <c r="B6479" s="953"/>
      <c r="C6479" s="953"/>
      <c r="D6479" s="953"/>
      <c r="E6479" s="953"/>
      <c r="F6479" s="953"/>
      <c r="G6479" s="953"/>
      <c r="H6479" s="953"/>
    </row>
    <row r="6480" spans="1:8" x14ac:dyDescent="0.25">
      <c r="A6480" s="952"/>
      <c r="B6480" s="953"/>
      <c r="C6480" s="953"/>
      <c r="D6480" s="953"/>
      <c r="E6480" s="953"/>
      <c r="F6480" s="953"/>
      <c r="G6480" s="953"/>
      <c r="H6480" s="953"/>
    </row>
    <row r="6481" spans="1:8" x14ac:dyDescent="0.25">
      <c r="A6481" s="952"/>
      <c r="B6481" s="953"/>
      <c r="C6481" s="953"/>
      <c r="D6481" s="953"/>
      <c r="E6481" s="953"/>
      <c r="F6481" s="953"/>
      <c r="G6481" s="953"/>
      <c r="H6481" s="953"/>
    </row>
    <row r="6482" spans="1:8" x14ac:dyDescent="0.25">
      <c r="A6482" s="952"/>
      <c r="B6482" s="953"/>
      <c r="C6482" s="953"/>
      <c r="D6482" s="953"/>
      <c r="E6482" s="953"/>
      <c r="F6482" s="953"/>
      <c r="G6482" s="953"/>
      <c r="H6482" s="953"/>
    </row>
    <row r="6483" spans="1:8" x14ac:dyDescent="0.25">
      <c r="A6483" s="952"/>
      <c r="B6483" s="953"/>
      <c r="C6483" s="953"/>
      <c r="D6483" s="953"/>
      <c r="E6483" s="953"/>
      <c r="F6483" s="953"/>
      <c r="G6483" s="953"/>
      <c r="H6483" s="953"/>
    </row>
    <row r="6484" spans="1:8" x14ac:dyDescent="0.25">
      <c r="A6484" s="952"/>
      <c r="B6484" s="953"/>
      <c r="C6484" s="953"/>
      <c r="D6484" s="953"/>
      <c r="E6484" s="953"/>
      <c r="F6484" s="953"/>
      <c r="G6484" s="953"/>
      <c r="H6484" s="953"/>
    </row>
    <row r="6485" spans="1:8" x14ac:dyDescent="0.25">
      <c r="A6485" s="952"/>
      <c r="B6485" s="953"/>
      <c r="C6485" s="953"/>
      <c r="D6485" s="953"/>
      <c r="E6485" s="953"/>
      <c r="F6485" s="953"/>
      <c r="G6485" s="953"/>
      <c r="H6485" s="953"/>
    </row>
    <row r="6486" spans="1:8" x14ac:dyDescent="0.25">
      <c r="A6486" s="952"/>
      <c r="B6486" s="953"/>
      <c r="C6486" s="953"/>
      <c r="D6486" s="953"/>
      <c r="E6486" s="953"/>
      <c r="F6486" s="953"/>
      <c r="G6486" s="953"/>
      <c r="H6486" s="953"/>
    </row>
    <row r="6487" spans="1:8" x14ac:dyDescent="0.25">
      <c r="A6487" s="952"/>
      <c r="B6487" s="953"/>
      <c r="C6487" s="953"/>
      <c r="D6487" s="953"/>
      <c r="E6487" s="953"/>
      <c r="F6487" s="953"/>
      <c r="G6487" s="953"/>
      <c r="H6487" s="953"/>
    </row>
    <row r="6488" spans="1:8" x14ac:dyDescent="0.25">
      <c r="A6488" s="952"/>
      <c r="B6488" s="953"/>
      <c r="C6488" s="953"/>
      <c r="D6488" s="953"/>
      <c r="E6488" s="953"/>
      <c r="F6488" s="953"/>
      <c r="G6488" s="953"/>
      <c r="H6488" s="953"/>
    </row>
    <row r="6489" spans="1:8" x14ac:dyDescent="0.25">
      <c r="A6489" s="952"/>
      <c r="B6489" s="953"/>
      <c r="C6489" s="953"/>
      <c r="D6489" s="953"/>
      <c r="E6489" s="953"/>
      <c r="F6489" s="953"/>
      <c r="G6489" s="953"/>
      <c r="H6489" s="953"/>
    </row>
    <row r="6490" spans="1:8" x14ac:dyDescent="0.25">
      <c r="A6490" s="952"/>
      <c r="B6490" s="953"/>
      <c r="C6490" s="953"/>
      <c r="D6490" s="953"/>
      <c r="E6490" s="953"/>
      <c r="F6490" s="953"/>
      <c r="G6490" s="953"/>
      <c r="H6490" s="953"/>
    </row>
    <row r="6491" spans="1:8" x14ac:dyDescent="0.25">
      <c r="A6491" s="952"/>
      <c r="B6491" s="953"/>
      <c r="C6491" s="953"/>
      <c r="D6491" s="953"/>
      <c r="E6491" s="953"/>
      <c r="F6491" s="953"/>
      <c r="G6491" s="953"/>
      <c r="H6491" s="953"/>
    </row>
    <row r="6492" spans="1:8" x14ac:dyDescent="0.25">
      <c r="A6492" s="952"/>
      <c r="B6492" s="953"/>
      <c r="C6492" s="953"/>
      <c r="D6492" s="953"/>
      <c r="E6492" s="953"/>
      <c r="F6492" s="953"/>
      <c r="G6492" s="953"/>
      <c r="H6492" s="953"/>
    </row>
    <row r="6493" spans="1:8" x14ac:dyDescent="0.25">
      <c r="A6493" s="952"/>
      <c r="B6493" s="953"/>
      <c r="C6493" s="953"/>
      <c r="D6493" s="953"/>
      <c r="E6493" s="953"/>
      <c r="F6493" s="953"/>
      <c r="G6493" s="953"/>
      <c r="H6493" s="953"/>
    </row>
    <row r="6494" spans="1:8" x14ac:dyDescent="0.25">
      <c r="A6494" s="952"/>
      <c r="B6494" s="953"/>
      <c r="C6494" s="953"/>
      <c r="D6494" s="953"/>
      <c r="E6494" s="953"/>
      <c r="F6494" s="953"/>
      <c r="G6494" s="953"/>
      <c r="H6494" s="953"/>
    </row>
    <row r="6495" spans="1:8" x14ac:dyDescent="0.25">
      <c r="A6495" s="952"/>
      <c r="B6495" s="953"/>
      <c r="C6495" s="953"/>
      <c r="D6495" s="953"/>
      <c r="E6495" s="953"/>
      <c r="F6495" s="953"/>
      <c r="G6495" s="953"/>
      <c r="H6495" s="953"/>
    </row>
    <row r="6496" spans="1:8" x14ac:dyDescent="0.25">
      <c r="A6496" s="952"/>
      <c r="B6496" s="953"/>
      <c r="C6496" s="953"/>
      <c r="D6496" s="953"/>
      <c r="E6496" s="953"/>
      <c r="F6496" s="953"/>
      <c r="G6496" s="953"/>
      <c r="H6496" s="953"/>
    </row>
    <row r="6497" spans="1:8" x14ac:dyDescent="0.25">
      <c r="A6497" s="952"/>
      <c r="B6497" s="953"/>
      <c r="C6497" s="953"/>
      <c r="D6497" s="953"/>
      <c r="E6497" s="953"/>
      <c r="F6497" s="953"/>
      <c r="G6497" s="953"/>
      <c r="H6497" s="953"/>
    </row>
    <row r="6498" spans="1:8" x14ac:dyDescent="0.25">
      <c r="A6498" s="952"/>
      <c r="B6498" s="953"/>
      <c r="C6498" s="953"/>
      <c r="D6498" s="953"/>
      <c r="E6498" s="953"/>
      <c r="F6498" s="953"/>
      <c r="G6498" s="953"/>
      <c r="H6498" s="953"/>
    </row>
    <row r="6499" spans="1:8" x14ac:dyDescent="0.25">
      <c r="A6499" s="952"/>
      <c r="B6499" s="953"/>
      <c r="C6499" s="953"/>
      <c r="D6499" s="953"/>
      <c r="E6499" s="953"/>
      <c r="F6499" s="953"/>
      <c r="G6499" s="953"/>
      <c r="H6499" s="953"/>
    </row>
    <row r="6500" spans="1:8" x14ac:dyDescent="0.25">
      <c r="A6500" s="952"/>
      <c r="B6500" s="953"/>
      <c r="C6500" s="953"/>
      <c r="D6500" s="953"/>
      <c r="E6500" s="953"/>
      <c r="F6500" s="953"/>
      <c r="G6500" s="953"/>
      <c r="H6500" s="953"/>
    </row>
    <row r="6501" spans="1:8" x14ac:dyDescent="0.25">
      <c r="A6501" s="952"/>
      <c r="B6501" s="953"/>
      <c r="C6501" s="953"/>
      <c r="D6501" s="953"/>
      <c r="E6501" s="953"/>
      <c r="F6501" s="953"/>
      <c r="G6501" s="953"/>
      <c r="H6501" s="953"/>
    </row>
    <row r="6502" spans="1:8" x14ac:dyDescent="0.25">
      <c r="A6502" s="952"/>
      <c r="B6502" s="953"/>
      <c r="C6502" s="953"/>
      <c r="D6502" s="953"/>
      <c r="E6502" s="953"/>
      <c r="F6502" s="953"/>
      <c r="G6502" s="953"/>
      <c r="H6502" s="953"/>
    </row>
    <row r="6503" spans="1:8" x14ac:dyDescent="0.25">
      <c r="A6503" s="952"/>
      <c r="B6503" s="953"/>
      <c r="C6503" s="953"/>
      <c r="D6503" s="953"/>
      <c r="E6503" s="953"/>
      <c r="F6503" s="953"/>
      <c r="G6503" s="953"/>
      <c r="H6503" s="953"/>
    </row>
    <row r="6504" spans="1:8" x14ac:dyDescent="0.25">
      <c r="A6504" s="952"/>
      <c r="B6504" s="953"/>
      <c r="C6504" s="953"/>
      <c r="D6504" s="953"/>
      <c r="E6504" s="953"/>
      <c r="F6504" s="953"/>
      <c r="G6504" s="953"/>
      <c r="H6504" s="953"/>
    </row>
    <row r="6505" spans="1:8" x14ac:dyDescent="0.25">
      <c r="A6505" s="952"/>
      <c r="B6505" s="953"/>
      <c r="C6505" s="953"/>
      <c r="D6505" s="953"/>
      <c r="E6505" s="953"/>
      <c r="F6505" s="953"/>
      <c r="G6505" s="953"/>
      <c r="H6505" s="953"/>
    </row>
    <row r="6506" spans="1:8" x14ac:dyDescent="0.25">
      <c r="A6506" s="952"/>
      <c r="B6506" s="953"/>
      <c r="C6506" s="953"/>
      <c r="D6506" s="953"/>
      <c r="E6506" s="953"/>
      <c r="F6506" s="953"/>
      <c r="G6506" s="953"/>
      <c r="H6506" s="953"/>
    </row>
    <row r="6507" spans="1:8" x14ac:dyDescent="0.25">
      <c r="A6507" s="952"/>
      <c r="B6507" s="953"/>
      <c r="C6507" s="953"/>
      <c r="D6507" s="953"/>
      <c r="E6507" s="953"/>
      <c r="F6507" s="953"/>
      <c r="G6507" s="953"/>
      <c r="H6507" s="953"/>
    </row>
    <row r="6508" spans="1:8" x14ac:dyDescent="0.25">
      <c r="A6508" s="952"/>
      <c r="B6508" s="953"/>
      <c r="C6508" s="953"/>
      <c r="D6508" s="953"/>
      <c r="E6508" s="953"/>
      <c r="F6508" s="953"/>
      <c r="G6508" s="953"/>
      <c r="H6508" s="953"/>
    </row>
    <row r="6509" spans="1:8" x14ac:dyDescent="0.25">
      <c r="A6509" s="952"/>
      <c r="B6509" s="953"/>
      <c r="C6509" s="953"/>
      <c r="D6509" s="953"/>
      <c r="E6509" s="953"/>
      <c r="F6509" s="953"/>
      <c r="G6509" s="953"/>
      <c r="H6509" s="953"/>
    </row>
    <row r="6510" spans="1:8" x14ac:dyDescent="0.25">
      <c r="A6510" s="952"/>
      <c r="B6510" s="953"/>
      <c r="C6510" s="953"/>
      <c r="D6510" s="953"/>
      <c r="E6510" s="953"/>
      <c r="F6510" s="953"/>
      <c r="G6510" s="953"/>
      <c r="H6510" s="953"/>
    </row>
    <row r="6511" spans="1:8" x14ac:dyDescent="0.25">
      <c r="A6511" s="952"/>
      <c r="B6511" s="953"/>
      <c r="C6511" s="953"/>
      <c r="D6511" s="953"/>
      <c r="E6511" s="953"/>
      <c r="F6511" s="953"/>
      <c r="G6511" s="953"/>
      <c r="H6511" s="953"/>
    </row>
    <row r="6512" spans="1:8" x14ac:dyDescent="0.25">
      <c r="A6512" s="952"/>
      <c r="B6512" s="953"/>
      <c r="C6512" s="953"/>
      <c r="D6512" s="953"/>
      <c r="E6512" s="953"/>
      <c r="F6512" s="953"/>
      <c r="G6512" s="953"/>
      <c r="H6512" s="953"/>
    </row>
    <row r="6513" spans="1:8" x14ac:dyDescent="0.25">
      <c r="A6513" s="952"/>
      <c r="B6513" s="953"/>
      <c r="C6513" s="953"/>
      <c r="D6513" s="953"/>
      <c r="E6513" s="953"/>
      <c r="F6513" s="953"/>
      <c r="G6513" s="953"/>
      <c r="H6513" s="953"/>
    </row>
    <row r="6514" spans="1:8" x14ac:dyDescent="0.25">
      <c r="A6514" s="952"/>
      <c r="B6514" s="953"/>
      <c r="C6514" s="953"/>
      <c r="D6514" s="953"/>
      <c r="E6514" s="953"/>
      <c r="F6514" s="953"/>
      <c r="G6514" s="953"/>
      <c r="H6514" s="953"/>
    </row>
    <row r="6515" spans="1:8" x14ac:dyDescent="0.25">
      <c r="A6515" s="952"/>
      <c r="B6515" s="953"/>
      <c r="C6515" s="953"/>
      <c r="D6515" s="953"/>
      <c r="E6515" s="953"/>
      <c r="F6515" s="953"/>
      <c r="G6515" s="953"/>
      <c r="H6515" s="953"/>
    </row>
    <row r="6516" spans="1:8" x14ac:dyDescent="0.25">
      <c r="A6516" s="952"/>
      <c r="B6516" s="953"/>
      <c r="C6516" s="953"/>
      <c r="D6516" s="953"/>
      <c r="E6516" s="953"/>
      <c r="F6516" s="953"/>
      <c r="G6516" s="953"/>
      <c r="H6516" s="953"/>
    </row>
    <row r="6517" spans="1:8" x14ac:dyDescent="0.25">
      <c r="A6517" s="952"/>
      <c r="B6517" s="953"/>
      <c r="C6517" s="953"/>
      <c r="D6517" s="953"/>
      <c r="E6517" s="953"/>
      <c r="F6517" s="953"/>
      <c r="G6517" s="953"/>
      <c r="H6517" s="953"/>
    </row>
    <row r="6518" spans="1:8" x14ac:dyDescent="0.25">
      <c r="A6518" s="952"/>
      <c r="B6518" s="953"/>
      <c r="C6518" s="953"/>
      <c r="D6518" s="953"/>
      <c r="E6518" s="953"/>
      <c r="F6518" s="953"/>
      <c r="G6518" s="953"/>
      <c r="H6518" s="953"/>
    </row>
    <row r="6519" spans="1:8" x14ac:dyDescent="0.25">
      <c r="A6519" s="952"/>
      <c r="B6519" s="953"/>
      <c r="C6519" s="953"/>
      <c r="D6519" s="953"/>
      <c r="E6519" s="953"/>
      <c r="F6519" s="953"/>
      <c r="G6519" s="953"/>
      <c r="H6519" s="953"/>
    </row>
    <row r="6520" spans="1:8" x14ac:dyDescent="0.25">
      <c r="A6520" s="952"/>
      <c r="B6520" s="953"/>
      <c r="C6520" s="953"/>
      <c r="D6520" s="953"/>
      <c r="E6520" s="953"/>
      <c r="F6520" s="953"/>
      <c r="G6520" s="953"/>
      <c r="H6520" s="953"/>
    </row>
    <row r="6521" spans="1:8" x14ac:dyDescent="0.25">
      <c r="A6521" s="952"/>
      <c r="B6521" s="953"/>
      <c r="C6521" s="953"/>
      <c r="D6521" s="953"/>
      <c r="E6521" s="953"/>
      <c r="F6521" s="953"/>
      <c r="G6521" s="953"/>
      <c r="H6521" s="953"/>
    </row>
    <row r="6522" spans="1:8" x14ac:dyDescent="0.25">
      <c r="A6522" s="952"/>
      <c r="B6522" s="953"/>
      <c r="C6522" s="953"/>
      <c r="D6522" s="953"/>
      <c r="E6522" s="953"/>
      <c r="F6522" s="953"/>
      <c r="G6522" s="953"/>
      <c r="H6522" s="953"/>
    </row>
    <row r="6523" spans="1:8" x14ac:dyDescent="0.25">
      <c r="A6523" s="952"/>
      <c r="B6523" s="953"/>
      <c r="C6523" s="953"/>
      <c r="D6523" s="953"/>
      <c r="E6523" s="953"/>
      <c r="F6523" s="953"/>
      <c r="G6523" s="953"/>
      <c r="H6523" s="953"/>
    </row>
    <row r="6524" spans="1:8" x14ac:dyDescent="0.25">
      <c r="A6524" s="952"/>
      <c r="B6524" s="953"/>
      <c r="C6524" s="953"/>
      <c r="D6524" s="953"/>
      <c r="E6524" s="953"/>
      <c r="F6524" s="953"/>
      <c r="G6524" s="953"/>
      <c r="H6524" s="953"/>
    </row>
    <row r="6525" spans="1:8" x14ac:dyDescent="0.25">
      <c r="A6525" s="952"/>
      <c r="B6525" s="953"/>
      <c r="C6525" s="953"/>
      <c r="D6525" s="953"/>
      <c r="E6525" s="953"/>
      <c r="F6525" s="953"/>
      <c r="G6525" s="953"/>
      <c r="H6525" s="953"/>
    </row>
    <row r="6526" spans="1:8" x14ac:dyDescent="0.25">
      <c r="A6526" s="952"/>
      <c r="B6526" s="953"/>
      <c r="C6526" s="953"/>
      <c r="D6526" s="953"/>
      <c r="E6526" s="953"/>
      <c r="F6526" s="953"/>
      <c r="G6526" s="953"/>
      <c r="H6526" s="953"/>
    </row>
    <row r="6527" spans="1:8" x14ac:dyDescent="0.25">
      <c r="A6527" s="952"/>
      <c r="B6527" s="953"/>
      <c r="C6527" s="953"/>
      <c r="D6527" s="953"/>
      <c r="E6527" s="953"/>
      <c r="F6527" s="953"/>
      <c r="G6527" s="953"/>
      <c r="H6527" s="953"/>
    </row>
    <row r="6528" spans="1:8" x14ac:dyDescent="0.25">
      <c r="A6528" s="952"/>
      <c r="B6528" s="953"/>
      <c r="C6528" s="953"/>
      <c r="D6528" s="953"/>
      <c r="E6528" s="953"/>
      <c r="F6528" s="953"/>
      <c r="G6528" s="953"/>
      <c r="H6528" s="953"/>
    </row>
    <row r="6529" spans="1:8" x14ac:dyDescent="0.25">
      <c r="A6529" s="952"/>
      <c r="B6529" s="953"/>
      <c r="C6529" s="953"/>
      <c r="D6529" s="953"/>
      <c r="E6529" s="953"/>
      <c r="F6529" s="953"/>
      <c r="G6529" s="953"/>
      <c r="H6529" s="953"/>
    </row>
    <row r="6530" spans="1:8" x14ac:dyDescent="0.25">
      <c r="A6530" s="952"/>
      <c r="B6530" s="953"/>
      <c r="C6530" s="953"/>
      <c r="D6530" s="953"/>
      <c r="E6530" s="953"/>
      <c r="F6530" s="953"/>
      <c r="G6530" s="953"/>
      <c r="H6530" s="953"/>
    </row>
    <row r="6531" spans="1:8" x14ac:dyDescent="0.25">
      <c r="A6531" s="952"/>
      <c r="B6531" s="953"/>
      <c r="C6531" s="953"/>
      <c r="D6531" s="953"/>
      <c r="E6531" s="953"/>
      <c r="F6531" s="953"/>
      <c r="G6531" s="953"/>
      <c r="H6531" s="953"/>
    </row>
    <row r="6532" spans="1:8" x14ac:dyDescent="0.25">
      <c r="A6532" s="952"/>
      <c r="B6532" s="953"/>
      <c r="C6532" s="953"/>
      <c r="D6532" s="953"/>
      <c r="E6532" s="953"/>
      <c r="F6532" s="953"/>
      <c r="G6532" s="953"/>
      <c r="H6532" s="953"/>
    </row>
    <row r="6533" spans="1:8" x14ac:dyDescent="0.25">
      <c r="A6533" s="952"/>
      <c r="B6533" s="953"/>
      <c r="C6533" s="953"/>
      <c r="D6533" s="953"/>
      <c r="E6533" s="953"/>
      <c r="F6533" s="953"/>
      <c r="G6533" s="953"/>
      <c r="H6533" s="953"/>
    </row>
    <row r="6534" spans="1:8" x14ac:dyDescent="0.25">
      <c r="A6534" s="952"/>
      <c r="B6534" s="953"/>
      <c r="C6534" s="953"/>
      <c r="D6534" s="953"/>
      <c r="E6534" s="953"/>
      <c r="F6534" s="953"/>
      <c r="G6534" s="953"/>
      <c r="H6534" s="953"/>
    </row>
    <row r="6535" spans="1:8" x14ac:dyDescent="0.25">
      <c r="A6535" s="952"/>
      <c r="B6535" s="953"/>
      <c r="C6535" s="953"/>
      <c r="D6535" s="953"/>
      <c r="E6535" s="953"/>
      <c r="F6535" s="953"/>
      <c r="G6535" s="953"/>
      <c r="H6535" s="953"/>
    </row>
    <row r="6536" spans="1:8" x14ac:dyDescent="0.25">
      <c r="A6536" s="952"/>
      <c r="B6536" s="953"/>
      <c r="C6536" s="953"/>
      <c r="D6536" s="953"/>
      <c r="E6536" s="953"/>
      <c r="F6536" s="953"/>
      <c r="G6536" s="953"/>
      <c r="H6536" s="953"/>
    </row>
    <row r="6537" spans="1:8" x14ac:dyDescent="0.25">
      <c r="A6537" s="952"/>
      <c r="B6537" s="953"/>
      <c r="C6537" s="953"/>
      <c r="D6537" s="953"/>
      <c r="E6537" s="953"/>
      <c r="F6537" s="953"/>
      <c r="G6537" s="953"/>
      <c r="H6537" s="953"/>
    </row>
    <row r="6538" spans="1:8" x14ac:dyDescent="0.25">
      <c r="A6538" s="952"/>
      <c r="B6538" s="953"/>
      <c r="C6538" s="953"/>
      <c r="D6538" s="953"/>
      <c r="E6538" s="953"/>
      <c r="F6538" s="953"/>
      <c r="G6538" s="953"/>
      <c r="H6538" s="953"/>
    </row>
    <row r="6539" spans="1:8" x14ac:dyDescent="0.25">
      <c r="A6539" s="952"/>
      <c r="B6539" s="953"/>
      <c r="C6539" s="953"/>
      <c r="D6539" s="953"/>
      <c r="E6539" s="953"/>
      <c r="F6539" s="953"/>
      <c r="G6539" s="953"/>
      <c r="H6539" s="953"/>
    </row>
    <row r="6540" spans="1:8" x14ac:dyDescent="0.25">
      <c r="A6540" s="952"/>
      <c r="B6540" s="953"/>
      <c r="C6540" s="953"/>
      <c r="D6540" s="953"/>
      <c r="E6540" s="953"/>
      <c r="F6540" s="953"/>
      <c r="G6540" s="953"/>
      <c r="H6540" s="953"/>
    </row>
    <row r="6541" spans="1:8" x14ac:dyDescent="0.25">
      <c r="A6541" s="952"/>
      <c r="B6541" s="953"/>
      <c r="C6541" s="953"/>
      <c r="D6541" s="953"/>
      <c r="E6541" s="953"/>
      <c r="F6541" s="953"/>
      <c r="G6541" s="953"/>
      <c r="H6541" s="953"/>
    </row>
    <row r="6542" spans="1:8" x14ac:dyDescent="0.25">
      <c r="A6542" s="952"/>
      <c r="B6542" s="953"/>
      <c r="C6542" s="953"/>
      <c r="D6542" s="953"/>
      <c r="E6542" s="953"/>
      <c r="F6542" s="953"/>
      <c r="G6542" s="953"/>
      <c r="H6542" s="953"/>
    </row>
    <row r="6543" spans="1:8" x14ac:dyDescent="0.25">
      <c r="A6543" s="952"/>
      <c r="B6543" s="953"/>
      <c r="C6543" s="953"/>
      <c r="D6543" s="953"/>
      <c r="E6543" s="953"/>
      <c r="F6543" s="953"/>
      <c r="G6543" s="953"/>
      <c r="H6543" s="953"/>
    </row>
    <row r="6544" spans="1:8" x14ac:dyDescent="0.25">
      <c r="A6544" s="952"/>
      <c r="B6544" s="953"/>
      <c r="C6544" s="953"/>
      <c r="D6544" s="953"/>
      <c r="E6544" s="953"/>
      <c r="F6544" s="953"/>
      <c r="G6544" s="953"/>
      <c r="H6544" s="953"/>
    </row>
    <row r="6545" spans="1:8" x14ac:dyDescent="0.25">
      <c r="A6545" s="952"/>
      <c r="B6545" s="953"/>
      <c r="C6545" s="953"/>
      <c r="D6545" s="953"/>
      <c r="E6545" s="953"/>
      <c r="F6545" s="953"/>
      <c r="G6545" s="953"/>
      <c r="H6545" s="953"/>
    </row>
    <row r="6546" spans="1:8" x14ac:dyDescent="0.25">
      <c r="A6546" s="952"/>
      <c r="B6546" s="953"/>
      <c r="C6546" s="953"/>
      <c r="D6546" s="953"/>
      <c r="E6546" s="953"/>
      <c r="F6546" s="953"/>
      <c r="G6546" s="953"/>
      <c r="H6546" s="953"/>
    </row>
    <row r="6547" spans="1:8" x14ac:dyDescent="0.25">
      <c r="A6547" s="952"/>
      <c r="B6547" s="953"/>
      <c r="C6547" s="953"/>
      <c r="D6547" s="953"/>
      <c r="E6547" s="953"/>
      <c r="F6547" s="953"/>
      <c r="G6547" s="953"/>
      <c r="H6547" s="953"/>
    </row>
    <row r="6548" spans="1:8" x14ac:dyDescent="0.25">
      <c r="A6548" s="952"/>
      <c r="B6548" s="953"/>
      <c r="C6548" s="953"/>
      <c r="D6548" s="953"/>
      <c r="E6548" s="953"/>
      <c r="F6548" s="953"/>
      <c r="G6548" s="953"/>
      <c r="H6548" s="953"/>
    </row>
    <row r="6549" spans="1:8" x14ac:dyDescent="0.25">
      <c r="A6549" s="952"/>
      <c r="B6549" s="953"/>
      <c r="C6549" s="953"/>
      <c r="D6549" s="953"/>
      <c r="E6549" s="953"/>
      <c r="F6549" s="953"/>
      <c r="G6549" s="953"/>
      <c r="H6549" s="953"/>
    </row>
    <row r="6550" spans="1:8" x14ac:dyDescent="0.25">
      <c r="A6550" s="952"/>
      <c r="B6550" s="953"/>
      <c r="C6550" s="953"/>
      <c r="D6550" s="953"/>
      <c r="E6550" s="953"/>
      <c r="F6550" s="953"/>
      <c r="G6550" s="953"/>
      <c r="H6550" s="953"/>
    </row>
    <row r="6551" spans="1:8" x14ac:dyDescent="0.25">
      <c r="A6551" s="952"/>
      <c r="B6551" s="953"/>
      <c r="C6551" s="953"/>
      <c r="D6551" s="953"/>
      <c r="E6551" s="953"/>
      <c r="F6551" s="953"/>
      <c r="G6551" s="953"/>
      <c r="H6551" s="953"/>
    </row>
    <row r="6552" spans="1:8" x14ac:dyDescent="0.25">
      <c r="A6552" s="952"/>
      <c r="B6552" s="953"/>
      <c r="C6552" s="953"/>
      <c r="D6552" s="953"/>
      <c r="E6552" s="953"/>
      <c r="F6552" s="953"/>
      <c r="G6552" s="953"/>
      <c r="H6552" s="953"/>
    </row>
    <row r="6553" spans="1:8" x14ac:dyDescent="0.25">
      <c r="A6553" s="952"/>
      <c r="B6553" s="953"/>
      <c r="C6553" s="953"/>
      <c r="D6553" s="953"/>
      <c r="E6553" s="953"/>
      <c r="F6553" s="953"/>
      <c r="G6553" s="953"/>
      <c r="H6553" s="953"/>
    </row>
    <row r="6554" spans="1:8" x14ac:dyDescent="0.25">
      <c r="A6554" s="952"/>
      <c r="B6554" s="953"/>
      <c r="C6554" s="953"/>
      <c r="D6554" s="953"/>
      <c r="E6554" s="953"/>
      <c r="F6554" s="953"/>
      <c r="G6554" s="953"/>
      <c r="H6554" s="953"/>
    </row>
    <row r="6555" spans="1:8" x14ac:dyDescent="0.25">
      <c r="A6555" s="952"/>
      <c r="B6555" s="953"/>
      <c r="C6555" s="953"/>
      <c r="D6555" s="953"/>
      <c r="E6555" s="953"/>
      <c r="F6555" s="953"/>
      <c r="G6555" s="953"/>
      <c r="H6555" s="953"/>
    </row>
    <row r="6556" spans="1:8" x14ac:dyDescent="0.25">
      <c r="A6556" s="952"/>
      <c r="B6556" s="953"/>
      <c r="C6556" s="953"/>
      <c r="D6556" s="953"/>
      <c r="E6556" s="953"/>
      <c r="F6556" s="953"/>
      <c r="G6556" s="953"/>
      <c r="H6556" s="953"/>
    </row>
    <row r="6557" spans="1:8" x14ac:dyDescent="0.25">
      <c r="A6557" s="952"/>
      <c r="B6557" s="953"/>
      <c r="C6557" s="953"/>
      <c r="D6557" s="953"/>
      <c r="E6557" s="953"/>
      <c r="F6557" s="953"/>
      <c r="G6557" s="953"/>
      <c r="H6557" s="953"/>
    </row>
    <row r="6558" spans="1:8" x14ac:dyDescent="0.25">
      <c r="A6558" s="952"/>
      <c r="B6558" s="953"/>
      <c r="C6558" s="953"/>
      <c r="D6558" s="953"/>
      <c r="E6558" s="953"/>
      <c r="F6558" s="953"/>
      <c r="G6558" s="953"/>
      <c r="H6558" s="953"/>
    </row>
    <row r="6559" spans="1:8" x14ac:dyDescent="0.25">
      <c r="A6559" s="952"/>
      <c r="B6559" s="953"/>
      <c r="C6559" s="953"/>
      <c r="D6559" s="953"/>
      <c r="E6559" s="953"/>
      <c r="F6559" s="953"/>
      <c r="G6559" s="953"/>
      <c r="H6559" s="953"/>
    </row>
    <row r="6560" spans="1:8" x14ac:dyDescent="0.25">
      <c r="A6560" s="952"/>
      <c r="B6560" s="953"/>
      <c r="C6560" s="953"/>
      <c r="D6560" s="953"/>
      <c r="E6560" s="953"/>
      <c r="F6560" s="953"/>
      <c r="G6560" s="953"/>
      <c r="H6560" s="953"/>
    </row>
    <row r="6561" spans="1:8" x14ac:dyDescent="0.25">
      <c r="A6561" s="952"/>
      <c r="B6561" s="953"/>
      <c r="C6561" s="953"/>
      <c r="D6561" s="953"/>
      <c r="E6561" s="953"/>
      <c r="F6561" s="953"/>
      <c r="G6561" s="953"/>
      <c r="H6561" s="953"/>
    </row>
    <row r="6562" spans="1:8" x14ac:dyDescent="0.25">
      <c r="A6562" s="952"/>
      <c r="B6562" s="953"/>
      <c r="C6562" s="953"/>
      <c r="D6562" s="953"/>
      <c r="E6562" s="953"/>
      <c r="F6562" s="953"/>
      <c r="G6562" s="953"/>
      <c r="H6562" s="953"/>
    </row>
    <row r="6563" spans="1:8" x14ac:dyDescent="0.25">
      <c r="A6563" s="952"/>
      <c r="B6563" s="953"/>
      <c r="C6563" s="953"/>
      <c r="D6563" s="953"/>
      <c r="E6563" s="953"/>
      <c r="F6563" s="953"/>
      <c r="G6563" s="953"/>
      <c r="H6563" s="953"/>
    </row>
    <row r="6564" spans="1:8" x14ac:dyDescent="0.25">
      <c r="A6564" s="952"/>
      <c r="B6564" s="953"/>
      <c r="C6564" s="953"/>
      <c r="D6564" s="953"/>
      <c r="E6564" s="953"/>
      <c r="F6564" s="953"/>
      <c r="G6564" s="953"/>
      <c r="H6564" s="953"/>
    </row>
    <row r="6565" spans="1:8" x14ac:dyDescent="0.25">
      <c r="A6565" s="952"/>
      <c r="B6565" s="953"/>
      <c r="C6565" s="953"/>
      <c r="D6565" s="953"/>
      <c r="E6565" s="953"/>
      <c r="F6565" s="953"/>
      <c r="G6565" s="953"/>
      <c r="H6565" s="953"/>
    </row>
    <row r="6566" spans="1:8" x14ac:dyDescent="0.25">
      <c r="A6566" s="952"/>
      <c r="B6566" s="953"/>
      <c r="C6566" s="953"/>
      <c r="D6566" s="953"/>
      <c r="E6566" s="953"/>
      <c r="F6566" s="953"/>
      <c r="G6566" s="953"/>
      <c r="H6566" s="953"/>
    </row>
    <row r="6567" spans="1:8" x14ac:dyDescent="0.25">
      <c r="A6567" s="952"/>
      <c r="B6567" s="953"/>
      <c r="C6567" s="953"/>
      <c r="D6567" s="953"/>
      <c r="E6567" s="953"/>
      <c r="F6567" s="953"/>
      <c r="G6567" s="953"/>
      <c r="H6567" s="953"/>
    </row>
    <row r="6568" spans="1:8" x14ac:dyDescent="0.25">
      <c r="A6568" s="952"/>
      <c r="B6568" s="953"/>
      <c r="C6568" s="953"/>
      <c r="D6568" s="953"/>
      <c r="E6568" s="953"/>
      <c r="F6568" s="953"/>
      <c r="G6568" s="953"/>
      <c r="H6568" s="953"/>
    </row>
    <row r="6569" spans="1:8" x14ac:dyDescent="0.25">
      <c r="A6569" s="952"/>
      <c r="B6569" s="953"/>
      <c r="C6569" s="953"/>
      <c r="D6569" s="953"/>
      <c r="E6569" s="953"/>
      <c r="F6569" s="953"/>
      <c r="G6569" s="953"/>
      <c r="H6569" s="953"/>
    </row>
    <row r="6570" spans="1:8" x14ac:dyDescent="0.25">
      <c r="A6570" s="952"/>
      <c r="B6570" s="953"/>
      <c r="C6570" s="953"/>
      <c r="D6570" s="953"/>
      <c r="E6570" s="953"/>
      <c r="F6570" s="953"/>
      <c r="G6570" s="953"/>
      <c r="H6570" s="953"/>
    </row>
    <row r="6571" spans="1:8" x14ac:dyDescent="0.25">
      <c r="A6571" s="952"/>
      <c r="B6571" s="953"/>
      <c r="C6571" s="953"/>
      <c r="D6571" s="953"/>
      <c r="E6571" s="953"/>
      <c r="F6571" s="953"/>
      <c r="G6571" s="953"/>
      <c r="H6571" s="953"/>
    </row>
    <row r="6572" spans="1:8" x14ac:dyDescent="0.25">
      <c r="A6572" s="952"/>
      <c r="B6572" s="953"/>
      <c r="C6572" s="953"/>
      <c r="D6572" s="953"/>
      <c r="E6572" s="953"/>
      <c r="F6572" s="953"/>
      <c r="G6572" s="953"/>
      <c r="H6572" s="953"/>
    </row>
    <row r="6573" spans="1:8" x14ac:dyDescent="0.25">
      <c r="A6573" s="952"/>
      <c r="B6573" s="953"/>
      <c r="C6573" s="953"/>
      <c r="D6573" s="953"/>
      <c r="E6573" s="953"/>
      <c r="F6573" s="953"/>
      <c r="G6573" s="953"/>
      <c r="H6573" s="953"/>
    </row>
    <row r="6574" spans="1:8" x14ac:dyDescent="0.25">
      <c r="A6574" s="952"/>
      <c r="B6574" s="953"/>
      <c r="C6574" s="953"/>
      <c r="D6574" s="953"/>
      <c r="E6574" s="953"/>
      <c r="F6574" s="953"/>
      <c r="G6574" s="953"/>
      <c r="H6574" s="953"/>
    </row>
    <row r="6575" spans="1:8" x14ac:dyDescent="0.25">
      <c r="A6575" s="952"/>
      <c r="B6575" s="953"/>
      <c r="C6575" s="953"/>
      <c r="D6575" s="953"/>
      <c r="E6575" s="953"/>
      <c r="F6575" s="953"/>
      <c r="G6575" s="953"/>
      <c r="H6575" s="953"/>
    </row>
    <row r="6576" spans="1:8" x14ac:dyDescent="0.25">
      <c r="A6576" s="952"/>
      <c r="B6576" s="953"/>
      <c r="C6576" s="953"/>
      <c r="D6576" s="953"/>
      <c r="E6576" s="953"/>
      <c r="F6576" s="953"/>
      <c r="G6576" s="953"/>
      <c r="H6576" s="953"/>
    </row>
    <row r="6577" spans="1:8" x14ac:dyDescent="0.25">
      <c r="A6577" s="952"/>
      <c r="B6577" s="953"/>
      <c r="C6577" s="953"/>
      <c r="D6577" s="953"/>
      <c r="E6577" s="953"/>
      <c r="F6577" s="953"/>
      <c r="G6577" s="953"/>
      <c r="H6577" s="953"/>
    </row>
    <row r="6578" spans="1:8" x14ac:dyDescent="0.25">
      <c r="A6578" s="952"/>
      <c r="B6578" s="953"/>
      <c r="C6578" s="953"/>
      <c r="D6578" s="953"/>
      <c r="E6578" s="953"/>
      <c r="F6578" s="953"/>
      <c r="G6578" s="953"/>
      <c r="H6578" s="953"/>
    </row>
    <row r="6579" spans="1:8" x14ac:dyDescent="0.25">
      <c r="A6579" s="952"/>
      <c r="B6579" s="953"/>
      <c r="C6579" s="953"/>
      <c r="D6579" s="953"/>
      <c r="E6579" s="953"/>
      <c r="F6579" s="953"/>
      <c r="G6579" s="953"/>
      <c r="H6579" s="953"/>
    </row>
    <row r="6580" spans="1:8" x14ac:dyDescent="0.25">
      <c r="A6580" s="952"/>
      <c r="B6580" s="953"/>
      <c r="C6580" s="953"/>
      <c r="D6580" s="953"/>
      <c r="E6580" s="953"/>
      <c r="F6580" s="953"/>
      <c r="G6580" s="953"/>
      <c r="H6580" s="953"/>
    </row>
    <row r="6581" spans="1:8" x14ac:dyDescent="0.25">
      <c r="A6581" s="952"/>
      <c r="B6581" s="953"/>
      <c r="C6581" s="953"/>
      <c r="D6581" s="953"/>
      <c r="E6581" s="953"/>
      <c r="F6581" s="953"/>
      <c r="G6581" s="953"/>
      <c r="H6581" s="953"/>
    </row>
    <row r="6582" spans="1:8" x14ac:dyDescent="0.25">
      <c r="A6582" s="952"/>
      <c r="B6582" s="953"/>
      <c r="C6582" s="953"/>
      <c r="D6582" s="953"/>
      <c r="E6582" s="953"/>
      <c r="F6582" s="953"/>
      <c r="G6582" s="953"/>
      <c r="H6582" s="953"/>
    </row>
    <row r="6583" spans="1:8" x14ac:dyDescent="0.25">
      <c r="A6583" s="952"/>
      <c r="B6583" s="953"/>
      <c r="C6583" s="953"/>
      <c r="D6583" s="953"/>
      <c r="E6583" s="953"/>
      <c r="F6583" s="953"/>
      <c r="G6583" s="953"/>
      <c r="H6583" s="953"/>
    </row>
    <row r="6584" spans="1:8" x14ac:dyDescent="0.25">
      <c r="A6584" s="952"/>
      <c r="B6584" s="953"/>
      <c r="C6584" s="953"/>
      <c r="D6584" s="953"/>
      <c r="E6584" s="953"/>
      <c r="F6584" s="953"/>
      <c r="G6584" s="953"/>
      <c r="H6584" s="953"/>
    </row>
    <row r="6585" spans="1:8" x14ac:dyDescent="0.25">
      <c r="A6585" s="952"/>
      <c r="B6585" s="953"/>
      <c r="C6585" s="953"/>
      <c r="D6585" s="953"/>
      <c r="E6585" s="953"/>
      <c r="F6585" s="953"/>
      <c r="G6585" s="953"/>
      <c r="H6585" s="953"/>
    </row>
    <row r="6586" spans="1:8" x14ac:dyDescent="0.25">
      <c r="A6586" s="952"/>
      <c r="B6586" s="953"/>
      <c r="C6586" s="953"/>
      <c r="D6586" s="953"/>
      <c r="E6586" s="953"/>
      <c r="F6586" s="953"/>
      <c r="G6586" s="953"/>
      <c r="H6586" s="953"/>
    </row>
    <row r="6587" spans="1:8" x14ac:dyDescent="0.25">
      <c r="A6587" s="952"/>
      <c r="B6587" s="953"/>
      <c r="C6587" s="953"/>
      <c r="D6587" s="953"/>
      <c r="E6587" s="953"/>
      <c r="F6587" s="953"/>
      <c r="G6587" s="953"/>
      <c r="H6587" s="953"/>
    </row>
    <row r="6588" spans="1:8" x14ac:dyDescent="0.25">
      <c r="A6588" s="952"/>
      <c r="B6588" s="953"/>
      <c r="C6588" s="953"/>
      <c r="D6588" s="953"/>
      <c r="E6588" s="953"/>
      <c r="F6588" s="953"/>
      <c r="G6588" s="953"/>
      <c r="H6588" s="953"/>
    </row>
    <row r="6589" spans="1:8" x14ac:dyDescent="0.25">
      <c r="A6589" s="952"/>
      <c r="B6589" s="953"/>
      <c r="C6589" s="953"/>
      <c r="D6589" s="953"/>
      <c r="E6589" s="953"/>
      <c r="F6589" s="953"/>
      <c r="G6589" s="953"/>
      <c r="H6589" s="953"/>
    </row>
    <row r="6590" spans="1:8" x14ac:dyDescent="0.25">
      <c r="A6590" s="952"/>
      <c r="B6590" s="953"/>
      <c r="C6590" s="953"/>
      <c r="D6590" s="953"/>
      <c r="E6590" s="953"/>
      <c r="F6590" s="953"/>
      <c r="G6590" s="953"/>
      <c r="H6590" s="953"/>
    </row>
    <row r="6591" spans="1:8" x14ac:dyDescent="0.25">
      <c r="A6591" s="952"/>
      <c r="B6591" s="953"/>
      <c r="C6591" s="953"/>
      <c r="D6591" s="953"/>
      <c r="E6591" s="953"/>
      <c r="F6591" s="953"/>
      <c r="G6591" s="953"/>
      <c r="H6591" s="953"/>
    </row>
    <row r="6592" spans="1:8" x14ac:dyDescent="0.25">
      <c r="A6592" s="952"/>
      <c r="B6592" s="953"/>
      <c r="C6592" s="953"/>
      <c r="D6592" s="953"/>
      <c r="E6592" s="953"/>
      <c r="F6592" s="953"/>
      <c r="G6592" s="953"/>
      <c r="H6592" s="953"/>
    </row>
    <row r="6593" spans="1:8" x14ac:dyDescent="0.25">
      <c r="A6593" s="952"/>
      <c r="B6593" s="953"/>
      <c r="C6593" s="953"/>
      <c r="D6593" s="953"/>
      <c r="E6593" s="953"/>
      <c r="F6593" s="953"/>
      <c r="G6593" s="953"/>
      <c r="H6593" s="953"/>
    </row>
    <row r="6594" spans="1:8" x14ac:dyDescent="0.25">
      <c r="A6594" s="952"/>
      <c r="B6594" s="953"/>
      <c r="C6594" s="953"/>
      <c r="D6594" s="953"/>
      <c r="E6594" s="953"/>
      <c r="F6594" s="953"/>
      <c r="G6594" s="953"/>
      <c r="H6594" s="953"/>
    </row>
    <row r="6595" spans="1:8" x14ac:dyDescent="0.25">
      <c r="A6595" s="952"/>
      <c r="B6595" s="953"/>
      <c r="C6595" s="953"/>
      <c r="D6595" s="953"/>
      <c r="E6595" s="953"/>
      <c r="F6595" s="953"/>
      <c r="G6595" s="953"/>
      <c r="H6595" s="953"/>
    </row>
    <row r="6596" spans="1:8" x14ac:dyDescent="0.25">
      <c r="A6596" s="952"/>
      <c r="B6596" s="953"/>
      <c r="C6596" s="953"/>
      <c r="D6596" s="953"/>
      <c r="E6596" s="953"/>
      <c r="F6596" s="953"/>
      <c r="G6596" s="953"/>
      <c r="H6596" s="953"/>
    </row>
    <row r="6597" spans="1:8" x14ac:dyDescent="0.25">
      <c r="A6597" s="952"/>
      <c r="B6597" s="953"/>
      <c r="C6597" s="953"/>
      <c r="D6597" s="953"/>
      <c r="E6597" s="953"/>
      <c r="F6597" s="953"/>
      <c r="G6597" s="953"/>
      <c r="H6597" s="953"/>
    </row>
    <row r="6598" spans="1:8" x14ac:dyDescent="0.25">
      <c r="A6598" s="952"/>
      <c r="B6598" s="953"/>
      <c r="C6598" s="953"/>
      <c r="D6598" s="953"/>
      <c r="E6598" s="953"/>
      <c r="F6598" s="953"/>
      <c r="G6598" s="953"/>
      <c r="H6598" s="953"/>
    </row>
    <row r="6599" spans="1:8" x14ac:dyDescent="0.25">
      <c r="A6599" s="952"/>
      <c r="B6599" s="953"/>
      <c r="C6599" s="953"/>
      <c r="D6599" s="953"/>
      <c r="E6599" s="953"/>
      <c r="F6599" s="953"/>
      <c r="G6599" s="953"/>
      <c r="H6599" s="953"/>
    </row>
    <row r="6600" spans="1:8" x14ac:dyDescent="0.25">
      <c r="A6600" s="952"/>
      <c r="B6600" s="953"/>
      <c r="C6600" s="953"/>
      <c r="D6600" s="953"/>
      <c r="E6600" s="953"/>
      <c r="F6600" s="953"/>
      <c r="G6600" s="953"/>
      <c r="H6600" s="953"/>
    </row>
    <row r="6601" spans="1:8" x14ac:dyDescent="0.25">
      <c r="A6601" s="952"/>
      <c r="B6601" s="953"/>
      <c r="C6601" s="953"/>
      <c r="D6601" s="953"/>
      <c r="E6601" s="953"/>
      <c r="F6601" s="953"/>
      <c r="G6601" s="953"/>
      <c r="H6601" s="953"/>
    </row>
    <row r="6602" spans="1:8" x14ac:dyDescent="0.25">
      <c r="A6602" s="952"/>
      <c r="B6602" s="953"/>
      <c r="C6602" s="953"/>
      <c r="D6602" s="953"/>
      <c r="E6602" s="953"/>
      <c r="F6602" s="953"/>
      <c r="G6602" s="953"/>
      <c r="H6602" s="953"/>
    </row>
    <row r="6603" spans="1:8" x14ac:dyDescent="0.25">
      <c r="A6603" s="952"/>
      <c r="B6603" s="953"/>
      <c r="C6603" s="953"/>
      <c r="D6603" s="953"/>
      <c r="E6603" s="953"/>
      <c r="F6603" s="953"/>
      <c r="G6603" s="953"/>
      <c r="H6603" s="953"/>
    </row>
    <row r="6604" spans="1:8" x14ac:dyDescent="0.25">
      <c r="A6604" s="952"/>
      <c r="B6604" s="953"/>
      <c r="C6604" s="953"/>
      <c r="D6604" s="953"/>
      <c r="E6604" s="953"/>
      <c r="F6604" s="953"/>
      <c r="G6604" s="953"/>
      <c r="H6604" s="953"/>
    </row>
    <row r="6605" spans="1:8" x14ac:dyDescent="0.25">
      <c r="A6605" s="952"/>
      <c r="B6605" s="953"/>
      <c r="C6605" s="953"/>
      <c r="D6605" s="953"/>
      <c r="E6605" s="953"/>
      <c r="F6605" s="953"/>
      <c r="G6605" s="953"/>
      <c r="H6605" s="953"/>
    </row>
    <row r="6606" spans="1:8" x14ac:dyDescent="0.25">
      <c r="A6606" s="952"/>
      <c r="B6606" s="953"/>
      <c r="C6606" s="953"/>
      <c r="D6606" s="953"/>
      <c r="E6606" s="953"/>
      <c r="F6606" s="953"/>
      <c r="G6606" s="953"/>
      <c r="H6606" s="953"/>
    </row>
    <row r="6607" spans="1:8" x14ac:dyDescent="0.25">
      <c r="A6607" s="952"/>
      <c r="B6607" s="953"/>
      <c r="C6607" s="953"/>
      <c r="D6607" s="953"/>
      <c r="E6607" s="953"/>
      <c r="F6607" s="953"/>
      <c r="G6607" s="953"/>
      <c r="H6607" s="953"/>
    </row>
    <row r="6608" spans="1:8" x14ac:dyDescent="0.25">
      <c r="A6608" s="952"/>
      <c r="B6608" s="953"/>
      <c r="C6608" s="953"/>
      <c r="D6608" s="953"/>
      <c r="E6608" s="953"/>
      <c r="F6608" s="953"/>
      <c r="G6608" s="953"/>
      <c r="H6608" s="953"/>
    </row>
    <row r="6609" spans="1:8" x14ac:dyDescent="0.25">
      <c r="A6609" s="952"/>
      <c r="B6609" s="953"/>
      <c r="C6609" s="953"/>
      <c r="D6609" s="953"/>
      <c r="E6609" s="953"/>
      <c r="F6609" s="953"/>
      <c r="G6609" s="953"/>
      <c r="H6609" s="953"/>
    </row>
    <row r="6610" spans="1:8" x14ac:dyDescent="0.25">
      <c r="A6610" s="952"/>
      <c r="B6610" s="953"/>
      <c r="C6610" s="953"/>
      <c r="D6610" s="953"/>
      <c r="E6610" s="953"/>
      <c r="F6610" s="953"/>
      <c r="G6610" s="953"/>
      <c r="H6610" s="953"/>
    </row>
    <row r="6611" spans="1:8" x14ac:dyDescent="0.25">
      <c r="A6611" s="952"/>
      <c r="B6611" s="953"/>
      <c r="C6611" s="953"/>
      <c r="D6611" s="953"/>
      <c r="E6611" s="953"/>
      <c r="F6611" s="953"/>
      <c r="G6611" s="953"/>
      <c r="H6611" s="953"/>
    </row>
    <row r="6612" spans="1:8" x14ac:dyDescent="0.25">
      <c r="A6612" s="952"/>
      <c r="B6612" s="953"/>
      <c r="C6612" s="953"/>
      <c r="D6612" s="953"/>
      <c r="E6612" s="953"/>
      <c r="F6612" s="953"/>
      <c r="G6612" s="953"/>
      <c r="H6612" s="953"/>
    </row>
    <row r="6613" spans="1:8" x14ac:dyDescent="0.25">
      <c r="A6613" s="952"/>
      <c r="B6613" s="953"/>
      <c r="C6613" s="953"/>
      <c r="D6613" s="953"/>
      <c r="E6613" s="953"/>
      <c r="F6613" s="953"/>
      <c r="G6613" s="953"/>
      <c r="H6613" s="953"/>
    </row>
    <row r="6614" spans="1:8" x14ac:dyDescent="0.25">
      <c r="A6614" s="952"/>
      <c r="B6614" s="953"/>
      <c r="C6614" s="953"/>
      <c r="D6614" s="953"/>
      <c r="E6614" s="953"/>
      <c r="F6614" s="953"/>
      <c r="G6614" s="953"/>
      <c r="H6614" s="953"/>
    </row>
    <row r="6615" spans="1:8" x14ac:dyDescent="0.25">
      <c r="A6615" s="952"/>
      <c r="B6615" s="953"/>
      <c r="C6615" s="953"/>
      <c r="D6615" s="953"/>
      <c r="E6615" s="953"/>
      <c r="F6615" s="953"/>
      <c r="G6615" s="953"/>
      <c r="H6615" s="953"/>
    </row>
    <row r="6616" spans="1:8" x14ac:dyDescent="0.25">
      <c r="A6616" s="952"/>
      <c r="B6616" s="953"/>
      <c r="C6616" s="953"/>
      <c r="D6616" s="953"/>
      <c r="E6616" s="953"/>
      <c r="F6616" s="953"/>
      <c r="G6616" s="953"/>
      <c r="H6616" s="953"/>
    </row>
    <row r="6617" spans="1:8" x14ac:dyDescent="0.25">
      <c r="A6617" s="952"/>
      <c r="B6617" s="953"/>
      <c r="C6617" s="953"/>
      <c r="D6617" s="953"/>
      <c r="E6617" s="953"/>
      <c r="F6617" s="953"/>
      <c r="G6617" s="953"/>
      <c r="H6617" s="953"/>
    </row>
    <row r="6618" spans="1:8" x14ac:dyDescent="0.25">
      <c r="A6618" s="952"/>
      <c r="B6618" s="953"/>
      <c r="C6618" s="953"/>
      <c r="D6618" s="953"/>
      <c r="E6618" s="953"/>
      <c r="F6618" s="953"/>
      <c r="G6618" s="953"/>
      <c r="H6618" s="953"/>
    </row>
    <row r="6619" spans="1:8" x14ac:dyDescent="0.25">
      <c r="A6619" s="952"/>
      <c r="B6619" s="953"/>
      <c r="C6619" s="953"/>
      <c r="D6619" s="953"/>
      <c r="E6619" s="953"/>
      <c r="F6619" s="953"/>
      <c r="G6619" s="953"/>
      <c r="H6619" s="953"/>
    </row>
    <row r="6620" spans="1:8" x14ac:dyDescent="0.25">
      <c r="A6620" s="952"/>
      <c r="B6620" s="953"/>
      <c r="C6620" s="953"/>
      <c r="D6620" s="953"/>
      <c r="E6620" s="953"/>
      <c r="F6620" s="953"/>
      <c r="G6620" s="953"/>
      <c r="H6620" s="953"/>
    </row>
    <row r="6621" spans="1:8" x14ac:dyDescent="0.25">
      <c r="A6621" s="952"/>
      <c r="B6621" s="953"/>
      <c r="C6621" s="953"/>
      <c r="D6621" s="953"/>
      <c r="E6621" s="953"/>
      <c r="F6621" s="953"/>
      <c r="G6621" s="953"/>
      <c r="H6621" s="953"/>
    </row>
    <row r="6622" spans="1:8" x14ac:dyDescent="0.25">
      <c r="A6622" s="952"/>
      <c r="B6622" s="953"/>
      <c r="C6622" s="953"/>
      <c r="D6622" s="953"/>
      <c r="E6622" s="953"/>
      <c r="F6622" s="953"/>
      <c r="G6622" s="953"/>
      <c r="H6622" s="953"/>
    </row>
    <row r="6623" spans="1:8" x14ac:dyDescent="0.25">
      <c r="A6623" s="952"/>
      <c r="B6623" s="953"/>
      <c r="C6623" s="953"/>
      <c r="D6623" s="953"/>
      <c r="E6623" s="953"/>
      <c r="F6623" s="953"/>
      <c r="G6623" s="953"/>
      <c r="H6623" s="953"/>
    </row>
    <row r="6624" spans="1:8" x14ac:dyDescent="0.25">
      <c r="A6624" s="952"/>
      <c r="B6624" s="953"/>
      <c r="C6624" s="953"/>
      <c r="D6624" s="953"/>
      <c r="E6624" s="953"/>
      <c r="F6624" s="953"/>
      <c r="G6624" s="953"/>
      <c r="H6624" s="953"/>
    </row>
    <row r="6625" spans="1:8" x14ac:dyDescent="0.25">
      <c r="A6625" s="952"/>
      <c r="B6625" s="953"/>
      <c r="C6625" s="953"/>
      <c r="D6625" s="953"/>
      <c r="E6625" s="953"/>
      <c r="F6625" s="953"/>
      <c r="G6625" s="953"/>
      <c r="H6625" s="953"/>
    </row>
    <row r="6626" spans="1:8" x14ac:dyDescent="0.25">
      <c r="A6626" s="952"/>
      <c r="B6626" s="953"/>
      <c r="C6626" s="953"/>
      <c r="D6626" s="953"/>
      <c r="E6626" s="953"/>
      <c r="F6626" s="953"/>
      <c r="G6626" s="953"/>
      <c r="H6626" s="953"/>
    </row>
    <row r="6627" spans="1:8" x14ac:dyDescent="0.25">
      <c r="A6627" s="952"/>
      <c r="B6627" s="953"/>
      <c r="C6627" s="953"/>
      <c r="D6627" s="953"/>
      <c r="E6627" s="953"/>
      <c r="F6627" s="953"/>
      <c r="G6627" s="953"/>
      <c r="H6627" s="953"/>
    </row>
    <row r="6628" spans="1:8" x14ac:dyDescent="0.25">
      <c r="A6628" s="952"/>
      <c r="B6628" s="953"/>
      <c r="C6628" s="953"/>
      <c r="D6628" s="953"/>
      <c r="E6628" s="953"/>
      <c r="F6628" s="953"/>
      <c r="G6628" s="953"/>
      <c r="H6628" s="953"/>
    </row>
    <row r="6629" spans="1:8" x14ac:dyDescent="0.25">
      <c r="A6629" s="952"/>
      <c r="B6629" s="953"/>
      <c r="C6629" s="953"/>
      <c r="D6629" s="953"/>
      <c r="E6629" s="953"/>
      <c r="F6629" s="953"/>
      <c r="G6629" s="953"/>
      <c r="H6629" s="953"/>
    </row>
    <row r="6630" spans="1:8" x14ac:dyDescent="0.25">
      <c r="A6630" s="952"/>
      <c r="B6630" s="953"/>
      <c r="C6630" s="953"/>
      <c r="D6630" s="953"/>
      <c r="E6630" s="953"/>
      <c r="F6630" s="953"/>
      <c r="G6630" s="953"/>
      <c r="H6630" s="953"/>
    </row>
    <row r="6631" spans="1:8" x14ac:dyDescent="0.25">
      <c r="A6631" s="952"/>
      <c r="B6631" s="953"/>
      <c r="C6631" s="953"/>
      <c r="D6631" s="953"/>
      <c r="E6631" s="953"/>
      <c r="F6631" s="953"/>
      <c r="G6631" s="953"/>
      <c r="H6631" s="953"/>
    </row>
    <row r="6632" spans="1:8" x14ac:dyDescent="0.25">
      <c r="A6632" s="952"/>
      <c r="B6632" s="953"/>
      <c r="C6632" s="953"/>
      <c r="D6632" s="953"/>
      <c r="E6632" s="953"/>
      <c r="F6632" s="953"/>
      <c r="G6632" s="953"/>
      <c r="H6632" s="953"/>
    </row>
    <row r="6633" spans="1:8" x14ac:dyDescent="0.25">
      <c r="A6633" s="952"/>
      <c r="B6633" s="953"/>
      <c r="C6633" s="953"/>
      <c r="D6633" s="953"/>
      <c r="E6633" s="953"/>
      <c r="F6633" s="953"/>
      <c r="G6633" s="953"/>
      <c r="H6633" s="953"/>
    </row>
    <row r="6634" spans="1:8" x14ac:dyDescent="0.25">
      <c r="A6634" s="952"/>
      <c r="B6634" s="953"/>
      <c r="C6634" s="953"/>
      <c r="D6634" s="953"/>
      <c r="E6634" s="953"/>
      <c r="F6634" s="953"/>
      <c r="G6634" s="953"/>
      <c r="H6634" s="953"/>
    </row>
    <row r="6635" spans="1:8" x14ac:dyDescent="0.25">
      <c r="A6635" s="952"/>
      <c r="B6635" s="953"/>
      <c r="C6635" s="953"/>
      <c r="D6635" s="953"/>
      <c r="E6635" s="953"/>
      <c r="F6635" s="953"/>
      <c r="G6635" s="953"/>
      <c r="H6635" s="953"/>
    </row>
    <row r="6636" spans="1:8" x14ac:dyDescent="0.25">
      <c r="A6636" s="952"/>
      <c r="B6636" s="953"/>
      <c r="C6636" s="953"/>
      <c r="D6636" s="953"/>
      <c r="E6636" s="953"/>
      <c r="F6636" s="953"/>
      <c r="G6636" s="953"/>
      <c r="H6636" s="953"/>
    </row>
    <row r="6637" spans="1:8" x14ac:dyDescent="0.25">
      <c r="A6637" s="952"/>
      <c r="B6637" s="953"/>
      <c r="C6637" s="953"/>
      <c r="D6637" s="953"/>
      <c r="E6637" s="953"/>
      <c r="F6637" s="953"/>
      <c r="G6637" s="953"/>
      <c r="H6637" s="953"/>
    </row>
    <row r="6638" spans="1:8" x14ac:dyDescent="0.25">
      <c r="A6638" s="952"/>
      <c r="B6638" s="953"/>
      <c r="C6638" s="953"/>
      <c r="D6638" s="953"/>
      <c r="E6638" s="953"/>
      <c r="F6638" s="953"/>
      <c r="G6638" s="953"/>
      <c r="H6638" s="953"/>
    </row>
    <row r="6639" spans="1:8" x14ac:dyDescent="0.25">
      <c r="A6639" s="952"/>
      <c r="B6639" s="953"/>
      <c r="C6639" s="953"/>
      <c r="D6639" s="953"/>
      <c r="E6639" s="953"/>
      <c r="F6639" s="953"/>
      <c r="G6639" s="953"/>
      <c r="H6639" s="953"/>
    </row>
    <row r="6640" spans="1:8" x14ac:dyDescent="0.25">
      <c r="A6640" s="952"/>
      <c r="B6640" s="953"/>
      <c r="C6640" s="953"/>
      <c r="D6640" s="953"/>
      <c r="E6640" s="953"/>
      <c r="F6640" s="953"/>
      <c r="G6640" s="953"/>
      <c r="H6640" s="953"/>
    </row>
    <row r="6641" spans="1:8" x14ac:dyDescent="0.25">
      <c r="A6641" s="952"/>
      <c r="B6641" s="953"/>
      <c r="C6641" s="953"/>
      <c r="D6641" s="953"/>
      <c r="E6641" s="953"/>
      <c r="F6641" s="953"/>
      <c r="G6641" s="953"/>
      <c r="H6641" s="953"/>
    </row>
    <row r="6642" spans="1:8" x14ac:dyDescent="0.25">
      <c r="A6642" s="952"/>
      <c r="B6642" s="953"/>
      <c r="C6642" s="953"/>
      <c r="D6642" s="953"/>
      <c r="E6642" s="953"/>
      <c r="F6642" s="953"/>
      <c r="G6642" s="953"/>
      <c r="H6642" s="953"/>
    </row>
    <row r="6643" spans="1:8" x14ac:dyDescent="0.25">
      <c r="A6643" s="952"/>
      <c r="B6643" s="953"/>
      <c r="C6643" s="953"/>
      <c r="D6643" s="953"/>
      <c r="E6643" s="953"/>
      <c r="F6643" s="953"/>
      <c r="G6643" s="953"/>
      <c r="H6643" s="953"/>
    </row>
    <row r="6644" spans="1:8" x14ac:dyDescent="0.25">
      <c r="A6644" s="952"/>
      <c r="B6644" s="953"/>
      <c r="C6644" s="953"/>
      <c r="D6644" s="953"/>
      <c r="E6644" s="953"/>
      <c r="F6644" s="953"/>
      <c r="G6644" s="953"/>
      <c r="H6644" s="953"/>
    </row>
    <row r="6645" spans="1:8" x14ac:dyDescent="0.25">
      <c r="A6645" s="952"/>
      <c r="B6645" s="953"/>
      <c r="C6645" s="953"/>
      <c r="D6645" s="953"/>
      <c r="E6645" s="953"/>
      <c r="F6645" s="953"/>
      <c r="G6645" s="953"/>
      <c r="H6645" s="953"/>
    </row>
    <row r="6646" spans="1:8" x14ac:dyDescent="0.25">
      <c r="A6646" s="952"/>
      <c r="B6646" s="953"/>
      <c r="C6646" s="953"/>
      <c r="D6646" s="953"/>
      <c r="E6646" s="953"/>
      <c r="F6646" s="953"/>
      <c r="G6646" s="953"/>
      <c r="H6646" s="953"/>
    </row>
    <row r="6647" spans="1:8" x14ac:dyDescent="0.25">
      <c r="A6647" s="952"/>
      <c r="B6647" s="953"/>
      <c r="C6647" s="953"/>
      <c r="D6647" s="953"/>
      <c r="E6647" s="953"/>
      <c r="F6647" s="953"/>
      <c r="G6647" s="953"/>
      <c r="H6647" s="953"/>
    </row>
    <row r="6648" spans="1:8" x14ac:dyDescent="0.25">
      <c r="A6648" s="952"/>
      <c r="B6648" s="953"/>
      <c r="C6648" s="953"/>
      <c r="D6648" s="953"/>
      <c r="E6648" s="953"/>
      <c r="F6648" s="953"/>
      <c r="G6648" s="953"/>
      <c r="H6648" s="953"/>
    </row>
    <row r="6649" spans="1:8" x14ac:dyDescent="0.25">
      <c r="A6649" s="952"/>
      <c r="B6649" s="953"/>
      <c r="C6649" s="953"/>
      <c r="D6649" s="953"/>
      <c r="E6649" s="953"/>
      <c r="F6649" s="953"/>
      <c r="G6649" s="953"/>
      <c r="H6649" s="953"/>
    </row>
    <row r="6650" spans="1:8" x14ac:dyDescent="0.25">
      <c r="A6650" s="952"/>
      <c r="B6650" s="953"/>
      <c r="C6650" s="953"/>
      <c r="D6650" s="953"/>
      <c r="E6650" s="953"/>
      <c r="F6650" s="953"/>
      <c r="G6650" s="953"/>
      <c r="H6650" s="953"/>
    </row>
    <row r="6651" spans="1:8" x14ac:dyDescent="0.25">
      <c r="A6651" s="952"/>
      <c r="B6651" s="953"/>
      <c r="C6651" s="953"/>
      <c r="D6651" s="953"/>
      <c r="E6651" s="953"/>
      <c r="F6651" s="953"/>
      <c r="G6651" s="953"/>
      <c r="H6651" s="953"/>
    </row>
    <row r="6652" spans="1:8" x14ac:dyDescent="0.25">
      <c r="A6652" s="952"/>
      <c r="B6652" s="953"/>
      <c r="C6652" s="953"/>
      <c r="D6652" s="953"/>
      <c r="E6652" s="953"/>
      <c r="F6652" s="953"/>
      <c r="G6652" s="953"/>
      <c r="H6652" s="953"/>
    </row>
    <row r="6653" spans="1:8" x14ac:dyDescent="0.25">
      <c r="A6653" s="952"/>
      <c r="B6653" s="953"/>
      <c r="C6653" s="953"/>
      <c r="D6653" s="953"/>
      <c r="E6653" s="953"/>
      <c r="F6653" s="953"/>
      <c r="G6653" s="953"/>
      <c r="H6653" s="953"/>
    </row>
    <row r="6654" spans="1:8" x14ac:dyDescent="0.25">
      <c r="A6654" s="952"/>
      <c r="B6654" s="953"/>
      <c r="C6654" s="953"/>
      <c r="D6654" s="953"/>
      <c r="E6654" s="953"/>
      <c r="F6654" s="953"/>
      <c r="G6654" s="953"/>
      <c r="H6654" s="953"/>
    </row>
    <row r="6655" spans="1:8" x14ac:dyDescent="0.25">
      <c r="A6655" s="952"/>
      <c r="B6655" s="953"/>
      <c r="C6655" s="953"/>
      <c r="D6655" s="953"/>
      <c r="E6655" s="953"/>
      <c r="F6655" s="953"/>
      <c r="G6655" s="953"/>
      <c r="H6655" s="953"/>
    </row>
    <row r="6656" spans="1:8" x14ac:dyDescent="0.25">
      <c r="A6656" s="952"/>
      <c r="B6656" s="953"/>
      <c r="C6656" s="953"/>
      <c r="D6656" s="953"/>
      <c r="E6656" s="953"/>
      <c r="F6656" s="953"/>
      <c r="G6656" s="953"/>
      <c r="H6656" s="953"/>
    </row>
    <row r="6657" spans="1:8" x14ac:dyDescent="0.25">
      <c r="A6657" s="952"/>
      <c r="B6657" s="953"/>
      <c r="C6657" s="953"/>
      <c r="D6657" s="953"/>
      <c r="E6657" s="953"/>
      <c r="F6657" s="953"/>
      <c r="G6657" s="953"/>
      <c r="H6657" s="953"/>
    </row>
    <row r="6658" spans="1:8" x14ac:dyDescent="0.25">
      <c r="A6658" s="952"/>
      <c r="B6658" s="953"/>
      <c r="C6658" s="953"/>
      <c r="D6658" s="953"/>
      <c r="E6658" s="953"/>
      <c r="F6658" s="953"/>
      <c r="G6658" s="953"/>
      <c r="H6658" s="953"/>
    </row>
    <row r="6659" spans="1:8" x14ac:dyDescent="0.25">
      <c r="A6659" s="952"/>
      <c r="B6659" s="953"/>
      <c r="C6659" s="953"/>
      <c r="D6659" s="953"/>
      <c r="E6659" s="953"/>
      <c r="F6659" s="953"/>
      <c r="G6659" s="953"/>
      <c r="H6659" s="953"/>
    </row>
    <row r="6660" spans="1:8" x14ac:dyDescent="0.25">
      <c r="A6660" s="952"/>
      <c r="B6660" s="953"/>
      <c r="C6660" s="953"/>
      <c r="D6660" s="953"/>
      <c r="E6660" s="953"/>
      <c r="F6660" s="953"/>
      <c r="G6660" s="953"/>
      <c r="H6660" s="953"/>
    </row>
    <row r="6661" spans="1:8" x14ac:dyDescent="0.25">
      <c r="A6661" s="952"/>
      <c r="B6661" s="953"/>
      <c r="C6661" s="953"/>
      <c r="D6661" s="953"/>
      <c r="E6661" s="953"/>
      <c r="F6661" s="953"/>
      <c r="G6661" s="953"/>
      <c r="H6661" s="953"/>
    </row>
    <row r="6662" spans="1:8" x14ac:dyDescent="0.25">
      <c r="A6662" s="952"/>
      <c r="B6662" s="953"/>
      <c r="C6662" s="953"/>
      <c r="D6662" s="953"/>
      <c r="E6662" s="953"/>
      <c r="F6662" s="953"/>
      <c r="G6662" s="953"/>
      <c r="H6662" s="953"/>
    </row>
    <row r="6663" spans="1:8" x14ac:dyDescent="0.25">
      <c r="A6663" s="952"/>
      <c r="B6663" s="953"/>
      <c r="C6663" s="953"/>
      <c r="D6663" s="953"/>
      <c r="E6663" s="953"/>
      <c r="F6663" s="953"/>
      <c r="G6663" s="953"/>
      <c r="H6663" s="953"/>
    </row>
    <row r="6664" spans="1:8" x14ac:dyDescent="0.25">
      <c r="A6664" s="952"/>
      <c r="B6664" s="953"/>
      <c r="C6664" s="953"/>
      <c r="D6664" s="953"/>
      <c r="E6664" s="953"/>
      <c r="F6664" s="953"/>
      <c r="G6664" s="953"/>
      <c r="H6664" s="953"/>
    </row>
    <row r="6665" spans="1:8" x14ac:dyDescent="0.25">
      <c r="A6665" s="952"/>
      <c r="B6665" s="953"/>
      <c r="C6665" s="953"/>
      <c r="D6665" s="953"/>
      <c r="E6665" s="953"/>
      <c r="F6665" s="953"/>
      <c r="G6665" s="953"/>
      <c r="H6665" s="953"/>
    </row>
    <row r="6666" spans="1:8" x14ac:dyDescent="0.25">
      <c r="A6666" s="952"/>
      <c r="B6666" s="953"/>
      <c r="C6666" s="953"/>
      <c r="D6666" s="953"/>
      <c r="E6666" s="953"/>
      <c r="F6666" s="953"/>
      <c r="G6666" s="953"/>
      <c r="H6666" s="953"/>
    </row>
    <row r="6667" spans="1:8" x14ac:dyDescent="0.25">
      <c r="A6667" s="952"/>
      <c r="B6667" s="953"/>
      <c r="C6667" s="953"/>
      <c r="D6667" s="953"/>
      <c r="E6667" s="953"/>
      <c r="F6667" s="953"/>
      <c r="G6667" s="953"/>
      <c r="H6667" s="953"/>
    </row>
    <row r="6668" spans="1:8" x14ac:dyDescent="0.25">
      <c r="A6668" s="952"/>
      <c r="B6668" s="953"/>
      <c r="C6668" s="953"/>
      <c r="D6668" s="953"/>
      <c r="E6668" s="953"/>
      <c r="F6668" s="953"/>
      <c r="G6668" s="953"/>
      <c r="H6668" s="953"/>
    </row>
    <row r="6669" spans="1:8" x14ac:dyDescent="0.25">
      <c r="A6669" s="952"/>
      <c r="B6669" s="953"/>
      <c r="C6669" s="953"/>
      <c r="D6669" s="953"/>
      <c r="E6669" s="953"/>
      <c r="F6669" s="953"/>
      <c r="G6669" s="953"/>
      <c r="H6669" s="953"/>
    </row>
    <row r="6670" spans="1:8" x14ac:dyDescent="0.25">
      <c r="A6670" s="952"/>
      <c r="B6670" s="953"/>
      <c r="C6670" s="953"/>
      <c r="D6670" s="953"/>
      <c r="E6670" s="953"/>
      <c r="F6670" s="953"/>
      <c r="G6670" s="953"/>
      <c r="H6670" s="953"/>
    </row>
    <row r="6671" spans="1:8" x14ac:dyDescent="0.25">
      <c r="A6671" s="952"/>
      <c r="B6671" s="953"/>
      <c r="C6671" s="953"/>
      <c r="D6671" s="953"/>
      <c r="E6671" s="953"/>
      <c r="F6671" s="953"/>
      <c r="G6671" s="953"/>
      <c r="H6671" s="953"/>
    </row>
    <row r="6672" spans="1:8" x14ac:dyDescent="0.25">
      <c r="A6672" s="952"/>
      <c r="B6672" s="953"/>
      <c r="C6672" s="953"/>
      <c r="D6672" s="953"/>
      <c r="E6672" s="953"/>
      <c r="F6672" s="953"/>
      <c r="G6672" s="953"/>
      <c r="H6672" s="953"/>
    </row>
    <row r="6673" spans="1:8" x14ac:dyDescent="0.25">
      <c r="A6673" s="952"/>
      <c r="B6673" s="953"/>
      <c r="C6673" s="953"/>
      <c r="D6673" s="953"/>
      <c r="E6673" s="953"/>
      <c r="F6673" s="953"/>
      <c r="G6673" s="953"/>
      <c r="H6673" s="953"/>
    </row>
    <row r="6674" spans="1:8" x14ac:dyDescent="0.25">
      <c r="A6674" s="952"/>
      <c r="B6674" s="953"/>
      <c r="C6674" s="953"/>
      <c r="D6674" s="953"/>
      <c r="E6674" s="953"/>
      <c r="F6674" s="953"/>
      <c r="G6674" s="953"/>
      <c r="H6674" s="953"/>
    </row>
    <row r="6675" spans="1:8" x14ac:dyDescent="0.25">
      <c r="A6675" s="952"/>
      <c r="B6675" s="953"/>
      <c r="C6675" s="953"/>
      <c r="D6675" s="953"/>
      <c r="E6675" s="953"/>
      <c r="F6675" s="953"/>
      <c r="G6675" s="953"/>
      <c r="H6675" s="953"/>
    </row>
    <row r="6676" spans="1:8" x14ac:dyDescent="0.25">
      <c r="A6676" s="952"/>
      <c r="B6676" s="953"/>
      <c r="C6676" s="953"/>
      <c r="D6676" s="953"/>
      <c r="E6676" s="953"/>
      <c r="F6676" s="953"/>
      <c r="G6676" s="953"/>
      <c r="H6676" s="953"/>
    </row>
    <row r="6677" spans="1:8" x14ac:dyDescent="0.25">
      <c r="A6677" s="952"/>
      <c r="B6677" s="953"/>
      <c r="C6677" s="953"/>
      <c r="D6677" s="953"/>
      <c r="E6677" s="953"/>
      <c r="F6677" s="953"/>
      <c r="G6677" s="953"/>
      <c r="H6677" s="953"/>
    </row>
    <row r="6678" spans="1:8" x14ac:dyDescent="0.25">
      <c r="A6678" s="952"/>
      <c r="B6678" s="953"/>
      <c r="C6678" s="953"/>
      <c r="D6678" s="953"/>
      <c r="E6678" s="953"/>
      <c r="F6678" s="953"/>
      <c r="G6678" s="953"/>
      <c r="H6678" s="953"/>
    </row>
    <row r="6679" spans="1:8" x14ac:dyDescent="0.25">
      <c r="A6679" s="952"/>
      <c r="B6679" s="953"/>
      <c r="C6679" s="953"/>
      <c r="D6679" s="953"/>
      <c r="E6679" s="953"/>
      <c r="F6679" s="953"/>
      <c r="G6679" s="953"/>
      <c r="H6679" s="953"/>
    </row>
    <row r="6680" spans="1:8" x14ac:dyDescent="0.25">
      <c r="A6680" s="952"/>
      <c r="B6680" s="953"/>
      <c r="C6680" s="953"/>
      <c r="D6680" s="953"/>
      <c r="E6680" s="953"/>
      <c r="F6680" s="953"/>
      <c r="G6680" s="953"/>
      <c r="H6680" s="953"/>
    </row>
    <row r="6681" spans="1:8" x14ac:dyDescent="0.25">
      <c r="A6681" s="952"/>
      <c r="B6681" s="953"/>
      <c r="C6681" s="953"/>
      <c r="D6681" s="953"/>
      <c r="E6681" s="953"/>
      <c r="F6681" s="953"/>
      <c r="G6681" s="953"/>
      <c r="H6681" s="953"/>
    </row>
    <row r="6682" spans="1:8" x14ac:dyDescent="0.25">
      <c r="A6682" s="952"/>
      <c r="B6682" s="953"/>
      <c r="C6682" s="953"/>
      <c r="D6682" s="953"/>
      <c r="E6682" s="953"/>
      <c r="F6682" s="953"/>
      <c r="G6682" s="953"/>
      <c r="H6682" s="953"/>
    </row>
    <row r="6683" spans="1:8" x14ac:dyDescent="0.25">
      <c r="A6683" s="952"/>
      <c r="B6683" s="953"/>
      <c r="C6683" s="953"/>
      <c r="D6683" s="953"/>
      <c r="E6683" s="953"/>
      <c r="F6683" s="953"/>
      <c r="G6683" s="953"/>
      <c r="H6683" s="953"/>
    </row>
    <row r="6684" spans="1:8" x14ac:dyDescent="0.25">
      <c r="A6684" s="952"/>
      <c r="B6684" s="953"/>
      <c r="C6684" s="953"/>
      <c r="D6684" s="953"/>
      <c r="E6684" s="953"/>
      <c r="F6684" s="953"/>
      <c r="G6684" s="953"/>
      <c r="H6684" s="953"/>
    </row>
    <row r="6685" spans="1:8" x14ac:dyDescent="0.25">
      <c r="A6685" s="952"/>
      <c r="B6685" s="953"/>
      <c r="C6685" s="953"/>
      <c r="D6685" s="953"/>
      <c r="E6685" s="953"/>
      <c r="F6685" s="953"/>
      <c r="G6685" s="953"/>
      <c r="H6685" s="953"/>
    </row>
    <row r="6686" spans="1:8" x14ac:dyDescent="0.25">
      <c r="A6686" s="952"/>
      <c r="B6686" s="953"/>
      <c r="C6686" s="953"/>
      <c r="D6686" s="953"/>
      <c r="E6686" s="953"/>
      <c r="F6686" s="953"/>
      <c r="G6686" s="953"/>
      <c r="H6686" s="953"/>
    </row>
    <row r="6687" spans="1:8" x14ac:dyDescent="0.25">
      <c r="A6687" s="952"/>
      <c r="B6687" s="953"/>
      <c r="C6687" s="953"/>
      <c r="D6687" s="953"/>
      <c r="E6687" s="953"/>
      <c r="F6687" s="953"/>
      <c r="G6687" s="953"/>
      <c r="H6687" s="953"/>
    </row>
    <row r="6688" spans="1:8" x14ac:dyDescent="0.25">
      <c r="A6688" s="952"/>
      <c r="B6688" s="953"/>
      <c r="C6688" s="953"/>
      <c r="D6688" s="953"/>
      <c r="E6688" s="953"/>
      <c r="F6688" s="953"/>
      <c r="G6688" s="953"/>
      <c r="H6688" s="953"/>
    </row>
    <row r="6689" spans="1:8" x14ac:dyDescent="0.25">
      <c r="A6689" s="952"/>
      <c r="B6689" s="953"/>
      <c r="C6689" s="953"/>
      <c r="D6689" s="953"/>
      <c r="E6689" s="953"/>
      <c r="F6689" s="953"/>
      <c r="G6689" s="953"/>
      <c r="H6689" s="953"/>
    </row>
    <row r="6690" spans="1:8" x14ac:dyDescent="0.25">
      <c r="A6690" s="952"/>
      <c r="B6690" s="953"/>
      <c r="C6690" s="953"/>
      <c r="D6690" s="953"/>
      <c r="E6690" s="953"/>
      <c r="F6690" s="953"/>
      <c r="G6690" s="953"/>
      <c r="H6690" s="953"/>
    </row>
    <row r="6691" spans="1:8" x14ac:dyDescent="0.25">
      <c r="A6691" s="952"/>
      <c r="B6691" s="953"/>
      <c r="C6691" s="953"/>
      <c r="D6691" s="953"/>
      <c r="E6691" s="953"/>
      <c r="F6691" s="953"/>
      <c r="G6691" s="953"/>
      <c r="H6691" s="953"/>
    </row>
    <row r="6692" spans="1:8" x14ac:dyDescent="0.25">
      <c r="A6692" s="952"/>
      <c r="B6692" s="953"/>
      <c r="C6692" s="953"/>
      <c r="D6692" s="953"/>
      <c r="E6692" s="953"/>
      <c r="F6692" s="953"/>
      <c r="G6692" s="953"/>
      <c r="H6692" s="953"/>
    </row>
    <row r="6693" spans="1:8" x14ac:dyDescent="0.25">
      <c r="A6693" s="952"/>
      <c r="B6693" s="953"/>
      <c r="C6693" s="953"/>
      <c r="D6693" s="953"/>
      <c r="E6693" s="953"/>
      <c r="F6693" s="953"/>
      <c r="G6693" s="953"/>
      <c r="H6693" s="953"/>
    </row>
    <row r="6694" spans="1:8" x14ac:dyDescent="0.25">
      <c r="A6694" s="952"/>
      <c r="B6694" s="953"/>
      <c r="C6694" s="953"/>
      <c r="D6694" s="953"/>
      <c r="E6694" s="953"/>
      <c r="F6694" s="953"/>
      <c r="G6694" s="953"/>
      <c r="H6694" s="953"/>
    </row>
    <row r="6695" spans="1:8" x14ac:dyDescent="0.25">
      <c r="A6695" s="952"/>
      <c r="B6695" s="953"/>
      <c r="C6695" s="953"/>
      <c r="D6695" s="953"/>
      <c r="E6695" s="953"/>
      <c r="F6695" s="953"/>
      <c r="G6695" s="953"/>
      <c r="H6695" s="953"/>
    </row>
    <row r="6696" spans="1:8" x14ac:dyDescent="0.25">
      <c r="A6696" s="952"/>
      <c r="B6696" s="953"/>
      <c r="C6696" s="953"/>
      <c r="D6696" s="953"/>
      <c r="E6696" s="953"/>
      <c r="F6696" s="953"/>
      <c r="G6696" s="953"/>
      <c r="H6696" s="953"/>
    </row>
    <row r="6697" spans="1:8" x14ac:dyDescent="0.25">
      <c r="A6697" s="952"/>
      <c r="B6697" s="953"/>
      <c r="C6697" s="953"/>
      <c r="D6697" s="953"/>
      <c r="E6697" s="953"/>
      <c r="F6697" s="953"/>
      <c r="G6697" s="953"/>
      <c r="H6697" s="953"/>
    </row>
    <row r="6698" spans="1:8" x14ac:dyDescent="0.25">
      <c r="A6698" s="952"/>
      <c r="B6698" s="953"/>
      <c r="C6698" s="953"/>
      <c r="D6698" s="953"/>
      <c r="E6698" s="953"/>
      <c r="F6698" s="953"/>
      <c r="G6698" s="953"/>
      <c r="H6698" s="953"/>
    </row>
    <row r="6699" spans="1:8" x14ac:dyDescent="0.25">
      <c r="A6699" s="952"/>
      <c r="B6699" s="953"/>
      <c r="C6699" s="953"/>
      <c r="D6699" s="953"/>
      <c r="E6699" s="953"/>
      <c r="F6699" s="953"/>
      <c r="G6699" s="953"/>
      <c r="H6699" s="953"/>
    </row>
    <row r="6700" spans="1:8" x14ac:dyDescent="0.25">
      <c r="A6700" s="952"/>
      <c r="B6700" s="953"/>
      <c r="C6700" s="953"/>
      <c r="D6700" s="953"/>
      <c r="E6700" s="953"/>
      <c r="F6700" s="953"/>
      <c r="G6700" s="953"/>
      <c r="H6700" s="953"/>
    </row>
    <row r="6701" spans="1:8" x14ac:dyDescent="0.25">
      <c r="A6701" s="952"/>
      <c r="B6701" s="953"/>
      <c r="C6701" s="953"/>
      <c r="D6701" s="953"/>
      <c r="E6701" s="953"/>
      <c r="F6701" s="953"/>
      <c r="G6701" s="953"/>
      <c r="H6701" s="953"/>
    </row>
    <row r="6702" spans="1:8" x14ac:dyDescent="0.25">
      <c r="A6702" s="952"/>
      <c r="B6702" s="953"/>
      <c r="C6702" s="953"/>
      <c r="D6702" s="953"/>
      <c r="E6702" s="953"/>
      <c r="F6702" s="953"/>
      <c r="G6702" s="953"/>
      <c r="H6702" s="953"/>
    </row>
    <row r="6703" spans="1:8" x14ac:dyDescent="0.25">
      <c r="A6703" s="952"/>
      <c r="B6703" s="953"/>
      <c r="C6703" s="953"/>
      <c r="D6703" s="953"/>
      <c r="E6703" s="953"/>
      <c r="F6703" s="953"/>
      <c r="G6703" s="953"/>
      <c r="H6703" s="953"/>
    </row>
    <row r="6704" spans="1:8" x14ac:dyDescent="0.25">
      <c r="A6704" s="952"/>
      <c r="B6704" s="953"/>
      <c r="C6704" s="953"/>
      <c r="D6704" s="953"/>
      <c r="E6704" s="953"/>
      <c r="F6704" s="953"/>
      <c r="G6704" s="953"/>
      <c r="H6704" s="953"/>
    </row>
    <row r="6705" spans="1:8" x14ac:dyDescent="0.25">
      <c r="A6705" s="952"/>
      <c r="B6705" s="953"/>
      <c r="C6705" s="953"/>
      <c r="D6705" s="953"/>
      <c r="E6705" s="953"/>
      <c r="F6705" s="953"/>
      <c r="G6705" s="953"/>
      <c r="H6705" s="953"/>
    </row>
    <row r="6706" spans="1:8" x14ac:dyDescent="0.25">
      <c r="A6706" s="952"/>
      <c r="B6706" s="953"/>
      <c r="C6706" s="953"/>
      <c r="D6706" s="953"/>
      <c r="E6706" s="953"/>
      <c r="F6706" s="953"/>
      <c r="G6706" s="953"/>
      <c r="H6706" s="953"/>
    </row>
    <row r="6707" spans="1:8" x14ac:dyDescent="0.25">
      <c r="A6707" s="952"/>
      <c r="B6707" s="953"/>
      <c r="C6707" s="953"/>
      <c r="D6707" s="953"/>
      <c r="E6707" s="953"/>
      <c r="F6707" s="953"/>
      <c r="G6707" s="953"/>
      <c r="H6707" s="953"/>
    </row>
    <row r="6708" spans="1:8" x14ac:dyDescent="0.25">
      <c r="A6708" s="952"/>
      <c r="B6708" s="953"/>
      <c r="C6708" s="953"/>
      <c r="D6708" s="953"/>
      <c r="E6708" s="953"/>
      <c r="F6708" s="953"/>
      <c r="G6708" s="953"/>
      <c r="H6708" s="953"/>
    </row>
    <row r="6709" spans="1:8" x14ac:dyDescent="0.25">
      <c r="A6709" s="952"/>
      <c r="B6709" s="953"/>
      <c r="C6709" s="953"/>
      <c r="D6709" s="953"/>
      <c r="E6709" s="953"/>
      <c r="F6709" s="953"/>
      <c r="G6709" s="953"/>
      <c r="H6709" s="953"/>
    </row>
    <row r="6710" spans="1:8" x14ac:dyDescent="0.25">
      <c r="A6710" s="952"/>
      <c r="B6710" s="953"/>
      <c r="C6710" s="953"/>
      <c r="D6710" s="953"/>
      <c r="E6710" s="953"/>
      <c r="F6710" s="953"/>
      <c r="G6710" s="953"/>
      <c r="H6710" s="953"/>
    </row>
    <row r="6711" spans="1:8" x14ac:dyDescent="0.25">
      <c r="A6711" s="952"/>
      <c r="B6711" s="953"/>
      <c r="C6711" s="953"/>
      <c r="D6711" s="953"/>
      <c r="E6711" s="953"/>
      <c r="F6711" s="953"/>
      <c r="G6711" s="953"/>
      <c r="H6711" s="953"/>
    </row>
    <row r="6712" spans="1:8" x14ac:dyDescent="0.25">
      <c r="A6712" s="952"/>
      <c r="B6712" s="953"/>
      <c r="C6712" s="953"/>
      <c r="D6712" s="953"/>
      <c r="E6712" s="953"/>
      <c r="F6712" s="953"/>
      <c r="G6712" s="953"/>
      <c r="H6712" s="953"/>
    </row>
    <row r="6713" spans="1:8" x14ac:dyDescent="0.25">
      <c r="A6713" s="952"/>
      <c r="B6713" s="953"/>
      <c r="C6713" s="953"/>
      <c r="D6713" s="953"/>
      <c r="E6713" s="953"/>
      <c r="F6713" s="953"/>
      <c r="G6713" s="953"/>
      <c r="H6713" s="953"/>
    </row>
    <row r="6714" spans="1:8" x14ac:dyDescent="0.25">
      <c r="A6714" s="952"/>
      <c r="B6714" s="953"/>
      <c r="C6714" s="953"/>
      <c r="D6714" s="953"/>
      <c r="E6714" s="953"/>
      <c r="F6714" s="953"/>
      <c r="G6714" s="953"/>
      <c r="H6714" s="953"/>
    </row>
    <row r="6715" spans="1:8" x14ac:dyDescent="0.25">
      <c r="A6715" s="952"/>
      <c r="B6715" s="953"/>
      <c r="C6715" s="953"/>
      <c r="D6715" s="953"/>
      <c r="E6715" s="953"/>
      <c r="F6715" s="953"/>
      <c r="G6715" s="953"/>
      <c r="H6715" s="953"/>
    </row>
    <row r="6716" spans="1:8" x14ac:dyDescent="0.25">
      <c r="A6716" s="952"/>
      <c r="B6716" s="953"/>
      <c r="C6716" s="953"/>
      <c r="D6716" s="953"/>
      <c r="E6716" s="953"/>
      <c r="F6716" s="953"/>
      <c r="G6716" s="953"/>
      <c r="H6716" s="953"/>
    </row>
    <row r="6717" spans="1:8" x14ac:dyDescent="0.25">
      <c r="A6717" s="952"/>
      <c r="B6717" s="953"/>
      <c r="C6717" s="953"/>
      <c r="D6717" s="953"/>
      <c r="E6717" s="953"/>
      <c r="F6717" s="953"/>
      <c r="G6717" s="953"/>
      <c r="H6717" s="953"/>
    </row>
    <row r="6718" spans="1:8" x14ac:dyDescent="0.25">
      <c r="A6718" s="952"/>
      <c r="B6718" s="953"/>
      <c r="C6718" s="953"/>
      <c r="D6718" s="953"/>
      <c r="E6718" s="953"/>
      <c r="F6718" s="953"/>
      <c r="G6718" s="953"/>
      <c r="H6718" s="953"/>
    </row>
    <row r="6719" spans="1:8" x14ac:dyDescent="0.25">
      <c r="A6719" s="952"/>
      <c r="B6719" s="953"/>
      <c r="C6719" s="953"/>
      <c r="D6719" s="953"/>
      <c r="E6719" s="953"/>
      <c r="F6719" s="953"/>
      <c r="G6719" s="953"/>
      <c r="H6719" s="953"/>
    </row>
    <row r="6720" spans="1:8" x14ac:dyDescent="0.25">
      <c r="A6720" s="952"/>
      <c r="B6720" s="953"/>
      <c r="C6720" s="953"/>
      <c r="D6720" s="953"/>
      <c r="E6720" s="953"/>
      <c r="F6720" s="953"/>
      <c r="G6720" s="953"/>
      <c r="H6720" s="953"/>
    </row>
    <row r="6721" spans="1:8" x14ac:dyDescent="0.25">
      <c r="A6721" s="952"/>
      <c r="B6721" s="953"/>
      <c r="C6721" s="953"/>
      <c r="D6721" s="953"/>
      <c r="E6721" s="953"/>
      <c r="F6721" s="953"/>
      <c r="G6721" s="953"/>
      <c r="H6721" s="953"/>
    </row>
    <row r="6722" spans="1:8" x14ac:dyDescent="0.25">
      <c r="A6722" s="952"/>
      <c r="B6722" s="953"/>
      <c r="C6722" s="953"/>
      <c r="D6722" s="953"/>
      <c r="E6722" s="953"/>
      <c r="F6722" s="953"/>
      <c r="G6722" s="953"/>
      <c r="H6722" s="953"/>
    </row>
    <row r="6723" spans="1:8" x14ac:dyDescent="0.25">
      <c r="A6723" s="952"/>
      <c r="B6723" s="953"/>
      <c r="C6723" s="953"/>
      <c r="D6723" s="953"/>
      <c r="E6723" s="953"/>
      <c r="F6723" s="953"/>
      <c r="G6723" s="953"/>
      <c r="H6723" s="953"/>
    </row>
    <row r="6724" spans="1:8" x14ac:dyDescent="0.25">
      <c r="A6724" s="952"/>
      <c r="B6724" s="953"/>
      <c r="C6724" s="953"/>
      <c r="D6724" s="953"/>
      <c r="E6724" s="953"/>
      <c r="F6724" s="953"/>
      <c r="G6724" s="953"/>
      <c r="H6724" s="953"/>
    </row>
    <row r="6725" spans="1:8" x14ac:dyDescent="0.25">
      <c r="A6725" s="952"/>
      <c r="B6725" s="953"/>
      <c r="C6725" s="953"/>
      <c r="D6725" s="953"/>
      <c r="E6725" s="953"/>
      <c r="F6725" s="953"/>
      <c r="G6725" s="953"/>
      <c r="H6725" s="953"/>
    </row>
    <row r="6726" spans="1:8" x14ac:dyDescent="0.25">
      <c r="A6726" s="952"/>
      <c r="B6726" s="953"/>
      <c r="C6726" s="953"/>
      <c r="D6726" s="953"/>
      <c r="E6726" s="953"/>
      <c r="F6726" s="953"/>
      <c r="G6726" s="953"/>
      <c r="H6726" s="953"/>
    </row>
    <row r="6727" spans="1:8" x14ac:dyDescent="0.25">
      <c r="A6727" s="952"/>
      <c r="B6727" s="953"/>
      <c r="C6727" s="953"/>
      <c r="D6727" s="953"/>
      <c r="E6727" s="953"/>
      <c r="F6727" s="953"/>
      <c r="G6727" s="953"/>
      <c r="H6727" s="953"/>
    </row>
    <row r="6728" spans="1:8" x14ac:dyDescent="0.25">
      <c r="A6728" s="952"/>
      <c r="B6728" s="953"/>
      <c r="C6728" s="953"/>
      <c r="D6728" s="953"/>
      <c r="E6728" s="953"/>
      <c r="F6728" s="953"/>
      <c r="G6728" s="953"/>
      <c r="H6728" s="953"/>
    </row>
    <row r="6729" spans="1:8" x14ac:dyDescent="0.25">
      <c r="A6729" s="952"/>
      <c r="B6729" s="953"/>
      <c r="C6729" s="953"/>
      <c r="D6729" s="953"/>
      <c r="E6729" s="953"/>
      <c r="F6729" s="953"/>
      <c r="G6729" s="953"/>
      <c r="H6729" s="953"/>
    </row>
    <row r="6730" spans="1:8" x14ac:dyDescent="0.25">
      <c r="A6730" s="952"/>
      <c r="B6730" s="953"/>
      <c r="C6730" s="953"/>
      <c r="D6730" s="953"/>
      <c r="E6730" s="953"/>
      <c r="F6730" s="953"/>
      <c r="G6730" s="953"/>
      <c r="H6730" s="953"/>
    </row>
    <row r="6731" spans="1:8" x14ac:dyDescent="0.25">
      <c r="A6731" s="952"/>
      <c r="B6731" s="953"/>
      <c r="C6731" s="953"/>
      <c r="D6731" s="953"/>
      <c r="E6731" s="953"/>
      <c r="F6731" s="953"/>
      <c r="G6731" s="953"/>
      <c r="H6731" s="953"/>
    </row>
    <row r="6732" spans="1:8" x14ac:dyDescent="0.25">
      <c r="A6732" s="952"/>
      <c r="B6732" s="953"/>
      <c r="C6732" s="953"/>
      <c r="D6732" s="953"/>
      <c r="E6732" s="953"/>
      <c r="F6732" s="953"/>
      <c r="G6732" s="953"/>
      <c r="H6732" s="953"/>
    </row>
    <row r="6733" spans="1:8" x14ac:dyDescent="0.25">
      <c r="A6733" s="952"/>
      <c r="B6733" s="953"/>
      <c r="C6733" s="953"/>
      <c r="D6733" s="953"/>
      <c r="E6733" s="953"/>
      <c r="F6733" s="953"/>
      <c r="G6733" s="953"/>
      <c r="H6733" s="953"/>
    </row>
    <row r="6734" spans="1:8" x14ac:dyDescent="0.25">
      <c r="A6734" s="952"/>
      <c r="B6734" s="953"/>
      <c r="C6734" s="953"/>
      <c r="D6734" s="953"/>
      <c r="E6734" s="953"/>
      <c r="F6734" s="953"/>
      <c r="G6734" s="953"/>
      <c r="H6734" s="953"/>
    </row>
    <row r="6735" spans="1:8" x14ac:dyDescent="0.25">
      <c r="A6735" s="952"/>
      <c r="B6735" s="953"/>
      <c r="C6735" s="953"/>
      <c r="D6735" s="953"/>
      <c r="E6735" s="953"/>
      <c r="F6735" s="953"/>
      <c r="G6735" s="953"/>
      <c r="H6735" s="953"/>
    </row>
    <row r="6736" spans="1:8" x14ac:dyDescent="0.25">
      <c r="A6736" s="952"/>
      <c r="B6736" s="953"/>
      <c r="C6736" s="953"/>
      <c r="D6736" s="953"/>
      <c r="E6736" s="953"/>
      <c r="F6736" s="953"/>
      <c r="G6736" s="953"/>
      <c r="H6736" s="953"/>
    </row>
    <row r="6737" spans="1:8" x14ac:dyDescent="0.25">
      <c r="A6737" s="952"/>
      <c r="B6737" s="953"/>
      <c r="C6737" s="953"/>
      <c r="D6737" s="953"/>
      <c r="E6737" s="953"/>
      <c r="F6737" s="953"/>
      <c r="G6737" s="953"/>
      <c r="H6737" s="953"/>
    </row>
    <row r="6738" spans="1:8" x14ac:dyDescent="0.25">
      <c r="A6738" s="952"/>
      <c r="B6738" s="953"/>
      <c r="C6738" s="953"/>
      <c r="D6738" s="953"/>
      <c r="E6738" s="953"/>
      <c r="F6738" s="953"/>
      <c r="G6738" s="953"/>
      <c r="H6738" s="953"/>
    </row>
    <row r="6739" spans="1:8" x14ac:dyDescent="0.25">
      <c r="A6739" s="952"/>
      <c r="B6739" s="953"/>
      <c r="C6739" s="953"/>
      <c r="D6739" s="953"/>
      <c r="E6739" s="953"/>
      <c r="F6739" s="953"/>
      <c r="G6739" s="953"/>
      <c r="H6739" s="953"/>
    </row>
    <row r="6740" spans="1:8" x14ac:dyDescent="0.25">
      <c r="A6740" s="952"/>
      <c r="B6740" s="953"/>
      <c r="C6740" s="953"/>
      <c r="D6740" s="953"/>
      <c r="E6740" s="953"/>
      <c r="F6740" s="953"/>
      <c r="G6740" s="953"/>
      <c r="H6740" s="953"/>
    </row>
    <row r="6741" spans="1:8" x14ac:dyDescent="0.25">
      <c r="A6741" s="952"/>
      <c r="B6741" s="953"/>
      <c r="C6741" s="953"/>
      <c r="D6741" s="953"/>
      <c r="E6741" s="953"/>
      <c r="F6741" s="953"/>
      <c r="G6741" s="953"/>
      <c r="H6741" s="953"/>
    </row>
    <row r="6742" spans="1:8" x14ac:dyDescent="0.25">
      <c r="A6742" s="952"/>
      <c r="B6742" s="953"/>
      <c r="C6742" s="953"/>
      <c r="D6742" s="953"/>
      <c r="E6742" s="953"/>
      <c r="F6742" s="953"/>
      <c r="G6742" s="953"/>
      <c r="H6742" s="953"/>
    </row>
    <row r="6743" spans="1:8" x14ac:dyDescent="0.25">
      <c r="A6743" s="952"/>
      <c r="B6743" s="953"/>
      <c r="C6743" s="953"/>
      <c r="D6743" s="953"/>
      <c r="E6743" s="953"/>
      <c r="F6743" s="953"/>
      <c r="G6743" s="953"/>
      <c r="H6743" s="953"/>
    </row>
    <row r="6744" spans="1:8" x14ac:dyDescent="0.25">
      <c r="A6744" s="952"/>
      <c r="B6744" s="953"/>
      <c r="C6744" s="953"/>
      <c r="D6744" s="953"/>
      <c r="E6744" s="953"/>
      <c r="F6744" s="953"/>
      <c r="G6744" s="953"/>
      <c r="H6744" s="953"/>
    </row>
    <row r="6745" spans="1:8" x14ac:dyDescent="0.25">
      <c r="A6745" s="952"/>
      <c r="B6745" s="953"/>
      <c r="C6745" s="953"/>
      <c r="D6745" s="953"/>
      <c r="E6745" s="953"/>
      <c r="F6745" s="953"/>
      <c r="G6745" s="953"/>
      <c r="H6745" s="953"/>
    </row>
    <row r="6746" spans="1:8" x14ac:dyDescent="0.25">
      <c r="A6746" s="952"/>
      <c r="B6746" s="953"/>
      <c r="C6746" s="953"/>
      <c r="D6746" s="953"/>
      <c r="E6746" s="953"/>
      <c r="F6746" s="953"/>
      <c r="G6746" s="953"/>
      <c r="H6746" s="953"/>
    </row>
    <row r="6747" spans="1:8" x14ac:dyDescent="0.25">
      <c r="A6747" s="952"/>
      <c r="B6747" s="953"/>
      <c r="C6747" s="953"/>
      <c r="D6747" s="953"/>
      <c r="E6747" s="953"/>
      <c r="F6747" s="953"/>
      <c r="G6747" s="953"/>
      <c r="H6747" s="953"/>
    </row>
    <row r="6748" spans="1:8" x14ac:dyDescent="0.25">
      <c r="A6748" s="952"/>
      <c r="B6748" s="953"/>
      <c r="C6748" s="953"/>
      <c r="D6748" s="953"/>
      <c r="E6748" s="953"/>
      <c r="F6748" s="953"/>
      <c r="G6748" s="953"/>
      <c r="H6748" s="953"/>
    </row>
    <row r="6749" spans="1:8" x14ac:dyDescent="0.25">
      <c r="A6749" s="952"/>
      <c r="B6749" s="953"/>
      <c r="C6749" s="953"/>
      <c r="D6749" s="953"/>
      <c r="E6749" s="953"/>
      <c r="F6749" s="953"/>
      <c r="G6749" s="953"/>
      <c r="H6749" s="953"/>
    </row>
    <row r="6750" spans="1:8" x14ac:dyDescent="0.25">
      <c r="A6750" s="952"/>
      <c r="B6750" s="953"/>
      <c r="C6750" s="953"/>
      <c r="D6750" s="953"/>
      <c r="E6750" s="953"/>
      <c r="F6750" s="953"/>
      <c r="G6750" s="953"/>
      <c r="H6750" s="953"/>
    </row>
    <row r="6751" spans="1:8" x14ac:dyDescent="0.25">
      <c r="A6751" s="952"/>
      <c r="B6751" s="953"/>
      <c r="C6751" s="953"/>
      <c r="D6751" s="953"/>
      <c r="E6751" s="953"/>
      <c r="F6751" s="953"/>
      <c r="G6751" s="953"/>
      <c r="H6751" s="953"/>
    </row>
    <row r="6752" spans="1:8" x14ac:dyDescent="0.25">
      <c r="A6752" s="952"/>
      <c r="B6752" s="953"/>
      <c r="C6752" s="953"/>
      <c r="D6752" s="953"/>
      <c r="E6752" s="953"/>
      <c r="F6752" s="953"/>
      <c r="G6752" s="953"/>
      <c r="H6752" s="953"/>
    </row>
    <row r="6753" spans="1:8" x14ac:dyDescent="0.25">
      <c r="A6753" s="952"/>
      <c r="B6753" s="953"/>
      <c r="C6753" s="953"/>
      <c r="D6753" s="953"/>
      <c r="E6753" s="953"/>
      <c r="F6753" s="953"/>
      <c r="G6753" s="953"/>
      <c r="H6753" s="953"/>
    </row>
    <row r="6754" spans="1:8" x14ac:dyDescent="0.25">
      <c r="A6754" s="952"/>
      <c r="B6754" s="953"/>
      <c r="C6754" s="953"/>
      <c r="D6754" s="953"/>
      <c r="E6754" s="953"/>
      <c r="F6754" s="953"/>
      <c r="G6754" s="953"/>
      <c r="H6754" s="953"/>
    </row>
    <row r="6755" spans="1:8" x14ac:dyDescent="0.25">
      <c r="A6755" s="952"/>
      <c r="B6755" s="953"/>
      <c r="C6755" s="953"/>
      <c r="D6755" s="953"/>
      <c r="E6755" s="953"/>
      <c r="F6755" s="953"/>
      <c r="G6755" s="953"/>
      <c r="H6755" s="953"/>
    </row>
    <row r="6756" spans="1:8" x14ac:dyDescent="0.25">
      <c r="A6756" s="952"/>
      <c r="B6756" s="953"/>
      <c r="C6756" s="953"/>
      <c r="D6756" s="953"/>
      <c r="E6756" s="953"/>
      <c r="F6756" s="953"/>
      <c r="G6756" s="953"/>
      <c r="H6756" s="953"/>
    </row>
    <row r="6757" spans="1:8" x14ac:dyDescent="0.25">
      <c r="A6757" s="952"/>
      <c r="B6757" s="953"/>
      <c r="C6757" s="953"/>
      <c r="D6757" s="953"/>
      <c r="E6757" s="953"/>
      <c r="F6757" s="953"/>
      <c r="G6757" s="953"/>
      <c r="H6757" s="953"/>
    </row>
    <row r="6758" spans="1:8" x14ac:dyDescent="0.25">
      <c r="A6758" s="952"/>
      <c r="B6758" s="953"/>
      <c r="C6758" s="953"/>
      <c r="D6758" s="953"/>
      <c r="E6758" s="953"/>
      <c r="F6758" s="953"/>
      <c r="G6758" s="953"/>
      <c r="H6758" s="953"/>
    </row>
    <row r="6759" spans="1:8" x14ac:dyDescent="0.25">
      <c r="A6759" s="952"/>
      <c r="B6759" s="953"/>
      <c r="C6759" s="953"/>
      <c r="D6759" s="953"/>
      <c r="E6759" s="953"/>
      <c r="F6759" s="953"/>
      <c r="G6759" s="953"/>
      <c r="H6759" s="953"/>
    </row>
    <row r="6760" spans="1:8" x14ac:dyDescent="0.25">
      <c r="A6760" s="952"/>
      <c r="B6760" s="953"/>
      <c r="C6760" s="953"/>
      <c r="D6760" s="953"/>
      <c r="E6760" s="953"/>
      <c r="F6760" s="953"/>
      <c r="G6760" s="953"/>
      <c r="H6760" s="953"/>
    </row>
    <row r="6761" spans="1:8" x14ac:dyDescent="0.25">
      <c r="A6761" s="952"/>
      <c r="B6761" s="953"/>
      <c r="C6761" s="953"/>
      <c r="D6761" s="953"/>
      <c r="E6761" s="953"/>
      <c r="F6761" s="953"/>
      <c r="G6761" s="953"/>
      <c r="H6761" s="953"/>
    </row>
    <row r="6762" spans="1:8" x14ac:dyDescent="0.25">
      <c r="A6762" s="952"/>
      <c r="B6762" s="953"/>
      <c r="C6762" s="953"/>
      <c r="D6762" s="953"/>
      <c r="E6762" s="953"/>
      <c r="F6762" s="953"/>
      <c r="G6762" s="953"/>
      <c r="H6762" s="953"/>
    </row>
    <row r="6763" spans="1:8" x14ac:dyDescent="0.25">
      <c r="A6763" s="952"/>
      <c r="B6763" s="953"/>
      <c r="C6763" s="953"/>
      <c r="D6763" s="953"/>
      <c r="E6763" s="953"/>
      <c r="F6763" s="953"/>
      <c r="G6763" s="953"/>
      <c r="H6763" s="953"/>
    </row>
    <row r="6764" spans="1:8" x14ac:dyDescent="0.25">
      <c r="A6764" s="952"/>
      <c r="B6764" s="953"/>
      <c r="C6764" s="953"/>
      <c r="D6764" s="953"/>
      <c r="E6764" s="953"/>
      <c r="F6764" s="953"/>
      <c r="G6764" s="953"/>
      <c r="H6764" s="953"/>
    </row>
    <row r="6765" spans="1:8" x14ac:dyDescent="0.25">
      <c r="A6765" s="952"/>
      <c r="B6765" s="953"/>
      <c r="C6765" s="953"/>
      <c r="D6765" s="953"/>
      <c r="E6765" s="953"/>
      <c r="F6765" s="953"/>
      <c r="G6765" s="953"/>
      <c r="H6765" s="953"/>
    </row>
    <row r="6766" spans="1:8" x14ac:dyDescent="0.25">
      <c r="A6766" s="952"/>
      <c r="B6766" s="953"/>
      <c r="C6766" s="953"/>
      <c r="D6766" s="953"/>
      <c r="E6766" s="953"/>
      <c r="F6766" s="953"/>
      <c r="G6766" s="953"/>
      <c r="H6766" s="953"/>
    </row>
    <row r="6767" spans="1:8" x14ac:dyDescent="0.25">
      <c r="A6767" s="952"/>
      <c r="B6767" s="953"/>
      <c r="C6767" s="953"/>
      <c r="D6767" s="953"/>
      <c r="E6767" s="953"/>
      <c r="F6767" s="953"/>
      <c r="G6767" s="953"/>
      <c r="H6767" s="953"/>
    </row>
    <row r="6768" spans="1:8" x14ac:dyDescent="0.25">
      <c r="A6768" s="952"/>
      <c r="B6768" s="953"/>
      <c r="C6768" s="953"/>
      <c r="D6768" s="953"/>
      <c r="E6768" s="953"/>
      <c r="F6768" s="953"/>
      <c r="G6768" s="953"/>
      <c r="H6768" s="953"/>
    </row>
    <row r="6769" spans="1:8" x14ac:dyDescent="0.25">
      <c r="A6769" s="952"/>
      <c r="B6769" s="953"/>
      <c r="C6769" s="953"/>
      <c r="D6769" s="953"/>
      <c r="E6769" s="953"/>
      <c r="F6769" s="953"/>
      <c r="G6769" s="953"/>
      <c r="H6769" s="953"/>
    </row>
    <row r="6770" spans="1:8" x14ac:dyDescent="0.25">
      <c r="A6770" s="952"/>
      <c r="B6770" s="953"/>
      <c r="C6770" s="953"/>
      <c r="D6770" s="953"/>
      <c r="E6770" s="953"/>
      <c r="F6770" s="953"/>
      <c r="G6770" s="953"/>
      <c r="H6770" s="953"/>
    </row>
    <row r="6771" spans="1:8" x14ac:dyDescent="0.25">
      <c r="A6771" s="952"/>
      <c r="B6771" s="953"/>
      <c r="C6771" s="953"/>
      <c r="D6771" s="953"/>
      <c r="E6771" s="953"/>
      <c r="F6771" s="953"/>
      <c r="G6771" s="953"/>
      <c r="H6771" s="953"/>
    </row>
    <row r="6772" spans="1:8" x14ac:dyDescent="0.25">
      <c r="A6772" s="952"/>
      <c r="B6772" s="953"/>
      <c r="C6772" s="953"/>
      <c r="D6772" s="953"/>
      <c r="E6772" s="953"/>
      <c r="F6772" s="953"/>
      <c r="G6772" s="953"/>
      <c r="H6772" s="953"/>
    </row>
    <row r="6773" spans="1:8" x14ac:dyDescent="0.25">
      <c r="A6773" s="952"/>
      <c r="B6773" s="953"/>
      <c r="C6773" s="953"/>
      <c r="D6773" s="953"/>
      <c r="E6773" s="953"/>
      <c r="F6773" s="953"/>
      <c r="G6773" s="953"/>
      <c r="H6773" s="953"/>
    </row>
    <row r="6774" spans="1:8" x14ac:dyDescent="0.25">
      <c r="A6774" s="952"/>
      <c r="B6774" s="953"/>
      <c r="C6774" s="953"/>
      <c r="D6774" s="953"/>
      <c r="E6774" s="953"/>
      <c r="F6774" s="953"/>
      <c r="G6774" s="953"/>
      <c r="H6774" s="953"/>
    </row>
    <row r="6775" spans="1:8" x14ac:dyDescent="0.25">
      <c r="A6775" s="952"/>
      <c r="B6775" s="953"/>
      <c r="C6775" s="953"/>
      <c r="D6775" s="953"/>
      <c r="E6775" s="953"/>
      <c r="F6775" s="953"/>
      <c r="G6775" s="953"/>
      <c r="H6775" s="953"/>
    </row>
    <row r="6776" spans="1:8" x14ac:dyDescent="0.25">
      <c r="A6776" s="952"/>
      <c r="B6776" s="953"/>
      <c r="C6776" s="953"/>
      <c r="D6776" s="953"/>
      <c r="E6776" s="953"/>
      <c r="F6776" s="953"/>
      <c r="G6776" s="953"/>
      <c r="H6776" s="953"/>
    </row>
    <row r="6777" spans="1:8" x14ac:dyDescent="0.25">
      <c r="A6777" s="952"/>
      <c r="B6777" s="953"/>
      <c r="C6777" s="953"/>
      <c r="D6777" s="953"/>
      <c r="E6777" s="953"/>
      <c r="F6777" s="953"/>
      <c r="G6777" s="953"/>
      <c r="H6777" s="953"/>
    </row>
    <row r="6778" spans="1:8" x14ac:dyDescent="0.25">
      <c r="A6778" s="952"/>
      <c r="B6778" s="953"/>
      <c r="C6778" s="953"/>
      <c r="D6778" s="953"/>
      <c r="E6778" s="953"/>
      <c r="F6778" s="953"/>
      <c r="G6778" s="953"/>
      <c r="H6778" s="953"/>
    </row>
    <row r="6779" spans="1:8" x14ac:dyDescent="0.25">
      <c r="A6779" s="952"/>
      <c r="B6779" s="953"/>
      <c r="C6779" s="953"/>
      <c r="D6779" s="953"/>
      <c r="E6779" s="953"/>
      <c r="F6779" s="953"/>
      <c r="G6779" s="953"/>
      <c r="H6779" s="953"/>
    </row>
    <row r="6780" spans="1:8" x14ac:dyDescent="0.25">
      <c r="A6780" s="952"/>
      <c r="B6780" s="953"/>
      <c r="C6780" s="953"/>
      <c r="D6780" s="953"/>
      <c r="E6780" s="953"/>
      <c r="F6780" s="953"/>
      <c r="G6780" s="953"/>
      <c r="H6780" s="953"/>
    </row>
    <row r="6781" spans="1:8" x14ac:dyDescent="0.25">
      <c r="A6781" s="952"/>
      <c r="B6781" s="953"/>
      <c r="C6781" s="953"/>
      <c r="D6781" s="953"/>
      <c r="E6781" s="953"/>
      <c r="F6781" s="953"/>
      <c r="G6781" s="953"/>
      <c r="H6781" s="953"/>
    </row>
    <row r="6782" spans="1:8" x14ac:dyDescent="0.25">
      <c r="A6782" s="952"/>
      <c r="B6782" s="953"/>
      <c r="C6782" s="953"/>
      <c r="D6782" s="953"/>
      <c r="E6782" s="953"/>
      <c r="F6782" s="953"/>
      <c r="G6782" s="953"/>
      <c r="H6782" s="953"/>
    </row>
    <row r="6783" spans="1:8" x14ac:dyDescent="0.25">
      <c r="A6783" s="952"/>
      <c r="B6783" s="953"/>
      <c r="C6783" s="953"/>
      <c r="D6783" s="953"/>
      <c r="E6783" s="953"/>
      <c r="F6783" s="953"/>
      <c r="G6783" s="953"/>
      <c r="H6783" s="953"/>
    </row>
    <row r="6784" spans="1:8" x14ac:dyDescent="0.25">
      <c r="A6784" s="952"/>
      <c r="B6784" s="953"/>
      <c r="C6784" s="953"/>
      <c r="D6784" s="953"/>
      <c r="E6784" s="953"/>
      <c r="F6784" s="953"/>
      <c r="G6784" s="953"/>
      <c r="H6784" s="953"/>
    </row>
    <row r="6785" spans="1:8" x14ac:dyDescent="0.25">
      <c r="A6785" s="952"/>
      <c r="B6785" s="953"/>
      <c r="C6785" s="953"/>
      <c r="D6785" s="953"/>
      <c r="E6785" s="953"/>
      <c r="F6785" s="953"/>
      <c r="G6785" s="953"/>
      <c r="H6785" s="953"/>
    </row>
    <row r="6786" spans="1:8" x14ac:dyDescent="0.25">
      <c r="A6786" s="952"/>
      <c r="B6786" s="953"/>
      <c r="C6786" s="953"/>
      <c r="D6786" s="953"/>
      <c r="E6786" s="953"/>
      <c r="F6786" s="953"/>
      <c r="G6786" s="953"/>
      <c r="H6786" s="953"/>
    </row>
    <row r="6787" spans="1:8" x14ac:dyDescent="0.25">
      <c r="A6787" s="952"/>
      <c r="B6787" s="953"/>
      <c r="C6787" s="953"/>
      <c r="D6787" s="953"/>
      <c r="E6787" s="953"/>
      <c r="F6787" s="953"/>
      <c r="G6787" s="953"/>
      <c r="H6787" s="953"/>
    </row>
    <row r="6788" spans="1:8" x14ac:dyDescent="0.25">
      <c r="A6788" s="952"/>
      <c r="B6788" s="953"/>
      <c r="C6788" s="953"/>
      <c r="D6788" s="953"/>
      <c r="E6788" s="953"/>
      <c r="F6788" s="953"/>
      <c r="G6788" s="953"/>
      <c r="H6788" s="953"/>
    </row>
    <row r="6789" spans="1:8" x14ac:dyDescent="0.25">
      <c r="A6789" s="952"/>
      <c r="B6789" s="953"/>
      <c r="C6789" s="953"/>
      <c r="D6789" s="953"/>
      <c r="E6789" s="953"/>
      <c r="F6789" s="953"/>
      <c r="G6789" s="953"/>
      <c r="H6789" s="953"/>
    </row>
    <row r="6790" spans="1:8" x14ac:dyDescent="0.25">
      <c r="A6790" s="952"/>
      <c r="B6790" s="953"/>
      <c r="C6790" s="953"/>
      <c r="D6790" s="953"/>
      <c r="E6790" s="953"/>
      <c r="F6790" s="953"/>
      <c r="G6790" s="953"/>
      <c r="H6790" s="953"/>
    </row>
    <row r="6791" spans="1:8" x14ac:dyDescent="0.25">
      <c r="A6791" s="952"/>
      <c r="B6791" s="953"/>
      <c r="C6791" s="953"/>
      <c r="D6791" s="953"/>
      <c r="E6791" s="953"/>
      <c r="F6791" s="953"/>
      <c r="G6791" s="953"/>
      <c r="H6791" s="953"/>
    </row>
    <row r="6792" spans="1:8" x14ac:dyDescent="0.25">
      <c r="A6792" s="952"/>
      <c r="B6792" s="953"/>
      <c r="C6792" s="953"/>
      <c r="D6792" s="953"/>
      <c r="E6792" s="953"/>
      <c r="F6792" s="953"/>
      <c r="G6792" s="953"/>
      <c r="H6792" s="953"/>
    </row>
    <row r="6793" spans="1:8" x14ac:dyDescent="0.25">
      <c r="A6793" s="952"/>
      <c r="B6793" s="953"/>
      <c r="C6793" s="953"/>
      <c r="D6793" s="953"/>
      <c r="E6793" s="953"/>
      <c r="F6793" s="953"/>
      <c r="G6793" s="953"/>
      <c r="H6793" s="953"/>
    </row>
    <row r="6794" spans="1:8" x14ac:dyDescent="0.25">
      <c r="A6794" s="952"/>
      <c r="B6794" s="953"/>
      <c r="C6794" s="953"/>
      <c r="D6794" s="953"/>
      <c r="E6794" s="953"/>
      <c r="F6794" s="953"/>
      <c r="G6794" s="953"/>
      <c r="H6794" s="953"/>
    </row>
    <row r="6795" spans="1:8" x14ac:dyDescent="0.25">
      <c r="A6795" s="952"/>
      <c r="B6795" s="953"/>
      <c r="C6795" s="953"/>
      <c r="D6795" s="953"/>
      <c r="E6795" s="953"/>
      <c r="F6795" s="953"/>
      <c r="G6795" s="953"/>
      <c r="H6795" s="953"/>
    </row>
    <row r="6796" spans="1:8" x14ac:dyDescent="0.25">
      <c r="A6796" s="952"/>
      <c r="B6796" s="953"/>
      <c r="C6796" s="953"/>
      <c r="D6796" s="953"/>
      <c r="E6796" s="953"/>
      <c r="F6796" s="953"/>
      <c r="G6796" s="953"/>
      <c r="H6796" s="953"/>
    </row>
    <row r="6797" spans="1:8" x14ac:dyDescent="0.25">
      <c r="A6797" s="952"/>
      <c r="B6797" s="953"/>
      <c r="C6797" s="953"/>
      <c r="D6797" s="953"/>
      <c r="E6797" s="953"/>
      <c r="F6797" s="953"/>
      <c r="G6797" s="953"/>
      <c r="H6797" s="953"/>
    </row>
    <row r="6798" spans="1:8" x14ac:dyDescent="0.25">
      <c r="A6798" s="952"/>
      <c r="B6798" s="953"/>
      <c r="C6798" s="953"/>
      <c r="D6798" s="953"/>
      <c r="E6798" s="953"/>
      <c r="F6798" s="953"/>
      <c r="G6798" s="953"/>
      <c r="H6798" s="953"/>
    </row>
    <row r="6799" spans="1:8" x14ac:dyDescent="0.25">
      <c r="A6799" s="952"/>
      <c r="B6799" s="953"/>
      <c r="C6799" s="953"/>
      <c r="D6799" s="953"/>
      <c r="E6799" s="953"/>
      <c r="F6799" s="953"/>
      <c r="G6799" s="953"/>
      <c r="H6799" s="953"/>
    </row>
    <row r="6800" spans="1:8" x14ac:dyDescent="0.25">
      <c r="A6800" s="952"/>
      <c r="B6800" s="953"/>
      <c r="C6800" s="953"/>
      <c r="D6800" s="953"/>
      <c r="E6800" s="953"/>
      <c r="F6800" s="953"/>
      <c r="G6800" s="953"/>
      <c r="H6800" s="953"/>
    </row>
    <row r="6801" spans="1:8" x14ac:dyDescent="0.25">
      <c r="A6801" s="952"/>
      <c r="B6801" s="953"/>
      <c r="C6801" s="953"/>
      <c r="D6801" s="953"/>
      <c r="E6801" s="953"/>
      <c r="F6801" s="953"/>
      <c r="G6801" s="953"/>
      <c r="H6801" s="953"/>
    </row>
    <row r="6802" spans="1:8" x14ac:dyDescent="0.25">
      <c r="A6802" s="952"/>
      <c r="B6802" s="953"/>
      <c r="C6802" s="953"/>
      <c r="D6802" s="953"/>
      <c r="E6802" s="953"/>
      <c r="F6802" s="953"/>
      <c r="G6802" s="953"/>
      <c r="H6802" s="953"/>
    </row>
    <row r="6803" spans="1:8" x14ac:dyDescent="0.25">
      <c r="A6803" s="952"/>
      <c r="B6803" s="953"/>
      <c r="C6803" s="953"/>
      <c r="D6803" s="953"/>
      <c r="E6803" s="953"/>
      <c r="F6803" s="953"/>
      <c r="G6803" s="953"/>
      <c r="H6803" s="953"/>
    </row>
    <row r="6804" spans="1:8" x14ac:dyDescent="0.25">
      <c r="A6804" s="952"/>
      <c r="B6804" s="953"/>
      <c r="C6804" s="953"/>
      <c r="D6804" s="953"/>
      <c r="E6804" s="953"/>
      <c r="F6804" s="953"/>
      <c r="G6804" s="953"/>
      <c r="H6804" s="953"/>
    </row>
    <row r="6805" spans="1:8" x14ac:dyDescent="0.25">
      <c r="A6805" s="952"/>
      <c r="B6805" s="953"/>
      <c r="C6805" s="953"/>
      <c r="D6805" s="953"/>
      <c r="E6805" s="953"/>
      <c r="F6805" s="953"/>
      <c r="G6805" s="953"/>
      <c r="H6805" s="953"/>
    </row>
    <row r="6806" spans="1:8" x14ac:dyDescent="0.25">
      <c r="A6806" s="952"/>
      <c r="B6806" s="953"/>
      <c r="C6806" s="953"/>
      <c r="D6806" s="953"/>
      <c r="E6806" s="953"/>
      <c r="F6806" s="953"/>
      <c r="G6806" s="953"/>
      <c r="H6806" s="953"/>
    </row>
    <row r="6807" spans="1:8" x14ac:dyDescent="0.25">
      <c r="A6807" s="952"/>
      <c r="B6807" s="953"/>
      <c r="C6807" s="953"/>
      <c r="D6807" s="953"/>
      <c r="E6807" s="953"/>
      <c r="F6807" s="953"/>
      <c r="G6807" s="953"/>
      <c r="H6807" s="953"/>
    </row>
    <row r="6808" spans="1:8" x14ac:dyDescent="0.25">
      <c r="A6808" s="952"/>
      <c r="B6808" s="953"/>
      <c r="C6808" s="953"/>
      <c r="D6808" s="953"/>
      <c r="E6808" s="953"/>
      <c r="F6808" s="953"/>
      <c r="G6808" s="953"/>
      <c r="H6808" s="953"/>
    </row>
    <row r="6809" spans="1:8" x14ac:dyDescent="0.25">
      <c r="A6809" s="952"/>
      <c r="B6809" s="953"/>
      <c r="C6809" s="953"/>
      <c r="D6809" s="953"/>
      <c r="E6809" s="953"/>
      <c r="F6809" s="953"/>
      <c r="G6809" s="953"/>
      <c r="H6809" s="953"/>
    </row>
    <row r="6810" spans="1:8" x14ac:dyDescent="0.25">
      <c r="A6810" s="952"/>
      <c r="B6810" s="953"/>
      <c r="C6810" s="953"/>
      <c r="D6810" s="953"/>
      <c r="E6810" s="953"/>
      <c r="F6810" s="953"/>
      <c r="G6810" s="953"/>
      <c r="H6810" s="953"/>
    </row>
    <row r="6811" spans="1:8" x14ac:dyDescent="0.25">
      <c r="A6811" s="952"/>
      <c r="B6811" s="953"/>
      <c r="C6811" s="953"/>
      <c r="D6811" s="953"/>
      <c r="E6811" s="953"/>
      <c r="F6811" s="953"/>
      <c r="G6811" s="953"/>
      <c r="H6811" s="953"/>
    </row>
    <row r="6812" spans="1:8" x14ac:dyDescent="0.25">
      <c r="A6812" s="952"/>
      <c r="B6812" s="953"/>
      <c r="C6812" s="953"/>
      <c r="D6812" s="953"/>
      <c r="E6812" s="953"/>
      <c r="F6812" s="953"/>
      <c r="G6812" s="953"/>
      <c r="H6812" s="953"/>
    </row>
    <row r="6813" spans="1:8" x14ac:dyDescent="0.25">
      <c r="A6813" s="952"/>
      <c r="B6813" s="953"/>
      <c r="C6813" s="953"/>
      <c r="D6813" s="953"/>
      <c r="E6813" s="953"/>
      <c r="F6813" s="953"/>
      <c r="G6813" s="953"/>
      <c r="H6813" s="953"/>
    </row>
    <row r="6814" spans="1:8" x14ac:dyDescent="0.25">
      <c r="A6814" s="952"/>
      <c r="B6814" s="953"/>
      <c r="C6814" s="953"/>
      <c r="D6814" s="953"/>
      <c r="E6814" s="953"/>
      <c r="F6814" s="953"/>
      <c r="G6814" s="953"/>
      <c r="H6814" s="953"/>
    </row>
    <row r="6815" spans="1:8" x14ac:dyDescent="0.25">
      <c r="A6815" s="952"/>
      <c r="B6815" s="953"/>
      <c r="C6815" s="953"/>
      <c r="D6815" s="953"/>
      <c r="E6815" s="953"/>
      <c r="F6815" s="953"/>
      <c r="G6815" s="953"/>
      <c r="H6815" s="953"/>
    </row>
    <row r="6816" spans="1:8" x14ac:dyDescent="0.25">
      <c r="A6816" s="952"/>
      <c r="B6816" s="953"/>
      <c r="C6816" s="953"/>
      <c r="D6816" s="953"/>
      <c r="E6816" s="953"/>
      <c r="F6816" s="953"/>
      <c r="G6816" s="953"/>
      <c r="H6816" s="953"/>
    </row>
    <row r="6817" spans="1:8" x14ac:dyDescent="0.25">
      <c r="A6817" s="952"/>
      <c r="B6817" s="953"/>
      <c r="C6817" s="953"/>
      <c r="D6817" s="953"/>
      <c r="E6817" s="953"/>
      <c r="F6817" s="953"/>
      <c r="G6817" s="953"/>
      <c r="H6817" s="953"/>
    </row>
    <row r="6818" spans="1:8" x14ac:dyDescent="0.25">
      <c r="A6818" s="952"/>
      <c r="B6818" s="953"/>
      <c r="C6818" s="953"/>
      <c r="D6818" s="953"/>
      <c r="E6818" s="953"/>
      <c r="F6818" s="953"/>
      <c r="G6818" s="953"/>
      <c r="H6818" s="953"/>
    </row>
    <row r="6819" spans="1:8" x14ac:dyDescent="0.25">
      <c r="A6819" s="952"/>
      <c r="B6819" s="953"/>
      <c r="C6819" s="953"/>
      <c r="D6819" s="953"/>
      <c r="E6819" s="953"/>
      <c r="F6819" s="953"/>
      <c r="G6819" s="953"/>
      <c r="H6819" s="953"/>
    </row>
    <row r="6820" spans="1:8" x14ac:dyDescent="0.25">
      <c r="A6820" s="952"/>
      <c r="B6820" s="953"/>
      <c r="C6820" s="953"/>
      <c r="D6820" s="953"/>
      <c r="E6820" s="953"/>
      <c r="F6820" s="953"/>
      <c r="G6820" s="953"/>
      <c r="H6820" s="953"/>
    </row>
    <row r="6821" spans="1:8" x14ac:dyDescent="0.25">
      <c r="A6821" s="952"/>
      <c r="B6821" s="953"/>
      <c r="C6821" s="953"/>
      <c r="D6821" s="953"/>
      <c r="E6821" s="953"/>
      <c r="F6821" s="953"/>
      <c r="G6821" s="953"/>
      <c r="H6821" s="953"/>
    </row>
    <row r="6822" spans="1:8" x14ac:dyDescent="0.25">
      <c r="A6822" s="952"/>
      <c r="B6822" s="953"/>
      <c r="C6822" s="953"/>
      <c r="D6822" s="953"/>
      <c r="E6822" s="953"/>
      <c r="F6822" s="953"/>
      <c r="G6822" s="953"/>
      <c r="H6822" s="953"/>
    </row>
    <row r="6823" spans="1:8" x14ac:dyDescent="0.25">
      <c r="A6823" s="952"/>
      <c r="B6823" s="953"/>
      <c r="C6823" s="953"/>
      <c r="D6823" s="953"/>
      <c r="E6823" s="953"/>
      <c r="F6823" s="953"/>
      <c r="G6823" s="953"/>
      <c r="H6823" s="953"/>
    </row>
    <row r="6824" spans="1:8" x14ac:dyDescent="0.25">
      <c r="A6824" s="952"/>
      <c r="B6824" s="953"/>
      <c r="C6824" s="953"/>
      <c r="D6824" s="953"/>
      <c r="E6824" s="953"/>
      <c r="F6824" s="953"/>
      <c r="G6824" s="953"/>
      <c r="H6824" s="953"/>
    </row>
    <row r="6825" spans="1:8" x14ac:dyDescent="0.25">
      <c r="A6825" s="952"/>
      <c r="B6825" s="953"/>
      <c r="C6825" s="953"/>
      <c r="D6825" s="953"/>
      <c r="E6825" s="953"/>
      <c r="F6825" s="953"/>
      <c r="G6825" s="953"/>
      <c r="H6825" s="953"/>
    </row>
    <row r="6826" spans="1:8" x14ac:dyDescent="0.25">
      <c r="A6826" s="952"/>
      <c r="B6826" s="953"/>
      <c r="C6826" s="953"/>
      <c r="D6826" s="953"/>
      <c r="E6826" s="953"/>
      <c r="F6826" s="953"/>
      <c r="G6826" s="953"/>
      <c r="H6826" s="953"/>
    </row>
    <row r="6827" spans="1:8" x14ac:dyDescent="0.25">
      <c r="A6827" s="952"/>
      <c r="B6827" s="953"/>
      <c r="C6827" s="953"/>
      <c r="D6827" s="953"/>
      <c r="E6827" s="953"/>
      <c r="F6827" s="953"/>
      <c r="G6827" s="953"/>
      <c r="H6827" s="953"/>
    </row>
    <row r="6828" spans="1:8" x14ac:dyDescent="0.25">
      <c r="A6828" s="952"/>
      <c r="B6828" s="953"/>
      <c r="C6828" s="953"/>
      <c r="D6828" s="953"/>
      <c r="E6828" s="953"/>
      <c r="F6828" s="953"/>
      <c r="G6828" s="953"/>
      <c r="H6828" s="953"/>
    </row>
    <row r="6829" spans="1:8" x14ac:dyDescent="0.25">
      <c r="A6829" s="952"/>
      <c r="B6829" s="953"/>
      <c r="C6829" s="953"/>
      <c r="D6829" s="953"/>
      <c r="E6829" s="953"/>
      <c r="F6829" s="953"/>
      <c r="G6829" s="953"/>
      <c r="H6829" s="953"/>
    </row>
    <row r="6830" spans="1:8" x14ac:dyDescent="0.25">
      <c r="A6830" s="952"/>
      <c r="B6830" s="953"/>
      <c r="C6830" s="953"/>
      <c r="D6830" s="953"/>
      <c r="E6830" s="953"/>
      <c r="F6830" s="953"/>
      <c r="G6830" s="953"/>
      <c r="H6830" s="953"/>
    </row>
    <row r="6831" spans="1:8" x14ac:dyDescent="0.25">
      <c r="A6831" s="952"/>
      <c r="B6831" s="953"/>
      <c r="C6831" s="953"/>
      <c r="D6831" s="953"/>
      <c r="E6831" s="953"/>
      <c r="F6831" s="953"/>
      <c r="G6831" s="953"/>
      <c r="H6831" s="953"/>
    </row>
    <row r="6832" spans="1:8" x14ac:dyDescent="0.25">
      <c r="A6832" s="952"/>
      <c r="B6832" s="953"/>
      <c r="C6832" s="953"/>
      <c r="D6832" s="953"/>
      <c r="E6832" s="953"/>
      <c r="F6832" s="953"/>
      <c r="G6832" s="953"/>
      <c r="H6832" s="953"/>
    </row>
    <row r="6833" spans="1:8" x14ac:dyDescent="0.25">
      <c r="A6833" s="952"/>
      <c r="B6833" s="953"/>
      <c r="C6833" s="953"/>
      <c r="D6833" s="953"/>
      <c r="E6833" s="953"/>
      <c r="F6833" s="953"/>
      <c r="G6833" s="953"/>
      <c r="H6833" s="953"/>
    </row>
    <row r="6834" spans="1:8" x14ac:dyDescent="0.25">
      <c r="A6834" s="952"/>
      <c r="B6834" s="953"/>
      <c r="C6834" s="953"/>
      <c r="D6834" s="953"/>
      <c r="E6834" s="953"/>
      <c r="F6834" s="953"/>
      <c r="G6834" s="953"/>
      <c r="H6834" s="953"/>
    </row>
    <row r="6835" spans="1:8" x14ac:dyDescent="0.25">
      <c r="A6835" s="952"/>
      <c r="B6835" s="953"/>
      <c r="C6835" s="953"/>
      <c r="D6835" s="953"/>
      <c r="E6835" s="953"/>
      <c r="F6835" s="953"/>
      <c r="G6835" s="953"/>
      <c r="H6835" s="953"/>
    </row>
    <row r="6836" spans="1:8" x14ac:dyDescent="0.25">
      <c r="A6836" s="952"/>
      <c r="B6836" s="953"/>
      <c r="C6836" s="953"/>
      <c r="D6836" s="953"/>
      <c r="E6836" s="953"/>
      <c r="F6836" s="953"/>
      <c r="G6836" s="953"/>
      <c r="H6836" s="953"/>
    </row>
    <row r="6837" spans="1:8" x14ac:dyDescent="0.25">
      <c r="A6837" s="952"/>
      <c r="B6837" s="953"/>
      <c r="C6837" s="953"/>
      <c r="D6837" s="953"/>
      <c r="E6837" s="953"/>
      <c r="F6837" s="953"/>
      <c r="G6837" s="953"/>
      <c r="H6837" s="953"/>
    </row>
    <row r="6838" spans="1:8" x14ac:dyDescent="0.25">
      <c r="A6838" s="952"/>
      <c r="B6838" s="953"/>
      <c r="C6838" s="953"/>
      <c r="D6838" s="953"/>
      <c r="E6838" s="953"/>
      <c r="F6838" s="953"/>
      <c r="G6838" s="953"/>
      <c r="H6838" s="953"/>
    </row>
    <row r="6839" spans="1:8" x14ac:dyDescent="0.25">
      <c r="A6839" s="952"/>
      <c r="B6839" s="953"/>
      <c r="C6839" s="953"/>
      <c r="D6839" s="953"/>
      <c r="E6839" s="953"/>
      <c r="F6839" s="953"/>
      <c r="G6839" s="953"/>
      <c r="H6839" s="953"/>
    </row>
    <row r="6840" spans="1:8" x14ac:dyDescent="0.25">
      <c r="A6840" s="952"/>
      <c r="B6840" s="953"/>
      <c r="C6840" s="953"/>
      <c r="D6840" s="953"/>
      <c r="E6840" s="953"/>
      <c r="F6840" s="953"/>
      <c r="G6840" s="953"/>
      <c r="H6840" s="953"/>
    </row>
    <row r="6841" spans="1:8" x14ac:dyDescent="0.25">
      <c r="A6841" s="952"/>
      <c r="B6841" s="953"/>
      <c r="C6841" s="953"/>
      <c r="D6841" s="953"/>
      <c r="E6841" s="953"/>
      <c r="F6841" s="953"/>
      <c r="G6841" s="953"/>
      <c r="H6841" s="953"/>
    </row>
    <row r="6842" spans="1:8" x14ac:dyDescent="0.25">
      <c r="A6842" s="952"/>
      <c r="B6842" s="953"/>
      <c r="C6842" s="953"/>
      <c r="D6842" s="953"/>
      <c r="E6842" s="953"/>
      <c r="F6842" s="953"/>
      <c r="G6842" s="953"/>
      <c r="H6842" s="953"/>
    </row>
    <row r="6843" spans="1:8" x14ac:dyDescent="0.25">
      <c r="A6843" s="952"/>
      <c r="B6843" s="953"/>
      <c r="C6843" s="953"/>
      <c r="D6843" s="953"/>
      <c r="E6843" s="953"/>
      <c r="F6843" s="953"/>
      <c r="G6843" s="953"/>
      <c r="H6843" s="953"/>
    </row>
    <row r="6844" spans="1:8" x14ac:dyDescent="0.25">
      <c r="A6844" s="952"/>
      <c r="B6844" s="953"/>
      <c r="C6844" s="953"/>
      <c r="D6844" s="953"/>
      <c r="E6844" s="953"/>
      <c r="F6844" s="953"/>
      <c r="G6844" s="953"/>
      <c r="H6844" s="953"/>
    </row>
    <row r="6845" spans="1:8" x14ac:dyDescent="0.25">
      <c r="A6845" s="952"/>
      <c r="B6845" s="953"/>
      <c r="C6845" s="953"/>
      <c r="D6845" s="953"/>
      <c r="E6845" s="953"/>
      <c r="F6845" s="953"/>
      <c r="G6845" s="953"/>
      <c r="H6845" s="953"/>
    </row>
    <row r="6846" spans="1:8" x14ac:dyDescent="0.25">
      <c r="A6846" s="952"/>
      <c r="B6846" s="953"/>
      <c r="C6846" s="953"/>
      <c r="D6846" s="953"/>
      <c r="E6846" s="953"/>
      <c r="F6846" s="953"/>
      <c r="G6846" s="953"/>
      <c r="H6846" s="953"/>
    </row>
    <row r="6847" spans="1:8" x14ac:dyDescent="0.25">
      <c r="A6847" s="952"/>
      <c r="B6847" s="953"/>
      <c r="C6847" s="953"/>
      <c r="D6847" s="953"/>
      <c r="E6847" s="953"/>
      <c r="F6847" s="953"/>
      <c r="G6847" s="953"/>
      <c r="H6847" s="953"/>
    </row>
    <row r="6848" spans="1:8" x14ac:dyDescent="0.25">
      <c r="A6848" s="952"/>
      <c r="B6848" s="953"/>
      <c r="C6848" s="953"/>
      <c r="D6848" s="953"/>
      <c r="E6848" s="953"/>
      <c r="F6848" s="953"/>
      <c r="G6848" s="953"/>
      <c r="H6848" s="953"/>
    </row>
    <row r="6849" spans="1:8" x14ac:dyDescent="0.25">
      <c r="A6849" s="952"/>
      <c r="B6849" s="953"/>
      <c r="C6849" s="953"/>
      <c r="D6849" s="953"/>
      <c r="E6849" s="953"/>
      <c r="F6849" s="953"/>
      <c r="G6849" s="953"/>
      <c r="H6849" s="953"/>
    </row>
    <row r="6850" spans="1:8" x14ac:dyDescent="0.25">
      <c r="A6850" s="952"/>
      <c r="B6850" s="953"/>
      <c r="C6850" s="953"/>
      <c r="D6850" s="953"/>
      <c r="E6850" s="953"/>
      <c r="F6850" s="953"/>
      <c r="G6850" s="953"/>
      <c r="H6850" s="953"/>
    </row>
    <row r="6851" spans="1:8" x14ac:dyDescent="0.25">
      <c r="A6851" s="952"/>
      <c r="B6851" s="953"/>
      <c r="C6851" s="953"/>
      <c r="D6851" s="953"/>
      <c r="E6851" s="953"/>
      <c r="F6851" s="953"/>
      <c r="G6851" s="953"/>
      <c r="H6851" s="953"/>
    </row>
    <row r="6852" spans="1:8" x14ac:dyDescent="0.25">
      <c r="A6852" s="952"/>
      <c r="B6852" s="953"/>
      <c r="C6852" s="953"/>
      <c r="D6852" s="953"/>
      <c r="E6852" s="953"/>
      <c r="F6852" s="953"/>
      <c r="G6852" s="953"/>
      <c r="H6852" s="953"/>
    </row>
    <row r="6853" spans="1:8" x14ac:dyDescent="0.25">
      <c r="A6853" s="952"/>
      <c r="B6853" s="953"/>
      <c r="C6853" s="953"/>
      <c r="D6853" s="953"/>
      <c r="E6853" s="953"/>
      <c r="F6853" s="953"/>
      <c r="G6853" s="953"/>
      <c r="H6853" s="953"/>
    </row>
    <row r="6854" spans="1:8" x14ac:dyDescent="0.25">
      <c r="A6854" s="952"/>
      <c r="B6854" s="953"/>
      <c r="C6854" s="953"/>
      <c r="D6854" s="953"/>
      <c r="E6854" s="953"/>
      <c r="F6854" s="953"/>
      <c r="G6854" s="953"/>
      <c r="H6854" s="953"/>
    </row>
    <row r="6855" spans="1:8" x14ac:dyDescent="0.25">
      <c r="A6855" s="952"/>
      <c r="B6855" s="953"/>
      <c r="C6855" s="953"/>
      <c r="D6855" s="953"/>
      <c r="E6855" s="953"/>
      <c r="F6855" s="953"/>
      <c r="G6855" s="953"/>
      <c r="H6855" s="953"/>
    </row>
    <row r="6856" spans="1:8" x14ac:dyDescent="0.25">
      <c r="A6856" s="952"/>
      <c r="B6856" s="953"/>
      <c r="C6856" s="953"/>
      <c r="D6856" s="953"/>
      <c r="E6856" s="953"/>
      <c r="F6856" s="953"/>
      <c r="G6856" s="953"/>
      <c r="H6856" s="953"/>
    </row>
    <row r="6857" spans="1:8" x14ac:dyDescent="0.25">
      <c r="A6857" s="952"/>
      <c r="B6857" s="953"/>
      <c r="C6857" s="953"/>
      <c r="D6857" s="953"/>
      <c r="E6857" s="953"/>
      <c r="F6857" s="953"/>
      <c r="G6857" s="953"/>
      <c r="H6857" s="953"/>
    </row>
    <row r="6858" spans="1:8" x14ac:dyDescent="0.25">
      <c r="A6858" s="952"/>
      <c r="B6858" s="953"/>
      <c r="C6858" s="953"/>
      <c r="D6858" s="953"/>
      <c r="E6858" s="953"/>
      <c r="F6858" s="953"/>
      <c r="G6858" s="953"/>
      <c r="H6858" s="953"/>
    </row>
    <row r="6859" spans="1:8" x14ac:dyDescent="0.25">
      <c r="A6859" s="952"/>
      <c r="B6859" s="953"/>
      <c r="C6859" s="953"/>
      <c r="D6859" s="953"/>
      <c r="E6859" s="953"/>
      <c r="F6859" s="953"/>
      <c r="G6859" s="953"/>
      <c r="H6859" s="953"/>
    </row>
    <row r="6860" spans="1:8" x14ac:dyDescent="0.25">
      <c r="A6860" s="952"/>
      <c r="B6860" s="953"/>
      <c r="C6860" s="953"/>
      <c r="D6860" s="953"/>
      <c r="E6860" s="953"/>
      <c r="F6860" s="953"/>
      <c r="G6860" s="953"/>
      <c r="H6860" s="953"/>
    </row>
    <row r="6861" spans="1:8" x14ac:dyDescent="0.25">
      <c r="A6861" s="952"/>
      <c r="B6861" s="953"/>
      <c r="C6861" s="953"/>
      <c r="D6861" s="953"/>
      <c r="E6861" s="953"/>
      <c r="F6861" s="953"/>
      <c r="G6861" s="953"/>
      <c r="H6861" s="953"/>
    </row>
    <row r="6862" spans="1:8" x14ac:dyDescent="0.25">
      <c r="A6862" s="952"/>
      <c r="B6862" s="953"/>
      <c r="C6862" s="953"/>
      <c r="D6862" s="953"/>
      <c r="E6862" s="953"/>
      <c r="F6862" s="953"/>
      <c r="G6862" s="953"/>
      <c r="H6862" s="953"/>
    </row>
    <row r="6863" spans="1:8" x14ac:dyDescent="0.25">
      <c r="A6863" s="952"/>
      <c r="B6863" s="953"/>
      <c r="C6863" s="953"/>
      <c r="D6863" s="953"/>
      <c r="E6863" s="953"/>
      <c r="F6863" s="953"/>
      <c r="G6863" s="953"/>
      <c r="H6863" s="953"/>
    </row>
    <row r="6864" spans="1:8" x14ac:dyDescent="0.25">
      <c r="A6864" s="952"/>
      <c r="B6864" s="953"/>
      <c r="C6864" s="953"/>
      <c r="D6864" s="953"/>
      <c r="E6864" s="953"/>
      <c r="F6864" s="953"/>
      <c r="G6864" s="953"/>
      <c r="H6864" s="953"/>
    </row>
    <row r="6865" spans="1:8" x14ac:dyDescent="0.25">
      <c r="A6865" s="952"/>
      <c r="B6865" s="953"/>
      <c r="C6865" s="953"/>
      <c r="D6865" s="953"/>
      <c r="E6865" s="953"/>
      <c r="F6865" s="953"/>
      <c r="G6865" s="953"/>
      <c r="H6865" s="953"/>
    </row>
    <row r="6866" spans="1:8" x14ac:dyDescent="0.25">
      <c r="A6866" s="952"/>
      <c r="B6866" s="953"/>
      <c r="C6866" s="953"/>
      <c r="D6866" s="953"/>
      <c r="E6866" s="953"/>
      <c r="F6866" s="953"/>
      <c r="G6866" s="953"/>
      <c r="H6866" s="953"/>
    </row>
    <row r="6867" spans="1:8" x14ac:dyDescent="0.25">
      <c r="A6867" s="952"/>
      <c r="B6867" s="953"/>
      <c r="C6867" s="953"/>
      <c r="D6867" s="953"/>
      <c r="E6867" s="953"/>
      <c r="F6867" s="953"/>
      <c r="G6867" s="953"/>
      <c r="H6867" s="953"/>
    </row>
    <row r="6868" spans="1:8" x14ac:dyDescent="0.25">
      <c r="A6868" s="952"/>
      <c r="B6868" s="953"/>
      <c r="C6868" s="953"/>
      <c r="D6868" s="953"/>
      <c r="E6868" s="953"/>
      <c r="F6868" s="953"/>
      <c r="G6868" s="953"/>
      <c r="H6868" s="953"/>
    </row>
    <row r="6869" spans="1:8" x14ac:dyDescent="0.25">
      <c r="A6869" s="952"/>
      <c r="B6869" s="953"/>
      <c r="C6869" s="953"/>
      <c r="D6869" s="953"/>
      <c r="E6869" s="953"/>
      <c r="F6869" s="953"/>
      <c r="G6869" s="953"/>
      <c r="H6869" s="953"/>
    </row>
    <row r="6870" spans="1:8" x14ac:dyDescent="0.25">
      <c r="A6870" s="952"/>
      <c r="B6870" s="953"/>
      <c r="C6870" s="953"/>
      <c r="D6870" s="953"/>
      <c r="E6870" s="953"/>
      <c r="F6870" s="953"/>
      <c r="G6870" s="953"/>
      <c r="H6870" s="953"/>
    </row>
    <row r="6871" spans="1:8" x14ac:dyDescent="0.25">
      <c r="A6871" s="952"/>
      <c r="B6871" s="953"/>
      <c r="C6871" s="953"/>
      <c r="D6871" s="953"/>
      <c r="E6871" s="953"/>
      <c r="F6871" s="953"/>
      <c r="G6871" s="953"/>
      <c r="H6871" s="953"/>
    </row>
    <row r="6872" spans="1:8" x14ac:dyDescent="0.25">
      <c r="A6872" s="952"/>
      <c r="B6872" s="953"/>
      <c r="C6872" s="953"/>
      <c r="D6872" s="953"/>
      <c r="E6872" s="953"/>
      <c r="F6872" s="953"/>
      <c r="G6872" s="953"/>
      <c r="H6872" s="953"/>
    </row>
    <row r="6873" spans="1:8" x14ac:dyDescent="0.25">
      <c r="A6873" s="952"/>
      <c r="B6873" s="953"/>
      <c r="C6873" s="953"/>
      <c r="D6873" s="953"/>
      <c r="E6873" s="953"/>
      <c r="F6873" s="953"/>
      <c r="G6873" s="953"/>
      <c r="H6873" s="953"/>
    </row>
    <row r="6874" spans="1:8" x14ac:dyDescent="0.25">
      <c r="A6874" s="952"/>
      <c r="B6874" s="953"/>
      <c r="C6874" s="953"/>
      <c r="D6874" s="953"/>
      <c r="E6874" s="953"/>
      <c r="F6874" s="953"/>
      <c r="G6874" s="953"/>
      <c r="H6874" s="953"/>
    </row>
    <row r="6875" spans="1:8" x14ac:dyDescent="0.25">
      <c r="A6875" s="952"/>
      <c r="B6875" s="953"/>
      <c r="C6875" s="953"/>
      <c r="D6875" s="953"/>
      <c r="E6875" s="953"/>
      <c r="F6875" s="953"/>
      <c r="G6875" s="953"/>
      <c r="H6875" s="953"/>
    </row>
    <row r="6876" spans="1:8" x14ac:dyDescent="0.25">
      <c r="A6876" s="952"/>
      <c r="B6876" s="953"/>
      <c r="C6876" s="953"/>
      <c r="D6876" s="953"/>
      <c r="E6876" s="953"/>
      <c r="F6876" s="953"/>
      <c r="G6876" s="953"/>
      <c r="H6876" s="953"/>
    </row>
    <row r="6877" spans="1:8" x14ac:dyDescent="0.25">
      <c r="A6877" s="952"/>
      <c r="B6877" s="953"/>
      <c r="C6877" s="953"/>
      <c r="D6877" s="953"/>
      <c r="E6877" s="953"/>
      <c r="F6877" s="953"/>
      <c r="G6877" s="953"/>
      <c r="H6877" s="953"/>
    </row>
    <row r="6878" spans="1:8" x14ac:dyDescent="0.25">
      <c r="A6878" s="952"/>
      <c r="B6878" s="953"/>
      <c r="C6878" s="953"/>
      <c r="D6878" s="953"/>
      <c r="E6878" s="953"/>
      <c r="F6878" s="953"/>
      <c r="G6878" s="953"/>
      <c r="H6878" s="953"/>
    </row>
    <row r="6879" spans="1:8" x14ac:dyDescent="0.25">
      <c r="A6879" s="952"/>
      <c r="B6879" s="953"/>
      <c r="C6879" s="953"/>
      <c r="D6879" s="953"/>
      <c r="E6879" s="953"/>
      <c r="F6879" s="953"/>
      <c r="G6879" s="953"/>
      <c r="H6879" s="953"/>
    </row>
    <row r="6880" spans="1:8" x14ac:dyDescent="0.25">
      <c r="A6880" s="952"/>
      <c r="B6880" s="953"/>
      <c r="C6880" s="953"/>
      <c r="D6880" s="953"/>
      <c r="E6880" s="953"/>
      <c r="F6880" s="953"/>
      <c r="G6880" s="953"/>
      <c r="H6880" s="953"/>
    </row>
    <row r="6881" spans="1:8" x14ac:dyDescent="0.25">
      <c r="A6881" s="952"/>
      <c r="B6881" s="953"/>
      <c r="C6881" s="953"/>
      <c r="D6881" s="953"/>
      <c r="E6881" s="953"/>
      <c r="F6881" s="953"/>
      <c r="G6881" s="953"/>
      <c r="H6881" s="953"/>
    </row>
    <row r="6882" spans="1:8" x14ac:dyDescent="0.25">
      <c r="A6882" s="952"/>
      <c r="B6882" s="953"/>
      <c r="C6882" s="953"/>
      <c r="D6882" s="953"/>
      <c r="E6882" s="953"/>
      <c r="F6882" s="953"/>
      <c r="G6882" s="953"/>
      <c r="H6882" s="953"/>
    </row>
    <row r="6883" spans="1:8" x14ac:dyDescent="0.25">
      <c r="A6883" s="952"/>
      <c r="B6883" s="953"/>
      <c r="C6883" s="953"/>
      <c r="D6883" s="953"/>
      <c r="E6883" s="953"/>
      <c r="F6883" s="953"/>
      <c r="G6883" s="953"/>
      <c r="H6883" s="953"/>
    </row>
    <row r="6884" spans="1:8" x14ac:dyDescent="0.25">
      <c r="A6884" s="952"/>
      <c r="B6884" s="953"/>
      <c r="C6884" s="953"/>
      <c r="D6884" s="953"/>
      <c r="E6884" s="953"/>
      <c r="F6884" s="953"/>
      <c r="G6884" s="953"/>
      <c r="H6884" s="953"/>
    </row>
    <row r="6885" spans="1:8" x14ac:dyDescent="0.25">
      <c r="A6885" s="952"/>
      <c r="B6885" s="953"/>
      <c r="C6885" s="953"/>
      <c r="D6885" s="953"/>
      <c r="E6885" s="953"/>
      <c r="F6885" s="953"/>
      <c r="G6885" s="953"/>
      <c r="H6885" s="953"/>
    </row>
    <row r="6886" spans="1:8" x14ac:dyDescent="0.25">
      <c r="A6886" s="952"/>
      <c r="B6886" s="953"/>
      <c r="C6886" s="953"/>
      <c r="D6886" s="953"/>
      <c r="E6886" s="953"/>
      <c r="F6886" s="953"/>
      <c r="G6886" s="953"/>
      <c r="H6886" s="953"/>
    </row>
    <row r="6887" spans="1:8" x14ac:dyDescent="0.25">
      <c r="A6887" s="952"/>
      <c r="B6887" s="953"/>
      <c r="C6887" s="953"/>
      <c r="D6887" s="953"/>
      <c r="E6887" s="953"/>
      <c r="F6887" s="953"/>
      <c r="G6887" s="953"/>
      <c r="H6887" s="953"/>
    </row>
    <row r="6888" spans="1:8" x14ac:dyDescent="0.25">
      <c r="A6888" s="952"/>
      <c r="B6888" s="953"/>
      <c r="C6888" s="953"/>
      <c r="D6888" s="953"/>
      <c r="E6888" s="953"/>
      <c r="F6888" s="953"/>
      <c r="G6888" s="953"/>
      <c r="H6888" s="953"/>
    </row>
    <row r="6889" spans="1:8" x14ac:dyDescent="0.25">
      <c r="A6889" s="952"/>
      <c r="B6889" s="953"/>
      <c r="C6889" s="953"/>
      <c r="D6889" s="953"/>
      <c r="E6889" s="953"/>
      <c r="F6889" s="953"/>
      <c r="G6889" s="953"/>
      <c r="H6889" s="953"/>
    </row>
    <row r="6890" spans="1:8" x14ac:dyDescent="0.25">
      <c r="A6890" s="952"/>
      <c r="B6890" s="953"/>
      <c r="C6890" s="953"/>
      <c r="D6890" s="953"/>
      <c r="E6890" s="953"/>
      <c r="F6890" s="953"/>
      <c r="G6890" s="953"/>
      <c r="H6890" s="953"/>
    </row>
    <row r="6891" spans="1:8" x14ac:dyDescent="0.25">
      <c r="A6891" s="952"/>
      <c r="B6891" s="953"/>
      <c r="C6891" s="953"/>
      <c r="D6891" s="953"/>
      <c r="E6891" s="953"/>
      <c r="F6891" s="953"/>
      <c r="G6891" s="953"/>
      <c r="H6891" s="953"/>
    </row>
    <row r="6892" spans="1:8" x14ac:dyDescent="0.25">
      <c r="A6892" s="952"/>
      <c r="B6892" s="953"/>
      <c r="C6892" s="953"/>
      <c r="D6892" s="953"/>
      <c r="E6892" s="953"/>
      <c r="F6892" s="953"/>
      <c r="G6892" s="953"/>
      <c r="H6892" s="953"/>
    </row>
    <row r="6893" spans="1:8" x14ac:dyDescent="0.25">
      <c r="A6893" s="952"/>
      <c r="B6893" s="953"/>
      <c r="C6893" s="953"/>
      <c r="D6893" s="953"/>
      <c r="E6893" s="953"/>
      <c r="F6893" s="953"/>
      <c r="G6893" s="953"/>
      <c r="H6893" s="953"/>
    </row>
    <row r="6894" spans="1:8" x14ac:dyDescent="0.25">
      <c r="A6894" s="952"/>
      <c r="B6894" s="953"/>
      <c r="C6894" s="953"/>
      <c r="D6894" s="953"/>
      <c r="E6894" s="953"/>
      <c r="F6894" s="953"/>
      <c r="G6894" s="953"/>
      <c r="H6894" s="953"/>
    </row>
    <row r="6895" spans="1:8" x14ac:dyDescent="0.25">
      <c r="A6895" s="952"/>
      <c r="B6895" s="953"/>
      <c r="C6895" s="953"/>
      <c r="D6895" s="953"/>
      <c r="E6895" s="953"/>
      <c r="F6895" s="953"/>
      <c r="G6895" s="953"/>
      <c r="H6895" s="953"/>
    </row>
    <row r="6896" spans="1:8" x14ac:dyDescent="0.25">
      <c r="A6896" s="952"/>
      <c r="B6896" s="953"/>
      <c r="C6896" s="953"/>
      <c r="D6896" s="953"/>
      <c r="E6896" s="953"/>
      <c r="F6896" s="953"/>
      <c r="G6896" s="953"/>
      <c r="H6896" s="953"/>
    </row>
    <row r="6897" spans="1:8" x14ac:dyDescent="0.25">
      <c r="A6897" s="952"/>
      <c r="B6897" s="953"/>
      <c r="C6897" s="953"/>
      <c r="D6897" s="953"/>
      <c r="E6897" s="953"/>
      <c r="F6897" s="953"/>
      <c r="G6897" s="953"/>
      <c r="H6897" s="953"/>
    </row>
    <row r="6898" spans="1:8" x14ac:dyDescent="0.25">
      <c r="A6898" s="952"/>
      <c r="B6898" s="953"/>
      <c r="C6898" s="953"/>
      <c r="D6898" s="953"/>
      <c r="E6898" s="953"/>
      <c r="F6898" s="953"/>
      <c r="G6898" s="953"/>
      <c r="H6898" s="953"/>
    </row>
    <row r="6899" spans="1:8" x14ac:dyDescent="0.25">
      <c r="A6899" s="952"/>
      <c r="B6899" s="953"/>
      <c r="C6899" s="953"/>
      <c r="D6899" s="953"/>
      <c r="E6899" s="953"/>
      <c r="F6899" s="953"/>
      <c r="G6899" s="953"/>
      <c r="H6899" s="953"/>
    </row>
    <row r="6900" spans="1:8" x14ac:dyDescent="0.25">
      <c r="A6900" s="952"/>
      <c r="B6900" s="953"/>
      <c r="C6900" s="953"/>
      <c r="D6900" s="953"/>
      <c r="E6900" s="953"/>
      <c r="F6900" s="953"/>
      <c r="G6900" s="953"/>
      <c r="H6900" s="953"/>
    </row>
    <row r="6901" spans="1:8" x14ac:dyDescent="0.25">
      <c r="A6901" s="952"/>
      <c r="B6901" s="953"/>
      <c r="C6901" s="953"/>
      <c r="D6901" s="953"/>
      <c r="E6901" s="953"/>
      <c r="F6901" s="953"/>
      <c r="G6901" s="953"/>
      <c r="H6901" s="953"/>
    </row>
    <row r="6902" spans="1:8" x14ac:dyDescent="0.25">
      <c r="A6902" s="952"/>
      <c r="B6902" s="953"/>
      <c r="C6902" s="953"/>
      <c r="D6902" s="953"/>
      <c r="E6902" s="953"/>
      <c r="F6902" s="953"/>
      <c r="G6902" s="953"/>
      <c r="H6902" s="953"/>
    </row>
    <row r="6903" spans="1:8" x14ac:dyDescent="0.25">
      <c r="A6903" s="952"/>
      <c r="B6903" s="953"/>
      <c r="C6903" s="953"/>
      <c r="D6903" s="953"/>
      <c r="E6903" s="953"/>
      <c r="F6903" s="953"/>
      <c r="G6903" s="953"/>
      <c r="H6903" s="953"/>
    </row>
    <row r="6904" spans="1:8" x14ac:dyDescent="0.25">
      <c r="A6904" s="952"/>
      <c r="B6904" s="953"/>
      <c r="C6904" s="953"/>
      <c r="D6904" s="953"/>
      <c r="E6904" s="953"/>
      <c r="F6904" s="953"/>
      <c r="G6904" s="953"/>
      <c r="H6904" s="953"/>
    </row>
    <row r="6905" spans="1:8" x14ac:dyDescent="0.25">
      <c r="A6905" s="952"/>
      <c r="B6905" s="953"/>
      <c r="C6905" s="953"/>
      <c r="D6905" s="953"/>
      <c r="E6905" s="953"/>
      <c r="F6905" s="953"/>
      <c r="G6905" s="953"/>
      <c r="H6905" s="953"/>
    </row>
    <row r="6906" spans="1:8" x14ac:dyDescent="0.25">
      <c r="A6906" s="952"/>
      <c r="B6906" s="953"/>
      <c r="C6906" s="953"/>
      <c r="D6906" s="953"/>
      <c r="E6906" s="953"/>
      <c r="F6906" s="953"/>
      <c r="G6906" s="953"/>
      <c r="H6906" s="953"/>
    </row>
    <row r="6907" spans="1:8" x14ac:dyDescent="0.25">
      <c r="A6907" s="952"/>
      <c r="B6907" s="953"/>
      <c r="C6907" s="953"/>
      <c r="D6907" s="953"/>
      <c r="E6907" s="953"/>
      <c r="F6907" s="953"/>
      <c r="G6907" s="953"/>
      <c r="H6907" s="953"/>
    </row>
    <row r="6908" spans="1:8" x14ac:dyDescent="0.25">
      <c r="A6908" s="952"/>
      <c r="B6908" s="953"/>
      <c r="C6908" s="953"/>
      <c r="D6908" s="953"/>
      <c r="E6908" s="953"/>
      <c r="F6908" s="953"/>
      <c r="G6908" s="953"/>
      <c r="H6908" s="953"/>
    </row>
    <row r="6909" spans="1:8" x14ac:dyDescent="0.25">
      <c r="A6909" s="952"/>
      <c r="B6909" s="953"/>
      <c r="C6909" s="953"/>
      <c r="D6909" s="953"/>
      <c r="E6909" s="953"/>
      <c r="F6909" s="953"/>
      <c r="G6909" s="953"/>
      <c r="H6909" s="953"/>
    </row>
    <row r="6910" spans="1:8" x14ac:dyDescent="0.25">
      <c r="A6910" s="952"/>
      <c r="B6910" s="953"/>
      <c r="C6910" s="953"/>
      <c r="D6910" s="953"/>
      <c r="E6910" s="953"/>
      <c r="F6910" s="953"/>
      <c r="G6910" s="953"/>
      <c r="H6910" s="953"/>
    </row>
    <row r="6911" spans="1:8" x14ac:dyDescent="0.25">
      <c r="A6911" s="952"/>
      <c r="B6911" s="953"/>
      <c r="C6911" s="953"/>
      <c r="D6911" s="953"/>
      <c r="E6911" s="953"/>
      <c r="F6911" s="953"/>
      <c r="G6911" s="953"/>
      <c r="H6911" s="953"/>
    </row>
    <row r="6912" spans="1:8" x14ac:dyDescent="0.25">
      <c r="A6912" s="952"/>
      <c r="B6912" s="953"/>
      <c r="C6912" s="953"/>
      <c r="D6912" s="953"/>
      <c r="E6912" s="953"/>
      <c r="F6912" s="953"/>
      <c r="G6912" s="953"/>
      <c r="H6912" s="953"/>
    </row>
    <row r="6913" spans="1:8" x14ac:dyDescent="0.25">
      <c r="A6913" s="952"/>
      <c r="B6913" s="953"/>
      <c r="C6913" s="953"/>
      <c r="D6913" s="953"/>
      <c r="E6913" s="953"/>
      <c r="F6913" s="953"/>
      <c r="G6913" s="953"/>
      <c r="H6913" s="953"/>
    </row>
    <row r="6914" spans="1:8" x14ac:dyDescent="0.25">
      <c r="A6914" s="952"/>
      <c r="B6914" s="953"/>
      <c r="C6914" s="953"/>
      <c r="D6914" s="953"/>
      <c r="E6914" s="953"/>
      <c r="F6914" s="953"/>
      <c r="G6914" s="953"/>
      <c r="H6914" s="953"/>
    </row>
    <row r="6915" spans="1:8" x14ac:dyDescent="0.25">
      <c r="A6915" s="952"/>
      <c r="B6915" s="953"/>
      <c r="C6915" s="953"/>
      <c r="D6915" s="953"/>
      <c r="E6915" s="953"/>
      <c r="F6915" s="953"/>
      <c r="G6915" s="953"/>
      <c r="H6915" s="953"/>
    </row>
    <row r="6916" spans="1:8" x14ac:dyDescent="0.25">
      <c r="A6916" s="952"/>
      <c r="B6916" s="953"/>
      <c r="C6916" s="953"/>
      <c r="D6916" s="953"/>
      <c r="E6916" s="953"/>
      <c r="F6916" s="953"/>
      <c r="G6916" s="953"/>
      <c r="H6916" s="953"/>
    </row>
    <row r="6917" spans="1:8" x14ac:dyDescent="0.25">
      <c r="A6917" s="952"/>
      <c r="B6917" s="953"/>
      <c r="C6917" s="953"/>
      <c r="D6917" s="953"/>
      <c r="E6917" s="953"/>
      <c r="F6917" s="953"/>
      <c r="G6917" s="953"/>
      <c r="H6917" s="953"/>
    </row>
    <row r="6918" spans="1:8" x14ac:dyDescent="0.25">
      <c r="A6918" s="952"/>
      <c r="B6918" s="953"/>
      <c r="C6918" s="953"/>
      <c r="D6918" s="953"/>
      <c r="E6918" s="953"/>
      <c r="F6918" s="953"/>
      <c r="G6918" s="953"/>
      <c r="H6918" s="953"/>
    </row>
    <row r="6919" spans="1:8" x14ac:dyDescent="0.25">
      <c r="A6919" s="952"/>
      <c r="B6919" s="953"/>
      <c r="C6919" s="953"/>
      <c r="D6919" s="953"/>
      <c r="E6919" s="953"/>
      <c r="F6919" s="953"/>
      <c r="G6919" s="953"/>
      <c r="H6919" s="953"/>
    </row>
    <row r="6920" spans="1:8" x14ac:dyDescent="0.25">
      <c r="A6920" s="952"/>
      <c r="B6920" s="953"/>
      <c r="C6920" s="953"/>
      <c r="D6920" s="953"/>
      <c r="E6920" s="953"/>
      <c r="F6920" s="953"/>
      <c r="G6920" s="953"/>
      <c r="H6920" s="953"/>
    </row>
    <row r="6921" spans="1:8" x14ac:dyDescent="0.25">
      <c r="A6921" s="952"/>
      <c r="B6921" s="953"/>
      <c r="C6921" s="953"/>
      <c r="D6921" s="953"/>
      <c r="E6921" s="953"/>
      <c r="F6921" s="953"/>
      <c r="G6921" s="953"/>
      <c r="H6921" s="953"/>
    </row>
    <row r="6922" spans="1:8" x14ac:dyDescent="0.25">
      <c r="A6922" s="952"/>
      <c r="B6922" s="953"/>
      <c r="C6922" s="953"/>
      <c r="D6922" s="953"/>
      <c r="E6922" s="953"/>
      <c r="F6922" s="953"/>
      <c r="G6922" s="953"/>
      <c r="H6922" s="953"/>
    </row>
    <row r="6923" spans="1:8" x14ac:dyDescent="0.25">
      <c r="A6923" s="952"/>
      <c r="B6923" s="953"/>
      <c r="C6923" s="953"/>
      <c r="D6923" s="953"/>
      <c r="E6923" s="953"/>
      <c r="F6923" s="953"/>
      <c r="G6923" s="953"/>
      <c r="H6923" s="953"/>
    </row>
    <row r="6924" spans="1:8" x14ac:dyDescent="0.25">
      <c r="A6924" s="952"/>
      <c r="B6924" s="953"/>
      <c r="C6924" s="953"/>
      <c r="D6924" s="953"/>
      <c r="E6924" s="953"/>
      <c r="F6924" s="953"/>
      <c r="G6924" s="953"/>
      <c r="H6924" s="953"/>
    </row>
    <row r="6925" spans="1:8" x14ac:dyDescent="0.25">
      <c r="A6925" s="952"/>
      <c r="B6925" s="953"/>
      <c r="C6925" s="953"/>
      <c r="D6925" s="953"/>
      <c r="E6925" s="953"/>
      <c r="F6925" s="953"/>
      <c r="G6925" s="953"/>
      <c r="H6925" s="953"/>
    </row>
    <row r="6926" spans="1:8" x14ac:dyDescent="0.25">
      <c r="A6926" s="952"/>
      <c r="B6926" s="953"/>
      <c r="C6926" s="953"/>
      <c r="D6926" s="953"/>
      <c r="E6926" s="953"/>
      <c r="F6926" s="953"/>
      <c r="G6926" s="953"/>
      <c r="H6926" s="953"/>
    </row>
    <row r="6927" spans="1:8" x14ac:dyDescent="0.25">
      <c r="A6927" s="952"/>
      <c r="B6927" s="953"/>
      <c r="C6927" s="953"/>
      <c r="D6927" s="953"/>
      <c r="E6927" s="953"/>
      <c r="F6927" s="953"/>
      <c r="G6927" s="953"/>
      <c r="H6927" s="953"/>
    </row>
    <row r="6928" spans="1:8" x14ac:dyDescent="0.25">
      <c r="A6928" s="952"/>
      <c r="B6928" s="953"/>
      <c r="C6928" s="953"/>
      <c r="D6928" s="953"/>
      <c r="E6928" s="953"/>
      <c r="F6928" s="953"/>
      <c r="G6928" s="953"/>
      <c r="H6928" s="953"/>
    </row>
    <row r="6929" spans="1:8" x14ac:dyDescent="0.25">
      <c r="A6929" s="952"/>
      <c r="B6929" s="953"/>
      <c r="C6929" s="953"/>
      <c r="D6929" s="953"/>
      <c r="E6929" s="953"/>
      <c r="F6929" s="953"/>
      <c r="G6929" s="953"/>
      <c r="H6929" s="953"/>
    </row>
    <row r="6930" spans="1:8" x14ac:dyDescent="0.25">
      <c r="A6930" s="952"/>
      <c r="B6930" s="953"/>
      <c r="C6930" s="953"/>
      <c r="D6930" s="953"/>
      <c r="E6930" s="953"/>
      <c r="F6930" s="953"/>
      <c r="G6930" s="953"/>
      <c r="H6930" s="953"/>
    </row>
    <row r="6931" spans="1:8" x14ac:dyDescent="0.25">
      <c r="A6931" s="952"/>
      <c r="B6931" s="953"/>
      <c r="C6931" s="953"/>
      <c r="D6931" s="953"/>
      <c r="E6931" s="953"/>
      <c r="F6931" s="953"/>
      <c r="G6931" s="953"/>
      <c r="H6931" s="953"/>
    </row>
    <row r="6932" spans="1:8" x14ac:dyDescent="0.25">
      <c r="A6932" s="952"/>
      <c r="B6932" s="953"/>
      <c r="C6932" s="953"/>
      <c r="D6932" s="953"/>
      <c r="E6932" s="953"/>
      <c r="F6932" s="953"/>
      <c r="G6932" s="953"/>
      <c r="H6932" s="953"/>
    </row>
    <row r="6933" spans="1:8" x14ac:dyDescent="0.25">
      <c r="A6933" s="952"/>
      <c r="B6933" s="953"/>
      <c r="C6933" s="953"/>
      <c r="D6933" s="953"/>
      <c r="E6933" s="953"/>
      <c r="F6933" s="953"/>
      <c r="G6933" s="953"/>
      <c r="H6933" s="953"/>
    </row>
    <row r="6934" spans="1:8" x14ac:dyDescent="0.25">
      <c r="A6934" s="952"/>
      <c r="B6934" s="953"/>
      <c r="C6934" s="953"/>
      <c r="D6934" s="953"/>
      <c r="E6934" s="953"/>
      <c r="F6934" s="953"/>
      <c r="G6934" s="953"/>
      <c r="H6934" s="953"/>
    </row>
    <row r="6935" spans="1:8" x14ac:dyDescent="0.25">
      <c r="A6935" s="952"/>
      <c r="B6935" s="953"/>
      <c r="C6935" s="953"/>
      <c r="D6935" s="953"/>
      <c r="E6935" s="953"/>
      <c r="F6935" s="953"/>
      <c r="G6935" s="953"/>
      <c r="H6935" s="953"/>
    </row>
    <row r="6936" spans="1:8" x14ac:dyDescent="0.25">
      <c r="A6936" s="952"/>
      <c r="B6936" s="953"/>
      <c r="C6936" s="953"/>
      <c r="D6936" s="953"/>
      <c r="E6936" s="953"/>
      <c r="F6936" s="953"/>
      <c r="G6936" s="953"/>
      <c r="H6936" s="953"/>
    </row>
    <row r="6937" spans="1:8" x14ac:dyDescent="0.25">
      <c r="A6937" s="952"/>
      <c r="B6937" s="953"/>
      <c r="C6937" s="953"/>
      <c r="D6937" s="953"/>
      <c r="E6937" s="953"/>
      <c r="F6937" s="953"/>
      <c r="G6937" s="953"/>
      <c r="H6937" s="953"/>
    </row>
    <row r="6938" spans="1:8" x14ac:dyDescent="0.25">
      <c r="A6938" s="952"/>
      <c r="B6938" s="953"/>
      <c r="C6938" s="953"/>
      <c r="D6938" s="953"/>
      <c r="E6938" s="953"/>
      <c r="F6938" s="953"/>
      <c r="G6938" s="953"/>
      <c r="H6938" s="953"/>
    </row>
    <row r="6939" spans="1:8" x14ac:dyDescent="0.25">
      <c r="A6939" s="952"/>
      <c r="B6939" s="953"/>
      <c r="C6939" s="953"/>
      <c r="D6939" s="953"/>
      <c r="E6939" s="953"/>
      <c r="F6939" s="953"/>
      <c r="G6939" s="953"/>
      <c r="H6939" s="953"/>
    </row>
    <row r="6940" spans="1:8" x14ac:dyDescent="0.25">
      <c r="A6940" s="952"/>
      <c r="B6940" s="953"/>
      <c r="C6940" s="953"/>
      <c r="D6940" s="953"/>
      <c r="E6940" s="953"/>
      <c r="F6940" s="953"/>
      <c r="G6940" s="953"/>
      <c r="H6940" s="953"/>
    </row>
    <row r="6941" spans="1:8" x14ac:dyDescent="0.25">
      <c r="A6941" s="952"/>
      <c r="B6941" s="953"/>
      <c r="C6941" s="953"/>
      <c r="D6941" s="953"/>
      <c r="E6941" s="953"/>
      <c r="F6941" s="953"/>
      <c r="G6941" s="953"/>
      <c r="H6941" s="953"/>
    </row>
    <row r="6942" spans="1:8" x14ac:dyDescent="0.25">
      <c r="A6942" s="952"/>
      <c r="B6942" s="953"/>
      <c r="C6942" s="953"/>
      <c r="D6942" s="953"/>
      <c r="E6942" s="953"/>
      <c r="F6942" s="953"/>
      <c r="G6942" s="953"/>
      <c r="H6942" s="953"/>
    </row>
    <row r="6943" spans="1:8" x14ac:dyDescent="0.25">
      <c r="A6943" s="952"/>
      <c r="B6943" s="953"/>
      <c r="C6943" s="953"/>
      <c r="D6943" s="953"/>
      <c r="E6943" s="953"/>
      <c r="F6943" s="953"/>
      <c r="G6943" s="953"/>
      <c r="H6943" s="953"/>
    </row>
    <row r="6944" spans="1:8" x14ac:dyDescent="0.25">
      <c r="A6944" s="952"/>
      <c r="B6944" s="953"/>
      <c r="C6944" s="953"/>
      <c r="D6944" s="953"/>
      <c r="E6944" s="953"/>
      <c r="F6944" s="953"/>
      <c r="G6944" s="953"/>
      <c r="H6944" s="953"/>
    </row>
    <row r="6945" spans="1:8" x14ac:dyDescent="0.25">
      <c r="A6945" s="952"/>
      <c r="B6945" s="953"/>
      <c r="C6945" s="953"/>
      <c r="D6945" s="953"/>
      <c r="E6945" s="953"/>
      <c r="F6945" s="953"/>
      <c r="G6945" s="953"/>
      <c r="H6945" s="953"/>
    </row>
    <row r="6946" spans="1:8" x14ac:dyDescent="0.25">
      <c r="A6946" s="952"/>
      <c r="B6946" s="953"/>
      <c r="C6946" s="953"/>
      <c r="D6946" s="953"/>
      <c r="E6946" s="953"/>
      <c r="F6946" s="953"/>
      <c r="G6946" s="953"/>
      <c r="H6946" s="953"/>
    </row>
    <row r="6947" spans="1:8" x14ac:dyDescent="0.25">
      <c r="A6947" s="952"/>
      <c r="B6947" s="953"/>
      <c r="C6947" s="953"/>
      <c r="D6947" s="953"/>
      <c r="E6947" s="953"/>
      <c r="F6947" s="953"/>
      <c r="G6947" s="953"/>
      <c r="H6947" s="953"/>
    </row>
    <row r="6948" spans="1:8" x14ac:dyDescent="0.25">
      <c r="A6948" s="952"/>
      <c r="B6948" s="953"/>
      <c r="C6948" s="953"/>
      <c r="D6948" s="953"/>
      <c r="E6948" s="953"/>
      <c r="F6948" s="953"/>
      <c r="G6948" s="953"/>
      <c r="H6948" s="953"/>
    </row>
    <row r="6949" spans="1:8" x14ac:dyDescent="0.25">
      <c r="A6949" s="952"/>
      <c r="B6949" s="953"/>
      <c r="C6949" s="953"/>
      <c r="D6949" s="953"/>
      <c r="E6949" s="953"/>
      <c r="F6949" s="953"/>
      <c r="G6949" s="953"/>
      <c r="H6949" s="953"/>
    </row>
    <row r="6950" spans="1:8" x14ac:dyDescent="0.25">
      <c r="A6950" s="952"/>
      <c r="B6950" s="953"/>
      <c r="C6950" s="953"/>
      <c r="D6950" s="953"/>
      <c r="E6950" s="953"/>
      <c r="F6950" s="953"/>
      <c r="G6950" s="953"/>
      <c r="H6950" s="953"/>
    </row>
    <row r="6951" spans="1:8" x14ac:dyDescent="0.25">
      <c r="A6951" s="952"/>
      <c r="B6951" s="953"/>
      <c r="C6951" s="953"/>
      <c r="D6951" s="953"/>
      <c r="E6951" s="953"/>
      <c r="F6951" s="953"/>
      <c r="G6951" s="953"/>
      <c r="H6951" s="953"/>
    </row>
    <row r="6952" spans="1:8" x14ac:dyDescent="0.25">
      <c r="A6952" s="952"/>
      <c r="B6952" s="953"/>
      <c r="C6952" s="953"/>
      <c r="D6952" s="953"/>
      <c r="E6952" s="953"/>
      <c r="F6952" s="953"/>
      <c r="G6952" s="953"/>
      <c r="H6952" s="953"/>
    </row>
    <row r="6953" spans="1:8" x14ac:dyDescent="0.25">
      <c r="A6953" s="952"/>
      <c r="B6953" s="953"/>
      <c r="C6953" s="953"/>
      <c r="D6953" s="953"/>
      <c r="E6953" s="953"/>
      <c r="F6953" s="953"/>
      <c r="G6953" s="953"/>
      <c r="H6953" s="953"/>
    </row>
    <row r="6954" spans="1:8" x14ac:dyDescent="0.25">
      <c r="A6954" s="952"/>
      <c r="B6954" s="953"/>
      <c r="C6954" s="953"/>
      <c r="D6954" s="953"/>
      <c r="E6954" s="953"/>
      <c r="F6954" s="953"/>
      <c r="G6954" s="953"/>
      <c r="H6954" s="953"/>
    </row>
    <row r="6955" spans="1:8" x14ac:dyDescent="0.25">
      <c r="A6955" s="952"/>
      <c r="B6955" s="953"/>
      <c r="C6955" s="953"/>
      <c r="D6955" s="953"/>
      <c r="E6955" s="953"/>
      <c r="F6955" s="953"/>
      <c r="G6955" s="953"/>
      <c r="H6955" s="953"/>
    </row>
    <row r="6956" spans="1:8" x14ac:dyDescent="0.25">
      <c r="A6956" s="952"/>
      <c r="B6956" s="953"/>
      <c r="C6956" s="953"/>
      <c r="D6956" s="953"/>
      <c r="E6956" s="953"/>
      <c r="F6956" s="953"/>
      <c r="G6956" s="953"/>
      <c r="H6956" s="953"/>
    </row>
    <row r="6957" spans="1:8" x14ac:dyDescent="0.25">
      <c r="A6957" s="952"/>
      <c r="B6957" s="953"/>
      <c r="C6957" s="953"/>
      <c r="D6957" s="953"/>
      <c r="E6957" s="953"/>
      <c r="F6957" s="953"/>
      <c r="G6957" s="953"/>
      <c r="H6957" s="953"/>
    </row>
    <row r="6958" spans="1:8" x14ac:dyDescent="0.25">
      <c r="A6958" s="952"/>
      <c r="B6958" s="953"/>
      <c r="C6958" s="953"/>
      <c r="D6958" s="953"/>
      <c r="E6958" s="953"/>
      <c r="F6958" s="953"/>
      <c r="G6958" s="953"/>
      <c r="H6958" s="953"/>
    </row>
    <row r="6959" spans="1:8" x14ac:dyDescent="0.25">
      <c r="A6959" s="952"/>
      <c r="B6959" s="953"/>
      <c r="C6959" s="953"/>
      <c r="D6959" s="953"/>
      <c r="E6959" s="953"/>
      <c r="F6959" s="953"/>
      <c r="G6959" s="953"/>
      <c r="H6959" s="953"/>
    </row>
    <row r="6960" spans="1:8" x14ac:dyDescent="0.25">
      <c r="A6960" s="952"/>
      <c r="B6960" s="953"/>
      <c r="C6960" s="953"/>
      <c r="D6960" s="953"/>
      <c r="E6960" s="953"/>
      <c r="F6960" s="953"/>
      <c r="G6960" s="953"/>
      <c r="H6960" s="953"/>
    </row>
    <row r="6961" spans="1:8" x14ac:dyDescent="0.25">
      <c r="A6961" s="952"/>
      <c r="B6961" s="953"/>
      <c r="C6961" s="953"/>
      <c r="D6961" s="953"/>
      <c r="E6961" s="953"/>
      <c r="F6961" s="953"/>
      <c r="G6961" s="953"/>
      <c r="H6961" s="953"/>
    </row>
    <row r="6962" spans="1:8" x14ac:dyDescent="0.25">
      <c r="A6962" s="952"/>
      <c r="B6962" s="953"/>
      <c r="C6962" s="953"/>
      <c r="D6962" s="953"/>
      <c r="E6962" s="953"/>
      <c r="F6962" s="953"/>
      <c r="G6962" s="953"/>
      <c r="H6962" s="953"/>
    </row>
    <row r="6963" spans="1:8" x14ac:dyDescent="0.25">
      <c r="A6963" s="952"/>
      <c r="B6963" s="953"/>
      <c r="C6963" s="953"/>
      <c r="D6963" s="953"/>
      <c r="E6963" s="953"/>
      <c r="F6963" s="953"/>
      <c r="G6963" s="953"/>
      <c r="H6963" s="953"/>
    </row>
    <row r="6964" spans="1:8" x14ac:dyDescent="0.25">
      <c r="A6964" s="952"/>
      <c r="B6964" s="953"/>
      <c r="C6964" s="953"/>
      <c r="D6964" s="953"/>
      <c r="E6964" s="953"/>
      <c r="F6964" s="953"/>
      <c r="G6964" s="953"/>
      <c r="H6964" s="953"/>
    </row>
    <row r="6965" spans="1:8" x14ac:dyDescent="0.25">
      <c r="A6965" s="952"/>
      <c r="B6965" s="953"/>
      <c r="C6965" s="953"/>
      <c r="D6965" s="953"/>
      <c r="E6965" s="953"/>
      <c r="F6965" s="953"/>
      <c r="G6965" s="953"/>
      <c r="H6965" s="953"/>
    </row>
    <row r="6966" spans="1:8" x14ac:dyDescent="0.25">
      <c r="A6966" s="952"/>
      <c r="B6966" s="953"/>
      <c r="C6966" s="953"/>
      <c r="D6966" s="953"/>
      <c r="E6966" s="953"/>
      <c r="F6966" s="953"/>
      <c r="G6966" s="953"/>
      <c r="H6966" s="953"/>
    </row>
    <row r="6967" spans="1:8" x14ac:dyDescent="0.25">
      <c r="A6967" s="952"/>
      <c r="B6967" s="953"/>
      <c r="C6967" s="953"/>
      <c r="D6967" s="953"/>
      <c r="E6967" s="953"/>
      <c r="F6967" s="953"/>
      <c r="G6967" s="953"/>
      <c r="H6967" s="953"/>
    </row>
    <row r="6968" spans="1:8" x14ac:dyDescent="0.25">
      <c r="A6968" s="952"/>
      <c r="B6968" s="953"/>
      <c r="C6968" s="953"/>
      <c r="D6968" s="953"/>
      <c r="E6968" s="953"/>
      <c r="F6968" s="953"/>
      <c r="G6968" s="953"/>
      <c r="H6968" s="953"/>
    </row>
    <row r="6969" spans="1:8" x14ac:dyDescent="0.25">
      <c r="A6969" s="952"/>
      <c r="B6969" s="953"/>
      <c r="C6969" s="953"/>
      <c r="D6969" s="953"/>
      <c r="E6969" s="953"/>
      <c r="F6969" s="953"/>
      <c r="G6969" s="953"/>
      <c r="H6969" s="953"/>
    </row>
    <row r="6970" spans="1:8" x14ac:dyDescent="0.25">
      <c r="A6970" s="952"/>
      <c r="B6970" s="953"/>
      <c r="C6970" s="953"/>
      <c r="D6970" s="953"/>
      <c r="E6970" s="953"/>
      <c r="F6970" s="953"/>
      <c r="G6970" s="953"/>
      <c r="H6970" s="953"/>
    </row>
    <row r="6971" spans="1:8" x14ac:dyDescent="0.25">
      <c r="A6971" s="952"/>
      <c r="B6971" s="953"/>
      <c r="C6971" s="953"/>
      <c r="D6971" s="953"/>
      <c r="E6971" s="953"/>
      <c r="F6971" s="953"/>
      <c r="G6971" s="953"/>
      <c r="H6971" s="953"/>
    </row>
    <row r="6972" spans="1:8" x14ac:dyDescent="0.25">
      <c r="A6972" s="952"/>
      <c r="B6972" s="953"/>
      <c r="C6972" s="953"/>
      <c r="D6972" s="953"/>
      <c r="E6972" s="953"/>
      <c r="F6972" s="953"/>
      <c r="G6972" s="953"/>
      <c r="H6972" s="953"/>
    </row>
    <row r="6973" spans="1:8" x14ac:dyDescent="0.25">
      <c r="A6973" s="952"/>
      <c r="B6973" s="953"/>
      <c r="C6973" s="953"/>
      <c r="D6973" s="953"/>
      <c r="E6973" s="953"/>
      <c r="F6973" s="953"/>
      <c r="G6973" s="953"/>
      <c r="H6973" s="953"/>
    </row>
    <row r="6974" spans="1:8" x14ac:dyDescent="0.25">
      <c r="A6974" s="952"/>
      <c r="B6974" s="953"/>
      <c r="C6974" s="953"/>
      <c r="D6974" s="953"/>
      <c r="E6974" s="953"/>
      <c r="F6974" s="953"/>
      <c r="G6974" s="953"/>
      <c r="H6974" s="953"/>
    </row>
    <row r="6975" spans="1:8" x14ac:dyDescent="0.25">
      <c r="A6975" s="952"/>
      <c r="B6975" s="953"/>
      <c r="C6975" s="953"/>
      <c r="D6975" s="953"/>
      <c r="E6975" s="953"/>
      <c r="F6975" s="953"/>
      <c r="G6975" s="953"/>
      <c r="H6975" s="953"/>
    </row>
    <row r="6976" spans="1:8" x14ac:dyDescent="0.25">
      <c r="A6976" s="952"/>
      <c r="B6976" s="953"/>
      <c r="C6976" s="953"/>
      <c r="D6976" s="953"/>
      <c r="E6976" s="953"/>
      <c r="F6976" s="953"/>
      <c r="G6976" s="953"/>
      <c r="H6976" s="953"/>
    </row>
    <row r="6977" spans="1:8" x14ac:dyDescent="0.25">
      <c r="A6977" s="952"/>
      <c r="B6977" s="953"/>
      <c r="C6977" s="953"/>
      <c r="D6977" s="953"/>
      <c r="E6977" s="953"/>
      <c r="F6977" s="953"/>
      <c r="G6977" s="953"/>
      <c r="H6977" s="953"/>
    </row>
    <row r="6978" spans="1:8" x14ac:dyDescent="0.25">
      <c r="A6978" s="952"/>
      <c r="B6978" s="953"/>
      <c r="C6978" s="953"/>
      <c r="D6978" s="953"/>
      <c r="E6978" s="953"/>
      <c r="F6978" s="953"/>
      <c r="G6978" s="953"/>
      <c r="H6978" s="953"/>
    </row>
    <row r="6979" spans="1:8" x14ac:dyDescent="0.25">
      <c r="A6979" s="952"/>
      <c r="B6979" s="953"/>
      <c r="C6979" s="953"/>
      <c r="D6979" s="953"/>
      <c r="E6979" s="953"/>
      <c r="F6979" s="953"/>
      <c r="G6979" s="953"/>
      <c r="H6979" s="953"/>
    </row>
    <row r="6980" spans="1:8" x14ac:dyDescent="0.25">
      <c r="A6980" s="952"/>
      <c r="B6980" s="953"/>
      <c r="C6980" s="953"/>
      <c r="D6980" s="953"/>
      <c r="E6980" s="953"/>
      <c r="F6980" s="953"/>
      <c r="G6980" s="953"/>
      <c r="H6980" s="953"/>
    </row>
    <row r="6981" spans="1:8" x14ac:dyDescent="0.25">
      <c r="A6981" s="952"/>
      <c r="B6981" s="953"/>
      <c r="C6981" s="953"/>
      <c r="D6981" s="953"/>
      <c r="E6981" s="953"/>
      <c r="F6981" s="953"/>
      <c r="G6981" s="953"/>
      <c r="H6981" s="953"/>
    </row>
    <row r="6982" spans="1:8" x14ac:dyDescent="0.25">
      <c r="A6982" s="952"/>
      <c r="B6982" s="953"/>
      <c r="C6982" s="953"/>
      <c r="D6982" s="953"/>
      <c r="E6982" s="953"/>
      <c r="F6982" s="953"/>
      <c r="G6982" s="953"/>
      <c r="H6982" s="953"/>
    </row>
    <row r="6983" spans="1:8" x14ac:dyDescent="0.25">
      <c r="A6983" s="952"/>
      <c r="B6983" s="953"/>
      <c r="C6983" s="953"/>
      <c r="D6983" s="953"/>
      <c r="E6983" s="953"/>
      <c r="F6983" s="953"/>
      <c r="G6983" s="953"/>
      <c r="H6983" s="953"/>
    </row>
    <row r="6984" spans="1:8" x14ac:dyDescent="0.25">
      <c r="A6984" s="952"/>
      <c r="B6984" s="953"/>
      <c r="C6984" s="953"/>
      <c r="D6984" s="953"/>
      <c r="E6984" s="953"/>
      <c r="F6984" s="953"/>
      <c r="G6984" s="953"/>
      <c r="H6984" s="953"/>
    </row>
    <row r="6985" spans="1:8" x14ac:dyDescent="0.25">
      <c r="A6985" s="952"/>
      <c r="B6985" s="953"/>
      <c r="C6985" s="953"/>
      <c r="D6985" s="953"/>
      <c r="E6985" s="953"/>
      <c r="F6985" s="953"/>
      <c r="G6985" s="953"/>
      <c r="H6985" s="953"/>
    </row>
    <row r="6986" spans="1:8" x14ac:dyDescent="0.25">
      <c r="A6986" s="952"/>
      <c r="B6986" s="953"/>
      <c r="C6986" s="953"/>
      <c r="D6986" s="953"/>
      <c r="E6986" s="953"/>
      <c r="F6986" s="953"/>
      <c r="G6986" s="953"/>
      <c r="H6986" s="953"/>
    </row>
    <row r="6987" spans="1:8" x14ac:dyDescent="0.25">
      <c r="A6987" s="952"/>
      <c r="B6987" s="953"/>
      <c r="C6987" s="953"/>
      <c r="D6987" s="953"/>
      <c r="E6987" s="953"/>
      <c r="F6987" s="953"/>
      <c r="G6987" s="953"/>
      <c r="H6987" s="953"/>
    </row>
    <row r="6988" spans="1:8" x14ac:dyDescent="0.25">
      <c r="A6988" s="952"/>
      <c r="B6988" s="953"/>
      <c r="C6988" s="953"/>
      <c r="D6988" s="953"/>
      <c r="E6988" s="953"/>
      <c r="F6988" s="953"/>
      <c r="G6988" s="953"/>
      <c r="H6988" s="953"/>
    </row>
    <row r="6989" spans="1:8" x14ac:dyDescent="0.25">
      <c r="A6989" s="952"/>
      <c r="B6989" s="953"/>
      <c r="C6989" s="953"/>
      <c r="D6989" s="953"/>
      <c r="E6989" s="953"/>
      <c r="F6989" s="953"/>
      <c r="G6989" s="953"/>
      <c r="H6989" s="953"/>
    </row>
    <row r="6990" spans="1:8" x14ac:dyDescent="0.25">
      <c r="A6990" s="952"/>
      <c r="B6990" s="953"/>
      <c r="C6990" s="953"/>
      <c r="D6990" s="953"/>
      <c r="E6990" s="953"/>
      <c r="F6990" s="953"/>
      <c r="G6990" s="953"/>
      <c r="H6990" s="953"/>
    </row>
    <row r="6991" spans="1:8" x14ac:dyDescent="0.25">
      <c r="A6991" s="952"/>
      <c r="B6991" s="953"/>
      <c r="C6991" s="953"/>
      <c r="D6991" s="953"/>
      <c r="E6991" s="953"/>
      <c r="F6991" s="953"/>
      <c r="G6991" s="953"/>
      <c r="H6991" s="953"/>
    </row>
    <row r="6992" spans="1:8" x14ac:dyDescent="0.25">
      <c r="A6992" s="952"/>
      <c r="B6992" s="953"/>
      <c r="C6992" s="953"/>
      <c r="D6992" s="953"/>
      <c r="E6992" s="953"/>
      <c r="F6992" s="953"/>
      <c r="G6992" s="953"/>
      <c r="H6992" s="953"/>
    </row>
    <row r="6993" spans="1:8" x14ac:dyDescent="0.25">
      <c r="A6993" s="952"/>
      <c r="B6993" s="953"/>
      <c r="C6993" s="953"/>
      <c r="D6993" s="953"/>
      <c r="E6993" s="953"/>
      <c r="F6993" s="953"/>
      <c r="G6993" s="953"/>
      <c r="H6993" s="953"/>
    </row>
    <row r="6994" spans="1:8" x14ac:dyDescent="0.25">
      <c r="A6994" s="952"/>
      <c r="B6994" s="953"/>
      <c r="C6994" s="953"/>
      <c r="D6994" s="953"/>
      <c r="E6994" s="953"/>
      <c r="F6994" s="953"/>
      <c r="G6994" s="953"/>
      <c r="H6994" s="953"/>
    </row>
    <row r="6995" spans="1:8" x14ac:dyDescent="0.25">
      <c r="A6995" s="952"/>
      <c r="B6995" s="953"/>
      <c r="C6995" s="953"/>
      <c r="D6995" s="953"/>
      <c r="E6995" s="953"/>
      <c r="F6995" s="953"/>
      <c r="G6995" s="953"/>
      <c r="H6995" s="953"/>
    </row>
    <row r="6996" spans="1:8" x14ac:dyDescent="0.25">
      <c r="A6996" s="952"/>
      <c r="B6996" s="953"/>
      <c r="C6996" s="953"/>
      <c r="D6996" s="953"/>
      <c r="E6996" s="953"/>
      <c r="F6996" s="953"/>
      <c r="G6996" s="953"/>
      <c r="H6996" s="953"/>
    </row>
    <row r="6997" spans="1:8" x14ac:dyDescent="0.25">
      <c r="A6997" s="952"/>
      <c r="B6997" s="953"/>
      <c r="C6997" s="953"/>
      <c r="D6997" s="953"/>
      <c r="E6997" s="953"/>
      <c r="F6997" s="953"/>
      <c r="G6997" s="953"/>
      <c r="H6997" s="953"/>
    </row>
    <row r="6998" spans="1:8" x14ac:dyDescent="0.25">
      <c r="A6998" s="952"/>
      <c r="B6998" s="953"/>
      <c r="C6998" s="953"/>
      <c r="D6998" s="953"/>
      <c r="E6998" s="953"/>
      <c r="F6998" s="953"/>
      <c r="G6998" s="953"/>
      <c r="H6998" s="953"/>
    </row>
    <row r="6999" spans="1:8" x14ac:dyDescent="0.25">
      <c r="A6999" s="952"/>
      <c r="B6999" s="953"/>
      <c r="C6999" s="953"/>
      <c r="D6999" s="953"/>
      <c r="E6999" s="953"/>
      <c r="F6999" s="953"/>
      <c r="G6999" s="953"/>
      <c r="H6999" s="953"/>
    </row>
    <row r="7000" spans="1:8" x14ac:dyDescent="0.25">
      <c r="A7000" s="952"/>
      <c r="B7000" s="953"/>
      <c r="C7000" s="953"/>
      <c r="D7000" s="953"/>
      <c r="E7000" s="953"/>
      <c r="F7000" s="953"/>
      <c r="G7000" s="953"/>
      <c r="H7000" s="953"/>
    </row>
    <row r="7001" spans="1:8" x14ac:dyDescent="0.25">
      <c r="A7001" s="952"/>
      <c r="B7001" s="953"/>
      <c r="C7001" s="953"/>
      <c r="D7001" s="953"/>
      <c r="E7001" s="953"/>
      <c r="F7001" s="953"/>
      <c r="G7001" s="953"/>
      <c r="H7001" s="953"/>
    </row>
    <row r="7002" spans="1:8" x14ac:dyDescent="0.25">
      <c r="A7002" s="952"/>
      <c r="B7002" s="953"/>
      <c r="C7002" s="953"/>
      <c r="D7002" s="953"/>
      <c r="E7002" s="953"/>
      <c r="F7002" s="953"/>
      <c r="G7002" s="953"/>
      <c r="H7002" s="953"/>
    </row>
    <row r="7003" spans="1:8" x14ac:dyDescent="0.25">
      <c r="A7003" s="952"/>
      <c r="B7003" s="953"/>
      <c r="C7003" s="953"/>
      <c r="D7003" s="953"/>
      <c r="E7003" s="953"/>
      <c r="F7003" s="953"/>
      <c r="G7003" s="953"/>
      <c r="H7003" s="953"/>
    </row>
    <row r="7004" spans="1:8" x14ac:dyDescent="0.25">
      <c r="A7004" s="952"/>
      <c r="B7004" s="953"/>
      <c r="C7004" s="953"/>
      <c r="D7004" s="953"/>
      <c r="E7004" s="953"/>
      <c r="F7004" s="953"/>
      <c r="G7004" s="953"/>
      <c r="H7004" s="953"/>
    </row>
    <row r="7005" spans="1:8" x14ac:dyDescent="0.25">
      <c r="A7005" s="952"/>
      <c r="B7005" s="953"/>
      <c r="C7005" s="953"/>
      <c r="D7005" s="953"/>
      <c r="E7005" s="953"/>
      <c r="F7005" s="953"/>
      <c r="G7005" s="953"/>
      <c r="H7005" s="953"/>
    </row>
    <row r="7006" spans="1:8" x14ac:dyDescent="0.25">
      <c r="A7006" s="952"/>
      <c r="B7006" s="953"/>
      <c r="C7006" s="953"/>
      <c r="D7006" s="953"/>
      <c r="E7006" s="953"/>
      <c r="F7006" s="953"/>
      <c r="G7006" s="953"/>
      <c r="H7006" s="953"/>
    </row>
    <row r="7007" spans="1:8" x14ac:dyDescent="0.25">
      <c r="A7007" s="952"/>
      <c r="B7007" s="953"/>
      <c r="C7007" s="953"/>
      <c r="D7007" s="953"/>
      <c r="E7007" s="953"/>
      <c r="F7007" s="953"/>
      <c r="G7007" s="953"/>
      <c r="H7007" s="953"/>
    </row>
    <row r="7008" spans="1:8" x14ac:dyDescent="0.25">
      <c r="A7008" s="952"/>
      <c r="B7008" s="953"/>
      <c r="C7008" s="953"/>
      <c r="D7008" s="953"/>
      <c r="E7008" s="953"/>
      <c r="F7008" s="953"/>
      <c r="G7008" s="953"/>
      <c r="H7008" s="953"/>
    </row>
    <row r="7009" spans="1:8" x14ac:dyDescent="0.25">
      <c r="A7009" s="952"/>
      <c r="B7009" s="953"/>
      <c r="C7009" s="953"/>
      <c r="D7009" s="953"/>
      <c r="E7009" s="953"/>
      <c r="F7009" s="953"/>
      <c r="G7009" s="953"/>
      <c r="H7009" s="953"/>
    </row>
    <row r="7010" spans="1:8" x14ac:dyDescent="0.25">
      <c r="A7010" s="952"/>
      <c r="B7010" s="953"/>
      <c r="C7010" s="953"/>
      <c r="D7010" s="953"/>
      <c r="E7010" s="953"/>
      <c r="F7010" s="953"/>
      <c r="G7010" s="953"/>
      <c r="H7010" s="953"/>
    </row>
    <row r="7011" spans="1:8" x14ac:dyDescent="0.25">
      <c r="A7011" s="952"/>
      <c r="B7011" s="953"/>
      <c r="C7011" s="953"/>
      <c r="D7011" s="953"/>
      <c r="E7011" s="953"/>
      <c r="F7011" s="953"/>
      <c r="G7011" s="953"/>
      <c r="H7011" s="953"/>
    </row>
    <row r="7012" spans="1:8" x14ac:dyDescent="0.25">
      <c r="A7012" s="952"/>
      <c r="B7012" s="953"/>
      <c r="C7012" s="953"/>
      <c r="D7012" s="953"/>
      <c r="E7012" s="953"/>
      <c r="F7012" s="953"/>
      <c r="G7012" s="953"/>
      <c r="H7012" s="953"/>
    </row>
    <row r="7013" spans="1:8" x14ac:dyDescent="0.25">
      <c r="A7013" s="952"/>
      <c r="B7013" s="953"/>
      <c r="C7013" s="953"/>
      <c r="D7013" s="953"/>
      <c r="E7013" s="953"/>
      <c r="F7013" s="953"/>
      <c r="G7013" s="953"/>
      <c r="H7013" s="953"/>
    </row>
    <row r="7014" spans="1:8" x14ac:dyDescent="0.25">
      <c r="A7014" s="952"/>
      <c r="B7014" s="953"/>
      <c r="C7014" s="953"/>
      <c r="D7014" s="953"/>
      <c r="E7014" s="953"/>
      <c r="F7014" s="953"/>
      <c r="G7014" s="953"/>
      <c r="H7014" s="953"/>
    </row>
    <row r="7015" spans="1:8" x14ac:dyDescent="0.25">
      <c r="A7015" s="952"/>
      <c r="B7015" s="953"/>
      <c r="C7015" s="953"/>
      <c r="D7015" s="953"/>
      <c r="E7015" s="953"/>
      <c r="F7015" s="953"/>
      <c r="G7015" s="953"/>
      <c r="H7015" s="953"/>
    </row>
    <row r="7016" spans="1:8" x14ac:dyDescent="0.25">
      <c r="A7016" s="952"/>
      <c r="B7016" s="953"/>
      <c r="C7016" s="953"/>
      <c r="D7016" s="953"/>
      <c r="E7016" s="953"/>
      <c r="F7016" s="953"/>
      <c r="G7016" s="953"/>
      <c r="H7016" s="953"/>
    </row>
    <row r="7017" spans="1:8" x14ac:dyDescent="0.25">
      <c r="A7017" s="952"/>
      <c r="B7017" s="953"/>
      <c r="C7017" s="953"/>
      <c r="D7017" s="953"/>
      <c r="E7017" s="953"/>
      <c r="F7017" s="953"/>
      <c r="G7017" s="953"/>
      <c r="H7017" s="953"/>
    </row>
    <row r="7018" spans="1:8" x14ac:dyDescent="0.25">
      <c r="A7018" s="952"/>
      <c r="B7018" s="953"/>
      <c r="C7018" s="953"/>
      <c r="D7018" s="953"/>
      <c r="E7018" s="953"/>
      <c r="F7018" s="953"/>
      <c r="G7018" s="953"/>
      <c r="H7018" s="953"/>
    </row>
    <row r="7019" spans="1:8" x14ac:dyDescent="0.25">
      <c r="A7019" s="952"/>
      <c r="B7019" s="953"/>
      <c r="C7019" s="953"/>
      <c r="D7019" s="953"/>
      <c r="E7019" s="953"/>
      <c r="F7019" s="953"/>
      <c r="G7019" s="953"/>
      <c r="H7019" s="953"/>
    </row>
    <row r="7020" spans="1:8" x14ac:dyDescent="0.25">
      <c r="A7020" s="952"/>
      <c r="B7020" s="953"/>
      <c r="C7020" s="953"/>
      <c r="D7020" s="953"/>
      <c r="E7020" s="953"/>
      <c r="F7020" s="953"/>
      <c r="G7020" s="953"/>
      <c r="H7020" s="953"/>
    </row>
    <row r="7021" spans="1:8" x14ac:dyDescent="0.25">
      <c r="A7021" s="952"/>
      <c r="B7021" s="953"/>
      <c r="C7021" s="953"/>
      <c r="D7021" s="953"/>
      <c r="E7021" s="953"/>
      <c r="F7021" s="953"/>
      <c r="G7021" s="953"/>
      <c r="H7021" s="953"/>
    </row>
    <row r="7022" spans="1:8" x14ac:dyDescent="0.25">
      <c r="A7022" s="952"/>
      <c r="B7022" s="953"/>
      <c r="C7022" s="953"/>
      <c r="D7022" s="953"/>
      <c r="E7022" s="953"/>
      <c r="F7022" s="953"/>
      <c r="G7022" s="953"/>
      <c r="H7022" s="953"/>
    </row>
    <row r="7023" spans="1:8" x14ac:dyDescent="0.25">
      <c r="A7023" s="952"/>
      <c r="B7023" s="953"/>
      <c r="C7023" s="953"/>
      <c r="D7023" s="953"/>
      <c r="E7023" s="953"/>
      <c r="F7023" s="953"/>
      <c r="G7023" s="953"/>
      <c r="H7023" s="953"/>
    </row>
    <row r="7024" spans="1:8" x14ac:dyDescent="0.25">
      <c r="A7024" s="952"/>
      <c r="B7024" s="953"/>
      <c r="C7024" s="953"/>
      <c r="D7024" s="953"/>
      <c r="E7024" s="953"/>
      <c r="F7024" s="953"/>
      <c r="G7024" s="953"/>
      <c r="H7024" s="953"/>
    </row>
    <row r="7025" spans="1:8" x14ac:dyDescent="0.25">
      <c r="A7025" s="952"/>
      <c r="B7025" s="953"/>
      <c r="C7025" s="953"/>
      <c r="D7025" s="953"/>
      <c r="E7025" s="953"/>
      <c r="F7025" s="953"/>
      <c r="G7025" s="953"/>
      <c r="H7025" s="953"/>
    </row>
    <row r="7026" spans="1:8" x14ac:dyDescent="0.25">
      <c r="A7026" s="952"/>
      <c r="B7026" s="953"/>
      <c r="C7026" s="953"/>
      <c r="D7026" s="953"/>
      <c r="E7026" s="953"/>
      <c r="F7026" s="953"/>
      <c r="G7026" s="953"/>
      <c r="H7026" s="953"/>
    </row>
    <row r="7027" spans="1:8" x14ac:dyDescent="0.25">
      <c r="A7027" s="952"/>
      <c r="B7027" s="953"/>
      <c r="C7027" s="953"/>
      <c r="D7027" s="953"/>
      <c r="E7027" s="953"/>
      <c r="F7027" s="953"/>
      <c r="G7027" s="953"/>
      <c r="H7027" s="953"/>
    </row>
    <row r="7028" spans="1:8" x14ac:dyDescent="0.25">
      <c r="A7028" s="952"/>
      <c r="B7028" s="953"/>
      <c r="C7028" s="953"/>
      <c r="D7028" s="953"/>
      <c r="E7028" s="953"/>
      <c r="F7028" s="953"/>
      <c r="G7028" s="953"/>
      <c r="H7028" s="953"/>
    </row>
    <row r="7029" spans="1:8" x14ac:dyDescent="0.25">
      <c r="A7029" s="952"/>
      <c r="B7029" s="953"/>
      <c r="C7029" s="953"/>
      <c r="D7029" s="953"/>
      <c r="E7029" s="953"/>
      <c r="F7029" s="953"/>
      <c r="G7029" s="953"/>
      <c r="H7029" s="953"/>
    </row>
    <row r="7030" spans="1:8" x14ac:dyDescent="0.25">
      <c r="A7030" s="952"/>
      <c r="B7030" s="953"/>
      <c r="C7030" s="953"/>
      <c r="D7030" s="953"/>
      <c r="E7030" s="953"/>
      <c r="F7030" s="953"/>
      <c r="G7030" s="953"/>
      <c r="H7030" s="953"/>
    </row>
    <row r="7031" spans="1:8" x14ac:dyDescent="0.25">
      <c r="A7031" s="952"/>
      <c r="B7031" s="953"/>
      <c r="C7031" s="953"/>
      <c r="D7031" s="953"/>
      <c r="E7031" s="953"/>
      <c r="F7031" s="953"/>
      <c r="G7031" s="953"/>
      <c r="H7031" s="953"/>
    </row>
    <row r="7032" spans="1:8" x14ac:dyDescent="0.25">
      <c r="A7032" s="952"/>
      <c r="B7032" s="953"/>
      <c r="C7032" s="953"/>
      <c r="D7032" s="953"/>
      <c r="E7032" s="953"/>
      <c r="F7032" s="953"/>
      <c r="G7032" s="953"/>
      <c r="H7032" s="953"/>
    </row>
    <row r="7033" spans="1:8" x14ac:dyDescent="0.25">
      <c r="A7033" s="952"/>
      <c r="B7033" s="953"/>
      <c r="C7033" s="953"/>
      <c r="D7033" s="953"/>
      <c r="E7033" s="953"/>
      <c r="F7033" s="953"/>
      <c r="G7033" s="953"/>
      <c r="H7033" s="953"/>
    </row>
    <row r="7034" spans="1:8" x14ac:dyDescent="0.25">
      <c r="A7034" s="952"/>
      <c r="B7034" s="953"/>
      <c r="C7034" s="953"/>
      <c r="D7034" s="953"/>
      <c r="E7034" s="953"/>
      <c r="F7034" s="953"/>
      <c r="G7034" s="953"/>
      <c r="H7034" s="953"/>
    </row>
    <row r="7035" spans="1:8" x14ac:dyDescent="0.25">
      <c r="A7035" s="952"/>
      <c r="B7035" s="953"/>
      <c r="C7035" s="953"/>
      <c r="D7035" s="953"/>
      <c r="E7035" s="953"/>
      <c r="F7035" s="953"/>
      <c r="G7035" s="953"/>
      <c r="H7035" s="953"/>
    </row>
    <row r="7036" spans="1:8" x14ac:dyDescent="0.25">
      <c r="A7036" s="952"/>
      <c r="B7036" s="953"/>
      <c r="C7036" s="953"/>
      <c r="D7036" s="953"/>
      <c r="E7036" s="953"/>
      <c r="F7036" s="953"/>
      <c r="G7036" s="953"/>
      <c r="H7036" s="953"/>
    </row>
    <row r="7037" spans="1:8" x14ac:dyDescent="0.25">
      <c r="A7037" s="952"/>
      <c r="B7037" s="953"/>
      <c r="C7037" s="953"/>
      <c r="D7037" s="953"/>
      <c r="E7037" s="953"/>
      <c r="F7037" s="953"/>
      <c r="G7037" s="953"/>
      <c r="H7037" s="953"/>
    </row>
    <row r="7038" spans="1:8" x14ac:dyDescent="0.25">
      <c r="A7038" s="952"/>
      <c r="B7038" s="953"/>
      <c r="C7038" s="953"/>
      <c r="D7038" s="953"/>
      <c r="E7038" s="953"/>
      <c r="F7038" s="953"/>
      <c r="G7038" s="953"/>
      <c r="H7038" s="953"/>
    </row>
    <row r="7039" spans="1:8" x14ac:dyDescent="0.25">
      <c r="A7039" s="952"/>
      <c r="B7039" s="953"/>
      <c r="C7039" s="953"/>
      <c r="D7039" s="953"/>
      <c r="E7039" s="953"/>
      <c r="F7039" s="953"/>
      <c r="G7039" s="953"/>
      <c r="H7039" s="953"/>
    </row>
    <row r="7040" spans="1:8" x14ac:dyDescent="0.25">
      <c r="A7040" s="952"/>
      <c r="B7040" s="953"/>
      <c r="C7040" s="953"/>
      <c r="D7040" s="953"/>
      <c r="E7040" s="953"/>
      <c r="F7040" s="953"/>
      <c r="G7040" s="953"/>
      <c r="H7040" s="953"/>
    </row>
    <row r="7041" spans="1:8" x14ac:dyDescent="0.25">
      <c r="A7041" s="952"/>
      <c r="B7041" s="953"/>
      <c r="C7041" s="953"/>
      <c r="D7041" s="953"/>
      <c r="E7041" s="953"/>
      <c r="F7041" s="953"/>
      <c r="G7041" s="953"/>
      <c r="H7041" s="953"/>
    </row>
    <row r="7042" spans="1:8" x14ac:dyDescent="0.25">
      <c r="A7042" s="952"/>
      <c r="B7042" s="953"/>
      <c r="C7042" s="953"/>
      <c r="D7042" s="953"/>
      <c r="E7042" s="953"/>
      <c r="F7042" s="953"/>
      <c r="G7042" s="953"/>
      <c r="H7042" s="953"/>
    </row>
    <row r="7043" spans="1:8" x14ac:dyDescent="0.25">
      <c r="A7043" s="952"/>
      <c r="B7043" s="953"/>
      <c r="C7043" s="953"/>
      <c r="D7043" s="953"/>
      <c r="E7043" s="953"/>
      <c r="F7043" s="953"/>
      <c r="G7043" s="953"/>
      <c r="H7043" s="953"/>
    </row>
    <row r="7044" spans="1:8" x14ac:dyDescent="0.25">
      <c r="A7044" s="952"/>
      <c r="B7044" s="953"/>
      <c r="C7044" s="953"/>
      <c r="D7044" s="953"/>
      <c r="E7044" s="953"/>
      <c r="F7044" s="953"/>
      <c r="G7044" s="953"/>
      <c r="H7044" s="953"/>
    </row>
    <row r="7045" spans="1:8" x14ac:dyDescent="0.25">
      <c r="A7045" s="952"/>
      <c r="B7045" s="953"/>
      <c r="C7045" s="953"/>
      <c r="D7045" s="953"/>
      <c r="E7045" s="953"/>
      <c r="F7045" s="953"/>
      <c r="G7045" s="953"/>
      <c r="H7045" s="953"/>
    </row>
    <row r="7046" spans="1:8" x14ac:dyDescent="0.25">
      <c r="A7046" s="952"/>
      <c r="B7046" s="953"/>
      <c r="C7046" s="953"/>
      <c r="D7046" s="953"/>
      <c r="E7046" s="953"/>
      <c r="F7046" s="953"/>
      <c r="G7046" s="953"/>
      <c r="H7046" s="953"/>
    </row>
    <row r="7047" spans="1:8" x14ac:dyDescent="0.25">
      <c r="A7047" s="952"/>
      <c r="B7047" s="953"/>
      <c r="C7047" s="953"/>
      <c r="D7047" s="953"/>
      <c r="E7047" s="953"/>
      <c r="F7047" s="953"/>
      <c r="G7047" s="953"/>
      <c r="H7047" s="953"/>
    </row>
    <row r="7048" spans="1:8" x14ac:dyDescent="0.25">
      <c r="A7048" s="952"/>
      <c r="B7048" s="953"/>
      <c r="C7048" s="953"/>
      <c r="D7048" s="953"/>
      <c r="E7048" s="953"/>
      <c r="F7048" s="953"/>
      <c r="G7048" s="953"/>
      <c r="H7048" s="953"/>
    </row>
    <row r="7049" spans="1:8" x14ac:dyDescent="0.25">
      <c r="A7049" s="952"/>
      <c r="B7049" s="953"/>
      <c r="C7049" s="953"/>
      <c r="D7049" s="953"/>
      <c r="E7049" s="953"/>
      <c r="F7049" s="953"/>
      <c r="G7049" s="953"/>
      <c r="H7049" s="953"/>
    </row>
    <row r="7050" spans="1:8" x14ac:dyDescent="0.25">
      <c r="A7050" s="952"/>
      <c r="B7050" s="953"/>
      <c r="C7050" s="953"/>
      <c r="D7050" s="953"/>
      <c r="E7050" s="953"/>
      <c r="F7050" s="953"/>
      <c r="G7050" s="953"/>
      <c r="H7050" s="953"/>
    </row>
    <row r="7051" spans="1:8" x14ac:dyDescent="0.25">
      <c r="A7051" s="952"/>
      <c r="B7051" s="953"/>
      <c r="C7051" s="953"/>
      <c r="D7051" s="953"/>
      <c r="E7051" s="953"/>
      <c r="F7051" s="953"/>
      <c r="G7051" s="953"/>
      <c r="H7051" s="953"/>
    </row>
    <row r="7052" spans="1:8" x14ac:dyDescent="0.25">
      <c r="A7052" s="952"/>
      <c r="B7052" s="953"/>
      <c r="C7052" s="953"/>
      <c r="D7052" s="953"/>
      <c r="E7052" s="953"/>
      <c r="F7052" s="953"/>
      <c r="G7052" s="953"/>
      <c r="H7052" s="953"/>
    </row>
    <row r="7053" spans="1:8" x14ac:dyDescent="0.25">
      <c r="A7053" s="952"/>
      <c r="B7053" s="953"/>
      <c r="C7053" s="953"/>
      <c r="D7053" s="953"/>
      <c r="E7053" s="953"/>
      <c r="F7053" s="953"/>
      <c r="G7053" s="953"/>
      <c r="H7053" s="953"/>
    </row>
    <row r="7054" spans="1:8" x14ac:dyDescent="0.25">
      <c r="A7054" s="952"/>
      <c r="B7054" s="953"/>
      <c r="C7054" s="953"/>
      <c r="D7054" s="953"/>
      <c r="E7054" s="953"/>
      <c r="F7054" s="953"/>
      <c r="G7054" s="953"/>
      <c r="H7054" s="953"/>
    </row>
    <row r="7055" spans="1:8" x14ac:dyDescent="0.25">
      <c r="A7055" s="952"/>
      <c r="B7055" s="953"/>
      <c r="C7055" s="953"/>
      <c r="D7055" s="953"/>
      <c r="E7055" s="953"/>
      <c r="F7055" s="953"/>
      <c r="G7055" s="953"/>
      <c r="H7055" s="953"/>
    </row>
    <row r="7056" spans="1:8" x14ac:dyDescent="0.25">
      <c r="A7056" s="952"/>
      <c r="B7056" s="953"/>
      <c r="C7056" s="953"/>
      <c r="D7056" s="953"/>
      <c r="E7056" s="953"/>
      <c r="F7056" s="953"/>
      <c r="G7056" s="953"/>
      <c r="H7056" s="953"/>
    </row>
    <row r="7057" spans="1:8" x14ac:dyDescent="0.25">
      <c r="A7057" s="952"/>
      <c r="B7057" s="953"/>
      <c r="C7057" s="953"/>
      <c r="D7057" s="953"/>
      <c r="E7057" s="953"/>
      <c r="F7057" s="953"/>
      <c r="G7057" s="953"/>
      <c r="H7057" s="953"/>
    </row>
    <row r="7058" spans="1:8" x14ac:dyDescent="0.25">
      <c r="A7058" s="952"/>
      <c r="B7058" s="953"/>
      <c r="C7058" s="953"/>
      <c r="D7058" s="953"/>
      <c r="E7058" s="953"/>
      <c r="F7058" s="953"/>
      <c r="G7058" s="953"/>
      <c r="H7058" s="953"/>
    </row>
    <row r="7059" spans="1:8" x14ac:dyDescent="0.25">
      <c r="A7059" s="952"/>
      <c r="B7059" s="953"/>
      <c r="C7059" s="953"/>
      <c r="D7059" s="953"/>
      <c r="E7059" s="953"/>
      <c r="F7059" s="953"/>
      <c r="G7059" s="953"/>
      <c r="H7059" s="953"/>
    </row>
    <row r="7060" spans="1:8" x14ac:dyDescent="0.25">
      <c r="A7060" s="952"/>
      <c r="B7060" s="953"/>
      <c r="C7060" s="953"/>
      <c r="D7060" s="953"/>
      <c r="E7060" s="953"/>
      <c r="F7060" s="953"/>
      <c r="G7060" s="953"/>
      <c r="H7060" s="953"/>
    </row>
    <row r="7061" spans="1:8" x14ac:dyDescent="0.25">
      <c r="A7061" s="952"/>
      <c r="B7061" s="953"/>
      <c r="C7061" s="953"/>
      <c r="D7061" s="953"/>
      <c r="E7061" s="953"/>
      <c r="F7061" s="953"/>
      <c r="G7061" s="953"/>
      <c r="H7061" s="953"/>
    </row>
    <row r="7062" spans="1:8" x14ac:dyDescent="0.25">
      <c r="A7062" s="952"/>
      <c r="B7062" s="953"/>
      <c r="C7062" s="953"/>
      <c r="D7062" s="953"/>
      <c r="E7062" s="953"/>
      <c r="F7062" s="953"/>
      <c r="G7062" s="953"/>
      <c r="H7062" s="953"/>
    </row>
    <row r="7063" spans="1:8" x14ac:dyDescent="0.25">
      <c r="A7063" s="952"/>
      <c r="B7063" s="953"/>
      <c r="C7063" s="953"/>
      <c r="D7063" s="953"/>
      <c r="E7063" s="953"/>
      <c r="F7063" s="953"/>
      <c r="G7063" s="953"/>
      <c r="H7063" s="953"/>
    </row>
    <row r="7064" spans="1:8" x14ac:dyDescent="0.25">
      <c r="A7064" s="952"/>
      <c r="B7064" s="953"/>
      <c r="C7064" s="953"/>
      <c r="D7064" s="953"/>
      <c r="E7064" s="953"/>
      <c r="F7064" s="953"/>
      <c r="G7064" s="953"/>
      <c r="H7064" s="953"/>
    </row>
    <row r="7065" spans="1:8" x14ac:dyDescent="0.25">
      <c r="A7065" s="952"/>
      <c r="B7065" s="953"/>
      <c r="C7065" s="953"/>
      <c r="D7065" s="953"/>
      <c r="E7065" s="953"/>
      <c r="F7065" s="953"/>
      <c r="G7065" s="953"/>
      <c r="H7065" s="953"/>
    </row>
    <row r="7066" spans="1:8" x14ac:dyDescent="0.25">
      <c r="A7066" s="952"/>
      <c r="B7066" s="953"/>
      <c r="C7066" s="953"/>
      <c r="D7066" s="953"/>
      <c r="E7066" s="953"/>
      <c r="F7066" s="953"/>
      <c r="G7066" s="953"/>
      <c r="H7066" s="953"/>
    </row>
    <row r="7067" spans="1:8" x14ac:dyDescent="0.25">
      <c r="A7067" s="952"/>
      <c r="B7067" s="953"/>
      <c r="C7067" s="953"/>
      <c r="D7067" s="953"/>
      <c r="E7067" s="953"/>
      <c r="F7067" s="953"/>
      <c r="G7067" s="953"/>
      <c r="H7067" s="953"/>
    </row>
    <row r="7068" spans="1:8" x14ac:dyDescent="0.25">
      <c r="A7068" s="952"/>
      <c r="B7068" s="953"/>
      <c r="C7068" s="953"/>
      <c r="D7068" s="953"/>
      <c r="E7068" s="953"/>
      <c r="F7068" s="953"/>
      <c r="G7068" s="953"/>
      <c r="H7068" s="953"/>
    </row>
    <row r="7069" spans="1:8" x14ac:dyDescent="0.25">
      <c r="A7069" s="952"/>
      <c r="B7069" s="953"/>
      <c r="C7069" s="953"/>
      <c r="D7069" s="953"/>
      <c r="E7069" s="953"/>
      <c r="F7069" s="953"/>
      <c r="G7069" s="953"/>
      <c r="H7069" s="953"/>
    </row>
    <row r="7070" spans="1:8" x14ac:dyDescent="0.25">
      <c r="A7070" s="952"/>
      <c r="B7070" s="953"/>
      <c r="C7070" s="953"/>
      <c r="D7070" s="953"/>
      <c r="E7070" s="953"/>
      <c r="F7070" s="953"/>
      <c r="G7070" s="953"/>
      <c r="H7070" s="953"/>
    </row>
    <row r="7071" spans="1:8" x14ac:dyDescent="0.25">
      <c r="A7071" s="952"/>
      <c r="B7071" s="953"/>
      <c r="C7071" s="953"/>
      <c r="D7071" s="953"/>
      <c r="E7071" s="953"/>
      <c r="F7071" s="953"/>
      <c r="G7071" s="953"/>
      <c r="H7071" s="953"/>
    </row>
    <row r="7072" spans="1:8" x14ac:dyDescent="0.25">
      <c r="A7072" s="952"/>
      <c r="B7072" s="953"/>
      <c r="C7072" s="953"/>
      <c r="D7072" s="953"/>
      <c r="E7072" s="953"/>
      <c r="F7072" s="953"/>
      <c r="G7072" s="953"/>
      <c r="H7072" s="953"/>
    </row>
    <row r="7073" spans="1:8" x14ac:dyDescent="0.25">
      <c r="A7073" s="952"/>
      <c r="B7073" s="953"/>
      <c r="C7073" s="953"/>
      <c r="D7073" s="953"/>
      <c r="E7073" s="953"/>
      <c r="F7073" s="953"/>
      <c r="G7073" s="953"/>
      <c r="H7073" s="953"/>
    </row>
    <row r="7074" spans="1:8" x14ac:dyDescent="0.25">
      <c r="A7074" s="952"/>
      <c r="B7074" s="953"/>
      <c r="C7074" s="953"/>
      <c r="D7074" s="953"/>
      <c r="E7074" s="953"/>
      <c r="F7074" s="953"/>
      <c r="G7074" s="953"/>
      <c r="H7074" s="953"/>
    </row>
    <row r="7075" spans="1:8" x14ac:dyDescent="0.25">
      <c r="A7075" s="952"/>
      <c r="B7075" s="953"/>
      <c r="C7075" s="953"/>
      <c r="D7075" s="953"/>
      <c r="E7075" s="953"/>
      <c r="F7075" s="953"/>
      <c r="G7075" s="953"/>
      <c r="H7075" s="953"/>
    </row>
    <row r="7076" spans="1:8" x14ac:dyDescent="0.25">
      <c r="A7076" s="952"/>
      <c r="B7076" s="953"/>
      <c r="C7076" s="953"/>
      <c r="D7076" s="953"/>
      <c r="E7076" s="953"/>
      <c r="F7076" s="953"/>
      <c r="G7076" s="953"/>
      <c r="H7076" s="953"/>
    </row>
    <row r="7077" spans="1:8" x14ac:dyDescent="0.25">
      <c r="A7077" s="952"/>
      <c r="B7077" s="953"/>
      <c r="C7077" s="953"/>
      <c r="D7077" s="953"/>
      <c r="E7077" s="953"/>
      <c r="F7077" s="953"/>
      <c r="G7077" s="953"/>
      <c r="H7077" s="953"/>
    </row>
    <row r="7078" spans="1:8" x14ac:dyDescent="0.25">
      <c r="A7078" s="952"/>
      <c r="B7078" s="953"/>
      <c r="C7078" s="953"/>
      <c r="D7078" s="953"/>
      <c r="E7078" s="953"/>
      <c r="F7078" s="953"/>
      <c r="G7078" s="953"/>
      <c r="H7078" s="953"/>
    </row>
    <row r="7079" spans="1:8" x14ac:dyDescent="0.25">
      <c r="A7079" s="952"/>
      <c r="B7079" s="953"/>
      <c r="C7079" s="953"/>
      <c r="D7079" s="953"/>
      <c r="E7079" s="953"/>
      <c r="F7079" s="953"/>
      <c r="G7079" s="953"/>
      <c r="H7079" s="953"/>
    </row>
    <row r="7080" spans="1:8" x14ac:dyDescent="0.25">
      <c r="A7080" s="952"/>
      <c r="B7080" s="953"/>
      <c r="C7080" s="953"/>
      <c r="D7080" s="953"/>
      <c r="E7080" s="953"/>
      <c r="F7080" s="953"/>
      <c r="G7080" s="953"/>
      <c r="H7080" s="953"/>
    </row>
    <row r="7081" spans="1:8" x14ac:dyDescent="0.25">
      <c r="A7081" s="952"/>
      <c r="B7081" s="953"/>
      <c r="C7081" s="953"/>
      <c r="D7081" s="953"/>
      <c r="E7081" s="953"/>
      <c r="F7081" s="953"/>
      <c r="G7081" s="953"/>
      <c r="H7081" s="953"/>
    </row>
    <row r="7082" spans="1:8" x14ac:dyDescent="0.25">
      <c r="A7082" s="952"/>
      <c r="B7082" s="953"/>
      <c r="C7082" s="953"/>
      <c r="D7082" s="953"/>
      <c r="E7082" s="953"/>
      <c r="F7082" s="953"/>
      <c r="G7082" s="953"/>
      <c r="H7082" s="953"/>
    </row>
    <row r="7083" spans="1:8" x14ac:dyDescent="0.25">
      <c r="A7083" s="952"/>
      <c r="B7083" s="953"/>
      <c r="C7083" s="953"/>
      <c r="D7083" s="953"/>
      <c r="E7083" s="953"/>
      <c r="F7083" s="953"/>
      <c r="G7083" s="953"/>
      <c r="H7083" s="953"/>
    </row>
    <row r="7084" spans="1:8" x14ac:dyDescent="0.25">
      <c r="A7084" s="952"/>
      <c r="B7084" s="953"/>
      <c r="C7084" s="953"/>
      <c r="D7084" s="953"/>
      <c r="E7084" s="953"/>
      <c r="F7084" s="953"/>
      <c r="G7084" s="953"/>
      <c r="H7084" s="953"/>
    </row>
    <row r="7085" spans="1:8" x14ac:dyDescent="0.25">
      <c r="A7085" s="952"/>
      <c r="B7085" s="953"/>
      <c r="C7085" s="953"/>
      <c r="D7085" s="953"/>
      <c r="E7085" s="953"/>
      <c r="F7085" s="953"/>
      <c r="G7085" s="953"/>
      <c r="H7085" s="953"/>
    </row>
    <row r="7086" spans="1:8" x14ac:dyDescent="0.25">
      <c r="A7086" s="952"/>
      <c r="B7086" s="953"/>
      <c r="C7086" s="953"/>
      <c r="D7086" s="953"/>
      <c r="E7086" s="953"/>
      <c r="F7086" s="953"/>
      <c r="G7086" s="953"/>
      <c r="H7086" s="953"/>
    </row>
    <row r="7087" spans="1:8" x14ac:dyDescent="0.25">
      <c r="A7087" s="952"/>
      <c r="B7087" s="953"/>
      <c r="C7087" s="953"/>
      <c r="D7087" s="953"/>
      <c r="E7087" s="953"/>
      <c r="F7087" s="953"/>
      <c r="G7087" s="953"/>
      <c r="H7087" s="953"/>
    </row>
    <row r="7088" spans="1:8" x14ac:dyDescent="0.25">
      <c r="A7088" s="952"/>
      <c r="B7088" s="953"/>
      <c r="C7088" s="953"/>
      <c r="D7088" s="953"/>
      <c r="E7088" s="953"/>
      <c r="F7088" s="953"/>
      <c r="G7088" s="953"/>
      <c r="H7088" s="953"/>
    </row>
    <row r="7089" spans="1:8" x14ac:dyDescent="0.25">
      <c r="A7089" s="952"/>
      <c r="B7089" s="953"/>
      <c r="C7089" s="953"/>
      <c r="D7089" s="953"/>
      <c r="E7089" s="953"/>
      <c r="F7089" s="953"/>
      <c r="G7089" s="953"/>
      <c r="H7089" s="953"/>
    </row>
    <row r="7090" spans="1:8" x14ac:dyDescent="0.25">
      <c r="A7090" s="952"/>
      <c r="B7090" s="953"/>
      <c r="C7090" s="953"/>
      <c r="D7090" s="953"/>
      <c r="E7090" s="953"/>
      <c r="F7090" s="953"/>
      <c r="G7090" s="953"/>
      <c r="H7090" s="953"/>
    </row>
    <row r="7091" spans="1:8" x14ac:dyDescent="0.25">
      <c r="A7091" s="952"/>
      <c r="B7091" s="953"/>
      <c r="C7091" s="953"/>
      <c r="D7091" s="953"/>
      <c r="E7091" s="953"/>
      <c r="F7091" s="953"/>
      <c r="G7091" s="953"/>
      <c r="H7091" s="953"/>
    </row>
    <row r="7092" spans="1:8" x14ac:dyDescent="0.25">
      <c r="A7092" s="952"/>
      <c r="B7092" s="953"/>
      <c r="C7092" s="953"/>
      <c r="D7092" s="953"/>
      <c r="E7092" s="953"/>
      <c r="F7092" s="953"/>
      <c r="G7092" s="953"/>
      <c r="H7092" s="953"/>
    </row>
    <row r="7093" spans="1:8" x14ac:dyDescent="0.25">
      <c r="A7093" s="952"/>
      <c r="B7093" s="953"/>
      <c r="C7093" s="953"/>
      <c r="D7093" s="953"/>
      <c r="E7093" s="953"/>
      <c r="F7093" s="953"/>
      <c r="G7093" s="953"/>
      <c r="H7093" s="953"/>
    </row>
    <row r="7094" spans="1:8" x14ac:dyDescent="0.25">
      <c r="A7094" s="952"/>
      <c r="B7094" s="953"/>
      <c r="C7094" s="953"/>
      <c r="D7094" s="953"/>
      <c r="E7094" s="953"/>
      <c r="F7094" s="953"/>
      <c r="G7094" s="953"/>
      <c r="H7094" s="953"/>
    </row>
    <row r="7095" spans="1:8" x14ac:dyDescent="0.25">
      <c r="A7095" s="952"/>
      <c r="B7095" s="953"/>
      <c r="C7095" s="953"/>
      <c r="D7095" s="953"/>
      <c r="E7095" s="953"/>
      <c r="F7095" s="953"/>
      <c r="G7095" s="953"/>
      <c r="H7095" s="953"/>
    </row>
    <row r="7096" spans="1:8" x14ac:dyDescent="0.25">
      <c r="A7096" s="952"/>
      <c r="B7096" s="953"/>
      <c r="C7096" s="953"/>
      <c r="D7096" s="953"/>
      <c r="E7096" s="953"/>
      <c r="F7096" s="953"/>
      <c r="G7096" s="953"/>
      <c r="H7096" s="953"/>
    </row>
    <row r="7097" spans="1:8" x14ac:dyDescent="0.25">
      <c r="A7097" s="952"/>
      <c r="B7097" s="953"/>
      <c r="C7097" s="953"/>
      <c r="D7097" s="953"/>
      <c r="E7097" s="953"/>
      <c r="F7097" s="953"/>
      <c r="G7097" s="953"/>
      <c r="H7097" s="953"/>
    </row>
    <row r="7098" spans="1:8" x14ac:dyDescent="0.25">
      <c r="A7098" s="952"/>
      <c r="B7098" s="953"/>
      <c r="C7098" s="953"/>
      <c r="D7098" s="953"/>
      <c r="E7098" s="953"/>
      <c r="F7098" s="953"/>
      <c r="G7098" s="953"/>
      <c r="H7098" s="953"/>
    </row>
    <row r="7099" spans="1:8" x14ac:dyDescent="0.25">
      <c r="A7099" s="952"/>
      <c r="B7099" s="953"/>
      <c r="C7099" s="953"/>
      <c r="D7099" s="953"/>
      <c r="E7099" s="953"/>
      <c r="F7099" s="953"/>
      <c r="G7099" s="953"/>
      <c r="H7099" s="953"/>
    </row>
    <row r="7100" spans="1:8" x14ac:dyDescent="0.25">
      <c r="A7100" s="952"/>
      <c r="B7100" s="953"/>
      <c r="C7100" s="953"/>
      <c r="D7100" s="953"/>
      <c r="E7100" s="953"/>
      <c r="F7100" s="953"/>
      <c r="G7100" s="953"/>
      <c r="H7100" s="953"/>
    </row>
    <row r="7101" spans="1:8" x14ac:dyDescent="0.25">
      <c r="A7101" s="952"/>
      <c r="B7101" s="953"/>
      <c r="C7101" s="953"/>
      <c r="D7101" s="953"/>
      <c r="E7101" s="953"/>
      <c r="F7101" s="953"/>
      <c r="G7101" s="953"/>
      <c r="H7101" s="953"/>
    </row>
    <row r="7102" spans="1:8" x14ac:dyDescent="0.25">
      <c r="A7102" s="952"/>
      <c r="B7102" s="953"/>
      <c r="C7102" s="953"/>
      <c r="D7102" s="953"/>
      <c r="E7102" s="953"/>
      <c r="F7102" s="953"/>
      <c r="G7102" s="953"/>
      <c r="H7102" s="953"/>
    </row>
    <row r="7103" spans="1:8" x14ac:dyDescent="0.25">
      <c r="A7103" s="952"/>
      <c r="B7103" s="953"/>
      <c r="C7103" s="953"/>
      <c r="D7103" s="953"/>
      <c r="E7103" s="953"/>
      <c r="F7103" s="953"/>
      <c r="G7103" s="953"/>
      <c r="H7103" s="953"/>
    </row>
    <row r="7104" spans="1:8" x14ac:dyDescent="0.25">
      <c r="A7104" s="952"/>
      <c r="B7104" s="953"/>
      <c r="C7104" s="953"/>
      <c r="D7104" s="953"/>
      <c r="E7104" s="953"/>
      <c r="F7104" s="953"/>
      <c r="G7104" s="953"/>
      <c r="H7104" s="953"/>
    </row>
    <row r="7105" spans="1:8" x14ac:dyDescent="0.25">
      <c r="A7105" s="952"/>
      <c r="B7105" s="953"/>
      <c r="C7105" s="953"/>
      <c r="D7105" s="953"/>
      <c r="E7105" s="953"/>
      <c r="F7105" s="953"/>
      <c r="G7105" s="953"/>
      <c r="H7105" s="953"/>
    </row>
    <row r="7106" spans="1:8" x14ac:dyDescent="0.25">
      <c r="A7106" s="952"/>
      <c r="B7106" s="953"/>
      <c r="C7106" s="953"/>
      <c r="D7106" s="953"/>
      <c r="E7106" s="953"/>
      <c r="F7106" s="953"/>
      <c r="G7106" s="953"/>
      <c r="H7106" s="953"/>
    </row>
    <row r="7107" spans="1:8" x14ac:dyDescent="0.25">
      <c r="A7107" s="952"/>
      <c r="B7107" s="953"/>
      <c r="C7107" s="953"/>
      <c r="D7107" s="953"/>
      <c r="E7107" s="953"/>
      <c r="F7107" s="953"/>
      <c r="G7107" s="953"/>
      <c r="H7107" s="953"/>
    </row>
    <row r="7108" spans="1:8" x14ac:dyDescent="0.25">
      <c r="A7108" s="952"/>
      <c r="B7108" s="953"/>
      <c r="C7108" s="953"/>
      <c r="D7108" s="953"/>
      <c r="E7108" s="953"/>
      <c r="F7108" s="953"/>
      <c r="G7108" s="953"/>
      <c r="H7108" s="953"/>
    </row>
    <row r="7109" spans="1:8" x14ac:dyDescent="0.25">
      <c r="A7109" s="952"/>
      <c r="B7109" s="953"/>
      <c r="C7109" s="953"/>
      <c r="D7109" s="953"/>
      <c r="E7109" s="953"/>
      <c r="F7109" s="953"/>
      <c r="G7109" s="953"/>
      <c r="H7109" s="953"/>
    </row>
    <row r="7110" spans="1:8" x14ac:dyDescent="0.25">
      <c r="A7110" s="952"/>
      <c r="B7110" s="953"/>
      <c r="C7110" s="953"/>
      <c r="D7110" s="953"/>
      <c r="E7110" s="953"/>
      <c r="F7110" s="953"/>
      <c r="G7110" s="953"/>
      <c r="H7110" s="953"/>
    </row>
    <row r="7111" spans="1:8" x14ac:dyDescent="0.25">
      <c r="A7111" s="952"/>
      <c r="B7111" s="953"/>
      <c r="C7111" s="953"/>
      <c r="D7111" s="953"/>
      <c r="E7111" s="953"/>
      <c r="F7111" s="953"/>
      <c r="G7111" s="953"/>
      <c r="H7111" s="953"/>
    </row>
    <row r="7112" spans="1:8" x14ac:dyDescent="0.25">
      <c r="A7112" s="952"/>
      <c r="B7112" s="953"/>
      <c r="C7112" s="953"/>
      <c r="D7112" s="953"/>
      <c r="E7112" s="953"/>
      <c r="F7112" s="953"/>
      <c r="G7112" s="953"/>
      <c r="H7112" s="953"/>
    </row>
    <row r="7113" spans="1:8" x14ac:dyDescent="0.25">
      <c r="A7113" s="952"/>
      <c r="B7113" s="953"/>
      <c r="C7113" s="953"/>
      <c r="D7113" s="953"/>
      <c r="E7113" s="953"/>
      <c r="F7113" s="953"/>
      <c r="G7113" s="953"/>
      <c r="H7113" s="953"/>
    </row>
    <row r="7114" spans="1:8" x14ac:dyDescent="0.25">
      <c r="A7114" s="952"/>
      <c r="B7114" s="953"/>
      <c r="C7114" s="953"/>
      <c r="D7114" s="953"/>
      <c r="E7114" s="953"/>
      <c r="F7114" s="953"/>
      <c r="G7114" s="953"/>
      <c r="H7114" s="953"/>
    </row>
    <row r="7115" spans="1:8" x14ac:dyDescent="0.25">
      <c r="A7115" s="952"/>
      <c r="B7115" s="953"/>
      <c r="C7115" s="953"/>
      <c r="D7115" s="953"/>
      <c r="E7115" s="953"/>
      <c r="F7115" s="953"/>
      <c r="G7115" s="953"/>
      <c r="H7115" s="953"/>
    </row>
    <row r="7116" spans="1:8" x14ac:dyDescent="0.25">
      <c r="A7116" s="952"/>
      <c r="B7116" s="953"/>
      <c r="C7116" s="953"/>
      <c r="D7116" s="953"/>
      <c r="E7116" s="953"/>
      <c r="F7116" s="953"/>
      <c r="G7116" s="953"/>
      <c r="H7116" s="953"/>
    </row>
    <row r="7117" spans="1:8" x14ac:dyDescent="0.25">
      <c r="A7117" s="952"/>
      <c r="B7117" s="953"/>
      <c r="C7117" s="953"/>
      <c r="D7117" s="953"/>
      <c r="E7117" s="953"/>
      <c r="F7117" s="953"/>
      <c r="G7117" s="953"/>
      <c r="H7117" s="953"/>
    </row>
    <row r="7118" spans="1:8" x14ac:dyDescent="0.25">
      <c r="A7118" s="952"/>
      <c r="B7118" s="953"/>
      <c r="C7118" s="953"/>
      <c r="D7118" s="953"/>
      <c r="E7118" s="953"/>
      <c r="F7118" s="953"/>
      <c r="G7118" s="953"/>
      <c r="H7118" s="953"/>
    </row>
    <row r="7119" spans="1:8" x14ac:dyDescent="0.25">
      <c r="A7119" s="952"/>
      <c r="B7119" s="953"/>
      <c r="C7119" s="953"/>
      <c r="D7119" s="953"/>
      <c r="E7119" s="953"/>
      <c r="F7119" s="953"/>
      <c r="G7119" s="953"/>
      <c r="H7119" s="953"/>
    </row>
    <row r="7120" spans="1:8" x14ac:dyDescent="0.25">
      <c r="A7120" s="952"/>
      <c r="B7120" s="953"/>
      <c r="C7120" s="953"/>
      <c r="D7120" s="953"/>
      <c r="E7120" s="953"/>
      <c r="F7120" s="953"/>
      <c r="G7120" s="953"/>
      <c r="H7120" s="953"/>
    </row>
    <row r="7121" spans="1:8" x14ac:dyDescent="0.25">
      <c r="A7121" s="952"/>
      <c r="B7121" s="953"/>
      <c r="C7121" s="953"/>
      <c r="D7121" s="953"/>
      <c r="E7121" s="953"/>
      <c r="F7121" s="953"/>
      <c r="G7121" s="953"/>
      <c r="H7121" s="953"/>
    </row>
    <row r="7122" spans="1:8" x14ac:dyDescent="0.25">
      <c r="A7122" s="952"/>
      <c r="B7122" s="953"/>
      <c r="C7122" s="953"/>
      <c r="D7122" s="953"/>
      <c r="E7122" s="953"/>
      <c r="F7122" s="953"/>
      <c r="G7122" s="953"/>
      <c r="H7122" s="953"/>
    </row>
    <row r="7123" spans="1:8" x14ac:dyDescent="0.25">
      <c r="A7123" s="952"/>
      <c r="B7123" s="953"/>
      <c r="C7123" s="953"/>
      <c r="D7123" s="953"/>
      <c r="E7123" s="953"/>
      <c r="F7123" s="953"/>
      <c r="G7123" s="953"/>
      <c r="H7123" s="953"/>
    </row>
    <row r="7124" spans="1:8" x14ac:dyDescent="0.25">
      <c r="A7124" s="952"/>
      <c r="B7124" s="953"/>
      <c r="C7124" s="953"/>
      <c r="D7124" s="953"/>
      <c r="E7124" s="953"/>
      <c r="F7124" s="953"/>
      <c r="G7124" s="953"/>
      <c r="H7124" s="953"/>
    </row>
    <row r="7125" spans="1:8" x14ac:dyDescent="0.25">
      <c r="A7125" s="952"/>
      <c r="B7125" s="953"/>
      <c r="C7125" s="953"/>
      <c r="D7125" s="953"/>
      <c r="E7125" s="953"/>
      <c r="F7125" s="953"/>
      <c r="G7125" s="953"/>
      <c r="H7125" s="953"/>
    </row>
    <row r="7126" spans="1:8" x14ac:dyDescent="0.25">
      <c r="A7126" s="952"/>
      <c r="B7126" s="953"/>
      <c r="C7126" s="953"/>
      <c r="D7126" s="953"/>
      <c r="E7126" s="953"/>
      <c r="F7126" s="953"/>
      <c r="G7126" s="953"/>
      <c r="H7126" s="953"/>
    </row>
    <row r="7127" spans="1:8" x14ac:dyDescent="0.25">
      <c r="A7127" s="952"/>
      <c r="B7127" s="953"/>
      <c r="C7127" s="953"/>
      <c r="D7127" s="953"/>
      <c r="E7127" s="953"/>
      <c r="F7127" s="953"/>
      <c r="G7127" s="953"/>
      <c r="H7127" s="953"/>
    </row>
    <row r="7128" spans="1:8" x14ac:dyDescent="0.25">
      <c r="A7128" s="952"/>
      <c r="B7128" s="953"/>
      <c r="C7128" s="953"/>
      <c r="D7128" s="953"/>
      <c r="E7128" s="953"/>
      <c r="F7128" s="953"/>
      <c r="G7128" s="953"/>
      <c r="H7128" s="953"/>
    </row>
    <row r="7129" spans="1:8" x14ac:dyDescent="0.25">
      <c r="A7129" s="952"/>
      <c r="B7129" s="953"/>
      <c r="C7129" s="953"/>
      <c r="D7129" s="953"/>
      <c r="E7129" s="953"/>
      <c r="F7129" s="953"/>
      <c r="G7129" s="953"/>
      <c r="H7129" s="953"/>
    </row>
    <row r="7130" spans="1:8" x14ac:dyDescent="0.25">
      <c r="A7130" s="952"/>
      <c r="B7130" s="953"/>
      <c r="C7130" s="953"/>
      <c r="D7130" s="953"/>
      <c r="E7130" s="953"/>
      <c r="F7130" s="953"/>
      <c r="G7130" s="953"/>
      <c r="H7130" s="953"/>
    </row>
    <row r="7131" spans="1:8" x14ac:dyDescent="0.25">
      <c r="A7131" s="952"/>
      <c r="B7131" s="953"/>
      <c r="C7131" s="953"/>
      <c r="D7131" s="953"/>
      <c r="E7131" s="953"/>
      <c r="F7131" s="953"/>
      <c r="G7131" s="953"/>
      <c r="H7131" s="953"/>
    </row>
    <row r="7132" spans="1:8" x14ac:dyDescent="0.25">
      <c r="A7132" s="952"/>
      <c r="B7132" s="953"/>
      <c r="C7132" s="953"/>
      <c r="D7132" s="953"/>
      <c r="E7132" s="953"/>
      <c r="F7132" s="953"/>
      <c r="G7132" s="953"/>
      <c r="H7132" s="953"/>
    </row>
    <row r="7133" spans="1:8" x14ac:dyDescent="0.25">
      <c r="A7133" s="952"/>
      <c r="B7133" s="953"/>
      <c r="C7133" s="953"/>
      <c r="D7133" s="953"/>
      <c r="E7133" s="953"/>
      <c r="F7133" s="953"/>
      <c r="G7133" s="953"/>
      <c r="H7133" s="953"/>
    </row>
    <row r="7134" spans="1:8" x14ac:dyDescent="0.25">
      <c r="A7134" s="952"/>
      <c r="B7134" s="953"/>
      <c r="C7134" s="953"/>
      <c r="D7134" s="953"/>
      <c r="E7134" s="953"/>
      <c r="F7134" s="953"/>
      <c r="G7134" s="953"/>
      <c r="H7134" s="953"/>
    </row>
    <row r="7135" spans="1:8" x14ac:dyDescent="0.25">
      <c r="A7135" s="952"/>
      <c r="B7135" s="953"/>
      <c r="C7135" s="953"/>
      <c r="D7135" s="953"/>
      <c r="E7135" s="953"/>
      <c r="F7135" s="953"/>
      <c r="G7135" s="953"/>
      <c r="H7135" s="953"/>
    </row>
    <row r="7136" spans="1:8" x14ac:dyDescent="0.25">
      <c r="A7136" s="952"/>
      <c r="B7136" s="953"/>
      <c r="C7136" s="953"/>
      <c r="D7136" s="953"/>
      <c r="E7136" s="953"/>
      <c r="F7136" s="953"/>
      <c r="G7136" s="953"/>
      <c r="H7136" s="953"/>
    </row>
    <row r="7137" spans="1:8" x14ac:dyDescent="0.25">
      <c r="A7137" s="952"/>
      <c r="B7137" s="953"/>
      <c r="C7137" s="953"/>
      <c r="D7137" s="953"/>
      <c r="E7137" s="953"/>
      <c r="F7137" s="953"/>
      <c r="G7137" s="953"/>
      <c r="H7137" s="953"/>
    </row>
    <row r="7138" spans="1:8" x14ac:dyDescent="0.25">
      <c r="A7138" s="952"/>
      <c r="B7138" s="953"/>
      <c r="C7138" s="953"/>
      <c r="D7138" s="953"/>
      <c r="E7138" s="953"/>
      <c r="F7138" s="953"/>
      <c r="G7138" s="953"/>
      <c r="H7138" s="953"/>
    </row>
    <row r="7139" spans="1:8" x14ac:dyDescent="0.25">
      <c r="A7139" s="952"/>
      <c r="B7139" s="953"/>
      <c r="C7139" s="953"/>
      <c r="D7139" s="953"/>
      <c r="E7139" s="953"/>
      <c r="F7139" s="953"/>
      <c r="G7139" s="953"/>
      <c r="H7139" s="953"/>
    </row>
    <row r="7140" spans="1:8" x14ac:dyDescent="0.25">
      <c r="A7140" s="952"/>
      <c r="B7140" s="953"/>
      <c r="C7140" s="953"/>
      <c r="D7140" s="953"/>
      <c r="E7140" s="953"/>
      <c r="F7140" s="953"/>
      <c r="G7140" s="953"/>
      <c r="H7140" s="953"/>
    </row>
    <row r="7141" spans="1:8" x14ac:dyDescent="0.25">
      <c r="A7141" s="952"/>
      <c r="B7141" s="953"/>
      <c r="C7141" s="953"/>
      <c r="D7141" s="953"/>
      <c r="E7141" s="953"/>
      <c r="F7141" s="953"/>
      <c r="G7141" s="953"/>
      <c r="H7141" s="953"/>
    </row>
    <row r="7142" spans="1:8" x14ac:dyDescent="0.25">
      <c r="A7142" s="952"/>
      <c r="B7142" s="953"/>
      <c r="C7142" s="953"/>
      <c r="D7142" s="953"/>
      <c r="E7142" s="953"/>
      <c r="F7142" s="953"/>
      <c r="G7142" s="953"/>
      <c r="H7142" s="953"/>
    </row>
    <row r="7143" spans="1:8" x14ac:dyDescent="0.25">
      <c r="A7143" s="952"/>
      <c r="B7143" s="953"/>
      <c r="C7143" s="953"/>
      <c r="D7143" s="953"/>
      <c r="E7143" s="953"/>
      <c r="F7143" s="953"/>
      <c r="G7143" s="953"/>
      <c r="H7143" s="953"/>
    </row>
    <row r="7144" spans="1:8" x14ac:dyDescent="0.25">
      <c r="A7144" s="952"/>
      <c r="B7144" s="953"/>
      <c r="C7144" s="953"/>
      <c r="D7144" s="953"/>
      <c r="E7144" s="953"/>
      <c r="F7144" s="953"/>
      <c r="G7144" s="953"/>
      <c r="H7144" s="953"/>
    </row>
    <row r="7145" spans="1:8" x14ac:dyDescent="0.25">
      <c r="A7145" s="952"/>
      <c r="B7145" s="953"/>
      <c r="C7145" s="953"/>
      <c r="D7145" s="953"/>
      <c r="E7145" s="953"/>
      <c r="F7145" s="953"/>
      <c r="G7145" s="953"/>
      <c r="H7145" s="953"/>
    </row>
    <row r="7146" spans="1:8" x14ac:dyDescent="0.25">
      <c r="A7146" s="952"/>
      <c r="B7146" s="953"/>
      <c r="C7146" s="953"/>
      <c r="D7146" s="953"/>
      <c r="E7146" s="953"/>
      <c r="F7146" s="953"/>
      <c r="G7146" s="953"/>
      <c r="H7146" s="953"/>
    </row>
    <row r="7147" spans="1:8" x14ac:dyDescent="0.25">
      <c r="A7147" s="952"/>
      <c r="B7147" s="953"/>
      <c r="C7147" s="953"/>
      <c r="D7147" s="953"/>
      <c r="E7147" s="953"/>
      <c r="F7147" s="953"/>
      <c r="G7147" s="953"/>
      <c r="H7147" s="953"/>
    </row>
    <row r="7148" spans="1:8" x14ac:dyDescent="0.25">
      <c r="A7148" s="952"/>
      <c r="B7148" s="953"/>
      <c r="C7148" s="953"/>
      <c r="D7148" s="953"/>
      <c r="E7148" s="953"/>
      <c r="F7148" s="953"/>
      <c r="G7148" s="953"/>
      <c r="H7148" s="953"/>
    </row>
    <row r="7149" spans="1:8" x14ac:dyDescent="0.25">
      <c r="A7149" s="952"/>
      <c r="B7149" s="953"/>
      <c r="C7149" s="953"/>
      <c r="D7149" s="953"/>
      <c r="E7149" s="953"/>
      <c r="F7149" s="953"/>
      <c r="G7149" s="953"/>
      <c r="H7149" s="953"/>
    </row>
    <row r="7150" spans="1:8" x14ac:dyDescent="0.25">
      <c r="A7150" s="952"/>
      <c r="B7150" s="953"/>
      <c r="C7150" s="953"/>
      <c r="D7150" s="953"/>
      <c r="E7150" s="953"/>
      <c r="F7150" s="953"/>
      <c r="G7150" s="953"/>
      <c r="H7150" s="953"/>
    </row>
    <row r="7151" spans="1:8" x14ac:dyDescent="0.25">
      <c r="A7151" s="952"/>
      <c r="B7151" s="953"/>
      <c r="C7151" s="953"/>
      <c r="D7151" s="953"/>
      <c r="E7151" s="953"/>
      <c r="F7151" s="953"/>
      <c r="G7151" s="953"/>
      <c r="H7151" s="953"/>
    </row>
    <row r="7152" spans="1:8" x14ac:dyDescent="0.25">
      <c r="A7152" s="952"/>
      <c r="B7152" s="953"/>
      <c r="C7152" s="953"/>
      <c r="D7152" s="953"/>
      <c r="E7152" s="953"/>
      <c r="F7152" s="953"/>
      <c r="G7152" s="953"/>
      <c r="H7152" s="953"/>
    </row>
    <row r="7153" spans="1:8" x14ac:dyDescent="0.25">
      <c r="A7153" s="952"/>
      <c r="B7153" s="953"/>
      <c r="C7153" s="953"/>
      <c r="D7153" s="953"/>
      <c r="E7153" s="953"/>
      <c r="F7153" s="953"/>
      <c r="G7153" s="953"/>
      <c r="H7153" s="953"/>
    </row>
    <row r="7154" spans="1:8" x14ac:dyDescent="0.25">
      <c r="A7154" s="952"/>
      <c r="B7154" s="953"/>
      <c r="C7154" s="953"/>
      <c r="D7154" s="953"/>
      <c r="E7154" s="953"/>
      <c r="F7154" s="953"/>
      <c r="G7154" s="953"/>
      <c r="H7154" s="953"/>
    </row>
    <row r="7155" spans="1:8" x14ac:dyDescent="0.25">
      <c r="A7155" s="952"/>
      <c r="B7155" s="953"/>
      <c r="C7155" s="953"/>
      <c r="D7155" s="953"/>
      <c r="E7155" s="953"/>
      <c r="F7155" s="953"/>
      <c r="G7155" s="953"/>
      <c r="H7155" s="953"/>
    </row>
    <row r="7156" spans="1:8" x14ac:dyDescent="0.25">
      <c r="A7156" s="952"/>
      <c r="B7156" s="953"/>
      <c r="C7156" s="953"/>
      <c r="D7156" s="953"/>
      <c r="E7156" s="953"/>
      <c r="F7156" s="953"/>
      <c r="G7156" s="953"/>
      <c r="H7156" s="953"/>
    </row>
    <row r="7157" spans="1:8" x14ac:dyDescent="0.25">
      <c r="A7157" s="952"/>
      <c r="B7157" s="953"/>
      <c r="C7157" s="953"/>
      <c r="D7157" s="953"/>
      <c r="E7157" s="953"/>
      <c r="F7157" s="953"/>
      <c r="G7157" s="953"/>
      <c r="H7157" s="953"/>
    </row>
    <row r="7158" spans="1:8" x14ac:dyDescent="0.25">
      <c r="A7158" s="952"/>
      <c r="B7158" s="953"/>
      <c r="C7158" s="953"/>
      <c r="D7158" s="953"/>
      <c r="E7158" s="953"/>
      <c r="F7158" s="953"/>
      <c r="G7158" s="953"/>
      <c r="H7158" s="953"/>
    </row>
    <row r="7159" spans="1:8" x14ac:dyDescent="0.25">
      <c r="A7159" s="952"/>
      <c r="B7159" s="953"/>
      <c r="C7159" s="953"/>
      <c r="D7159" s="953"/>
      <c r="E7159" s="953"/>
      <c r="F7159" s="953"/>
      <c r="G7159" s="953"/>
      <c r="H7159" s="953"/>
    </row>
    <row r="7160" spans="1:8" x14ac:dyDescent="0.25">
      <c r="A7160" s="952"/>
      <c r="B7160" s="953"/>
      <c r="C7160" s="953"/>
      <c r="D7160" s="953"/>
      <c r="E7160" s="953"/>
      <c r="F7160" s="953"/>
      <c r="G7160" s="953"/>
      <c r="H7160" s="953"/>
    </row>
    <row r="7161" spans="1:8" x14ac:dyDescent="0.25">
      <c r="A7161" s="952"/>
      <c r="B7161" s="953"/>
      <c r="C7161" s="953"/>
      <c r="D7161" s="953"/>
      <c r="E7161" s="953"/>
      <c r="F7161" s="953"/>
      <c r="G7161" s="953"/>
      <c r="H7161" s="953"/>
    </row>
    <row r="7162" spans="1:8" x14ac:dyDescent="0.25">
      <c r="A7162" s="952"/>
      <c r="B7162" s="953"/>
      <c r="C7162" s="953"/>
      <c r="D7162" s="953"/>
      <c r="E7162" s="953"/>
      <c r="F7162" s="953"/>
      <c r="G7162" s="953"/>
      <c r="H7162" s="953"/>
    </row>
    <row r="7163" spans="1:8" x14ac:dyDescent="0.25">
      <c r="A7163" s="952"/>
      <c r="B7163" s="953"/>
      <c r="C7163" s="953"/>
      <c r="D7163" s="953"/>
      <c r="E7163" s="953"/>
      <c r="F7163" s="953"/>
      <c r="G7163" s="953"/>
      <c r="H7163" s="953"/>
    </row>
    <row r="7164" spans="1:8" x14ac:dyDescent="0.25">
      <c r="A7164" s="952"/>
      <c r="B7164" s="953"/>
      <c r="C7164" s="953"/>
      <c r="D7164" s="953"/>
      <c r="E7164" s="953"/>
      <c r="F7164" s="953"/>
      <c r="G7164" s="953"/>
      <c r="H7164" s="953"/>
    </row>
    <row r="7165" spans="1:8" x14ac:dyDescent="0.25">
      <c r="A7165" s="952"/>
      <c r="B7165" s="953"/>
      <c r="C7165" s="953"/>
      <c r="D7165" s="953"/>
      <c r="E7165" s="953"/>
      <c r="F7165" s="953"/>
      <c r="G7165" s="953"/>
      <c r="H7165" s="953"/>
    </row>
    <row r="7166" spans="1:8" x14ac:dyDescent="0.25">
      <c r="A7166" s="952"/>
      <c r="B7166" s="953"/>
      <c r="C7166" s="953"/>
      <c r="D7166" s="953"/>
      <c r="E7166" s="953"/>
      <c r="F7166" s="953"/>
      <c r="G7166" s="953"/>
      <c r="H7166" s="953"/>
    </row>
    <row r="7167" spans="1:8" x14ac:dyDescent="0.25">
      <c r="A7167" s="952"/>
      <c r="B7167" s="953"/>
      <c r="C7167" s="953"/>
      <c r="D7167" s="953"/>
      <c r="E7167" s="953"/>
      <c r="F7167" s="953"/>
      <c r="G7167" s="953"/>
      <c r="H7167" s="953"/>
    </row>
    <row r="7168" spans="1:8" x14ac:dyDescent="0.25">
      <c r="A7168" s="952"/>
      <c r="B7168" s="953"/>
      <c r="C7168" s="953"/>
      <c r="D7168" s="953"/>
      <c r="E7168" s="953"/>
      <c r="F7168" s="953"/>
      <c r="G7168" s="953"/>
      <c r="H7168" s="953"/>
    </row>
    <row r="7169" spans="1:8" x14ac:dyDescent="0.25">
      <c r="A7169" s="952"/>
      <c r="B7169" s="953"/>
      <c r="C7169" s="953"/>
      <c r="D7169" s="953"/>
      <c r="E7169" s="953"/>
      <c r="F7169" s="953"/>
      <c r="G7169" s="953"/>
      <c r="H7169" s="953"/>
    </row>
    <row r="7170" spans="1:8" x14ac:dyDescent="0.25">
      <c r="A7170" s="952"/>
      <c r="B7170" s="953"/>
      <c r="C7170" s="953"/>
      <c r="D7170" s="953"/>
      <c r="E7170" s="953"/>
      <c r="F7170" s="953"/>
      <c r="G7170" s="953"/>
      <c r="H7170" s="953"/>
    </row>
    <row r="7171" spans="1:8" x14ac:dyDescent="0.25">
      <c r="A7171" s="952"/>
      <c r="B7171" s="953"/>
      <c r="C7171" s="953"/>
      <c r="D7171" s="953"/>
      <c r="E7171" s="953"/>
      <c r="F7171" s="953"/>
      <c r="G7171" s="953"/>
      <c r="H7171" s="953"/>
    </row>
    <row r="7172" spans="1:8" x14ac:dyDescent="0.25">
      <c r="A7172" s="952"/>
      <c r="B7172" s="953"/>
      <c r="C7172" s="953"/>
      <c r="D7172" s="953"/>
      <c r="E7172" s="953"/>
      <c r="F7172" s="953"/>
      <c r="G7172" s="953"/>
      <c r="H7172" s="953"/>
    </row>
    <row r="7173" spans="1:8" x14ac:dyDescent="0.25">
      <c r="A7173" s="952"/>
      <c r="B7173" s="953"/>
      <c r="C7173" s="953"/>
      <c r="D7173" s="953"/>
      <c r="E7173" s="953"/>
      <c r="F7173" s="953"/>
      <c r="G7173" s="953"/>
      <c r="H7173" s="953"/>
    </row>
    <row r="7174" spans="1:8" x14ac:dyDescent="0.25">
      <c r="A7174" s="952"/>
      <c r="B7174" s="953"/>
      <c r="C7174" s="953"/>
      <c r="D7174" s="953"/>
      <c r="E7174" s="953"/>
      <c r="F7174" s="953"/>
      <c r="G7174" s="953"/>
      <c r="H7174" s="953"/>
    </row>
    <row r="7175" spans="1:8" x14ac:dyDescent="0.25">
      <c r="A7175" s="952"/>
      <c r="B7175" s="953"/>
      <c r="C7175" s="953"/>
      <c r="D7175" s="953"/>
      <c r="E7175" s="953"/>
      <c r="F7175" s="953"/>
      <c r="G7175" s="953"/>
      <c r="H7175" s="953"/>
    </row>
    <row r="7176" spans="1:8" x14ac:dyDescent="0.25">
      <c r="A7176" s="952"/>
      <c r="B7176" s="953"/>
      <c r="C7176" s="953"/>
      <c r="D7176" s="953"/>
      <c r="E7176" s="953"/>
      <c r="F7176" s="953"/>
      <c r="G7176" s="953"/>
      <c r="H7176" s="953"/>
    </row>
    <row r="7177" spans="1:8" x14ac:dyDescent="0.25">
      <c r="A7177" s="952"/>
      <c r="B7177" s="953"/>
      <c r="C7177" s="953"/>
      <c r="D7177" s="953"/>
      <c r="E7177" s="953"/>
      <c r="F7177" s="953"/>
      <c r="G7177" s="953"/>
      <c r="H7177" s="953"/>
    </row>
    <row r="7178" spans="1:8" x14ac:dyDescent="0.25">
      <c r="A7178" s="952"/>
      <c r="B7178" s="953"/>
      <c r="C7178" s="953"/>
      <c r="D7178" s="953"/>
      <c r="E7178" s="953"/>
      <c r="F7178" s="953"/>
      <c r="G7178" s="953"/>
      <c r="H7178" s="953"/>
    </row>
    <row r="7179" spans="1:8" x14ac:dyDescent="0.25">
      <c r="A7179" s="952"/>
      <c r="B7179" s="953"/>
      <c r="C7179" s="953"/>
      <c r="D7179" s="953"/>
      <c r="E7179" s="953"/>
      <c r="F7179" s="953"/>
      <c r="G7179" s="953"/>
      <c r="H7179" s="953"/>
    </row>
    <row r="7180" spans="1:8" x14ac:dyDescent="0.25">
      <c r="A7180" s="952"/>
      <c r="B7180" s="953"/>
      <c r="C7180" s="953"/>
      <c r="D7180" s="953"/>
      <c r="E7180" s="953"/>
      <c r="F7180" s="953"/>
      <c r="G7180" s="953"/>
      <c r="H7180" s="953"/>
    </row>
    <row r="7181" spans="1:8" x14ac:dyDescent="0.25">
      <c r="A7181" s="952"/>
      <c r="B7181" s="953"/>
      <c r="C7181" s="953"/>
      <c r="D7181" s="953"/>
      <c r="E7181" s="953"/>
      <c r="F7181" s="953"/>
      <c r="G7181" s="953"/>
      <c r="H7181" s="953"/>
    </row>
    <row r="7182" spans="1:8" x14ac:dyDescent="0.25">
      <c r="A7182" s="952"/>
      <c r="B7182" s="953"/>
      <c r="C7182" s="953"/>
      <c r="D7182" s="953"/>
      <c r="E7182" s="953"/>
      <c r="F7182" s="953"/>
      <c r="G7182" s="953"/>
      <c r="H7182" s="953"/>
    </row>
    <row r="7183" spans="1:8" x14ac:dyDescent="0.25">
      <c r="A7183" s="952"/>
      <c r="B7183" s="953"/>
      <c r="C7183" s="953"/>
      <c r="D7183" s="953"/>
      <c r="E7183" s="953"/>
      <c r="F7183" s="953"/>
      <c r="G7183" s="953"/>
      <c r="H7183" s="953"/>
    </row>
    <row r="7184" spans="1:8" x14ac:dyDescent="0.25">
      <c r="A7184" s="952"/>
      <c r="B7184" s="953"/>
      <c r="C7184" s="953"/>
      <c r="D7184" s="953"/>
      <c r="E7184" s="953"/>
      <c r="F7184" s="953"/>
      <c r="G7184" s="953"/>
      <c r="H7184" s="953"/>
    </row>
    <row r="7185" spans="1:8" x14ac:dyDescent="0.25">
      <c r="A7185" s="952"/>
      <c r="B7185" s="953"/>
      <c r="C7185" s="953"/>
      <c r="D7185" s="953"/>
      <c r="E7185" s="953"/>
      <c r="F7185" s="953"/>
      <c r="G7185" s="953"/>
      <c r="H7185" s="953"/>
    </row>
    <row r="7186" spans="1:8" x14ac:dyDescent="0.25">
      <c r="A7186" s="952"/>
      <c r="B7186" s="953"/>
      <c r="C7186" s="953"/>
      <c r="D7186" s="953"/>
      <c r="E7186" s="953"/>
      <c r="F7186" s="953"/>
      <c r="G7186" s="953"/>
      <c r="H7186" s="953"/>
    </row>
    <row r="7187" spans="1:8" x14ac:dyDescent="0.25">
      <c r="A7187" s="952"/>
      <c r="B7187" s="953"/>
      <c r="C7187" s="953"/>
      <c r="D7187" s="953"/>
      <c r="E7187" s="953"/>
      <c r="F7187" s="953"/>
      <c r="G7187" s="953"/>
      <c r="H7187" s="953"/>
    </row>
    <row r="7188" spans="1:8" x14ac:dyDescent="0.25">
      <c r="A7188" s="952"/>
      <c r="B7188" s="953"/>
      <c r="C7188" s="953"/>
      <c r="D7188" s="953"/>
      <c r="E7188" s="953"/>
      <c r="F7188" s="953"/>
      <c r="G7188" s="953"/>
      <c r="H7188" s="953"/>
    </row>
    <row r="7189" spans="1:8" x14ac:dyDescent="0.25">
      <c r="A7189" s="952"/>
      <c r="B7189" s="953"/>
      <c r="C7189" s="953"/>
      <c r="D7189" s="953"/>
      <c r="E7189" s="953"/>
      <c r="F7189" s="953"/>
      <c r="G7189" s="953"/>
      <c r="H7189" s="953"/>
    </row>
    <row r="7190" spans="1:8" x14ac:dyDescent="0.25">
      <c r="A7190" s="952"/>
      <c r="B7190" s="953"/>
      <c r="C7190" s="953"/>
      <c r="D7190" s="953"/>
      <c r="E7190" s="953"/>
      <c r="F7190" s="953"/>
      <c r="G7190" s="953"/>
      <c r="H7190" s="953"/>
    </row>
    <row r="7191" spans="1:8" x14ac:dyDescent="0.25">
      <c r="A7191" s="952"/>
      <c r="B7191" s="953"/>
      <c r="C7191" s="953"/>
      <c r="D7191" s="953"/>
      <c r="E7191" s="953"/>
      <c r="F7191" s="953"/>
      <c r="G7191" s="953"/>
      <c r="H7191" s="953"/>
    </row>
    <row r="7192" spans="1:8" x14ac:dyDescent="0.25">
      <c r="A7192" s="952"/>
      <c r="B7192" s="953"/>
      <c r="C7192" s="953"/>
      <c r="D7192" s="953"/>
      <c r="E7192" s="953"/>
      <c r="F7192" s="953"/>
      <c r="G7192" s="953"/>
      <c r="H7192" s="953"/>
    </row>
    <row r="7193" spans="1:8" x14ac:dyDescent="0.25">
      <c r="A7193" s="952"/>
      <c r="B7193" s="953"/>
      <c r="C7193" s="953"/>
      <c r="D7193" s="953"/>
      <c r="E7193" s="953"/>
      <c r="F7193" s="953"/>
      <c r="G7193" s="953"/>
      <c r="H7193" s="953"/>
    </row>
    <row r="7194" spans="1:8" x14ac:dyDescent="0.25">
      <c r="A7194" s="952"/>
      <c r="B7194" s="953"/>
      <c r="C7194" s="953"/>
      <c r="D7194" s="953"/>
      <c r="E7194" s="953"/>
      <c r="F7194" s="953"/>
      <c r="G7194" s="953"/>
      <c r="H7194" s="953"/>
    </row>
    <row r="7195" spans="1:8" x14ac:dyDescent="0.25">
      <c r="A7195" s="952"/>
      <c r="B7195" s="953"/>
      <c r="C7195" s="953"/>
      <c r="D7195" s="953"/>
      <c r="E7195" s="953"/>
      <c r="F7195" s="953"/>
      <c r="G7195" s="953"/>
      <c r="H7195" s="953"/>
    </row>
    <row r="7196" spans="1:8" x14ac:dyDescent="0.25">
      <c r="A7196" s="952"/>
      <c r="B7196" s="953"/>
      <c r="C7196" s="953"/>
      <c r="D7196" s="953"/>
      <c r="E7196" s="953"/>
      <c r="F7196" s="953"/>
      <c r="G7196" s="953"/>
      <c r="H7196" s="953"/>
    </row>
    <row r="7197" spans="1:8" x14ac:dyDescent="0.25">
      <c r="A7197" s="952"/>
      <c r="B7197" s="953"/>
      <c r="C7197" s="953"/>
      <c r="D7197" s="953"/>
      <c r="E7197" s="953"/>
      <c r="F7197" s="953"/>
      <c r="G7197" s="953"/>
      <c r="H7197" s="953"/>
    </row>
    <row r="7198" spans="1:8" x14ac:dyDescent="0.25">
      <c r="A7198" s="952"/>
      <c r="B7198" s="953"/>
      <c r="C7198" s="953"/>
      <c r="D7198" s="953"/>
      <c r="E7198" s="953"/>
      <c r="F7198" s="953"/>
      <c r="G7198" s="953"/>
      <c r="H7198" s="953"/>
    </row>
    <row r="7199" spans="1:8" x14ac:dyDescent="0.25">
      <c r="A7199" s="952"/>
      <c r="B7199" s="953"/>
      <c r="C7199" s="953"/>
      <c r="D7199" s="953"/>
      <c r="E7199" s="953"/>
      <c r="F7199" s="953"/>
      <c r="G7199" s="953"/>
      <c r="H7199" s="953"/>
    </row>
    <row r="7200" spans="1:8" x14ac:dyDescent="0.25">
      <c r="A7200" s="952"/>
      <c r="B7200" s="953"/>
      <c r="C7200" s="953"/>
      <c r="D7200" s="953"/>
      <c r="E7200" s="953"/>
      <c r="F7200" s="953"/>
      <c r="G7200" s="953"/>
      <c r="H7200" s="953"/>
    </row>
    <row r="7201" spans="1:8" x14ac:dyDescent="0.25">
      <c r="A7201" s="952"/>
      <c r="B7201" s="953"/>
      <c r="C7201" s="953"/>
      <c r="D7201" s="953"/>
      <c r="E7201" s="953"/>
      <c r="F7201" s="953"/>
      <c r="G7201" s="953"/>
      <c r="H7201" s="953"/>
    </row>
    <row r="7202" spans="1:8" x14ac:dyDescent="0.25">
      <c r="A7202" s="952"/>
      <c r="B7202" s="953"/>
      <c r="C7202" s="953"/>
      <c r="D7202" s="953"/>
      <c r="E7202" s="953"/>
      <c r="F7202" s="953"/>
      <c r="G7202" s="953"/>
      <c r="H7202" s="953"/>
    </row>
    <row r="7203" spans="1:8" x14ac:dyDescent="0.25">
      <c r="A7203" s="952"/>
      <c r="B7203" s="953"/>
      <c r="C7203" s="953"/>
      <c r="D7203" s="953"/>
      <c r="E7203" s="953"/>
      <c r="F7203" s="953"/>
      <c r="G7203" s="953"/>
      <c r="H7203" s="953"/>
    </row>
    <row r="7204" spans="1:8" x14ac:dyDescent="0.25">
      <c r="A7204" s="952"/>
      <c r="B7204" s="953"/>
      <c r="C7204" s="953"/>
      <c r="D7204" s="953"/>
      <c r="E7204" s="953"/>
      <c r="F7204" s="953"/>
      <c r="G7204" s="953"/>
      <c r="H7204" s="953"/>
    </row>
    <row r="7205" spans="1:8" x14ac:dyDescent="0.25">
      <c r="A7205" s="952"/>
      <c r="B7205" s="953"/>
      <c r="C7205" s="953"/>
      <c r="D7205" s="953"/>
      <c r="E7205" s="953"/>
      <c r="F7205" s="953"/>
      <c r="G7205" s="953"/>
      <c r="H7205" s="953"/>
    </row>
    <row r="7206" spans="1:8" x14ac:dyDescent="0.25">
      <c r="A7206" s="952"/>
      <c r="B7206" s="953"/>
      <c r="C7206" s="953"/>
      <c r="D7206" s="953"/>
      <c r="E7206" s="953"/>
      <c r="F7206" s="953"/>
      <c r="G7206" s="953"/>
      <c r="H7206" s="953"/>
    </row>
    <row r="7207" spans="1:8" x14ac:dyDescent="0.25">
      <c r="A7207" s="952"/>
      <c r="B7207" s="953"/>
      <c r="C7207" s="953"/>
      <c r="D7207" s="953"/>
      <c r="E7207" s="953"/>
      <c r="F7207" s="953"/>
      <c r="G7207" s="953"/>
      <c r="H7207" s="953"/>
    </row>
    <row r="7208" spans="1:8" x14ac:dyDescent="0.25">
      <c r="A7208" s="952"/>
      <c r="B7208" s="953"/>
      <c r="C7208" s="953"/>
      <c r="D7208" s="953"/>
      <c r="E7208" s="953"/>
      <c r="F7208" s="953"/>
      <c r="G7208" s="953"/>
      <c r="H7208" s="953"/>
    </row>
    <row r="7209" spans="1:8" x14ac:dyDescent="0.25">
      <c r="A7209" s="952"/>
      <c r="B7209" s="953"/>
      <c r="C7209" s="953"/>
      <c r="D7209" s="953"/>
      <c r="E7209" s="953"/>
      <c r="F7209" s="953"/>
      <c r="G7209" s="953"/>
      <c r="H7209" s="953"/>
    </row>
    <row r="7210" spans="1:8" x14ac:dyDescent="0.25">
      <c r="A7210" s="952"/>
      <c r="B7210" s="953"/>
      <c r="C7210" s="953"/>
      <c r="D7210" s="953"/>
      <c r="E7210" s="953"/>
      <c r="F7210" s="953"/>
      <c r="G7210" s="953"/>
      <c r="H7210" s="953"/>
    </row>
    <row r="7211" spans="1:8" x14ac:dyDescent="0.25">
      <c r="A7211" s="952"/>
      <c r="B7211" s="953"/>
      <c r="C7211" s="953"/>
      <c r="D7211" s="953"/>
      <c r="E7211" s="953"/>
      <c r="F7211" s="953"/>
      <c r="G7211" s="953"/>
      <c r="H7211" s="953"/>
    </row>
    <row r="7212" spans="1:8" x14ac:dyDescent="0.25">
      <c r="A7212" s="952"/>
      <c r="B7212" s="953"/>
      <c r="C7212" s="953"/>
      <c r="D7212" s="953"/>
      <c r="E7212" s="953"/>
      <c r="F7212" s="953"/>
      <c r="G7212" s="953"/>
      <c r="H7212" s="953"/>
    </row>
    <row r="7213" spans="1:8" x14ac:dyDescent="0.25">
      <c r="A7213" s="952"/>
      <c r="B7213" s="953"/>
      <c r="C7213" s="953"/>
      <c r="D7213" s="953"/>
      <c r="E7213" s="953"/>
      <c r="F7213" s="953"/>
      <c r="G7213" s="953"/>
      <c r="H7213" s="953"/>
    </row>
    <row r="7214" spans="1:8" x14ac:dyDescent="0.25">
      <c r="A7214" s="952"/>
      <c r="B7214" s="953"/>
      <c r="C7214" s="953"/>
      <c r="D7214" s="953"/>
      <c r="E7214" s="953"/>
      <c r="F7214" s="953"/>
      <c r="G7214" s="953"/>
      <c r="H7214" s="953"/>
    </row>
    <row r="7215" spans="1:8" x14ac:dyDescent="0.25">
      <c r="A7215" s="952"/>
      <c r="B7215" s="953"/>
      <c r="C7215" s="953"/>
      <c r="D7215" s="953"/>
      <c r="E7215" s="953"/>
      <c r="F7215" s="953"/>
      <c r="G7215" s="953"/>
      <c r="H7215" s="953"/>
    </row>
    <row r="7216" spans="1:8" x14ac:dyDescent="0.25">
      <c r="A7216" s="952"/>
      <c r="B7216" s="953"/>
      <c r="C7216" s="953"/>
      <c r="D7216" s="953"/>
      <c r="E7216" s="953"/>
      <c r="F7216" s="953"/>
      <c r="G7216" s="953"/>
      <c r="H7216" s="953"/>
    </row>
    <row r="7217" spans="1:8" x14ac:dyDescent="0.25">
      <c r="A7217" s="952"/>
      <c r="B7217" s="953"/>
      <c r="C7217" s="953"/>
      <c r="D7217" s="953"/>
      <c r="E7217" s="953"/>
      <c r="F7217" s="953"/>
      <c r="G7217" s="953"/>
      <c r="H7217" s="953"/>
    </row>
    <row r="7218" spans="1:8" x14ac:dyDescent="0.25">
      <c r="A7218" s="952"/>
      <c r="B7218" s="953"/>
      <c r="C7218" s="953"/>
      <c r="D7218" s="953"/>
      <c r="E7218" s="953"/>
      <c r="F7218" s="953"/>
      <c r="G7218" s="953"/>
      <c r="H7218" s="953"/>
    </row>
    <row r="7219" spans="1:8" x14ac:dyDescent="0.25">
      <c r="A7219" s="952"/>
      <c r="B7219" s="953"/>
      <c r="C7219" s="953"/>
      <c r="D7219" s="953"/>
      <c r="E7219" s="953"/>
      <c r="F7219" s="953"/>
      <c r="G7219" s="953"/>
      <c r="H7219" s="953"/>
    </row>
    <row r="7220" spans="1:8" x14ac:dyDescent="0.25">
      <c r="A7220" s="952"/>
      <c r="B7220" s="953"/>
      <c r="C7220" s="953"/>
      <c r="D7220" s="953"/>
      <c r="E7220" s="953"/>
      <c r="F7220" s="953"/>
      <c r="G7220" s="953"/>
      <c r="H7220" s="953"/>
    </row>
    <row r="7221" spans="1:8" x14ac:dyDescent="0.25">
      <c r="A7221" s="952"/>
      <c r="B7221" s="953"/>
      <c r="C7221" s="953"/>
      <c r="D7221" s="953"/>
      <c r="E7221" s="953"/>
      <c r="F7221" s="953"/>
      <c r="G7221" s="953"/>
      <c r="H7221" s="953"/>
    </row>
    <row r="7222" spans="1:8" x14ac:dyDescent="0.25">
      <c r="A7222" s="952"/>
      <c r="B7222" s="953"/>
      <c r="C7222" s="953"/>
      <c r="D7222" s="953"/>
      <c r="E7222" s="953"/>
      <c r="F7222" s="953"/>
      <c r="G7222" s="953"/>
      <c r="H7222" s="953"/>
    </row>
    <row r="7223" spans="1:8" x14ac:dyDescent="0.25">
      <c r="A7223" s="952"/>
      <c r="B7223" s="953"/>
      <c r="C7223" s="953"/>
      <c r="D7223" s="953"/>
      <c r="E7223" s="953"/>
      <c r="F7223" s="953"/>
      <c r="G7223" s="953"/>
      <c r="H7223" s="953"/>
    </row>
    <row r="7224" spans="1:8" x14ac:dyDescent="0.25">
      <c r="A7224" s="952"/>
      <c r="B7224" s="953"/>
      <c r="C7224" s="953"/>
      <c r="D7224" s="953"/>
      <c r="E7224" s="953"/>
      <c r="F7224" s="953"/>
      <c r="G7224" s="953"/>
      <c r="H7224" s="953"/>
    </row>
    <row r="7225" spans="1:8" x14ac:dyDescent="0.25">
      <c r="A7225" s="952"/>
      <c r="B7225" s="953"/>
      <c r="C7225" s="953"/>
      <c r="D7225" s="953"/>
      <c r="E7225" s="953"/>
      <c r="F7225" s="953"/>
      <c r="G7225" s="953"/>
      <c r="H7225" s="953"/>
    </row>
    <row r="7226" spans="1:8" x14ac:dyDescent="0.25">
      <c r="A7226" s="952"/>
      <c r="B7226" s="953"/>
      <c r="C7226" s="953"/>
      <c r="D7226" s="953"/>
      <c r="E7226" s="953"/>
      <c r="F7226" s="953"/>
      <c r="G7226" s="953"/>
      <c r="H7226" s="953"/>
    </row>
    <row r="7227" spans="1:8" x14ac:dyDescent="0.25">
      <c r="A7227" s="952"/>
      <c r="B7227" s="953"/>
      <c r="C7227" s="953"/>
      <c r="D7227" s="953"/>
      <c r="E7227" s="953"/>
      <c r="F7227" s="953"/>
      <c r="G7227" s="953"/>
      <c r="H7227" s="953"/>
    </row>
    <row r="7228" spans="1:8" x14ac:dyDescent="0.25">
      <c r="A7228" s="952"/>
      <c r="B7228" s="953"/>
      <c r="C7228" s="953"/>
      <c r="D7228" s="953"/>
      <c r="E7228" s="953"/>
      <c r="F7228" s="953"/>
      <c r="G7228" s="953"/>
      <c r="H7228" s="953"/>
    </row>
    <row r="7229" spans="1:8" x14ac:dyDescent="0.25">
      <c r="A7229" s="952"/>
      <c r="B7229" s="953"/>
      <c r="C7229" s="953"/>
      <c r="D7229" s="953"/>
      <c r="E7229" s="953"/>
      <c r="F7229" s="953"/>
      <c r="G7229" s="953"/>
      <c r="H7229" s="953"/>
    </row>
    <row r="7230" spans="1:8" x14ac:dyDescent="0.25">
      <c r="A7230" s="952"/>
      <c r="B7230" s="953"/>
      <c r="C7230" s="953"/>
      <c r="D7230" s="953"/>
      <c r="E7230" s="953"/>
      <c r="F7230" s="953"/>
      <c r="G7230" s="953"/>
      <c r="H7230" s="953"/>
    </row>
    <row r="7231" spans="1:8" x14ac:dyDescent="0.25">
      <c r="A7231" s="952"/>
      <c r="B7231" s="953"/>
      <c r="C7231" s="953"/>
      <c r="D7231" s="953"/>
      <c r="E7231" s="953"/>
      <c r="F7231" s="953"/>
      <c r="G7231" s="953"/>
      <c r="H7231" s="953"/>
    </row>
    <row r="7232" spans="1:8" x14ac:dyDescent="0.25">
      <c r="A7232" s="952"/>
      <c r="B7232" s="953"/>
      <c r="C7232" s="953"/>
      <c r="D7232" s="953"/>
      <c r="E7232" s="953"/>
      <c r="F7232" s="953"/>
      <c r="G7232" s="953"/>
      <c r="H7232" s="953"/>
    </row>
    <row r="7233" spans="1:8" x14ac:dyDescent="0.25">
      <c r="A7233" s="952"/>
      <c r="B7233" s="953"/>
      <c r="C7233" s="953"/>
      <c r="D7233" s="953"/>
      <c r="E7233" s="953"/>
      <c r="F7233" s="953"/>
      <c r="G7233" s="953"/>
      <c r="H7233" s="953"/>
    </row>
    <row r="7234" spans="1:8" x14ac:dyDescent="0.25">
      <c r="A7234" s="952"/>
      <c r="B7234" s="953"/>
      <c r="C7234" s="953"/>
      <c r="D7234" s="953"/>
      <c r="E7234" s="953"/>
      <c r="F7234" s="953"/>
      <c r="G7234" s="953"/>
      <c r="H7234" s="953"/>
    </row>
    <row r="7235" spans="1:8" x14ac:dyDescent="0.25">
      <c r="A7235" s="952"/>
      <c r="B7235" s="953"/>
      <c r="C7235" s="953"/>
      <c r="D7235" s="953"/>
      <c r="E7235" s="953"/>
      <c r="F7235" s="953"/>
      <c r="G7235" s="953"/>
      <c r="H7235" s="953"/>
    </row>
    <row r="7236" spans="1:8" x14ac:dyDescent="0.25">
      <c r="A7236" s="952"/>
      <c r="B7236" s="953"/>
      <c r="C7236" s="953"/>
      <c r="D7236" s="953"/>
      <c r="E7236" s="953"/>
      <c r="F7236" s="953"/>
      <c r="G7236" s="953"/>
      <c r="H7236" s="953"/>
    </row>
    <row r="7237" spans="1:8" x14ac:dyDescent="0.25">
      <c r="A7237" s="952"/>
      <c r="B7237" s="953"/>
      <c r="C7237" s="953"/>
      <c r="D7237" s="953"/>
      <c r="E7237" s="953"/>
      <c r="F7237" s="953"/>
      <c r="G7237" s="953"/>
      <c r="H7237" s="953"/>
    </row>
    <row r="7238" spans="1:8" x14ac:dyDescent="0.25">
      <c r="A7238" s="952"/>
      <c r="B7238" s="953"/>
      <c r="C7238" s="953"/>
      <c r="D7238" s="953"/>
      <c r="E7238" s="953"/>
      <c r="F7238" s="953"/>
      <c r="G7238" s="953"/>
      <c r="H7238" s="953"/>
    </row>
    <row r="7239" spans="1:8" x14ac:dyDescent="0.25">
      <c r="A7239" s="952"/>
      <c r="B7239" s="953"/>
      <c r="C7239" s="953"/>
      <c r="D7239" s="953"/>
      <c r="E7239" s="953"/>
      <c r="F7239" s="953"/>
      <c r="G7239" s="953"/>
      <c r="H7239" s="953"/>
    </row>
    <row r="7240" spans="1:8" x14ac:dyDescent="0.25">
      <c r="A7240" s="952"/>
      <c r="B7240" s="953"/>
      <c r="C7240" s="953"/>
      <c r="D7240" s="953"/>
      <c r="E7240" s="953"/>
      <c r="F7240" s="953"/>
      <c r="G7240" s="953"/>
      <c r="H7240" s="953"/>
    </row>
    <row r="7241" spans="1:8" x14ac:dyDescent="0.25">
      <c r="A7241" s="952"/>
      <c r="B7241" s="953"/>
      <c r="C7241" s="953"/>
      <c r="D7241" s="953"/>
      <c r="E7241" s="953"/>
      <c r="F7241" s="953"/>
      <c r="G7241" s="953"/>
      <c r="H7241" s="953"/>
    </row>
    <row r="7242" spans="1:8" x14ac:dyDescent="0.25">
      <c r="A7242" s="952"/>
      <c r="B7242" s="953"/>
      <c r="C7242" s="953"/>
      <c r="D7242" s="953"/>
      <c r="E7242" s="953"/>
      <c r="F7242" s="953"/>
      <c r="G7242" s="953"/>
      <c r="H7242" s="953"/>
    </row>
    <row r="7243" spans="1:8" x14ac:dyDescent="0.25">
      <c r="A7243" s="952"/>
      <c r="B7243" s="953"/>
      <c r="C7243" s="953"/>
      <c r="D7243" s="953"/>
      <c r="E7243" s="953"/>
      <c r="F7243" s="953"/>
      <c r="G7243" s="953"/>
      <c r="H7243" s="953"/>
    </row>
    <row r="7244" spans="1:8" x14ac:dyDescent="0.25">
      <c r="A7244" s="952"/>
      <c r="B7244" s="953"/>
      <c r="C7244" s="953"/>
      <c r="D7244" s="953"/>
      <c r="E7244" s="953"/>
      <c r="F7244" s="953"/>
      <c r="G7244" s="953"/>
      <c r="H7244" s="953"/>
    </row>
    <row r="7245" spans="1:8" x14ac:dyDescent="0.25">
      <c r="A7245" s="952"/>
      <c r="B7245" s="953"/>
      <c r="C7245" s="953"/>
      <c r="D7245" s="953"/>
      <c r="E7245" s="953"/>
      <c r="F7245" s="953"/>
      <c r="G7245" s="953"/>
      <c r="H7245" s="953"/>
    </row>
    <row r="7246" spans="1:8" x14ac:dyDescent="0.25">
      <c r="A7246" s="952"/>
      <c r="B7246" s="953"/>
      <c r="C7246" s="953"/>
      <c r="D7246" s="953"/>
      <c r="E7246" s="953"/>
      <c r="F7246" s="953"/>
      <c r="G7246" s="953"/>
      <c r="H7246" s="953"/>
    </row>
    <row r="7247" spans="1:8" x14ac:dyDescent="0.25">
      <c r="A7247" s="952"/>
      <c r="B7247" s="953"/>
      <c r="C7247" s="953"/>
      <c r="D7247" s="953"/>
      <c r="E7247" s="953"/>
      <c r="F7247" s="953"/>
      <c r="G7247" s="953"/>
      <c r="H7247" s="953"/>
    </row>
    <row r="7248" spans="1:8" x14ac:dyDescent="0.25">
      <c r="A7248" s="952"/>
      <c r="B7248" s="953"/>
      <c r="C7248" s="953"/>
      <c r="D7248" s="953"/>
      <c r="E7248" s="953"/>
      <c r="F7248" s="953"/>
      <c r="G7248" s="953"/>
      <c r="H7248" s="953"/>
    </row>
    <row r="7249" spans="1:8" x14ac:dyDescent="0.25">
      <c r="A7249" s="952"/>
      <c r="B7249" s="953"/>
      <c r="C7249" s="953"/>
      <c r="D7249" s="953"/>
      <c r="E7249" s="953"/>
      <c r="F7249" s="953"/>
      <c r="G7249" s="953"/>
      <c r="H7249" s="953"/>
    </row>
    <row r="7250" spans="1:8" x14ac:dyDescent="0.25">
      <c r="A7250" s="952"/>
      <c r="B7250" s="953"/>
      <c r="C7250" s="953"/>
      <c r="D7250" s="953"/>
      <c r="E7250" s="953"/>
      <c r="F7250" s="953"/>
      <c r="G7250" s="953"/>
      <c r="H7250" s="953"/>
    </row>
    <row r="7251" spans="1:8" x14ac:dyDescent="0.25">
      <c r="A7251" s="952"/>
      <c r="B7251" s="953"/>
      <c r="C7251" s="953"/>
      <c r="D7251" s="953"/>
      <c r="E7251" s="953"/>
      <c r="F7251" s="953"/>
      <c r="G7251" s="953"/>
      <c r="H7251" s="953"/>
    </row>
    <row r="7252" spans="1:8" x14ac:dyDescent="0.25">
      <c r="A7252" s="952"/>
      <c r="B7252" s="953"/>
      <c r="C7252" s="953"/>
      <c r="D7252" s="953"/>
      <c r="E7252" s="953"/>
      <c r="F7252" s="953"/>
      <c r="G7252" s="953"/>
      <c r="H7252" s="953"/>
    </row>
    <row r="7253" spans="1:8" x14ac:dyDescent="0.25">
      <c r="A7253" s="952"/>
      <c r="B7253" s="953"/>
      <c r="C7253" s="953"/>
      <c r="D7253" s="953"/>
      <c r="E7253" s="953"/>
      <c r="F7253" s="953"/>
      <c r="G7253" s="953"/>
      <c r="H7253" s="953"/>
    </row>
    <row r="7254" spans="1:8" x14ac:dyDescent="0.25">
      <c r="A7254" s="952"/>
      <c r="B7254" s="953"/>
      <c r="C7254" s="953"/>
      <c r="D7254" s="953"/>
      <c r="E7254" s="953"/>
      <c r="F7254" s="953"/>
      <c r="G7254" s="953"/>
      <c r="H7254" s="953"/>
    </row>
    <row r="7255" spans="1:8" x14ac:dyDescent="0.25">
      <c r="A7255" s="952"/>
      <c r="B7255" s="953"/>
      <c r="C7255" s="953"/>
      <c r="D7255" s="953"/>
      <c r="E7255" s="953"/>
      <c r="F7255" s="953"/>
      <c r="G7255" s="953"/>
      <c r="H7255" s="953"/>
    </row>
    <row r="7256" spans="1:8" x14ac:dyDescent="0.25">
      <c r="A7256" s="952"/>
      <c r="B7256" s="953"/>
      <c r="C7256" s="953"/>
      <c r="D7256" s="953"/>
      <c r="E7256" s="953"/>
      <c r="F7256" s="953"/>
      <c r="G7256" s="953"/>
      <c r="H7256" s="953"/>
    </row>
    <row r="7257" spans="1:8" x14ac:dyDescent="0.25">
      <c r="A7257" s="952"/>
      <c r="B7257" s="953"/>
      <c r="C7257" s="953"/>
      <c r="D7257" s="953"/>
      <c r="E7257" s="953"/>
      <c r="F7257" s="953"/>
      <c r="G7257" s="953"/>
      <c r="H7257" s="953"/>
    </row>
    <row r="7258" spans="1:8" x14ac:dyDescent="0.25">
      <c r="A7258" s="952"/>
      <c r="B7258" s="953"/>
      <c r="C7258" s="953"/>
      <c r="D7258" s="953"/>
      <c r="E7258" s="953"/>
      <c r="F7258" s="953"/>
      <c r="G7258" s="953"/>
      <c r="H7258" s="953"/>
    </row>
    <row r="7259" spans="1:8" x14ac:dyDescent="0.25">
      <c r="A7259" s="952"/>
      <c r="B7259" s="953"/>
      <c r="C7259" s="953"/>
      <c r="D7259" s="953"/>
      <c r="E7259" s="953"/>
      <c r="F7259" s="953"/>
      <c r="G7259" s="953"/>
      <c r="H7259" s="953"/>
    </row>
    <row r="7260" spans="1:8" x14ac:dyDescent="0.25">
      <c r="A7260" s="952"/>
      <c r="B7260" s="953"/>
      <c r="C7260" s="953"/>
      <c r="D7260" s="953"/>
      <c r="E7260" s="953"/>
      <c r="F7260" s="953"/>
      <c r="G7260" s="953"/>
      <c r="H7260" s="953"/>
    </row>
    <row r="7261" spans="1:8" x14ac:dyDescent="0.25">
      <c r="A7261" s="952"/>
      <c r="B7261" s="953"/>
      <c r="C7261" s="953"/>
      <c r="D7261" s="953"/>
      <c r="E7261" s="953"/>
      <c r="F7261" s="953"/>
      <c r="G7261" s="953"/>
      <c r="H7261" s="953"/>
    </row>
    <row r="7262" spans="1:8" x14ac:dyDescent="0.25">
      <c r="A7262" s="952"/>
      <c r="B7262" s="953"/>
      <c r="C7262" s="953"/>
      <c r="D7262" s="953"/>
      <c r="E7262" s="953"/>
      <c r="F7262" s="953"/>
      <c r="G7262" s="953"/>
      <c r="H7262" s="953"/>
    </row>
    <row r="7263" spans="1:8" x14ac:dyDescent="0.25">
      <c r="A7263" s="952"/>
      <c r="B7263" s="953"/>
      <c r="C7263" s="953"/>
      <c r="D7263" s="953"/>
      <c r="E7263" s="953"/>
      <c r="F7263" s="953"/>
      <c r="G7263" s="953"/>
      <c r="H7263" s="953"/>
    </row>
    <row r="7264" spans="1:8" x14ac:dyDescent="0.25">
      <c r="A7264" s="952"/>
      <c r="B7264" s="953"/>
      <c r="C7264" s="953"/>
      <c r="D7264" s="953"/>
      <c r="E7264" s="953"/>
      <c r="F7264" s="953"/>
      <c r="G7264" s="953"/>
      <c r="H7264" s="953"/>
    </row>
    <row r="7265" spans="1:8" x14ac:dyDescent="0.25">
      <c r="A7265" s="952"/>
      <c r="B7265" s="953"/>
      <c r="C7265" s="953"/>
      <c r="D7265" s="953"/>
      <c r="E7265" s="953"/>
      <c r="F7265" s="953"/>
      <c r="G7265" s="953"/>
      <c r="H7265" s="953"/>
    </row>
    <row r="7266" spans="1:8" x14ac:dyDescent="0.25">
      <c r="A7266" s="952"/>
      <c r="B7266" s="953"/>
      <c r="C7266" s="953"/>
      <c r="D7266" s="953"/>
      <c r="E7266" s="953"/>
      <c r="F7266" s="953"/>
      <c r="G7266" s="953"/>
      <c r="H7266" s="953"/>
    </row>
    <row r="7267" spans="1:8" x14ac:dyDescent="0.25">
      <c r="A7267" s="952"/>
      <c r="B7267" s="953"/>
      <c r="C7267" s="953"/>
      <c r="D7267" s="953"/>
      <c r="E7267" s="953"/>
      <c r="F7267" s="953"/>
      <c r="G7267" s="953"/>
      <c r="H7267" s="953"/>
    </row>
    <row r="7268" spans="1:8" x14ac:dyDescent="0.25">
      <c r="A7268" s="952"/>
      <c r="B7268" s="953"/>
      <c r="C7268" s="953"/>
      <c r="D7268" s="953"/>
      <c r="E7268" s="953"/>
      <c r="F7268" s="953"/>
      <c r="G7268" s="953"/>
      <c r="H7268" s="953"/>
    </row>
    <row r="7269" spans="1:8" x14ac:dyDescent="0.25">
      <c r="A7269" s="952"/>
      <c r="B7269" s="953"/>
      <c r="C7269" s="953"/>
      <c r="D7269" s="953"/>
      <c r="E7269" s="953"/>
      <c r="F7269" s="953"/>
      <c r="G7269" s="953"/>
      <c r="H7269" s="953"/>
    </row>
    <row r="7270" spans="1:8" x14ac:dyDescent="0.25">
      <c r="A7270" s="952"/>
      <c r="B7270" s="953"/>
      <c r="C7270" s="953"/>
      <c r="D7270" s="953"/>
      <c r="E7270" s="953"/>
      <c r="F7270" s="953"/>
      <c r="G7270" s="953"/>
      <c r="H7270" s="953"/>
    </row>
    <row r="7271" spans="1:8" x14ac:dyDescent="0.25">
      <c r="A7271" s="952"/>
      <c r="B7271" s="953"/>
      <c r="C7271" s="953"/>
      <c r="D7271" s="953"/>
      <c r="E7271" s="953"/>
      <c r="F7271" s="953"/>
      <c r="G7271" s="953"/>
      <c r="H7271" s="953"/>
    </row>
    <row r="7272" spans="1:8" x14ac:dyDescent="0.25">
      <c r="A7272" s="952"/>
      <c r="B7272" s="953"/>
      <c r="C7272" s="953"/>
      <c r="D7272" s="953"/>
      <c r="E7272" s="953"/>
      <c r="F7272" s="953"/>
      <c r="G7272" s="953"/>
      <c r="H7272" s="953"/>
    </row>
    <row r="7273" spans="1:8" x14ac:dyDescent="0.25">
      <c r="A7273" s="952"/>
      <c r="B7273" s="953"/>
      <c r="C7273" s="953"/>
      <c r="D7273" s="953"/>
      <c r="E7273" s="953"/>
      <c r="F7273" s="953"/>
      <c r="G7273" s="953"/>
      <c r="H7273" s="953"/>
    </row>
    <row r="7274" spans="1:8" x14ac:dyDescent="0.25">
      <c r="A7274" s="952"/>
      <c r="B7274" s="953"/>
      <c r="C7274" s="953"/>
      <c r="D7274" s="953"/>
      <c r="E7274" s="953"/>
      <c r="F7274" s="953"/>
      <c r="G7274" s="953"/>
      <c r="H7274" s="953"/>
    </row>
    <row r="7275" spans="1:8" x14ac:dyDescent="0.25">
      <c r="A7275" s="952"/>
      <c r="B7275" s="953"/>
      <c r="C7275" s="953"/>
      <c r="D7275" s="953"/>
      <c r="E7275" s="953"/>
      <c r="F7275" s="953"/>
      <c r="G7275" s="953"/>
      <c r="H7275" s="953"/>
    </row>
    <row r="7276" spans="1:8" x14ac:dyDescent="0.25">
      <c r="A7276" s="952"/>
      <c r="B7276" s="953"/>
      <c r="C7276" s="953"/>
      <c r="D7276" s="953"/>
      <c r="E7276" s="953"/>
      <c r="F7276" s="953"/>
      <c r="G7276" s="953"/>
      <c r="H7276" s="953"/>
    </row>
    <row r="7277" spans="1:8" x14ac:dyDescent="0.25">
      <c r="A7277" s="952"/>
      <c r="B7277" s="953"/>
      <c r="C7277" s="953"/>
      <c r="D7277" s="953"/>
      <c r="E7277" s="953"/>
      <c r="F7277" s="953"/>
      <c r="G7277" s="953"/>
      <c r="H7277" s="953"/>
    </row>
    <row r="7278" spans="1:8" x14ac:dyDescent="0.25">
      <c r="A7278" s="952"/>
      <c r="B7278" s="953"/>
      <c r="C7278" s="953"/>
      <c r="D7278" s="953"/>
      <c r="E7278" s="953"/>
      <c r="F7278" s="953"/>
      <c r="G7278" s="953"/>
      <c r="H7278" s="953"/>
    </row>
    <row r="7279" spans="1:8" x14ac:dyDescent="0.25">
      <c r="A7279" s="952"/>
      <c r="B7279" s="953"/>
      <c r="C7279" s="953"/>
      <c r="D7279" s="953"/>
      <c r="E7279" s="953"/>
      <c r="F7279" s="953"/>
      <c r="G7279" s="953"/>
      <c r="H7279" s="953"/>
    </row>
    <row r="7280" spans="1:8" x14ac:dyDescent="0.25">
      <c r="A7280" s="952"/>
      <c r="B7280" s="953"/>
      <c r="C7280" s="953"/>
      <c r="D7280" s="953"/>
      <c r="E7280" s="953"/>
      <c r="F7280" s="953"/>
      <c r="G7280" s="953"/>
      <c r="H7280" s="953"/>
    </row>
    <row r="7281" spans="1:8" x14ac:dyDescent="0.25">
      <c r="A7281" s="952"/>
      <c r="B7281" s="953"/>
      <c r="C7281" s="953"/>
      <c r="D7281" s="953"/>
      <c r="E7281" s="953"/>
      <c r="F7281" s="953"/>
      <c r="G7281" s="953"/>
      <c r="H7281" s="953"/>
    </row>
    <row r="7282" spans="1:8" x14ac:dyDescent="0.25">
      <c r="A7282" s="952"/>
      <c r="B7282" s="953"/>
      <c r="C7282" s="953"/>
      <c r="D7282" s="953"/>
      <c r="E7282" s="953"/>
      <c r="F7282" s="953"/>
      <c r="G7282" s="953"/>
      <c r="H7282" s="953"/>
    </row>
    <row r="7283" spans="1:8" x14ac:dyDescent="0.25">
      <c r="A7283" s="952"/>
      <c r="B7283" s="953"/>
      <c r="C7283" s="953"/>
      <c r="D7283" s="953"/>
      <c r="E7283" s="953"/>
      <c r="F7283" s="953"/>
      <c r="G7283" s="953"/>
      <c r="H7283" s="953"/>
    </row>
    <row r="7284" spans="1:8" x14ac:dyDescent="0.25">
      <c r="A7284" s="952"/>
      <c r="B7284" s="953"/>
      <c r="C7284" s="953"/>
      <c r="D7284" s="953"/>
      <c r="E7284" s="953"/>
      <c r="F7284" s="953"/>
      <c r="G7284" s="953"/>
      <c r="H7284" s="953"/>
    </row>
    <row r="7285" spans="1:8" x14ac:dyDescent="0.25">
      <c r="A7285" s="952"/>
      <c r="B7285" s="953"/>
      <c r="C7285" s="953"/>
      <c r="D7285" s="953"/>
      <c r="E7285" s="953"/>
      <c r="F7285" s="953"/>
      <c r="G7285" s="953"/>
      <c r="H7285" s="953"/>
    </row>
    <row r="7286" spans="1:8" x14ac:dyDescent="0.25">
      <c r="A7286" s="952"/>
      <c r="B7286" s="953"/>
      <c r="C7286" s="953"/>
      <c r="D7286" s="953"/>
      <c r="E7286" s="953"/>
      <c r="F7286" s="953"/>
      <c r="G7286" s="953"/>
      <c r="H7286" s="953"/>
    </row>
    <row r="7287" spans="1:8" x14ac:dyDescent="0.25">
      <c r="A7287" s="952"/>
      <c r="B7287" s="953"/>
      <c r="C7287" s="953"/>
      <c r="D7287" s="953"/>
      <c r="E7287" s="953"/>
      <c r="F7287" s="953"/>
      <c r="G7287" s="953"/>
      <c r="H7287" s="953"/>
    </row>
    <row r="7288" spans="1:8" x14ac:dyDescent="0.25">
      <c r="A7288" s="952"/>
      <c r="B7288" s="953"/>
      <c r="C7288" s="953"/>
      <c r="D7288" s="953"/>
      <c r="E7288" s="953"/>
      <c r="F7288" s="953"/>
      <c r="G7288" s="953"/>
      <c r="H7288" s="953"/>
    </row>
    <row r="7289" spans="1:8" x14ac:dyDescent="0.25">
      <c r="A7289" s="952"/>
      <c r="B7289" s="953"/>
      <c r="C7289" s="953"/>
      <c r="D7289" s="953"/>
      <c r="E7289" s="953"/>
      <c r="F7289" s="953"/>
      <c r="G7289" s="953"/>
      <c r="H7289" s="953"/>
    </row>
    <row r="7290" spans="1:8" x14ac:dyDescent="0.25">
      <c r="A7290" s="952"/>
      <c r="B7290" s="953"/>
      <c r="C7290" s="953"/>
      <c r="D7290" s="953"/>
      <c r="E7290" s="953"/>
      <c r="F7290" s="953"/>
      <c r="G7290" s="953"/>
      <c r="H7290" s="953"/>
    </row>
    <row r="7291" spans="1:8" x14ac:dyDescent="0.25">
      <c r="A7291" s="952"/>
      <c r="B7291" s="953"/>
      <c r="C7291" s="953"/>
      <c r="D7291" s="953"/>
      <c r="E7291" s="953"/>
      <c r="F7291" s="953"/>
      <c r="G7291" s="953"/>
      <c r="H7291" s="953"/>
    </row>
    <row r="7292" spans="1:8" x14ac:dyDescent="0.25">
      <c r="A7292" s="952"/>
      <c r="B7292" s="953"/>
      <c r="C7292" s="953"/>
      <c r="D7292" s="953"/>
      <c r="E7292" s="953"/>
      <c r="F7292" s="953"/>
      <c r="G7292" s="953"/>
      <c r="H7292" s="953"/>
    </row>
    <row r="7293" spans="1:8" x14ac:dyDescent="0.25">
      <c r="A7293" s="952"/>
      <c r="B7293" s="953"/>
      <c r="C7293" s="953"/>
      <c r="D7293" s="953"/>
      <c r="E7293" s="953"/>
      <c r="F7293" s="953"/>
      <c r="G7293" s="953"/>
      <c r="H7293" s="953"/>
    </row>
    <row r="7294" spans="1:8" x14ac:dyDescent="0.25">
      <c r="A7294" s="952"/>
      <c r="B7294" s="953"/>
      <c r="C7294" s="953"/>
      <c r="D7294" s="953"/>
      <c r="E7294" s="953"/>
      <c r="F7294" s="953"/>
      <c r="G7294" s="953"/>
      <c r="H7294" s="953"/>
    </row>
    <row r="7295" spans="1:8" x14ac:dyDescent="0.25">
      <c r="A7295" s="952"/>
      <c r="B7295" s="953"/>
      <c r="C7295" s="953"/>
      <c r="D7295" s="953"/>
      <c r="E7295" s="953"/>
      <c r="F7295" s="953"/>
      <c r="G7295" s="953"/>
      <c r="H7295" s="953"/>
    </row>
    <row r="7296" spans="1:8" x14ac:dyDescent="0.25">
      <c r="A7296" s="952"/>
      <c r="B7296" s="953"/>
      <c r="C7296" s="953"/>
      <c r="D7296" s="953"/>
      <c r="E7296" s="953"/>
      <c r="F7296" s="953"/>
      <c r="G7296" s="953"/>
      <c r="H7296" s="953"/>
    </row>
    <row r="7297" spans="1:8" x14ac:dyDescent="0.25">
      <c r="A7297" s="952"/>
      <c r="B7297" s="953"/>
      <c r="C7297" s="953"/>
      <c r="D7297" s="953"/>
      <c r="E7297" s="953"/>
      <c r="F7297" s="953"/>
      <c r="G7297" s="953"/>
      <c r="H7297" s="953"/>
    </row>
    <row r="7298" spans="1:8" x14ac:dyDescent="0.25">
      <c r="A7298" s="952"/>
      <c r="B7298" s="953"/>
      <c r="C7298" s="953"/>
      <c r="D7298" s="953"/>
      <c r="E7298" s="953"/>
      <c r="F7298" s="953"/>
      <c r="G7298" s="953"/>
      <c r="H7298" s="953"/>
    </row>
    <row r="7299" spans="1:8" x14ac:dyDescent="0.25">
      <c r="A7299" s="952"/>
      <c r="B7299" s="953"/>
      <c r="C7299" s="953"/>
      <c r="D7299" s="953"/>
      <c r="E7299" s="953"/>
      <c r="F7299" s="953"/>
      <c r="G7299" s="953"/>
      <c r="H7299" s="953"/>
    </row>
    <row r="7300" spans="1:8" x14ac:dyDescent="0.25">
      <c r="A7300" s="952"/>
      <c r="B7300" s="953"/>
      <c r="C7300" s="953"/>
      <c r="D7300" s="953"/>
      <c r="E7300" s="953"/>
      <c r="F7300" s="953"/>
      <c r="G7300" s="953"/>
      <c r="H7300" s="953"/>
    </row>
    <row r="7301" spans="1:8" x14ac:dyDescent="0.25">
      <c r="A7301" s="952"/>
      <c r="B7301" s="953"/>
      <c r="C7301" s="953"/>
      <c r="D7301" s="953"/>
      <c r="E7301" s="953"/>
      <c r="F7301" s="953"/>
      <c r="G7301" s="953"/>
      <c r="H7301" s="953"/>
    </row>
    <row r="7302" spans="1:8" x14ac:dyDescent="0.25">
      <c r="A7302" s="952"/>
      <c r="B7302" s="953"/>
      <c r="C7302" s="953"/>
      <c r="D7302" s="953"/>
      <c r="E7302" s="953"/>
      <c r="F7302" s="953"/>
      <c r="G7302" s="953"/>
      <c r="H7302" s="953"/>
    </row>
    <row r="7303" spans="1:8" x14ac:dyDescent="0.25">
      <c r="A7303" s="952"/>
      <c r="B7303" s="953"/>
      <c r="C7303" s="953"/>
      <c r="D7303" s="953"/>
      <c r="E7303" s="953"/>
      <c r="F7303" s="953"/>
      <c r="G7303" s="953"/>
      <c r="H7303" s="953"/>
    </row>
    <row r="7304" spans="1:8" x14ac:dyDescent="0.25">
      <c r="A7304" s="952"/>
      <c r="B7304" s="953"/>
      <c r="C7304" s="953"/>
      <c r="D7304" s="953"/>
      <c r="E7304" s="953"/>
      <c r="F7304" s="953"/>
      <c r="G7304" s="953"/>
      <c r="H7304" s="953"/>
    </row>
    <row r="7305" spans="1:8" x14ac:dyDescent="0.25">
      <c r="A7305" s="952"/>
      <c r="B7305" s="953"/>
      <c r="C7305" s="953"/>
      <c r="D7305" s="953"/>
      <c r="E7305" s="953"/>
      <c r="F7305" s="953"/>
      <c r="G7305" s="953"/>
      <c r="H7305" s="953"/>
    </row>
    <row r="7306" spans="1:8" x14ac:dyDescent="0.25">
      <c r="A7306" s="952"/>
      <c r="B7306" s="953"/>
      <c r="C7306" s="953"/>
      <c r="D7306" s="953"/>
      <c r="E7306" s="953"/>
      <c r="F7306" s="953"/>
      <c r="G7306" s="953"/>
      <c r="H7306" s="953"/>
    </row>
    <row r="7307" spans="1:8" x14ac:dyDescent="0.25">
      <c r="A7307" s="952"/>
      <c r="B7307" s="953"/>
      <c r="C7307" s="953"/>
      <c r="D7307" s="953"/>
      <c r="E7307" s="953"/>
      <c r="F7307" s="953"/>
      <c r="G7307" s="953"/>
      <c r="H7307" s="953"/>
    </row>
    <row r="7308" spans="1:8" x14ac:dyDescent="0.25">
      <c r="A7308" s="952"/>
      <c r="B7308" s="953"/>
      <c r="C7308" s="953"/>
      <c r="D7308" s="953"/>
      <c r="E7308" s="953"/>
      <c r="F7308" s="953"/>
      <c r="G7308" s="953"/>
      <c r="H7308" s="953"/>
    </row>
    <row r="7309" spans="1:8" x14ac:dyDescent="0.25">
      <c r="A7309" s="952"/>
      <c r="B7309" s="953"/>
      <c r="C7309" s="953"/>
      <c r="D7309" s="953"/>
      <c r="E7309" s="953"/>
      <c r="F7309" s="953"/>
      <c r="G7309" s="953"/>
      <c r="H7309" s="953"/>
    </row>
    <row r="7310" spans="1:8" x14ac:dyDescent="0.25">
      <c r="A7310" s="952"/>
      <c r="B7310" s="953"/>
      <c r="C7310" s="953"/>
      <c r="D7310" s="953"/>
      <c r="E7310" s="953"/>
      <c r="F7310" s="953"/>
      <c r="G7310" s="953"/>
      <c r="H7310" s="953"/>
    </row>
    <row r="7311" spans="1:8" x14ac:dyDescent="0.25">
      <c r="A7311" s="952"/>
      <c r="B7311" s="953"/>
      <c r="C7311" s="953"/>
      <c r="D7311" s="953"/>
      <c r="E7311" s="953"/>
      <c r="F7311" s="953"/>
      <c r="G7311" s="953"/>
      <c r="H7311" s="953"/>
    </row>
    <row r="7312" spans="1:8" x14ac:dyDescent="0.25">
      <c r="A7312" s="952"/>
      <c r="B7312" s="953"/>
      <c r="C7312" s="953"/>
      <c r="D7312" s="953"/>
      <c r="E7312" s="953"/>
      <c r="F7312" s="953"/>
      <c r="G7312" s="953"/>
      <c r="H7312" s="953"/>
    </row>
    <row r="7313" spans="1:8" x14ac:dyDescent="0.25">
      <c r="A7313" s="952"/>
      <c r="B7313" s="953"/>
      <c r="C7313" s="953"/>
      <c r="D7313" s="953"/>
      <c r="E7313" s="953"/>
      <c r="F7313" s="953"/>
      <c r="G7313" s="953"/>
      <c r="H7313" s="953"/>
    </row>
    <row r="7314" spans="1:8" x14ac:dyDescent="0.25">
      <c r="A7314" s="952"/>
      <c r="B7314" s="953"/>
      <c r="C7314" s="953"/>
      <c r="D7314" s="953"/>
      <c r="E7314" s="953"/>
      <c r="F7314" s="953"/>
      <c r="G7314" s="953"/>
      <c r="H7314" s="953"/>
    </row>
    <row r="7315" spans="1:8" x14ac:dyDescent="0.25">
      <c r="A7315" s="952"/>
      <c r="B7315" s="953"/>
      <c r="C7315" s="953"/>
      <c r="D7315" s="953"/>
      <c r="E7315" s="953"/>
      <c r="F7315" s="953"/>
      <c r="G7315" s="953"/>
      <c r="H7315" s="953"/>
    </row>
    <row r="7316" spans="1:8" x14ac:dyDescent="0.25">
      <c r="A7316" s="952"/>
      <c r="B7316" s="953"/>
      <c r="C7316" s="953"/>
      <c r="D7316" s="953"/>
      <c r="E7316" s="953"/>
      <c r="F7316" s="953"/>
      <c r="G7316" s="953"/>
      <c r="H7316" s="953"/>
    </row>
    <row r="7317" spans="1:8" x14ac:dyDescent="0.25">
      <c r="A7317" s="952"/>
      <c r="B7317" s="953"/>
      <c r="C7317" s="953"/>
      <c r="D7317" s="953"/>
      <c r="E7317" s="953"/>
      <c r="F7317" s="953"/>
      <c r="G7317" s="953"/>
      <c r="H7317" s="953"/>
    </row>
    <row r="7318" spans="1:8" x14ac:dyDescent="0.25">
      <c r="A7318" s="952"/>
      <c r="B7318" s="953"/>
      <c r="C7318" s="953"/>
      <c r="D7318" s="953"/>
      <c r="E7318" s="953"/>
      <c r="F7318" s="953"/>
      <c r="G7318" s="953"/>
      <c r="H7318" s="953"/>
    </row>
    <row r="7319" spans="1:8" x14ac:dyDescent="0.25">
      <c r="A7319" s="952"/>
      <c r="B7319" s="953"/>
      <c r="C7319" s="953"/>
      <c r="D7319" s="953"/>
      <c r="E7319" s="953"/>
      <c r="F7319" s="953"/>
      <c r="G7319" s="953"/>
      <c r="H7319" s="953"/>
    </row>
    <row r="7320" spans="1:8" x14ac:dyDescent="0.25">
      <c r="A7320" s="952"/>
      <c r="B7320" s="953"/>
      <c r="C7320" s="953"/>
      <c r="D7320" s="953"/>
      <c r="E7320" s="953"/>
      <c r="F7320" s="953"/>
      <c r="G7320" s="953"/>
      <c r="H7320" s="953"/>
    </row>
    <row r="7321" spans="1:8" x14ac:dyDescent="0.25">
      <c r="A7321" s="952"/>
      <c r="B7321" s="953"/>
      <c r="C7321" s="953"/>
      <c r="D7321" s="953"/>
      <c r="E7321" s="953"/>
      <c r="F7321" s="953"/>
      <c r="G7321" s="953"/>
      <c r="H7321" s="953"/>
    </row>
    <row r="7322" spans="1:8" x14ac:dyDescent="0.25">
      <c r="A7322" s="952"/>
      <c r="B7322" s="953"/>
      <c r="C7322" s="953"/>
      <c r="D7322" s="953"/>
      <c r="E7322" s="953"/>
      <c r="F7322" s="953"/>
      <c r="G7322" s="953"/>
      <c r="H7322" s="953"/>
    </row>
    <row r="7323" spans="1:8" x14ac:dyDescent="0.25">
      <c r="A7323" s="952"/>
      <c r="B7323" s="953"/>
      <c r="C7323" s="953"/>
      <c r="D7323" s="953"/>
      <c r="E7323" s="953"/>
      <c r="F7323" s="953"/>
      <c r="G7323" s="953"/>
      <c r="H7323" s="953"/>
    </row>
    <row r="7324" spans="1:8" x14ac:dyDescent="0.25">
      <c r="A7324" s="952"/>
      <c r="B7324" s="953"/>
      <c r="C7324" s="953"/>
      <c r="D7324" s="953"/>
      <c r="E7324" s="953"/>
      <c r="F7324" s="953"/>
      <c r="G7324" s="953"/>
      <c r="H7324" s="953"/>
    </row>
    <row r="7325" spans="1:8" x14ac:dyDescent="0.25">
      <c r="A7325" s="952"/>
      <c r="B7325" s="953"/>
      <c r="C7325" s="953"/>
      <c r="D7325" s="953"/>
      <c r="E7325" s="953"/>
      <c r="F7325" s="953"/>
      <c r="G7325" s="953"/>
      <c r="H7325" s="953"/>
    </row>
    <row r="7326" spans="1:8" x14ac:dyDescent="0.25">
      <c r="A7326" s="952"/>
      <c r="B7326" s="953"/>
      <c r="C7326" s="953"/>
      <c r="D7326" s="953"/>
      <c r="E7326" s="953"/>
      <c r="F7326" s="953"/>
      <c r="G7326" s="953"/>
      <c r="H7326" s="953"/>
    </row>
    <row r="7327" spans="1:8" x14ac:dyDescent="0.25">
      <c r="A7327" s="952"/>
      <c r="B7327" s="953"/>
      <c r="C7327" s="953"/>
      <c r="D7327" s="953"/>
      <c r="E7327" s="953"/>
      <c r="F7327" s="953"/>
      <c r="G7327" s="953"/>
      <c r="H7327" s="953"/>
    </row>
    <row r="7328" spans="1:8" x14ac:dyDescent="0.25">
      <c r="A7328" s="952"/>
      <c r="B7328" s="953"/>
      <c r="C7328" s="953"/>
      <c r="D7328" s="953"/>
      <c r="E7328" s="953"/>
      <c r="F7328" s="953"/>
      <c r="G7328" s="953"/>
      <c r="H7328" s="953"/>
    </row>
    <row r="7329" spans="1:8" x14ac:dyDescent="0.25">
      <c r="A7329" s="952"/>
      <c r="B7329" s="953"/>
      <c r="C7329" s="953"/>
      <c r="D7329" s="953"/>
      <c r="E7329" s="953"/>
      <c r="F7329" s="953"/>
      <c r="G7329" s="953"/>
      <c r="H7329" s="953"/>
    </row>
    <row r="7330" spans="1:8" x14ac:dyDescent="0.25">
      <c r="A7330" s="952"/>
      <c r="B7330" s="953"/>
      <c r="C7330" s="953"/>
      <c r="D7330" s="953"/>
      <c r="E7330" s="953"/>
      <c r="F7330" s="953"/>
      <c r="G7330" s="953"/>
      <c r="H7330" s="953"/>
    </row>
    <row r="7331" spans="1:8" x14ac:dyDescent="0.25">
      <c r="A7331" s="952"/>
      <c r="B7331" s="953"/>
      <c r="C7331" s="953"/>
      <c r="D7331" s="953"/>
      <c r="E7331" s="953"/>
      <c r="F7331" s="953"/>
      <c r="G7331" s="953"/>
      <c r="H7331" s="953"/>
    </row>
    <row r="7332" spans="1:8" x14ac:dyDescent="0.25">
      <c r="A7332" s="952"/>
      <c r="B7332" s="953"/>
      <c r="C7332" s="953"/>
      <c r="D7332" s="953"/>
      <c r="E7332" s="953"/>
      <c r="F7332" s="953"/>
      <c r="G7332" s="953"/>
      <c r="H7332" s="953"/>
    </row>
    <row r="7333" spans="1:8" x14ac:dyDescent="0.25">
      <c r="A7333" s="952"/>
      <c r="B7333" s="953"/>
      <c r="C7333" s="953"/>
      <c r="D7333" s="953"/>
      <c r="E7333" s="953"/>
      <c r="F7333" s="953"/>
      <c r="G7333" s="953"/>
      <c r="H7333" s="953"/>
    </row>
    <row r="7334" spans="1:8" x14ac:dyDescent="0.25">
      <c r="A7334" s="952"/>
      <c r="B7334" s="953"/>
      <c r="C7334" s="953"/>
      <c r="D7334" s="953"/>
      <c r="E7334" s="953"/>
      <c r="F7334" s="953"/>
      <c r="G7334" s="953"/>
      <c r="H7334" s="953"/>
    </row>
    <row r="7335" spans="1:8" x14ac:dyDescent="0.25">
      <c r="A7335" s="952"/>
      <c r="B7335" s="953"/>
      <c r="C7335" s="953"/>
      <c r="D7335" s="953"/>
      <c r="E7335" s="953"/>
      <c r="F7335" s="953"/>
      <c r="G7335" s="953"/>
      <c r="H7335" s="953"/>
    </row>
    <row r="7336" spans="1:8" x14ac:dyDescent="0.25">
      <c r="A7336" s="952"/>
      <c r="B7336" s="953"/>
      <c r="C7336" s="953"/>
      <c r="D7336" s="953"/>
      <c r="E7336" s="953"/>
      <c r="F7336" s="953"/>
      <c r="G7336" s="953"/>
      <c r="H7336" s="953"/>
    </row>
    <row r="7337" spans="1:8" x14ac:dyDescent="0.25">
      <c r="A7337" s="952"/>
      <c r="B7337" s="953"/>
      <c r="C7337" s="953"/>
      <c r="D7337" s="953"/>
      <c r="E7337" s="953"/>
      <c r="F7337" s="953"/>
      <c r="G7337" s="953"/>
      <c r="H7337" s="953"/>
    </row>
    <row r="7338" spans="1:8" x14ac:dyDescent="0.25">
      <c r="A7338" s="952"/>
      <c r="B7338" s="953"/>
      <c r="C7338" s="953"/>
      <c r="D7338" s="953"/>
      <c r="E7338" s="953"/>
      <c r="F7338" s="953"/>
      <c r="G7338" s="953"/>
      <c r="H7338" s="953"/>
    </row>
    <row r="7339" spans="1:8" x14ac:dyDescent="0.25">
      <c r="A7339" s="952"/>
      <c r="B7339" s="953"/>
      <c r="C7339" s="953"/>
      <c r="D7339" s="953"/>
      <c r="E7339" s="953"/>
      <c r="F7339" s="953"/>
      <c r="G7339" s="953"/>
      <c r="H7339" s="953"/>
    </row>
    <row r="7340" spans="1:8" x14ac:dyDescent="0.25">
      <c r="A7340" s="952"/>
      <c r="B7340" s="953"/>
      <c r="C7340" s="953"/>
      <c r="D7340" s="953"/>
      <c r="E7340" s="953"/>
      <c r="F7340" s="953"/>
      <c r="G7340" s="953"/>
      <c r="H7340" s="953"/>
    </row>
    <row r="7341" spans="1:8" x14ac:dyDescent="0.25">
      <c r="A7341" s="952"/>
      <c r="B7341" s="953"/>
      <c r="C7341" s="953"/>
      <c r="D7341" s="953"/>
      <c r="E7341" s="953"/>
      <c r="F7341" s="953"/>
      <c r="G7341" s="953"/>
      <c r="H7341" s="953"/>
    </row>
    <row r="7342" spans="1:8" x14ac:dyDescent="0.25">
      <c r="A7342" s="952"/>
      <c r="B7342" s="953"/>
      <c r="C7342" s="953"/>
      <c r="D7342" s="953"/>
      <c r="E7342" s="953"/>
      <c r="F7342" s="953"/>
      <c r="G7342" s="953"/>
      <c r="H7342" s="953"/>
    </row>
    <row r="7343" spans="1:8" x14ac:dyDescent="0.25">
      <c r="A7343" s="952"/>
      <c r="B7343" s="953"/>
      <c r="C7343" s="953"/>
      <c r="D7343" s="953"/>
      <c r="E7343" s="953"/>
      <c r="F7343" s="953"/>
      <c r="G7343" s="953"/>
      <c r="H7343" s="953"/>
    </row>
    <row r="7344" spans="1:8" x14ac:dyDescent="0.25">
      <c r="A7344" s="952"/>
      <c r="B7344" s="953"/>
      <c r="C7344" s="953"/>
      <c r="D7344" s="953"/>
      <c r="E7344" s="953"/>
      <c r="F7344" s="953"/>
      <c r="G7344" s="953"/>
      <c r="H7344" s="953"/>
    </row>
    <row r="7345" spans="1:8" x14ac:dyDescent="0.25">
      <c r="A7345" s="952"/>
      <c r="B7345" s="953"/>
      <c r="C7345" s="953"/>
      <c r="D7345" s="953"/>
      <c r="E7345" s="953"/>
      <c r="F7345" s="953"/>
      <c r="G7345" s="953"/>
      <c r="H7345" s="953"/>
    </row>
    <row r="7346" spans="1:8" x14ac:dyDescent="0.25">
      <c r="A7346" s="952"/>
      <c r="B7346" s="953"/>
      <c r="C7346" s="953"/>
      <c r="D7346" s="953"/>
      <c r="E7346" s="953"/>
      <c r="F7346" s="953"/>
      <c r="G7346" s="953"/>
      <c r="H7346" s="953"/>
    </row>
    <row r="7347" spans="1:8" x14ac:dyDescent="0.25">
      <c r="A7347" s="952"/>
      <c r="B7347" s="953"/>
      <c r="C7347" s="953"/>
      <c r="D7347" s="953"/>
      <c r="E7347" s="953"/>
      <c r="F7347" s="953"/>
      <c r="G7347" s="953"/>
      <c r="H7347" s="953"/>
    </row>
    <row r="7348" spans="1:8" x14ac:dyDescent="0.25">
      <c r="A7348" s="952"/>
      <c r="B7348" s="953"/>
      <c r="C7348" s="953"/>
      <c r="D7348" s="953"/>
      <c r="E7348" s="953"/>
      <c r="F7348" s="953"/>
      <c r="G7348" s="953"/>
      <c r="H7348" s="953"/>
    </row>
    <row r="7349" spans="1:8" x14ac:dyDescent="0.25">
      <c r="A7349" s="952"/>
      <c r="B7349" s="953"/>
      <c r="C7349" s="953"/>
      <c r="D7349" s="953"/>
      <c r="E7349" s="953"/>
      <c r="F7349" s="953"/>
      <c r="G7349" s="953"/>
      <c r="H7349" s="953"/>
    </row>
    <row r="7350" spans="1:8" x14ac:dyDescent="0.25">
      <c r="A7350" s="952"/>
      <c r="B7350" s="953"/>
      <c r="C7350" s="953"/>
      <c r="D7350" s="953"/>
      <c r="E7350" s="953"/>
      <c r="F7350" s="953"/>
      <c r="G7350" s="953"/>
      <c r="H7350" s="953"/>
    </row>
    <row r="7351" spans="1:8" x14ac:dyDescent="0.25">
      <c r="A7351" s="952"/>
      <c r="B7351" s="953"/>
      <c r="C7351" s="953"/>
      <c r="D7351" s="953"/>
      <c r="E7351" s="953"/>
      <c r="F7351" s="953"/>
      <c r="G7351" s="953"/>
      <c r="H7351" s="953"/>
    </row>
    <row r="7352" spans="1:8" x14ac:dyDescent="0.25">
      <c r="A7352" s="952"/>
      <c r="B7352" s="953"/>
      <c r="C7352" s="953"/>
      <c r="D7352" s="953"/>
      <c r="E7352" s="953"/>
      <c r="F7352" s="953"/>
      <c r="G7352" s="953"/>
      <c r="H7352" s="953"/>
    </row>
    <row r="7353" spans="1:8" x14ac:dyDescent="0.25">
      <c r="A7353" s="952"/>
      <c r="B7353" s="953"/>
      <c r="C7353" s="953"/>
      <c r="D7353" s="953"/>
      <c r="E7353" s="953"/>
      <c r="F7353" s="953"/>
      <c r="G7353" s="953"/>
      <c r="H7353" s="953"/>
    </row>
    <row r="7354" spans="1:8" x14ac:dyDescent="0.25">
      <c r="A7354" s="952"/>
      <c r="B7354" s="953"/>
      <c r="C7354" s="953"/>
      <c r="D7354" s="953"/>
      <c r="E7354" s="953"/>
      <c r="F7354" s="953"/>
      <c r="G7354" s="953"/>
      <c r="H7354" s="953"/>
    </row>
    <row r="7355" spans="1:8" x14ac:dyDescent="0.25">
      <c r="A7355" s="952"/>
      <c r="B7355" s="953"/>
      <c r="C7355" s="953"/>
      <c r="D7355" s="953"/>
      <c r="E7355" s="953"/>
      <c r="F7355" s="953"/>
      <c r="G7355" s="953"/>
      <c r="H7355" s="953"/>
    </row>
    <row r="7356" spans="1:8" x14ac:dyDescent="0.25">
      <c r="A7356" s="952"/>
      <c r="B7356" s="953"/>
      <c r="C7356" s="953"/>
      <c r="D7356" s="953"/>
      <c r="E7356" s="953"/>
      <c r="F7356" s="953"/>
      <c r="G7356" s="953"/>
      <c r="H7356" s="953"/>
    </row>
    <row r="7357" spans="1:8" x14ac:dyDescent="0.25">
      <c r="A7357" s="952"/>
      <c r="B7357" s="953"/>
      <c r="C7357" s="953"/>
      <c r="D7357" s="953"/>
      <c r="E7357" s="953"/>
      <c r="F7357" s="953"/>
      <c r="G7357" s="953"/>
      <c r="H7357" s="953"/>
    </row>
    <row r="7358" spans="1:8" x14ac:dyDescent="0.25">
      <c r="A7358" s="952"/>
      <c r="B7358" s="953"/>
      <c r="C7358" s="953"/>
      <c r="D7358" s="953"/>
      <c r="E7358" s="953"/>
      <c r="F7358" s="953"/>
      <c r="G7358" s="953"/>
      <c r="H7358" s="953"/>
    </row>
    <row r="7359" spans="1:8" x14ac:dyDescent="0.25">
      <c r="A7359" s="952"/>
      <c r="B7359" s="953"/>
      <c r="C7359" s="953"/>
      <c r="D7359" s="953"/>
      <c r="E7359" s="953"/>
      <c r="F7359" s="953"/>
      <c r="G7359" s="953"/>
      <c r="H7359" s="953"/>
    </row>
    <row r="7360" spans="1:8" x14ac:dyDescent="0.25">
      <c r="A7360" s="952"/>
      <c r="B7360" s="953"/>
      <c r="C7360" s="953"/>
      <c r="D7360" s="953"/>
      <c r="E7360" s="953"/>
      <c r="F7360" s="953"/>
      <c r="G7360" s="953"/>
      <c r="H7360" s="953"/>
    </row>
    <row r="7361" spans="1:8" x14ac:dyDescent="0.25">
      <c r="A7361" s="952"/>
      <c r="B7361" s="953"/>
      <c r="C7361" s="953"/>
      <c r="D7361" s="953"/>
      <c r="E7361" s="953"/>
      <c r="F7361" s="953"/>
      <c r="G7361" s="953"/>
      <c r="H7361" s="953"/>
    </row>
    <row r="7362" spans="1:8" x14ac:dyDescent="0.25">
      <c r="A7362" s="952"/>
      <c r="B7362" s="953"/>
      <c r="C7362" s="953"/>
      <c r="D7362" s="953"/>
      <c r="E7362" s="953"/>
      <c r="F7362" s="953"/>
      <c r="G7362" s="953"/>
      <c r="H7362" s="953"/>
    </row>
    <row r="7363" spans="1:8" x14ac:dyDescent="0.25">
      <c r="A7363" s="952"/>
      <c r="B7363" s="953"/>
      <c r="C7363" s="953"/>
      <c r="D7363" s="953"/>
      <c r="E7363" s="953"/>
      <c r="F7363" s="953"/>
      <c r="G7363" s="953"/>
      <c r="H7363" s="953"/>
    </row>
    <row r="7364" spans="1:8" x14ac:dyDescent="0.25">
      <c r="A7364" s="952"/>
      <c r="B7364" s="953"/>
      <c r="C7364" s="953"/>
      <c r="D7364" s="953"/>
      <c r="E7364" s="953"/>
      <c r="F7364" s="953"/>
      <c r="G7364" s="953"/>
      <c r="H7364" s="953"/>
    </row>
    <row r="7365" spans="1:8" x14ac:dyDescent="0.25">
      <c r="A7365" s="952"/>
      <c r="B7365" s="953"/>
      <c r="C7365" s="953"/>
      <c r="D7365" s="953"/>
      <c r="E7365" s="953"/>
      <c r="F7365" s="953"/>
      <c r="G7365" s="953"/>
      <c r="H7365" s="953"/>
    </row>
    <row r="7366" spans="1:8" x14ac:dyDescent="0.25">
      <c r="A7366" s="952"/>
      <c r="B7366" s="953"/>
      <c r="C7366" s="953"/>
      <c r="D7366" s="953"/>
      <c r="E7366" s="953"/>
      <c r="F7366" s="953"/>
      <c r="G7366" s="953"/>
      <c r="H7366" s="953"/>
    </row>
    <row r="7367" spans="1:8" x14ac:dyDescent="0.25">
      <c r="A7367" s="952"/>
      <c r="B7367" s="953"/>
      <c r="C7367" s="953"/>
      <c r="D7367" s="953"/>
      <c r="E7367" s="953"/>
      <c r="F7367" s="953"/>
      <c r="G7367" s="953"/>
      <c r="H7367" s="953"/>
    </row>
    <row r="7368" spans="1:8" x14ac:dyDescent="0.25">
      <c r="A7368" s="952"/>
      <c r="B7368" s="953"/>
      <c r="C7368" s="953"/>
      <c r="D7368" s="953"/>
      <c r="E7368" s="953"/>
      <c r="F7368" s="953"/>
      <c r="G7368" s="953"/>
      <c r="H7368" s="953"/>
    </row>
    <row r="7369" spans="1:8" x14ac:dyDescent="0.25">
      <c r="A7369" s="952"/>
      <c r="B7369" s="953"/>
      <c r="C7369" s="953"/>
      <c r="D7369" s="953"/>
      <c r="E7369" s="953"/>
      <c r="F7369" s="953"/>
      <c r="G7369" s="953"/>
      <c r="H7369" s="953"/>
    </row>
    <row r="7370" spans="1:8" x14ac:dyDescent="0.25">
      <c r="A7370" s="952"/>
      <c r="B7370" s="953"/>
      <c r="C7370" s="953"/>
      <c r="D7370" s="953"/>
      <c r="E7370" s="953"/>
      <c r="F7370" s="953"/>
      <c r="G7370" s="953"/>
      <c r="H7370" s="953"/>
    </row>
    <row r="7371" spans="1:8" x14ac:dyDescent="0.25">
      <c r="A7371" s="952"/>
      <c r="B7371" s="953"/>
      <c r="C7371" s="953"/>
      <c r="D7371" s="953"/>
      <c r="E7371" s="953"/>
      <c r="F7371" s="953"/>
      <c r="G7371" s="953"/>
      <c r="H7371" s="953"/>
    </row>
    <row r="7372" spans="1:8" x14ac:dyDescent="0.25">
      <c r="A7372" s="952"/>
      <c r="B7372" s="953"/>
      <c r="C7372" s="953"/>
      <c r="D7372" s="953"/>
      <c r="E7372" s="953"/>
      <c r="F7372" s="953"/>
      <c r="G7372" s="953"/>
      <c r="H7372" s="953"/>
    </row>
    <row r="7373" spans="1:8" x14ac:dyDescent="0.25">
      <c r="A7373" s="952"/>
      <c r="B7373" s="953"/>
      <c r="C7373" s="953"/>
      <c r="D7373" s="953"/>
      <c r="E7373" s="953"/>
      <c r="F7373" s="953"/>
      <c r="G7373" s="953"/>
      <c r="H7373" s="953"/>
    </row>
    <row r="7374" spans="1:8" x14ac:dyDescent="0.25">
      <c r="A7374" s="952"/>
      <c r="B7374" s="953"/>
      <c r="C7374" s="953"/>
      <c r="D7374" s="953"/>
      <c r="E7374" s="953"/>
      <c r="F7374" s="953"/>
      <c r="G7374" s="953"/>
      <c r="H7374" s="953"/>
    </row>
    <row r="7375" spans="1:8" x14ac:dyDescent="0.25">
      <c r="A7375" s="952"/>
      <c r="B7375" s="953"/>
      <c r="C7375" s="953"/>
      <c r="D7375" s="953"/>
      <c r="E7375" s="953"/>
      <c r="F7375" s="953"/>
      <c r="G7375" s="953"/>
      <c r="H7375" s="953"/>
    </row>
    <row r="7376" spans="1:8" x14ac:dyDescent="0.25">
      <c r="A7376" s="952"/>
      <c r="B7376" s="953"/>
      <c r="C7376" s="953"/>
      <c r="D7376" s="953"/>
      <c r="E7376" s="953"/>
      <c r="F7376" s="953"/>
      <c r="G7376" s="953"/>
      <c r="H7376" s="953"/>
    </row>
    <row r="7377" spans="1:8" x14ac:dyDescent="0.25">
      <c r="A7377" s="952"/>
      <c r="B7377" s="953"/>
      <c r="C7377" s="953"/>
      <c r="D7377" s="953"/>
      <c r="E7377" s="953"/>
      <c r="F7377" s="953"/>
      <c r="G7377" s="953"/>
      <c r="H7377" s="953"/>
    </row>
    <row r="7378" spans="1:8" x14ac:dyDescent="0.25">
      <c r="A7378" s="952"/>
      <c r="B7378" s="953"/>
      <c r="C7378" s="953"/>
      <c r="D7378" s="953"/>
      <c r="E7378" s="953"/>
      <c r="F7378" s="953"/>
      <c r="G7378" s="953"/>
      <c r="H7378" s="953"/>
    </row>
    <row r="7379" spans="1:8" x14ac:dyDescent="0.25">
      <c r="A7379" s="952"/>
      <c r="B7379" s="953"/>
      <c r="C7379" s="953"/>
      <c r="D7379" s="953"/>
      <c r="E7379" s="953"/>
      <c r="F7379" s="953"/>
      <c r="G7379" s="953"/>
      <c r="H7379" s="953"/>
    </row>
    <row r="7380" spans="1:8" x14ac:dyDescent="0.25">
      <c r="A7380" s="952"/>
      <c r="B7380" s="953"/>
      <c r="C7380" s="953"/>
      <c r="D7380" s="953"/>
      <c r="E7380" s="953"/>
      <c r="F7380" s="953"/>
      <c r="G7380" s="953"/>
      <c r="H7380" s="953"/>
    </row>
    <row r="7381" spans="1:8" x14ac:dyDescent="0.25">
      <c r="A7381" s="952"/>
      <c r="B7381" s="953"/>
      <c r="C7381" s="953"/>
      <c r="D7381" s="953"/>
      <c r="E7381" s="953"/>
      <c r="F7381" s="953"/>
      <c r="G7381" s="953"/>
      <c r="H7381" s="953"/>
    </row>
    <row r="7382" spans="1:8" x14ac:dyDescent="0.25">
      <c r="A7382" s="952"/>
      <c r="B7382" s="953"/>
      <c r="C7382" s="953"/>
      <c r="D7382" s="953"/>
      <c r="E7382" s="953"/>
      <c r="F7382" s="953"/>
      <c r="G7382" s="953"/>
      <c r="H7382" s="953"/>
    </row>
    <row r="7383" spans="1:8" x14ac:dyDescent="0.25">
      <c r="A7383" s="952"/>
      <c r="B7383" s="953"/>
      <c r="C7383" s="953"/>
      <c r="D7383" s="953"/>
      <c r="E7383" s="953"/>
      <c r="F7383" s="953"/>
      <c r="G7383" s="953"/>
      <c r="H7383" s="953"/>
    </row>
    <row r="7384" spans="1:8" x14ac:dyDescent="0.25">
      <c r="A7384" s="952"/>
      <c r="B7384" s="953"/>
      <c r="C7384" s="953"/>
      <c r="D7384" s="953"/>
      <c r="E7384" s="953"/>
      <c r="F7384" s="953"/>
      <c r="G7384" s="953"/>
      <c r="H7384" s="953"/>
    </row>
    <row r="7385" spans="1:8" x14ac:dyDescent="0.25">
      <c r="A7385" s="952"/>
      <c r="B7385" s="953"/>
      <c r="C7385" s="953"/>
      <c r="D7385" s="953"/>
      <c r="E7385" s="953"/>
      <c r="F7385" s="953"/>
      <c r="G7385" s="953"/>
      <c r="H7385" s="953"/>
    </row>
    <row r="7386" spans="1:8" x14ac:dyDescent="0.25">
      <c r="A7386" s="952"/>
      <c r="B7386" s="953"/>
      <c r="C7386" s="953"/>
      <c r="D7386" s="953"/>
      <c r="E7386" s="953"/>
      <c r="F7386" s="953"/>
      <c r="G7386" s="953"/>
      <c r="H7386" s="953"/>
    </row>
    <row r="7387" spans="1:8" x14ac:dyDescent="0.25">
      <c r="A7387" s="952"/>
      <c r="B7387" s="953"/>
      <c r="C7387" s="953"/>
      <c r="D7387" s="953"/>
      <c r="E7387" s="953"/>
      <c r="F7387" s="953"/>
      <c r="G7387" s="953"/>
      <c r="H7387" s="953"/>
    </row>
    <row r="7388" spans="1:8" x14ac:dyDescent="0.25">
      <c r="A7388" s="952"/>
      <c r="B7388" s="953"/>
      <c r="C7388" s="953"/>
      <c r="D7388" s="953"/>
      <c r="E7388" s="953"/>
      <c r="F7388" s="953"/>
      <c r="G7388" s="953"/>
      <c r="H7388" s="953"/>
    </row>
    <row r="7389" spans="1:8" x14ac:dyDescent="0.25">
      <c r="A7389" s="952"/>
      <c r="B7389" s="953"/>
      <c r="C7389" s="953"/>
      <c r="D7389" s="953"/>
      <c r="E7389" s="953"/>
      <c r="F7389" s="953"/>
      <c r="G7389" s="953"/>
      <c r="H7389" s="953"/>
    </row>
    <row r="7390" spans="1:8" x14ac:dyDescent="0.25">
      <c r="A7390" s="952"/>
      <c r="B7390" s="953"/>
      <c r="C7390" s="953"/>
      <c r="D7390" s="953"/>
      <c r="E7390" s="953"/>
      <c r="F7390" s="953"/>
      <c r="G7390" s="953"/>
      <c r="H7390" s="953"/>
    </row>
    <row r="7391" spans="1:8" x14ac:dyDescent="0.25">
      <c r="A7391" s="952"/>
      <c r="B7391" s="953"/>
      <c r="C7391" s="953"/>
      <c r="D7391" s="953"/>
      <c r="E7391" s="953"/>
      <c r="F7391" s="953"/>
      <c r="G7391" s="953"/>
      <c r="H7391" s="953"/>
    </row>
    <row r="7392" spans="1:8" x14ac:dyDescent="0.25">
      <c r="A7392" s="952"/>
      <c r="B7392" s="953"/>
      <c r="C7392" s="953"/>
      <c r="D7392" s="953"/>
      <c r="E7392" s="953"/>
      <c r="F7392" s="953"/>
      <c r="G7392" s="953"/>
      <c r="H7392" s="953"/>
    </row>
    <row r="7393" spans="1:8" x14ac:dyDescent="0.25">
      <c r="A7393" s="952"/>
      <c r="B7393" s="953"/>
      <c r="C7393" s="953"/>
      <c r="D7393" s="953"/>
      <c r="E7393" s="953"/>
      <c r="F7393" s="953"/>
      <c r="G7393" s="953"/>
      <c r="H7393" s="953"/>
    </row>
    <row r="7394" spans="1:8" x14ac:dyDescent="0.25">
      <c r="A7394" s="952"/>
      <c r="B7394" s="953"/>
      <c r="C7394" s="953"/>
      <c r="D7394" s="953"/>
      <c r="E7394" s="953"/>
      <c r="F7394" s="953"/>
      <c r="G7394" s="953"/>
      <c r="H7394" s="953"/>
    </row>
    <row r="7395" spans="1:8" x14ac:dyDescent="0.25">
      <c r="A7395" s="952"/>
      <c r="B7395" s="953"/>
      <c r="C7395" s="953"/>
      <c r="D7395" s="953"/>
      <c r="E7395" s="953"/>
      <c r="F7395" s="953"/>
      <c r="G7395" s="953"/>
      <c r="H7395" s="953"/>
    </row>
    <row r="7396" spans="1:8" x14ac:dyDescent="0.25">
      <c r="A7396" s="952"/>
      <c r="B7396" s="953"/>
      <c r="C7396" s="953"/>
      <c r="D7396" s="953"/>
      <c r="E7396" s="953"/>
      <c r="F7396" s="953"/>
      <c r="G7396" s="953"/>
      <c r="H7396" s="953"/>
    </row>
    <row r="7397" spans="1:8" x14ac:dyDescent="0.25">
      <c r="A7397" s="952"/>
      <c r="B7397" s="953"/>
      <c r="C7397" s="953"/>
      <c r="D7397" s="953"/>
      <c r="E7397" s="953"/>
      <c r="F7397" s="953"/>
      <c r="G7397" s="953"/>
      <c r="H7397" s="953"/>
    </row>
    <row r="7398" spans="1:8" x14ac:dyDescent="0.25">
      <c r="A7398" s="952"/>
      <c r="B7398" s="953"/>
      <c r="C7398" s="953"/>
      <c r="D7398" s="953"/>
      <c r="E7398" s="953"/>
      <c r="F7398" s="953"/>
      <c r="G7398" s="953"/>
      <c r="H7398" s="953"/>
    </row>
    <row r="7399" spans="1:8" x14ac:dyDescent="0.25">
      <c r="A7399" s="952"/>
      <c r="B7399" s="953"/>
      <c r="C7399" s="953"/>
      <c r="D7399" s="953"/>
      <c r="E7399" s="953"/>
      <c r="F7399" s="953"/>
      <c r="G7399" s="953"/>
      <c r="H7399" s="953"/>
    </row>
    <row r="7400" spans="1:8" x14ac:dyDescent="0.25">
      <c r="A7400" s="952"/>
      <c r="B7400" s="953"/>
      <c r="C7400" s="953"/>
      <c r="D7400" s="953"/>
      <c r="E7400" s="953"/>
      <c r="F7400" s="953"/>
      <c r="G7400" s="953"/>
      <c r="H7400" s="953"/>
    </row>
    <row r="7401" spans="1:8" x14ac:dyDescent="0.25">
      <c r="A7401" s="952"/>
      <c r="B7401" s="953"/>
      <c r="C7401" s="953"/>
      <c r="D7401" s="953"/>
      <c r="E7401" s="953"/>
      <c r="F7401" s="953"/>
      <c r="G7401" s="953"/>
      <c r="H7401" s="953"/>
    </row>
    <row r="7402" spans="1:8" x14ac:dyDescent="0.25">
      <c r="A7402" s="952"/>
      <c r="B7402" s="953"/>
      <c r="C7402" s="953"/>
      <c r="D7402" s="953"/>
      <c r="E7402" s="953"/>
      <c r="F7402" s="953"/>
      <c r="G7402" s="953"/>
      <c r="H7402" s="953"/>
    </row>
    <row r="7403" spans="1:8" x14ac:dyDescent="0.25">
      <c r="A7403" s="952"/>
      <c r="B7403" s="953"/>
      <c r="C7403" s="953"/>
      <c r="D7403" s="953"/>
      <c r="E7403" s="953"/>
      <c r="F7403" s="953"/>
      <c r="G7403" s="953"/>
      <c r="H7403" s="953"/>
    </row>
    <row r="7404" spans="1:8" x14ac:dyDescent="0.25">
      <c r="A7404" s="952"/>
      <c r="B7404" s="953"/>
      <c r="C7404" s="953"/>
      <c r="D7404" s="953"/>
      <c r="E7404" s="953"/>
      <c r="F7404" s="953"/>
      <c r="G7404" s="953"/>
      <c r="H7404" s="953"/>
    </row>
    <row r="7405" spans="1:8" x14ac:dyDescent="0.25">
      <c r="A7405" s="952"/>
      <c r="B7405" s="953"/>
      <c r="C7405" s="953"/>
      <c r="D7405" s="953"/>
      <c r="E7405" s="953"/>
      <c r="F7405" s="953"/>
      <c r="G7405" s="953"/>
      <c r="H7405" s="953"/>
    </row>
    <row r="7406" spans="1:8" x14ac:dyDescent="0.25">
      <c r="A7406" s="952"/>
      <c r="B7406" s="953"/>
      <c r="C7406" s="953"/>
      <c r="D7406" s="953"/>
      <c r="E7406" s="953"/>
      <c r="F7406" s="953"/>
      <c r="G7406" s="953"/>
      <c r="H7406" s="953"/>
    </row>
    <row r="7407" spans="1:8" x14ac:dyDescent="0.25">
      <c r="A7407" s="952"/>
      <c r="B7407" s="953"/>
      <c r="C7407" s="953"/>
      <c r="D7407" s="953"/>
      <c r="E7407" s="953"/>
      <c r="F7407" s="953"/>
      <c r="G7407" s="953"/>
      <c r="H7407" s="953"/>
    </row>
    <row r="7408" spans="1:8" x14ac:dyDescent="0.25">
      <c r="A7408" s="952"/>
      <c r="B7408" s="953"/>
      <c r="C7408" s="953"/>
      <c r="D7408" s="953"/>
      <c r="E7408" s="953"/>
      <c r="F7408" s="953"/>
      <c r="G7408" s="953"/>
      <c r="H7408" s="953"/>
    </row>
    <row r="7409" spans="1:8" x14ac:dyDescent="0.25">
      <c r="A7409" s="952"/>
      <c r="B7409" s="953"/>
      <c r="C7409" s="953"/>
      <c r="D7409" s="953"/>
      <c r="E7409" s="953"/>
      <c r="F7409" s="953"/>
      <c r="G7409" s="953"/>
      <c r="H7409" s="953"/>
    </row>
    <row r="7410" spans="1:8" x14ac:dyDescent="0.25">
      <c r="A7410" s="952"/>
      <c r="B7410" s="953"/>
      <c r="C7410" s="953"/>
      <c r="D7410" s="953"/>
      <c r="E7410" s="953"/>
      <c r="F7410" s="953"/>
      <c r="G7410" s="953"/>
      <c r="H7410" s="953"/>
    </row>
    <row r="7411" spans="1:8" x14ac:dyDescent="0.25">
      <c r="A7411" s="952"/>
      <c r="B7411" s="953"/>
      <c r="C7411" s="953"/>
      <c r="D7411" s="953"/>
      <c r="E7411" s="953"/>
      <c r="F7411" s="953"/>
      <c r="G7411" s="953"/>
      <c r="H7411" s="953"/>
    </row>
    <row r="7412" spans="1:8" x14ac:dyDescent="0.25">
      <c r="A7412" s="952"/>
      <c r="B7412" s="953"/>
      <c r="C7412" s="953"/>
      <c r="D7412" s="953"/>
      <c r="E7412" s="953"/>
      <c r="F7412" s="953"/>
      <c r="G7412" s="953"/>
      <c r="H7412" s="953"/>
    </row>
    <row r="7413" spans="1:8" x14ac:dyDescent="0.25">
      <c r="A7413" s="952"/>
      <c r="B7413" s="953"/>
      <c r="C7413" s="953"/>
      <c r="D7413" s="953"/>
      <c r="E7413" s="953"/>
      <c r="F7413" s="953"/>
      <c r="G7413" s="953"/>
      <c r="H7413" s="953"/>
    </row>
    <row r="7414" spans="1:8" x14ac:dyDescent="0.25">
      <c r="A7414" s="952"/>
      <c r="B7414" s="953"/>
      <c r="C7414" s="953"/>
      <c r="D7414" s="953"/>
      <c r="E7414" s="953"/>
      <c r="F7414" s="953"/>
      <c r="G7414" s="953"/>
      <c r="H7414" s="953"/>
    </row>
    <row r="7415" spans="1:8" x14ac:dyDescent="0.25">
      <c r="A7415" s="952"/>
      <c r="B7415" s="953"/>
      <c r="C7415" s="953"/>
      <c r="D7415" s="953"/>
      <c r="E7415" s="953"/>
      <c r="F7415" s="953"/>
      <c r="G7415" s="953"/>
      <c r="H7415" s="953"/>
    </row>
    <row r="7416" spans="1:8" x14ac:dyDescent="0.25">
      <c r="A7416" s="952"/>
      <c r="B7416" s="953"/>
      <c r="C7416" s="953"/>
      <c r="D7416" s="953"/>
      <c r="E7416" s="953"/>
      <c r="F7416" s="953"/>
      <c r="G7416" s="953"/>
      <c r="H7416" s="953"/>
    </row>
    <row r="7417" spans="1:8" x14ac:dyDescent="0.25">
      <c r="A7417" s="952"/>
      <c r="B7417" s="953"/>
      <c r="C7417" s="953"/>
      <c r="D7417" s="953"/>
      <c r="E7417" s="953"/>
      <c r="F7417" s="953"/>
      <c r="G7417" s="953"/>
      <c r="H7417" s="953"/>
    </row>
    <row r="7418" spans="1:8" x14ac:dyDescent="0.25">
      <c r="A7418" s="952"/>
      <c r="B7418" s="953"/>
      <c r="C7418" s="953"/>
      <c r="D7418" s="953"/>
      <c r="E7418" s="953"/>
      <c r="F7418" s="953"/>
      <c r="G7418" s="953"/>
      <c r="H7418" s="953"/>
    </row>
    <row r="7419" spans="1:8" x14ac:dyDescent="0.25">
      <c r="A7419" s="952"/>
      <c r="B7419" s="953"/>
      <c r="C7419" s="953"/>
      <c r="D7419" s="953"/>
      <c r="E7419" s="953"/>
      <c r="F7419" s="953"/>
      <c r="G7419" s="953"/>
      <c r="H7419" s="953"/>
    </row>
    <row r="7420" spans="1:8" x14ac:dyDescent="0.25">
      <c r="A7420" s="952"/>
      <c r="B7420" s="953"/>
      <c r="C7420" s="953"/>
      <c r="D7420" s="953"/>
      <c r="E7420" s="953"/>
      <c r="F7420" s="953"/>
      <c r="G7420" s="953"/>
      <c r="H7420" s="953"/>
    </row>
    <row r="7421" spans="1:8" x14ac:dyDescent="0.25">
      <c r="A7421" s="952"/>
      <c r="B7421" s="953"/>
      <c r="C7421" s="953"/>
      <c r="D7421" s="953"/>
      <c r="E7421" s="953"/>
      <c r="F7421" s="953"/>
      <c r="G7421" s="953"/>
      <c r="H7421" s="953"/>
    </row>
    <row r="7422" spans="1:8" x14ac:dyDescent="0.25">
      <c r="A7422" s="952"/>
      <c r="B7422" s="953"/>
      <c r="C7422" s="953"/>
      <c r="D7422" s="953"/>
      <c r="E7422" s="953"/>
      <c r="F7422" s="953"/>
      <c r="G7422" s="953"/>
      <c r="H7422" s="953"/>
    </row>
    <row r="7423" spans="1:8" x14ac:dyDescent="0.25">
      <c r="A7423" s="952"/>
      <c r="B7423" s="953"/>
      <c r="C7423" s="953"/>
      <c r="D7423" s="953"/>
      <c r="E7423" s="953"/>
      <c r="F7423" s="953"/>
      <c r="G7423" s="953"/>
      <c r="H7423" s="953"/>
    </row>
    <row r="7424" spans="1:8" x14ac:dyDescent="0.25">
      <c r="A7424" s="952"/>
      <c r="B7424" s="953"/>
      <c r="C7424" s="953"/>
      <c r="D7424" s="953"/>
      <c r="E7424" s="953"/>
      <c r="F7424" s="953"/>
      <c r="G7424" s="953"/>
      <c r="H7424" s="953"/>
    </row>
    <row r="7425" spans="1:8" x14ac:dyDescent="0.25">
      <c r="A7425" s="952"/>
      <c r="B7425" s="953"/>
      <c r="C7425" s="953"/>
      <c r="D7425" s="953"/>
      <c r="E7425" s="953"/>
      <c r="F7425" s="953"/>
      <c r="G7425" s="953"/>
      <c r="H7425" s="953"/>
    </row>
    <row r="7426" spans="1:8" x14ac:dyDescent="0.25">
      <c r="A7426" s="952"/>
      <c r="B7426" s="953"/>
      <c r="C7426" s="953"/>
      <c r="D7426" s="953"/>
      <c r="E7426" s="953"/>
      <c r="F7426" s="953"/>
      <c r="G7426" s="953"/>
      <c r="H7426" s="953"/>
    </row>
    <row r="7427" spans="1:8" x14ac:dyDescent="0.25">
      <c r="A7427" s="952"/>
      <c r="B7427" s="953"/>
      <c r="C7427" s="953"/>
      <c r="D7427" s="953"/>
      <c r="E7427" s="953"/>
      <c r="F7427" s="953"/>
      <c r="G7427" s="953"/>
      <c r="H7427" s="953"/>
    </row>
    <row r="7428" spans="1:8" x14ac:dyDescent="0.25">
      <c r="A7428" s="952"/>
      <c r="B7428" s="953"/>
      <c r="C7428" s="953"/>
      <c r="D7428" s="953"/>
      <c r="E7428" s="953"/>
      <c r="F7428" s="953"/>
      <c r="G7428" s="953"/>
      <c r="H7428" s="953"/>
    </row>
    <row r="7429" spans="1:8" x14ac:dyDescent="0.25">
      <c r="A7429" s="952"/>
      <c r="B7429" s="953"/>
      <c r="C7429" s="953"/>
      <c r="D7429" s="953"/>
      <c r="E7429" s="953"/>
      <c r="F7429" s="953"/>
      <c r="G7429" s="953"/>
      <c r="H7429" s="953"/>
    </row>
    <row r="7430" spans="1:8" x14ac:dyDescent="0.25">
      <c r="A7430" s="952"/>
      <c r="B7430" s="953"/>
      <c r="C7430" s="953"/>
      <c r="D7430" s="953"/>
      <c r="E7430" s="953"/>
      <c r="F7430" s="953"/>
      <c r="G7430" s="953"/>
      <c r="H7430" s="953"/>
    </row>
    <row r="7431" spans="1:8" x14ac:dyDescent="0.25">
      <c r="A7431" s="952"/>
      <c r="B7431" s="953"/>
      <c r="C7431" s="953"/>
      <c r="D7431" s="953"/>
      <c r="E7431" s="953"/>
      <c r="F7431" s="953"/>
      <c r="G7431" s="953"/>
      <c r="H7431" s="953"/>
    </row>
    <row r="7432" spans="1:8" x14ac:dyDescent="0.25">
      <c r="A7432" s="952"/>
      <c r="B7432" s="953"/>
      <c r="C7432" s="953"/>
      <c r="D7432" s="953"/>
      <c r="E7432" s="953"/>
      <c r="F7432" s="953"/>
      <c r="G7432" s="953"/>
      <c r="H7432" s="953"/>
    </row>
    <row r="7433" spans="1:8" x14ac:dyDescent="0.25">
      <c r="A7433" s="952"/>
      <c r="B7433" s="953"/>
      <c r="C7433" s="953"/>
      <c r="D7433" s="953"/>
      <c r="E7433" s="953"/>
      <c r="F7433" s="953"/>
      <c r="G7433" s="953"/>
      <c r="H7433" s="953"/>
    </row>
    <row r="7434" spans="1:8" x14ac:dyDescent="0.25">
      <c r="A7434" s="952"/>
      <c r="B7434" s="953"/>
      <c r="C7434" s="953"/>
      <c r="D7434" s="953"/>
      <c r="E7434" s="953"/>
      <c r="F7434" s="953"/>
      <c r="G7434" s="953"/>
      <c r="H7434" s="953"/>
    </row>
    <row r="7435" spans="1:8" x14ac:dyDescent="0.25">
      <c r="A7435" s="952"/>
      <c r="B7435" s="953"/>
      <c r="C7435" s="953"/>
      <c r="D7435" s="953"/>
      <c r="E7435" s="953"/>
      <c r="F7435" s="953"/>
      <c r="G7435" s="953"/>
      <c r="H7435" s="953"/>
    </row>
    <row r="7436" spans="1:8" x14ac:dyDescent="0.25">
      <c r="A7436" s="952"/>
      <c r="B7436" s="953"/>
      <c r="C7436" s="953"/>
      <c r="D7436" s="953"/>
      <c r="E7436" s="953"/>
      <c r="F7436" s="953"/>
      <c r="G7436" s="953"/>
      <c r="H7436" s="953"/>
    </row>
    <row r="7437" spans="1:8" x14ac:dyDescent="0.25">
      <c r="A7437" s="952"/>
      <c r="B7437" s="953"/>
      <c r="C7437" s="953"/>
      <c r="D7437" s="953"/>
      <c r="E7437" s="953"/>
      <c r="F7437" s="953"/>
      <c r="G7437" s="953"/>
      <c r="H7437" s="953"/>
    </row>
    <row r="7438" spans="1:8" x14ac:dyDescent="0.25">
      <c r="A7438" s="952"/>
      <c r="B7438" s="953"/>
      <c r="C7438" s="953"/>
      <c r="D7438" s="953"/>
      <c r="E7438" s="953"/>
      <c r="F7438" s="953"/>
      <c r="G7438" s="953"/>
      <c r="H7438" s="953"/>
    </row>
    <row r="7439" spans="1:8" x14ac:dyDescent="0.25">
      <c r="A7439" s="952"/>
      <c r="B7439" s="953"/>
      <c r="C7439" s="953"/>
      <c r="D7439" s="953"/>
      <c r="E7439" s="953"/>
      <c r="F7439" s="953"/>
      <c r="G7439" s="953"/>
      <c r="H7439" s="953"/>
    </row>
    <row r="7440" spans="1:8" x14ac:dyDescent="0.25">
      <c r="A7440" s="952"/>
      <c r="B7440" s="953"/>
      <c r="C7440" s="953"/>
      <c r="D7440" s="953"/>
      <c r="E7440" s="953"/>
      <c r="F7440" s="953"/>
      <c r="G7440" s="953"/>
      <c r="H7440" s="953"/>
    </row>
    <row r="7441" spans="1:8" x14ac:dyDescent="0.25">
      <c r="A7441" s="952"/>
      <c r="B7441" s="953"/>
      <c r="C7441" s="953"/>
      <c r="D7441" s="953"/>
      <c r="E7441" s="953"/>
      <c r="F7441" s="953"/>
      <c r="G7441" s="953"/>
      <c r="H7441" s="953"/>
    </row>
    <row r="7442" spans="1:8" x14ac:dyDescent="0.25">
      <c r="A7442" s="952"/>
      <c r="B7442" s="953"/>
      <c r="C7442" s="953"/>
      <c r="D7442" s="953"/>
      <c r="E7442" s="953"/>
      <c r="F7442" s="953"/>
      <c r="G7442" s="953"/>
      <c r="H7442" s="953"/>
    </row>
    <row r="7443" spans="1:8" x14ac:dyDescent="0.25">
      <c r="A7443" s="952"/>
      <c r="B7443" s="953"/>
      <c r="C7443" s="953"/>
      <c r="D7443" s="953"/>
      <c r="E7443" s="953"/>
      <c r="F7443" s="953"/>
      <c r="G7443" s="953"/>
      <c r="H7443" s="953"/>
    </row>
    <row r="7444" spans="1:8" x14ac:dyDescent="0.25">
      <c r="A7444" s="952"/>
      <c r="B7444" s="953"/>
      <c r="C7444" s="953"/>
      <c r="D7444" s="953"/>
      <c r="E7444" s="953"/>
      <c r="F7444" s="953"/>
      <c r="G7444" s="953"/>
      <c r="H7444" s="953"/>
    </row>
    <row r="7445" spans="1:8" x14ac:dyDescent="0.25">
      <c r="A7445" s="952"/>
      <c r="B7445" s="953"/>
      <c r="C7445" s="953"/>
      <c r="D7445" s="953"/>
      <c r="E7445" s="953"/>
      <c r="F7445" s="953"/>
      <c r="G7445" s="953"/>
      <c r="H7445" s="953"/>
    </row>
    <row r="7446" spans="1:8" x14ac:dyDescent="0.25">
      <c r="A7446" s="952"/>
      <c r="B7446" s="953"/>
      <c r="C7446" s="953"/>
      <c r="D7446" s="953"/>
      <c r="E7446" s="953"/>
      <c r="F7446" s="953"/>
      <c r="G7446" s="953"/>
      <c r="H7446" s="953"/>
    </row>
    <row r="7447" spans="1:8" x14ac:dyDescent="0.25">
      <c r="A7447" s="952"/>
      <c r="B7447" s="953"/>
      <c r="C7447" s="953"/>
      <c r="D7447" s="953"/>
      <c r="E7447" s="953"/>
      <c r="F7447" s="953"/>
      <c r="G7447" s="953"/>
      <c r="H7447" s="953"/>
    </row>
    <row r="7448" spans="1:8" x14ac:dyDescent="0.25">
      <c r="A7448" s="952"/>
      <c r="B7448" s="953"/>
      <c r="C7448" s="953"/>
      <c r="D7448" s="953"/>
      <c r="E7448" s="953"/>
      <c r="F7448" s="953"/>
      <c r="G7448" s="953"/>
      <c r="H7448" s="953"/>
    </row>
    <row r="7449" spans="1:8" x14ac:dyDescent="0.25">
      <c r="A7449" s="952"/>
      <c r="B7449" s="953"/>
      <c r="C7449" s="953"/>
      <c r="D7449" s="953"/>
      <c r="E7449" s="953"/>
      <c r="F7449" s="953"/>
      <c r="G7449" s="953"/>
      <c r="H7449" s="953"/>
    </row>
    <row r="7450" spans="1:8" x14ac:dyDescent="0.25">
      <c r="A7450" s="952"/>
      <c r="B7450" s="953"/>
      <c r="C7450" s="953"/>
      <c r="D7450" s="953"/>
      <c r="E7450" s="953"/>
      <c r="F7450" s="953"/>
      <c r="G7450" s="953"/>
      <c r="H7450" s="953"/>
    </row>
    <row r="7451" spans="1:8" x14ac:dyDescent="0.25">
      <c r="A7451" s="952"/>
      <c r="B7451" s="953"/>
      <c r="C7451" s="953"/>
      <c r="D7451" s="953"/>
      <c r="E7451" s="953"/>
      <c r="F7451" s="953"/>
      <c r="G7451" s="953"/>
      <c r="H7451" s="953"/>
    </row>
    <row r="7452" spans="1:8" x14ac:dyDescent="0.25">
      <c r="A7452" s="952"/>
      <c r="B7452" s="953"/>
      <c r="C7452" s="953"/>
      <c r="D7452" s="953"/>
      <c r="E7452" s="953"/>
      <c r="F7452" s="953"/>
      <c r="G7452" s="953"/>
      <c r="H7452" s="953"/>
    </row>
    <row r="7453" spans="1:8" x14ac:dyDescent="0.25">
      <c r="A7453" s="952"/>
      <c r="B7453" s="953"/>
      <c r="C7453" s="953"/>
      <c r="D7453" s="953"/>
      <c r="E7453" s="953"/>
      <c r="F7453" s="953"/>
      <c r="G7453" s="953"/>
      <c r="H7453" s="953"/>
    </row>
    <row r="7454" spans="1:8" x14ac:dyDescent="0.25">
      <c r="A7454" s="952"/>
      <c r="B7454" s="953"/>
      <c r="C7454" s="953"/>
      <c r="D7454" s="953"/>
      <c r="E7454" s="953"/>
      <c r="F7454" s="953"/>
      <c r="G7454" s="953"/>
      <c r="H7454" s="953"/>
    </row>
    <row r="7455" spans="1:8" x14ac:dyDescent="0.25">
      <c r="A7455" s="952"/>
      <c r="B7455" s="953"/>
      <c r="C7455" s="953"/>
      <c r="D7455" s="953"/>
      <c r="E7455" s="953"/>
      <c r="F7455" s="953"/>
      <c r="G7455" s="953"/>
      <c r="H7455" s="953"/>
    </row>
    <row r="7456" spans="1:8" x14ac:dyDescent="0.25">
      <c r="A7456" s="952"/>
      <c r="B7456" s="953"/>
      <c r="C7456" s="953"/>
      <c r="D7456" s="953"/>
      <c r="E7456" s="953"/>
      <c r="F7456" s="953"/>
      <c r="G7456" s="953"/>
      <c r="H7456" s="953"/>
    </row>
    <row r="7457" spans="1:8" x14ac:dyDescent="0.25">
      <c r="A7457" s="952"/>
      <c r="B7457" s="953"/>
      <c r="C7457" s="953"/>
      <c r="D7457" s="953"/>
      <c r="E7457" s="953"/>
      <c r="F7457" s="953"/>
      <c r="G7457" s="953"/>
      <c r="H7457" s="953"/>
    </row>
    <row r="7458" spans="1:8" x14ac:dyDescent="0.25">
      <c r="A7458" s="952"/>
      <c r="B7458" s="953"/>
      <c r="C7458" s="953"/>
      <c r="D7458" s="953"/>
      <c r="E7458" s="953"/>
      <c r="F7458" s="953"/>
      <c r="G7458" s="953"/>
      <c r="H7458" s="953"/>
    </row>
    <row r="7459" spans="1:8" x14ac:dyDescent="0.25">
      <c r="A7459" s="952"/>
      <c r="B7459" s="953"/>
      <c r="C7459" s="953"/>
      <c r="D7459" s="953"/>
      <c r="E7459" s="953"/>
      <c r="F7459" s="953"/>
      <c r="G7459" s="953"/>
      <c r="H7459" s="953"/>
    </row>
    <row r="7460" spans="1:8" x14ac:dyDescent="0.25">
      <c r="A7460" s="952"/>
      <c r="B7460" s="953"/>
      <c r="C7460" s="953"/>
      <c r="D7460" s="953"/>
      <c r="E7460" s="953"/>
      <c r="F7460" s="953"/>
      <c r="G7460" s="953"/>
      <c r="H7460" s="953"/>
    </row>
    <row r="7461" spans="1:8" x14ac:dyDescent="0.25">
      <c r="A7461" s="952"/>
      <c r="B7461" s="953"/>
      <c r="C7461" s="953"/>
      <c r="D7461" s="953"/>
      <c r="E7461" s="953"/>
      <c r="F7461" s="953"/>
      <c r="G7461" s="953"/>
      <c r="H7461" s="953"/>
    </row>
    <row r="7462" spans="1:8" x14ac:dyDescent="0.25">
      <c r="A7462" s="952"/>
      <c r="B7462" s="953"/>
      <c r="C7462" s="953"/>
      <c r="D7462" s="953"/>
      <c r="E7462" s="953"/>
      <c r="F7462" s="953"/>
      <c r="G7462" s="953"/>
      <c r="H7462" s="953"/>
    </row>
    <row r="7463" spans="1:8" x14ac:dyDescent="0.25">
      <c r="A7463" s="952"/>
      <c r="B7463" s="953"/>
      <c r="C7463" s="953"/>
      <c r="D7463" s="953"/>
      <c r="E7463" s="953"/>
      <c r="F7463" s="953"/>
      <c r="G7463" s="953"/>
      <c r="H7463" s="953"/>
    </row>
    <row r="7464" spans="1:8" x14ac:dyDescent="0.25">
      <c r="A7464" s="952"/>
      <c r="B7464" s="953"/>
      <c r="C7464" s="953"/>
      <c r="D7464" s="953"/>
      <c r="E7464" s="953"/>
      <c r="F7464" s="953"/>
      <c r="G7464" s="953"/>
      <c r="H7464" s="953"/>
    </row>
    <row r="7465" spans="1:8" x14ac:dyDescent="0.25">
      <c r="A7465" s="952"/>
      <c r="B7465" s="953"/>
      <c r="C7465" s="953"/>
      <c r="D7465" s="953"/>
      <c r="E7465" s="953"/>
      <c r="F7465" s="953"/>
      <c r="G7465" s="953"/>
      <c r="H7465" s="953"/>
    </row>
    <row r="7466" spans="1:8" x14ac:dyDescent="0.25">
      <c r="A7466" s="952"/>
      <c r="B7466" s="953"/>
      <c r="C7466" s="953"/>
      <c r="D7466" s="953"/>
      <c r="E7466" s="953"/>
      <c r="F7466" s="953"/>
      <c r="G7466" s="953"/>
      <c r="H7466" s="953"/>
    </row>
    <row r="7467" spans="1:8" x14ac:dyDescent="0.25">
      <c r="A7467" s="952"/>
      <c r="B7467" s="953"/>
      <c r="C7467" s="953"/>
      <c r="D7467" s="953"/>
      <c r="E7467" s="953"/>
      <c r="F7467" s="953"/>
      <c r="G7467" s="953"/>
      <c r="H7467" s="953"/>
    </row>
    <row r="7468" spans="1:8" x14ac:dyDescent="0.25">
      <c r="A7468" s="952"/>
      <c r="B7468" s="953"/>
      <c r="C7468" s="953"/>
      <c r="D7468" s="953"/>
      <c r="E7468" s="953"/>
      <c r="F7468" s="953"/>
      <c r="G7468" s="953"/>
      <c r="H7468" s="953"/>
    </row>
    <row r="7469" spans="1:8" x14ac:dyDescent="0.25">
      <c r="A7469" s="952"/>
      <c r="B7469" s="953"/>
      <c r="C7469" s="953"/>
      <c r="D7469" s="953"/>
      <c r="E7469" s="953"/>
      <c r="F7469" s="953"/>
      <c r="G7469" s="953"/>
      <c r="H7469" s="953"/>
    </row>
    <row r="7470" spans="1:8" x14ac:dyDescent="0.25">
      <c r="A7470" s="952"/>
      <c r="B7470" s="953"/>
      <c r="C7470" s="953"/>
      <c r="D7470" s="953"/>
      <c r="E7470" s="953"/>
      <c r="F7470" s="953"/>
      <c r="G7470" s="953"/>
      <c r="H7470" s="953"/>
    </row>
    <row r="7471" spans="1:8" x14ac:dyDescent="0.25">
      <c r="A7471" s="952"/>
      <c r="B7471" s="953"/>
      <c r="C7471" s="953"/>
      <c r="D7471" s="953"/>
      <c r="E7471" s="953"/>
      <c r="F7471" s="953"/>
      <c r="G7471" s="953"/>
      <c r="H7471" s="953"/>
    </row>
    <row r="7472" spans="1:8" x14ac:dyDescent="0.25">
      <c r="A7472" s="952"/>
      <c r="B7472" s="953"/>
      <c r="C7472" s="953"/>
      <c r="D7472" s="953"/>
      <c r="E7472" s="953"/>
      <c r="F7472" s="953"/>
      <c r="G7472" s="953"/>
      <c r="H7472" s="953"/>
    </row>
    <row r="7473" spans="1:8" x14ac:dyDescent="0.25">
      <c r="A7473" s="952"/>
      <c r="B7473" s="953"/>
      <c r="C7473" s="953"/>
      <c r="D7473" s="953"/>
      <c r="E7473" s="953"/>
      <c r="F7473" s="953"/>
      <c r="G7473" s="953"/>
      <c r="H7473" s="953"/>
    </row>
    <row r="7474" spans="1:8" x14ac:dyDescent="0.25">
      <c r="A7474" s="952"/>
      <c r="B7474" s="953"/>
      <c r="C7474" s="953"/>
      <c r="D7474" s="953"/>
      <c r="E7474" s="953"/>
      <c r="F7474" s="953"/>
      <c r="G7474" s="953"/>
      <c r="H7474" s="953"/>
    </row>
    <row r="7475" spans="1:8" x14ac:dyDescent="0.25">
      <c r="A7475" s="952"/>
      <c r="B7475" s="953"/>
      <c r="C7475" s="953"/>
      <c r="D7475" s="953"/>
      <c r="E7475" s="953"/>
      <c r="F7475" s="953"/>
      <c r="G7475" s="953"/>
      <c r="H7475" s="953"/>
    </row>
    <row r="7476" spans="1:8" x14ac:dyDescent="0.25">
      <c r="A7476" s="952"/>
      <c r="B7476" s="953"/>
      <c r="C7476" s="953"/>
      <c r="D7476" s="953"/>
      <c r="E7476" s="953"/>
      <c r="F7476" s="953"/>
      <c r="G7476" s="953"/>
      <c r="H7476" s="953"/>
    </row>
    <row r="7477" spans="1:8" x14ac:dyDescent="0.25">
      <c r="A7477" s="952"/>
      <c r="B7477" s="953"/>
      <c r="C7477" s="953"/>
      <c r="D7477" s="953"/>
      <c r="E7477" s="953"/>
      <c r="F7477" s="953"/>
      <c r="G7477" s="953"/>
      <c r="H7477" s="953"/>
    </row>
    <row r="7478" spans="1:8" x14ac:dyDescent="0.25">
      <c r="A7478" s="952"/>
      <c r="B7478" s="953"/>
      <c r="C7478" s="953"/>
      <c r="D7478" s="953"/>
      <c r="E7478" s="953"/>
      <c r="F7478" s="953"/>
      <c r="G7478" s="953"/>
      <c r="H7478" s="953"/>
    </row>
    <row r="7479" spans="1:8" x14ac:dyDescent="0.25">
      <c r="A7479" s="952"/>
      <c r="B7479" s="953"/>
      <c r="C7479" s="953"/>
      <c r="D7479" s="953"/>
      <c r="E7479" s="953"/>
      <c r="F7479" s="953"/>
      <c r="G7479" s="953"/>
      <c r="H7479" s="953"/>
    </row>
    <row r="7480" spans="1:8" x14ac:dyDescent="0.25">
      <c r="A7480" s="952"/>
      <c r="B7480" s="953"/>
      <c r="C7480" s="953"/>
      <c r="D7480" s="953"/>
      <c r="E7480" s="953"/>
      <c r="F7480" s="953"/>
      <c r="G7480" s="953"/>
      <c r="H7480" s="953"/>
    </row>
    <row r="7481" spans="1:8" x14ac:dyDescent="0.25">
      <c r="A7481" s="952"/>
      <c r="B7481" s="953"/>
      <c r="C7481" s="953"/>
      <c r="D7481" s="953"/>
      <c r="E7481" s="953"/>
      <c r="F7481" s="953"/>
      <c r="G7481" s="953"/>
      <c r="H7481" s="953"/>
    </row>
    <row r="7482" spans="1:8" x14ac:dyDescent="0.25">
      <c r="A7482" s="952"/>
      <c r="B7482" s="953"/>
      <c r="C7482" s="953"/>
      <c r="D7482" s="953"/>
      <c r="E7482" s="953"/>
      <c r="F7482" s="953"/>
      <c r="G7482" s="953"/>
      <c r="H7482" s="953"/>
    </row>
    <row r="7483" spans="1:8" x14ac:dyDescent="0.25">
      <c r="A7483" s="952"/>
      <c r="B7483" s="953"/>
      <c r="C7483" s="953"/>
      <c r="D7483" s="953"/>
      <c r="E7483" s="953"/>
      <c r="F7483" s="953"/>
      <c r="G7483" s="953"/>
      <c r="H7483" s="953"/>
    </row>
    <row r="7484" spans="1:8" x14ac:dyDescent="0.25">
      <c r="A7484" s="952"/>
      <c r="B7484" s="953"/>
      <c r="C7484" s="953"/>
      <c r="D7484" s="953"/>
      <c r="E7484" s="953"/>
      <c r="F7484" s="953"/>
      <c r="G7484" s="953"/>
      <c r="H7484" s="953"/>
    </row>
    <row r="7485" spans="1:8" x14ac:dyDescent="0.25">
      <c r="A7485" s="952"/>
      <c r="B7485" s="953"/>
      <c r="C7485" s="953"/>
      <c r="D7485" s="953"/>
      <c r="E7485" s="953"/>
      <c r="F7485" s="953"/>
      <c r="G7485" s="953"/>
      <c r="H7485" s="953"/>
    </row>
    <row r="7486" spans="1:8" x14ac:dyDescent="0.25">
      <c r="A7486" s="952"/>
      <c r="B7486" s="953"/>
      <c r="C7486" s="953"/>
      <c r="D7486" s="953"/>
      <c r="E7486" s="953"/>
      <c r="F7486" s="953"/>
      <c r="G7486" s="953"/>
      <c r="H7486" s="953"/>
    </row>
    <row r="7487" spans="1:8" x14ac:dyDescent="0.25">
      <c r="A7487" s="952"/>
      <c r="B7487" s="953"/>
      <c r="C7487" s="953"/>
      <c r="D7487" s="953"/>
      <c r="E7487" s="953"/>
      <c r="F7487" s="953"/>
      <c r="G7487" s="953"/>
      <c r="H7487" s="953"/>
    </row>
    <row r="7488" spans="1:8" x14ac:dyDescent="0.25">
      <c r="A7488" s="952"/>
      <c r="B7488" s="953"/>
      <c r="C7488" s="953"/>
      <c r="D7488" s="953"/>
      <c r="E7488" s="953"/>
      <c r="F7488" s="953"/>
      <c r="G7488" s="953"/>
      <c r="H7488" s="953"/>
    </row>
    <row r="7489" spans="1:8" x14ac:dyDescent="0.25">
      <c r="A7489" s="952"/>
      <c r="B7489" s="953"/>
      <c r="C7489" s="953"/>
      <c r="D7489" s="953"/>
      <c r="E7489" s="953"/>
      <c r="F7489" s="953"/>
      <c r="G7489" s="953"/>
      <c r="H7489" s="953"/>
    </row>
    <row r="7490" spans="1:8" x14ac:dyDescent="0.25">
      <c r="A7490" s="952"/>
      <c r="B7490" s="953"/>
      <c r="C7490" s="953"/>
      <c r="D7490" s="953"/>
      <c r="E7490" s="953"/>
      <c r="F7490" s="953"/>
      <c r="G7490" s="953"/>
      <c r="H7490" s="953"/>
    </row>
    <row r="7491" spans="1:8" x14ac:dyDescent="0.25">
      <c r="A7491" s="952"/>
      <c r="B7491" s="953"/>
      <c r="C7491" s="953"/>
      <c r="D7491" s="953"/>
      <c r="E7491" s="953"/>
      <c r="F7491" s="953"/>
      <c r="G7491" s="953"/>
      <c r="H7491" s="953"/>
    </row>
    <row r="7492" spans="1:8" x14ac:dyDescent="0.25">
      <c r="A7492" s="952"/>
      <c r="B7492" s="953"/>
      <c r="C7492" s="953"/>
      <c r="D7492" s="953"/>
      <c r="E7492" s="953"/>
      <c r="F7492" s="953"/>
      <c r="G7492" s="953"/>
      <c r="H7492" s="953"/>
    </row>
    <row r="7493" spans="1:8" x14ac:dyDescent="0.25">
      <c r="A7493" s="952"/>
      <c r="B7493" s="953"/>
      <c r="C7493" s="953"/>
      <c r="D7493" s="953"/>
      <c r="E7493" s="953"/>
      <c r="F7493" s="953"/>
      <c r="G7493" s="953"/>
      <c r="H7493" s="953"/>
    </row>
    <row r="7494" spans="1:8" x14ac:dyDescent="0.25">
      <c r="A7494" s="952"/>
      <c r="B7494" s="953"/>
      <c r="C7494" s="953"/>
      <c r="D7494" s="953"/>
      <c r="E7494" s="953"/>
      <c r="F7494" s="953"/>
      <c r="G7494" s="953"/>
      <c r="H7494" s="953"/>
    </row>
    <row r="7495" spans="1:8" x14ac:dyDescent="0.25">
      <c r="A7495" s="952"/>
      <c r="B7495" s="953"/>
      <c r="C7495" s="953"/>
      <c r="D7495" s="953"/>
      <c r="E7495" s="953"/>
      <c r="F7495" s="953"/>
      <c r="G7495" s="953"/>
      <c r="H7495" s="953"/>
    </row>
    <row r="7496" spans="1:8" x14ac:dyDescent="0.25">
      <c r="A7496" s="952"/>
      <c r="B7496" s="953"/>
      <c r="C7496" s="953"/>
      <c r="D7496" s="953"/>
      <c r="E7496" s="953"/>
      <c r="F7496" s="953"/>
      <c r="G7496" s="953"/>
      <c r="H7496" s="953"/>
    </row>
    <row r="7497" spans="1:8" x14ac:dyDescent="0.25">
      <c r="A7497" s="952"/>
      <c r="B7497" s="953"/>
      <c r="C7497" s="953"/>
      <c r="D7497" s="953"/>
      <c r="E7497" s="953"/>
      <c r="F7497" s="953"/>
      <c r="G7497" s="953"/>
      <c r="H7497" s="953"/>
    </row>
    <row r="7498" spans="1:8" x14ac:dyDescent="0.25">
      <c r="A7498" s="952"/>
      <c r="B7498" s="953"/>
      <c r="C7498" s="953"/>
      <c r="D7498" s="953"/>
      <c r="E7498" s="953"/>
      <c r="F7498" s="953"/>
      <c r="G7498" s="953"/>
      <c r="H7498" s="953"/>
    </row>
    <row r="7499" spans="1:8" x14ac:dyDescent="0.25">
      <c r="A7499" s="952"/>
      <c r="B7499" s="953"/>
      <c r="C7499" s="953"/>
      <c r="D7499" s="953"/>
      <c r="E7499" s="953"/>
      <c r="F7499" s="953"/>
      <c r="G7499" s="953"/>
      <c r="H7499" s="953"/>
    </row>
    <row r="7500" spans="1:8" x14ac:dyDescent="0.25">
      <c r="A7500" s="952"/>
      <c r="B7500" s="953"/>
      <c r="C7500" s="953"/>
      <c r="D7500" s="953"/>
      <c r="E7500" s="953"/>
      <c r="F7500" s="953"/>
      <c r="G7500" s="953"/>
      <c r="H7500" s="953"/>
    </row>
    <row r="7501" spans="1:8" x14ac:dyDescent="0.25">
      <c r="A7501" s="952"/>
      <c r="B7501" s="953"/>
      <c r="C7501" s="953"/>
      <c r="D7501" s="953"/>
      <c r="E7501" s="953"/>
      <c r="F7501" s="953"/>
      <c r="G7501" s="953"/>
      <c r="H7501" s="953"/>
    </row>
    <row r="7502" spans="1:8" x14ac:dyDescent="0.25">
      <c r="A7502" s="952"/>
      <c r="B7502" s="953"/>
      <c r="C7502" s="953"/>
      <c r="D7502" s="953"/>
      <c r="E7502" s="953"/>
      <c r="F7502" s="953"/>
      <c r="G7502" s="953"/>
      <c r="H7502" s="953"/>
    </row>
    <row r="7503" spans="1:8" x14ac:dyDescent="0.25">
      <c r="A7503" s="952"/>
      <c r="B7503" s="953"/>
      <c r="C7503" s="953"/>
      <c r="D7503" s="953"/>
      <c r="E7503" s="953"/>
      <c r="F7503" s="953"/>
      <c r="G7503" s="953"/>
      <c r="H7503" s="953"/>
    </row>
    <row r="7504" spans="1:8" x14ac:dyDescent="0.25">
      <c r="A7504" s="952"/>
      <c r="B7504" s="953"/>
      <c r="C7504" s="953"/>
      <c r="D7504" s="953"/>
      <c r="E7504" s="953"/>
      <c r="F7504" s="953"/>
      <c r="G7504" s="953"/>
      <c r="H7504" s="953"/>
    </row>
    <row r="7505" spans="1:8" x14ac:dyDescent="0.25">
      <c r="A7505" s="952"/>
      <c r="B7505" s="953"/>
      <c r="C7505" s="953"/>
      <c r="D7505" s="953"/>
      <c r="E7505" s="953"/>
      <c r="F7505" s="953"/>
      <c r="G7505" s="953"/>
      <c r="H7505" s="953"/>
    </row>
    <row r="7506" spans="1:8" x14ac:dyDescent="0.25">
      <c r="A7506" s="952"/>
      <c r="B7506" s="953"/>
      <c r="C7506" s="953"/>
      <c r="D7506" s="953"/>
      <c r="E7506" s="953"/>
      <c r="F7506" s="953"/>
      <c r="G7506" s="953"/>
      <c r="H7506" s="953"/>
    </row>
    <row r="7507" spans="1:8" x14ac:dyDescent="0.25">
      <c r="A7507" s="952"/>
      <c r="B7507" s="953"/>
      <c r="C7507" s="953"/>
      <c r="D7507" s="953"/>
      <c r="E7507" s="953"/>
      <c r="F7507" s="953"/>
      <c r="G7507" s="953"/>
      <c r="H7507" s="953"/>
    </row>
    <row r="7508" spans="1:8" x14ac:dyDescent="0.25">
      <c r="A7508" s="952"/>
      <c r="B7508" s="953"/>
      <c r="C7508" s="953"/>
      <c r="D7508" s="953"/>
      <c r="E7508" s="953"/>
      <c r="F7508" s="953"/>
      <c r="G7508" s="953"/>
      <c r="H7508" s="953"/>
    </row>
    <row r="7509" spans="1:8" x14ac:dyDescent="0.25">
      <c r="A7509" s="952"/>
      <c r="B7509" s="953"/>
      <c r="C7509" s="953"/>
      <c r="D7509" s="953"/>
      <c r="E7509" s="953"/>
      <c r="F7509" s="953"/>
      <c r="G7509" s="953"/>
      <c r="H7509" s="953"/>
    </row>
    <row r="7510" spans="1:8" x14ac:dyDescent="0.25">
      <c r="A7510" s="952"/>
      <c r="B7510" s="953"/>
      <c r="C7510" s="953"/>
      <c r="D7510" s="953"/>
      <c r="E7510" s="953"/>
      <c r="F7510" s="953"/>
      <c r="G7510" s="953"/>
      <c r="H7510" s="953"/>
    </row>
    <row r="7511" spans="1:8" x14ac:dyDescent="0.25">
      <c r="A7511" s="952"/>
      <c r="B7511" s="953"/>
      <c r="C7511" s="953"/>
      <c r="D7511" s="953"/>
      <c r="E7511" s="953"/>
      <c r="F7511" s="953"/>
      <c r="G7511" s="953"/>
      <c r="H7511" s="953"/>
    </row>
    <row r="7512" spans="1:8" x14ac:dyDescent="0.25">
      <c r="A7512" s="952"/>
      <c r="B7512" s="953"/>
      <c r="C7512" s="953"/>
      <c r="D7512" s="953"/>
      <c r="E7512" s="953"/>
      <c r="F7512" s="953"/>
      <c r="G7512" s="953"/>
      <c r="H7512" s="953"/>
    </row>
    <row r="7513" spans="1:8" x14ac:dyDescent="0.25">
      <c r="A7513" s="952"/>
      <c r="B7513" s="953"/>
      <c r="C7513" s="953"/>
      <c r="D7513" s="953"/>
      <c r="E7513" s="953"/>
      <c r="F7513" s="953"/>
      <c r="G7513" s="953"/>
      <c r="H7513" s="953"/>
    </row>
    <row r="7514" spans="1:8" x14ac:dyDescent="0.25">
      <c r="A7514" s="952"/>
      <c r="B7514" s="953"/>
      <c r="C7514" s="953"/>
      <c r="D7514" s="953"/>
      <c r="E7514" s="953"/>
      <c r="F7514" s="953"/>
      <c r="G7514" s="953"/>
      <c r="H7514" s="953"/>
    </row>
    <row r="7515" spans="1:8" x14ac:dyDescent="0.25">
      <c r="A7515" s="952"/>
      <c r="B7515" s="953"/>
      <c r="C7515" s="953"/>
      <c r="D7515" s="953"/>
      <c r="E7515" s="953"/>
      <c r="F7515" s="953"/>
      <c r="G7515" s="953"/>
      <c r="H7515" s="953"/>
    </row>
    <row r="7516" spans="1:8" x14ac:dyDescent="0.25">
      <c r="A7516" s="952"/>
      <c r="B7516" s="953"/>
      <c r="C7516" s="953"/>
      <c r="D7516" s="953"/>
      <c r="E7516" s="953"/>
      <c r="F7516" s="953"/>
      <c r="G7516" s="953"/>
      <c r="H7516" s="953"/>
    </row>
    <row r="7517" spans="1:8" x14ac:dyDescent="0.25">
      <c r="A7517" s="952"/>
      <c r="B7517" s="953"/>
      <c r="C7517" s="953"/>
      <c r="D7517" s="953"/>
      <c r="E7517" s="953"/>
      <c r="F7517" s="953"/>
      <c r="G7517" s="953"/>
      <c r="H7517" s="953"/>
    </row>
    <row r="7518" spans="1:8" x14ac:dyDescent="0.25">
      <c r="A7518" s="952"/>
      <c r="B7518" s="953"/>
      <c r="C7518" s="953"/>
      <c r="D7518" s="953"/>
      <c r="E7518" s="953"/>
      <c r="F7518" s="953"/>
      <c r="G7518" s="953"/>
      <c r="H7518" s="953"/>
    </row>
    <row r="7519" spans="1:8" x14ac:dyDescent="0.25">
      <c r="A7519" s="952"/>
      <c r="B7519" s="953"/>
      <c r="C7519" s="953"/>
      <c r="D7519" s="953"/>
      <c r="E7519" s="953"/>
      <c r="F7519" s="953"/>
      <c r="G7519" s="953"/>
      <c r="H7519" s="953"/>
    </row>
    <row r="7520" spans="1:8" x14ac:dyDescent="0.25">
      <c r="A7520" s="952"/>
      <c r="B7520" s="953"/>
      <c r="C7520" s="953"/>
      <c r="D7520" s="953"/>
      <c r="E7520" s="953"/>
      <c r="F7520" s="953"/>
      <c r="G7520" s="953"/>
      <c r="H7520" s="953"/>
    </row>
    <row r="7521" spans="1:8" x14ac:dyDescent="0.25">
      <c r="A7521" s="952"/>
      <c r="B7521" s="953"/>
      <c r="C7521" s="953"/>
      <c r="D7521" s="953"/>
      <c r="E7521" s="953"/>
      <c r="F7521" s="953"/>
      <c r="G7521" s="953"/>
      <c r="H7521" s="953"/>
    </row>
    <row r="7522" spans="1:8" x14ac:dyDescent="0.25">
      <c r="A7522" s="952"/>
      <c r="B7522" s="953"/>
      <c r="C7522" s="953"/>
      <c r="D7522" s="953"/>
      <c r="E7522" s="953"/>
      <c r="F7522" s="953"/>
      <c r="G7522" s="953"/>
      <c r="H7522" s="953"/>
    </row>
    <row r="7523" spans="1:8" x14ac:dyDescent="0.25">
      <c r="A7523" s="952"/>
      <c r="B7523" s="953"/>
      <c r="C7523" s="953"/>
      <c r="D7523" s="953"/>
      <c r="E7523" s="953"/>
      <c r="F7523" s="953"/>
      <c r="G7523" s="953"/>
      <c r="H7523" s="953"/>
    </row>
    <row r="7524" spans="1:8" x14ac:dyDescent="0.25">
      <c r="A7524" s="952"/>
      <c r="B7524" s="953"/>
      <c r="C7524" s="953"/>
      <c r="D7524" s="953"/>
      <c r="E7524" s="953"/>
      <c r="F7524" s="953"/>
      <c r="G7524" s="953"/>
      <c r="H7524" s="953"/>
    </row>
    <row r="7525" spans="1:8" x14ac:dyDescent="0.25">
      <c r="A7525" s="952"/>
      <c r="B7525" s="953"/>
      <c r="C7525" s="953"/>
      <c r="D7525" s="953"/>
      <c r="E7525" s="953"/>
      <c r="F7525" s="953"/>
      <c r="G7525" s="953"/>
      <c r="H7525" s="953"/>
    </row>
    <row r="7526" spans="1:8" x14ac:dyDescent="0.25">
      <c r="A7526" s="952"/>
      <c r="B7526" s="953"/>
      <c r="C7526" s="953"/>
      <c r="D7526" s="953"/>
      <c r="E7526" s="953"/>
      <c r="F7526" s="953"/>
      <c r="G7526" s="953"/>
      <c r="H7526" s="953"/>
    </row>
    <row r="7527" spans="1:8" x14ac:dyDescent="0.25">
      <c r="A7527" s="952"/>
      <c r="B7527" s="953"/>
      <c r="C7527" s="953"/>
      <c r="D7527" s="953"/>
      <c r="E7527" s="953"/>
      <c r="F7527" s="953"/>
      <c r="G7527" s="953"/>
      <c r="H7527" s="953"/>
    </row>
    <row r="7528" spans="1:8" x14ac:dyDescent="0.25">
      <c r="A7528" s="952"/>
      <c r="B7528" s="953"/>
      <c r="C7528" s="953"/>
      <c r="D7528" s="953"/>
      <c r="E7528" s="953"/>
      <c r="F7528" s="953"/>
      <c r="G7528" s="953"/>
      <c r="H7528" s="953"/>
    </row>
    <row r="7529" spans="1:8" x14ac:dyDescent="0.25">
      <c r="A7529" s="952"/>
      <c r="B7529" s="953"/>
      <c r="C7529" s="953"/>
      <c r="D7529" s="953"/>
      <c r="E7529" s="953"/>
      <c r="F7529" s="953"/>
      <c r="G7529" s="953"/>
      <c r="H7529" s="953"/>
    </row>
    <row r="7530" spans="1:8" x14ac:dyDescent="0.25">
      <c r="A7530" s="952"/>
      <c r="B7530" s="953"/>
      <c r="C7530" s="953"/>
      <c r="D7530" s="953"/>
      <c r="E7530" s="953"/>
      <c r="F7530" s="953"/>
      <c r="G7530" s="953"/>
      <c r="H7530" s="953"/>
    </row>
    <row r="7531" spans="1:8" x14ac:dyDescent="0.25">
      <c r="A7531" s="952"/>
      <c r="B7531" s="953"/>
      <c r="C7531" s="953"/>
      <c r="D7531" s="953"/>
      <c r="E7531" s="953"/>
      <c r="F7531" s="953"/>
      <c r="G7531" s="953"/>
      <c r="H7531" s="953"/>
    </row>
    <row r="7532" spans="1:8" x14ac:dyDescent="0.25">
      <c r="A7532" s="952"/>
      <c r="B7532" s="953"/>
      <c r="C7532" s="953"/>
      <c r="D7532" s="953"/>
      <c r="E7532" s="953"/>
      <c r="F7532" s="953"/>
      <c r="G7532" s="953"/>
      <c r="H7532" s="953"/>
    </row>
    <row r="7533" spans="1:8" x14ac:dyDescent="0.25">
      <c r="A7533" s="952"/>
      <c r="B7533" s="953"/>
      <c r="C7533" s="953"/>
      <c r="D7533" s="953"/>
      <c r="E7533" s="953"/>
      <c r="F7533" s="953"/>
      <c r="G7533" s="953"/>
      <c r="H7533" s="953"/>
    </row>
    <row r="7534" spans="1:8" x14ac:dyDescent="0.25">
      <c r="A7534" s="952"/>
      <c r="B7534" s="953"/>
      <c r="C7534" s="953"/>
      <c r="D7534" s="953"/>
      <c r="E7534" s="953"/>
      <c r="F7534" s="953"/>
      <c r="G7534" s="953"/>
      <c r="H7534" s="953"/>
    </row>
    <row r="7535" spans="1:8" x14ac:dyDescent="0.25">
      <c r="A7535" s="952"/>
      <c r="B7535" s="953"/>
      <c r="C7535" s="953"/>
      <c r="D7535" s="953"/>
      <c r="E7535" s="953"/>
      <c r="F7535" s="953"/>
      <c r="G7535" s="953"/>
      <c r="H7535" s="953"/>
    </row>
    <row r="7536" spans="1:8" x14ac:dyDescent="0.25">
      <c r="A7536" s="952"/>
      <c r="B7536" s="953"/>
      <c r="C7536" s="953"/>
      <c r="D7536" s="953"/>
      <c r="E7536" s="953"/>
      <c r="F7536" s="953"/>
      <c r="G7536" s="953"/>
      <c r="H7536" s="953"/>
    </row>
    <row r="7537" spans="1:8" x14ac:dyDescent="0.25">
      <c r="A7537" s="952"/>
      <c r="B7537" s="953"/>
      <c r="C7537" s="953"/>
      <c r="D7537" s="953"/>
      <c r="E7537" s="953"/>
      <c r="F7537" s="953"/>
      <c r="G7537" s="953"/>
      <c r="H7537" s="953"/>
    </row>
    <row r="7538" spans="1:8" x14ac:dyDescent="0.25">
      <c r="A7538" s="952"/>
      <c r="B7538" s="953"/>
      <c r="C7538" s="953"/>
      <c r="D7538" s="953"/>
      <c r="E7538" s="953"/>
      <c r="F7538" s="953"/>
      <c r="G7538" s="953"/>
      <c r="H7538" s="953"/>
    </row>
    <row r="7539" spans="1:8" x14ac:dyDescent="0.25">
      <c r="A7539" s="952"/>
      <c r="B7539" s="953"/>
      <c r="C7539" s="953"/>
      <c r="D7539" s="953"/>
      <c r="E7539" s="953"/>
      <c r="F7539" s="953"/>
      <c r="G7539" s="953"/>
      <c r="H7539" s="953"/>
    </row>
    <row r="7540" spans="1:8" x14ac:dyDescent="0.25">
      <c r="A7540" s="952"/>
      <c r="B7540" s="953"/>
      <c r="C7540" s="953"/>
      <c r="D7540" s="953"/>
      <c r="E7540" s="953"/>
      <c r="F7540" s="953"/>
      <c r="G7540" s="953"/>
      <c r="H7540" s="953"/>
    </row>
    <row r="7541" spans="1:8" x14ac:dyDescent="0.25">
      <c r="A7541" s="952"/>
      <c r="B7541" s="953"/>
      <c r="C7541" s="953"/>
      <c r="D7541" s="953"/>
      <c r="E7541" s="953"/>
      <c r="F7541" s="953"/>
      <c r="G7541" s="953"/>
      <c r="H7541" s="953"/>
    </row>
    <row r="7542" spans="1:8" x14ac:dyDescent="0.25">
      <c r="A7542" s="952"/>
      <c r="B7542" s="953"/>
      <c r="C7542" s="953"/>
      <c r="D7542" s="953"/>
      <c r="E7542" s="953"/>
      <c r="F7542" s="953"/>
      <c r="G7542" s="953"/>
      <c r="H7542" s="953"/>
    </row>
    <row r="7543" spans="1:8" x14ac:dyDescent="0.25">
      <c r="A7543" s="952"/>
      <c r="B7543" s="953"/>
      <c r="C7543" s="953"/>
      <c r="D7543" s="953"/>
      <c r="E7543" s="953"/>
      <c r="F7543" s="953"/>
      <c r="G7543" s="953"/>
      <c r="H7543" s="953"/>
    </row>
    <row r="7544" spans="1:8" x14ac:dyDescent="0.25">
      <c r="A7544" s="952"/>
      <c r="B7544" s="953"/>
      <c r="C7544" s="953"/>
      <c r="D7544" s="953"/>
      <c r="E7544" s="953"/>
      <c r="F7544" s="953"/>
      <c r="G7544" s="953"/>
      <c r="H7544" s="953"/>
    </row>
    <row r="7545" spans="1:8" x14ac:dyDescent="0.25">
      <c r="A7545" s="952"/>
      <c r="B7545" s="953"/>
      <c r="C7545" s="953"/>
      <c r="D7545" s="953"/>
      <c r="E7545" s="953"/>
      <c r="F7545" s="953"/>
      <c r="G7545" s="953"/>
      <c r="H7545" s="953"/>
    </row>
    <row r="7546" spans="1:8" x14ac:dyDescent="0.25">
      <c r="A7546" s="952"/>
      <c r="B7546" s="953"/>
      <c r="C7546" s="953"/>
      <c r="D7546" s="953"/>
      <c r="E7546" s="953"/>
      <c r="F7546" s="953"/>
      <c r="G7546" s="953"/>
      <c r="H7546" s="953"/>
    </row>
    <row r="7547" spans="1:8" x14ac:dyDescent="0.25">
      <c r="A7547" s="952"/>
      <c r="B7547" s="953"/>
      <c r="C7547" s="953"/>
      <c r="D7547" s="953"/>
      <c r="E7547" s="953"/>
      <c r="F7547" s="953"/>
      <c r="G7547" s="953"/>
      <c r="H7547" s="953"/>
    </row>
    <row r="7548" spans="1:8" x14ac:dyDescent="0.25">
      <c r="A7548" s="952"/>
      <c r="B7548" s="953"/>
      <c r="C7548" s="953"/>
      <c r="D7548" s="953"/>
      <c r="E7548" s="953"/>
      <c r="F7548" s="953"/>
      <c r="G7548" s="953"/>
      <c r="H7548" s="953"/>
    </row>
    <row r="7549" spans="1:8" x14ac:dyDescent="0.25">
      <c r="A7549" s="952"/>
      <c r="B7549" s="953"/>
      <c r="C7549" s="953"/>
      <c r="D7549" s="953"/>
      <c r="E7549" s="953"/>
      <c r="F7549" s="953"/>
      <c r="G7549" s="953"/>
      <c r="H7549" s="953"/>
    </row>
    <row r="7550" spans="1:8" x14ac:dyDescent="0.25">
      <c r="A7550" s="952"/>
      <c r="B7550" s="953"/>
      <c r="C7550" s="953"/>
      <c r="D7550" s="953"/>
      <c r="E7550" s="953"/>
      <c r="F7550" s="953"/>
      <c r="G7550" s="953"/>
      <c r="H7550" s="953"/>
    </row>
    <row r="7551" spans="1:8" x14ac:dyDescent="0.25">
      <c r="A7551" s="952"/>
      <c r="B7551" s="953"/>
      <c r="C7551" s="953"/>
      <c r="D7551" s="953"/>
      <c r="E7551" s="953"/>
      <c r="F7551" s="953"/>
      <c r="G7551" s="953"/>
      <c r="H7551" s="953"/>
    </row>
    <row r="7552" spans="1:8" x14ac:dyDescent="0.25">
      <c r="A7552" s="952"/>
      <c r="B7552" s="953"/>
      <c r="C7552" s="953"/>
      <c r="D7552" s="953"/>
      <c r="E7552" s="953"/>
      <c r="F7552" s="953"/>
      <c r="G7552" s="953"/>
      <c r="H7552" s="953"/>
    </row>
    <row r="7553" spans="1:8" x14ac:dyDescent="0.25">
      <c r="A7553" s="952"/>
      <c r="B7553" s="953"/>
      <c r="C7553" s="953"/>
      <c r="D7553" s="953"/>
      <c r="E7553" s="953"/>
      <c r="F7553" s="953"/>
      <c r="G7553" s="953"/>
      <c r="H7553" s="953"/>
    </row>
    <row r="7554" spans="1:8" x14ac:dyDescent="0.25">
      <c r="A7554" s="952"/>
      <c r="B7554" s="953"/>
      <c r="C7554" s="953"/>
      <c r="D7554" s="953"/>
      <c r="E7554" s="953"/>
      <c r="F7554" s="953"/>
      <c r="G7554" s="953"/>
      <c r="H7554" s="953"/>
    </row>
    <row r="7555" spans="1:8" x14ac:dyDescent="0.25">
      <c r="A7555" s="952"/>
      <c r="B7555" s="953"/>
      <c r="C7555" s="953"/>
      <c r="D7555" s="953"/>
      <c r="E7555" s="953"/>
      <c r="F7555" s="953"/>
      <c r="G7555" s="953"/>
      <c r="H7555" s="953"/>
    </row>
    <row r="7556" spans="1:8" x14ac:dyDescent="0.25">
      <c r="A7556" s="952"/>
      <c r="B7556" s="953"/>
      <c r="C7556" s="953"/>
      <c r="D7556" s="953"/>
      <c r="E7556" s="953"/>
      <c r="F7556" s="953"/>
      <c r="G7556" s="953"/>
      <c r="H7556" s="953"/>
    </row>
    <row r="7557" spans="1:8" x14ac:dyDescent="0.25">
      <c r="A7557" s="952"/>
      <c r="B7557" s="953"/>
      <c r="C7557" s="953"/>
      <c r="D7557" s="953"/>
      <c r="E7557" s="953"/>
      <c r="F7557" s="953"/>
      <c r="G7557" s="953"/>
      <c r="H7557" s="953"/>
    </row>
    <row r="7558" spans="1:8" x14ac:dyDescent="0.25">
      <c r="A7558" s="952"/>
      <c r="B7558" s="953"/>
      <c r="C7558" s="953"/>
      <c r="D7558" s="953"/>
      <c r="E7558" s="953"/>
      <c r="F7558" s="953"/>
      <c r="G7558" s="953"/>
      <c r="H7558" s="953"/>
    </row>
    <row r="7559" spans="1:8" x14ac:dyDescent="0.25">
      <c r="A7559" s="952"/>
      <c r="B7559" s="953"/>
      <c r="C7559" s="953"/>
      <c r="D7559" s="953"/>
      <c r="E7559" s="953"/>
      <c r="F7559" s="953"/>
      <c r="G7559" s="953"/>
      <c r="H7559" s="953"/>
    </row>
    <row r="7560" spans="1:8" x14ac:dyDescent="0.25">
      <c r="A7560" s="952"/>
      <c r="B7560" s="953"/>
      <c r="C7560" s="953"/>
      <c r="D7560" s="953"/>
      <c r="E7560" s="953"/>
      <c r="F7560" s="953"/>
      <c r="G7560" s="953"/>
      <c r="H7560" s="953"/>
    </row>
    <row r="7561" spans="1:8" x14ac:dyDescent="0.25">
      <c r="A7561" s="952"/>
      <c r="B7561" s="953"/>
      <c r="C7561" s="953"/>
      <c r="D7561" s="953"/>
      <c r="E7561" s="953"/>
      <c r="F7561" s="953"/>
      <c r="G7561" s="953"/>
      <c r="H7561" s="953"/>
    </row>
    <row r="7562" spans="1:8" x14ac:dyDescent="0.25">
      <c r="A7562" s="952"/>
      <c r="B7562" s="953"/>
      <c r="C7562" s="953"/>
      <c r="D7562" s="953"/>
      <c r="E7562" s="953"/>
      <c r="F7562" s="953"/>
      <c r="G7562" s="953"/>
      <c r="H7562" s="953"/>
    </row>
    <row r="7563" spans="1:8" x14ac:dyDescent="0.25">
      <c r="A7563" s="952"/>
      <c r="B7563" s="953"/>
      <c r="C7563" s="953"/>
      <c r="D7563" s="953"/>
      <c r="E7563" s="953"/>
      <c r="F7563" s="953"/>
      <c r="G7563" s="953"/>
      <c r="H7563" s="953"/>
    </row>
    <row r="7564" spans="1:8" x14ac:dyDescent="0.25">
      <c r="A7564" s="952"/>
      <c r="B7564" s="953"/>
      <c r="C7564" s="953"/>
      <c r="D7564" s="953"/>
      <c r="E7564" s="953"/>
      <c r="F7564" s="953"/>
      <c r="G7564" s="953"/>
      <c r="H7564" s="953"/>
    </row>
    <row r="7565" spans="1:8" x14ac:dyDescent="0.25">
      <c r="A7565" s="952"/>
      <c r="B7565" s="953"/>
      <c r="C7565" s="953"/>
      <c r="D7565" s="953"/>
      <c r="E7565" s="953"/>
      <c r="F7565" s="953"/>
      <c r="G7565" s="953"/>
      <c r="H7565" s="953"/>
    </row>
    <row r="7566" spans="1:8" x14ac:dyDescent="0.25">
      <c r="A7566" s="952"/>
      <c r="B7566" s="953"/>
      <c r="C7566" s="953"/>
      <c r="D7566" s="953"/>
      <c r="E7566" s="953"/>
      <c r="F7566" s="953"/>
      <c r="G7566" s="953"/>
      <c r="H7566" s="953"/>
    </row>
    <row r="7567" spans="1:8" x14ac:dyDescent="0.25">
      <c r="A7567" s="952"/>
      <c r="B7567" s="953"/>
      <c r="C7567" s="953"/>
      <c r="D7567" s="953"/>
      <c r="E7567" s="953"/>
      <c r="F7567" s="953"/>
      <c r="G7567" s="953"/>
      <c r="H7567" s="953"/>
    </row>
    <row r="7568" spans="1:8" x14ac:dyDescent="0.25">
      <c r="A7568" s="952"/>
      <c r="B7568" s="953"/>
      <c r="C7568" s="953"/>
      <c r="D7568" s="953"/>
      <c r="E7568" s="953"/>
      <c r="F7568" s="953"/>
      <c r="G7568" s="953"/>
      <c r="H7568" s="953"/>
    </row>
    <row r="7569" spans="1:8" x14ac:dyDescent="0.25">
      <c r="A7569" s="952"/>
      <c r="B7569" s="953"/>
      <c r="C7569" s="953"/>
      <c r="D7569" s="953"/>
      <c r="E7569" s="953"/>
      <c r="F7569" s="953"/>
      <c r="G7569" s="953"/>
      <c r="H7569" s="953"/>
    </row>
    <row r="7570" spans="1:8" x14ac:dyDescent="0.25">
      <c r="A7570" s="952"/>
      <c r="B7570" s="953"/>
      <c r="C7570" s="953"/>
      <c r="D7570" s="953"/>
      <c r="E7570" s="953"/>
      <c r="F7570" s="953"/>
      <c r="G7570" s="953"/>
      <c r="H7570" s="953"/>
    </row>
    <row r="7571" spans="1:8" x14ac:dyDescent="0.25">
      <c r="A7571" s="952"/>
      <c r="B7571" s="953"/>
      <c r="C7571" s="953"/>
      <c r="D7571" s="953"/>
      <c r="E7571" s="953"/>
      <c r="F7571" s="953"/>
      <c r="G7571" s="953"/>
      <c r="H7571" s="953"/>
    </row>
    <row r="7572" spans="1:8" x14ac:dyDescent="0.25">
      <c r="A7572" s="952"/>
      <c r="B7572" s="953"/>
      <c r="C7572" s="953"/>
      <c r="D7572" s="953"/>
      <c r="E7572" s="953"/>
      <c r="F7572" s="953"/>
      <c r="G7572" s="953"/>
      <c r="H7572" s="953"/>
    </row>
    <row r="7573" spans="1:8" x14ac:dyDescent="0.25">
      <c r="A7573" s="952"/>
      <c r="B7573" s="953"/>
      <c r="C7573" s="953"/>
      <c r="D7573" s="953"/>
      <c r="E7573" s="953"/>
      <c r="F7573" s="953"/>
      <c r="G7573" s="953"/>
      <c r="H7573" s="953"/>
    </row>
    <row r="7574" spans="1:8" x14ac:dyDescent="0.25">
      <c r="A7574" s="952"/>
      <c r="B7574" s="953"/>
      <c r="C7574" s="953"/>
      <c r="D7574" s="953"/>
      <c r="E7574" s="953"/>
      <c r="F7574" s="953"/>
      <c r="G7574" s="953"/>
      <c r="H7574" s="953"/>
    </row>
    <row r="7575" spans="1:8" x14ac:dyDescent="0.25">
      <c r="A7575" s="952"/>
      <c r="B7575" s="953"/>
      <c r="C7575" s="953"/>
      <c r="D7575" s="953"/>
      <c r="E7575" s="953"/>
      <c r="F7575" s="953"/>
      <c r="G7575" s="953"/>
      <c r="H7575" s="953"/>
    </row>
    <row r="7576" spans="1:8" x14ac:dyDescent="0.25">
      <c r="A7576" s="952"/>
      <c r="B7576" s="953"/>
      <c r="C7576" s="953"/>
      <c r="D7576" s="953"/>
      <c r="E7576" s="953"/>
      <c r="F7576" s="953"/>
      <c r="G7576" s="953"/>
      <c r="H7576" s="953"/>
    </row>
    <row r="7577" spans="1:8" x14ac:dyDescent="0.25">
      <c r="A7577" s="952"/>
      <c r="B7577" s="953"/>
      <c r="C7577" s="953"/>
      <c r="D7577" s="953"/>
      <c r="E7577" s="953"/>
      <c r="F7577" s="953"/>
      <c r="G7577" s="953"/>
      <c r="H7577" s="953"/>
    </row>
    <row r="7578" spans="1:8" x14ac:dyDescent="0.25">
      <c r="A7578" s="952"/>
      <c r="B7578" s="953"/>
      <c r="C7578" s="953"/>
      <c r="D7578" s="953"/>
      <c r="E7578" s="953"/>
      <c r="F7578" s="953"/>
      <c r="G7578" s="953"/>
      <c r="H7578" s="953"/>
    </row>
    <row r="7579" spans="1:8" x14ac:dyDescent="0.25">
      <c r="A7579" s="952"/>
      <c r="B7579" s="953"/>
      <c r="C7579" s="953"/>
      <c r="D7579" s="953"/>
      <c r="E7579" s="953"/>
      <c r="F7579" s="953"/>
      <c r="G7579" s="953"/>
      <c r="H7579" s="953"/>
    </row>
    <row r="7580" spans="1:8" x14ac:dyDescent="0.25">
      <c r="A7580" s="952"/>
      <c r="B7580" s="953"/>
      <c r="C7580" s="953"/>
      <c r="D7580" s="953"/>
      <c r="E7580" s="953"/>
      <c r="F7580" s="953"/>
      <c r="G7580" s="953"/>
      <c r="H7580" s="953"/>
    </row>
    <row r="7581" spans="1:8" x14ac:dyDescent="0.25">
      <c r="A7581" s="952"/>
      <c r="B7581" s="953"/>
      <c r="C7581" s="953"/>
      <c r="D7581" s="953"/>
      <c r="E7581" s="953"/>
      <c r="F7581" s="953"/>
      <c r="G7581" s="953"/>
      <c r="H7581" s="953"/>
    </row>
    <row r="7582" spans="1:8" x14ac:dyDescent="0.25">
      <c r="A7582" s="952"/>
      <c r="B7582" s="953"/>
      <c r="C7582" s="953"/>
      <c r="D7582" s="953"/>
      <c r="E7582" s="953"/>
      <c r="F7582" s="953"/>
      <c r="G7582" s="953"/>
      <c r="H7582" s="953"/>
    </row>
    <row r="7583" spans="1:8" x14ac:dyDescent="0.25">
      <c r="A7583" s="952"/>
      <c r="B7583" s="953"/>
      <c r="C7583" s="953"/>
      <c r="D7583" s="953"/>
      <c r="E7583" s="953"/>
      <c r="F7583" s="953"/>
      <c r="G7583" s="953"/>
      <c r="H7583" s="953"/>
    </row>
    <row r="7584" spans="1:8" x14ac:dyDescent="0.25">
      <c r="A7584" s="952"/>
      <c r="B7584" s="953"/>
      <c r="C7584" s="953"/>
      <c r="D7584" s="953"/>
      <c r="E7584" s="953"/>
      <c r="F7584" s="953"/>
      <c r="G7584" s="953"/>
      <c r="H7584" s="953"/>
    </row>
    <row r="7585" spans="1:8" x14ac:dyDescent="0.25">
      <c r="A7585" s="952"/>
      <c r="B7585" s="953"/>
      <c r="C7585" s="953"/>
      <c r="D7585" s="953"/>
      <c r="E7585" s="953"/>
      <c r="F7585" s="953"/>
      <c r="G7585" s="953"/>
      <c r="H7585" s="953"/>
    </row>
    <row r="7586" spans="1:8" x14ac:dyDescent="0.25">
      <c r="A7586" s="952"/>
      <c r="B7586" s="953"/>
      <c r="C7586" s="953"/>
      <c r="D7586" s="953"/>
      <c r="E7586" s="953"/>
      <c r="F7586" s="953"/>
      <c r="G7586" s="953"/>
      <c r="H7586" s="953"/>
    </row>
    <row r="7587" spans="1:8" x14ac:dyDescent="0.25">
      <c r="A7587" s="952"/>
      <c r="B7587" s="953"/>
      <c r="C7587" s="953"/>
      <c r="D7587" s="953"/>
      <c r="E7587" s="953"/>
      <c r="F7587" s="953"/>
      <c r="G7587" s="953"/>
      <c r="H7587" s="953"/>
    </row>
    <row r="7588" spans="1:8" x14ac:dyDescent="0.25">
      <c r="A7588" s="952"/>
      <c r="B7588" s="953"/>
      <c r="C7588" s="953"/>
      <c r="D7588" s="953"/>
      <c r="E7588" s="953"/>
      <c r="F7588" s="953"/>
      <c r="G7588" s="953"/>
      <c r="H7588" s="953"/>
    </row>
    <row r="7589" spans="1:8" x14ac:dyDescent="0.25">
      <c r="A7589" s="952"/>
      <c r="B7589" s="953"/>
      <c r="C7589" s="953"/>
      <c r="D7589" s="953"/>
      <c r="E7589" s="953"/>
      <c r="F7589" s="953"/>
      <c r="G7589" s="953"/>
      <c r="H7589" s="953"/>
    </row>
    <row r="7590" spans="1:8" x14ac:dyDescent="0.25">
      <c r="A7590" s="952"/>
      <c r="B7590" s="953"/>
      <c r="C7590" s="953"/>
      <c r="D7590" s="953"/>
      <c r="E7590" s="953"/>
      <c r="F7590" s="953"/>
      <c r="G7590" s="953"/>
      <c r="H7590" s="953"/>
    </row>
    <row r="7591" spans="1:8" x14ac:dyDescent="0.25">
      <c r="A7591" s="952"/>
      <c r="B7591" s="953"/>
      <c r="C7591" s="953"/>
      <c r="D7591" s="953"/>
      <c r="E7591" s="953"/>
      <c r="F7591" s="953"/>
      <c r="G7591" s="953"/>
      <c r="H7591" s="953"/>
    </row>
    <row r="7592" spans="1:8" x14ac:dyDescent="0.25">
      <c r="A7592" s="952"/>
      <c r="B7592" s="953"/>
      <c r="C7592" s="953"/>
      <c r="D7592" s="953"/>
      <c r="E7592" s="953"/>
      <c r="F7592" s="953"/>
      <c r="G7592" s="953"/>
      <c r="H7592" s="953"/>
    </row>
    <row r="7593" spans="1:8" x14ac:dyDescent="0.25">
      <c r="A7593" s="952"/>
      <c r="B7593" s="953"/>
      <c r="C7593" s="953"/>
      <c r="D7593" s="953"/>
      <c r="E7593" s="953"/>
      <c r="F7593" s="953"/>
      <c r="G7593" s="953"/>
      <c r="H7593" s="953"/>
    </row>
    <row r="7594" spans="1:8" x14ac:dyDescent="0.25">
      <c r="A7594" s="952"/>
      <c r="B7594" s="953"/>
      <c r="C7594" s="953"/>
      <c r="D7594" s="953"/>
      <c r="E7594" s="953"/>
      <c r="F7594" s="953"/>
      <c r="G7594" s="953"/>
      <c r="H7594" s="953"/>
    </row>
    <row r="7595" spans="1:8" x14ac:dyDescent="0.25">
      <c r="A7595" s="952"/>
      <c r="B7595" s="953"/>
      <c r="C7595" s="953"/>
      <c r="D7595" s="953"/>
      <c r="E7595" s="953"/>
      <c r="F7595" s="953"/>
      <c r="G7595" s="953"/>
      <c r="H7595" s="953"/>
    </row>
    <row r="7596" spans="1:8" x14ac:dyDescent="0.25">
      <c r="A7596" s="952"/>
      <c r="B7596" s="953"/>
      <c r="C7596" s="953"/>
      <c r="D7596" s="953"/>
      <c r="E7596" s="953"/>
      <c r="F7596" s="953"/>
      <c r="G7596" s="953"/>
      <c r="H7596" s="953"/>
    </row>
    <row r="7597" spans="1:8" x14ac:dyDescent="0.25">
      <c r="A7597" s="952"/>
      <c r="B7597" s="953"/>
      <c r="C7597" s="953"/>
      <c r="D7597" s="953"/>
      <c r="E7597" s="953"/>
      <c r="F7597" s="953"/>
      <c r="G7597" s="953"/>
      <c r="H7597" s="953"/>
    </row>
    <row r="7598" spans="1:8" x14ac:dyDescent="0.25">
      <c r="A7598" s="952"/>
      <c r="B7598" s="953"/>
      <c r="C7598" s="953"/>
      <c r="D7598" s="953"/>
      <c r="E7598" s="953"/>
      <c r="F7598" s="953"/>
      <c r="G7598" s="953"/>
      <c r="H7598" s="953"/>
    </row>
    <row r="7599" spans="1:8" x14ac:dyDescent="0.25">
      <c r="A7599" s="952"/>
      <c r="B7599" s="953"/>
      <c r="C7599" s="953"/>
      <c r="D7599" s="953"/>
      <c r="E7599" s="953"/>
      <c r="F7599" s="953"/>
      <c r="G7599" s="953"/>
      <c r="H7599" s="953"/>
    </row>
    <row r="7600" spans="1:8" x14ac:dyDescent="0.25">
      <c r="A7600" s="952"/>
      <c r="B7600" s="953"/>
      <c r="C7600" s="953"/>
      <c r="D7600" s="953"/>
      <c r="E7600" s="953"/>
      <c r="F7600" s="953"/>
      <c r="G7600" s="953"/>
      <c r="H7600" s="953"/>
    </row>
    <row r="7601" spans="1:8" x14ac:dyDescent="0.25">
      <c r="A7601" s="952"/>
      <c r="B7601" s="953"/>
      <c r="C7601" s="953"/>
      <c r="D7601" s="953"/>
      <c r="E7601" s="953"/>
      <c r="F7601" s="953"/>
      <c r="G7601" s="953"/>
      <c r="H7601" s="953"/>
    </row>
    <row r="7602" spans="1:8" x14ac:dyDescent="0.25">
      <c r="A7602" s="952"/>
      <c r="B7602" s="953"/>
      <c r="C7602" s="953"/>
      <c r="D7602" s="953"/>
      <c r="E7602" s="953"/>
      <c r="F7602" s="953"/>
      <c r="G7602" s="953"/>
      <c r="H7602" s="953"/>
    </row>
    <row r="7603" spans="1:8" x14ac:dyDescent="0.25">
      <c r="A7603" s="952"/>
      <c r="B7603" s="953"/>
      <c r="C7603" s="953"/>
      <c r="D7603" s="953"/>
      <c r="E7603" s="953"/>
      <c r="F7603" s="953"/>
      <c r="G7603" s="953"/>
      <c r="H7603" s="953"/>
    </row>
    <row r="7604" spans="1:8" x14ac:dyDescent="0.25">
      <c r="A7604" s="952"/>
      <c r="B7604" s="953"/>
      <c r="C7604" s="953"/>
      <c r="D7604" s="953"/>
      <c r="E7604" s="953"/>
      <c r="F7604" s="953"/>
      <c r="G7604" s="953"/>
      <c r="H7604" s="953"/>
    </row>
    <row r="7605" spans="1:8" x14ac:dyDescent="0.25">
      <c r="A7605" s="952"/>
      <c r="B7605" s="953"/>
      <c r="C7605" s="953"/>
      <c r="D7605" s="953"/>
      <c r="E7605" s="953"/>
      <c r="F7605" s="953"/>
      <c r="G7605" s="953"/>
      <c r="H7605" s="953"/>
    </row>
    <row r="7606" spans="1:8" x14ac:dyDescent="0.25">
      <c r="A7606" s="952"/>
      <c r="B7606" s="953"/>
      <c r="C7606" s="953"/>
      <c r="D7606" s="953"/>
      <c r="E7606" s="953"/>
      <c r="F7606" s="953"/>
      <c r="G7606" s="953"/>
      <c r="H7606" s="953"/>
    </row>
    <row r="7607" spans="1:8" x14ac:dyDescent="0.25">
      <c r="A7607" s="952"/>
      <c r="B7607" s="953"/>
      <c r="C7607" s="953"/>
      <c r="D7607" s="953"/>
      <c r="E7607" s="953"/>
      <c r="F7607" s="953"/>
      <c r="G7607" s="953"/>
      <c r="H7607" s="953"/>
    </row>
    <row r="7608" spans="1:8" x14ac:dyDescent="0.25">
      <c r="A7608" s="952"/>
      <c r="B7608" s="953"/>
      <c r="C7608" s="953"/>
      <c r="D7608" s="953"/>
      <c r="E7608" s="953"/>
      <c r="F7608" s="953"/>
      <c r="G7608" s="953"/>
      <c r="H7608" s="953"/>
    </row>
    <row r="7609" spans="1:8" x14ac:dyDescent="0.25">
      <c r="A7609" s="952"/>
      <c r="B7609" s="953"/>
      <c r="C7609" s="953"/>
      <c r="D7609" s="953"/>
      <c r="E7609" s="953"/>
      <c r="F7609" s="953"/>
      <c r="G7609" s="953"/>
      <c r="H7609" s="953"/>
    </row>
    <row r="7610" spans="1:8" x14ac:dyDescent="0.25">
      <c r="A7610" s="952"/>
      <c r="B7610" s="953"/>
      <c r="C7610" s="953"/>
      <c r="D7610" s="953"/>
      <c r="E7610" s="953"/>
      <c r="F7610" s="953"/>
      <c r="G7610" s="953"/>
      <c r="H7610" s="953"/>
    </row>
    <row r="7611" spans="1:8" x14ac:dyDescent="0.25">
      <c r="A7611" s="952"/>
      <c r="B7611" s="953"/>
      <c r="C7611" s="953"/>
      <c r="D7611" s="953"/>
      <c r="E7611" s="953"/>
      <c r="F7611" s="953"/>
      <c r="G7611" s="953"/>
      <c r="H7611" s="953"/>
    </row>
    <row r="7612" spans="1:8" x14ac:dyDescent="0.25">
      <c r="A7612" s="952"/>
      <c r="B7612" s="953"/>
      <c r="C7612" s="953"/>
      <c r="D7612" s="953"/>
      <c r="E7612" s="953"/>
      <c r="F7612" s="953"/>
      <c r="G7612" s="953"/>
      <c r="H7612" s="953"/>
    </row>
    <row r="7613" spans="1:8" x14ac:dyDescent="0.25">
      <c r="A7613" s="952"/>
      <c r="B7613" s="953"/>
      <c r="C7613" s="953"/>
      <c r="D7613" s="953"/>
      <c r="E7613" s="953"/>
      <c r="F7613" s="953"/>
      <c r="G7613" s="953"/>
      <c r="H7613" s="953"/>
    </row>
    <row r="7614" spans="1:8" x14ac:dyDescent="0.25">
      <c r="A7614" s="952"/>
      <c r="B7614" s="953"/>
      <c r="C7614" s="953"/>
      <c r="D7614" s="953"/>
      <c r="E7614" s="953"/>
      <c r="F7614" s="953"/>
      <c r="G7614" s="953"/>
      <c r="H7614" s="953"/>
    </row>
    <row r="7615" spans="1:8" x14ac:dyDescent="0.25">
      <c r="A7615" s="952"/>
      <c r="B7615" s="953"/>
      <c r="C7615" s="953"/>
      <c r="D7615" s="953"/>
      <c r="E7615" s="953"/>
      <c r="F7615" s="953"/>
      <c r="G7615" s="953"/>
      <c r="H7615" s="953"/>
    </row>
    <row r="7616" spans="1:8" x14ac:dyDescent="0.25">
      <c r="A7616" s="952"/>
      <c r="B7616" s="953"/>
      <c r="C7616" s="953"/>
      <c r="D7616" s="953"/>
      <c r="E7616" s="953"/>
      <c r="F7616" s="953"/>
      <c r="G7616" s="953"/>
      <c r="H7616" s="953"/>
    </row>
    <row r="7617" spans="1:8" x14ac:dyDescent="0.25">
      <c r="A7617" s="952"/>
      <c r="B7617" s="953"/>
      <c r="C7617" s="953"/>
      <c r="D7617" s="953"/>
      <c r="E7617" s="953"/>
      <c r="F7617" s="953"/>
      <c r="G7617" s="953"/>
      <c r="H7617" s="953"/>
    </row>
    <row r="7618" spans="1:8" x14ac:dyDescent="0.25">
      <c r="A7618" s="952"/>
      <c r="B7618" s="953"/>
      <c r="C7618" s="953"/>
      <c r="D7618" s="953"/>
      <c r="E7618" s="953"/>
      <c r="F7618" s="953"/>
      <c r="G7618" s="953"/>
      <c r="H7618" s="953"/>
    </row>
    <row r="7619" spans="1:8" x14ac:dyDescent="0.25">
      <c r="A7619" s="952"/>
      <c r="B7619" s="953"/>
      <c r="C7619" s="953"/>
      <c r="D7619" s="953"/>
      <c r="E7619" s="953"/>
      <c r="F7619" s="953"/>
      <c r="G7619" s="953"/>
      <c r="H7619" s="953"/>
    </row>
    <row r="7620" spans="1:8" x14ac:dyDescent="0.25">
      <c r="A7620" s="952"/>
      <c r="B7620" s="953"/>
      <c r="C7620" s="953"/>
      <c r="D7620" s="953"/>
      <c r="E7620" s="953"/>
      <c r="F7620" s="953"/>
      <c r="G7620" s="953"/>
      <c r="H7620" s="953"/>
    </row>
    <row r="7621" spans="1:8" x14ac:dyDescent="0.25">
      <c r="A7621" s="952"/>
      <c r="B7621" s="953"/>
      <c r="C7621" s="953"/>
      <c r="D7621" s="953"/>
      <c r="E7621" s="953"/>
      <c r="F7621" s="953"/>
      <c r="G7621" s="953"/>
      <c r="H7621" s="953"/>
    </row>
    <row r="7622" spans="1:8" x14ac:dyDescent="0.25">
      <c r="A7622" s="952"/>
      <c r="B7622" s="953"/>
      <c r="C7622" s="953"/>
      <c r="D7622" s="953"/>
      <c r="E7622" s="953"/>
      <c r="F7622" s="953"/>
      <c r="G7622" s="953"/>
      <c r="H7622" s="953"/>
    </row>
    <row r="7623" spans="1:8" x14ac:dyDescent="0.25">
      <c r="A7623" s="952"/>
      <c r="B7623" s="953"/>
      <c r="C7623" s="953"/>
      <c r="D7623" s="953"/>
      <c r="E7623" s="953"/>
      <c r="F7623" s="953"/>
      <c r="G7623" s="953"/>
      <c r="H7623" s="953"/>
    </row>
    <row r="7624" spans="1:8" x14ac:dyDescent="0.25">
      <c r="A7624" s="952"/>
      <c r="B7624" s="953"/>
      <c r="C7624" s="953"/>
      <c r="D7624" s="953"/>
      <c r="E7624" s="953"/>
      <c r="F7624" s="953"/>
      <c r="G7624" s="953"/>
      <c r="H7624" s="953"/>
    </row>
    <row r="7625" spans="1:8" x14ac:dyDescent="0.25">
      <c r="A7625" s="952"/>
      <c r="B7625" s="953"/>
      <c r="C7625" s="953"/>
      <c r="D7625" s="953"/>
      <c r="E7625" s="953"/>
      <c r="F7625" s="953"/>
      <c r="G7625" s="953"/>
      <c r="H7625" s="953"/>
    </row>
    <row r="7626" spans="1:8" x14ac:dyDescent="0.25">
      <c r="A7626" s="952"/>
      <c r="B7626" s="953"/>
      <c r="C7626" s="953"/>
      <c r="D7626" s="953"/>
      <c r="E7626" s="953"/>
      <c r="F7626" s="953"/>
      <c r="G7626" s="953"/>
      <c r="H7626" s="953"/>
    </row>
    <row r="7627" spans="1:8" x14ac:dyDescent="0.25">
      <c r="A7627" s="952"/>
      <c r="B7627" s="953"/>
      <c r="C7627" s="953"/>
      <c r="D7627" s="953"/>
      <c r="E7627" s="953"/>
      <c r="F7627" s="953"/>
      <c r="G7627" s="953"/>
      <c r="H7627" s="953"/>
    </row>
    <row r="7628" spans="1:8" x14ac:dyDescent="0.25">
      <c r="A7628" s="952"/>
      <c r="B7628" s="953"/>
      <c r="C7628" s="953"/>
      <c r="D7628" s="953"/>
      <c r="E7628" s="953"/>
      <c r="F7628" s="953"/>
      <c r="G7628" s="953"/>
      <c r="H7628" s="953"/>
    </row>
    <row r="7629" spans="1:8" x14ac:dyDescent="0.25">
      <c r="A7629" s="952"/>
      <c r="B7629" s="953"/>
      <c r="C7629" s="953"/>
      <c r="D7629" s="953"/>
      <c r="E7629" s="953"/>
      <c r="F7629" s="953"/>
      <c r="G7629" s="953"/>
      <c r="H7629" s="953"/>
    </row>
    <row r="7630" spans="1:8" x14ac:dyDescent="0.25">
      <c r="A7630" s="952"/>
      <c r="B7630" s="953"/>
      <c r="C7630" s="953"/>
      <c r="D7630" s="953"/>
      <c r="E7630" s="953"/>
      <c r="F7630" s="953"/>
      <c r="G7630" s="953"/>
      <c r="H7630" s="953"/>
    </row>
    <row r="7631" spans="1:8" x14ac:dyDescent="0.25">
      <c r="A7631" s="952"/>
      <c r="B7631" s="953"/>
      <c r="C7631" s="953"/>
      <c r="D7631" s="953"/>
      <c r="E7631" s="953"/>
      <c r="F7631" s="953"/>
      <c r="G7631" s="953"/>
      <c r="H7631" s="953"/>
    </row>
    <row r="7632" spans="1:8" x14ac:dyDescent="0.25">
      <c r="A7632" s="952"/>
      <c r="B7632" s="953"/>
      <c r="C7632" s="953"/>
      <c r="D7632" s="953"/>
      <c r="E7632" s="953"/>
      <c r="F7632" s="953"/>
      <c r="G7632" s="953"/>
      <c r="H7632" s="953"/>
    </row>
    <row r="7633" spans="1:8" x14ac:dyDescent="0.25">
      <c r="A7633" s="952"/>
      <c r="B7633" s="953"/>
      <c r="C7633" s="953"/>
      <c r="D7633" s="953"/>
      <c r="E7633" s="953"/>
      <c r="F7633" s="953"/>
      <c r="G7633" s="953"/>
      <c r="H7633" s="953"/>
    </row>
    <row r="7634" spans="1:8" x14ac:dyDescent="0.25">
      <c r="A7634" s="952"/>
      <c r="B7634" s="953"/>
      <c r="C7634" s="953"/>
      <c r="D7634" s="953"/>
      <c r="E7634" s="953"/>
      <c r="F7634" s="953"/>
      <c r="G7634" s="953"/>
      <c r="H7634" s="953"/>
    </row>
    <row r="7635" spans="1:8" x14ac:dyDescent="0.25">
      <c r="A7635" s="952"/>
      <c r="B7635" s="953"/>
      <c r="C7635" s="953"/>
      <c r="D7635" s="953"/>
      <c r="E7635" s="953"/>
      <c r="F7635" s="953"/>
      <c r="G7635" s="953"/>
      <c r="H7635" s="953"/>
    </row>
    <row r="7636" spans="1:8" x14ac:dyDescent="0.25">
      <c r="A7636" s="952"/>
      <c r="B7636" s="953"/>
      <c r="C7636" s="953"/>
      <c r="D7636" s="953"/>
      <c r="E7636" s="953"/>
      <c r="F7636" s="953"/>
      <c r="G7636" s="953"/>
      <c r="H7636" s="953"/>
    </row>
    <row r="7637" spans="1:8" x14ac:dyDescent="0.25">
      <c r="A7637" s="952"/>
      <c r="B7637" s="953"/>
      <c r="C7637" s="953"/>
      <c r="D7637" s="953"/>
      <c r="E7637" s="953"/>
      <c r="F7637" s="953"/>
      <c r="G7637" s="953"/>
      <c r="H7637" s="953"/>
    </row>
    <row r="7638" spans="1:8" x14ac:dyDescent="0.25">
      <c r="A7638" s="952"/>
      <c r="B7638" s="953"/>
      <c r="C7638" s="953"/>
      <c r="D7638" s="953"/>
      <c r="E7638" s="953"/>
      <c r="F7638" s="953"/>
      <c r="G7638" s="953"/>
      <c r="H7638" s="953"/>
    </row>
    <row r="7639" spans="1:8" x14ac:dyDescent="0.25">
      <c r="A7639" s="952"/>
      <c r="B7639" s="953"/>
      <c r="C7639" s="953"/>
      <c r="D7639" s="953"/>
      <c r="E7639" s="953"/>
      <c r="F7639" s="953"/>
      <c r="G7639" s="953"/>
      <c r="H7639" s="953"/>
    </row>
    <row r="7640" spans="1:8" x14ac:dyDescent="0.25">
      <c r="A7640" s="952"/>
      <c r="B7640" s="953"/>
      <c r="C7640" s="953"/>
      <c r="D7640" s="953"/>
      <c r="E7640" s="953"/>
      <c r="F7640" s="953"/>
      <c r="G7640" s="953"/>
      <c r="H7640" s="953"/>
    </row>
    <row r="7641" spans="1:8" x14ac:dyDescent="0.25">
      <c r="A7641" s="952"/>
      <c r="B7641" s="953"/>
      <c r="C7641" s="953"/>
      <c r="D7641" s="953"/>
      <c r="E7641" s="953"/>
      <c r="F7641" s="953"/>
      <c r="G7641" s="953"/>
      <c r="H7641" s="953"/>
    </row>
    <row r="7642" spans="1:8" x14ac:dyDescent="0.25">
      <c r="A7642" s="952"/>
      <c r="B7642" s="953"/>
      <c r="C7642" s="953"/>
      <c r="D7642" s="953"/>
      <c r="E7642" s="953"/>
      <c r="F7642" s="953"/>
      <c r="G7642" s="953"/>
      <c r="H7642" s="953"/>
    </row>
    <row r="7643" spans="1:8" x14ac:dyDescent="0.25">
      <c r="A7643" s="952"/>
      <c r="B7643" s="953"/>
      <c r="C7643" s="953"/>
      <c r="D7643" s="953"/>
      <c r="E7643" s="953"/>
      <c r="F7643" s="953"/>
      <c r="G7643" s="953"/>
      <c r="H7643" s="953"/>
    </row>
    <row r="7644" spans="1:8" x14ac:dyDescent="0.25">
      <c r="A7644" s="952"/>
      <c r="B7644" s="953"/>
      <c r="C7644" s="953"/>
      <c r="D7644" s="953"/>
      <c r="E7644" s="953"/>
      <c r="F7644" s="953"/>
      <c r="G7644" s="953"/>
      <c r="H7644" s="953"/>
    </row>
    <row r="7645" spans="1:8" x14ac:dyDescent="0.25">
      <c r="A7645" s="952"/>
      <c r="B7645" s="953"/>
      <c r="C7645" s="953"/>
      <c r="D7645" s="953"/>
      <c r="E7645" s="953"/>
      <c r="F7645" s="953"/>
      <c r="G7645" s="953"/>
      <c r="H7645" s="953"/>
    </row>
    <row r="7646" spans="1:8" x14ac:dyDescent="0.25">
      <c r="A7646" s="952"/>
      <c r="B7646" s="953"/>
      <c r="C7646" s="953"/>
      <c r="D7646" s="953"/>
      <c r="E7646" s="953"/>
      <c r="F7646" s="953"/>
      <c r="G7646" s="953"/>
      <c r="H7646" s="953"/>
    </row>
    <row r="7647" spans="1:8" x14ac:dyDescent="0.25">
      <c r="A7647" s="952"/>
      <c r="B7647" s="953"/>
      <c r="C7647" s="953"/>
      <c r="D7647" s="953"/>
      <c r="E7647" s="953"/>
      <c r="F7647" s="953"/>
      <c r="G7647" s="953"/>
      <c r="H7647" s="953"/>
    </row>
    <row r="7648" spans="1:8" x14ac:dyDescent="0.25">
      <c r="A7648" s="952"/>
      <c r="B7648" s="953"/>
      <c r="C7648" s="953"/>
      <c r="D7648" s="953"/>
      <c r="E7648" s="953"/>
      <c r="F7648" s="953"/>
      <c r="G7648" s="953"/>
      <c r="H7648" s="953"/>
    </row>
    <row r="7649" spans="1:8" x14ac:dyDescent="0.25">
      <c r="A7649" s="952"/>
      <c r="B7649" s="953"/>
      <c r="C7649" s="953"/>
      <c r="D7649" s="953"/>
      <c r="E7649" s="953"/>
      <c r="F7649" s="953"/>
      <c r="G7649" s="953"/>
      <c r="H7649" s="953"/>
    </row>
    <row r="7650" spans="1:8" x14ac:dyDescent="0.25">
      <c r="A7650" s="952"/>
      <c r="B7650" s="953"/>
      <c r="C7650" s="953"/>
      <c r="D7650" s="953"/>
      <c r="E7650" s="953"/>
      <c r="F7650" s="953"/>
      <c r="G7650" s="953"/>
      <c r="H7650" s="953"/>
    </row>
    <row r="7651" spans="1:8" x14ac:dyDescent="0.25">
      <c r="A7651" s="952"/>
      <c r="B7651" s="953"/>
      <c r="C7651" s="953"/>
      <c r="D7651" s="953"/>
      <c r="E7651" s="953"/>
      <c r="F7651" s="953"/>
      <c r="G7651" s="953"/>
      <c r="H7651" s="953"/>
    </row>
    <row r="7652" spans="1:8" x14ac:dyDescent="0.25">
      <c r="A7652" s="952"/>
      <c r="B7652" s="953"/>
      <c r="C7652" s="953"/>
      <c r="D7652" s="953"/>
      <c r="E7652" s="953"/>
      <c r="F7652" s="953"/>
      <c r="G7652" s="953"/>
      <c r="H7652" s="953"/>
    </row>
    <row r="7653" spans="1:8" x14ac:dyDescent="0.25">
      <c r="A7653" s="952"/>
      <c r="B7653" s="953"/>
      <c r="C7653" s="953"/>
      <c r="D7653" s="953"/>
      <c r="E7653" s="953"/>
      <c r="F7653" s="953"/>
      <c r="G7653" s="953"/>
      <c r="H7653" s="953"/>
    </row>
    <row r="7654" spans="1:8" x14ac:dyDescent="0.25">
      <c r="A7654" s="952"/>
      <c r="B7654" s="953"/>
      <c r="C7654" s="953"/>
      <c r="D7654" s="953"/>
      <c r="E7654" s="953"/>
      <c r="F7654" s="953"/>
      <c r="G7654" s="953"/>
      <c r="H7654" s="953"/>
    </row>
    <row r="7655" spans="1:8" x14ac:dyDescent="0.25">
      <c r="A7655" s="952"/>
      <c r="B7655" s="953"/>
      <c r="C7655" s="953"/>
      <c r="D7655" s="953"/>
      <c r="E7655" s="953"/>
      <c r="F7655" s="953"/>
      <c r="G7655" s="953"/>
      <c r="H7655" s="953"/>
    </row>
    <row r="7656" spans="1:8" x14ac:dyDescent="0.25">
      <c r="A7656" s="952"/>
      <c r="B7656" s="953"/>
      <c r="C7656" s="953"/>
      <c r="D7656" s="953"/>
      <c r="E7656" s="953"/>
      <c r="F7656" s="953"/>
      <c r="G7656" s="953"/>
      <c r="H7656" s="953"/>
    </row>
    <row r="7657" spans="1:8" x14ac:dyDescent="0.25">
      <c r="A7657" s="952"/>
      <c r="B7657" s="953"/>
      <c r="C7657" s="953"/>
      <c r="D7657" s="953"/>
      <c r="E7657" s="953"/>
      <c r="F7657" s="953"/>
      <c r="G7657" s="953"/>
      <c r="H7657" s="953"/>
    </row>
    <row r="7658" spans="1:8" x14ac:dyDescent="0.25">
      <c r="A7658" s="952"/>
      <c r="B7658" s="953"/>
      <c r="C7658" s="953"/>
      <c r="D7658" s="953"/>
      <c r="E7658" s="953"/>
      <c r="F7658" s="953"/>
      <c r="G7658" s="953"/>
      <c r="H7658" s="953"/>
    </row>
    <row r="7659" spans="1:8" x14ac:dyDescent="0.25">
      <c r="A7659" s="952"/>
      <c r="B7659" s="953"/>
      <c r="C7659" s="953"/>
      <c r="D7659" s="953"/>
      <c r="E7659" s="953"/>
      <c r="F7659" s="953"/>
      <c r="G7659" s="953"/>
      <c r="H7659" s="953"/>
    </row>
    <row r="7660" spans="1:8" x14ac:dyDescent="0.25">
      <c r="A7660" s="952"/>
      <c r="B7660" s="953"/>
      <c r="C7660" s="953"/>
      <c r="D7660" s="953"/>
      <c r="E7660" s="953"/>
      <c r="F7660" s="953"/>
      <c r="G7660" s="953"/>
      <c r="H7660" s="953"/>
    </row>
    <row r="7661" spans="1:8" x14ac:dyDescent="0.25">
      <c r="A7661" s="952"/>
      <c r="B7661" s="953"/>
      <c r="C7661" s="953"/>
      <c r="D7661" s="953"/>
      <c r="E7661" s="953"/>
      <c r="F7661" s="953"/>
      <c r="G7661" s="953"/>
      <c r="H7661" s="953"/>
    </row>
    <row r="7662" spans="1:8" x14ac:dyDescent="0.25">
      <c r="A7662" s="952"/>
      <c r="B7662" s="953"/>
      <c r="C7662" s="953"/>
      <c r="D7662" s="953"/>
      <c r="E7662" s="953"/>
      <c r="F7662" s="953"/>
      <c r="G7662" s="953"/>
      <c r="H7662" s="953"/>
    </row>
    <row r="7663" spans="1:8" x14ac:dyDescent="0.25">
      <c r="A7663" s="952"/>
      <c r="B7663" s="953"/>
      <c r="C7663" s="953"/>
      <c r="D7663" s="953"/>
      <c r="E7663" s="953"/>
      <c r="F7663" s="953"/>
      <c r="G7663" s="953"/>
      <c r="H7663" s="953"/>
    </row>
    <row r="7664" spans="1:8" x14ac:dyDescent="0.25">
      <c r="A7664" s="952"/>
      <c r="B7664" s="953"/>
      <c r="C7664" s="953"/>
      <c r="D7664" s="953"/>
      <c r="E7664" s="953"/>
      <c r="F7664" s="953"/>
      <c r="G7664" s="953"/>
      <c r="H7664" s="953"/>
    </row>
    <row r="7665" spans="1:8" x14ac:dyDescent="0.25">
      <c r="A7665" s="952"/>
      <c r="B7665" s="953"/>
      <c r="C7665" s="953"/>
      <c r="D7665" s="953"/>
      <c r="E7665" s="953"/>
      <c r="F7665" s="953"/>
      <c r="G7665" s="953"/>
      <c r="H7665" s="953"/>
    </row>
    <row r="7666" spans="1:8" x14ac:dyDescent="0.25">
      <c r="A7666" s="952"/>
      <c r="B7666" s="953"/>
      <c r="C7666" s="953"/>
      <c r="D7666" s="953"/>
      <c r="E7666" s="953"/>
      <c r="F7666" s="953"/>
      <c r="G7666" s="953"/>
      <c r="H7666" s="953"/>
    </row>
    <row r="7667" spans="1:8" x14ac:dyDescent="0.25">
      <c r="A7667" s="952"/>
      <c r="B7667" s="953"/>
      <c r="C7667" s="953"/>
      <c r="D7667" s="953"/>
      <c r="E7667" s="953"/>
      <c r="F7667" s="953"/>
      <c r="G7667" s="953"/>
      <c r="H7667" s="953"/>
    </row>
    <row r="7668" spans="1:8" x14ac:dyDescent="0.25">
      <c r="A7668" s="952"/>
      <c r="B7668" s="953"/>
      <c r="C7668" s="953"/>
      <c r="D7668" s="953"/>
      <c r="E7668" s="953"/>
      <c r="F7668" s="953"/>
      <c r="G7668" s="953"/>
      <c r="H7668" s="953"/>
    </row>
    <row r="7669" spans="1:8" x14ac:dyDescent="0.25">
      <c r="A7669" s="952"/>
      <c r="B7669" s="953"/>
      <c r="C7669" s="953"/>
      <c r="D7669" s="953"/>
      <c r="E7669" s="953"/>
      <c r="F7669" s="953"/>
      <c r="G7669" s="953"/>
      <c r="H7669" s="953"/>
    </row>
    <row r="7670" spans="1:8" x14ac:dyDescent="0.25">
      <c r="A7670" s="952"/>
      <c r="B7670" s="953"/>
      <c r="C7670" s="953"/>
      <c r="D7670" s="953"/>
      <c r="E7670" s="953"/>
      <c r="F7670" s="953"/>
      <c r="G7670" s="953"/>
      <c r="H7670" s="953"/>
    </row>
    <row r="7671" spans="1:8" x14ac:dyDescent="0.25">
      <c r="A7671" s="952"/>
      <c r="B7671" s="953"/>
      <c r="C7671" s="953"/>
      <c r="D7671" s="953"/>
      <c r="E7671" s="953"/>
      <c r="F7671" s="953"/>
      <c r="G7671" s="953"/>
      <c r="H7671" s="953"/>
    </row>
    <row r="7672" spans="1:8" x14ac:dyDescent="0.25">
      <c r="A7672" s="952"/>
      <c r="B7672" s="953"/>
      <c r="C7672" s="953"/>
      <c r="D7672" s="953"/>
      <c r="E7672" s="953"/>
      <c r="F7672" s="953"/>
      <c r="G7672" s="953"/>
      <c r="H7672" s="953"/>
    </row>
    <row r="7673" spans="1:8" x14ac:dyDescent="0.25">
      <c r="A7673" s="952"/>
      <c r="B7673" s="953"/>
      <c r="C7673" s="953"/>
      <c r="D7673" s="953"/>
      <c r="E7673" s="953"/>
      <c r="F7673" s="953"/>
      <c r="G7673" s="953"/>
      <c r="H7673" s="953"/>
    </row>
    <row r="7674" spans="1:8" x14ac:dyDescent="0.25">
      <c r="A7674" s="952"/>
      <c r="B7674" s="953"/>
      <c r="C7674" s="953"/>
      <c r="D7674" s="953"/>
      <c r="E7674" s="953"/>
      <c r="F7674" s="953"/>
      <c r="G7674" s="953"/>
      <c r="H7674" s="953"/>
    </row>
    <row r="7675" spans="1:8" x14ac:dyDescent="0.25">
      <c r="A7675" s="952"/>
      <c r="B7675" s="953"/>
      <c r="C7675" s="953"/>
      <c r="D7675" s="953"/>
      <c r="E7675" s="953"/>
      <c r="F7675" s="953"/>
      <c r="G7675" s="953"/>
      <c r="H7675" s="953"/>
    </row>
    <row r="7676" spans="1:8" x14ac:dyDescent="0.25">
      <c r="A7676" s="952"/>
      <c r="B7676" s="953"/>
      <c r="C7676" s="953"/>
      <c r="D7676" s="953"/>
      <c r="E7676" s="953"/>
      <c r="F7676" s="953"/>
      <c r="G7676" s="953"/>
      <c r="H7676" s="953"/>
    </row>
    <row r="7677" spans="1:8" x14ac:dyDescent="0.25">
      <c r="A7677" s="952"/>
      <c r="B7677" s="953"/>
      <c r="C7677" s="953"/>
      <c r="D7677" s="953"/>
      <c r="E7677" s="953"/>
      <c r="F7677" s="953"/>
      <c r="G7677" s="953"/>
      <c r="H7677" s="953"/>
    </row>
    <row r="7678" spans="1:8" x14ac:dyDescent="0.25">
      <c r="A7678" s="952"/>
      <c r="B7678" s="953"/>
      <c r="C7678" s="953"/>
      <c r="D7678" s="953"/>
      <c r="E7678" s="953"/>
      <c r="F7678" s="953"/>
      <c r="G7678" s="953"/>
      <c r="H7678" s="953"/>
    </row>
    <row r="7679" spans="1:8" x14ac:dyDescent="0.25">
      <c r="A7679" s="952"/>
      <c r="B7679" s="953"/>
      <c r="C7679" s="953"/>
      <c r="D7679" s="953"/>
      <c r="E7679" s="953"/>
      <c r="F7679" s="953"/>
      <c r="G7679" s="953"/>
      <c r="H7679" s="953"/>
    </row>
    <row r="7680" spans="1:8" x14ac:dyDescent="0.25">
      <c r="A7680" s="952"/>
      <c r="B7680" s="953"/>
      <c r="C7680" s="953"/>
      <c r="D7680" s="953"/>
      <c r="E7680" s="953"/>
      <c r="F7680" s="953"/>
      <c r="G7680" s="953"/>
      <c r="H7680" s="953"/>
    </row>
    <row r="7681" spans="1:8" x14ac:dyDescent="0.25">
      <c r="A7681" s="952"/>
      <c r="B7681" s="953"/>
      <c r="C7681" s="953"/>
      <c r="D7681" s="953"/>
      <c r="E7681" s="953"/>
      <c r="F7681" s="953"/>
      <c r="G7681" s="953"/>
      <c r="H7681" s="953"/>
    </row>
    <row r="7682" spans="1:8" x14ac:dyDescent="0.25">
      <c r="A7682" s="952"/>
      <c r="B7682" s="953"/>
      <c r="C7682" s="953"/>
      <c r="D7682" s="953"/>
      <c r="E7682" s="953"/>
      <c r="F7682" s="953"/>
      <c r="G7682" s="953"/>
      <c r="H7682" s="953"/>
    </row>
    <row r="7683" spans="1:8" x14ac:dyDescent="0.25">
      <c r="A7683" s="952"/>
      <c r="B7683" s="953"/>
      <c r="C7683" s="953"/>
      <c r="D7683" s="953"/>
      <c r="E7683" s="953"/>
      <c r="F7683" s="953"/>
      <c r="G7683" s="953"/>
      <c r="H7683" s="953"/>
    </row>
    <row r="7684" spans="1:8" x14ac:dyDescent="0.25">
      <c r="A7684" s="952"/>
      <c r="B7684" s="953"/>
      <c r="C7684" s="953"/>
      <c r="D7684" s="953"/>
      <c r="E7684" s="953"/>
      <c r="F7684" s="953"/>
      <c r="G7684" s="953"/>
      <c r="H7684" s="953"/>
    </row>
    <row r="7685" spans="1:8" x14ac:dyDescent="0.25">
      <c r="A7685" s="952"/>
      <c r="B7685" s="953"/>
      <c r="C7685" s="953"/>
      <c r="D7685" s="953"/>
      <c r="E7685" s="953"/>
      <c r="F7685" s="953"/>
      <c r="G7685" s="953"/>
      <c r="H7685" s="953"/>
    </row>
    <row r="7686" spans="1:8" x14ac:dyDescent="0.25">
      <c r="A7686" s="952"/>
      <c r="B7686" s="953"/>
      <c r="C7686" s="953"/>
      <c r="D7686" s="953"/>
      <c r="E7686" s="953"/>
      <c r="F7686" s="953"/>
      <c r="G7686" s="953"/>
      <c r="H7686" s="953"/>
    </row>
    <row r="7687" spans="1:8" x14ac:dyDescent="0.25">
      <c r="A7687" s="952"/>
      <c r="B7687" s="953"/>
      <c r="C7687" s="953"/>
      <c r="D7687" s="953"/>
      <c r="E7687" s="953"/>
      <c r="F7687" s="953"/>
      <c r="G7687" s="953"/>
      <c r="H7687" s="953"/>
    </row>
    <row r="7688" spans="1:8" x14ac:dyDescent="0.25">
      <c r="A7688" s="952"/>
      <c r="B7688" s="953"/>
      <c r="C7688" s="953"/>
      <c r="D7688" s="953"/>
      <c r="E7688" s="953"/>
      <c r="F7688" s="953"/>
      <c r="G7688" s="953"/>
      <c r="H7688" s="953"/>
    </row>
    <row r="7689" spans="1:8" x14ac:dyDescent="0.25">
      <c r="A7689" s="952"/>
      <c r="B7689" s="953"/>
      <c r="C7689" s="953"/>
      <c r="D7689" s="953"/>
      <c r="E7689" s="953"/>
      <c r="F7689" s="953"/>
      <c r="G7689" s="953"/>
      <c r="H7689" s="953"/>
    </row>
    <row r="7690" spans="1:8" x14ac:dyDescent="0.25">
      <c r="A7690" s="952"/>
      <c r="B7690" s="953"/>
      <c r="C7690" s="953"/>
      <c r="D7690" s="953"/>
      <c r="E7690" s="953"/>
      <c r="F7690" s="953"/>
      <c r="G7690" s="953"/>
      <c r="H7690" s="953"/>
    </row>
    <row r="7691" spans="1:8" x14ac:dyDescent="0.25">
      <c r="A7691" s="952"/>
      <c r="B7691" s="953"/>
      <c r="C7691" s="953"/>
      <c r="D7691" s="953"/>
      <c r="E7691" s="953"/>
      <c r="F7691" s="953"/>
      <c r="G7691" s="953"/>
      <c r="H7691" s="953"/>
    </row>
    <row r="7692" spans="1:8" x14ac:dyDescent="0.25">
      <c r="A7692" s="952"/>
      <c r="B7692" s="953"/>
      <c r="C7692" s="953"/>
      <c r="D7692" s="953"/>
      <c r="E7692" s="953"/>
      <c r="F7692" s="953"/>
      <c r="G7692" s="953"/>
      <c r="H7692" s="953"/>
    </row>
    <row r="7693" spans="1:8" x14ac:dyDescent="0.25">
      <c r="A7693" s="952"/>
      <c r="B7693" s="953"/>
      <c r="C7693" s="953"/>
      <c r="D7693" s="953"/>
      <c r="E7693" s="953"/>
      <c r="F7693" s="953"/>
      <c r="G7693" s="953"/>
      <c r="H7693" s="953"/>
    </row>
    <row r="7694" spans="1:8" x14ac:dyDescent="0.25">
      <c r="A7694" s="952"/>
      <c r="B7694" s="953"/>
      <c r="C7694" s="953"/>
      <c r="D7694" s="953"/>
      <c r="E7694" s="953"/>
      <c r="F7694" s="953"/>
      <c r="G7694" s="953"/>
      <c r="H7694" s="953"/>
    </row>
    <row r="7695" spans="1:8" x14ac:dyDescent="0.25">
      <c r="A7695" s="952"/>
      <c r="B7695" s="953"/>
      <c r="C7695" s="953"/>
      <c r="D7695" s="953"/>
      <c r="E7695" s="953"/>
      <c r="F7695" s="953"/>
      <c r="G7695" s="953"/>
      <c r="H7695" s="953"/>
    </row>
    <row r="7696" spans="1:8" x14ac:dyDescent="0.25">
      <c r="A7696" s="952"/>
      <c r="B7696" s="953"/>
      <c r="C7696" s="953"/>
      <c r="D7696" s="953"/>
      <c r="E7696" s="953"/>
      <c r="F7696" s="953"/>
      <c r="G7696" s="953"/>
      <c r="H7696" s="953"/>
    </row>
    <row r="7697" spans="1:8" x14ac:dyDescent="0.25">
      <c r="A7697" s="952"/>
      <c r="B7697" s="953"/>
      <c r="C7697" s="953"/>
      <c r="D7697" s="953"/>
      <c r="E7697" s="953"/>
      <c r="F7697" s="953"/>
      <c r="G7697" s="953"/>
      <c r="H7697" s="953"/>
    </row>
    <row r="7698" spans="1:8" x14ac:dyDescent="0.25">
      <c r="A7698" s="952"/>
      <c r="B7698" s="953"/>
      <c r="C7698" s="953"/>
      <c r="D7698" s="953"/>
      <c r="E7698" s="953"/>
      <c r="F7698" s="953"/>
      <c r="G7698" s="953"/>
      <c r="H7698" s="953"/>
    </row>
    <row r="7699" spans="1:8" x14ac:dyDescent="0.25">
      <c r="A7699" s="952"/>
      <c r="B7699" s="953"/>
      <c r="C7699" s="953"/>
      <c r="D7699" s="953"/>
      <c r="E7699" s="953"/>
      <c r="F7699" s="953"/>
      <c r="G7699" s="953"/>
      <c r="H7699" s="953"/>
    </row>
    <row r="7700" spans="1:8" x14ac:dyDescent="0.25">
      <c r="A7700" s="952"/>
      <c r="B7700" s="953"/>
      <c r="C7700" s="953"/>
      <c r="D7700" s="953"/>
      <c r="E7700" s="953"/>
      <c r="F7700" s="953"/>
      <c r="G7700" s="953"/>
      <c r="H7700" s="953"/>
    </row>
    <row r="7701" spans="1:8" x14ac:dyDescent="0.25">
      <c r="A7701" s="952"/>
      <c r="B7701" s="953"/>
      <c r="C7701" s="953"/>
      <c r="D7701" s="953"/>
      <c r="E7701" s="953"/>
      <c r="F7701" s="953"/>
      <c r="G7701" s="953"/>
      <c r="H7701" s="953"/>
    </row>
    <row r="7702" spans="1:8" x14ac:dyDescent="0.25">
      <c r="A7702" s="952"/>
      <c r="B7702" s="953"/>
      <c r="C7702" s="953"/>
      <c r="D7702" s="953"/>
      <c r="E7702" s="953"/>
      <c r="F7702" s="953"/>
      <c r="G7702" s="953"/>
      <c r="H7702" s="953"/>
    </row>
    <row r="7703" spans="1:8" x14ac:dyDescent="0.25">
      <c r="A7703" s="952"/>
      <c r="B7703" s="953"/>
      <c r="C7703" s="953"/>
      <c r="D7703" s="953"/>
      <c r="E7703" s="953"/>
      <c r="F7703" s="953"/>
      <c r="G7703" s="953"/>
      <c r="H7703" s="953"/>
    </row>
    <row r="7704" spans="1:8" x14ac:dyDescent="0.25">
      <c r="A7704" s="952"/>
      <c r="B7704" s="953"/>
      <c r="C7704" s="953"/>
      <c r="D7704" s="953"/>
      <c r="E7704" s="953"/>
      <c r="F7704" s="953"/>
      <c r="G7704" s="953"/>
      <c r="H7704" s="953"/>
    </row>
    <row r="7705" spans="1:8" x14ac:dyDescent="0.25">
      <c r="A7705" s="952"/>
      <c r="B7705" s="953"/>
      <c r="C7705" s="953"/>
      <c r="D7705" s="953"/>
      <c r="E7705" s="953"/>
      <c r="F7705" s="953"/>
      <c r="G7705" s="953"/>
      <c r="H7705" s="953"/>
    </row>
    <row r="7706" spans="1:8" x14ac:dyDescent="0.25">
      <c r="A7706" s="952"/>
      <c r="B7706" s="953"/>
      <c r="C7706" s="953"/>
      <c r="D7706" s="953"/>
      <c r="E7706" s="953"/>
      <c r="F7706" s="953"/>
      <c r="G7706" s="953"/>
      <c r="H7706" s="953"/>
    </row>
    <row r="7707" spans="1:8" x14ac:dyDescent="0.25">
      <c r="A7707" s="952"/>
      <c r="B7707" s="953"/>
      <c r="C7707" s="953"/>
      <c r="D7707" s="953"/>
      <c r="E7707" s="953"/>
      <c r="F7707" s="953"/>
      <c r="G7707" s="953"/>
      <c r="H7707" s="953"/>
    </row>
    <row r="7708" spans="1:8" x14ac:dyDescent="0.25">
      <c r="A7708" s="952"/>
      <c r="B7708" s="953"/>
      <c r="C7708" s="953"/>
      <c r="D7708" s="953"/>
      <c r="E7708" s="953"/>
      <c r="F7708" s="953"/>
      <c r="G7708" s="953"/>
      <c r="H7708" s="953"/>
    </row>
    <row r="7709" spans="1:8" x14ac:dyDescent="0.25">
      <c r="A7709" s="952"/>
      <c r="B7709" s="953"/>
      <c r="C7709" s="953"/>
      <c r="D7709" s="953"/>
      <c r="E7709" s="953"/>
      <c r="F7709" s="953"/>
      <c r="G7709" s="953"/>
      <c r="H7709" s="953"/>
    </row>
    <row r="7710" spans="1:8" x14ac:dyDescent="0.25">
      <c r="A7710" s="952"/>
      <c r="B7710" s="953"/>
      <c r="C7710" s="953"/>
      <c r="D7710" s="953"/>
      <c r="E7710" s="953"/>
      <c r="F7710" s="953"/>
      <c r="G7710" s="953"/>
      <c r="H7710" s="953"/>
    </row>
    <row r="7711" spans="1:8" x14ac:dyDescent="0.25">
      <c r="A7711" s="952"/>
      <c r="B7711" s="953"/>
      <c r="C7711" s="953"/>
      <c r="D7711" s="953"/>
      <c r="E7711" s="953"/>
      <c r="F7711" s="953"/>
      <c r="G7711" s="953"/>
      <c r="H7711" s="953"/>
    </row>
    <row r="7712" spans="1:8" x14ac:dyDescent="0.25">
      <c r="A7712" s="952"/>
      <c r="B7712" s="953"/>
      <c r="C7712" s="953"/>
      <c r="D7712" s="953"/>
      <c r="E7712" s="953"/>
      <c r="F7712" s="953"/>
      <c r="G7712" s="953"/>
      <c r="H7712" s="953"/>
    </row>
    <row r="7713" spans="1:8" x14ac:dyDescent="0.25">
      <c r="A7713" s="952"/>
      <c r="B7713" s="953"/>
      <c r="C7713" s="953"/>
      <c r="D7713" s="953"/>
      <c r="E7713" s="953"/>
      <c r="F7713" s="953"/>
      <c r="G7713" s="953"/>
      <c r="H7713" s="953"/>
    </row>
    <row r="7714" spans="1:8" x14ac:dyDescent="0.25">
      <c r="A7714" s="952"/>
      <c r="B7714" s="953"/>
      <c r="C7714" s="953"/>
      <c r="D7714" s="953"/>
      <c r="E7714" s="953"/>
      <c r="F7714" s="953"/>
      <c r="G7714" s="953"/>
      <c r="H7714" s="953"/>
    </row>
    <row r="7715" spans="1:8" x14ac:dyDescent="0.25">
      <c r="A7715" s="952"/>
      <c r="B7715" s="953"/>
      <c r="C7715" s="953"/>
      <c r="D7715" s="953"/>
      <c r="E7715" s="953"/>
      <c r="F7715" s="953"/>
      <c r="G7715" s="953"/>
      <c r="H7715" s="953"/>
    </row>
    <row r="7716" spans="1:8" x14ac:dyDescent="0.25">
      <c r="A7716" s="952"/>
      <c r="B7716" s="953"/>
      <c r="C7716" s="953"/>
      <c r="D7716" s="953"/>
      <c r="E7716" s="953"/>
      <c r="F7716" s="953"/>
      <c r="G7716" s="953"/>
      <c r="H7716" s="953"/>
    </row>
    <row r="7717" spans="1:8" x14ac:dyDescent="0.25">
      <c r="A7717" s="952"/>
      <c r="B7717" s="953"/>
      <c r="C7717" s="953"/>
      <c r="D7717" s="953"/>
      <c r="E7717" s="953"/>
      <c r="F7717" s="953"/>
      <c r="G7717" s="953"/>
      <c r="H7717" s="953"/>
    </row>
    <row r="7718" spans="1:8" x14ac:dyDescent="0.25">
      <c r="A7718" s="952"/>
      <c r="B7718" s="953"/>
      <c r="C7718" s="953"/>
      <c r="D7718" s="953"/>
      <c r="E7718" s="953"/>
      <c r="F7718" s="953"/>
      <c r="G7718" s="953"/>
      <c r="H7718" s="953"/>
    </row>
    <row r="7719" spans="1:8" x14ac:dyDescent="0.25">
      <c r="A7719" s="952"/>
      <c r="B7719" s="953"/>
      <c r="C7719" s="953"/>
      <c r="D7719" s="953"/>
      <c r="E7719" s="953"/>
      <c r="F7719" s="953"/>
      <c r="G7719" s="953"/>
      <c r="H7719" s="953"/>
    </row>
    <row r="7720" spans="1:8" x14ac:dyDescent="0.25">
      <c r="A7720" s="952"/>
      <c r="B7720" s="953"/>
      <c r="C7720" s="953"/>
      <c r="D7720" s="953"/>
      <c r="E7720" s="953"/>
      <c r="F7720" s="953"/>
      <c r="G7720" s="953"/>
      <c r="H7720" s="953"/>
    </row>
    <row r="7721" spans="1:8" x14ac:dyDescent="0.25">
      <c r="A7721" s="952"/>
      <c r="B7721" s="953"/>
      <c r="C7721" s="953"/>
      <c r="D7721" s="953"/>
      <c r="E7721" s="953"/>
      <c r="F7721" s="953"/>
      <c r="G7721" s="953"/>
      <c r="H7721" s="953"/>
    </row>
    <row r="7722" spans="1:8" x14ac:dyDescent="0.25">
      <c r="A7722" s="952"/>
      <c r="B7722" s="953"/>
      <c r="C7722" s="953"/>
      <c r="D7722" s="953"/>
      <c r="E7722" s="953"/>
      <c r="F7722" s="953"/>
      <c r="G7722" s="953"/>
      <c r="H7722" s="953"/>
    </row>
    <row r="7723" spans="1:8" x14ac:dyDescent="0.25">
      <c r="A7723" s="952"/>
      <c r="B7723" s="953"/>
      <c r="C7723" s="953"/>
      <c r="D7723" s="953"/>
      <c r="E7723" s="953"/>
      <c r="F7723" s="953"/>
      <c r="G7723" s="953"/>
      <c r="H7723" s="953"/>
    </row>
    <row r="7724" spans="1:8" x14ac:dyDescent="0.25">
      <c r="A7724" s="952"/>
      <c r="B7724" s="953"/>
      <c r="C7724" s="953"/>
      <c r="D7724" s="953"/>
      <c r="E7724" s="953"/>
      <c r="F7724" s="953"/>
      <c r="G7724" s="953"/>
      <c r="H7724" s="953"/>
    </row>
    <row r="7725" spans="1:8" x14ac:dyDescent="0.25">
      <c r="A7725" s="952"/>
      <c r="B7725" s="953"/>
      <c r="C7725" s="953"/>
      <c r="D7725" s="953"/>
      <c r="E7725" s="953"/>
      <c r="F7725" s="953"/>
      <c r="G7725" s="953"/>
      <c r="H7725" s="953"/>
    </row>
    <row r="7726" spans="1:8" x14ac:dyDescent="0.25">
      <c r="A7726" s="952"/>
      <c r="B7726" s="953"/>
      <c r="C7726" s="953"/>
      <c r="D7726" s="953"/>
      <c r="E7726" s="953"/>
      <c r="F7726" s="953"/>
      <c r="G7726" s="953"/>
      <c r="H7726" s="953"/>
    </row>
    <row r="7727" spans="1:8" x14ac:dyDescent="0.25">
      <c r="A7727" s="952"/>
      <c r="B7727" s="953"/>
      <c r="C7727" s="953"/>
      <c r="D7727" s="953"/>
      <c r="E7727" s="953"/>
      <c r="F7727" s="953"/>
      <c r="G7727" s="953"/>
      <c r="H7727" s="953"/>
    </row>
    <row r="7728" spans="1:8" x14ac:dyDescent="0.25">
      <c r="A7728" s="952"/>
      <c r="B7728" s="953"/>
      <c r="C7728" s="953"/>
      <c r="D7728" s="953"/>
      <c r="E7728" s="953"/>
      <c r="F7728" s="953"/>
      <c r="G7728" s="953"/>
      <c r="H7728" s="953"/>
    </row>
    <row r="7729" spans="1:8" x14ac:dyDescent="0.25">
      <c r="A7729" s="952"/>
      <c r="B7729" s="953"/>
      <c r="C7729" s="953"/>
      <c r="D7729" s="953"/>
      <c r="E7729" s="953"/>
      <c r="F7729" s="953"/>
      <c r="G7729" s="953"/>
      <c r="H7729" s="953"/>
    </row>
    <row r="7730" spans="1:8" x14ac:dyDescent="0.25">
      <c r="A7730" s="952"/>
      <c r="B7730" s="953"/>
      <c r="C7730" s="953"/>
      <c r="D7730" s="953"/>
      <c r="E7730" s="953"/>
      <c r="F7730" s="953"/>
      <c r="G7730" s="953"/>
      <c r="H7730" s="953"/>
    </row>
    <row r="7731" spans="1:8" x14ac:dyDescent="0.25">
      <c r="A7731" s="952"/>
      <c r="B7731" s="953"/>
      <c r="C7731" s="953"/>
      <c r="D7731" s="953"/>
      <c r="E7731" s="953"/>
      <c r="F7731" s="953"/>
      <c r="G7731" s="953"/>
      <c r="H7731" s="953"/>
    </row>
    <row r="7732" spans="1:8" x14ac:dyDescent="0.25">
      <c r="A7732" s="952"/>
      <c r="B7732" s="953"/>
      <c r="C7732" s="953"/>
      <c r="D7732" s="953"/>
      <c r="E7732" s="953"/>
      <c r="F7732" s="953"/>
      <c r="G7732" s="953"/>
      <c r="H7732" s="953"/>
    </row>
    <row r="7733" spans="1:8" x14ac:dyDescent="0.25">
      <c r="A7733" s="952"/>
      <c r="B7733" s="953"/>
      <c r="C7733" s="953"/>
      <c r="D7733" s="953"/>
      <c r="E7733" s="953"/>
      <c r="F7733" s="953"/>
      <c r="G7733" s="953"/>
      <c r="H7733" s="953"/>
    </row>
    <row r="7734" spans="1:8" x14ac:dyDescent="0.25">
      <c r="A7734" s="952"/>
      <c r="B7734" s="953"/>
      <c r="C7734" s="953"/>
      <c r="D7734" s="953"/>
      <c r="E7734" s="953"/>
      <c r="F7734" s="953"/>
      <c r="G7734" s="953"/>
      <c r="H7734" s="953"/>
    </row>
    <row r="7735" spans="1:8" x14ac:dyDescent="0.25">
      <c r="A7735" s="952"/>
      <c r="B7735" s="953"/>
      <c r="C7735" s="953"/>
      <c r="D7735" s="953"/>
      <c r="E7735" s="953"/>
      <c r="F7735" s="953"/>
      <c r="G7735" s="953"/>
      <c r="H7735" s="953"/>
    </row>
    <row r="7736" spans="1:8" x14ac:dyDescent="0.25">
      <c r="A7736" s="952"/>
      <c r="B7736" s="953"/>
      <c r="C7736" s="953"/>
      <c r="D7736" s="953"/>
      <c r="E7736" s="953"/>
      <c r="F7736" s="953"/>
      <c r="G7736" s="953"/>
      <c r="H7736" s="953"/>
    </row>
    <row r="7737" spans="1:8" x14ac:dyDescent="0.25">
      <c r="A7737" s="952"/>
      <c r="B7737" s="953"/>
      <c r="C7737" s="953"/>
      <c r="D7737" s="953"/>
      <c r="E7737" s="953"/>
      <c r="F7737" s="953"/>
      <c r="G7737" s="953"/>
      <c r="H7737" s="953"/>
    </row>
    <row r="7738" spans="1:8" x14ac:dyDescent="0.25">
      <c r="A7738" s="952"/>
      <c r="B7738" s="953"/>
      <c r="C7738" s="953"/>
      <c r="D7738" s="953"/>
      <c r="E7738" s="953"/>
      <c r="F7738" s="953"/>
      <c r="G7738" s="953"/>
      <c r="H7738" s="953"/>
    </row>
    <row r="7739" spans="1:8" x14ac:dyDescent="0.25">
      <c r="A7739" s="952"/>
      <c r="B7739" s="953"/>
      <c r="C7739" s="953"/>
      <c r="D7739" s="953"/>
      <c r="E7739" s="953"/>
      <c r="F7739" s="953"/>
      <c r="G7739" s="953"/>
      <c r="H7739" s="953"/>
    </row>
    <row r="7740" spans="1:8" x14ac:dyDescent="0.25">
      <c r="A7740" s="952"/>
      <c r="B7740" s="953"/>
      <c r="C7740" s="953"/>
      <c r="D7740" s="953"/>
      <c r="E7740" s="953"/>
      <c r="F7740" s="953"/>
      <c r="G7740" s="953"/>
      <c r="H7740" s="953"/>
    </row>
    <row r="7741" spans="1:8" x14ac:dyDescent="0.25">
      <c r="A7741" s="952"/>
      <c r="B7741" s="953"/>
      <c r="C7741" s="953"/>
      <c r="D7741" s="953"/>
      <c r="E7741" s="953"/>
      <c r="F7741" s="953"/>
      <c r="G7741" s="953"/>
      <c r="H7741" s="953"/>
    </row>
    <row r="7742" spans="1:8" x14ac:dyDescent="0.25">
      <c r="A7742" s="952"/>
      <c r="B7742" s="953"/>
      <c r="C7742" s="953"/>
      <c r="D7742" s="953"/>
      <c r="E7742" s="953"/>
      <c r="F7742" s="953"/>
      <c r="G7742" s="953"/>
      <c r="H7742" s="953"/>
    </row>
    <row r="7743" spans="1:8" x14ac:dyDescent="0.25">
      <c r="A7743" s="952"/>
      <c r="B7743" s="953"/>
      <c r="C7743" s="953"/>
      <c r="D7743" s="953"/>
      <c r="E7743" s="953"/>
      <c r="F7743" s="953"/>
      <c r="G7743" s="953"/>
      <c r="H7743" s="953"/>
    </row>
    <row r="7744" spans="1:8" x14ac:dyDescent="0.25">
      <c r="A7744" s="952"/>
      <c r="B7744" s="953"/>
      <c r="C7744" s="953"/>
      <c r="D7744" s="953"/>
      <c r="E7744" s="953"/>
      <c r="F7744" s="953"/>
      <c r="G7744" s="953"/>
      <c r="H7744" s="953"/>
    </row>
    <row r="7745" spans="1:8" x14ac:dyDescent="0.25">
      <c r="A7745" s="952"/>
      <c r="B7745" s="953"/>
      <c r="C7745" s="953"/>
      <c r="D7745" s="953"/>
      <c r="E7745" s="953"/>
      <c r="F7745" s="953"/>
      <c r="G7745" s="953"/>
      <c r="H7745" s="953"/>
    </row>
    <row r="7746" spans="1:8" x14ac:dyDescent="0.25">
      <c r="A7746" s="952"/>
      <c r="B7746" s="953"/>
      <c r="C7746" s="953"/>
      <c r="D7746" s="953"/>
      <c r="E7746" s="953"/>
      <c r="F7746" s="953"/>
      <c r="G7746" s="953"/>
      <c r="H7746" s="953"/>
    </row>
    <row r="7747" spans="1:8" x14ac:dyDescent="0.25">
      <c r="A7747" s="952"/>
      <c r="B7747" s="953"/>
      <c r="C7747" s="953"/>
      <c r="D7747" s="953"/>
      <c r="E7747" s="953"/>
      <c r="F7747" s="953"/>
      <c r="G7747" s="953"/>
      <c r="H7747" s="953"/>
    </row>
    <row r="7748" spans="1:8" x14ac:dyDescent="0.25">
      <c r="A7748" s="952"/>
      <c r="B7748" s="953"/>
      <c r="C7748" s="953"/>
      <c r="D7748" s="953"/>
      <c r="E7748" s="953"/>
      <c r="F7748" s="953"/>
      <c r="G7748" s="953"/>
      <c r="H7748" s="953"/>
    </row>
    <row r="7749" spans="1:8" x14ac:dyDescent="0.25">
      <c r="A7749" s="952"/>
      <c r="B7749" s="953"/>
      <c r="C7749" s="953"/>
      <c r="D7749" s="953"/>
      <c r="E7749" s="953"/>
      <c r="F7749" s="953"/>
      <c r="G7749" s="953"/>
      <c r="H7749" s="953"/>
    </row>
    <row r="7750" spans="1:8" x14ac:dyDescent="0.25">
      <c r="A7750" s="952"/>
      <c r="B7750" s="953"/>
      <c r="C7750" s="953"/>
      <c r="D7750" s="953"/>
      <c r="E7750" s="953"/>
      <c r="F7750" s="953"/>
      <c r="G7750" s="953"/>
      <c r="H7750" s="953"/>
    </row>
    <row r="7751" spans="1:8" x14ac:dyDescent="0.25">
      <c r="A7751" s="952"/>
      <c r="B7751" s="953"/>
      <c r="C7751" s="953"/>
      <c r="D7751" s="953"/>
      <c r="E7751" s="953"/>
      <c r="F7751" s="953"/>
      <c r="G7751" s="953"/>
      <c r="H7751" s="953"/>
    </row>
    <row r="7752" spans="1:8" x14ac:dyDescent="0.25">
      <c r="A7752" s="952"/>
      <c r="B7752" s="953"/>
      <c r="C7752" s="953"/>
      <c r="D7752" s="953"/>
      <c r="E7752" s="953"/>
      <c r="F7752" s="953"/>
      <c r="G7752" s="953"/>
      <c r="H7752" s="953"/>
    </row>
    <row r="7753" spans="1:8" x14ac:dyDescent="0.25">
      <c r="A7753" s="952"/>
      <c r="B7753" s="953"/>
      <c r="C7753" s="953"/>
      <c r="D7753" s="953"/>
      <c r="E7753" s="953"/>
      <c r="F7753" s="953"/>
      <c r="G7753" s="953"/>
      <c r="H7753" s="953"/>
    </row>
    <row r="7754" spans="1:8" x14ac:dyDescent="0.25">
      <c r="A7754" s="952"/>
      <c r="B7754" s="953"/>
      <c r="C7754" s="953"/>
      <c r="D7754" s="953"/>
      <c r="E7754" s="953"/>
      <c r="F7754" s="953"/>
      <c r="G7754" s="953"/>
      <c r="H7754" s="953"/>
    </row>
    <row r="7755" spans="1:8" x14ac:dyDescent="0.25">
      <c r="A7755" s="952"/>
      <c r="B7755" s="953"/>
      <c r="C7755" s="953"/>
      <c r="D7755" s="953"/>
      <c r="E7755" s="953"/>
      <c r="F7755" s="953"/>
      <c r="G7755" s="953"/>
      <c r="H7755" s="953"/>
    </row>
    <row r="7756" spans="1:8" x14ac:dyDescent="0.25">
      <c r="A7756" s="952"/>
      <c r="B7756" s="953"/>
      <c r="C7756" s="953"/>
      <c r="D7756" s="953"/>
      <c r="E7756" s="953"/>
      <c r="F7756" s="953"/>
      <c r="G7756" s="953"/>
      <c r="H7756" s="953"/>
    </row>
    <row r="7757" spans="1:8" x14ac:dyDescent="0.25">
      <c r="A7757" s="952"/>
      <c r="B7757" s="953"/>
      <c r="C7757" s="953"/>
      <c r="D7757" s="953"/>
      <c r="E7757" s="953"/>
      <c r="F7757" s="953"/>
      <c r="G7757" s="953"/>
      <c r="H7757" s="953"/>
    </row>
    <row r="7758" spans="1:8" x14ac:dyDescent="0.25">
      <c r="A7758" s="952"/>
      <c r="B7758" s="953"/>
      <c r="C7758" s="953"/>
      <c r="D7758" s="953"/>
      <c r="E7758" s="953"/>
      <c r="F7758" s="953"/>
      <c r="G7758" s="953"/>
      <c r="H7758" s="953"/>
    </row>
    <row r="7759" spans="1:8" x14ac:dyDescent="0.25">
      <c r="A7759" s="952"/>
      <c r="B7759" s="953"/>
      <c r="C7759" s="953"/>
      <c r="D7759" s="953"/>
      <c r="E7759" s="953"/>
      <c r="F7759" s="953"/>
      <c r="G7759" s="953"/>
      <c r="H7759" s="953"/>
    </row>
    <row r="7760" spans="1:8" x14ac:dyDescent="0.25">
      <c r="A7760" s="952"/>
      <c r="B7760" s="953"/>
      <c r="C7760" s="953"/>
      <c r="D7760" s="953"/>
      <c r="E7760" s="953"/>
      <c r="F7760" s="953"/>
      <c r="G7760" s="953"/>
      <c r="H7760" s="953"/>
    </row>
    <row r="7761" spans="1:8" x14ac:dyDescent="0.25">
      <c r="A7761" s="952"/>
      <c r="B7761" s="953"/>
      <c r="C7761" s="953"/>
      <c r="D7761" s="953"/>
      <c r="E7761" s="953"/>
      <c r="F7761" s="953"/>
      <c r="G7761" s="953"/>
      <c r="H7761" s="953"/>
    </row>
    <row r="7762" spans="1:8" x14ac:dyDescent="0.25">
      <c r="A7762" s="952"/>
      <c r="B7762" s="953"/>
      <c r="C7762" s="953"/>
      <c r="D7762" s="953"/>
      <c r="E7762" s="953"/>
      <c r="F7762" s="953"/>
      <c r="G7762" s="953"/>
      <c r="H7762" s="953"/>
    </row>
    <row r="7763" spans="1:8" x14ac:dyDescent="0.25">
      <c r="A7763" s="952"/>
      <c r="B7763" s="953"/>
      <c r="C7763" s="953"/>
      <c r="D7763" s="953"/>
      <c r="E7763" s="953"/>
      <c r="F7763" s="953"/>
      <c r="G7763" s="953"/>
      <c r="H7763" s="953"/>
    </row>
    <row r="7764" spans="1:8" x14ac:dyDescent="0.25">
      <c r="A7764" s="952"/>
      <c r="B7764" s="953"/>
      <c r="C7764" s="953"/>
      <c r="D7764" s="953"/>
      <c r="E7764" s="953"/>
      <c r="F7764" s="953"/>
      <c r="G7764" s="953"/>
      <c r="H7764" s="953"/>
    </row>
    <row r="7765" spans="1:8" x14ac:dyDescent="0.25">
      <c r="A7765" s="952"/>
      <c r="B7765" s="953"/>
      <c r="C7765" s="953"/>
      <c r="D7765" s="953"/>
      <c r="E7765" s="953"/>
      <c r="F7765" s="953"/>
      <c r="G7765" s="953"/>
      <c r="H7765" s="953"/>
    </row>
    <row r="7766" spans="1:8" x14ac:dyDescent="0.25">
      <c r="A7766" s="952"/>
      <c r="B7766" s="953"/>
      <c r="C7766" s="953"/>
      <c r="D7766" s="953"/>
      <c r="E7766" s="953"/>
      <c r="F7766" s="953"/>
      <c r="G7766" s="953"/>
      <c r="H7766" s="953"/>
    </row>
    <row r="7767" spans="1:8" x14ac:dyDescent="0.25">
      <c r="A7767" s="952"/>
      <c r="B7767" s="953"/>
      <c r="C7767" s="953"/>
      <c r="D7767" s="953"/>
      <c r="E7767" s="953"/>
      <c r="F7767" s="953"/>
      <c r="G7767" s="953"/>
      <c r="H7767" s="953"/>
    </row>
    <row r="7768" spans="1:8" x14ac:dyDescent="0.25">
      <c r="A7768" s="952"/>
      <c r="B7768" s="953"/>
      <c r="C7768" s="953"/>
      <c r="D7768" s="953"/>
      <c r="E7768" s="953"/>
      <c r="F7768" s="953"/>
      <c r="G7768" s="953"/>
      <c r="H7768" s="953"/>
    </row>
    <row r="7769" spans="1:8" x14ac:dyDescent="0.25">
      <c r="A7769" s="952"/>
      <c r="B7769" s="953"/>
      <c r="C7769" s="953"/>
      <c r="D7769" s="953"/>
      <c r="E7769" s="953"/>
      <c r="F7769" s="953"/>
      <c r="G7769" s="953"/>
      <c r="H7769" s="953"/>
    </row>
    <row r="7770" spans="1:8" x14ac:dyDescent="0.25">
      <c r="A7770" s="952"/>
      <c r="B7770" s="953"/>
      <c r="C7770" s="953"/>
      <c r="D7770" s="953"/>
      <c r="E7770" s="953"/>
      <c r="F7770" s="953"/>
      <c r="G7770" s="953"/>
      <c r="H7770" s="953"/>
    </row>
    <row r="7771" spans="1:8" x14ac:dyDescent="0.25">
      <c r="A7771" s="952"/>
      <c r="B7771" s="953"/>
      <c r="C7771" s="953"/>
      <c r="D7771" s="953"/>
      <c r="E7771" s="953"/>
      <c r="F7771" s="953"/>
      <c r="G7771" s="953"/>
      <c r="H7771" s="953"/>
    </row>
    <row r="7772" spans="1:8" x14ac:dyDescent="0.25">
      <c r="A7772" s="952"/>
      <c r="B7772" s="953"/>
      <c r="C7772" s="953"/>
      <c r="D7772" s="953"/>
      <c r="E7772" s="953"/>
      <c r="F7772" s="953"/>
      <c r="G7772" s="953"/>
      <c r="H7772" s="953"/>
    </row>
    <row r="7773" spans="1:8" x14ac:dyDescent="0.25">
      <c r="A7773" s="952"/>
      <c r="B7773" s="953"/>
      <c r="C7773" s="953"/>
      <c r="D7773" s="953"/>
      <c r="E7773" s="953"/>
      <c r="F7773" s="953"/>
      <c r="G7773" s="953"/>
      <c r="H7773" s="953"/>
    </row>
    <row r="7774" spans="1:8" x14ac:dyDescent="0.25">
      <c r="A7774" s="952"/>
      <c r="B7774" s="953"/>
      <c r="C7774" s="953"/>
      <c r="D7774" s="953"/>
      <c r="E7774" s="953"/>
      <c r="F7774" s="953"/>
      <c r="G7774" s="953"/>
      <c r="H7774" s="953"/>
    </row>
    <row r="7775" spans="1:8" x14ac:dyDescent="0.25">
      <c r="A7775" s="952"/>
      <c r="B7775" s="953"/>
      <c r="C7775" s="953"/>
      <c r="D7775" s="953"/>
      <c r="E7775" s="953"/>
      <c r="F7775" s="953"/>
      <c r="G7775" s="953"/>
      <c r="H7775" s="953"/>
    </row>
    <row r="7776" spans="1:8" x14ac:dyDescent="0.25">
      <c r="A7776" s="952"/>
      <c r="B7776" s="953"/>
      <c r="C7776" s="953"/>
      <c r="D7776" s="953"/>
      <c r="E7776" s="953"/>
      <c r="F7776" s="953"/>
      <c r="G7776" s="953"/>
      <c r="H7776" s="953"/>
    </row>
    <row r="7777" spans="1:8" x14ac:dyDescent="0.25">
      <c r="A7777" s="952"/>
      <c r="B7777" s="953"/>
      <c r="C7777" s="953"/>
      <c r="D7777" s="953"/>
      <c r="E7777" s="953"/>
      <c r="F7777" s="953"/>
      <c r="G7777" s="953"/>
      <c r="H7777" s="953"/>
    </row>
    <row r="7778" spans="1:8" x14ac:dyDescent="0.25">
      <c r="A7778" s="952"/>
      <c r="B7778" s="953"/>
      <c r="C7778" s="953"/>
      <c r="D7778" s="953"/>
      <c r="E7778" s="953"/>
      <c r="F7778" s="953"/>
      <c r="G7778" s="953"/>
      <c r="H7778" s="953"/>
    </row>
    <row r="7779" spans="1:8" x14ac:dyDescent="0.25">
      <c r="A7779" s="952"/>
      <c r="B7779" s="953"/>
      <c r="C7779" s="953"/>
      <c r="D7779" s="953"/>
      <c r="E7779" s="953"/>
      <c r="F7779" s="953"/>
      <c r="G7779" s="953"/>
      <c r="H7779" s="953"/>
    </row>
    <row r="7780" spans="1:8" x14ac:dyDescent="0.25">
      <c r="A7780" s="952"/>
      <c r="B7780" s="953"/>
      <c r="C7780" s="953"/>
      <c r="D7780" s="953"/>
      <c r="E7780" s="953"/>
      <c r="F7780" s="953"/>
      <c r="G7780" s="953"/>
      <c r="H7780" s="953"/>
    </row>
    <row r="7781" spans="1:8" x14ac:dyDescent="0.25">
      <c r="A7781" s="952"/>
      <c r="B7781" s="953"/>
      <c r="C7781" s="953"/>
      <c r="D7781" s="953"/>
      <c r="E7781" s="953"/>
      <c r="F7781" s="953"/>
      <c r="G7781" s="953"/>
      <c r="H7781" s="953"/>
    </row>
    <row r="7782" spans="1:8" x14ac:dyDescent="0.25">
      <c r="A7782" s="952"/>
      <c r="B7782" s="953"/>
      <c r="C7782" s="953"/>
      <c r="D7782" s="953"/>
      <c r="E7782" s="953"/>
      <c r="F7782" s="953"/>
      <c r="G7782" s="953"/>
      <c r="H7782" s="953"/>
    </row>
    <row r="7783" spans="1:8" x14ac:dyDescent="0.25">
      <c r="A7783" s="952"/>
      <c r="B7783" s="953"/>
      <c r="C7783" s="953"/>
      <c r="D7783" s="953"/>
      <c r="E7783" s="953"/>
      <c r="F7783" s="953"/>
      <c r="G7783" s="953"/>
      <c r="H7783" s="953"/>
    </row>
    <row r="7784" spans="1:8" x14ac:dyDescent="0.25">
      <c r="A7784" s="952"/>
      <c r="B7784" s="953"/>
      <c r="C7784" s="953"/>
      <c r="D7784" s="953"/>
      <c r="E7784" s="953"/>
      <c r="F7784" s="953"/>
      <c r="G7784" s="953"/>
      <c r="H7784" s="953"/>
    </row>
    <row r="7785" spans="1:8" x14ac:dyDescent="0.25">
      <c r="A7785" s="952"/>
      <c r="B7785" s="953"/>
      <c r="C7785" s="953"/>
      <c r="D7785" s="953"/>
      <c r="E7785" s="953"/>
      <c r="F7785" s="953"/>
      <c r="G7785" s="953"/>
      <c r="H7785" s="953"/>
    </row>
    <row r="7786" spans="1:8" x14ac:dyDescent="0.25">
      <c r="A7786" s="952"/>
      <c r="B7786" s="953"/>
      <c r="C7786" s="953"/>
      <c r="D7786" s="953"/>
      <c r="E7786" s="953"/>
      <c r="F7786" s="953"/>
      <c r="G7786" s="953"/>
      <c r="H7786" s="953"/>
    </row>
    <row r="7787" spans="1:8" x14ac:dyDescent="0.25">
      <c r="A7787" s="952"/>
      <c r="B7787" s="953"/>
      <c r="C7787" s="953"/>
      <c r="D7787" s="953"/>
      <c r="E7787" s="953"/>
      <c r="F7787" s="953"/>
      <c r="G7787" s="953"/>
      <c r="H7787" s="953"/>
    </row>
    <row r="7788" spans="1:8" x14ac:dyDescent="0.25">
      <c r="A7788" s="952"/>
      <c r="B7788" s="953"/>
      <c r="C7788" s="953"/>
      <c r="D7788" s="953"/>
      <c r="E7788" s="953"/>
      <c r="F7788" s="953"/>
      <c r="G7788" s="953"/>
      <c r="H7788" s="953"/>
    </row>
    <row r="7789" spans="1:8" x14ac:dyDescent="0.25">
      <c r="A7789" s="952"/>
      <c r="B7789" s="953"/>
      <c r="C7789" s="953"/>
      <c r="D7789" s="953"/>
      <c r="E7789" s="953"/>
      <c r="F7789" s="953"/>
      <c r="G7789" s="953"/>
      <c r="H7789" s="953"/>
    </row>
    <row r="7790" spans="1:8" x14ac:dyDescent="0.25">
      <c r="A7790" s="952"/>
      <c r="B7790" s="953"/>
      <c r="C7790" s="953"/>
      <c r="D7790" s="953"/>
      <c r="E7790" s="953"/>
      <c r="F7790" s="953"/>
      <c r="G7790" s="953"/>
      <c r="H7790" s="953"/>
    </row>
    <row r="7791" spans="1:8" x14ac:dyDescent="0.25">
      <c r="A7791" s="952"/>
      <c r="B7791" s="953"/>
      <c r="C7791" s="953"/>
      <c r="D7791" s="953"/>
      <c r="E7791" s="953"/>
      <c r="F7791" s="953"/>
      <c r="G7791" s="953"/>
      <c r="H7791" s="953"/>
    </row>
    <row r="7792" spans="1:8" x14ac:dyDescent="0.25">
      <c r="A7792" s="952"/>
      <c r="B7792" s="953"/>
      <c r="C7792" s="953"/>
      <c r="D7792" s="953"/>
      <c r="E7792" s="953"/>
      <c r="F7792" s="953"/>
      <c r="G7792" s="953"/>
      <c r="H7792" s="953"/>
    </row>
    <row r="7793" spans="1:8" x14ac:dyDescent="0.25">
      <c r="A7793" s="952"/>
      <c r="B7793" s="953"/>
      <c r="C7793" s="953"/>
      <c r="D7793" s="953"/>
      <c r="E7793" s="953"/>
      <c r="F7793" s="953"/>
      <c r="G7793" s="953"/>
      <c r="H7793" s="953"/>
    </row>
    <row r="7794" spans="1:8" x14ac:dyDescent="0.25">
      <c r="A7794" s="952"/>
      <c r="B7794" s="953"/>
      <c r="C7794" s="953"/>
      <c r="D7794" s="953"/>
      <c r="E7794" s="953"/>
      <c r="F7794" s="953"/>
      <c r="G7794" s="953"/>
      <c r="H7794" s="953"/>
    </row>
    <row r="7795" spans="1:8" x14ac:dyDescent="0.25">
      <c r="A7795" s="952"/>
      <c r="B7795" s="953"/>
      <c r="C7795" s="953"/>
      <c r="D7795" s="953"/>
      <c r="E7795" s="953"/>
      <c r="F7795" s="953"/>
      <c r="G7795" s="953"/>
      <c r="H7795" s="953"/>
    </row>
    <row r="7796" spans="1:8" x14ac:dyDescent="0.25">
      <c r="A7796" s="952"/>
      <c r="B7796" s="953"/>
      <c r="C7796" s="953"/>
      <c r="D7796" s="953"/>
      <c r="E7796" s="953"/>
      <c r="F7796" s="953"/>
      <c r="G7796" s="953"/>
      <c r="H7796" s="953"/>
    </row>
    <row r="7797" spans="1:8" x14ac:dyDescent="0.25">
      <c r="A7797" s="952"/>
      <c r="B7797" s="953"/>
      <c r="C7797" s="953"/>
      <c r="D7797" s="953"/>
      <c r="E7797" s="953"/>
      <c r="F7797" s="953"/>
      <c r="G7797" s="953"/>
      <c r="H7797" s="953"/>
    </row>
    <row r="7798" spans="1:8" x14ac:dyDescent="0.25">
      <c r="A7798" s="952"/>
      <c r="B7798" s="953"/>
      <c r="C7798" s="953"/>
      <c r="D7798" s="953"/>
      <c r="E7798" s="953"/>
      <c r="F7798" s="953"/>
      <c r="G7798" s="953"/>
      <c r="H7798" s="953"/>
    </row>
    <row r="7799" spans="1:8" x14ac:dyDescent="0.25">
      <c r="A7799" s="952"/>
      <c r="B7799" s="953"/>
      <c r="C7799" s="953"/>
      <c r="D7799" s="953"/>
      <c r="E7799" s="953"/>
      <c r="F7799" s="953"/>
      <c r="G7799" s="953"/>
      <c r="H7799" s="953"/>
    </row>
    <row r="7800" spans="1:8" x14ac:dyDescent="0.25">
      <c r="A7800" s="952"/>
      <c r="B7800" s="953"/>
      <c r="C7800" s="953"/>
      <c r="D7800" s="953"/>
      <c r="E7800" s="953"/>
      <c r="F7800" s="953"/>
      <c r="G7800" s="953"/>
      <c r="H7800" s="953"/>
    </row>
    <row r="7801" spans="1:8" x14ac:dyDescent="0.25">
      <c r="A7801" s="952"/>
      <c r="B7801" s="953"/>
      <c r="C7801" s="953"/>
      <c r="D7801" s="953"/>
      <c r="E7801" s="953"/>
      <c r="F7801" s="953"/>
      <c r="G7801" s="953"/>
      <c r="H7801" s="953"/>
    </row>
    <row r="7802" spans="1:8" x14ac:dyDescent="0.25">
      <c r="A7802" s="952"/>
      <c r="B7802" s="953"/>
      <c r="C7802" s="953"/>
      <c r="D7802" s="953"/>
      <c r="E7802" s="953"/>
      <c r="F7802" s="953"/>
      <c r="G7802" s="953"/>
      <c r="H7802" s="953"/>
    </row>
    <row r="7803" spans="1:8" x14ac:dyDescent="0.25">
      <c r="A7803" s="952"/>
      <c r="B7803" s="953"/>
      <c r="C7803" s="953"/>
      <c r="D7803" s="953"/>
      <c r="E7803" s="953"/>
      <c r="F7803" s="953"/>
      <c r="G7803" s="953"/>
      <c r="H7803" s="953"/>
    </row>
    <row r="7804" spans="1:8" x14ac:dyDescent="0.25">
      <c r="A7804" s="952"/>
      <c r="B7804" s="953"/>
      <c r="C7804" s="953"/>
      <c r="D7804" s="953"/>
      <c r="E7804" s="953"/>
      <c r="F7804" s="953"/>
      <c r="G7804" s="953"/>
      <c r="H7804" s="953"/>
    </row>
    <row r="7805" spans="1:8" x14ac:dyDescent="0.25">
      <c r="A7805" s="952"/>
      <c r="B7805" s="953"/>
      <c r="C7805" s="953"/>
      <c r="D7805" s="953"/>
      <c r="E7805" s="953"/>
      <c r="F7805" s="953"/>
      <c r="G7805" s="953"/>
      <c r="H7805" s="953"/>
    </row>
    <row r="7806" spans="1:8" x14ac:dyDescent="0.25">
      <c r="A7806" s="952"/>
      <c r="B7806" s="953"/>
      <c r="C7806" s="953"/>
      <c r="D7806" s="953"/>
      <c r="E7806" s="953"/>
      <c r="F7806" s="953"/>
      <c r="G7806" s="953"/>
      <c r="H7806" s="953"/>
    </row>
    <row r="7807" spans="1:8" x14ac:dyDescent="0.25">
      <c r="A7807" s="952"/>
      <c r="B7807" s="953"/>
      <c r="C7807" s="953"/>
      <c r="D7807" s="953"/>
      <c r="E7807" s="953"/>
      <c r="F7807" s="953"/>
      <c r="G7807" s="953"/>
      <c r="H7807" s="953"/>
    </row>
    <row r="7808" spans="1:8" x14ac:dyDescent="0.25">
      <c r="A7808" s="952"/>
      <c r="B7808" s="953"/>
      <c r="C7808" s="953"/>
      <c r="D7808" s="953"/>
      <c r="E7808" s="953"/>
      <c r="F7808" s="953"/>
      <c r="G7808" s="953"/>
      <c r="H7808" s="953"/>
    </row>
    <row r="7809" spans="1:8" x14ac:dyDescent="0.25">
      <c r="A7809" s="952"/>
      <c r="B7809" s="953"/>
      <c r="C7809" s="953"/>
      <c r="D7809" s="953"/>
      <c r="E7809" s="953"/>
      <c r="F7809" s="953"/>
      <c r="G7809" s="953"/>
      <c r="H7809" s="953"/>
    </row>
    <row r="7810" spans="1:8" x14ac:dyDescent="0.25">
      <c r="A7810" s="952"/>
      <c r="B7810" s="953"/>
      <c r="C7810" s="953"/>
      <c r="D7810" s="953"/>
      <c r="E7810" s="953"/>
      <c r="F7810" s="953"/>
      <c r="G7810" s="953"/>
      <c r="H7810" s="953"/>
    </row>
    <row r="7811" spans="1:8" x14ac:dyDescent="0.25">
      <c r="A7811" s="952"/>
      <c r="B7811" s="953"/>
      <c r="C7811" s="953"/>
      <c r="D7811" s="953"/>
      <c r="E7811" s="953"/>
      <c r="F7811" s="953"/>
      <c r="G7811" s="953"/>
      <c r="H7811" s="953"/>
    </row>
    <row r="7812" spans="1:8" x14ac:dyDescent="0.25">
      <c r="A7812" s="952"/>
      <c r="B7812" s="953"/>
      <c r="C7812" s="953"/>
      <c r="D7812" s="953"/>
      <c r="E7812" s="953"/>
      <c r="F7812" s="953"/>
      <c r="G7812" s="953"/>
      <c r="H7812" s="953"/>
    </row>
    <row r="7813" spans="1:8" x14ac:dyDescent="0.25">
      <c r="A7813" s="952"/>
      <c r="B7813" s="953"/>
      <c r="C7813" s="953"/>
      <c r="D7813" s="953"/>
      <c r="E7813" s="953"/>
      <c r="F7813" s="953"/>
      <c r="G7813" s="953"/>
      <c r="H7813" s="953"/>
    </row>
    <row r="7814" spans="1:8" x14ac:dyDescent="0.25">
      <c r="A7814" s="952"/>
      <c r="B7814" s="953"/>
      <c r="C7814" s="953"/>
      <c r="D7814" s="953"/>
      <c r="E7814" s="953"/>
      <c r="F7814" s="953"/>
      <c r="G7814" s="953"/>
      <c r="H7814" s="953"/>
    </row>
    <row r="7815" spans="1:8" x14ac:dyDescent="0.25">
      <c r="A7815" s="952"/>
      <c r="B7815" s="953"/>
      <c r="C7815" s="953"/>
      <c r="D7815" s="953"/>
      <c r="E7815" s="953"/>
      <c r="F7815" s="953"/>
      <c r="G7815" s="953"/>
      <c r="H7815" s="953"/>
    </row>
    <row r="7816" spans="1:8" x14ac:dyDescent="0.25">
      <c r="A7816" s="952"/>
      <c r="B7816" s="953"/>
      <c r="C7816" s="953"/>
      <c r="D7816" s="953"/>
      <c r="E7816" s="953"/>
      <c r="F7816" s="953"/>
      <c r="G7816" s="953"/>
      <c r="H7816" s="953"/>
    </row>
    <row r="7817" spans="1:8" x14ac:dyDescent="0.25">
      <c r="A7817" s="952"/>
      <c r="B7817" s="953"/>
      <c r="C7817" s="953"/>
      <c r="D7817" s="953"/>
      <c r="E7817" s="953"/>
      <c r="F7817" s="953"/>
      <c r="G7817" s="953"/>
      <c r="H7817" s="953"/>
    </row>
    <row r="7818" spans="1:8" x14ac:dyDescent="0.25">
      <c r="A7818" s="952"/>
      <c r="B7818" s="953"/>
      <c r="C7818" s="953"/>
      <c r="D7818" s="953"/>
      <c r="E7818" s="953"/>
      <c r="F7818" s="953"/>
      <c r="G7818" s="953"/>
      <c r="H7818" s="953"/>
    </row>
    <row r="7819" spans="1:8" x14ac:dyDescent="0.25">
      <c r="A7819" s="952"/>
      <c r="B7819" s="953"/>
      <c r="C7819" s="953"/>
      <c r="D7819" s="953"/>
      <c r="E7819" s="953"/>
      <c r="F7819" s="953"/>
      <c r="G7819" s="953"/>
      <c r="H7819" s="953"/>
    </row>
    <row r="7820" spans="1:8" x14ac:dyDescent="0.25">
      <c r="A7820" s="952"/>
      <c r="B7820" s="953"/>
      <c r="C7820" s="953"/>
      <c r="D7820" s="953"/>
      <c r="E7820" s="953"/>
      <c r="F7820" s="953"/>
      <c r="G7820" s="953"/>
      <c r="H7820" s="953"/>
    </row>
    <row r="7821" spans="1:8" x14ac:dyDescent="0.25">
      <c r="A7821" s="952"/>
      <c r="B7821" s="953"/>
      <c r="C7821" s="953"/>
      <c r="D7821" s="953"/>
      <c r="E7821" s="953"/>
      <c r="F7821" s="953"/>
      <c r="G7821" s="953"/>
      <c r="H7821" s="953"/>
    </row>
    <row r="7822" spans="1:8" x14ac:dyDescent="0.25">
      <c r="A7822" s="952"/>
      <c r="B7822" s="953"/>
      <c r="C7822" s="953"/>
      <c r="D7822" s="953"/>
      <c r="E7822" s="953"/>
      <c r="F7822" s="953"/>
      <c r="G7822" s="953"/>
      <c r="H7822" s="953"/>
    </row>
    <row r="7823" spans="1:8" x14ac:dyDescent="0.25">
      <c r="A7823" s="952"/>
      <c r="B7823" s="953"/>
      <c r="C7823" s="953"/>
      <c r="D7823" s="953"/>
      <c r="E7823" s="953"/>
      <c r="F7823" s="953"/>
      <c r="G7823" s="953"/>
      <c r="H7823" s="953"/>
    </row>
    <row r="7824" spans="1:8" x14ac:dyDescent="0.25">
      <c r="A7824" s="952"/>
      <c r="B7824" s="953"/>
      <c r="C7824" s="953"/>
      <c r="D7824" s="953"/>
      <c r="E7824" s="953"/>
      <c r="F7824" s="953"/>
      <c r="G7824" s="953"/>
      <c r="H7824" s="953"/>
    </row>
    <row r="7825" spans="1:8" x14ac:dyDescent="0.25">
      <c r="A7825" s="952"/>
      <c r="B7825" s="953"/>
      <c r="C7825" s="953"/>
      <c r="D7825" s="953"/>
      <c r="E7825" s="953"/>
      <c r="F7825" s="953"/>
      <c r="G7825" s="953"/>
      <c r="H7825" s="953"/>
    </row>
    <row r="7826" spans="1:8" x14ac:dyDescent="0.25">
      <c r="A7826" s="952"/>
      <c r="B7826" s="953"/>
      <c r="C7826" s="953"/>
      <c r="D7826" s="953"/>
      <c r="E7826" s="953"/>
      <c r="F7826" s="953"/>
      <c r="G7826" s="953"/>
      <c r="H7826" s="953"/>
    </row>
    <row r="7827" spans="1:8" x14ac:dyDescent="0.25">
      <c r="A7827" s="952"/>
      <c r="B7827" s="953"/>
      <c r="C7827" s="953"/>
      <c r="D7827" s="953"/>
      <c r="E7827" s="953"/>
      <c r="F7827" s="953"/>
      <c r="G7827" s="953"/>
      <c r="H7827" s="953"/>
    </row>
    <row r="7828" spans="1:8" x14ac:dyDescent="0.25">
      <c r="A7828" s="952"/>
      <c r="B7828" s="953"/>
      <c r="C7828" s="953"/>
      <c r="D7828" s="953"/>
      <c r="E7828" s="953"/>
      <c r="F7828" s="953"/>
      <c r="G7828" s="953"/>
      <c r="H7828" s="953"/>
    </row>
    <row r="7829" spans="1:8" x14ac:dyDescent="0.25">
      <c r="A7829" s="952"/>
      <c r="B7829" s="953"/>
      <c r="C7829" s="953"/>
      <c r="D7829" s="953"/>
      <c r="E7829" s="953"/>
      <c r="F7829" s="953"/>
      <c r="G7829" s="953"/>
      <c r="H7829" s="953"/>
    </row>
    <row r="7830" spans="1:8" x14ac:dyDescent="0.25">
      <c r="A7830" s="952"/>
      <c r="B7830" s="953"/>
      <c r="C7830" s="953"/>
      <c r="D7830" s="953"/>
      <c r="E7830" s="953"/>
      <c r="F7830" s="953"/>
      <c r="G7830" s="953"/>
      <c r="H7830" s="953"/>
    </row>
    <row r="7831" spans="1:8" x14ac:dyDescent="0.25">
      <c r="A7831" s="952"/>
      <c r="B7831" s="953"/>
      <c r="C7831" s="953"/>
      <c r="D7831" s="953"/>
      <c r="E7831" s="953"/>
      <c r="F7831" s="953"/>
      <c r="G7831" s="953"/>
      <c r="H7831" s="953"/>
    </row>
    <row r="7832" spans="1:8" x14ac:dyDescent="0.25">
      <c r="A7832" s="952"/>
      <c r="B7832" s="953"/>
      <c r="C7832" s="953"/>
      <c r="D7832" s="953"/>
      <c r="E7832" s="953"/>
      <c r="F7832" s="953"/>
      <c r="G7832" s="953"/>
      <c r="H7832" s="953"/>
    </row>
    <row r="7833" spans="1:8" x14ac:dyDescent="0.25">
      <c r="A7833" s="952"/>
      <c r="B7833" s="953"/>
      <c r="C7833" s="953"/>
      <c r="D7833" s="953"/>
      <c r="E7833" s="953"/>
      <c r="F7833" s="953"/>
      <c r="G7833" s="953"/>
      <c r="H7833" s="953"/>
    </row>
    <row r="7834" spans="1:8" x14ac:dyDescent="0.25">
      <c r="A7834" s="952"/>
      <c r="B7834" s="953"/>
      <c r="C7834" s="953"/>
      <c r="D7834" s="953"/>
      <c r="E7834" s="953"/>
      <c r="F7834" s="953"/>
      <c r="G7834" s="953"/>
      <c r="H7834" s="953"/>
    </row>
    <row r="7835" spans="1:8" x14ac:dyDescent="0.25">
      <c r="A7835" s="952"/>
      <c r="B7835" s="953"/>
      <c r="C7835" s="953"/>
      <c r="D7835" s="953"/>
      <c r="E7835" s="953"/>
      <c r="F7835" s="953"/>
      <c r="G7835" s="953"/>
      <c r="H7835" s="953"/>
    </row>
    <row r="7836" spans="1:8" x14ac:dyDescent="0.25">
      <c r="A7836" s="952"/>
      <c r="B7836" s="953"/>
      <c r="C7836" s="953"/>
      <c r="D7836" s="953"/>
      <c r="E7836" s="953"/>
      <c r="F7836" s="953"/>
      <c r="G7836" s="953"/>
      <c r="H7836" s="953"/>
    </row>
    <row r="7837" spans="1:8" x14ac:dyDescent="0.25">
      <c r="A7837" s="952"/>
      <c r="B7837" s="953"/>
      <c r="C7837" s="953"/>
      <c r="D7837" s="953"/>
      <c r="E7837" s="953"/>
      <c r="F7837" s="953"/>
      <c r="G7837" s="953"/>
      <c r="H7837" s="953"/>
    </row>
    <row r="7838" spans="1:8" x14ac:dyDescent="0.25">
      <c r="A7838" s="952"/>
      <c r="B7838" s="953"/>
      <c r="C7838" s="953"/>
      <c r="D7838" s="953"/>
      <c r="E7838" s="953"/>
      <c r="F7838" s="953"/>
      <c r="G7838" s="953"/>
      <c r="H7838" s="953"/>
    </row>
    <row r="7839" spans="1:8" x14ac:dyDescent="0.25">
      <c r="A7839" s="952"/>
      <c r="B7839" s="953"/>
      <c r="C7839" s="953"/>
      <c r="D7839" s="953"/>
      <c r="E7839" s="953"/>
      <c r="F7839" s="953"/>
      <c r="G7839" s="953"/>
      <c r="H7839" s="953"/>
    </row>
    <row r="7840" spans="1:8" x14ac:dyDescent="0.25">
      <c r="A7840" s="952"/>
      <c r="B7840" s="953"/>
      <c r="C7840" s="953"/>
      <c r="D7840" s="953"/>
      <c r="E7840" s="953"/>
      <c r="F7840" s="953"/>
      <c r="G7840" s="953"/>
      <c r="H7840" s="953"/>
    </row>
    <row r="7841" spans="1:8" x14ac:dyDescent="0.25">
      <c r="A7841" s="952"/>
      <c r="B7841" s="953"/>
      <c r="C7841" s="953"/>
      <c r="D7841" s="953"/>
      <c r="E7841" s="953"/>
      <c r="F7841" s="953"/>
      <c r="G7841" s="953"/>
      <c r="H7841" s="953"/>
    </row>
    <row r="7842" spans="1:8" x14ac:dyDescent="0.25">
      <c r="A7842" s="952"/>
      <c r="B7842" s="953"/>
      <c r="C7842" s="953"/>
      <c r="D7842" s="953"/>
      <c r="E7842" s="953"/>
      <c r="F7842" s="953"/>
      <c r="G7842" s="953"/>
      <c r="H7842" s="953"/>
    </row>
    <row r="7843" spans="1:8" x14ac:dyDescent="0.25">
      <c r="A7843" s="952"/>
      <c r="B7843" s="953"/>
      <c r="C7843" s="953"/>
      <c r="D7843" s="953"/>
      <c r="E7843" s="953"/>
      <c r="F7843" s="953"/>
      <c r="G7843" s="953"/>
      <c r="H7843" s="953"/>
    </row>
    <row r="7844" spans="1:8" x14ac:dyDescent="0.25">
      <c r="A7844" s="952"/>
      <c r="B7844" s="953"/>
      <c r="C7844" s="953"/>
      <c r="D7844" s="953"/>
      <c r="E7844" s="953"/>
      <c r="F7844" s="953"/>
      <c r="G7844" s="953"/>
      <c r="H7844" s="953"/>
    </row>
    <row r="7845" spans="1:8" x14ac:dyDescent="0.25">
      <c r="A7845" s="952"/>
      <c r="B7845" s="953"/>
      <c r="C7845" s="953"/>
      <c r="D7845" s="953"/>
      <c r="E7845" s="953"/>
      <c r="F7845" s="953"/>
      <c r="G7845" s="953"/>
      <c r="H7845" s="953"/>
    </row>
    <row r="7846" spans="1:8" x14ac:dyDescent="0.25">
      <c r="A7846" s="952"/>
      <c r="B7846" s="953"/>
      <c r="C7846" s="953"/>
      <c r="D7846" s="953"/>
      <c r="E7846" s="953"/>
      <c r="F7846" s="953"/>
      <c r="G7846" s="953"/>
      <c r="H7846" s="953"/>
    </row>
    <row r="7847" spans="1:8" x14ac:dyDescent="0.25">
      <c r="A7847" s="952"/>
      <c r="B7847" s="953"/>
      <c r="C7847" s="953"/>
      <c r="D7847" s="953"/>
      <c r="E7847" s="953"/>
      <c r="F7847" s="953"/>
      <c r="G7847" s="953"/>
      <c r="H7847" s="953"/>
    </row>
    <row r="7848" spans="1:8" x14ac:dyDescent="0.25">
      <c r="A7848" s="952"/>
      <c r="B7848" s="953"/>
      <c r="C7848" s="953"/>
      <c r="D7848" s="953"/>
      <c r="E7848" s="953"/>
      <c r="F7848" s="953"/>
      <c r="G7848" s="953"/>
      <c r="H7848" s="953"/>
    </row>
    <row r="7849" spans="1:8" x14ac:dyDescent="0.25">
      <c r="A7849" s="952"/>
      <c r="B7849" s="953"/>
      <c r="C7849" s="953"/>
      <c r="D7849" s="953"/>
      <c r="E7849" s="953"/>
      <c r="F7849" s="953"/>
      <c r="G7849" s="953"/>
      <c r="H7849" s="953"/>
    </row>
    <row r="7850" spans="1:8" x14ac:dyDescent="0.25">
      <c r="A7850" s="952"/>
      <c r="B7850" s="953"/>
      <c r="C7850" s="953"/>
      <c r="D7850" s="953"/>
      <c r="E7850" s="953"/>
      <c r="F7850" s="953"/>
      <c r="G7850" s="953"/>
      <c r="H7850" s="953"/>
    </row>
    <row r="7851" spans="1:8" x14ac:dyDescent="0.25">
      <c r="A7851" s="952"/>
      <c r="B7851" s="953"/>
      <c r="C7851" s="953"/>
      <c r="D7851" s="953"/>
      <c r="E7851" s="953"/>
      <c r="F7851" s="953"/>
      <c r="G7851" s="953"/>
      <c r="H7851" s="953"/>
    </row>
    <row r="7852" spans="1:8" x14ac:dyDescent="0.25">
      <c r="A7852" s="952"/>
      <c r="B7852" s="953"/>
      <c r="C7852" s="953"/>
      <c r="D7852" s="953"/>
      <c r="E7852" s="953"/>
      <c r="F7852" s="953"/>
      <c r="G7852" s="953"/>
      <c r="H7852" s="953"/>
    </row>
    <row r="7853" spans="1:8" x14ac:dyDescent="0.25">
      <c r="A7853" s="952"/>
      <c r="B7853" s="953"/>
      <c r="C7853" s="953"/>
      <c r="D7853" s="953"/>
      <c r="E7853" s="953"/>
      <c r="F7853" s="953"/>
      <c r="G7853" s="953"/>
      <c r="H7853" s="953"/>
    </row>
    <row r="7854" spans="1:8" x14ac:dyDescent="0.25">
      <c r="A7854" s="952"/>
      <c r="B7854" s="953"/>
      <c r="C7854" s="953"/>
      <c r="D7854" s="953"/>
      <c r="E7854" s="953"/>
      <c r="F7854" s="953"/>
      <c r="G7854" s="953"/>
      <c r="H7854" s="953"/>
    </row>
    <row r="7855" spans="1:8" x14ac:dyDescent="0.25">
      <c r="A7855" s="952"/>
      <c r="B7855" s="953"/>
      <c r="C7855" s="953"/>
      <c r="D7855" s="953"/>
      <c r="E7855" s="953"/>
      <c r="F7855" s="953"/>
      <c r="G7855" s="953"/>
      <c r="H7855" s="953"/>
    </row>
    <row r="7856" spans="1:8" x14ac:dyDescent="0.25">
      <c r="A7856" s="952"/>
      <c r="B7856" s="953"/>
      <c r="C7856" s="953"/>
      <c r="D7856" s="953"/>
      <c r="E7856" s="953"/>
      <c r="F7856" s="953"/>
      <c r="G7856" s="953"/>
      <c r="H7856" s="953"/>
    </row>
    <row r="7857" spans="1:8" x14ac:dyDescent="0.25">
      <c r="A7857" s="952"/>
      <c r="B7857" s="953"/>
      <c r="C7857" s="953"/>
      <c r="D7857" s="953"/>
      <c r="E7857" s="953"/>
      <c r="F7857" s="953"/>
      <c r="G7857" s="953"/>
      <c r="H7857" s="953"/>
    </row>
    <row r="7858" spans="1:8" x14ac:dyDescent="0.25">
      <c r="A7858" s="952"/>
      <c r="B7858" s="953"/>
      <c r="C7858" s="953"/>
      <c r="D7858" s="953"/>
      <c r="E7858" s="953"/>
      <c r="F7858" s="953"/>
      <c r="G7858" s="953"/>
      <c r="H7858" s="953"/>
    </row>
    <row r="7859" spans="1:8" x14ac:dyDescent="0.25">
      <c r="A7859" s="952"/>
      <c r="B7859" s="953"/>
      <c r="C7859" s="953"/>
      <c r="D7859" s="953"/>
      <c r="E7859" s="953"/>
      <c r="F7859" s="953"/>
      <c r="G7859" s="953"/>
      <c r="H7859" s="953"/>
    </row>
    <row r="7860" spans="1:8" x14ac:dyDescent="0.25">
      <c r="A7860" s="952"/>
      <c r="B7860" s="953"/>
      <c r="C7860" s="953"/>
      <c r="D7860" s="953"/>
      <c r="E7860" s="953"/>
      <c r="F7860" s="953"/>
      <c r="G7860" s="953"/>
      <c r="H7860" s="953"/>
    </row>
    <row r="7861" spans="1:8" x14ac:dyDescent="0.25">
      <c r="A7861" s="952"/>
      <c r="B7861" s="953"/>
      <c r="C7861" s="953"/>
      <c r="D7861" s="953"/>
      <c r="E7861" s="953"/>
      <c r="F7861" s="953"/>
      <c r="G7861" s="953"/>
      <c r="H7861" s="953"/>
    </row>
    <row r="7862" spans="1:8" x14ac:dyDescent="0.25">
      <c r="A7862" s="952"/>
      <c r="B7862" s="953"/>
      <c r="C7862" s="953"/>
      <c r="D7862" s="953"/>
      <c r="E7862" s="953"/>
      <c r="F7862" s="953"/>
      <c r="G7862" s="953"/>
      <c r="H7862" s="953"/>
    </row>
    <row r="7863" spans="1:8" x14ac:dyDescent="0.25">
      <c r="A7863" s="952"/>
      <c r="B7863" s="953"/>
      <c r="C7863" s="953"/>
      <c r="D7863" s="953"/>
      <c r="E7863" s="953"/>
      <c r="F7863" s="953"/>
      <c r="G7863" s="953"/>
      <c r="H7863" s="953"/>
    </row>
    <row r="7864" spans="1:8" x14ac:dyDescent="0.25">
      <c r="A7864" s="952"/>
      <c r="B7864" s="953"/>
      <c r="C7864" s="953"/>
      <c r="D7864" s="953"/>
      <c r="E7864" s="953"/>
      <c r="F7864" s="953"/>
      <c r="G7864" s="953"/>
      <c r="H7864" s="953"/>
    </row>
    <row r="7865" spans="1:8" x14ac:dyDescent="0.25">
      <c r="A7865" s="952"/>
      <c r="B7865" s="953"/>
      <c r="C7865" s="953"/>
      <c r="D7865" s="953"/>
      <c r="E7865" s="953"/>
      <c r="F7865" s="953"/>
      <c r="G7865" s="953"/>
      <c r="H7865" s="953"/>
    </row>
    <row r="7866" spans="1:8" x14ac:dyDescent="0.25">
      <c r="A7866" s="952"/>
      <c r="B7866" s="953"/>
      <c r="C7866" s="953"/>
      <c r="D7866" s="953"/>
      <c r="E7866" s="953"/>
      <c r="F7866" s="953"/>
      <c r="G7866" s="953"/>
      <c r="H7866" s="953"/>
    </row>
    <row r="7867" spans="1:8" x14ac:dyDescent="0.25">
      <c r="A7867" s="952"/>
      <c r="B7867" s="953"/>
      <c r="C7867" s="953"/>
      <c r="D7867" s="953"/>
      <c r="E7867" s="953"/>
      <c r="F7867" s="953"/>
      <c r="G7867" s="953"/>
      <c r="H7867" s="953"/>
    </row>
    <row r="7868" spans="1:8" x14ac:dyDescent="0.25">
      <c r="A7868" s="952"/>
      <c r="B7868" s="953"/>
      <c r="C7868" s="953"/>
      <c r="D7868" s="953"/>
      <c r="E7868" s="953"/>
      <c r="F7868" s="953"/>
      <c r="G7868" s="953"/>
      <c r="H7868" s="953"/>
    </row>
    <row r="7869" spans="1:8" x14ac:dyDescent="0.25">
      <c r="A7869" s="952"/>
      <c r="B7869" s="953"/>
      <c r="C7869" s="953"/>
      <c r="D7869" s="953"/>
      <c r="E7869" s="953"/>
      <c r="F7869" s="953"/>
      <c r="G7869" s="953"/>
      <c r="H7869" s="953"/>
    </row>
    <row r="7870" spans="1:8" x14ac:dyDescent="0.25">
      <c r="A7870" s="952"/>
      <c r="B7870" s="953"/>
      <c r="C7870" s="953"/>
      <c r="D7870" s="953"/>
      <c r="E7870" s="953"/>
      <c r="F7870" s="953"/>
      <c r="G7870" s="953"/>
      <c r="H7870" s="953"/>
    </row>
    <row r="7871" spans="1:8" x14ac:dyDescent="0.25">
      <c r="A7871" s="952"/>
      <c r="B7871" s="953"/>
      <c r="C7871" s="953"/>
      <c r="D7871" s="953"/>
      <c r="E7871" s="953"/>
      <c r="F7871" s="953"/>
      <c r="G7871" s="953"/>
      <c r="H7871" s="953"/>
    </row>
    <row r="7872" spans="1:8" x14ac:dyDescent="0.25">
      <c r="A7872" s="952"/>
      <c r="B7872" s="953"/>
      <c r="C7872" s="953"/>
      <c r="D7872" s="953"/>
      <c r="E7872" s="953"/>
      <c r="F7872" s="953"/>
      <c r="G7872" s="953"/>
      <c r="H7872" s="953"/>
    </row>
    <row r="7873" spans="1:8" x14ac:dyDescent="0.25">
      <c r="A7873" s="952"/>
      <c r="B7873" s="953"/>
      <c r="C7873" s="953"/>
      <c r="D7873" s="953"/>
      <c r="E7873" s="953"/>
      <c r="F7873" s="953"/>
      <c r="G7873" s="953"/>
      <c r="H7873" s="953"/>
    </row>
    <row r="7874" spans="1:8" x14ac:dyDescent="0.25">
      <c r="A7874" s="952"/>
      <c r="B7874" s="953"/>
      <c r="C7874" s="953"/>
      <c r="D7874" s="953"/>
      <c r="E7874" s="953"/>
      <c r="F7874" s="953"/>
      <c r="G7874" s="953"/>
      <c r="H7874" s="953"/>
    </row>
    <row r="7875" spans="1:8" x14ac:dyDescent="0.25">
      <c r="A7875" s="952"/>
      <c r="B7875" s="953"/>
      <c r="C7875" s="953"/>
      <c r="D7875" s="953"/>
      <c r="E7875" s="953"/>
      <c r="F7875" s="953"/>
      <c r="G7875" s="953"/>
      <c r="H7875" s="953"/>
    </row>
    <row r="7876" spans="1:8" x14ac:dyDescent="0.25">
      <c r="A7876" s="952"/>
      <c r="B7876" s="953"/>
      <c r="C7876" s="953"/>
      <c r="D7876" s="953"/>
      <c r="E7876" s="953"/>
      <c r="F7876" s="953"/>
      <c r="G7876" s="953"/>
      <c r="H7876" s="953"/>
    </row>
    <row r="7877" spans="1:8" x14ac:dyDescent="0.25">
      <c r="A7877" s="952"/>
      <c r="B7877" s="953"/>
      <c r="C7877" s="953"/>
      <c r="D7877" s="953"/>
      <c r="E7877" s="953"/>
      <c r="F7877" s="953"/>
      <c r="G7877" s="953"/>
      <c r="H7877" s="953"/>
    </row>
    <row r="7878" spans="1:8" x14ac:dyDescent="0.25">
      <c r="A7878" s="952"/>
      <c r="B7878" s="953"/>
      <c r="C7878" s="953"/>
      <c r="D7878" s="953"/>
      <c r="E7878" s="953"/>
      <c r="F7878" s="953"/>
      <c r="G7878" s="953"/>
      <c r="H7878" s="953"/>
    </row>
    <row r="7879" spans="1:8" x14ac:dyDescent="0.25">
      <c r="A7879" s="952"/>
      <c r="B7879" s="953"/>
      <c r="C7879" s="953"/>
      <c r="D7879" s="953"/>
      <c r="E7879" s="953"/>
      <c r="F7879" s="953"/>
      <c r="G7879" s="953"/>
      <c r="H7879" s="953"/>
    </row>
    <row r="7880" spans="1:8" x14ac:dyDescent="0.25">
      <c r="A7880" s="952"/>
      <c r="B7880" s="953"/>
      <c r="C7880" s="953"/>
      <c r="D7880" s="953"/>
      <c r="E7880" s="953"/>
      <c r="F7880" s="953"/>
      <c r="G7880" s="953"/>
      <c r="H7880" s="953"/>
    </row>
    <row r="7881" spans="1:8" x14ac:dyDescent="0.25">
      <c r="A7881" s="952"/>
      <c r="B7881" s="953"/>
      <c r="C7881" s="953"/>
      <c r="D7881" s="953"/>
      <c r="E7881" s="953"/>
      <c r="F7881" s="953"/>
      <c r="G7881" s="953"/>
      <c r="H7881" s="953"/>
    </row>
    <row r="7882" spans="1:8" x14ac:dyDescent="0.25">
      <c r="A7882" s="952"/>
      <c r="B7882" s="953"/>
      <c r="C7882" s="953"/>
      <c r="D7882" s="953"/>
      <c r="E7882" s="953"/>
      <c r="F7882" s="953"/>
      <c r="G7882" s="953"/>
      <c r="H7882" s="953"/>
    </row>
    <row r="7883" spans="1:8" x14ac:dyDescent="0.25">
      <c r="A7883" s="952"/>
      <c r="B7883" s="953"/>
      <c r="C7883" s="953"/>
      <c r="D7883" s="953"/>
      <c r="E7883" s="953"/>
      <c r="F7883" s="953"/>
      <c r="G7883" s="953"/>
      <c r="H7883" s="953"/>
    </row>
    <row r="7884" spans="1:8" x14ac:dyDescent="0.25">
      <c r="A7884" s="952"/>
      <c r="B7884" s="953"/>
      <c r="C7884" s="953"/>
      <c r="D7884" s="953"/>
      <c r="E7884" s="953"/>
      <c r="F7884" s="953"/>
      <c r="G7884" s="953"/>
      <c r="H7884" s="953"/>
    </row>
    <row r="7885" spans="1:8" x14ac:dyDescent="0.25">
      <c r="A7885" s="952"/>
      <c r="B7885" s="953"/>
      <c r="C7885" s="953"/>
      <c r="D7885" s="953"/>
      <c r="E7885" s="953"/>
      <c r="F7885" s="953"/>
      <c r="G7885" s="953"/>
      <c r="H7885" s="953"/>
    </row>
    <row r="7886" spans="1:8" x14ac:dyDescent="0.25">
      <c r="A7886" s="952"/>
      <c r="B7886" s="953"/>
      <c r="C7886" s="953"/>
      <c r="D7886" s="953"/>
      <c r="E7886" s="953"/>
      <c r="F7886" s="953"/>
      <c r="G7886" s="953"/>
      <c r="H7886" s="953"/>
    </row>
    <row r="7887" spans="1:8" x14ac:dyDescent="0.25">
      <c r="A7887" s="952"/>
      <c r="B7887" s="953"/>
      <c r="C7887" s="953"/>
      <c r="D7887" s="953"/>
      <c r="E7887" s="953"/>
      <c r="F7887" s="953"/>
      <c r="G7887" s="953"/>
      <c r="H7887" s="953"/>
    </row>
    <row r="7888" spans="1:8" x14ac:dyDescent="0.25">
      <c r="A7888" s="952"/>
      <c r="B7888" s="953"/>
      <c r="C7888" s="953"/>
      <c r="D7888" s="953"/>
      <c r="E7888" s="953"/>
      <c r="F7888" s="953"/>
      <c r="G7888" s="953"/>
      <c r="H7888" s="953"/>
    </row>
    <row r="7889" spans="1:8" x14ac:dyDescent="0.25">
      <c r="A7889" s="952"/>
      <c r="B7889" s="953"/>
      <c r="C7889" s="953"/>
      <c r="D7889" s="953"/>
      <c r="E7889" s="953"/>
      <c r="F7889" s="953"/>
      <c r="G7889" s="953"/>
      <c r="H7889" s="953"/>
    </row>
    <row r="7890" spans="1:8" x14ac:dyDescent="0.25">
      <c r="A7890" s="952"/>
      <c r="B7890" s="953"/>
      <c r="C7890" s="953"/>
      <c r="D7890" s="953"/>
      <c r="E7890" s="953"/>
      <c r="F7890" s="953"/>
      <c r="G7890" s="953"/>
      <c r="H7890" s="953"/>
    </row>
    <row r="7891" spans="1:8" x14ac:dyDescent="0.25">
      <c r="A7891" s="952"/>
      <c r="B7891" s="953"/>
      <c r="C7891" s="953"/>
      <c r="D7891" s="953"/>
      <c r="E7891" s="953"/>
      <c r="F7891" s="953"/>
      <c r="G7891" s="953"/>
      <c r="H7891" s="953"/>
    </row>
    <row r="7892" spans="1:8" x14ac:dyDescent="0.25">
      <c r="A7892" s="952"/>
      <c r="B7892" s="953"/>
      <c r="C7892" s="953"/>
      <c r="D7892" s="953"/>
      <c r="E7892" s="953"/>
      <c r="F7892" s="953"/>
      <c r="G7892" s="953"/>
      <c r="H7892" s="953"/>
    </row>
    <row r="7893" spans="1:8" x14ac:dyDescent="0.25">
      <c r="A7893" s="952"/>
      <c r="B7893" s="953"/>
      <c r="C7893" s="953"/>
      <c r="D7893" s="953"/>
      <c r="E7893" s="953"/>
      <c r="F7893" s="953"/>
      <c r="G7893" s="953"/>
      <c r="H7893" s="953"/>
    </row>
    <row r="7894" spans="1:8" x14ac:dyDescent="0.25">
      <c r="A7894" s="952"/>
      <c r="B7894" s="953"/>
      <c r="C7894" s="953"/>
      <c r="D7894" s="953"/>
      <c r="E7894" s="953"/>
      <c r="F7894" s="953"/>
      <c r="G7894" s="953"/>
      <c r="H7894" s="953"/>
    </row>
    <row r="7895" spans="1:8" x14ac:dyDescent="0.25">
      <c r="A7895" s="952"/>
      <c r="B7895" s="953"/>
      <c r="C7895" s="953"/>
      <c r="D7895" s="953"/>
      <c r="E7895" s="953"/>
      <c r="F7895" s="953"/>
      <c r="G7895" s="953"/>
      <c r="H7895" s="953"/>
    </row>
    <row r="7896" spans="1:8" x14ac:dyDescent="0.25">
      <c r="A7896" s="952"/>
      <c r="B7896" s="953"/>
      <c r="C7896" s="953"/>
      <c r="D7896" s="953"/>
      <c r="E7896" s="953"/>
      <c r="F7896" s="953"/>
      <c r="G7896" s="953"/>
      <c r="H7896" s="953"/>
    </row>
    <row r="7897" spans="1:8" x14ac:dyDescent="0.25">
      <c r="A7897" s="952"/>
      <c r="B7897" s="953"/>
      <c r="C7897" s="953"/>
      <c r="D7897" s="953"/>
      <c r="E7897" s="953"/>
      <c r="F7897" s="953"/>
      <c r="G7897" s="953"/>
      <c r="H7897" s="953"/>
    </row>
    <row r="7898" spans="1:8" x14ac:dyDescent="0.25">
      <c r="A7898" s="952"/>
      <c r="B7898" s="953"/>
      <c r="C7898" s="953"/>
      <c r="D7898" s="953"/>
      <c r="E7898" s="953"/>
      <c r="F7898" s="953"/>
      <c r="G7898" s="953"/>
      <c r="H7898" s="953"/>
    </row>
    <row r="7899" spans="1:8" x14ac:dyDescent="0.25">
      <c r="A7899" s="952"/>
      <c r="B7899" s="953"/>
      <c r="C7899" s="953"/>
      <c r="D7899" s="953"/>
      <c r="E7899" s="953"/>
      <c r="F7899" s="953"/>
      <c r="G7899" s="953"/>
      <c r="H7899" s="953"/>
    </row>
    <row r="7900" spans="1:8" x14ac:dyDescent="0.25">
      <c r="A7900" s="952"/>
      <c r="B7900" s="953"/>
      <c r="C7900" s="953"/>
      <c r="D7900" s="953"/>
      <c r="E7900" s="953"/>
      <c r="F7900" s="953"/>
      <c r="G7900" s="953"/>
      <c r="H7900" s="953"/>
    </row>
    <row r="7901" spans="1:8" x14ac:dyDescent="0.25">
      <c r="A7901" s="952"/>
      <c r="B7901" s="953"/>
      <c r="C7901" s="953"/>
      <c r="D7901" s="953"/>
      <c r="E7901" s="953"/>
      <c r="F7901" s="953"/>
      <c r="G7901" s="953"/>
      <c r="H7901" s="953"/>
    </row>
    <row r="7902" spans="1:8" x14ac:dyDescent="0.25">
      <c r="A7902" s="952"/>
      <c r="B7902" s="953"/>
      <c r="C7902" s="953"/>
      <c r="D7902" s="953"/>
      <c r="E7902" s="953"/>
      <c r="F7902" s="953"/>
      <c r="G7902" s="953"/>
      <c r="H7902" s="953"/>
    </row>
    <row r="7903" spans="1:8" x14ac:dyDescent="0.25">
      <c r="A7903" s="952"/>
      <c r="B7903" s="953"/>
      <c r="C7903" s="953"/>
      <c r="D7903" s="953"/>
      <c r="E7903" s="953"/>
      <c r="F7903" s="953"/>
      <c r="G7903" s="953"/>
      <c r="H7903" s="953"/>
    </row>
    <row r="7904" spans="1:8" x14ac:dyDescent="0.25">
      <c r="A7904" s="952"/>
      <c r="B7904" s="953"/>
      <c r="C7904" s="953"/>
      <c r="D7904" s="953"/>
      <c r="E7904" s="953"/>
      <c r="F7904" s="953"/>
      <c r="G7904" s="953"/>
      <c r="H7904" s="953"/>
    </row>
    <row r="7905" spans="1:8" x14ac:dyDescent="0.25">
      <c r="A7905" s="952"/>
      <c r="B7905" s="953"/>
      <c r="C7905" s="953"/>
      <c r="D7905" s="953"/>
      <c r="E7905" s="953"/>
      <c r="F7905" s="953"/>
      <c r="G7905" s="953"/>
      <c r="H7905" s="953"/>
    </row>
    <row r="7906" spans="1:8" x14ac:dyDescent="0.25">
      <c r="A7906" s="952"/>
      <c r="B7906" s="953"/>
      <c r="C7906" s="953"/>
      <c r="D7906" s="953"/>
      <c r="E7906" s="953"/>
      <c r="F7906" s="953"/>
      <c r="G7906" s="953"/>
      <c r="H7906" s="953"/>
    </row>
    <row r="7907" spans="1:8" x14ac:dyDescent="0.25">
      <c r="A7907" s="952"/>
      <c r="B7907" s="953"/>
      <c r="C7907" s="953"/>
      <c r="D7907" s="953"/>
      <c r="E7907" s="953"/>
      <c r="F7907" s="953"/>
      <c r="G7907" s="953"/>
      <c r="H7907" s="953"/>
    </row>
    <row r="7908" spans="1:8" x14ac:dyDescent="0.25">
      <c r="A7908" s="952"/>
      <c r="B7908" s="953"/>
      <c r="C7908" s="953"/>
      <c r="D7908" s="953"/>
      <c r="E7908" s="953"/>
      <c r="F7908" s="953"/>
      <c r="G7908" s="953"/>
      <c r="H7908" s="953"/>
    </row>
    <row r="7909" spans="1:8" x14ac:dyDescent="0.25">
      <c r="A7909" s="952"/>
      <c r="B7909" s="953"/>
      <c r="C7909" s="953"/>
      <c r="D7909" s="953"/>
      <c r="E7909" s="953"/>
      <c r="F7909" s="953"/>
      <c r="G7909" s="953"/>
      <c r="H7909" s="953"/>
    </row>
    <row r="7910" spans="1:8" x14ac:dyDescent="0.25">
      <c r="A7910" s="952"/>
      <c r="B7910" s="953"/>
      <c r="C7910" s="953"/>
      <c r="D7910" s="953"/>
      <c r="E7910" s="953"/>
      <c r="F7910" s="953"/>
      <c r="G7910" s="953"/>
      <c r="H7910" s="953"/>
    </row>
    <row r="7911" spans="1:8" x14ac:dyDescent="0.25">
      <c r="A7911" s="952"/>
      <c r="B7911" s="953"/>
      <c r="C7911" s="953"/>
      <c r="D7911" s="953"/>
      <c r="E7911" s="953"/>
      <c r="F7911" s="953"/>
      <c r="G7911" s="953"/>
      <c r="H7911" s="953"/>
    </row>
    <row r="7912" spans="1:8" x14ac:dyDescent="0.25">
      <c r="A7912" s="952"/>
      <c r="B7912" s="953"/>
      <c r="C7912" s="953"/>
      <c r="D7912" s="953"/>
      <c r="E7912" s="953"/>
      <c r="F7912" s="953"/>
      <c r="G7912" s="953"/>
      <c r="H7912" s="953"/>
    </row>
    <row r="7913" spans="1:8" x14ac:dyDescent="0.25">
      <c r="A7913" s="952"/>
      <c r="B7913" s="953"/>
      <c r="C7913" s="953"/>
      <c r="D7913" s="953"/>
      <c r="E7913" s="953"/>
      <c r="F7913" s="953"/>
      <c r="G7913" s="953"/>
      <c r="H7913" s="953"/>
    </row>
    <row r="7914" spans="1:8" x14ac:dyDescent="0.25">
      <c r="A7914" s="952"/>
      <c r="B7914" s="953"/>
      <c r="C7914" s="953"/>
      <c r="D7914" s="953"/>
      <c r="E7914" s="953"/>
      <c r="F7914" s="953"/>
      <c r="G7914" s="953"/>
      <c r="H7914" s="953"/>
    </row>
    <row r="7915" spans="1:8" x14ac:dyDescent="0.25">
      <c r="A7915" s="952"/>
      <c r="B7915" s="953"/>
      <c r="C7915" s="953"/>
      <c r="D7915" s="953"/>
      <c r="E7915" s="953"/>
      <c r="F7915" s="953"/>
      <c r="G7915" s="953"/>
      <c r="H7915" s="953"/>
    </row>
    <row r="7916" spans="1:8" x14ac:dyDescent="0.25">
      <c r="A7916" s="952"/>
      <c r="B7916" s="953"/>
      <c r="C7916" s="953"/>
      <c r="D7916" s="953"/>
      <c r="E7916" s="953"/>
      <c r="F7916" s="953"/>
      <c r="G7916" s="953"/>
      <c r="H7916" s="953"/>
    </row>
    <row r="7917" spans="1:8" x14ac:dyDescent="0.25">
      <c r="A7917" s="952"/>
      <c r="B7917" s="953"/>
      <c r="C7917" s="953"/>
      <c r="D7917" s="953"/>
      <c r="E7917" s="953"/>
      <c r="F7917" s="953"/>
      <c r="G7917" s="953"/>
      <c r="H7917" s="953"/>
    </row>
    <row r="7918" spans="1:8" x14ac:dyDescent="0.25">
      <c r="A7918" s="952"/>
      <c r="B7918" s="953"/>
      <c r="C7918" s="953"/>
      <c r="D7918" s="953"/>
      <c r="E7918" s="953"/>
      <c r="F7918" s="953"/>
      <c r="G7918" s="953"/>
      <c r="H7918" s="953"/>
    </row>
    <row r="7919" spans="1:8" x14ac:dyDescent="0.25">
      <c r="A7919" s="952"/>
      <c r="B7919" s="953"/>
      <c r="C7919" s="953"/>
      <c r="D7919" s="953"/>
      <c r="E7919" s="953"/>
      <c r="F7919" s="953"/>
      <c r="G7919" s="953"/>
      <c r="H7919" s="953"/>
    </row>
    <row r="7920" spans="1:8" x14ac:dyDescent="0.25">
      <c r="A7920" s="952"/>
      <c r="B7920" s="953"/>
      <c r="C7920" s="953"/>
      <c r="D7920" s="953"/>
      <c r="E7920" s="953"/>
      <c r="F7920" s="953"/>
      <c r="G7920" s="953"/>
      <c r="H7920" s="953"/>
    </row>
    <row r="7921" spans="1:8" x14ac:dyDescent="0.25">
      <c r="A7921" s="952"/>
      <c r="B7921" s="953"/>
      <c r="C7921" s="953"/>
      <c r="D7921" s="953"/>
      <c r="E7921" s="953"/>
      <c r="F7921" s="953"/>
      <c r="G7921" s="953"/>
      <c r="H7921" s="953"/>
    </row>
    <row r="7922" spans="1:8" x14ac:dyDescent="0.25">
      <c r="A7922" s="952"/>
      <c r="B7922" s="953"/>
      <c r="C7922" s="953"/>
      <c r="D7922" s="953"/>
      <c r="E7922" s="953"/>
      <c r="F7922" s="953"/>
      <c r="G7922" s="953"/>
      <c r="H7922" s="953"/>
    </row>
    <row r="7923" spans="1:8" x14ac:dyDescent="0.25">
      <c r="A7923" s="952"/>
      <c r="B7923" s="953"/>
      <c r="C7923" s="953"/>
      <c r="D7923" s="953"/>
      <c r="E7923" s="953"/>
      <c r="F7923" s="953"/>
      <c r="G7923" s="953"/>
      <c r="H7923" s="953"/>
    </row>
    <row r="7924" spans="1:8" x14ac:dyDescent="0.25">
      <c r="A7924" s="952"/>
      <c r="B7924" s="953"/>
      <c r="C7924" s="953"/>
      <c r="D7924" s="953"/>
      <c r="E7924" s="953"/>
      <c r="F7924" s="953"/>
      <c r="G7924" s="953"/>
      <c r="H7924" s="953"/>
    </row>
    <row r="7925" spans="1:8" x14ac:dyDescent="0.25">
      <c r="A7925" s="952"/>
      <c r="B7925" s="953"/>
      <c r="C7925" s="953"/>
      <c r="D7925" s="953"/>
      <c r="E7925" s="953"/>
      <c r="F7925" s="953"/>
      <c r="G7925" s="953"/>
      <c r="H7925" s="953"/>
    </row>
    <row r="7926" spans="1:8" x14ac:dyDescent="0.25">
      <c r="A7926" s="952"/>
      <c r="B7926" s="953"/>
      <c r="C7926" s="953"/>
      <c r="D7926" s="953"/>
      <c r="E7926" s="953"/>
      <c r="F7926" s="953"/>
      <c r="G7926" s="953"/>
      <c r="H7926" s="953"/>
    </row>
    <row r="7927" spans="1:8" x14ac:dyDescent="0.25">
      <c r="A7927" s="952"/>
      <c r="B7927" s="953"/>
      <c r="C7927" s="953"/>
      <c r="D7927" s="953"/>
      <c r="E7927" s="953"/>
      <c r="F7927" s="953"/>
      <c r="G7927" s="953"/>
      <c r="H7927" s="953"/>
    </row>
    <row r="7928" spans="1:8" x14ac:dyDescent="0.25">
      <c r="A7928" s="952"/>
      <c r="B7928" s="953"/>
      <c r="C7928" s="953"/>
      <c r="D7928" s="953"/>
      <c r="E7928" s="953"/>
      <c r="F7928" s="953"/>
      <c r="G7928" s="953"/>
      <c r="H7928" s="953"/>
    </row>
    <row r="7929" spans="1:8" x14ac:dyDescent="0.25">
      <c r="A7929" s="952"/>
      <c r="B7929" s="953"/>
      <c r="C7929" s="953"/>
      <c r="D7929" s="953"/>
      <c r="E7929" s="953"/>
      <c r="F7929" s="953"/>
      <c r="G7929" s="953"/>
      <c r="H7929" s="953"/>
    </row>
    <row r="7930" spans="1:8" x14ac:dyDescent="0.25">
      <c r="A7930" s="952"/>
      <c r="B7930" s="953"/>
      <c r="C7930" s="953"/>
      <c r="D7930" s="953"/>
      <c r="E7930" s="953"/>
      <c r="F7930" s="953"/>
      <c r="G7930" s="953"/>
      <c r="H7930" s="953"/>
    </row>
    <row r="7931" spans="1:8" x14ac:dyDescent="0.25">
      <c r="A7931" s="952"/>
      <c r="B7931" s="953"/>
      <c r="C7931" s="953"/>
      <c r="D7931" s="953"/>
      <c r="E7931" s="953"/>
      <c r="F7931" s="953"/>
      <c r="G7931" s="953"/>
      <c r="H7931" s="953"/>
    </row>
    <row r="7932" spans="1:8" x14ac:dyDescent="0.25">
      <c r="A7932" s="952"/>
      <c r="B7932" s="953"/>
      <c r="C7932" s="953"/>
      <c r="D7932" s="953"/>
      <c r="E7932" s="953"/>
      <c r="F7932" s="953"/>
      <c r="G7932" s="953"/>
      <c r="H7932" s="953"/>
    </row>
    <row r="7933" spans="1:8" x14ac:dyDescent="0.25">
      <c r="A7933" s="952"/>
      <c r="B7933" s="953"/>
      <c r="C7933" s="953"/>
      <c r="D7933" s="953"/>
      <c r="E7933" s="953"/>
      <c r="F7933" s="953"/>
      <c r="G7933" s="953"/>
      <c r="H7933" s="953"/>
    </row>
    <row r="7934" spans="1:8" x14ac:dyDescent="0.25">
      <c r="A7934" s="952"/>
      <c r="B7934" s="953"/>
      <c r="C7934" s="953"/>
      <c r="D7934" s="953"/>
      <c r="E7934" s="953"/>
      <c r="F7934" s="953"/>
      <c r="G7934" s="953"/>
      <c r="H7934" s="953"/>
    </row>
    <row r="7935" spans="1:8" x14ac:dyDescent="0.25">
      <c r="A7935" s="952"/>
      <c r="B7935" s="953"/>
      <c r="C7935" s="953"/>
      <c r="D7935" s="953"/>
      <c r="E7935" s="953"/>
      <c r="F7935" s="953"/>
      <c r="G7935" s="953"/>
      <c r="H7935" s="953"/>
    </row>
    <row r="7936" spans="1:8" x14ac:dyDescent="0.25">
      <c r="A7936" s="952"/>
      <c r="B7936" s="953"/>
      <c r="C7936" s="953"/>
      <c r="D7936" s="953"/>
      <c r="E7936" s="953"/>
      <c r="F7936" s="953"/>
      <c r="G7936" s="953"/>
      <c r="H7936" s="953"/>
    </row>
    <row r="7937" spans="1:8" x14ac:dyDescent="0.25">
      <c r="A7937" s="952"/>
      <c r="B7937" s="953"/>
      <c r="C7937" s="953"/>
      <c r="D7937" s="953"/>
      <c r="E7937" s="953"/>
      <c r="F7937" s="953"/>
      <c r="G7937" s="953"/>
      <c r="H7937" s="953"/>
    </row>
    <row r="7938" spans="1:8" x14ac:dyDescent="0.25">
      <c r="A7938" s="952"/>
      <c r="B7938" s="953"/>
      <c r="C7938" s="953"/>
      <c r="D7938" s="953"/>
      <c r="E7938" s="953"/>
      <c r="F7938" s="953"/>
      <c r="G7938" s="953"/>
      <c r="H7938" s="953"/>
    </row>
    <row r="7939" spans="1:8" x14ac:dyDescent="0.25">
      <c r="A7939" s="952"/>
      <c r="B7939" s="953"/>
      <c r="C7939" s="953"/>
      <c r="D7939" s="953"/>
      <c r="E7939" s="953"/>
      <c r="F7939" s="953"/>
      <c r="G7939" s="953"/>
      <c r="H7939" s="953"/>
    </row>
    <row r="7940" spans="1:8" x14ac:dyDescent="0.25">
      <c r="A7940" s="952"/>
      <c r="B7940" s="953"/>
      <c r="C7940" s="953"/>
      <c r="D7940" s="953"/>
      <c r="E7940" s="953"/>
      <c r="F7940" s="953"/>
      <c r="G7940" s="953"/>
      <c r="H7940" s="953"/>
    </row>
    <row r="7941" spans="1:8" x14ac:dyDescent="0.25">
      <c r="A7941" s="952"/>
      <c r="B7941" s="953"/>
      <c r="C7941" s="953"/>
      <c r="D7941" s="953"/>
      <c r="E7941" s="953"/>
      <c r="F7941" s="953"/>
      <c r="G7941" s="953"/>
      <c r="H7941" s="953"/>
    </row>
    <row r="7942" spans="1:8" x14ac:dyDescent="0.25">
      <c r="A7942" s="952"/>
      <c r="B7942" s="953"/>
      <c r="C7942" s="953"/>
      <c r="D7942" s="953"/>
      <c r="E7942" s="953"/>
      <c r="F7942" s="953"/>
      <c r="G7942" s="953"/>
      <c r="H7942" s="953"/>
    </row>
    <row r="7943" spans="1:8" x14ac:dyDescent="0.25">
      <c r="A7943" s="952"/>
      <c r="B7943" s="953"/>
      <c r="C7943" s="953"/>
      <c r="D7943" s="953"/>
      <c r="E7943" s="953"/>
      <c r="F7943" s="953"/>
      <c r="G7943" s="953"/>
      <c r="H7943" s="953"/>
    </row>
    <row r="7944" spans="1:8" x14ac:dyDescent="0.25">
      <c r="A7944" s="952"/>
      <c r="B7944" s="953"/>
      <c r="C7944" s="953"/>
      <c r="D7944" s="953"/>
      <c r="E7944" s="953"/>
      <c r="F7944" s="953"/>
      <c r="G7944" s="953"/>
      <c r="H7944" s="953"/>
    </row>
    <row r="7945" spans="1:8" x14ac:dyDescent="0.25">
      <c r="A7945" s="952"/>
      <c r="B7945" s="953"/>
      <c r="C7945" s="953"/>
      <c r="D7945" s="953"/>
      <c r="E7945" s="953"/>
      <c r="F7945" s="953"/>
      <c r="G7945" s="953"/>
      <c r="H7945" s="953"/>
    </row>
    <row r="7946" spans="1:8" x14ac:dyDescent="0.25">
      <c r="A7946" s="952"/>
      <c r="B7946" s="953"/>
      <c r="C7946" s="953"/>
      <c r="D7946" s="953"/>
      <c r="E7946" s="953"/>
      <c r="F7946" s="953"/>
      <c r="G7946" s="953"/>
      <c r="H7946" s="953"/>
    </row>
    <row r="7947" spans="1:8" x14ac:dyDescent="0.25">
      <c r="A7947" s="952"/>
      <c r="B7947" s="953"/>
      <c r="C7947" s="953"/>
      <c r="D7947" s="953"/>
      <c r="E7947" s="953"/>
      <c r="F7947" s="953"/>
      <c r="G7947" s="953"/>
      <c r="H7947" s="953"/>
    </row>
    <row r="7948" spans="1:8" x14ac:dyDescent="0.25">
      <c r="A7948" s="952"/>
      <c r="B7948" s="953"/>
      <c r="C7948" s="953"/>
      <c r="D7948" s="953"/>
      <c r="E7948" s="953"/>
      <c r="F7948" s="953"/>
      <c r="G7948" s="953"/>
      <c r="H7948" s="953"/>
    </row>
    <row r="7949" spans="1:8" x14ac:dyDescent="0.25">
      <c r="A7949" s="952"/>
      <c r="B7949" s="953"/>
      <c r="C7949" s="953"/>
      <c r="D7949" s="953"/>
      <c r="E7949" s="953"/>
      <c r="F7949" s="953"/>
      <c r="G7949" s="953"/>
      <c r="H7949" s="953"/>
    </row>
    <row r="7950" spans="1:8" x14ac:dyDescent="0.25">
      <c r="A7950" s="952"/>
      <c r="B7950" s="953"/>
      <c r="C7950" s="953"/>
      <c r="D7950" s="953"/>
      <c r="E7950" s="953"/>
      <c r="F7950" s="953"/>
      <c r="G7950" s="953"/>
      <c r="H7950" s="953"/>
    </row>
    <row r="7951" spans="1:8" x14ac:dyDescent="0.25">
      <c r="A7951" s="952"/>
      <c r="B7951" s="953"/>
      <c r="C7951" s="953"/>
      <c r="D7951" s="953"/>
      <c r="E7951" s="953"/>
      <c r="F7951" s="953"/>
      <c r="G7951" s="953"/>
      <c r="H7951" s="953"/>
    </row>
    <row r="7952" spans="1:8" x14ac:dyDescent="0.25">
      <c r="A7952" s="952"/>
      <c r="B7952" s="953"/>
      <c r="C7952" s="953"/>
      <c r="D7952" s="953"/>
      <c r="E7952" s="953"/>
      <c r="F7952" s="953"/>
      <c r="G7952" s="953"/>
      <c r="H7952" s="953"/>
    </row>
    <row r="7953" spans="1:8" x14ac:dyDescent="0.25">
      <c r="A7953" s="952"/>
      <c r="B7953" s="953"/>
      <c r="C7953" s="953"/>
      <c r="D7953" s="953"/>
      <c r="E7953" s="953"/>
      <c r="F7953" s="953"/>
      <c r="G7953" s="953"/>
      <c r="H7953" s="953"/>
    </row>
    <row r="7954" spans="1:8" x14ac:dyDescent="0.25">
      <c r="A7954" s="952"/>
      <c r="B7954" s="953"/>
      <c r="C7954" s="953"/>
      <c r="D7954" s="953"/>
      <c r="E7954" s="953"/>
      <c r="F7954" s="953"/>
      <c r="G7954" s="953"/>
      <c r="H7954" s="953"/>
    </row>
    <row r="7955" spans="1:8" x14ac:dyDescent="0.25">
      <c r="A7955" s="952"/>
      <c r="B7955" s="953"/>
      <c r="C7955" s="953"/>
      <c r="D7955" s="953"/>
      <c r="E7955" s="953"/>
      <c r="F7955" s="953"/>
      <c r="G7955" s="953"/>
      <c r="H7955" s="953"/>
    </row>
    <row r="7956" spans="1:8" x14ac:dyDescent="0.25">
      <c r="A7956" s="952"/>
      <c r="B7956" s="953"/>
      <c r="C7956" s="953"/>
      <c r="D7956" s="953"/>
      <c r="E7956" s="953"/>
      <c r="F7956" s="953"/>
      <c r="G7956" s="953"/>
      <c r="H7956" s="953"/>
    </row>
    <row r="7957" spans="1:8" x14ac:dyDescent="0.25">
      <c r="A7957" s="952"/>
      <c r="B7957" s="953"/>
      <c r="C7957" s="953"/>
      <c r="D7957" s="953"/>
      <c r="E7957" s="953"/>
      <c r="F7957" s="953"/>
      <c r="G7957" s="953"/>
      <c r="H7957" s="953"/>
    </row>
    <row r="7958" spans="1:8" x14ac:dyDescent="0.25">
      <c r="A7958" s="952"/>
      <c r="B7958" s="953"/>
      <c r="C7958" s="953"/>
      <c r="D7958" s="953"/>
      <c r="E7958" s="953"/>
      <c r="F7958" s="953"/>
      <c r="G7958" s="953"/>
      <c r="H7958" s="953"/>
    </row>
    <row r="7959" spans="1:8" x14ac:dyDescent="0.25">
      <c r="A7959" s="952"/>
      <c r="B7959" s="953"/>
      <c r="C7959" s="953"/>
      <c r="D7959" s="953"/>
      <c r="E7959" s="953"/>
      <c r="F7959" s="953"/>
      <c r="G7959" s="953"/>
      <c r="H7959" s="953"/>
    </row>
    <row r="7960" spans="1:8" x14ac:dyDescent="0.25">
      <c r="A7960" s="952"/>
      <c r="B7960" s="953"/>
      <c r="C7960" s="953"/>
      <c r="D7960" s="953"/>
      <c r="E7960" s="953"/>
      <c r="F7960" s="953"/>
      <c r="G7960" s="953"/>
      <c r="H7960" s="953"/>
    </row>
    <row r="7961" spans="1:8" x14ac:dyDescent="0.25">
      <c r="A7961" s="952"/>
      <c r="B7961" s="953"/>
      <c r="C7961" s="953"/>
      <c r="D7961" s="953"/>
      <c r="E7961" s="953"/>
      <c r="F7961" s="953"/>
      <c r="G7961" s="953"/>
      <c r="H7961" s="953"/>
    </row>
    <row r="7962" spans="1:8" x14ac:dyDescent="0.25">
      <c r="A7962" s="952"/>
      <c r="B7962" s="953"/>
      <c r="C7962" s="953"/>
      <c r="D7962" s="953"/>
      <c r="E7962" s="953"/>
      <c r="F7962" s="953"/>
      <c r="G7962" s="953"/>
      <c r="H7962" s="953"/>
    </row>
    <row r="7963" spans="1:8" x14ac:dyDescent="0.25">
      <c r="A7963" s="952"/>
      <c r="B7963" s="953"/>
      <c r="C7963" s="953"/>
      <c r="D7963" s="953"/>
      <c r="E7963" s="953"/>
      <c r="F7963" s="953"/>
      <c r="G7963" s="953"/>
      <c r="H7963" s="953"/>
    </row>
    <row r="7964" spans="1:8" x14ac:dyDescent="0.25">
      <c r="A7964" s="952"/>
      <c r="B7964" s="953"/>
      <c r="C7964" s="953"/>
      <c r="D7964" s="953"/>
      <c r="E7964" s="953"/>
      <c r="F7964" s="953"/>
      <c r="G7964" s="953"/>
      <c r="H7964" s="953"/>
    </row>
    <row r="7965" spans="1:8" x14ac:dyDescent="0.25">
      <c r="A7965" s="952"/>
      <c r="B7965" s="953"/>
      <c r="C7965" s="953"/>
      <c r="D7965" s="953"/>
      <c r="E7965" s="953"/>
      <c r="F7965" s="953"/>
      <c r="G7965" s="953"/>
      <c r="H7965" s="953"/>
    </row>
    <row r="7966" spans="1:8" x14ac:dyDescent="0.25">
      <c r="A7966" s="952"/>
      <c r="B7966" s="953"/>
      <c r="C7966" s="953"/>
      <c r="D7966" s="953"/>
      <c r="E7966" s="953"/>
      <c r="F7966" s="953"/>
      <c r="G7966" s="953"/>
      <c r="H7966" s="953"/>
    </row>
    <row r="7967" spans="1:8" x14ac:dyDescent="0.25">
      <c r="A7967" s="952"/>
      <c r="B7967" s="953"/>
      <c r="C7967" s="953"/>
      <c r="D7967" s="953"/>
      <c r="E7967" s="953"/>
      <c r="F7967" s="953"/>
      <c r="G7967" s="953"/>
      <c r="H7967" s="953"/>
    </row>
    <row r="7968" spans="1:8" x14ac:dyDescent="0.25">
      <c r="A7968" s="952"/>
      <c r="B7968" s="953"/>
      <c r="C7968" s="953"/>
      <c r="D7968" s="953"/>
      <c r="E7968" s="953"/>
      <c r="F7968" s="953"/>
      <c r="G7968" s="953"/>
      <c r="H7968" s="953"/>
    </row>
    <row r="7969" spans="1:8" x14ac:dyDescent="0.25">
      <c r="A7969" s="952"/>
      <c r="B7969" s="953"/>
      <c r="C7969" s="953"/>
      <c r="D7969" s="953"/>
      <c r="E7969" s="953"/>
      <c r="F7969" s="953"/>
      <c r="G7969" s="953"/>
      <c r="H7969" s="953"/>
    </row>
    <row r="7970" spans="1:8" x14ac:dyDescent="0.25">
      <c r="A7970" s="952"/>
      <c r="B7970" s="953"/>
      <c r="C7970" s="953"/>
      <c r="D7970" s="953"/>
      <c r="E7970" s="953"/>
      <c r="F7970" s="953"/>
      <c r="G7970" s="953"/>
      <c r="H7970" s="953"/>
    </row>
    <row r="7971" spans="1:8" x14ac:dyDescent="0.25">
      <c r="A7971" s="952"/>
      <c r="B7971" s="953"/>
      <c r="C7971" s="953"/>
      <c r="D7971" s="953"/>
      <c r="E7971" s="953"/>
      <c r="F7971" s="953"/>
      <c r="G7971" s="953"/>
      <c r="H7971" s="953"/>
    </row>
    <row r="7972" spans="1:8" x14ac:dyDescent="0.25">
      <c r="A7972" s="952"/>
      <c r="B7972" s="953"/>
      <c r="C7972" s="953"/>
      <c r="D7972" s="953"/>
      <c r="E7972" s="953"/>
      <c r="F7972" s="953"/>
      <c r="G7972" s="953"/>
      <c r="H7972" s="953"/>
    </row>
    <row r="7973" spans="1:8" x14ac:dyDescent="0.25">
      <c r="A7973" s="952"/>
      <c r="B7973" s="953"/>
      <c r="C7973" s="953"/>
      <c r="D7973" s="953"/>
      <c r="E7973" s="953"/>
      <c r="F7973" s="953"/>
      <c r="G7973" s="953"/>
      <c r="H7973" s="953"/>
    </row>
    <row r="7974" spans="1:8" x14ac:dyDescent="0.25">
      <c r="A7974" s="952"/>
      <c r="B7974" s="953"/>
      <c r="C7974" s="953"/>
      <c r="D7974" s="953"/>
      <c r="E7974" s="953"/>
      <c r="F7974" s="953"/>
      <c r="G7974" s="953"/>
      <c r="H7974" s="953"/>
    </row>
    <row r="7975" spans="1:8" x14ac:dyDescent="0.25">
      <c r="A7975" s="952"/>
      <c r="B7975" s="953"/>
      <c r="C7975" s="953"/>
      <c r="D7975" s="953"/>
      <c r="E7975" s="953"/>
      <c r="F7975" s="953"/>
      <c r="G7975" s="953"/>
      <c r="H7975" s="953"/>
    </row>
    <row r="7976" spans="1:8" x14ac:dyDescent="0.25">
      <c r="A7976" s="952"/>
      <c r="B7976" s="953"/>
      <c r="C7976" s="953"/>
      <c r="D7976" s="953"/>
      <c r="E7976" s="953"/>
      <c r="F7976" s="953"/>
      <c r="G7976" s="953"/>
      <c r="H7976" s="953"/>
    </row>
    <row r="7977" spans="1:8" x14ac:dyDescent="0.25">
      <c r="A7977" s="952"/>
      <c r="B7977" s="953"/>
      <c r="C7977" s="953"/>
      <c r="D7977" s="953"/>
      <c r="E7977" s="953"/>
      <c r="F7977" s="953"/>
      <c r="G7977" s="953"/>
      <c r="H7977" s="953"/>
    </row>
    <row r="7978" spans="1:8" x14ac:dyDescent="0.25">
      <c r="A7978" s="952"/>
      <c r="B7978" s="953"/>
      <c r="C7978" s="953"/>
      <c r="D7978" s="953"/>
      <c r="E7978" s="953"/>
      <c r="F7978" s="953"/>
      <c r="G7978" s="953"/>
      <c r="H7978" s="953"/>
    </row>
    <row r="7979" spans="1:8" x14ac:dyDescent="0.25">
      <c r="A7979" s="952"/>
      <c r="B7979" s="953"/>
      <c r="C7979" s="953"/>
      <c r="D7979" s="953"/>
      <c r="E7979" s="953"/>
      <c r="F7979" s="953"/>
      <c r="G7979" s="953"/>
      <c r="H7979" s="953"/>
    </row>
    <row r="7980" spans="1:8" x14ac:dyDescent="0.25">
      <c r="A7980" s="952"/>
      <c r="B7980" s="953"/>
      <c r="C7980" s="953"/>
      <c r="D7980" s="953"/>
      <c r="E7980" s="953"/>
      <c r="F7980" s="953"/>
      <c r="G7980" s="953"/>
      <c r="H7980" s="953"/>
    </row>
    <row r="7981" spans="1:8" x14ac:dyDescent="0.25">
      <c r="A7981" s="952"/>
      <c r="B7981" s="953"/>
      <c r="C7981" s="953"/>
      <c r="D7981" s="953"/>
      <c r="E7981" s="953"/>
      <c r="F7981" s="953"/>
      <c r="G7981" s="953"/>
      <c r="H7981" s="953"/>
    </row>
    <row r="7982" spans="1:8" x14ac:dyDescent="0.25">
      <c r="A7982" s="952"/>
      <c r="B7982" s="953"/>
      <c r="C7982" s="953"/>
      <c r="D7982" s="953"/>
      <c r="E7982" s="953"/>
      <c r="F7982" s="953"/>
      <c r="G7982" s="953"/>
      <c r="H7982" s="953"/>
    </row>
    <row r="7983" spans="1:8" x14ac:dyDescent="0.25">
      <c r="A7983" s="952"/>
      <c r="B7983" s="953"/>
      <c r="C7983" s="953"/>
      <c r="D7983" s="953"/>
      <c r="E7983" s="953"/>
      <c r="F7983" s="953"/>
      <c r="G7983" s="953"/>
      <c r="H7983" s="953"/>
    </row>
    <row r="7984" spans="1:8" x14ac:dyDescent="0.25">
      <c r="A7984" s="952"/>
      <c r="B7984" s="953"/>
      <c r="C7984" s="953"/>
      <c r="D7984" s="953"/>
      <c r="E7984" s="953"/>
      <c r="F7984" s="953"/>
      <c r="G7984" s="953"/>
      <c r="H7984" s="953"/>
    </row>
    <row r="7985" spans="1:8" x14ac:dyDescent="0.25">
      <c r="A7985" s="952"/>
      <c r="B7985" s="953"/>
      <c r="C7985" s="953"/>
      <c r="D7985" s="953"/>
      <c r="E7985" s="953"/>
      <c r="F7985" s="953"/>
      <c r="G7985" s="953"/>
      <c r="H7985" s="953"/>
    </row>
    <row r="7986" spans="1:8" x14ac:dyDescent="0.25">
      <c r="A7986" s="952"/>
      <c r="B7986" s="953"/>
      <c r="C7986" s="953"/>
      <c r="D7986" s="953"/>
      <c r="E7986" s="953"/>
      <c r="F7986" s="953"/>
      <c r="G7986" s="953"/>
      <c r="H7986" s="953"/>
    </row>
    <row r="7987" spans="1:8" x14ac:dyDescent="0.25">
      <c r="A7987" s="952"/>
      <c r="B7987" s="953"/>
      <c r="C7987" s="953"/>
      <c r="D7987" s="953"/>
      <c r="E7987" s="953"/>
      <c r="F7987" s="953"/>
      <c r="G7987" s="953"/>
      <c r="H7987" s="953"/>
    </row>
    <row r="7988" spans="1:8" x14ac:dyDescent="0.25">
      <c r="A7988" s="952"/>
      <c r="B7988" s="953"/>
      <c r="C7988" s="953"/>
      <c r="D7988" s="953"/>
      <c r="E7988" s="953"/>
      <c r="F7988" s="953"/>
      <c r="G7988" s="953"/>
      <c r="H7988" s="953"/>
    </row>
    <row r="7989" spans="1:8" x14ac:dyDescent="0.25">
      <c r="A7989" s="952"/>
      <c r="B7989" s="953"/>
      <c r="C7989" s="953"/>
      <c r="D7989" s="953"/>
      <c r="E7989" s="953"/>
      <c r="F7989" s="953"/>
      <c r="G7989" s="953"/>
      <c r="H7989" s="953"/>
    </row>
    <row r="7990" spans="1:8" x14ac:dyDescent="0.25">
      <c r="A7990" s="952"/>
      <c r="B7990" s="953"/>
      <c r="C7990" s="953"/>
      <c r="D7990" s="953"/>
      <c r="E7990" s="953"/>
      <c r="F7990" s="953"/>
      <c r="G7990" s="953"/>
      <c r="H7990" s="953"/>
    </row>
    <row r="7991" spans="1:8" x14ac:dyDescent="0.25">
      <c r="A7991" s="952"/>
      <c r="B7991" s="953"/>
      <c r="C7991" s="953"/>
      <c r="D7991" s="953"/>
      <c r="E7991" s="953"/>
      <c r="F7991" s="953"/>
      <c r="G7991" s="953"/>
      <c r="H7991" s="953"/>
    </row>
    <row r="7992" spans="1:8" x14ac:dyDescent="0.25">
      <c r="A7992" s="952"/>
      <c r="B7992" s="953"/>
      <c r="C7992" s="953"/>
      <c r="D7992" s="953"/>
      <c r="E7992" s="953"/>
      <c r="F7992" s="953"/>
      <c r="G7992" s="953"/>
      <c r="H7992" s="953"/>
    </row>
    <row r="7993" spans="1:8" x14ac:dyDescent="0.25">
      <c r="A7993" s="952"/>
      <c r="B7993" s="953"/>
      <c r="C7993" s="953"/>
      <c r="D7993" s="953"/>
      <c r="E7993" s="953"/>
      <c r="F7993" s="953"/>
      <c r="G7993" s="953"/>
      <c r="H7993" s="953"/>
    </row>
    <row r="7994" spans="1:8" x14ac:dyDescent="0.25">
      <c r="A7994" s="952"/>
      <c r="B7994" s="953"/>
      <c r="C7994" s="953"/>
      <c r="D7994" s="953"/>
      <c r="E7994" s="953"/>
      <c r="F7994" s="953"/>
      <c r="G7994" s="953"/>
      <c r="H7994" s="953"/>
    </row>
    <row r="7995" spans="1:8" x14ac:dyDescent="0.25">
      <c r="A7995" s="952"/>
      <c r="B7995" s="953"/>
      <c r="C7995" s="953"/>
      <c r="D7995" s="953"/>
      <c r="E7995" s="953"/>
      <c r="F7995" s="953"/>
      <c r="G7995" s="953"/>
      <c r="H7995" s="953"/>
    </row>
    <row r="7996" spans="1:8" x14ac:dyDescent="0.25">
      <c r="A7996" s="952"/>
      <c r="B7996" s="953"/>
      <c r="C7996" s="953"/>
      <c r="D7996" s="953"/>
      <c r="E7996" s="953"/>
      <c r="F7996" s="953"/>
      <c r="G7996" s="953"/>
      <c r="H7996" s="953"/>
    </row>
    <row r="7997" spans="1:8" x14ac:dyDescent="0.25">
      <c r="A7997" s="952"/>
      <c r="B7997" s="953"/>
      <c r="C7997" s="953"/>
      <c r="D7997" s="953"/>
      <c r="E7997" s="953"/>
      <c r="F7997" s="953"/>
      <c r="G7997" s="953"/>
      <c r="H7997" s="953"/>
    </row>
    <row r="7998" spans="1:8" x14ac:dyDescent="0.25">
      <c r="A7998" s="952"/>
      <c r="B7998" s="953"/>
      <c r="C7998" s="953"/>
      <c r="D7998" s="953"/>
      <c r="E7998" s="953"/>
      <c r="F7998" s="953"/>
      <c r="G7998" s="953"/>
      <c r="H7998" s="953"/>
    </row>
    <row r="7999" spans="1:8" x14ac:dyDescent="0.25">
      <c r="A7999" s="952"/>
      <c r="B7999" s="953"/>
      <c r="C7999" s="953"/>
      <c r="D7999" s="953"/>
      <c r="E7999" s="953"/>
      <c r="F7999" s="953"/>
      <c r="G7999" s="953"/>
      <c r="H7999" s="953"/>
    </row>
    <row r="8000" spans="1:8" x14ac:dyDescent="0.25">
      <c r="A8000" s="952"/>
      <c r="B8000" s="953"/>
      <c r="C8000" s="953"/>
      <c r="D8000" s="953"/>
      <c r="E8000" s="953"/>
      <c r="F8000" s="953"/>
      <c r="G8000" s="953"/>
      <c r="H8000" s="953"/>
    </row>
    <row r="8001" spans="1:8" x14ac:dyDescent="0.25">
      <c r="A8001" s="952"/>
      <c r="B8001" s="953"/>
      <c r="C8001" s="953"/>
      <c r="D8001" s="953"/>
      <c r="E8001" s="953"/>
      <c r="F8001" s="953"/>
      <c r="G8001" s="953"/>
      <c r="H8001" s="953"/>
    </row>
    <row r="8002" spans="1:8" x14ac:dyDescent="0.25">
      <c r="A8002" s="952"/>
      <c r="B8002" s="953"/>
      <c r="C8002" s="953"/>
      <c r="D8002" s="953"/>
      <c r="E8002" s="953"/>
      <c r="F8002" s="953"/>
      <c r="G8002" s="953"/>
      <c r="H8002" s="953"/>
    </row>
    <row r="8003" spans="1:8" x14ac:dyDescent="0.25">
      <c r="A8003" s="952"/>
      <c r="B8003" s="953"/>
      <c r="C8003" s="953"/>
      <c r="D8003" s="953"/>
      <c r="E8003" s="953"/>
      <c r="F8003" s="953"/>
      <c r="G8003" s="953"/>
      <c r="H8003" s="953"/>
    </row>
    <row r="8004" spans="1:8" x14ac:dyDescent="0.25">
      <c r="A8004" s="952"/>
      <c r="B8004" s="953"/>
      <c r="C8004" s="953"/>
      <c r="D8004" s="953"/>
      <c r="E8004" s="953"/>
      <c r="F8004" s="953"/>
      <c r="G8004" s="953"/>
      <c r="H8004" s="953"/>
    </row>
    <row r="8005" spans="1:8" x14ac:dyDescent="0.25">
      <c r="A8005" s="952"/>
      <c r="B8005" s="953"/>
      <c r="C8005" s="953"/>
      <c r="D8005" s="953"/>
      <c r="E8005" s="953"/>
      <c r="F8005" s="953"/>
      <c r="G8005" s="953"/>
      <c r="H8005" s="953"/>
    </row>
    <row r="8006" spans="1:8" x14ac:dyDescent="0.25">
      <c r="A8006" s="952"/>
      <c r="B8006" s="953"/>
      <c r="C8006" s="953"/>
      <c r="D8006" s="953"/>
      <c r="E8006" s="953"/>
      <c r="F8006" s="953"/>
      <c r="G8006" s="953"/>
      <c r="H8006" s="953"/>
    </row>
    <row r="8007" spans="1:8" x14ac:dyDescent="0.25">
      <c r="A8007" s="952"/>
      <c r="B8007" s="953"/>
      <c r="C8007" s="953"/>
      <c r="D8007" s="953"/>
      <c r="E8007" s="953"/>
      <c r="F8007" s="953"/>
      <c r="G8007" s="953"/>
      <c r="H8007" s="953"/>
    </row>
    <row r="8008" spans="1:8" x14ac:dyDescent="0.25">
      <c r="A8008" s="952"/>
      <c r="B8008" s="953"/>
      <c r="C8008" s="953"/>
      <c r="D8008" s="953"/>
      <c r="E8008" s="953"/>
      <c r="F8008" s="953"/>
      <c r="G8008" s="953"/>
      <c r="H8008" s="953"/>
    </row>
    <row r="8009" spans="1:8" x14ac:dyDescent="0.25">
      <c r="A8009" s="952"/>
      <c r="B8009" s="953"/>
      <c r="C8009" s="953"/>
      <c r="D8009" s="953"/>
      <c r="E8009" s="953"/>
      <c r="F8009" s="953"/>
      <c r="G8009" s="953"/>
      <c r="H8009" s="953"/>
    </row>
    <row r="8010" spans="1:8" x14ac:dyDescent="0.25">
      <c r="A8010" s="952"/>
      <c r="B8010" s="953"/>
      <c r="C8010" s="953"/>
      <c r="D8010" s="953"/>
      <c r="E8010" s="953"/>
      <c r="F8010" s="953"/>
      <c r="G8010" s="953"/>
      <c r="H8010" s="953"/>
    </row>
    <row r="8011" spans="1:8" x14ac:dyDescent="0.25">
      <c r="A8011" s="952"/>
      <c r="B8011" s="953"/>
      <c r="C8011" s="953"/>
      <c r="D8011" s="953"/>
      <c r="E8011" s="953"/>
      <c r="F8011" s="953"/>
      <c r="G8011" s="953"/>
      <c r="H8011" s="953"/>
    </row>
    <row r="8012" spans="1:8" x14ac:dyDescent="0.25">
      <c r="A8012" s="952"/>
      <c r="B8012" s="953"/>
      <c r="C8012" s="953"/>
      <c r="D8012" s="953"/>
      <c r="E8012" s="953"/>
      <c r="F8012" s="953"/>
      <c r="G8012" s="953"/>
      <c r="H8012" s="953"/>
    </row>
    <row r="8013" spans="1:8" x14ac:dyDescent="0.25">
      <c r="A8013" s="952"/>
      <c r="B8013" s="953"/>
      <c r="C8013" s="953"/>
      <c r="D8013" s="953"/>
      <c r="E8013" s="953"/>
      <c r="F8013" s="953"/>
      <c r="G8013" s="953"/>
      <c r="H8013" s="953"/>
    </row>
    <row r="8014" spans="1:8" x14ac:dyDescent="0.25">
      <c r="A8014" s="952"/>
      <c r="B8014" s="953"/>
      <c r="C8014" s="953"/>
      <c r="D8014" s="953"/>
      <c r="E8014" s="953"/>
      <c r="F8014" s="953"/>
      <c r="G8014" s="953"/>
      <c r="H8014" s="953"/>
    </row>
    <row r="8015" spans="1:8" x14ac:dyDescent="0.25">
      <c r="A8015" s="952"/>
      <c r="B8015" s="953"/>
      <c r="C8015" s="953"/>
      <c r="D8015" s="953"/>
      <c r="E8015" s="953"/>
      <c r="F8015" s="953"/>
      <c r="G8015" s="953"/>
      <c r="H8015" s="953"/>
    </row>
    <row r="8016" spans="1:8" x14ac:dyDescent="0.25">
      <c r="A8016" s="952"/>
      <c r="B8016" s="953"/>
      <c r="C8016" s="953"/>
      <c r="D8016" s="953"/>
      <c r="E8016" s="953"/>
      <c r="F8016" s="953"/>
      <c r="G8016" s="953"/>
      <c r="H8016" s="953"/>
    </row>
    <row r="8017" spans="1:8" x14ac:dyDescent="0.25">
      <c r="A8017" s="952"/>
      <c r="B8017" s="953"/>
      <c r="C8017" s="953"/>
      <c r="D8017" s="953"/>
      <c r="E8017" s="953"/>
      <c r="F8017" s="953"/>
      <c r="G8017" s="953"/>
      <c r="H8017" s="953"/>
    </row>
    <row r="8018" spans="1:8" x14ac:dyDescent="0.25">
      <c r="A8018" s="952"/>
      <c r="B8018" s="953"/>
      <c r="C8018" s="953"/>
      <c r="D8018" s="953"/>
      <c r="E8018" s="953"/>
      <c r="F8018" s="953"/>
      <c r="G8018" s="953"/>
      <c r="H8018" s="953"/>
    </row>
    <row r="8019" spans="1:8" x14ac:dyDescent="0.25">
      <c r="A8019" s="952"/>
      <c r="B8019" s="953"/>
      <c r="C8019" s="953"/>
      <c r="D8019" s="953"/>
      <c r="E8019" s="953"/>
      <c r="F8019" s="953"/>
      <c r="G8019" s="953"/>
      <c r="H8019" s="953"/>
    </row>
    <row r="8020" spans="1:8" x14ac:dyDescent="0.25">
      <c r="A8020" s="952"/>
      <c r="B8020" s="953"/>
      <c r="C8020" s="953"/>
      <c r="D8020" s="953"/>
      <c r="E8020" s="953"/>
      <c r="F8020" s="953"/>
      <c r="G8020" s="953"/>
      <c r="H8020" s="953"/>
    </row>
    <row r="8021" spans="1:8" x14ac:dyDescent="0.25">
      <c r="A8021" s="952"/>
      <c r="B8021" s="953"/>
      <c r="C8021" s="953"/>
      <c r="D8021" s="953"/>
      <c r="E8021" s="953"/>
      <c r="F8021" s="953"/>
      <c r="G8021" s="953"/>
      <c r="H8021" s="953"/>
    </row>
    <row r="8022" spans="1:8" x14ac:dyDescent="0.25">
      <c r="A8022" s="952"/>
      <c r="B8022" s="953"/>
      <c r="C8022" s="953"/>
      <c r="D8022" s="953"/>
      <c r="E8022" s="953"/>
      <c r="F8022" s="953"/>
      <c r="G8022" s="953"/>
      <c r="H8022" s="953"/>
    </row>
    <row r="8023" spans="1:8" x14ac:dyDescent="0.25">
      <c r="A8023" s="952"/>
      <c r="B8023" s="953"/>
      <c r="C8023" s="953"/>
      <c r="D8023" s="953"/>
      <c r="E8023" s="953"/>
      <c r="F8023" s="953"/>
      <c r="G8023" s="953"/>
      <c r="H8023" s="953"/>
    </row>
    <row r="8024" spans="1:8" x14ac:dyDescent="0.25">
      <c r="A8024" s="952"/>
      <c r="B8024" s="953"/>
      <c r="C8024" s="953"/>
      <c r="D8024" s="953"/>
      <c r="E8024" s="953"/>
      <c r="F8024" s="953"/>
      <c r="G8024" s="953"/>
      <c r="H8024" s="953"/>
    </row>
    <row r="8025" spans="1:8" x14ac:dyDescent="0.25">
      <c r="A8025" s="952"/>
      <c r="B8025" s="953"/>
      <c r="C8025" s="953"/>
      <c r="D8025" s="953"/>
      <c r="E8025" s="953"/>
      <c r="F8025" s="953"/>
      <c r="G8025" s="953"/>
      <c r="H8025" s="953"/>
    </row>
    <row r="8026" spans="1:8" x14ac:dyDescent="0.25">
      <c r="A8026" s="952"/>
      <c r="B8026" s="953"/>
      <c r="C8026" s="953"/>
      <c r="D8026" s="953"/>
      <c r="E8026" s="953"/>
      <c r="F8026" s="953"/>
      <c r="G8026" s="953"/>
      <c r="H8026" s="953"/>
    </row>
    <row r="8027" spans="1:8" x14ac:dyDescent="0.25">
      <c r="A8027" s="952"/>
      <c r="B8027" s="953"/>
      <c r="C8027" s="953"/>
      <c r="D8027" s="953"/>
      <c r="E8027" s="953"/>
      <c r="F8027" s="953"/>
      <c r="G8027" s="953"/>
      <c r="H8027" s="953"/>
    </row>
    <row r="8028" spans="1:8" x14ac:dyDescent="0.25">
      <c r="A8028" s="952"/>
      <c r="B8028" s="953"/>
      <c r="C8028" s="953"/>
      <c r="D8028" s="953"/>
      <c r="E8028" s="953"/>
      <c r="F8028" s="953"/>
      <c r="G8028" s="953"/>
      <c r="H8028" s="953"/>
    </row>
    <row r="8029" spans="1:8" x14ac:dyDescent="0.25">
      <c r="A8029" s="952"/>
      <c r="B8029" s="953"/>
      <c r="C8029" s="953"/>
      <c r="D8029" s="953"/>
      <c r="E8029" s="953"/>
      <c r="F8029" s="953"/>
      <c r="G8029" s="953"/>
      <c r="H8029" s="953"/>
    </row>
    <row r="8030" spans="1:8" x14ac:dyDescent="0.25">
      <c r="A8030" s="952"/>
      <c r="B8030" s="953"/>
      <c r="C8030" s="953"/>
      <c r="D8030" s="953"/>
      <c r="E8030" s="953"/>
      <c r="F8030" s="953"/>
      <c r="G8030" s="953"/>
      <c r="H8030" s="953"/>
    </row>
    <row r="8031" spans="1:8" x14ac:dyDescent="0.25">
      <c r="A8031" s="952"/>
      <c r="B8031" s="953"/>
      <c r="C8031" s="953"/>
      <c r="D8031" s="953"/>
      <c r="E8031" s="953"/>
      <c r="F8031" s="953"/>
      <c r="G8031" s="953"/>
      <c r="H8031" s="953"/>
    </row>
    <row r="8032" spans="1:8" x14ac:dyDescent="0.25">
      <c r="A8032" s="952"/>
      <c r="B8032" s="953"/>
      <c r="C8032" s="953"/>
      <c r="D8032" s="953"/>
      <c r="E8032" s="953"/>
      <c r="F8032" s="953"/>
      <c r="G8032" s="953"/>
      <c r="H8032" s="953"/>
    </row>
    <row r="8033" spans="1:8" x14ac:dyDescent="0.25">
      <c r="A8033" s="952"/>
      <c r="B8033" s="953"/>
      <c r="C8033" s="953"/>
      <c r="D8033" s="953"/>
      <c r="E8033" s="953"/>
      <c r="F8033" s="953"/>
      <c r="G8033" s="953"/>
      <c r="H8033" s="953"/>
    </row>
    <row r="8034" spans="1:8" x14ac:dyDescent="0.25">
      <c r="A8034" s="952"/>
      <c r="B8034" s="953"/>
      <c r="C8034" s="953"/>
      <c r="D8034" s="953"/>
      <c r="E8034" s="953"/>
      <c r="F8034" s="953"/>
      <c r="G8034" s="953"/>
      <c r="H8034" s="953"/>
    </row>
    <row r="8035" spans="1:8" x14ac:dyDescent="0.25">
      <c r="A8035" s="952"/>
      <c r="B8035" s="953"/>
      <c r="C8035" s="953"/>
      <c r="D8035" s="953"/>
      <c r="E8035" s="953"/>
      <c r="F8035" s="953"/>
      <c r="G8035" s="953"/>
      <c r="H8035" s="953"/>
    </row>
    <row r="8036" spans="1:8" x14ac:dyDescent="0.25">
      <c r="A8036" s="952"/>
      <c r="B8036" s="953"/>
      <c r="C8036" s="953"/>
      <c r="D8036" s="953"/>
      <c r="E8036" s="953"/>
      <c r="F8036" s="953"/>
      <c r="G8036" s="953"/>
      <c r="H8036" s="953"/>
    </row>
    <row r="8037" spans="1:8" x14ac:dyDescent="0.25">
      <c r="A8037" s="952"/>
      <c r="B8037" s="953"/>
      <c r="C8037" s="953"/>
      <c r="D8037" s="953"/>
      <c r="E8037" s="953"/>
      <c r="F8037" s="953"/>
      <c r="G8037" s="953"/>
      <c r="H8037" s="953"/>
    </row>
    <row r="8038" spans="1:8" x14ac:dyDescent="0.25">
      <c r="A8038" s="952"/>
      <c r="B8038" s="953"/>
      <c r="C8038" s="953"/>
      <c r="D8038" s="953"/>
      <c r="E8038" s="953"/>
      <c r="F8038" s="953"/>
      <c r="G8038" s="953"/>
      <c r="H8038" s="953"/>
    </row>
    <row r="8039" spans="1:8" x14ac:dyDescent="0.25">
      <c r="A8039" s="952"/>
      <c r="B8039" s="953"/>
      <c r="C8039" s="953"/>
      <c r="D8039" s="953"/>
      <c r="E8039" s="953"/>
      <c r="F8039" s="953"/>
      <c r="G8039" s="953"/>
      <c r="H8039" s="953"/>
    </row>
    <row r="8040" spans="1:8" x14ac:dyDescent="0.25">
      <c r="A8040" s="952"/>
      <c r="B8040" s="953"/>
      <c r="C8040" s="953"/>
      <c r="D8040" s="953"/>
      <c r="E8040" s="953"/>
      <c r="F8040" s="953"/>
      <c r="G8040" s="953"/>
      <c r="H8040" s="953"/>
    </row>
    <row r="8041" spans="1:8" x14ac:dyDescent="0.25">
      <c r="A8041" s="952"/>
      <c r="B8041" s="953"/>
      <c r="C8041" s="953"/>
      <c r="D8041" s="953"/>
      <c r="E8041" s="953"/>
      <c r="F8041" s="953"/>
      <c r="G8041" s="953"/>
      <c r="H8041" s="953"/>
    </row>
    <row r="8042" spans="1:8" x14ac:dyDescent="0.25">
      <c r="A8042" s="952"/>
      <c r="B8042" s="953"/>
      <c r="C8042" s="953"/>
      <c r="D8042" s="953"/>
      <c r="E8042" s="953"/>
      <c r="F8042" s="953"/>
      <c r="G8042" s="953"/>
      <c r="H8042" s="953"/>
    </row>
    <row r="8043" spans="1:8" x14ac:dyDescent="0.25">
      <c r="A8043" s="952"/>
      <c r="B8043" s="953"/>
      <c r="C8043" s="953"/>
      <c r="D8043" s="953"/>
      <c r="E8043" s="953"/>
      <c r="F8043" s="953"/>
      <c r="G8043" s="953"/>
      <c r="H8043" s="953"/>
    </row>
    <row r="8044" spans="1:8" x14ac:dyDescent="0.25">
      <c r="A8044" s="952"/>
      <c r="B8044" s="953"/>
      <c r="C8044" s="953"/>
      <c r="D8044" s="953"/>
      <c r="E8044" s="953"/>
      <c r="F8044" s="953"/>
      <c r="G8044" s="953"/>
      <c r="H8044" s="953"/>
    </row>
    <row r="8045" spans="1:8" x14ac:dyDescent="0.25">
      <c r="A8045" s="952"/>
      <c r="B8045" s="953"/>
      <c r="C8045" s="953"/>
      <c r="D8045" s="953"/>
      <c r="E8045" s="953"/>
      <c r="F8045" s="953"/>
      <c r="G8045" s="953"/>
      <c r="H8045" s="953"/>
    </row>
    <row r="8046" spans="1:8" x14ac:dyDescent="0.25">
      <c r="A8046" s="952"/>
      <c r="B8046" s="953"/>
      <c r="C8046" s="953"/>
      <c r="D8046" s="953"/>
      <c r="E8046" s="953"/>
      <c r="F8046" s="953"/>
      <c r="G8046" s="953"/>
      <c r="H8046" s="953"/>
    </row>
    <row r="8047" spans="1:8" x14ac:dyDescent="0.25">
      <c r="A8047" s="952"/>
      <c r="B8047" s="953"/>
      <c r="C8047" s="953"/>
      <c r="D8047" s="953"/>
      <c r="E8047" s="953"/>
      <c r="F8047" s="953"/>
      <c r="G8047" s="953"/>
      <c r="H8047" s="953"/>
    </row>
    <row r="8048" spans="1:8" x14ac:dyDescent="0.25">
      <c r="A8048" s="952"/>
      <c r="B8048" s="953"/>
      <c r="C8048" s="953"/>
      <c r="D8048" s="953"/>
      <c r="E8048" s="953"/>
      <c r="F8048" s="953"/>
      <c r="G8048" s="953"/>
      <c r="H8048" s="953"/>
    </row>
    <row r="8049" spans="1:8" x14ac:dyDescent="0.25">
      <c r="A8049" s="952"/>
      <c r="B8049" s="953"/>
      <c r="C8049" s="953"/>
      <c r="D8049" s="953"/>
      <c r="E8049" s="953"/>
      <c r="F8049" s="953"/>
      <c r="G8049" s="953"/>
      <c r="H8049" s="953"/>
    </row>
    <row r="8050" spans="1:8" x14ac:dyDescent="0.25">
      <c r="A8050" s="952"/>
      <c r="B8050" s="953"/>
      <c r="C8050" s="953"/>
      <c r="D8050" s="953"/>
      <c r="E8050" s="953"/>
      <c r="F8050" s="953"/>
      <c r="G8050" s="953"/>
      <c r="H8050" s="953"/>
    </row>
    <row r="8051" spans="1:8" x14ac:dyDescent="0.25">
      <c r="A8051" s="952"/>
      <c r="B8051" s="953"/>
      <c r="C8051" s="953"/>
      <c r="D8051" s="953"/>
      <c r="E8051" s="953"/>
      <c r="F8051" s="953"/>
      <c r="G8051" s="953"/>
      <c r="H8051" s="953"/>
    </row>
    <row r="8052" spans="1:8" x14ac:dyDescent="0.25">
      <c r="A8052" s="952"/>
      <c r="B8052" s="953"/>
      <c r="C8052" s="953"/>
      <c r="D8052" s="953"/>
      <c r="E8052" s="953"/>
      <c r="F8052" s="953"/>
      <c r="G8052" s="953"/>
      <c r="H8052" s="953"/>
    </row>
    <row r="8053" spans="1:8" x14ac:dyDescent="0.25">
      <c r="A8053" s="952"/>
      <c r="B8053" s="953"/>
      <c r="C8053" s="953"/>
      <c r="D8053" s="953"/>
      <c r="E8053" s="953"/>
      <c r="F8053" s="953"/>
      <c r="G8053" s="953"/>
      <c r="H8053" s="953"/>
    </row>
    <row r="8054" spans="1:8" x14ac:dyDescent="0.25">
      <c r="A8054" s="952"/>
      <c r="B8054" s="953"/>
      <c r="C8054" s="953"/>
      <c r="D8054" s="953"/>
      <c r="E8054" s="953"/>
      <c r="F8054" s="953"/>
      <c r="G8054" s="953"/>
      <c r="H8054" s="953"/>
    </row>
    <row r="8055" spans="1:8" x14ac:dyDescent="0.25">
      <c r="A8055" s="952"/>
      <c r="B8055" s="953"/>
      <c r="C8055" s="953"/>
      <c r="D8055" s="953"/>
      <c r="E8055" s="953"/>
      <c r="F8055" s="953"/>
      <c r="G8055" s="953"/>
      <c r="H8055" s="953"/>
    </row>
    <row r="8056" spans="1:8" x14ac:dyDescent="0.25">
      <c r="A8056" s="952"/>
      <c r="B8056" s="953"/>
      <c r="C8056" s="953"/>
      <c r="D8056" s="953"/>
      <c r="E8056" s="953"/>
      <c r="F8056" s="953"/>
      <c r="G8056" s="953"/>
      <c r="H8056" s="953"/>
    </row>
    <row r="8057" spans="1:8" x14ac:dyDescent="0.25">
      <c r="A8057" s="952"/>
      <c r="B8057" s="953"/>
      <c r="C8057" s="953"/>
      <c r="D8057" s="953"/>
      <c r="E8057" s="953"/>
      <c r="F8057" s="953"/>
      <c r="G8057" s="953"/>
      <c r="H8057" s="953"/>
    </row>
    <row r="8058" spans="1:8" x14ac:dyDescent="0.25">
      <c r="A8058" s="952"/>
      <c r="B8058" s="953"/>
      <c r="C8058" s="953"/>
      <c r="D8058" s="953"/>
      <c r="E8058" s="953"/>
      <c r="F8058" s="953"/>
      <c r="G8058" s="953"/>
      <c r="H8058" s="953"/>
    </row>
    <row r="8059" spans="1:8" x14ac:dyDescent="0.25">
      <c r="A8059" s="952"/>
      <c r="B8059" s="953"/>
      <c r="C8059" s="953"/>
      <c r="D8059" s="953"/>
      <c r="E8059" s="953"/>
      <c r="F8059" s="953"/>
      <c r="G8059" s="953"/>
      <c r="H8059" s="953"/>
    </row>
    <row r="8060" spans="1:8" x14ac:dyDescent="0.25">
      <c r="A8060" s="952"/>
      <c r="B8060" s="953"/>
      <c r="C8060" s="953"/>
      <c r="D8060" s="953"/>
      <c r="E8060" s="953"/>
      <c r="F8060" s="953"/>
      <c r="G8060" s="953"/>
      <c r="H8060" s="953"/>
    </row>
    <row r="8061" spans="1:8" x14ac:dyDescent="0.25">
      <c r="A8061" s="952"/>
      <c r="B8061" s="953"/>
      <c r="C8061" s="953"/>
      <c r="D8061" s="953"/>
      <c r="E8061" s="953"/>
      <c r="F8061" s="953"/>
      <c r="G8061" s="953"/>
      <c r="H8061" s="953"/>
    </row>
    <row r="8062" spans="1:8" x14ac:dyDescent="0.25">
      <c r="A8062" s="952"/>
      <c r="B8062" s="953"/>
      <c r="C8062" s="953"/>
      <c r="D8062" s="953"/>
      <c r="E8062" s="953"/>
      <c r="F8062" s="953"/>
      <c r="G8062" s="953"/>
      <c r="H8062" s="953"/>
    </row>
    <row r="8063" spans="1:8" x14ac:dyDescent="0.25">
      <c r="A8063" s="952"/>
      <c r="B8063" s="953"/>
      <c r="C8063" s="953"/>
      <c r="D8063" s="953"/>
      <c r="E8063" s="953"/>
      <c r="F8063" s="953"/>
      <c r="G8063" s="953"/>
      <c r="H8063" s="953"/>
    </row>
    <row r="8064" spans="1:8" x14ac:dyDescent="0.25">
      <c r="A8064" s="952"/>
      <c r="B8064" s="953"/>
      <c r="C8064" s="953"/>
      <c r="D8064" s="953"/>
      <c r="E8064" s="953"/>
      <c r="F8064" s="953"/>
      <c r="G8064" s="953"/>
      <c r="H8064" s="953"/>
    </row>
    <row r="8065" spans="1:8" x14ac:dyDescent="0.25">
      <c r="A8065" s="952"/>
      <c r="B8065" s="953"/>
      <c r="C8065" s="953"/>
      <c r="D8065" s="953"/>
      <c r="E8065" s="953"/>
      <c r="F8065" s="953"/>
      <c r="G8065" s="953"/>
      <c r="H8065" s="953"/>
    </row>
    <row r="8066" spans="1:8" x14ac:dyDescent="0.25">
      <c r="A8066" s="952"/>
      <c r="B8066" s="953"/>
      <c r="C8066" s="953"/>
      <c r="D8066" s="953"/>
      <c r="E8066" s="953"/>
      <c r="F8066" s="953"/>
      <c r="G8066" s="953"/>
      <c r="H8066" s="953"/>
    </row>
    <row r="8067" spans="1:8" x14ac:dyDescent="0.25">
      <c r="A8067" s="952"/>
      <c r="B8067" s="953"/>
      <c r="C8067" s="953"/>
      <c r="D8067" s="953"/>
      <c r="E8067" s="953"/>
      <c r="F8067" s="953"/>
      <c r="G8067" s="953"/>
      <c r="H8067" s="953"/>
    </row>
    <row r="8068" spans="1:8" x14ac:dyDescent="0.25">
      <c r="A8068" s="952"/>
      <c r="B8068" s="953"/>
      <c r="C8068" s="953"/>
      <c r="D8068" s="953"/>
      <c r="E8068" s="953"/>
      <c r="F8068" s="953"/>
      <c r="G8068" s="953"/>
      <c r="H8068" s="953"/>
    </row>
    <row r="8069" spans="1:8" x14ac:dyDescent="0.25">
      <c r="A8069" s="952"/>
      <c r="B8069" s="953"/>
      <c r="C8069" s="953"/>
      <c r="D8069" s="953"/>
      <c r="E8069" s="953"/>
      <c r="F8069" s="953"/>
      <c r="G8069" s="953"/>
      <c r="H8069" s="953"/>
    </row>
    <row r="8070" spans="1:8" x14ac:dyDescent="0.25">
      <c r="A8070" s="952"/>
      <c r="B8070" s="953"/>
      <c r="C8070" s="953"/>
      <c r="D8070" s="953"/>
      <c r="E8070" s="953"/>
      <c r="F8070" s="953"/>
      <c r="G8070" s="953"/>
      <c r="H8070" s="953"/>
    </row>
    <row r="8071" spans="1:8" x14ac:dyDescent="0.25">
      <c r="A8071" s="952"/>
      <c r="B8071" s="953"/>
      <c r="C8071" s="953"/>
      <c r="D8071" s="953"/>
      <c r="E8071" s="953"/>
      <c r="F8071" s="953"/>
      <c r="G8071" s="953"/>
      <c r="H8071" s="953"/>
    </row>
    <row r="8072" spans="1:8" x14ac:dyDescent="0.25">
      <c r="A8072" s="952"/>
      <c r="B8072" s="953"/>
      <c r="C8072" s="953"/>
      <c r="D8072" s="953"/>
      <c r="E8072" s="953"/>
      <c r="F8072" s="953"/>
      <c r="G8072" s="953"/>
      <c r="H8072" s="953"/>
    </row>
    <row r="8073" spans="1:8" x14ac:dyDescent="0.25">
      <c r="A8073" s="952"/>
      <c r="B8073" s="953"/>
      <c r="C8073" s="953"/>
      <c r="D8073" s="953"/>
      <c r="E8073" s="953"/>
      <c r="F8073" s="953"/>
      <c r="G8073" s="953"/>
      <c r="H8073" s="953"/>
    </row>
    <row r="8074" spans="1:8" x14ac:dyDescent="0.25">
      <c r="A8074" s="952"/>
      <c r="B8074" s="953"/>
      <c r="C8074" s="953"/>
      <c r="D8074" s="953"/>
      <c r="E8074" s="953"/>
      <c r="F8074" s="953"/>
      <c r="G8074" s="953"/>
      <c r="H8074" s="953"/>
    </row>
    <row r="8075" spans="1:8" x14ac:dyDescent="0.25">
      <c r="A8075" s="952"/>
      <c r="B8075" s="953"/>
      <c r="C8075" s="953"/>
      <c r="D8075" s="953"/>
      <c r="E8075" s="953"/>
      <c r="F8075" s="953"/>
      <c r="G8075" s="953"/>
      <c r="H8075" s="953"/>
    </row>
    <row r="8076" spans="1:8" x14ac:dyDescent="0.25">
      <c r="A8076" s="952"/>
      <c r="B8076" s="953"/>
      <c r="C8076" s="953"/>
      <c r="D8076" s="953"/>
      <c r="E8076" s="953"/>
      <c r="F8076" s="953"/>
      <c r="G8076" s="953"/>
      <c r="H8076" s="953"/>
    </row>
    <row r="8077" spans="1:8" x14ac:dyDescent="0.25">
      <c r="A8077" s="952"/>
      <c r="B8077" s="953"/>
      <c r="C8077" s="953"/>
      <c r="D8077" s="953"/>
      <c r="E8077" s="953"/>
      <c r="F8077" s="953"/>
      <c r="G8077" s="953"/>
      <c r="H8077" s="953"/>
    </row>
    <row r="8078" spans="1:8" x14ac:dyDescent="0.25">
      <c r="A8078" s="952"/>
      <c r="B8078" s="953"/>
      <c r="C8078" s="953"/>
      <c r="D8078" s="953"/>
      <c r="E8078" s="953"/>
      <c r="F8078" s="953"/>
      <c r="G8078" s="953"/>
      <c r="H8078" s="953"/>
    </row>
    <row r="8079" spans="1:8" x14ac:dyDescent="0.25">
      <c r="A8079" s="952"/>
      <c r="B8079" s="953"/>
      <c r="C8079" s="953"/>
      <c r="D8079" s="953"/>
      <c r="E8079" s="953"/>
      <c r="F8079" s="953"/>
      <c r="G8079" s="953"/>
      <c r="H8079" s="953"/>
    </row>
    <row r="8080" spans="1:8" x14ac:dyDescent="0.25">
      <c r="A8080" s="952"/>
      <c r="B8080" s="953"/>
      <c r="C8080" s="953"/>
      <c r="D8080" s="953"/>
      <c r="E8080" s="953"/>
      <c r="F8080" s="953"/>
      <c r="G8080" s="953"/>
      <c r="H8080" s="953"/>
    </row>
    <row r="8081" spans="1:8" x14ac:dyDescent="0.25">
      <c r="A8081" s="952"/>
      <c r="B8081" s="953"/>
      <c r="C8081" s="953"/>
      <c r="D8081" s="953"/>
      <c r="E8081" s="953"/>
      <c r="F8081" s="953"/>
      <c r="G8081" s="953"/>
      <c r="H8081" s="953"/>
    </row>
    <row r="8082" spans="1:8" x14ac:dyDescent="0.25">
      <c r="A8082" s="952"/>
      <c r="B8082" s="953"/>
      <c r="C8082" s="953"/>
      <c r="D8082" s="953"/>
      <c r="E8082" s="953"/>
      <c r="F8082" s="953"/>
      <c r="G8082" s="953"/>
      <c r="H8082" s="953"/>
    </row>
    <row r="8083" spans="1:8" x14ac:dyDescent="0.25">
      <c r="A8083" s="952"/>
      <c r="B8083" s="953"/>
      <c r="C8083" s="953"/>
      <c r="D8083" s="953"/>
      <c r="E8083" s="953"/>
      <c r="F8083" s="953"/>
      <c r="G8083" s="953"/>
      <c r="H8083" s="953"/>
    </row>
    <row r="8084" spans="1:8" x14ac:dyDescent="0.25">
      <c r="A8084" s="952"/>
      <c r="B8084" s="953"/>
      <c r="C8084" s="953"/>
      <c r="D8084" s="953"/>
      <c r="E8084" s="953"/>
      <c r="F8084" s="953"/>
      <c r="G8084" s="953"/>
      <c r="H8084" s="953"/>
    </row>
    <row r="8085" spans="1:8" x14ac:dyDescent="0.25">
      <c r="A8085" s="952"/>
      <c r="B8085" s="953"/>
      <c r="C8085" s="953"/>
      <c r="D8085" s="953"/>
      <c r="E8085" s="953"/>
      <c r="F8085" s="953"/>
      <c r="G8085" s="953"/>
      <c r="H8085" s="953"/>
    </row>
    <row r="8086" spans="1:8" x14ac:dyDescent="0.25">
      <c r="A8086" s="952"/>
      <c r="B8086" s="953"/>
      <c r="C8086" s="953"/>
      <c r="D8086" s="953"/>
      <c r="E8086" s="953"/>
      <c r="F8086" s="953"/>
      <c r="G8086" s="953"/>
      <c r="H8086" s="953"/>
    </row>
    <row r="8087" spans="1:8" x14ac:dyDescent="0.25">
      <c r="A8087" s="952"/>
      <c r="B8087" s="953"/>
      <c r="C8087" s="953"/>
      <c r="D8087" s="953"/>
      <c r="E8087" s="953"/>
      <c r="F8087" s="953"/>
      <c r="G8087" s="953"/>
      <c r="H8087" s="953"/>
    </row>
    <row r="8088" spans="1:8" x14ac:dyDescent="0.25">
      <c r="A8088" s="952"/>
      <c r="B8088" s="953"/>
      <c r="C8088" s="953"/>
      <c r="D8088" s="953"/>
      <c r="E8088" s="953"/>
      <c r="F8088" s="953"/>
      <c r="G8088" s="953"/>
      <c r="H8088" s="953"/>
    </row>
    <row r="8089" spans="1:8" x14ac:dyDescent="0.25">
      <c r="A8089" s="952"/>
      <c r="B8089" s="953"/>
      <c r="C8089" s="953"/>
      <c r="D8089" s="953"/>
      <c r="E8089" s="953"/>
      <c r="F8089" s="953"/>
      <c r="G8089" s="953"/>
      <c r="H8089" s="953"/>
    </row>
    <row r="8090" spans="1:8" x14ac:dyDescent="0.25">
      <c r="A8090" s="952"/>
      <c r="B8090" s="953"/>
      <c r="C8090" s="953"/>
      <c r="D8090" s="953"/>
      <c r="E8090" s="953"/>
      <c r="F8090" s="953"/>
      <c r="G8090" s="953"/>
      <c r="H8090" s="953"/>
    </row>
    <row r="8091" spans="1:8" x14ac:dyDescent="0.25">
      <c r="A8091" s="952"/>
      <c r="B8091" s="953"/>
      <c r="C8091" s="953"/>
      <c r="D8091" s="953"/>
      <c r="E8091" s="953"/>
      <c r="F8091" s="953"/>
      <c r="G8091" s="953"/>
      <c r="H8091" s="953"/>
    </row>
    <row r="8092" spans="1:8" x14ac:dyDescent="0.25">
      <c r="A8092" s="952"/>
      <c r="B8092" s="953"/>
      <c r="C8092" s="953"/>
      <c r="D8092" s="953"/>
      <c r="E8092" s="953"/>
      <c r="F8092" s="953"/>
      <c r="G8092" s="953"/>
      <c r="H8092" s="953"/>
    </row>
    <row r="8093" spans="1:8" x14ac:dyDescent="0.25">
      <c r="A8093" s="952"/>
      <c r="B8093" s="953"/>
      <c r="C8093" s="953"/>
      <c r="D8093" s="953"/>
      <c r="E8093" s="953"/>
      <c r="F8093" s="953"/>
      <c r="G8093" s="953"/>
      <c r="H8093" s="953"/>
    </row>
    <row r="8094" spans="1:8" x14ac:dyDescent="0.25">
      <c r="A8094" s="952"/>
      <c r="B8094" s="953"/>
      <c r="C8094" s="953"/>
      <c r="D8094" s="953"/>
      <c r="E8094" s="953"/>
      <c r="F8094" s="953"/>
      <c r="G8094" s="953"/>
      <c r="H8094" s="953"/>
    </row>
    <row r="8095" spans="1:8" x14ac:dyDescent="0.25">
      <c r="A8095" s="952"/>
      <c r="B8095" s="953"/>
      <c r="C8095" s="953"/>
      <c r="D8095" s="953"/>
      <c r="E8095" s="953"/>
      <c r="F8095" s="953"/>
      <c r="G8095" s="953"/>
      <c r="H8095" s="953"/>
    </row>
    <row r="8096" spans="1:8" x14ac:dyDescent="0.25">
      <c r="A8096" s="952"/>
      <c r="B8096" s="953"/>
      <c r="C8096" s="953"/>
      <c r="D8096" s="953"/>
      <c r="E8096" s="953"/>
      <c r="F8096" s="953"/>
      <c r="G8096" s="953"/>
      <c r="H8096" s="953"/>
    </row>
    <row r="8097" spans="1:8" x14ac:dyDescent="0.25">
      <c r="A8097" s="952"/>
      <c r="B8097" s="953"/>
      <c r="C8097" s="953"/>
      <c r="D8097" s="953"/>
      <c r="E8097" s="953"/>
      <c r="F8097" s="953"/>
      <c r="G8097" s="953"/>
      <c r="H8097" s="953"/>
    </row>
    <row r="8098" spans="1:8" x14ac:dyDescent="0.25">
      <c r="A8098" s="952"/>
      <c r="B8098" s="953"/>
      <c r="C8098" s="953"/>
      <c r="D8098" s="953"/>
      <c r="E8098" s="953"/>
      <c r="F8098" s="953"/>
      <c r="G8098" s="953"/>
      <c r="H8098" s="953"/>
    </row>
    <row r="8099" spans="1:8" x14ac:dyDescent="0.25">
      <c r="A8099" s="952"/>
      <c r="B8099" s="953"/>
      <c r="C8099" s="953"/>
      <c r="D8099" s="953"/>
      <c r="E8099" s="953"/>
      <c r="F8099" s="953"/>
      <c r="G8099" s="953"/>
      <c r="H8099" s="953"/>
    </row>
    <row r="8100" spans="1:8" x14ac:dyDescent="0.25">
      <c r="A8100" s="952"/>
      <c r="B8100" s="953"/>
      <c r="C8100" s="953"/>
      <c r="D8100" s="953"/>
      <c r="E8100" s="953"/>
      <c r="F8100" s="953"/>
      <c r="G8100" s="953"/>
      <c r="H8100" s="953"/>
    </row>
    <row r="8101" spans="1:8" x14ac:dyDescent="0.25">
      <c r="A8101" s="952"/>
      <c r="B8101" s="953"/>
      <c r="C8101" s="953"/>
      <c r="D8101" s="953"/>
      <c r="E8101" s="953"/>
      <c r="F8101" s="953"/>
      <c r="G8101" s="953"/>
      <c r="H8101" s="953"/>
    </row>
    <row r="8102" spans="1:8" x14ac:dyDescent="0.25">
      <c r="A8102" s="952"/>
      <c r="B8102" s="953"/>
      <c r="C8102" s="953"/>
      <c r="D8102" s="953"/>
      <c r="E8102" s="953"/>
      <c r="F8102" s="953"/>
      <c r="G8102" s="953"/>
      <c r="H8102" s="953"/>
    </row>
    <row r="8103" spans="1:8" x14ac:dyDescent="0.25">
      <c r="A8103" s="952"/>
      <c r="B8103" s="953"/>
      <c r="C8103" s="953"/>
      <c r="D8103" s="953"/>
      <c r="E8103" s="953"/>
      <c r="F8103" s="953"/>
      <c r="G8103" s="953"/>
      <c r="H8103" s="953"/>
    </row>
    <row r="8104" spans="1:8" x14ac:dyDescent="0.25">
      <c r="A8104" s="952"/>
      <c r="B8104" s="953"/>
      <c r="C8104" s="953"/>
      <c r="D8104" s="953"/>
      <c r="E8104" s="953"/>
      <c r="F8104" s="953"/>
      <c r="G8104" s="953"/>
      <c r="H8104" s="953"/>
    </row>
    <row r="8105" spans="1:8" x14ac:dyDescent="0.25">
      <c r="A8105" s="952"/>
      <c r="B8105" s="953"/>
      <c r="C8105" s="953"/>
      <c r="D8105" s="953"/>
      <c r="E8105" s="953"/>
      <c r="F8105" s="953"/>
      <c r="G8105" s="953"/>
      <c r="H8105" s="953"/>
    </row>
    <row r="8106" spans="1:8" x14ac:dyDescent="0.25">
      <c r="A8106" s="952"/>
      <c r="B8106" s="953"/>
      <c r="C8106" s="953"/>
      <c r="D8106" s="953"/>
      <c r="E8106" s="953"/>
      <c r="F8106" s="953"/>
      <c r="G8106" s="953"/>
      <c r="H8106" s="953"/>
    </row>
    <row r="8107" spans="1:8" x14ac:dyDescent="0.25">
      <c r="A8107" s="952"/>
      <c r="B8107" s="953"/>
      <c r="C8107" s="953"/>
      <c r="D8107" s="953"/>
      <c r="E8107" s="953"/>
      <c r="F8107" s="953"/>
      <c r="G8107" s="953"/>
      <c r="H8107" s="953"/>
    </row>
    <row r="8108" spans="1:8" x14ac:dyDescent="0.25">
      <c r="A8108" s="952"/>
      <c r="B8108" s="953"/>
      <c r="C8108" s="953"/>
      <c r="D8108" s="953"/>
      <c r="E8108" s="953"/>
      <c r="F8108" s="953"/>
      <c r="G8108" s="953"/>
      <c r="H8108" s="953"/>
    </row>
    <row r="8109" spans="1:8" x14ac:dyDescent="0.25">
      <c r="A8109" s="952"/>
      <c r="B8109" s="953"/>
      <c r="C8109" s="953"/>
      <c r="D8109" s="953"/>
      <c r="E8109" s="953"/>
      <c r="F8109" s="953"/>
      <c r="G8109" s="953"/>
      <c r="H8109" s="953"/>
    </row>
    <row r="8110" spans="1:8" x14ac:dyDescent="0.25">
      <c r="A8110" s="952"/>
      <c r="B8110" s="953"/>
      <c r="C8110" s="953"/>
      <c r="D8110" s="953"/>
      <c r="E8110" s="953"/>
      <c r="F8110" s="953"/>
      <c r="G8110" s="953"/>
      <c r="H8110" s="953"/>
    </row>
    <row r="8111" spans="1:8" x14ac:dyDescent="0.25">
      <c r="A8111" s="952"/>
      <c r="B8111" s="953"/>
      <c r="C8111" s="953"/>
      <c r="D8111" s="953"/>
      <c r="E8111" s="953"/>
      <c r="F8111" s="953"/>
      <c r="G8111" s="953"/>
      <c r="H8111" s="953"/>
    </row>
    <row r="8112" spans="1:8" x14ac:dyDescent="0.25">
      <c r="A8112" s="952"/>
      <c r="B8112" s="953"/>
      <c r="C8112" s="953"/>
      <c r="D8112" s="953"/>
      <c r="E8112" s="953"/>
      <c r="F8112" s="953"/>
      <c r="G8112" s="953"/>
      <c r="H8112" s="953"/>
    </row>
    <row r="8113" spans="1:8" x14ac:dyDescent="0.25">
      <c r="A8113" s="952"/>
      <c r="B8113" s="953"/>
      <c r="C8113" s="953"/>
      <c r="D8113" s="953"/>
      <c r="E8113" s="953"/>
      <c r="F8113" s="953"/>
      <c r="G8113" s="953"/>
      <c r="H8113" s="953"/>
    </row>
    <row r="8114" spans="1:8" x14ac:dyDescent="0.25">
      <c r="A8114" s="952"/>
      <c r="B8114" s="953"/>
      <c r="C8114" s="953"/>
      <c r="D8114" s="953"/>
      <c r="E8114" s="953"/>
      <c r="F8114" s="953"/>
      <c r="G8114" s="953"/>
      <c r="H8114" s="953"/>
    </row>
    <row r="8115" spans="1:8" x14ac:dyDescent="0.25">
      <c r="A8115" s="952"/>
      <c r="B8115" s="953"/>
      <c r="C8115" s="953"/>
      <c r="D8115" s="953"/>
      <c r="E8115" s="953"/>
      <c r="F8115" s="953"/>
      <c r="G8115" s="953"/>
      <c r="H8115" s="953"/>
    </row>
    <row r="8116" spans="1:8" x14ac:dyDescent="0.25">
      <c r="A8116" s="952"/>
      <c r="B8116" s="953"/>
      <c r="C8116" s="953"/>
      <c r="D8116" s="953"/>
      <c r="E8116" s="953"/>
      <c r="F8116" s="953"/>
      <c r="G8116" s="953"/>
      <c r="H8116" s="953"/>
    </row>
    <row r="8117" spans="1:8" x14ac:dyDescent="0.25">
      <c r="A8117" s="952"/>
      <c r="B8117" s="953"/>
      <c r="C8117" s="953"/>
      <c r="D8117" s="953"/>
      <c r="E8117" s="953"/>
      <c r="F8117" s="953"/>
      <c r="G8117" s="953"/>
      <c r="H8117" s="953"/>
    </row>
    <row r="8118" spans="1:8" x14ac:dyDescent="0.25">
      <c r="A8118" s="952"/>
      <c r="B8118" s="953"/>
      <c r="C8118" s="953"/>
      <c r="D8118" s="953"/>
      <c r="E8118" s="953"/>
      <c r="F8118" s="953"/>
      <c r="G8118" s="953"/>
      <c r="H8118" s="953"/>
    </row>
    <row r="8119" spans="1:8" x14ac:dyDescent="0.25">
      <c r="A8119" s="952"/>
      <c r="B8119" s="953"/>
      <c r="C8119" s="953"/>
      <c r="D8119" s="953"/>
      <c r="E8119" s="953"/>
      <c r="F8119" s="953"/>
      <c r="G8119" s="953"/>
      <c r="H8119" s="953"/>
    </row>
    <row r="8120" spans="1:8" x14ac:dyDescent="0.25">
      <c r="A8120" s="952"/>
      <c r="B8120" s="953"/>
      <c r="C8120" s="953"/>
      <c r="D8120" s="953"/>
      <c r="E8120" s="953"/>
      <c r="F8120" s="953"/>
      <c r="G8120" s="953"/>
      <c r="H8120" s="953"/>
    </row>
    <row r="8121" spans="1:8" x14ac:dyDescent="0.25">
      <c r="A8121" s="952"/>
      <c r="B8121" s="953"/>
      <c r="C8121" s="953"/>
      <c r="D8121" s="953"/>
      <c r="E8121" s="953"/>
      <c r="F8121" s="953"/>
      <c r="G8121" s="953"/>
      <c r="H8121" s="953"/>
    </row>
    <row r="8122" spans="1:8" x14ac:dyDescent="0.25">
      <c r="A8122" s="952"/>
      <c r="B8122" s="953"/>
      <c r="C8122" s="953"/>
      <c r="D8122" s="953"/>
      <c r="E8122" s="953"/>
      <c r="F8122" s="953"/>
      <c r="G8122" s="953"/>
      <c r="H8122" s="953"/>
    </row>
    <row r="8123" spans="1:8" x14ac:dyDescent="0.25">
      <c r="A8123" s="952"/>
      <c r="B8123" s="953"/>
      <c r="C8123" s="953"/>
      <c r="D8123" s="953"/>
      <c r="E8123" s="953"/>
      <c r="F8123" s="953"/>
      <c r="G8123" s="953"/>
      <c r="H8123" s="953"/>
    </row>
    <row r="8124" spans="1:8" x14ac:dyDescent="0.25">
      <c r="A8124" s="952"/>
      <c r="B8124" s="953"/>
      <c r="C8124" s="953"/>
      <c r="D8124" s="953"/>
      <c r="E8124" s="953"/>
      <c r="F8124" s="953"/>
      <c r="G8124" s="953"/>
      <c r="H8124" s="953"/>
    </row>
    <row r="8125" spans="1:8" x14ac:dyDescent="0.25">
      <c r="A8125" s="952"/>
      <c r="B8125" s="953"/>
      <c r="C8125" s="953"/>
      <c r="D8125" s="953"/>
      <c r="E8125" s="953"/>
      <c r="F8125" s="953"/>
      <c r="G8125" s="953"/>
      <c r="H8125" s="953"/>
    </row>
    <row r="8126" spans="1:8" x14ac:dyDescent="0.25">
      <c r="A8126" s="952"/>
      <c r="B8126" s="953"/>
      <c r="C8126" s="953"/>
      <c r="D8126" s="953"/>
      <c r="E8126" s="953"/>
      <c r="F8126" s="953"/>
      <c r="G8126" s="953"/>
      <c r="H8126" s="953"/>
    </row>
    <row r="8127" spans="1:8" x14ac:dyDescent="0.25">
      <c r="A8127" s="952"/>
      <c r="B8127" s="953"/>
      <c r="C8127" s="953"/>
      <c r="D8127" s="953"/>
      <c r="E8127" s="953"/>
      <c r="F8127" s="953"/>
      <c r="G8127" s="953"/>
      <c r="H8127" s="953"/>
    </row>
    <row r="8128" spans="1:8" x14ac:dyDescent="0.25">
      <c r="A8128" s="952"/>
      <c r="B8128" s="953"/>
      <c r="C8128" s="953"/>
      <c r="D8128" s="953"/>
      <c r="E8128" s="953"/>
      <c r="F8128" s="953"/>
      <c r="G8128" s="953"/>
      <c r="H8128" s="953"/>
    </row>
    <row r="8129" spans="1:8" x14ac:dyDescent="0.25">
      <c r="A8129" s="952"/>
      <c r="B8129" s="953"/>
      <c r="C8129" s="953"/>
      <c r="D8129" s="953"/>
      <c r="E8129" s="953"/>
      <c r="F8129" s="953"/>
      <c r="G8129" s="953"/>
      <c r="H8129" s="953"/>
    </row>
    <row r="8130" spans="1:8" x14ac:dyDescent="0.25">
      <c r="A8130" s="952"/>
      <c r="B8130" s="953"/>
      <c r="C8130" s="953"/>
      <c r="D8130" s="953"/>
      <c r="E8130" s="953"/>
      <c r="F8130" s="953"/>
      <c r="G8130" s="953"/>
      <c r="H8130" s="953"/>
    </row>
    <row r="8131" spans="1:8" x14ac:dyDescent="0.25">
      <c r="A8131" s="952"/>
      <c r="B8131" s="953"/>
      <c r="C8131" s="953"/>
      <c r="D8131" s="953"/>
      <c r="E8131" s="953"/>
      <c r="F8131" s="953"/>
      <c r="G8131" s="953"/>
      <c r="H8131" s="953"/>
    </row>
    <row r="8132" spans="1:8" x14ac:dyDescent="0.25">
      <c r="A8132" s="952"/>
      <c r="B8132" s="953"/>
      <c r="C8132" s="953"/>
      <c r="D8132" s="953"/>
      <c r="E8132" s="953"/>
      <c r="F8132" s="953"/>
      <c r="G8132" s="953"/>
      <c r="H8132" s="953"/>
    </row>
    <row r="8133" spans="1:8" x14ac:dyDescent="0.25">
      <c r="A8133" s="952"/>
      <c r="B8133" s="953"/>
      <c r="C8133" s="953"/>
      <c r="D8133" s="953"/>
      <c r="E8133" s="953"/>
      <c r="F8133" s="953"/>
      <c r="G8133" s="953"/>
      <c r="H8133" s="953"/>
    </row>
    <row r="8134" spans="1:8" x14ac:dyDescent="0.25">
      <c r="A8134" s="952"/>
      <c r="B8134" s="953"/>
      <c r="C8134" s="953"/>
      <c r="D8134" s="953"/>
      <c r="E8134" s="953"/>
      <c r="F8134" s="953"/>
      <c r="G8134" s="953"/>
      <c r="H8134" s="953"/>
    </row>
    <row r="8135" spans="1:8" x14ac:dyDescent="0.25">
      <c r="A8135" s="952"/>
      <c r="B8135" s="953"/>
      <c r="C8135" s="953"/>
      <c r="D8135" s="953"/>
      <c r="E8135" s="953"/>
      <c r="F8135" s="953"/>
      <c r="G8135" s="953"/>
      <c r="H8135" s="953"/>
    </row>
    <row r="8136" spans="1:8" x14ac:dyDescent="0.25">
      <c r="A8136" s="952"/>
      <c r="B8136" s="953"/>
      <c r="C8136" s="953"/>
      <c r="D8136" s="953"/>
      <c r="E8136" s="953"/>
      <c r="F8136" s="953"/>
      <c r="G8136" s="953"/>
      <c r="H8136" s="953"/>
    </row>
    <row r="8137" spans="1:8" x14ac:dyDescent="0.25">
      <c r="A8137" s="952"/>
      <c r="B8137" s="953"/>
      <c r="C8137" s="953"/>
      <c r="D8137" s="953"/>
      <c r="E8137" s="953"/>
      <c r="F8137" s="953"/>
      <c r="G8137" s="953"/>
      <c r="H8137" s="953"/>
    </row>
    <row r="8138" spans="1:8" x14ac:dyDescent="0.25">
      <c r="A8138" s="952"/>
      <c r="B8138" s="953"/>
      <c r="C8138" s="953"/>
      <c r="D8138" s="953"/>
      <c r="E8138" s="953"/>
      <c r="F8138" s="953"/>
      <c r="G8138" s="953"/>
      <c r="H8138" s="953"/>
    </row>
    <row r="8139" spans="1:8" x14ac:dyDescent="0.25">
      <c r="A8139" s="952"/>
      <c r="B8139" s="953"/>
      <c r="C8139" s="953"/>
      <c r="D8139" s="953"/>
      <c r="E8139" s="953"/>
      <c r="F8139" s="953"/>
      <c r="G8139" s="953"/>
      <c r="H8139" s="953"/>
    </row>
    <row r="8140" spans="1:8" x14ac:dyDescent="0.25">
      <c r="A8140" s="952"/>
      <c r="B8140" s="953"/>
      <c r="C8140" s="953"/>
      <c r="D8140" s="953"/>
      <c r="E8140" s="953"/>
      <c r="F8140" s="953"/>
      <c r="G8140" s="953"/>
      <c r="H8140" s="953"/>
    </row>
    <row r="8141" spans="1:8" x14ac:dyDescent="0.25">
      <c r="A8141" s="952"/>
      <c r="B8141" s="953"/>
      <c r="C8141" s="953"/>
      <c r="D8141" s="953"/>
      <c r="E8141" s="953"/>
      <c r="F8141" s="953"/>
      <c r="G8141" s="953"/>
      <c r="H8141" s="953"/>
    </row>
    <row r="8142" spans="1:8" x14ac:dyDescent="0.25">
      <c r="A8142" s="952"/>
      <c r="B8142" s="953"/>
      <c r="C8142" s="953"/>
      <c r="D8142" s="953"/>
      <c r="E8142" s="953"/>
      <c r="F8142" s="953"/>
      <c r="G8142" s="953"/>
      <c r="H8142" s="953"/>
    </row>
    <row r="8143" spans="1:8" x14ac:dyDescent="0.25">
      <c r="A8143" s="952"/>
      <c r="B8143" s="953"/>
      <c r="C8143" s="953"/>
      <c r="D8143" s="953"/>
      <c r="E8143" s="953"/>
      <c r="F8143" s="953"/>
      <c r="G8143" s="953"/>
      <c r="H8143" s="953"/>
    </row>
    <row r="8144" spans="1:8" x14ac:dyDescent="0.25">
      <c r="A8144" s="952"/>
      <c r="B8144" s="953"/>
      <c r="C8144" s="953"/>
      <c r="D8144" s="953"/>
      <c r="E8144" s="953"/>
      <c r="F8144" s="953"/>
      <c r="G8144" s="953"/>
      <c r="H8144" s="953"/>
    </row>
    <row r="8145" spans="1:8" x14ac:dyDescent="0.25">
      <c r="A8145" s="952"/>
      <c r="B8145" s="953"/>
      <c r="C8145" s="953"/>
      <c r="D8145" s="953"/>
      <c r="E8145" s="953"/>
      <c r="F8145" s="953"/>
      <c r="G8145" s="953"/>
      <c r="H8145" s="953"/>
    </row>
    <row r="8146" spans="1:8" x14ac:dyDescent="0.25">
      <c r="A8146" s="952"/>
      <c r="B8146" s="953"/>
      <c r="C8146" s="953"/>
      <c r="D8146" s="953"/>
      <c r="E8146" s="953"/>
      <c r="F8146" s="953"/>
      <c r="G8146" s="953"/>
      <c r="H8146" s="953"/>
    </row>
    <row r="8147" spans="1:8" x14ac:dyDescent="0.25">
      <c r="A8147" s="952"/>
      <c r="B8147" s="953"/>
      <c r="C8147" s="953"/>
      <c r="D8147" s="953"/>
      <c r="E8147" s="953"/>
      <c r="F8147" s="953"/>
      <c r="G8147" s="953"/>
      <c r="H8147" s="953"/>
    </row>
    <row r="8148" spans="1:8" x14ac:dyDescent="0.25">
      <c r="A8148" s="952"/>
      <c r="B8148" s="953"/>
      <c r="C8148" s="953"/>
      <c r="D8148" s="953"/>
      <c r="E8148" s="953"/>
      <c r="F8148" s="953"/>
      <c r="G8148" s="953"/>
      <c r="H8148" s="953"/>
    </row>
    <row r="8149" spans="1:8" x14ac:dyDescent="0.25">
      <c r="A8149" s="952"/>
      <c r="B8149" s="953"/>
      <c r="C8149" s="953"/>
      <c r="D8149" s="953"/>
      <c r="E8149" s="953"/>
      <c r="F8149" s="953"/>
      <c r="G8149" s="953"/>
      <c r="H8149" s="953"/>
    </row>
    <row r="8150" spans="1:8" x14ac:dyDescent="0.25">
      <c r="A8150" s="952"/>
      <c r="B8150" s="953"/>
      <c r="C8150" s="953"/>
      <c r="D8150" s="953"/>
      <c r="E8150" s="953"/>
      <c r="F8150" s="953"/>
      <c r="G8150" s="953"/>
      <c r="H8150" s="953"/>
    </row>
    <row r="8151" spans="1:8" x14ac:dyDescent="0.25">
      <c r="A8151" s="952"/>
      <c r="B8151" s="953"/>
      <c r="C8151" s="953"/>
      <c r="D8151" s="953"/>
      <c r="E8151" s="953"/>
      <c r="F8151" s="953"/>
      <c r="G8151" s="953"/>
      <c r="H8151" s="953"/>
    </row>
    <row r="8152" spans="1:8" x14ac:dyDescent="0.25">
      <c r="A8152" s="952"/>
      <c r="B8152" s="953"/>
      <c r="C8152" s="953"/>
      <c r="D8152" s="953"/>
      <c r="E8152" s="953"/>
      <c r="F8152" s="953"/>
      <c r="G8152" s="953"/>
      <c r="H8152" s="953"/>
    </row>
    <row r="8153" spans="1:8" x14ac:dyDescent="0.25">
      <c r="A8153" s="952"/>
      <c r="B8153" s="953"/>
      <c r="C8153" s="953"/>
      <c r="D8153" s="953"/>
      <c r="E8153" s="953"/>
      <c r="F8153" s="953"/>
      <c r="G8153" s="953"/>
      <c r="H8153" s="953"/>
    </row>
    <row r="8154" spans="1:8" x14ac:dyDescent="0.25">
      <c r="A8154" s="952"/>
      <c r="B8154" s="953"/>
      <c r="C8154" s="953"/>
      <c r="D8154" s="953"/>
      <c r="E8154" s="953"/>
      <c r="F8154" s="953"/>
      <c r="G8154" s="953"/>
      <c r="H8154" s="953"/>
    </row>
    <row r="8155" spans="1:8" x14ac:dyDescent="0.25">
      <c r="A8155" s="952"/>
      <c r="B8155" s="953"/>
      <c r="C8155" s="953"/>
      <c r="D8155" s="953"/>
      <c r="E8155" s="953"/>
      <c r="F8155" s="953"/>
      <c r="G8155" s="953"/>
      <c r="H8155" s="953"/>
    </row>
    <row r="8156" spans="1:8" x14ac:dyDescent="0.25">
      <c r="A8156" s="952"/>
      <c r="B8156" s="953"/>
      <c r="C8156" s="953"/>
      <c r="D8156" s="953"/>
      <c r="E8156" s="953"/>
      <c r="F8156" s="953"/>
      <c r="G8156" s="953"/>
      <c r="H8156" s="953"/>
    </row>
    <row r="8157" spans="1:8" x14ac:dyDescent="0.25">
      <c r="A8157" s="952"/>
      <c r="B8157" s="953"/>
      <c r="C8157" s="953"/>
      <c r="D8157" s="953"/>
      <c r="E8157" s="953"/>
      <c r="F8157" s="953"/>
      <c r="G8157" s="953"/>
      <c r="H8157" s="953"/>
    </row>
    <row r="8158" spans="1:8" x14ac:dyDescent="0.25">
      <c r="A8158" s="952"/>
      <c r="B8158" s="953"/>
      <c r="C8158" s="953"/>
      <c r="D8158" s="953"/>
      <c r="E8158" s="953"/>
      <c r="F8158" s="953"/>
      <c r="G8158" s="953"/>
      <c r="H8158" s="953"/>
    </row>
    <row r="8159" spans="1:8" x14ac:dyDescent="0.25">
      <c r="A8159" s="952"/>
      <c r="B8159" s="953"/>
      <c r="C8159" s="953"/>
      <c r="D8159" s="953"/>
      <c r="E8159" s="953"/>
      <c r="F8159" s="953"/>
      <c r="G8159" s="953"/>
      <c r="H8159" s="953"/>
    </row>
    <row r="8160" spans="1:8" x14ac:dyDescent="0.25">
      <c r="A8160" s="952"/>
      <c r="B8160" s="953"/>
      <c r="C8160" s="953"/>
      <c r="D8160" s="953"/>
      <c r="E8160" s="953"/>
      <c r="F8160" s="953"/>
      <c r="G8160" s="953"/>
      <c r="H8160" s="953"/>
    </row>
    <row r="8161" spans="1:8" x14ac:dyDescent="0.25">
      <c r="A8161" s="952"/>
      <c r="B8161" s="953"/>
      <c r="C8161" s="953"/>
      <c r="D8161" s="953"/>
      <c r="E8161" s="953"/>
      <c r="F8161" s="953"/>
      <c r="G8161" s="953"/>
      <c r="H8161" s="953"/>
    </row>
    <row r="8162" spans="1:8" x14ac:dyDescent="0.25">
      <c r="A8162" s="952"/>
      <c r="B8162" s="953"/>
      <c r="C8162" s="953"/>
      <c r="D8162" s="953"/>
      <c r="E8162" s="953"/>
      <c r="F8162" s="953"/>
      <c r="G8162" s="953"/>
      <c r="H8162" s="953"/>
    </row>
    <row r="8163" spans="1:8" x14ac:dyDescent="0.25">
      <c r="A8163" s="952"/>
      <c r="B8163" s="953"/>
      <c r="C8163" s="953"/>
      <c r="D8163" s="953"/>
      <c r="E8163" s="953"/>
      <c r="F8163" s="953"/>
      <c r="G8163" s="953"/>
      <c r="H8163" s="953"/>
    </row>
    <row r="8164" spans="1:8" x14ac:dyDescent="0.25">
      <c r="A8164" s="952"/>
      <c r="B8164" s="953"/>
      <c r="C8164" s="953"/>
      <c r="D8164" s="953"/>
      <c r="E8164" s="953"/>
      <c r="F8164" s="953"/>
      <c r="G8164" s="953"/>
      <c r="H8164" s="953"/>
    </row>
    <row r="8165" spans="1:8" x14ac:dyDescent="0.25">
      <c r="A8165" s="952"/>
      <c r="B8165" s="953"/>
      <c r="C8165" s="953"/>
      <c r="D8165" s="953"/>
      <c r="E8165" s="953"/>
      <c r="F8165" s="953"/>
      <c r="G8165" s="953"/>
      <c r="H8165" s="953"/>
    </row>
    <row r="8166" spans="1:8" x14ac:dyDescent="0.25">
      <c r="A8166" s="952"/>
      <c r="B8166" s="953"/>
      <c r="C8166" s="953"/>
      <c r="D8166" s="953"/>
      <c r="E8166" s="953"/>
      <c r="F8166" s="953"/>
      <c r="G8166" s="953"/>
      <c r="H8166" s="953"/>
    </row>
    <row r="8167" spans="1:8" x14ac:dyDescent="0.25">
      <c r="A8167" s="952"/>
      <c r="B8167" s="953"/>
      <c r="C8167" s="953"/>
      <c r="D8167" s="953"/>
      <c r="E8167" s="953"/>
      <c r="F8167" s="953"/>
      <c r="G8167" s="953"/>
      <c r="H8167" s="953"/>
    </row>
    <row r="8168" spans="1:8" x14ac:dyDescent="0.25">
      <c r="A8168" s="952"/>
      <c r="B8168" s="953"/>
      <c r="C8168" s="953"/>
      <c r="D8168" s="953"/>
      <c r="E8168" s="953"/>
      <c r="F8168" s="953"/>
      <c r="G8168" s="953"/>
      <c r="H8168" s="953"/>
    </row>
    <row r="8169" spans="1:8" x14ac:dyDescent="0.25">
      <c r="A8169" s="952"/>
      <c r="B8169" s="953"/>
      <c r="C8169" s="953"/>
      <c r="D8169" s="953"/>
      <c r="E8169" s="953"/>
      <c r="F8169" s="953"/>
      <c r="G8169" s="953"/>
      <c r="H8169" s="953"/>
    </row>
    <row r="8170" spans="1:8" x14ac:dyDescent="0.25">
      <c r="A8170" s="952"/>
      <c r="B8170" s="953"/>
      <c r="C8170" s="953"/>
      <c r="D8170" s="953"/>
      <c r="E8170" s="953"/>
      <c r="F8170" s="953"/>
      <c r="G8170" s="953"/>
      <c r="H8170" s="953"/>
    </row>
    <row r="8171" spans="1:8" x14ac:dyDescent="0.25">
      <c r="A8171" s="952"/>
      <c r="B8171" s="953"/>
      <c r="C8171" s="953"/>
      <c r="D8171" s="953"/>
      <c r="E8171" s="953"/>
      <c r="F8171" s="953"/>
      <c r="G8171" s="953"/>
      <c r="H8171" s="953"/>
    </row>
    <row r="8172" spans="1:8" x14ac:dyDescent="0.25">
      <c r="A8172" s="952"/>
      <c r="B8172" s="953"/>
      <c r="C8172" s="953"/>
      <c r="D8172" s="953"/>
      <c r="E8172" s="953"/>
      <c r="F8172" s="953"/>
      <c r="G8172" s="953"/>
      <c r="H8172" s="953"/>
    </row>
    <row r="8173" spans="1:8" x14ac:dyDescent="0.25">
      <c r="A8173" s="952"/>
      <c r="B8173" s="953"/>
      <c r="C8173" s="953"/>
      <c r="D8173" s="953"/>
      <c r="E8173" s="953"/>
      <c r="F8173" s="953"/>
      <c r="G8173" s="953"/>
      <c r="H8173" s="953"/>
    </row>
    <row r="8174" spans="1:8" x14ac:dyDescent="0.25">
      <c r="A8174" s="952"/>
      <c r="B8174" s="953"/>
      <c r="C8174" s="953"/>
      <c r="D8174" s="953"/>
      <c r="E8174" s="953"/>
      <c r="F8174" s="953"/>
      <c r="G8174" s="953"/>
      <c r="H8174" s="953"/>
    </row>
    <row r="8175" spans="1:8" x14ac:dyDescent="0.25">
      <c r="A8175" s="952"/>
      <c r="B8175" s="953"/>
      <c r="C8175" s="953"/>
      <c r="D8175" s="953"/>
      <c r="E8175" s="953"/>
      <c r="F8175" s="953"/>
      <c r="G8175" s="953"/>
      <c r="H8175" s="953"/>
    </row>
    <row r="8176" spans="1:8" x14ac:dyDescent="0.25">
      <c r="A8176" s="952"/>
      <c r="B8176" s="953"/>
      <c r="C8176" s="953"/>
      <c r="D8176" s="953"/>
      <c r="E8176" s="953"/>
      <c r="F8176" s="953"/>
      <c r="G8176" s="953"/>
      <c r="H8176" s="953"/>
    </row>
    <row r="8177" spans="1:8" x14ac:dyDescent="0.25">
      <c r="A8177" s="952"/>
      <c r="B8177" s="953"/>
      <c r="C8177" s="953"/>
      <c r="D8177" s="953"/>
      <c r="E8177" s="953"/>
      <c r="F8177" s="953"/>
      <c r="G8177" s="953"/>
      <c r="H8177" s="953"/>
    </row>
    <row r="8178" spans="1:8" x14ac:dyDescent="0.25">
      <c r="A8178" s="952"/>
      <c r="B8178" s="953"/>
      <c r="C8178" s="953"/>
      <c r="D8178" s="953"/>
      <c r="E8178" s="953"/>
      <c r="F8178" s="953"/>
      <c r="G8178" s="953"/>
      <c r="H8178" s="953"/>
    </row>
    <row r="8179" spans="1:8" x14ac:dyDescent="0.25">
      <c r="A8179" s="952"/>
      <c r="B8179" s="953"/>
      <c r="C8179" s="953"/>
      <c r="D8179" s="953"/>
      <c r="E8179" s="953"/>
      <c r="F8179" s="953"/>
      <c r="G8179" s="953"/>
      <c r="H8179" s="953"/>
    </row>
    <row r="8180" spans="1:8" x14ac:dyDescent="0.25">
      <c r="A8180" s="952"/>
      <c r="B8180" s="953"/>
      <c r="C8180" s="953"/>
      <c r="D8180" s="953"/>
      <c r="E8180" s="953"/>
      <c r="F8180" s="953"/>
      <c r="G8180" s="953"/>
      <c r="H8180" s="953"/>
    </row>
    <row r="8181" spans="1:8" x14ac:dyDescent="0.25">
      <c r="A8181" s="952"/>
      <c r="B8181" s="953"/>
      <c r="C8181" s="953"/>
      <c r="D8181" s="953"/>
      <c r="E8181" s="953"/>
      <c r="F8181" s="953"/>
      <c r="G8181" s="953"/>
      <c r="H8181" s="953"/>
    </row>
    <row r="8182" spans="1:8" x14ac:dyDescent="0.25">
      <c r="A8182" s="952"/>
      <c r="B8182" s="953"/>
      <c r="C8182" s="953"/>
      <c r="D8182" s="953"/>
      <c r="E8182" s="953"/>
      <c r="F8182" s="953"/>
      <c r="G8182" s="953"/>
      <c r="H8182" s="953"/>
    </row>
    <row r="8183" spans="1:8" x14ac:dyDescent="0.25">
      <c r="A8183" s="952"/>
      <c r="B8183" s="953"/>
      <c r="C8183" s="953"/>
      <c r="D8183" s="953"/>
      <c r="E8183" s="953"/>
      <c r="F8183" s="953"/>
      <c r="G8183" s="953"/>
      <c r="H8183" s="953"/>
    </row>
    <row r="8184" spans="1:8" x14ac:dyDescent="0.25">
      <c r="A8184" s="952"/>
      <c r="B8184" s="953"/>
      <c r="C8184" s="953"/>
      <c r="D8184" s="953"/>
      <c r="E8184" s="953"/>
      <c r="F8184" s="953"/>
      <c r="G8184" s="953"/>
      <c r="H8184" s="953"/>
    </row>
    <row r="8185" spans="1:8" x14ac:dyDescent="0.25">
      <c r="A8185" s="952"/>
      <c r="B8185" s="953"/>
      <c r="C8185" s="953"/>
      <c r="D8185" s="953"/>
      <c r="E8185" s="953"/>
      <c r="F8185" s="953"/>
      <c r="G8185" s="953"/>
      <c r="H8185" s="953"/>
    </row>
    <row r="8186" spans="1:8" x14ac:dyDescent="0.25">
      <c r="A8186" s="952"/>
      <c r="B8186" s="953"/>
      <c r="C8186" s="953"/>
      <c r="D8186" s="953"/>
      <c r="E8186" s="953"/>
      <c r="F8186" s="953"/>
      <c r="G8186" s="953"/>
      <c r="H8186" s="953"/>
    </row>
    <row r="8187" spans="1:8" x14ac:dyDescent="0.25">
      <c r="A8187" s="952"/>
      <c r="B8187" s="953"/>
      <c r="C8187" s="953"/>
      <c r="D8187" s="953"/>
      <c r="E8187" s="953"/>
      <c r="F8187" s="953"/>
      <c r="G8187" s="953"/>
      <c r="H8187" s="953"/>
    </row>
    <row r="8188" spans="1:8" x14ac:dyDescent="0.25">
      <c r="A8188" s="952"/>
      <c r="B8188" s="953"/>
      <c r="C8188" s="953"/>
      <c r="D8188" s="953"/>
      <c r="E8188" s="953"/>
      <c r="F8188" s="953"/>
      <c r="G8188" s="953"/>
      <c r="H8188" s="953"/>
    </row>
    <row r="8189" spans="1:8" x14ac:dyDescent="0.25">
      <c r="A8189" s="952"/>
      <c r="B8189" s="953"/>
      <c r="C8189" s="953"/>
      <c r="D8189" s="953"/>
      <c r="E8189" s="953"/>
      <c r="F8189" s="953"/>
      <c r="G8189" s="953"/>
      <c r="H8189" s="953"/>
    </row>
    <row r="8190" spans="1:8" x14ac:dyDescent="0.25">
      <c r="A8190" s="952"/>
      <c r="B8190" s="953"/>
      <c r="C8190" s="953"/>
      <c r="D8190" s="953"/>
      <c r="E8190" s="953"/>
      <c r="F8190" s="953"/>
      <c r="G8190" s="953"/>
      <c r="H8190" s="953"/>
    </row>
    <row r="8191" spans="1:8" x14ac:dyDescent="0.25">
      <c r="A8191" s="952"/>
      <c r="B8191" s="953"/>
      <c r="C8191" s="953"/>
      <c r="D8191" s="953"/>
      <c r="E8191" s="953"/>
      <c r="F8191" s="953"/>
      <c r="G8191" s="953"/>
      <c r="H8191" s="953"/>
    </row>
    <row r="8192" spans="1:8" x14ac:dyDescent="0.25">
      <c r="A8192" s="952"/>
      <c r="B8192" s="953"/>
      <c r="C8192" s="953"/>
      <c r="D8192" s="953"/>
      <c r="E8192" s="953"/>
      <c r="F8192" s="953"/>
      <c r="G8192" s="953"/>
      <c r="H8192" s="953"/>
    </row>
    <row r="8193" spans="1:8" x14ac:dyDescent="0.25">
      <c r="A8193" s="952"/>
      <c r="B8193" s="953"/>
      <c r="C8193" s="953"/>
      <c r="D8193" s="953"/>
      <c r="E8193" s="953"/>
      <c r="F8193" s="953"/>
      <c r="G8193" s="953"/>
      <c r="H8193" s="953"/>
    </row>
    <row r="8194" spans="1:8" x14ac:dyDescent="0.25">
      <c r="A8194" s="952"/>
      <c r="B8194" s="953"/>
      <c r="C8194" s="953"/>
      <c r="D8194" s="953"/>
      <c r="E8194" s="953"/>
      <c r="F8194" s="953"/>
      <c r="G8194" s="953"/>
      <c r="H8194" s="953"/>
    </row>
    <row r="8195" spans="1:8" x14ac:dyDescent="0.25">
      <c r="A8195" s="952"/>
      <c r="B8195" s="953"/>
      <c r="C8195" s="953"/>
      <c r="D8195" s="953"/>
      <c r="E8195" s="953"/>
      <c r="F8195" s="953"/>
      <c r="G8195" s="953"/>
      <c r="H8195" s="953"/>
    </row>
    <row r="8196" spans="1:8" x14ac:dyDescent="0.25">
      <c r="A8196" s="952"/>
      <c r="B8196" s="953"/>
      <c r="C8196" s="953"/>
      <c r="D8196" s="953"/>
      <c r="E8196" s="953"/>
      <c r="F8196" s="953"/>
      <c r="G8196" s="953"/>
      <c r="H8196" s="953"/>
    </row>
    <row r="8197" spans="1:8" x14ac:dyDescent="0.25">
      <c r="A8197" s="952"/>
      <c r="B8197" s="953"/>
      <c r="C8197" s="953"/>
      <c r="D8197" s="953"/>
      <c r="E8197" s="953"/>
      <c r="F8197" s="953"/>
      <c r="G8197" s="953"/>
      <c r="H8197" s="953"/>
    </row>
    <row r="8198" spans="1:8" x14ac:dyDescent="0.25">
      <c r="A8198" s="952"/>
      <c r="B8198" s="953"/>
      <c r="C8198" s="953"/>
      <c r="D8198" s="953"/>
      <c r="E8198" s="953"/>
      <c r="F8198" s="953"/>
      <c r="G8198" s="953"/>
      <c r="H8198" s="953"/>
    </row>
    <row r="8199" spans="1:8" x14ac:dyDescent="0.25">
      <c r="A8199" s="952"/>
      <c r="B8199" s="953"/>
      <c r="C8199" s="953"/>
      <c r="D8199" s="953"/>
      <c r="E8199" s="953"/>
      <c r="F8199" s="953"/>
      <c r="G8199" s="953"/>
      <c r="H8199" s="953"/>
    </row>
    <row r="8200" spans="1:8" x14ac:dyDescent="0.25">
      <c r="A8200" s="952"/>
      <c r="B8200" s="953"/>
      <c r="C8200" s="953"/>
      <c r="D8200" s="953"/>
      <c r="E8200" s="953"/>
      <c r="F8200" s="953"/>
      <c r="G8200" s="953"/>
      <c r="H8200" s="953"/>
    </row>
    <row r="8201" spans="1:8" x14ac:dyDescent="0.25">
      <c r="A8201" s="952"/>
      <c r="B8201" s="953"/>
      <c r="C8201" s="953"/>
      <c r="D8201" s="953"/>
      <c r="E8201" s="953"/>
      <c r="F8201" s="953"/>
      <c r="G8201" s="953"/>
      <c r="H8201" s="953"/>
    </row>
    <row r="8202" spans="1:8" x14ac:dyDescent="0.25">
      <c r="A8202" s="952"/>
      <c r="B8202" s="953"/>
      <c r="C8202" s="953"/>
      <c r="D8202" s="953"/>
      <c r="E8202" s="953"/>
      <c r="F8202" s="953"/>
      <c r="G8202" s="953"/>
      <c r="H8202" s="953"/>
    </row>
    <row r="8203" spans="1:8" x14ac:dyDescent="0.25">
      <c r="A8203" s="952"/>
      <c r="B8203" s="953"/>
      <c r="C8203" s="953"/>
      <c r="D8203" s="953"/>
      <c r="E8203" s="953"/>
      <c r="F8203" s="953"/>
      <c r="G8203" s="953"/>
      <c r="H8203" s="953"/>
    </row>
    <row r="8204" spans="1:8" x14ac:dyDescent="0.25">
      <c r="A8204" s="952"/>
      <c r="B8204" s="953"/>
      <c r="C8204" s="953"/>
      <c r="D8204" s="953"/>
      <c r="E8204" s="953"/>
      <c r="F8204" s="953"/>
      <c r="G8204" s="953"/>
      <c r="H8204" s="953"/>
    </row>
    <row r="8205" spans="1:8" x14ac:dyDescent="0.25">
      <c r="A8205" s="952"/>
      <c r="B8205" s="953"/>
      <c r="C8205" s="953"/>
      <c r="D8205" s="953"/>
      <c r="E8205" s="953"/>
      <c r="F8205" s="953"/>
      <c r="G8205" s="953"/>
      <c r="H8205" s="953"/>
    </row>
    <row r="8206" spans="1:8" x14ac:dyDescent="0.25">
      <c r="A8206" s="952"/>
      <c r="B8206" s="953"/>
      <c r="C8206" s="953"/>
      <c r="D8206" s="953"/>
      <c r="E8206" s="953"/>
      <c r="F8206" s="953"/>
      <c r="G8206" s="953"/>
      <c r="H8206" s="953"/>
    </row>
    <row r="8207" spans="1:8" x14ac:dyDescent="0.25">
      <c r="A8207" s="952"/>
      <c r="B8207" s="953"/>
      <c r="C8207" s="953"/>
      <c r="D8207" s="953"/>
      <c r="E8207" s="953"/>
      <c r="F8207" s="953"/>
      <c r="G8207" s="953"/>
      <c r="H8207" s="953"/>
    </row>
    <row r="8208" spans="1:8" x14ac:dyDescent="0.25">
      <c r="A8208" s="952"/>
      <c r="B8208" s="953"/>
      <c r="C8208" s="953"/>
      <c r="D8208" s="953"/>
      <c r="E8208" s="953"/>
      <c r="F8208" s="953"/>
      <c r="G8208" s="953"/>
      <c r="H8208" s="953"/>
    </row>
    <row r="8209" spans="1:8" x14ac:dyDescent="0.25">
      <c r="A8209" s="952"/>
      <c r="B8209" s="953"/>
      <c r="C8209" s="953"/>
      <c r="D8209" s="953"/>
      <c r="E8209" s="953"/>
      <c r="F8209" s="953"/>
      <c r="G8209" s="953"/>
      <c r="H8209" s="953"/>
    </row>
    <row r="8210" spans="1:8" x14ac:dyDescent="0.25">
      <c r="A8210" s="952"/>
      <c r="B8210" s="953"/>
      <c r="C8210" s="953"/>
      <c r="D8210" s="953"/>
      <c r="E8210" s="953"/>
      <c r="F8210" s="953"/>
      <c r="G8210" s="953"/>
      <c r="H8210" s="953"/>
    </row>
    <row r="8211" spans="1:8" x14ac:dyDescent="0.25">
      <c r="A8211" s="952"/>
      <c r="B8211" s="953"/>
      <c r="C8211" s="953"/>
      <c r="D8211" s="953"/>
      <c r="E8211" s="953"/>
      <c r="F8211" s="953"/>
      <c r="G8211" s="953"/>
      <c r="H8211" s="953"/>
    </row>
    <row r="8212" spans="1:8" x14ac:dyDescent="0.25">
      <c r="A8212" s="952"/>
      <c r="B8212" s="953"/>
      <c r="C8212" s="953"/>
      <c r="D8212" s="953"/>
      <c r="E8212" s="953"/>
      <c r="F8212" s="953"/>
      <c r="G8212" s="953"/>
      <c r="H8212" s="953"/>
    </row>
    <row r="8213" spans="1:8" x14ac:dyDescent="0.25">
      <c r="A8213" s="952"/>
      <c r="B8213" s="953"/>
      <c r="C8213" s="953"/>
      <c r="D8213" s="953"/>
      <c r="E8213" s="953"/>
      <c r="F8213" s="953"/>
      <c r="G8213" s="953"/>
      <c r="H8213" s="953"/>
    </row>
    <row r="8214" spans="1:8" x14ac:dyDescent="0.25">
      <c r="A8214" s="952"/>
      <c r="B8214" s="953"/>
      <c r="C8214" s="953"/>
      <c r="D8214" s="953"/>
      <c r="E8214" s="953"/>
      <c r="F8214" s="953"/>
      <c r="G8214" s="953"/>
      <c r="H8214" s="953"/>
    </row>
    <row r="8215" spans="1:8" x14ac:dyDescent="0.25">
      <c r="A8215" s="952"/>
      <c r="B8215" s="953"/>
      <c r="C8215" s="953"/>
      <c r="D8215" s="953"/>
      <c r="E8215" s="953"/>
      <c r="F8215" s="953"/>
      <c r="G8215" s="953"/>
      <c r="H8215" s="953"/>
    </row>
    <row r="8216" spans="1:8" x14ac:dyDescent="0.25">
      <c r="A8216" s="952"/>
      <c r="B8216" s="953"/>
      <c r="C8216" s="953"/>
      <c r="D8216" s="953"/>
      <c r="E8216" s="953"/>
      <c r="F8216" s="953"/>
      <c r="G8216" s="953"/>
      <c r="H8216" s="953"/>
    </row>
    <row r="8217" spans="1:8" x14ac:dyDescent="0.25">
      <c r="A8217" s="952"/>
      <c r="B8217" s="953"/>
      <c r="C8217" s="953"/>
      <c r="D8217" s="953"/>
      <c r="E8217" s="953"/>
      <c r="F8217" s="953"/>
      <c r="G8217" s="953"/>
      <c r="H8217" s="953"/>
    </row>
    <row r="8218" spans="1:8" x14ac:dyDescent="0.25">
      <c r="A8218" s="952"/>
      <c r="B8218" s="953"/>
      <c r="C8218" s="953"/>
      <c r="D8218" s="953"/>
      <c r="E8218" s="953"/>
      <c r="F8218" s="953"/>
      <c r="G8218" s="953"/>
      <c r="H8218" s="953"/>
    </row>
    <row r="8219" spans="1:8" x14ac:dyDescent="0.25">
      <c r="A8219" s="952"/>
      <c r="B8219" s="953"/>
      <c r="C8219" s="953"/>
      <c r="D8219" s="953"/>
      <c r="E8219" s="953"/>
      <c r="F8219" s="953"/>
      <c r="G8219" s="953"/>
      <c r="H8219" s="953"/>
    </row>
    <row r="8220" spans="1:8" x14ac:dyDescent="0.25">
      <c r="A8220" s="952"/>
      <c r="B8220" s="953"/>
      <c r="C8220" s="953"/>
      <c r="D8220" s="953"/>
      <c r="E8220" s="953"/>
      <c r="F8220" s="953"/>
      <c r="G8220" s="953"/>
      <c r="H8220" s="953"/>
    </row>
    <row r="8221" spans="1:8" x14ac:dyDescent="0.25">
      <c r="A8221" s="952"/>
      <c r="B8221" s="953"/>
      <c r="C8221" s="953"/>
      <c r="D8221" s="953"/>
      <c r="E8221" s="953"/>
      <c r="F8221" s="953"/>
      <c r="G8221" s="953"/>
      <c r="H8221" s="953"/>
    </row>
    <row r="8222" spans="1:8" x14ac:dyDescent="0.25">
      <c r="A8222" s="952"/>
      <c r="B8222" s="953"/>
      <c r="C8222" s="953"/>
      <c r="D8222" s="953"/>
      <c r="E8222" s="953"/>
      <c r="F8222" s="953"/>
      <c r="G8222" s="953"/>
      <c r="H8222" s="953"/>
    </row>
    <row r="8223" spans="1:8" x14ac:dyDescent="0.25">
      <c r="A8223" s="952"/>
      <c r="B8223" s="953"/>
      <c r="C8223" s="953"/>
      <c r="D8223" s="953"/>
      <c r="E8223" s="953"/>
      <c r="F8223" s="953"/>
      <c r="G8223" s="953"/>
      <c r="H8223" s="953"/>
    </row>
    <row r="8224" spans="1:8" x14ac:dyDescent="0.25">
      <c r="A8224" s="952"/>
      <c r="B8224" s="953"/>
      <c r="C8224" s="953"/>
      <c r="D8224" s="953"/>
      <c r="E8224" s="953"/>
      <c r="F8224" s="953"/>
      <c r="G8224" s="953"/>
      <c r="H8224" s="953"/>
    </row>
    <row r="8225" spans="1:8" x14ac:dyDescent="0.25">
      <c r="A8225" s="952"/>
      <c r="B8225" s="953"/>
      <c r="C8225" s="953"/>
      <c r="D8225" s="953"/>
      <c r="E8225" s="953"/>
      <c r="F8225" s="953"/>
      <c r="G8225" s="953"/>
      <c r="H8225" s="953"/>
    </row>
    <row r="8226" spans="1:8" x14ac:dyDescent="0.25">
      <c r="A8226" s="952"/>
      <c r="B8226" s="953"/>
      <c r="C8226" s="953"/>
      <c r="D8226" s="953"/>
      <c r="E8226" s="953"/>
      <c r="F8226" s="953"/>
      <c r="G8226" s="953"/>
      <c r="H8226" s="953"/>
    </row>
    <row r="8227" spans="1:8" x14ac:dyDescent="0.25">
      <c r="A8227" s="952"/>
      <c r="B8227" s="953"/>
      <c r="C8227" s="953"/>
      <c r="D8227" s="953"/>
      <c r="E8227" s="953"/>
      <c r="F8227" s="953"/>
      <c r="G8227" s="953"/>
      <c r="H8227" s="953"/>
    </row>
    <row r="8228" spans="1:8" x14ac:dyDescent="0.25">
      <c r="A8228" s="952"/>
      <c r="B8228" s="953"/>
      <c r="C8228" s="953"/>
      <c r="D8228" s="953"/>
      <c r="E8228" s="953"/>
      <c r="F8228" s="953"/>
      <c r="G8228" s="953"/>
      <c r="H8228" s="953"/>
    </row>
    <row r="8229" spans="1:8" x14ac:dyDescent="0.25">
      <c r="A8229" s="952"/>
      <c r="B8229" s="953"/>
      <c r="C8229" s="953"/>
      <c r="D8229" s="953"/>
      <c r="E8229" s="953"/>
      <c r="F8229" s="953"/>
      <c r="G8229" s="953"/>
      <c r="H8229" s="953"/>
    </row>
    <row r="8230" spans="1:8" x14ac:dyDescent="0.25">
      <c r="A8230" s="952"/>
      <c r="B8230" s="953"/>
      <c r="C8230" s="953"/>
      <c r="D8230" s="953"/>
      <c r="E8230" s="953"/>
      <c r="F8230" s="953"/>
      <c r="G8230" s="953"/>
      <c r="H8230" s="953"/>
    </row>
    <row r="8231" spans="1:8" x14ac:dyDescent="0.25">
      <c r="A8231" s="952"/>
      <c r="B8231" s="953"/>
      <c r="C8231" s="953"/>
      <c r="D8231" s="953"/>
      <c r="E8231" s="953"/>
      <c r="F8231" s="953"/>
      <c r="G8231" s="953"/>
      <c r="H8231" s="953"/>
    </row>
    <row r="8232" spans="1:8" x14ac:dyDescent="0.25">
      <c r="A8232" s="952"/>
      <c r="B8232" s="953"/>
      <c r="C8232" s="953"/>
      <c r="D8232" s="953"/>
      <c r="E8232" s="953"/>
      <c r="F8232" s="953"/>
      <c r="G8232" s="953"/>
      <c r="H8232" s="953"/>
    </row>
    <row r="8233" spans="1:8" x14ac:dyDescent="0.25">
      <c r="A8233" s="952"/>
      <c r="B8233" s="953"/>
      <c r="C8233" s="953"/>
      <c r="D8233" s="953"/>
      <c r="E8233" s="953"/>
      <c r="F8233" s="953"/>
      <c r="G8233" s="953"/>
      <c r="H8233" s="953"/>
    </row>
    <row r="8234" spans="1:8" x14ac:dyDescent="0.25">
      <c r="A8234" s="952"/>
      <c r="B8234" s="953"/>
      <c r="C8234" s="953"/>
      <c r="D8234" s="953"/>
      <c r="E8234" s="953"/>
      <c r="F8234" s="953"/>
      <c r="G8234" s="953"/>
      <c r="H8234" s="953"/>
    </row>
    <row r="8235" spans="1:8" x14ac:dyDescent="0.25">
      <c r="A8235" s="952"/>
      <c r="B8235" s="953"/>
      <c r="C8235" s="953"/>
      <c r="D8235" s="953"/>
      <c r="E8235" s="953"/>
      <c r="F8235" s="953"/>
      <c r="G8235" s="953"/>
      <c r="H8235" s="953"/>
    </row>
    <row r="8236" spans="1:8" x14ac:dyDescent="0.25">
      <c r="A8236" s="952"/>
      <c r="B8236" s="953"/>
      <c r="C8236" s="953"/>
      <c r="D8236" s="953"/>
      <c r="E8236" s="953"/>
      <c r="F8236" s="953"/>
      <c r="G8236" s="953"/>
      <c r="H8236" s="953"/>
    </row>
    <row r="8237" spans="1:8" x14ac:dyDescent="0.25">
      <c r="A8237" s="952"/>
      <c r="B8237" s="953"/>
      <c r="C8237" s="953"/>
      <c r="D8237" s="953"/>
      <c r="E8237" s="953"/>
      <c r="F8237" s="953"/>
      <c r="G8237" s="953"/>
      <c r="H8237" s="953"/>
    </row>
    <row r="8238" spans="1:8" x14ac:dyDescent="0.25">
      <c r="A8238" s="952"/>
      <c r="B8238" s="953"/>
      <c r="C8238" s="953"/>
      <c r="D8238" s="953"/>
      <c r="E8238" s="953"/>
      <c r="F8238" s="953"/>
      <c r="G8238" s="953"/>
      <c r="H8238" s="953"/>
    </row>
    <row r="8239" spans="1:8" x14ac:dyDescent="0.25">
      <c r="A8239" s="952"/>
      <c r="B8239" s="953"/>
      <c r="C8239" s="953"/>
      <c r="D8239" s="953"/>
      <c r="E8239" s="953"/>
      <c r="F8239" s="953"/>
      <c r="G8239" s="953"/>
      <c r="H8239" s="953"/>
    </row>
    <row r="8240" spans="1:8" x14ac:dyDescent="0.25">
      <c r="A8240" s="952"/>
      <c r="B8240" s="953"/>
      <c r="C8240" s="953"/>
      <c r="D8240" s="953"/>
      <c r="E8240" s="953"/>
      <c r="F8240" s="953"/>
      <c r="G8240" s="953"/>
      <c r="H8240" s="953"/>
    </row>
    <row r="8241" spans="1:8" x14ac:dyDescent="0.25">
      <c r="A8241" s="952"/>
      <c r="B8241" s="953"/>
      <c r="C8241" s="953"/>
      <c r="D8241" s="953"/>
      <c r="E8241" s="953"/>
      <c r="F8241" s="953"/>
      <c r="G8241" s="953"/>
      <c r="H8241" s="953"/>
    </row>
    <row r="8242" spans="1:8" x14ac:dyDescent="0.25">
      <c r="A8242" s="952"/>
      <c r="B8242" s="953"/>
      <c r="C8242" s="953"/>
      <c r="D8242" s="953"/>
      <c r="E8242" s="953"/>
      <c r="F8242" s="953"/>
      <c r="G8242" s="953"/>
      <c r="H8242" s="953"/>
    </row>
    <row r="8243" spans="1:8" x14ac:dyDescent="0.25">
      <c r="A8243" s="952"/>
      <c r="B8243" s="953"/>
      <c r="C8243" s="953"/>
      <c r="D8243" s="953"/>
      <c r="E8243" s="953"/>
      <c r="F8243" s="953"/>
      <c r="G8243" s="953"/>
      <c r="H8243" s="953"/>
    </row>
    <row r="8244" spans="1:8" x14ac:dyDescent="0.25">
      <c r="A8244" s="952"/>
      <c r="B8244" s="953"/>
      <c r="C8244" s="953"/>
      <c r="D8244" s="953"/>
      <c r="E8244" s="953"/>
      <c r="F8244" s="953"/>
      <c r="G8244" s="953"/>
      <c r="H8244" s="953"/>
    </row>
    <row r="8245" spans="1:8" x14ac:dyDescent="0.25">
      <c r="A8245" s="952"/>
      <c r="B8245" s="953"/>
      <c r="C8245" s="953"/>
      <c r="D8245" s="953"/>
      <c r="E8245" s="953"/>
      <c r="F8245" s="953"/>
      <c r="G8245" s="953"/>
      <c r="H8245" s="953"/>
    </row>
    <row r="8246" spans="1:8" x14ac:dyDescent="0.25">
      <c r="A8246" s="952"/>
      <c r="B8246" s="953"/>
      <c r="C8246" s="953"/>
      <c r="D8246" s="953"/>
      <c r="E8246" s="953"/>
      <c r="F8246" s="953"/>
      <c r="G8246" s="953"/>
      <c r="H8246" s="953"/>
    </row>
    <row r="8247" spans="1:8" x14ac:dyDescent="0.25">
      <c r="A8247" s="952"/>
      <c r="B8247" s="953"/>
      <c r="C8247" s="953"/>
      <c r="D8247" s="953"/>
      <c r="E8247" s="953"/>
      <c r="F8247" s="953"/>
      <c r="G8247" s="953"/>
      <c r="H8247" s="953"/>
    </row>
    <row r="8248" spans="1:8" x14ac:dyDescent="0.25">
      <c r="A8248" s="952"/>
      <c r="B8248" s="953"/>
      <c r="C8248" s="953"/>
      <c r="D8248" s="953"/>
      <c r="E8248" s="953"/>
      <c r="F8248" s="953"/>
      <c r="G8248" s="953"/>
      <c r="H8248" s="953"/>
    </row>
    <row r="8249" spans="1:8" x14ac:dyDescent="0.25">
      <c r="A8249" s="952"/>
      <c r="B8249" s="953"/>
      <c r="C8249" s="953"/>
      <c r="D8249" s="953"/>
      <c r="E8249" s="953"/>
      <c r="F8249" s="953"/>
      <c r="G8249" s="953"/>
      <c r="H8249" s="953"/>
    </row>
    <row r="8250" spans="1:8" x14ac:dyDescent="0.25">
      <c r="A8250" s="952"/>
      <c r="B8250" s="953"/>
      <c r="C8250" s="953"/>
      <c r="D8250" s="953"/>
      <c r="E8250" s="953"/>
      <c r="F8250" s="953"/>
      <c r="G8250" s="953"/>
      <c r="H8250" s="953"/>
    </row>
    <row r="8251" spans="1:8" x14ac:dyDescent="0.25">
      <c r="A8251" s="952"/>
      <c r="B8251" s="953"/>
      <c r="C8251" s="953"/>
      <c r="D8251" s="953"/>
      <c r="E8251" s="953"/>
      <c r="F8251" s="953"/>
      <c r="G8251" s="953"/>
      <c r="H8251" s="953"/>
    </row>
    <row r="8252" spans="1:8" x14ac:dyDescent="0.25">
      <c r="A8252" s="952"/>
      <c r="B8252" s="953"/>
      <c r="C8252" s="953"/>
      <c r="D8252" s="953"/>
      <c r="E8252" s="953"/>
      <c r="F8252" s="953"/>
      <c r="G8252" s="953"/>
      <c r="H8252" s="953"/>
    </row>
    <row r="8253" spans="1:8" x14ac:dyDescent="0.25">
      <c r="A8253" s="952"/>
      <c r="B8253" s="953"/>
      <c r="C8253" s="953"/>
      <c r="D8253" s="953"/>
      <c r="E8253" s="953"/>
      <c r="F8253" s="953"/>
      <c r="G8253" s="953"/>
      <c r="H8253" s="953"/>
    </row>
    <row r="8254" spans="1:8" x14ac:dyDescent="0.25">
      <c r="A8254" s="952"/>
      <c r="B8254" s="953"/>
      <c r="C8254" s="953"/>
      <c r="D8254" s="953"/>
      <c r="E8254" s="953"/>
      <c r="F8254" s="953"/>
      <c r="G8254" s="953"/>
      <c r="H8254" s="953"/>
    </row>
    <row r="8255" spans="1:8" x14ac:dyDescent="0.25">
      <c r="A8255" s="952"/>
      <c r="B8255" s="953"/>
      <c r="C8255" s="953"/>
      <c r="D8255" s="953"/>
      <c r="E8255" s="953"/>
      <c r="F8255" s="953"/>
      <c r="G8255" s="953"/>
      <c r="H8255" s="953"/>
    </row>
    <row r="8256" spans="1:8" x14ac:dyDescent="0.25">
      <c r="A8256" s="952"/>
      <c r="B8256" s="953"/>
      <c r="C8256" s="953"/>
      <c r="D8256" s="953"/>
      <c r="E8256" s="953"/>
      <c r="F8256" s="953"/>
      <c r="G8256" s="953"/>
      <c r="H8256" s="953"/>
    </row>
    <row r="8257" spans="1:8" x14ac:dyDescent="0.25">
      <c r="A8257" s="952"/>
      <c r="B8257" s="953"/>
      <c r="C8257" s="953"/>
      <c r="D8257" s="953"/>
      <c r="E8257" s="953"/>
      <c r="F8257" s="953"/>
      <c r="G8257" s="953"/>
      <c r="H8257" s="953"/>
    </row>
    <row r="8258" spans="1:8" x14ac:dyDescent="0.25">
      <c r="A8258" s="952"/>
      <c r="B8258" s="953"/>
      <c r="C8258" s="953"/>
      <c r="D8258" s="953"/>
      <c r="E8258" s="953"/>
      <c r="F8258" s="953"/>
      <c r="G8258" s="953"/>
      <c r="H8258" s="953"/>
    </row>
    <row r="8259" spans="1:8" x14ac:dyDescent="0.25">
      <c r="A8259" s="952"/>
      <c r="B8259" s="953"/>
      <c r="C8259" s="953"/>
      <c r="D8259" s="953"/>
      <c r="E8259" s="953"/>
      <c r="F8259" s="953"/>
      <c r="G8259" s="953"/>
      <c r="H8259" s="953"/>
    </row>
    <row r="8260" spans="1:8" x14ac:dyDescent="0.25">
      <c r="A8260" s="952"/>
      <c r="B8260" s="953"/>
      <c r="C8260" s="953"/>
      <c r="D8260" s="953"/>
      <c r="E8260" s="953"/>
      <c r="F8260" s="953"/>
      <c r="G8260" s="953"/>
      <c r="H8260" s="953"/>
    </row>
    <row r="8261" spans="1:8" x14ac:dyDescent="0.25">
      <c r="A8261" s="952"/>
      <c r="B8261" s="953"/>
      <c r="C8261" s="953"/>
      <c r="D8261" s="953"/>
      <c r="E8261" s="953"/>
      <c r="F8261" s="953"/>
      <c r="G8261" s="953"/>
      <c r="H8261" s="953"/>
    </row>
    <row r="8262" spans="1:8" x14ac:dyDescent="0.25">
      <c r="A8262" s="952"/>
      <c r="B8262" s="953"/>
      <c r="C8262" s="953"/>
      <c r="D8262" s="953"/>
      <c r="E8262" s="953"/>
      <c r="F8262" s="953"/>
      <c r="G8262" s="953"/>
      <c r="H8262" s="953"/>
    </row>
    <row r="8263" spans="1:8" x14ac:dyDescent="0.25">
      <c r="A8263" s="952"/>
      <c r="B8263" s="953"/>
      <c r="C8263" s="953"/>
      <c r="D8263" s="953"/>
      <c r="E8263" s="953"/>
      <c r="F8263" s="953"/>
      <c r="G8263" s="953"/>
      <c r="H8263" s="953"/>
    </row>
    <row r="8264" spans="1:8" x14ac:dyDescent="0.25">
      <c r="A8264" s="952"/>
      <c r="B8264" s="953"/>
      <c r="C8264" s="953"/>
      <c r="D8264" s="953"/>
      <c r="E8264" s="953"/>
      <c r="F8264" s="953"/>
      <c r="G8264" s="953"/>
      <c r="H8264" s="953"/>
    </row>
    <row r="8265" spans="1:8" x14ac:dyDescent="0.25">
      <c r="A8265" s="952"/>
      <c r="B8265" s="953"/>
      <c r="C8265" s="953"/>
      <c r="D8265" s="953"/>
      <c r="E8265" s="953"/>
      <c r="F8265" s="953"/>
      <c r="G8265" s="953"/>
      <c r="H8265" s="953"/>
    </row>
    <row r="8266" spans="1:8" x14ac:dyDescent="0.25">
      <c r="A8266" s="952"/>
      <c r="B8266" s="953"/>
      <c r="C8266" s="953"/>
      <c r="D8266" s="953"/>
      <c r="E8266" s="953"/>
      <c r="F8266" s="953"/>
      <c r="G8266" s="953"/>
      <c r="H8266" s="953"/>
    </row>
    <row r="8267" spans="1:8" x14ac:dyDescent="0.25">
      <c r="A8267" s="952"/>
      <c r="B8267" s="953"/>
      <c r="C8267" s="953"/>
      <c r="D8267" s="953"/>
      <c r="E8267" s="953"/>
      <c r="F8267" s="953"/>
      <c r="G8267" s="953"/>
      <c r="H8267" s="953"/>
    </row>
    <row r="8268" spans="1:8" x14ac:dyDescent="0.25">
      <c r="A8268" s="952"/>
      <c r="B8268" s="953"/>
      <c r="C8268" s="953"/>
      <c r="D8268" s="953"/>
      <c r="E8268" s="953"/>
      <c r="F8268" s="953"/>
      <c r="G8268" s="953"/>
      <c r="H8268" s="953"/>
    </row>
    <row r="8269" spans="1:8" x14ac:dyDescent="0.25">
      <c r="A8269" s="952"/>
      <c r="B8269" s="953"/>
      <c r="C8269" s="953"/>
      <c r="D8269" s="953"/>
      <c r="E8269" s="953"/>
      <c r="F8269" s="953"/>
      <c r="G8269" s="953"/>
      <c r="H8269" s="953"/>
    </row>
    <row r="8270" spans="1:8" x14ac:dyDescent="0.25">
      <c r="A8270" s="952"/>
      <c r="B8270" s="953"/>
      <c r="C8270" s="953"/>
      <c r="D8270" s="953"/>
      <c r="E8270" s="953"/>
      <c r="F8270" s="953"/>
      <c r="G8270" s="953"/>
      <c r="H8270" s="953"/>
    </row>
    <row r="8271" spans="1:8" x14ac:dyDescent="0.25">
      <c r="A8271" s="952"/>
      <c r="B8271" s="953"/>
      <c r="C8271" s="953"/>
      <c r="D8271" s="953"/>
      <c r="E8271" s="953"/>
      <c r="F8271" s="953"/>
      <c r="G8271" s="953"/>
      <c r="H8271" s="953"/>
    </row>
    <row r="8272" spans="1:8" x14ac:dyDescent="0.25">
      <c r="A8272" s="952"/>
      <c r="B8272" s="953"/>
      <c r="C8272" s="953"/>
      <c r="D8272" s="953"/>
      <c r="E8272" s="953"/>
      <c r="F8272" s="953"/>
      <c r="G8272" s="953"/>
      <c r="H8272" s="953"/>
    </row>
    <row r="8273" spans="1:8" x14ac:dyDescent="0.25">
      <c r="A8273" s="952"/>
      <c r="B8273" s="953"/>
      <c r="C8273" s="953"/>
      <c r="D8273" s="953"/>
      <c r="E8273" s="953"/>
      <c r="F8273" s="953"/>
      <c r="G8273" s="953"/>
      <c r="H8273" s="953"/>
    </row>
    <row r="8274" spans="1:8" x14ac:dyDescent="0.25">
      <c r="A8274" s="952"/>
      <c r="B8274" s="953"/>
      <c r="C8274" s="953"/>
      <c r="D8274" s="953"/>
      <c r="E8274" s="953"/>
      <c r="F8274" s="953"/>
      <c r="G8274" s="953"/>
      <c r="H8274" s="953"/>
    </row>
    <row r="8275" spans="1:8" x14ac:dyDescent="0.25">
      <c r="A8275" s="952"/>
      <c r="B8275" s="953"/>
      <c r="C8275" s="953"/>
      <c r="D8275" s="953"/>
      <c r="E8275" s="953"/>
      <c r="F8275" s="953"/>
      <c r="G8275" s="953"/>
      <c r="H8275" s="953"/>
    </row>
    <row r="8276" spans="1:8" x14ac:dyDescent="0.25">
      <c r="A8276" s="952"/>
      <c r="B8276" s="953"/>
      <c r="C8276" s="953"/>
      <c r="D8276" s="953"/>
      <c r="E8276" s="953"/>
      <c r="F8276" s="953"/>
      <c r="G8276" s="953"/>
      <c r="H8276" s="953"/>
    </row>
    <row r="8277" spans="1:8" x14ac:dyDescent="0.25">
      <c r="A8277" s="952"/>
      <c r="B8277" s="953"/>
      <c r="C8277" s="953"/>
      <c r="D8277" s="953"/>
      <c r="E8277" s="953"/>
      <c r="F8277" s="953"/>
      <c r="G8277" s="953"/>
      <c r="H8277" s="953"/>
    </row>
    <row r="8278" spans="1:8" x14ac:dyDescent="0.25">
      <c r="A8278" s="952"/>
      <c r="B8278" s="953"/>
      <c r="C8278" s="953"/>
      <c r="D8278" s="953"/>
      <c r="E8278" s="953"/>
      <c r="F8278" s="953"/>
      <c r="G8278" s="953"/>
      <c r="H8278" s="953"/>
    </row>
    <row r="8279" spans="1:8" x14ac:dyDescent="0.25">
      <c r="A8279" s="952"/>
      <c r="B8279" s="953"/>
      <c r="C8279" s="953"/>
      <c r="D8279" s="953"/>
      <c r="E8279" s="953"/>
      <c r="F8279" s="953"/>
      <c r="G8279" s="953"/>
      <c r="H8279" s="953"/>
    </row>
    <row r="8280" spans="1:8" x14ac:dyDescent="0.25">
      <c r="A8280" s="952"/>
      <c r="B8280" s="953"/>
      <c r="C8280" s="953"/>
      <c r="D8280" s="953"/>
      <c r="E8280" s="953"/>
      <c r="F8280" s="953"/>
      <c r="G8280" s="953"/>
      <c r="H8280" s="953"/>
    </row>
    <row r="8281" spans="1:8" x14ac:dyDescent="0.25">
      <c r="A8281" s="952"/>
      <c r="B8281" s="953"/>
      <c r="C8281" s="953"/>
      <c r="D8281" s="953"/>
      <c r="E8281" s="953"/>
      <c r="F8281" s="953"/>
      <c r="G8281" s="953"/>
      <c r="H8281" s="953"/>
    </row>
    <row r="8282" spans="1:8" x14ac:dyDescent="0.25">
      <c r="A8282" s="952"/>
      <c r="B8282" s="953"/>
      <c r="C8282" s="953"/>
      <c r="D8282" s="953"/>
      <c r="E8282" s="953"/>
      <c r="F8282" s="953"/>
      <c r="G8282" s="953"/>
      <c r="H8282" s="953"/>
    </row>
    <row r="8283" spans="1:8" x14ac:dyDescent="0.25">
      <c r="A8283" s="952"/>
      <c r="B8283" s="953"/>
      <c r="C8283" s="953"/>
      <c r="D8283" s="953"/>
      <c r="E8283" s="953"/>
      <c r="F8283" s="953"/>
      <c r="G8283" s="953"/>
      <c r="H8283" s="953"/>
    </row>
    <row r="8284" spans="1:8" x14ac:dyDescent="0.25">
      <c r="A8284" s="952"/>
      <c r="B8284" s="953"/>
      <c r="C8284" s="953"/>
      <c r="D8284" s="953"/>
      <c r="E8284" s="953"/>
      <c r="F8284" s="953"/>
      <c r="G8284" s="953"/>
      <c r="H8284" s="953"/>
    </row>
    <row r="8285" spans="1:8" x14ac:dyDescent="0.25">
      <c r="A8285" s="952"/>
      <c r="B8285" s="953"/>
      <c r="C8285" s="953"/>
      <c r="D8285" s="953"/>
      <c r="E8285" s="953"/>
      <c r="F8285" s="953"/>
      <c r="G8285" s="953"/>
      <c r="H8285" s="953"/>
    </row>
    <row r="8286" spans="1:8" x14ac:dyDescent="0.25">
      <c r="A8286" s="952"/>
      <c r="B8286" s="953"/>
      <c r="C8286" s="953"/>
      <c r="D8286" s="953"/>
      <c r="E8286" s="953"/>
      <c r="F8286" s="953"/>
      <c r="G8286" s="953"/>
      <c r="H8286" s="953"/>
    </row>
    <row r="8287" spans="1:8" x14ac:dyDescent="0.25">
      <c r="A8287" s="952"/>
      <c r="B8287" s="953"/>
      <c r="C8287" s="953"/>
      <c r="D8287" s="953"/>
      <c r="E8287" s="953"/>
      <c r="F8287" s="953"/>
      <c r="G8287" s="953"/>
      <c r="H8287" s="953"/>
    </row>
    <row r="8288" spans="1:8" x14ac:dyDescent="0.25">
      <c r="A8288" s="952"/>
      <c r="B8288" s="953"/>
      <c r="C8288" s="953"/>
      <c r="D8288" s="953"/>
      <c r="E8288" s="953"/>
      <c r="F8288" s="953"/>
      <c r="G8288" s="953"/>
      <c r="H8288" s="953"/>
    </row>
    <row r="8289" spans="1:8" x14ac:dyDescent="0.25">
      <c r="A8289" s="952"/>
      <c r="B8289" s="953"/>
      <c r="C8289" s="953"/>
      <c r="D8289" s="953"/>
      <c r="E8289" s="953"/>
      <c r="F8289" s="953"/>
      <c r="G8289" s="953"/>
      <c r="H8289" s="953"/>
    </row>
    <row r="8290" spans="1:8" x14ac:dyDescent="0.25">
      <c r="A8290" s="952"/>
      <c r="B8290" s="953"/>
      <c r="C8290" s="953"/>
      <c r="D8290" s="953"/>
      <c r="E8290" s="953"/>
      <c r="F8290" s="953"/>
      <c r="G8290" s="953"/>
      <c r="H8290" s="953"/>
    </row>
    <row r="8291" spans="1:8" x14ac:dyDescent="0.25">
      <c r="A8291" s="952"/>
      <c r="B8291" s="953"/>
      <c r="C8291" s="953"/>
      <c r="D8291" s="953"/>
      <c r="E8291" s="953"/>
      <c r="F8291" s="953"/>
      <c r="G8291" s="953"/>
      <c r="H8291" s="953"/>
    </row>
    <row r="8292" spans="1:8" x14ac:dyDescent="0.25">
      <c r="A8292" s="952"/>
      <c r="B8292" s="953"/>
      <c r="C8292" s="953"/>
      <c r="D8292" s="953"/>
      <c r="E8292" s="953"/>
      <c r="F8292" s="953"/>
      <c r="G8292" s="953"/>
      <c r="H8292" s="953"/>
    </row>
    <row r="8293" spans="1:8" x14ac:dyDescent="0.25">
      <c r="A8293" s="952"/>
      <c r="B8293" s="953"/>
      <c r="C8293" s="953"/>
      <c r="D8293" s="953"/>
      <c r="E8293" s="953"/>
      <c r="F8293" s="953"/>
      <c r="G8293" s="953"/>
      <c r="H8293" s="953"/>
    </row>
    <row r="8294" spans="1:8" x14ac:dyDescent="0.25">
      <c r="A8294" s="952"/>
      <c r="B8294" s="953"/>
      <c r="C8294" s="953"/>
      <c r="D8294" s="953"/>
      <c r="E8294" s="953"/>
      <c r="F8294" s="953"/>
      <c r="G8294" s="953"/>
      <c r="H8294" s="953"/>
    </row>
    <row r="8295" spans="1:8" x14ac:dyDescent="0.25">
      <c r="A8295" s="952"/>
      <c r="B8295" s="953"/>
      <c r="C8295" s="953"/>
      <c r="D8295" s="953"/>
      <c r="E8295" s="953"/>
      <c r="F8295" s="953"/>
      <c r="G8295" s="953"/>
      <c r="H8295" s="953"/>
    </row>
    <row r="8296" spans="1:8" x14ac:dyDescent="0.25">
      <c r="A8296" s="952"/>
      <c r="B8296" s="953"/>
      <c r="C8296" s="953"/>
      <c r="D8296" s="953"/>
      <c r="E8296" s="953"/>
      <c r="F8296" s="953"/>
      <c r="G8296" s="953"/>
      <c r="H8296" s="953"/>
    </row>
    <row r="8297" spans="1:8" x14ac:dyDescent="0.25">
      <c r="A8297" s="952"/>
      <c r="B8297" s="953"/>
      <c r="C8297" s="953"/>
      <c r="D8297" s="953"/>
      <c r="E8297" s="953"/>
      <c r="F8297" s="953"/>
      <c r="G8297" s="953"/>
      <c r="H8297" s="953"/>
    </row>
    <row r="8298" spans="1:8" x14ac:dyDescent="0.25">
      <c r="A8298" s="952"/>
      <c r="B8298" s="953"/>
      <c r="C8298" s="953"/>
      <c r="D8298" s="953"/>
      <c r="E8298" s="953"/>
      <c r="F8298" s="953"/>
      <c r="G8298" s="953"/>
      <c r="H8298" s="953"/>
    </row>
    <row r="8299" spans="1:8" x14ac:dyDescent="0.25">
      <c r="A8299" s="952"/>
      <c r="B8299" s="953"/>
      <c r="C8299" s="953"/>
      <c r="D8299" s="953"/>
      <c r="E8299" s="953"/>
      <c r="F8299" s="953"/>
      <c r="G8299" s="953"/>
      <c r="H8299" s="953"/>
    </row>
    <row r="8300" spans="1:8" x14ac:dyDescent="0.25">
      <c r="A8300" s="952"/>
      <c r="B8300" s="953"/>
      <c r="C8300" s="953"/>
      <c r="D8300" s="953"/>
      <c r="E8300" s="953"/>
      <c r="F8300" s="953"/>
      <c r="G8300" s="953"/>
      <c r="H8300" s="953"/>
    </row>
    <row r="8301" spans="1:8" x14ac:dyDescent="0.25">
      <c r="A8301" s="952"/>
      <c r="B8301" s="953"/>
      <c r="C8301" s="953"/>
      <c r="D8301" s="953"/>
      <c r="E8301" s="953"/>
      <c r="F8301" s="953"/>
      <c r="G8301" s="953"/>
      <c r="H8301" s="953"/>
    </row>
    <row r="8302" spans="1:8" x14ac:dyDescent="0.25">
      <c r="A8302" s="952"/>
      <c r="B8302" s="953"/>
      <c r="C8302" s="953"/>
      <c r="D8302" s="953"/>
      <c r="E8302" s="953"/>
      <c r="F8302" s="953"/>
      <c r="G8302" s="953"/>
      <c r="H8302" s="953"/>
    </row>
    <row r="8303" spans="1:8" x14ac:dyDescent="0.25">
      <c r="A8303" s="952"/>
      <c r="B8303" s="953"/>
      <c r="C8303" s="953"/>
      <c r="D8303" s="953"/>
      <c r="E8303" s="953"/>
      <c r="F8303" s="953"/>
      <c r="G8303" s="953"/>
      <c r="H8303" s="953"/>
    </row>
    <row r="8304" spans="1:8" x14ac:dyDescent="0.25">
      <c r="A8304" s="952"/>
      <c r="B8304" s="953"/>
      <c r="C8304" s="953"/>
      <c r="D8304" s="953"/>
      <c r="E8304" s="953"/>
      <c r="F8304" s="953"/>
      <c r="G8304" s="953"/>
      <c r="H8304" s="953"/>
    </row>
    <row r="8305" spans="1:8" x14ac:dyDescent="0.25">
      <c r="A8305" s="952"/>
      <c r="B8305" s="953"/>
      <c r="C8305" s="953"/>
      <c r="D8305" s="953"/>
      <c r="E8305" s="953"/>
      <c r="F8305" s="953"/>
      <c r="G8305" s="953"/>
      <c r="H8305" s="953"/>
    </row>
    <row r="8306" spans="1:8" x14ac:dyDescent="0.25">
      <c r="A8306" s="952"/>
      <c r="B8306" s="953"/>
      <c r="C8306" s="953"/>
      <c r="D8306" s="953"/>
      <c r="E8306" s="953"/>
      <c r="F8306" s="953"/>
      <c r="G8306" s="953"/>
      <c r="H8306" s="953"/>
    </row>
    <row r="8307" spans="1:8" x14ac:dyDescent="0.25">
      <c r="A8307" s="952"/>
      <c r="B8307" s="953"/>
      <c r="C8307" s="953"/>
      <c r="D8307" s="953"/>
      <c r="E8307" s="953"/>
      <c r="F8307" s="953"/>
      <c r="G8307" s="953"/>
      <c r="H8307" s="953"/>
    </row>
    <row r="8308" spans="1:8" x14ac:dyDescent="0.25">
      <c r="A8308" s="952"/>
      <c r="B8308" s="953"/>
      <c r="C8308" s="953"/>
      <c r="D8308" s="953"/>
      <c r="E8308" s="953"/>
      <c r="F8308" s="953"/>
      <c r="G8308" s="953"/>
      <c r="H8308" s="953"/>
    </row>
    <row r="8309" spans="1:8" x14ac:dyDescent="0.25">
      <c r="A8309" s="952"/>
      <c r="B8309" s="953"/>
      <c r="C8309" s="953"/>
      <c r="D8309" s="953"/>
      <c r="E8309" s="953"/>
      <c r="F8309" s="953"/>
      <c r="G8309" s="953"/>
      <c r="H8309" s="953"/>
    </row>
    <row r="8310" spans="1:8" x14ac:dyDescent="0.25">
      <c r="A8310" s="952"/>
      <c r="B8310" s="953"/>
      <c r="C8310" s="953"/>
      <c r="D8310" s="953"/>
      <c r="E8310" s="953"/>
      <c r="F8310" s="953"/>
      <c r="G8310" s="953"/>
      <c r="H8310" s="953"/>
    </row>
    <row r="8311" spans="1:8" x14ac:dyDescent="0.25">
      <c r="A8311" s="952"/>
      <c r="B8311" s="953"/>
      <c r="C8311" s="953"/>
      <c r="D8311" s="953"/>
      <c r="E8311" s="953"/>
      <c r="F8311" s="953"/>
      <c r="G8311" s="953"/>
      <c r="H8311" s="953"/>
    </row>
    <row r="8312" spans="1:8" x14ac:dyDescent="0.25">
      <c r="A8312" s="952"/>
      <c r="B8312" s="953"/>
      <c r="C8312" s="953"/>
      <c r="D8312" s="953"/>
      <c r="E8312" s="953"/>
      <c r="F8312" s="953"/>
      <c r="G8312" s="953"/>
      <c r="H8312" s="953"/>
    </row>
    <row r="8313" spans="1:8" x14ac:dyDescent="0.25">
      <c r="A8313" s="952"/>
      <c r="B8313" s="953"/>
      <c r="C8313" s="953"/>
      <c r="D8313" s="953"/>
      <c r="E8313" s="953"/>
      <c r="F8313" s="953"/>
      <c r="G8313" s="953"/>
      <c r="H8313" s="953"/>
    </row>
    <row r="8314" spans="1:8" x14ac:dyDescent="0.25">
      <c r="A8314" s="952"/>
      <c r="B8314" s="953"/>
      <c r="C8314" s="953"/>
      <c r="D8314" s="953"/>
      <c r="E8314" s="953"/>
      <c r="F8314" s="953"/>
      <c r="G8314" s="953"/>
      <c r="H8314" s="953"/>
    </row>
    <row r="8315" spans="1:8" x14ac:dyDescent="0.25">
      <c r="A8315" s="952"/>
      <c r="B8315" s="953"/>
      <c r="C8315" s="953"/>
      <c r="D8315" s="953"/>
      <c r="E8315" s="953"/>
      <c r="F8315" s="953"/>
      <c r="G8315" s="953"/>
      <c r="H8315" s="953"/>
    </row>
    <row r="8316" spans="1:8" x14ac:dyDescent="0.25">
      <c r="A8316" s="952"/>
      <c r="B8316" s="953"/>
      <c r="C8316" s="953"/>
      <c r="D8316" s="953"/>
      <c r="E8316" s="953"/>
      <c r="F8316" s="953"/>
      <c r="G8316" s="953"/>
      <c r="H8316" s="953"/>
    </row>
    <row r="8317" spans="1:8" x14ac:dyDescent="0.25">
      <c r="A8317" s="952"/>
      <c r="B8317" s="953"/>
      <c r="C8317" s="953"/>
      <c r="D8317" s="953"/>
      <c r="E8317" s="953"/>
      <c r="F8317" s="953"/>
      <c r="G8317" s="953"/>
      <c r="H8317" s="953"/>
    </row>
    <row r="8318" spans="1:8" x14ac:dyDescent="0.25">
      <c r="A8318" s="952"/>
      <c r="B8318" s="953"/>
      <c r="C8318" s="953"/>
      <c r="D8318" s="953"/>
      <c r="E8318" s="953"/>
      <c r="F8318" s="953"/>
      <c r="G8318" s="953"/>
      <c r="H8318" s="953"/>
    </row>
    <row r="8319" spans="1:8" x14ac:dyDescent="0.25">
      <c r="A8319" s="952"/>
      <c r="B8319" s="953"/>
      <c r="C8319" s="953"/>
      <c r="D8319" s="953"/>
      <c r="E8319" s="953"/>
      <c r="F8319" s="953"/>
      <c r="G8319" s="953"/>
      <c r="H8319" s="953"/>
    </row>
    <row r="8320" spans="1:8" x14ac:dyDescent="0.25">
      <c r="A8320" s="952"/>
      <c r="B8320" s="953"/>
      <c r="C8320" s="953"/>
      <c r="D8320" s="953"/>
      <c r="E8320" s="953"/>
      <c r="F8320" s="953"/>
      <c r="G8320" s="953"/>
      <c r="H8320" s="953"/>
    </row>
    <row r="8321" spans="1:8" x14ac:dyDescent="0.25">
      <c r="A8321" s="952"/>
      <c r="B8321" s="953"/>
      <c r="C8321" s="953"/>
      <c r="D8321" s="953"/>
      <c r="E8321" s="953"/>
      <c r="F8321" s="953"/>
      <c r="G8321" s="953"/>
      <c r="H8321" s="953"/>
    </row>
    <row r="8322" spans="1:8" x14ac:dyDescent="0.25">
      <c r="A8322" s="952"/>
      <c r="B8322" s="953"/>
      <c r="C8322" s="953"/>
      <c r="D8322" s="953"/>
      <c r="E8322" s="953"/>
      <c r="F8322" s="953"/>
      <c r="G8322" s="953"/>
      <c r="H8322" s="953"/>
    </row>
    <row r="8323" spans="1:8" x14ac:dyDescent="0.25">
      <c r="A8323" s="952"/>
      <c r="B8323" s="953"/>
      <c r="C8323" s="953"/>
      <c r="D8323" s="953"/>
      <c r="E8323" s="953"/>
      <c r="F8323" s="953"/>
      <c r="G8323" s="953"/>
      <c r="H8323" s="953"/>
    </row>
    <row r="8324" spans="1:8" x14ac:dyDescent="0.25">
      <c r="A8324" s="952"/>
      <c r="B8324" s="953"/>
      <c r="C8324" s="953"/>
      <c r="D8324" s="953"/>
      <c r="E8324" s="953"/>
      <c r="F8324" s="953"/>
      <c r="G8324" s="953"/>
      <c r="H8324" s="953"/>
    </row>
    <row r="8325" spans="1:8" x14ac:dyDescent="0.25">
      <c r="A8325" s="952"/>
      <c r="B8325" s="953"/>
      <c r="C8325" s="953"/>
      <c r="D8325" s="953"/>
      <c r="E8325" s="953"/>
      <c r="F8325" s="953"/>
      <c r="G8325" s="953"/>
      <c r="H8325" s="953"/>
    </row>
    <row r="8326" spans="1:8" x14ac:dyDescent="0.25">
      <c r="A8326" s="952"/>
      <c r="B8326" s="953"/>
      <c r="C8326" s="953"/>
      <c r="D8326" s="953"/>
      <c r="E8326" s="953"/>
      <c r="F8326" s="953"/>
      <c r="G8326" s="953"/>
      <c r="H8326" s="953"/>
    </row>
    <row r="8327" spans="1:8" x14ac:dyDescent="0.25">
      <c r="A8327" s="952"/>
      <c r="B8327" s="953"/>
      <c r="C8327" s="953"/>
      <c r="D8327" s="953"/>
      <c r="E8327" s="953"/>
      <c r="F8327" s="953"/>
      <c r="G8327" s="953"/>
      <c r="H8327" s="953"/>
    </row>
    <row r="8328" spans="1:8" x14ac:dyDescent="0.25">
      <c r="A8328" s="952"/>
      <c r="B8328" s="953"/>
      <c r="C8328" s="953"/>
      <c r="D8328" s="953"/>
      <c r="E8328" s="953"/>
      <c r="F8328" s="953"/>
      <c r="G8328" s="953"/>
      <c r="H8328" s="953"/>
    </row>
    <row r="8329" spans="1:8" x14ac:dyDescent="0.25">
      <c r="A8329" s="952"/>
      <c r="B8329" s="953"/>
      <c r="C8329" s="953"/>
      <c r="D8329" s="953"/>
      <c r="E8329" s="953"/>
      <c r="F8329" s="953"/>
      <c r="G8329" s="953"/>
      <c r="H8329" s="953"/>
    </row>
    <row r="8330" spans="1:8" x14ac:dyDescent="0.25">
      <c r="A8330" s="952"/>
      <c r="B8330" s="953"/>
      <c r="C8330" s="953"/>
      <c r="D8330" s="953"/>
      <c r="E8330" s="953"/>
      <c r="F8330" s="953"/>
      <c r="G8330" s="953"/>
      <c r="H8330" s="953"/>
    </row>
    <row r="8331" spans="1:8" x14ac:dyDescent="0.25">
      <c r="A8331" s="952"/>
      <c r="B8331" s="953"/>
      <c r="C8331" s="953"/>
      <c r="D8331" s="953"/>
      <c r="E8331" s="953"/>
      <c r="F8331" s="953"/>
      <c r="G8331" s="953"/>
      <c r="H8331" s="953"/>
    </row>
    <row r="8332" spans="1:8" x14ac:dyDescent="0.25">
      <c r="A8332" s="952"/>
      <c r="B8332" s="953"/>
      <c r="C8332" s="953"/>
      <c r="D8332" s="953"/>
      <c r="E8332" s="953"/>
      <c r="F8332" s="953"/>
      <c r="G8332" s="953"/>
      <c r="H8332" s="953"/>
    </row>
    <row r="8333" spans="1:8" x14ac:dyDescent="0.25">
      <c r="A8333" s="952"/>
      <c r="B8333" s="953"/>
      <c r="C8333" s="953"/>
      <c r="D8333" s="953"/>
      <c r="E8333" s="953"/>
      <c r="F8333" s="953"/>
      <c r="G8333" s="953"/>
      <c r="H8333" s="953"/>
    </row>
    <row r="8334" spans="1:8" x14ac:dyDescent="0.25">
      <c r="A8334" s="952"/>
      <c r="B8334" s="953"/>
      <c r="C8334" s="953"/>
      <c r="D8334" s="953"/>
      <c r="E8334" s="953"/>
      <c r="F8334" s="953"/>
      <c r="G8334" s="953"/>
      <c r="H8334" s="953"/>
    </row>
    <row r="8335" spans="1:8" x14ac:dyDescent="0.25">
      <c r="A8335" s="952"/>
      <c r="B8335" s="953"/>
      <c r="C8335" s="953"/>
      <c r="D8335" s="953"/>
      <c r="E8335" s="953"/>
      <c r="F8335" s="953"/>
      <c r="G8335" s="953"/>
      <c r="H8335" s="953"/>
    </row>
    <row r="8336" spans="1:8" x14ac:dyDescent="0.25">
      <c r="A8336" s="952"/>
      <c r="B8336" s="953"/>
      <c r="C8336" s="953"/>
      <c r="D8336" s="953"/>
      <c r="E8336" s="953"/>
      <c r="F8336" s="953"/>
      <c r="G8336" s="953"/>
      <c r="H8336" s="953"/>
    </row>
    <row r="8337" spans="1:8" x14ac:dyDescent="0.25">
      <c r="A8337" s="952"/>
      <c r="B8337" s="953"/>
      <c r="C8337" s="953"/>
      <c r="D8337" s="953"/>
      <c r="E8337" s="953"/>
      <c r="F8337" s="953"/>
      <c r="G8337" s="953"/>
      <c r="H8337" s="953"/>
    </row>
    <row r="8338" spans="1:8" x14ac:dyDescent="0.25">
      <c r="A8338" s="952"/>
      <c r="B8338" s="953"/>
      <c r="C8338" s="953"/>
      <c r="D8338" s="953"/>
      <c r="E8338" s="953"/>
      <c r="F8338" s="953"/>
      <c r="G8338" s="953"/>
      <c r="H8338" s="953"/>
    </row>
    <row r="8339" spans="1:8" x14ac:dyDescent="0.25">
      <c r="A8339" s="952"/>
      <c r="B8339" s="953"/>
      <c r="C8339" s="953"/>
      <c r="D8339" s="953"/>
      <c r="E8339" s="953"/>
      <c r="F8339" s="953"/>
      <c r="G8339" s="953"/>
      <c r="H8339" s="953"/>
    </row>
    <row r="8340" spans="1:8" x14ac:dyDescent="0.25">
      <c r="A8340" s="952"/>
      <c r="B8340" s="953"/>
      <c r="C8340" s="953"/>
      <c r="D8340" s="953"/>
      <c r="E8340" s="953"/>
      <c r="F8340" s="953"/>
      <c r="G8340" s="953"/>
      <c r="H8340" s="953"/>
    </row>
    <row r="8341" spans="1:8" x14ac:dyDescent="0.25">
      <c r="A8341" s="952"/>
      <c r="B8341" s="953"/>
      <c r="C8341" s="953"/>
      <c r="D8341" s="953"/>
      <c r="E8341" s="953"/>
      <c r="F8341" s="953"/>
      <c r="G8341" s="953"/>
      <c r="H8341" s="953"/>
    </row>
    <row r="8342" spans="1:8" x14ac:dyDescent="0.25">
      <c r="A8342" s="952"/>
      <c r="B8342" s="953"/>
      <c r="C8342" s="953"/>
      <c r="D8342" s="953"/>
      <c r="E8342" s="953"/>
      <c r="F8342" s="953"/>
      <c r="G8342" s="953"/>
      <c r="H8342" s="953"/>
    </row>
    <row r="8343" spans="1:8" x14ac:dyDescent="0.25">
      <c r="A8343" s="952"/>
      <c r="B8343" s="953"/>
      <c r="C8343" s="953"/>
      <c r="D8343" s="953"/>
      <c r="E8343" s="953"/>
      <c r="F8343" s="953"/>
      <c r="G8343" s="953"/>
      <c r="H8343" s="953"/>
    </row>
    <row r="8344" spans="1:8" x14ac:dyDescent="0.25">
      <c r="A8344" s="952"/>
      <c r="B8344" s="953"/>
      <c r="C8344" s="953"/>
      <c r="D8344" s="953"/>
      <c r="E8344" s="953"/>
      <c r="F8344" s="953"/>
      <c r="G8344" s="953"/>
      <c r="H8344" s="953"/>
    </row>
    <row r="8345" spans="1:8" x14ac:dyDescent="0.25">
      <c r="A8345" s="952"/>
      <c r="B8345" s="953"/>
      <c r="C8345" s="953"/>
      <c r="D8345" s="953"/>
      <c r="E8345" s="953"/>
      <c r="F8345" s="953"/>
      <c r="G8345" s="953"/>
      <c r="H8345" s="953"/>
    </row>
    <row r="8346" spans="1:8" x14ac:dyDescent="0.25">
      <c r="A8346" s="952"/>
      <c r="B8346" s="953"/>
      <c r="C8346" s="953"/>
      <c r="D8346" s="953"/>
      <c r="E8346" s="953"/>
      <c r="F8346" s="953"/>
      <c r="G8346" s="953"/>
      <c r="H8346" s="953"/>
    </row>
    <row r="8347" spans="1:8" x14ac:dyDescent="0.25">
      <c r="A8347" s="952"/>
      <c r="B8347" s="953"/>
      <c r="C8347" s="953"/>
      <c r="D8347" s="953"/>
      <c r="E8347" s="953"/>
      <c r="F8347" s="953"/>
      <c r="G8347" s="953"/>
      <c r="H8347" s="953"/>
    </row>
    <row r="8348" spans="1:8" x14ac:dyDescent="0.25">
      <c r="A8348" s="952"/>
      <c r="B8348" s="953"/>
      <c r="C8348" s="953"/>
      <c r="D8348" s="953"/>
      <c r="E8348" s="953"/>
      <c r="F8348" s="953"/>
      <c r="G8348" s="953"/>
      <c r="H8348" s="953"/>
    </row>
    <row r="8349" spans="1:8" x14ac:dyDescent="0.25">
      <c r="A8349" s="952"/>
      <c r="B8349" s="953"/>
      <c r="C8349" s="953"/>
      <c r="D8349" s="953"/>
      <c r="E8349" s="953"/>
      <c r="F8349" s="953"/>
      <c r="G8349" s="953"/>
      <c r="H8349" s="953"/>
    </row>
    <row r="8350" spans="1:8" x14ac:dyDescent="0.25">
      <c r="A8350" s="952"/>
      <c r="B8350" s="953"/>
      <c r="C8350" s="953"/>
      <c r="D8350" s="953"/>
      <c r="E8350" s="953"/>
      <c r="F8350" s="953"/>
      <c r="G8350" s="953"/>
      <c r="H8350" s="953"/>
    </row>
    <row r="8351" spans="1:8" x14ac:dyDescent="0.25">
      <c r="A8351" s="952"/>
      <c r="B8351" s="953"/>
      <c r="C8351" s="953"/>
      <c r="D8351" s="953"/>
      <c r="E8351" s="953"/>
      <c r="F8351" s="953"/>
      <c r="G8351" s="953"/>
      <c r="H8351" s="953"/>
    </row>
    <row r="8352" spans="1:8" x14ac:dyDescent="0.25">
      <c r="A8352" s="952"/>
      <c r="B8352" s="953"/>
      <c r="C8352" s="953"/>
      <c r="D8352" s="953"/>
      <c r="E8352" s="953"/>
      <c r="F8352" s="953"/>
      <c r="G8352" s="953"/>
      <c r="H8352" s="953"/>
    </row>
    <row r="8353" spans="1:8" x14ac:dyDescent="0.25">
      <c r="A8353" s="952"/>
      <c r="B8353" s="953"/>
      <c r="C8353" s="953"/>
      <c r="D8353" s="953"/>
      <c r="E8353" s="953"/>
      <c r="F8353" s="953"/>
      <c r="G8353" s="953"/>
      <c r="H8353" s="953"/>
    </row>
    <row r="8354" spans="1:8" x14ac:dyDescent="0.25">
      <c r="A8354" s="952"/>
      <c r="B8354" s="953"/>
      <c r="C8354" s="953"/>
      <c r="D8354" s="953"/>
      <c r="E8354" s="953"/>
      <c r="F8354" s="953"/>
      <c r="G8354" s="953"/>
      <c r="H8354" s="953"/>
    </row>
    <row r="8355" spans="1:8" x14ac:dyDescent="0.25">
      <c r="A8355" s="952"/>
      <c r="B8355" s="953"/>
      <c r="C8355" s="953"/>
      <c r="D8355" s="953"/>
      <c r="E8355" s="953"/>
      <c r="F8355" s="953"/>
      <c r="G8355" s="953"/>
      <c r="H8355" s="953"/>
    </row>
    <row r="8356" spans="1:8" x14ac:dyDescent="0.25">
      <c r="A8356" s="952"/>
      <c r="B8356" s="953"/>
      <c r="C8356" s="953"/>
      <c r="D8356" s="953"/>
      <c r="E8356" s="953"/>
      <c r="F8356" s="953"/>
      <c r="G8356" s="953"/>
      <c r="H8356" s="953"/>
    </row>
    <row r="8357" spans="1:8" x14ac:dyDescent="0.25">
      <c r="A8357" s="952"/>
      <c r="B8357" s="953"/>
      <c r="C8357" s="953"/>
      <c r="D8357" s="953"/>
      <c r="E8357" s="953"/>
      <c r="F8357" s="953"/>
      <c r="G8357" s="953"/>
      <c r="H8357" s="953"/>
    </row>
    <row r="8358" spans="1:8" x14ac:dyDescent="0.25">
      <c r="A8358" s="952"/>
      <c r="B8358" s="953"/>
      <c r="C8358" s="953"/>
      <c r="D8358" s="953"/>
      <c r="E8358" s="953"/>
      <c r="F8358" s="953"/>
      <c r="G8358" s="953"/>
      <c r="H8358" s="953"/>
    </row>
    <row r="8359" spans="1:8" x14ac:dyDescent="0.25">
      <c r="A8359" s="952"/>
      <c r="B8359" s="953"/>
      <c r="C8359" s="953"/>
      <c r="D8359" s="953"/>
      <c r="E8359" s="953"/>
      <c r="F8359" s="953"/>
      <c r="G8359" s="953"/>
      <c r="H8359" s="953"/>
    </row>
    <row r="8360" spans="1:8" x14ac:dyDescent="0.25">
      <c r="A8360" s="952"/>
      <c r="B8360" s="953"/>
      <c r="C8360" s="953"/>
      <c r="D8360" s="953"/>
      <c r="E8360" s="953"/>
      <c r="F8360" s="953"/>
      <c r="G8360" s="953"/>
      <c r="H8360" s="953"/>
    </row>
    <row r="8361" spans="1:8" x14ac:dyDescent="0.25">
      <c r="A8361" s="952"/>
      <c r="B8361" s="953"/>
      <c r="C8361" s="953"/>
      <c r="D8361" s="953"/>
      <c r="E8361" s="953"/>
      <c r="F8361" s="953"/>
      <c r="G8361" s="953"/>
      <c r="H8361" s="953"/>
    </row>
    <row r="8362" spans="1:8" x14ac:dyDescent="0.25">
      <c r="A8362" s="952"/>
      <c r="B8362" s="953"/>
      <c r="C8362" s="953"/>
      <c r="D8362" s="953"/>
      <c r="E8362" s="953"/>
      <c r="F8362" s="953"/>
      <c r="G8362" s="953"/>
      <c r="H8362" s="953"/>
    </row>
    <row r="8363" spans="1:8" x14ac:dyDescent="0.25">
      <c r="A8363" s="952"/>
      <c r="B8363" s="953"/>
      <c r="C8363" s="953"/>
      <c r="D8363" s="953"/>
      <c r="E8363" s="953"/>
      <c r="F8363" s="953"/>
      <c r="G8363" s="953"/>
      <c r="H8363" s="953"/>
    </row>
    <row r="8364" spans="1:8" x14ac:dyDescent="0.25">
      <c r="A8364" s="952"/>
      <c r="B8364" s="953"/>
      <c r="C8364" s="953"/>
      <c r="D8364" s="953"/>
      <c r="E8364" s="953"/>
      <c r="F8364" s="953"/>
      <c r="G8364" s="953"/>
      <c r="H8364" s="953"/>
    </row>
    <row r="8365" spans="1:8" x14ac:dyDescent="0.25">
      <c r="A8365" s="952"/>
      <c r="B8365" s="953"/>
      <c r="C8365" s="953"/>
      <c r="D8365" s="953"/>
      <c r="E8365" s="953"/>
      <c r="F8365" s="953"/>
      <c r="G8365" s="953"/>
      <c r="H8365" s="953"/>
    </row>
    <row r="8366" spans="1:8" x14ac:dyDescent="0.25">
      <c r="A8366" s="952"/>
      <c r="B8366" s="953"/>
      <c r="C8366" s="953"/>
      <c r="D8366" s="953"/>
      <c r="E8366" s="953"/>
      <c r="F8366" s="953"/>
      <c r="G8366" s="953"/>
      <c r="H8366" s="953"/>
    </row>
    <row r="8367" spans="1:8" x14ac:dyDescent="0.25">
      <c r="A8367" s="952"/>
      <c r="B8367" s="953"/>
      <c r="C8367" s="953"/>
      <c r="D8367" s="953"/>
      <c r="E8367" s="953"/>
      <c r="F8367" s="953"/>
      <c r="G8367" s="953"/>
      <c r="H8367" s="953"/>
    </row>
    <row r="8368" spans="1:8" x14ac:dyDescent="0.25">
      <c r="A8368" s="952"/>
      <c r="B8368" s="953"/>
      <c r="C8368" s="953"/>
      <c r="D8368" s="953"/>
      <c r="E8368" s="953"/>
      <c r="F8368" s="953"/>
      <c r="G8368" s="953"/>
      <c r="H8368" s="953"/>
    </row>
    <row r="8369" spans="1:8" x14ac:dyDescent="0.25">
      <c r="A8369" s="952"/>
      <c r="B8369" s="953"/>
      <c r="C8369" s="953"/>
      <c r="D8369" s="953"/>
      <c r="E8369" s="953"/>
      <c r="F8369" s="953"/>
      <c r="G8369" s="953"/>
      <c r="H8369" s="953"/>
    </row>
    <row r="8370" spans="1:8" x14ac:dyDescent="0.25">
      <c r="A8370" s="952"/>
      <c r="B8370" s="953"/>
      <c r="C8370" s="953"/>
      <c r="D8370" s="953"/>
      <c r="E8370" s="953"/>
      <c r="F8370" s="953"/>
      <c r="G8370" s="953"/>
      <c r="H8370" s="953"/>
    </row>
    <row r="8371" spans="1:8" x14ac:dyDescent="0.25">
      <c r="A8371" s="952"/>
      <c r="B8371" s="953"/>
      <c r="C8371" s="953"/>
      <c r="D8371" s="953"/>
      <c r="E8371" s="953"/>
      <c r="F8371" s="953"/>
      <c r="G8371" s="953"/>
      <c r="H8371" s="953"/>
    </row>
    <row r="8372" spans="1:8" x14ac:dyDescent="0.25">
      <c r="A8372" s="952"/>
      <c r="B8372" s="953"/>
      <c r="C8372" s="953"/>
      <c r="D8372" s="953"/>
      <c r="E8372" s="953"/>
      <c r="F8372" s="953"/>
      <c r="G8372" s="953"/>
      <c r="H8372" s="953"/>
    </row>
    <row r="8373" spans="1:8" x14ac:dyDescent="0.25">
      <c r="A8373" s="952"/>
      <c r="B8373" s="953"/>
      <c r="C8373" s="953"/>
      <c r="D8373" s="953"/>
      <c r="E8373" s="953"/>
      <c r="F8373" s="953"/>
      <c r="G8373" s="953"/>
      <c r="H8373" s="953"/>
    </row>
    <row r="8374" spans="1:8" x14ac:dyDescent="0.25">
      <c r="A8374" s="952"/>
      <c r="B8374" s="953"/>
      <c r="C8374" s="953"/>
      <c r="D8374" s="953"/>
      <c r="E8374" s="953"/>
      <c r="F8374" s="953"/>
      <c r="G8374" s="953"/>
      <c r="H8374" s="953"/>
    </row>
    <row r="8375" spans="1:8" x14ac:dyDescent="0.25">
      <c r="A8375" s="952"/>
      <c r="B8375" s="953"/>
      <c r="C8375" s="953"/>
      <c r="D8375" s="953"/>
      <c r="E8375" s="953"/>
      <c r="F8375" s="953"/>
      <c r="G8375" s="953"/>
      <c r="H8375" s="953"/>
    </row>
    <row r="8376" spans="1:8" x14ac:dyDescent="0.25">
      <c r="A8376" s="952"/>
      <c r="B8376" s="953"/>
      <c r="C8376" s="953"/>
      <c r="D8376" s="953"/>
      <c r="E8376" s="953"/>
      <c r="F8376" s="953"/>
      <c r="G8376" s="953"/>
      <c r="H8376" s="953"/>
    </row>
    <row r="8377" spans="1:8" x14ac:dyDescent="0.25">
      <c r="A8377" s="952"/>
      <c r="B8377" s="953"/>
      <c r="C8377" s="953"/>
      <c r="D8377" s="953"/>
      <c r="E8377" s="953"/>
      <c r="F8377" s="953"/>
      <c r="G8377" s="953"/>
      <c r="H8377" s="953"/>
    </row>
    <row r="8378" spans="1:8" x14ac:dyDescent="0.25">
      <c r="A8378" s="952"/>
      <c r="B8378" s="953"/>
      <c r="C8378" s="953"/>
      <c r="D8378" s="953"/>
      <c r="E8378" s="953"/>
      <c r="F8378" s="953"/>
      <c r="G8378" s="953"/>
      <c r="H8378" s="953"/>
    </row>
    <row r="8379" spans="1:8" x14ac:dyDescent="0.25">
      <c r="A8379" s="952"/>
      <c r="B8379" s="953"/>
      <c r="C8379" s="953"/>
      <c r="D8379" s="953"/>
      <c r="E8379" s="953"/>
      <c r="F8379" s="953"/>
      <c r="G8379" s="953"/>
      <c r="H8379" s="953"/>
    </row>
    <row r="8380" spans="1:8" x14ac:dyDescent="0.25">
      <c r="A8380" s="952"/>
      <c r="B8380" s="953"/>
      <c r="C8380" s="953"/>
      <c r="D8380" s="953"/>
      <c r="E8380" s="953"/>
      <c r="F8380" s="953"/>
      <c r="G8380" s="953"/>
      <c r="H8380" s="953"/>
    </row>
    <row r="8381" spans="1:8" x14ac:dyDescent="0.25">
      <c r="A8381" s="952"/>
      <c r="B8381" s="953"/>
      <c r="C8381" s="953"/>
      <c r="D8381" s="953"/>
      <c r="E8381" s="953"/>
      <c r="F8381" s="953"/>
      <c r="G8381" s="953"/>
      <c r="H8381" s="953"/>
    </row>
    <row r="8382" spans="1:8" x14ac:dyDescent="0.25">
      <c r="A8382" s="952"/>
      <c r="B8382" s="953"/>
      <c r="C8382" s="953"/>
      <c r="D8382" s="953"/>
      <c r="E8382" s="953"/>
      <c r="F8382" s="953"/>
      <c r="G8382" s="953"/>
      <c r="H8382" s="953"/>
    </row>
    <row r="8383" spans="1:8" x14ac:dyDescent="0.25">
      <c r="A8383" s="952"/>
      <c r="B8383" s="953"/>
      <c r="C8383" s="953"/>
      <c r="D8383" s="953"/>
      <c r="E8383" s="953"/>
      <c r="F8383" s="953"/>
      <c r="G8383" s="953"/>
      <c r="H8383" s="953"/>
    </row>
    <row r="8384" spans="1:8" x14ac:dyDescent="0.25">
      <c r="A8384" s="952"/>
      <c r="B8384" s="953"/>
      <c r="C8384" s="953"/>
      <c r="D8384" s="953"/>
      <c r="E8384" s="953"/>
      <c r="F8384" s="953"/>
      <c r="G8384" s="953"/>
      <c r="H8384" s="953"/>
    </row>
    <row r="8385" spans="1:8" x14ac:dyDescent="0.25">
      <c r="A8385" s="952"/>
      <c r="B8385" s="953"/>
      <c r="C8385" s="953"/>
      <c r="D8385" s="953"/>
      <c r="E8385" s="953"/>
      <c r="F8385" s="953"/>
      <c r="G8385" s="953"/>
      <c r="H8385" s="953"/>
    </row>
    <row r="8386" spans="1:8" x14ac:dyDescent="0.25">
      <c r="A8386" s="952"/>
      <c r="B8386" s="953"/>
      <c r="C8386" s="953"/>
      <c r="D8386" s="953"/>
      <c r="E8386" s="953"/>
      <c r="F8386" s="953"/>
      <c r="G8386" s="953"/>
      <c r="H8386" s="953"/>
    </row>
    <row r="8387" spans="1:8" x14ac:dyDescent="0.25">
      <c r="A8387" s="952"/>
      <c r="B8387" s="953"/>
      <c r="C8387" s="953"/>
      <c r="D8387" s="953"/>
      <c r="E8387" s="953"/>
      <c r="F8387" s="953"/>
      <c r="G8387" s="953"/>
      <c r="H8387" s="953"/>
    </row>
    <row r="8388" spans="1:8" x14ac:dyDescent="0.25">
      <c r="A8388" s="952"/>
      <c r="B8388" s="953"/>
      <c r="C8388" s="953"/>
      <c r="D8388" s="953"/>
      <c r="E8388" s="953"/>
      <c r="F8388" s="953"/>
      <c r="G8388" s="953"/>
      <c r="H8388" s="953"/>
    </row>
    <row r="8389" spans="1:8" x14ac:dyDescent="0.25">
      <c r="A8389" s="952"/>
      <c r="B8389" s="953"/>
      <c r="C8389" s="953"/>
      <c r="D8389" s="953"/>
      <c r="E8389" s="953"/>
      <c r="F8389" s="953"/>
      <c r="G8389" s="953"/>
      <c r="H8389" s="953"/>
    </row>
    <row r="8390" spans="1:8" x14ac:dyDescent="0.25">
      <c r="A8390" s="952"/>
      <c r="B8390" s="953"/>
      <c r="C8390" s="953"/>
      <c r="D8390" s="953"/>
      <c r="E8390" s="953"/>
      <c r="F8390" s="953"/>
      <c r="G8390" s="953"/>
      <c r="H8390" s="953"/>
    </row>
    <row r="8391" spans="1:8" x14ac:dyDescent="0.25">
      <c r="A8391" s="952"/>
      <c r="B8391" s="953"/>
      <c r="C8391" s="953"/>
      <c r="D8391" s="953"/>
      <c r="E8391" s="953"/>
      <c r="F8391" s="953"/>
      <c r="G8391" s="953"/>
      <c r="H8391" s="953"/>
    </row>
    <row r="8392" spans="1:8" x14ac:dyDescent="0.25">
      <c r="A8392" s="952"/>
      <c r="B8392" s="953"/>
      <c r="C8392" s="953"/>
      <c r="D8392" s="953"/>
      <c r="E8392" s="953"/>
      <c r="F8392" s="953"/>
      <c r="G8392" s="953"/>
      <c r="H8392" s="953"/>
    </row>
    <row r="8393" spans="1:8" x14ac:dyDescent="0.25">
      <c r="A8393" s="952"/>
      <c r="B8393" s="953"/>
      <c r="C8393" s="953"/>
      <c r="D8393" s="953"/>
      <c r="E8393" s="953"/>
      <c r="F8393" s="953"/>
      <c r="G8393" s="953"/>
      <c r="H8393" s="953"/>
    </row>
    <row r="8394" spans="1:8" x14ac:dyDescent="0.25">
      <c r="A8394" s="952"/>
      <c r="B8394" s="953"/>
      <c r="C8394" s="953"/>
      <c r="D8394" s="953"/>
      <c r="E8394" s="953"/>
      <c r="F8394" s="953"/>
      <c r="G8394" s="953"/>
      <c r="H8394" s="953"/>
    </row>
    <row r="8395" spans="1:8" x14ac:dyDescent="0.25">
      <c r="A8395" s="952"/>
      <c r="B8395" s="953"/>
      <c r="C8395" s="953"/>
      <c r="D8395" s="953"/>
      <c r="E8395" s="953"/>
      <c r="F8395" s="953"/>
      <c r="G8395" s="953"/>
      <c r="H8395" s="953"/>
    </row>
    <row r="8396" spans="1:8" x14ac:dyDescent="0.25">
      <c r="A8396" s="952"/>
      <c r="B8396" s="953"/>
      <c r="C8396" s="953"/>
      <c r="D8396" s="953"/>
      <c r="E8396" s="953"/>
      <c r="F8396" s="953"/>
      <c r="G8396" s="953"/>
      <c r="H8396" s="953"/>
    </row>
    <row r="8397" spans="1:8" x14ac:dyDescent="0.25">
      <c r="A8397" s="952"/>
      <c r="B8397" s="953"/>
      <c r="C8397" s="953"/>
      <c r="D8397" s="953"/>
      <c r="E8397" s="953"/>
      <c r="F8397" s="953"/>
      <c r="G8397" s="953"/>
      <c r="H8397" s="953"/>
    </row>
    <row r="8398" spans="1:8" x14ac:dyDescent="0.25">
      <c r="A8398" s="952"/>
      <c r="B8398" s="953"/>
      <c r="C8398" s="953"/>
      <c r="D8398" s="953"/>
      <c r="E8398" s="953"/>
      <c r="F8398" s="953"/>
      <c r="G8398" s="953"/>
      <c r="H8398" s="953"/>
    </row>
    <row r="8399" spans="1:8" x14ac:dyDescent="0.25">
      <c r="A8399" s="952"/>
      <c r="B8399" s="953"/>
      <c r="C8399" s="953"/>
      <c r="D8399" s="953"/>
      <c r="E8399" s="953"/>
      <c r="F8399" s="953"/>
      <c r="G8399" s="953"/>
      <c r="H8399" s="953"/>
    </row>
    <row r="8400" spans="1:8" x14ac:dyDescent="0.25">
      <c r="A8400" s="952"/>
      <c r="B8400" s="953"/>
      <c r="C8400" s="953"/>
      <c r="D8400" s="953"/>
      <c r="E8400" s="953"/>
      <c r="F8400" s="953"/>
      <c r="G8400" s="953"/>
      <c r="H8400" s="953"/>
    </row>
    <row r="8401" spans="1:8" x14ac:dyDescent="0.25">
      <c r="A8401" s="952"/>
      <c r="B8401" s="953"/>
      <c r="C8401" s="953"/>
      <c r="D8401" s="953"/>
      <c r="E8401" s="953"/>
      <c r="F8401" s="953"/>
      <c r="G8401" s="953"/>
      <c r="H8401" s="953"/>
    </row>
    <row r="8402" spans="1:8" x14ac:dyDescent="0.25">
      <c r="A8402" s="952"/>
      <c r="B8402" s="953"/>
      <c r="C8402" s="953"/>
      <c r="D8402" s="953"/>
      <c r="E8402" s="953"/>
      <c r="F8402" s="953"/>
      <c r="G8402" s="953"/>
      <c r="H8402" s="953"/>
    </row>
    <row r="8403" spans="1:8" x14ac:dyDescent="0.25">
      <c r="A8403" s="952"/>
      <c r="B8403" s="953"/>
      <c r="C8403" s="953"/>
      <c r="D8403" s="953"/>
      <c r="E8403" s="953"/>
      <c r="F8403" s="953"/>
      <c r="G8403" s="953"/>
      <c r="H8403" s="953"/>
    </row>
    <row r="8404" spans="1:8" x14ac:dyDescent="0.25">
      <c r="A8404" s="952"/>
      <c r="B8404" s="953"/>
      <c r="C8404" s="953"/>
      <c r="D8404" s="953"/>
      <c r="E8404" s="953"/>
      <c r="F8404" s="953"/>
      <c r="G8404" s="953"/>
      <c r="H8404" s="953"/>
    </row>
    <row r="8405" spans="1:8" x14ac:dyDescent="0.25">
      <c r="A8405" s="952"/>
      <c r="B8405" s="953"/>
      <c r="C8405" s="953"/>
      <c r="D8405" s="953"/>
      <c r="E8405" s="953"/>
      <c r="F8405" s="953"/>
      <c r="G8405" s="953"/>
      <c r="H8405" s="953"/>
    </row>
    <row r="8406" spans="1:8" x14ac:dyDescent="0.25">
      <c r="A8406" s="952"/>
      <c r="B8406" s="953"/>
      <c r="C8406" s="953"/>
      <c r="D8406" s="953"/>
      <c r="E8406" s="953"/>
      <c r="F8406" s="953"/>
      <c r="G8406" s="953"/>
      <c r="H8406" s="953"/>
    </row>
    <row r="8407" spans="1:8" x14ac:dyDescent="0.25">
      <c r="A8407" s="952"/>
      <c r="B8407" s="953"/>
      <c r="C8407" s="953"/>
      <c r="D8407" s="953"/>
      <c r="E8407" s="953"/>
      <c r="F8407" s="953"/>
      <c r="G8407" s="953"/>
      <c r="H8407" s="953"/>
    </row>
    <row r="8408" spans="1:8" x14ac:dyDescent="0.25">
      <c r="A8408" s="952"/>
      <c r="B8408" s="953"/>
      <c r="C8408" s="953"/>
      <c r="D8408" s="953"/>
      <c r="E8408" s="953"/>
      <c r="F8408" s="953"/>
      <c r="G8408" s="953"/>
      <c r="H8408" s="953"/>
    </row>
    <row r="8409" spans="1:8" x14ac:dyDescent="0.25">
      <c r="A8409" s="952"/>
      <c r="B8409" s="953"/>
      <c r="C8409" s="953"/>
      <c r="D8409" s="953"/>
      <c r="E8409" s="953"/>
      <c r="F8409" s="953"/>
      <c r="G8409" s="953"/>
      <c r="H8409" s="953"/>
    </row>
    <row r="8410" spans="1:8" x14ac:dyDescent="0.25">
      <c r="A8410" s="952"/>
      <c r="B8410" s="953"/>
      <c r="C8410" s="953"/>
      <c r="D8410" s="953"/>
      <c r="E8410" s="953"/>
      <c r="F8410" s="953"/>
      <c r="G8410" s="953"/>
      <c r="H8410" s="953"/>
    </row>
    <row r="8411" spans="1:8" x14ac:dyDescent="0.25">
      <c r="A8411" s="952"/>
      <c r="B8411" s="953"/>
      <c r="C8411" s="953"/>
      <c r="D8411" s="953"/>
      <c r="E8411" s="953"/>
      <c r="F8411" s="953"/>
      <c r="G8411" s="953"/>
      <c r="H8411" s="953"/>
    </row>
    <row r="8412" spans="1:8" x14ac:dyDescent="0.25">
      <c r="A8412" s="952"/>
      <c r="B8412" s="953"/>
      <c r="C8412" s="953"/>
      <c r="D8412" s="953"/>
      <c r="E8412" s="953"/>
      <c r="F8412" s="953"/>
      <c r="G8412" s="953"/>
      <c r="H8412" s="953"/>
    </row>
    <row r="8413" spans="1:8" x14ac:dyDescent="0.25">
      <c r="A8413" s="952"/>
      <c r="B8413" s="953"/>
      <c r="C8413" s="953"/>
      <c r="D8413" s="953"/>
      <c r="E8413" s="953"/>
      <c r="F8413" s="953"/>
      <c r="G8413" s="953"/>
      <c r="H8413" s="953"/>
    </row>
    <row r="8414" spans="1:8" x14ac:dyDescent="0.25">
      <c r="A8414" s="952"/>
      <c r="B8414" s="953"/>
      <c r="C8414" s="953"/>
      <c r="D8414" s="953"/>
      <c r="E8414" s="953"/>
      <c r="F8414" s="953"/>
      <c r="G8414" s="953"/>
      <c r="H8414" s="953"/>
    </row>
    <row r="8415" spans="1:8" x14ac:dyDescent="0.25">
      <c r="A8415" s="952"/>
      <c r="B8415" s="953"/>
      <c r="C8415" s="953"/>
      <c r="D8415" s="953"/>
      <c r="E8415" s="953"/>
      <c r="F8415" s="953"/>
      <c r="G8415" s="953"/>
      <c r="H8415" s="953"/>
    </row>
    <row r="8416" spans="1:8" x14ac:dyDescent="0.25">
      <c r="A8416" s="952"/>
      <c r="B8416" s="953"/>
      <c r="C8416" s="953"/>
      <c r="D8416" s="953"/>
      <c r="E8416" s="953"/>
      <c r="F8416" s="953"/>
      <c r="G8416" s="953"/>
      <c r="H8416" s="953"/>
    </row>
    <row r="8417" spans="1:8" x14ac:dyDescent="0.25">
      <c r="A8417" s="952"/>
      <c r="B8417" s="953"/>
      <c r="C8417" s="953"/>
      <c r="D8417" s="953"/>
      <c r="E8417" s="953"/>
      <c r="F8417" s="953"/>
      <c r="G8417" s="953"/>
      <c r="H8417" s="953"/>
    </row>
    <row r="8418" spans="1:8" x14ac:dyDescent="0.25">
      <c r="A8418" s="952"/>
      <c r="B8418" s="953"/>
      <c r="C8418" s="953"/>
      <c r="D8418" s="953"/>
      <c r="E8418" s="953"/>
      <c r="F8418" s="953"/>
      <c r="G8418" s="953"/>
      <c r="H8418" s="953"/>
    </row>
    <row r="8419" spans="1:8" x14ac:dyDescent="0.25">
      <c r="A8419" s="952"/>
      <c r="B8419" s="953"/>
      <c r="C8419" s="953"/>
      <c r="D8419" s="953"/>
      <c r="E8419" s="953"/>
      <c r="F8419" s="953"/>
      <c r="G8419" s="953"/>
      <c r="H8419" s="953"/>
    </row>
    <row r="8420" spans="1:8" x14ac:dyDescent="0.25">
      <c r="A8420" s="952"/>
      <c r="B8420" s="953"/>
      <c r="C8420" s="953"/>
      <c r="D8420" s="953"/>
      <c r="E8420" s="953"/>
      <c r="F8420" s="953"/>
      <c r="G8420" s="953"/>
      <c r="H8420" s="953"/>
    </row>
    <row r="8421" spans="1:8" x14ac:dyDescent="0.25">
      <c r="A8421" s="952"/>
      <c r="B8421" s="953"/>
      <c r="C8421" s="953"/>
      <c r="D8421" s="953"/>
      <c r="E8421" s="953"/>
      <c r="F8421" s="953"/>
      <c r="G8421" s="953"/>
      <c r="H8421" s="953"/>
    </row>
    <row r="8422" spans="1:8" x14ac:dyDescent="0.25">
      <c r="A8422" s="952"/>
      <c r="B8422" s="953"/>
      <c r="C8422" s="953"/>
      <c r="D8422" s="953"/>
      <c r="E8422" s="953"/>
      <c r="F8422" s="953"/>
      <c r="G8422" s="953"/>
      <c r="H8422" s="953"/>
    </row>
    <row r="8423" spans="1:8" x14ac:dyDescent="0.25">
      <c r="A8423" s="952"/>
      <c r="B8423" s="953"/>
      <c r="C8423" s="953"/>
      <c r="D8423" s="953"/>
      <c r="E8423" s="953"/>
      <c r="F8423" s="953"/>
      <c r="G8423" s="953"/>
      <c r="H8423" s="953"/>
    </row>
    <row r="8424" spans="1:8" x14ac:dyDescent="0.25">
      <c r="A8424" s="952"/>
      <c r="B8424" s="953"/>
      <c r="C8424" s="953"/>
      <c r="D8424" s="953"/>
      <c r="E8424" s="953"/>
      <c r="F8424" s="953"/>
      <c r="G8424" s="953"/>
      <c r="H8424" s="953"/>
    </row>
    <row r="8425" spans="1:8" x14ac:dyDescent="0.25">
      <c r="A8425" s="952"/>
      <c r="B8425" s="953"/>
      <c r="C8425" s="953"/>
      <c r="D8425" s="953"/>
      <c r="E8425" s="953"/>
      <c r="F8425" s="953"/>
      <c r="G8425" s="953"/>
      <c r="H8425" s="953"/>
    </row>
    <row r="8426" spans="1:8" x14ac:dyDescent="0.25">
      <c r="A8426" s="952"/>
      <c r="B8426" s="953"/>
      <c r="C8426" s="953"/>
      <c r="D8426" s="953"/>
      <c r="E8426" s="953"/>
      <c r="F8426" s="953"/>
      <c r="G8426" s="953"/>
      <c r="H8426" s="953"/>
    </row>
    <row r="8427" spans="1:8" x14ac:dyDescent="0.25">
      <c r="A8427" s="952"/>
      <c r="B8427" s="953"/>
      <c r="C8427" s="953"/>
      <c r="D8427" s="953"/>
      <c r="E8427" s="953"/>
      <c r="F8427" s="953"/>
      <c r="G8427" s="953"/>
      <c r="H8427" s="953"/>
    </row>
    <row r="8428" spans="1:8" x14ac:dyDescent="0.25">
      <c r="A8428" s="952"/>
      <c r="B8428" s="953"/>
      <c r="C8428" s="953"/>
      <c r="D8428" s="953"/>
      <c r="E8428" s="953"/>
      <c r="F8428" s="953"/>
      <c r="G8428" s="953"/>
      <c r="H8428" s="953"/>
    </row>
    <row r="8429" spans="1:8" x14ac:dyDescent="0.25">
      <c r="A8429" s="952"/>
      <c r="B8429" s="953"/>
      <c r="C8429" s="953"/>
      <c r="D8429" s="953"/>
      <c r="E8429" s="953"/>
      <c r="F8429" s="953"/>
      <c r="G8429" s="953"/>
      <c r="H8429" s="953"/>
    </row>
    <row r="8430" spans="1:8" x14ac:dyDescent="0.25">
      <c r="A8430" s="952"/>
      <c r="B8430" s="953"/>
      <c r="C8430" s="953"/>
      <c r="D8430" s="953"/>
      <c r="E8430" s="953"/>
      <c r="F8430" s="953"/>
      <c r="G8430" s="953"/>
      <c r="H8430" s="953"/>
    </row>
    <row r="8431" spans="1:8" x14ac:dyDescent="0.25">
      <c r="A8431" s="952"/>
      <c r="B8431" s="953"/>
      <c r="C8431" s="953"/>
      <c r="D8431" s="953"/>
      <c r="E8431" s="953"/>
      <c r="F8431" s="953"/>
      <c r="G8431" s="953"/>
      <c r="H8431" s="953"/>
    </row>
    <row r="8432" spans="1:8" x14ac:dyDescent="0.25">
      <c r="A8432" s="952"/>
      <c r="B8432" s="953"/>
      <c r="C8432" s="953"/>
      <c r="D8432" s="953"/>
      <c r="E8432" s="953"/>
      <c r="F8432" s="953"/>
      <c r="G8432" s="953"/>
      <c r="H8432" s="953"/>
    </row>
    <row r="8433" spans="1:8" x14ac:dyDescent="0.25">
      <c r="A8433" s="952"/>
      <c r="B8433" s="953"/>
      <c r="C8433" s="953"/>
      <c r="D8433" s="953"/>
      <c r="E8433" s="953"/>
      <c r="F8433" s="953"/>
      <c r="G8433" s="953"/>
      <c r="H8433" s="953"/>
    </row>
    <row r="8434" spans="1:8" x14ac:dyDescent="0.25">
      <c r="A8434" s="952"/>
      <c r="B8434" s="953"/>
      <c r="C8434" s="953"/>
      <c r="D8434" s="953"/>
      <c r="E8434" s="953"/>
      <c r="F8434" s="953"/>
      <c r="G8434" s="953"/>
      <c r="H8434" s="953"/>
    </row>
    <row r="8435" spans="1:8" x14ac:dyDescent="0.25">
      <c r="A8435" s="952"/>
      <c r="B8435" s="953"/>
      <c r="C8435" s="953"/>
      <c r="D8435" s="953"/>
      <c r="E8435" s="953"/>
      <c r="F8435" s="953"/>
      <c r="G8435" s="953"/>
      <c r="H8435" s="953"/>
    </row>
    <row r="8436" spans="1:8" x14ac:dyDescent="0.25">
      <c r="A8436" s="952"/>
      <c r="B8436" s="953"/>
      <c r="C8436" s="953"/>
      <c r="D8436" s="953"/>
      <c r="E8436" s="953"/>
      <c r="F8436" s="953"/>
      <c r="G8436" s="953"/>
      <c r="H8436" s="953"/>
    </row>
    <row r="8437" spans="1:8" x14ac:dyDescent="0.25">
      <c r="A8437" s="952"/>
      <c r="B8437" s="953"/>
      <c r="C8437" s="953"/>
      <c r="D8437" s="953"/>
      <c r="E8437" s="953"/>
      <c r="F8437" s="953"/>
      <c r="G8437" s="953"/>
      <c r="H8437" s="953"/>
    </row>
    <row r="8438" spans="1:8" x14ac:dyDescent="0.25">
      <c r="A8438" s="952"/>
      <c r="B8438" s="953"/>
      <c r="C8438" s="953"/>
      <c r="D8438" s="953"/>
      <c r="E8438" s="953"/>
      <c r="F8438" s="953"/>
      <c r="G8438" s="953"/>
      <c r="H8438" s="953"/>
    </row>
    <row r="8439" spans="1:8" x14ac:dyDescent="0.25">
      <c r="A8439" s="952"/>
      <c r="B8439" s="953"/>
      <c r="C8439" s="953"/>
      <c r="D8439" s="953"/>
      <c r="E8439" s="953"/>
      <c r="F8439" s="953"/>
      <c r="G8439" s="953"/>
      <c r="H8439" s="953"/>
    </row>
    <row r="8440" spans="1:8" x14ac:dyDescent="0.25">
      <c r="A8440" s="952"/>
      <c r="B8440" s="953"/>
      <c r="C8440" s="953"/>
      <c r="D8440" s="953"/>
      <c r="E8440" s="953"/>
      <c r="F8440" s="953"/>
      <c r="G8440" s="953"/>
      <c r="H8440" s="953"/>
    </row>
    <row r="8441" spans="1:8" x14ac:dyDescent="0.25">
      <c r="A8441" s="952"/>
      <c r="B8441" s="953"/>
      <c r="C8441" s="953"/>
      <c r="D8441" s="953"/>
      <c r="E8441" s="953"/>
      <c r="F8441" s="953"/>
      <c r="G8441" s="953"/>
      <c r="H8441" s="953"/>
    </row>
    <row r="8442" spans="1:8" x14ac:dyDescent="0.25">
      <c r="A8442" s="952"/>
      <c r="B8442" s="953"/>
      <c r="C8442" s="953"/>
      <c r="D8442" s="953"/>
      <c r="E8442" s="953"/>
      <c r="F8442" s="953"/>
      <c r="G8442" s="953"/>
      <c r="H8442" s="953"/>
    </row>
    <row r="8443" spans="1:8" x14ac:dyDescent="0.25">
      <c r="A8443" s="952"/>
      <c r="B8443" s="953"/>
      <c r="C8443" s="953"/>
      <c r="D8443" s="953"/>
      <c r="E8443" s="953"/>
      <c r="F8443" s="953"/>
      <c r="G8443" s="953"/>
      <c r="H8443" s="953"/>
    </row>
    <row r="8444" spans="1:8" x14ac:dyDescent="0.25">
      <c r="A8444" s="952"/>
      <c r="B8444" s="953"/>
      <c r="C8444" s="953"/>
      <c r="D8444" s="953"/>
      <c r="E8444" s="953"/>
      <c r="F8444" s="953"/>
      <c r="G8444" s="953"/>
      <c r="H8444" s="953"/>
    </row>
    <row r="8445" spans="1:8" x14ac:dyDescent="0.25">
      <c r="A8445" s="952"/>
      <c r="B8445" s="953"/>
      <c r="C8445" s="953"/>
      <c r="D8445" s="953"/>
      <c r="E8445" s="953"/>
      <c r="F8445" s="953"/>
      <c r="G8445" s="953"/>
      <c r="H8445" s="953"/>
    </row>
    <row r="8446" spans="1:8" x14ac:dyDescent="0.25">
      <c r="A8446" s="952"/>
      <c r="B8446" s="953"/>
      <c r="C8446" s="953"/>
      <c r="D8446" s="953"/>
      <c r="E8446" s="953"/>
      <c r="F8446" s="953"/>
      <c r="G8446" s="953"/>
      <c r="H8446" s="953"/>
    </row>
    <row r="8447" spans="1:8" x14ac:dyDescent="0.25">
      <c r="A8447" s="952"/>
      <c r="B8447" s="953"/>
      <c r="C8447" s="953"/>
      <c r="D8447" s="953"/>
      <c r="E8447" s="953"/>
      <c r="F8447" s="953"/>
      <c r="G8447" s="953"/>
      <c r="H8447" s="953"/>
    </row>
    <row r="8448" spans="1:8" x14ac:dyDescent="0.25">
      <c r="A8448" s="952"/>
      <c r="B8448" s="953"/>
      <c r="C8448" s="953"/>
      <c r="D8448" s="953"/>
      <c r="E8448" s="953"/>
      <c r="F8448" s="953"/>
      <c r="G8448" s="953"/>
      <c r="H8448" s="953"/>
    </row>
    <row r="8449" spans="1:8" x14ac:dyDescent="0.25">
      <c r="A8449" s="952"/>
      <c r="B8449" s="953"/>
      <c r="C8449" s="953"/>
      <c r="D8449" s="953"/>
      <c r="E8449" s="953"/>
      <c r="F8449" s="953"/>
      <c r="G8449" s="953"/>
      <c r="H8449" s="953"/>
    </row>
    <row r="8450" spans="1:8" x14ac:dyDescent="0.25">
      <c r="A8450" s="952"/>
      <c r="B8450" s="953"/>
      <c r="C8450" s="953"/>
      <c r="D8450" s="953"/>
      <c r="E8450" s="953"/>
      <c r="F8450" s="953"/>
      <c r="G8450" s="953"/>
      <c r="H8450" s="953"/>
    </row>
    <row r="8451" spans="1:8" x14ac:dyDescent="0.25">
      <c r="A8451" s="952"/>
      <c r="B8451" s="953"/>
      <c r="C8451" s="953"/>
      <c r="D8451" s="953"/>
      <c r="E8451" s="953"/>
      <c r="F8451" s="953"/>
      <c r="G8451" s="953"/>
      <c r="H8451" s="953"/>
    </row>
    <row r="8452" spans="1:8" x14ac:dyDescent="0.25">
      <c r="A8452" s="952"/>
      <c r="B8452" s="953"/>
      <c r="C8452" s="953"/>
      <c r="D8452" s="953"/>
      <c r="E8452" s="953"/>
      <c r="F8452" s="953"/>
      <c r="G8452" s="953"/>
      <c r="H8452" s="953"/>
    </row>
    <row r="8453" spans="1:8" x14ac:dyDescent="0.25">
      <c r="A8453" s="952"/>
      <c r="B8453" s="953"/>
      <c r="C8453" s="953"/>
      <c r="D8453" s="953"/>
      <c r="E8453" s="953"/>
      <c r="F8453" s="953"/>
      <c r="G8453" s="953"/>
      <c r="H8453" s="953"/>
    </row>
    <row r="8454" spans="1:8" x14ac:dyDescent="0.25">
      <c r="A8454" s="952"/>
      <c r="B8454" s="953"/>
      <c r="C8454" s="953"/>
      <c r="D8454" s="953"/>
      <c r="E8454" s="953"/>
      <c r="F8454" s="953"/>
      <c r="G8454" s="953"/>
      <c r="H8454" s="953"/>
    </row>
    <row r="8455" spans="1:8" x14ac:dyDescent="0.25">
      <c r="A8455" s="952"/>
      <c r="B8455" s="953"/>
      <c r="C8455" s="953"/>
      <c r="D8455" s="953"/>
      <c r="E8455" s="953"/>
      <c r="F8455" s="953"/>
      <c r="G8455" s="953"/>
      <c r="H8455" s="953"/>
    </row>
    <row r="8456" spans="1:8" x14ac:dyDescent="0.25">
      <c r="A8456" s="952"/>
      <c r="B8456" s="953"/>
      <c r="C8456" s="953"/>
      <c r="D8456" s="953"/>
      <c r="E8456" s="953"/>
      <c r="F8456" s="953"/>
      <c r="G8456" s="953"/>
      <c r="H8456" s="953"/>
    </row>
    <row r="8457" spans="1:8" x14ac:dyDescent="0.25">
      <c r="A8457" s="952"/>
      <c r="B8457" s="953"/>
      <c r="C8457" s="953"/>
      <c r="D8457" s="953"/>
      <c r="E8457" s="953"/>
      <c r="F8457" s="953"/>
      <c r="G8457" s="953"/>
      <c r="H8457" s="953"/>
    </row>
    <row r="8458" spans="1:8" x14ac:dyDescent="0.25">
      <c r="A8458" s="952"/>
      <c r="B8458" s="953"/>
      <c r="C8458" s="953"/>
      <c r="D8458" s="953"/>
      <c r="E8458" s="953"/>
      <c r="F8458" s="953"/>
      <c r="G8458" s="953"/>
      <c r="H8458" s="953"/>
    </row>
    <row r="8459" spans="1:8" x14ac:dyDescent="0.25">
      <c r="A8459" s="952"/>
      <c r="B8459" s="953"/>
      <c r="C8459" s="953"/>
      <c r="D8459" s="953"/>
      <c r="E8459" s="953"/>
      <c r="F8459" s="953"/>
      <c r="G8459" s="953"/>
      <c r="H8459" s="953"/>
    </row>
    <row r="8460" spans="1:8" x14ac:dyDescent="0.25">
      <c r="A8460" s="952"/>
      <c r="B8460" s="953"/>
      <c r="C8460" s="953"/>
      <c r="D8460" s="953"/>
      <c r="E8460" s="953"/>
      <c r="F8460" s="953"/>
      <c r="G8460" s="953"/>
      <c r="H8460" s="953"/>
    </row>
    <row r="8461" spans="1:8" x14ac:dyDescent="0.25">
      <c r="A8461" s="952"/>
      <c r="B8461" s="953"/>
      <c r="C8461" s="953"/>
      <c r="D8461" s="953"/>
      <c r="E8461" s="953"/>
      <c r="F8461" s="953"/>
      <c r="G8461" s="953"/>
      <c r="H8461" s="953"/>
    </row>
    <row r="8462" spans="1:8" x14ac:dyDescent="0.25">
      <c r="A8462" s="952"/>
      <c r="B8462" s="953"/>
      <c r="C8462" s="953"/>
      <c r="D8462" s="953"/>
      <c r="E8462" s="953"/>
      <c r="F8462" s="953"/>
      <c r="G8462" s="953"/>
      <c r="H8462" s="953"/>
    </row>
    <row r="8463" spans="1:8" x14ac:dyDescent="0.25">
      <c r="A8463" s="952"/>
      <c r="B8463" s="953"/>
      <c r="C8463" s="953"/>
      <c r="D8463" s="953"/>
      <c r="E8463" s="953"/>
      <c r="F8463" s="953"/>
      <c r="G8463" s="953"/>
      <c r="H8463" s="953"/>
    </row>
    <row r="8464" spans="1:8" x14ac:dyDescent="0.25">
      <c r="A8464" s="952"/>
      <c r="B8464" s="953"/>
      <c r="C8464" s="953"/>
      <c r="D8464" s="953"/>
      <c r="E8464" s="953"/>
      <c r="F8464" s="953"/>
      <c r="G8464" s="953"/>
      <c r="H8464" s="953"/>
    </row>
    <row r="8465" spans="1:8" x14ac:dyDescent="0.25">
      <c r="A8465" s="952"/>
      <c r="B8465" s="953"/>
      <c r="C8465" s="953"/>
      <c r="D8465" s="953"/>
      <c r="E8465" s="953"/>
      <c r="F8465" s="953"/>
      <c r="G8465" s="953"/>
      <c r="H8465" s="953"/>
    </row>
    <row r="8466" spans="1:8" x14ac:dyDescent="0.25">
      <c r="A8466" s="952"/>
      <c r="B8466" s="953"/>
      <c r="C8466" s="953"/>
      <c r="D8466" s="953"/>
      <c r="E8466" s="953"/>
      <c r="F8466" s="953"/>
      <c r="G8466" s="953"/>
      <c r="H8466" s="953"/>
    </row>
    <row r="8467" spans="1:8" x14ac:dyDescent="0.25">
      <c r="A8467" s="952"/>
      <c r="B8467" s="953"/>
      <c r="C8467" s="953"/>
      <c r="D8467" s="953"/>
      <c r="E8467" s="953"/>
      <c r="F8467" s="953"/>
      <c r="G8467" s="953"/>
      <c r="H8467" s="953"/>
    </row>
    <row r="8468" spans="1:8" x14ac:dyDescent="0.25">
      <c r="A8468" s="952"/>
      <c r="B8468" s="953"/>
      <c r="C8468" s="953"/>
      <c r="D8468" s="953"/>
      <c r="E8468" s="953"/>
      <c r="F8468" s="953"/>
      <c r="G8468" s="953"/>
      <c r="H8468" s="953"/>
    </row>
    <row r="8469" spans="1:8" x14ac:dyDescent="0.25">
      <c r="A8469" s="952"/>
      <c r="B8469" s="953"/>
      <c r="C8469" s="953"/>
      <c r="D8469" s="953"/>
      <c r="E8469" s="953"/>
      <c r="F8469" s="953"/>
      <c r="G8469" s="953"/>
      <c r="H8469" s="953"/>
    </row>
    <row r="8470" spans="1:8" x14ac:dyDescent="0.25">
      <c r="A8470" s="952"/>
      <c r="B8470" s="953"/>
      <c r="C8470" s="953"/>
      <c r="D8470" s="953"/>
      <c r="E8470" s="953"/>
      <c r="F8470" s="953"/>
      <c r="G8470" s="953"/>
      <c r="H8470" s="953"/>
    </row>
    <row r="8471" spans="1:8" x14ac:dyDescent="0.25">
      <c r="A8471" s="952"/>
      <c r="B8471" s="953"/>
      <c r="C8471" s="953"/>
      <c r="D8471" s="953"/>
      <c r="E8471" s="953"/>
      <c r="F8471" s="953"/>
      <c r="G8471" s="953"/>
      <c r="H8471" s="953"/>
    </row>
    <row r="8472" spans="1:8" x14ac:dyDescent="0.25">
      <c r="A8472" s="952"/>
      <c r="B8472" s="953"/>
      <c r="C8472" s="953"/>
      <c r="D8472" s="953"/>
      <c r="E8472" s="953"/>
      <c r="F8472" s="953"/>
      <c r="G8472" s="953"/>
      <c r="H8472" s="953"/>
    </row>
    <row r="8473" spans="1:8" x14ac:dyDescent="0.25">
      <c r="A8473" s="952"/>
      <c r="B8473" s="953"/>
      <c r="C8473" s="953"/>
      <c r="D8473" s="953"/>
      <c r="E8473" s="953"/>
      <c r="F8473" s="953"/>
      <c r="G8473" s="953"/>
      <c r="H8473" s="953"/>
    </row>
    <row r="8474" spans="1:8" x14ac:dyDescent="0.25">
      <c r="A8474" s="952"/>
      <c r="B8474" s="953"/>
      <c r="C8474" s="953"/>
      <c r="D8474" s="953"/>
      <c r="E8474" s="953"/>
      <c r="F8474" s="953"/>
      <c r="G8474" s="953"/>
      <c r="H8474" s="953"/>
    </row>
    <row r="8475" spans="1:8" x14ac:dyDescent="0.25">
      <c r="A8475" s="952"/>
      <c r="B8475" s="953"/>
      <c r="C8475" s="953"/>
      <c r="D8475" s="953"/>
      <c r="E8475" s="953"/>
      <c r="F8475" s="953"/>
      <c r="G8475" s="953"/>
      <c r="H8475" s="953"/>
    </row>
    <row r="8476" spans="1:8" x14ac:dyDescent="0.25">
      <c r="A8476" s="952"/>
      <c r="B8476" s="953"/>
      <c r="C8476" s="953"/>
      <c r="D8476" s="953"/>
      <c r="E8476" s="953"/>
      <c r="F8476" s="953"/>
      <c r="G8476" s="953"/>
      <c r="H8476" s="953"/>
    </row>
    <row r="8477" spans="1:8" x14ac:dyDescent="0.25">
      <c r="A8477" s="952"/>
      <c r="B8477" s="953"/>
      <c r="C8477" s="953"/>
      <c r="D8477" s="953"/>
      <c r="E8477" s="953"/>
      <c r="F8477" s="953"/>
      <c r="G8477" s="953"/>
      <c r="H8477" s="953"/>
    </row>
    <row r="8478" spans="1:8" x14ac:dyDescent="0.25">
      <c r="A8478" s="952"/>
      <c r="B8478" s="953"/>
      <c r="C8478" s="953"/>
      <c r="D8478" s="953"/>
      <c r="E8478" s="953"/>
      <c r="F8478" s="953"/>
      <c r="G8478" s="953"/>
      <c r="H8478" s="953"/>
    </row>
    <row r="8479" spans="1:8" x14ac:dyDescent="0.25">
      <c r="A8479" s="952"/>
      <c r="B8479" s="953"/>
      <c r="C8479" s="953"/>
      <c r="D8479" s="953"/>
      <c r="E8479" s="953"/>
      <c r="F8479" s="953"/>
      <c r="G8479" s="953"/>
      <c r="H8479" s="953"/>
    </row>
    <row r="8480" spans="1:8" x14ac:dyDescent="0.25">
      <c r="A8480" s="952"/>
      <c r="B8480" s="953"/>
      <c r="C8480" s="953"/>
      <c r="D8480" s="953"/>
      <c r="E8480" s="953"/>
      <c r="F8480" s="953"/>
      <c r="G8480" s="953"/>
      <c r="H8480" s="953"/>
    </row>
    <row r="8481" spans="1:8" x14ac:dyDescent="0.25">
      <c r="A8481" s="952"/>
      <c r="B8481" s="953"/>
      <c r="C8481" s="953"/>
      <c r="D8481" s="953"/>
      <c r="E8481" s="953"/>
      <c r="F8481" s="953"/>
      <c r="G8481" s="953"/>
      <c r="H8481" s="953"/>
    </row>
    <row r="8482" spans="1:8" x14ac:dyDescent="0.25">
      <c r="A8482" s="952"/>
      <c r="B8482" s="953"/>
      <c r="C8482" s="953"/>
      <c r="D8482" s="953"/>
      <c r="E8482" s="953"/>
      <c r="F8482" s="953"/>
      <c r="G8482" s="953"/>
      <c r="H8482" s="953"/>
    </row>
    <row r="8483" spans="1:8" x14ac:dyDescent="0.25">
      <c r="A8483" s="952"/>
      <c r="B8483" s="953"/>
      <c r="C8483" s="953"/>
      <c r="D8483" s="953"/>
      <c r="E8483" s="953"/>
      <c r="F8483" s="953"/>
      <c r="G8483" s="953"/>
      <c r="H8483" s="953"/>
    </row>
    <row r="8484" spans="1:8" x14ac:dyDescent="0.25">
      <c r="A8484" s="952"/>
      <c r="B8484" s="953"/>
      <c r="C8484" s="953"/>
      <c r="D8484" s="953"/>
      <c r="E8484" s="953"/>
      <c r="F8484" s="953"/>
      <c r="G8484" s="953"/>
      <c r="H8484" s="953"/>
    </row>
    <row r="8485" spans="1:8" x14ac:dyDescent="0.25">
      <c r="A8485" s="952"/>
      <c r="B8485" s="953"/>
      <c r="C8485" s="953"/>
      <c r="D8485" s="953"/>
      <c r="E8485" s="953"/>
      <c r="F8485" s="953"/>
      <c r="G8485" s="953"/>
      <c r="H8485" s="953"/>
    </row>
    <row r="8486" spans="1:8" x14ac:dyDescent="0.25">
      <c r="A8486" s="952"/>
      <c r="B8486" s="953"/>
      <c r="C8486" s="953"/>
      <c r="D8486" s="953"/>
      <c r="E8486" s="953"/>
      <c r="F8486" s="953"/>
      <c r="G8486" s="953"/>
      <c r="H8486" s="953"/>
    </row>
    <row r="8487" spans="1:8" x14ac:dyDescent="0.25">
      <c r="A8487" s="952"/>
      <c r="B8487" s="953"/>
      <c r="C8487" s="953"/>
      <c r="D8487" s="953"/>
      <c r="E8487" s="953"/>
      <c r="F8487" s="953"/>
      <c r="G8487" s="953"/>
      <c r="H8487" s="953"/>
    </row>
    <row r="8488" spans="1:8" x14ac:dyDescent="0.25">
      <c r="A8488" s="952"/>
      <c r="B8488" s="953"/>
      <c r="C8488" s="953"/>
      <c r="D8488" s="953"/>
      <c r="E8488" s="953"/>
      <c r="F8488" s="953"/>
      <c r="G8488" s="953"/>
      <c r="H8488" s="953"/>
    </row>
    <row r="8489" spans="1:8" x14ac:dyDescent="0.25">
      <c r="A8489" s="952"/>
      <c r="B8489" s="953"/>
      <c r="C8489" s="953"/>
      <c r="D8489" s="953"/>
      <c r="E8489" s="953"/>
      <c r="F8489" s="953"/>
      <c r="G8489" s="953"/>
      <c r="H8489" s="953"/>
    </row>
    <row r="8490" spans="1:8" x14ac:dyDescent="0.25">
      <c r="A8490" s="952"/>
      <c r="B8490" s="953"/>
      <c r="C8490" s="953"/>
      <c r="D8490" s="953"/>
      <c r="E8490" s="953"/>
      <c r="F8490" s="953"/>
      <c r="G8490" s="953"/>
      <c r="H8490" s="953"/>
    </row>
    <row r="8491" spans="1:8" x14ac:dyDescent="0.25">
      <c r="A8491" s="952"/>
      <c r="B8491" s="953"/>
      <c r="C8491" s="953"/>
      <c r="D8491" s="953"/>
      <c r="E8491" s="953"/>
      <c r="F8491" s="953"/>
      <c r="G8491" s="953"/>
      <c r="H8491" s="953"/>
    </row>
    <row r="8492" spans="1:8" x14ac:dyDescent="0.25">
      <c r="A8492" s="952"/>
      <c r="B8492" s="953"/>
      <c r="C8492" s="953"/>
      <c r="D8492" s="953"/>
      <c r="E8492" s="953"/>
      <c r="F8492" s="953"/>
      <c r="G8492" s="953"/>
      <c r="H8492" s="953"/>
    </row>
    <row r="8493" spans="1:8" x14ac:dyDescent="0.25">
      <c r="A8493" s="952"/>
      <c r="B8493" s="953"/>
      <c r="C8493" s="953"/>
      <c r="D8493" s="953"/>
      <c r="E8493" s="953"/>
      <c r="F8493" s="953"/>
      <c r="G8493" s="953"/>
      <c r="H8493" s="953"/>
    </row>
    <row r="8494" spans="1:8" x14ac:dyDescent="0.25">
      <c r="A8494" s="952"/>
      <c r="B8494" s="953"/>
      <c r="C8494" s="953"/>
      <c r="D8494" s="953"/>
      <c r="E8494" s="953"/>
      <c r="F8494" s="953"/>
      <c r="G8494" s="953"/>
      <c r="H8494" s="953"/>
    </row>
    <row r="8495" spans="1:8" x14ac:dyDescent="0.25">
      <c r="A8495" s="952"/>
      <c r="B8495" s="953"/>
      <c r="C8495" s="953"/>
      <c r="D8495" s="953"/>
      <c r="E8495" s="953"/>
      <c r="F8495" s="953"/>
      <c r="G8495" s="953"/>
      <c r="H8495" s="953"/>
    </row>
    <row r="8496" spans="1:8" x14ac:dyDescent="0.25">
      <c r="A8496" s="952"/>
      <c r="B8496" s="953"/>
      <c r="C8496" s="953"/>
      <c r="D8496" s="953"/>
      <c r="E8496" s="953"/>
      <c r="F8496" s="953"/>
      <c r="G8496" s="953"/>
      <c r="H8496" s="953"/>
    </row>
    <row r="8497" spans="1:8" x14ac:dyDescent="0.25">
      <c r="A8497" s="952"/>
      <c r="B8497" s="953"/>
      <c r="C8497" s="953"/>
      <c r="D8497" s="953"/>
      <c r="E8497" s="953"/>
      <c r="F8497" s="953"/>
      <c r="G8497" s="953"/>
      <c r="H8497" s="953"/>
    </row>
    <row r="8498" spans="1:8" x14ac:dyDescent="0.25">
      <c r="A8498" s="952"/>
      <c r="B8498" s="953"/>
      <c r="C8498" s="953"/>
      <c r="D8498" s="953"/>
      <c r="E8498" s="953"/>
      <c r="F8498" s="953"/>
      <c r="G8498" s="953"/>
      <c r="H8498" s="953"/>
    </row>
    <row r="8499" spans="1:8" x14ac:dyDescent="0.25">
      <c r="A8499" s="952"/>
      <c r="B8499" s="953"/>
      <c r="C8499" s="953"/>
      <c r="D8499" s="953"/>
      <c r="E8499" s="953"/>
      <c r="F8499" s="953"/>
      <c r="G8499" s="953"/>
      <c r="H8499" s="953"/>
    </row>
    <row r="8500" spans="1:8" x14ac:dyDescent="0.25">
      <c r="A8500" s="952"/>
      <c r="B8500" s="953"/>
      <c r="C8500" s="953"/>
      <c r="D8500" s="953"/>
      <c r="E8500" s="953"/>
      <c r="F8500" s="953"/>
      <c r="G8500" s="953"/>
      <c r="H8500" s="953"/>
    </row>
    <row r="8501" spans="1:8" x14ac:dyDescent="0.25">
      <c r="A8501" s="952"/>
      <c r="B8501" s="953"/>
      <c r="C8501" s="953"/>
      <c r="D8501" s="953"/>
      <c r="E8501" s="953"/>
      <c r="F8501" s="953"/>
      <c r="G8501" s="953"/>
      <c r="H8501" s="953"/>
    </row>
    <row r="8502" spans="1:8" x14ac:dyDescent="0.25">
      <c r="A8502" s="952"/>
      <c r="B8502" s="953"/>
      <c r="C8502" s="953"/>
      <c r="D8502" s="953"/>
      <c r="E8502" s="953"/>
      <c r="F8502" s="953"/>
      <c r="G8502" s="953"/>
      <c r="H8502" s="953"/>
    </row>
    <row r="8503" spans="1:8" x14ac:dyDescent="0.25">
      <c r="A8503" s="952"/>
      <c r="B8503" s="953"/>
      <c r="C8503" s="953"/>
      <c r="D8503" s="953"/>
      <c r="E8503" s="953"/>
      <c r="F8503" s="953"/>
      <c r="G8503" s="953"/>
      <c r="H8503" s="953"/>
    </row>
    <row r="8504" spans="1:8" x14ac:dyDescent="0.25">
      <c r="A8504" s="952"/>
      <c r="B8504" s="953"/>
      <c r="C8504" s="953"/>
      <c r="D8504" s="953"/>
      <c r="E8504" s="953"/>
      <c r="F8504" s="953"/>
      <c r="G8504" s="953"/>
      <c r="H8504" s="953"/>
    </row>
    <row r="8505" spans="1:8" x14ac:dyDescent="0.25">
      <c r="A8505" s="952"/>
      <c r="B8505" s="953"/>
      <c r="C8505" s="953"/>
      <c r="D8505" s="953"/>
      <c r="E8505" s="953"/>
      <c r="F8505" s="953"/>
      <c r="G8505" s="953"/>
      <c r="H8505" s="953"/>
    </row>
    <row r="8506" spans="1:8" x14ac:dyDescent="0.25">
      <c r="A8506" s="952"/>
      <c r="B8506" s="953"/>
      <c r="C8506" s="953"/>
      <c r="D8506" s="953"/>
      <c r="E8506" s="953"/>
      <c r="F8506" s="953"/>
      <c r="G8506" s="953"/>
      <c r="H8506" s="953"/>
    </row>
    <row r="8507" spans="1:8" x14ac:dyDescent="0.25">
      <c r="A8507" s="952"/>
      <c r="B8507" s="953"/>
      <c r="C8507" s="953"/>
      <c r="D8507" s="953"/>
      <c r="E8507" s="953"/>
      <c r="F8507" s="953"/>
      <c r="G8507" s="953"/>
      <c r="H8507" s="953"/>
    </row>
    <row r="8508" spans="1:8" x14ac:dyDescent="0.25">
      <c r="A8508" s="952"/>
      <c r="B8508" s="953"/>
      <c r="C8508" s="953"/>
      <c r="D8508" s="953"/>
      <c r="E8508" s="953"/>
      <c r="F8508" s="953"/>
      <c r="G8508" s="953"/>
      <c r="H8508" s="953"/>
    </row>
    <row r="8509" spans="1:8" x14ac:dyDescent="0.25">
      <c r="A8509" s="952"/>
      <c r="B8509" s="953"/>
      <c r="C8509" s="953"/>
      <c r="D8509" s="953"/>
      <c r="E8509" s="953"/>
      <c r="F8509" s="953"/>
      <c r="G8509" s="953"/>
      <c r="H8509" s="953"/>
    </row>
    <row r="8510" spans="1:8" x14ac:dyDescent="0.25">
      <c r="A8510" s="952"/>
      <c r="B8510" s="953"/>
      <c r="C8510" s="953"/>
      <c r="D8510" s="953"/>
      <c r="E8510" s="953"/>
      <c r="F8510" s="953"/>
      <c r="G8510" s="953"/>
      <c r="H8510" s="953"/>
    </row>
    <row r="8511" spans="1:8" x14ac:dyDescent="0.25">
      <c r="A8511" s="952"/>
      <c r="B8511" s="953"/>
      <c r="C8511" s="953"/>
      <c r="D8511" s="953"/>
      <c r="E8511" s="953"/>
      <c r="F8511" s="953"/>
      <c r="G8511" s="953"/>
      <c r="H8511" s="953"/>
    </row>
    <row r="8512" spans="1:8" x14ac:dyDescent="0.25">
      <c r="A8512" s="952"/>
      <c r="B8512" s="953"/>
      <c r="C8512" s="953"/>
      <c r="D8512" s="953"/>
      <c r="E8512" s="953"/>
      <c r="F8512" s="953"/>
      <c r="G8512" s="953"/>
      <c r="H8512" s="953"/>
    </row>
    <row r="8513" spans="1:8" x14ac:dyDescent="0.25">
      <c r="A8513" s="952"/>
      <c r="B8513" s="953"/>
      <c r="C8513" s="953"/>
      <c r="D8513" s="953"/>
      <c r="E8513" s="953"/>
      <c r="F8513" s="953"/>
      <c r="G8513" s="953"/>
      <c r="H8513" s="953"/>
    </row>
    <row r="8514" spans="1:8" x14ac:dyDescent="0.25">
      <c r="A8514" s="952"/>
      <c r="B8514" s="953"/>
      <c r="C8514" s="953"/>
      <c r="D8514" s="953"/>
      <c r="E8514" s="953"/>
      <c r="F8514" s="953"/>
      <c r="G8514" s="953"/>
      <c r="H8514" s="953"/>
    </row>
    <row r="8515" spans="1:8" x14ac:dyDescent="0.25">
      <c r="A8515" s="952"/>
      <c r="B8515" s="953"/>
      <c r="C8515" s="953"/>
      <c r="D8515" s="953"/>
      <c r="E8515" s="953"/>
      <c r="F8515" s="953"/>
      <c r="G8515" s="953"/>
      <c r="H8515" s="953"/>
    </row>
    <row r="8516" spans="1:8" x14ac:dyDescent="0.25">
      <c r="A8516" s="952"/>
      <c r="B8516" s="953"/>
      <c r="C8516" s="953"/>
      <c r="D8516" s="953"/>
      <c r="E8516" s="953"/>
      <c r="F8516" s="953"/>
      <c r="G8516" s="953"/>
      <c r="H8516" s="953"/>
    </row>
    <row r="8517" spans="1:8" x14ac:dyDescent="0.25">
      <c r="A8517" s="952"/>
      <c r="B8517" s="953"/>
      <c r="C8517" s="953"/>
      <c r="D8517" s="953"/>
      <c r="E8517" s="953"/>
      <c r="F8517" s="953"/>
      <c r="G8517" s="953"/>
      <c r="H8517" s="953"/>
    </row>
    <row r="8518" spans="1:8" x14ac:dyDescent="0.25">
      <c r="A8518" s="952"/>
      <c r="B8518" s="953"/>
      <c r="C8518" s="953"/>
      <c r="D8518" s="953"/>
      <c r="E8518" s="953"/>
      <c r="F8518" s="953"/>
      <c r="G8518" s="953"/>
      <c r="H8518" s="953"/>
    </row>
    <row r="8519" spans="1:8" x14ac:dyDescent="0.25">
      <c r="A8519" s="952"/>
      <c r="B8519" s="953"/>
      <c r="C8519" s="953"/>
      <c r="D8519" s="953"/>
      <c r="E8519" s="953"/>
      <c r="F8519" s="953"/>
      <c r="G8519" s="953"/>
      <c r="H8519" s="953"/>
    </row>
    <row r="8520" spans="1:8" x14ac:dyDescent="0.25">
      <c r="A8520" s="952"/>
      <c r="B8520" s="953"/>
      <c r="C8520" s="953"/>
      <c r="D8520" s="953"/>
      <c r="E8520" s="953"/>
      <c r="F8520" s="953"/>
      <c r="G8520" s="953"/>
      <c r="H8520" s="953"/>
    </row>
    <row r="8521" spans="1:8" x14ac:dyDescent="0.25">
      <c r="A8521" s="952"/>
      <c r="B8521" s="953"/>
      <c r="C8521" s="953"/>
      <c r="D8521" s="953"/>
      <c r="E8521" s="953"/>
      <c r="F8521" s="953"/>
      <c r="G8521" s="953"/>
      <c r="H8521" s="953"/>
    </row>
    <row r="8522" spans="1:8" x14ac:dyDescent="0.25">
      <c r="A8522" s="952"/>
      <c r="B8522" s="953"/>
      <c r="C8522" s="953"/>
      <c r="D8522" s="953"/>
      <c r="E8522" s="953"/>
      <c r="F8522" s="953"/>
      <c r="G8522" s="953"/>
      <c r="H8522" s="953"/>
    </row>
    <row r="8523" spans="1:8" x14ac:dyDescent="0.25">
      <c r="A8523" s="952"/>
      <c r="B8523" s="953"/>
      <c r="C8523" s="953"/>
      <c r="D8523" s="953"/>
      <c r="E8523" s="953"/>
      <c r="F8523" s="953"/>
      <c r="G8523" s="953"/>
      <c r="H8523" s="953"/>
    </row>
    <row r="8524" spans="1:8" x14ac:dyDescent="0.25">
      <c r="A8524" s="952"/>
      <c r="B8524" s="953"/>
      <c r="C8524" s="953"/>
      <c r="D8524" s="953"/>
      <c r="E8524" s="953"/>
      <c r="F8524" s="953"/>
      <c r="G8524" s="953"/>
      <c r="H8524" s="953"/>
    </row>
    <row r="8525" spans="1:8" x14ac:dyDescent="0.25">
      <c r="A8525" s="952"/>
      <c r="B8525" s="953"/>
      <c r="C8525" s="953"/>
      <c r="D8525" s="953"/>
      <c r="E8525" s="953"/>
      <c r="F8525" s="953"/>
      <c r="G8525" s="953"/>
      <c r="H8525" s="953"/>
    </row>
    <row r="8526" spans="1:8" x14ac:dyDescent="0.25">
      <c r="A8526" s="952"/>
      <c r="B8526" s="953"/>
      <c r="C8526" s="953"/>
      <c r="D8526" s="953"/>
      <c r="E8526" s="953"/>
      <c r="F8526" s="953"/>
      <c r="G8526" s="953"/>
      <c r="H8526" s="953"/>
    </row>
    <row r="8527" spans="1:8" x14ac:dyDescent="0.25">
      <c r="A8527" s="952"/>
      <c r="B8527" s="953"/>
      <c r="C8527" s="953"/>
      <c r="D8527" s="953"/>
      <c r="E8527" s="953"/>
      <c r="F8527" s="953"/>
      <c r="G8527" s="953"/>
      <c r="H8527" s="953"/>
    </row>
    <row r="8528" spans="1:8" x14ac:dyDescent="0.25">
      <c r="A8528" s="952"/>
      <c r="B8528" s="953"/>
      <c r="C8528" s="953"/>
      <c r="D8528" s="953"/>
      <c r="E8528" s="953"/>
      <c r="F8528" s="953"/>
      <c r="G8528" s="953"/>
      <c r="H8528" s="953"/>
    </row>
    <row r="8529" spans="1:8" x14ac:dyDescent="0.25">
      <c r="A8529" s="952"/>
      <c r="B8529" s="953"/>
      <c r="C8529" s="953"/>
      <c r="D8529" s="953"/>
      <c r="E8529" s="953"/>
      <c r="F8529" s="953"/>
      <c r="G8529" s="953"/>
      <c r="H8529" s="953"/>
    </row>
    <row r="8530" spans="1:8" x14ac:dyDescent="0.25">
      <c r="A8530" s="952"/>
      <c r="B8530" s="953"/>
      <c r="C8530" s="953"/>
      <c r="D8530" s="953"/>
      <c r="E8530" s="953"/>
      <c r="F8530" s="953"/>
      <c r="G8530" s="953"/>
      <c r="H8530" s="953"/>
    </row>
    <row r="8531" spans="1:8" x14ac:dyDescent="0.25">
      <c r="A8531" s="952"/>
      <c r="B8531" s="953"/>
      <c r="C8531" s="953"/>
      <c r="D8531" s="953"/>
      <c r="E8531" s="953"/>
      <c r="F8531" s="953"/>
      <c r="G8531" s="953"/>
      <c r="H8531" s="953"/>
    </row>
    <row r="8532" spans="1:8" x14ac:dyDescent="0.25">
      <c r="A8532" s="952"/>
      <c r="B8532" s="953"/>
      <c r="C8532" s="953"/>
      <c r="D8532" s="953"/>
      <c r="E8532" s="953"/>
      <c r="F8532" s="953"/>
      <c r="G8532" s="953"/>
      <c r="H8532" s="953"/>
    </row>
    <row r="8533" spans="1:8" x14ac:dyDescent="0.25">
      <c r="A8533" s="952"/>
      <c r="B8533" s="953"/>
      <c r="C8533" s="953"/>
      <c r="D8533" s="953"/>
      <c r="E8533" s="953"/>
      <c r="F8533" s="953"/>
      <c r="G8533" s="953"/>
      <c r="H8533" s="953"/>
    </row>
    <row r="8534" spans="1:8" x14ac:dyDescent="0.25">
      <c r="A8534" s="952"/>
      <c r="B8534" s="953"/>
      <c r="C8534" s="953"/>
      <c r="D8534" s="953"/>
      <c r="E8534" s="953"/>
      <c r="F8534" s="953"/>
      <c r="G8534" s="953"/>
      <c r="H8534" s="953"/>
    </row>
    <row r="8535" spans="1:8" x14ac:dyDescent="0.25">
      <c r="A8535" s="952"/>
      <c r="B8535" s="953"/>
      <c r="C8535" s="953"/>
      <c r="D8535" s="953"/>
      <c r="E8535" s="953"/>
      <c r="F8535" s="953"/>
      <c r="G8535" s="953"/>
      <c r="H8535" s="953"/>
    </row>
    <row r="8536" spans="1:8" x14ac:dyDescent="0.25">
      <c r="A8536" s="952"/>
      <c r="B8536" s="953"/>
      <c r="C8536" s="953"/>
      <c r="D8536" s="953"/>
      <c r="E8536" s="953"/>
      <c r="F8536" s="953"/>
      <c r="G8536" s="953"/>
      <c r="H8536" s="953"/>
    </row>
    <row r="8537" spans="1:8" x14ac:dyDescent="0.25">
      <c r="A8537" s="952"/>
      <c r="B8537" s="953"/>
      <c r="C8537" s="953"/>
      <c r="D8537" s="953"/>
      <c r="E8537" s="953"/>
      <c r="F8537" s="953"/>
      <c r="G8537" s="953"/>
      <c r="H8537" s="953"/>
    </row>
    <row r="8538" spans="1:8" x14ac:dyDescent="0.25">
      <c r="A8538" s="952"/>
      <c r="B8538" s="953"/>
      <c r="C8538" s="953"/>
      <c r="D8538" s="953"/>
      <c r="E8538" s="953"/>
      <c r="F8538" s="953"/>
      <c r="G8538" s="953"/>
      <c r="H8538" s="953"/>
    </row>
    <row r="8539" spans="1:8" x14ac:dyDescent="0.25">
      <c r="A8539" s="952"/>
      <c r="B8539" s="953"/>
      <c r="C8539" s="953"/>
      <c r="D8539" s="953"/>
      <c r="E8539" s="953"/>
      <c r="F8539" s="953"/>
      <c r="G8539" s="953"/>
      <c r="H8539" s="953"/>
    </row>
    <row r="8540" spans="1:8" x14ac:dyDescent="0.25">
      <c r="A8540" s="952"/>
      <c r="B8540" s="953"/>
      <c r="C8540" s="953"/>
      <c r="D8540" s="953"/>
      <c r="E8540" s="953"/>
      <c r="F8540" s="953"/>
      <c r="G8540" s="953"/>
      <c r="H8540" s="953"/>
    </row>
    <row r="8541" spans="1:8" x14ac:dyDescent="0.25">
      <c r="A8541" s="952"/>
      <c r="B8541" s="953"/>
      <c r="C8541" s="953"/>
      <c r="D8541" s="953"/>
      <c r="E8541" s="953"/>
      <c r="F8541" s="953"/>
      <c r="G8541" s="953"/>
      <c r="H8541" s="953"/>
    </row>
    <row r="8542" spans="1:8" x14ac:dyDescent="0.25">
      <c r="A8542" s="952"/>
      <c r="B8542" s="953"/>
      <c r="C8542" s="953"/>
      <c r="D8542" s="953"/>
      <c r="E8542" s="953"/>
      <c r="F8542" s="953"/>
      <c r="G8542" s="953"/>
      <c r="H8542" s="953"/>
    </row>
    <row r="8543" spans="1:8" x14ac:dyDescent="0.25">
      <c r="A8543" s="952"/>
      <c r="B8543" s="953"/>
      <c r="C8543" s="953"/>
      <c r="D8543" s="953"/>
      <c r="E8543" s="953"/>
      <c r="F8543" s="953"/>
      <c r="G8543" s="953"/>
      <c r="H8543" s="953"/>
    </row>
    <row r="8544" spans="1:8" x14ac:dyDescent="0.25">
      <c r="A8544" s="952"/>
      <c r="B8544" s="953"/>
      <c r="C8544" s="953"/>
      <c r="D8544" s="953"/>
      <c r="E8544" s="953"/>
      <c r="F8544" s="953"/>
      <c r="G8544" s="953"/>
      <c r="H8544" s="953"/>
    </row>
    <row r="8545" spans="1:8" x14ac:dyDescent="0.25">
      <c r="A8545" s="952"/>
      <c r="B8545" s="953"/>
      <c r="C8545" s="953"/>
      <c r="D8545" s="953"/>
      <c r="E8545" s="953"/>
      <c r="F8545" s="953"/>
      <c r="G8545" s="953"/>
      <c r="H8545" s="953"/>
    </row>
    <row r="8546" spans="1:8" x14ac:dyDescent="0.25">
      <c r="A8546" s="952"/>
      <c r="B8546" s="953"/>
      <c r="C8546" s="953"/>
      <c r="D8546" s="953"/>
      <c r="E8546" s="953"/>
      <c r="F8546" s="953"/>
      <c r="G8546" s="953"/>
      <c r="H8546" s="953"/>
    </row>
    <row r="8547" spans="1:8" x14ac:dyDescent="0.25">
      <c r="A8547" s="952"/>
      <c r="B8547" s="953"/>
      <c r="C8547" s="953"/>
      <c r="D8547" s="953"/>
      <c r="E8547" s="953"/>
      <c r="F8547" s="953"/>
      <c r="G8547" s="953"/>
      <c r="H8547" s="953"/>
    </row>
    <row r="8548" spans="1:8" x14ac:dyDescent="0.25">
      <c r="A8548" s="952"/>
      <c r="B8548" s="953"/>
      <c r="C8548" s="953"/>
      <c r="D8548" s="953"/>
      <c r="E8548" s="953"/>
      <c r="F8548" s="953"/>
      <c r="G8548" s="953"/>
      <c r="H8548" s="953"/>
    </row>
    <row r="8549" spans="1:8" x14ac:dyDescent="0.25">
      <c r="A8549" s="952"/>
      <c r="B8549" s="953"/>
      <c r="C8549" s="953"/>
      <c r="D8549" s="953"/>
      <c r="E8549" s="953"/>
      <c r="F8549" s="953"/>
      <c r="G8549" s="953"/>
      <c r="H8549" s="953"/>
    </row>
    <row r="8550" spans="1:8" x14ac:dyDescent="0.25">
      <c r="A8550" s="952"/>
      <c r="B8550" s="953"/>
      <c r="C8550" s="953"/>
      <c r="D8550" s="953"/>
      <c r="E8550" s="953"/>
      <c r="F8550" s="953"/>
      <c r="G8550" s="953"/>
      <c r="H8550" s="953"/>
    </row>
    <row r="8551" spans="1:8" x14ac:dyDescent="0.25">
      <c r="A8551" s="952"/>
      <c r="B8551" s="953"/>
      <c r="C8551" s="953"/>
      <c r="D8551" s="953"/>
      <c r="E8551" s="953"/>
      <c r="F8551" s="953"/>
      <c r="G8551" s="953"/>
      <c r="H8551" s="953"/>
    </row>
    <row r="8552" spans="1:8" x14ac:dyDescent="0.25">
      <c r="A8552" s="952"/>
      <c r="B8552" s="953"/>
      <c r="C8552" s="953"/>
      <c r="D8552" s="953"/>
      <c r="E8552" s="953"/>
      <c r="F8552" s="953"/>
      <c r="G8552" s="953"/>
      <c r="H8552" s="953"/>
    </row>
    <row r="8553" spans="1:8" x14ac:dyDescent="0.25">
      <c r="A8553" s="952"/>
      <c r="B8553" s="953"/>
      <c r="C8553" s="953"/>
      <c r="D8553" s="953"/>
      <c r="E8553" s="953"/>
      <c r="F8553" s="953"/>
      <c r="G8553" s="953"/>
      <c r="H8553" s="953"/>
    </row>
    <row r="8554" spans="1:8" x14ac:dyDescent="0.25">
      <c r="A8554" s="952"/>
      <c r="B8554" s="953"/>
      <c r="C8554" s="953"/>
      <c r="D8554" s="953"/>
      <c r="E8554" s="953"/>
      <c r="F8554" s="953"/>
      <c r="G8554" s="953"/>
      <c r="H8554" s="953"/>
    </row>
    <row r="8555" spans="1:8" x14ac:dyDescent="0.25">
      <c r="A8555" s="952"/>
      <c r="B8555" s="953"/>
      <c r="C8555" s="953"/>
      <c r="D8555" s="953"/>
      <c r="E8555" s="953"/>
      <c r="F8555" s="953"/>
      <c r="G8555" s="953"/>
      <c r="H8555" s="953"/>
    </row>
    <row r="8556" spans="1:8" x14ac:dyDescent="0.25">
      <c r="A8556" s="952"/>
      <c r="B8556" s="953"/>
      <c r="C8556" s="953"/>
      <c r="D8556" s="953"/>
      <c r="E8556" s="953"/>
      <c r="F8556" s="953"/>
      <c r="G8556" s="953"/>
      <c r="H8556" s="953"/>
    </row>
    <row r="8557" spans="1:8" x14ac:dyDescent="0.25">
      <c r="A8557" s="952"/>
      <c r="B8557" s="953"/>
      <c r="C8557" s="953"/>
      <c r="D8557" s="953"/>
      <c r="E8557" s="953"/>
      <c r="F8557" s="953"/>
      <c r="G8557" s="953"/>
      <c r="H8557" s="953"/>
    </row>
    <row r="8558" spans="1:8" x14ac:dyDescent="0.25">
      <c r="A8558" s="952"/>
      <c r="B8558" s="953"/>
      <c r="C8558" s="953"/>
      <c r="D8558" s="953"/>
      <c r="E8558" s="953"/>
      <c r="F8558" s="953"/>
      <c r="G8558" s="953"/>
      <c r="H8558" s="953"/>
    </row>
    <row r="8559" spans="1:8" x14ac:dyDescent="0.25">
      <c r="A8559" s="952"/>
      <c r="B8559" s="953"/>
      <c r="C8559" s="953"/>
      <c r="D8559" s="953"/>
      <c r="E8559" s="953"/>
      <c r="F8559" s="953"/>
      <c r="G8559" s="953"/>
      <c r="H8559" s="953"/>
    </row>
    <row r="8560" spans="1:8" x14ac:dyDescent="0.25">
      <c r="A8560" s="952"/>
      <c r="B8560" s="953"/>
      <c r="C8560" s="953"/>
      <c r="D8560" s="953"/>
      <c r="E8560" s="953"/>
      <c r="F8560" s="953"/>
      <c r="G8560" s="953"/>
      <c r="H8560" s="953"/>
    </row>
    <row r="8561" spans="1:8" x14ac:dyDescent="0.25">
      <c r="A8561" s="952"/>
      <c r="B8561" s="953"/>
      <c r="C8561" s="953"/>
      <c r="D8561" s="953"/>
      <c r="E8561" s="953"/>
      <c r="F8561" s="953"/>
      <c r="G8561" s="953"/>
      <c r="H8561" s="953"/>
    </row>
    <row r="8562" spans="1:8" x14ac:dyDescent="0.25">
      <c r="A8562" s="952"/>
      <c r="B8562" s="953"/>
      <c r="C8562" s="953"/>
      <c r="D8562" s="953"/>
      <c r="E8562" s="953"/>
      <c r="F8562" s="953"/>
      <c r="G8562" s="953"/>
      <c r="H8562" s="953"/>
    </row>
    <row r="8563" spans="1:8" x14ac:dyDescent="0.25">
      <c r="A8563" s="952"/>
      <c r="B8563" s="953"/>
      <c r="C8563" s="953"/>
      <c r="D8563" s="953"/>
      <c r="E8563" s="953"/>
      <c r="F8563" s="953"/>
      <c r="G8563" s="953"/>
      <c r="H8563" s="953"/>
    </row>
    <row r="8564" spans="1:8" x14ac:dyDescent="0.25">
      <c r="A8564" s="952"/>
      <c r="B8564" s="953"/>
      <c r="C8564" s="953"/>
      <c r="D8564" s="953"/>
      <c r="E8564" s="953"/>
      <c r="F8564" s="953"/>
      <c r="G8564" s="953"/>
      <c r="H8564" s="953"/>
    </row>
    <row r="8565" spans="1:8" x14ac:dyDescent="0.25">
      <c r="A8565" s="952"/>
      <c r="B8565" s="953"/>
      <c r="C8565" s="953"/>
      <c r="D8565" s="953"/>
      <c r="E8565" s="953"/>
      <c r="F8565" s="953"/>
      <c r="G8565" s="953"/>
      <c r="H8565" s="953"/>
    </row>
    <row r="8566" spans="1:8" x14ac:dyDescent="0.25">
      <c r="A8566" s="952"/>
      <c r="B8566" s="953"/>
      <c r="C8566" s="953"/>
      <c r="D8566" s="953"/>
      <c r="E8566" s="953"/>
      <c r="F8566" s="953"/>
      <c r="G8566" s="953"/>
      <c r="H8566" s="953"/>
    </row>
    <row r="8567" spans="1:8" x14ac:dyDescent="0.25">
      <c r="A8567" s="952"/>
      <c r="B8567" s="953"/>
      <c r="C8567" s="953"/>
      <c r="D8567" s="953"/>
      <c r="E8567" s="953"/>
      <c r="F8567" s="953"/>
      <c r="G8567" s="953"/>
      <c r="H8567" s="953"/>
    </row>
    <row r="8568" spans="1:8" x14ac:dyDescent="0.25">
      <c r="A8568" s="952"/>
      <c r="B8568" s="953"/>
      <c r="C8568" s="953"/>
      <c r="D8568" s="953"/>
      <c r="E8568" s="953"/>
      <c r="F8568" s="953"/>
      <c r="G8568" s="953"/>
      <c r="H8568" s="953"/>
    </row>
    <row r="8569" spans="1:8" x14ac:dyDescent="0.25">
      <c r="A8569" s="952"/>
      <c r="B8569" s="953"/>
      <c r="C8569" s="953"/>
      <c r="D8569" s="953"/>
      <c r="E8569" s="953"/>
      <c r="F8569" s="953"/>
      <c r="G8569" s="953"/>
      <c r="H8569" s="953"/>
    </row>
    <row r="8570" spans="1:8" x14ac:dyDescent="0.25">
      <c r="A8570" s="952"/>
      <c r="B8570" s="953"/>
      <c r="C8570" s="953"/>
      <c r="D8570" s="953"/>
      <c r="E8570" s="953"/>
      <c r="F8570" s="953"/>
      <c r="G8570" s="953"/>
      <c r="H8570" s="953"/>
    </row>
    <row r="8571" spans="1:8" x14ac:dyDescent="0.25">
      <c r="A8571" s="952"/>
      <c r="B8571" s="953"/>
      <c r="C8571" s="953"/>
      <c r="D8571" s="953"/>
      <c r="E8571" s="953"/>
      <c r="F8571" s="953"/>
      <c r="G8571" s="953"/>
      <c r="H8571" s="953"/>
    </row>
    <row r="8572" spans="1:8" x14ac:dyDescent="0.25">
      <c r="A8572" s="952"/>
      <c r="B8572" s="953"/>
      <c r="C8572" s="953"/>
      <c r="D8572" s="953"/>
      <c r="E8572" s="953"/>
      <c r="F8572" s="953"/>
      <c r="G8572" s="953"/>
      <c r="H8572" s="953"/>
    </row>
    <row r="8573" spans="1:8" x14ac:dyDescent="0.25">
      <c r="A8573" s="952"/>
      <c r="B8573" s="953"/>
      <c r="C8573" s="953"/>
      <c r="D8573" s="953"/>
      <c r="E8573" s="953"/>
      <c r="F8573" s="953"/>
      <c r="G8573" s="953"/>
      <c r="H8573" s="953"/>
    </row>
    <row r="8574" spans="1:8" x14ac:dyDescent="0.25">
      <c r="A8574" s="952"/>
      <c r="B8574" s="953"/>
      <c r="C8574" s="953"/>
      <c r="D8574" s="953"/>
      <c r="E8574" s="953"/>
      <c r="F8574" s="953"/>
      <c r="G8574" s="953"/>
      <c r="H8574" s="953"/>
    </row>
    <row r="8575" spans="1:8" x14ac:dyDescent="0.25">
      <c r="A8575" s="952"/>
      <c r="B8575" s="953"/>
      <c r="C8575" s="953"/>
      <c r="D8575" s="953"/>
      <c r="E8575" s="953"/>
      <c r="F8575" s="953"/>
      <c r="G8575" s="953"/>
      <c r="H8575" s="953"/>
    </row>
    <row r="8576" spans="1:8" x14ac:dyDescent="0.25">
      <c r="A8576" s="952"/>
      <c r="B8576" s="953"/>
      <c r="C8576" s="953"/>
      <c r="D8576" s="953"/>
      <c r="E8576" s="953"/>
      <c r="F8576" s="953"/>
      <c r="G8576" s="953"/>
      <c r="H8576" s="953"/>
    </row>
    <row r="8577" spans="1:8" x14ac:dyDescent="0.25">
      <c r="A8577" s="952"/>
      <c r="B8577" s="953"/>
      <c r="C8577" s="953"/>
      <c r="D8577" s="953"/>
      <c r="E8577" s="953"/>
      <c r="F8577" s="953"/>
      <c r="G8577" s="953"/>
      <c r="H8577" s="953"/>
    </row>
    <row r="8578" spans="1:8" x14ac:dyDescent="0.25">
      <c r="A8578" s="952"/>
      <c r="B8578" s="953"/>
      <c r="C8578" s="953"/>
      <c r="D8578" s="953"/>
      <c r="E8578" s="953"/>
      <c r="F8578" s="953"/>
      <c r="G8578" s="953"/>
      <c r="H8578" s="953"/>
    </row>
    <row r="8579" spans="1:8" x14ac:dyDescent="0.25">
      <c r="A8579" s="952"/>
      <c r="B8579" s="953"/>
      <c r="C8579" s="953"/>
      <c r="D8579" s="953"/>
      <c r="E8579" s="953"/>
      <c r="F8579" s="953"/>
      <c r="G8579" s="953"/>
      <c r="H8579" s="953"/>
    </row>
    <row r="8580" spans="1:8" x14ac:dyDescent="0.25">
      <c r="A8580" s="952"/>
      <c r="B8580" s="953"/>
      <c r="C8580" s="953"/>
      <c r="D8580" s="953"/>
      <c r="E8580" s="953"/>
      <c r="F8580" s="953"/>
      <c r="G8580" s="953"/>
      <c r="H8580" s="953"/>
    </row>
    <row r="8581" spans="1:8" x14ac:dyDescent="0.25">
      <c r="A8581" s="952"/>
      <c r="B8581" s="953"/>
      <c r="C8581" s="953"/>
      <c r="D8581" s="953"/>
      <c r="E8581" s="953"/>
      <c r="F8581" s="953"/>
      <c r="G8581" s="953"/>
      <c r="H8581" s="953"/>
    </row>
    <row r="8582" spans="1:8" x14ac:dyDescent="0.25">
      <c r="A8582" s="952"/>
      <c r="B8582" s="953"/>
      <c r="C8582" s="953"/>
      <c r="D8582" s="953"/>
      <c r="E8582" s="953"/>
      <c r="F8582" s="953"/>
      <c r="G8582" s="953"/>
      <c r="H8582" s="953"/>
    </row>
    <row r="8583" spans="1:8" x14ac:dyDescent="0.25">
      <c r="A8583" s="952"/>
      <c r="B8583" s="953"/>
      <c r="C8583" s="953"/>
      <c r="D8583" s="953"/>
      <c r="E8583" s="953"/>
      <c r="F8583" s="953"/>
      <c r="G8583" s="953"/>
      <c r="H8583" s="953"/>
    </row>
    <row r="8584" spans="1:8" x14ac:dyDescent="0.25">
      <c r="A8584" s="952"/>
      <c r="B8584" s="953"/>
      <c r="C8584" s="953"/>
      <c r="D8584" s="953"/>
      <c r="E8584" s="953"/>
      <c r="F8584" s="953"/>
      <c r="G8584" s="953"/>
      <c r="H8584" s="953"/>
    </row>
    <row r="8585" spans="1:8" x14ac:dyDescent="0.25">
      <c r="A8585" s="952"/>
      <c r="B8585" s="953"/>
      <c r="C8585" s="953"/>
      <c r="D8585" s="953"/>
      <c r="E8585" s="953"/>
      <c r="F8585" s="953"/>
      <c r="G8585" s="953"/>
      <c r="H8585" s="953"/>
    </row>
    <row r="8586" spans="1:8" x14ac:dyDescent="0.25">
      <c r="A8586" s="952"/>
      <c r="B8586" s="953"/>
      <c r="C8586" s="953"/>
      <c r="D8586" s="953"/>
      <c r="E8586" s="953"/>
      <c r="F8586" s="953"/>
      <c r="G8586" s="953"/>
      <c r="H8586" s="953"/>
    </row>
    <row r="8587" spans="1:8" x14ac:dyDescent="0.25">
      <c r="A8587" s="952"/>
      <c r="B8587" s="953"/>
      <c r="C8587" s="953"/>
      <c r="D8587" s="953"/>
      <c r="E8587" s="953"/>
      <c r="F8587" s="953"/>
      <c r="G8587" s="953"/>
      <c r="H8587" s="953"/>
    </row>
    <row r="8588" spans="1:8" x14ac:dyDescent="0.25">
      <c r="A8588" s="952"/>
      <c r="B8588" s="953"/>
      <c r="C8588" s="953"/>
      <c r="D8588" s="953"/>
      <c r="E8588" s="953"/>
      <c r="F8588" s="953"/>
      <c r="G8588" s="953"/>
      <c r="H8588" s="953"/>
    </row>
    <row r="8589" spans="1:8" x14ac:dyDescent="0.25">
      <c r="A8589" s="952"/>
      <c r="B8589" s="953"/>
      <c r="C8589" s="953"/>
      <c r="D8589" s="953"/>
      <c r="E8589" s="953"/>
      <c r="F8589" s="953"/>
      <c r="G8589" s="953"/>
      <c r="H8589" s="953"/>
    </row>
    <row r="8590" spans="1:8" x14ac:dyDescent="0.25">
      <c r="A8590" s="952"/>
      <c r="B8590" s="953"/>
      <c r="C8590" s="953"/>
      <c r="D8590" s="953"/>
      <c r="E8590" s="953"/>
      <c r="F8590" s="953"/>
      <c r="G8590" s="953"/>
      <c r="H8590" s="953"/>
    </row>
    <row r="8591" spans="1:8" x14ac:dyDescent="0.25">
      <c r="A8591" s="952"/>
      <c r="B8591" s="953"/>
      <c r="C8591" s="953"/>
      <c r="D8591" s="953"/>
      <c r="E8591" s="953"/>
      <c r="F8591" s="953"/>
      <c r="G8591" s="953"/>
      <c r="H8591" s="953"/>
    </row>
    <row r="8592" spans="1:8" x14ac:dyDescent="0.25">
      <c r="A8592" s="952"/>
      <c r="B8592" s="953"/>
      <c r="C8592" s="953"/>
      <c r="D8592" s="953"/>
      <c r="E8592" s="953"/>
      <c r="F8592" s="953"/>
      <c r="G8592" s="953"/>
      <c r="H8592" s="953"/>
    </row>
    <row r="8593" spans="1:8" x14ac:dyDescent="0.25">
      <c r="A8593" s="952"/>
      <c r="B8593" s="953"/>
      <c r="C8593" s="953"/>
      <c r="D8593" s="953"/>
      <c r="E8593" s="953"/>
      <c r="F8593" s="953"/>
      <c r="G8593" s="953"/>
      <c r="H8593" s="953"/>
    </row>
    <row r="8594" spans="1:8" x14ac:dyDescent="0.25">
      <c r="A8594" s="952"/>
      <c r="B8594" s="953"/>
      <c r="C8594" s="953"/>
      <c r="D8594" s="953"/>
      <c r="E8594" s="953"/>
      <c r="F8594" s="953"/>
      <c r="G8594" s="953"/>
      <c r="H8594" s="953"/>
    </row>
    <row r="8595" spans="1:8" x14ac:dyDescent="0.25">
      <c r="A8595" s="952"/>
      <c r="B8595" s="953"/>
      <c r="C8595" s="953"/>
      <c r="D8595" s="953"/>
      <c r="E8595" s="953"/>
      <c r="F8595" s="953"/>
      <c r="G8595" s="953"/>
      <c r="H8595" s="953"/>
    </row>
    <row r="8596" spans="1:8" x14ac:dyDescent="0.25">
      <c r="A8596" s="952"/>
      <c r="B8596" s="953"/>
      <c r="C8596" s="953"/>
      <c r="D8596" s="953"/>
      <c r="E8596" s="953"/>
      <c r="F8596" s="953"/>
      <c r="G8596" s="953"/>
      <c r="H8596" s="953"/>
    </row>
    <row r="8597" spans="1:8" x14ac:dyDescent="0.25">
      <c r="A8597" s="952"/>
      <c r="B8597" s="953"/>
      <c r="C8597" s="953"/>
      <c r="D8597" s="953"/>
      <c r="E8597" s="953"/>
      <c r="F8597" s="953"/>
      <c r="G8597" s="953"/>
      <c r="H8597" s="953"/>
    </row>
    <row r="8598" spans="1:8" x14ac:dyDescent="0.25">
      <c r="A8598" s="952"/>
      <c r="B8598" s="953"/>
      <c r="C8598" s="953"/>
      <c r="D8598" s="953"/>
      <c r="E8598" s="953"/>
      <c r="F8598" s="953"/>
      <c r="G8598" s="953"/>
      <c r="H8598" s="953"/>
    </row>
    <row r="8599" spans="1:8" x14ac:dyDescent="0.25">
      <c r="A8599" s="952"/>
      <c r="B8599" s="953"/>
      <c r="C8599" s="953"/>
      <c r="D8599" s="953"/>
      <c r="E8599" s="953"/>
      <c r="F8599" s="953"/>
      <c r="G8599" s="953"/>
      <c r="H8599" s="953"/>
    </row>
    <row r="8600" spans="1:8" x14ac:dyDescent="0.25">
      <c r="A8600" s="952"/>
      <c r="B8600" s="953"/>
      <c r="C8600" s="953"/>
      <c r="D8600" s="953"/>
      <c r="E8600" s="953"/>
      <c r="F8600" s="953"/>
      <c r="G8600" s="953"/>
      <c r="H8600" s="953"/>
    </row>
    <row r="8601" spans="1:8" x14ac:dyDescent="0.25">
      <c r="A8601" s="952"/>
      <c r="B8601" s="953"/>
      <c r="C8601" s="953"/>
      <c r="D8601" s="953"/>
      <c r="E8601" s="953"/>
      <c r="F8601" s="953"/>
      <c r="G8601" s="953"/>
      <c r="H8601" s="953"/>
    </row>
    <row r="8602" spans="1:8" x14ac:dyDescent="0.25">
      <c r="A8602" s="952"/>
      <c r="B8602" s="953"/>
      <c r="C8602" s="953"/>
      <c r="D8602" s="953"/>
      <c r="E8602" s="953"/>
      <c r="F8602" s="953"/>
      <c r="G8602" s="953"/>
      <c r="H8602" s="953"/>
    </row>
    <row r="8603" spans="1:8" x14ac:dyDescent="0.25">
      <c r="A8603" s="952"/>
      <c r="B8603" s="953"/>
      <c r="C8603" s="953"/>
      <c r="D8603" s="953"/>
      <c r="E8603" s="953"/>
      <c r="F8603" s="953"/>
      <c r="G8603" s="953"/>
      <c r="H8603" s="953"/>
    </row>
    <row r="8604" spans="1:8" x14ac:dyDescent="0.25">
      <c r="A8604" s="952"/>
      <c r="B8604" s="953"/>
      <c r="C8604" s="953"/>
      <c r="D8604" s="953"/>
      <c r="E8604" s="953"/>
      <c r="F8604" s="953"/>
      <c r="G8604" s="953"/>
      <c r="H8604" s="953"/>
    </row>
    <row r="8605" spans="1:8" x14ac:dyDescent="0.25">
      <c r="A8605" s="952"/>
      <c r="B8605" s="953"/>
      <c r="C8605" s="953"/>
      <c r="D8605" s="953"/>
      <c r="E8605" s="953"/>
      <c r="F8605" s="953"/>
      <c r="G8605" s="953"/>
      <c r="H8605" s="953"/>
    </row>
    <row r="8606" spans="1:8" x14ac:dyDescent="0.25">
      <c r="A8606" s="952"/>
      <c r="B8606" s="953"/>
      <c r="C8606" s="953"/>
      <c r="D8606" s="953"/>
      <c r="E8606" s="953"/>
      <c r="F8606" s="953"/>
      <c r="G8606" s="953"/>
      <c r="H8606" s="953"/>
    </row>
    <row r="8607" spans="1:8" x14ac:dyDescent="0.25">
      <c r="A8607" s="952"/>
      <c r="B8607" s="953"/>
      <c r="C8607" s="953"/>
      <c r="D8607" s="953"/>
      <c r="E8607" s="953"/>
      <c r="F8607" s="953"/>
      <c r="G8607" s="953"/>
      <c r="H8607" s="953"/>
    </row>
    <row r="8608" spans="1:8" x14ac:dyDescent="0.25">
      <c r="A8608" s="952"/>
      <c r="B8608" s="953"/>
      <c r="C8608" s="953"/>
      <c r="D8608" s="953"/>
      <c r="E8608" s="953"/>
      <c r="F8608" s="953"/>
      <c r="G8608" s="953"/>
      <c r="H8608" s="953"/>
    </row>
    <row r="8609" spans="1:8" x14ac:dyDescent="0.25">
      <c r="A8609" s="952"/>
      <c r="B8609" s="953"/>
      <c r="C8609" s="953"/>
      <c r="D8609" s="953"/>
      <c r="E8609" s="953"/>
      <c r="F8609" s="953"/>
      <c r="G8609" s="953"/>
      <c r="H8609" s="953"/>
    </row>
    <row r="8610" spans="1:8" x14ac:dyDescent="0.25">
      <c r="A8610" s="952"/>
      <c r="B8610" s="953"/>
      <c r="C8610" s="953"/>
      <c r="D8610" s="953"/>
      <c r="E8610" s="953"/>
      <c r="F8610" s="953"/>
      <c r="G8610" s="953"/>
      <c r="H8610" s="953"/>
    </row>
    <row r="8611" spans="1:8" x14ac:dyDescent="0.25">
      <c r="A8611" s="952"/>
      <c r="B8611" s="953"/>
      <c r="C8611" s="953"/>
      <c r="D8611" s="953"/>
      <c r="E8611" s="953"/>
      <c r="F8611" s="953"/>
      <c r="G8611" s="953"/>
      <c r="H8611" s="953"/>
    </row>
    <row r="8612" spans="1:8" x14ac:dyDescent="0.25">
      <c r="A8612" s="952"/>
      <c r="B8612" s="953"/>
      <c r="C8612" s="953"/>
      <c r="D8612" s="953"/>
      <c r="E8612" s="953"/>
      <c r="F8612" s="953"/>
      <c r="G8612" s="953"/>
      <c r="H8612" s="953"/>
    </row>
    <row r="8613" spans="1:8" x14ac:dyDescent="0.25">
      <c r="A8613" s="952"/>
      <c r="B8613" s="953"/>
      <c r="C8613" s="953"/>
      <c r="D8613" s="953"/>
      <c r="E8613" s="953"/>
      <c r="F8613" s="953"/>
      <c r="G8613" s="953"/>
      <c r="H8613" s="953"/>
    </row>
    <row r="8614" spans="1:8" x14ac:dyDescent="0.25">
      <c r="A8614" s="952"/>
      <c r="B8614" s="953"/>
      <c r="C8614" s="953"/>
      <c r="D8614" s="953"/>
      <c r="E8614" s="953"/>
      <c r="F8614" s="953"/>
      <c r="G8614" s="953"/>
      <c r="H8614" s="953"/>
    </row>
    <row r="8615" spans="1:8" x14ac:dyDescent="0.25">
      <c r="A8615" s="952"/>
      <c r="B8615" s="953"/>
      <c r="C8615" s="953"/>
      <c r="D8615" s="953"/>
      <c r="E8615" s="953"/>
      <c r="F8615" s="953"/>
      <c r="G8615" s="953"/>
      <c r="H8615" s="953"/>
    </row>
    <row r="8616" spans="1:8" x14ac:dyDescent="0.25">
      <c r="A8616" s="952"/>
      <c r="B8616" s="953"/>
      <c r="C8616" s="953"/>
      <c r="D8616" s="953"/>
      <c r="E8616" s="953"/>
      <c r="F8616" s="953"/>
      <c r="G8616" s="953"/>
      <c r="H8616" s="953"/>
    </row>
    <row r="8617" spans="1:8" x14ac:dyDescent="0.25">
      <c r="A8617" s="952"/>
      <c r="B8617" s="953"/>
      <c r="C8617" s="953"/>
      <c r="D8617" s="953"/>
      <c r="E8617" s="953"/>
      <c r="F8617" s="953"/>
      <c r="G8617" s="953"/>
      <c r="H8617" s="953"/>
    </row>
    <row r="8618" spans="1:8" x14ac:dyDescent="0.25">
      <c r="A8618" s="952"/>
      <c r="B8618" s="953"/>
      <c r="C8618" s="953"/>
      <c r="D8618" s="953"/>
      <c r="E8618" s="953"/>
      <c r="F8618" s="953"/>
      <c r="G8618" s="953"/>
      <c r="H8618" s="953"/>
    </row>
    <row r="8619" spans="1:8" x14ac:dyDescent="0.25">
      <c r="A8619" s="952"/>
      <c r="B8619" s="953"/>
      <c r="C8619" s="953"/>
      <c r="D8619" s="953"/>
      <c r="E8619" s="953"/>
      <c r="F8619" s="953"/>
      <c r="G8619" s="953"/>
      <c r="H8619" s="953"/>
    </row>
    <row r="8620" spans="1:8" x14ac:dyDescent="0.25">
      <c r="A8620" s="952"/>
      <c r="B8620" s="953"/>
      <c r="C8620" s="953"/>
      <c r="D8620" s="953"/>
      <c r="E8620" s="953"/>
      <c r="F8620" s="953"/>
      <c r="G8620" s="953"/>
      <c r="H8620" s="953"/>
    </row>
    <row r="8621" spans="1:8" x14ac:dyDescent="0.25">
      <c r="A8621" s="952"/>
      <c r="B8621" s="953"/>
      <c r="C8621" s="953"/>
      <c r="D8621" s="953"/>
      <c r="E8621" s="953"/>
      <c r="F8621" s="953"/>
      <c r="G8621" s="953"/>
      <c r="H8621" s="953"/>
    </row>
    <row r="8622" spans="1:8" x14ac:dyDescent="0.25">
      <c r="A8622" s="952"/>
      <c r="B8622" s="953"/>
      <c r="C8622" s="953"/>
      <c r="D8622" s="953"/>
      <c r="E8622" s="953"/>
      <c r="F8622" s="953"/>
      <c r="G8622" s="953"/>
      <c r="H8622" s="953"/>
    </row>
    <row r="8623" spans="1:8" x14ac:dyDescent="0.25">
      <c r="A8623" s="952"/>
      <c r="B8623" s="953"/>
      <c r="C8623" s="953"/>
      <c r="D8623" s="953"/>
      <c r="E8623" s="953"/>
      <c r="F8623" s="953"/>
      <c r="G8623" s="953"/>
      <c r="H8623" s="953"/>
    </row>
    <row r="8624" spans="1:8" x14ac:dyDescent="0.25">
      <c r="A8624" s="952"/>
      <c r="B8624" s="953"/>
      <c r="C8624" s="953"/>
      <c r="D8624" s="953"/>
      <c r="E8624" s="953"/>
      <c r="F8624" s="953"/>
      <c r="G8624" s="953"/>
      <c r="H8624" s="953"/>
    </row>
    <row r="8625" spans="1:8" x14ac:dyDescent="0.25">
      <c r="A8625" s="952"/>
      <c r="B8625" s="953"/>
      <c r="C8625" s="953"/>
      <c r="D8625" s="953"/>
      <c r="E8625" s="953"/>
      <c r="F8625" s="953"/>
      <c r="G8625" s="953"/>
      <c r="H8625" s="953"/>
    </row>
    <row r="8626" spans="1:8" x14ac:dyDescent="0.25">
      <c r="A8626" s="952"/>
      <c r="B8626" s="953"/>
      <c r="C8626" s="953"/>
      <c r="D8626" s="953"/>
      <c r="E8626" s="953"/>
      <c r="F8626" s="953"/>
      <c r="G8626" s="953"/>
      <c r="H8626" s="953"/>
    </row>
    <row r="8627" spans="1:8" x14ac:dyDescent="0.25">
      <c r="A8627" s="952"/>
      <c r="B8627" s="953"/>
      <c r="C8627" s="953"/>
      <c r="D8627" s="953"/>
      <c r="E8627" s="953"/>
      <c r="F8627" s="953"/>
      <c r="G8627" s="953"/>
      <c r="H8627" s="953"/>
    </row>
    <row r="8628" spans="1:8" x14ac:dyDescent="0.25">
      <c r="A8628" s="952"/>
      <c r="B8628" s="953"/>
      <c r="C8628" s="953"/>
      <c r="D8628" s="953"/>
      <c r="E8628" s="953"/>
      <c r="F8628" s="953"/>
      <c r="G8628" s="953"/>
      <c r="H8628" s="953"/>
    </row>
    <row r="8629" spans="1:8" x14ac:dyDescent="0.25">
      <c r="A8629" s="952"/>
      <c r="B8629" s="953"/>
      <c r="C8629" s="953"/>
      <c r="D8629" s="953"/>
      <c r="E8629" s="953"/>
      <c r="F8629" s="953"/>
      <c r="G8629" s="953"/>
      <c r="H8629" s="953"/>
    </row>
    <row r="8630" spans="1:8" x14ac:dyDescent="0.25">
      <c r="A8630" s="952"/>
      <c r="B8630" s="953"/>
      <c r="C8630" s="953"/>
      <c r="D8630" s="953"/>
      <c r="E8630" s="953"/>
      <c r="F8630" s="953"/>
      <c r="G8630" s="953"/>
      <c r="H8630" s="953"/>
    </row>
    <row r="8631" spans="1:8" x14ac:dyDescent="0.25">
      <c r="A8631" s="952"/>
      <c r="B8631" s="953"/>
      <c r="C8631" s="953"/>
      <c r="D8631" s="953"/>
      <c r="E8631" s="953"/>
      <c r="F8631" s="953"/>
      <c r="G8631" s="953"/>
      <c r="H8631" s="953"/>
    </row>
    <row r="8632" spans="1:8" x14ac:dyDescent="0.25">
      <c r="A8632" s="952"/>
      <c r="B8632" s="953"/>
      <c r="C8632" s="953"/>
      <c r="D8632" s="953"/>
      <c r="E8632" s="953"/>
      <c r="F8632" s="953"/>
      <c r="G8632" s="953"/>
      <c r="H8632" s="953"/>
    </row>
    <row r="8633" spans="1:8" x14ac:dyDescent="0.25">
      <c r="A8633" s="952"/>
      <c r="B8633" s="953"/>
      <c r="C8633" s="953"/>
      <c r="D8633" s="953"/>
      <c r="E8633" s="953"/>
      <c r="F8633" s="953"/>
      <c r="G8633" s="953"/>
      <c r="H8633" s="953"/>
    </row>
    <row r="8634" spans="1:8" x14ac:dyDescent="0.25">
      <c r="A8634" s="952"/>
      <c r="B8634" s="953"/>
      <c r="C8634" s="953"/>
      <c r="D8634" s="953"/>
      <c r="E8634" s="953"/>
      <c r="F8634" s="953"/>
      <c r="G8634" s="953"/>
      <c r="H8634" s="953"/>
    </row>
    <row r="8635" spans="1:8" x14ac:dyDescent="0.25">
      <c r="A8635" s="952"/>
      <c r="B8635" s="953"/>
      <c r="C8635" s="953"/>
      <c r="D8635" s="953"/>
      <c r="E8635" s="953"/>
      <c r="F8635" s="953"/>
      <c r="G8635" s="953"/>
      <c r="H8635" s="953"/>
    </row>
    <row r="8636" spans="1:8" x14ac:dyDescent="0.25">
      <c r="A8636" s="952"/>
      <c r="B8636" s="953"/>
      <c r="C8636" s="953"/>
      <c r="D8636" s="953"/>
      <c r="E8636" s="953"/>
      <c r="F8636" s="953"/>
      <c r="G8636" s="953"/>
      <c r="H8636" s="953"/>
    </row>
    <row r="8637" spans="1:8" x14ac:dyDescent="0.25">
      <c r="A8637" s="952"/>
      <c r="B8637" s="953"/>
      <c r="C8637" s="953"/>
      <c r="D8637" s="953"/>
      <c r="E8637" s="953"/>
      <c r="F8637" s="953"/>
      <c r="G8637" s="953"/>
      <c r="H8637" s="953"/>
    </row>
    <row r="8638" spans="1:8" x14ac:dyDescent="0.25">
      <c r="A8638" s="952"/>
      <c r="B8638" s="953"/>
      <c r="C8638" s="953"/>
      <c r="D8638" s="953"/>
      <c r="E8638" s="953"/>
      <c r="F8638" s="953"/>
      <c r="G8638" s="953"/>
      <c r="H8638" s="953"/>
    </row>
    <row r="8639" spans="1:8" x14ac:dyDescent="0.25">
      <c r="A8639" s="952"/>
      <c r="B8639" s="953"/>
      <c r="C8639" s="953"/>
      <c r="D8639" s="953"/>
      <c r="E8639" s="953"/>
      <c r="F8639" s="953"/>
      <c r="G8639" s="953"/>
      <c r="H8639" s="953"/>
    </row>
    <row r="8640" spans="1:8" x14ac:dyDescent="0.25">
      <c r="A8640" s="952"/>
      <c r="B8640" s="953"/>
      <c r="C8640" s="953"/>
      <c r="D8640" s="953"/>
      <c r="E8640" s="953"/>
      <c r="F8640" s="953"/>
      <c r="G8640" s="953"/>
      <c r="H8640" s="953"/>
    </row>
    <row r="8641" spans="1:8" x14ac:dyDescent="0.25">
      <c r="A8641" s="952"/>
      <c r="B8641" s="953"/>
      <c r="C8641" s="953"/>
      <c r="D8641" s="953"/>
      <c r="E8641" s="953"/>
      <c r="F8641" s="953"/>
      <c r="G8641" s="953"/>
      <c r="H8641" s="953"/>
    </row>
    <row r="8642" spans="1:8" x14ac:dyDescent="0.25">
      <c r="A8642" s="952"/>
      <c r="B8642" s="953"/>
      <c r="C8642" s="953"/>
      <c r="D8642" s="953"/>
      <c r="E8642" s="953"/>
      <c r="F8642" s="953"/>
      <c r="G8642" s="953"/>
      <c r="H8642" s="953"/>
    </row>
    <row r="8643" spans="1:8" x14ac:dyDescent="0.25">
      <c r="A8643" s="952"/>
      <c r="B8643" s="953"/>
      <c r="C8643" s="953"/>
      <c r="D8643" s="953"/>
      <c r="E8643" s="953"/>
      <c r="F8643" s="953"/>
      <c r="G8643" s="953"/>
      <c r="H8643" s="953"/>
    </row>
    <row r="8644" spans="1:8" x14ac:dyDescent="0.25">
      <c r="A8644" s="952"/>
      <c r="B8644" s="953"/>
      <c r="C8644" s="953"/>
      <c r="D8644" s="953"/>
      <c r="E8644" s="953"/>
      <c r="F8644" s="953"/>
      <c r="G8644" s="953"/>
      <c r="H8644" s="953"/>
    </row>
    <row r="8645" spans="1:8" x14ac:dyDescent="0.25">
      <c r="A8645" s="952"/>
      <c r="B8645" s="953"/>
      <c r="C8645" s="953"/>
      <c r="D8645" s="953"/>
      <c r="E8645" s="953"/>
      <c r="F8645" s="953"/>
      <c r="G8645" s="953"/>
      <c r="H8645" s="953"/>
    </row>
    <row r="8646" spans="1:8" x14ac:dyDescent="0.25">
      <c r="A8646" s="952"/>
      <c r="B8646" s="953"/>
      <c r="C8646" s="953"/>
      <c r="D8646" s="953"/>
      <c r="E8646" s="953"/>
      <c r="F8646" s="953"/>
      <c r="G8646" s="953"/>
      <c r="H8646" s="953"/>
    </row>
    <row r="8647" spans="1:8" x14ac:dyDescent="0.25">
      <c r="A8647" s="952"/>
      <c r="B8647" s="953"/>
      <c r="C8647" s="953"/>
      <c r="D8647" s="953"/>
      <c r="E8647" s="953"/>
      <c r="F8647" s="953"/>
      <c r="G8647" s="953"/>
      <c r="H8647" s="953"/>
    </row>
    <row r="8648" spans="1:8" x14ac:dyDescent="0.25">
      <c r="A8648" s="952"/>
      <c r="B8648" s="953"/>
      <c r="C8648" s="953"/>
      <c r="D8648" s="953"/>
      <c r="E8648" s="953"/>
      <c r="F8648" s="953"/>
      <c r="G8648" s="953"/>
      <c r="H8648" s="953"/>
    </row>
    <row r="8649" spans="1:8" x14ac:dyDescent="0.25">
      <c r="A8649" s="952"/>
      <c r="B8649" s="953"/>
      <c r="C8649" s="953"/>
      <c r="D8649" s="953"/>
      <c r="E8649" s="953"/>
      <c r="F8649" s="953"/>
      <c r="G8649" s="953"/>
      <c r="H8649" s="953"/>
    </row>
    <row r="8650" spans="1:8" x14ac:dyDescent="0.25">
      <c r="A8650" s="952"/>
      <c r="B8650" s="953"/>
      <c r="C8650" s="953"/>
      <c r="D8650" s="953"/>
      <c r="E8650" s="953"/>
      <c r="F8650" s="953"/>
      <c r="G8650" s="953"/>
      <c r="H8650" s="953"/>
    </row>
    <row r="8651" spans="1:8" x14ac:dyDescent="0.25">
      <c r="A8651" s="952"/>
      <c r="B8651" s="953"/>
      <c r="C8651" s="953"/>
      <c r="D8651" s="953"/>
      <c r="E8651" s="953"/>
      <c r="F8651" s="953"/>
      <c r="G8651" s="953"/>
      <c r="H8651" s="953"/>
    </row>
    <row r="8652" spans="1:8" x14ac:dyDescent="0.25">
      <c r="A8652" s="952"/>
      <c r="B8652" s="953"/>
      <c r="C8652" s="953"/>
      <c r="D8652" s="953"/>
      <c r="E8652" s="953"/>
      <c r="F8652" s="953"/>
      <c r="G8652" s="953"/>
      <c r="H8652" s="953"/>
    </row>
    <row r="8653" spans="1:8" x14ac:dyDescent="0.25">
      <c r="A8653" s="952"/>
      <c r="B8653" s="953"/>
      <c r="C8653" s="953"/>
      <c r="D8653" s="953"/>
      <c r="E8653" s="953"/>
      <c r="F8653" s="953"/>
      <c r="G8653" s="953"/>
      <c r="H8653" s="953"/>
    </row>
    <row r="8654" spans="1:8" x14ac:dyDescent="0.25">
      <c r="A8654" s="952"/>
      <c r="B8654" s="953"/>
      <c r="C8654" s="953"/>
      <c r="D8654" s="953"/>
      <c r="E8654" s="953"/>
      <c r="F8654" s="953"/>
      <c r="G8654" s="953"/>
      <c r="H8654" s="953"/>
    </row>
    <row r="8655" spans="1:8" x14ac:dyDescent="0.25">
      <c r="A8655" s="952"/>
      <c r="B8655" s="953"/>
      <c r="C8655" s="953"/>
      <c r="D8655" s="953"/>
      <c r="E8655" s="953"/>
      <c r="F8655" s="953"/>
      <c r="G8655" s="953"/>
      <c r="H8655" s="953"/>
    </row>
    <row r="8656" spans="1:8" x14ac:dyDescent="0.25">
      <c r="A8656" s="952"/>
      <c r="B8656" s="953"/>
      <c r="C8656" s="953"/>
      <c r="D8656" s="953"/>
      <c r="E8656" s="953"/>
      <c r="F8656" s="953"/>
      <c r="G8656" s="953"/>
      <c r="H8656" s="953"/>
    </row>
    <row r="8657" spans="1:8" x14ac:dyDescent="0.25">
      <c r="A8657" s="952"/>
      <c r="B8657" s="953"/>
      <c r="C8657" s="953"/>
      <c r="D8657" s="953"/>
      <c r="E8657" s="953"/>
      <c r="F8657" s="953"/>
      <c r="G8657" s="953"/>
      <c r="H8657" s="953"/>
    </row>
    <row r="8658" spans="1:8" x14ac:dyDescent="0.25">
      <c r="A8658" s="952"/>
      <c r="B8658" s="953"/>
      <c r="C8658" s="953"/>
      <c r="D8658" s="953"/>
      <c r="E8658" s="953"/>
      <c r="F8658" s="953"/>
      <c r="G8658" s="953"/>
      <c r="H8658" s="953"/>
    </row>
    <row r="8659" spans="1:8" x14ac:dyDescent="0.25">
      <c r="A8659" s="952"/>
      <c r="B8659" s="953"/>
      <c r="C8659" s="953"/>
      <c r="D8659" s="953"/>
      <c r="E8659" s="953"/>
      <c r="F8659" s="953"/>
      <c r="G8659" s="953"/>
      <c r="H8659" s="953"/>
    </row>
    <row r="8660" spans="1:8" x14ac:dyDescent="0.25">
      <c r="A8660" s="952"/>
      <c r="B8660" s="953"/>
      <c r="C8660" s="953"/>
      <c r="D8660" s="953"/>
      <c r="E8660" s="953"/>
      <c r="F8660" s="953"/>
      <c r="G8660" s="953"/>
      <c r="H8660" s="953"/>
    </row>
    <row r="8661" spans="1:8" x14ac:dyDescent="0.25">
      <c r="A8661" s="952"/>
      <c r="B8661" s="953"/>
      <c r="C8661" s="953"/>
      <c r="D8661" s="953"/>
      <c r="E8661" s="953"/>
      <c r="F8661" s="953"/>
      <c r="G8661" s="953"/>
      <c r="H8661" s="953"/>
    </row>
    <row r="8662" spans="1:8" x14ac:dyDescent="0.25">
      <c r="A8662" s="952"/>
      <c r="B8662" s="953"/>
      <c r="C8662" s="953"/>
      <c r="D8662" s="953"/>
      <c r="E8662" s="953"/>
      <c r="F8662" s="953"/>
      <c r="G8662" s="953"/>
      <c r="H8662" s="953"/>
    </row>
    <row r="8663" spans="1:8" x14ac:dyDescent="0.25">
      <c r="A8663" s="952"/>
      <c r="B8663" s="953"/>
      <c r="C8663" s="953"/>
      <c r="D8663" s="953"/>
      <c r="E8663" s="953"/>
      <c r="F8663" s="953"/>
      <c r="G8663" s="953"/>
      <c r="H8663" s="953"/>
    </row>
    <row r="8664" spans="1:8" x14ac:dyDescent="0.25">
      <c r="A8664" s="952"/>
      <c r="B8664" s="953"/>
      <c r="C8664" s="953"/>
      <c r="D8664" s="953"/>
      <c r="E8664" s="953"/>
      <c r="F8664" s="953"/>
      <c r="G8664" s="953"/>
      <c r="H8664" s="953"/>
    </row>
    <row r="8665" spans="1:8" x14ac:dyDescent="0.25">
      <c r="A8665" s="952"/>
      <c r="B8665" s="953"/>
      <c r="C8665" s="953"/>
      <c r="D8665" s="953"/>
      <c r="E8665" s="953"/>
      <c r="F8665" s="953"/>
      <c r="G8665" s="953"/>
      <c r="H8665" s="953"/>
    </row>
    <row r="8666" spans="1:8" x14ac:dyDescent="0.25">
      <c r="A8666" s="952"/>
      <c r="B8666" s="953"/>
      <c r="C8666" s="953"/>
      <c r="D8666" s="953"/>
      <c r="E8666" s="953"/>
      <c r="F8666" s="953"/>
      <c r="G8666" s="953"/>
      <c r="H8666" s="953"/>
    </row>
    <row r="8667" spans="1:8" x14ac:dyDescent="0.25">
      <c r="A8667" s="952"/>
      <c r="B8667" s="953"/>
      <c r="C8667" s="953"/>
      <c r="D8667" s="953"/>
      <c r="E8667" s="953"/>
      <c r="F8667" s="953"/>
      <c r="G8667" s="953"/>
      <c r="H8667" s="953"/>
    </row>
    <row r="8668" spans="1:8" x14ac:dyDescent="0.25">
      <c r="A8668" s="952"/>
      <c r="B8668" s="953"/>
      <c r="C8668" s="953"/>
      <c r="D8668" s="953"/>
      <c r="E8668" s="953"/>
      <c r="F8668" s="953"/>
      <c r="G8668" s="953"/>
      <c r="H8668" s="953"/>
    </row>
    <row r="8669" spans="1:8" x14ac:dyDescent="0.25">
      <c r="A8669" s="952"/>
      <c r="B8669" s="953"/>
      <c r="C8669" s="953"/>
      <c r="D8669" s="953"/>
      <c r="E8669" s="953"/>
      <c r="F8669" s="953"/>
      <c r="G8669" s="953"/>
      <c r="H8669" s="953"/>
    </row>
    <row r="8670" spans="1:8" x14ac:dyDescent="0.25">
      <c r="A8670" s="952"/>
      <c r="B8670" s="953"/>
      <c r="C8670" s="953"/>
      <c r="D8670" s="953"/>
      <c r="E8670" s="953"/>
      <c r="F8670" s="953"/>
      <c r="G8670" s="953"/>
      <c r="H8670" s="953"/>
    </row>
    <row r="8671" spans="1:8" x14ac:dyDescent="0.25">
      <c r="A8671" s="952"/>
      <c r="B8671" s="953"/>
      <c r="C8671" s="953"/>
      <c r="D8671" s="953"/>
      <c r="E8671" s="953"/>
      <c r="F8671" s="953"/>
      <c r="G8671" s="953"/>
      <c r="H8671" s="953"/>
    </row>
    <row r="8672" spans="1:8" x14ac:dyDescent="0.25">
      <c r="A8672" s="952"/>
      <c r="B8672" s="953"/>
      <c r="C8672" s="953"/>
      <c r="D8672" s="953"/>
      <c r="E8672" s="953"/>
      <c r="F8672" s="953"/>
      <c r="G8672" s="953"/>
      <c r="H8672" s="953"/>
    </row>
    <row r="8673" spans="1:8" x14ac:dyDescent="0.25">
      <c r="A8673" s="952"/>
      <c r="B8673" s="953"/>
      <c r="C8673" s="953"/>
      <c r="D8673" s="953"/>
      <c r="E8673" s="953"/>
      <c r="F8673" s="953"/>
      <c r="G8673" s="953"/>
      <c r="H8673" s="953"/>
    </row>
    <row r="8674" spans="1:8" x14ac:dyDescent="0.25">
      <c r="A8674" s="952"/>
      <c r="B8674" s="953"/>
      <c r="C8674" s="953"/>
      <c r="D8674" s="953"/>
      <c r="E8674" s="953"/>
      <c r="F8674" s="953"/>
      <c r="G8674" s="953"/>
      <c r="H8674" s="953"/>
    </row>
    <row r="8675" spans="1:8" x14ac:dyDescent="0.25">
      <c r="A8675" s="952"/>
      <c r="B8675" s="953"/>
      <c r="C8675" s="953"/>
      <c r="D8675" s="953"/>
      <c r="E8675" s="953"/>
      <c r="F8675" s="953"/>
      <c r="G8675" s="953"/>
      <c r="H8675" s="953"/>
    </row>
    <row r="8676" spans="1:8" x14ac:dyDescent="0.25">
      <c r="A8676" s="952"/>
      <c r="B8676" s="953"/>
      <c r="C8676" s="953"/>
      <c r="D8676" s="953"/>
      <c r="E8676" s="953"/>
      <c r="F8676" s="953"/>
      <c r="G8676" s="953"/>
      <c r="H8676" s="953"/>
    </row>
    <row r="8677" spans="1:8" x14ac:dyDescent="0.25">
      <c r="A8677" s="952"/>
      <c r="B8677" s="953"/>
      <c r="C8677" s="953"/>
      <c r="D8677" s="953"/>
      <c r="E8677" s="953"/>
      <c r="F8677" s="953"/>
      <c r="G8677" s="953"/>
      <c r="H8677" s="953"/>
    </row>
    <row r="8678" spans="1:8" x14ac:dyDescent="0.25">
      <c r="A8678" s="952"/>
      <c r="B8678" s="953"/>
      <c r="C8678" s="953"/>
      <c r="D8678" s="953"/>
      <c r="E8678" s="953"/>
      <c r="F8678" s="953"/>
      <c r="G8678" s="953"/>
      <c r="H8678" s="953"/>
    </row>
    <row r="8679" spans="1:8" x14ac:dyDescent="0.25">
      <c r="A8679" s="952"/>
      <c r="B8679" s="953"/>
      <c r="C8679" s="953"/>
      <c r="D8679" s="953"/>
      <c r="E8679" s="953"/>
      <c r="F8679" s="953"/>
      <c r="G8679" s="953"/>
      <c r="H8679" s="953"/>
    </row>
    <row r="8680" spans="1:8" x14ac:dyDescent="0.25">
      <c r="A8680" s="952"/>
      <c r="B8680" s="953"/>
      <c r="C8680" s="953"/>
      <c r="D8680" s="953"/>
      <c r="E8680" s="953"/>
      <c r="F8680" s="953"/>
      <c r="G8680" s="953"/>
      <c r="H8680" s="953"/>
    </row>
    <row r="8681" spans="1:8" x14ac:dyDescent="0.25">
      <c r="A8681" s="952"/>
      <c r="B8681" s="953"/>
      <c r="C8681" s="953"/>
      <c r="D8681" s="953"/>
      <c r="E8681" s="953"/>
      <c r="F8681" s="953"/>
      <c r="G8681" s="953"/>
      <c r="H8681" s="953"/>
    </row>
    <row r="8682" spans="1:8" x14ac:dyDescent="0.25">
      <c r="A8682" s="952"/>
      <c r="B8682" s="953"/>
      <c r="C8682" s="953"/>
      <c r="D8682" s="953"/>
      <c r="E8682" s="953"/>
      <c r="F8682" s="953"/>
      <c r="G8682" s="953"/>
      <c r="H8682" s="953"/>
    </row>
    <row r="8683" spans="1:8" x14ac:dyDescent="0.25">
      <c r="A8683" s="952"/>
      <c r="B8683" s="953"/>
      <c r="C8683" s="953"/>
      <c r="D8683" s="953"/>
      <c r="E8683" s="953"/>
      <c r="F8683" s="953"/>
      <c r="G8683" s="953"/>
      <c r="H8683" s="953"/>
    </row>
    <row r="8684" spans="1:8" x14ac:dyDescent="0.25">
      <c r="A8684" s="952"/>
      <c r="B8684" s="953"/>
      <c r="C8684" s="953"/>
      <c r="D8684" s="953"/>
      <c r="E8684" s="953"/>
      <c r="F8684" s="953"/>
      <c r="G8684" s="953"/>
      <c r="H8684" s="953"/>
    </row>
    <row r="8685" spans="1:8" x14ac:dyDescent="0.25">
      <c r="A8685" s="952"/>
      <c r="B8685" s="953"/>
      <c r="C8685" s="953"/>
      <c r="D8685" s="953"/>
      <c r="E8685" s="953"/>
      <c r="F8685" s="953"/>
      <c r="G8685" s="953"/>
      <c r="H8685" s="953"/>
    </row>
    <row r="8686" spans="1:8" x14ac:dyDescent="0.25">
      <c r="A8686" s="952"/>
      <c r="B8686" s="953"/>
      <c r="C8686" s="953"/>
      <c r="D8686" s="953"/>
      <c r="E8686" s="953"/>
      <c r="F8686" s="953"/>
      <c r="G8686" s="953"/>
      <c r="H8686" s="953"/>
    </row>
    <row r="8687" spans="1:8" x14ac:dyDescent="0.25">
      <c r="A8687" s="952"/>
      <c r="B8687" s="953"/>
      <c r="C8687" s="953"/>
      <c r="D8687" s="953"/>
      <c r="E8687" s="953"/>
      <c r="F8687" s="953"/>
      <c r="G8687" s="953"/>
      <c r="H8687" s="953"/>
    </row>
    <row r="8688" spans="1:8" x14ac:dyDescent="0.25">
      <c r="A8688" s="952"/>
      <c r="B8688" s="953"/>
      <c r="C8688" s="953"/>
      <c r="D8688" s="953"/>
      <c r="E8688" s="953"/>
      <c r="F8688" s="953"/>
      <c r="G8688" s="953"/>
      <c r="H8688" s="953"/>
    </row>
    <row r="8689" spans="1:8" x14ac:dyDescent="0.25">
      <c r="A8689" s="952"/>
      <c r="B8689" s="953"/>
      <c r="C8689" s="953"/>
      <c r="D8689" s="953"/>
      <c r="E8689" s="953"/>
      <c r="F8689" s="953"/>
      <c r="G8689" s="953"/>
      <c r="H8689" s="953"/>
    </row>
    <row r="8690" spans="1:8" x14ac:dyDescent="0.25">
      <c r="A8690" s="952"/>
      <c r="B8690" s="953"/>
      <c r="C8690" s="953"/>
      <c r="D8690" s="953"/>
      <c r="E8690" s="953"/>
      <c r="F8690" s="953"/>
      <c r="G8690" s="953"/>
      <c r="H8690" s="953"/>
    </row>
    <row r="8691" spans="1:8" x14ac:dyDescent="0.25">
      <c r="A8691" s="952"/>
      <c r="B8691" s="953"/>
      <c r="C8691" s="953"/>
      <c r="D8691" s="953"/>
      <c r="E8691" s="953"/>
      <c r="F8691" s="953"/>
      <c r="G8691" s="953"/>
      <c r="H8691" s="953"/>
    </row>
    <row r="8692" spans="1:8" x14ac:dyDescent="0.25">
      <c r="A8692" s="952"/>
      <c r="B8692" s="953"/>
      <c r="C8692" s="953"/>
      <c r="D8692" s="953"/>
      <c r="E8692" s="953"/>
      <c r="F8692" s="953"/>
      <c r="G8692" s="953"/>
      <c r="H8692" s="953"/>
    </row>
    <row r="8693" spans="1:8" x14ac:dyDescent="0.25">
      <c r="A8693" s="952"/>
      <c r="B8693" s="953"/>
      <c r="C8693" s="953"/>
      <c r="D8693" s="953"/>
      <c r="E8693" s="953"/>
      <c r="F8693" s="953"/>
      <c r="G8693" s="953"/>
      <c r="H8693" s="953"/>
    </row>
    <row r="8694" spans="1:8" x14ac:dyDescent="0.25">
      <c r="A8694" s="952"/>
      <c r="B8694" s="953"/>
      <c r="C8694" s="953"/>
      <c r="D8694" s="953"/>
      <c r="E8694" s="953"/>
      <c r="F8694" s="953"/>
      <c r="G8694" s="953"/>
      <c r="H8694" s="953"/>
    </row>
    <row r="8695" spans="1:8" x14ac:dyDescent="0.25">
      <c r="A8695" s="952"/>
      <c r="B8695" s="953"/>
      <c r="C8695" s="953"/>
      <c r="D8695" s="953"/>
      <c r="E8695" s="953"/>
      <c r="F8695" s="953"/>
      <c r="G8695" s="953"/>
      <c r="H8695" s="953"/>
    </row>
    <row r="8696" spans="1:8" x14ac:dyDescent="0.25">
      <c r="A8696" s="952"/>
      <c r="B8696" s="953"/>
      <c r="C8696" s="953"/>
      <c r="D8696" s="953"/>
      <c r="E8696" s="953"/>
      <c r="F8696" s="953"/>
      <c r="G8696" s="953"/>
      <c r="H8696" s="953"/>
    </row>
    <row r="8697" spans="1:8" x14ac:dyDescent="0.25">
      <c r="A8697" s="952"/>
      <c r="B8697" s="953"/>
      <c r="C8697" s="953"/>
      <c r="D8697" s="953"/>
      <c r="E8697" s="953"/>
      <c r="F8697" s="953"/>
      <c r="G8697" s="953"/>
      <c r="H8697" s="953"/>
    </row>
    <row r="8698" spans="1:8" x14ac:dyDescent="0.25">
      <c r="A8698" s="952"/>
      <c r="B8698" s="953"/>
      <c r="C8698" s="953"/>
      <c r="D8698" s="953"/>
      <c r="E8698" s="953"/>
      <c r="F8698" s="953"/>
      <c r="G8698" s="953"/>
      <c r="H8698" s="953"/>
    </row>
    <row r="8699" spans="1:8" x14ac:dyDescent="0.25">
      <c r="A8699" s="952"/>
      <c r="B8699" s="953"/>
      <c r="C8699" s="953"/>
      <c r="D8699" s="953"/>
      <c r="E8699" s="953"/>
      <c r="F8699" s="953"/>
      <c r="G8699" s="953"/>
      <c r="H8699" s="953"/>
    </row>
    <row r="8700" spans="1:8" x14ac:dyDescent="0.25">
      <c r="A8700" s="952"/>
      <c r="B8700" s="953"/>
      <c r="C8700" s="953"/>
      <c r="D8700" s="953"/>
      <c r="E8700" s="953"/>
      <c r="F8700" s="953"/>
      <c r="G8700" s="953"/>
      <c r="H8700" s="953"/>
    </row>
    <row r="8701" spans="1:8" x14ac:dyDescent="0.25">
      <c r="A8701" s="952"/>
      <c r="B8701" s="953"/>
      <c r="C8701" s="953"/>
      <c r="D8701" s="953"/>
      <c r="E8701" s="953"/>
      <c r="F8701" s="953"/>
      <c r="G8701" s="953"/>
      <c r="H8701" s="953"/>
    </row>
    <row r="8702" spans="1:8" x14ac:dyDescent="0.25">
      <c r="A8702" s="952"/>
      <c r="B8702" s="953"/>
      <c r="C8702" s="953"/>
      <c r="D8702" s="953"/>
      <c r="E8702" s="953"/>
      <c r="F8702" s="953"/>
      <c r="G8702" s="953"/>
      <c r="H8702" s="953"/>
    </row>
    <row r="8703" spans="1:8" x14ac:dyDescent="0.25">
      <c r="A8703" s="952"/>
      <c r="B8703" s="953"/>
      <c r="C8703" s="953"/>
      <c r="D8703" s="953"/>
      <c r="E8703" s="953"/>
      <c r="F8703" s="953"/>
      <c r="G8703" s="953"/>
      <c r="H8703" s="953"/>
    </row>
    <row r="8704" spans="1:8" x14ac:dyDescent="0.25">
      <c r="A8704" s="952"/>
      <c r="B8704" s="953"/>
      <c r="C8704" s="953"/>
      <c r="D8704" s="953"/>
      <c r="E8704" s="953"/>
      <c r="F8704" s="953"/>
      <c r="G8704" s="953"/>
      <c r="H8704" s="953"/>
    </row>
    <row r="8705" spans="1:8" x14ac:dyDescent="0.25">
      <c r="A8705" s="952"/>
      <c r="B8705" s="953"/>
      <c r="C8705" s="953"/>
      <c r="D8705" s="953"/>
      <c r="E8705" s="953"/>
      <c r="F8705" s="953"/>
      <c r="G8705" s="953"/>
      <c r="H8705" s="953"/>
    </row>
    <row r="8706" spans="1:8" x14ac:dyDescent="0.25">
      <c r="A8706" s="952"/>
      <c r="B8706" s="953"/>
      <c r="C8706" s="953"/>
      <c r="D8706" s="953"/>
      <c r="E8706" s="953"/>
      <c r="F8706" s="953"/>
      <c r="G8706" s="953"/>
      <c r="H8706" s="953"/>
    </row>
    <row r="8707" spans="1:8" x14ac:dyDescent="0.25">
      <c r="A8707" s="952"/>
      <c r="B8707" s="953"/>
      <c r="C8707" s="953"/>
      <c r="D8707" s="953"/>
      <c r="E8707" s="953"/>
      <c r="F8707" s="953"/>
      <c r="G8707" s="953"/>
      <c r="H8707" s="953"/>
    </row>
    <row r="8708" spans="1:8" x14ac:dyDescent="0.25">
      <c r="A8708" s="952"/>
      <c r="B8708" s="953"/>
      <c r="C8708" s="953"/>
      <c r="D8708" s="953"/>
      <c r="E8708" s="953"/>
      <c r="F8708" s="953"/>
      <c r="G8708" s="953"/>
      <c r="H8708" s="953"/>
    </row>
    <row r="8709" spans="1:8" x14ac:dyDescent="0.25">
      <c r="A8709" s="952"/>
      <c r="B8709" s="953"/>
      <c r="C8709" s="953"/>
      <c r="D8709" s="953"/>
      <c r="E8709" s="953"/>
      <c r="F8709" s="953"/>
      <c r="G8709" s="953"/>
      <c r="H8709" s="953"/>
    </row>
    <row r="8710" spans="1:8" x14ac:dyDescent="0.25">
      <c r="A8710" s="952"/>
      <c r="B8710" s="953"/>
      <c r="C8710" s="953"/>
      <c r="D8710" s="953"/>
      <c r="E8710" s="953"/>
      <c r="F8710" s="953"/>
      <c r="G8710" s="953"/>
      <c r="H8710" s="953"/>
    </row>
    <row r="8711" spans="1:8" x14ac:dyDescent="0.25">
      <c r="A8711" s="952"/>
      <c r="B8711" s="953"/>
      <c r="C8711" s="953"/>
      <c r="D8711" s="953"/>
      <c r="E8711" s="953"/>
      <c r="F8711" s="953"/>
      <c r="G8711" s="953"/>
      <c r="H8711" s="953"/>
    </row>
    <row r="8712" spans="1:8" x14ac:dyDescent="0.25">
      <c r="A8712" s="952"/>
      <c r="B8712" s="953"/>
      <c r="C8712" s="953"/>
      <c r="D8712" s="953"/>
      <c r="E8712" s="953"/>
      <c r="F8712" s="953"/>
      <c r="G8712" s="953"/>
      <c r="H8712" s="953"/>
    </row>
    <row r="8713" spans="1:8" x14ac:dyDescent="0.25">
      <c r="A8713" s="952"/>
      <c r="B8713" s="953"/>
      <c r="C8713" s="953"/>
      <c r="D8713" s="953"/>
      <c r="E8713" s="953"/>
      <c r="F8713" s="953"/>
      <c r="G8713" s="953"/>
      <c r="H8713" s="953"/>
    </row>
    <row r="8714" spans="1:8" x14ac:dyDescent="0.25">
      <c r="A8714" s="952"/>
      <c r="B8714" s="953"/>
      <c r="C8714" s="953"/>
      <c r="D8714" s="953"/>
      <c r="E8714" s="953"/>
      <c r="F8714" s="953"/>
      <c r="G8714" s="953"/>
      <c r="H8714" s="953"/>
    </row>
    <row r="8715" spans="1:8" x14ac:dyDescent="0.25">
      <c r="A8715" s="952"/>
      <c r="B8715" s="953"/>
      <c r="C8715" s="953"/>
      <c r="D8715" s="953"/>
      <c r="E8715" s="953"/>
      <c r="F8715" s="953"/>
      <c r="G8715" s="953"/>
      <c r="H8715" s="953"/>
    </row>
    <row r="8716" spans="1:8" x14ac:dyDescent="0.25">
      <c r="A8716" s="952"/>
      <c r="B8716" s="953"/>
      <c r="C8716" s="953"/>
      <c r="D8716" s="953"/>
      <c r="E8716" s="953"/>
      <c r="F8716" s="953"/>
      <c r="G8716" s="953"/>
      <c r="H8716" s="953"/>
    </row>
    <row r="8717" spans="1:8" x14ac:dyDescent="0.25">
      <c r="A8717" s="952"/>
      <c r="B8717" s="953"/>
      <c r="C8717" s="953"/>
      <c r="D8717" s="953"/>
      <c r="E8717" s="953"/>
      <c r="F8717" s="953"/>
      <c r="G8717" s="953"/>
      <c r="H8717" s="953"/>
    </row>
    <row r="8718" spans="1:8" x14ac:dyDescent="0.25">
      <c r="A8718" s="952"/>
      <c r="B8718" s="953"/>
      <c r="C8718" s="953"/>
      <c r="D8718" s="953"/>
      <c r="E8718" s="953"/>
      <c r="F8718" s="953"/>
      <c r="G8718" s="953"/>
      <c r="H8718" s="953"/>
    </row>
    <row r="8719" spans="1:8" x14ac:dyDescent="0.25">
      <c r="A8719" s="952"/>
      <c r="B8719" s="953"/>
      <c r="C8719" s="953"/>
      <c r="D8719" s="953"/>
      <c r="E8719" s="953"/>
      <c r="F8719" s="953"/>
      <c r="G8719" s="953"/>
      <c r="H8719" s="953"/>
    </row>
    <row r="8720" spans="1:8" x14ac:dyDescent="0.25">
      <c r="A8720" s="952"/>
      <c r="B8720" s="953"/>
      <c r="C8720" s="953"/>
      <c r="D8720" s="953"/>
      <c r="E8720" s="953"/>
      <c r="F8720" s="953"/>
      <c r="G8720" s="953"/>
      <c r="H8720" s="953"/>
    </row>
    <row r="8721" spans="1:8" x14ac:dyDescent="0.25">
      <c r="A8721" s="952"/>
      <c r="B8721" s="953"/>
      <c r="C8721" s="953"/>
      <c r="D8721" s="953"/>
      <c r="E8721" s="953"/>
      <c r="F8721" s="953"/>
      <c r="G8721" s="953"/>
      <c r="H8721" s="953"/>
    </row>
    <row r="8722" spans="1:8" x14ac:dyDescent="0.25">
      <c r="A8722" s="952"/>
      <c r="B8722" s="953"/>
      <c r="C8722" s="953"/>
      <c r="D8722" s="953"/>
      <c r="E8722" s="953"/>
      <c r="F8722" s="953"/>
      <c r="G8722" s="953"/>
      <c r="H8722" s="953"/>
    </row>
    <row r="8723" spans="1:8" x14ac:dyDescent="0.25">
      <c r="A8723" s="952"/>
      <c r="B8723" s="953"/>
      <c r="C8723" s="953"/>
      <c r="D8723" s="953"/>
      <c r="E8723" s="953"/>
      <c r="F8723" s="953"/>
      <c r="G8723" s="953"/>
      <c r="H8723" s="953"/>
    </row>
    <row r="8724" spans="1:8" x14ac:dyDescent="0.25">
      <c r="A8724" s="952"/>
      <c r="B8724" s="953"/>
      <c r="C8724" s="953"/>
      <c r="D8724" s="953"/>
      <c r="E8724" s="953"/>
      <c r="F8724" s="953"/>
      <c r="G8724" s="953"/>
      <c r="H8724" s="953"/>
    </row>
    <row r="8725" spans="1:8" x14ac:dyDescent="0.25">
      <c r="A8725" s="952"/>
      <c r="B8725" s="953"/>
      <c r="C8725" s="953"/>
      <c r="D8725" s="953"/>
      <c r="E8725" s="953"/>
      <c r="F8725" s="953"/>
      <c r="G8725" s="953"/>
      <c r="H8725" s="953"/>
    </row>
    <row r="8726" spans="1:8" x14ac:dyDescent="0.25">
      <c r="A8726" s="952"/>
      <c r="B8726" s="953"/>
      <c r="C8726" s="953"/>
      <c r="D8726" s="953"/>
      <c r="E8726" s="953"/>
      <c r="F8726" s="953"/>
      <c r="G8726" s="953"/>
      <c r="H8726" s="953"/>
    </row>
    <row r="8727" spans="1:8" x14ac:dyDescent="0.25">
      <c r="A8727" s="952"/>
      <c r="B8727" s="953"/>
      <c r="C8727" s="953"/>
      <c r="D8727" s="953"/>
      <c r="E8727" s="953"/>
      <c r="F8727" s="953"/>
      <c r="G8727" s="953"/>
      <c r="H8727" s="953"/>
    </row>
    <row r="8728" spans="1:8" x14ac:dyDescent="0.25">
      <c r="A8728" s="952"/>
      <c r="B8728" s="953"/>
      <c r="C8728" s="953"/>
      <c r="D8728" s="953"/>
      <c r="E8728" s="953"/>
      <c r="F8728" s="953"/>
      <c r="G8728" s="953"/>
      <c r="H8728" s="953"/>
    </row>
    <row r="8729" spans="1:8" x14ac:dyDescent="0.25">
      <c r="A8729" s="952"/>
      <c r="B8729" s="953"/>
      <c r="C8729" s="953"/>
      <c r="D8729" s="953"/>
      <c r="E8729" s="953"/>
      <c r="F8729" s="953"/>
      <c r="G8729" s="953"/>
      <c r="H8729" s="953"/>
    </row>
    <row r="8730" spans="1:8" x14ac:dyDescent="0.25">
      <c r="A8730" s="952"/>
      <c r="B8730" s="953"/>
      <c r="C8730" s="953"/>
      <c r="D8730" s="953"/>
      <c r="E8730" s="953"/>
      <c r="F8730" s="953"/>
      <c r="G8730" s="953"/>
      <c r="H8730" s="953"/>
    </row>
    <row r="8731" spans="1:8" x14ac:dyDescent="0.25">
      <c r="A8731" s="952"/>
      <c r="B8731" s="953"/>
      <c r="C8731" s="953"/>
      <c r="D8731" s="953"/>
      <c r="E8731" s="953"/>
      <c r="F8731" s="953"/>
      <c r="G8731" s="953"/>
      <c r="H8731" s="953"/>
    </row>
    <row r="8732" spans="1:8" x14ac:dyDescent="0.25">
      <c r="A8732" s="952"/>
      <c r="B8732" s="953"/>
      <c r="C8732" s="953"/>
      <c r="D8732" s="953"/>
      <c r="E8732" s="953"/>
      <c r="F8732" s="953"/>
      <c r="G8732" s="953"/>
      <c r="H8732" s="953"/>
    </row>
    <row r="8733" spans="1:8" x14ac:dyDescent="0.25">
      <c r="A8733" s="952"/>
      <c r="B8733" s="953"/>
      <c r="C8733" s="953"/>
      <c r="D8733" s="953"/>
      <c r="E8733" s="953"/>
      <c r="F8733" s="953"/>
      <c r="G8733" s="953"/>
      <c r="H8733" s="953"/>
    </row>
    <row r="8734" spans="1:8" x14ac:dyDescent="0.25">
      <c r="A8734" s="952"/>
      <c r="B8734" s="953"/>
      <c r="C8734" s="953"/>
      <c r="D8734" s="953"/>
      <c r="E8734" s="953"/>
      <c r="F8734" s="953"/>
      <c r="G8734" s="953"/>
      <c r="H8734" s="953"/>
    </row>
    <row r="8735" spans="1:8" x14ac:dyDescent="0.25">
      <c r="A8735" s="952"/>
      <c r="B8735" s="953"/>
      <c r="C8735" s="953"/>
      <c r="D8735" s="953"/>
      <c r="E8735" s="953"/>
      <c r="F8735" s="953"/>
      <c r="G8735" s="953"/>
      <c r="H8735" s="953"/>
    </row>
    <row r="8736" spans="1:8" x14ac:dyDescent="0.25">
      <c r="A8736" s="952"/>
      <c r="B8736" s="953"/>
      <c r="C8736" s="953"/>
      <c r="D8736" s="953"/>
      <c r="E8736" s="953"/>
      <c r="F8736" s="953"/>
      <c r="G8736" s="953"/>
      <c r="H8736" s="953"/>
    </row>
    <row r="8737" spans="1:8" x14ac:dyDescent="0.25">
      <c r="A8737" s="952"/>
      <c r="B8737" s="953"/>
      <c r="C8737" s="953"/>
      <c r="D8737" s="953"/>
      <c r="E8737" s="953"/>
      <c r="F8737" s="953"/>
      <c r="G8737" s="953"/>
      <c r="H8737" s="953"/>
    </row>
    <row r="8738" spans="1:8" x14ac:dyDescent="0.25">
      <c r="A8738" s="952"/>
      <c r="B8738" s="953"/>
      <c r="C8738" s="953"/>
      <c r="D8738" s="953"/>
      <c r="E8738" s="953"/>
      <c r="F8738" s="953"/>
      <c r="G8738" s="953"/>
      <c r="H8738" s="953"/>
    </row>
    <row r="8739" spans="1:8" x14ac:dyDescent="0.25">
      <c r="A8739" s="952"/>
      <c r="B8739" s="953"/>
      <c r="C8739" s="953"/>
      <c r="D8739" s="953"/>
      <c r="E8739" s="953"/>
      <c r="F8739" s="953"/>
      <c r="G8739" s="953"/>
      <c r="H8739" s="953"/>
    </row>
    <row r="8740" spans="1:8" x14ac:dyDescent="0.25">
      <c r="A8740" s="952"/>
      <c r="B8740" s="953"/>
      <c r="C8740" s="953"/>
      <c r="D8740" s="953"/>
      <c r="E8740" s="953"/>
      <c r="F8740" s="953"/>
      <c r="G8740" s="953"/>
      <c r="H8740" s="953"/>
    </row>
    <row r="8741" spans="1:8" x14ac:dyDescent="0.25">
      <c r="A8741" s="952"/>
      <c r="B8741" s="953"/>
      <c r="C8741" s="953"/>
      <c r="D8741" s="953"/>
      <c r="E8741" s="953"/>
      <c r="F8741" s="953"/>
      <c r="G8741" s="953"/>
      <c r="H8741" s="953"/>
    </row>
    <row r="8742" spans="1:8" x14ac:dyDescent="0.25">
      <c r="A8742" s="952"/>
      <c r="B8742" s="953"/>
      <c r="C8742" s="953"/>
      <c r="D8742" s="953"/>
      <c r="E8742" s="953"/>
      <c r="F8742" s="953"/>
      <c r="G8742" s="953"/>
      <c r="H8742" s="953"/>
    </row>
    <row r="8743" spans="1:8" x14ac:dyDescent="0.25">
      <c r="A8743" s="952"/>
      <c r="B8743" s="953"/>
      <c r="C8743" s="953"/>
      <c r="D8743" s="953"/>
      <c r="E8743" s="953"/>
      <c r="F8743" s="953"/>
      <c r="G8743" s="953"/>
      <c r="H8743" s="953"/>
    </row>
    <row r="8744" spans="1:8" x14ac:dyDescent="0.25">
      <c r="A8744" s="952"/>
      <c r="B8744" s="953"/>
      <c r="C8744" s="953"/>
      <c r="D8744" s="953"/>
      <c r="E8744" s="953"/>
      <c r="F8744" s="953"/>
      <c r="G8744" s="953"/>
      <c r="H8744" s="953"/>
    </row>
    <row r="8745" spans="1:8" x14ac:dyDescent="0.25">
      <c r="A8745" s="952"/>
      <c r="B8745" s="953"/>
      <c r="C8745" s="953"/>
      <c r="D8745" s="953"/>
      <c r="E8745" s="953"/>
      <c r="F8745" s="953"/>
      <c r="G8745" s="953"/>
      <c r="H8745" s="953"/>
    </row>
    <row r="8746" spans="1:8" x14ac:dyDescent="0.25">
      <c r="A8746" s="952"/>
      <c r="B8746" s="953"/>
      <c r="C8746" s="953"/>
      <c r="D8746" s="953"/>
      <c r="E8746" s="953"/>
      <c r="F8746" s="953"/>
      <c r="G8746" s="953"/>
      <c r="H8746" s="953"/>
    </row>
    <row r="8747" spans="1:8" x14ac:dyDescent="0.25">
      <c r="A8747" s="952"/>
      <c r="B8747" s="953"/>
      <c r="C8747" s="953"/>
      <c r="D8747" s="953"/>
      <c r="E8747" s="953"/>
      <c r="F8747" s="953"/>
      <c r="G8747" s="953"/>
      <c r="H8747" s="953"/>
    </row>
    <row r="8748" spans="1:8" x14ac:dyDescent="0.25">
      <c r="A8748" s="952"/>
      <c r="B8748" s="953"/>
      <c r="C8748" s="953"/>
      <c r="D8748" s="953"/>
      <c r="E8748" s="953"/>
      <c r="F8748" s="953"/>
      <c r="G8748" s="953"/>
      <c r="H8748" s="953"/>
    </row>
    <row r="8749" spans="1:8" x14ac:dyDescent="0.25">
      <c r="A8749" s="952"/>
      <c r="B8749" s="953"/>
      <c r="C8749" s="953"/>
      <c r="D8749" s="953"/>
      <c r="E8749" s="953"/>
      <c r="F8749" s="953"/>
      <c r="G8749" s="953"/>
      <c r="H8749" s="953"/>
    </row>
    <row r="8750" spans="1:8" x14ac:dyDescent="0.25">
      <c r="A8750" s="952"/>
      <c r="B8750" s="953"/>
      <c r="C8750" s="953"/>
      <c r="D8750" s="953"/>
      <c r="E8750" s="953"/>
      <c r="F8750" s="953"/>
      <c r="G8750" s="953"/>
      <c r="H8750" s="953"/>
    </row>
    <row r="8751" spans="1:8" x14ac:dyDescent="0.25">
      <c r="A8751" s="952"/>
      <c r="B8751" s="953"/>
      <c r="C8751" s="953"/>
      <c r="D8751" s="953"/>
      <c r="E8751" s="953"/>
      <c r="F8751" s="953"/>
      <c r="G8751" s="953"/>
      <c r="H8751" s="953"/>
    </row>
    <row r="8752" spans="1:8" x14ac:dyDescent="0.25">
      <c r="A8752" s="952"/>
      <c r="B8752" s="953"/>
      <c r="C8752" s="953"/>
      <c r="D8752" s="953"/>
      <c r="E8752" s="953"/>
      <c r="F8752" s="953"/>
      <c r="G8752" s="953"/>
      <c r="H8752" s="953"/>
    </row>
    <row r="8753" spans="1:8" x14ac:dyDescent="0.25">
      <c r="A8753" s="952"/>
      <c r="B8753" s="953"/>
      <c r="C8753" s="953"/>
      <c r="D8753" s="953"/>
      <c r="E8753" s="953"/>
      <c r="F8753" s="953"/>
      <c r="G8753" s="953"/>
      <c r="H8753" s="953"/>
    </row>
    <row r="8754" spans="1:8" x14ac:dyDescent="0.25">
      <c r="A8754" s="952"/>
      <c r="B8754" s="953"/>
      <c r="C8754" s="953"/>
      <c r="D8754" s="953"/>
      <c r="E8754" s="953"/>
      <c r="F8754" s="953"/>
      <c r="G8754" s="953"/>
      <c r="H8754" s="953"/>
    </row>
    <row r="8755" spans="1:8" x14ac:dyDescent="0.25">
      <c r="A8755" s="952"/>
      <c r="B8755" s="953"/>
      <c r="C8755" s="953"/>
      <c r="D8755" s="953"/>
      <c r="E8755" s="953"/>
      <c r="F8755" s="953"/>
      <c r="G8755" s="953"/>
      <c r="H8755" s="953"/>
    </row>
    <row r="8756" spans="1:8" x14ac:dyDescent="0.25">
      <c r="A8756" s="952"/>
      <c r="B8756" s="953"/>
      <c r="C8756" s="953"/>
      <c r="D8756" s="953"/>
      <c r="E8756" s="953"/>
      <c r="F8756" s="953"/>
      <c r="G8756" s="953"/>
      <c r="H8756" s="953"/>
    </row>
    <row r="8757" spans="1:8" x14ac:dyDescent="0.25">
      <c r="A8757" s="952"/>
      <c r="B8757" s="953"/>
      <c r="C8757" s="953"/>
      <c r="D8757" s="953"/>
      <c r="E8757" s="953"/>
      <c r="F8757" s="953"/>
      <c r="G8757" s="953"/>
      <c r="H8757" s="953"/>
    </row>
    <row r="8758" spans="1:8" x14ac:dyDescent="0.25">
      <c r="A8758" s="952"/>
      <c r="B8758" s="953"/>
      <c r="C8758" s="953"/>
      <c r="D8758" s="953"/>
      <c r="E8758" s="953"/>
      <c r="F8758" s="953"/>
      <c r="G8758" s="953"/>
      <c r="H8758" s="953"/>
    </row>
    <row r="8759" spans="1:8" x14ac:dyDescent="0.25">
      <c r="A8759" s="952"/>
      <c r="B8759" s="953"/>
      <c r="C8759" s="953"/>
      <c r="D8759" s="953"/>
      <c r="E8759" s="953"/>
      <c r="F8759" s="953"/>
      <c r="G8759" s="953"/>
      <c r="H8759" s="953"/>
    </row>
    <row r="8760" spans="1:8" x14ac:dyDescent="0.25">
      <c r="A8760" s="952"/>
      <c r="B8760" s="953"/>
      <c r="C8760" s="953"/>
      <c r="D8760" s="953"/>
      <c r="E8760" s="953"/>
      <c r="F8760" s="953"/>
      <c r="G8760" s="953"/>
      <c r="H8760" s="953"/>
    </row>
    <row r="8761" spans="1:8" x14ac:dyDescent="0.25">
      <c r="A8761" s="952"/>
      <c r="B8761" s="953"/>
      <c r="C8761" s="953"/>
      <c r="D8761" s="953"/>
      <c r="E8761" s="953"/>
      <c r="F8761" s="953"/>
      <c r="G8761" s="953"/>
      <c r="H8761" s="953"/>
    </row>
    <row r="8762" spans="1:8" x14ac:dyDescent="0.25">
      <c r="A8762" s="952"/>
      <c r="B8762" s="953"/>
      <c r="C8762" s="953"/>
      <c r="D8762" s="953"/>
      <c r="E8762" s="953"/>
      <c r="F8762" s="953"/>
      <c r="G8762" s="953"/>
      <c r="H8762" s="953"/>
    </row>
    <row r="8763" spans="1:8" x14ac:dyDescent="0.25">
      <c r="A8763" s="952"/>
      <c r="B8763" s="953"/>
      <c r="C8763" s="953"/>
      <c r="D8763" s="953"/>
      <c r="E8763" s="953"/>
      <c r="F8763" s="953"/>
      <c r="G8763" s="953"/>
      <c r="H8763" s="953"/>
    </row>
    <row r="8764" spans="1:8" x14ac:dyDescent="0.25">
      <c r="A8764" s="952"/>
      <c r="B8764" s="953"/>
      <c r="C8764" s="953"/>
      <c r="D8764" s="953"/>
      <c r="E8764" s="953"/>
      <c r="F8764" s="953"/>
      <c r="G8764" s="953"/>
      <c r="H8764" s="953"/>
    </row>
    <row r="8765" spans="1:8" x14ac:dyDescent="0.25">
      <c r="A8765" s="952"/>
      <c r="B8765" s="953"/>
      <c r="C8765" s="953"/>
      <c r="D8765" s="953"/>
      <c r="E8765" s="953"/>
      <c r="F8765" s="953"/>
      <c r="G8765" s="953"/>
      <c r="H8765" s="953"/>
    </row>
    <row r="8766" spans="1:8" x14ac:dyDescent="0.25">
      <c r="A8766" s="952"/>
      <c r="B8766" s="953"/>
      <c r="C8766" s="953"/>
      <c r="D8766" s="953"/>
      <c r="E8766" s="953"/>
      <c r="F8766" s="953"/>
      <c r="G8766" s="953"/>
      <c r="H8766" s="953"/>
    </row>
    <row r="8767" spans="1:8" x14ac:dyDescent="0.25">
      <c r="A8767" s="952"/>
      <c r="B8767" s="953"/>
      <c r="C8767" s="953"/>
      <c r="D8767" s="953"/>
      <c r="E8767" s="953"/>
      <c r="F8767" s="953"/>
      <c r="G8767" s="953"/>
      <c r="H8767" s="953"/>
    </row>
    <row r="8768" spans="1:8" x14ac:dyDescent="0.25">
      <c r="A8768" s="952"/>
      <c r="B8768" s="953"/>
      <c r="C8768" s="953"/>
      <c r="D8768" s="953"/>
      <c r="E8768" s="953"/>
      <c r="F8768" s="953"/>
      <c r="G8768" s="953"/>
      <c r="H8768" s="953"/>
    </row>
    <row r="8769" spans="1:8" x14ac:dyDescent="0.25">
      <c r="A8769" s="952"/>
      <c r="B8769" s="953"/>
      <c r="C8769" s="953"/>
      <c r="D8769" s="953"/>
      <c r="E8769" s="953"/>
      <c r="F8769" s="953"/>
      <c r="G8769" s="953"/>
      <c r="H8769" s="953"/>
    </row>
    <row r="8770" spans="1:8" x14ac:dyDescent="0.25">
      <c r="A8770" s="952"/>
      <c r="B8770" s="953"/>
      <c r="C8770" s="953"/>
      <c r="D8770" s="953"/>
      <c r="E8770" s="953"/>
      <c r="F8770" s="953"/>
      <c r="G8770" s="953"/>
      <c r="H8770" s="953"/>
    </row>
    <row r="8771" spans="1:8" x14ac:dyDescent="0.25">
      <c r="A8771" s="952"/>
      <c r="B8771" s="953"/>
      <c r="C8771" s="953"/>
      <c r="D8771" s="953"/>
      <c r="E8771" s="953"/>
      <c r="F8771" s="953"/>
      <c r="G8771" s="953"/>
      <c r="H8771" s="953"/>
    </row>
    <row r="8772" spans="1:8" x14ac:dyDescent="0.25">
      <c r="A8772" s="952"/>
      <c r="B8772" s="953"/>
      <c r="C8772" s="953"/>
      <c r="D8772" s="953"/>
      <c r="E8772" s="953"/>
      <c r="F8772" s="953"/>
      <c r="G8772" s="953"/>
      <c r="H8772" s="953"/>
    </row>
    <row r="8773" spans="1:8" x14ac:dyDescent="0.25">
      <c r="A8773" s="952"/>
      <c r="B8773" s="953"/>
      <c r="C8773" s="953"/>
      <c r="D8773" s="953"/>
      <c r="E8773" s="953"/>
      <c r="F8773" s="953"/>
      <c r="G8773" s="953"/>
      <c r="H8773" s="953"/>
    </row>
    <row r="8774" spans="1:8" x14ac:dyDescent="0.25">
      <c r="A8774" s="952"/>
      <c r="B8774" s="953"/>
      <c r="C8774" s="953"/>
      <c r="D8774" s="953"/>
      <c r="E8774" s="953"/>
      <c r="F8774" s="953"/>
      <c r="G8774" s="953"/>
      <c r="H8774" s="953"/>
    </row>
    <row r="8775" spans="1:8" x14ac:dyDescent="0.25">
      <c r="A8775" s="952"/>
      <c r="B8775" s="953"/>
      <c r="C8775" s="953"/>
      <c r="D8775" s="953"/>
      <c r="E8775" s="953"/>
      <c r="F8775" s="953"/>
      <c r="G8775" s="953"/>
      <c r="H8775" s="953"/>
    </row>
    <row r="8776" spans="1:8" x14ac:dyDescent="0.25">
      <c r="A8776" s="952"/>
      <c r="B8776" s="953"/>
      <c r="C8776" s="953"/>
      <c r="D8776" s="953"/>
      <c r="E8776" s="953"/>
      <c r="F8776" s="953"/>
      <c r="G8776" s="953"/>
      <c r="H8776" s="953"/>
    </row>
    <row r="8777" spans="1:8" x14ac:dyDescent="0.25">
      <c r="A8777" s="952"/>
      <c r="B8777" s="953"/>
      <c r="C8777" s="953"/>
      <c r="D8777" s="953"/>
      <c r="E8777" s="953"/>
      <c r="F8777" s="953"/>
      <c r="G8777" s="953"/>
      <c r="H8777" s="953"/>
    </row>
    <row r="8778" spans="1:8" x14ac:dyDescent="0.25">
      <c r="A8778" s="952"/>
      <c r="B8778" s="953"/>
      <c r="C8778" s="953"/>
      <c r="D8778" s="953"/>
      <c r="E8778" s="953"/>
      <c r="F8778" s="953"/>
      <c r="G8778" s="953"/>
      <c r="H8778" s="953"/>
    </row>
    <row r="8779" spans="1:8" x14ac:dyDescent="0.25">
      <c r="A8779" s="952"/>
      <c r="B8779" s="953"/>
      <c r="C8779" s="953"/>
      <c r="D8779" s="953"/>
      <c r="E8779" s="953"/>
      <c r="F8779" s="953"/>
      <c r="G8779" s="953"/>
      <c r="H8779" s="953"/>
    </row>
    <row r="8780" spans="1:8" x14ac:dyDescent="0.25">
      <c r="A8780" s="952"/>
      <c r="B8780" s="953"/>
      <c r="C8780" s="953"/>
      <c r="D8780" s="953"/>
      <c r="E8780" s="953"/>
      <c r="F8780" s="953"/>
      <c r="G8780" s="953"/>
      <c r="H8780" s="953"/>
    </row>
    <row r="8781" spans="1:8" x14ac:dyDescent="0.25">
      <c r="A8781" s="952"/>
      <c r="B8781" s="953"/>
      <c r="C8781" s="953"/>
      <c r="D8781" s="953"/>
      <c r="E8781" s="953"/>
      <c r="F8781" s="953"/>
      <c r="G8781" s="953"/>
      <c r="H8781" s="953"/>
    </row>
    <row r="8782" spans="1:8" x14ac:dyDescent="0.25">
      <c r="A8782" s="952"/>
      <c r="B8782" s="953"/>
      <c r="C8782" s="953"/>
      <c r="D8782" s="953"/>
      <c r="E8782" s="953"/>
      <c r="F8782" s="953"/>
      <c r="G8782" s="953"/>
      <c r="H8782" s="953"/>
    </row>
    <row r="8783" spans="1:8" x14ac:dyDescent="0.25">
      <c r="A8783" s="952"/>
      <c r="B8783" s="953"/>
      <c r="C8783" s="953"/>
      <c r="D8783" s="953"/>
      <c r="E8783" s="953"/>
      <c r="F8783" s="953"/>
      <c r="G8783" s="953"/>
      <c r="H8783" s="953"/>
    </row>
    <row r="8784" spans="1:8" x14ac:dyDescent="0.25">
      <c r="A8784" s="952"/>
      <c r="B8784" s="953"/>
      <c r="C8784" s="953"/>
      <c r="D8784" s="953"/>
      <c r="E8784" s="953"/>
      <c r="F8784" s="953"/>
      <c r="G8784" s="953"/>
      <c r="H8784" s="953"/>
    </row>
    <row r="8785" spans="1:8" x14ac:dyDescent="0.25">
      <c r="A8785" s="952"/>
      <c r="B8785" s="953"/>
      <c r="C8785" s="953"/>
      <c r="D8785" s="953"/>
      <c r="E8785" s="953"/>
      <c r="F8785" s="953"/>
      <c r="G8785" s="953"/>
      <c r="H8785" s="953"/>
    </row>
    <row r="8786" spans="1:8" x14ac:dyDescent="0.25">
      <c r="A8786" s="952"/>
      <c r="B8786" s="953"/>
      <c r="C8786" s="953"/>
      <c r="D8786" s="953"/>
      <c r="E8786" s="953"/>
      <c r="F8786" s="953"/>
      <c r="G8786" s="953"/>
      <c r="H8786" s="953"/>
    </row>
    <row r="8787" spans="1:8" x14ac:dyDescent="0.25">
      <c r="A8787" s="952"/>
      <c r="B8787" s="953"/>
      <c r="C8787" s="953"/>
      <c r="D8787" s="953"/>
      <c r="E8787" s="953"/>
      <c r="F8787" s="953"/>
      <c r="G8787" s="953"/>
      <c r="H8787" s="953"/>
    </row>
    <row r="8788" spans="1:8" x14ac:dyDescent="0.25">
      <c r="A8788" s="952"/>
      <c r="B8788" s="953"/>
      <c r="C8788" s="953"/>
      <c r="D8788" s="953"/>
      <c r="E8788" s="953"/>
      <c r="F8788" s="953"/>
      <c r="G8788" s="953"/>
      <c r="H8788" s="953"/>
    </row>
    <row r="8789" spans="1:8" x14ac:dyDescent="0.25">
      <c r="A8789" s="952"/>
      <c r="B8789" s="953"/>
      <c r="C8789" s="953"/>
      <c r="D8789" s="953"/>
      <c r="E8789" s="953"/>
      <c r="F8789" s="953"/>
      <c r="G8789" s="953"/>
      <c r="H8789" s="953"/>
    </row>
    <row r="8790" spans="1:8" x14ac:dyDescent="0.25">
      <c r="A8790" s="952"/>
      <c r="B8790" s="953"/>
      <c r="C8790" s="953"/>
      <c r="D8790" s="953"/>
      <c r="E8790" s="953"/>
      <c r="F8790" s="953"/>
      <c r="G8790" s="953"/>
      <c r="H8790" s="953"/>
    </row>
    <row r="8791" spans="1:8" x14ac:dyDescent="0.25">
      <c r="A8791" s="952"/>
      <c r="B8791" s="953"/>
      <c r="C8791" s="953"/>
      <c r="D8791" s="953"/>
      <c r="E8791" s="953"/>
      <c r="F8791" s="953"/>
      <c r="G8791" s="953"/>
      <c r="H8791" s="953"/>
    </row>
    <row r="8792" spans="1:8" x14ac:dyDescent="0.25">
      <c r="A8792" s="952"/>
      <c r="B8792" s="953"/>
      <c r="C8792" s="953"/>
      <c r="D8792" s="953"/>
      <c r="E8792" s="953"/>
      <c r="F8792" s="953"/>
      <c r="G8792" s="953"/>
      <c r="H8792" s="953"/>
    </row>
    <row r="8793" spans="1:8" x14ac:dyDescent="0.25">
      <c r="A8793" s="952"/>
      <c r="B8793" s="953"/>
      <c r="C8793" s="953"/>
      <c r="D8793" s="953"/>
      <c r="E8793" s="953"/>
      <c r="F8793" s="953"/>
      <c r="G8793" s="953"/>
      <c r="H8793" s="953"/>
    </row>
    <row r="8794" spans="1:8" x14ac:dyDescent="0.25">
      <c r="A8794" s="952"/>
      <c r="B8794" s="953"/>
      <c r="C8794" s="953"/>
      <c r="D8794" s="953"/>
      <c r="E8794" s="953"/>
      <c r="F8794" s="953"/>
      <c r="G8794" s="953"/>
      <c r="H8794" s="953"/>
    </row>
    <row r="8795" spans="1:8" x14ac:dyDescent="0.25">
      <c r="A8795" s="952"/>
      <c r="B8795" s="953"/>
      <c r="C8795" s="953"/>
      <c r="D8795" s="953"/>
      <c r="E8795" s="953"/>
      <c r="F8795" s="953"/>
      <c r="G8795" s="953"/>
      <c r="H8795" s="953"/>
    </row>
    <row r="8796" spans="1:8" x14ac:dyDescent="0.25">
      <c r="A8796" s="952"/>
      <c r="B8796" s="953"/>
      <c r="C8796" s="953"/>
      <c r="D8796" s="953"/>
      <c r="E8796" s="953"/>
      <c r="F8796" s="953"/>
      <c r="G8796" s="953"/>
      <c r="H8796" s="953"/>
    </row>
    <row r="8797" spans="1:8" x14ac:dyDescent="0.25">
      <c r="A8797" s="952"/>
      <c r="B8797" s="953"/>
      <c r="C8797" s="953"/>
      <c r="D8797" s="953"/>
      <c r="E8797" s="953"/>
      <c r="F8797" s="953"/>
      <c r="G8797" s="953"/>
      <c r="H8797" s="953"/>
    </row>
    <row r="8798" spans="1:8" x14ac:dyDescent="0.25">
      <c r="A8798" s="952"/>
      <c r="B8798" s="953"/>
      <c r="C8798" s="953"/>
      <c r="D8798" s="953"/>
      <c r="E8798" s="953"/>
      <c r="F8798" s="953"/>
      <c r="G8798" s="953"/>
      <c r="H8798" s="953"/>
    </row>
    <row r="8799" spans="1:8" x14ac:dyDescent="0.25">
      <c r="A8799" s="952"/>
      <c r="B8799" s="953"/>
      <c r="C8799" s="953"/>
      <c r="D8799" s="953"/>
      <c r="E8799" s="953"/>
      <c r="F8799" s="953"/>
      <c r="G8799" s="953"/>
      <c r="H8799" s="953"/>
    </row>
    <row r="8800" spans="1:8" x14ac:dyDescent="0.25">
      <c r="A8800" s="952"/>
      <c r="B8800" s="953"/>
      <c r="C8800" s="953"/>
      <c r="D8800" s="953"/>
      <c r="E8800" s="953"/>
      <c r="F8800" s="953"/>
      <c r="G8800" s="953"/>
      <c r="H8800" s="953"/>
    </row>
    <row r="8801" spans="1:8" x14ac:dyDescent="0.25">
      <c r="A8801" s="952"/>
      <c r="B8801" s="953"/>
      <c r="C8801" s="953"/>
      <c r="D8801" s="953"/>
      <c r="E8801" s="953"/>
      <c r="F8801" s="953"/>
      <c r="G8801" s="953"/>
      <c r="H8801" s="953"/>
    </row>
    <row r="8802" spans="1:8" x14ac:dyDescent="0.25">
      <c r="A8802" s="952"/>
      <c r="B8802" s="953"/>
      <c r="C8802" s="953"/>
      <c r="D8802" s="953"/>
      <c r="E8802" s="953"/>
      <c r="F8802" s="953"/>
      <c r="G8802" s="953"/>
      <c r="H8802" s="953"/>
    </row>
    <row r="8803" spans="1:8" x14ac:dyDescent="0.25">
      <c r="A8803" s="952"/>
      <c r="B8803" s="953"/>
      <c r="C8803" s="953"/>
      <c r="D8803" s="953"/>
      <c r="E8803" s="953"/>
      <c r="F8803" s="953"/>
      <c r="G8803" s="953"/>
      <c r="H8803" s="953"/>
    </row>
    <row r="8804" spans="1:8" x14ac:dyDescent="0.25">
      <c r="A8804" s="952"/>
      <c r="B8804" s="953"/>
      <c r="C8804" s="953"/>
      <c r="D8804" s="953"/>
      <c r="E8804" s="953"/>
      <c r="F8804" s="953"/>
      <c r="G8804" s="953"/>
      <c r="H8804" s="953"/>
    </row>
    <row r="8805" spans="1:8" x14ac:dyDescent="0.25">
      <c r="A8805" s="952"/>
      <c r="B8805" s="953"/>
      <c r="C8805" s="953"/>
      <c r="D8805" s="953"/>
      <c r="E8805" s="953"/>
      <c r="F8805" s="953"/>
      <c r="G8805" s="953"/>
      <c r="H8805" s="953"/>
    </row>
    <row r="8806" spans="1:8" x14ac:dyDescent="0.25">
      <c r="A8806" s="952"/>
      <c r="B8806" s="953"/>
      <c r="C8806" s="953"/>
      <c r="D8806" s="953"/>
      <c r="E8806" s="953"/>
      <c r="F8806" s="953"/>
      <c r="G8806" s="953"/>
      <c r="H8806" s="953"/>
    </row>
    <row r="8807" spans="1:8" x14ac:dyDescent="0.25">
      <c r="A8807" s="952"/>
      <c r="B8807" s="953"/>
      <c r="C8807" s="953"/>
      <c r="D8807" s="953"/>
      <c r="E8807" s="953"/>
      <c r="F8807" s="953"/>
      <c r="G8807" s="953"/>
      <c r="H8807" s="953"/>
    </row>
    <row r="8808" spans="1:8" x14ac:dyDescent="0.25">
      <c r="A8808" s="952"/>
      <c r="B8808" s="953"/>
      <c r="C8808" s="953"/>
      <c r="D8808" s="953"/>
      <c r="E8808" s="953"/>
      <c r="F8808" s="953"/>
      <c r="G8808" s="953"/>
      <c r="H8808" s="953"/>
    </row>
    <row r="8809" spans="1:8" x14ac:dyDescent="0.25">
      <c r="A8809" s="952"/>
      <c r="B8809" s="953"/>
      <c r="C8809" s="953"/>
      <c r="D8809" s="953"/>
      <c r="E8809" s="953"/>
      <c r="F8809" s="953"/>
      <c r="G8809" s="953"/>
      <c r="H8809" s="953"/>
    </row>
    <row r="8810" spans="1:8" x14ac:dyDescent="0.25">
      <c r="A8810" s="952"/>
      <c r="B8810" s="953"/>
      <c r="C8810" s="953"/>
      <c r="D8810" s="953"/>
      <c r="E8810" s="953"/>
      <c r="F8810" s="953"/>
      <c r="G8810" s="953"/>
      <c r="H8810" s="953"/>
    </row>
    <row r="8811" spans="1:8" x14ac:dyDescent="0.25">
      <c r="A8811" s="952"/>
      <c r="B8811" s="953"/>
      <c r="C8811" s="953"/>
      <c r="D8811" s="953"/>
      <c r="E8811" s="953"/>
      <c r="F8811" s="953"/>
      <c r="G8811" s="953"/>
      <c r="H8811" s="953"/>
    </row>
    <row r="8812" spans="1:8" x14ac:dyDescent="0.25">
      <c r="A8812" s="952"/>
      <c r="B8812" s="953"/>
      <c r="C8812" s="953"/>
      <c r="D8812" s="953"/>
      <c r="E8812" s="953"/>
      <c r="F8812" s="953"/>
      <c r="G8812" s="953"/>
      <c r="H8812" s="953"/>
    </row>
    <row r="8813" spans="1:8" x14ac:dyDescent="0.25">
      <c r="A8813" s="952"/>
      <c r="B8813" s="953"/>
      <c r="C8813" s="953"/>
      <c r="D8813" s="953"/>
      <c r="E8813" s="953"/>
      <c r="F8813" s="953"/>
      <c r="G8813" s="953"/>
      <c r="H8813" s="953"/>
    </row>
    <row r="8814" spans="1:8" x14ac:dyDescent="0.25">
      <c r="A8814" s="952"/>
      <c r="B8814" s="953"/>
      <c r="C8814" s="953"/>
      <c r="D8814" s="953"/>
      <c r="E8814" s="953"/>
      <c r="F8814" s="953"/>
      <c r="G8814" s="953"/>
      <c r="H8814" s="953"/>
    </row>
    <row r="8815" spans="1:8" x14ac:dyDescent="0.25">
      <c r="A8815" s="952"/>
      <c r="B8815" s="953"/>
      <c r="C8815" s="953"/>
      <c r="D8815" s="953"/>
      <c r="E8815" s="953"/>
      <c r="F8815" s="953"/>
      <c r="G8815" s="953"/>
      <c r="H8815" s="953"/>
    </row>
    <row r="8816" spans="1:8" x14ac:dyDescent="0.25">
      <c r="A8816" s="952"/>
      <c r="B8816" s="953"/>
      <c r="C8816" s="953"/>
      <c r="D8816" s="953"/>
      <c r="E8816" s="953"/>
      <c r="F8816" s="953"/>
      <c r="G8816" s="953"/>
      <c r="H8816" s="953"/>
    </row>
    <row r="8817" spans="1:8" x14ac:dyDescent="0.25">
      <c r="A8817" s="952"/>
      <c r="B8817" s="953"/>
      <c r="C8817" s="953"/>
      <c r="D8817" s="953"/>
      <c r="E8817" s="953"/>
      <c r="F8817" s="953"/>
      <c r="G8817" s="953"/>
      <c r="H8817" s="953"/>
    </row>
    <row r="8818" spans="1:8" x14ac:dyDescent="0.25">
      <c r="A8818" s="952"/>
      <c r="B8818" s="953"/>
      <c r="C8818" s="953"/>
      <c r="D8818" s="953"/>
      <c r="E8818" s="953"/>
      <c r="F8818" s="953"/>
      <c r="G8818" s="953"/>
      <c r="H8818" s="953"/>
    </row>
    <row r="8819" spans="1:8" x14ac:dyDescent="0.25">
      <c r="A8819" s="952"/>
      <c r="B8819" s="953"/>
      <c r="C8819" s="953"/>
      <c r="D8819" s="953"/>
      <c r="E8819" s="953"/>
      <c r="F8819" s="953"/>
      <c r="G8819" s="953"/>
      <c r="H8819" s="953"/>
    </row>
    <row r="8820" spans="1:8" x14ac:dyDescent="0.25">
      <c r="A8820" s="952"/>
      <c r="B8820" s="953"/>
      <c r="C8820" s="953"/>
      <c r="D8820" s="953"/>
      <c r="E8820" s="953"/>
      <c r="F8820" s="953"/>
      <c r="G8820" s="953"/>
      <c r="H8820" s="953"/>
    </row>
    <row r="8821" spans="1:8" x14ac:dyDescent="0.25">
      <c r="A8821" s="952"/>
      <c r="B8821" s="953"/>
      <c r="C8821" s="953"/>
      <c r="D8821" s="953"/>
      <c r="E8821" s="953"/>
      <c r="F8821" s="953"/>
      <c r="G8821" s="953"/>
      <c r="H8821" s="953"/>
    </row>
    <row r="8822" spans="1:8" x14ac:dyDescent="0.25">
      <c r="A8822" s="952"/>
      <c r="B8822" s="953"/>
      <c r="C8822" s="953"/>
      <c r="D8822" s="953"/>
      <c r="E8822" s="953"/>
      <c r="F8822" s="953"/>
      <c r="G8822" s="953"/>
      <c r="H8822" s="953"/>
    </row>
    <row r="8823" spans="1:8" x14ac:dyDescent="0.25">
      <c r="A8823" s="952"/>
      <c r="B8823" s="953"/>
      <c r="C8823" s="953"/>
      <c r="D8823" s="953"/>
      <c r="E8823" s="953"/>
      <c r="F8823" s="953"/>
      <c r="G8823" s="953"/>
      <c r="H8823" s="953"/>
    </row>
    <row r="8824" spans="1:8" x14ac:dyDescent="0.25">
      <c r="A8824" s="952"/>
      <c r="B8824" s="953"/>
      <c r="C8824" s="953"/>
      <c r="D8824" s="953"/>
      <c r="E8824" s="953"/>
      <c r="F8824" s="953"/>
      <c r="G8824" s="953"/>
      <c r="H8824" s="953"/>
    </row>
    <row r="8825" spans="1:8" x14ac:dyDescent="0.25">
      <c r="A8825" s="952"/>
      <c r="B8825" s="953"/>
      <c r="C8825" s="953"/>
      <c r="D8825" s="953"/>
      <c r="E8825" s="953"/>
      <c r="F8825" s="953"/>
      <c r="G8825" s="953"/>
      <c r="H8825" s="953"/>
    </row>
    <row r="8826" spans="1:8" x14ac:dyDescent="0.25">
      <c r="A8826" s="952"/>
      <c r="B8826" s="953"/>
      <c r="C8826" s="953"/>
      <c r="D8826" s="953"/>
      <c r="E8826" s="953"/>
      <c r="F8826" s="953"/>
      <c r="G8826" s="953"/>
      <c r="H8826" s="953"/>
    </row>
    <row r="8827" spans="1:8" x14ac:dyDescent="0.25">
      <c r="A8827" s="952"/>
      <c r="B8827" s="953"/>
      <c r="C8827" s="953"/>
      <c r="D8827" s="953"/>
      <c r="E8827" s="953"/>
      <c r="F8827" s="953"/>
      <c r="G8827" s="953"/>
      <c r="H8827" s="953"/>
    </row>
    <row r="8828" spans="1:8" x14ac:dyDescent="0.25">
      <c r="A8828" s="952"/>
      <c r="B8828" s="953"/>
      <c r="C8828" s="953"/>
      <c r="D8828" s="953"/>
      <c r="E8828" s="953"/>
      <c r="F8828" s="953"/>
      <c r="G8828" s="953"/>
      <c r="H8828" s="953"/>
    </row>
    <row r="8829" spans="1:8" x14ac:dyDescent="0.25">
      <c r="A8829" s="952"/>
      <c r="B8829" s="953"/>
      <c r="C8829" s="953"/>
      <c r="D8829" s="953"/>
      <c r="E8829" s="953"/>
      <c r="F8829" s="953"/>
      <c r="G8829" s="953"/>
      <c r="H8829" s="953"/>
    </row>
    <row r="8830" spans="1:8" x14ac:dyDescent="0.25">
      <c r="A8830" s="952"/>
      <c r="B8830" s="953"/>
      <c r="C8830" s="953"/>
      <c r="D8830" s="953"/>
      <c r="E8830" s="953"/>
      <c r="F8830" s="953"/>
      <c r="G8830" s="953"/>
      <c r="H8830" s="953"/>
    </row>
    <row r="8831" spans="1:8" x14ac:dyDescent="0.25">
      <c r="A8831" s="952"/>
      <c r="B8831" s="953"/>
      <c r="C8831" s="953"/>
      <c r="D8831" s="953"/>
      <c r="E8831" s="953"/>
      <c r="F8831" s="953"/>
      <c r="G8831" s="953"/>
      <c r="H8831" s="953"/>
    </row>
    <row r="8832" spans="1:8" x14ac:dyDescent="0.25">
      <c r="A8832" s="952"/>
      <c r="B8832" s="953"/>
      <c r="C8832" s="953"/>
      <c r="D8832" s="953"/>
      <c r="E8832" s="953"/>
      <c r="F8832" s="953"/>
      <c r="G8832" s="953"/>
      <c r="H8832" s="953"/>
    </row>
    <row r="8833" spans="1:8" x14ac:dyDescent="0.25">
      <c r="A8833" s="952"/>
      <c r="B8833" s="953"/>
      <c r="C8833" s="953"/>
      <c r="D8833" s="953"/>
      <c r="E8833" s="953"/>
      <c r="F8833" s="953"/>
      <c r="G8833" s="953"/>
      <c r="H8833" s="953"/>
    </row>
    <row r="8834" spans="1:8" x14ac:dyDescent="0.25">
      <c r="A8834" s="952"/>
      <c r="B8834" s="953"/>
      <c r="C8834" s="953"/>
      <c r="D8834" s="953"/>
      <c r="E8834" s="953"/>
      <c r="F8834" s="953"/>
      <c r="G8834" s="953"/>
      <c r="H8834" s="953"/>
    </row>
    <row r="8835" spans="1:8" x14ac:dyDescent="0.25">
      <c r="A8835" s="952"/>
      <c r="B8835" s="953"/>
      <c r="C8835" s="953"/>
      <c r="D8835" s="953"/>
      <c r="E8835" s="953"/>
      <c r="F8835" s="953"/>
      <c r="G8835" s="953"/>
      <c r="H8835" s="953"/>
    </row>
    <row r="8836" spans="1:8" x14ac:dyDescent="0.25">
      <c r="A8836" s="952"/>
      <c r="B8836" s="953"/>
      <c r="C8836" s="953"/>
      <c r="D8836" s="953"/>
      <c r="E8836" s="953"/>
      <c r="F8836" s="953"/>
      <c r="G8836" s="953"/>
      <c r="H8836" s="953"/>
    </row>
    <row r="8837" spans="1:8" x14ac:dyDescent="0.25">
      <c r="A8837" s="952"/>
      <c r="B8837" s="953"/>
      <c r="C8837" s="953"/>
      <c r="D8837" s="953"/>
      <c r="E8837" s="953"/>
      <c r="F8837" s="953"/>
      <c r="G8837" s="953"/>
      <c r="H8837" s="953"/>
    </row>
    <row r="8838" spans="1:8" x14ac:dyDescent="0.25">
      <c r="A8838" s="952"/>
      <c r="B8838" s="953"/>
      <c r="C8838" s="953"/>
      <c r="D8838" s="953"/>
      <c r="E8838" s="953"/>
      <c r="F8838" s="953"/>
      <c r="G8838" s="953"/>
      <c r="H8838" s="953"/>
    </row>
    <row r="8839" spans="1:8" x14ac:dyDescent="0.25">
      <c r="A8839" s="952"/>
      <c r="B8839" s="953"/>
      <c r="C8839" s="953"/>
      <c r="D8839" s="953"/>
      <c r="E8839" s="953"/>
      <c r="F8839" s="953"/>
      <c r="G8839" s="953"/>
      <c r="H8839" s="953"/>
    </row>
    <row r="8840" spans="1:8" x14ac:dyDescent="0.25">
      <c r="A8840" s="952"/>
      <c r="B8840" s="953"/>
      <c r="C8840" s="953"/>
      <c r="D8840" s="953"/>
      <c r="E8840" s="953"/>
      <c r="F8840" s="953"/>
      <c r="G8840" s="953"/>
      <c r="H8840" s="953"/>
    </row>
    <row r="8841" spans="1:8" x14ac:dyDescent="0.25">
      <c r="A8841" s="952"/>
      <c r="B8841" s="953"/>
      <c r="C8841" s="953"/>
      <c r="D8841" s="953"/>
      <c r="E8841" s="953"/>
      <c r="F8841" s="953"/>
      <c r="G8841" s="953"/>
      <c r="H8841" s="953"/>
    </row>
    <row r="8842" spans="1:8" x14ac:dyDescent="0.25">
      <c r="A8842" s="952"/>
      <c r="B8842" s="953"/>
      <c r="C8842" s="953"/>
      <c r="D8842" s="953"/>
      <c r="E8842" s="953"/>
      <c r="F8842" s="953"/>
      <c r="G8842" s="953"/>
      <c r="H8842" s="953"/>
    </row>
    <row r="8843" spans="1:8" x14ac:dyDescent="0.25">
      <c r="A8843" s="952"/>
      <c r="B8843" s="953"/>
      <c r="C8843" s="953"/>
      <c r="D8843" s="953"/>
      <c r="E8843" s="953"/>
      <c r="F8843" s="953"/>
      <c r="G8843" s="953"/>
      <c r="H8843" s="953"/>
    </row>
    <row r="8844" spans="1:8" x14ac:dyDescent="0.25">
      <c r="A8844" s="952"/>
      <c r="B8844" s="953"/>
      <c r="C8844" s="953"/>
      <c r="D8844" s="953"/>
      <c r="E8844" s="953"/>
      <c r="F8844" s="953"/>
      <c r="G8844" s="953"/>
      <c r="H8844" s="953"/>
    </row>
    <row r="8845" spans="1:8" x14ac:dyDescent="0.25">
      <c r="A8845" s="952"/>
      <c r="B8845" s="953"/>
      <c r="C8845" s="953"/>
      <c r="D8845" s="953"/>
      <c r="E8845" s="953"/>
      <c r="F8845" s="953"/>
      <c r="G8845" s="953"/>
      <c r="H8845" s="953"/>
    </row>
    <row r="8846" spans="1:8" x14ac:dyDescent="0.25">
      <c r="A8846" s="952"/>
      <c r="B8846" s="953"/>
      <c r="C8846" s="953"/>
      <c r="D8846" s="953"/>
      <c r="E8846" s="953"/>
      <c r="F8846" s="953"/>
      <c r="G8846" s="953"/>
      <c r="H8846" s="953"/>
    </row>
    <row r="8847" spans="1:8" x14ac:dyDescent="0.25">
      <c r="A8847" s="952"/>
      <c r="B8847" s="953"/>
      <c r="C8847" s="953"/>
      <c r="D8847" s="953"/>
      <c r="E8847" s="953"/>
      <c r="F8847" s="953"/>
      <c r="G8847" s="953"/>
      <c r="H8847" s="953"/>
    </row>
    <row r="8848" spans="1:8" x14ac:dyDescent="0.25">
      <c r="A8848" s="952"/>
      <c r="B8848" s="953"/>
      <c r="C8848" s="953"/>
      <c r="D8848" s="953"/>
      <c r="E8848" s="953"/>
      <c r="F8848" s="953"/>
      <c r="G8848" s="953"/>
      <c r="H8848" s="953"/>
    </row>
    <row r="8849" spans="1:8" x14ac:dyDescent="0.25">
      <c r="A8849" s="952"/>
      <c r="B8849" s="953"/>
      <c r="C8849" s="953"/>
      <c r="D8849" s="953"/>
      <c r="E8849" s="953"/>
      <c r="F8849" s="953"/>
      <c r="G8849" s="953"/>
      <c r="H8849" s="953"/>
    </row>
    <row r="8850" spans="1:8" x14ac:dyDescent="0.25">
      <c r="A8850" s="952"/>
      <c r="B8850" s="953"/>
      <c r="C8850" s="953"/>
      <c r="D8850" s="953"/>
      <c r="E8850" s="953"/>
      <c r="F8850" s="953"/>
      <c r="G8850" s="953"/>
      <c r="H8850" s="953"/>
    </row>
    <row r="8851" spans="1:8" x14ac:dyDescent="0.25">
      <c r="A8851" s="952"/>
      <c r="B8851" s="953"/>
      <c r="C8851" s="953"/>
      <c r="D8851" s="953"/>
      <c r="E8851" s="953"/>
      <c r="F8851" s="953"/>
      <c r="G8851" s="953"/>
      <c r="H8851" s="953"/>
    </row>
    <row r="8852" spans="1:8" x14ac:dyDescent="0.25">
      <c r="A8852" s="952"/>
      <c r="B8852" s="953"/>
      <c r="C8852" s="953"/>
      <c r="D8852" s="953"/>
      <c r="E8852" s="953"/>
      <c r="F8852" s="953"/>
      <c r="G8852" s="953"/>
      <c r="H8852" s="953"/>
    </row>
    <row r="8853" spans="1:8" x14ac:dyDescent="0.25">
      <c r="A8853" s="952"/>
      <c r="B8853" s="953"/>
      <c r="C8853" s="953"/>
      <c r="D8853" s="953"/>
      <c r="E8853" s="953"/>
      <c r="F8853" s="953"/>
      <c r="G8853" s="953"/>
      <c r="H8853" s="953"/>
    </row>
    <row r="8854" spans="1:8" x14ac:dyDescent="0.25">
      <c r="A8854" s="952"/>
      <c r="B8854" s="953"/>
      <c r="C8854" s="953"/>
      <c r="D8854" s="953"/>
      <c r="E8854" s="953"/>
      <c r="F8854" s="953"/>
      <c r="G8854" s="953"/>
      <c r="H8854" s="953"/>
    </row>
    <row r="8855" spans="1:8" x14ac:dyDescent="0.25">
      <c r="A8855" s="952"/>
      <c r="B8855" s="953"/>
      <c r="C8855" s="953"/>
      <c r="D8855" s="953"/>
      <c r="E8855" s="953"/>
      <c r="F8855" s="953"/>
      <c r="G8855" s="953"/>
      <c r="H8855" s="953"/>
    </row>
    <row r="8856" spans="1:8" x14ac:dyDescent="0.25">
      <c r="A8856" s="952"/>
      <c r="B8856" s="953"/>
      <c r="C8856" s="953"/>
      <c r="D8856" s="953"/>
      <c r="E8856" s="953"/>
      <c r="F8856" s="953"/>
      <c r="G8856" s="953"/>
      <c r="H8856" s="953"/>
    </row>
    <row r="8857" spans="1:8" x14ac:dyDescent="0.25">
      <c r="A8857" s="952"/>
      <c r="B8857" s="953"/>
      <c r="C8857" s="953"/>
      <c r="D8857" s="953"/>
      <c r="E8857" s="953"/>
      <c r="F8857" s="953"/>
      <c r="G8857" s="953"/>
      <c r="H8857" s="953"/>
    </row>
    <row r="8858" spans="1:8" x14ac:dyDescent="0.25">
      <c r="A8858" s="952"/>
      <c r="B8858" s="953"/>
      <c r="C8858" s="953"/>
      <c r="D8858" s="953"/>
      <c r="E8858" s="953"/>
      <c r="F8858" s="953"/>
      <c r="G8858" s="953"/>
      <c r="H8858" s="953"/>
    </row>
    <row r="8859" spans="1:8" x14ac:dyDescent="0.25">
      <c r="A8859" s="952"/>
      <c r="B8859" s="953"/>
      <c r="C8859" s="953"/>
      <c r="D8859" s="953"/>
      <c r="E8859" s="953"/>
      <c r="F8859" s="953"/>
      <c r="G8859" s="953"/>
      <c r="H8859" s="953"/>
    </row>
    <row r="8860" spans="1:8" x14ac:dyDescent="0.25">
      <c r="A8860" s="952"/>
      <c r="B8860" s="953"/>
      <c r="C8860" s="953"/>
      <c r="D8860" s="953"/>
      <c r="E8860" s="953"/>
      <c r="F8860" s="953"/>
      <c r="G8860" s="953"/>
      <c r="H8860" s="953"/>
    </row>
    <row r="8861" spans="1:8" x14ac:dyDescent="0.25">
      <c r="A8861" s="952"/>
      <c r="B8861" s="953"/>
      <c r="C8861" s="953"/>
      <c r="D8861" s="953"/>
      <c r="E8861" s="953"/>
      <c r="F8861" s="953"/>
      <c r="G8861" s="953"/>
      <c r="H8861" s="953"/>
    </row>
    <row r="8862" spans="1:8" x14ac:dyDescent="0.25">
      <c r="A8862" s="952"/>
      <c r="B8862" s="953"/>
      <c r="C8862" s="953"/>
      <c r="D8862" s="953"/>
      <c r="E8862" s="953"/>
      <c r="F8862" s="953"/>
      <c r="G8862" s="953"/>
      <c r="H8862" s="953"/>
    </row>
    <row r="8863" spans="1:8" x14ac:dyDescent="0.25">
      <c r="A8863" s="952"/>
      <c r="B8863" s="953"/>
      <c r="C8863" s="953"/>
      <c r="D8863" s="953"/>
      <c r="E8863" s="953"/>
      <c r="F8863" s="953"/>
      <c r="G8863" s="953"/>
      <c r="H8863" s="953"/>
    </row>
    <row r="8864" spans="1:8" x14ac:dyDescent="0.25">
      <c r="A8864" s="952"/>
      <c r="B8864" s="953"/>
      <c r="C8864" s="953"/>
      <c r="D8864" s="953"/>
      <c r="E8864" s="953"/>
      <c r="F8864" s="953"/>
      <c r="G8864" s="953"/>
      <c r="H8864" s="953"/>
    </row>
    <row r="8865" spans="1:8" x14ac:dyDescent="0.25">
      <c r="A8865" s="952"/>
      <c r="B8865" s="953"/>
      <c r="C8865" s="953"/>
      <c r="D8865" s="953"/>
      <c r="E8865" s="953"/>
      <c r="F8865" s="953"/>
      <c r="G8865" s="953"/>
      <c r="H8865" s="953"/>
    </row>
    <row r="8866" spans="1:8" x14ac:dyDescent="0.25">
      <c r="A8866" s="952"/>
      <c r="B8866" s="953"/>
      <c r="C8866" s="953"/>
      <c r="D8866" s="953"/>
      <c r="E8866" s="953"/>
      <c r="F8866" s="953"/>
      <c r="G8866" s="953"/>
      <c r="H8866" s="953"/>
    </row>
    <row r="8867" spans="1:8" x14ac:dyDescent="0.25">
      <c r="A8867" s="952"/>
      <c r="B8867" s="953"/>
      <c r="C8867" s="953"/>
      <c r="D8867" s="953"/>
      <c r="E8867" s="953"/>
      <c r="F8867" s="953"/>
      <c r="G8867" s="953"/>
      <c r="H8867" s="953"/>
    </row>
    <row r="8868" spans="1:8" x14ac:dyDescent="0.25">
      <c r="A8868" s="952"/>
      <c r="B8868" s="953"/>
      <c r="C8868" s="953"/>
      <c r="D8868" s="953"/>
      <c r="E8868" s="953"/>
      <c r="F8868" s="953"/>
      <c r="G8868" s="953"/>
      <c r="H8868" s="953"/>
    </row>
    <row r="8869" spans="1:8" x14ac:dyDescent="0.25">
      <c r="A8869" s="952"/>
      <c r="B8869" s="953"/>
      <c r="C8869" s="953"/>
      <c r="D8869" s="953"/>
      <c r="E8869" s="953"/>
      <c r="F8869" s="953"/>
      <c r="G8869" s="953"/>
      <c r="H8869" s="953"/>
    </row>
    <row r="8870" spans="1:8" x14ac:dyDescent="0.25">
      <c r="A8870" s="952"/>
      <c r="B8870" s="953"/>
      <c r="C8870" s="953"/>
      <c r="D8870" s="953"/>
      <c r="E8870" s="953"/>
      <c r="F8870" s="953"/>
      <c r="G8870" s="953"/>
      <c r="H8870" s="953"/>
    </row>
    <row r="8871" spans="1:8" x14ac:dyDescent="0.25">
      <c r="A8871" s="952"/>
      <c r="B8871" s="953"/>
      <c r="C8871" s="953"/>
      <c r="D8871" s="953"/>
      <c r="E8871" s="953"/>
      <c r="F8871" s="953"/>
      <c r="G8871" s="953"/>
      <c r="H8871" s="953"/>
    </row>
    <row r="8872" spans="1:8" x14ac:dyDescent="0.25">
      <c r="A8872" s="952"/>
      <c r="B8872" s="953"/>
      <c r="C8872" s="953"/>
      <c r="D8872" s="953"/>
      <c r="E8872" s="953"/>
      <c r="F8872" s="953"/>
      <c r="G8872" s="953"/>
      <c r="H8872" s="953"/>
    </row>
    <row r="8873" spans="1:8" x14ac:dyDescent="0.25">
      <c r="A8873" s="952"/>
      <c r="B8873" s="953"/>
      <c r="C8873" s="953"/>
      <c r="D8873" s="953"/>
      <c r="E8873" s="953"/>
      <c r="F8873" s="953"/>
      <c r="G8873" s="953"/>
      <c r="H8873" s="953"/>
    </row>
    <row r="8874" spans="1:8" x14ac:dyDescent="0.25">
      <c r="A8874" s="952"/>
      <c r="B8874" s="953"/>
      <c r="C8874" s="953"/>
      <c r="D8874" s="953"/>
      <c r="E8874" s="953"/>
      <c r="F8874" s="953"/>
      <c r="G8874" s="953"/>
      <c r="H8874" s="953"/>
    </row>
    <row r="8875" spans="1:8" x14ac:dyDescent="0.25">
      <c r="A8875" s="952"/>
      <c r="B8875" s="953"/>
      <c r="C8875" s="953"/>
      <c r="D8875" s="953"/>
      <c r="E8875" s="953"/>
      <c r="F8875" s="953"/>
      <c r="G8875" s="953"/>
      <c r="H8875" s="953"/>
    </row>
    <row r="8876" spans="1:8" x14ac:dyDescent="0.25">
      <c r="A8876" s="952"/>
      <c r="B8876" s="953"/>
      <c r="C8876" s="953"/>
      <c r="D8876" s="953"/>
      <c r="E8876" s="953"/>
      <c r="F8876" s="953"/>
      <c r="G8876" s="953"/>
      <c r="H8876" s="953"/>
    </row>
    <row r="8877" spans="1:8" x14ac:dyDescent="0.25">
      <c r="A8877" s="952"/>
      <c r="B8877" s="953"/>
      <c r="C8877" s="953"/>
      <c r="D8877" s="953"/>
      <c r="E8877" s="953"/>
      <c r="F8877" s="953"/>
      <c r="G8877" s="953"/>
      <c r="H8877" s="953"/>
    </row>
    <row r="8878" spans="1:8" x14ac:dyDescent="0.25">
      <c r="A8878" s="952"/>
      <c r="B8878" s="953"/>
      <c r="C8878" s="953"/>
      <c r="D8878" s="953"/>
      <c r="E8878" s="953"/>
      <c r="F8878" s="953"/>
      <c r="G8878" s="953"/>
      <c r="H8878" s="953"/>
    </row>
    <row r="8879" spans="1:8" x14ac:dyDescent="0.25">
      <c r="A8879" s="952"/>
      <c r="B8879" s="953"/>
      <c r="C8879" s="953"/>
      <c r="D8879" s="953"/>
      <c r="E8879" s="953"/>
      <c r="F8879" s="953"/>
      <c r="G8879" s="953"/>
      <c r="H8879" s="953"/>
    </row>
    <row r="8880" spans="1:8" x14ac:dyDescent="0.25">
      <c r="A8880" s="952"/>
      <c r="B8880" s="953"/>
      <c r="C8880" s="953"/>
      <c r="D8880" s="953"/>
      <c r="E8880" s="953"/>
      <c r="F8880" s="953"/>
      <c r="G8880" s="953"/>
      <c r="H8880" s="953"/>
    </row>
    <row r="8881" spans="1:8" x14ac:dyDescent="0.25">
      <c r="A8881" s="952"/>
      <c r="B8881" s="953"/>
      <c r="C8881" s="953"/>
      <c r="D8881" s="953"/>
      <c r="E8881" s="953"/>
      <c r="F8881" s="953"/>
      <c r="G8881" s="953"/>
      <c r="H8881" s="953"/>
    </row>
    <row r="8882" spans="1:8" x14ac:dyDescent="0.25">
      <c r="A8882" s="952"/>
      <c r="B8882" s="953"/>
      <c r="C8882" s="953"/>
      <c r="D8882" s="953"/>
      <c r="E8882" s="953"/>
      <c r="F8882" s="953"/>
      <c r="G8882" s="953"/>
      <c r="H8882" s="953"/>
    </row>
    <row r="8883" spans="1:8" x14ac:dyDescent="0.25">
      <c r="A8883" s="952"/>
      <c r="B8883" s="953"/>
      <c r="C8883" s="953"/>
      <c r="D8883" s="953"/>
      <c r="E8883" s="953"/>
      <c r="F8883" s="953"/>
      <c r="G8883" s="953"/>
      <c r="H8883" s="953"/>
    </row>
    <row r="8884" spans="1:8" x14ac:dyDescent="0.25">
      <c r="A8884" s="952"/>
      <c r="B8884" s="953"/>
      <c r="C8884" s="953"/>
      <c r="D8884" s="953"/>
      <c r="E8884" s="953"/>
      <c r="F8884" s="953"/>
      <c r="G8884" s="953"/>
      <c r="H8884" s="953"/>
    </row>
    <row r="8885" spans="1:8" x14ac:dyDescent="0.25">
      <c r="A8885" s="952"/>
      <c r="B8885" s="953"/>
      <c r="C8885" s="953"/>
      <c r="D8885" s="953"/>
      <c r="E8885" s="953"/>
      <c r="F8885" s="953"/>
      <c r="G8885" s="953"/>
      <c r="H8885" s="953"/>
    </row>
    <row r="8886" spans="1:8" x14ac:dyDescent="0.25">
      <c r="A8886" s="952"/>
      <c r="B8886" s="953"/>
      <c r="C8886" s="953"/>
      <c r="D8886" s="953"/>
      <c r="E8886" s="953"/>
      <c r="F8886" s="953"/>
      <c r="G8886" s="953"/>
      <c r="H8886" s="953"/>
    </row>
    <row r="8887" spans="1:8" x14ac:dyDescent="0.25">
      <c r="A8887" s="952"/>
      <c r="B8887" s="953"/>
      <c r="C8887" s="953"/>
      <c r="D8887" s="953"/>
      <c r="E8887" s="953"/>
      <c r="F8887" s="953"/>
      <c r="G8887" s="953"/>
      <c r="H8887" s="953"/>
    </row>
    <row r="8888" spans="1:8" x14ac:dyDescent="0.25">
      <c r="A8888" s="952"/>
      <c r="B8888" s="953"/>
      <c r="C8888" s="953"/>
      <c r="D8888" s="953"/>
      <c r="E8888" s="953"/>
      <c r="F8888" s="953"/>
      <c r="G8888" s="953"/>
      <c r="H8888" s="953"/>
    </row>
    <row r="8889" spans="1:8" x14ac:dyDescent="0.25">
      <c r="A8889" s="952"/>
      <c r="B8889" s="953"/>
      <c r="C8889" s="953"/>
      <c r="D8889" s="953"/>
      <c r="E8889" s="953"/>
      <c r="F8889" s="953"/>
      <c r="G8889" s="953"/>
      <c r="H8889" s="953"/>
    </row>
    <row r="8890" spans="1:8" x14ac:dyDescent="0.25">
      <c r="A8890" s="952"/>
      <c r="B8890" s="953"/>
      <c r="C8890" s="953"/>
      <c r="D8890" s="953"/>
      <c r="E8890" s="953"/>
      <c r="F8890" s="953"/>
      <c r="G8890" s="953"/>
      <c r="H8890" s="953"/>
    </row>
    <row r="8891" spans="1:8" x14ac:dyDescent="0.25">
      <c r="A8891" s="952"/>
      <c r="B8891" s="953"/>
      <c r="C8891" s="953"/>
      <c r="D8891" s="953"/>
      <c r="E8891" s="953"/>
      <c r="F8891" s="953"/>
      <c r="G8891" s="953"/>
      <c r="H8891" s="953"/>
    </row>
    <row r="8892" spans="1:8" x14ac:dyDescent="0.25">
      <c r="A8892" s="952"/>
      <c r="B8892" s="953"/>
      <c r="C8892" s="953"/>
      <c r="D8892" s="953"/>
      <c r="E8892" s="953"/>
      <c r="F8892" s="953"/>
      <c r="G8892" s="953"/>
      <c r="H8892" s="953"/>
    </row>
    <row r="8893" spans="1:8" x14ac:dyDescent="0.25">
      <c r="A8893" s="952"/>
      <c r="B8893" s="953"/>
      <c r="C8893" s="953"/>
      <c r="D8893" s="953"/>
      <c r="E8893" s="953"/>
      <c r="F8893" s="953"/>
      <c r="G8893" s="953"/>
      <c r="H8893" s="953"/>
    </row>
    <row r="8894" spans="1:8" x14ac:dyDescent="0.25">
      <c r="A8894" s="952"/>
      <c r="B8894" s="953"/>
      <c r="C8894" s="953"/>
      <c r="D8894" s="953"/>
      <c r="E8894" s="953"/>
      <c r="F8894" s="953"/>
      <c r="G8894" s="953"/>
      <c r="H8894" s="953"/>
    </row>
    <row r="8895" spans="1:8" x14ac:dyDescent="0.25">
      <c r="A8895" s="952"/>
      <c r="B8895" s="953"/>
      <c r="C8895" s="953"/>
      <c r="D8895" s="953"/>
      <c r="E8895" s="953"/>
      <c r="F8895" s="953"/>
      <c r="G8895" s="953"/>
      <c r="H8895" s="953"/>
    </row>
    <row r="8896" spans="1:8" x14ac:dyDescent="0.25">
      <c r="A8896" s="952"/>
      <c r="B8896" s="953"/>
      <c r="C8896" s="953"/>
      <c r="D8896" s="953"/>
      <c r="E8896" s="953"/>
      <c r="F8896" s="953"/>
      <c r="G8896" s="953"/>
      <c r="H8896" s="953"/>
    </row>
    <row r="8897" spans="1:8" x14ac:dyDescent="0.25">
      <c r="A8897" s="952"/>
      <c r="B8897" s="953"/>
      <c r="C8897" s="953"/>
      <c r="D8897" s="953"/>
      <c r="E8897" s="953"/>
      <c r="F8897" s="953"/>
      <c r="G8897" s="953"/>
      <c r="H8897" s="953"/>
    </row>
    <row r="8898" spans="1:8" x14ac:dyDescent="0.25">
      <c r="A8898" s="952"/>
      <c r="B8898" s="953"/>
      <c r="C8898" s="953"/>
      <c r="D8898" s="953"/>
      <c r="E8898" s="953"/>
      <c r="F8898" s="953"/>
      <c r="G8898" s="953"/>
      <c r="H8898" s="953"/>
    </row>
    <row r="8899" spans="1:8" x14ac:dyDescent="0.25">
      <c r="A8899" s="952"/>
      <c r="B8899" s="953"/>
      <c r="C8899" s="953"/>
      <c r="D8899" s="953"/>
      <c r="E8899" s="953"/>
      <c r="F8899" s="953"/>
      <c r="G8899" s="953"/>
      <c r="H8899" s="953"/>
    </row>
    <row r="8900" spans="1:8" x14ac:dyDescent="0.25">
      <c r="A8900" s="952"/>
      <c r="B8900" s="953"/>
      <c r="C8900" s="953"/>
      <c r="D8900" s="953"/>
      <c r="E8900" s="953"/>
      <c r="F8900" s="953"/>
      <c r="G8900" s="953"/>
      <c r="H8900" s="953"/>
    </row>
    <row r="8901" spans="1:8" x14ac:dyDescent="0.25">
      <c r="A8901" s="952"/>
      <c r="B8901" s="953"/>
      <c r="C8901" s="953"/>
      <c r="D8901" s="953"/>
      <c r="E8901" s="953"/>
      <c r="F8901" s="953"/>
      <c r="G8901" s="953"/>
      <c r="H8901" s="953"/>
    </row>
    <row r="8902" spans="1:8" x14ac:dyDescent="0.25">
      <c r="A8902" s="952"/>
      <c r="B8902" s="953"/>
      <c r="C8902" s="953"/>
      <c r="D8902" s="953"/>
      <c r="E8902" s="953"/>
      <c r="F8902" s="953"/>
      <c r="G8902" s="953"/>
      <c r="H8902" s="953"/>
    </row>
    <row r="8903" spans="1:8" x14ac:dyDescent="0.25">
      <c r="A8903" s="952"/>
      <c r="B8903" s="953"/>
      <c r="C8903" s="953"/>
      <c r="D8903" s="953"/>
      <c r="E8903" s="953"/>
      <c r="F8903" s="953"/>
      <c r="G8903" s="953"/>
      <c r="H8903" s="953"/>
    </row>
    <row r="8904" spans="1:8" x14ac:dyDescent="0.25">
      <c r="A8904" s="952"/>
      <c r="B8904" s="953"/>
      <c r="C8904" s="953"/>
      <c r="D8904" s="953"/>
      <c r="E8904" s="953"/>
      <c r="F8904" s="953"/>
      <c r="G8904" s="953"/>
      <c r="H8904" s="953"/>
    </row>
    <row r="8905" spans="1:8" x14ac:dyDescent="0.25">
      <c r="A8905" s="952"/>
      <c r="B8905" s="953"/>
      <c r="C8905" s="953"/>
      <c r="D8905" s="953"/>
      <c r="E8905" s="953"/>
      <c r="F8905" s="953"/>
      <c r="G8905" s="953"/>
      <c r="H8905" s="953"/>
    </row>
    <row r="8906" spans="1:8" x14ac:dyDescent="0.25">
      <c r="A8906" s="952"/>
      <c r="B8906" s="953"/>
      <c r="C8906" s="953"/>
      <c r="D8906" s="953"/>
      <c r="E8906" s="953"/>
      <c r="F8906" s="953"/>
      <c r="G8906" s="953"/>
      <c r="H8906" s="953"/>
    </row>
    <row r="8907" spans="1:8" x14ac:dyDescent="0.25">
      <c r="A8907" s="952"/>
      <c r="B8907" s="953"/>
      <c r="C8907" s="953"/>
      <c r="D8907" s="953"/>
      <c r="E8907" s="953"/>
      <c r="F8907" s="953"/>
      <c r="G8907" s="953"/>
      <c r="H8907" s="953"/>
    </row>
    <row r="8908" spans="1:8" x14ac:dyDescent="0.25">
      <c r="A8908" s="952"/>
      <c r="B8908" s="953"/>
      <c r="C8908" s="953"/>
      <c r="D8908" s="953"/>
      <c r="E8908" s="953"/>
      <c r="F8908" s="953"/>
      <c r="G8908" s="953"/>
      <c r="H8908" s="953"/>
    </row>
    <row r="8909" spans="1:8" x14ac:dyDescent="0.25">
      <c r="A8909" s="952"/>
      <c r="B8909" s="953"/>
      <c r="C8909" s="953"/>
      <c r="D8909" s="953"/>
      <c r="E8909" s="953"/>
      <c r="F8909" s="953"/>
      <c r="G8909" s="953"/>
      <c r="H8909" s="953"/>
    </row>
    <row r="8910" spans="1:8" x14ac:dyDescent="0.25">
      <c r="A8910" s="952"/>
      <c r="B8910" s="953"/>
      <c r="C8910" s="953"/>
      <c r="D8910" s="953"/>
      <c r="E8910" s="953"/>
      <c r="F8910" s="953"/>
      <c r="G8910" s="953"/>
      <c r="H8910" s="953"/>
    </row>
    <row r="8911" spans="1:8" x14ac:dyDescent="0.25">
      <c r="A8911" s="952"/>
      <c r="B8911" s="953"/>
      <c r="C8911" s="953"/>
      <c r="D8911" s="953"/>
      <c r="E8911" s="953"/>
      <c r="F8911" s="953"/>
      <c r="G8911" s="953"/>
      <c r="H8911" s="953"/>
    </row>
    <row r="8912" spans="1:8" x14ac:dyDescent="0.25">
      <c r="A8912" s="952"/>
      <c r="B8912" s="953"/>
      <c r="C8912" s="953"/>
      <c r="D8912" s="953"/>
      <c r="E8912" s="953"/>
      <c r="F8912" s="953"/>
      <c r="G8912" s="953"/>
      <c r="H8912" s="953"/>
    </row>
    <row r="8913" spans="1:8" x14ac:dyDescent="0.25">
      <c r="A8913" s="952"/>
      <c r="B8913" s="953"/>
      <c r="C8913" s="953"/>
      <c r="D8913" s="953"/>
      <c r="E8913" s="953"/>
      <c r="F8913" s="953"/>
      <c r="G8913" s="953"/>
      <c r="H8913" s="953"/>
    </row>
    <row r="8914" spans="1:8" x14ac:dyDescent="0.25">
      <c r="A8914" s="952"/>
      <c r="B8914" s="953"/>
      <c r="C8914" s="953"/>
      <c r="D8914" s="953"/>
      <c r="E8914" s="953"/>
      <c r="F8914" s="953"/>
      <c r="G8914" s="953"/>
      <c r="H8914" s="953"/>
    </row>
    <row r="8915" spans="1:8" x14ac:dyDescent="0.25">
      <c r="A8915" s="952"/>
      <c r="B8915" s="953"/>
      <c r="C8915" s="953"/>
      <c r="D8915" s="953"/>
      <c r="E8915" s="953"/>
      <c r="F8915" s="953"/>
      <c r="G8915" s="953"/>
      <c r="H8915" s="953"/>
    </row>
    <row r="8916" spans="1:8" x14ac:dyDescent="0.25">
      <c r="A8916" s="952"/>
      <c r="B8916" s="953"/>
      <c r="C8916" s="953"/>
      <c r="D8916" s="953"/>
      <c r="E8916" s="953"/>
      <c r="F8916" s="953"/>
      <c r="G8916" s="953"/>
      <c r="H8916" s="953"/>
    </row>
    <row r="8917" spans="1:8" x14ac:dyDescent="0.25">
      <c r="A8917" s="952"/>
      <c r="B8917" s="953"/>
      <c r="C8917" s="953"/>
      <c r="D8917" s="953"/>
      <c r="E8917" s="953"/>
      <c r="F8917" s="953"/>
      <c r="G8917" s="953"/>
      <c r="H8917" s="953"/>
    </row>
    <row r="8918" spans="1:8" x14ac:dyDescent="0.25">
      <c r="A8918" s="952"/>
      <c r="B8918" s="953"/>
      <c r="C8918" s="953"/>
      <c r="D8918" s="953"/>
      <c r="E8918" s="953"/>
      <c r="F8918" s="953"/>
      <c r="G8918" s="953"/>
      <c r="H8918" s="953"/>
    </row>
    <row r="8919" spans="1:8" x14ac:dyDescent="0.25">
      <c r="A8919" s="952"/>
      <c r="B8919" s="953"/>
      <c r="C8919" s="953"/>
      <c r="D8919" s="953"/>
      <c r="E8919" s="953"/>
      <c r="F8919" s="953"/>
      <c r="G8919" s="953"/>
      <c r="H8919" s="953"/>
    </row>
    <row r="8920" spans="1:8" x14ac:dyDescent="0.25">
      <c r="A8920" s="952"/>
      <c r="B8920" s="953"/>
      <c r="C8920" s="953"/>
      <c r="D8920" s="953"/>
      <c r="E8920" s="953"/>
      <c r="F8920" s="953"/>
      <c r="G8920" s="953"/>
      <c r="H8920" s="953"/>
    </row>
    <row r="8921" spans="1:8" x14ac:dyDescent="0.25">
      <c r="A8921" s="952"/>
      <c r="B8921" s="953"/>
      <c r="C8921" s="953"/>
      <c r="D8921" s="953"/>
      <c r="E8921" s="953"/>
      <c r="F8921" s="953"/>
      <c r="G8921" s="953"/>
      <c r="H8921" s="953"/>
    </row>
    <row r="8922" spans="1:8" x14ac:dyDescent="0.25">
      <c r="A8922" s="952"/>
      <c r="B8922" s="953"/>
      <c r="C8922" s="953"/>
      <c r="D8922" s="953"/>
      <c r="E8922" s="953"/>
      <c r="F8922" s="953"/>
      <c r="G8922" s="953"/>
      <c r="H8922" s="953"/>
    </row>
    <row r="8923" spans="1:8" x14ac:dyDescent="0.25">
      <c r="A8923" s="952"/>
      <c r="B8923" s="953"/>
      <c r="C8923" s="953"/>
      <c r="D8923" s="953"/>
      <c r="E8923" s="953"/>
      <c r="F8923" s="953"/>
      <c r="G8923" s="953"/>
      <c r="H8923" s="953"/>
    </row>
    <row r="8924" spans="1:8" x14ac:dyDescent="0.25">
      <c r="A8924" s="952"/>
      <c r="B8924" s="953"/>
      <c r="C8924" s="953"/>
      <c r="D8924" s="953"/>
      <c r="E8924" s="953"/>
      <c r="F8924" s="953"/>
      <c r="G8924" s="953"/>
      <c r="H8924" s="953"/>
    </row>
    <row r="8925" spans="1:8" x14ac:dyDescent="0.25">
      <c r="A8925" s="952"/>
      <c r="B8925" s="953"/>
      <c r="C8925" s="953"/>
      <c r="D8925" s="953"/>
      <c r="E8925" s="953"/>
      <c r="F8925" s="953"/>
      <c r="G8925" s="953"/>
      <c r="H8925" s="953"/>
    </row>
    <row r="8926" spans="1:8" x14ac:dyDescent="0.25">
      <c r="A8926" s="952"/>
      <c r="B8926" s="953"/>
      <c r="C8926" s="953"/>
      <c r="D8926" s="953"/>
      <c r="E8926" s="953"/>
      <c r="F8926" s="953"/>
      <c r="G8926" s="953"/>
      <c r="H8926" s="953"/>
    </row>
    <row r="8927" spans="1:8" x14ac:dyDescent="0.25">
      <c r="A8927" s="952"/>
      <c r="B8927" s="953"/>
      <c r="C8927" s="953"/>
      <c r="D8927" s="953"/>
      <c r="E8927" s="953"/>
      <c r="F8927" s="953"/>
      <c r="G8927" s="953"/>
      <c r="H8927" s="953"/>
    </row>
    <row r="8928" spans="1:8" x14ac:dyDescent="0.25">
      <c r="A8928" s="952"/>
      <c r="B8928" s="953"/>
      <c r="C8928" s="953"/>
      <c r="D8928" s="953"/>
      <c r="E8928" s="953"/>
      <c r="F8928" s="953"/>
      <c r="G8928" s="953"/>
      <c r="H8928" s="953"/>
    </row>
    <row r="8929" spans="1:8" x14ac:dyDescent="0.25">
      <c r="A8929" s="952"/>
      <c r="B8929" s="953"/>
      <c r="C8929" s="953"/>
      <c r="D8929" s="953"/>
      <c r="E8929" s="953"/>
      <c r="F8929" s="953"/>
      <c r="G8929" s="953"/>
      <c r="H8929" s="953"/>
    </row>
    <row r="8930" spans="1:8" x14ac:dyDescent="0.25">
      <c r="A8930" s="952"/>
      <c r="B8930" s="953"/>
      <c r="C8930" s="953"/>
      <c r="D8930" s="953"/>
      <c r="E8930" s="953"/>
      <c r="F8930" s="953"/>
      <c r="G8930" s="953"/>
      <c r="H8930" s="953"/>
    </row>
    <row r="8931" spans="1:8" x14ac:dyDescent="0.25">
      <c r="A8931" s="952"/>
      <c r="B8931" s="953"/>
      <c r="C8931" s="953"/>
      <c r="D8931" s="953"/>
      <c r="E8931" s="953"/>
      <c r="F8931" s="953"/>
      <c r="G8931" s="953"/>
      <c r="H8931" s="953"/>
    </row>
    <row r="8932" spans="1:8" x14ac:dyDescent="0.25">
      <c r="A8932" s="952"/>
      <c r="B8932" s="953"/>
      <c r="C8932" s="953"/>
      <c r="D8932" s="953"/>
      <c r="E8932" s="953"/>
      <c r="F8932" s="953"/>
      <c r="G8932" s="953"/>
      <c r="H8932" s="953"/>
    </row>
    <row r="8933" spans="1:8" x14ac:dyDescent="0.25">
      <c r="A8933" s="952"/>
      <c r="B8933" s="953"/>
      <c r="C8933" s="953"/>
      <c r="D8933" s="953"/>
      <c r="E8933" s="953"/>
      <c r="F8933" s="953"/>
      <c r="G8933" s="953"/>
      <c r="H8933" s="953"/>
    </row>
    <row r="8934" spans="1:8" x14ac:dyDescent="0.25">
      <c r="A8934" s="952"/>
      <c r="B8934" s="953"/>
      <c r="C8934" s="953"/>
      <c r="D8934" s="953"/>
      <c r="E8934" s="953"/>
      <c r="F8934" s="953"/>
      <c r="G8934" s="953"/>
      <c r="H8934" s="953"/>
    </row>
    <row r="8935" spans="1:8" x14ac:dyDescent="0.25">
      <c r="A8935" s="952"/>
      <c r="B8935" s="953"/>
      <c r="C8935" s="953"/>
      <c r="D8935" s="953"/>
      <c r="E8935" s="953"/>
      <c r="F8935" s="953"/>
      <c r="G8935" s="953"/>
      <c r="H8935" s="953"/>
    </row>
    <row r="8936" spans="1:8" x14ac:dyDescent="0.25">
      <c r="A8936" s="952"/>
      <c r="B8936" s="953"/>
      <c r="C8936" s="953"/>
      <c r="D8936" s="953"/>
      <c r="E8936" s="953"/>
      <c r="F8936" s="953"/>
      <c r="G8936" s="953"/>
      <c r="H8936" s="953"/>
    </row>
    <row r="8937" spans="1:8" x14ac:dyDescent="0.25">
      <c r="A8937" s="952"/>
      <c r="B8937" s="953"/>
      <c r="C8937" s="953"/>
      <c r="D8937" s="953"/>
      <c r="E8937" s="953"/>
      <c r="F8937" s="953"/>
      <c r="G8937" s="953"/>
      <c r="H8937" s="953"/>
    </row>
    <row r="8938" spans="1:8" x14ac:dyDescent="0.25">
      <c r="A8938" s="952"/>
      <c r="B8938" s="953"/>
      <c r="C8938" s="953"/>
      <c r="D8938" s="953"/>
      <c r="E8938" s="953"/>
      <c r="F8938" s="953"/>
      <c r="G8938" s="953"/>
      <c r="H8938" s="953"/>
    </row>
    <row r="8939" spans="1:8" x14ac:dyDescent="0.25">
      <c r="A8939" s="952"/>
      <c r="B8939" s="953"/>
      <c r="C8939" s="953"/>
      <c r="D8939" s="953"/>
      <c r="E8939" s="953"/>
      <c r="F8939" s="953"/>
      <c r="G8939" s="953"/>
      <c r="H8939" s="953"/>
    </row>
    <row r="8940" spans="1:8" x14ac:dyDescent="0.25">
      <c r="A8940" s="952"/>
      <c r="B8940" s="953"/>
      <c r="C8940" s="953"/>
      <c r="D8940" s="953"/>
      <c r="E8940" s="953"/>
      <c r="F8940" s="953"/>
      <c r="G8940" s="953"/>
      <c r="H8940" s="953"/>
    </row>
    <row r="8941" spans="1:8" x14ac:dyDescent="0.25">
      <c r="A8941" s="952"/>
      <c r="B8941" s="953"/>
      <c r="C8941" s="953"/>
      <c r="D8941" s="953"/>
      <c r="E8941" s="953"/>
      <c r="F8941" s="953"/>
      <c r="G8941" s="953"/>
      <c r="H8941" s="953"/>
    </row>
    <row r="8942" spans="1:8" x14ac:dyDescent="0.25">
      <c r="A8942" s="952"/>
      <c r="B8942" s="953"/>
      <c r="C8942" s="953"/>
      <c r="D8942" s="953"/>
      <c r="E8942" s="953"/>
      <c r="F8942" s="953"/>
      <c r="G8942" s="953"/>
      <c r="H8942" s="953"/>
    </row>
    <row r="8943" spans="1:8" x14ac:dyDescent="0.25">
      <c r="A8943" s="952"/>
      <c r="B8943" s="953"/>
      <c r="C8943" s="953"/>
      <c r="D8943" s="953"/>
      <c r="E8943" s="953"/>
      <c r="F8943" s="953"/>
      <c r="G8943" s="953"/>
      <c r="H8943" s="953"/>
    </row>
    <row r="8944" spans="1:8" x14ac:dyDescent="0.25">
      <c r="A8944" s="952"/>
      <c r="B8944" s="953"/>
      <c r="C8944" s="953"/>
      <c r="D8944" s="953"/>
      <c r="E8944" s="953"/>
      <c r="F8944" s="953"/>
      <c r="G8944" s="953"/>
      <c r="H8944" s="953"/>
    </row>
    <row r="8945" spans="1:8" x14ac:dyDescent="0.25">
      <c r="A8945" s="952"/>
      <c r="B8945" s="953"/>
      <c r="C8945" s="953"/>
      <c r="D8945" s="953"/>
      <c r="E8945" s="953"/>
      <c r="F8945" s="953"/>
      <c r="G8945" s="953"/>
      <c r="H8945" s="953"/>
    </row>
    <row r="8946" spans="1:8" x14ac:dyDescent="0.25">
      <c r="A8946" s="952"/>
      <c r="B8946" s="953"/>
      <c r="C8946" s="953"/>
      <c r="D8946" s="953"/>
      <c r="E8946" s="953"/>
      <c r="F8946" s="953"/>
      <c r="G8946" s="953"/>
      <c r="H8946" s="953"/>
    </row>
    <row r="8947" spans="1:8" x14ac:dyDescent="0.25">
      <c r="A8947" s="952"/>
      <c r="B8947" s="953"/>
      <c r="C8947" s="953"/>
      <c r="D8947" s="953"/>
      <c r="E8947" s="953"/>
      <c r="F8947" s="953"/>
      <c r="G8947" s="953"/>
      <c r="H8947" s="953"/>
    </row>
    <row r="8948" spans="1:8" x14ac:dyDescent="0.25">
      <c r="A8948" s="952"/>
      <c r="B8948" s="953"/>
      <c r="C8948" s="953"/>
      <c r="D8948" s="953"/>
      <c r="E8948" s="953"/>
      <c r="F8948" s="953"/>
      <c r="G8948" s="953"/>
      <c r="H8948" s="953"/>
    </row>
    <row r="8949" spans="1:8" x14ac:dyDescent="0.25">
      <c r="A8949" s="952"/>
      <c r="B8949" s="953"/>
      <c r="C8949" s="953"/>
      <c r="D8949" s="953"/>
      <c r="E8949" s="953"/>
      <c r="F8949" s="953"/>
      <c r="G8949" s="953"/>
      <c r="H8949" s="953"/>
    </row>
    <row r="8950" spans="1:8" x14ac:dyDescent="0.25">
      <c r="A8950" s="952"/>
      <c r="B8950" s="953"/>
      <c r="C8950" s="953"/>
      <c r="D8950" s="953"/>
      <c r="E8950" s="953"/>
      <c r="F8950" s="953"/>
      <c r="G8950" s="953"/>
      <c r="H8950" s="953"/>
    </row>
    <row r="8951" spans="1:8" x14ac:dyDescent="0.25">
      <c r="A8951" s="952"/>
      <c r="B8951" s="953"/>
      <c r="C8951" s="953"/>
      <c r="D8951" s="953"/>
      <c r="E8951" s="953"/>
      <c r="F8951" s="953"/>
      <c r="G8951" s="953"/>
      <c r="H8951" s="953"/>
    </row>
    <row r="8952" spans="1:8" x14ac:dyDescent="0.25">
      <c r="A8952" s="952"/>
      <c r="B8952" s="953"/>
      <c r="C8952" s="953"/>
      <c r="D8952" s="953"/>
      <c r="E8952" s="953"/>
      <c r="F8952" s="953"/>
      <c r="G8952" s="953"/>
      <c r="H8952" s="953"/>
    </row>
    <row r="8953" spans="1:8" x14ac:dyDescent="0.25">
      <c r="A8953" s="952"/>
      <c r="B8953" s="953"/>
      <c r="C8953" s="953"/>
      <c r="D8953" s="953"/>
      <c r="E8953" s="953"/>
      <c r="F8953" s="953"/>
      <c r="G8953" s="953"/>
      <c r="H8953" s="953"/>
    </row>
    <row r="8954" spans="1:8" x14ac:dyDescent="0.25">
      <c r="A8954" s="952"/>
      <c r="B8954" s="953"/>
      <c r="C8954" s="953"/>
      <c r="D8954" s="953"/>
      <c r="E8954" s="953"/>
      <c r="F8954" s="953"/>
      <c r="G8954" s="953"/>
      <c r="H8954" s="953"/>
    </row>
    <row r="8955" spans="1:8" x14ac:dyDescent="0.25">
      <c r="A8955" s="952"/>
      <c r="B8955" s="953"/>
      <c r="C8955" s="953"/>
      <c r="D8955" s="953"/>
      <c r="E8955" s="953"/>
      <c r="F8955" s="953"/>
      <c r="G8955" s="953"/>
      <c r="H8955" s="953"/>
    </row>
    <row r="8956" spans="1:8" x14ac:dyDescent="0.25">
      <c r="A8956" s="952"/>
      <c r="B8956" s="953"/>
      <c r="C8956" s="953"/>
      <c r="D8956" s="953"/>
      <c r="E8956" s="953"/>
      <c r="F8956" s="953"/>
      <c r="G8956" s="953"/>
      <c r="H8956" s="953"/>
    </row>
    <row r="8957" spans="1:8" x14ac:dyDescent="0.25">
      <c r="A8957" s="952"/>
      <c r="B8957" s="953"/>
      <c r="C8957" s="953"/>
      <c r="D8957" s="953"/>
      <c r="E8957" s="953"/>
      <c r="F8957" s="953"/>
      <c r="G8957" s="953"/>
      <c r="H8957" s="953"/>
    </row>
    <row r="8958" spans="1:8" x14ac:dyDescent="0.25">
      <c r="A8958" s="952"/>
      <c r="B8958" s="953"/>
      <c r="C8958" s="953"/>
      <c r="D8958" s="953"/>
      <c r="E8958" s="953"/>
      <c r="F8958" s="953"/>
      <c r="G8958" s="953"/>
      <c r="H8958" s="953"/>
    </row>
    <row r="8959" spans="1:8" x14ac:dyDescent="0.25">
      <c r="A8959" s="952"/>
      <c r="B8959" s="953"/>
      <c r="C8959" s="953"/>
      <c r="D8959" s="953"/>
      <c r="E8959" s="953"/>
      <c r="F8959" s="953"/>
      <c r="G8959" s="953"/>
      <c r="H8959" s="953"/>
    </row>
    <row r="8960" spans="1:8" x14ac:dyDescent="0.25">
      <c r="A8960" s="952"/>
      <c r="B8960" s="953"/>
      <c r="C8960" s="953"/>
      <c r="D8960" s="953"/>
      <c r="E8960" s="953"/>
      <c r="F8960" s="953"/>
      <c r="G8960" s="953"/>
      <c r="H8960" s="953"/>
    </row>
    <row r="8961" spans="1:8" x14ac:dyDescent="0.25">
      <c r="A8961" s="952"/>
      <c r="B8961" s="953"/>
      <c r="C8961" s="953"/>
      <c r="D8961" s="953"/>
      <c r="E8961" s="953"/>
      <c r="F8961" s="953"/>
      <c r="G8961" s="953"/>
      <c r="H8961" s="953"/>
    </row>
    <row r="8962" spans="1:8" x14ac:dyDescent="0.25">
      <c r="A8962" s="952"/>
      <c r="B8962" s="953"/>
      <c r="C8962" s="953"/>
      <c r="D8962" s="953"/>
      <c r="E8962" s="953"/>
      <c r="F8962" s="953"/>
      <c r="G8962" s="953"/>
      <c r="H8962" s="953"/>
    </row>
    <row r="8963" spans="1:8" x14ac:dyDescent="0.25">
      <c r="A8963" s="952"/>
      <c r="B8963" s="953"/>
      <c r="C8963" s="953"/>
      <c r="D8963" s="953"/>
      <c r="E8963" s="953"/>
      <c r="F8963" s="953"/>
      <c r="G8963" s="953"/>
      <c r="H8963" s="953"/>
    </row>
    <row r="8964" spans="1:8" x14ac:dyDescent="0.25">
      <c r="A8964" s="952"/>
      <c r="B8964" s="953"/>
      <c r="C8964" s="953"/>
      <c r="D8964" s="953"/>
      <c r="E8964" s="953"/>
      <c r="F8964" s="953"/>
      <c r="G8964" s="953"/>
      <c r="H8964" s="953"/>
    </row>
    <row r="8965" spans="1:8" x14ac:dyDescent="0.25">
      <c r="A8965" s="952"/>
      <c r="B8965" s="953"/>
      <c r="C8965" s="953"/>
      <c r="D8965" s="953"/>
      <c r="E8965" s="953"/>
      <c r="F8965" s="953"/>
      <c r="G8965" s="953"/>
      <c r="H8965" s="953"/>
    </row>
    <row r="8966" spans="1:8" x14ac:dyDescent="0.25">
      <c r="A8966" s="952"/>
      <c r="B8966" s="953"/>
      <c r="C8966" s="953"/>
      <c r="D8966" s="953"/>
      <c r="E8966" s="953"/>
      <c r="F8966" s="953"/>
      <c r="G8966" s="953"/>
      <c r="H8966" s="953"/>
    </row>
    <row r="8967" spans="1:8" x14ac:dyDescent="0.25">
      <c r="A8967" s="952"/>
      <c r="B8967" s="953"/>
      <c r="C8967" s="953"/>
      <c r="D8967" s="953"/>
      <c r="E8967" s="953"/>
      <c r="F8967" s="953"/>
      <c r="G8967" s="953"/>
      <c r="H8967" s="953"/>
    </row>
    <row r="8968" spans="1:8" x14ac:dyDescent="0.25">
      <c r="A8968" s="952"/>
      <c r="B8968" s="953"/>
      <c r="C8968" s="953"/>
      <c r="D8968" s="953"/>
      <c r="E8968" s="953"/>
      <c r="F8968" s="953"/>
      <c r="G8968" s="953"/>
      <c r="H8968" s="953"/>
    </row>
    <row r="8969" spans="1:8" x14ac:dyDescent="0.25">
      <c r="A8969" s="952"/>
      <c r="B8969" s="953"/>
      <c r="C8969" s="953"/>
      <c r="D8969" s="953"/>
      <c r="E8969" s="953"/>
      <c r="F8969" s="953"/>
      <c r="G8969" s="953"/>
      <c r="H8969" s="953"/>
    </row>
    <row r="8970" spans="1:8" x14ac:dyDescent="0.25">
      <c r="A8970" s="952"/>
      <c r="B8970" s="953"/>
      <c r="C8970" s="953"/>
      <c r="D8970" s="953"/>
      <c r="E8970" s="953"/>
      <c r="F8970" s="953"/>
      <c r="G8970" s="953"/>
      <c r="H8970" s="953"/>
    </row>
    <row r="8971" spans="1:8" x14ac:dyDescent="0.25">
      <c r="A8971" s="952"/>
      <c r="B8971" s="953"/>
      <c r="C8971" s="953"/>
      <c r="D8971" s="953"/>
      <c r="E8971" s="953"/>
      <c r="F8971" s="953"/>
      <c r="G8971" s="953"/>
      <c r="H8971" s="953"/>
    </row>
    <row r="8972" spans="1:8" x14ac:dyDescent="0.25">
      <c r="A8972" s="952"/>
      <c r="B8972" s="953"/>
      <c r="C8972" s="953"/>
      <c r="D8972" s="953"/>
      <c r="E8972" s="953"/>
      <c r="F8972" s="953"/>
      <c r="G8972" s="953"/>
      <c r="H8972" s="953"/>
    </row>
    <row r="8973" spans="1:8" x14ac:dyDescent="0.25">
      <c r="A8973" s="952"/>
      <c r="B8973" s="953"/>
      <c r="C8973" s="953"/>
      <c r="D8973" s="953"/>
      <c r="E8973" s="953"/>
      <c r="F8973" s="953"/>
      <c r="G8973" s="953"/>
      <c r="H8973" s="953"/>
    </row>
    <row r="8974" spans="1:8" x14ac:dyDescent="0.25">
      <c r="A8974" s="952"/>
      <c r="B8974" s="953"/>
      <c r="C8974" s="953"/>
      <c r="D8974" s="953"/>
      <c r="E8974" s="953"/>
      <c r="F8974" s="953"/>
      <c r="G8974" s="953"/>
      <c r="H8974" s="953"/>
    </row>
    <row r="8975" spans="1:8" x14ac:dyDescent="0.25">
      <c r="A8975" s="952"/>
      <c r="B8975" s="953"/>
      <c r="C8975" s="953"/>
      <c r="D8975" s="953"/>
      <c r="E8975" s="953"/>
      <c r="F8975" s="953"/>
      <c r="G8975" s="953"/>
      <c r="H8975" s="953"/>
    </row>
    <row r="8976" spans="1:8" x14ac:dyDescent="0.25">
      <c r="A8976" s="952"/>
      <c r="B8976" s="953"/>
      <c r="C8976" s="953"/>
      <c r="D8976" s="953"/>
      <c r="E8976" s="953"/>
      <c r="F8976" s="953"/>
      <c r="G8976" s="953"/>
      <c r="H8976" s="953"/>
    </row>
    <row r="8977" spans="1:8" x14ac:dyDescent="0.25">
      <c r="A8977" s="952"/>
      <c r="B8977" s="953"/>
      <c r="C8977" s="953"/>
      <c r="D8977" s="953"/>
      <c r="E8977" s="953"/>
      <c r="F8977" s="953"/>
      <c r="G8977" s="953"/>
      <c r="H8977" s="953"/>
    </row>
    <row r="8978" spans="1:8" x14ac:dyDescent="0.25">
      <c r="A8978" s="952"/>
      <c r="B8978" s="953"/>
      <c r="C8978" s="953"/>
      <c r="D8978" s="953"/>
      <c r="E8978" s="953"/>
      <c r="F8978" s="953"/>
      <c r="G8978" s="953"/>
      <c r="H8978" s="953"/>
    </row>
    <row r="8979" spans="1:8" x14ac:dyDescent="0.25">
      <c r="A8979" s="952"/>
      <c r="B8979" s="953"/>
      <c r="C8979" s="953"/>
      <c r="D8979" s="953"/>
      <c r="E8979" s="953"/>
      <c r="F8979" s="953"/>
      <c r="G8979" s="953"/>
      <c r="H8979" s="953"/>
    </row>
    <row r="8980" spans="1:8" x14ac:dyDescent="0.25">
      <c r="A8980" s="952"/>
      <c r="B8980" s="953"/>
      <c r="C8980" s="953"/>
      <c r="D8980" s="953"/>
      <c r="E8980" s="953"/>
      <c r="F8980" s="953"/>
      <c r="G8980" s="953"/>
      <c r="H8980" s="953"/>
    </row>
    <row r="8981" spans="1:8" x14ac:dyDescent="0.25">
      <c r="A8981" s="952"/>
      <c r="B8981" s="953"/>
      <c r="C8981" s="953"/>
      <c r="D8981" s="953"/>
      <c r="E8981" s="953"/>
      <c r="F8981" s="953"/>
      <c r="G8981" s="953"/>
      <c r="H8981" s="953"/>
    </row>
    <row r="8982" spans="1:8" x14ac:dyDescent="0.25">
      <c r="A8982" s="952"/>
      <c r="B8982" s="953"/>
      <c r="C8982" s="953"/>
      <c r="D8982" s="953"/>
      <c r="E8982" s="953"/>
      <c r="F8982" s="953"/>
      <c r="G8982" s="953"/>
      <c r="H8982" s="953"/>
    </row>
    <row r="8983" spans="1:8" x14ac:dyDescent="0.25">
      <c r="A8983" s="952"/>
      <c r="B8983" s="953"/>
      <c r="C8983" s="953"/>
      <c r="D8983" s="953"/>
      <c r="E8983" s="953"/>
      <c r="F8983" s="953"/>
      <c r="G8983" s="953"/>
      <c r="H8983" s="953"/>
    </row>
    <row r="8984" spans="1:8" x14ac:dyDescent="0.25">
      <c r="A8984" s="952"/>
      <c r="B8984" s="953"/>
      <c r="C8984" s="953"/>
      <c r="D8984" s="953"/>
      <c r="E8984" s="953"/>
      <c r="F8984" s="953"/>
      <c r="G8984" s="953"/>
      <c r="H8984" s="953"/>
    </row>
    <row r="8985" spans="1:8" x14ac:dyDescent="0.25">
      <c r="A8985" s="952"/>
      <c r="B8985" s="953"/>
      <c r="C8985" s="953"/>
      <c r="D8985" s="953"/>
      <c r="E8985" s="953"/>
      <c r="F8985" s="953"/>
      <c r="G8985" s="953"/>
      <c r="H8985" s="953"/>
    </row>
    <row r="8986" spans="1:8" x14ac:dyDescent="0.25">
      <c r="A8986" s="952"/>
      <c r="B8986" s="953"/>
      <c r="C8986" s="953"/>
      <c r="D8986" s="953"/>
      <c r="E8986" s="953"/>
      <c r="F8986" s="953"/>
      <c r="G8986" s="953"/>
      <c r="H8986" s="953"/>
    </row>
    <row r="8987" spans="1:8" x14ac:dyDescent="0.25">
      <c r="A8987" s="952"/>
      <c r="B8987" s="953"/>
      <c r="C8987" s="953"/>
      <c r="D8987" s="953"/>
      <c r="E8987" s="953"/>
      <c r="F8987" s="953"/>
      <c r="G8987" s="953"/>
      <c r="H8987" s="953"/>
    </row>
    <row r="8988" spans="1:8" x14ac:dyDescent="0.25">
      <c r="A8988" s="952"/>
      <c r="B8988" s="953"/>
      <c r="C8988" s="953"/>
      <c r="D8988" s="953"/>
      <c r="E8988" s="953"/>
      <c r="F8988" s="953"/>
      <c r="G8988" s="953"/>
      <c r="H8988" s="953"/>
    </row>
    <row r="8989" spans="1:8" x14ac:dyDescent="0.25">
      <c r="A8989" s="952"/>
      <c r="B8989" s="953"/>
      <c r="C8989" s="953"/>
      <c r="D8989" s="953"/>
      <c r="E8989" s="953"/>
      <c r="F8989" s="953"/>
      <c r="G8989" s="953"/>
      <c r="H8989" s="953"/>
    </row>
    <row r="8990" spans="1:8" x14ac:dyDescent="0.25">
      <c r="A8990" s="952"/>
      <c r="B8990" s="953"/>
      <c r="C8990" s="953"/>
      <c r="D8990" s="953"/>
      <c r="E8990" s="953"/>
      <c r="F8990" s="953"/>
      <c r="G8990" s="953"/>
      <c r="H8990" s="953"/>
    </row>
    <row r="8991" spans="1:8" x14ac:dyDescent="0.25">
      <c r="A8991" s="952"/>
      <c r="B8991" s="953"/>
      <c r="C8991" s="953"/>
      <c r="D8991" s="953"/>
      <c r="E8991" s="953"/>
      <c r="F8991" s="953"/>
      <c r="G8991" s="953"/>
      <c r="H8991" s="953"/>
    </row>
    <row r="8992" spans="1:8" x14ac:dyDescent="0.25">
      <c r="A8992" s="952"/>
      <c r="B8992" s="953"/>
      <c r="C8992" s="953"/>
      <c r="D8992" s="953"/>
      <c r="E8992" s="953"/>
      <c r="F8992" s="953"/>
      <c r="G8992" s="953"/>
      <c r="H8992" s="953"/>
    </row>
    <row r="8993" spans="1:8" x14ac:dyDescent="0.25">
      <c r="A8993" s="952"/>
      <c r="B8993" s="953"/>
      <c r="C8993" s="953"/>
      <c r="D8993" s="953"/>
      <c r="E8993" s="953"/>
      <c r="F8993" s="953"/>
      <c r="G8993" s="953"/>
      <c r="H8993" s="953"/>
    </row>
    <row r="8994" spans="1:8" x14ac:dyDescent="0.25">
      <c r="A8994" s="952"/>
      <c r="B8994" s="953"/>
      <c r="C8994" s="953"/>
      <c r="D8994" s="953"/>
      <c r="E8994" s="953"/>
      <c r="F8994" s="953"/>
      <c r="G8994" s="953"/>
      <c r="H8994" s="953"/>
    </row>
    <row r="8995" spans="1:8" x14ac:dyDescent="0.25">
      <c r="A8995" s="952"/>
      <c r="B8995" s="953"/>
      <c r="C8995" s="953"/>
      <c r="D8995" s="953"/>
      <c r="E8995" s="953"/>
      <c r="F8995" s="953"/>
      <c r="G8995" s="953"/>
      <c r="H8995" s="953"/>
    </row>
    <row r="8996" spans="1:8" x14ac:dyDescent="0.25">
      <c r="A8996" s="952"/>
      <c r="B8996" s="953"/>
      <c r="C8996" s="953"/>
      <c r="D8996" s="953"/>
      <c r="E8996" s="953"/>
      <c r="F8996" s="953"/>
      <c r="G8996" s="953"/>
      <c r="H8996" s="953"/>
    </row>
    <row r="8997" spans="1:8" x14ac:dyDescent="0.25">
      <c r="A8997" s="952"/>
      <c r="B8997" s="953"/>
      <c r="C8997" s="953"/>
      <c r="D8997" s="953"/>
      <c r="E8997" s="953"/>
      <c r="F8997" s="953"/>
      <c r="G8997" s="953"/>
      <c r="H8997" s="953"/>
    </row>
    <row r="8998" spans="1:8" x14ac:dyDescent="0.25">
      <c r="A8998" s="952"/>
      <c r="B8998" s="953"/>
      <c r="C8998" s="953"/>
      <c r="D8998" s="953"/>
      <c r="E8998" s="953"/>
      <c r="F8998" s="953"/>
      <c r="G8998" s="953"/>
      <c r="H8998" s="953"/>
    </row>
    <row r="8999" spans="1:8" x14ac:dyDescent="0.25">
      <c r="A8999" s="952"/>
      <c r="B8999" s="953"/>
      <c r="C8999" s="953"/>
      <c r="D8999" s="953"/>
      <c r="E8999" s="953"/>
      <c r="F8999" s="953"/>
      <c r="G8999" s="953"/>
      <c r="H8999" s="953"/>
    </row>
    <row r="9000" spans="1:8" x14ac:dyDescent="0.25">
      <c r="A9000" s="952"/>
      <c r="B9000" s="953"/>
      <c r="C9000" s="953"/>
      <c r="D9000" s="953"/>
      <c r="E9000" s="953"/>
      <c r="F9000" s="953"/>
      <c r="G9000" s="953"/>
      <c r="H9000" s="953"/>
    </row>
    <row r="9001" spans="1:8" x14ac:dyDescent="0.25">
      <c r="A9001" s="952"/>
      <c r="B9001" s="953"/>
      <c r="C9001" s="953"/>
      <c r="D9001" s="953"/>
      <c r="E9001" s="953"/>
      <c r="F9001" s="953"/>
      <c r="G9001" s="953"/>
      <c r="H9001" s="953"/>
    </row>
    <row r="9002" spans="1:8" x14ac:dyDescent="0.25">
      <c r="A9002" s="952"/>
      <c r="B9002" s="953"/>
      <c r="C9002" s="953"/>
      <c r="D9002" s="953"/>
      <c r="E9002" s="953"/>
      <c r="F9002" s="953"/>
      <c r="G9002" s="953"/>
      <c r="H9002" s="953"/>
    </row>
    <row r="9003" spans="1:8" x14ac:dyDescent="0.25">
      <c r="A9003" s="952"/>
      <c r="B9003" s="953"/>
      <c r="C9003" s="953"/>
      <c r="D9003" s="953"/>
      <c r="E9003" s="953"/>
      <c r="F9003" s="953"/>
      <c r="G9003" s="953"/>
      <c r="H9003" s="953"/>
    </row>
    <row r="9004" spans="1:8" x14ac:dyDescent="0.25">
      <c r="A9004" s="952"/>
      <c r="B9004" s="953"/>
      <c r="C9004" s="953"/>
      <c r="D9004" s="953"/>
      <c r="E9004" s="953"/>
      <c r="F9004" s="953"/>
      <c r="G9004" s="953"/>
      <c r="H9004" s="953"/>
    </row>
    <row r="9005" spans="1:8" x14ac:dyDescent="0.25">
      <c r="A9005" s="952"/>
      <c r="B9005" s="953"/>
      <c r="C9005" s="953"/>
      <c r="D9005" s="953"/>
      <c r="E9005" s="953"/>
      <c r="F9005" s="953"/>
      <c r="G9005" s="953"/>
      <c r="H9005" s="953"/>
    </row>
    <row r="9006" spans="1:8" x14ac:dyDescent="0.25">
      <c r="A9006" s="952"/>
      <c r="B9006" s="953"/>
      <c r="C9006" s="953"/>
      <c r="D9006" s="953"/>
      <c r="E9006" s="953"/>
      <c r="F9006" s="953"/>
      <c r="G9006" s="953"/>
      <c r="H9006" s="953"/>
    </row>
    <row r="9007" spans="1:8" x14ac:dyDescent="0.25">
      <c r="A9007" s="952"/>
      <c r="B9007" s="953"/>
      <c r="C9007" s="953"/>
      <c r="D9007" s="953"/>
      <c r="E9007" s="953"/>
      <c r="F9007" s="953"/>
      <c r="G9007" s="953"/>
      <c r="H9007" s="953"/>
    </row>
    <row r="9008" spans="1:8" x14ac:dyDescent="0.25">
      <c r="A9008" s="952"/>
      <c r="B9008" s="953"/>
      <c r="C9008" s="953"/>
      <c r="D9008" s="953"/>
      <c r="E9008" s="953"/>
      <c r="F9008" s="953"/>
      <c r="G9008" s="953"/>
      <c r="H9008" s="953"/>
    </row>
    <row r="9009" spans="1:8" x14ac:dyDescent="0.25">
      <c r="A9009" s="952"/>
      <c r="B9009" s="953"/>
      <c r="C9009" s="953"/>
      <c r="D9009" s="953"/>
      <c r="E9009" s="953"/>
      <c r="F9009" s="953"/>
      <c r="G9009" s="953"/>
      <c r="H9009" s="953"/>
    </row>
    <row r="9010" spans="1:8" x14ac:dyDescent="0.25">
      <c r="A9010" s="952"/>
      <c r="B9010" s="953"/>
      <c r="C9010" s="953"/>
      <c r="D9010" s="953"/>
      <c r="E9010" s="953"/>
      <c r="F9010" s="953"/>
      <c r="G9010" s="953"/>
      <c r="H9010" s="953"/>
    </row>
    <row r="9011" spans="1:8" x14ac:dyDescent="0.25">
      <c r="A9011" s="952"/>
      <c r="B9011" s="953"/>
      <c r="C9011" s="953"/>
      <c r="D9011" s="953"/>
      <c r="E9011" s="953"/>
      <c r="F9011" s="953"/>
      <c r="G9011" s="953"/>
      <c r="H9011" s="953"/>
    </row>
    <row r="9012" spans="1:8" x14ac:dyDescent="0.25">
      <c r="A9012" s="952"/>
      <c r="B9012" s="953"/>
      <c r="C9012" s="953"/>
      <c r="D9012" s="953"/>
      <c r="E9012" s="953"/>
      <c r="F9012" s="953"/>
      <c r="G9012" s="953"/>
      <c r="H9012" s="953"/>
    </row>
    <row r="9013" spans="1:8" x14ac:dyDescent="0.25">
      <c r="A9013" s="952"/>
      <c r="B9013" s="953"/>
      <c r="C9013" s="953"/>
      <c r="D9013" s="953"/>
      <c r="E9013" s="953"/>
      <c r="F9013" s="953"/>
      <c r="G9013" s="953"/>
      <c r="H9013" s="953"/>
    </row>
    <row r="9014" spans="1:8" x14ac:dyDescent="0.25">
      <c r="A9014" s="952"/>
      <c r="B9014" s="953"/>
      <c r="C9014" s="953"/>
      <c r="D9014" s="953"/>
      <c r="E9014" s="953"/>
      <c r="F9014" s="953"/>
      <c r="G9014" s="953"/>
      <c r="H9014" s="953"/>
    </row>
    <row r="9015" spans="1:8" x14ac:dyDescent="0.25">
      <c r="A9015" s="952"/>
      <c r="B9015" s="953"/>
      <c r="C9015" s="953"/>
      <c r="D9015" s="953"/>
      <c r="E9015" s="953"/>
      <c r="F9015" s="953"/>
      <c r="G9015" s="953"/>
      <c r="H9015" s="953"/>
    </row>
    <row r="9016" spans="1:8" x14ac:dyDescent="0.25">
      <c r="A9016" s="952"/>
      <c r="B9016" s="953"/>
      <c r="C9016" s="953"/>
      <c r="D9016" s="953"/>
      <c r="E9016" s="953"/>
      <c r="F9016" s="953"/>
      <c r="G9016" s="953"/>
      <c r="H9016" s="953"/>
    </row>
    <row r="9017" spans="1:8" x14ac:dyDescent="0.25">
      <c r="A9017" s="952"/>
      <c r="B9017" s="953"/>
      <c r="C9017" s="953"/>
      <c r="D9017" s="953"/>
      <c r="E9017" s="953"/>
      <c r="F9017" s="953"/>
      <c r="G9017" s="953"/>
      <c r="H9017" s="953"/>
    </row>
    <row r="9018" spans="1:8" x14ac:dyDescent="0.25">
      <c r="A9018" s="952"/>
      <c r="B9018" s="953"/>
      <c r="C9018" s="953"/>
      <c r="D9018" s="953"/>
      <c r="E9018" s="953"/>
      <c r="F9018" s="953"/>
      <c r="G9018" s="953"/>
      <c r="H9018" s="953"/>
    </row>
    <row r="9019" spans="1:8" x14ac:dyDescent="0.25">
      <c r="A9019" s="952"/>
      <c r="B9019" s="953"/>
      <c r="C9019" s="953"/>
      <c r="D9019" s="953"/>
      <c r="E9019" s="953"/>
      <c r="F9019" s="953"/>
      <c r="G9019" s="953"/>
      <c r="H9019" s="953"/>
    </row>
    <row r="9020" spans="1:8" x14ac:dyDescent="0.25">
      <c r="A9020" s="952"/>
      <c r="B9020" s="953"/>
      <c r="C9020" s="953"/>
      <c r="D9020" s="953"/>
      <c r="E9020" s="953"/>
      <c r="F9020" s="953"/>
      <c r="G9020" s="953"/>
      <c r="H9020" s="953"/>
    </row>
    <row r="9021" spans="1:8" x14ac:dyDescent="0.25">
      <c r="A9021" s="952"/>
      <c r="B9021" s="953"/>
      <c r="C9021" s="953"/>
      <c r="D9021" s="953"/>
      <c r="E9021" s="953"/>
      <c r="F9021" s="953"/>
      <c r="G9021" s="953"/>
      <c r="H9021" s="953"/>
    </row>
    <row r="9022" spans="1:8" x14ac:dyDescent="0.25">
      <c r="A9022" s="952"/>
      <c r="B9022" s="953"/>
      <c r="C9022" s="953"/>
      <c r="D9022" s="953"/>
      <c r="E9022" s="953"/>
      <c r="F9022" s="953"/>
      <c r="G9022" s="953"/>
      <c r="H9022" s="953"/>
    </row>
    <row r="9023" spans="1:8" x14ac:dyDescent="0.25">
      <c r="A9023" s="952"/>
      <c r="B9023" s="953"/>
      <c r="C9023" s="953"/>
      <c r="D9023" s="953"/>
      <c r="E9023" s="953"/>
      <c r="F9023" s="953"/>
      <c r="G9023" s="953"/>
      <c r="H9023" s="953"/>
    </row>
    <row r="9024" spans="1:8" x14ac:dyDescent="0.25">
      <c r="A9024" s="952"/>
      <c r="B9024" s="953"/>
      <c r="C9024" s="953"/>
      <c r="D9024" s="953"/>
      <c r="E9024" s="953"/>
      <c r="F9024" s="953"/>
      <c r="G9024" s="953"/>
      <c r="H9024" s="953"/>
    </row>
    <row r="9025" spans="1:8" x14ac:dyDescent="0.25">
      <c r="A9025" s="952"/>
      <c r="B9025" s="953"/>
      <c r="C9025" s="953"/>
      <c r="D9025" s="953"/>
      <c r="E9025" s="953"/>
      <c r="F9025" s="953"/>
      <c r="G9025" s="953"/>
      <c r="H9025" s="953"/>
    </row>
    <row r="9026" spans="1:8" x14ac:dyDescent="0.25">
      <c r="A9026" s="952"/>
      <c r="B9026" s="953"/>
      <c r="C9026" s="953"/>
      <c r="D9026" s="953"/>
      <c r="E9026" s="953"/>
      <c r="F9026" s="953"/>
      <c r="G9026" s="953"/>
      <c r="H9026" s="953"/>
    </row>
    <row r="9027" spans="1:8" x14ac:dyDescent="0.25">
      <c r="A9027" s="952"/>
      <c r="B9027" s="953"/>
      <c r="C9027" s="953"/>
      <c r="D9027" s="953"/>
      <c r="E9027" s="953"/>
      <c r="F9027" s="953"/>
      <c r="G9027" s="953"/>
      <c r="H9027" s="953"/>
    </row>
    <row r="9028" spans="1:8" x14ac:dyDescent="0.25">
      <c r="A9028" s="952"/>
      <c r="B9028" s="953"/>
      <c r="C9028" s="953"/>
      <c r="D9028" s="953"/>
      <c r="E9028" s="953"/>
      <c r="F9028" s="953"/>
      <c r="G9028" s="953"/>
      <c r="H9028" s="953"/>
    </row>
    <row r="9029" spans="1:8" x14ac:dyDescent="0.25">
      <c r="A9029" s="952"/>
      <c r="B9029" s="953"/>
      <c r="C9029" s="953"/>
      <c r="D9029" s="953"/>
      <c r="E9029" s="953"/>
      <c r="F9029" s="953"/>
      <c r="G9029" s="953"/>
      <c r="H9029" s="953"/>
    </row>
    <row r="9030" spans="1:8" x14ac:dyDescent="0.25">
      <c r="A9030" s="952"/>
      <c r="B9030" s="953"/>
      <c r="C9030" s="953"/>
      <c r="D9030" s="953"/>
      <c r="E9030" s="953"/>
      <c r="F9030" s="953"/>
      <c r="G9030" s="953"/>
      <c r="H9030" s="953"/>
    </row>
    <row r="9031" spans="1:8" x14ac:dyDescent="0.25">
      <c r="A9031" s="952"/>
      <c r="B9031" s="953"/>
      <c r="C9031" s="953"/>
      <c r="D9031" s="953"/>
      <c r="E9031" s="953"/>
      <c r="F9031" s="953"/>
      <c r="G9031" s="953"/>
      <c r="H9031" s="953"/>
    </row>
    <row r="9032" spans="1:8" x14ac:dyDescent="0.25">
      <c r="A9032" s="952"/>
      <c r="B9032" s="953"/>
      <c r="C9032" s="953"/>
      <c r="D9032" s="953"/>
      <c r="E9032" s="953"/>
      <c r="F9032" s="953"/>
      <c r="G9032" s="953"/>
      <c r="H9032" s="953"/>
    </row>
    <row r="9033" spans="1:8" x14ac:dyDescent="0.25">
      <c r="A9033" s="952"/>
      <c r="B9033" s="953"/>
      <c r="C9033" s="953"/>
      <c r="D9033" s="953"/>
      <c r="E9033" s="953"/>
      <c r="F9033" s="953"/>
      <c r="G9033" s="953"/>
      <c r="H9033" s="953"/>
    </row>
    <row r="9034" spans="1:8" x14ac:dyDescent="0.25">
      <c r="A9034" s="952"/>
      <c r="B9034" s="953"/>
      <c r="C9034" s="953"/>
      <c r="D9034" s="953"/>
      <c r="E9034" s="953"/>
      <c r="F9034" s="953"/>
      <c r="G9034" s="953"/>
      <c r="H9034" s="953"/>
    </row>
    <row r="9035" spans="1:8" x14ac:dyDescent="0.25">
      <c r="A9035" s="952"/>
      <c r="B9035" s="953"/>
      <c r="C9035" s="953"/>
      <c r="D9035" s="953"/>
      <c r="E9035" s="953"/>
      <c r="F9035" s="953"/>
      <c r="G9035" s="953"/>
      <c r="H9035" s="953"/>
    </row>
    <row r="9036" spans="1:8" x14ac:dyDescent="0.25">
      <c r="A9036" s="952"/>
      <c r="B9036" s="953"/>
      <c r="C9036" s="953"/>
      <c r="D9036" s="953"/>
      <c r="E9036" s="953"/>
      <c r="F9036" s="953"/>
      <c r="G9036" s="953"/>
      <c r="H9036" s="953"/>
    </row>
    <row r="9037" spans="1:8" x14ac:dyDescent="0.25">
      <c r="A9037" s="952"/>
      <c r="B9037" s="953"/>
      <c r="C9037" s="953"/>
      <c r="D9037" s="953"/>
      <c r="E9037" s="953"/>
      <c r="F9037" s="953"/>
      <c r="G9037" s="953"/>
      <c r="H9037" s="953"/>
    </row>
    <row r="9038" spans="1:8" x14ac:dyDescent="0.25">
      <c r="A9038" s="952"/>
      <c r="B9038" s="953"/>
      <c r="C9038" s="953"/>
      <c r="D9038" s="953"/>
      <c r="E9038" s="953"/>
      <c r="F9038" s="953"/>
      <c r="G9038" s="953"/>
      <c r="H9038" s="953"/>
    </row>
    <row r="9039" spans="1:8" x14ac:dyDescent="0.25">
      <c r="A9039" s="952"/>
      <c r="B9039" s="953"/>
      <c r="C9039" s="953"/>
      <c r="D9039" s="953"/>
      <c r="E9039" s="953"/>
      <c r="F9039" s="953"/>
      <c r="G9039" s="953"/>
      <c r="H9039" s="953"/>
    </row>
    <row r="9040" spans="1:8" x14ac:dyDescent="0.25">
      <c r="A9040" s="952"/>
      <c r="B9040" s="953"/>
      <c r="C9040" s="953"/>
      <c r="D9040" s="953"/>
      <c r="E9040" s="953"/>
      <c r="F9040" s="953"/>
      <c r="G9040" s="953"/>
      <c r="H9040" s="953"/>
    </row>
    <row r="9041" spans="1:8" x14ac:dyDescent="0.25">
      <c r="A9041" s="952"/>
      <c r="B9041" s="953"/>
      <c r="C9041" s="953"/>
      <c r="D9041" s="953"/>
      <c r="E9041" s="953"/>
      <c r="F9041" s="953"/>
      <c r="G9041" s="953"/>
      <c r="H9041" s="953"/>
    </row>
    <row r="9042" spans="1:8" x14ac:dyDescent="0.25">
      <c r="A9042" s="952"/>
      <c r="B9042" s="953"/>
      <c r="C9042" s="953"/>
      <c r="D9042" s="953"/>
      <c r="E9042" s="953"/>
      <c r="F9042" s="953"/>
      <c r="G9042" s="953"/>
      <c r="H9042" s="953"/>
    </row>
    <row r="9043" spans="1:8" x14ac:dyDescent="0.25">
      <c r="A9043" s="952"/>
      <c r="B9043" s="953"/>
      <c r="C9043" s="953"/>
      <c r="D9043" s="953"/>
      <c r="E9043" s="953"/>
      <c r="F9043" s="953"/>
      <c r="G9043" s="953"/>
      <c r="H9043" s="953"/>
    </row>
    <row r="9044" spans="1:8" x14ac:dyDescent="0.25">
      <c r="A9044" s="952"/>
      <c r="B9044" s="953"/>
      <c r="C9044" s="953"/>
      <c r="D9044" s="953"/>
      <c r="E9044" s="953"/>
      <c r="F9044" s="953"/>
      <c r="G9044" s="953"/>
      <c r="H9044" s="953"/>
    </row>
    <row r="9045" spans="1:8" x14ac:dyDescent="0.25">
      <c r="A9045" s="952"/>
      <c r="B9045" s="953"/>
      <c r="C9045" s="953"/>
      <c r="D9045" s="953"/>
      <c r="E9045" s="953"/>
      <c r="F9045" s="953"/>
      <c r="G9045" s="953"/>
      <c r="H9045" s="953"/>
    </row>
    <row r="9046" spans="1:8" x14ac:dyDescent="0.25">
      <c r="A9046" s="952"/>
      <c r="B9046" s="953"/>
      <c r="C9046" s="953"/>
      <c r="D9046" s="953"/>
      <c r="E9046" s="953"/>
      <c r="F9046" s="953"/>
      <c r="G9046" s="953"/>
      <c r="H9046" s="953"/>
    </row>
    <row r="9047" spans="1:8" x14ac:dyDescent="0.25">
      <c r="A9047" s="952"/>
      <c r="B9047" s="953"/>
      <c r="C9047" s="953"/>
      <c r="D9047" s="953"/>
      <c r="E9047" s="953"/>
      <c r="F9047" s="953"/>
      <c r="G9047" s="953"/>
      <c r="H9047" s="953"/>
    </row>
    <row r="9048" spans="1:8" x14ac:dyDescent="0.25">
      <c r="A9048" s="952"/>
      <c r="B9048" s="953"/>
      <c r="C9048" s="953"/>
      <c r="D9048" s="953"/>
      <c r="E9048" s="953"/>
      <c r="F9048" s="953"/>
      <c r="G9048" s="953"/>
      <c r="H9048" s="953"/>
    </row>
    <row r="9049" spans="1:8" x14ac:dyDescent="0.25">
      <c r="A9049" s="952"/>
      <c r="B9049" s="953"/>
      <c r="C9049" s="953"/>
      <c r="D9049" s="953"/>
      <c r="E9049" s="953"/>
      <c r="F9049" s="953"/>
      <c r="G9049" s="953"/>
      <c r="H9049" s="953"/>
    </row>
    <row r="9050" spans="1:8" x14ac:dyDescent="0.25">
      <c r="A9050" s="952"/>
      <c r="B9050" s="953"/>
      <c r="C9050" s="953"/>
      <c r="D9050" s="953"/>
      <c r="E9050" s="953"/>
      <c r="F9050" s="953"/>
      <c r="G9050" s="953"/>
      <c r="H9050" s="953"/>
    </row>
    <row r="9051" spans="1:8" x14ac:dyDescent="0.25">
      <c r="A9051" s="952"/>
      <c r="B9051" s="953"/>
      <c r="C9051" s="953"/>
      <c r="D9051" s="953"/>
      <c r="E9051" s="953"/>
      <c r="F9051" s="953"/>
      <c r="G9051" s="953"/>
      <c r="H9051" s="953"/>
    </row>
    <row r="9052" spans="1:8" x14ac:dyDescent="0.25">
      <c r="A9052" s="952"/>
      <c r="B9052" s="953"/>
      <c r="C9052" s="953"/>
      <c r="D9052" s="953"/>
      <c r="E9052" s="953"/>
      <c r="F9052" s="953"/>
      <c r="G9052" s="953"/>
      <c r="H9052" s="953"/>
    </row>
    <row r="9053" spans="1:8" x14ac:dyDescent="0.25">
      <c r="A9053" s="952"/>
      <c r="B9053" s="953"/>
      <c r="C9053" s="953"/>
      <c r="D9053" s="953"/>
      <c r="E9053" s="953"/>
      <c r="F9053" s="953"/>
      <c r="G9053" s="953"/>
      <c r="H9053" s="953"/>
    </row>
    <row r="9054" spans="1:8" x14ac:dyDescent="0.25">
      <c r="A9054" s="952"/>
      <c r="B9054" s="953"/>
      <c r="C9054" s="953"/>
      <c r="D9054" s="953"/>
      <c r="E9054" s="953"/>
      <c r="F9054" s="953"/>
      <c r="G9054" s="953"/>
      <c r="H9054" s="953"/>
    </row>
    <row r="9055" spans="1:8" x14ac:dyDescent="0.25">
      <c r="A9055" s="952"/>
      <c r="B9055" s="953"/>
      <c r="C9055" s="953"/>
      <c r="D9055" s="953"/>
      <c r="E9055" s="953"/>
      <c r="F9055" s="953"/>
      <c r="G9055" s="953"/>
      <c r="H9055" s="953"/>
    </row>
    <row r="9056" spans="1:8" x14ac:dyDescent="0.25">
      <c r="A9056" s="952"/>
      <c r="B9056" s="953"/>
      <c r="C9056" s="953"/>
      <c r="D9056" s="953"/>
      <c r="E9056" s="953"/>
      <c r="F9056" s="953"/>
      <c r="G9056" s="953"/>
      <c r="H9056" s="953"/>
    </row>
    <row r="9057" spans="1:8" x14ac:dyDescent="0.25">
      <c r="A9057" s="952"/>
      <c r="B9057" s="953"/>
      <c r="C9057" s="953"/>
      <c r="D9057" s="953"/>
      <c r="E9057" s="953"/>
      <c r="F9057" s="953"/>
      <c r="G9057" s="953"/>
      <c r="H9057" s="953"/>
    </row>
    <row r="9058" spans="1:8" x14ac:dyDescent="0.25">
      <c r="A9058" s="952"/>
      <c r="B9058" s="953"/>
      <c r="C9058" s="953"/>
      <c r="D9058" s="953"/>
      <c r="E9058" s="953"/>
      <c r="F9058" s="953"/>
      <c r="G9058" s="953"/>
      <c r="H9058" s="953"/>
    </row>
    <row r="9059" spans="1:8" x14ac:dyDescent="0.25">
      <c r="A9059" s="952"/>
      <c r="B9059" s="953"/>
      <c r="C9059" s="953"/>
      <c r="D9059" s="953"/>
      <c r="E9059" s="953"/>
      <c r="F9059" s="953"/>
      <c r="G9059" s="953"/>
      <c r="H9059" s="953"/>
    </row>
    <row r="9060" spans="1:8" x14ac:dyDescent="0.25">
      <c r="A9060" s="952"/>
      <c r="B9060" s="953"/>
      <c r="C9060" s="953"/>
      <c r="D9060" s="953"/>
      <c r="E9060" s="953"/>
      <c r="F9060" s="953"/>
      <c r="G9060" s="953"/>
      <c r="H9060" s="953"/>
    </row>
    <row r="9061" spans="1:8" x14ac:dyDescent="0.25">
      <c r="A9061" s="952"/>
      <c r="B9061" s="953"/>
      <c r="C9061" s="953"/>
      <c r="D9061" s="953"/>
      <c r="E9061" s="953"/>
      <c r="F9061" s="953"/>
      <c r="G9061" s="953"/>
      <c r="H9061" s="953"/>
    </row>
    <row r="9062" spans="1:8" x14ac:dyDescent="0.25">
      <c r="A9062" s="952"/>
      <c r="B9062" s="953"/>
      <c r="C9062" s="953"/>
      <c r="D9062" s="953"/>
      <c r="E9062" s="953"/>
      <c r="F9062" s="953"/>
      <c r="G9062" s="953"/>
      <c r="H9062" s="953"/>
    </row>
    <row r="9063" spans="1:8" x14ac:dyDescent="0.25">
      <c r="A9063" s="952"/>
      <c r="B9063" s="953"/>
      <c r="C9063" s="953"/>
      <c r="D9063" s="953"/>
      <c r="E9063" s="953"/>
      <c r="F9063" s="953"/>
      <c r="G9063" s="953"/>
      <c r="H9063" s="953"/>
    </row>
    <row r="9064" spans="1:8" x14ac:dyDescent="0.25">
      <c r="A9064" s="952"/>
      <c r="B9064" s="953"/>
      <c r="C9064" s="953"/>
      <c r="D9064" s="953"/>
      <c r="E9064" s="953"/>
      <c r="F9064" s="953"/>
      <c r="G9064" s="953"/>
      <c r="H9064" s="953"/>
    </row>
    <row r="9065" spans="1:8" x14ac:dyDescent="0.25">
      <c r="A9065" s="952"/>
      <c r="B9065" s="953"/>
      <c r="C9065" s="953"/>
      <c r="D9065" s="953"/>
      <c r="E9065" s="953"/>
      <c r="F9065" s="953"/>
      <c r="G9065" s="953"/>
      <c r="H9065" s="953"/>
    </row>
    <row r="9066" spans="1:8" x14ac:dyDescent="0.25">
      <c r="A9066" s="952"/>
      <c r="B9066" s="953"/>
      <c r="C9066" s="953"/>
      <c r="D9066" s="953"/>
      <c r="E9066" s="953"/>
      <c r="F9066" s="953"/>
      <c r="G9066" s="953"/>
      <c r="H9066" s="953"/>
    </row>
    <row r="9067" spans="1:8" x14ac:dyDescent="0.25">
      <c r="A9067" s="952"/>
      <c r="B9067" s="953"/>
      <c r="C9067" s="953"/>
      <c r="D9067" s="953"/>
      <c r="E9067" s="953"/>
      <c r="F9067" s="953"/>
      <c r="G9067" s="953"/>
      <c r="H9067" s="953"/>
    </row>
    <row r="9068" spans="1:8" x14ac:dyDescent="0.25">
      <c r="A9068" s="952"/>
      <c r="B9068" s="953"/>
      <c r="C9068" s="953"/>
      <c r="D9068" s="953"/>
      <c r="E9068" s="953"/>
      <c r="F9068" s="953"/>
      <c r="G9068" s="953"/>
      <c r="H9068" s="953"/>
    </row>
    <row r="9069" spans="1:8" x14ac:dyDescent="0.25">
      <c r="A9069" s="952"/>
      <c r="B9069" s="953"/>
      <c r="C9069" s="953"/>
      <c r="D9069" s="953"/>
      <c r="E9069" s="953"/>
      <c r="F9069" s="953"/>
      <c r="G9069" s="953"/>
      <c r="H9069" s="953"/>
    </row>
    <row r="9070" spans="1:8" x14ac:dyDescent="0.25">
      <c r="A9070" s="952"/>
      <c r="B9070" s="953"/>
      <c r="C9070" s="953"/>
      <c r="D9070" s="953"/>
      <c r="E9070" s="953"/>
      <c r="F9070" s="953"/>
      <c r="G9070" s="953"/>
      <c r="H9070" s="953"/>
    </row>
    <row r="9071" spans="1:8" x14ac:dyDescent="0.25">
      <c r="A9071" s="952"/>
      <c r="B9071" s="953"/>
      <c r="C9071" s="953"/>
      <c r="D9071" s="953"/>
      <c r="E9071" s="953"/>
      <c r="F9071" s="953"/>
      <c r="G9071" s="953"/>
      <c r="H9071" s="953"/>
    </row>
    <row r="9072" spans="1:8" x14ac:dyDescent="0.25">
      <c r="A9072" s="952"/>
      <c r="B9072" s="953"/>
      <c r="C9072" s="953"/>
      <c r="D9072" s="953"/>
      <c r="E9072" s="953"/>
      <c r="F9072" s="953"/>
      <c r="G9072" s="953"/>
      <c r="H9072" s="953"/>
    </row>
    <row r="9073" spans="1:8" x14ac:dyDescent="0.25">
      <c r="A9073" s="952"/>
      <c r="B9073" s="953"/>
      <c r="C9073" s="953"/>
      <c r="D9073" s="953"/>
      <c r="E9073" s="953"/>
      <c r="F9073" s="953"/>
      <c r="G9073" s="953"/>
      <c r="H9073" s="953"/>
    </row>
    <row r="9074" spans="1:8" x14ac:dyDescent="0.25">
      <c r="A9074" s="952"/>
      <c r="B9074" s="953"/>
      <c r="C9074" s="953"/>
      <c r="D9074" s="953"/>
      <c r="E9074" s="953"/>
      <c r="F9074" s="953"/>
      <c r="G9074" s="953"/>
      <c r="H9074" s="953"/>
    </row>
    <row r="9075" spans="1:8" x14ac:dyDescent="0.25">
      <c r="A9075" s="952"/>
      <c r="B9075" s="953"/>
      <c r="C9075" s="953"/>
      <c r="D9075" s="953"/>
      <c r="E9075" s="953"/>
      <c r="F9075" s="953"/>
      <c r="G9075" s="953"/>
      <c r="H9075" s="953"/>
    </row>
    <row r="9076" spans="1:8" x14ac:dyDescent="0.25">
      <c r="A9076" s="952"/>
      <c r="B9076" s="953"/>
      <c r="C9076" s="953"/>
      <c r="D9076" s="953"/>
      <c r="E9076" s="953"/>
      <c r="F9076" s="953"/>
      <c r="G9076" s="953"/>
      <c r="H9076" s="953"/>
    </row>
    <row r="9077" spans="1:8" x14ac:dyDescent="0.25">
      <c r="A9077" s="952"/>
      <c r="B9077" s="953"/>
      <c r="C9077" s="953"/>
      <c r="D9077" s="953"/>
      <c r="E9077" s="953"/>
      <c r="F9077" s="953"/>
      <c r="G9077" s="953"/>
      <c r="H9077" s="953"/>
    </row>
    <row r="9078" spans="1:8" x14ac:dyDescent="0.25">
      <c r="A9078" s="952"/>
      <c r="B9078" s="953"/>
      <c r="C9078" s="953"/>
      <c r="D9078" s="953"/>
      <c r="E9078" s="953"/>
      <c r="F9078" s="953"/>
      <c r="G9078" s="953"/>
      <c r="H9078" s="953"/>
    </row>
    <row r="9079" spans="1:8" x14ac:dyDescent="0.25">
      <c r="A9079" s="952"/>
      <c r="B9079" s="953"/>
      <c r="C9079" s="953"/>
      <c r="D9079" s="953"/>
      <c r="E9079" s="953"/>
      <c r="F9079" s="953"/>
      <c r="G9079" s="953"/>
      <c r="H9079" s="953"/>
    </row>
    <row r="9080" spans="1:8" x14ac:dyDescent="0.25">
      <c r="A9080" s="952"/>
      <c r="B9080" s="953"/>
      <c r="C9080" s="953"/>
      <c r="D9080" s="953"/>
      <c r="E9080" s="953"/>
      <c r="F9080" s="953"/>
      <c r="G9080" s="953"/>
      <c r="H9080" s="953"/>
    </row>
    <row r="9081" spans="1:8" x14ac:dyDescent="0.25">
      <c r="A9081" s="952"/>
      <c r="B9081" s="953"/>
      <c r="C9081" s="953"/>
      <c r="D9081" s="953"/>
      <c r="E9081" s="953"/>
      <c r="F9081" s="953"/>
      <c r="G9081" s="953"/>
      <c r="H9081" s="953"/>
    </row>
    <row r="9082" spans="1:8" x14ac:dyDescent="0.25">
      <c r="A9082" s="952"/>
      <c r="B9082" s="953"/>
      <c r="C9082" s="953"/>
      <c r="D9082" s="953"/>
      <c r="E9082" s="953"/>
      <c r="F9082" s="953"/>
      <c r="G9082" s="953"/>
      <c r="H9082" s="953"/>
    </row>
    <row r="9083" spans="1:8" x14ac:dyDescent="0.25">
      <c r="A9083" s="952"/>
      <c r="B9083" s="953"/>
      <c r="C9083" s="953"/>
      <c r="D9083" s="953"/>
      <c r="E9083" s="953"/>
      <c r="F9083" s="953"/>
      <c r="G9083" s="953"/>
      <c r="H9083" s="953"/>
    </row>
    <row r="9084" spans="1:8" x14ac:dyDescent="0.25">
      <c r="A9084" s="952"/>
      <c r="B9084" s="953"/>
      <c r="C9084" s="953"/>
      <c r="D9084" s="953"/>
      <c r="E9084" s="953"/>
      <c r="F9084" s="953"/>
      <c r="G9084" s="953"/>
      <c r="H9084" s="953"/>
    </row>
    <row r="9085" spans="1:8" x14ac:dyDescent="0.25">
      <c r="A9085" s="952"/>
      <c r="B9085" s="953"/>
      <c r="C9085" s="953"/>
      <c r="D9085" s="953"/>
      <c r="E9085" s="953"/>
      <c r="F9085" s="953"/>
      <c r="G9085" s="953"/>
      <c r="H9085" s="953"/>
    </row>
    <row r="9086" spans="1:8" x14ac:dyDescent="0.25">
      <c r="A9086" s="952"/>
      <c r="B9086" s="953"/>
      <c r="C9086" s="953"/>
      <c r="D9086" s="953"/>
      <c r="E9086" s="953"/>
      <c r="F9086" s="953"/>
      <c r="G9086" s="953"/>
      <c r="H9086" s="953"/>
    </row>
    <row r="9087" spans="1:8" x14ac:dyDescent="0.25">
      <c r="A9087" s="952"/>
      <c r="B9087" s="953"/>
      <c r="C9087" s="953"/>
      <c r="D9087" s="953"/>
      <c r="E9087" s="953"/>
      <c r="F9087" s="953"/>
      <c r="G9087" s="953"/>
      <c r="H9087" s="953"/>
    </row>
    <row r="9088" spans="1:8" x14ac:dyDescent="0.25">
      <c r="A9088" s="952"/>
      <c r="B9088" s="953"/>
      <c r="C9088" s="953"/>
      <c r="D9088" s="953"/>
      <c r="E9088" s="953"/>
      <c r="F9088" s="953"/>
      <c r="G9088" s="953"/>
      <c r="H9088" s="953"/>
    </row>
    <row r="9089" spans="1:8" x14ac:dyDescent="0.25">
      <c r="A9089" s="952"/>
      <c r="B9089" s="953"/>
      <c r="C9089" s="953"/>
      <c r="D9089" s="953"/>
      <c r="E9089" s="953"/>
      <c r="F9089" s="953"/>
      <c r="G9089" s="953"/>
      <c r="H9089" s="953"/>
    </row>
    <row r="9090" spans="1:8" x14ac:dyDescent="0.25">
      <c r="A9090" s="952"/>
      <c r="B9090" s="953"/>
      <c r="C9090" s="953"/>
      <c r="D9090" s="953"/>
      <c r="E9090" s="953"/>
      <c r="F9090" s="953"/>
      <c r="G9090" s="953"/>
      <c r="H9090" s="953"/>
    </row>
    <row r="9091" spans="1:8" x14ac:dyDescent="0.25">
      <c r="A9091" s="952"/>
      <c r="B9091" s="953"/>
      <c r="C9091" s="953"/>
      <c r="D9091" s="953"/>
      <c r="E9091" s="953"/>
      <c r="F9091" s="953"/>
      <c r="G9091" s="953"/>
      <c r="H9091" s="953"/>
    </row>
    <row r="9092" spans="1:8" x14ac:dyDescent="0.25">
      <c r="A9092" s="952"/>
      <c r="B9092" s="953"/>
      <c r="C9092" s="953"/>
      <c r="D9092" s="953"/>
      <c r="E9092" s="953"/>
      <c r="F9092" s="953"/>
      <c r="G9092" s="953"/>
      <c r="H9092" s="953"/>
    </row>
    <row r="9093" spans="1:8" x14ac:dyDescent="0.25">
      <c r="A9093" s="952"/>
      <c r="B9093" s="953"/>
      <c r="C9093" s="953"/>
      <c r="D9093" s="953"/>
      <c r="E9093" s="953"/>
      <c r="F9093" s="953"/>
      <c r="G9093" s="953"/>
      <c r="H9093" s="953"/>
    </row>
    <row r="9094" spans="1:8" x14ac:dyDescent="0.25">
      <c r="A9094" s="952"/>
      <c r="B9094" s="953"/>
      <c r="C9094" s="953"/>
      <c r="D9094" s="953"/>
      <c r="E9094" s="953"/>
      <c r="F9094" s="953"/>
      <c r="G9094" s="953"/>
      <c r="H9094" s="953"/>
    </row>
    <row r="9095" spans="1:8" x14ac:dyDescent="0.25">
      <c r="A9095" s="952"/>
      <c r="B9095" s="953"/>
      <c r="C9095" s="953"/>
      <c r="D9095" s="953"/>
      <c r="E9095" s="953"/>
      <c r="F9095" s="953"/>
      <c r="G9095" s="953"/>
      <c r="H9095" s="953"/>
    </row>
    <row r="9096" spans="1:8" x14ac:dyDescent="0.25">
      <c r="A9096" s="952"/>
      <c r="B9096" s="953"/>
      <c r="C9096" s="953"/>
      <c r="D9096" s="953"/>
      <c r="E9096" s="953"/>
      <c r="F9096" s="953"/>
      <c r="G9096" s="953"/>
      <c r="H9096" s="953"/>
    </row>
    <row r="9097" spans="1:8" x14ac:dyDescent="0.25">
      <c r="A9097" s="952"/>
      <c r="B9097" s="953"/>
      <c r="C9097" s="953"/>
      <c r="D9097" s="953"/>
      <c r="E9097" s="953"/>
      <c r="F9097" s="953"/>
      <c r="G9097" s="953"/>
      <c r="H9097" s="953"/>
    </row>
    <row r="9098" spans="1:8" x14ac:dyDescent="0.25">
      <c r="A9098" s="952"/>
      <c r="B9098" s="953"/>
      <c r="C9098" s="953"/>
      <c r="D9098" s="953"/>
      <c r="E9098" s="953"/>
      <c r="F9098" s="953"/>
      <c r="G9098" s="953"/>
      <c r="H9098" s="953"/>
    </row>
    <row r="9099" spans="1:8" x14ac:dyDescent="0.25">
      <c r="A9099" s="952"/>
      <c r="B9099" s="953"/>
      <c r="C9099" s="953"/>
      <c r="D9099" s="953"/>
      <c r="E9099" s="953"/>
      <c r="F9099" s="953"/>
      <c r="G9099" s="953"/>
      <c r="H9099" s="953"/>
    </row>
    <row r="9100" spans="1:8" x14ac:dyDescent="0.25">
      <c r="A9100" s="952"/>
      <c r="B9100" s="953"/>
      <c r="C9100" s="953"/>
      <c r="D9100" s="953"/>
      <c r="E9100" s="953"/>
      <c r="F9100" s="953"/>
      <c r="G9100" s="953"/>
      <c r="H9100" s="953"/>
    </row>
    <row r="9101" spans="1:8" x14ac:dyDescent="0.25">
      <c r="A9101" s="952"/>
      <c r="B9101" s="953"/>
      <c r="C9101" s="953"/>
      <c r="D9101" s="953"/>
      <c r="E9101" s="953"/>
      <c r="F9101" s="953"/>
      <c r="G9101" s="953"/>
      <c r="H9101" s="953"/>
    </row>
    <row r="9102" spans="1:8" x14ac:dyDescent="0.25">
      <c r="A9102" s="952"/>
      <c r="B9102" s="953"/>
      <c r="C9102" s="953"/>
      <c r="D9102" s="953"/>
      <c r="E9102" s="953"/>
      <c r="F9102" s="953"/>
      <c r="G9102" s="953"/>
      <c r="H9102" s="953"/>
    </row>
    <row r="9103" spans="1:8" x14ac:dyDescent="0.25">
      <c r="A9103" s="952"/>
      <c r="B9103" s="953"/>
      <c r="C9103" s="953"/>
      <c r="D9103" s="953"/>
      <c r="E9103" s="953"/>
      <c r="F9103" s="953"/>
      <c r="G9103" s="953"/>
      <c r="H9103" s="953"/>
    </row>
    <row r="9104" spans="1:8" x14ac:dyDescent="0.25">
      <c r="A9104" s="952"/>
      <c r="B9104" s="953"/>
      <c r="C9104" s="953"/>
      <c r="D9104" s="953"/>
      <c r="E9104" s="953"/>
      <c r="F9104" s="953"/>
      <c r="G9104" s="953"/>
      <c r="H9104" s="953"/>
    </row>
    <row r="9105" spans="1:8" x14ac:dyDescent="0.25">
      <c r="A9105" s="952"/>
      <c r="B9105" s="953"/>
      <c r="C9105" s="953"/>
      <c r="D9105" s="953"/>
      <c r="E9105" s="953"/>
      <c r="F9105" s="953"/>
      <c r="G9105" s="953"/>
      <c r="H9105" s="953"/>
    </row>
    <row r="9106" spans="1:8" x14ac:dyDescent="0.25">
      <c r="A9106" s="952"/>
      <c r="B9106" s="953"/>
      <c r="C9106" s="953"/>
      <c r="D9106" s="953"/>
      <c r="E9106" s="953"/>
      <c r="F9106" s="953"/>
      <c r="G9106" s="953"/>
      <c r="H9106" s="953"/>
    </row>
    <row r="9107" spans="1:8" x14ac:dyDescent="0.25">
      <c r="A9107" s="952"/>
      <c r="B9107" s="953"/>
      <c r="C9107" s="953"/>
      <c r="D9107" s="953"/>
      <c r="E9107" s="953"/>
      <c r="F9107" s="953"/>
      <c r="G9107" s="953"/>
      <c r="H9107" s="953"/>
    </row>
    <row r="9108" spans="1:8" x14ac:dyDescent="0.25">
      <c r="A9108" s="952"/>
      <c r="B9108" s="953"/>
      <c r="C9108" s="953"/>
      <c r="D9108" s="953"/>
      <c r="E9108" s="953"/>
      <c r="F9108" s="953"/>
      <c r="G9108" s="953"/>
      <c r="H9108" s="953"/>
    </row>
    <row r="9109" spans="1:8" x14ac:dyDescent="0.25">
      <c r="A9109" s="952"/>
      <c r="B9109" s="953"/>
      <c r="C9109" s="953"/>
      <c r="D9109" s="953"/>
      <c r="E9109" s="953"/>
      <c r="F9109" s="953"/>
      <c r="G9109" s="953"/>
      <c r="H9109" s="953"/>
    </row>
    <row r="9110" spans="1:8" x14ac:dyDescent="0.25">
      <c r="A9110" s="952"/>
      <c r="B9110" s="953"/>
      <c r="C9110" s="953"/>
      <c r="D9110" s="953"/>
      <c r="E9110" s="953"/>
      <c r="F9110" s="953"/>
      <c r="G9110" s="953"/>
      <c r="H9110" s="953"/>
    </row>
    <row r="9111" spans="1:8" x14ac:dyDescent="0.25">
      <c r="A9111" s="952"/>
      <c r="B9111" s="953"/>
      <c r="C9111" s="953"/>
      <c r="D9111" s="953"/>
      <c r="E9111" s="953"/>
      <c r="F9111" s="953"/>
      <c r="G9111" s="953"/>
      <c r="H9111" s="953"/>
    </row>
    <row r="9112" spans="1:8" x14ac:dyDescent="0.25">
      <c r="A9112" s="952"/>
      <c r="B9112" s="953"/>
      <c r="C9112" s="953"/>
      <c r="D9112" s="953"/>
      <c r="E9112" s="953"/>
      <c r="F9112" s="953"/>
      <c r="G9112" s="953"/>
      <c r="H9112" s="953"/>
    </row>
    <row r="9113" spans="1:8" x14ac:dyDescent="0.25">
      <c r="A9113" s="952"/>
      <c r="B9113" s="953"/>
      <c r="C9113" s="953"/>
      <c r="D9113" s="953"/>
      <c r="E9113" s="953"/>
      <c r="F9113" s="953"/>
      <c r="G9113" s="953"/>
      <c r="H9113" s="953"/>
    </row>
    <row r="9114" spans="1:8" x14ac:dyDescent="0.25">
      <c r="A9114" s="952"/>
      <c r="B9114" s="953"/>
      <c r="C9114" s="953"/>
      <c r="D9114" s="953"/>
      <c r="E9114" s="953"/>
      <c r="F9114" s="953"/>
      <c r="G9114" s="953"/>
      <c r="H9114" s="953"/>
    </row>
    <row r="9115" spans="1:8" x14ac:dyDescent="0.25">
      <c r="A9115" s="952"/>
      <c r="B9115" s="953"/>
      <c r="C9115" s="953"/>
      <c r="D9115" s="953"/>
      <c r="E9115" s="953"/>
      <c r="F9115" s="953"/>
      <c r="G9115" s="953"/>
      <c r="H9115" s="953"/>
    </row>
    <row r="9116" spans="1:8" x14ac:dyDescent="0.25">
      <c r="A9116" s="952"/>
      <c r="B9116" s="953"/>
      <c r="C9116" s="953"/>
      <c r="D9116" s="953"/>
      <c r="E9116" s="953"/>
      <c r="F9116" s="953"/>
      <c r="G9116" s="953"/>
      <c r="H9116" s="953"/>
    </row>
    <row r="9117" spans="1:8" x14ac:dyDescent="0.25">
      <c r="A9117" s="952"/>
      <c r="B9117" s="953"/>
      <c r="C9117" s="953"/>
      <c r="D9117" s="953"/>
      <c r="E9117" s="953"/>
      <c r="F9117" s="953"/>
      <c r="G9117" s="953"/>
      <c r="H9117" s="953"/>
    </row>
    <row r="9118" spans="1:8" x14ac:dyDescent="0.25">
      <c r="A9118" s="952"/>
      <c r="B9118" s="953"/>
      <c r="C9118" s="953"/>
      <c r="D9118" s="953"/>
      <c r="E9118" s="953"/>
      <c r="F9118" s="953"/>
      <c r="G9118" s="953"/>
      <c r="H9118" s="953"/>
    </row>
    <row r="9119" spans="1:8" x14ac:dyDescent="0.25">
      <c r="A9119" s="952"/>
      <c r="B9119" s="953"/>
      <c r="C9119" s="953"/>
      <c r="D9119" s="953"/>
      <c r="E9119" s="953"/>
      <c r="F9119" s="953"/>
      <c r="G9119" s="953"/>
      <c r="H9119" s="953"/>
    </row>
    <row r="9120" spans="1:8" x14ac:dyDescent="0.25">
      <c r="A9120" s="952"/>
      <c r="B9120" s="953"/>
      <c r="C9120" s="953"/>
      <c r="D9120" s="953"/>
      <c r="E9120" s="953"/>
      <c r="F9120" s="953"/>
      <c r="G9120" s="953"/>
      <c r="H9120" s="953"/>
    </row>
    <row r="9121" spans="1:8" x14ac:dyDescent="0.25">
      <c r="A9121" s="952"/>
      <c r="B9121" s="953"/>
      <c r="C9121" s="953"/>
      <c r="D9121" s="953"/>
      <c r="E9121" s="953"/>
      <c r="F9121" s="953"/>
      <c r="G9121" s="953"/>
      <c r="H9121" s="953"/>
    </row>
    <row r="9122" spans="1:8" x14ac:dyDescent="0.25">
      <c r="A9122" s="952"/>
      <c r="B9122" s="953"/>
      <c r="C9122" s="953"/>
      <c r="D9122" s="953"/>
      <c r="E9122" s="953"/>
      <c r="F9122" s="953"/>
      <c r="G9122" s="953"/>
      <c r="H9122" s="953"/>
    </row>
    <row r="9123" spans="1:8" x14ac:dyDescent="0.25">
      <c r="A9123" s="952"/>
      <c r="B9123" s="953"/>
      <c r="C9123" s="953"/>
      <c r="D9123" s="953"/>
      <c r="E9123" s="953"/>
      <c r="F9123" s="953"/>
      <c r="G9123" s="953"/>
      <c r="H9123" s="953"/>
    </row>
    <row r="9124" spans="1:8" x14ac:dyDescent="0.25">
      <c r="A9124" s="952"/>
      <c r="B9124" s="953"/>
      <c r="C9124" s="953"/>
      <c r="D9124" s="953"/>
      <c r="E9124" s="953"/>
      <c r="F9124" s="953"/>
      <c r="G9124" s="953"/>
      <c r="H9124" s="953"/>
    </row>
    <row r="9125" spans="1:8" x14ac:dyDescent="0.25">
      <c r="A9125" s="952"/>
      <c r="B9125" s="953"/>
      <c r="C9125" s="953"/>
      <c r="D9125" s="953"/>
      <c r="E9125" s="953"/>
      <c r="F9125" s="953"/>
      <c r="G9125" s="953"/>
      <c r="H9125" s="953"/>
    </row>
    <row r="9126" spans="1:8" x14ac:dyDescent="0.25">
      <c r="A9126" s="952"/>
      <c r="B9126" s="953"/>
      <c r="C9126" s="953"/>
      <c r="D9126" s="953"/>
      <c r="E9126" s="953"/>
      <c r="F9126" s="953"/>
      <c r="G9126" s="953"/>
      <c r="H9126" s="953"/>
    </row>
    <row r="9127" spans="1:8" x14ac:dyDescent="0.25">
      <c r="A9127" s="952"/>
      <c r="B9127" s="953"/>
      <c r="C9127" s="953"/>
      <c r="D9127" s="953"/>
      <c r="E9127" s="953"/>
      <c r="F9127" s="953"/>
      <c r="G9127" s="953"/>
      <c r="H9127" s="953"/>
    </row>
    <row r="9128" spans="1:8" x14ac:dyDescent="0.25">
      <c r="A9128" s="952"/>
      <c r="B9128" s="953"/>
      <c r="C9128" s="953"/>
      <c r="D9128" s="953"/>
      <c r="E9128" s="953"/>
      <c r="F9128" s="953"/>
      <c r="G9128" s="953"/>
      <c r="H9128" s="953"/>
    </row>
    <row r="9129" spans="1:8" x14ac:dyDescent="0.25">
      <c r="A9129" s="952"/>
      <c r="B9129" s="953"/>
      <c r="C9129" s="953"/>
      <c r="D9129" s="953"/>
      <c r="E9129" s="953"/>
      <c r="F9129" s="953"/>
      <c r="G9129" s="953"/>
      <c r="H9129" s="953"/>
    </row>
    <row r="9130" spans="1:8" x14ac:dyDescent="0.25">
      <c r="A9130" s="952"/>
      <c r="B9130" s="953"/>
      <c r="C9130" s="953"/>
      <c r="D9130" s="953"/>
      <c r="E9130" s="953"/>
      <c r="F9130" s="953"/>
      <c r="G9130" s="953"/>
      <c r="H9130" s="953"/>
    </row>
    <row r="9131" spans="1:8" x14ac:dyDescent="0.25">
      <c r="A9131" s="952"/>
      <c r="B9131" s="953"/>
      <c r="C9131" s="953"/>
      <c r="D9131" s="953"/>
      <c r="E9131" s="953"/>
      <c r="F9131" s="953"/>
      <c r="G9131" s="953"/>
      <c r="H9131" s="953"/>
    </row>
    <row r="9132" spans="1:8" x14ac:dyDescent="0.25">
      <c r="A9132" s="952"/>
      <c r="B9132" s="953"/>
      <c r="C9132" s="953"/>
      <c r="D9132" s="953"/>
      <c r="E9132" s="953"/>
      <c r="F9132" s="953"/>
      <c r="G9132" s="953"/>
      <c r="H9132" s="953"/>
    </row>
    <row r="9133" spans="1:8" x14ac:dyDescent="0.25">
      <c r="A9133" s="952"/>
      <c r="B9133" s="953"/>
      <c r="C9133" s="953"/>
      <c r="D9133" s="953"/>
      <c r="E9133" s="953"/>
      <c r="F9133" s="953"/>
      <c r="G9133" s="953"/>
      <c r="H9133" s="953"/>
    </row>
    <row r="9134" spans="1:8" x14ac:dyDescent="0.25">
      <c r="A9134" s="952"/>
      <c r="B9134" s="953"/>
      <c r="C9134" s="953"/>
      <c r="D9134" s="953"/>
      <c r="E9134" s="953"/>
      <c r="F9134" s="953"/>
      <c r="G9134" s="953"/>
      <c r="H9134" s="953"/>
    </row>
    <row r="9135" spans="1:8" x14ac:dyDescent="0.25">
      <c r="A9135" s="952"/>
      <c r="B9135" s="953"/>
      <c r="C9135" s="953"/>
      <c r="D9135" s="953"/>
      <c r="E9135" s="953"/>
      <c r="F9135" s="953"/>
      <c r="G9135" s="953"/>
      <c r="H9135" s="953"/>
    </row>
    <row r="9136" spans="1:8" x14ac:dyDescent="0.25">
      <c r="A9136" s="952"/>
      <c r="B9136" s="953"/>
      <c r="C9136" s="953"/>
      <c r="D9136" s="953"/>
      <c r="E9136" s="953"/>
      <c r="F9136" s="953"/>
      <c r="G9136" s="953"/>
      <c r="H9136" s="953"/>
    </row>
    <row r="9137" spans="1:8" x14ac:dyDescent="0.25">
      <c r="A9137" s="952"/>
      <c r="B9137" s="953"/>
      <c r="C9137" s="953"/>
      <c r="D9137" s="953"/>
      <c r="E9137" s="953"/>
      <c r="F9137" s="953"/>
      <c r="G9137" s="953"/>
      <c r="H9137" s="953"/>
    </row>
    <row r="9138" spans="1:8" x14ac:dyDescent="0.25">
      <c r="A9138" s="952"/>
      <c r="B9138" s="953"/>
      <c r="C9138" s="953"/>
      <c r="D9138" s="953"/>
      <c r="E9138" s="953"/>
      <c r="F9138" s="953"/>
      <c r="G9138" s="953"/>
      <c r="H9138" s="953"/>
    </row>
    <row r="9139" spans="1:8" x14ac:dyDescent="0.25">
      <c r="A9139" s="952"/>
      <c r="B9139" s="953"/>
      <c r="C9139" s="953"/>
      <c r="D9139" s="953"/>
      <c r="E9139" s="953"/>
      <c r="F9139" s="953"/>
      <c r="G9139" s="953"/>
      <c r="H9139" s="953"/>
    </row>
    <row r="9140" spans="1:8" x14ac:dyDescent="0.25">
      <c r="A9140" s="952"/>
      <c r="B9140" s="953"/>
      <c r="C9140" s="953"/>
      <c r="D9140" s="953"/>
      <c r="E9140" s="953"/>
      <c r="F9140" s="953"/>
      <c r="G9140" s="953"/>
      <c r="H9140" s="953"/>
    </row>
    <row r="9141" spans="1:8" x14ac:dyDescent="0.25">
      <c r="A9141" s="952"/>
      <c r="B9141" s="953"/>
      <c r="C9141" s="953"/>
      <c r="D9141" s="953"/>
      <c r="E9141" s="953"/>
      <c r="F9141" s="953"/>
      <c r="G9141" s="953"/>
      <c r="H9141" s="953"/>
    </row>
    <row r="9142" spans="1:8" x14ac:dyDescent="0.25">
      <c r="A9142" s="952"/>
      <c r="B9142" s="953"/>
      <c r="C9142" s="953"/>
      <c r="D9142" s="953"/>
      <c r="E9142" s="953"/>
      <c r="F9142" s="953"/>
      <c r="G9142" s="953"/>
      <c r="H9142" s="953"/>
    </row>
    <row r="9143" spans="1:8" x14ac:dyDescent="0.25">
      <c r="A9143" s="952"/>
      <c r="B9143" s="953"/>
      <c r="C9143" s="953"/>
      <c r="D9143" s="953"/>
      <c r="E9143" s="953"/>
      <c r="F9143" s="953"/>
      <c r="G9143" s="953"/>
      <c r="H9143" s="953"/>
    </row>
    <row r="9144" spans="1:8" x14ac:dyDescent="0.25">
      <c r="A9144" s="952"/>
      <c r="B9144" s="953"/>
      <c r="C9144" s="953"/>
      <c r="D9144" s="953"/>
      <c r="E9144" s="953"/>
      <c r="F9144" s="953"/>
      <c r="G9144" s="953"/>
      <c r="H9144" s="953"/>
    </row>
    <row r="9145" spans="1:8" x14ac:dyDescent="0.25">
      <c r="A9145" s="952"/>
      <c r="B9145" s="953"/>
      <c r="C9145" s="953"/>
      <c r="D9145" s="953"/>
      <c r="E9145" s="953"/>
      <c r="F9145" s="953"/>
      <c r="G9145" s="953"/>
      <c r="H9145" s="953"/>
    </row>
    <row r="9146" spans="1:8" x14ac:dyDescent="0.25">
      <c r="A9146" s="952"/>
      <c r="B9146" s="953"/>
      <c r="C9146" s="953"/>
      <c r="D9146" s="953"/>
      <c r="E9146" s="953"/>
      <c r="F9146" s="953"/>
      <c r="G9146" s="953"/>
      <c r="H9146" s="953"/>
    </row>
    <row r="9147" spans="1:8" x14ac:dyDescent="0.25">
      <c r="A9147" s="952"/>
      <c r="B9147" s="953"/>
      <c r="C9147" s="953"/>
      <c r="D9147" s="953"/>
      <c r="E9147" s="953"/>
      <c r="F9147" s="953"/>
      <c r="G9147" s="953"/>
      <c r="H9147" s="953"/>
    </row>
    <row r="9148" spans="1:8" x14ac:dyDescent="0.25">
      <c r="A9148" s="952"/>
      <c r="B9148" s="953"/>
      <c r="C9148" s="953"/>
      <c r="D9148" s="953"/>
      <c r="E9148" s="953"/>
      <c r="F9148" s="953"/>
      <c r="G9148" s="953"/>
      <c r="H9148" s="953"/>
    </row>
    <row r="9149" spans="1:8" x14ac:dyDescent="0.25">
      <c r="A9149" s="952"/>
      <c r="B9149" s="953"/>
      <c r="C9149" s="953"/>
      <c r="D9149" s="953"/>
      <c r="E9149" s="953"/>
      <c r="F9149" s="953"/>
      <c r="G9149" s="953"/>
      <c r="H9149" s="953"/>
    </row>
    <row r="9150" spans="1:8" x14ac:dyDescent="0.25">
      <c r="A9150" s="952"/>
      <c r="B9150" s="953"/>
      <c r="C9150" s="953"/>
      <c r="D9150" s="953"/>
      <c r="E9150" s="953"/>
      <c r="F9150" s="953"/>
      <c r="G9150" s="953"/>
      <c r="H9150" s="953"/>
    </row>
    <row r="9151" spans="1:8" x14ac:dyDescent="0.25">
      <c r="A9151" s="952"/>
      <c r="B9151" s="953"/>
      <c r="C9151" s="953"/>
      <c r="D9151" s="953"/>
      <c r="E9151" s="953"/>
      <c r="F9151" s="953"/>
      <c r="G9151" s="953"/>
      <c r="H9151" s="953"/>
    </row>
    <row r="9152" spans="1:8" x14ac:dyDescent="0.25">
      <c r="A9152" s="952"/>
      <c r="B9152" s="953"/>
      <c r="C9152" s="953"/>
      <c r="D9152" s="953"/>
      <c r="E9152" s="953"/>
      <c r="F9152" s="953"/>
      <c r="G9152" s="953"/>
      <c r="H9152" s="953"/>
    </row>
    <row r="9153" spans="1:8" x14ac:dyDescent="0.25">
      <c r="A9153" s="952"/>
      <c r="B9153" s="953"/>
      <c r="C9153" s="953"/>
      <c r="D9153" s="953"/>
      <c r="E9153" s="953"/>
      <c r="F9153" s="953"/>
      <c r="G9153" s="953"/>
      <c r="H9153" s="953"/>
    </row>
    <row r="9154" spans="1:8" x14ac:dyDescent="0.25">
      <c r="A9154" s="952"/>
      <c r="B9154" s="953"/>
      <c r="C9154" s="953"/>
      <c r="D9154" s="953"/>
      <c r="E9154" s="953"/>
      <c r="F9154" s="953"/>
      <c r="G9154" s="953"/>
      <c r="H9154" s="953"/>
    </row>
    <row r="9155" spans="1:8" x14ac:dyDescent="0.25">
      <c r="A9155" s="952"/>
      <c r="B9155" s="953"/>
      <c r="C9155" s="953"/>
      <c r="D9155" s="953"/>
      <c r="E9155" s="953"/>
      <c r="F9155" s="953"/>
      <c r="G9155" s="953"/>
      <c r="H9155" s="953"/>
    </row>
    <row r="9156" spans="1:8" x14ac:dyDescent="0.25">
      <c r="A9156" s="952"/>
      <c r="B9156" s="953"/>
      <c r="C9156" s="953"/>
      <c r="D9156" s="953"/>
      <c r="E9156" s="953"/>
      <c r="F9156" s="953"/>
      <c r="G9156" s="953"/>
      <c r="H9156" s="953"/>
    </row>
    <row r="9157" spans="1:8" x14ac:dyDescent="0.25">
      <c r="A9157" s="952"/>
      <c r="B9157" s="953"/>
      <c r="C9157" s="953"/>
      <c r="D9157" s="953"/>
      <c r="E9157" s="953"/>
      <c r="F9157" s="953"/>
      <c r="G9157" s="953"/>
      <c r="H9157" s="953"/>
    </row>
    <row r="9158" spans="1:8" x14ac:dyDescent="0.25">
      <c r="A9158" s="952"/>
      <c r="B9158" s="953"/>
      <c r="C9158" s="953"/>
      <c r="D9158" s="953"/>
      <c r="E9158" s="953"/>
      <c r="F9158" s="953"/>
      <c r="G9158" s="953"/>
      <c r="H9158" s="953"/>
    </row>
    <row r="9159" spans="1:8" x14ac:dyDescent="0.25">
      <c r="A9159" s="952"/>
      <c r="B9159" s="953"/>
      <c r="C9159" s="953"/>
      <c r="D9159" s="953"/>
      <c r="E9159" s="953"/>
      <c r="F9159" s="953"/>
      <c r="G9159" s="953"/>
      <c r="H9159" s="953"/>
    </row>
    <row r="9160" spans="1:8" x14ac:dyDescent="0.25">
      <c r="A9160" s="952"/>
      <c r="B9160" s="953"/>
      <c r="C9160" s="953"/>
      <c r="D9160" s="953"/>
      <c r="E9160" s="953"/>
      <c r="F9160" s="953"/>
      <c r="G9160" s="953"/>
      <c r="H9160" s="953"/>
    </row>
    <row r="9161" spans="1:8" x14ac:dyDescent="0.25">
      <c r="A9161" s="952"/>
      <c r="B9161" s="953"/>
      <c r="C9161" s="953"/>
      <c r="D9161" s="953"/>
      <c r="E9161" s="953"/>
      <c r="F9161" s="953"/>
      <c r="G9161" s="953"/>
      <c r="H9161" s="953"/>
    </row>
    <row r="9162" spans="1:8" x14ac:dyDescent="0.25">
      <c r="A9162" s="952"/>
      <c r="B9162" s="953"/>
      <c r="C9162" s="953"/>
      <c r="D9162" s="953"/>
      <c r="E9162" s="953"/>
      <c r="F9162" s="953"/>
      <c r="G9162" s="953"/>
      <c r="H9162" s="953"/>
    </row>
    <row r="9163" spans="1:8" x14ac:dyDescent="0.25">
      <c r="A9163" s="952"/>
      <c r="B9163" s="953"/>
      <c r="C9163" s="953"/>
      <c r="D9163" s="953"/>
      <c r="E9163" s="953"/>
      <c r="F9163" s="953"/>
      <c r="G9163" s="953"/>
      <c r="H9163" s="953"/>
    </row>
    <row r="9164" spans="1:8" x14ac:dyDescent="0.25">
      <c r="A9164" s="952"/>
      <c r="B9164" s="953"/>
      <c r="C9164" s="953"/>
      <c r="D9164" s="953"/>
      <c r="E9164" s="953"/>
      <c r="F9164" s="953"/>
      <c r="G9164" s="953"/>
      <c r="H9164" s="953"/>
    </row>
    <row r="9165" spans="1:8" x14ac:dyDescent="0.25">
      <c r="A9165" s="952"/>
      <c r="B9165" s="953"/>
      <c r="C9165" s="953"/>
      <c r="D9165" s="953"/>
      <c r="E9165" s="953"/>
      <c r="F9165" s="953"/>
      <c r="G9165" s="953"/>
      <c r="H9165" s="953"/>
    </row>
    <row r="9166" spans="1:8" x14ac:dyDescent="0.25">
      <c r="A9166" s="952"/>
      <c r="B9166" s="953"/>
      <c r="C9166" s="953"/>
      <c r="D9166" s="953"/>
      <c r="E9166" s="953"/>
      <c r="F9166" s="953"/>
      <c r="G9166" s="953"/>
      <c r="H9166" s="953"/>
    </row>
    <row r="9167" spans="1:8" x14ac:dyDescent="0.25">
      <c r="A9167" s="952"/>
      <c r="B9167" s="953"/>
      <c r="C9167" s="953"/>
      <c r="D9167" s="953"/>
      <c r="E9167" s="953"/>
      <c r="F9167" s="953"/>
      <c r="G9167" s="953"/>
      <c r="H9167" s="953"/>
    </row>
    <row r="9168" spans="1:8" x14ac:dyDescent="0.25">
      <c r="A9168" s="952"/>
      <c r="B9168" s="953"/>
      <c r="C9168" s="953"/>
      <c r="D9168" s="953"/>
      <c r="E9168" s="953"/>
      <c r="F9168" s="953"/>
      <c r="G9168" s="953"/>
      <c r="H9168" s="953"/>
    </row>
    <row r="9169" spans="1:8" x14ac:dyDescent="0.25">
      <c r="A9169" s="952"/>
      <c r="B9169" s="953"/>
      <c r="C9169" s="953"/>
      <c r="D9169" s="953"/>
      <c r="E9169" s="953"/>
      <c r="F9169" s="953"/>
      <c r="G9169" s="953"/>
      <c r="H9169" s="953"/>
    </row>
    <row r="9170" spans="1:8" x14ac:dyDescent="0.25">
      <c r="A9170" s="952"/>
      <c r="B9170" s="953"/>
      <c r="C9170" s="953"/>
      <c r="D9170" s="953"/>
      <c r="E9170" s="953"/>
      <c r="F9170" s="953"/>
      <c r="G9170" s="953"/>
      <c r="H9170" s="953"/>
    </row>
    <row r="9171" spans="1:8" x14ac:dyDescent="0.25">
      <c r="A9171" s="952"/>
      <c r="B9171" s="953"/>
      <c r="C9171" s="953"/>
      <c r="D9171" s="953"/>
      <c r="E9171" s="953"/>
      <c r="F9171" s="953"/>
      <c r="G9171" s="953"/>
      <c r="H9171" s="953"/>
    </row>
    <row r="9172" spans="1:8" x14ac:dyDescent="0.25">
      <c r="A9172" s="952"/>
      <c r="B9172" s="953"/>
      <c r="C9172" s="953"/>
      <c r="D9172" s="953"/>
      <c r="E9172" s="953"/>
      <c r="F9172" s="953"/>
      <c r="G9172" s="953"/>
      <c r="H9172" s="953"/>
    </row>
    <row r="9173" spans="1:8" x14ac:dyDescent="0.25">
      <c r="A9173" s="952"/>
      <c r="B9173" s="953"/>
      <c r="C9173" s="953"/>
      <c r="D9173" s="953"/>
      <c r="E9173" s="953"/>
      <c r="F9173" s="953"/>
      <c r="G9173" s="953"/>
      <c r="H9173" s="953"/>
    </row>
    <row r="9174" spans="1:8" x14ac:dyDescent="0.25">
      <c r="A9174" s="952"/>
      <c r="B9174" s="953"/>
      <c r="C9174" s="953"/>
      <c r="D9174" s="953"/>
      <c r="E9174" s="953"/>
      <c r="F9174" s="953"/>
      <c r="G9174" s="953"/>
      <c r="H9174" s="953"/>
    </row>
    <row r="9175" spans="1:8" x14ac:dyDescent="0.25">
      <c r="A9175" s="952"/>
      <c r="B9175" s="953"/>
      <c r="C9175" s="953"/>
      <c r="D9175" s="953"/>
      <c r="E9175" s="953"/>
      <c r="F9175" s="953"/>
      <c r="G9175" s="953"/>
      <c r="H9175" s="953"/>
    </row>
    <row r="9176" spans="1:8" x14ac:dyDescent="0.25">
      <c r="A9176" s="952"/>
      <c r="B9176" s="953"/>
      <c r="C9176" s="953"/>
      <c r="D9176" s="953"/>
      <c r="E9176" s="953"/>
      <c r="F9176" s="953"/>
      <c r="G9176" s="953"/>
      <c r="H9176" s="953"/>
    </row>
    <row r="9177" spans="1:8" x14ac:dyDescent="0.25">
      <c r="A9177" s="952"/>
      <c r="B9177" s="953"/>
      <c r="C9177" s="953"/>
      <c r="D9177" s="953"/>
      <c r="E9177" s="953"/>
      <c r="F9177" s="953"/>
      <c r="G9177" s="953"/>
      <c r="H9177" s="953"/>
    </row>
    <row r="9178" spans="1:8" x14ac:dyDescent="0.25">
      <c r="A9178" s="952"/>
      <c r="B9178" s="953"/>
      <c r="C9178" s="953"/>
      <c r="D9178" s="953"/>
      <c r="E9178" s="953"/>
      <c r="F9178" s="953"/>
      <c r="G9178" s="953"/>
      <c r="H9178" s="953"/>
    </row>
    <row r="9179" spans="1:8" x14ac:dyDescent="0.25">
      <c r="A9179" s="952"/>
      <c r="B9179" s="953"/>
      <c r="C9179" s="953"/>
      <c r="D9179" s="953"/>
      <c r="E9179" s="953"/>
      <c r="F9179" s="953"/>
      <c r="G9179" s="953"/>
      <c r="H9179" s="953"/>
    </row>
    <row r="9180" spans="1:8" x14ac:dyDescent="0.25">
      <c r="A9180" s="952"/>
      <c r="B9180" s="953"/>
      <c r="C9180" s="953"/>
      <c r="D9180" s="953"/>
      <c r="E9180" s="953"/>
      <c r="F9180" s="953"/>
      <c r="G9180" s="953"/>
      <c r="H9180" s="953"/>
    </row>
    <row r="9181" spans="1:8" x14ac:dyDescent="0.25">
      <c r="A9181" s="952"/>
      <c r="B9181" s="953"/>
      <c r="C9181" s="953"/>
      <c r="D9181" s="953"/>
      <c r="E9181" s="953"/>
      <c r="F9181" s="953"/>
      <c r="G9181" s="953"/>
      <c r="H9181" s="953"/>
    </row>
    <row r="9182" spans="1:8" x14ac:dyDescent="0.25">
      <c r="A9182" s="952"/>
      <c r="B9182" s="953"/>
      <c r="C9182" s="953"/>
      <c r="D9182" s="953"/>
      <c r="E9182" s="953"/>
      <c r="F9182" s="953"/>
      <c r="G9182" s="953"/>
      <c r="H9182" s="953"/>
    </row>
    <row r="9183" spans="1:8" x14ac:dyDescent="0.25">
      <c r="A9183" s="952"/>
      <c r="B9183" s="953"/>
      <c r="C9183" s="953"/>
      <c r="D9183" s="953"/>
      <c r="E9183" s="953"/>
      <c r="F9183" s="953"/>
      <c r="G9183" s="953"/>
      <c r="H9183" s="953"/>
    </row>
    <row r="9184" spans="1:8" x14ac:dyDescent="0.25">
      <c r="A9184" s="952"/>
      <c r="B9184" s="953"/>
      <c r="C9184" s="953"/>
      <c r="D9184" s="953"/>
      <c r="E9184" s="953"/>
      <c r="F9184" s="953"/>
      <c r="G9184" s="953"/>
      <c r="H9184" s="953"/>
    </row>
    <row r="9185" spans="1:8" x14ac:dyDescent="0.25">
      <c r="A9185" s="952"/>
      <c r="B9185" s="953"/>
      <c r="C9185" s="953"/>
      <c r="D9185" s="953"/>
      <c r="E9185" s="953"/>
      <c r="F9185" s="953"/>
      <c r="G9185" s="953"/>
      <c r="H9185" s="953"/>
    </row>
    <row r="9186" spans="1:8" x14ac:dyDescent="0.25">
      <c r="A9186" s="952"/>
      <c r="B9186" s="953"/>
      <c r="C9186" s="953"/>
      <c r="D9186" s="953"/>
      <c r="E9186" s="953"/>
      <c r="F9186" s="953"/>
      <c r="G9186" s="953"/>
      <c r="H9186" s="953"/>
    </row>
    <row r="9187" spans="1:8" x14ac:dyDescent="0.25">
      <c r="A9187" s="952"/>
      <c r="B9187" s="953"/>
      <c r="C9187" s="953"/>
      <c r="D9187" s="953"/>
      <c r="E9187" s="953"/>
      <c r="F9187" s="953"/>
      <c r="G9187" s="953"/>
      <c r="H9187" s="953"/>
    </row>
    <row r="9188" spans="1:8" x14ac:dyDescent="0.25">
      <c r="A9188" s="952"/>
      <c r="B9188" s="953"/>
      <c r="C9188" s="953"/>
      <c r="D9188" s="953"/>
      <c r="E9188" s="953"/>
      <c r="F9188" s="953"/>
      <c r="G9188" s="953"/>
      <c r="H9188" s="953"/>
    </row>
    <row r="9189" spans="1:8" x14ac:dyDescent="0.25">
      <c r="A9189" s="952"/>
      <c r="B9189" s="953"/>
      <c r="C9189" s="953"/>
      <c r="D9189" s="953"/>
      <c r="E9189" s="953"/>
      <c r="F9189" s="953"/>
      <c r="G9189" s="953"/>
      <c r="H9189" s="953"/>
    </row>
    <row r="9190" spans="1:8" x14ac:dyDescent="0.25">
      <c r="A9190" s="952"/>
      <c r="B9190" s="953"/>
      <c r="C9190" s="953"/>
      <c r="D9190" s="953"/>
      <c r="E9190" s="953"/>
      <c r="F9190" s="953"/>
      <c r="G9190" s="953"/>
      <c r="H9190" s="953"/>
    </row>
    <row r="9191" spans="1:8" x14ac:dyDescent="0.25">
      <c r="A9191" s="952"/>
      <c r="B9191" s="953"/>
      <c r="C9191" s="953"/>
      <c r="D9191" s="953"/>
      <c r="E9191" s="953"/>
      <c r="F9191" s="953"/>
      <c r="G9191" s="953"/>
      <c r="H9191" s="953"/>
    </row>
    <row r="9192" spans="1:8" x14ac:dyDescent="0.25">
      <c r="A9192" s="952"/>
      <c r="B9192" s="953"/>
      <c r="C9192" s="953"/>
      <c r="D9192" s="953"/>
      <c r="E9192" s="953"/>
      <c r="F9192" s="953"/>
      <c r="G9192" s="953"/>
      <c r="H9192" s="953"/>
    </row>
    <row r="9193" spans="1:8" x14ac:dyDescent="0.25">
      <c r="A9193" s="952"/>
      <c r="B9193" s="953"/>
      <c r="C9193" s="953"/>
      <c r="D9193" s="953"/>
      <c r="E9193" s="953"/>
      <c r="F9193" s="953"/>
      <c r="G9193" s="953"/>
      <c r="H9193" s="953"/>
    </row>
    <row r="9194" spans="1:8" x14ac:dyDescent="0.25">
      <c r="A9194" s="952"/>
      <c r="B9194" s="953"/>
      <c r="C9194" s="953"/>
      <c r="D9194" s="953"/>
      <c r="E9194" s="953"/>
      <c r="F9194" s="953"/>
      <c r="G9194" s="953"/>
      <c r="H9194" s="953"/>
    </row>
    <row r="9195" spans="1:8" x14ac:dyDescent="0.25">
      <c r="A9195" s="952"/>
      <c r="B9195" s="953"/>
      <c r="C9195" s="953"/>
      <c r="D9195" s="953"/>
      <c r="E9195" s="953"/>
      <c r="F9195" s="953"/>
      <c r="G9195" s="953"/>
      <c r="H9195" s="953"/>
    </row>
    <row r="9196" spans="1:8" x14ac:dyDescent="0.25">
      <c r="A9196" s="952"/>
      <c r="B9196" s="953"/>
      <c r="C9196" s="953"/>
      <c r="D9196" s="953"/>
      <c r="E9196" s="953"/>
      <c r="F9196" s="953"/>
      <c r="G9196" s="953"/>
      <c r="H9196" s="953"/>
    </row>
    <row r="9197" spans="1:8" x14ac:dyDescent="0.25">
      <c r="A9197" s="952"/>
      <c r="B9197" s="953"/>
      <c r="C9197" s="953"/>
      <c r="D9197" s="953"/>
      <c r="E9197" s="953"/>
      <c r="F9197" s="953"/>
      <c r="G9197" s="953"/>
      <c r="H9197" s="953"/>
    </row>
    <row r="9198" spans="1:8" x14ac:dyDescent="0.25">
      <c r="A9198" s="952"/>
      <c r="B9198" s="953"/>
      <c r="C9198" s="953"/>
      <c r="D9198" s="953"/>
      <c r="E9198" s="953"/>
      <c r="F9198" s="953"/>
      <c r="G9198" s="953"/>
      <c r="H9198" s="953"/>
    </row>
    <row r="9199" spans="1:8" x14ac:dyDescent="0.25">
      <c r="A9199" s="952"/>
      <c r="B9199" s="953"/>
      <c r="C9199" s="953"/>
      <c r="D9199" s="953"/>
      <c r="E9199" s="953"/>
      <c r="F9199" s="953"/>
      <c r="G9199" s="953"/>
      <c r="H9199" s="953"/>
    </row>
    <row r="9200" spans="1:8" x14ac:dyDescent="0.25">
      <c r="A9200" s="952"/>
      <c r="B9200" s="953"/>
      <c r="C9200" s="953"/>
      <c r="D9200" s="953"/>
      <c r="E9200" s="953"/>
      <c r="F9200" s="953"/>
      <c r="G9200" s="953"/>
      <c r="H9200" s="953"/>
    </row>
    <row r="9201" spans="1:8" x14ac:dyDescent="0.25">
      <c r="A9201" s="952"/>
      <c r="B9201" s="953"/>
      <c r="C9201" s="953"/>
      <c r="D9201" s="953"/>
      <c r="E9201" s="953"/>
      <c r="F9201" s="953"/>
      <c r="G9201" s="953"/>
      <c r="H9201" s="953"/>
    </row>
    <row r="9202" spans="1:8" x14ac:dyDescent="0.25">
      <c r="A9202" s="952"/>
      <c r="B9202" s="953"/>
      <c r="C9202" s="953"/>
      <c r="D9202" s="953"/>
      <c r="E9202" s="953"/>
      <c r="F9202" s="953"/>
      <c r="G9202" s="953"/>
      <c r="H9202" s="953"/>
    </row>
    <row r="9203" spans="1:8" x14ac:dyDescent="0.25">
      <c r="A9203" s="952"/>
      <c r="B9203" s="953"/>
      <c r="C9203" s="953"/>
      <c r="D9203" s="953"/>
      <c r="E9203" s="953"/>
      <c r="F9203" s="953"/>
      <c r="G9203" s="953"/>
      <c r="H9203" s="953"/>
    </row>
    <row r="9204" spans="1:8" x14ac:dyDescent="0.25">
      <c r="A9204" s="952"/>
      <c r="B9204" s="953"/>
      <c r="C9204" s="953"/>
      <c r="D9204" s="953"/>
      <c r="E9204" s="953"/>
      <c r="F9204" s="953"/>
      <c r="G9204" s="953"/>
      <c r="H9204" s="953"/>
    </row>
    <row r="9205" spans="1:8" x14ac:dyDescent="0.25">
      <c r="A9205" s="952"/>
      <c r="B9205" s="953"/>
      <c r="C9205" s="953"/>
      <c r="D9205" s="953"/>
      <c r="E9205" s="953"/>
      <c r="F9205" s="953"/>
      <c r="G9205" s="953"/>
      <c r="H9205" s="953"/>
    </row>
    <row r="9206" spans="1:8" x14ac:dyDescent="0.25">
      <c r="A9206" s="952"/>
      <c r="B9206" s="953"/>
      <c r="C9206" s="953"/>
      <c r="D9206" s="953"/>
      <c r="E9206" s="953"/>
      <c r="F9206" s="953"/>
      <c r="G9206" s="953"/>
      <c r="H9206" s="953"/>
    </row>
    <row r="9207" spans="1:8" x14ac:dyDescent="0.25">
      <c r="A9207" s="952"/>
      <c r="B9207" s="953"/>
      <c r="C9207" s="953"/>
      <c r="D9207" s="953"/>
      <c r="E9207" s="953"/>
      <c r="F9207" s="953"/>
      <c r="G9207" s="953"/>
      <c r="H9207" s="953"/>
    </row>
    <row r="9208" spans="1:8" x14ac:dyDescent="0.25">
      <c r="A9208" s="952"/>
      <c r="B9208" s="953"/>
      <c r="C9208" s="953"/>
      <c r="D9208" s="953"/>
      <c r="E9208" s="953"/>
      <c r="F9208" s="953"/>
      <c r="G9208" s="953"/>
      <c r="H9208" s="953"/>
    </row>
    <row r="9209" spans="1:8" x14ac:dyDescent="0.25">
      <c r="A9209" s="952"/>
      <c r="B9209" s="953"/>
      <c r="C9209" s="953"/>
      <c r="D9209" s="953"/>
      <c r="E9209" s="953"/>
      <c r="F9209" s="953"/>
      <c r="G9209" s="953"/>
      <c r="H9209" s="953"/>
    </row>
    <row r="9210" spans="1:8" x14ac:dyDescent="0.25">
      <c r="A9210" s="952"/>
      <c r="B9210" s="953"/>
      <c r="C9210" s="953"/>
      <c r="D9210" s="953"/>
      <c r="E9210" s="953"/>
      <c r="F9210" s="953"/>
      <c r="G9210" s="953"/>
      <c r="H9210" s="953"/>
    </row>
    <row r="9211" spans="1:8" x14ac:dyDescent="0.25">
      <c r="A9211" s="952"/>
      <c r="B9211" s="953"/>
      <c r="C9211" s="953"/>
      <c r="D9211" s="953"/>
      <c r="E9211" s="953"/>
      <c r="F9211" s="953"/>
      <c r="G9211" s="953"/>
      <c r="H9211" s="953"/>
    </row>
    <row r="9212" spans="1:8" x14ac:dyDescent="0.25">
      <c r="A9212" s="952"/>
      <c r="B9212" s="953"/>
      <c r="C9212" s="953"/>
      <c r="D9212" s="953"/>
      <c r="E9212" s="953"/>
      <c r="F9212" s="953"/>
      <c r="G9212" s="953"/>
      <c r="H9212" s="953"/>
    </row>
    <row r="9213" spans="1:8" x14ac:dyDescent="0.25">
      <c r="A9213" s="952"/>
      <c r="B9213" s="953"/>
      <c r="C9213" s="953"/>
      <c r="D9213" s="953"/>
      <c r="E9213" s="953"/>
      <c r="F9213" s="953"/>
      <c r="G9213" s="953"/>
      <c r="H9213" s="953"/>
    </row>
    <row r="9214" spans="1:8" x14ac:dyDescent="0.25">
      <c r="A9214" s="952"/>
      <c r="B9214" s="953"/>
      <c r="C9214" s="953"/>
      <c r="D9214" s="953"/>
      <c r="E9214" s="953"/>
      <c r="F9214" s="953"/>
      <c r="G9214" s="953"/>
      <c r="H9214" s="953"/>
    </row>
    <row r="9215" spans="1:8" x14ac:dyDescent="0.25">
      <c r="A9215" s="952"/>
      <c r="B9215" s="953"/>
      <c r="C9215" s="953"/>
      <c r="D9215" s="953"/>
      <c r="E9215" s="953"/>
      <c r="F9215" s="953"/>
      <c r="G9215" s="953"/>
      <c r="H9215" s="953"/>
    </row>
    <row r="9216" spans="1:8" x14ac:dyDescent="0.25">
      <c r="A9216" s="952"/>
      <c r="B9216" s="953"/>
      <c r="C9216" s="953"/>
      <c r="D9216" s="953"/>
      <c r="E9216" s="953"/>
      <c r="F9216" s="953"/>
      <c r="G9216" s="953"/>
      <c r="H9216" s="953"/>
    </row>
    <row r="9217" spans="1:8" x14ac:dyDescent="0.25">
      <c r="A9217" s="952"/>
      <c r="B9217" s="953"/>
      <c r="C9217" s="953"/>
      <c r="D9217" s="953"/>
      <c r="E9217" s="953"/>
      <c r="F9217" s="953"/>
      <c r="G9217" s="953"/>
      <c r="H9217" s="953"/>
    </row>
    <row r="9218" spans="1:8" x14ac:dyDescent="0.25">
      <c r="A9218" s="952"/>
      <c r="B9218" s="953"/>
      <c r="C9218" s="953"/>
      <c r="D9218" s="953"/>
      <c r="E9218" s="953"/>
      <c r="F9218" s="953"/>
      <c r="G9218" s="953"/>
      <c r="H9218" s="953"/>
    </row>
    <row r="9219" spans="1:8" x14ac:dyDescent="0.25">
      <c r="A9219" s="952"/>
      <c r="B9219" s="953"/>
      <c r="C9219" s="953"/>
      <c r="D9219" s="953"/>
      <c r="E9219" s="953"/>
      <c r="F9219" s="953"/>
      <c r="G9219" s="953"/>
      <c r="H9219" s="953"/>
    </row>
    <row r="9220" spans="1:8" x14ac:dyDescent="0.25">
      <c r="A9220" s="952"/>
      <c r="B9220" s="953"/>
      <c r="C9220" s="953"/>
      <c r="D9220" s="953"/>
      <c r="E9220" s="953"/>
      <c r="F9220" s="953"/>
      <c r="G9220" s="953"/>
      <c r="H9220" s="953"/>
    </row>
    <row r="9221" spans="1:8" x14ac:dyDescent="0.25">
      <c r="A9221" s="952"/>
      <c r="B9221" s="953"/>
      <c r="C9221" s="953"/>
      <c r="D9221" s="953"/>
      <c r="E9221" s="953"/>
      <c r="F9221" s="953"/>
      <c r="G9221" s="953"/>
      <c r="H9221" s="953"/>
    </row>
    <row r="9222" spans="1:8" x14ac:dyDescent="0.25">
      <c r="A9222" s="952"/>
      <c r="B9222" s="953"/>
      <c r="C9222" s="953"/>
      <c r="D9222" s="953"/>
      <c r="E9222" s="953"/>
      <c r="F9222" s="953"/>
      <c r="G9222" s="953"/>
      <c r="H9222" s="953"/>
    </row>
    <row r="9223" spans="1:8" x14ac:dyDescent="0.25">
      <c r="A9223" s="952"/>
      <c r="B9223" s="953"/>
      <c r="C9223" s="953"/>
      <c r="D9223" s="953"/>
      <c r="E9223" s="953"/>
      <c r="F9223" s="953"/>
      <c r="G9223" s="953"/>
      <c r="H9223" s="953"/>
    </row>
    <row r="9224" spans="1:8" x14ac:dyDescent="0.25">
      <c r="A9224" s="952"/>
      <c r="B9224" s="953"/>
      <c r="C9224" s="953"/>
      <c r="D9224" s="953"/>
      <c r="E9224" s="953"/>
      <c r="F9224" s="953"/>
      <c r="G9224" s="953"/>
      <c r="H9224" s="953"/>
    </row>
    <row r="9225" spans="1:8" x14ac:dyDescent="0.25">
      <c r="A9225" s="952"/>
      <c r="B9225" s="953"/>
      <c r="C9225" s="953"/>
      <c r="D9225" s="953"/>
      <c r="E9225" s="953"/>
      <c r="F9225" s="953"/>
      <c r="G9225" s="953"/>
      <c r="H9225" s="953"/>
    </row>
    <row r="9226" spans="1:8" x14ac:dyDescent="0.25">
      <c r="A9226" s="952"/>
      <c r="B9226" s="953"/>
      <c r="C9226" s="953"/>
      <c r="D9226" s="953"/>
      <c r="E9226" s="953"/>
      <c r="F9226" s="953"/>
      <c r="G9226" s="953"/>
      <c r="H9226" s="953"/>
    </row>
    <row r="9227" spans="1:8" x14ac:dyDescent="0.25">
      <c r="A9227" s="952"/>
      <c r="B9227" s="953"/>
      <c r="C9227" s="953"/>
      <c r="D9227" s="953"/>
      <c r="E9227" s="953"/>
      <c r="F9227" s="953"/>
      <c r="G9227" s="953"/>
      <c r="H9227" s="953"/>
    </row>
    <row r="9228" spans="1:8" x14ac:dyDescent="0.25">
      <c r="A9228" s="952"/>
      <c r="B9228" s="953"/>
      <c r="C9228" s="953"/>
      <c r="D9228" s="953"/>
      <c r="E9228" s="953"/>
      <c r="F9228" s="953"/>
      <c r="G9228" s="953"/>
      <c r="H9228" s="953"/>
    </row>
    <row r="9229" spans="1:8" x14ac:dyDescent="0.25">
      <c r="A9229" s="952"/>
      <c r="B9229" s="953"/>
      <c r="C9229" s="953"/>
      <c r="D9229" s="953"/>
      <c r="E9229" s="953"/>
      <c r="F9229" s="953"/>
      <c r="G9229" s="953"/>
      <c r="H9229" s="953"/>
    </row>
    <row r="9230" spans="1:8" x14ac:dyDescent="0.25">
      <c r="A9230" s="952"/>
      <c r="B9230" s="953"/>
      <c r="C9230" s="953"/>
      <c r="D9230" s="953"/>
      <c r="E9230" s="953"/>
      <c r="F9230" s="953"/>
      <c r="G9230" s="953"/>
      <c r="H9230" s="953"/>
    </row>
    <row r="9231" spans="1:8" x14ac:dyDescent="0.25">
      <c r="A9231" s="952"/>
      <c r="B9231" s="953"/>
      <c r="C9231" s="953"/>
      <c r="D9231" s="953"/>
      <c r="E9231" s="953"/>
      <c r="F9231" s="953"/>
      <c r="G9231" s="953"/>
      <c r="H9231" s="953"/>
    </row>
    <row r="9232" spans="1:8" x14ac:dyDescent="0.25">
      <c r="A9232" s="952"/>
      <c r="B9232" s="953"/>
      <c r="C9232" s="953"/>
      <c r="D9232" s="953"/>
      <c r="E9232" s="953"/>
      <c r="F9232" s="953"/>
      <c r="G9232" s="953"/>
      <c r="H9232" s="953"/>
    </row>
    <row r="9233" spans="1:8" x14ac:dyDescent="0.25">
      <c r="A9233" s="952"/>
      <c r="B9233" s="953"/>
      <c r="C9233" s="953"/>
      <c r="D9233" s="953"/>
      <c r="E9233" s="953"/>
      <c r="F9233" s="953"/>
      <c r="G9233" s="953"/>
      <c r="H9233" s="953"/>
    </row>
    <row r="9234" spans="1:8" x14ac:dyDescent="0.25">
      <c r="A9234" s="952"/>
      <c r="B9234" s="953"/>
      <c r="C9234" s="953"/>
      <c r="D9234" s="953"/>
      <c r="E9234" s="953"/>
      <c r="F9234" s="953"/>
      <c r="G9234" s="953"/>
      <c r="H9234" s="953"/>
    </row>
    <row r="9235" spans="1:8" x14ac:dyDescent="0.25">
      <c r="A9235" s="952"/>
      <c r="B9235" s="953"/>
      <c r="C9235" s="953"/>
      <c r="D9235" s="953"/>
      <c r="E9235" s="953"/>
      <c r="F9235" s="953"/>
      <c r="G9235" s="953"/>
      <c r="H9235" s="953"/>
    </row>
    <row r="9236" spans="1:8" x14ac:dyDescent="0.25">
      <c r="A9236" s="952"/>
      <c r="B9236" s="953"/>
      <c r="C9236" s="953"/>
      <c r="D9236" s="953"/>
      <c r="E9236" s="953"/>
      <c r="F9236" s="953"/>
      <c r="G9236" s="953"/>
      <c r="H9236" s="953"/>
    </row>
    <row r="9237" spans="1:8" x14ac:dyDescent="0.25">
      <c r="A9237" s="952"/>
      <c r="B9237" s="953"/>
      <c r="C9237" s="953"/>
      <c r="D9237" s="953"/>
      <c r="E9237" s="953"/>
      <c r="F9237" s="953"/>
      <c r="G9237" s="953"/>
      <c r="H9237" s="953"/>
    </row>
    <row r="9238" spans="1:8" x14ac:dyDescent="0.25">
      <c r="A9238" s="952"/>
      <c r="B9238" s="953"/>
      <c r="C9238" s="953"/>
      <c r="D9238" s="953"/>
      <c r="E9238" s="953"/>
      <c r="F9238" s="953"/>
      <c r="G9238" s="953"/>
      <c r="H9238" s="953"/>
    </row>
    <row r="9239" spans="1:8" x14ac:dyDescent="0.25">
      <c r="A9239" s="952"/>
      <c r="B9239" s="953"/>
      <c r="C9239" s="953"/>
      <c r="D9239" s="953"/>
      <c r="E9239" s="953"/>
      <c r="F9239" s="953"/>
      <c r="G9239" s="953"/>
      <c r="H9239" s="953"/>
    </row>
    <row r="9240" spans="1:8" x14ac:dyDescent="0.25">
      <c r="A9240" s="952"/>
      <c r="B9240" s="953"/>
      <c r="C9240" s="953"/>
      <c r="D9240" s="953"/>
      <c r="E9240" s="953"/>
      <c r="F9240" s="953"/>
      <c r="G9240" s="953"/>
      <c r="H9240" s="953"/>
    </row>
    <row r="9241" spans="1:8" x14ac:dyDescent="0.25">
      <c r="A9241" s="952"/>
      <c r="B9241" s="953"/>
      <c r="C9241" s="953"/>
      <c r="D9241" s="953"/>
      <c r="E9241" s="953"/>
      <c r="F9241" s="953"/>
      <c r="G9241" s="953"/>
      <c r="H9241" s="953"/>
    </row>
    <row r="9242" spans="1:8" x14ac:dyDescent="0.25">
      <c r="A9242" s="952"/>
      <c r="B9242" s="953"/>
      <c r="C9242" s="953"/>
      <c r="D9242" s="953"/>
      <c r="E9242" s="953"/>
      <c r="F9242" s="953"/>
      <c r="G9242" s="953"/>
      <c r="H9242" s="953"/>
    </row>
    <row r="9243" spans="1:8" x14ac:dyDescent="0.25">
      <c r="A9243" s="952"/>
      <c r="B9243" s="953"/>
      <c r="C9243" s="953"/>
      <c r="D9243" s="953"/>
      <c r="E9243" s="953"/>
      <c r="F9243" s="953"/>
      <c r="G9243" s="953"/>
      <c r="H9243" s="953"/>
    </row>
    <row r="9244" spans="1:8" x14ac:dyDescent="0.25">
      <c r="A9244" s="952"/>
      <c r="B9244" s="953"/>
      <c r="C9244" s="953"/>
      <c r="D9244" s="953"/>
      <c r="E9244" s="953"/>
      <c r="F9244" s="953"/>
      <c r="G9244" s="953"/>
      <c r="H9244" s="953"/>
    </row>
    <row r="9245" spans="1:8" x14ac:dyDescent="0.25">
      <c r="A9245" s="952"/>
      <c r="B9245" s="953"/>
      <c r="C9245" s="953"/>
      <c r="D9245" s="953"/>
      <c r="E9245" s="953"/>
      <c r="F9245" s="953"/>
      <c r="G9245" s="953"/>
      <c r="H9245" s="953"/>
    </row>
    <row r="9246" spans="1:8" x14ac:dyDescent="0.25">
      <c r="A9246" s="952"/>
      <c r="B9246" s="953"/>
      <c r="C9246" s="953"/>
      <c r="D9246" s="953"/>
      <c r="E9246" s="953"/>
      <c r="F9246" s="953"/>
      <c r="G9246" s="953"/>
      <c r="H9246" s="953"/>
    </row>
    <row r="9247" spans="1:8" x14ac:dyDescent="0.25">
      <c r="A9247" s="952"/>
      <c r="B9247" s="953"/>
      <c r="C9247" s="953"/>
      <c r="D9247" s="953"/>
      <c r="E9247" s="953"/>
      <c r="F9247" s="953"/>
      <c r="G9247" s="953"/>
      <c r="H9247" s="953"/>
    </row>
    <row r="9248" spans="1:8" x14ac:dyDescent="0.25">
      <c r="A9248" s="952"/>
      <c r="B9248" s="953"/>
      <c r="C9248" s="953"/>
      <c r="D9248" s="953"/>
      <c r="E9248" s="953"/>
      <c r="F9248" s="953"/>
      <c r="G9248" s="953"/>
      <c r="H9248" s="953"/>
    </row>
    <row r="9249" spans="1:8" x14ac:dyDescent="0.25">
      <c r="A9249" s="952"/>
      <c r="B9249" s="953"/>
      <c r="C9249" s="953"/>
      <c r="D9249" s="953"/>
      <c r="E9249" s="953"/>
      <c r="F9249" s="953"/>
      <c r="G9249" s="953"/>
      <c r="H9249" s="953"/>
    </row>
    <row r="9250" spans="1:8" x14ac:dyDescent="0.25">
      <c r="A9250" s="952"/>
      <c r="B9250" s="953"/>
      <c r="C9250" s="953"/>
      <c r="D9250" s="953"/>
      <c r="E9250" s="953"/>
      <c r="F9250" s="953"/>
      <c r="G9250" s="953"/>
      <c r="H9250" s="953"/>
    </row>
    <row r="9251" spans="1:8" x14ac:dyDescent="0.25">
      <c r="A9251" s="952"/>
      <c r="B9251" s="953"/>
      <c r="C9251" s="953"/>
      <c r="D9251" s="953"/>
      <c r="E9251" s="953"/>
      <c r="F9251" s="953"/>
      <c r="G9251" s="953"/>
      <c r="H9251" s="953"/>
    </row>
    <row r="9252" spans="1:8" x14ac:dyDescent="0.25">
      <c r="A9252" s="952"/>
      <c r="B9252" s="953"/>
      <c r="C9252" s="953"/>
      <c r="D9252" s="953"/>
      <c r="E9252" s="953"/>
      <c r="F9252" s="953"/>
      <c r="G9252" s="953"/>
      <c r="H9252" s="953"/>
    </row>
    <row r="9253" spans="1:8" x14ac:dyDescent="0.25">
      <c r="A9253" s="952"/>
      <c r="B9253" s="953"/>
      <c r="C9253" s="953"/>
      <c r="D9253" s="953"/>
      <c r="E9253" s="953"/>
      <c r="F9253" s="953"/>
      <c r="G9253" s="953"/>
      <c r="H9253" s="953"/>
    </row>
    <row r="9254" spans="1:8" x14ac:dyDescent="0.25">
      <c r="A9254" s="952"/>
      <c r="B9254" s="953"/>
      <c r="C9254" s="953"/>
      <c r="D9254" s="953"/>
      <c r="E9254" s="953"/>
      <c r="F9254" s="953"/>
      <c r="G9254" s="953"/>
      <c r="H9254" s="953"/>
    </row>
    <row r="9255" spans="1:8" x14ac:dyDescent="0.25">
      <c r="A9255" s="952"/>
      <c r="B9255" s="953"/>
      <c r="C9255" s="953"/>
      <c r="D9255" s="953"/>
      <c r="E9255" s="953"/>
      <c r="F9255" s="953"/>
      <c r="G9255" s="953"/>
      <c r="H9255" s="953"/>
    </row>
    <row r="9256" spans="1:8" x14ac:dyDescent="0.25">
      <c r="A9256" s="952"/>
      <c r="B9256" s="953"/>
      <c r="C9256" s="953"/>
      <c r="D9256" s="953"/>
      <c r="E9256" s="953"/>
      <c r="F9256" s="953"/>
      <c r="G9256" s="953"/>
      <c r="H9256" s="953"/>
    </row>
    <row r="9257" spans="1:8" x14ac:dyDescent="0.25">
      <c r="A9257" s="952"/>
      <c r="B9257" s="953"/>
      <c r="C9257" s="953"/>
      <c r="D9257" s="953"/>
      <c r="E9257" s="953"/>
      <c r="F9257" s="953"/>
      <c r="G9257" s="953"/>
      <c r="H9257" s="953"/>
    </row>
    <row r="9258" spans="1:8" x14ac:dyDescent="0.25">
      <c r="A9258" s="952"/>
      <c r="B9258" s="953"/>
      <c r="C9258" s="953"/>
      <c r="D9258" s="953"/>
      <c r="E9258" s="953"/>
      <c r="F9258" s="953"/>
      <c r="G9258" s="953"/>
      <c r="H9258" s="953"/>
    </row>
    <row r="9259" spans="1:8" x14ac:dyDescent="0.25">
      <c r="A9259" s="952"/>
      <c r="B9259" s="953"/>
      <c r="C9259" s="953"/>
      <c r="D9259" s="953"/>
      <c r="E9259" s="953"/>
      <c r="F9259" s="953"/>
      <c r="G9259" s="953"/>
      <c r="H9259" s="953"/>
    </row>
    <row r="9260" spans="1:8" x14ac:dyDescent="0.25">
      <c r="A9260" s="952"/>
      <c r="B9260" s="953"/>
      <c r="C9260" s="953"/>
      <c r="D9260" s="953"/>
      <c r="E9260" s="953"/>
      <c r="F9260" s="953"/>
      <c r="G9260" s="953"/>
      <c r="H9260" s="953"/>
    </row>
    <row r="9261" spans="1:8" x14ac:dyDescent="0.25">
      <c r="A9261" s="952"/>
      <c r="B9261" s="953"/>
      <c r="C9261" s="953"/>
      <c r="D9261" s="953"/>
      <c r="E9261" s="953"/>
      <c r="F9261" s="953"/>
      <c r="G9261" s="953"/>
      <c r="H9261" s="953"/>
    </row>
    <row r="9262" spans="1:8" x14ac:dyDescent="0.25">
      <c r="A9262" s="952"/>
      <c r="B9262" s="953"/>
      <c r="C9262" s="953"/>
      <c r="D9262" s="953"/>
      <c r="E9262" s="953"/>
      <c r="F9262" s="953"/>
      <c r="G9262" s="953"/>
      <c r="H9262" s="953"/>
    </row>
    <row r="9263" spans="1:8" x14ac:dyDescent="0.25">
      <c r="A9263" s="952"/>
      <c r="B9263" s="953"/>
      <c r="C9263" s="953"/>
      <c r="D9263" s="953"/>
      <c r="E9263" s="953"/>
      <c r="F9263" s="953"/>
      <c r="G9263" s="953"/>
      <c r="H9263" s="953"/>
    </row>
    <row r="9264" spans="1:8" x14ac:dyDescent="0.25">
      <c r="A9264" s="952"/>
      <c r="B9264" s="953"/>
      <c r="C9264" s="953"/>
      <c r="D9264" s="953"/>
      <c r="E9264" s="953"/>
      <c r="F9264" s="953"/>
      <c r="G9264" s="953"/>
      <c r="H9264" s="953"/>
    </row>
    <row r="9265" spans="1:8" x14ac:dyDescent="0.25">
      <c r="A9265" s="952"/>
      <c r="B9265" s="953"/>
      <c r="C9265" s="953"/>
      <c r="D9265" s="953"/>
      <c r="E9265" s="953"/>
      <c r="F9265" s="953"/>
      <c r="G9265" s="953"/>
      <c r="H9265" s="953"/>
    </row>
    <row r="9266" spans="1:8" x14ac:dyDescent="0.25">
      <c r="A9266" s="952"/>
      <c r="B9266" s="953"/>
      <c r="C9266" s="953"/>
      <c r="D9266" s="953"/>
      <c r="E9266" s="953"/>
      <c r="F9266" s="953"/>
      <c r="G9266" s="953"/>
      <c r="H9266" s="953"/>
    </row>
    <row r="9267" spans="1:8" x14ac:dyDescent="0.25">
      <c r="A9267" s="952"/>
      <c r="B9267" s="953"/>
      <c r="C9267" s="953"/>
      <c r="D9267" s="953"/>
      <c r="E9267" s="953"/>
      <c r="F9267" s="953"/>
      <c r="G9267" s="953"/>
      <c r="H9267" s="953"/>
    </row>
    <row r="9268" spans="1:8" x14ac:dyDescent="0.25">
      <c r="A9268" s="952"/>
      <c r="B9268" s="953"/>
      <c r="C9268" s="953"/>
      <c r="D9268" s="953"/>
      <c r="E9268" s="953"/>
      <c r="F9268" s="953"/>
      <c r="G9268" s="953"/>
      <c r="H9268" s="953"/>
    </row>
    <row r="9269" spans="1:8" x14ac:dyDescent="0.25">
      <c r="A9269" s="952"/>
      <c r="B9269" s="953"/>
      <c r="C9269" s="953"/>
      <c r="D9269" s="953"/>
      <c r="E9269" s="953"/>
      <c r="F9269" s="953"/>
      <c r="G9269" s="953"/>
      <c r="H9269" s="953"/>
    </row>
    <row r="9270" spans="1:8" x14ac:dyDescent="0.25">
      <c r="A9270" s="952"/>
      <c r="B9270" s="953"/>
      <c r="C9270" s="953"/>
      <c r="D9270" s="953"/>
      <c r="E9270" s="953"/>
      <c r="F9270" s="953"/>
      <c r="G9270" s="953"/>
      <c r="H9270" s="953"/>
    </row>
    <row r="9271" spans="1:8" x14ac:dyDescent="0.25">
      <c r="A9271" s="952"/>
      <c r="B9271" s="953"/>
      <c r="C9271" s="953"/>
      <c r="D9271" s="953"/>
      <c r="E9271" s="953"/>
      <c r="F9271" s="953"/>
      <c r="G9271" s="953"/>
      <c r="H9271" s="953"/>
    </row>
    <row r="9272" spans="1:8" x14ac:dyDescent="0.25">
      <c r="A9272" s="952"/>
      <c r="B9272" s="953"/>
      <c r="C9272" s="953"/>
      <c r="D9272" s="953"/>
      <c r="E9272" s="953"/>
      <c r="F9272" s="953"/>
      <c r="G9272" s="953"/>
      <c r="H9272" s="953"/>
    </row>
    <row r="9273" spans="1:8" x14ac:dyDescent="0.25">
      <c r="A9273" s="952"/>
      <c r="B9273" s="953"/>
      <c r="C9273" s="953"/>
      <c r="D9273" s="953"/>
      <c r="E9273" s="953"/>
      <c r="F9273" s="953"/>
      <c r="G9273" s="953"/>
      <c r="H9273" s="953"/>
    </row>
    <row r="9274" spans="1:8" x14ac:dyDescent="0.25">
      <c r="A9274" s="952"/>
      <c r="B9274" s="953"/>
      <c r="C9274" s="953"/>
      <c r="D9274" s="953"/>
      <c r="E9274" s="953"/>
      <c r="F9274" s="953"/>
      <c r="G9274" s="953"/>
      <c r="H9274" s="953"/>
    </row>
    <row r="9275" spans="1:8" x14ac:dyDescent="0.25">
      <c r="A9275" s="952"/>
      <c r="B9275" s="953"/>
      <c r="C9275" s="953"/>
      <c r="D9275" s="953"/>
      <c r="E9275" s="953"/>
      <c r="F9275" s="953"/>
      <c r="G9275" s="953"/>
      <c r="H9275" s="953"/>
    </row>
    <row r="9276" spans="1:8" x14ac:dyDescent="0.25">
      <c r="A9276" s="952"/>
      <c r="B9276" s="953"/>
      <c r="C9276" s="953"/>
      <c r="D9276" s="953"/>
      <c r="E9276" s="953"/>
      <c r="F9276" s="953"/>
      <c r="G9276" s="953"/>
      <c r="H9276" s="953"/>
    </row>
    <row r="9277" spans="1:8" x14ac:dyDescent="0.25">
      <c r="A9277" s="952"/>
      <c r="B9277" s="953"/>
      <c r="C9277" s="953"/>
      <c r="D9277" s="953"/>
      <c r="E9277" s="953"/>
      <c r="F9277" s="953"/>
      <c r="G9277" s="953"/>
      <c r="H9277" s="953"/>
    </row>
    <row r="9278" spans="1:8" x14ac:dyDescent="0.25">
      <c r="A9278" s="952"/>
      <c r="B9278" s="953"/>
      <c r="C9278" s="953"/>
      <c r="D9278" s="953"/>
      <c r="E9278" s="953"/>
      <c r="F9278" s="953"/>
      <c r="G9278" s="953"/>
      <c r="H9278" s="953"/>
    </row>
    <row r="9279" spans="1:8" x14ac:dyDescent="0.25">
      <c r="A9279" s="952"/>
      <c r="B9279" s="953"/>
      <c r="C9279" s="953"/>
      <c r="D9279" s="953"/>
      <c r="E9279" s="953"/>
      <c r="F9279" s="953"/>
      <c r="G9279" s="953"/>
      <c r="H9279" s="953"/>
    </row>
    <row r="9280" spans="1:8" x14ac:dyDescent="0.25">
      <c r="A9280" s="952"/>
      <c r="B9280" s="953"/>
      <c r="C9280" s="953"/>
      <c r="D9280" s="953"/>
      <c r="E9280" s="953"/>
      <c r="F9280" s="953"/>
      <c r="G9280" s="953"/>
      <c r="H9280" s="953"/>
    </row>
    <row r="9281" spans="1:8" x14ac:dyDescent="0.25">
      <c r="A9281" s="952"/>
      <c r="B9281" s="953"/>
      <c r="C9281" s="953"/>
      <c r="D9281" s="953"/>
      <c r="E9281" s="953"/>
      <c r="F9281" s="953"/>
      <c r="G9281" s="953"/>
      <c r="H9281" s="953"/>
    </row>
    <row r="9282" spans="1:8" x14ac:dyDescent="0.25">
      <c r="A9282" s="952"/>
      <c r="B9282" s="953"/>
      <c r="C9282" s="953"/>
      <c r="D9282" s="953"/>
      <c r="E9282" s="953"/>
      <c r="F9282" s="953"/>
      <c r="G9282" s="953"/>
      <c r="H9282" s="953"/>
    </row>
    <row r="9283" spans="1:8" x14ac:dyDescent="0.25">
      <c r="A9283" s="952"/>
      <c r="B9283" s="953"/>
      <c r="C9283" s="953"/>
      <c r="D9283" s="953"/>
      <c r="E9283" s="953"/>
      <c r="F9283" s="953"/>
      <c r="G9283" s="953"/>
      <c r="H9283" s="953"/>
    </row>
    <row r="9284" spans="1:8" x14ac:dyDescent="0.25">
      <c r="A9284" s="952"/>
      <c r="B9284" s="953"/>
      <c r="C9284" s="953"/>
      <c r="D9284" s="953"/>
      <c r="E9284" s="953"/>
      <c r="F9284" s="953"/>
      <c r="G9284" s="953"/>
      <c r="H9284" s="953"/>
    </row>
    <row r="9285" spans="1:8" x14ac:dyDescent="0.25">
      <c r="A9285" s="952"/>
      <c r="B9285" s="953"/>
      <c r="C9285" s="953"/>
      <c r="D9285" s="953"/>
      <c r="E9285" s="953"/>
      <c r="F9285" s="953"/>
      <c r="G9285" s="953"/>
      <c r="H9285" s="953"/>
    </row>
    <row r="9286" spans="1:8" x14ac:dyDescent="0.25">
      <c r="A9286" s="952"/>
      <c r="B9286" s="953"/>
      <c r="C9286" s="953"/>
      <c r="D9286" s="953"/>
      <c r="E9286" s="953"/>
      <c r="F9286" s="953"/>
      <c r="G9286" s="953"/>
      <c r="H9286" s="953"/>
    </row>
    <row r="9287" spans="1:8" x14ac:dyDescent="0.25">
      <c r="A9287" s="952"/>
      <c r="B9287" s="953"/>
      <c r="C9287" s="953"/>
      <c r="D9287" s="953"/>
      <c r="E9287" s="953"/>
      <c r="F9287" s="953"/>
      <c r="G9287" s="953"/>
      <c r="H9287" s="953"/>
    </row>
    <row r="9288" spans="1:8" x14ac:dyDescent="0.25">
      <c r="A9288" s="952"/>
      <c r="B9288" s="953"/>
      <c r="C9288" s="953"/>
      <c r="D9288" s="953"/>
      <c r="E9288" s="953"/>
      <c r="F9288" s="953"/>
      <c r="G9288" s="953"/>
      <c r="H9288" s="953"/>
    </row>
    <row r="9289" spans="1:8" x14ac:dyDescent="0.25">
      <c r="A9289" s="952"/>
      <c r="B9289" s="953"/>
      <c r="C9289" s="953"/>
      <c r="D9289" s="953"/>
      <c r="E9289" s="953"/>
      <c r="F9289" s="953"/>
      <c r="G9289" s="953"/>
      <c r="H9289" s="953"/>
    </row>
    <row r="9290" spans="1:8" x14ac:dyDescent="0.25">
      <c r="A9290" s="952"/>
      <c r="B9290" s="953"/>
      <c r="C9290" s="953"/>
      <c r="D9290" s="953"/>
      <c r="E9290" s="953"/>
      <c r="F9290" s="953"/>
      <c r="G9290" s="953"/>
      <c r="H9290" s="953"/>
    </row>
    <row r="9291" spans="1:8" x14ac:dyDescent="0.25">
      <c r="A9291" s="952"/>
      <c r="B9291" s="953"/>
      <c r="C9291" s="953"/>
      <c r="D9291" s="953"/>
      <c r="E9291" s="953"/>
      <c r="F9291" s="953"/>
      <c r="G9291" s="953"/>
      <c r="H9291" s="953"/>
    </row>
    <row r="9292" spans="1:8" x14ac:dyDescent="0.25">
      <c r="A9292" s="952"/>
      <c r="B9292" s="953"/>
      <c r="C9292" s="953"/>
      <c r="D9292" s="953"/>
      <c r="E9292" s="953"/>
      <c r="F9292" s="953"/>
      <c r="G9292" s="953"/>
      <c r="H9292" s="953"/>
    </row>
    <row r="9293" spans="1:8" x14ac:dyDescent="0.25">
      <c r="A9293" s="952"/>
      <c r="B9293" s="953"/>
      <c r="C9293" s="953"/>
      <c r="D9293" s="953"/>
      <c r="E9293" s="953"/>
      <c r="F9293" s="953"/>
      <c r="G9293" s="953"/>
      <c r="H9293" s="953"/>
    </row>
    <row r="9294" spans="1:8" x14ac:dyDescent="0.25">
      <c r="A9294" s="952"/>
      <c r="B9294" s="953"/>
      <c r="C9294" s="953"/>
      <c r="D9294" s="953"/>
      <c r="E9294" s="953"/>
      <c r="F9294" s="953"/>
      <c r="G9294" s="953"/>
      <c r="H9294" s="953"/>
    </row>
    <row r="9295" spans="1:8" x14ac:dyDescent="0.25">
      <c r="A9295" s="952"/>
      <c r="B9295" s="953"/>
      <c r="C9295" s="953"/>
      <c r="D9295" s="953"/>
      <c r="E9295" s="953"/>
      <c r="F9295" s="953"/>
      <c r="G9295" s="953"/>
      <c r="H9295" s="953"/>
    </row>
    <row r="9296" spans="1:8" x14ac:dyDescent="0.25">
      <c r="A9296" s="952"/>
      <c r="B9296" s="953"/>
      <c r="C9296" s="953"/>
      <c r="D9296" s="953"/>
      <c r="E9296" s="953"/>
      <c r="F9296" s="953"/>
      <c r="G9296" s="953"/>
      <c r="H9296" s="953"/>
    </row>
    <row r="9297" spans="1:8" x14ac:dyDescent="0.25">
      <c r="A9297" s="952"/>
      <c r="B9297" s="953"/>
      <c r="C9297" s="953"/>
      <c r="D9297" s="953"/>
      <c r="E9297" s="953"/>
      <c r="F9297" s="953"/>
      <c r="G9297" s="953"/>
      <c r="H9297" s="953"/>
    </row>
    <row r="9298" spans="1:8" x14ac:dyDescent="0.25">
      <c r="A9298" s="952"/>
      <c r="B9298" s="953"/>
      <c r="C9298" s="953"/>
      <c r="D9298" s="953"/>
      <c r="E9298" s="953"/>
      <c r="F9298" s="953"/>
      <c r="G9298" s="953"/>
      <c r="H9298" s="953"/>
    </row>
    <row r="9299" spans="1:8" x14ac:dyDescent="0.25">
      <c r="A9299" s="952"/>
      <c r="B9299" s="953"/>
      <c r="C9299" s="953"/>
      <c r="D9299" s="953"/>
      <c r="E9299" s="953"/>
      <c r="F9299" s="953"/>
      <c r="G9299" s="953"/>
      <c r="H9299" s="953"/>
    </row>
    <row r="9300" spans="1:8" x14ac:dyDescent="0.25">
      <c r="A9300" s="952"/>
      <c r="B9300" s="953"/>
      <c r="C9300" s="953"/>
      <c r="D9300" s="953"/>
      <c r="E9300" s="953"/>
      <c r="F9300" s="953"/>
      <c r="G9300" s="953"/>
      <c r="H9300" s="953"/>
    </row>
    <row r="9301" spans="1:8" x14ac:dyDescent="0.25">
      <c r="A9301" s="952"/>
      <c r="B9301" s="953"/>
      <c r="C9301" s="953"/>
      <c r="D9301" s="953"/>
      <c r="E9301" s="953"/>
      <c r="F9301" s="953"/>
      <c r="G9301" s="953"/>
      <c r="H9301" s="953"/>
    </row>
    <row r="9302" spans="1:8" x14ac:dyDescent="0.25">
      <c r="A9302" s="952"/>
      <c r="B9302" s="953"/>
      <c r="C9302" s="953"/>
      <c r="D9302" s="953"/>
      <c r="E9302" s="953"/>
      <c r="F9302" s="953"/>
      <c r="G9302" s="953"/>
      <c r="H9302" s="953"/>
    </row>
    <row r="9303" spans="1:8" x14ac:dyDescent="0.25">
      <c r="A9303" s="952"/>
      <c r="B9303" s="953"/>
      <c r="C9303" s="953"/>
      <c r="D9303" s="953"/>
      <c r="E9303" s="953"/>
      <c r="F9303" s="953"/>
      <c r="G9303" s="953"/>
      <c r="H9303" s="953"/>
    </row>
    <row r="9304" spans="1:8" x14ac:dyDescent="0.25">
      <c r="A9304" s="952"/>
      <c r="B9304" s="953"/>
      <c r="C9304" s="953"/>
      <c r="D9304" s="953"/>
      <c r="E9304" s="953"/>
      <c r="F9304" s="953"/>
      <c r="G9304" s="953"/>
      <c r="H9304" s="953"/>
    </row>
    <row r="9305" spans="1:8" x14ac:dyDescent="0.25">
      <c r="A9305" s="952"/>
      <c r="B9305" s="953"/>
      <c r="C9305" s="953"/>
      <c r="D9305" s="953"/>
      <c r="E9305" s="953"/>
      <c r="F9305" s="953"/>
      <c r="G9305" s="953"/>
      <c r="H9305" s="953"/>
    </row>
    <row r="9306" spans="1:8" x14ac:dyDescent="0.25">
      <c r="A9306" s="952"/>
      <c r="B9306" s="953"/>
      <c r="C9306" s="953"/>
      <c r="D9306" s="953"/>
      <c r="E9306" s="953"/>
      <c r="F9306" s="953"/>
      <c r="G9306" s="953"/>
      <c r="H9306" s="953"/>
    </row>
    <row r="9307" spans="1:8" x14ac:dyDescent="0.25">
      <c r="A9307" s="952"/>
      <c r="B9307" s="953"/>
      <c r="C9307" s="953"/>
      <c r="D9307" s="953"/>
      <c r="E9307" s="953"/>
      <c r="F9307" s="953"/>
      <c r="G9307" s="953"/>
      <c r="H9307" s="953"/>
    </row>
    <row r="9308" spans="1:8" x14ac:dyDescent="0.25">
      <c r="A9308" s="952"/>
      <c r="B9308" s="953"/>
      <c r="C9308" s="953"/>
      <c r="D9308" s="953"/>
      <c r="E9308" s="953"/>
      <c r="F9308" s="953"/>
      <c r="G9308" s="953"/>
      <c r="H9308" s="953"/>
    </row>
    <row r="9309" spans="1:8" x14ac:dyDescent="0.25">
      <c r="A9309" s="952"/>
      <c r="B9309" s="953"/>
      <c r="C9309" s="953"/>
      <c r="D9309" s="953"/>
      <c r="E9309" s="953"/>
      <c r="F9309" s="953"/>
      <c r="G9309" s="953"/>
      <c r="H9309" s="953"/>
    </row>
    <row r="9310" spans="1:8" x14ac:dyDescent="0.25">
      <c r="A9310" s="952"/>
      <c r="B9310" s="953"/>
      <c r="C9310" s="953"/>
      <c r="D9310" s="953"/>
      <c r="E9310" s="953"/>
      <c r="F9310" s="953"/>
      <c r="G9310" s="953"/>
      <c r="H9310" s="953"/>
    </row>
    <row r="9311" spans="1:8" x14ac:dyDescent="0.25">
      <c r="A9311" s="952"/>
      <c r="B9311" s="953"/>
      <c r="C9311" s="953"/>
      <c r="D9311" s="953"/>
      <c r="E9311" s="953"/>
      <c r="F9311" s="953"/>
      <c r="G9311" s="953"/>
      <c r="H9311" s="953"/>
    </row>
    <row r="9312" spans="1:8" x14ac:dyDescent="0.25">
      <c r="A9312" s="952"/>
      <c r="B9312" s="953"/>
      <c r="C9312" s="953"/>
      <c r="D9312" s="953"/>
      <c r="E9312" s="953"/>
      <c r="F9312" s="953"/>
      <c r="G9312" s="953"/>
      <c r="H9312" s="953"/>
    </row>
    <row r="9313" spans="1:8" x14ac:dyDescent="0.25">
      <c r="A9313" s="952"/>
      <c r="B9313" s="953"/>
      <c r="C9313" s="953"/>
      <c r="D9313" s="953"/>
      <c r="E9313" s="953"/>
      <c r="F9313" s="953"/>
      <c r="G9313" s="953"/>
      <c r="H9313" s="953"/>
    </row>
    <row r="9314" spans="1:8" x14ac:dyDescent="0.25">
      <c r="A9314" s="952"/>
      <c r="B9314" s="953"/>
      <c r="C9314" s="953"/>
      <c r="D9314" s="953"/>
      <c r="E9314" s="953"/>
      <c r="F9314" s="953"/>
      <c r="G9314" s="953"/>
      <c r="H9314" s="953"/>
    </row>
    <row r="9315" spans="1:8" x14ac:dyDescent="0.25">
      <c r="A9315" s="952"/>
      <c r="B9315" s="953"/>
      <c r="C9315" s="953"/>
      <c r="D9315" s="953"/>
      <c r="E9315" s="953"/>
      <c r="F9315" s="953"/>
      <c r="G9315" s="953"/>
      <c r="H9315" s="953"/>
    </row>
    <row r="9316" spans="1:8" x14ac:dyDescent="0.25">
      <c r="A9316" s="952"/>
      <c r="B9316" s="953"/>
      <c r="C9316" s="953"/>
      <c r="D9316" s="953"/>
      <c r="E9316" s="953"/>
      <c r="F9316" s="953"/>
      <c r="G9316" s="953"/>
      <c r="H9316" s="953"/>
    </row>
    <row r="9317" spans="1:8" x14ac:dyDescent="0.25">
      <c r="A9317" s="952"/>
      <c r="B9317" s="953"/>
      <c r="C9317" s="953"/>
      <c r="D9317" s="953"/>
      <c r="E9317" s="953"/>
      <c r="F9317" s="953"/>
      <c r="G9317" s="953"/>
      <c r="H9317" s="953"/>
    </row>
    <row r="9318" spans="1:8" x14ac:dyDescent="0.25">
      <c r="A9318" s="952"/>
      <c r="B9318" s="953"/>
      <c r="C9318" s="953"/>
      <c r="D9318" s="953"/>
      <c r="E9318" s="953"/>
      <c r="F9318" s="953"/>
      <c r="G9318" s="953"/>
      <c r="H9318" s="953"/>
    </row>
    <row r="9319" spans="1:8" x14ac:dyDescent="0.25">
      <c r="A9319" s="952"/>
      <c r="B9319" s="953"/>
      <c r="C9319" s="953"/>
      <c r="D9319" s="953"/>
      <c r="E9319" s="953"/>
      <c r="F9319" s="953"/>
      <c r="G9319" s="953"/>
      <c r="H9319" s="953"/>
    </row>
    <row r="9320" spans="1:8" x14ac:dyDescent="0.25">
      <c r="A9320" s="952"/>
      <c r="B9320" s="953"/>
      <c r="C9320" s="953"/>
      <c r="D9320" s="953"/>
      <c r="E9320" s="953"/>
      <c r="F9320" s="953"/>
      <c r="G9320" s="953"/>
      <c r="H9320" s="953"/>
    </row>
    <row r="9321" spans="1:8" x14ac:dyDescent="0.25">
      <c r="A9321" s="952"/>
      <c r="B9321" s="953"/>
      <c r="C9321" s="953"/>
      <c r="D9321" s="953"/>
      <c r="E9321" s="953"/>
      <c r="F9321" s="953"/>
      <c r="G9321" s="953"/>
      <c r="H9321" s="953"/>
    </row>
    <row r="9322" spans="1:8" x14ac:dyDescent="0.25">
      <c r="A9322" s="952"/>
      <c r="B9322" s="953"/>
      <c r="C9322" s="953"/>
      <c r="D9322" s="953"/>
      <c r="E9322" s="953"/>
      <c r="F9322" s="953"/>
      <c r="G9322" s="953"/>
      <c r="H9322" s="953"/>
    </row>
    <row r="9323" spans="1:8" x14ac:dyDescent="0.25">
      <c r="A9323" s="952"/>
      <c r="B9323" s="953"/>
      <c r="C9323" s="953"/>
      <c r="D9323" s="953"/>
      <c r="E9323" s="953"/>
      <c r="F9323" s="953"/>
      <c r="G9323" s="953"/>
      <c r="H9323" s="953"/>
    </row>
    <row r="9324" spans="1:8" x14ac:dyDescent="0.25">
      <c r="A9324" s="952"/>
      <c r="B9324" s="953"/>
      <c r="C9324" s="953"/>
      <c r="D9324" s="953"/>
      <c r="E9324" s="953"/>
      <c r="F9324" s="953"/>
      <c r="G9324" s="953"/>
      <c r="H9324" s="953"/>
    </row>
    <row r="9325" spans="1:8" x14ac:dyDescent="0.25">
      <c r="A9325" s="952"/>
      <c r="B9325" s="953"/>
      <c r="C9325" s="953"/>
      <c r="D9325" s="953"/>
      <c r="E9325" s="953"/>
      <c r="F9325" s="953"/>
      <c r="G9325" s="953"/>
      <c r="H9325" s="953"/>
    </row>
    <row r="9326" spans="1:8" x14ac:dyDescent="0.25">
      <c r="A9326" s="952"/>
      <c r="B9326" s="953"/>
      <c r="C9326" s="953"/>
      <c r="D9326" s="953"/>
      <c r="E9326" s="953"/>
      <c r="F9326" s="953"/>
      <c r="G9326" s="953"/>
      <c r="H9326" s="953"/>
    </row>
    <row r="9327" spans="1:8" x14ac:dyDescent="0.25">
      <c r="A9327" s="952"/>
      <c r="B9327" s="953"/>
      <c r="C9327" s="953"/>
      <c r="D9327" s="953"/>
      <c r="E9327" s="953"/>
      <c r="F9327" s="953"/>
      <c r="G9327" s="953"/>
      <c r="H9327" s="953"/>
    </row>
    <row r="9328" spans="1:8" x14ac:dyDescent="0.25">
      <c r="A9328" s="952"/>
      <c r="B9328" s="953"/>
      <c r="C9328" s="953"/>
      <c r="D9328" s="953"/>
      <c r="E9328" s="953"/>
      <c r="F9328" s="953"/>
      <c r="G9328" s="953"/>
      <c r="H9328" s="953"/>
    </row>
    <row r="9329" spans="1:8" x14ac:dyDescent="0.25">
      <c r="A9329" s="952"/>
      <c r="B9329" s="953"/>
      <c r="C9329" s="953"/>
      <c r="D9329" s="953"/>
      <c r="E9329" s="953"/>
      <c r="F9329" s="953"/>
      <c r="G9329" s="953"/>
      <c r="H9329" s="953"/>
    </row>
    <row r="9330" spans="1:8" x14ac:dyDescent="0.25">
      <c r="A9330" s="952"/>
      <c r="B9330" s="953"/>
      <c r="C9330" s="953"/>
      <c r="D9330" s="953"/>
      <c r="E9330" s="953"/>
      <c r="F9330" s="953"/>
      <c r="G9330" s="953"/>
      <c r="H9330" s="953"/>
    </row>
    <row r="9331" spans="1:8" x14ac:dyDescent="0.25">
      <c r="A9331" s="952"/>
      <c r="B9331" s="953"/>
      <c r="C9331" s="953"/>
      <c r="D9331" s="953"/>
      <c r="E9331" s="953"/>
      <c r="F9331" s="953"/>
      <c r="G9331" s="953"/>
      <c r="H9331" s="953"/>
    </row>
    <row r="9332" spans="1:8" x14ac:dyDescent="0.25">
      <c r="A9332" s="952"/>
      <c r="B9332" s="953"/>
      <c r="C9332" s="953"/>
      <c r="D9332" s="953"/>
      <c r="E9332" s="953"/>
      <c r="F9332" s="953"/>
      <c r="G9332" s="953"/>
      <c r="H9332" s="953"/>
    </row>
    <row r="9333" spans="1:8" x14ac:dyDescent="0.25">
      <c r="A9333" s="952"/>
      <c r="B9333" s="953"/>
      <c r="C9333" s="953"/>
      <c r="D9333" s="953"/>
      <c r="E9333" s="953"/>
      <c r="F9333" s="953"/>
      <c r="G9333" s="953"/>
      <c r="H9333" s="953"/>
    </row>
    <row r="9334" spans="1:8" x14ac:dyDescent="0.25">
      <c r="A9334" s="952"/>
      <c r="B9334" s="953"/>
      <c r="C9334" s="953"/>
      <c r="D9334" s="953"/>
      <c r="E9334" s="953"/>
      <c r="F9334" s="953"/>
      <c r="G9334" s="953"/>
      <c r="H9334" s="953"/>
    </row>
    <row r="9335" spans="1:8" x14ac:dyDescent="0.25">
      <c r="A9335" s="952"/>
      <c r="B9335" s="953"/>
      <c r="C9335" s="953"/>
      <c r="D9335" s="953"/>
      <c r="E9335" s="953"/>
      <c r="F9335" s="953"/>
      <c r="G9335" s="953"/>
      <c r="H9335" s="953"/>
    </row>
    <row r="9336" spans="1:8" x14ac:dyDescent="0.25">
      <c r="A9336" s="952"/>
      <c r="B9336" s="953"/>
      <c r="C9336" s="953"/>
      <c r="D9336" s="953"/>
      <c r="E9336" s="953"/>
      <c r="F9336" s="953"/>
      <c r="G9336" s="953"/>
      <c r="H9336" s="953"/>
    </row>
    <row r="9337" spans="1:8" x14ac:dyDescent="0.25">
      <c r="A9337" s="952"/>
      <c r="B9337" s="953"/>
      <c r="C9337" s="953"/>
      <c r="D9337" s="953"/>
      <c r="E9337" s="953"/>
      <c r="F9337" s="953"/>
      <c r="G9337" s="953"/>
      <c r="H9337" s="953"/>
    </row>
    <row r="9338" spans="1:8" x14ac:dyDescent="0.25">
      <c r="A9338" s="952"/>
      <c r="B9338" s="953"/>
      <c r="C9338" s="953"/>
      <c r="D9338" s="953"/>
      <c r="E9338" s="953"/>
      <c r="F9338" s="953"/>
      <c r="G9338" s="953"/>
      <c r="H9338" s="953"/>
    </row>
    <row r="9339" spans="1:8" x14ac:dyDescent="0.25">
      <c r="A9339" s="952"/>
      <c r="B9339" s="953"/>
      <c r="C9339" s="953"/>
      <c r="D9339" s="953"/>
      <c r="E9339" s="953"/>
      <c r="F9339" s="953"/>
      <c r="G9339" s="953"/>
      <c r="H9339" s="953"/>
    </row>
    <row r="9340" spans="1:8" x14ac:dyDescent="0.25">
      <c r="A9340" s="952"/>
      <c r="B9340" s="953"/>
      <c r="C9340" s="953"/>
      <c r="D9340" s="953"/>
      <c r="E9340" s="953"/>
      <c r="F9340" s="953"/>
      <c r="G9340" s="953"/>
      <c r="H9340" s="953"/>
    </row>
    <row r="9341" spans="1:8" x14ac:dyDescent="0.25">
      <c r="A9341" s="952"/>
      <c r="B9341" s="953"/>
      <c r="C9341" s="953"/>
      <c r="D9341" s="953"/>
      <c r="E9341" s="953"/>
      <c r="F9341" s="953"/>
      <c r="G9341" s="953"/>
      <c r="H9341" s="953"/>
    </row>
    <row r="9342" spans="1:8" x14ac:dyDescent="0.25">
      <c r="A9342" s="952"/>
      <c r="B9342" s="953"/>
      <c r="C9342" s="953"/>
      <c r="D9342" s="953"/>
      <c r="E9342" s="953"/>
      <c r="F9342" s="953"/>
      <c r="G9342" s="953"/>
      <c r="H9342" s="953"/>
    </row>
    <row r="9343" spans="1:8" x14ac:dyDescent="0.25">
      <c r="A9343" s="952"/>
      <c r="B9343" s="953"/>
      <c r="C9343" s="953"/>
      <c r="D9343" s="953"/>
      <c r="E9343" s="953"/>
      <c r="F9343" s="953"/>
      <c r="G9343" s="953"/>
      <c r="H9343" s="953"/>
    </row>
    <row r="9344" spans="1:8" x14ac:dyDescent="0.25">
      <c r="A9344" s="952"/>
      <c r="B9344" s="953"/>
      <c r="C9344" s="953"/>
      <c r="D9344" s="953"/>
      <c r="E9344" s="953"/>
      <c r="F9344" s="953"/>
      <c r="G9344" s="953"/>
      <c r="H9344" s="953"/>
    </row>
    <row r="9345" spans="1:8" x14ac:dyDescent="0.25">
      <c r="A9345" s="952"/>
      <c r="B9345" s="953"/>
      <c r="C9345" s="953"/>
      <c r="D9345" s="953"/>
      <c r="E9345" s="953"/>
      <c r="F9345" s="953"/>
      <c r="G9345" s="953"/>
      <c r="H9345" s="953"/>
    </row>
    <row r="9346" spans="1:8" x14ac:dyDescent="0.25">
      <c r="A9346" s="952"/>
      <c r="B9346" s="953"/>
      <c r="C9346" s="953"/>
      <c r="D9346" s="953"/>
      <c r="E9346" s="953"/>
      <c r="F9346" s="953"/>
      <c r="G9346" s="953"/>
      <c r="H9346" s="953"/>
    </row>
    <row r="9347" spans="1:8" x14ac:dyDescent="0.25">
      <c r="A9347" s="952"/>
      <c r="B9347" s="953"/>
      <c r="C9347" s="953"/>
      <c r="D9347" s="953"/>
      <c r="E9347" s="953"/>
      <c r="F9347" s="953"/>
      <c r="G9347" s="953"/>
      <c r="H9347" s="953"/>
    </row>
    <row r="9348" spans="1:8" x14ac:dyDescent="0.25">
      <c r="A9348" s="952"/>
      <c r="B9348" s="953"/>
      <c r="C9348" s="953"/>
      <c r="D9348" s="953"/>
      <c r="E9348" s="953"/>
      <c r="F9348" s="953"/>
      <c r="G9348" s="953"/>
      <c r="H9348" s="953"/>
    </row>
    <row r="9349" spans="1:8" x14ac:dyDescent="0.25">
      <c r="A9349" s="952"/>
      <c r="B9349" s="953"/>
      <c r="C9349" s="953"/>
      <c r="D9349" s="953"/>
      <c r="E9349" s="953"/>
      <c r="F9349" s="953"/>
      <c r="G9349" s="953"/>
      <c r="H9349" s="953"/>
    </row>
    <row r="9350" spans="1:8" x14ac:dyDescent="0.25">
      <c r="A9350" s="952"/>
      <c r="B9350" s="953"/>
      <c r="C9350" s="953"/>
      <c r="D9350" s="953"/>
      <c r="E9350" s="953"/>
      <c r="F9350" s="953"/>
      <c r="G9350" s="953"/>
      <c r="H9350" s="953"/>
    </row>
    <row r="9351" spans="1:8" x14ac:dyDescent="0.25">
      <c r="A9351" s="952"/>
      <c r="B9351" s="953"/>
      <c r="C9351" s="953"/>
      <c r="D9351" s="953"/>
      <c r="E9351" s="953"/>
      <c r="F9351" s="953"/>
      <c r="G9351" s="953"/>
      <c r="H9351" s="953"/>
    </row>
    <row r="9352" spans="1:8" x14ac:dyDescent="0.25">
      <c r="A9352" s="952"/>
      <c r="B9352" s="953"/>
      <c r="C9352" s="953"/>
      <c r="D9352" s="953"/>
      <c r="E9352" s="953"/>
      <c r="F9352" s="953"/>
      <c r="G9352" s="953"/>
      <c r="H9352" s="953"/>
    </row>
    <row r="9353" spans="1:8" x14ac:dyDescent="0.25">
      <c r="A9353" s="952"/>
      <c r="B9353" s="953"/>
      <c r="C9353" s="953"/>
      <c r="D9353" s="953"/>
      <c r="E9353" s="953"/>
      <c r="F9353" s="953"/>
      <c r="G9353" s="953"/>
      <c r="H9353" s="953"/>
    </row>
    <row r="9354" spans="1:8" x14ac:dyDescent="0.25">
      <c r="A9354" s="952"/>
      <c r="B9354" s="953"/>
      <c r="C9354" s="953"/>
      <c r="D9354" s="953"/>
      <c r="E9354" s="953"/>
      <c r="F9354" s="953"/>
      <c r="G9354" s="953"/>
      <c r="H9354" s="953"/>
    </row>
    <row r="9355" spans="1:8" x14ac:dyDescent="0.25">
      <c r="A9355" s="952"/>
      <c r="B9355" s="953"/>
      <c r="C9355" s="953"/>
      <c r="D9355" s="953"/>
      <c r="E9355" s="953"/>
      <c r="F9355" s="953"/>
      <c r="G9355" s="953"/>
      <c r="H9355" s="953"/>
    </row>
    <row r="9356" spans="1:8" x14ac:dyDescent="0.25">
      <c r="A9356" s="952"/>
      <c r="B9356" s="953"/>
      <c r="C9356" s="953"/>
      <c r="D9356" s="953"/>
      <c r="E9356" s="953"/>
      <c r="F9356" s="953"/>
      <c r="G9356" s="953"/>
      <c r="H9356" s="953"/>
    </row>
    <row r="9357" spans="1:8" x14ac:dyDescent="0.25">
      <c r="A9357" s="952"/>
      <c r="B9357" s="953"/>
      <c r="C9357" s="953"/>
      <c r="D9357" s="953"/>
      <c r="E9357" s="953"/>
      <c r="F9357" s="953"/>
      <c r="G9357" s="953"/>
      <c r="H9357" s="953"/>
    </row>
    <row r="9358" spans="1:8" x14ac:dyDescent="0.25">
      <c r="A9358" s="952"/>
      <c r="B9358" s="953"/>
      <c r="C9358" s="953"/>
      <c r="D9358" s="953"/>
      <c r="E9358" s="953"/>
      <c r="F9358" s="953"/>
      <c r="G9358" s="953"/>
      <c r="H9358" s="953"/>
    </row>
    <row r="9359" spans="1:8" x14ac:dyDescent="0.25">
      <c r="A9359" s="952"/>
      <c r="B9359" s="953"/>
      <c r="C9359" s="953"/>
      <c r="D9359" s="953"/>
      <c r="E9359" s="953"/>
      <c r="F9359" s="953"/>
      <c r="G9359" s="953"/>
      <c r="H9359" s="953"/>
    </row>
    <row r="9360" spans="1:8" x14ac:dyDescent="0.25">
      <c r="A9360" s="952"/>
      <c r="B9360" s="953"/>
      <c r="C9360" s="953"/>
      <c r="D9360" s="953"/>
      <c r="E9360" s="953"/>
      <c r="F9360" s="953"/>
      <c r="G9360" s="953"/>
      <c r="H9360" s="953"/>
    </row>
    <row r="9361" spans="1:8" x14ac:dyDescent="0.25">
      <c r="A9361" s="952"/>
      <c r="B9361" s="953"/>
      <c r="C9361" s="953"/>
      <c r="D9361" s="953"/>
      <c r="E9361" s="953"/>
      <c r="F9361" s="953"/>
      <c r="G9361" s="953"/>
      <c r="H9361" s="953"/>
    </row>
    <row r="9362" spans="1:8" x14ac:dyDescent="0.25">
      <c r="A9362" s="952"/>
      <c r="B9362" s="953"/>
      <c r="C9362" s="953"/>
      <c r="D9362" s="953"/>
      <c r="E9362" s="953"/>
      <c r="F9362" s="953"/>
      <c r="G9362" s="953"/>
      <c r="H9362" s="953"/>
    </row>
    <row r="9363" spans="1:8" x14ac:dyDescent="0.25">
      <c r="A9363" s="952"/>
      <c r="B9363" s="953"/>
      <c r="C9363" s="953"/>
      <c r="D9363" s="953"/>
      <c r="E9363" s="953"/>
      <c r="F9363" s="953"/>
      <c r="G9363" s="953"/>
      <c r="H9363" s="953"/>
    </row>
    <row r="9364" spans="1:8" x14ac:dyDescent="0.25">
      <c r="A9364" s="952"/>
      <c r="B9364" s="953"/>
      <c r="C9364" s="953"/>
      <c r="D9364" s="953"/>
      <c r="E9364" s="953"/>
      <c r="F9364" s="953"/>
      <c r="G9364" s="953"/>
      <c r="H9364" s="953"/>
    </row>
    <row r="9365" spans="1:8" x14ac:dyDescent="0.25">
      <c r="A9365" s="952"/>
      <c r="B9365" s="953"/>
      <c r="C9365" s="953"/>
      <c r="D9365" s="953"/>
      <c r="E9365" s="953"/>
      <c r="F9365" s="953"/>
      <c r="G9365" s="953"/>
      <c r="H9365" s="953"/>
    </row>
    <row r="9366" spans="1:8" x14ac:dyDescent="0.25">
      <c r="A9366" s="952"/>
      <c r="B9366" s="953"/>
      <c r="C9366" s="953"/>
      <c r="D9366" s="953"/>
      <c r="E9366" s="953"/>
      <c r="F9366" s="953"/>
      <c r="G9366" s="953"/>
      <c r="H9366" s="953"/>
    </row>
    <row r="9367" spans="1:8" x14ac:dyDescent="0.25">
      <c r="A9367" s="952"/>
      <c r="B9367" s="953"/>
      <c r="C9367" s="953"/>
      <c r="D9367" s="953"/>
      <c r="E9367" s="953"/>
      <c r="F9367" s="953"/>
      <c r="G9367" s="953"/>
      <c r="H9367" s="953"/>
    </row>
    <row r="9368" spans="1:8" x14ac:dyDescent="0.25">
      <c r="A9368" s="952"/>
      <c r="B9368" s="953"/>
      <c r="C9368" s="953"/>
      <c r="D9368" s="953"/>
      <c r="E9368" s="953"/>
      <c r="F9368" s="953"/>
      <c r="G9368" s="953"/>
      <c r="H9368" s="953"/>
    </row>
    <row r="9369" spans="1:8" x14ac:dyDescent="0.25">
      <c r="A9369" s="952"/>
      <c r="B9369" s="953"/>
      <c r="C9369" s="953"/>
      <c r="D9369" s="953"/>
      <c r="E9369" s="953"/>
      <c r="F9369" s="953"/>
      <c r="G9369" s="953"/>
      <c r="H9369" s="953"/>
    </row>
    <row r="9370" spans="1:8" x14ac:dyDescent="0.25">
      <c r="A9370" s="952"/>
      <c r="B9370" s="953"/>
      <c r="C9370" s="953"/>
      <c r="D9370" s="953"/>
      <c r="E9370" s="953"/>
      <c r="F9370" s="953"/>
      <c r="G9370" s="953"/>
      <c r="H9370" s="953"/>
    </row>
    <row r="9371" spans="1:8" x14ac:dyDescent="0.25">
      <c r="A9371" s="952"/>
      <c r="B9371" s="953"/>
      <c r="C9371" s="953"/>
      <c r="D9371" s="953"/>
      <c r="E9371" s="953"/>
      <c r="F9371" s="953"/>
      <c r="G9371" s="953"/>
      <c r="H9371" s="953"/>
    </row>
    <row r="9372" spans="1:8" x14ac:dyDescent="0.25">
      <c r="A9372" s="952"/>
      <c r="B9372" s="953"/>
      <c r="C9372" s="953"/>
      <c r="D9372" s="953"/>
      <c r="E9372" s="953"/>
      <c r="F9372" s="953"/>
      <c r="G9372" s="953"/>
      <c r="H9372" s="953"/>
    </row>
    <row r="9373" spans="1:8" x14ac:dyDescent="0.25">
      <c r="A9373" s="952"/>
      <c r="B9373" s="953"/>
      <c r="C9373" s="953"/>
      <c r="D9373" s="953"/>
      <c r="E9373" s="953"/>
      <c r="F9373" s="953"/>
      <c r="G9373" s="953"/>
      <c r="H9373" s="953"/>
    </row>
    <row r="9374" spans="1:8" x14ac:dyDescent="0.25">
      <c r="A9374" s="952"/>
      <c r="B9374" s="953"/>
      <c r="C9374" s="953"/>
      <c r="D9374" s="953"/>
      <c r="E9374" s="953"/>
      <c r="F9374" s="953"/>
      <c r="G9374" s="953"/>
      <c r="H9374" s="953"/>
    </row>
    <row r="9375" spans="1:8" x14ac:dyDescent="0.25">
      <c r="A9375" s="952"/>
      <c r="B9375" s="953"/>
      <c r="C9375" s="953"/>
      <c r="D9375" s="953"/>
      <c r="E9375" s="953"/>
      <c r="F9375" s="953"/>
      <c r="G9375" s="953"/>
      <c r="H9375" s="953"/>
    </row>
    <row r="9376" spans="1:8" x14ac:dyDescent="0.25">
      <c r="A9376" s="952"/>
      <c r="B9376" s="953"/>
      <c r="C9376" s="953"/>
      <c r="D9376" s="953"/>
      <c r="E9376" s="953"/>
      <c r="F9376" s="953"/>
      <c r="G9376" s="953"/>
      <c r="H9376" s="953"/>
    </row>
    <row r="9377" spans="1:8" x14ac:dyDescent="0.25">
      <c r="A9377" s="952"/>
      <c r="B9377" s="953"/>
      <c r="C9377" s="953"/>
      <c r="D9377" s="953"/>
      <c r="E9377" s="953"/>
      <c r="F9377" s="953"/>
      <c r="G9377" s="953"/>
      <c r="H9377" s="953"/>
    </row>
    <row r="9378" spans="1:8" x14ac:dyDescent="0.25">
      <c r="A9378" s="952"/>
      <c r="B9378" s="953"/>
      <c r="C9378" s="953"/>
      <c r="D9378" s="953"/>
      <c r="E9378" s="953"/>
      <c r="F9378" s="953"/>
      <c r="G9378" s="953"/>
      <c r="H9378" s="953"/>
    </row>
    <row r="9379" spans="1:8" x14ac:dyDescent="0.25">
      <c r="A9379" s="952"/>
      <c r="B9379" s="953"/>
      <c r="C9379" s="953"/>
      <c r="D9379" s="953"/>
      <c r="E9379" s="953"/>
      <c r="F9379" s="953"/>
      <c r="G9379" s="953"/>
      <c r="H9379" s="953"/>
    </row>
    <row r="9380" spans="1:8" x14ac:dyDescent="0.25">
      <c r="A9380" s="952"/>
      <c r="B9380" s="953"/>
      <c r="C9380" s="953"/>
      <c r="D9380" s="953"/>
      <c r="E9380" s="953"/>
      <c r="F9380" s="953"/>
      <c r="G9380" s="953"/>
      <c r="H9380" s="953"/>
    </row>
    <row r="9381" spans="1:8" x14ac:dyDescent="0.25">
      <c r="A9381" s="952"/>
      <c r="B9381" s="953"/>
      <c r="C9381" s="953"/>
      <c r="D9381" s="953"/>
      <c r="E9381" s="953"/>
      <c r="F9381" s="953"/>
      <c r="G9381" s="953"/>
      <c r="H9381" s="953"/>
    </row>
    <row r="9382" spans="1:8" x14ac:dyDescent="0.25">
      <c r="A9382" s="952"/>
      <c r="B9382" s="953"/>
      <c r="C9382" s="953"/>
      <c r="D9382" s="953"/>
      <c r="E9382" s="953"/>
      <c r="F9382" s="953"/>
      <c r="G9382" s="953"/>
      <c r="H9382" s="953"/>
    </row>
    <row r="9383" spans="1:8" x14ac:dyDescent="0.25">
      <c r="A9383" s="952"/>
      <c r="B9383" s="953"/>
      <c r="C9383" s="953"/>
      <c r="D9383" s="953"/>
      <c r="E9383" s="953"/>
      <c r="F9383" s="953"/>
      <c r="G9383" s="953"/>
      <c r="H9383" s="953"/>
    </row>
    <row r="9384" spans="1:8" x14ac:dyDescent="0.25">
      <c r="A9384" s="952"/>
      <c r="B9384" s="953"/>
      <c r="C9384" s="953"/>
      <c r="D9384" s="953"/>
      <c r="E9384" s="953"/>
      <c r="F9384" s="953"/>
      <c r="G9384" s="953"/>
      <c r="H9384" s="953"/>
    </row>
    <row r="9385" spans="1:8" x14ac:dyDescent="0.25">
      <c r="A9385" s="952"/>
      <c r="B9385" s="953"/>
      <c r="C9385" s="953"/>
      <c r="D9385" s="953"/>
      <c r="E9385" s="953"/>
      <c r="F9385" s="953"/>
      <c r="G9385" s="953"/>
      <c r="H9385" s="953"/>
    </row>
    <row r="9386" spans="1:8" x14ac:dyDescent="0.25">
      <c r="A9386" s="952"/>
      <c r="B9386" s="953"/>
      <c r="C9386" s="953"/>
      <c r="D9386" s="953"/>
      <c r="E9386" s="953"/>
      <c r="F9386" s="953"/>
      <c r="G9386" s="953"/>
      <c r="H9386" s="953"/>
    </row>
    <row r="9387" spans="1:8" x14ac:dyDescent="0.25">
      <c r="A9387" s="952"/>
      <c r="B9387" s="953"/>
      <c r="C9387" s="953"/>
      <c r="D9387" s="953"/>
      <c r="E9387" s="953"/>
      <c r="F9387" s="953"/>
      <c r="G9387" s="953"/>
      <c r="H9387" s="953"/>
    </row>
    <row r="9388" spans="1:8" x14ac:dyDescent="0.25">
      <c r="A9388" s="952"/>
      <c r="B9388" s="953"/>
      <c r="C9388" s="953"/>
      <c r="D9388" s="953"/>
      <c r="E9388" s="953"/>
      <c r="F9388" s="953"/>
      <c r="G9388" s="953"/>
      <c r="H9388" s="953"/>
    </row>
    <row r="9389" spans="1:8" x14ac:dyDescent="0.25">
      <c r="A9389" s="952"/>
      <c r="B9389" s="953"/>
      <c r="C9389" s="953"/>
      <c r="D9389" s="953"/>
      <c r="E9389" s="953"/>
      <c r="F9389" s="953"/>
      <c r="G9389" s="953"/>
      <c r="H9389" s="953"/>
    </row>
    <row r="9390" spans="1:8" x14ac:dyDescent="0.25">
      <c r="A9390" s="952"/>
      <c r="B9390" s="953"/>
      <c r="C9390" s="953"/>
      <c r="D9390" s="953"/>
      <c r="E9390" s="953"/>
      <c r="F9390" s="953"/>
      <c r="G9390" s="953"/>
      <c r="H9390" s="953"/>
    </row>
    <row r="9391" spans="1:8" x14ac:dyDescent="0.25">
      <c r="A9391" s="952"/>
      <c r="B9391" s="953"/>
      <c r="C9391" s="953"/>
      <c r="D9391" s="953"/>
      <c r="E9391" s="953"/>
      <c r="F9391" s="953"/>
      <c r="G9391" s="953"/>
      <c r="H9391" s="953"/>
    </row>
    <row r="9392" spans="1:8" x14ac:dyDescent="0.25">
      <c r="A9392" s="952"/>
      <c r="B9392" s="953"/>
      <c r="C9392" s="953"/>
      <c r="D9392" s="953"/>
      <c r="E9392" s="953"/>
      <c r="F9392" s="953"/>
      <c r="G9392" s="953"/>
      <c r="H9392" s="953"/>
    </row>
    <row r="9393" spans="1:8" x14ac:dyDescent="0.25">
      <c r="A9393" s="952"/>
      <c r="B9393" s="953"/>
      <c r="C9393" s="953"/>
      <c r="D9393" s="953"/>
      <c r="E9393" s="953"/>
      <c r="F9393" s="953"/>
      <c r="G9393" s="953"/>
      <c r="H9393" s="953"/>
    </row>
    <row r="9394" spans="1:8" x14ac:dyDescent="0.25">
      <c r="A9394" s="952"/>
      <c r="B9394" s="953"/>
      <c r="C9394" s="953"/>
      <c r="D9394" s="953"/>
      <c r="E9394" s="953"/>
      <c r="F9394" s="953"/>
      <c r="G9394" s="953"/>
      <c r="H9394" s="953"/>
    </row>
    <row r="9395" spans="1:8" x14ac:dyDescent="0.25">
      <c r="A9395" s="952"/>
      <c r="B9395" s="953"/>
      <c r="C9395" s="953"/>
      <c r="D9395" s="953"/>
      <c r="E9395" s="953"/>
      <c r="F9395" s="953"/>
      <c r="G9395" s="953"/>
      <c r="H9395" s="953"/>
    </row>
    <row r="9396" spans="1:8" x14ac:dyDescent="0.25">
      <c r="A9396" s="952"/>
      <c r="B9396" s="953"/>
      <c r="C9396" s="953"/>
      <c r="D9396" s="953"/>
      <c r="E9396" s="953"/>
      <c r="F9396" s="953"/>
      <c r="G9396" s="953"/>
      <c r="H9396" s="953"/>
    </row>
    <row r="9397" spans="1:8" x14ac:dyDescent="0.25">
      <c r="A9397" s="952"/>
      <c r="B9397" s="953"/>
      <c r="C9397" s="953"/>
      <c r="D9397" s="953"/>
      <c r="E9397" s="953"/>
      <c r="F9397" s="953"/>
      <c r="G9397" s="953"/>
      <c r="H9397" s="953"/>
    </row>
    <row r="9398" spans="1:8" x14ac:dyDescent="0.25">
      <c r="A9398" s="952"/>
      <c r="B9398" s="953"/>
      <c r="C9398" s="953"/>
      <c r="D9398" s="953"/>
      <c r="E9398" s="953"/>
      <c r="F9398" s="953"/>
      <c r="G9398" s="953"/>
      <c r="H9398" s="953"/>
    </row>
    <row r="9399" spans="1:8" x14ac:dyDescent="0.25">
      <c r="A9399" s="952"/>
      <c r="B9399" s="953"/>
      <c r="C9399" s="953"/>
      <c r="D9399" s="953"/>
      <c r="E9399" s="953"/>
      <c r="F9399" s="953"/>
      <c r="G9399" s="953"/>
      <c r="H9399" s="953"/>
    </row>
    <row r="9400" spans="1:8" x14ac:dyDescent="0.25">
      <c r="A9400" s="952"/>
      <c r="B9400" s="953"/>
      <c r="C9400" s="953"/>
      <c r="D9400" s="953"/>
      <c r="E9400" s="953"/>
      <c r="F9400" s="953"/>
      <c r="G9400" s="953"/>
      <c r="H9400" s="953"/>
    </row>
    <row r="9401" spans="1:8" x14ac:dyDescent="0.25">
      <c r="A9401" s="952"/>
      <c r="B9401" s="953"/>
      <c r="C9401" s="953"/>
      <c r="D9401" s="953"/>
      <c r="E9401" s="953"/>
      <c r="F9401" s="953"/>
      <c r="G9401" s="953"/>
      <c r="H9401" s="953"/>
    </row>
    <row r="9402" spans="1:8" x14ac:dyDescent="0.25">
      <c r="A9402" s="952"/>
      <c r="B9402" s="953"/>
      <c r="C9402" s="953"/>
      <c r="D9402" s="953"/>
      <c r="E9402" s="953"/>
      <c r="F9402" s="953"/>
      <c r="G9402" s="953"/>
      <c r="H9402" s="953"/>
    </row>
    <row r="9403" spans="1:8" x14ac:dyDescent="0.25">
      <c r="A9403" s="952"/>
      <c r="B9403" s="953"/>
      <c r="C9403" s="953"/>
      <c r="D9403" s="953"/>
      <c r="E9403" s="953"/>
      <c r="F9403" s="953"/>
      <c r="G9403" s="953"/>
      <c r="H9403" s="953"/>
    </row>
    <row r="9404" spans="1:8" x14ac:dyDescent="0.25">
      <c r="A9404" s="952"/>
      <c r="B9404" s="953"/>
      <c r="C9404" s="953"/>
      <c r="D9404" s="953"/>
      <c r="E9404" s="953"/>
      <c r="F9404" s="953"/>
      <c r="G9404" s="953"/>
      <c r="H9404" s="953"/>
    </row>
    <row r="9405" spans="1:8" x14ac:dyDescent="0.25">
      <c r="A9405" s="952"/>
      <c r="B9405" s="953"/>
      <c r="C9405" s="953"/>
      <c r="D9405" s="953"/>
      <c r="E9405" s="953"/>
      <c r="F9405" s="953"/>
      <c r="G9405" s="953"/>
      <c r="H9405" s="953"/>
    </row>
    <row r="9406" spans="1:8" x14ac:dyDescent="0.25">
      <c r="A9406" s="952"/>
      <c r="B9406" s="953"/>
      <c r="C9406" s="953"/>
      <c r="D9406" s="953"/>
      <c r="E9406" s="953"/>
      <c r="F9406" s="953"/>
      <c r="G9406" s="953"/>
      <c r="H9406" s="953"/>
    </row>
    <row r="9407" spans="1:8" x14ac:dyDescent="0.25">
      <c r="A9407" s="952"/>
      <c r="B9407" s="953"/>
      <c r="C9407" s="953"/>
      <c r="D9407" s="953"/>
      <c r="E9407" s="953"/>
      <c r="F9407" s="953"/>
      <c r="G9407" s="953"/>
      <c r="H9407" s="953"/>
    </row>
    <row r="9408" spans="1:8" x14ac:dyDescent="0.25">
      <c r="A9408" s="952"/>
      <c r="B9408" s="953"/>
      <c r="C9408" s="953"/>
      <c r="D9408" s="953"/>
      <c r="E9408" s="953"/>
      <c r="F9408" s="953"/>
      <c r="G9408" s="953"/>
      <c r="H9408" s="953"/>
    </row>
    <row r="9409" spans="1:8" x14ac:dyDescent="0.25">
      <c r="A9409" s="952"/>
      <c r="B9409" s="953"/>
      <c r="C9409" s="953"/>
      <c r="D9409" s="953"/>
      <c r="E9409" s="953"/>
      <c r="F9409" s="953"/>
      <c r="G9409" s="953"/>
      <c r="H9409" s="953"/>
    </row>
    <row r="9410" spans="1:8" x14ac:dyDescent="0.25">
      <c r="A9410" s="952"/>
      <c r="B9410" s="953"/>
      <c r="C9410" s="953"/>
      <c r="D9410" s="953"/>
      <c r="E9410" s="953"/>
      <c r="F9410" s="953"/>
      <c r="G9410" s="953"/>
      <c r="H9410" s="953"/>
    </row>
    <row r="9411" spans="1:8" x14ac:dyDescent="0.25">
      <c r="A9411" s="952"/>
      <c r="B9411" s="953"/>
      <c r="C9411" s="953"/>
      <c r="D9411" s="953"/>
      <c r="E9411" s="953"/>
      <c r="F9411" s="953"/>
      <c r="G9411" s="953"/>
      <c r="H9411" s="953"/>
    </row>
    <row r="9412" spans="1:8" x14ac:dyDescent="0.25">
      <c r="A9412" s="952"/>
      <c r="B9412" s="953"/>
      <c r="C9412" s="953"/>
      <c r="D9412" s="953"/>
      <c r="E9412" s="953"/>
      <c r="F9412" s="953"/>
      <c r="G9412" s="953"/>
      <c r="H9412" s="953"/>
    </row>
    <row r="9413" spans="1:8" x14ac:dyDescent="0.25">
      <c r="A9413" s="952"/>
      <c r="B9413" s="953"/>
      <c r="C9413" s="953"/>
      <c r="D9413" s="953"/>
      <c r="E9413" s="953"/>
      <c r="F9413" s="953"/>
      <c r="G9413" s="953"/>
      <c r="H9413" s="953"/>
    </row>
    <row r="9414" spans="1:8" x14ac:dyDescent="0.25">
      <c r="A9414" s="952"/>
      <c r="B9414" s="953"/>
      <c r="C9414" s="953"/>
      <c r="D9414" s="953"/>
      <c r="E9414" s="953"/>
      <c r="F9414" s="953"/>
      <c r="G9414" s="953"/>
      <c r="H9414" s="953"/>
    </row>
    <row r="9415" spans="1:8" x14ac:dyDescent="0.25">
      <c r="A9415" s="952"/>
      <c r="B9415" s="953"/>
      <c r="C9415" s="953"/>
      <c r="D9415" s="953"/>
      <c r="E9415" s="953"/>
      <c r="F9415" s="953"/>
      <c r="G9415" s="953"/>
      <c r="H9415" s="953"/>
    </row>
    <row r="9416" spans="1:8" x14ac:dyDescent="0.25">
      <c r="A9416" s="952"/>
      <c r="B9416" s="953"/>
      <c r="C9416" s="953"/>
      <c r="D9416" s="953"/>
      <c r="E9416" s="953"/>
      <c r="F9416" s="953"/>
      <c r="G9416" s="953"/>
      <c r="H9416" s="953"/>
    </row>
    <row r="9417" spans="1:8" x14ac:dyDescent="0.25">
      <c r="A9417" s="952"/>
      <c r="B9417" s="953"/>
      <c r="C9417" s="953"/>
      <c r="D9417" s="953"/>
      <c r="E9417" s="953"/>
      <c r="F9417" s="953"/>
      <c r="G9417" s="953"/>
      <c r="H9417" s="953"/>
    </row>
    <row r="9418" spans="1:8" x14ac:dyDescent="0.25">
      <c r="A9418" s="952"/>
      <c r="B9418" s="953"/>
      <c r="C9418" s="953"/>
      <c r="D9418" s="953"/>
      <c r="E9418" s="953"/>
      <c r="F9418" s="953"/>
      <c r="G9418" s="953"/>
      <c r="H9418" s="953"/>
    </row>
    <row r="9419" spans="1:8" x14ac:dyDescent="0.25">
      <c r="A9419" s="952"/>
      <c r="B9419" s="953"/>
      <c r="C9419" s="953"/>
      <c r="D9419" s="953"/>
      <c r="E9419" s="953"/>
      <c r="F9419" s="953"/>
      <c r="G9419" s="953"/>
      <c r="H9419" s="953"/>
    </row>
    <row r="9420" spans="1:8" x14ac:dyDescent="0.25">
      <c r="A9420" s="952"/>
      <c r="B9420" s="953"/>
      <c r="C9420" s="953"/>
      <c r="D9420" s="953"/>
      <c r="E9420" s="953"/>
      <c r="F9420" s="953"/>
      <c r="G9420" s="953"/>
      <c r="H9420" s="953"/>
    </row>
    <row r="9421" spans="1:8" x14ac:dyDescent="0.25">
      <c r="A9421" s="952"/>
      <c r="B9421" s="953"/>
      <c r="C9421" s="953"/>
      <c r="D9421" s="953"/>
      <c r="E9421" s="953"/>
      <c r="F9421" s="953"/>
      <c r="G9421" s="953"/>
      <c r="H9421" s="953"/>
    </row>
    <row r="9422" spans="1:8" x14ac:dyDescent="0.25">
      <c r="A9422" s="952"/>
      <c r="B9422" s="953"/>
      <c r="C9422" s="953"/>
      <c r="D9422" s="953"/>
      <c r="E9422" s="953"/>
      <c r="F9422" s="953"/>
      <c r="G9422" s="953"/>
      <c r="H9422" s="953"/>
    </row>
    <row r="9423" spans="1:8" x14ac:dyDescent="0.25">
      <c r="A9423" s="952"/>
      <c r="B9423" s="953"/>
      <c r="C9423" s="953"/>
      <c r="D9423" s="953"/>
      <c r="E9423" s="953"/>
      <c r="F9423" s="953"/>
      <c r="G9423" s="953"/>
      <c r="H9423" s="953"/>
    </row>
    <row r="9424" spans="1:8" x14ac:dyDescent="0.25">
      <c r="A9424" s="952"/>
      <c r="B9424" s="953"/>
      <c r="C9424" s="953"/>
      <c r="D9424" s="953"/>
      <c r="E9424" s="953"/>
      <c r="F9424" s="953"/>
      <c r="G9424" s="953"/>
      <c r="H9424" s="953"/>
    </row>
    <row r="9425" spans="1:8" x14ac:dyDescent="0.25">
      <c r="A9425" s="952"/>
      <c r="B9425" s="953"/>
      <c r="C9425" s="953"/>
      <c r="D9425" s="953"/>
      <c r="E9425" s="953"/>
      <c r="F9425" s="953"/>
      <c r="G9425" s="953"/>
      <c r="H9425" s="953"/>
    </row>
    <row r="9426" spans="1:8" x14ac:dyDescent="0.25">
      <c r="A9426" s="952"/>
      <c r="B9426" s="953"/>
      <c r="C9426" s="953"/>
      <c r="D9426" s="953"/>
      <c r="E9426" s="953"/>
      <c r="F9426" s="953"/>
      <c r="G9426" s="953"/>
      <c r="H9426" s="953"/>
    </row>
    <row r="9427" spans="1:8" x14ac:dyDescent="0.25">
      <c r="A9427" s="952"/>
      <c r="B9427" s="953"/>
      <c r="C9427" s="953"/>
      <c r="D9427" s="953"/>
      <c r="E9427" s="953"/>
      <c r="F9427" s="953"/>
      <c r="G9427" s="953"/>
      <c r="H9427" s="953"/>
    </row>
    <row r="9428" spans="1:8" x14ac:dyDescent="0.25">
      <c r="A9428" s="952"/>
      <c r="B9428" s="953"/>
      <c r="C9428" s="953"/>
      <c r="D9428" s="953"/>
      <c r="E9428" s="953"/>
      <c r="F9428" s="953"/>
      <c r="G9428" s="953"/>
      <c r="H9428" s="953"/>
    </row>
    <row r="9429" spans="1:8" x14ac:dyDescent="0.25">
      <c r="A9429" s="952"/>
      <c r="B9429" s="953"/>
      <c r="C9429" s="953"/>
      <c r="D9429" s="953"/>
      <c r="E9429" s="953"/>
      <c r="F9429" s="953"/>
      <c r="G9429" s="953"/>
      <c r="H9429" s="953"/>
    </row>
    <row r="9430" spans="1:8" x14ac:dyDescent="0.25">
      <c r="A9430" s="952"/>
      <c r="B9430" s="953"/>
      <c r="C9430" s="953"/>
      <c r="D9430" s="953"/>
      <c r="E9430" s="953"/>
      <c r="F9430" s="953"/>
      <c r="G9430" s="953"/>
      <c r="H9430" s="953"/>
    </row>
    <row r="9431" spans="1:8" x14ac:dyDescent="0.25">
      <c r="A9431" s="952"/>
      <c r="B9431" s="953"/>
      <c r="C9431" s="953"/>
      <c r="D9431" s="953"/>
      <c r="E9431" s="953"/>
      <c r="F9431" s="953"/>
      <c r="G9431" s="953"/>
      <c r="H9431" s="953"/>
    </row>
    <row r="9432" spans="1:8" x14ac:dyDescent="0.25">
      <c r="A9432" s="952"/>
      <c r="B9432" s="953"/>
      <c r="C9432" s="953"/>
      <c r="D9432" s="953"/>
      <c r="E9432" s="953"/>
      <c r="F9432" s="953"/>
      <c r="G9432" s="953"/>
      <c r="H9432" s="953"/>
    </row>
    <row r="9433" spans="1:8" x14ac:dyDescent="0.25">
      <c r="A9433" s="952"/>
      <c r="B9433" s="953"/>
      <c r="C9433" s="953"/>
      <c r="D9433" s="953"/>
      <c r="E9433" s="953"/>
      <c r="F9433" s="953"/>
      <c r="G9433" s="953"/>
      <c r="H9433" s="953"/>
    </row>
    <row r="9434" spans="1:8" x14ac:dyDescent="0.25">
      <c r="A9434" s="952"/>
      <c r="B9434" s="953"/>
      <c r="C9434" s="953"/>
      <c r="D9434" s="953"/>
      <c r="E9434" s="953"/>
      <c r="F9434" s="953"/>
      <c r="G9434" s="953"/>
      <c r="H9434" s="953"/>
    </row>
    <row r="9435" spans="1:8" x14ac:dyDescent="0.25">
      <c r="A9435" s="952"/>
      <c r="B9435" s="953"/>
      <c r="C9435" s="953"/>
      <c r="D9435" s="953"/>
      <c r="E9435" s="953"/>
      <c r="F9435" s="953"/>
      <c r="G9435" s="953"/>
      <c r="H9435" s="953"/>
    </row>
    <row r="9436" spans="1:8" x14ac:dyDescent="0.25">
      <c r="A9436" s="952"/>
      <c r="B9436" s="953"/>
      <c r="C9436" s="953"/>
      <c r="D9436" s="953"/>
      <c r="E9436" s="953"/>
      <c r="F9436" s="953"/>
      <c r="G9436" s="953"/>
      <c r="H9436" s="953"/>
    </row>
    <row r="9437" spans="1:8" x14ac:dyDescent="0.25">
      <c r="A9437" s="952"/>
      <c r="B9437" s="953"/>
      <c r="C9437" s="953"/>
      <c r="D9437" s="953"/>
      <c r="E9437" s="953"/>
      <c r="F9437" s="953"/>
      <c r="G9437" s="953"/>
      <c r="H9437" s="953"/>
    </row>
    <row r="9438" spans="1:8" x14ac:dyDescent="0.25">
      <c r="A9438" s="952"/>
      <c r="B9438" s="953"/>
      <c r="C9438" s="953"/>
      <c r="D9438" s="953"/>
      <c r="E9438" s="953"/>
      <c r="F9438" s="953"/>
      <c r="G9438" s="953"/>
      <c r="H9438" s="953"/>
    </row>
    <row r="9439" spans="1:8" x14ac:dyDescent="0.25">
      <c r="A9439" s="952"/>
      <c r="B9439" s="953"/>
      <c r="C9439" s="953"/>
      <c r="D9439" s="953"/>
      <c r="E9439" s="953"/>
      <c r="F9439" s="953"/>
      <c r="G9439" s="953"/>
      <c r="H9439" s="953"/>
    </row>
    <row r="9440" spans="1:8" x14ac:dyDescent="0.25">
      <c r="A9440" s="952"/>
      <c r="B9440" s="953"/>
      <c r="C9440" s="953"/>
      <c r="D9440" s="953"/>
      <c r="E9440" s="953"/>
      <c r="F9440" s="953"/>
      <c r="G9440" s="953"/>
      <c r="H9440" s="953"/>
    </row>
    <row r="9441" spans="1:8" x14ac:dyDescent="0.25">
      <c r="A9441" s="952"/>
      <c r="B9441" s="953"/>
      <c r="C9441" s="953"/>
      <c r="D9441" s="953"/>
      <c r="E9441" s="953"/>
      <c r="F9441" s="953"/>
      <c r="G9441" s="953"/>
      <c r="H9441" s="953"/>
    </row>
    <row r="9442" spans="1:8" x14ac:dyDescent="0.25">
      <c r="A9442" s="952"/>
      <c r="B9442" s="953"/>
      <c r="C9442" s="953"/>
      <c r="D9442" s="953"/>
      <c r="E9442" s="953"/>
      <c r="F9442" s="953"/>
      <c r="G9442" s="953"/>
      <c r="H9442" s="953"/>
    </row>
    <row r="9443" spans="1:8" x14ac:dyDescent="0.25">
      <c r="A9443" s="952"/>
      <c r="B9443" s="953"/>
      <c r="C9443" s="953"/>
      <c r="D9443" s="953"/>
      <c r="E9443" s="953"/>
      <c r="F9443" s="953"/>
      <c r="G9443" s="953"/>
      <c r="H9443" s="953"/>
    </row>
    <row r="9444" spans="1:8" x14ac:dyDescent="0.25">
      <c r="A9444" s="952"/>
      <c r="B9444" s="953"/>
      <c r="C9444" s="953"/>
      <c r="D9444" s="953"/>
      <c r="E9444" s="953"/>
      <c r="F9444" s="953"/>
      <c r="G9444" s="953"/>
      <c r="H9444" s="953"/>
    </row>
    <row r="9445" spans="1:8" x14ac:dyDescent="0.25">
      <c r="A9445" s="952"/>
      <c r="B9445" s="953"/>
      <c r="C9445" s="953"/>
      <c r="D9445" s="953"/>
      <c r="E9445" s="953"/>
      <c r="F9445" s="953"/>
      <c r="G9445" s="953"/>
      <c r="H9445" s="953"/>
    </row>
    <row r="9446" spans="1:8" x14ac:dyDescent="0.25">
      <c r="A9446" s="952"/>
      <c r="B9446" s="953"/>
      <c r="C9446" s="953"/>
      <c r="D9446" s="953"/>
      <c r="E9446" s="953"/>
      <c r="F9446" s="953"/>
      <c r="G9446" s="953"/>
      <c r="H9446" s="953"/>
    </row>
    <row r="9447" spans="1:8" x14ac:dyDescent="0.25">
      <c r="A9447" s="952"/>
      <c r="B9447" s="953"/>
      <c r="C9447" s="953"/>
      <c r="D9447" s="953"/>
      <c r="E9447" s="953"/>
      <c r="F9447" s="953"/>
      <c r="G9447" s="953"/>
      <c r="H9447" s="953"/>
    </row>
    <row r="9448" spans="1:8" x14ac:dyDescent="0.25">
      <c r="A9448" s="952"/>
      <c r="B9448" s="953"/>
      <c r="C9448" s="953"/>
      <c r="D9448" s="953"/>
      <c r="E9448" s="953"/>
      <c r="F9448" s="953"/>
      <c r="G9448" s="953"/>
      <c r="H9448" s="953"/>
    </row>
    <row r="9449" spans="1:8" x14ac:dyDescent="0.25">
      <c r="A9449" s="952"/>
      <c r="B9449" s="953"/>
      <c r="C9449" s="953"/>
      <c r="D9449" s="953"/>
      <c r="E9449" s="953"/>
      <c r="F9449" s="953"/>
      <c r="G9449" s="953"/>
      <c r="H9449" s="953"/>
    </row>
    <row r="9450" spans="1:8" x14ac:dyDescent="0.25">
      <c r="A9450" s="952"/>
      <c r="B9450" s="953"/>
      <c r="C9450" s="953"/>
      <c r="D9450" s="953"/>
      <c r="E9450" s="953"/>
      <c r="F9450" s="953"/>
      <c r="G9450" s="953"/>
      <c r="H9450" s="953"/>
    </row>
    <row r="9451" spans="1:8" x14ac:dyDescent="0.25">
      <c r="A9451" s="952"/>
      <c r="B9451" s="953"/>
      <c r="C9451" s="953"/>
      <c r="D9451" s="953"/>
      <c r="E9451" s="953"/>
      <c r="F9451" s="953"/>
      <c r="G9451" s="953"/>
      <c r="H9451" s="953"/>
    </row>
    <row r="9452" spans="1:8" x14ac:dyDescent="0.25">
      <c r="A9452" s="952"/>
      <c r="B9452" s="953"/>
      <c r="C9452" s="953"/>
      <c r="D9452" s="953"/>
      <c r="E9452" s="953"/>
      <c r="F9452" s="953"/>
      <c r="G9452" s="953"/>
      <c r="H9452" s="953"/>
    </row>
    <row r="9453" spans="1:8" x14ac:dyDescent="0.25">
      <c r="A9453" s="952"/>
      <c r="B9453" s="953"/>
      <c r="C9453" s="953"/>
      <c r="D9453" s="953"/>
      <c r="E9453" s="953"/>
      <c r="F9453" s="953"/>
      <c r="G9453" s="953"/>
      <c r="H9453" s="953"/>
    </row>
    <row r="9454" spans="1:8" x14ac:dyDescent="0.25">
      <c r="A9454" s="952"/>
      <c r="B9454" s="953"/>
      <c r="C9454" s="953"/>
      <c r="D9454" s="953"/>
      <c r="E9454" s="953"/>
      <c r="F9454" s="953"/>
      <c r="G9454" s="953"/>
      <c r="H9454" s="953"/>
    </row>
    <row r="9455" spans="1:8" x14ac:dyDescent="0.25">
      <c r="A9455" s="952"/>
      <c r="B9455" s="953"/>
      <c r="C9455" s="953"/>
      <c r="D9455" s="953"/>
      <c r="E9455" s="953"/>
      <c r="F9455" s="953"/>
      <c r="G9455" s="953"/>
      <c r="H9455" s="953"/>
    </row>
    <row r="9456" spans="1:8" x14ac:dyDescent="0.25">
      <c r="A9456" s="952"/>
      <c r="B9456" s="953"/>
      <c r="C9456" s="953"/>
      <c r="D9456" s="953"/>
      <c r="E9456" s="953"/>
      <c r="F9456" s="953"/>
      <c r="G9456" s="953"/>
      <c r="H9456" s="953"/>
    </row>
    <row r="9457" spans="1:8" x14ac:dyDescent="0.25">
      <c r="A9457" s="952"/>
      <c r="B9457" s="953"/>
      <c r="C9457" s="953"/>
      <c r="D9457" s="953"/>
      <c r="E9457" s="953"/>
      <c r="F9457" s="953"/>
      <c r="G9457" s="953"/>
      <c r="H9457" s="953"/>
    </row>
    <row r="9458" spans="1:8" x14ac:dyDescent="0.25">
      <c r="A9458" s="952"/>
      <c r="B9458" s="953"/>
      <c r="C9458" s="953"/>
      <c r="D9458" s="953"/>
      <c r="E9458" s="953"/>
      <c r="F9458" s="953"/>
      <c r="G9458" s="953"/>
      <c r="H9458" s="953"/>
    </row>
    <row r="9459" spans="1:8" x14ac:dyDescent="0.25">
      <c r="A9459" s="952"/>
      <c r="B9459" s="953"/>
      <c r="C9459" s="953"/>
      <c r="D9459" s="953"/>
      <c r="E9459" s="953"/>
      <c r="F9459" s="953"/>
      <c r="G9459" s="953"/>
      <c r="H9459" s="953"/>
    </row>
    <row r="9460" spans="1:8" x14ac:dyDescent="0.25">
      <c r="A9460" s="952"/>
      <c r="B9460" s="953"/>
      <c r="C9460" s="953"/>
      <c r="D9460" s="953"/>
      <c r="E9460" s="953"/>
      <c r="F9460" s="953"/>
      <c r="G9460" s="953"/>
      <c r="H9460" s="953"/>
    </row>
    <row r="9461" spans="1:8" x14ac:dyDescent="0.25">
      <c r="A9461" s="952"/>
      <c r="B9461" s="953"/>
      <c r="C9461" s="953"/>
      <c r="D9461" s="953"/>
      <c r="E9461" s="953"/>
      <c r="F9461" s="953"/>
      <c r="G9461" s="953"/>
      <c r="H9461" s="953"/>
    </row>
    <row r="9462" spans="1:8" x14ac:dyDescent="0.25">
      <c r="A9462" s="952"/>
      <c r="B9462" s="953"/>
      <c r="C9462" s="953"/>
      <c r="D9462" s="953"/>
      <c r="E9462" s="953"/>
      <c r="F9462" s="953"/>
      <c r="G9462" s="953"/>
      <c r="H9462" s="953"/>
    </row>
    <row r="9463" spans="1:8" x14ac:dyDescent="0.25">
      <c r="A9463" s="952"/>
      <c r="B9463" s="953"/>
      <c r="C9463" s="953"/>
      <c r="D9463" s="953"/>
      <c r="E9463" s="953"/>
      <c r="F9463" s="953"/>
      <c r="G9463" s="953"/>
      <c r="H9463" s="953"/>
    </row>
    <row r="9464" spans="1:8" x14ac:dyDescent="0.25">
      <c r="A9464" s="952"/>
      <c r="B9464" s="953"/>
      <c r="C9464" s="953"/>
      <c r="D9464" s="953"/>
      <c r="E9464" s="953"/>
      <c r="F9464" s="953"/>
      <c r="G9464" s="953"/>
      <c r="H9464" s="953"/>
    </row>
    <row r="9465" spans="1:8" x14ac:dyDescent="0.25">
      <c r="A9465" s="952"/>
      <c r="B9465" s="953"/>
      <c r="C9465" s="953"/>
      <c r="D9465" s="953"/>
      <c r="E9465" s="953"/>
      <c r="F9465" s="953"/>
      <c r="G9465" s="953"/>
      <c r="H9465" s="953"/>
    </row>
    <row r="9466" spans="1:8" x14ac:dyDescent="0.25">
      <c r="A9466" s="952"/>
      <c r="B9466" s="953"/>
      <c r="C9466" s="953"/>
      <c r="D9466" s="953"/>
      <c r="E9466" s="953"/>
      <c r="F9466" s="953"/>
      <c r="G9466" s="953"/>
      <c r="H9466" s="953"/>
    </row>
    <row r="9467" spans="1:8" x14ac:dyDescent="0.25">
      <c r="A9467" s="952"/>
      <c r="B9467" s="953"/>
      <c r="C9467" s="953"/>
      <c r="D9467" s="953"/>
      <c r="E9467" s="953"/>
      <c r="F9467" s="953"/>
      <c r="G9467" s="953"/>
      <c r="H9467" s="953"/>
    </row>
    <row r="9468" spans="1:8" x14ac:dyDescent="0.25">
      <c r="A9468" s="952"/>
      <c r="B9468" s="953"/>
      <c r="C9468" s="953"/>
      <c r="D9468" s="953"/>
      <c r="E9468" s="953"/>
      <c r="F9468" s="953"/>
      <c r="G9468" s="953"/>
      <c r="H9468" s="953"/>
    </row>
    <row r="9469" spans="1:8" x14ac:dyDescent="0.25">
      <c r="A9469" s="952"/>
      <c r="B9469" s="953"/>
      <c r="C9469" s="953"/>
      <c r="D9469" s="953"/>
      <c r="E9469" s="953"/>
      <c r="F9469" s="953"/>
      <c r="G9469" s="953"/>
      <c r="H9469" s="953"/>
    </row>
    <row r="9470" spans="1:8" x14ac:dyDescent="0.25">
      <c r="A9470" s="952"/>
      <c r="B9470" s="953"/>
      <c r="C9470" s="953"/>
      <c r="D9470" s="953"/>
      <c r="E9470" s="953"/>
      <c r="F9470" s="953"/>
      <c r="G9470" s="953"/>
      <c r="H9470" s="953"/>
    </row>
    <row r="9471" spans="1:8" x14ac:dyDescent="0.25">
      <c r="A9471" s="952"/>
      <c r="B9471" s="953"/>
      <c r="C9471" s="953"/>
      <c r="D9471" s="953"/>
      <c r="E9471" s="953"/>
      <c r="F9471" s="953"/>
      <c r="G9471" s="953"/>
      <c r="H9471" s="953"/>
    </row>
    <row r="9472" spans="1:8" x14ac:dyDescent="0.25">
      <c r="A9472" s="952"/>
      <c r="B9472" s="953"/>
      <c r="C9472" s="953"/>
      <c r="D9472" s="953"/>
      <c r="E9472" s="953"/>
      <c r="F9472" s="953"/>
      <c r="G9472" s="953"/>
      <c r="H9472" s="953"/>
    </row>
    <row r="9473" spans="1:8" x14ac:dyDescent="0.25">
      <c r="A9473" s="952"/>
      <c r="B9473" s="953"/>
      <c r="C9473" s="953"/>
      <c r="D9473" s="953"/>
      <c r="E9473" s="953"/>
      <c r="F9473" s="953"/>
      <c r="G9473" s="953"/>
      <c r="H9473" s="953"/>
    </row>
    <row r="9474" spans="1:8" x14ac:dyDescent="0.25">
      <c r="A9474" s="952"/>
      <c r="B9474" s="953"/>
      <c r="C9474" s="953"/>
      <c r="D9474" s="953"/>
      <c r="E9474" s="953"/>
      <c r="F9474" s="953"/>
      <c r="G9474" s="953"/>
      <c r="H9474" s="953"/>
    </row>
    <row r="9475" spans="1:8" x14ac:dyDescent="0.25">
      <c r="A9475" s="952"/>
      <c r="B9475" s="953"/>
      <c r="C9475" s="953"/>
      <c r="D9475" s="953"/>
      <c r="E9475" s="953"/>
      <c r="F9475" s="953"/>
      <c r="G9475" s="953"/>
      <c r="H9475" s="953"/>
    </row>
    <row r="9476" spans="1:8" x14ac:dyDescent="0.25">
      <c r="A9476" s="952"/>
      <c r="B9476" s="953"/>
      <c r="C9476" s="953"/>
      <c r="D9476" s="953"/>
      <c r="E9476" s="953"/>
      <c r="F9476" s="953"/>
      <c r="G9476" s="953"/>
      <c r="H9476" s="953"/>
    </row>
    <row r="9477" spans="1:8" x14ac:dyDescent="0.25">
      <c r="A9477" s="952"/>
      <c r="B9477" s="953"/>
      <c r="C9477" s="953"/>
      <c r="D9477" s="953"/>
      <c r="E9477" s="953"/>
      <c r="F9477" s="953"/>
      <c r="G9477" s="953"/>
      <c r="H9477" s="953"/>
    </row>
    <row r="9478" spans="1:8" x14ac:dyDescent="0.25">
      <c r="A9478" s="952"/>
      <c r="B9478" s="953"/>
      <c r="C9478" s="953"/>
      <c r="D9478" s="953"/>
      <c r="E9478" s="953"/>
      <c r="F9478" s="953"/>
      <c r="G9478" s="953"/>
      <c r="H9478" s="953"/>
    </row>
    <row r="9479" spans="1:8" x14ac:dyDescent="0.25">
      <c r="A9479" s="952"/>
      <c r="B9479" s="953"/>
      <c r="C9479" s="953"/>
      <c r="D9479" s="953"/>
      <c r="E9479" s="953"/>
      <c r="F9479" s="953"/>
      <c r="G9479" s="953"/>
      <c r="H9479" s="953"/>
    </row>
    <row r="9480" spans="1:8" x14ac:dyDescent="0.25">
      <c r="A9480" s="952"/>
      <c r="B9480" s="953"/>
      <c r="C9480" s="953"/>
      <c r="D9480" s="953"/>
      <c r="E9480" s="953"/>
      <c r="F9480" s="953"/>
      <c r="G9480" s="953"/>
      <c r="H9480" s="953"/>
    </row>
    <row r="9481" spans="1:8" x14ac:dyDescent="0.25">
      <c r="A9481" s="952"/>
      <c r="B9481" s="953"/>
      <c r="C9481" s="953"/>
      <c r="D9481" s="953"/>
      <c r="E9481" s="953"/>
      <c r="F9481" s="953"/>
      <c r="G9481" s="953"/>
      <c r="H9481" s="953"/>
    </row>
    <row r="9482" spans="1:8" x14ac:dyDescent="0.25">
      <c r="A9482" s="952"/>
      <c r="B9482" s="953"/>
      <c r="C9482" s="953"/>
      <c r="D9482" s="953"/>
      <c r="E9482" s="953"/>
      <c r="F9482" s="953"/>
      <c r="G9482" s="953"/>
      <c r="H9482" s="953"/>
    </row>
    <row r="9483" spans="1:8" x14ac:dyDescent="0.25">
      <c r="A9483" s="952"/>
      <c r="B9483" s="953"/>
      <c r="C9483" s="953"/>
      <c r="D9483" s="953"/>
      <c r="E9483" s="953"/>
      <c r="F9483" s="953"/>
      <c r="G9483" s="953"/>
      <c r="H9483" s="953"/>
    </row>
    <row r="9484" spans="1:8" x14ac:dyDescent="0.25">
      <c r="A9484" s="952"/>
      <c r="B9484" s="953"/>
      <c r="C9484" s="953"/>
      <c r="D9484" s="953"/>
      <c r="E9484" s="953"/>
      <c r="F9484" s="953"/>
      <c r="G9484" s="953"/>
      <c r="H9484" s="953"/>
    </row>
    <row r="9485" spans="1:8" x14ac:dyDescent="0.25">
      <c r="A9485" s="952"/>
      <c r="B9485" s="953"/>
      <c r="C9485" s="953"/>
      <c r="D9485" s="953"/>
      <c r="E9485" s="953"/>
      <c r="F9485" s="953"/>
      <c r="G9485" s="953"/>
      <c r="H9485" s="953"/>
    </row>
    <row r="9486" spans="1:8" x14ac:dyDescent="0.25">
      <c r="A9486" s="952"/>
      <c r="B9486" s="953"/>
      <c r="C9486" s="953"/>
      <c r="D9486" s="953"/>
      <c r="E9486" s="953"/>
      <c r="F9486" s="953"/>
      <c r="G9486" s="953"/>
      <c r="H9486" s="953"/>
    </row>
    <row r="9487" spans="1:8" x14ac:dyDescent="0.25">
      <c r="A9487" s="952"/>
      <c r="B9487" s="953"/>
      <c r="C9487" s="953"/>
      <c r="D9487" s="953"/>
      <c r="E9487" s="953"/>
      <c r="F9487" s="953"/>
      <c r="G9487" s="953"/>
      <c r="H9487" s="953"/>
    </row>
    <row r="9488" spans="1:8" x14ac:dyDescent="0.25">
      <c r="A9488" s="952"/>
      <c r="B9488" s="953"/>
      <c r="C9488" s="953"/>
      <c r="D9488" s="953"/>
      <c r="E9488" s="953"/>
      <c r="F9488" s="953"/>
      <c r="G9488" s="953"/>
      <c r="H9488" s="953"/>
    </row>
    <row r="9489" spans="1:8" x14ac:dyDescent="0.25">
      <c r="A9489" s="952"/>
      <c r="B9489" s="953"/>
      <c r="C9489" s="953"/>
      <c r="D9489" s="953"/>
      <c r="E9489" s="953"/>
      <c r="F9489" s="953"/>
      <c r="G9489" s="953"/>
      <c r="H9489" s="953"/>
    </row>
    <row r="9490" spans="1:8" x14ac:dyDescent="0.25">
      <c r="A9490" s="952"/>
      <c r="B9490" s="953"/>
      <c r="C9490" s="953"/>
      <c r="D9490" s="953"/>
      <c r="E9490" s="953"/>
      <c r="F9490" s="953"/>
      <c r="G9490" s="953"/>
      <c r="H9490" s="953"/>
    </row>
    <row r="9491" spans="1:8" x14ac:dyDescent="0.25">
      <c r="A9491" s="952"/>
      <c r="B9491" s="953"/>
      <c r="C9491" s="953"/>
      <c r="D9491" s="953"/>
      <c r="E9491" s="953"/>
      <c r="F9491" s="953"/>
      <c r="G9491" s="953"/>
      <c r="H9491" s="953"/>
    </row>
    <row r="9492" spans="1:8" x14ac:dyDescent="0.25">
      <c r="A9492" s="952"/>
      <c r="B9492" s="953"/>
      <c r="C9492" s="953"/>
      <c r="D9492" s="953"/>
      <c r="E9492" s="953"/>
      <c r="F9492" s="953"/>
      <c r="G9492" s="953"/>
      <c r="H9492" s="953"/>
    </row>
    <row r="9493" spans="1:8" x14ac:dyDescent="0.25">
      <c r="A9493" s="952"/>
      <c r="B9493" s="953"/>
      <c r="C9493" s="953"/>
      <c r="D9493" s="953"/>
      <c r="E9493" s="953"/>
      <c r="F9493" s="953"/>
      <c r="G9493" s="953"/>
      <c r="H9493" s="953"/>
    </row>
    <row r="9494" spans="1:8" x14ac:dyDescent="0.25">
      <c r="A9494" s="952"/>
      <c r="B9494" s="953"/>
      <c r="C9494" s="953"/>
      <c r="D9494" s="953"/>
      <c r="E9494" s="953"/>
      <c r="F9494" s="953"/>
      <c r="G9494" s="953"/>
      <c r="H9494" s="953"/>
    </row>
    <row r="9495" spans="1:8" x14ac:dyDescent="0.25">
      <c r="A9495" s="952"/>
      <c r="B9495" s="953"/>
      <c r="C9495" s="953"/>
      <c r="D9495" s="953"/>
      <c r="E9495" s="953"/>
      <c r="F9495" s="953"/>
      <c r="G9495" s="953"/>
      <c r="H9495" s="953"/>
    </row>
    <row r="9496" spans="1:8" x14ac:dyDescent="0.25">
      <c r="A9496" s="952"/>
      <c r="B9496" s="953"/>
      <c r="C9496" s="953"/>
      <c r="D9496" s="953"/>
      <c r="E9496" s="953"/>
      <c r="F9496" s="953"/>
      <c r="G9496" s="953"/>
      <c r="H9496" s="953"/>
    </row>
    <row r="9497" spans="1:8" x14ac:dyDescent="0.25">
      <c r="A9497" s="952"/>
      <c r="B9497" s="953"/>
      <c r="C9497" s="953"/>
      <c r="D9497" s="953"/>
      <c r="E9497" s="953"/>
      <c r="F9497" s="953"/>
      <c r="G9497" s="953"/>
      <c r="H9497" s="953"/>
    </row>
    <row r="9498" spans="1:8" x14ac:dyDescent="0.25">
      <c r="A9498" s="952"/>
      <c r="B9498" s="953"/>
      <c r="C9498" s="953"/>
      <c r="D9498" s="953"/>
      <c r="E9498" s="953"/>
      <c r="F9498" s="953"/>
      <c r="G9498" s="953"/>
      <c r="H9498" s="953"/>
    </row>
    <row r="9499" spans="1:8" x14ac:dyDescent="0.25">
      <c r="A9499" s="952"/>
      <c r="B9499" s="953"/>
      <c r="C9499" s="953"/>
      <c r="D9499" s="953"/>
      <c r="E9499" s="953"/>
      <c r="F9499" s="953"/>
      <c r="G9499" s="953"/>
      <c r="H9499" s="953"/>
    </row>
    <row r="9500" spans="1:8" x14ac:dyDescent="0.25">
      <c r="A9500" s="952"/>
      <c r="B9500" s="953"/>
      <c r="C9500" s="953"/>
      <c r="D9500" s="953"/>
      <c r="E9500" s="953"/>
      <c r="F9500" s="953"/>
      <c r="G9500" s="953"/>
      <c r="H9500" s="953"/>
    </row>
    <row r="9501" spans="1:8" x14ac:dyDescent="0.25">
      <c r="A9501" s="952"/>
      <c r="B9501" s="953"/>
      <c r="C9501" s="953"/>
      <c r="D9501" s="953"/>
      <c r="E9501" s="953"/>
      <c r="F9501" s="953"/>
      <c r="G9501" s="953"/>
      <c r="H9501" s="953"/>
    </row>
    <row r="9502" spans="1:8" x14ac:dyDescent="0.25">
      <c r="A9502" s="952"/>
      <c r="B9502" s="953"/>
      <c r="C9502" s="953"/>
      <c r="D9502" s="953"/>
      <c r="E9502" s="953"/>
      <c r="F9502" s="953"/>
      <c r="G9502" s="953"/>
      <c r="H9502" s="953"/>
    </row>
    <row r="9503" spans="1:8" x14ac:dyDescent="0.25">
      <c r="A9503" s="952"/>
      <c r="B9503" s="953"/>
      <c r="C9503" s="953"/>
      <c r="D9503" s="953"/>
      <c r="E9503" s="953"/>
      <c r="F9503" s="953"/>
      <c r="G9503" s="953"/>
      <c r="H9503" s="953"/>
    </row>
    <row r="9504" spans="1:8" x14ac:dyDescent="0.25">
      <c r="A9504" s="952"/>
      <c r="B9504" s="953"/>
      <c r="C9504" s="953"/>
      <c r="D9504" s="953"/>
      <c r="E9504" s="953"/>
      <c r="F9504" s="953"/>
      <c r="G9504" s="953"/>
      <c r="H9504" s="953"/>
    </row>
    <row r="9505" spans="1:8" x14ac:dyDescent="0.25">
      <c r="A9505" s="952"/>
      <c r="B9505" s="953"/>
      <c r="C9505" s="953"/>
      <c r="D9505" s="953"/>
      <c r="E9505" s="953"/>
      <c r="F9505" s="953"/>
      <c r="G9505" s="953"/>
      <c r="H9505" s="953"/>
    </row>
    <row r="9506" spans="1:8" x14ac:dyDescent="0.25">
      <c r="A9506" s="952"/>
      <c r="B9506" s="953"/>
      <c r="C9506" s="953"/>
      <c r="D9506" s="953"/>
      <c r="E9506" s="953"/>
      <c r="F9506" s="953"/>
      <c r="G9506" s="953"/>
      <c r="H9506" s="953"/>
    </row>
    <row r="9507" spans="1:8" x14ac:dyDescent="0.25">
      <c r="A9507" s="952"/>
      <c r="B9507" s="953"/>
      <c r="C9507" s="953"/>
      <c r="D9507" s="953"/>
      <c r="E9507" s="953"/>
      <c r="F9507" s="953"/>
      <c r="G9507" s="953"/>
      <c r="H9507" s="953"/>
    </row>
    <row r="9508" spans="1:8" x14ac:dyDescent="0.25">
      <c r="A9508" s="952"/>
      <c r="B9508" s="953"/>
      <c r="C9508" s="953"/>
      <c r="D9508" s="953"/>
      <c r="E9508" s="953"/>
      <c r="F9508" s="953"/>
      <c r="G9508" s="953"/>
      <c r="H9508" s="953"/>
    </row>
    <row r="9509" spans="1:8" x14ac:dyDescent="0.25">
      <c r="A9509" s="952"/>
      <c r="B9509" s="953"/>
      <c r="C9509" s="953"/>
      <c r="D9509" s="953"/>
      <c r="E9509" s="953"/>
      <c r="F9509" s="953"/>
      <c r="G9509" s="953"/>
      <c r="H9509" s="953"/>
    </row>
    <row r="9510" spans="1:8" x14ac:dyDescent="0.25">
      <c r="A9510" s="952"/>
      <c r="B9510" s="953"/>
      <c r="C9510" s="953"/>
      <c r="D9510" s="953"/>
      <c r="E9510" s="953"/>
      <c r="F9510" s="953"/>
      <c r="G9510" s="953"/>
      <c r="H9510" s="953"/>
    </row>
    <row r="9511" spans="1:8" x14ac:dyDescent="0.25">
      <c r="A9511" s="952"/>
      <c r="B9511" s="953"/>
      <c r="C9511" s="953"/>
      <c r="D9511" s="953"/>
      <c r="E9511" s="953"/>
      <c r="F9511" s="953"/>
      <c r="G9511" s="953"/>
      <c r="H9511" s="953"/>
    </row>
    <row r="9512" spans="1:8" x14ac:dyDescent="0.25">
      <c r="A9512" s="952"/>
      <c r="B9512" s="953"/>
      <c r="C9512" s="953"/>
      <c r="D9512" s="953"/>
      <c r="E9512" s="953"/>
      <c r="F9512" s="953"/>
      <c r="G9512" s="953"/>
      <c r="H9512" s="953"/>
    </row>
    <row r="9513" spans="1:8" x14ac:dyDescent="0.25">
      <c r="A9513" s="952"/>
      <c r="B9513" s="953"/>
      <c r="C9513" s="953"/>
      <c r="D9513" s="953"/>
      <c r="E9513" s="953"/>
      <c r="F9513" s="953"/>
      <c r="G9513" s="953"/>
      <c r="H9513" s="953"/>
    </row>
    <row r="9514" spans="1:8" x14ac:dyDescent="0.25">
      <c r="A9514" s="952"/>
      <c r="B9514" s="953"/>
      <c r="C9514" s="953"/>
      <c r="D9514" s="953"/>
      <c r="E9514" s="953"/>
      <c r="F9514" s="953"/>
      <c r="G9514" s="953"/>
      <c r="H9514" s="953"/>
    </row>
    <row r="9515" spans="1:8" x14ac:dyDescent="0.25">
      <c r="A9515" s="952"/>
      <c r="B9515" s="953"/>
      <c r="C9515" s="953"/>
      <c r="D9515" s="953"/>
      <c r="E9515" s="953"/>
      <c r="F9515" s="953"/>
      <c r="G9515" s="953"/>
      <c r="H9515" s="953"/>
    </row>
    <row r="9516" spans="1:8" x14ac:dyDescent="0.25">
      <c r="A9516" s="952"/>
      <c r="B9516" s="953"/>
      <c r="C9516" s="953"/>
      <c r="D9516" s="953"/>
      <c r="E9516" s="953"/>
      <c r="F9516" s="953"/>
      <c r="G9516" s="953"/>
      <c r="H9516" s="953"/>
    </row>
    <row r="9517" spans="1:8" x14ac:dyDescent="0.25">
      <c r="A9517" s="952"/>
      <c r="B9517" s="953"/>
      <c r="C9517" s="953"/>
      <c r="D9517" s="953"/>
      <c r="E9517" s="953"/>
      <c r="F9517" s="953"/>
      <c r="G9517" s="953"/>
      <c r="H9517" s="953"/>
    </row>
    <row r="9518" spans="1:8" x14ac:dyDescent="0.25">
      <c r="A9518" s="952"/>
      <c r="B9518" s="953"/>
      <c r="C9518" s="953"/>
      <c r="D9518" s="953"/>
      <c r="E9518" s="953"/>
      <c r="F9518" s="953"/>
      <c r="G9518" s="953"/>
      <c r="H9518" s="953"/>
    </row>
    <row r="9519" spans="1:8" x14ac:dyDescent="0.25">
      <c r="A9519" s="952"/>
      <c r="B9519" s="953"/>
      <c r="C9519" s="953"/>
      <c r="D9519" s="953"/>
      <c r="E9519" s="953"/>
      <c r="F9519" s="953"/>
      <c r="G9519" s="953"/>
      <c r="H9519" s="953"/>
    </row>
    <row r="9520" spans="1:8" x14ac:dyDescent="0.25">
      <c r="A9520" s="952"/>
      <c r="B9520" s="953"/>
      <c r="C9520" s="953"/>
      <c r="D9520" s="953"/>
      <c r="E9520" s="953"/>
      <c r="F9520" s="953"/>
      <c r="G9520" s="953"/>
      <c r="H9520" s="953"/>
    </row>
    <row r="9521" spans="1:8" x14ac:dyDescent="0.25">
      <c r="A9521" s="952"/>
      <c r="B9521" s="953"/>
      <c r="C9521" s="953"/>
      <c r="D9521" s="953"/>
      <c r="E9521" s="953"/>
      <c r="F9521" s="953"/>
      <c r="G9521" s="953"/>
      <c r="H9521" s="953"/>
    </row>
    <row r="9522" spans="1:8" x14ac:dyDescent="0.25">
      <c r="A9522" s="952"/>
      <c r="B9522" s="953"/>
      <c r="C9522" s="953"/>
      <c r="D9522" s="953"/>
      <c r="E9522" s="953"/>
      <c r="F9522" s="953"/>
      <c r="G9522" s="953"/>
      <c r="H9522" s="953"/>
    </row>
    <row r="9523" spans="1:8" x14ac:dyDescent="0.25">
      <c r="A9523" s="952"/>
      <c r="B9523" s="953"/>
      <c r="C9523" s="953"/>
      <c r="D9523" s="953"/>
      <c r="E9523" s="953"/>
      <c r="F9523" s="953"/>
      <c r="G9523" s="953"/>
      <c r="H9523" s="953"/>
    </row>
    <row r="9524" spans="1:8" x14ac:dyDescent="0.25">
      <c r="A9524" s="952"/>
      <c r="B9524" s="953"/>
      <c r="C9524" s="953"/>
      <c r="D9524" s="953"/>
      <c r="E9524" s="953"/>
      <c r="F9524" s="953"/>
      <c r="G9524" s="953"/>
      <c r="H9524" s="953"/>
    </row>
    <row r="9525" spans="1:8" x14ac:dyDescent="0.25">
      <c r="A9525" s="952"/>
      <c r="B9525" s="953"/>
      <c r="C9525" s="953"/>
      <c r="D9525" s="953"/>
      <c r="E9525" s="953"/>
      <c r="F9525" s="953"/>
      <c r="G9525" s="953"/>
      <c r="H9525" s="953"/>
    </row>
    <row r="9526" spans="1:8" x14ac:dyDescent="0.25">
      <c r="A9526" s="952"/>
      <c r="B9526" s="953"/>
      <c r="C9526" s="953"/>
      <c r="D9526" s="953"/>
      <c r="E9526" s="953"/>
      <c r="F9526" s="953"/>
      <c r="G9526" s="953"/>
      <c r="H9526" s="953"/>
    </row>
    <row r="9527" spans="1:8" x14ac:dyDescent="0.25">
      <c r="A9527" s="952"/>
      <c r="B9527" s="953"/>
      <c r="C9527" s="953"/>
      <c r="D9527" s="953"/>
      <c r="E9527" s="953"/>
      <c r="F9527" s="953"/>
      <c r="G9527" s="953"/>
      <c r="H9527" s="953"/>
    </row>
    <row r="9528" spans="1:8" x14ac:dyDescent="0.25">
      <c r="A9528" s="952"/>
      <c r="B9528" s="953"/>
      <c r="C9528" s="953"/>
      <c r="D9528" s="953"/>
      <c r="E9528" s="953"/>
      <c r="F9528" s="953"/>
      <c r="G9528" s="953"/>
      <c r="H9528" s="953"/>
    </row>
    <row r="9529" spans="1:8" x14ac:dyDescent="0.25">
      <c r="A9529" s="952"/>
      <c r="B9529" s="953"/>
      <c r="C9529" s="953"/>
      <c r="D9529" s="953"/>
      <c r="E9529" s="953"/>
      <c r="F9529" s="953"/>
      <c r="G9529" s="953"/>
      <c r="H9529" s="953"/>
    </row>
    <row r="9530" spans="1:8" x14ac:dyDescent="0.25">
      <c r="A9530" s="952"/>
      <c r="B9530" s="953"/>
      <c r="C9530" s="953"/>
      <c r="D9530" s="953"/>
      <c r="E9530" s="953"/>
      <c r="F9530" s="953"/>
      <c r="G9530" s="953"/>
      <c r="H9530" s="953"/>
    </row>
    <row r="9531" spans="1:8" x14ac:dyDescent="0.25">
      <c r="A9531" s="952"/>
      <c r="B9531" s="953"/>
      <c r="C9531" s="953"/>
      <c r="D9531" s="953"/>
      <c r="E9531" s="953"/>
      <c r="F9531" s="953"/>
      <c r="G9531" s="953"/>
      <c r="H9531" s="953"/>
    </row>
    <row r="9532" spans="1:8" x14ac:dyDescent="0.25">
      <c r="A9532" s="952"/>
      <c r="B9532" s="953"/>
      <c r="C9532" s="953"/>
      <c r="D9532" s="953"/>
      <c r="E9532" s="953"/>
      <c r="F9532" s="953"/>
      <c r="G9532" s="953"/>
      <c r="H9532" s="953"/>
    </row>
    <row r="9533" spans="1:8" x14ac:dyDescent="0.25">
      <c r="A9533" s="952"/>
      <c r="B9533" s="953"/>
      <c r="C9533" s="953"/>
      <c r="D9533" s="953"/>
      <c r="E9533" s="953"/>
      <c r="F9533" s="953"/>
      <c r="G9533" s="953"/>
      <c r="H9533" s="953"/>
    </row>
    <row r="9534" spans="1:8" x14ac:dyDescent="0.25">
      <c r="A9534" s="952"/>
      <c r="B9534" s="953"/>
      <c r="C9534" s="953"/>
      <c r="D9534" s="953"/>
      <c r="E9534" s="953"/>
      <c r="F9534" s="953"/>
      <c r="G9534" s="953"/>
      <c r="H9534" s="953"/>
    </row>
    <row r="9535" spans="1:8" x14ac:dyDescent="0.25">
      <c r="A9535" s="952"/>
      <c r="B9535" s="953"/>
      <c r="C9535" s="953"/>
      <c r="D9535" s="953"/>
      <c r="E9535" s="953"/>
      <c r="F9535" s="953"/>
      <c r="G9535" s="953"/>
      <c r="H9535" s="953"/>
    </row>
    <row r="9536" spans="1:8" x14ac:dyDescent="0.25">
      <c r="A9536" s="952"/>
      <c r="B9536" s="953"/>
      <c r="C9536" s="953"/>
      <c r="D9536" s="953"/>
      <c r="E9536" s="953"/>
      <c r="F9536" s="953"/>
      <c r="G9536" s="953"/>
      <c r="H9536" s="953"/>
    </row>
    <row r="9537" spans="1:8" x14ac:dyDescent="0.25">
      <c r="A9537" s="952"/>
      <c r="B9537" s="953"/>
      <c r="C9537" s="953"/>
      <c r="D9537" s="953"/>
      <c r="E9537" s="953"/>
      <c r="F9537" s="953"/>
      <c r="G9537" s="953"/>
      <c r="H9537" s="953"/>
    </row>
    <row r="9538" spans="1:8" x14ac:dyDescent="0.25">
      <c r="A9538" s="952"/>
      <c r="B9538" s="953"/>
      <c r="C9538" s="953"/>
      <c r="D9538" s="953"/>
      <c r="E9538" s="953"/>
      <c r="F9538" s="953"/>
      <c r="G9538" s="953"/>
      <c r="H9538" s="953"/>
    </row>
    <row r="9539" spans="1:8" x14ac:dyDescent="0.25">
      <c r="A9539" s="952"/>
      <c r="B9539" s="953"/>
      <c r="C9539" s="953"/>
      <c r="D9539" s="953"/>
      <c r="E9539" s="953"/>
      <c r="F9539" s="953"/>
      <c r="G9539" s="953"/>
      <c r="H9539" s="953"/>
    </row>
    <row r="9540" spans="1:8" x14ac:dyDescent="0.25">
      <c r="A9540" s="952"/>
      <c r="B9540" s="953"/>
      <c r="C9540" s="953"/>
      <c r="D9540" s="953"/>
      <c r="E9540" s="953"/>
      <c r="F9540" s="953"/>
      <c r="G9540" s="953"/>
      <c r="H9540" s="953"/>
    </row>
    <row r="9541" spans="1:8" x14ac:dyDescent="0.25">
      <c r="A9541" s="952"/>
      <c r="B9541" s="953"/>
      <c r="C9541" s="953"/>
      <c r="D9541" s="953"/>
      <c r="E9541" s="953"/>
      <c r="F9541" s="953"/>
      <c r="G9541" s="953"/>
      <c r="H9541" s="953"/>
    </row>
    <row r="9542" spans="1:8" x14ac:dyDescent="0.25">
      <c r="A9542" s="952"/>
      <c r="B9542" s="953"/>
      <c r="C9542" s="953"/>
      <c r="D9542" s="953"/>
      <c r="E9542" s="953"/>
      <c r="F9542" s="953"/>
      <c r="G9542" s="953"/>
      <c r="H9542" s="953"/>
    </row>
    <row r="9543" spans="1:8" x14ac:dyDescent="0.25">
      <c r="A9543" s="952"/>
      <c r="B9543" s="953"/>
      <c r="C9543" s="953"/>
      <c r="D9543" s="953"/>
      <c r="E9543" s="953"/>
      <c r="F9543" s="953"/>
      <c r="G9543" s="953"/>
      <c r="H9543" s="953"/>
    </row>
    <row r="9544" spans="1:8" x14ac:dyDescent="0.25">
      <c r="A9544" s="952"/>
      <c r="B9544" s="953"/>
      <c r="C9544" s="953"/>
      <c r="D9544" s="953"/>
      <c r="E9544" s="953"/>
      <c r="F9544" s="953"/>
      <c r="G9544" s="953"/>
      <c r="H9544" s="953"/>
    </row>
    <row r="9545" spans="1:8" x14ac:dyDescent="0.25">
      <c r="A9545" s="952"/>
      <c r="B9545" s="953"/>
      <c r="C9545" s="953"/>
      <c r="D9545" s="953"/>
      <c r="E9545" s="953"/>
      <c r="F9545" s="953"/>
      <c r="G9545" s="953"/>
      <c r="H9545" s="953"/>
    </row>
    <row r="9546" spans="1:8" x14ac:dyDescent="0.25">
      <c r="A9546" s="952"/>
      <c r="B9546" s="953"/>
      <c r="C9546" s="953"/>
      <c r="D9546" s="953"/>
      <c r="E9546" s="953"/>
      <c r="F9546" s="953"/>
      <c r="G9546" s="953"/>
      <c r="H9546" s="953"/>
    </row>
    <row r="9547" spans="1:8" x14ac:dyDescent="0.25">
      <c r="A9547" s="952"/>
      <c r="B9547" s="953"/>
      <c r="C9547" s="953"/>
      <c r="D9547" s="953"/>
      <c r="E9547" s="953"/>
      <c r="F9547" s="953"/>
      <c r="G9547" s="953"/>
      <c r="H9547" s="953"/>
    </row>
    <row r="9548" spans="1:8" x14ac:dyDescent="0.25">
      <c r="A9548" s="952"/>
      <c r="B9548" s="953"/>
      <c r="C9548" s="953"/>
      <c r="D9548" s="953"/>
      <c r="E9548" s="953"/>
      <c r="F9548" s="953"/>
      <c r="G9548" s="953"/>
      <c r="H9548" s="953"/>
    </row>
    <row r="9549" spans="1:8" x14ac:dyDescent="0.25">
      <c r="A9549" s="952"/>
      <c r="B9549" s="953"/>
      <c r="C9549" s="953"/>
      <c r="D9549" s="953"/>
      <c r="E9549" s="953"/>
      <c r="F9549" s="953"/>
      <c r="G9549" s="953"/>
      <c r="H9549" s="953"/>
    </row>
    <row r="9550" spans="1:8" x14ac:dyDescent="0.25">
      <c r="A9550" s="952"/>
      <c r="B9550" s="953"/>
      <c r="C9550" s="953"/>
      <c r="D9550" s="953"/>
      <c r="E9550" s="953"/>
      <c r="F9550" s="953"/>
      <c r="G9550" s="953"/>
      <c r="H9550" s="953"/>
    </row>
    <row r="9551" spans="1:8" x14ac:dyDescent="0.25">
      <c r="A9551" s="952"/>
      <c r="B9551" s="953"/>
      <c r="C9551" s="953"/>
      <c r="D9551" s="953"/>
      <c r="E9551" s="953"/>
      <c r="F9551" s="953"/>
      <c r="G9551" s="953"/>
      <c r="H9551" s="953"/>
    </row>
    <row r="9552" spans="1:8" x14ac:dyDescent="0.25">
      <c r="A9552" s="952"/>
      <c r="B9552" s="953"/>
      <c r="C9552" s="953"/>
      <c r="D9552" s="953"/>
      <c r="E9552" s="953"/>
      <c r="F9552" s="953"/>
      <c r="G9552" s="953"/>
      <c r="H9552" s="953"/>
    </row>
    <row r="9553" spans="1:8" x14ac:dyDescent="0.25">
      <c r="A9553" s="952"/>
      <c r="B9553" s="953"/>
      <c r="C9553" s="953"/>
      <c r="D9553" s="953"/>
      <c r="E9553" s="953"/>
      <c r="F9553" s="953"/>
      <c r="G9553" s="953"/>
      <c r="H9553" s="953"/>
    </row>
    <row r="9554" spans="1:8" x14ac:dyDescent="0.25">
      <c r="A9554" s="952"/>
      <c r="B9554" s="953"/>
      <c r="C9554" s="953"/>
      <c r="D9554" s="953"/>
      <c r="E9554" s="953"/>
      <c r="F9554" s="953"/>
      <c r="G9554" s="953"/>
      <c r="H9554" s="953"/>
    </row>
    <row r="9555" spans="1:8" x14ac:dyDescent="0.25">
      <c r="A9555" s="952"/>
      <c r="B9555" s="953"/>
      <c r="C9555" s="953"/>
      <c r="D9555" s="953"/>
      <c r="E9555" s="953"/>
      <c r="F9555" s="953"/>
      <c r="G9555" s="953"/>
      <c r="H9555" s="953"/>
    </row>
    <row r="9556" spans="1:8" x14ac:dyDescent="0.25">
      <c r="A9556" s="952"/>
      <c r="B9556" s="953"/>
      <c r="C9556" s="953"/>
      <c r="D9556" s="953"/>
      <c r="E9556" s="953"/>
      <c r="F9556" s="953"/>
      <c r="G9556" s="953"/>
      <c r="H9556" s="953"/>
    </row>
    <row r="9557" spans="1:8" x14ac:dyDescent="0.25">
      <c r="A9557" s="952"/>
      <c r="B9557" s="953"/>
      <c r="C9557" s="953"/>
      <c r="D9557" s="953"/>
      <c r="E9557" s="953"/>
      <c r="F9557" s="953"/>
      <c r="G9557" s="953"/>
      <c r="H9557" s="953"/>
    </row>
    <row r="9558" spans="1:8" x14ac:dyDescent="0.25">
      <c r="A9558" s="952"/>
      <c r="B9558" s="953"/>
      <c r="C9558" s="953"/>
      <c r="D9558" s="953"/>
      <c r="E9558" s="953"/>
      <c r="F9558" s="953"/>
      <c r="G9558" s="953"/>
      <c r="H9558" s="953"/>
    </row>
    <row r="9559" spans="1:8" x14ac:dyDescent="0.25">
      <c r="A9559" s="952"/>
      <c r="B9559" s="953"/>
      <c r="C9559" s="953"/>
      <c r="D9559" s="953"/>
      <c r="E9559" s="953"/>
      <c r="F9559" s="953"/>
      <c r="G9559" s="953"/>
      <c r="H9559" s="953"/>
    </row>
    <row r="9560" spans="1:8" x14ac:dyDescent="0.25">
      <c r="A9560" s="952"/>
      <c r="B9560" s="953"/>
      <c r="C9560" s="953"/>
      <c r="D9560" s="953"/>
      <c r="E9560" s="953"/>
      <c r="F9560" s="953"/>
      <c r="G9560" s="953"/>
      <c r="H9560" s="953"/>
    </row>
    <row r="9561" spans="1:8" x14ac:dyDescent="0.25">
      <c r="A9561" s="952"/>
      <c r="B9561" s="953"/>
      <c r="C9561" s="953"/>
      <c r="D9561" s="953"/>
      <c r="E9561" s="953"/>
      <c r="F9561" s="953"/>
      <c r="G9561" s="953"/>
      <c r="H9561" s="953"/>
    </row>
    <row r="9562" spans="1:8" x14ac:dyDescent="0.25">
      <c r="A9562" s="952"/>
      <c r="B9562" s="953"/>
      <c r="C9562" s="953"/>
      <c r="D9562" s="953"/>
      <c r="E9562" s="953"/>
      <c r="F9562" s="953"/>
      <c r="G9562" s="953"/>
      <c r="H9562" s="953"/>
    </row>
    <row r="9563" spans="1:8" x14ac:dyDescent="0.25">
      <c r="A9563" s="952"/>
      <c r="B9563" s="953"/>
      <c r="C9563" s="953"/>
      <c r="D9563" s="953"/>
      <c r="E9563" s="953"/>
      <c r="F9563" s="953"/>
      <c r="G9563" s="953"/>
      <c r="H9563" s="953"/>
    </row>
    <row r="9564" spans="1:8" x14ac:dyDescent="0.25">
      <c r="A9564" s="952"/>
      <c r="B9564" s="953"/>
      <c r="C9564" s="953"/>
      <c r="D9564" s="953"/>
      <c r="E9564" s="953"/>
      <c r="F9564" s="953"/>
      <c r="G9564" s="953"/>
      <c r="H9564" s="953"/>
    </row>
    <row r="9565" spans="1:8" x14ac:dyDescent="0.25">
      <c r="A9565" s="952"/>
      <c r="B9565" s="953"/>
      <c r="C9565" s="953"/>
      <c r="D9565" s="953"/>
      <c r="E9565" s="953"/>
      <c r="F9565" s="953"/>
      <c r="G9565" s="953"/>
      <c r="H9565" s="953"/>
    </row>
    <row r="9566" spans="1:8" x14ac:dyDescent="0.25">
      <c r="A9566" s="952"/>
      <c r="B9566" s="953"/>
      <c r="C9566" s="953"/>
      <c r="D9566" s="953"/>
      <c r="E9566" s="953"/>
      <c r="F9566" s="953"/>
      <c r="G9566" s="953"/>
      <c r="H9566" s="953"/>
    </row>
    <row r="9567" spans="1:8" x14ac:dyDescent="0.25">
      <c r="A9567" s="952"/>
      <c r="B9567" s="953"/>
      <c r="C9567" s="953"/>
      <c r="D9567" s="953"/>
      <c r="E9567" s="953"/>
      <c r="F9567" s="953"/>
      <c r="G9567" s="953"/>
      <c r="H9567" s="953"/>
    </row>
    <row r="9568" spans="1:8" x14ac:dyDescent="0.25">
      <c r="A9568" s="952"/>
      <c r="B9568" s="953"/>
      <c r="C9568" s="953"/>
      <c r="D9568" s="953"/>
      <c r="E9568" s="953"/>
      <c r="F9568" s="953"/>
      <c r="G9568" s="953"/>
      <c r="H9568" s="953"/>
    </row>
    <row r="9569" spans="1:8" x14ac:dyDescent="0.25">
      <c r="A9569" s="952"/>
      <c r="B9569" s="953"/>
      <c r="C9569" s="953"/>
      <c r="D9569" s="953"/>
      <c r="E9569" s="953"/>
      <c r="F9569" s="953"/>
      <c r="G9569" s="953"/>
      <c r="H9569" s="953"/>
    </row>
    <row r="9570" spans="1:8" x14ac:dyDescent="0.25">
      <c r="A9570" s="952"/>
      <c r="B9570" s="953"/>
      <c r="C9570" s="953"/>
      <c r="D9570" s="953"/>
      <c r="E9570" s="953"/>
      <c r="F9570" s="953"/>
      <c r="G9570" s="953"/>
      <c r="H9570" s="953"/>
    </row>
    <row r="9571" spans="1:8" x14ac:dyDescent="0.25">
      <c r="A9571" s="952"/>
      <c r="B9571" s="953"/>
      <c r="C9571" s="953"/>
      <c r="D9571" s="953"/>
      <c r="E9571" s="953"/>
      <c r="F9571" s="953"/>
      <c r="G9571" s="953"/>
      <c r="H9571" s="953"/>
    </row>
    <row r="9572" spans="1:8" x14ac:dyDescent="0.25">
      <c r="A9572" s="952"/>
      <c r="B9572" s="953"/>
      <c r="C9572" s="953"/>
      <c r="D9572" s="953"/>
      <c r="E9572" s="953"/>
      <c r="F9572" s="953"/>
      <c r="G9572" s="953"/>
      <c r="H9572" s="953"/>
    </row>
    <row r="9573" spans="1:8" x14ac:dyDescent="0.25">
      <c r="A9573" s="952"/>
      <c r="B9573" s="953"/>
      <c r="C9573" s="953"/>
      <c r="D9573" s="953"/>
      <c r="E9573" s="953"/>
      <c r="F9573" s="953"/>
      <c r="G9573" s="953"/>
      <c r="H9573" s="953"/>
    </row>
    <row r="9574" spans="1:8" x14ac:dyDescent="0.25">
      <c r="A9574" s="952"/>
      <c r="B9574" s="953"/>
      <c r="C9574" s="953"/>
      <c r="D9574" s="953"/>
      <c r="E9574" s="953"/>
      <c r="F9574" s="953"/>
      <c r="G9574" s="953"/>
      <c r="H9574" s="953"/>
    </row>
    <row r="9575" spans="1:8" x14ac:dyDescent="0.25">
      <c r="A9575" s="952"/>
      <c r="B9575" s="953"/>
      <c r="C9575" s="953"/>
      <c r="D9575" s="953"/>
      <c r="E9575" s="953"/>
      <c r="F9575" s="953"/>
      <c r="G9575" s="953"/>
      <c r="H9575" s="953"/>
    </row>
    <row r="9576" spans="1:8" x14ac:dyDescent="0.25">
      <c r="A9576" s="952"/>
      <c r="B9576" s="953"/>
      <c r="C9576" s="953"/>
      <c r="D9576" s="953"/>
      <c r="E9576" s="953"/>
      <c r="F9576" s="953"/>
      <c r="G9576" s="953"/>
      <c r="H9576" s="953"/>
    </row>
    <row r="9577" spans="1:8" x14ac:dyDescent="0.25">
      <c r="A9577" s="952"/>
      <c r="B9577" s="953"/>
      <c r="C9577" s="953"/>
      <c r="D9577" s="953"/>
      <c r="E9577" s="953"/>
      <c r="F9577" s="953"/>
      <c r="G9577" s="953"/>
      <c r="H9577" s="953"/>
    </row>
    <row r="9578" spans="1:8" x14ac:dyDescent="0.25">
      <c r="A9578" s="952"/>
      <c r="B9578" s="953"/>
      <c r="C9578" s="953"/>
      <c r="D9578" s="953"/>
      <c r="E9578" s="953"/>
      <c r="F9578" s="953"/>
      <c r="G9578" s="953"/>
      <c r="H9578" s="953"/>
    </row>
    <row r="9579" spans="1:8" x14ac:dyDescent="0.25">
      <c r="A9579" s="952"/>
      <c r="B9579" s="953"/>
      <c r="C9579" s="953"/>
      <c r="D9579" s="953"/>
      <c r="E9579" s="953"/>
      <c r="F9579" s="953"/>
      <c r="G9579" s="953"/>
      <c r="H9579" s="953"/>
    </row>
    <row r="9580" spans="1:8" x14ac:dyDescent="0.25">
      <c r="A9580" s="952"/>
      <c r="B9580" s="953"/>
      <c r="C9580" s="953"/>
      <c r="D9580" s="953"/>
      <c r="E9580" s="953"/>
      <c r="F9580" s="953"/>
      <c r="G9580" s="953"/>
      <c r="H9580" s="953"/>
    </row>
    <row r="9581" spans="1:8" x14ac:dyDescent="0.25">
      <c r="A9581" s="952"/>
      <c r="B9581" s="953"/>
      <c r="C9581" s="953"/>
      <c r="D9581" s="953"/>
      <c r="E9581" s="953"/>
      <c r="F9581" s="953"/>
      <c r="G9581" s="953"/>
      <c r="H9581" s="953"/>
    </row>
    <row r="9582" spans="1:8" x14ac:dyDescent="0.25">
      <c r="A9582" s="952"/>
      <c r="B9582" s="953"/>
      <c r="C9582" s="953"/>
      <c r="D9582" s="953"/>
      <c r="E9582" s="953"/>
      <c r="F9582" s="953"/>
      <c r="G9582" s="953"/>
      <c r="H9582" s="953"/>
    </row>
    <row r="9583" spans="1:8" x14ac:dyDescent="0.25">
      <c r="A9583" s="952"/>
      <c r="B9583" s="953"/>
      <c r="C9583" s="953"/>
      <c r="D9583" s="953"/>
      <c r="E9583" s="953"/>
      <c r="F9583" s="953"/>
      <c r="G9583" s="953"/>
      <c r="H9583" s="953"/>
    </row>
    <row r="9584" spans="1:8" x14ac:dyDescent="0.25">
      <c r="A9584" s="952"/>
      <c r="B9584" s="953"/>
      <c r="C9584" s="953"/>
      <c r="D9584" s="953"/>
      <c r="E9584" s="953"/>
      <c r="F9584" s="953"/>
      <c r="G9584" s="953"/>
      <c r="H9584" s="953"/>
    </row>
    <row r="9585" spans="1:8" x14ac:dyDescent="0.25">
      <c r="A9585" s="952"/>
      <c r="B9585" s="953"/>
      <c r="C9585" s="953"/>
      <c r="D9585" s="953"/>
      <c r="E9585" s="953"/>
      <c r="F9585" s="953"/>
      <c r="G9585" s="953"/>
      <c r="H9585" s="953"/>
    </row>
    <row r="9586" spans="1:8" x14ac:dyDescent="0.25">
      <c r="A9586" s="952"/>
      <c r="B9586" s="953"/>
      <c r="C9586" s="953"/>
      <c r="D9586" s="953"/>
      <c r="E9586" s="953"/>
      <c r="F9586" s="953"/>
      <c r="G9586" s="953"/>
      <c r="H9586" s="953"/>
    </row>
    <row r="9587" spans="1:8" x14ac:dyDescent="0.25">
      <c r="A9587" s="952"/>
      <c r="B9587" s="953"/>
      <c r="C9587" s="953"/>
      <c r="D9587" s="953"/>
      <c r="E9587" s="953"/>
      <c r="F9587" s="953"/>
      <c r="G9587" s="953"/>
      <c r="H9587" s="953"/>
    </row>
    <row r="9588" spans="1:8" x14ac:dyDescent="0.25">
      <c r="A9588" s="952"/>
      <c r="B9588" s="953"/>
      <c r="C9588" s="953"/>
      <c r="D9588" s="953"/>
      <c r="E9588" s="953"/>
      <c r="F9588" s="953"/>
      <c r="G9588" s="953"/>
      <c r="H9588" s="953"/>
    </row>
    <row r="9589" spans="1:8" x14ac:dyDescent="0.25">
      <c r="A9589" s="952"/>
      <c r="B9589" s="953"/>
      <c r="C9589" s="953"/>
      <c r="D9589" s="953"/>
      <c r="E9589" s="953"/>
      <c r="F9589" s="953"/>
      <c r="G9589" s="953"/>
      <c r="H9589" s="953"/>
    </row>
    <row r="9590" spans="1:8" x14ac:dyDescent="0.25">
      <c r="A9590" s="952"/>
      <c r="B9590" s="953"/>
      <c r="C9590" s="953"/>
      <c r="D9590" s="953"/>
      <c r="E9590" s="953"/>
      <c r="F9590" s="953"/>
      <c r="G9590" s="953"/>
      <c r="H9590" s="953"/>
    </row>
    <row r="9591" spans="1:8" x14ac:dyDescent="0.25">
      <c r="A9591" s="952"/>
      <c r="B9591" s="953"/>
      <c r="C9591" s="953"/>
      <c r="D9591" s="953"/>
      <c r="E9591" s="953"/>
      <c r="F9591" s="953"/>
      <c r="G9591" s="953"/>
      <c r="H9591" s="953"/>
    </row>
    <row r="9592" spans="1:8" x14ac:dyDescent="0.25">
      <c r="A9592" s="952"/>
      <c r="B9592" s="953"/>
      <c r="C9592" s="953"/>
      <c r="D9592" s="953"/>
      <c r="E9592" s="953"/>
      <c r="F9592" s="953"/>
      <c r="G9592" s="953"/>
      <c r="H9592" s="953"/>
    </row>
    <row r="9593" spans="1:8" x14ac:dyDescent="0.25">
      <c r="A9593" s="952"/>
      <c r="B9593" s="953"/>
      <c r="C9593" s="953"/>
      <c r="D9593" s="953"/>
      <c r="E9593" s="953"/>
      <c r="F9593" s="953"/>
      <c r="G9593" s="953"/>
      <c r="H9593" s="953"/>
    </row>
    <row r="9594" spans="1:8" x14ac:dyDescent="0.25">
      <c r="A9594" s="952"/>
      <c r="B9594" s="953"/>
      <c r="C9594" s="953"/>
      <c r="D9594" s="953"/>
      <c r="E9594" s="953"/>
      <c r="F9594" s="953"/>
      <c r="G9594" s="953"/>
      <c r="H9594" s="953"/>
    </row>
    <row r="9595" spans="1:8" x14ac:dyDescent="0.25">
      <c r="A9595" s="952"/>
      <c r="B9595" s="953"/>
      <c r="C9595" s="953"/>
      <c r="D9595" s="953"/>
      <c r="E9595" s="953"/>
      <c r="F9595" s="953"/>
      <c r="G9595" s="953"/>
      <c r="H9595" s="953"/>
    </row>
    <row r="9596" spans="1:8" x14ac:dyDescent="0.25">
      <c r="A9596" s="952"/>
      <c r="B9596" s="953"/>
      <c r="C9596" s="953"/>
      <c r="D9596" s="953"/>
      <c r="E9596" s="953"/>
      <c r="F9596" s="953"/>
      <c r="G9596" s="953"/>
      <c r="H9596" s="953"/>
    </row>
    <row r="9597" spans="1:8" x14ac:dyDescent="0.25">
      <c r="A9597" s="952"/>
      <c r="B9597" s="953"/>
      <c r="C9597" s="953"/>
      <c r="D9597" s="953"/>
      <c r="E9597" s="953"/>
      <c r="F9597" s="953"/>
      <c r="G9597" s="953"/>
      <c r="H9597" s="953"/>
    </row>
    <row r="9598" spans="1:8" x14ac:dyDescent="0.25">
      <c r="A9598" s="952"/>
      <c r="B9598" s="953"/>
      <c r="C9598" s="953"/>
      <c r="D9598" s="953"/>
      <c r="E9598" s="953"/>
      <c r="F9598" s="953"/>
      <c r="G9598" s="953"/>
      <c r="H9598" s="953"/>
    </row>
    <row r="9599" spans="1:8" x14ac:dyDescent="0.25">
      <c r="A9599" s="952"/>
      <c r="B9599" s="953"/>
      <c r="C9599" s="953"/>
      <c r="D9599" s="953"/>
      <c r="E9599" s="953"/>
      <c r="F9599" s="953"/>
      <c r="G9599" s="953"/>
      <c r="H9599" s="953"/>
    </row>
    <row r="9600" spans="1:8" x14ac:dyDescent="0.25">
      <c r="A9600" s="952"/>
      <c r="B9600" s="953"/>
      <c r="C9600" s="953"/>
      <c r="D9600" s="953"/>
      <c r="E9600" s="953"/>
      <c r="F9600" s="953"/>
      <c r="G9600" s="953"/>
      <c r="H9600" s="953"/>
    </row>
    <row r="9601" spans="1:8" x14ac:dyDescent="0.25">
      <c r="A9601" s="952"/>
      <c r="B9601" s="953"/>
      <c r="C9601" s="953"/>
      <c r="D9601" s="953"/>
      <c r="E9601" s="953"/>
      <c r="F9601" s="953"/>
      <c r="G9601" s="953"/>
      <c r="H9601" s="953"/>
    </row>
    <row r="9602" spans="1:8" x14ac:dyDescent="0.25">
      <c r="A9602" s="952"/>
      <c r="B9602" s="953"/>
      <c r="C9602" s="953"/>
      <c r="D9602" s="953"/>
      <c r="E9602" s="953"/>
      <c r="F9602" s="953"/>
      <c r="G9602" s="953"/>
      <c r="H9602" s="953"/>
    </row>
    <row r="9603" spans="1:8" x14ac:dyDescent="0.25">
      <c r="A9603" s="952"/>
      <c r="B9603" s="953"/>
      <c r="C9603" s="953"/>
      <c r="D9603" s="953"/>
      <c r="E9603" s="953"/>
      <c r="F9603" s="953"/>
      <c r="G9603" s="953"/>
      <c r="H9603" s="953"/>
    </row>
    <row r="9604" spans="1:8" x14ac:dyDescent="0.25">
      <c r="A9604" s="952"/>
      <c r="B9604" s="953"/>
      <c r="C9604" s="953"/>
      <c r="D9604" s="953"/>
      <c r="E9604" s="953"/>
      <c r="F9604" s="953"/>
      <c r="G9604" s="953"/>
      <c r="H9604" s="953"/>
    </row>
    <row r="9605" spans="1:8" x14ac:dyDescent="0.25">
      <c r="A9605" s="952"/>
      <c r="B9605" s="953"/>
      <c r="C9605" s="953"/>
      <c r="D9605" s="953"/>
      <c r="E9605" s="953"/>
      <c r="F9605" s="953"/>
      <c r="G9605" s="953"/>
      <c r="H9605" s="953"/>
    </row>
    <row r="9606" spans="1:8" x14ac:dyDescent="0.25">
      <c r="A9606" s="952"/>
      <c r="B9606" s="953"/>
      <c r="C9606" s="953"/>
      <c r="D9606" s="953"/>
      <c r="E9606" s="953"/>
      <c r="F9606" s="953"/>
      <c r="G9606" s="953"/>
      <c r="H9606" s="953"/>
    </row>
    <row r="9607" spans="1:8" x14ac:dyDescent="0.25">
      <c r="A9607" s="952"/>
      <c r="B9607" s="953"/>
      <c r="C9607" s="953"/>
      <c r="D9607" s="953"/>
      <c r="E9607" s="953"/>
      <c r="F9607" s="953"/>
      <c r="G9607" s="953"/>
      <c r="H9607" s="953"/>
    </row>
    <row r="9608" spans="1:8" x14ac:dyDescent="0.25">
      <c r="A9608" s="952"/>
      <c r="B9608" s="953"/>
      <c r="C9608" s="953"/>
      <c r="D9608" s="953"/>
      <c r="E9608" s="953"/>
      <c r="F9608" s="953"/>
      <c r="G9608" s="953"/>
      <c r="H9608" s="953"/>
    </row>
    <row r="9609" spans="1:8" x14ac:dyDescent="0.25">
      <c r="A9609" s="952"/>
      <c r="B9609" s="953"/>
      <c r="C9609" s="953"/>
      <c r="D9609" s="953"/>
      <c r="E9609" s="953"/>
      <c r="F9609" s="953"/>
      <c r="G9609" s="953"/>
      <c r="H9609" s="953"/>
    </row>
    <row r="9610" spans="1:8" x14ac:dyDescent="0.25">
      <c r="A9610" s="952"/>
      <c r="B9610" s="953"/>
      <c r="C9610" s="953"/>
      <c r="D9610" s="953"/>
      <c r="E9610" s="953"/>
      <c r="F9610" s="953"/>
      <c r="G9610" s="953"/>
      <c r="H9610" s="953"/>
    </row>
    <row r="9611" spans="1:8" x14ac:dyDescent="0.25">
      <c r="A9611" s="952"/>
      <c r="B9611" s="953"/>
      <c r="C9611" s="953"/>
      <c r="D9611" s="953"/>
      <c r="E9611" s="953"/>
      <c r="F9611" s="953"/>
      <c r="G9611" s="953"/>
      <c r="H9611" s="953"/>
    </row>
    <row r="9612" spans="1:8" x14ac:dyDescent="0.25">
      <c r="A9612" s="952"/>
      <c r="B9612" s="953"/>
      <c r="C9612" s="953"/>
      <c r="D9612" s="953"/>
      <c r="E9612" s="953"/>
      <c r="F9612" s="953"/>
      <c r="G9612" s="953"/>
      <c r="H9612" s="953"/>
    </row>
    <row r="9613" spans="1:8" x14ac:dyDescent="0.25">
      <c r="A9613" s="952"/>
      <c r="B9613" s="953"/>
      <c r="C9613" s="953"/>
      <c r="D9613" s="953"/>
      <c r="E9613" s="953"/>
      <c r="F9613" s="953"/>
      <c r="G9613" s="953"/>
      <c r="H9613" s="953"/>
    </row>
    <row r="9614" spans="1:8" x14ac:dyDescent="0.25">
      <c r="A9614" s="952"/>
      <c r="B9614" s="953"/>
      <c r="C9614" s="953"/>
      <c r="D9614" s="953"/>
      <c r="E9614" s="953"/>
      <c r="F9614" s="953"/>
      <c r="G9614" s="953"/>
      <c r="H9614" s="953"/>
    </row>
    <row r="9615" spans="1:8" x14ac:dyDescent="0.25">
      <c r="A9615" s="952"/>
      <c r="B9615" s="953"/>
      <c r="C9615" s="953"/>
      <c r="D9615" s="953"/>
      <c r="E9615" s="953"/>
      <c r="F9615" s="953"/>
      <c r="G9615" s="953"/>
      <c r="H9615" s="953"/>
    </row>
    <row r="9616" spans="1:8" x14ac:dyDescent="0.25">
      <c r="A9616" s="952"/>
      <c r="B9616" s="953"/>
      <c r="C9616" s="953"/>
      <c r="D9616" s="953"/>
      <c r="E9616" s="953"/>
      <c r="F9616" s="953"/>
      <c r="G9616" s="953"/>
      <c r="H9616" s="953"/>
    </row>
    <row r="9617" spans="1:8" x14ac:dyDescent="0.25">
      <c r="A9617" s="952"/>
      <c r="B9617" s="953"/>
      <c r="C9617" s="953"/>
      <c r="D9617" s="953"/>
      <c r="E9617" s="953"/>
      <c r="F9617" s="953"/>
      <c r="G9617" s="953"/>
      <c r="H9617" s="953"/>
    </row>
    <row r="9618" spans="1:8" x14ac:dyDescent="0.25">
      <c r="A9618" s="952"/>
      <c r="B9618" s="953"/>
      <c r="C9618" s="953"/>
      <c r="D9618" s="953"/>
      <c r="E9618" s="953"/>
      <c r="F9618" s="953"/>
      <c r="G9618" s="953"/>
      <c r="H9618" s="953"/>
    </row>
    <row r="9619" spans="1:8" x14ac:dyDescent="0.25">
      <c r="A9619" s="952"/>
      <c r="B9619" s="953"/>
      <c r="C9619" s="953"/>
      <c r="D9619" s="953"/>
      <c r="E9619" s="953"/>
      <c r="F9619" s="953"/>
      <c r="G9619" s="953"/>
      <c r="H9619" s="953"/>
    </row>
    <row r="9620" spans="1:8" x14ac:dyDescent="0.25">
      <c r="A9620" s="952"/>
      <c r="B9620" s="953"/>
      <c r="C9620" s="953"/>
      <c r="D9620" s="953"/>
      <c r="E9620" s="953"/>
      <c r="F9620" s="953"/>
      <c r="G9620" s="953"/>
      <c r="H9620" s="953"/>
    </row>
    <row r="9621" spans="1:8" x14ac:dyDescent="0.25">
      <c r="A9621" s="952"/>
      <c r="B9621" s="953"/>
      <c r="C9621" s="953"/>
      <c r="D9621" s="953"/>
      <c r="E9621" s="953"/>
      <c r="F9621" s="953"/>
      <c r="G9621" s="953"/>
      <c r="H9621" s="953"/>
    </row>
    <row r="9622" spans="1:8" x14ac:dyDescent="0.25">
      <c r="A9622" s="952"/>
      <c r="B9622" s="953"/>
      <c r="C9622" s="953"/>
      <c r="D9622" s="953"/>
      <c r="E9622" s="953"/>
      <c r="F9622" s="953"/>
      <c r="G9622" s="953"/>
      <c r="H9622" s="953"/>
    </row>
    <row r="9623" spans="1:8" x14ac:dyDescent="0.25">
      <c r="A9623" s="952"/>
      <c r="B9623" s="953"/>
      <c r="C9623" s="953"/>
      <c r="D9623" s="953"/>
      <c r="E9623" s="953"/>
      <c r="F9623" s="953"/>
      <c r="G9623" s="953"/>
      <c r="H9623" s="953"/>
    </row>
    <row r="9624" spans="1:8" x14ac:dyDescent="0.25">
      <c r="A9624" s="952"/>
      <c r="B9624" s="953"/>
      <c r="C9624" s="953"/>
      <c r="D9624" s="953"/>
      <c r="E9624" s="953"/>
      <c r="F9624" s="953"/>
      <c r="G9624" s="953"/>
      <c r="H9624" s="953"/>
    </row>
    <row r="9625" spans="1:8" x14ac:dyDescent="0.25">
      <c r="A9625" s="952"/>
      <c r="B9625" s="953"/>
      <c r="C9625" s="953"/>
      <c r="D9625" s="953"/>
      <c r="E9625" s="953"/>
      <c r="F9625" s="953"/>
      <c r="G9625" s="953"/>
      <c r="H9625" s="953"/>
    </row>
    <row r="9626" spans="1:8" x14ac:dyDescent="0.25">
      <c r="A9626" s="952"/>
      <c r="B9626" s="953"/>
      <c r="C9626" s="953"/>
      <c r="D9626" s="953"/>
      <c r="E9626" s="953"/>
      <c r="F9626" s="953"/>
      <c r="G9626" s="953"/>
      <c r="H9626" s="953"/>
    </row>
    <row r="9627" spans="1:8" x14ac:dyDescent="0.25">
      <c r="A9627" s="952"/>
      <c r="B9627" s="953"/>
      <c r="C9627" s="953"/>
      <c r="D9627" s="953"/>
      <c r="E9627" s="953"/>
      <c r="F9627" s="953"/>
      <c r="G9627" s="953"/>
      <c r="H9627" s="953"/>
    </row>
    <row r="9628" spans="1:8" x14ac:dyDescent="0.25">
      <c r="A9628" s="952"/>
      <c r="B9628" s="953"/>
      <c r="C9628" s="953"/>
      <c r="D9628" s="953"/>
      <c r="E9628" s="953"/>
      <c r="F9628" s="953"/>
      <c r="G9628" s="953"/>
      <c r="H9628" s="953"/>
    </row>
    <row r="9629" spans="1:8" x14ac:dyDescent="0.25">
      <c r="A9629" s="952"/>
      <c r="B9629" s="953"/>
      <c r="C9629" s="953"/>
      <c r="D9629" s="953"/>
      <c r="E9629" s="953"/>
      <c r="F9629" s="953"/>
      <c r="G9629" s="953"/>
      <c r="H9629" s="953"/>
    </row>
    <row r="9630" spans="1:8" x14ac:dyDescent="0.25">
      <c r="A9630" s="952"/>
      <c r="B9630" s="953"/>
      <c r="C9630" s="953"/>
      <c r="D9630" s="953"/>
      <c r="E9630" s="953"/>
      <c r="F9630" s="953"/>
      <c r="G9630" s="953"/>
      <c r="H9630" s="953"/>
    </row>
    <row r="9631" spans="1:8" x14ac:dyDescent="0.25">
      <c r="A9631" s="952"/>
      <c r="B9631" s="953"/>
      <c r="C9631" s="953"/>
      <c r="D9631" s="953"/>
      <c r="E9631" s="953"/>
      <c r="F9631" s="953"/>
      <c r="G9631" s="953"/>
      <c r="H9631" s="953"/>
    </row>
    <row r="9632" spans="1:8" x14ac:dyDescent="0.25">
      <c r="A9632" s="952"/>
      <c r="B9632" s="953"/>
      <c r="C9632" s="953"/>
      <c r="D9632" s="953"/>
      <c r="E9632" s="953"/>
      <c r="F9632" s="953"/>
      <c r="G9632" s="953"/>
      <c r="H9632" s="953"/>
    </row>
    <row r="9633" spans="1:8" x14ac:dyDescent="0.25">
      <c r="A9633" s="952"/>
      <c r="B9633" s="953"/>
      <c r="C9633" s="953"/>
      <c r="D9633" s="953"/>
      <c r="E9633" s="953"/>
      <c r="F9633" s="953"/>
      <c r="G9633" s="953"/>
      <c r="H9633" s="953"/>
    </row>
    <row r="9634" spans="1:8" x14ac:dyDescent="0.25">
      <c r="A9634" s="952"/>
      <c r="B9634" s="953"/>
      <c r="C9634" s="953"/>
      <c r="D9634" s="953"/>
      <c r="E9634" s="953"/>
      <c r="F9634" s="953"/>
      <c r="G9634" s="953"/>
      <c r="H9634" s="953"/>
    </row>
    <row r="9635" spans="1:8" x14ac:dyDescent="0.25">
      <c r="A9635" s="952"/>
      <c r="B9635" s="953"/>
      <c r="C9635" s="953"/>
      <c r="D9635" s="953"/>
      <c r="E9635" s="953"/>
      <c r="F9635" s="953"/>
      <c r="G9635" s="953"/>
      <c r="H9635" s="953"/>
    </row>
    <row r="9636" spans="1:8" x14ac:dyDescent="0.25">
      <c r="A9636" s="952"/>
      <c r="B9636" s="953"/>
      <c r="C9636" s="953"/>
      <c r="D9636" s="953"/>
      <c r="E9636" s="953"/>
      <c r="F9636" s="953"/>
      <c r="G9636" s="953"/>
      <c r="H9636" s="953"/>
    </row>
    <row r="9637" spans="1:8" x14ac:dyDescent="0.25">
      <c r="A9637" s="952"/>
      <c r="B9637" s="953"/>
      <c r="C9637" s="953"/>
      <c r="D9637" s="953"/>
      <c r="E9637" s="953"/>
      <c r="F9637" s="953"/>
      <c r="G9637" s="953"/>
      <c r="H9637" s="953"/>
    </row>
    <row r="9638" spans="1:8" x14ac:dyDescent="0.25">
      <c r="A9638" s="952"/>
      <c r="B9638" s="953"/>
      <c r="C9638" s="953"/>
      <c r="D9638" s="953"/>
      <c r="E9638" s="953"/>
      <c r="F9638" s="953"/>
      <c r="G9638" s="953"/>
      <c r="H9638" s="953"/>
    </row>
    <row r="9639" spans="1:8" x14ac:dyDescent="0.25">
      <c r="A9639" s="952"/>
      <c r="B9639" s="953"/>
      <c r="C9639" s="953"/>
      <c r="D9639" s="953"/>
      <c r="E9639" s="953"/>
      <c r="F9639" s="953"/>
      <c r="G9639" s="953"/>
      <c r="H9639" s="953"/>
    </row>
    <row r="9640" spans="1:8" x14ac:dyDescent="0.25">
      <c r="A9640" s="952"/>
      <c r="B9640" s="953"/>
      <c r="C9640" s="953"/>
      <c r="D9640" s="953"/>
      <c r="E9640" s="953"/>
      <c r="F9640" s="953"/>
      <c r="G9640" s="953"/>
      <c r="H9640" s="953"/>
    </row>
    <row r="9641" spans="1:8" x14ac:dyDescent="0.25">
      <c r="A9641" s="952"/>
      <c r="B9641" s="953"/>
      <c r="C9641" s="953"/>
      <c r="D9641" s="953"/>
      <c r="E9641" s="953"/>
      <c r="F9641" s="953"/>
      <c r="G9641" s="953"/>
      <c r="H9641" s="953"/>
    </row>
    <row r="9642" spans="1:8" x14ac:dyDescent="0.25">
      <c r="A9642" s="952"/>
      <c r="B9642" s="953"/>
      <c r="C9642" s="953"/>
      <c r="D9642" s="953"/>
      <c r="E9642" s="953"/>
      <c r="F9642" s="953"/>
      <c r="G9642" s="953"/>
      <c r="H9642" s="953"/>
    </row>
    <row r="9643" spans="1:8" x14ac:dyDescent="0.25">
      <c r="A9643" s="952"/>
      <c r="B9643" s="953"/>
      <c r="C9643" s="953"/>
      <c r="D9643" s="953"/>
      <c r="E9643" s="953"/>
      <c r="F9643" s="953"/>
      <c r="G9643" s="953"/>
      <c r="H9643" s="953"/>
    </row>
    <row r="9644" spans="1:8" x14ac:dyDescent="0.25">
      <c r="A9644" s="952"/>
      <c r="B9644" s="953"/>
      <c r="C9644" s="953"/>
      <c r="D9644" s="953"/>
      <c r="E9644" s="953"/>
      <c r="F9644" s="953"/>
      <c r="G9644" s="953"/>
      <c r="H9644" s="953"/>
    </row>
    <row r="9645" spans="1:8" x14ac:dyDescent="0.25">
      <c r="A9645" s="952"/>
      <c r="B9645" s="953"/>
      <c r="C9645" s="953"/>
      <c r="D9645" s="953"/>
      <c r="E9645" s="953"/>
      <c r="F9645" s="953"/>
      <c r="G9645" s="953"/>
      <c r="H9645" s="953"/>
    </row>
    <row r="9646" spans="1:8" x14ac:dyDescent="0.25">
      <c r="A9646" s="952"/>
      <c r="B9646" s="953"/>
      <c r="C9646" s="953"/>
      <c r="D9646" s="953"/>
      <c r="E9646" s="953"/>
      <c r="F9646" s="953"/>
      <c r="G9646" s="953"/>
      <c r="H9646" s="953"/>
    </row>
    <row r="9647" spans="1:8" x14ac:dyDescent="0.25">
      <c r="A9647" s="952"/>
      <c r="B9647" s="953"/>
      <c r="C9647" s="953"/>
      <c r="D9647" s="953"/>
      <c r="E9647" s="953"/>
      <c r="F9647" s="953"/>
      <c r="G9647" s="953"/>
      <c r="H9647" s="953"/>
    </row>
    <row r="9648" spans="1:8" x14ac:dyDescent="0.25">
      <c r="A9648" s="952"/>
      <c r="B9648" s="953"/>
      <c r="C9648" s="953"/>
      <c r="D9648" s="953"/>
      <c r="E9648" s="953"/>
      <c r="F9648" s="953"/>
      <c r="G9648" s="953"/>
      <c r="H9648" s="953"/>
    </row>
    <row r="9649" spans="1:8" x14ac:dyDescent="0.25">
      <c r="A9649" s="952"/>
      <c r="B9649" s="953"/>
      <c r="C9649" s="953"/>
      <c r="D9649" s="953"/>
      <c r="E9649" s="953"/>
      <c r="F9649" s="953"/>
      <c r="G9649" s="953"/>
      <c r="H9649" s="953"/>
    </row>
    <row r="9650" spans="1:8" x14ac:dyDescent="0.25">
      <c r="A9650" s="952"/>
      <c r="B9650" s="953"/>
      <c r="C9650" s="953"/>
      <c r="D9650" s="953"/>
      <c r="E9650" s="953"/>
      <c r="F9650" s="953"/>
      <c r="G9650" s="953"/>
      <c r="H9650" s="953"/>
    </row>
    <row r="9651" spans="1:8" x14ac:dyDescent="0.25">
      <c r="A9651" s="952"/>
      <c r="B9651" s="953"/>
      <c r="C9651" s="953"/>
      <c r="D9651" s="953"/>
      <c r="E9651" s="953"/>
      <c r="F9651" s="953"/>
      <c r="G9651" s="953"/>
      <c r="H9651" s="953"/>
    </row>
    <row r="9652" spans="1:8" x14ac:dyDescent="0.25">
      <c r="A9652" s="952"/>
      <c r="B9652" s="953"/>
      <c r="C9652" s="953"/>
      <c r="D9652" s="953"/>
      <c r="E9652" s="953"/>
      <c r="F9652" s="953"/>
      <c r="G9652" s="953"/>
      <c r="H9652" s="953"/>
    </row>
    <row r="9653" spans="1:8" x14ac:dyDescent="0.25">
      <c r="A9653" s="952"/>
      <c r="B9653" s="953"/>
      <c r="C9653" s="953"/>
      <c r="D9653" s="953"/>
      <c r="E9653" s="953"/>
      <c r="F9653" s="953"/>
      <c r="G9653" s="953"/>
      <c r="H9653" s="953"/>
    </row>
    <row r="9654" spans="1:8" x14ac:dyDescent="0.25">
      <c r="A9654" s="952"/>
      <c r="B9654" s="953"/>
      <c r="C9654" s="953"/>
      <c r="D9654" s="953"/>
      <c r="E9654" s="953"/>
      <c r="F9654" s="953"/>
      <c r="G9654" s="953"/>
      <c r="H9654" s="953"/>
    </row>
    <row r="9655" spans="1:8" x14ac:dyDescent="0.25">
      <c r="A9655" s="952"/>
      <c r="B9655" s="953"/>
      <c r="C9655" s="953"/>
      <c r="D9655" s="953"/>
      <c r="E9655" s="953"/>
      <c r="F9655" s="953"/>
      <c r="G9655" s="953"/>
      <c r="H9655" s="953"/>
    </row>
    <row r="9656" spans="1:8" x14ac:dyDescent="0.25">
      <c r="A9656" s="952"/>
      <c r="B9656" s="953"/>
      <c r="C9656" s="953"/>
      <c r="D9656" s="953"/>
      <c r="E9656" s="953"/>
      <c r="F9656" s="953"/>
      <c r="G9656" s="953"/>
      <c r="H9656" s="953"/>
    </row>
    <row r="9657" spans="1:8" x14ac:dyDescent="0.25">
      <c r="A9657" s="952"/>
      <c r="B9657" s="953"/>
      <c r="C9657" s="953"/>
      <c r="D9657" s="953"/>
      <c r="E9657" s="953"/>
      <c r="F9657" s="953"/>
      <c r="G9657" s="953"/>
      <c r="H9657" s="953"/>
    </row>
    <row r="9658" spans="1:8" x14ac:dyDescent="0.25">
      <c r="A9658" s="952"/>
      <c r="B9658" s="953"/>
      <c r="C9658" s="953"/>
      <c r="D9658" s="953"/>
      <c r="E9658" s="953"/>
      <c r="F9658" s="953"/>
      <c r="G9658" s="953"/>
      <c r="H9658" s="953"/>
    </row>
    <row r="9659" spans="1:8" x14ac:dyDescent="0.25">
      <c r="A9659" s="952"/>
      <c r="B9659" s="953"/>
      <c r="C9659" s="953"/>
      <c r="D9659" s="953"/>
      <c r="E9659" s="953"/>
      <c r="F9659" s="953"/>
      <c r="G9659" s="953"/>
      <c r="H9659" s="953"/>
    </row>
    <row r="9660" spans="1:8" x14ac:dyDescent="0.25">
      <c r="A9660" s="952"/>
      <c r="B9660" s="953"/>
      <c r="C9660" s="953"/>
      <c r="D9660" s="953"/>
      <c r="E9660" s="953"/>
      <c r="F9660" s="953"/>
      <c r="G9660" s="953"/>
      <c r="H9660" s="953"/>
    </row>
    <row r="9661" spans="1:8" x14ac:dyDescent="0.25">
      <c r="A9661" s="952"/>
      <c r="B9661" s="953"/>
      <c r="C9661" s="953"/>
      <c r="D9661" s="953"/>
      <c r="E9661" s="953"/>
      <c r="F9661" s="953"/>
      <c r="G9661" s="953"/>
      <c r="H9661" s="953"/>
    </row>
    <row r="9662" spans="1:8" x14ac:dyDescent="0.25">
      <c r="A9662" s="952"/>
      <c r="B9662" s="953"/>
      <c r="C9662" s="953"/>
      <c r="D9662" s="953"/>
      <c r="E9662" s="953"/>
      <c r="F9662" s="953"/>
      <c r="G9662" s="953"/>
      <c r="H9662" s="953"/>
    </row>
    <row r="9663" spans="1:8" x14ac:dyDescent="0.25">
      <c r="A9663" s="952"/>
      <c r="B9663" s="953"/>
      <c r="C9663" s="953"/>
      <c r="D9663" s="953"/>
      <c r="E9663" s="953"/>
      <c r="F9663" s="953"/>
      <c r="G9663" s="953"/>
      <c r="H9663" s="953"/>
    </row>
    <row r="9664" spans="1:8" x14ac:dyDescent="0.25">
      <c r="A9664" s="952"/>
      <c r="B9664" s="953"/>
      <c r="C9664" s="953"/>
      <c r="D9664" s="953"/>
      <c r="E9664" s="953"/>
      <c r="F9664" s="953"/>
      <c r="G9664" s="953"/>
      <c r="H9664" s="953"/>
    </row>
    <row r="9665" spans="1:8" x14ac:dyDescent="0.25">
      <c r="A9665" s="952"/>
      <c r="B9665" s="953"/>
      <c r="C9665" s="953"/>
      <c r="D9665" s="953"/>
      <c r="E9665" s="953"/>
      <c r="F9665" s="953"/>
      <c r="G9665" s="953"/>
      <c r="H9665" s="953"/>
    </row>
    <row r="9666" spans="1:8" x14ac:dyDescent="0.25">
      <c r="A9666" s="952"/>
      <c r="B9666" s="953"/>
      <c r="C9666" s="953"/>
      <c r="D9666" s="953"/>
      <c r="E9666" s="953"/>
      <c r="F9666" s="953"/>
      <c r="G9666" s="953"/>
      <c r="H9666" s="953"/>
    </row>
    <row r="9667" spans="1:8" x14ac:dyDescent="0.25">
      <c r="A9667" s="952"/>
      <c r="B9667" s="953"/>
      <c r="C9667" s="953"/>
      <c r="D9667" s="953"/>
      <c r="E9667" s="953"/>
      <c r="F9667" s="953"/>
      <c r="G9667" s="953"/>
      <c r="H9667" s="953"/>
    </row>
    <row r="9668" spans="1:8" x14ac:dyDescent="0.25">
      <c r="A9668" s="952"/>
      <c r="B9668" s="953"/>
      <c r="C9668" s="953"/>
      <c r="D9668" s="953"/>
      <c r="E9668" s="953"/>
      <c r="F9668" s="953"/>
      <c r="G9668" s="953"/>
      <c r="H9668" s="953"/>
    </row>
    <row r="9669" spans="1:8" x14ac:dyDescent="0.25">
      <c r="A9669" s="952"/>
      <c r="B9669" s="953"/>
      <c r="C9669" s="953"/>
      <c r="D9669" s="953"/>
      <c r="E9669" s="953"/>
      <c r="F9669" s="953"/>
      <c r="G9669" s="953"/>
      <c r="H9669" s="953"/>
    </row>
    <row r="9670" spans="1:8" x14ac:dyDescent="0.25">
      <c r="A9670" s="952"/>
      <c r="B9670" s="953"/>
      <c r="C9670" s="953"/>
      <c r="D9670" s="953"/>
      <c r="E9670" s="953"/>
      <c r="F9670" s="953"/>
      <c r="G9670" s="953"/>
      <c r="H9670" s="953"/>
    </row>
    <row r="9671" spans="1:8" x14ac:dyDescent="0.25">
      <c r="A9671" s="952"/>
      <c r="B9671" s="953"/>
      <c r="C9671" s="953"/>
      <c r="D9671" s="953"/>
      <c r="E9671" s="953"/>
      <c r="F9671" s="953"/>
      <c r="G9671" s="953"/>
      <c r="H9671" s="953"/>
    </row>
    <row r="9672" spans="1:8" x14ac:dyDescent="0.25">
      <c r="A9672" s="952"/>
      <c r="B9672" s="953"/>
      <c r="C9672" s="953"/>
      <c r="D9672" s="953"/>
      <c r="E9672" s="953"/>
      <c r="F9672" s="953"/>
      <c r="G9672" s="953"/>
      <c r="H9672" s="953"/>
    </row>
    <row r="9673" spans="1:8" x14ac:dyDescent="0.25">
      <c r="A9673" s="952"/>
      <c r="B9673" s="953"/>
      <c r="C9673" s="953"/>
      <c r="D9673" s="953"/>
      <c r="E9673" s="953"/>
      <c r="F9673" s="953"/>
      <c r="G9673" s="953"/>
      <c r="H9673" s="953"/>
    </row>
    <row r="9674" spans="1:8" x14ac:dyDescent="0.25">
      <c r="A9674" s="952"/>
      <c r="B9674" s="953"/>
      <c r="C9674" s="953"/>
      <c r="D9674" s="953"/>
      <c r="E9674" s="953"/>
      <c r="F9674" s="953"/>
      <c r="G9674" s="953"/>
      <c r="H9674" s="953"/>
    </row>
    <row r="9675" spans="1:8" x14ac:dyDescent="0.25">
      <c r="A9675" s="952"/>
      <c r="B9675" s="953"/>
      <c r="C9675" s="953"/>
      <c r="D9675" s="953"/>
      <c r="E9675" s="953"/>
      <c r="F9675" s="953"/>
      <c r="G9675" s="953"/>
      <c r="H9675" s="953"/>
    </row>
    <row r="9676" spans="1:8" x14ac:dyDescent="0.25">
      <c r="A9676" s="952"/>
      <c r="B9676" s="953"/>
      <c r="C9676" s="953"/>
      <c r="D9676" s="953"/>
      <c r="E9676" s="953"/>
      <c r="F9676" s="953"/>
      <c r="G9676" s="953"/>
      <c r="H9676" s="953"/>
    </row>
    <row r="9677" spans="1:8" x14ac:dyDescent="0.25">
      <c r="A9677" s="952"/>
      <c r="B9677" s="953"/>
      <c r="C9677" s="953"/>
      <c r="D9677" s="953"/>
      <c r="E9677" s="953"/>
      <c r="F9677" s="953"/>
      <c r="G9677" s="953"/>
      <c r="H9677" s="953"/>
    </row>
    <row r="9678" spans="1:8" x14ac:dyDescent="0.25">
      <c r="A9678" s="952"/>
      <c r="B9678" s="953"/>
      <c r="C9678" s="953"/>
      <c r="D9678" s="953"/>
      <c r="E9678" s="953"/>
      <c r="F9678" s="953"/>
      <c r="G9678" s="953"/>
      <c r="H9678" s="953"/>
    </row>
    <row r="9679" spans="1:8" x14ac:dyDescent="0.25">
      <c r="A9679" s="952"/>
      <c r="B9679" s="953"/>
      <c r="C9679" s="953"/>
      <c r="D9679" s="953"/>
      <c r="E9679" s="953"/>
      <c r="F9679" s="953"/>
      <c r="G9679" s="953"/>
      <c r="H9679" s="953"/>
    </row>
    <row r="9680" spans="1:8" x14ac:dyDescent="0.25">
      <c r="A9680" s="952"/>
      <c r="B9680" s="953"/>
      <c r="C9680" s="953"/>
      <c r="D9680" s="953"/>
      <c r="E9680" s="953"/>
      <c r="F9680" s="953"/>
      <c r="G9680" s="953"/>
      <c r="H9680" s="953"/>
    </row>
    <row r="9681" spans="1:8" x14ac:dyDescent="0.25">
      <c r="A9681" s="952"/>
      <c r="B9681" s="953"/>
      <c r="C9681" s="953"/>
      <c r="D9681" s="953"/>
      <c r="E9681" s="953"/>
      <c r="F9681" s="953"/>
      <c r="G9681" s="953"/>
      <c r="H9681" s="953"/>
    </row>
    <row r="9682" spans="1:8" x14ac:dyDescent="0.25">
      <c r="A9682" s="952"/>
      <c r="B9682" s="953"/>
      <c r="C9682" s="953"/>
      <c r="D9682" s="953"/>
      <c r="E9682" s="953"/>
      <c r="F9682" s="953"/>
      <c r="G9682" s="953"/>
      <c r="H9682" s="953"/>
    </row>
    <row r="9683" spans="1:8" x14ac:dyDescent="0.25">
      <c r="A9683" s="952"/>
      <c r="B9683" s="953"/>
      <c r="C9683" s="953"/>
      <c r="D9683" s="953"/>
      <c r="E9683" s="953"/>
      <c r="F9683" s="953"/>
      <c r="G9683" s="953"/>
      <c r="H9683" s="953"/>
    </row>
    <row r="9684" spans="1:8" x14ac:dyDescent="0.25">
      <c r="A9684" s="952"/>
      <c r="B9684" s="953"/>
      <c r="C9684" s="953"/>
      <c r="D9684" s="953"/>
      <c r="E9684" s="953"/>
      <c r="F9684" s="953"/>
      <c r="G9684" s="953"/>
      <c r="H9684" s="953"/>
    </row>
    <row r="9685" spans="1:8" x14ac:dyDescent="0.25">
      <c r="A9685" s="952"/>
      <c r="B9685" s="953"/>
      <c r="C9685" s="953"/>
      <c r="D9685" s="953"/>
      <c r="E9685" s="953"/>
      <c r="F9685" s="953"/>
      <c r="G9685" s="953"/>
      <c r="H9685" s="953"/>
    </row>
    <row r="9686" spans="1:8" x14ac:dyDescent="0.25">
      <c r="A9686" s="952"/>
      <c r="B9686" s="953"/>
      <c r="C9686" s="953"/>
      <c r="D9686" s="953"/>
      <c r="E9686" s="953"/>
      <c r="F9686" s="953"/>
      <c r="G9686" s="953"/>
      <c r="H9686" s="953"/>
    </row>
    <row r="9687" spans="1:8" x14ac:dyDescent="0.25">
      <c r="A9687" s="952"/>
      <c r="B9687" s="953"/>
      <c r="C9687" s="953"/>
      <c r="D9687" s="953"/>
      <c r="E9687" s="953"/>
      <c r="F9687" s="953"/>
      <c r="G9687" s="953"/>
      <c r="H9687" s="953"/>
    </row>
    <row r="9688" spans="1:8" x14ac:dyDescent="0.25">
      <c r="A9688" s="952"/>
      <c r="B9688" s="953"/>
      <c r="C9688" s="953"/>
      <c r="D9688" s="953"/>
      <c r="E9688" s="953"/>
      <c r="F9688" s="953"/>
      <c r="G9688" s="953"/>
      <c r="H9688" s="953"/>
    </row>
    <row r="9689" spans="1:8" x14ac:dyDescent="0.25">
      <c r="A9689" s="952"/>
      <c r="B9689" s="953"/>
      <c r="C9689" s="953"/>
      <c r="D9689" s="953"/>
      <c r="E9689" s="953"/>
      <c r="F9689" s="953"/>
      <c r="G9689" s="953"/>
      <c r="H9689" s="953"/>
    </row>
    <row r="9690" spans="1:8" x14ac:dyDescent="0.25">
      <c r="A9690" s="952"/>
      <c r="B9690" s="953"/>
      <c r="C9690" s="953"/>
      <c r="D9690" s="953"/>
      <c r="E9690" s="953"/>
      <c r="F9690" s="953"/>
      <c r="G9690" s="953"/>
      <c r="H9690" s="953"/>
    </row>
    <row r="9691" spans="1:8" x14ac:dyDescent="0.25">
      <c r="A9691" s="952"/>
      <c r="B9691" s="953"/>
      <c r="C9691" s="953"/>
      <c r="D9691" s="953"/>
      <c r="E9691" s="953"/>
      <c r="F9691" s="953"/>
      <c r="G9691" s="953"/>
      <c r="H9691" s="953"/>
    </row>
    <row r="9692" spans="1:8" x14ac:dyDescent="0.25">
      <c r="A9692" s="952"/>
      <c r="B9692" s="953"/>
      <c r="C9692" s="953"/>
      <c r="D9692" s="953"/>
      <c r="E9692" s="953"/>
      <c r="F9692" s="953"/>
      <c r="G9692" s="953"/>
      <c r="H9692" s="953"/>
    </row>
    <row r="9693" spans="1:8" x14ac:dyDescent="0.25">
      <c r="A9693" s="952"/>
      <c r="B9693" s="953"/>
      <c r="C9693" s="953"/>
      <c r="D9693" s="953"/>
      <c r="E9693" s="953"/>
      <c r="F9693" s="953"/>
      <c r="G9693" s="953"/>
      <c r="H9693" s="953"/>
    </row>
    <row r="9694" spans="1:8" x14ac:dyDescent="0.25">
      <c r="A9694" s="952"/>
      <c r="B9694" s="953"/>
      <c r="C9694" s="953"/>
      <c r="D9694" s="953"/>
      <c r="E9694" s="953"/>
      <c r="F9694" s="953"/>
      <c r="G9694" s="953"/>
      <c r="H9694" s="953"/>
    </row>
    <row r="9695" spans="1:8" x14ac:dyDescent="0.25">
      <c r="A9695" s="952"/>
      <c r="B9695" s="953"/>
      <c r="C9695" s="953"/>
      <c r="D9695" s="953"/>
      <c r="E9695" s="953"/>
      <c r="F9695" s="953"/>
      <c r="G9695" s="953"/>
      <c r="H9695" s="953"/>
    </row>
    <row r="9696" spans="1:8" x14ac:dyDescent="0.25">
      <c r="A9696" s="952"/>
      <c r="B9696" s="953"/>
      <c r="C9696" s="953"/>
      <c r="D9696" s="953"/>
      <c r="E9696" s="953"/>
      <c r="F9696" s="953"/>
      <c r="G9696" s="953"/>
      <c r="H9696" s="953"/>
    </row>
    <row r="9697" spans="1:8" x14ac:dyDescent="0.25">
      <c r="A9697" s="952"/>
      <c r="B9697" s="953"/>
      <c r="C9697" s="953"/>
      <c r="D9697" s="953"/>
      <c r="E9697" s="953"/>
      <c r="F9697" s="953"/>
      <c r="G9697" s="953"/>
      <c r="H9697" s="953"/>
    </row>
    <row r="9698" spans="1:8" x14ac:dyDescent="0.25">
      <c r="A9698" s="952"/>
      <c r="B9698" s="953"/>
      <c r="C9698" s="953"/>
      <c r="D9698" s="953"/>
      <c r="E9698" s="953"/>
      <c r="F9698" s="953"/>
      <c r="G9698" s="953"/>
      <c r="H9698" s="953"/>
    </row>
    <row r="9699" spans="1:8" x14ac:dyDescent="0.25">
      <c r="A9699" s="952"/>
      <c r="B9699" s="953"/>
      <c r="C9699" s="953"/>
      <c r="D9699" s="953"/>
      <c r="E9699" s="953"/>
      <c r="F9699" s="953"/>
      <c r="G9699" s="953"/>
      <c r="H9699" s="953"/>
    </row>
    <row r="9700" spans="1:8" x14ac:dyDescent="0.25">
      <c r="A9700" s="952"/>
      <c r="B9700" s="953"/>
      <c r="C9700" s="953"/>
      <c r="D9700" s="953"/>
      <c r="E9700" s="953"/>
      <c r="F9700" s="953"/>
      <c r="G9700" s="953"/>
      <c r="H9700" s="953"/>
    </row>
    <row r="9701" spans="1:8" x14ac:dyDescent="0.25">
      <c r="A9701" s="952"/>
      <c r="B9701" s="953"/>
      <c r="C9701" s="953"/>
      <c r="D9701" s="953"/>
      <c r="E9701" s="953"/>
      <c r="F9701" s="953"/>
      <c r="G9701" s="953"/>
      <c r="H9701" s="953"/>
    </row>
    <row r="9702" spans="1:8" x14ac:dyDescent="0.25">
      <c r="A9702" s="952"/>
      <c r="B9702" s="953"/>
      <c r="C9702" s="953"/>
      <c r="D9702" s="953"/>
      <c r="E9702" s="953"/>
      <c r="F9702" s="953"/>
      <c r="G9702" s="953"/>
      <c r="H9702" s="953"/>
    </row>
    <row r="9703" spans="1:8" x14ac:dyDescent="0.25">
      <c r="A9703" s="952"/>
      <c r="B9703" s="953"/>
      <c r="C9703" s="953"/>
      <c r="D9703" s="953"/>
      <c r="E9703" s="953"/>
      <c r="F9703" s="953"/>
      <c r="G9703" s="953"/>
      <c r="H9703" s="953"/>
    </row>
    <row r="9704" spans="1:8" x14ac:dyDescent="0.25">
      <c r="A9704" s="952"/>
      <c r="B9704" s="953"/>
      <c r="C9704" s="953"/>
      <c r="D9704" s="953"/>
      <c r="E9704" s="953"/>
      <c r="F9704" s="953"/>
      <c r="G9704" s="953"/>
      <c r="H9704" s="953"/>
    </row>
    <row r="9705" spans="1:8" x14ac:dyDescent="0.25">
      <c r="A9705" s="952"/>
      <c r="B9705" s="953"/>
      <c r="C9705" s="953"/>
      <c r="D9705" s="953"/>
      <c r="E9705" s="953"/>
      <c r="F9705" s="953"/>
      <c r="G9705" s="953"/>
      <c r="H9705" s="953"/>
    </row>
    <row r="9706" spans="1:8" x14ac:dyDescent="0.25">
      <c r="A9706" s="952"/>
      <c r="B9706" s="953"/>
      <c r="C9706" s="953"/>
      <c r="D9706" s="953"/>
      <c r="E9706" s="953"/>
      <c r="F9706" s="953"/>
      <c r="G9706" s="953"/>
      <c r="H9706" s="953"/>
    </row>
    <row r="9707" spans="1:8" x14ac:dyDescent="0.25">
      <c r="A9707" s="952"/>
      <c r="B9707" s="953"/>
      <c r="C9707" s="953"/>
      <c r="D9707" s="953"/>
      <c r="E9707" s="953"/>
      <c r="F9707" s="953"/>
      <c r="G9707" s="953"/>
      <c r="H9707" s="953"/>
    </row>
    <row r="9708" spans="1:8" x14ac:dyDescent="0.25">
      <c r="A9708" s="952"/>
      <c r="B9708" s="953"/>
      <c r="C9708" s="953"/>
      <c r="D9708" s="953"/>
      <c r="E9708" s="953"/>
      <c r="F9708" s="953"/>
      <c r="G9708" s="953"/>
      <c r="H9708" s="953"/>
    </row>
    <row r="9709" spans="1:8" x14ac:dyDescent="0.25">
      <c r="A9709" s="952"/>
      <c r="B9709" s="953"/>
      <c r="C9709" s="953"/>
      <c r="D9709" s="953"/>
      <c r="E9709" s="953"/>
      <c r="F9709" s="953"/>
      <c r="G9709" s="953"/>
      <c r="H9709" s="953"/>
    </row>
    <row r="9710" spans="1:8" x14ac:dyDescent="0.25">
      <c r="A9710" s="952"/>
      <c r="B9710" s="953"/>
      <c r="C9710" s="953"/>
      <c r="D9710" s="953"/>
      <c r="E9710" s="953"/>
      <c r="F9710" s="953"/>
      <c r="G9710" s="953"/>
      <c r="H9710" s="953"/>
    </row>
    <row r="9711" spans="1:8" x14ac:dyDescent="0.25">
      <c r="A9711" s="952"/>
      <c r="B9711" s="953"/>
      <c r="C9711" s="953"/>
      <c r="D9711" s="953"/>
      <c r="E9711" s="953"/>
      <c r="F9711" s="953"/>
      <c r="G9711" s="953"/>
      <c r="H9711" s="953"/>
    </row>
    <row r="9712" spans="1:8" x14ac:dyDescent="0.25">
      <c r="A9712" s="952"/>
      <c r="B9712" s="953"/>
      <c r="C9712" s="953"/>
      <c r="D9712" s="953"/>
      <c r="E9712" s="953"/>
      <c r="F9712" s="953"/>
      <c r="G9712" s="953"/>
      <c r="H9712" s="953"/>
    </row>
    <row r="9713" spans="1:8" x14ac:dyDescent="0.25">
      <c r="A9713" s="952"/>
      <c r="B9713" s="953"/>
      <c r="C9713" s="953"/>
      <c r="D9713" s="953"/>
      <c r="E9713" s="953"/>
      <c r="F9713" s="953"/>
      <c r="G9713" s="953"/>
      <c r="H9713" s="953"/>
    </row>
    <row r="9714" spans="1:8" x14ac:dyDescent="0.25">
      <c r="A9714" s="952"/>
      <c r="B9714" s="953"/>
      <c r="C9714" s="953"/>
      <c r="D9714" s="953"/>
      <c r="E9714" s="953"/>
      <c r="F9714" s="953"/>
      <c r="G9714" s="953"/>
      <c r="H9714" s="953"/>
    </row>
    <row r="9715" spans="1:8" x14ac:dyDescent="0.25">
      <c r="A9715" s="952"/>
      <c r="B9715" s="953"/>
      <c r="C9715" s="953"/>
      <c r="D9715" s="953"/>
      <c r="E9715" s="953"/>
      <c r="F9715" s="953"/>
      <c r="G9715" s="953"/>
      <c r="H9715" s="953"/>
    </row>
    <row r="9716" spans="1:8" x14ac:dyDescent="0.25">
      <c r="A9716" s="952"/>
      <c r="B9716" s="953"/>
      <c r="C9716" s="953"/>
      <c r="D9716" s="953"/>
      <c r="E9716" s="953"/>
      <c r="F9716" s="953"/>
      <c r="G9716" s="953"/>
      <c r="H9716" s="953"/>
    </row>
    <row r="9717" spans="1:8" x14ac:dyDescent="0.25">
      <c r="A9717" s="952"/>
      <c r="B9717" s="953"/>
      <c r="C9717" s="953"/>
      <c r="D9717" s="953"/>
      <c r="E9717" s="953"/>
      <c r="F9717" s="953"/>
      <c r="G9717" s="953"/>
      <c r="H9717" s="953"/>
    </row>
    <row r="9718" spans="1:8" x14ac:dyDescent="0.25">
      <c r="A9718" s="952"/>
      <c r="B9718" s="953"/>
      <c r="C9718" s="953"/>
      <c r="D9718" s="953"/>
      <c r="E9718" s="953"/>
      <c r="F9718" s="953"/>
      <c r="G9718" s="953"/>
      <c r="H9718" s="953"/>
    </row>
    <row r="9719" spans="1:8" x14ac:dyDescent="0.25">
      <c r="A9719" s="952"/>
      <c r="B9719" s="953"/>
      <c r="C9719" s="953"/>
      <c r="D9719" s="953"/>
      <c r="E9719" s="953"/>
      <c r="F9719" s="953"/>
      <c r="G9719" s="953"/>
      <c r="H9719" s="953"/>
    </row>
    <row r="9720" spans="1:8" x14ac:dyDescent="0.25">
      <c r="A9720" s="952"/>
      <c r="B9720" s="953"/>
      <c r="C9720" s="953"/>
      <c r="D9720" s="953"/>
      <c r="E9720" s="953"/>
      <c r="F9720" s="953"/>
      <c r="G9720" s="953"/>
      <c r="H9720" s="953"/>
    </row>
    <row r="9721" spans="1:8" x14ac:dyDescent="0.25">
      <c r="A9721" s="952"/>
      <c r="B9721" s="953"/>
      <c r="C9721" s="953"/>
      <c r="D9721" s="953"/>
      <c r="E9721" s="953"/>
      <c r="F9721" s="953"/>
      <c r="G9721" s="953"/>
      <c r="H9721" s="953"/>
    </row>
    <row r="9722" spans="1:8" x14ac:dyDescent="0.25">
      <c r="A9722" s="952"/>
      <c r="B9722" s="953"/>
      <c r="C9722" s="953"/>
      <c r="D9722" s="953"/>
      <c r="E9722" s="953"/>
      <c r="F9722" s="953"/>
      <c r="G9722" s="953"/>
      <c r="H9722" s="953"/>
    </row>
    <row r="9723" spans="1:8" x14ac:dyDescent="0.25">
      <c r="A9723" s="952"/>
      <c r="B9723" s="953"/>
      <c r="C9723" s="953"/>
      <c r="D9723" s="953"/>
      <c r="E9723" s="953"/>
      <c r="F9723" s="953"/>
      <c r="G9723" s="953"/>
      <c r="H9723" s="953"/>
    </row>
    <row r="9724" spans="1:8" x14ac:dyDescent="0.25">
      <c r="A9724" s="952"/>
      <c r="B9724" s="953"/>
      <c r="C9724" s="953"/>
      <c r="D9724" s="953"/>
      <c r="E9724" s="953"/>
      <c r="F9724" s="953"/>
      <c r="G9724" s="953"/>
      <c r="H9724" s="953"/>
    </row>
    <row r="9725" spans="1:8" x14ac:dyDescent="0.25">
      <c r="A9725" s="952"/>
      <c r="B9725" s="953"/>
      <c r="C9725" s="953"/>
      <c r="D9725" s="953"/>
      <c r="E9725" s="953"/>
      <c r="F9725" s="953"/>
      <c r="G9725" s="953"/>
      <c r="H9725" s="953"/>
    </row>
    <row r="9726" spans="1:8" x14ac:dyDescent="0.25">
      <c r="A9726" s="952"/>
      <c r="B9726" s="953"/>
      <c r="C9726" s="953"/>
      <c r="D9726" s="953"/>
      <c r="E9726" s="953"/>
      <c r="F9726" s="953"/>
      <c r="G9726" s="953"/>
      <c r="H9726" s="953"/>
    </row>
    <row r="9727" spans="1:8" x14ac:dyDescent="0.25">
      <c r="A9727" s="952"/>
      <c r="B9727" s="953"/>
      <c r="C9727" s="953"/>
      <c r="D9727" s="953"/>
      <c r="E9727" s="953"/>
      <c r="F9727" s="953"/>
      <c r="G9727" s="953"/>
      <c r="H9727" s="953"/>
    </row>
    <row r="9728" spans="1:8" x14ac:dyDescent="0.25">
      <c r="A9728" s="952"/>
      <c r="B9728" s="953"/>
      <c r="C9728" s="953"/>
      <c r="D9728" s="953"/>
      <c r="E9728" s="953"/>
      <c r="F9728" s="953"/>
      <c r="G9728" s="953"/>
      <c r="H9728" s="953"/>
    </row>
    <row r="9729" spans="1:8" x14ac:dyDescent="0.25">
      <c r="A9729" s="952"/>
      <c r="B9729" s="953"/>
      <c r="C9729" s="953"/>
      <c r="D9729" s="953"/>
      <c r="E9729" s="953"/>
      <c r="F9729" s="953"/>
      <c r="G9729" s="953"/>
      <c r="H9729" s="953"/>
    </row>
    <row r="9730" spans="1:8" x14ac:dyDescent="0.25">
      <c r="A9730" s="952"/>
      <c r="B9730" s="953"/>
      <c r="C9730" s="953"/>
      <c r="D9730" s="953"/>
      <c r="E9730" s="953"/>
      <c r="F9730" s="953"/>
      <c r="G9730" s="953"/>
      <c r="H9730" s="953"/>
    </row>
    <row r="9731" spans="1:8" x14ac:dyDescent="0.25">
      <c r="A9731" s="952"/>
      <c r="B9731" s="953"/>
      <c r="C9731" s="953"/>
      <c r="D9731" s="953"/>
      <c r="E9731" s="953"/>
      <c r="F9731" s="953"/>
      <c r="G9731" s="953"/>
      <c r="H9731" s="953"/>
    </row>
    <row r="9732" spans="1:8" x14ac:dyDescent="0.25">
      <c r="A9732" s="952"/>
      <c r="B9732" s="953"/>
      <c r="C9732" s="953"/>
      <c r="D9732" s="953"/>
      <c r="E9732" s="953"/>
      <c r="F9732" s="953"/>
      <c r="G9732" s="953"/>
      <c r="H9732" s="953"/>
    </row>
    <row r="9733" spans="1:8" x14ac:dyDescent="0.25">
      <c r="A9733" s="952"/>
      <c r="B9733" s="953"/>
      <c r="C9733" s="953"/>
      <c r="D9733" s="953"/>
      <c r="E9733" s="953"/>
      <c r="F9733" s="953"/>
      <c r="G9733" s="953"/>
      <c r="H9733" s="953"/>
    </row>
    <row r="9734" spans="1:8" x14ac:dyDescent="0.25">
      <c r="A9734" s="952"/>
      <c r="B9734" s="953"/>
      <c r="C9734" s="953"/>
      <c r="D9734" s="953"/>
      <c r="E9734" s="953"/>
      <c r="F9734" s="953"/>
      <c r="G9734" s="953"/>
      <c r="H9734" s="953"/>
    </row>
    <row r="9735" spans="1:8" x14ac:dyDescent="0.25">
      <c r="A9735" s="952"/>
      <c r="B9735" s="953"/>
      <c r="C9735" s="953"/>
      <c r="D9735" s="953"/>
      <c r="E9735" s="953"/>
      <c r="F9735" s="953"/>
      <c r="G9735" s="953"/>
      <c r="H9735" s="953"/>
    </row>
    <row r="9736" spans="1:8" x14ac:dyDescent="0.25">
      <c r="A9736" s="952"/>
      <c r="B9736" s="953"/>
      <c r="C9736" s="953"/>
      <c r="D9736" s="953"/>
      <c r="E9736" s="953"/>
      <c r="F9736" s="953"/>
      <c r="G9736" s="953"/>
      <c r="H9736" s="953"/>
    </row>
    <row r="9737" spans="1:8" x14ac:dyDescent="0.25">
      <c r="A9737" s="952"/>
      <c r="B9737" s="953"/>
      <c r="C9737" s="953"/>
      <c r="D9737" s="953"/>
      <c r="E9737" s="953"/>
      <c r="F9737" s="953"/>
      <c r="G9737" s="953"/>
      <c r="H9737" s="953"/>
    </row>
    <row r="9738" spans="1:8" x14ac:dyDescent="0.25">
      <c r="A9738" s="952"/>
      <c r="B9738" s="953"/>
      <c r="C9738" s="953"/>
      <c r="D9738" s="953"/>
      <c r="E9738" s="953"/>
      <c r="F9738" s="953"/>
      <c r="G9738" s="953"/>
      <c r="H9738" s="953"/>
    </row>
    <row r="9739" spans="1:8" x14ac:dyDescent="0.25">
      <c r="A9739" s="952"/>
      <c r="B9739" s="953"/>
      <c r="C9739" s="953"/>
      <c r="D9739" s="953"/>
      <c r="E9739" s="953"/>
      <c r="F9739" s="953"/>
      <c r="G9739" s="953"/>
      <c r="H9739" s="953"/>
    </row>
    <row r="9740" spans="1:8" x14ac:dyDescent="0.25">
      <c r="A9740" s="952"/>
      <c r="B9740" s="953"/>
      <c r="C9740" s="953"/>
      <c r="D9740" s="953"/>
      <c r="E9740" s="953"/>
      <c r="F9740" s="953"/>
      <c r="G9740" s="953"/>
      <c r="H9740" s="953"/>
    </row>
    <row r="9741" spans="1:8" x14ac:dyDescent="0.25">
      <c r="A9741" s="952"/>
      <c r="B9741" s="953"/>
      <c r="C9741" s="953"/>
      <c r="D9741" s="953"/>
      <c r="E9741" s="953"/>
      <c r="F9741" s="953"/>
      <c r="G9741" s="953"/>
      <c r="H9741" s="953"/>
    </row>
    <row r="9742" spans="1:8" x14ac:dyDescent="0.25">
      <c r="A9742" s="952"/>
      <c r="B9742" s="953"/>
      <c r="C9742" s="953"/>
      <c r="D9742" s="953"/>
      <c r="E9742" s="953"/>
      <c r="F9742" s="953"/>
      <c r="G9742" s="953"/>
      <c r="H9742" s="953"/>
    </row>
    <row r="9743" spans="1:8" x14ac:dyDescent="0.25">
      <c r="A9743" s="952"/>
      <c r="B9743" s="953"/>
      <c r="C9743" s="953"/>
      <c r="D9743" s="953"/>
      <c r="E9743" s="953"/>
      <c r="F9743" s="953"/>
      <c r="G9743" s="953"/>
      <c r="H9743" s="953"/>
    </row>
    <row r="9744" spans="1:8" x14ac:dyDescent="0.25">
      <c r="A9744" s="952"/>
      <c r="B9744" s="953"/>
      <c r="C9744" s="953"/>
      <c r="D9744" s="953"/>
      <c r="E9744" s="953"/>
      <c r="F9744" s="953"/>
      <c r="G9744" s="953"/>
      <c r="H9744" s="953"/>
    </row>
    <row r="9745" spans="1:8" x14ac:dyDescent="0.25">
      <c r="A9745" s="952"/>
      <c r="B9745" s="953"/>
      <c r="C9745" s="953"/>
      <c r="D9745" s="953"/>
      <c r="E9745" s="953"/>
      <c r="F9745" s="953"/>
      <c r="G9745" s="953"/>
      <c r="H9745" s="953"/>
    </row>
    <row r="9746" spans="1:8" x14ac:dyDescent="0.25">
      <c r="A9746" s="952"/>
      <c r="B9746" s="953"/>
      <c r="C9746" s="953"/>
      <c r="D9746" s="953"/>
      <c r="E9746" s="953"/>
      <c r="F9746" s="953"/>
      <c r="G9746" s="953"/>
      <c r="H9746" s="953"/>
    </row>
    <row r="9747" spans="1:8" x14ac:dyDescent="0.25">
      <c r="A9747" s="952"/>
      <c r="B9747" s="953"/>
      <c r="C9747" s="953"/>
      <c r="D9747" s="953"/>
      <c r="E9747" s="953"/>
      <c r="F9747" s="953"/>
      <c r="G9747" s="953"/>
      <c r="H9747" s="953"/>
    </row>
    <row r="9748" spans="1:8" x14ac:dyDescent="0.25">
      <c r="A9748" s="952"/>
      <c r="B9748" s="953"/>
      <c r="C9748" s="953"/>
      <c r="D9748" s="953"/>
      <c r="E9748" s="953"/>
      <c r="F9748" s="953"/>
      <c r="G9748" s="953"/>
      <c r="H9748" s="953"/>
    </row>
    <row r="9749" spans="1:8" x14ac:dyDescent="0.25">
      <c r="A9749" s="952"/>
      <c r="B9749" s="953"/>
      <c r="C9749" s="953"/>
      <c r="D9749" s="953"/>
      <c r="E9749" s="953"/>
      <c r="F9749" s="953"/>
      <c r="G9749" s="953"/>
      <c r="H9749" s="953"/>
    </row>
    <row r="9750" spans="1:8" x14ac:dyDescent="0.25">
      <c r="A9750" s="952"/>
      <c r="B9750" s="953"/>
      <c r="C9750" s="953"/>
      <c r="D9750" s="953"/>
      <c r="E9750" s="953"/>
      <c r="F9750" s="953"/>
      <c r="G9750" s="953"/>
      <c r="H9750" s="953"/>
    </row>
    <row r="9751" spans="1:8" x14ac:dyDescent="0.25">
      <c r="A9751" s="952"/>
      <c r="B9751" s="953"/>
      <c r="C9751" s="953"/>
      <c r="D9751" s="953"/>
      <c r="E9751" s="953"/>
      <c r="F9751" s="953"/>
      <c r="G9751" s="953"/>
      <c r="H9751" s="953"/>
    </row>
    <row r="9752" spans="1:8" x14ac:dyDescent="0.25">
      <c r="A9752" s="952"/>
      <c r="B9752" s="953"/>
      <c r="C9752" s="953"/>
      <c r="D9752" s="953"/>
      <c r="E9752" s="953"/>
      <c r="F9752" s="953"/>
      <c r="G9752" s="953"/>
      <c r="H9752" s="953"/>
    </row>
    <row r="9753" spans="1:8" x14ac:dyDescent="0.25">
      <c r="A9753" s="952"/>
      <c r="B9753" s="953"/>
      <c r="C9753" s="953"/>
      <c r="D9753" s="953"/>
      <c r="E9753" s="953"/>
      <c r="F9753" s="953"/>
      <c r="G9753" s="953"/>
      <c r="H9753" s="953"/>
    </row>
    <row r="9754" spans="1:8" x14ac:dyDescent="0.25">
      <c r="A9754" s="952"/>
      <c r="B9754" s="953"/>
      <c r="C9754" s="953"/>
      <c r="D9754" s="953"/>
      <c r="E9754" s="953"/>
      <c r="F9754" s="953"/>
      <c r="G9754" s="953"/>
      <c r="H9754" s="953"/>
    </row>
    <row r="9755" spans="1:8" x14ac:dyDescent="0.25">
      <c r="A9755" s="952"/>
      <c r="B9755" s="953"/>
      <c r="C9755" s="953"/>
      <c r="D9755" s="953"/>
      <c r="E9755" s="953"/>
      <c r="F9755" s="953"/>
      <c r="G9755" s="953"/>
      <c r="H9755" s="953"/>
    </row>
    <row r="9756" spans="1:8" x14ac:dyDescent="0.25">
      <c r="A9756" s="952"/>
      <c r="B9756" s="953"/>
      <c r="C9756" s="953"/>
      <c r="D9756" s="953"/>
      <c r="E9756" s="953"/>
      <c r="F9756" s="953"/>
      <c r="G9756" s="953"/>
      <c r="H9756" s="953"/>
    </row>
    <row r="9757" spans="1:8" x14ac:dyDescent="0.25">
      <c r="A9757" s="952"/>
      <c r="B9757" s="953"/>
      <c r="C9757" s="953"/>
      <c r="D9757" s="953"/>
      <c r="E9757" s="953"/>
      <c r="F9757" s="953"/>
      <c r="G9757" s="953"/>
      <c r="H9757" s="953"/>
    </row>
    <row r="9758" spans="1:8" x14ac:dyDescent="0.25">
      <c r="A9758" s="952"/>
      <c r="B9758" s="953"/>
      <c r="C9758" s="953"/>
      <c r="D9758" s="953"/>
      <c r="E9758" s="953"/>
      <c r="F9758" s="953"/>
      <c r="G9758" s="953"/>
      <c r="H9758" s="953"/>
    </row>
    <row r="9759" spans="1:8" x14ac:dyDescent="0.25">
      <c r="A9759" s="952"/>
      <c r="B9759" s="953"/>
      <c r="C9759" s="953"/>
      <c r="D9759" s="953"/>
      <c r="E9759" s="953"/>
      <c r="F9759" s="953"/>
      <c r="G9759" s="953"/>
      <c r="H9759" s="953"/>
    </row>
    <row r="9760" spans="1:8" x14ac:dyDescent="0.25">
      <c r="A9760" s="952"/>
      <c r="B9760" s="953"/>
      <c r="C9760" s="953"/>
      <c r="D9760" s="953"/>
      <c r="E9760" s="953"/>
      <c r="F9760" s="953"/>
      <c r="G9760" s="953"/>
      <c r="H9760" s="953"/>
    </row>
    <row r="9761" spans="1:8" x14ac:dyDescent="0.25">
      <c r="A9761" s="952"/>
      <c r="B9761" s="953"/>
      <c r="C9761" s="953"/>
      <c r="D9761" s="953"/>
      <c r="E9761" s="953"/>
      <c r="F9761" s="953"/>
      <c r="G9761" s="953"/>
      <c r="H9761" s="953"/>
    </row>
    <row r="9762" spans="1:8" x14ac:dyDescent="0.25">
      <c r="A9762" s="952"/>
      <c r="B9762" s="953"/>
      <c r="C9762" s="953"/>
      <c r="D9762" s="953"/>
      <c r="E9762" s="953"/>
      <c r="F9762" s="953"/>
      <c r="G9762" s="953"/>
      <c r="H9762" s="953"/>
    </row>
    <row r="9763" spans="1:8" x14ac:dyDescent="0.25">
      <c r="A9763" s="952"/>
      <c r="B9763" s="953"/>
      <c r="C9763" s="953"/>
      <c r="D9763" s="953"/>
      <c r="E9763" s="953"/>
      <c r="F9763" s="953"/>
      <c r="G9763" s="953"/>
      <c r="H9763" s="953"/>
    </row>
    <row r="9764" spans="1:8" x14ac:dyDescent="0.25">
      <c r="A9764" s="952"/>
      <c r="B9764" s="953"/>
      <c r="C9764" s="953"/>
      <c r="D9764" s="953"/>
      <c r="E9764" s="953"/>
      <c r="F9764" s="953"/>
      <c r="G9764" s="953"/>
      <c r="H9764" s="953"/>
    </row>
    <row r="9765" spans="1:8" x14ac:dyDescent="0.25">
      <c r="A9765" s="952"/>
      <c r="B9765" s="953"/>
      <c r="C9765" s="953"/>
      <c r="D9765" s="953"/>
      <c r="E9765" s="953"/>
      <c r="F9765" s="953"/>
      <c r="G9765" s="953"/>
      <c r="H9765" s="953"/>
    </row>
    <row r="9766" spans="1:8" x14ac:dyDescent="0.25">
      <c r="A9766" s="952"/>
      <c r="B9766" s="953"/>
      <c r="C9766" s="953"/>
      <c r="D9766" s="953"/>
      <c r="E9766" s="953"/>
      <c r="F9766" s="953"/>
      <c r="G9766" s="953"/>
      <c r="H9766" s="953"/>
    </row>
    <row r="9767" spans="1:8" x14ac:dyDescent="0.25">
      <c r="A9767" s="952"/>
      <c r="B9767" s="953"/>
      <c r="C9767" s="953"/>
      <c r="D9767" s="953"/>
      <c r="E9767" s="953"/>
      <c r="F9767" s="953"/>
      <c r="G9767" s="953"/>
      <c r="H9767" s="953"/>
    </row>
    <row r="9768" spans="1:8" x14ac:dyDescent="0.25">
      <c r="A9768" s="952"/>
      <c r="B9768" s="953"/>
      <c r="C9768" s="953"/>
      <c r="D9768" s="953"/>
      <c r="E9768" s="953"/>
      <c r="F9768" s="953"/>
      <c r="G9768" s="953"/>
      <c r="H9768" s="953"/>
    </row>
    <row r="9769" spans="1:8" x14ac:dyDescent="0.25">
      <c r="A9769" s="952"/>
      <c r="B9769" s="953"/>
      <c r="C9769" s="953"/>
      <c r="D9769" s="953"/>
      <c r="E9769" s="953"/>
      <c r="F9769" s="953"/>
      <c r="G9769" s="953"/>
      <c r="H9769" s="953"/>
    </row>
    <row r="9770" spans="1:8" x14ac:dyDescent="0.25">
      <c r="A9770" s="952"/>
      <c r="B9770" s="953"/>
      <c r="C9770" s="953"/>
      <c r="D9770" s="953"/>
      <c r="E9770" s="953"/>
      <c r="F9770" s="953"/>
      <c r="G9770" s="953"/>
      <c r="H9770" s="953"/>
    </row>
    <row r="9771" spans="1:8" x14ac:dyDescent="0.25">
      <c r="A9771" s="952"/>
      <c r="B9771" s="953"/>
      <c r="C9771" s="953"/>
      <c r="D9771" s="953"/>
      <c r="E9771" s="953"/>
      <c r="F9771" s="953"/>
      <c r="G9771" s="953"/>
      <c r="H9771" s="953"/>
    </row>
    <row r="9772" spans="1:8" x14ac:dyDescent="0.25">
      <c r="A9772" s="952"/>
      <c r="B9772" s="953"/>
      <c r="C9772" s="953"/>
      <c r="D9772" s="953"/>
      <c r="E9772" s="953"/>
      <c r="F9772" s="953"/>
      <c r="G9772" s="953"/>
      <c r="H9772" s="953"/>
    </row>
    <row r="9773" spans="1:8" x14ac:dyDescent="0.25">
      <c r="A9773" s="952"/>
      <c r="B9773" s="953"/>
      <c r="C9773" s="953"/>
      <c r="D9773" s="953"/>
      <c r="E9773" s="953"/>
      <c r="F9773" s="953"/>
      <c r="G9773" s="953"/>
      <c r="H9773" s="953"/>
    </row>
    <row r="9774" spans="1:8" x14ac:dyDescent="0.25">
      <c r="A9774" s="952"/>
      <c r="B9774" s="953"/>
      <c r="C9774" s="953"/>
      <c r="D9774" s="953"/>
      <c r="E9774" s="953"/>
      <c r="F9774" s="953"/>
      <c r="G9774" s="953"/>
      <c r="H9774" s="953"/>
    </row>
    <row r="9775" spans="1:8" x14ac:dyDescent="0.25">
      <c r="A9775" s="952"/>
      <c r="B9775" s="953"/>
      <c r="C9775" s="953"/>
      <c r="D9775" s="953"/>
      <c r="E9775" s="953"/>
      <c r="F9775" s="953"/>
      <c r="G9775" s="953"/>
      <c r="H9775" s="953"/>
    </row>
    <row r="9776" spans="1:8" x14ac:dyDescent="0.25">
      <c r="A9776" s="952"/>
      <c r="B9776" s="953"/>
      <c r="C9776" s="953"/>
      <c r="D9776" s="953"/>
      <c r="E9776" s="953"/>
      <c r="F9776" s="953"/>
      <c r="G9776" s="953"/>
      <c r="H9776" s="953"/>
    </row>
    <row r="9777" spans="1:8" x14ac:dyDescent="0.25">
      <c r="A9777" s="952"/>
      <c r="B9777" s="953"/>
      <c r="C9777" s="953"/>
      <c r="D9777" s="953"/>
      <c r="E9777" s="953"/>
      <c r="F9777" s="953"/>
      <c r="G9777" s="953"/>
      <c r="H9777" s="953"/>
    </row>
    <row r="9778" spans="1:8" x14ac:dyDescent="0.25">
      <c r="A9778" s="952"/>
      <c r="B9778" s="953"/>
      <c r="C9778" s="953"/>
      <c r="D9778" s="953"/>
      <c r="E9778" s="953"/>
      <c r="F9778" s="953"/>
      <c r="G9778" s="953"/>
      <c r="H9778" s="953"/>
    </row>
    <row r="9779" spans="1:8" x14ac:dyDescent="0.25">
      <c r="A9779" s="952"/>
      <c r="B9779" s="953"/>
      <c r="C9779" s="953"/>
      <c r="D9779" s="953"/>
      <c r="E9779" s="953"/>
      <c r="F9779" s="953"/>
      <c r="G9779" s="953"/>
      <c r="H9779" s="953"/>
    </row>
    <row r="9780" spans="1:8" x14ac:dyDescent="0.25">
      <c r="A9780" s="952"/>
      <c r="B9780" s="953"/>
      <c r="C9780" s="953"/>
      <c r="D9780" s="953"/>
      <c r="E9780" s="953"/>
      <c r="F9780" s="953"/>
      <c r="G9780" s="953"/>
      <c r="H9780" s="953"/>
    </row>
    <row r="9781" spans="1:8" x14ac:dyDescent="0.25">
      <c r="A9781" s="952"/>
      <c r="B9781" s="953"/>
      <c r="C9781" s="953"/>
      <c r="D9781" s="953"/>
      <c r="E9781" s="953"/>
      <c r="F9781" s="953"/>
      <c r="G9781" s="953"/>
      <c r="H9781" s="953"/>
    </row>
    <row r="9782" spans="1:8" x14ac:dyDescent="0.25">
      <c r="A9782" s="952"/>
      <c r="B9782" s="953"/>
      <c r="C9782" s="953"/>
      <c r="D9782" s="953"/>
      <c r="E9782" s="953"/>
      <c r="F9782" s="953"/>
      <c r="G9782" s="953"/>
      <c r="H9782" s="953"/>
    </row>
    <row r="9783" spans="1:8" x14ac:dyDescent="0.25">
      <c r="A9783" s="952"/>
      <c r="B9783" s="953"/>
      <c r="C9783" s="953"/>
      <c r="D9783" s="953"/>
      <c r="E9783" s="953"/>
      <c r="F9783" s="953"/>
      <c r="G9783" s="953"/>
      <c r="H9783" s="953"/>
    </row>
    <row r="9784" spans="1:8" x14ac:dyDescent="0.25">
      <c r="A9784" s="952"/>
      <c r="B9784" s="953"/>
      <c r="C9784" s="953"/>
      <c r="D9784" s="953"/>
      <c r="E9784" s="953"/>
      <c r="F9784" s="953"/>
      <c r="G9784" s="953"/>
      <c r="H9784" s="953"/>
    </row>
    <row r="9785" spans="1:8" x14ac:dyDescent="0.25">
      <c r="A9785" s="952"/>
      <c r="B9785" s="953"/>
      <c r="C9785" s="953"/>
      <c r="D9785" s="953"/>
      <c r="E9785" s="953"/>
      <c r="F9785" s="953"/>
      <c r="G9785" s="953"/>
      <c r="H9785" s="953"/>
    </row>
    <row r="9786" spans="1:8" x14ac:dyDescent="0.25">
      <c r="A9786" s="952"/>
      <c r="B9786" s="953"/>
      <c r="C9786" s="953"/>
      <c r="D9786" s="953"/>
      <c r="E9786" s="953"/>
      <c r="F9786" s="953"/>
      <c r="G9786" s="953"/>
      <c r="H9786" s="953"/>
    </row>
    <row r="9787" spans="1:8" x14ac:dyDescent="0.25">
      <c r="A9787" s="952"/>
      <c r="B9787" s="953"/>
      <c r="C9787" s="953"/>
      <c r="D9787" s="953"/>
      <c r="E9787" s="953"/>
      <c r="F9787" s="953"/>
      <c r="G9787" s="953"/>
      <c r="H9787" s="953"/>
    </row>
    <row r="9788" spans="1:8" x14ac:dyDescent="0.25">
      <c r="A9788" s="952"/>
      <c r="B9788" s="953"/>
      <c r="C9788" s="953"/>
      <c r="D9788" s="953"/>
      <c r="E9788" s="953"/>
      <c r="F9788" s="953"/>
      <c r="G9788" s="953"/>
      <c r="H9788" s="953"/>
    </row>
    <row r="9789" spans="1:8" x14ac:dyDescent="0.25">
      <c r="A9789" s="952"/>
      <c r="B9789" s="953"/>
      <c r="C9789" s="953"/>
      <c r="D9789" s="953"/>
      <c r="E9789" s="953"/>
      <c r="F9789" s="953"/>
      <c r="G9789" s="953"/>
      <c r="H9789" s="953"/>
    </row>
    <row r="9790" spans="1:8" x14ac:dyDescent="0.25">
      <c r="A9790" s="952"/>
      <c r="B9790" s="953"/>
      <c r="C9790" s="953"/>
      <c r="D9790" s="953"/>
      <c r="E9790" s="953"/>
      <c r="F9790" s="953"/>
      <c r="G9790" s="953"/>
      <c r="H9790" s="953"/>
    </row>
    <row r="9791" spans="1:8" x14ac:dyDescent="0.25">
      <c r="A9791" s="952"/>
      <c r="B9791" s="953"/>
      <c r="C9791" s="953"/>
      <c r="D9791" s="953"/>
      <c r="E9791" s="953"/>
      <c r="F9791" s="953"/>
      <c r="G9791" s="953"/>
      <c r="H9791" s="953"/>
    </row>
    <row r="9792" spans="1:8" x14ac:dyDescent="0.25">
      <c r="A9792" s="952"/>
      <c r="B9792" s="953"/>
      <c r="C9792" s="953"/>
      <c r="D9792" s="953"/>
      <c r="E9792" s="953"/>
      <c r="F9792" s="953"/>
      <c r="G9792" s="953"/>
      <c r="H9792" s="953"/>
    </row>
    <row r="9793" spans="1:8" x14ac:dyDescent="0.25">
      <c r="A9793" s="952"/>
      <c r="B9793" s="953"/>
      <c r="C9793" s="953"/>
      <c r="D9793" s="953"/>
      <c r="E9793" s="953"/>
      <c r="F9793" s="953"/>
      <c r="G9793" s="953"/>
      <c r="H9793" s="953"/>
    </row>
    <row r="9794" spans="1:8" x14ac:dyDescent="0.25">
      <c r="A9794" s="952"/>
      <c r="B9794" s="953"/>
      <c r="C9794" s="953"/>
      <c r="D9794" s="953"/>
      <c r="E9794" s="953"/>
      <c r="F9794" s="953"/>
      <c r="G9794" s="953"/>
      <c r="H9794" s="953"/>
    </row>
    <row r="9795" spans="1:8" x14ac:dyDescent="0.25">
      <c r="A9795" s="952"/>
      <c r="B9795" s="953"/>
      <c r="C9795" s="953"/>
      <c r="D9795" s="953"/>
      <c r="E9795" s="953"/>
      <c r="F9795" s="953"/>
      <c r="G9795" s="953"/>
      <c r="H9795" s="953"/>
    </row>
    <row r="9796" spans="1:8" x14ac:dyDescent="0.25">
      <c r="A9796" s="952"/>
      <c r="B9796" s="953"/>
      <c r="C9796" s="953"/>
      <c r="D9796" s="953"/>
      <c r="E9796" s="953"/>
      <c r="F9796" s="953"/>
      <c r="G9796" s="953"/>
      <c r="H9796" s="953"/>
    </row>
    <row r="9797" spans="1:8" x14ac:dyDescent="0.25">
      <c r="A9797" s="952"/>
      <c r="B9797" s="953"/>
      <c r="C9797" s="953"/>
      <c r="D9797" s="953"/>
      <c r="E9797" s="953"/>
      <c r="F9797" s="953"/>
      <c r="G9797" s="953"/>
      <c r="H9797" s="953"/>
    </row>
    <row r="9798" spans="1:8" x14ac:dyDescent="0.25">
      <c r="A9798" s="952"/>
      <c r="B9798" s="953"/>
      <c r="C9798" s="953"/>
      <c r="D9798" s="953"/>
      <c r="E9798" s="953"/>
      <c r="F9798" s="953"/>
      <c r="G9798" s="953"/>
      <c r="H9798" s="953"/>
    </row>
    <row r="9799" spans="1:8" x14ac:dyDescent="0.25">
      <c r="A9799" s="952"/>
      <c r="B9799" s="953"/>
      <c r="C9799" s="953"/>
      <c r="D9799" s="953"/>
      <c r="E9799" s="953"/>
      <c r="F9799" s="953"/>
      <c r="G9799" s="953"/>
      <c r="H9799" s="953"/>
    </row>
    <row r="9800" spans="1:8" x14ac:dyDescent="0.25">
      <c r="A9800" s="952"/>
      <c r="B9800" s="953"/>
      <c r="C9800" s="953"/>
      <c r="D9800" s="953"/>
      <c r="E9800" s="953"/>
      <c r="F9800" s="953"/>
      <c r="G9800" s="953"/>
      <c r="H9800" s="953"/>
    </row>
    <row r="9801" spans="1:8" x14ac:dyDescent="0.25">
      <c r="A9801" s="952"/>
      <c r="B9801" s="953"/>
      <c r="C9801" s="953"/>
      <c r="D9801" s="953"/>
      <c r="E9801" s="953"/>
      <c r="F9801" s="953"/>
      <c r="G9801" s="953"/>
      <c r="H9801" s="953"/>
    </row>
    <row r="9802" spans="1:8" x14ac:dyDescent="0.25">
      <c r="A9802" s="952"/>
      <c r="B9802" s="953"/>
      <c r="C9802" s="953"/>
      <c r="D9802" s="953"/>
      <c r="E9802" s="953"/>
      <c r="F9802" s="953"/>
      <c r="G9802" s="953"/>
      <c r="H9802" s="953"/>
    </row>
    <row r="9803" spans="1:8" x14ac:dyDescent="0.25">
      <c r="A9803" s="952"/>
      <c r="B9803" s="953"/>
      <c r="C9803" s="953"/>
      <c r="D9803" s="953"/>
      <c r="E9803" s="953"/>
      <c r="F9803" s="953"/>
      <c r="G9803" s="953"/>
      <c r="H9803" s="953"/>
    </row>
    <row r="9804" spans="1:8" x14ac:dyDescent="0.25">
      <c r="A9804" s="952"/>
      <c r="B9804" s="953"/>
      <c r="C9804" s="953"/>
      <c r="D9804" s="953"/>
      <c r="E9804" s="953"/>
      <c r="F9804" s="953"/>
      <c r="G9804" s="953"/>
      <c r="H9804" s="953"/>
    </row>
    <row r="9805" spans="1:8" x14ac:dyDescent="0.25">
      <c r="A9805" s="952"/>
      <c r="B9805" s="953"/>
      <c r="C9805" s="953"/>
      <c r="D9805" s="953"/>
      <c r="E9805" s="953"/>
      <c r="F9805" s="953"/>
      <c r="G9805" s="953"/>
      <c r="H9805" s="953"/>
    </row>
    <row r="9806" spans="1:8" x14ac:dyDescent="0.25">
      <c r="A9806" s="952"/>
      <c r="B9806" s="953"/>
      <c r="C9806" s="953"/>
      <c r="D9806" s="953"/>
      <c r="E9806" s="953"/>
      <c r="F9806" s="953"/>
      <c r="G9806" s="953"/>
      <c r="H9806" s="953"/>
    </row>
    <row r="9807" spans="1:8" x14ac:dyDescent="0.25">
      <c r="A9807" s="952"/>
      <c r="B9807" s="953"/>
      <c r="C9807" s="953"/>
      <c r="D9807" s="953"/>
      <c r="E9807" s="953"/>
      <c r="F9807" s="953"/>
      <c r="G9807" s="953"/>
      <c r="H9807" s="953"/>
    </row>
    <row r="9808" spans="1:8" x14ac:dyDescent="0.25">
      <c r="A9808" s="952"/>
      <c r="B9808" s="953"/>
      <c r="C9808" s="953"/>
      <c r="D9808" s="953"/>
      <c r="E9808" s="953"/>
      <c r="F9808" s="953"/>
      <c r="G9808" s="953"/>
      <c r="H9808" s="953"/>
    </row>
    <row r="9809" spans="1:8" x14ac:dyDescent="0.25">
      <c r="A9809" s="952"/>
      <c r="B9809" s="953"/>
      <c r="C9809" s="953"/>
      <c r="D9809" s="953"/>
      <c r="E9809" s="953"/>
      <c r="F9809" s="953"/>
      <c r="G9809" s="953"/>
      <c r="H9809" s="953"/>
    </row>
    <row r="9810" spans="1:8" x14ac:dyDescent="0.25">
      <c r="A9810" s="952"/>
      <c r="B9810" s="953"/>
      <c r="C9810" s="953"/>
      <c r="D9810" s="953"/>
      <c r="E9810" s="953"/>
      <c r="F9810" s="953"/>
      <c r="G9810" s="953"/>
      <c r="H9810" s="953"/>
    </row>
    <row r="9811" spans="1:8" x14ac:dyDescent="0.25">
      <c r="A9811" s="952"/>
      <c r="B9811" s="953"/>
      <c r="C9811" s="953"/>
      <c r="D9811" s="953"/>
      <c r="E9811" s="953"/>
      <c r="F9811" s="953"/>
      <c r="G9811" s="953"/>
      <c r="H9811" s="953"/>
    </row>
    <row r="9812" spans="1:8" x14ac:dyDescent="0.25">
      <c r="A9812" s="952"/>
      <c r="B9812" s="953"/>
      <c r="C9812" s="953"/>
      <c r="D9812" s="953"/>
      <c r="E9812" s="953"/>
      <c r="F9812" s="953"/>
      <c r="G9812" s="953"/>
      <c r="H9812" s="953"/>
    </row>
    <row r="9813" spans="1:8" x14ac:dyDescent="0.25">
      <c r="A9813" s="952"/>
      <c r="B9813" s="953"/>
      <c r="C9813" s="953"/>
      <c r="D9813" s="953"/>
      <c r="E9813" s="953"/>
      <c r="F9813" s="953"/>
      <c r="G9813" s="953"/>
      <c r="H9813" s="953"/>
    </row>
    <row r="9814" spans="1:8" x14ac:dyDescent="0.25">
      <c r="A9814" s="952"/>
      <c r="B9814" s="953"/>
      <c r="C9814" s="953"/>
      <c r="D9814" s="953"/>
      <c r="E9814" s="953"/>
      <c r="F9814" s="953"/>
      <c r="G9814" s="953"/>
      <c r="H9814" s="953"/>
    </row>
    <row r="9815" spans="1:8" x14ac:dyDescent="0.25">
      <c r="A9815" s="952"/>
      <c r="B9815" s="953"/>
      <c r="C9815" s="953"/>
      <c r="D9815" s="953"/>
      <c r="E9815" s="953"/>
      <c r="F9815" s="953"/>
      <c r="G9815" s="953"/>
      <c r="H9815" s="953"/>
    </row>
    <row r="9816" spans="1:8" x14ac:dyDescent="0.25">
      <c r="A9816" s="952"/>
      <c r="B9816" s="953"/>
      <c r="C9816" s="953"/>
      <c r="D9816" s="953"/>
      <c r="E9816" s="953"/>
      <c r="F9816" s="953"/>
      <c r="G9816" s="953"/>
      <c r="H9816" s="953"/>
    </row>
    <row r="9817" spans="1:8" x14ac:dyDescent="0.25">
      <c r="A9817" s="952"/>
      <c r="B9817" s="953"/>
      <c r="C9817" s="953"/>
      <c r="D9817" s="953"/>
      <c r="E9817" s="953"/>
      <c r="F9817" s="953"/>
      <c r="G9817" s="953"/>
      <c r="H9817" s="953"/>
    </row>
    <row r="9818" spans="1:8" x14ac:dyDescent="0.25">
      <c r="A9818" s="952"/>
      <c r="B9818" s="953"/>
      <c r="C9818" s="953"/>
      <c r="D9818" s="953"/>
      <c r="E9818" s="953"/>
      <c r="F9818" s="953"/>
      <c r="G9818" s="953"/>
      <c r="H9818" s="953"/>
    </row>
    <row r="9819" spans="1:8" x14ac:dyDescent="0.25">
      <c r="A9819" s="952"/>
      <c r="B9819" s="953"/>
      <c r="C9819" s="953"/>
      <c r="D9819" s="953"/>
      <c r="E9819" s="953"/>
      <c r="F9819" s="953"/>
      <c r="G9819" s="953"/>
      <c r="H9819" s="953"/>
    </row>
    <row r="9820" spans="1:8" x14ac:dyDescent="0.25">
      <c r="A9820" s="952"/>
      <c r="B9820" s="953"/>
      <c r="C9820" s="953"/>
      <c r="D9820" s="953"/>
      <c r="E9820" s="953"/>
      <c r="F9820" s="953"/>
      <c r="G9820" s="953"/>
      <c r="H9820" s="953"/>
    </row>
    <row r="9821" spans="1:8" x14ac:dyDescent="0.25">
      <c r="A9821" s="952"/>
      <c r="B9821" s="953"/>
      <c r="C9821" s="953"/>
      <c r="D9821" s="953"/>
      <c r="E9821" s="953"/>
      <c r="F9821" s="953"/>
      <c r="G9821" s="953"/>
      <c r="H9821" s="953"/>
    </row>
    <row r="9822" spans="1:8" x14ac:dyDescent="0.25">
      <c r="A9822" s="952"/>
      <c r="B9822" s="953"/>
      <c r="C9822" s="953"/>
      <c r="D9822" s="953"/>
      <c r="E9822" s="953"/>
      <c r="F9822" s="953"/>
      <c r="G9822" s="953"/>
      <c r="H9822" s="953"/>
    </row>
    <row r="9823" spans="1:8" x14ac:dyDescent="0.25">
      <c r="A9823" s="952"/>
      <c r="B9823" s="953"/>
      <c r="C9823" s="953"/>
      <c r="D9823" s="953"/>
      <c r="E9823" s="953"/>
      <c r="F9823" s="953"/>
      <c r="G9823" s="953"/>
      <c r="H9823" s="953"/>
    </row>
    <row r="9824" spans="1:8" x14ac:dyDescent="0.25">
      <c r="A9824" s="952"/>
      <c r="B9824" s="953"/>
      <c r="C9824" s="953"/>
      <c r="D9824" s="953"/>
      <c r="E9824" s="953"/>
      <c r="F9824" s="953"/>
      <c r="G9824" s="953"/>
      <c r="H9824" s="953"/>
    </row>
    <row r="9825" spans="1:8" x14ac:dyDescent="0.25">
      <c r="A9825" s="952"/>
      <c r="B9825" s="953"/>
      <c r="C9825" s="953"/>
      <c r="D9825" s="953"/>
      <c r="E9825" s="953"/>
      <c r="F9825" s="953"/>
      <c r="G9825" s="953"/>
      <c r="H9825" s="953"/>
    </row>
    <row r="9826" spans="1:8" x14ac:dyDescent="0.25">
      <c r="A9826" s="952"/>
      <c r="B9826" s="953"/>
      <c r="C9826" s="953"/>
      <c r="D9826" s="953"/>
      <c r="E9826" s="953"/>
      <c r="F9826" s="953"/>
      <c r="G9826" s="953"/>
      <c r="H9826" s="953"/>
    </row>
    <row r="9827" spans="1:8" x14ac:dyDescent="0.25">
      <c r="A9827" s="952"/>
      <c r="B9827" s="953"/>
      <c r="C9827" s="953"/>
      <c r="D9827" s="953"/>
      <c r="E9827" s="953"/>
      <c r="F9827" s="953"/>
      <c r="G9827" s="953"/>
      <c r="H9827" s="953"/>
    </row>
    <row r="9828" spans="1:8" x14ac:dyDescent="0.25">
      <c r="A9828" s="952"/>
      <c r="B9828" s="953"/>
      <c r="C9828" s="953"/>
      <c r="D9828" s="953"/>
      <c r="E9828" s="953"/>
      <c r="F9828" s="953"/>
      <c r="G9828" s="953"/>
      <c r="H9828" s="953"/>
    </row>
    <row r="9829" spans="1:8" x14ac:dyDescent="0.25">
      <c r="A9829" s="952"/>
      <c r="B9829" s="953"/>
      <c r="C9829" s="953"/>
      <c r="D9829" s="953"/>
      <c r="E9829" s="953"/>
      <c r="F9829" s="953"/>
      <c r="G9829" s="953"/>
      <c r="H9829" s="953"/>
    </row>
    <row r="9830" spans="1:8" x14ac:dyDescent="0.25">
      <c r="A9830" s="952"/>
      <c r="B9830" s="953"/>
      <c r="C9830" s="953"/>
      <c r="D9830" s="953"/>
      <c r="E9830" s="953"/>
      <c r="F9830" s="953"/>
      <c r="G9830" s="953"/>
      <c r="H9830" s="953"/>
    </row>
    <row r="9831" spans="1:8" x14ac:dyDescent="0.25">
      <c r="A9831" s="952"/>
      <c r="B9831" s="953"/>
      <c r="C9831" s="953"/>
      <c r="D9831" s="953"/>
      <c r="E9831" s="953"/>
      <c r="F9831" s="953"/>
      <c r="G9831" s="953"/>
      <c r="H9831" s="953"/>
    </row>
    <row r="9832" spans="1:8" x14ac:dyDescent="0.25">
      <c r="A9832" s="952"/>
      <c r="B9832" s="953"/>
      <c r="C9832" s="953"/>
      <c r="D9832" s="953"/>
      <c r="E9832" s="953"/>
      <c r="F9832" s="953"/>
      <c r="G9832" s="953"/>
      <c r="H9832" s="953"/>
    </row>
    <row r="9833" spans="1:8" x14ac:dyDescent="0.25">
      <c r="A9833" s="952"/>
      <c r="B9833" s="953"/>
      <c r="C9833" s="953"/>
      <c r="D9833" s="953"/>
      <c r="E9833" s="953"/>
      <c r="F9833" s="953"/>
      <c r="G9833" s="953"/>
      <c r="H9833" s="953"/>
    </row>
    <row r="9834" spans="1:8" x14ac:dyDescent="0.25">
      <c r="A9834" s="952"/>
      <c r="B9834" s="953"/>
      <c r="C9834" s="953"/>
      <c r="D9834" s="953"/>
      <c r="E9834" s="953"/>
      <c r="F9834" s="953"/>
      <c r="G9834" s="953"/>
      <c r="H9834" s="953"/>
    </row>
    <row r="9835" spans="1:8" x14ac:dyDescent="0.25">
      <c r="A9835" s="952"/>
      <c r="B9835" s="953"/>
      <c r="C9835" s="953"/>
      <c r="D9835" s="953"/>
      <c r="E9835" s="953"/>
      <c r="F9835" s="953"/>
      <c r="G9835" s="953"/>
      <c r="H9835" s="953"/>
    </row>
    <row r="9836" spans="1:8" x14ac:dyDescent="0.25">
      <c r="A9836" s="952"/>
      <c r="B9836" s="953"/>
      <c r="C9836" s="953"/>
      <c r="D9836" s="953"/>
      <c r="E9836" s="953"/>
      <c r="F9836" s="953"/>
      <c r="G9836" s="953"/>
      <c r="H9836" s="953"/>
    </row>
    <row r="9837" spans="1:8" x14ac:dyDescent="0.25">
      <c r="A9837" s="952"/>
      <c r="B9837" s="953"/>
      <c r="C9837" s="953"/>
      <c r="D9837" s="953"/>
      <c r="E9837" s="953"/>
      <c r="F9837" s="953"/>
      <c r="G9837" s="953"/>
      <c r="H9837" s="953"/>
    </row>
    <row r="9838" spans="1:8" x14ac:dyDescent="0.25">
      <c r="A9838" s="952"/>
      <c r="B9838" s="953"/>
      <c r="C9838" s="953"/>
      <c r="D9838" s="953"/>
      <c r="E9838" s="953"/>
      <c r="F9838" s="953"/>
      <c r="G9838" s="953"/>
      <c r="H9838" s="953"/>
    </row>
    <row r="9839" spans="1:8" x14ac:dyDescent="0.25">
      <c r="A9839" s="952"/>
      <c r="B9839" s="953"/>
      <c r="C9839" s="953"/>
      <c r="D9839" s="953"/>
      <c r="E9839" s="953"/>
      <c r="F9839" s="953"/>
      <c r="G9839" s="953"/>
      <c r="H9839" s="953"/>
    </row>
    <row r="9840" spans="1:8" x14ac:dyDescent="0.25">
      <c r="A9840" s="952"/>
      <c r="B9840" s="953"/>
      <c r="C9840" s="953"/>
      <c r="D9840" s="953"/>
      <c r="E9840" s="953"/>
      <c r="F9840" s="953"/>
      <c r="G9840" s="953"/>
      <c r="H9840" s="953"/>
    </row>
    <row r="9841" spans="1:8" x14ac:dyDescent="0.25">
      <c r="A9841" s="952"/>
      <c r="B9841" s="953"/>
      <c r="C9841" s="953"/>
      <c r="D9841" s="953"/>
      <c r="E9841" s="953"/>
      <c r="F9841" s="953"/>
      <c r="G9841" s="953"/>
      <c r="H9841" s="953"/>
    </row>
    <row r="9842" spans="1:8" x14ac:dyDescent="0.25">
      <c r="A9842" s="952"/>
      <c r="B9842" s="953"/>
      <c r="C9842" s="953"/>
      <c r="D9842" s="953"/>
      <c r="E9842" s="953"/>
      <c r="F9842" s="953"/>
      <c r="G9842" s="953"/>
      <c r="H9842" s="953"/>
    </row>
    <row r="9843" spans="1:8" x14ac:dyDescent="0.25">
      <c r="A9843" s="952"/>
      <c r="B9843" s="953"/>
      <c r="C9843" s="953"/>
      <c r="D9843" s="953"/>
      <c r="E9843" s="953"/>
      <c r="F9843" s="953"/>
      <c r="G9843" s="953"/>
      <c r="H9843" s="953"/>
    </row>
    <row r="9844" spans="1:8" x14ac:dyDescent="0.25">
      <c r="A9844" s="952"/>
      <c r="B9844" s="953"/>
      <c r="C9844" s="953"/>
      <c r="D9844" s="953"/>
      <c r="E9844" s="953"/>
      <c r="F9844" s="953"/>
      <c r="G9844" s="953"/>
      <c r="H9844" s="953"/>
    </row>
    <row r="9845" spans="1:8" x14ac:dyDescent="0.25">
      <c r="A9845" s="952"/>
      <c r="B9845" s="953"/>
      <c r="C9845" s="953"/>
      <c r="D9845" s="953"/>
      <c r="E9845" s="953"/>
      <c r="F9845" s="953"/>
      <c r="G9845" s="953"/>
      <c r="H9845" s="953"/>
    </row>
    <row r="9846" spans="1:8" x14ac:dyDescent="0.25">
      <c r="A9846" s="952"/>
      <c r="B9846" s="953"/>
      <c r="C9846" s="953"/>
      <c r="D9846" s="953"/>
      <c r="E9846" s="953"/>
      <c r="F9846" s="953"/>
      <c r="G9846" s="953"/>
      <c r="H9846" s="953"/>
    </row>
    <row r="9847" spans="1:8" x14ac:dyDescent="0.25">
      <c r="A9847" s="952"/>
      <c r="B9847" s="953"/>
      <c r="C9847" s="953"/>
      <c r="D9847" s="953"/>
      <c r="E9847" s="953"/>
      <c r="F9847" s="953"/>
      <c r="G9847" s="953"/>
      <c r="H9847" s="953"/>
    </row>
    <row r="9848" spans="1:8" x14ac:dyDescent="0.25">
      <c r="A9848" s="952"/>
      <c r="B9848" s="953"/>
      <c r="C9848" s="953"/>
      <c r="D9848" s="953"/>
      <c r="E9848" s="953"/>
      <c r="F9848" s="953"/>
      <c r="G9848" s="953"/>
      <c r="H9848" s="953"/>
    </row>
    <row r="9849" spans="1:8" x14ac:dyDescent="0.25">
      <c r="A9849" s="952"/>
      <c r="B9849" s="953"/>
      <c r="C9849" s="953"/>
      <c r="D9849" s="953"/>
      <c r="E9849" s="953"/>
      <c r="F9849" s="953"/>
      <c r="G9849" s="953"/>
      <c r="H9849" s="953"/>
    </row>
    <row r="9850" spans="1:8" x14ac:dyDescent="0.25">
      <c r="A9850" s="952"/>
      <c r="B9850" s="953"/>
      <c r="C9850" s="953"/>
      <c r="D9850" s="953"/>
      <c r="E9850" s="953"/>
      <c r="F9850" s="953"/>
      <c r="G9850" s="953"/>
      <c r="H9850" s="953"/>
    </row>
    <row r="9851" spans="1:8" x14ac:dyDescent="0.25">
      <c r="A9851" s="952"/>
      <c r="B9851" s="953"/>
      <c r="C9851" s="953"/>
      <c r="D9851" s="953"/>
      <c r="E9851" s="953"/>
      <c r="F9851" s="953"/>
      <c r="G9851" s="953"/>
      <c r="H9851" s="953"/>
    </row>
    <row r="9852" spans="1:8" x14ac:dyDescent="0.25">
      <c r="A9852" s="952"/>
      <c r="B9852" s="953"/>
      <c r="C9852" s="953"/>
      <c r="D9852" s="953"/>
      <c r="E9852" s="953"/>
      <c r="F9852" s="953"/>
      <c r="G9852" s="953"/>
      <c r="H9852" s="953"/>
    </row>
    <row r="9853" spans="1:8" x14ac:dyDescent="0.25">
      <c r="A9853" s="952"/>
      <c r="B9853" s="953"/>
      <c r="C9853" s="953"/>
      <c r="D9853" s="953"/>
      <c r="E9853" s="953"/>
      <c r="F9853" s="953"/>
      <c r="G9853" s="953"/>
      <c r="H9853" s="953"/>
    </row>
    <row r="9854" spans="1:8" x14ac:dyDescent="0.25">
      <c r="A9854" s="952"/>
      <c r="B9854" s="953"/>
      <c r="C9854" s="953"/>
      <c r="D9854" s="953"/>
      <c r="E9854" s="953"/>
      <c r="F9854" s="953"/>
      <c r="G9854" s="953"/>
      <c r="H9854" s="953"/>
    </row>
    <row r="9855" spans="1:8" x14ac:dyDescent="0.25">
      <c r="A9855" s="952"/>
      <c r="B9855" s="953"/>
      <c r="C9855" s="953"/>
      <c r="D9855" s="953"/>
      <c r="E9855" s="953"/>
      <c r="F9855" s="953"/>
      <c r="G9855" s="953"/>
      <c r="H9855" s="953"/>
    </row>
    <row r="9856" spans="1:8" x14ac:dyDescent="0.25">
      <c r="A9856" s="952"/>
      <c r="B9856" s="953"/>
      <c r="C9856" s="953"/>
      <c r="D9856" s="953"/>
      <c r="E9856" s="953"/>
      <c r="F9856" s="953"/>
      <c r="G9856" s="953"/>
      <c r="H9856" s="953"/>
    </row>
    <row r="9857" spans="1:8" x14ac:dyDescent="0.25">
      <c r="A9857" s="952"/>
      <c r="B9857" s="953"/>
      <c r="C9857" s="953"/>
      <c r="D9857" s="953"/>
      <c r="E9857" s="953"/>
      <c r="F9857" s="953"/>
      <c r="G9857" s="953"/>
      <c r="H9857" s="953"/>
    </row>
    <row r="9858" spans="1:8" x14ac:dyDescent="0.25">
      <c r="A9858" s="952"/>
      <c r="B9858" s="953"/>
      <c r="C9858" s="953"/>
      <c r="D9858" s="953"/>
      <c r="E9858" s="953"/>
      <c r="F9858" s="953"/>
      <c r="G9858" s="953"/>
      <c r="H9858" s="953"/>
    </row>
    <row r="9859" spans="1:8" x14ac:dyDescent="0.25">
      <c r="A9859" s="952"/>
      <c r="B9859" s="953"/>
      <c r="C9859" s="953"/>
      <c r="D9859" s="953"/>
      <c r="E9859" s="953"/>
      <c r="F9859" s="953"/>
      <c r="G9859" s="953"/>
      <c r="H9859" s="953"/>
    </row>
    <row r="9860" spans="1:8" x14ac:dyDescent="0.25">
      <c r="A9860" s="952"/>
      <c r="B9860" s="953"/>
      <c r="C9860" s="953"/>
      <c r="D9860" s="953"/>
      <c r="E9860" s="953"/>
      <c r="F9860" s="953"/>
      <c r="G9860" s="953"/>
      <c r="H9860" s="953"/>
    </row>
    <row r="9861" spans="1:8" x14ac:dyDescent="0.25">
      <c r="A9861" s="952"/>
      <c r="B9861" s="953"/>
      <c r="C9861" s="953"/>
      <c r="D9861" s="953"/>
      <c r="E9861" s="953"/>
      <c r="F9861" s="953"/>
      <c r="G9861" s="953"/>
      <c r="H9861" s="953"/>
    </row>
    <row r="9862" spans="1:8" x14ac:dyDescent="0.25">
      <c r="A9862" s="952"/>
      <c r="B9862" s="953"/>
      <c r="C9862" s="953"/>
      <c r="D9862" s="953"/>
      <c r="E9862" s="953"/>
      <c r="F9862" s="953"/>
      <c r="G9862" s="953"/>
      <c r="H9862" s="953"/>
    </row>
    <row r="9863" spans="1:8" x14ac:dyDescent="0.25">
      <c r="A9863" s="952"/>
      <c r="B9863" s="953"/>
      <c r="C9863" s="953"/>
      <c r="D9863" s="953"/>
      <c r="E9863" s="953"/>
      <c r="F9863" s="953"/>
      <c r="G9863" s="953"/>
      <c r="H9863" s="953"/>
    </row>
    <row r="9864" spans="1:8" x14ac:dyDescent="0.25">
      <c r="A9864" s="952"/>
      <c r="B9864" s="953"/>
      <c r="C9864" s="953"/>
      <c r="D9864" s="953"/>
      <c r="E9864" s="953"/>
      <c r="F9864" s="953"/>
      <c r="G9864" s="953"/>
      <c r="H9864" s="953"/>
    </row>
    <row r="9865" spans="1:8" x14ac:dyDescent="0.25">
      <c r="A9865" s="952"/>
      <c r="B9865" s="953"/>
      <c r="C9865" s="953"/>
      <c r="D9865" s="953"/>
      <c r="E9865" s="953"/>
      <c r="F9865" s="953"/>
      <c r="G9865" s="953"/>
      <c r="H9865" s="953"/>
    </row>
    <row r="9866" spans="1:8" x14ac:dyDescent="0.25">
      <c r="A9866" s="952"/>
      <c r="B9866" s="953"/>
      <c r="C9866" s="953"/>
      <c r="D9866" s="953"/>
      <c r="E9866" s="953"/>
      <c r="F9866" s="953"/>
      <c r="G9866" s="953"/>
      <c r="H9866" s="953"/>
    </row>
    <row r="9867" spans="1:8" x14ac:dyDescent="0.25">
      <c r="A9867" s="952"/>
      <c r="B9867" s="953"/>
      <c r="C9867" s="953"/>
      <c r="D9867" s="953"/>
      <c r="E9867" s="953"/>
      <c r="F9867" s="953"/>
      <c r="G9867" s="953"/>
      <c r="H9867" s="953"/>
    </row>
    <row r="9868" spans="1:8" x14ac:dyDescent="0.25">
      <c r="A9868" s="952"/>
      <c r="B9868" s="953"/>
      <c r="C9868" s="953"/>
      <c r="D9868" s="953"/>
      <c r="E9868" s="953"/>
      <c r="F9868" s="953"/>
      <c r="G9868" s="953"/>
      <c r="H9868" s="953"/>
    </row>
    <row r="9869" spans="1:8" x14ac:dyDescent="0.25">
      <c r="A9869" s="952"/>
      <c r="B9869" s="953"/>
      <c r="C9869" s="953"/>
      <c r="D9869" s="953"/>
      <c r="E9869" s="953"/>
      <c r="F9869" s="953"/>
      <c r="G9869" s="953"/>
      <c r="H9869" s="953"/>
    </row>
    <row r="9870" spans="1:8" x14ac:dyDescent="0.25">
      <c r="A9870" s="952"/>
      <c r="B9870" s="953"/>
      <c r="C9870" s="953"/>
      <c r="D9870" s="953"/>
      <c r="E9870" s="953"/>
      <c r="F9870" s="953"/>
      <c r="G9870" s="953"/>
      <c r="H9870" s="953"/>
    </row>
    <row r="9871" spans="1:8" x14ac:dyDescent="0.25">
      <c r="A9871" s="952"/>
      <c r="B9871" s="953"/>
      <c r="C9871" s="953"/>
      <c r="D9871" s="953"/>
      <c r="E9871" s="953"/>
      <c r="F9871" s="953"/>
      <c r="G9871" s="953"/>
      <c r="H9871" s="953"/>
    </row>
    <row r="9872" spans="1:8" x14ac:dyDescent="0.25">
      <c r="A9872" s="952"/>
      <c r="B9872" s="953"/>
      <c r="C9872" s="953"/>
      <c r="D9872" s="953"/>
      <c r="E9872" s="953"/>
      <c r="F9872" s="953"/>
      <c r="G9872" s="953"/>
      <c r="H9872" s="953"/>
    </row>
    <row r="9873" spans="1:8" x14ac:dyDescent="0.25">
      <c r="A9873" s="952"/>
      <c r="B9873" s="953"/>
      <c r="C9873" s="953"/>
      <c r="D9873" s="953"/>
      <c r="E9873" s="953"/>
      <c r="F9873" s="953"/>
      <c r="G9873" s="953"/>
      <c r="H9873" s="953"/>
    </row>
    <row r="9874" spans="1:8" x14ac:dyDescent="0.25">
      <c r="A9874" s="952"/>
      <c r="B9874" s="953"/>
      <c r="C9874" s="953"/>
      <c r="D9874" s="953"/>
      <c r="E9874" s="953"/>
      <c r="F9874" s="953"/>
      <c r="G9874" s="953"/>
      <c r="H9874" s="953"/>
    </row>
    <row r="9875" spans="1:8" x14ac:dyDescent="0.25">
      <c r="A9875" s="952"/>
      <c r="B9875" s="953"/>
      <c r="C9875" s="953"/>
      <c r="D9875" s="953"/>
      <c r="E9875" s="953"/>
      <c r="F9875" s="953"/>
      <c r="G9875" s="953"/>
      <c r="H9875" s="953"/>
    </row>
    <row r="9876" spans="1:8" x14ac:dyDescent="0.25">
      <c r="A9876" s="952"/>
      <c r="B9876" s="953"/>
      <c r="C9876" s="953"/>
      <c r="D9876" s="953"/>
      <c r="E9876" s="953"/>
      <c r="F9876" s="953"/>
      <c r="G9876" s="953"/>
      <c r="H9876" s="953"/>
    </row>
    <row r="9877" spans="1:8" x14ac:dyDescent="0.25">
      <c r="A9877" s="952"/>
      <c r="B9877" s="953"/>
      <c r="C9877" s="953"/>
      <c r="D9877" s="953"/>
      <c r="E9877" s="953"/>
      <c r="F9877" s="953"/>
      <c r="G9877" s="953"/>
      <c r="H9877" s="953"/>
    </row>
    <row r="9878" spans="1:8" x14ac:dyDescent="0.25">
      <c r="A9878" s="952"/>
      <c r="B9878" s="953"/>
      <c r="C9878" s="953"/>
      <c r="D9878" s="953"/>
      <c r="E9878" s="953"/>
      <c r="F9878" s="953"/>
      <c r="G9878" s="953"/>
      <c r="H9878" s="953"/>
    </row>
    <row r="9879" spans="1:8" x14ac:dyDescent="0.25">
      <c r="A9879" s="952"/>
      <c r="B9879" s="953"/>
      <c r="C9879" s="953"/>
      <c r="D9879" s="953"/>
      <c r="E9879" s="953"/>
      <c r="F9879" s="953"/>
      <c r="G9879" s="953"/>
      <c r="H9879" s="953"/>
    </row>
    <row r="9880" spans="1:8" x14ac:dyDescent="0.25">
      <c r="A9880" s="952"/>
      <c r="B9880" s="953"/>
      <c r="C9880" s="953"/>
      <c r="D9880" s="953"/>
      <c r="E9880" s="953"/>
      <c r="F9880" s="953"/>
      <c r="G9880" s="953"/>
      <c r="H9880" s="953"/>
    </row>
    <row r="9881" spans="1:8" x14ac:dyDescent="0.25">
      <c r="A9881" s="952"/>
      <c r="B9881" s="953"/>
      <c r="C9881" s="953"/>
      <c r="D9881" s="953"/>
      <c r="E9881" s="953"/>
      <c r="F9881" s="953"/>
      <c r="G9881" s="953"/>
      <c r="H9881" s="953"/>
    </row>
    <row r="9882" spans="1:8" x14ac:dyDescent="0.25">
      <c r="A9882" s="952"/>
      <c r="B9882" s="953"/>
      <c r="C9882" s="953"/>
      <c r="D9882" s="953"/>
      <c r="E9882" s="953"/>
      <c r="F9882" s="953"/>
      <c r="G9882" s="953"/>
      <c r="H9882" s="953"/>
    </row>
    <row r="9883" spans="1:8" x14ac:dyDescent="0.25">
      <c r="A9883" s="952"/>
      <c r="B9883" s="953"/>
      <c r="C9883" s="953"/>
      <c r="D9883" s="953"/>
      <c r="E9883" s="953"/>
      <c r="F9883" s="953"/>
      <c r="G9883" s="953"/>
      <c r="H9883" s="953"/>
    </row>
    <row r="9884" spans="1:8" x14ac:dyDescent="0.25">
      <c r="A9884" s="952"/>
      <c r="B9884" s="953"/>
      <c r="C9884" s="953"/>
      <c r="D9884" s="953"/>
      <c r="E9884" s="953"/>
      <c r="F9884" s="953"/>
      <c r="G9884" s="953"/>
      <c r="H9884" s="953"/>
    </row>
    <row r="9885" spans="1:8" x14ac:dyDescent="0.25">
      <c r="A9885" s="952"/>
      <c r="B9885" s="953"/>
      <c r="C9885" s="953"/>
      <c r="D9885" s="953"/>
      <c r="E9885" s="953"/>
      <c r="F9885" s="953"/>
      <c r="G9885" s="953"/>
      <c r="H9885" s="953"/>
    </row>
    <row r="9886" spans="1:8" x14ac:dyDescent="0.25">
      <c r="A9886" s="952"/>
      <c r="B9886" s="953"/>
      <c r="C9886" s="953"/>
      <c r="D9886" s="953"/>
      <c r="E9886" s="953"/>
      <c r="F9886" s="953"/>
      <c r="G9886" s="953"/>
      <c r="H9886" s="953"/>
    </row>
    <row r="9887" spans="1:8" x14ac:dyDescent="0.25">
      <c r="A9887" s="952"/>
      <c r="B9887" s="953"/>
      <c r="C9887" s="953"/>
      <c r="D9887" s="953"/>
      <c r="E9887" s="953"/>
      <c r="F9887" s="953"/>
      <c r="G9887" s="953"/>
      <c r="H9887" s="953"/>
    </row>
    <row r="9888" spans="1:8" x14ac:dyDescent="0.25">
      <c r="A9888" s="952"/>
      <c r="B9888" s="953"/>
      <c r="C9888" s="953"/>
      <c r="D9888" s="953"/>
      <c r="E9888" s="953"/>
      <c r="F9888" s="953"/>
      <c r="G9888" s="953"/>
      <c r="H9888" s="953"/>
    </row>
    <row r="9889" spans="1:8" x14ac:dyDescent="0.25">
      <c r="A9889" s="952"/>
      <c r="B9889" s="953"/>
      <c r="C9889" s="953"/>
      <c r="D9889" s="953"/>
      <c r="E9889" s="953"/>
      <c r="F9889" s="953"/>
      <c r="G9889" s="953"/>
      <c r="H9889" s="953"/>
    </row>
    <row r="9890" spans="1:8" x14ac:dyDescent="0.25">
      <c r="A9890" s="952"/>
      <c r="B9890" s="953"/>
      <c r="C9890" s="953"/>
      <c r="D9890" s="953"/>
      <c r="E9890" s="953"/>
      <c r="F9890" s="953"/>
      <c r="G9890" s="953"/>
      <c r="H9890" s="953"/>
    </row>
    <row r="9891" spans="1:8" x14ac:dyDescent="0.25">
      <c r="A9891" s="952"/>
      <c r="B9891" s="953"/>
      <c r="C9891" s="953"/>
      <c r="D9891" s="953"/>
      <c r="E9891" s="953"/>
      <c r="F9891" s="953"/>
      <c r="G9891" s="953"/>
      <c r="H9891" s="953"/>
    </row>
    <row r="9892" spans="1:8" x14ac:dyDescent="0.25">
      <c r="A9892" s="952"/>
      <c r="B9892" s="953"/>
      <c r="C9892" s="953"/>
      <c r="D9892" s="953"/>
      <c r="E9892" s="953"/>
      <c r="F9892" s="953"/>
      <c r="G9892" s="953"/>
      <c r="H9892" s="953"/>
    </row>
    <row r="9893" spans="1:8" x14ac:dyDescent="0.25">
      <c r="A9893" s="952"/>
      <c r="B9893" s="953"/>
      <c r="C9893" s="953"/>
      <c r="D9893" s="953"/>
      <c r="E9893" s="953"/>
      <c r="F9893" s="953"/>
      <c r="G9893" s="953"/>
      <c r="H9893" s="953"/>
    </row>
    <row r="9894" spans="1:8" x14ac:dyDescent="0.25">
      <c r="A9894" s="952"/>
      <c r="B9894" s="953"/>
      <c r="C9894" s="953"/>
      <c r="D9894" s="953"/>
      <c r="E9894" s="953"/>
      <c r="F9894" s="953"/>
      <c r="G9894" s="953"/>
      <c r="H9894" s="953"/>
    </row>
    <row r="9895" spans="1:8" x14ac:dyDescent="0.25">
      <c r="A9895" s="952"/>
      <c r="B9895" s="953"/>
      <c r="C9895" s="953"/>
      <c r="D9895" s="953"/>
      <c r="E9895" s="953"/>
      <c r="F9895" s="953"/>
      <c r="G9895" s="953"/>
      <c r="H9895" s="953"/>
    </row>
    <row r="9896" spans="1:8" x14ac:dyDescent="0.25">
      <c r="A9896" s="952"/>
      <c r="B9896" s="953"/>
      <c r="C9896" s="953"/>
      <c r="D9896" s="953"/>
      <c r="E9896" s="953"/>
      <c r="F9896" s="953"/>
      <c r="G9896" s="953"/>
      <c r="H9896" s="953"/>
    </row>
    <row r="9897" spans="1:8" x14ac:dyDescent="0.25">
      <c r="A9897" s="952"/>
      <c r="B9897" s="953"/>
      <c r="C9897" s="953"/>
      <c r="D9897" s="953"/>
      <c r="E9897" s="953"/>
      <c r="F9897" s="953"/>
      <c r="G9897" s="953"/>
      <c r="H9897" s="953"/>
    </row>
    <row r="9898" spans="1:8" x14ac:dyDescent="0.25">
      <c r="A9898" s="952"/>
      <c r="B9898" s="953"/>
      <c r="C9898" s="953"/>
      <c r="D9898" s="953"/>
      <c r="E9898" s="953"/>
      <c r="F9898" s="953"/>
      <c r="G9898" s="953"/>
      <c r="H9898" s="953"/>
    </row>
    <row r="9899" spans="1:8" x14ac:dyDescent="0.25">
      <c r="A9899" s="952"/>
      <c r="B9899" s="953"/>
      <c r="C9899" s="953"/>
      <c r="D9899" s="953"/>
      <c r="E9899" s="953"/>
      <c r="F9899" s="953"/>
      <c r="G9899" s="953"/>
      <c r="H9899" s="953"/>
    </row>
    <row r="9900" spans="1:8" x14ac:dyDescent="0.25">
      <c r="A9900" s="952"/>
      <c r="B9900" s="953"/>
      <c r="C9900" s="953"/>
      <c r="D9900" s="953"/>
      <c r="E9900" s="953"/>
      <c r="F9900" s="953"/>
      <c r="G9900" s="953"/>
      <c r="H9900" s="953"/>
    </row>
    <row r="9901" spans="1:8" x14ac:dyDescent="0.25">
      <c r="A9901" s="952"/>
      <c r="B9901" s="953"/>
      <c r="C9901" s="953"/>
      <c r="D9901" s="953"/>
      <c r="E9901" s="953"/>
      <c r="F9901" s="953"/>
      <c r="G9901" s="953"/>
      <c r="H9901" s="953"/>
    </row>
    <row r="9902" spans="1:8" x14ac:dyDescent="0.25">
      <c r="A9902" s="952"/>
      <c r="B9902" s="953"/>
      <c r="C9902" s="953"/>
      <c r="D9902" s="953"/>
      <c r="E9902" s="953"/>
      <c r="F9902" s="953"/>
      <c r="G9902" s="953"/>
      <c r="H9902" s="953"/>
    </row>
    <row r="9903" spans="1:8" x14ac:dyDescent="0.25">
      <c r="A9903" s="952"/>
      <c r="B9903" s="953"/>
      <c r="C9903" s="953"/>
      <c r="D9903" s="953"/>
      <c r="E9903" s="953"/>
      <c r="F9903" s="953"/>
      <c r="G9903" s="953"/>
      <c r="H9903" s="953"/>
    </row>
    <row r="9904" spans="1:8" x14ac:dyDescent="0.25">
      <c r="A9904" s="952"/>
      <c r="B9904" s="953"/>
      <c r="C9904" s="953"/>
      <c r="D9904" s="953"/>
      <c r="E9904" s="953"/>
      <c r="F9904" s="953"/>
      <c r="G9904" s="953"/>
      <c r="H9904" s="953"/>
    </row>
    <row r="9905" spans="1:8" x14ac:dyDescent="0.25">
      <c r="A9905" s="952"/>
      <c r="B9905" s="953"/>
      <c r="C9905" s="953"/>
      <c r="D9905" s="953"/>
      <c r="E9905" s="953"/>
      <c r="F9905" s="953"/>
      <c r="G9905" s="953"/>
      <c r="H9905" s="953"/>
    </row>
    <row r="9906" spans="1:8" x14ac:dyDescent="0.25">
      <c r="A9906" s="952"/>
      <c r="B9906" s="953"/>
      <c r="C9906" s="953"/>
      <c r="D9906" s="953"/>
      <c r="E9906" s="953"/>
      <c r="F9906" s="953"/>
      <c r="G9906" s="953"/>
      <c r="H9906" s="953"/>
    </row>
    <row r="9907" spans="1:8" x14ac:dyDescent="0.25">
      <c r="A9907" s="952"/>
      <c r="B9907" s="953"/>
      <c r="C9907" s="953"/>
      <c r="D9907" s="953"/>
      <c r="E9907" s="953"/>
      <c r="F9907" s="953"/>
      <c r="G9907" s="953"/>
      <c r="H9907" s="953"/>
    </row>
    <row r="9908" spans="1:8" x14ac:dyDescent="0.25">
      <c r="A9908" s="952"/>
      <c r="B9908" s="953"/>
      <c r="C9908" s="953"/>
      <c r="D9908" s="953"/>
      <c r="E9908" s="953"/>
      <c r="F9908" s="953"/>
      <c r="G9908" s="953"/>
      <c r="H9908" s="953"/>
    </row>
    <row r="9909" spans="1:8" x14ac:dyDescent="0.25">
      <c r="A9909" s="952"/>
      <c r="B9909" s="953"/>
      <c r="C9909" s="953"/>
      <c r="D9909" s="953"/>
      <c r="E9909" s="953"/>
      <c r="F9909" s="953"/>
      <c r="G9909" s="953"/>
      <c r="H9909" s="953"/>
    </row>
    <row r="9910" spans="1:8" x14ac:dyDescent="0.25">
      <c r="A9910" s="952"/>
      <c r="B9910" s="953"/>
      <c r="C9910" s="953"/>
      <c r="D9910" s="953"/>
      <c r="E9910" s="953"/>
      <c r="F9910" s="953"/>
      <c r="G9910" s="953"/>
      <c r="H9910" s="953"/>
    </row>
    <row r="9911" spans="1:8" x14ac:dyDescent="0.25">
      <c r="A9911" s="952"/>
      <c r="B9911" s="953"/>
      <c r="C9911" s="953"/>
      <c r="D9911" s="953"/>
      <c r="E9911" s="953"/>
      <c r="F9911" s="953"/>
      <c r="G9911" s="953"/>
      <c r="H9911" s="953"/>
    </row>
    <row r="9912" spans="1:8" x14ac:dyDescent="0.25">
      <c r="A9912" s="952"/>
      <c r="B9912" s="953"/>
      <c r="C9912" s="953"/>
      <c r="D9912" s="953"/>
      <c r="E9912" s="953"/>
      <c r="F9912" s="953"/>
      <c r="G9912" s="953"/>
      <c r="H9912" s="953"/>
    </row>
    <row r="9913" spans="1:8" x14ac:dyDescent="0.25">
      <c r="A9913" s="952"/>
      <c r="B9913" s="953"/>
      <c r="C9913" s="953"/>
      <c r="D9913" s="953"/>
      <c r="E9913" s="953"/>
      <c r="F9913" s="953"/>
      <c r="G9913" s="953"/>
      <c r="H9913" s="953"/>
    </row>
    <row r="9914" spans="1:8" x14ac:dyDescent="0.25">
      <c r="A9914" s="952"/>
      <c r="B9914" s="953"/>
      <c r="C9914" s="953"/>
      <c r="D9914" s="953"/>
      <c r="E9914" s="953"/>
      <c r="F9914" s="953"/>
      <c r="G9914" s="953"/>
      <c r="H9914" s="953"/>
    </row>
    <row r="9915" spans="1:8" x14ac:dyDescent="0.25">
      <c r="A9915" s="952"/>
      <c r="B9915" s="953"/>
      <c r="C9915" s="953"/>
      <c r="D9915" s="953"/>
      <c r="E9915" s="953"/>
      <c r="F9915" s="953"/>
      <c r="G9915" s="953"/>
      <c r="H9915" s="953"/>
    </row>
    <row r="9916" spans="1:8" x14ac:dyDescent="0.25">
      <c r="A9916" s="952"/>
      <c r="B9916" s="953"/>
      <c r="C9916" s="953"/>
      <c r="D9916" s="953"/>
      <c r="E9916" s="953"/>
      <c r="F9916" s="953"/>
      <c r="G9916" s="953"/>
      <c r="H9916" s="953"/>
    </row>
    <row r="9917" spans="1:8" x14ac:dyDescent="0.25">
      <c r="A9917" s="952"/>
      <c r="B9917" s="953"/>
      <c r="C9917" s="953"/>
      <c r="D9917" s="953"/>
      <c r="E9917" s="953"/>
      <c r="F9917" s="953"/>
      <c r="G9917" s="953"/>
      <c r="H9917" s="953"/>
    </row>
    <row r="9918" spans="1:8" x14ac:dyDescent="0.25">
      <c r="A9918" s="952"/>
      <c r="B9918" s="953"/>
      <c r="C9918" s="953"/>
      <c r="D9918" s="953"/>
      <c r="E9918" s="953"/>
      <c r="F9918" s="953"/>
      <c r="G9918" s="953"/>
      <c r="H9918" s="953"/>
    </row>
    <row r="9919" spans="1:8" x14ac:dyDescent="0.25">
      <c r="A9919" s="952"/>
      <c r="B9919" s="953"/>
      <c r="C9919" s="953"/>
      <c r="D9919" s="953"/>
      <c r="E9919" s="953"/>
      <c r="F9919" s="953"/>
      <c r="G9919" s="953"/>
      <c r="H9919" s="953"/>
    </row>
    <row r="9920" spans="1:8" x14ac:dyDescent="0.25">
      <c r="A9920" s="952"/>
      <c r="B9920" s="953"/>
      <c r="C9920" s="953"/>
      <c r="D9920" s="953"/>
      <c r="E9920" s="953"/>
      <c r="F9920" s="953"/>
      <c r="G9920" s="953"/>
      <c r="H9920" s="953"/>
    </row>
    <row r="9921" spans="1:8" x14ac:dyDescent="0.25">
      <c r="A9921" s="952"/>
      <c r="B9921" s="953"/>
      <c r="C9921" s="953"/>
      <c r="D9921" s="953"/>
      <c r="E9921" s="953"/>
      <c r="F9921" s="953"/>
      <c r="G9921" s="953"/>
      <c r="H9921" s="953"/>
    </row>
    <row r="9922" spans="1:8" x14ac:dyDescent="0.25">
      <c r="A9922" s="952"/>
      <c r="B9922" s="953"/>
      <c r="C9922" s="953"/>
      <c r="D9922" s="953"/>
      <c r="E9922" s="953"/>
      <c r="F9922" s="953"/>
      <c r="G9922" s="953"/>
      <c r="H9922" s="953"/>
    </row>
    <row r="9923" spans="1:8" x14ac:dyDescent="0.25">
      <c r="A9923" s="952"/>
      <c r="B9923" s="953"/>
      <c r="C9923" s="953"/>
      <c r="D9923" s="953"/>
      <c r="E9923" s="953"/>
      <c r="F9923" s="953"/>
      <c r="G9923" s="953"/>
      <c r="H9923" s="953"/>
    </row>
    <row r="9924" spans="1:8" x14ac:dyDescent="0.25">
      <c r="A9924" s="952"/>
      <c r="B9924" s="953"/>
      <c r="C9924" s="953"/>
      <c r="D9924" s="953"/>
      <c r="E9924" s="953"/>
      <c r="F9924" s="953"/>
      <c r="G9924" s="953"/>
      <c r="H9924" s="953"/>
    </row>
    <row r="9925" spans="1:8" x14ac:dyDescent="0.25">
      <c r="A9925" s="952"/>
      <c r="B9925" s="953"/>
      <c r="C9925" s="953"/>
      <c r="D9925" s="953"/>
      <c r="E9925" s="953"/>
      <c r="F9925" s="953"/>
      <c r="G9925" s="953"/>
      <c r="H9925" s="953"/>
    </row>
    <row r="9926" spans="1:8" x14ac:dyDescent="0.25">
      <c r="A9926" s="952"/>
      <c r="B9926" s="953"/>
      <c r="C9926" s="953"/>
      <c r="D9926" s="953"/>
      <c r="E9926" s="953"/>
      <c r="F9926" s="953"/>
      <c r="G9926" s="953"/>
      <c r="H9926" s="953"/>
    </row>
    <row r="9927" spans="1:8" x14ac:dyDescent="0.25">
      <c r="A9927" s="952"/>
      <c r="B9927" s="953"/>
      <c r="C9927" s="953"/>
      <c r="D9927" s="953"/>
      <c r="E9927" s="953"/>
      <c r="F9927" s="953"/>
      <c r="G9927" s="953"/>
      <c r="H9927" s="953"/>
    </row>
    <row r="9928" spans="1:8" x14ac:dyDescent="0.25">
      <c r="A9928" s="952"/>
      <c r="B9928" s="953"/>
      <c r="C9928" s="953"/>
      <c r="D9928" s="953"/>
      <c r="E9928" s="953"/>
      <c r="F9928" s="953"/>
      <c r="G9928" s="953"/>
      <c r="H9928" s="953"/>
    </row>
    <row r="9929" spans="1:8" x14ac:dyDescent="0.25">
      <c r="A9929" s="952"/>
      <c r="B9929" s="953"/>
      <c r="C9929" s="953"/>
      <c r="D9929" s="953"/>
      <c r="E9929" s="953"/>
      <c r="F9929" s="953"/>
      <c r="G9929" s="953"/>
      <c r="H9929" s="953"/>
    </row>
    <row r="9930" spans="1:8" x14ac:dyDescent="0.25">
      <c r="A9930" s="952"/>
      <c r="B9930" s="953"/>
      <c r="C9930" s="953"/>
      <c r="D9930" s="953"/>
      <c r="E9930" s="953"/>
      <c r="F9930" s="953"/>
      <c r="G9930" s="953"/>
      <c r="H9930" s="953"/>
    </row>
    <row r="9931" spans="1:8" x14ac:dyDescent="0.25">
      <c r="A9931" s="952"/>
      <c r="B9931" s="953"/>
      <c r="C9931" s="953"/>
      <c r="D9931" s="953"/>
      <c r="E9931" s="953"/>
      <c r="F9931" s="953"/>
      <c r="G9931" s="953"/>
      <c r="H9931" s="953"/>
    </row>
    <row r="9932" spans="1:8" x14ac:dyDescent="0.25">
      <c r="A9932" s="952"/>
      <c r="B9932" s="953"/>
      <c r="C9932" s="953"/>
      <c r="D9932" s="953"/>
      <c r="E9932" s="953"/>
      <c r="F9932" s="953"/>
      <c r="G9932" s="953"/>
      <c r="H9932" s="953"/>
    </row>
    <row r="9933" spans="1:8" x14ac:dyDescent="0.25">
      <c r="A9933" s="952"/>
      <c r="B9933" s="953"/>
      <c r="C9933" s="953"/>
      <c r="D9933" s="953"/>
      <c r="E9933" s="953"/>
      <c r="F9933" s="953"/>
      <c r="G9933" s="953"/>
      <c r="H9933" s="953"/>
    </row>
    <row r="9934" spans="1:8" x14ac:dyDescent="0.25">
      <c r="A9934" s="952"/>
      <c r="B9934" s="953"/>
      <c r="C9934" s="953"/>
      <c r="D9934" s="953"/>
      <c r="E9934" s="953"/>
      <c r="F9934" s="953"/>
      <c r="G9934" s="953"/>
      <c r="H9934" s="953"/>
    </row>
    <row r="9935" spans="1:8" x14ac:dyDescent="0.25">
      <c r="A9935" s="952"/>
      <c r="B9935" s="953"/>
      <c r="C9935" s="953"/>
      <c r="D9935" s="953"/>
      <c r="E9935" s="953"/>
      <c r="F9935" s="953"/>
      <c r="G9935" s="953"/>
      <c r="H9935" s="953"/>
    </row>
    <row r="9936" spans="1:8" x14ac:dyDescent="0.25">
      <c r="A9936" s="952"/>
      <c r="B9936" s="953"/>
      <c r="C9936" s="953"/>
      <c r="D9936" s="953"/>
      <c r="E9936" s="953"/>
      <c r="F9936" s="953"/>
      <c r="G9936" s="953"/>
      <c r="H9936" s="953"/>
    </row>
    <row r="9937" spans="1:8" x14ac:dyDescent="0.25">
      <c r="A9937" s="952"/>
      <c r="B9937" s="953"/>
      <c r="C9937" s="953"/>
      <c r="D9937" s="953"/>
      <c r="E9937" s="953"/>
      <c r="F9937" s="953"/>
      <c r="G9937" s="953"/>
      <c r="H9937" s="953"/>
    </row>
    <row r="9938" spans="1:8" x14ac:dyDescent="0.25">
      <c r="A9938" s="952"/>
      <c r="B9938" s="953"/>
      <c r="C9938" s="953"/>
      <c r="D9938" s="953"/>
      <c r="E9938" s="953"/>
      <c r="F9938" s="953"/>
      <c r="G9938" s="953"/>
      <c r="H9938" s="953"/>
    </row>
    <row r="9939" spans="1:8" x14ac:dyDescent="0.25">
      <c r="A9939" s="952"/>
      <c r="B9939" s="953"/>
      <c r="C9939" s="953"/>
      <c r="D9939" s="953"/>
      <c r="E9939" s="953"/>
      <c r="F9939" s="953"/>
      <c r="G9939" s="953"/>
      <c r="H9939" s="953"/>
    </row>
    <row r="9940" spans="1:8" x14ac:dyDescent="0.25">
      <c r="A9940" s="952"/>
      <c r="B9940" s="953"/>
      <c r="C9940" s="953"/>
      <c r="D9940" s="953"/>
      <c r="E9940" s="953"/>
      <c r="F9940" s="953"/>
      <c r="G9940" s="953"/>
      <c r="H9940" s="953"/>
    </row>
    <row r="9941" spans="1:8" x14ac:dyDescent="0.25">
      <c r="A9941" s="952"/>
      <c r="B9941" s="953"/>
      <c r="C9941" s="953"/>
      <c r="D9941" s="953"/>
      <c r="E9941" s="953"/>
      <c r="F9941" s="953"/>
      <c r="G9941" s="953"/>
      <c r="H9941" s="953"/>
    </row>
    <row r="9942" spans="1:8" x14ac:dyDescent="0.25">
      <c r="A9942" s="952"/>
      <c r="B9942" s="953"/>
      <c r="C9942" s="953"/>
      <c r="D9942" s="953"/>
      <c r="E9942" s="953"/>
      <c r="F9942" s="953"/>
      <c r="G9942" s="953"/>
      <c r="H9942" s="953"/>
    </row>
    <row r="9943" spans="1:8" x14ac:dyDescent="0.25">
      <c r="A9943" s="952"/>
      <c r="B9943" s="953"/>
      <c r="C9943" s="953"/>
      <c r="D9943" s="953"/>
      <c r="E9943" s="953"/>
      <c r="F9943" s="953"/>
      <c r="G9943" s="953"/>
      <c r="H9943" s="953"/>
    </row>
    <row r="9944" spans="1:8" x14ac:dyDescent="0.25">
      <c r="A9944" s="952"/>
      <c r="B9944" s="953"/>
      <c r="C9944" s="953"/>
      <c r="D9944" s="953"/>
      <c r="E9944" s="953"/>
      <c r="F9944" s="953"/>
      <c r="G9944" s="953"/>
      <c r="H9944" s="953"/>
    </row>
    <row r="9945" spans="1:8" x14ac:dyDescent="0.25">
      <c r="A9945" s="952"/>
      <c r="B9945" s="953"/>
      <c r="C9945" s="953"/>
      <c r="D9945" s="953"/>
      <c r="E9945" s="953"/>
      <c r="F9945" s="953"/>
      <c r="G9945" s="953"/>
      <c r="H9945" s="953"/>
    </row>
    <row r="9946" spans="1:8" x14ac:dyDescent="0.25">
      <c r="A9946" s="952"/>
      <c r="B9946" s="953"/>
      <c r="C9946" s="953"/>
      <c r="D9946" s="953"/>
      <c r="E9946" s="953"/>
      <c r="F9946" s="953"/>
      <c r="G9946" s="953"/>
      <c r="H9946" s="953"/>
    </row>
    <row r="9947" spans="1:8" x14ac:dyDescent="0.25">
      <c r="A9947" s="952"/>
      <c r="B9947" s="953"/>
      <c r="C9947" s="953"/>
      <c r="D9947" s="953"/>
      <c r="E9947" s="953"/>
      <c r="F9947" s="953"/>
      <c r="G9947" s="953"/>
      <c r="H9947" s="953"/>
    </row>
    <row r="9948" spans="1:8" x14ac:dyDescent="0.25">
      <c r="A9948" s="952"/>
      <c r="B9948" s="953"/>
      <c r="C9948" s="953"/>
      <c r="D9948" s="953"/>
      <c r="E9948" s="953"/>
      <c r="F9948" s="953"/>
      <c r="G9948" s="953"/>
      <c r="H9948" s="953"/>
    </row>
    <row r="9949" spans="1:8" x14ac:dyDescent="0.25">
      <c r="A9949" s="952"/>
      <c r="B9949" s="953"/>
      <c r="C9949" s="953"/>
      <c r="D9949" s="953"/>
      <c r="E9949" s="953"/>
      <c r="F9949" s="953"/>
      <c r="G9949" s="953"/>
      <c r="H9949" s="953"/>
    </row>
    <row r="9950" spans="1:8" x14ac:dyDescent="0.25">
      <c r="A9950" s="952"/>
      <c r="B9950" s="953"/>
      <c r="C9950" s="953"/>
      <c r="D9950" s="953"/>
      <c r="E9950" s="953"/>
      <c r="F9950" s="953"/>
      <c r="G9950" s="953"/>
      <c r="H9950" s="953"/>
    </row>
    <row r="9951" spans="1:8" x14ac:dyDescent="0.25">
      <c r="A9951" s="952"/>
      <c r="B9951" s="953"/>
      <c r="C9951" s="953"/>
      <c r="D9951" s="953"/>
      <c r="E9951" s="953"/>
      <c r="F9951" s="953"/>
      <c r="G9951" s="953"/>
      <c r="H9951" s="953"/>
    </row>
    <row r="9952" spans="1:8" x14ac:dyDescent="0.25">
      <c r="A9952" s="952"/>
      <c r="B9952" s="953"/>
      <c r="C9952" s="953"/>
      <c r="D9952" s="953"/>
      <c r="E9952" s="953"/>
      <c r="F9952" s="953"/>
      <c r="G9952" s="953"/>
      <c r="H9952" s="953"/>
    </row>
    <row r="9953" spans="1:8" x14ac:dyDescent="0.25">
      <c r="A9953" s="952"/>
      <c r="B9953" s="953"/>
      <c r="C9953" s="953"/>
      <c r="D9953" s="953"/>
      <c r="E9953" s="953"/>
      <c r="F9953" s="953"/>
      <c r="G9953" s="953"/>
      <c r="H9953" s="953"/>
    </row>
    <row r="9954" spans="1:8" x14ac:dyDescent="0.25">
      <c r="A9954" s="952"/>
      <c r="B9954" s="953"/>
      <c r="C9954" s="953"/>
      <c r="D9954" s="953"/>
      <c r="E9954" s="953"/>
      <c r="F9954" s="953"/>
      <c r="G9954" s="953"/>
      <c r="H9954" s="953"/>
    </row>
    <row r="9955" spans="1:8" x14ac:dyDescent="0.25">
      <c r="A9955" s="952"/>
      <c r="B9955" s="953"/>
      <c r="C9955" s="953"/>
      <c r="D9955" s="953"/>
      <c r="E9955" s="953"/>
      <c r="F9955" s="953"/>
      <c r="G9955" s="953"/>
      <c r="H9955" s="953"/>
    </row>
    <row r="9956" spans="1:8" x14ac:dyDescent="0.25">
      <c r="A9956" s="952"/>
      <c r="B9956" s="953"/>
      <c r="C9956" s="953"/>
      <c r="D9956" s="953"/>
      <c r="E9956" s="953"/>
      <c r="F9956" s="953"/>
      <c r="G9956" s="953"/>
      <c r="H9956" s="953"/>
    </row>
    <row r="9957" spans="1:8" x14ac:dyDescent="0.25">
      <c r="A9957" s="952"/>
      <c r="B9957" s="953"/>
      <c r="C9957" s="953"/>
      <c r="D9957" s="953"/>
      <c r="E9957" s="953"/>
      <c r="F9957" s="953"/>
      <c r="G9957" s="953"/>
      <c r="H9957" s="953"/>
    </row>
    <row r="9958" spans="1:8" x14ac:dyDescent="0.25">
      <c r="A9958" s="952"/>
      <c r="B9958" s="953"/>
      <c r="C9958" s="953"/>
      <c r="D9958" s="953"/>
      <c r="E9958" s="953"/>
      <c r="F9958" s="953"/>
      <c r="G9958" s="953"/>
      <c r="H9958" s="953"/>
    </row>
    <row r="9959" spans="1:8" x14ac:dyDescent="0.25">
      <c r="A9959" s="952"/>
      <c r="B9959" s="953"/>
      <c r="C9959" s="953"/>
      <c r="D9959" s="953"/>
      <c r="E9959" s="953"/>
      <c r="F9959" s="953"/>
      <c r="G9959" s="953"/>
      <c r="H9959" s="953"/>
    </row>
    <row r="9960" spans="1:8" x14ac:dyDescent="0.25">
      <c r="A9960" s="952"/>
      <c r="B9960" s="953"/>
      <c r="C9960" s="953"/>
      <c r="D9960" s="953"/>
      <c r="E9960" s="953"/>
      <c r="F9960" s="953"/>
      <c r="G9960" s="953"/>
      <c r="H9960" s="953"/>
    </row>
    <row r="9961" spans="1:8" x14ac:dyDescent="0.25">
      <c r="A9961" s="952"/>
      <c r="B9961" s="953"/>
      <c r="C9961" s="953"/>
      <c r="D9961" s="953"/>
      <c r="E9961" s="953"/>
      <c r="F9961" s="953"/>
      <c r="G9961" s="953"/>
      <c r="H9961" s="953"/>
    </row>
    <row r="9962" spans="1:8" x14ac:dyDescent="0.25">
      <c r="A9962" s="952"/>
      <c r="B9962" s="953"/>
      <c r="C9962" s="953"/>
      <c r="D9962" s="953"/>
      <c r="E9962" s="953"/>
      <c r="F9962" s="953"/>
      <c r="G9962" s="953"/>
      <c r="H9962" s="953"/>
    </row>
    <row r="9963" spans="1:8" x14ac:dyDescent="0.25">
      <c r="A9963" s="952"/>
      <c r="B9963" s="953"/>
      <c r="C9963" s="953"/>
      <c r="D9963" s="953"/>
      <c r="E9963" s="953"/>
      <c r="F9963" s="953"/>
      <c r="G9963" s="953"/>
      <c r="H9963" s="953"/>
    </row>
    <row r="9964" spans="1:8" x14ac:dyDescent="0.25">
      <c r="A9964" s="952"/>
      <c r="B9964" s="953"/>
      <c r="C9964" s="953"/>
      <c r="D9964" s="953"/>
      <c r="E9964" s="953"/>
      <c r="F9964" s="953"/>
      <c r="G9964" s="953"/>
      <c r="H9964" s="953"/>
    </row>
    <row r="9965" spans="1:8" x14ac:dyDescent="0.25">
      <c r="A9965" s="952"/>
      <c r="B9965" s="953"/>
      <c r="C9965" s="953"/>
      <c r="D9965" s="953"/>
      <c r="E9965" s="953"/>
      <c r="F9965" s="953"/>
      <c r="G9965" s="953"/>
      <c r="H9965" s="953"/>
    </row>
    <row r="9966" spans="1:8" x14ac:dyDescent="0.25">
      <c r="A9966" s="952"/>
      <c r="B9966" s="953"/>
      <c r="C9966" s="953"/>
      <c r="D9966" s="953"/>
      <c r="E9966" s="953"/>
      <c r="F9966" s="953"/>
      <c r="G9966" s="953"/>
      <c r="H9966" s="953"/>
    </row>
    <row r="9967" spans="1:8" x14ac:dyDescent="0.25">
      <c r="A9967" s="952"/>
      <c r="B9967" s="953"/>
      <c r="C9967" s="953"/>
      <c r="D9967" s="953"/>
      <c r="E9967" s="953"/>
      <c r="F9967" s="953"/>
      <c r="G9967" s="953"/>
      <c r="H9967" s="953"/>
    </row>
    <row r="9968" spans="1:8" x14ac:dyDescent="0.25">
      <c r="A9968" s="952"/>
      <c r="B9968" s="953"/>
      <c r="C9968" s="953"/>
      <c r="D9968" s="953"/>
      <c r="E9968" s="953"/>
      <c r="F9968" s="953"/>
      <c r="G9968" s="953"/>
      <c r="H9968" s="953"/>
    </row>
    <row r="9969" spans="1:8" x14ac:dyDescent="0.25">
      <c r="A9969" s="952"/>
      <c r="B9969" s="953"/>
      <c r="C9969" s="953"/>
      <c r="D9969" s="953"/>
      <c r="E9969" s="953"/>
      <c r="F9969" s="953"/>
      <c r="G9969" s="953"/>
      <c r="H9969" s="953"/>
    </row>
    <row r="9970" spans="1:8" x14ac:dyDescent="0.25">
      <c r="A9970" s="952"/>
      <c r="B9970" s="953"/>
      <c r="C9970" s="953"/>
      <c r="D9970" s="953"/>
      <c r="E9970" s="953"/>
      <c r="F9970" s="953"/>
      <c r="G9970" s="953"/>
      <c r="H9970" s="953"/>
    </row>
    <row r="9971" spans="1:8" x14ac:dyDescent="0.25">
      <c r="A9971" s="952"/>
      <c r="B9971" s="953"/>
      <c r="C9971" s="953"/>
      <c r="D9971" s="953"/>
      <c r="E9971" s="953"/>
      <c r="F9971" s="953"/>
      <c r="G9971" s="953"/>
      <c r="H9971" s="953"/>
    </row>
    <row r="9972" spans="1:8" x14ac:dyDescent="0.25">
      <c r="A9972" s="952"/>
      <c r="B9972" s="953"/>
      <c r="C9972" s="953"/>
      <c r="D9972" s="953"/>
      <c r="E9972" s="953"/>
      <c r="F9972" s="953"/>
      <c r="G9972" s="953"/>
      <c r="H9972" s="953"/>
    </row>
    <row r="9973" spans="1:8" x14ac:dyDescent="0.25">
      <c r="A9973" s="952"/>
      <c r="B9973" s="953"/>
      <c r="C9973" s="953"/>
      <c r="D9973" s="953"/>
      <c r="E9973" s="953"/>
      <c r="F9973" s="953"/>
      <c r="G9973" s="953"/>
      <c r="H9973" s="953"/>
    </row>
    <row r="9974" spans="1:8" x14ac:dyDescent="0.25">
      <c r="A9974" s="952"/>
      <c r="B9974" s="953"/>
      <c r="C9974" s="953"/>
      <c r="D9974" s="953"/>
      <c r="E9974" s="953"/>
      <c r="F9974" s="953"/>
      <c r="G9974" s="953"/>
      <c r="H9974" s="953"/>
    </row>
    <row r="9975" spans="1:8" x14ac:dyDescent="0.25">
      <c r="A9975" s="952"/>
      <c r="B9975" s="953"/>
      <c r="C9975" s="953"/>
      <c r="D9975" s="953"/>
      <c r="E9975" s="953"/>
      <c r="F9975" s="953"/>
      <c r="G9975" s="953"/>
      <c r="H9975" s="953"/>
    </row>
    <row r="9976" spans="1:8" x14ac:dyDescent="0.25">
      <c r="A9976" s="952"/>
      <c r="B9976" s="953"/>
      <c r="C9976" s="953"/>
      <c r="D9976" s="953"/>
      <c r="E9976" s="953"/>
      <c r="F9976" s="953"/>
      <c r="G9976" s="953"/>
      <c r="H9976" s="953"/>
    </row>
    <row r="9977" spans="1:8" x14ac:dyDescent="0.25">
      <c r="A9977" s="952"/>
      <c r="B9977" s="953"/>
      <c r="C9977" s="953"/>
      <c r="D9977" s="953"/>
      <c r="E9977" s="953"/>
      <c r="F9977" s="953"/>
      <c r="G9977" s="953"/>
      <c r="H9977" s="953"/>
    </row>
    <row r="9978" spans="1:8" x14ac:dyDescent="0.25">
      <c r="A9978" s="952"/>
      <c r="B9978" s="953"/>
      <c r="C9978" s="953"/>
      <c r="D9978" s="953"/>
      <c r="E9978" s="953"/>
      <c r="F9978" s="953"/>
      <c r="G9978" s="953"/>
      <c r="H9978" s="953"/>
    </row>
    <row r="9979" spans="1:8" x14ac:dyDescent="0.25">
      <c r="A9979" s="952"/>
      <c r="B9979" s="953"/>
      <c r="C9979" s="953"/>
      <c r="D9979" s="953"/>
      <c r="E9979" s="953"/>
      <c r="F9979" s="953"/>
      <c r="G9979" s="953"/>
      <c r="H9979" s="953"/>
    </row>
    <row r="9980" spans="1:8" x14ac:dyDescent="0.25">
      <c r="A9980" s="952"/>
      <c r="B9980" s="953"/>
      <c r="C9980" s="953"/>
      <c r="D9980" s="953"/>
      <c r="E9980" s="953"/>
      <c r="F9980" s="953"/>
      <c r="G9980" s="953"/>
      <c r="H9980" s="953"/>
    </row>
    <row r="9981" spans="1:8" x14ac:dyDescent="0.25">
      <c r="A9981" s="952"/>
      <c r="B9981" s="953"/>
      <c r="C9981" s="953"/>
      <c r="D9981" s="953"/>
      <c r="E9981" s="953"/>
      <c r="F9981" s="953"/>
      <c r="G9981" s="953"/>
      <c r="H9981" s="953"/>
    </row>
    <row r="9982" spans="1:8" x14ac:dyDescent="0.25">
      <c r="A9982" s="952"/>
      <c r="B9982" s="953"/>
      <c r="C9982" s="953"/>
      <c r="D9982" s="953"/>
      <c r="E9982" s="953"/>
      <c r="F9982" s="953"/>
      <c r="G9982" s="953"/>
      <c r="H9982" s="953"/>
    </row>
    <row r="9983" spans="1:8" x14ac:dyDescent="0.25">
      <c r="A9983" s="952"/>
      <c r="B9983" s="953"/>
      <c r="C9983" s="953"/>
      <c r="D9983" s="953"/>
      <c r="E9983" s="953"/>
      <c r="F9983" s="953"/>
      <c r="G9983" s="953"/>
      <c r="H9983" s="953"/>
    </row>
    <row r="9984" spans="1:8" x14ac:dyDescent="0.25">
      <c r="A9984" s="952"/>
      <c r="B9984" s="953"/>
      <c r="C9984" s="953"/>
      <c r="D9984" s="953"/>
      <c r="E9984" s="953"/>
      <c r="F9984" s="953"/>
      <c r="G9984" s="953"/>
      <c r="H9984" s="953"/>
    </row>
    <row r="9985" spans="1:8" x14ac:dyDescent="0.25">
      <c r="A9985" s="952"/>
      <c r="B9985" s="953"/>
      <c r="C9985" s="953"/>
      <c r="D9985" s="953"/>
      <c r="E9985" s="953"/>
      <c r="F9985" s="953"/>
      <c r="G9985" s="953"/>
      <c r="H9985" s="953"/>
    </row>
    <row r="9986" spans="1:8" x14ac:dyDescent="0.25">
      <c r="A9986" s="952"/>
      <c r="B9986" s="953"/>
      <c r="C9986" s="953"/>
      <c r="D9986" s="953"/>
      <c r="E9986" s="953"/>
      <c r="F9986" s="953"/>
      <c r="G9986" s="953"/>
      <c r="H9986" s="953"/>
    </row>
    <row r="9987" spans="1:8" x14ac:dyDescent="0.25">
      <c r="A9987" s="952"/>
      <c r="B9987" s="953"/>
      <c r="C9987" s="953"/>
      <c r="D9987" s="953"/>
      <c r="E9987" s="953"/>
      <c r="F9987" s="953"/>
      <c r="G9987" s="953"/>
      <c r="H9987" s="953"/>
    </row>
    <row r="9988" spans="1:8" x14ac:dyDescent="0.25">
      <c r="A9988" s="952"/>
      <c r="B9988" s="953"/>
      <c r="C9988" s="953"/>
      <c r="D9988" s="953"/>
      <c r="E9988" s="953"/>
      <c r="F9988" s="953"/>
      <c r="G9988" s="953"/>
      <c r="H9988" s="953"/>
    </row>
    <row r="9989" spans="1:8" x14ac:dyDescent="0.25">
      <c r="A9989" s="952"/>
      <c r="B9989" s="953"/>
      <c r="C9989" s="953"/>
      <c r="D9989" s="953"/>
      <c r="E9989" s="953"/>
      <c r="F9989" s="953"/>
      <c r="G9989" s="953"/>
      <c r="H9989" s="953"/>
    </row>
    <row r="9990" spans="1:8" x14ac:dyDescent="0.25">
      <c r="A9990" s="952"/>
      <c r="B9990" s="953"/>
      <c r="C9990" s="953"/>
      <c r="D9990" s="953"/>
      <c r="E9990" s="953"/>
      <c r="F9990" s="953"/>
      <c r="G9990" s="953"/>
      <c r="H9990" s="953"/>
    </row>
    <row r="9991" spans="1:8" x14ac:dyDescent="0.25">
      <c r="A9991" s="952"/>
      <c r="B9991" s="953"/>
      <c r="C9991" s="953"/>
      <c r="D9991" s="953"/>
      <c r="E9991" s="953"/>
      <c r="F9991" s="953"/>
      <c r="G9991" s="953"/>
      <c r="H9991" s="953"/>
    </row>
    <row r="9992" spans="1:8" x14ac:dyDescent="0.25">
      <c r="A9992" s="952"/>
      <c r="B9992" s="953"/>
      <c r="C9992" s="953"/>
      <c r="D9992" s="953"/>
      <c r="E9992" s="953"/>
      <c r="F9992" s="953"/>
      <c r="G9992" s="953"/>
      <c r="H9992" s="953"/>
    </row>
    <row r="9993" spans="1:8" x14ac:dyDescent="0.25">
      <c r="A9993" s="952"/>
      <c r="B9993" s="953"/>
      <c r="C9993" s="953"/>
      <c r="D9993" s="953"/>
      <c r="E9993" s="953"/>
      <c r="F9993" s="953"/>
      <c r="G9993" s="953"/>
      <c r="H9993" s="953"/>
    </row>
    <row r="9994" spans="1:8" x14ac:dyDescent="0.25">
      <c r="A9994" s="952"/>
      <c r="B9994" s="953"/>
      <c r="C9994" s="953"/>
      <c r="D9994" s="953"/>
      <c r="E9994" s="953"/>
      <c r="F9994" s="953"/>
      <c r="G9994" s="953"/>
      <c r="H9994" s="953"/>
    </row>
    <row r="9995" spans="1:8" x14ac:dyDescent="0.25">
      <c r="A9995" s="952"/>
      <c r="B9995" s="953"/>
      <c r="C9995" s="953"/>
      <c r="D9995" s="953"/>
      <c r="E9995" s="953"/>
      <c r="F9995" s="953"/>
      <c r="G9995" s="953"/>
      <c r="H9995" s="953"/>
    </row>
    <row r="9996" spans="1:8" x14ac:dyDescent="0.25">
      <c r="A9996" s="952"/>
      <c r="B9996" s="953"/>
      <c r="C9996" s="953"/>
      <c r="D9996" s="953"/>
      <c r="E9996" s="953"/>
      <c r="F9996" s="953"/>
      <c r="G9996" s="953"/>
      <c r="H9996" s="953"/>
    </row>
    <row r="9997" spans="1:8" x14ac:dyDescent="0.25">
      <c r="A9997" s="952"/>
      <c r="B9997" s="953"/>
      <c r="C9997" s="953"/>
      <c r="D9997" s="953"/>
      <c r="E9997" s="953"/>
      <c r="F9997" s="953"/>
      <c r="G9997" s="953"/>
      <c r="H9997" s="953"/>
    </row>
    <row r="9998" spans="1:8" x14ac:dyDescent="0.25">
      <c r="A9998" s="952"/>
      <c r="B9998" s="953"/>
      <c r="C9998" s="953"/>
      <c r="D9998" s="953"/>
      <c r="E9998" s="953"/>
      <c r="F9998" s="953"/>
      <c r="G9998" s="953"/>
      <c r="H9998" s="953"/>
    </row>
    <row r="9999" spans="1:8" x14ac:dyDescent="0.25">
      <c r="A9999" s="952"/>
      <c r="B9999" s="953"/>
      <c r="C9999" s="953"/>
      <c r="D9999" s="953"/>
      <c r="E9999" s="953"/>
      <c r="F9999" s="953"/>
      <c r="G9999" s="953"/>
      <c r="H9999" s="953"/>
    </row>
    <row r="10000" spans="1:8" x14ac:dyDescent="0.25">
      <c r="A10000" s="952"/>
      <c r="B10000" s="953"/>
      <c r="C10000" s="953"/>
      <c r="D10000" s="953"/>
      <c r="E10000" s="953"/>
      <c r="F10000" s="953"/>
      <c r="G10000" s="953"/>
      <c r="H10000" s="953"/>
    </row>
    <row r="10001" spans="1:8" x14ac:dyDescent="0.25">
      <c r="A10001" s="952"/>
      <c r="B10001" s="953"/>
      <c r="C10001" s="953"/>
      <c r="D10001" s="953"/>
      <c r="E10001" s="953"/>
      <c r="F10001" s="953"/>
      <c r="G10001" s="953"/>
      <c r="H10001" s="953"/>
    </row>
    <row r="10002" spans="1:8" x14ac:dyDescent="0.25">
      <c r="A10002" s="952"/>
      <c r="B10002" s="953"/>
      <c r="C10002" s="953"/>
      <c r="D10002" s="953"/>
      <c r="E10002" s="953"/>
      <c r="F10002" s="953"/>
      <c r="G10002" s="953"/>
      <c r="H10002" s="953"/>
    </row>
    <row r="10003" spans="1:8" x14ac:dyDescent="0.25">
      <c r="A10003" s="952"/>
      <c r="B10003" s="953"/>
      <c r="C10003" s="953"/>
      <c r="D10003" s="953"/>
      <c r="E10003" s="953"/>
      <c r="F10003" s="953"/>
      <c r="G10003" s="953"/>
      <c r="H10003" s="953"/>
    </row>
    <row r="10004" spans="1:8" x14ac:dyDescent="0.25">
      <c r="A10004" s="952"/>
      <c r="B10004" s="953"/>
      <c r="C10004" s="953"/>
      <c r="D10004" s="953"/>
      <c r="E10004" s="953"/>
      <c r="F10004" s="953"/>
      <c r="G10004" s="953"/>
      <c r="H10004" s="953"/>
    </row>
    <row r="10005" spans="1:8" ht="15.75" thickBot="1" x14ac:dyDescent="0.3">
      <c r="A10005" s="954"/>
      <c r="B10005" s="955"/>
      <c r="C10005" s="955"/>
      <c r="D10005" s="955"/>
      <c r="E10005" s="955"/>
      <c r="F10005" s="955"/>
      <c r="G10005" s="955"/>
      <c r="H10005" s="955"/>
    </row>
  </sheetData>
  <sheetProtection formatCells="0" formatColumns="0" formatRows="0"/>
  <mergeCells count="6">
    <mergeCell ref="A1:H1"/>
    <mergeCell ref="A2:A3"/>
    <mergeCell ref="B2:B3"/>
    <mergeCell ref="C2:D2"/>
    <mergeCell ref="E2:F2"/>
    <mergeCell ref="G2:H2"/>
  </mergeCell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5F809402-E2BD-402F-BA27-D2266E0791A6}">
            <xm:f>AND($A4&lt;&gt;"",COUNTIF('PLAN COMPTABLE'!$A$4:$A$9999,LEFT($A4,3))=0,COUNTIF('PLAN COMPTABLE'!$A$4:$A$9999,LEFT($A4,4))=0)</xm:f>
            <x14:dxf>
              <fill>
                <patternFill>
                  <bgColor rgb="FFFF0000"/>
                </patternFill>
              </fill>
            </x14:dxf>
          </x14:cfRule>
          <xm:sqref>A4:H9999</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tabColor rgb="FF43C6E5"/>
  </sheetPr>
  <dimension ref="A1:O53"/>
  <sheetViews>
    <sheetView zoomScaleNormal="100" workbookViewId="0">
      <selection activeCell="H36" sqref="H36"/>
    </sheetView>
  </sheetViews>
  <sheetFormatPr baseColWidth="10" defaultColWidth="0" defaultRowHeight="15" zeroHeight="1" x14ac:dyDescent="0.25"/>
  <cols>
    <col min="1" max="3" width="11.42578125" style="533" customWidth="1"/>
    <col min="4" max="4" width="25" style="120" customWidth="1"/>
    <col min="5" max="5" width="10.42578125" style="120" customWidth="1"/>
    <col min="6" max="6" width="9.5703125" style="120" customWidth="1"/>
    <col min="7" max="7" width="14.5703125" style="120" customWidth="1"/>
    <col min="8" max="8" width="8.85546875" style="120" customWidth="1"/>
    <col min="9" max="9" width="14" style="120" customWidth="1"/>
    <col min="10" max="10" width="9.5703125" style="120" customWidth="1"/>
    <col min="11" max="12" width="14" style="120" customWidth="1"/>
    <col min="13" max="13" width="9.5703125" style="533" customWidth="1"/>
    <col min="14" max="14" width="14" style="533" customWidth="1"/>
    <col min="15" max="15" width="11.42578125" style="533" customWidth="1"/>
    <col min="16" max="16384" width="11.42578125" style="120" hidden="1"/>
  </cols>
  <sheetData>
    <row r="1" spans="1:15" ht="28.5" customHeight="1" x14ac:dyDescent="0.25">
      <c r="D1" s="1827" t="s">
        <v>645</v>
      </c>
      <c r="E1" s="1828"/>
      <c r="F1" s="1828"/>
      <c r="G1" s="1828"/>
      <c r="H1" s="1828"/>
      <c r="I1" s="1828"/>
      <c r="J1" s="1828"/>
      <c r="K1" s="1828"/>
      <c r="L1" s="2191"/>
    </row>
    <row r="2" spans="1:15" x14ac:dyDescent="0.25">
      <c r="D2" s="380"/>
      <c r="E2" s="380"/>
      <c r="F2" s="380"/>
      <c r="G2" s="380"/>
      <c r="H2" s="380"/>
      <c r="I2" s="380"/>
      <c r="J2" s="380"/>
    </row>
    <row r="3" spans="1:15" s="821" customFormat="1" ht="25.5" customHeight="1" x14ac:dyDescent="0.25">
      <c r="A3" s="817"/>
      <c r="B3" s="817"/>
      <c r="C3" s="817"/>
      <c r="D3" s="818" t="s">
        <v>42</v>
      </c>
      <c r="E3" s="2277" t="str">
        <f>INFORMATIONS!B10</f>
        <v>SAM CONSEILS</v>
      </c>
      <c r="F3" s="2277"/>
      <c r="G3" s="2277"/>
      <c r="H3" s="2277"/>
      <c r="I3" s="2277"/>
      <c r="J3" s="2205" t="s">
        <v>52</v>
      </c>
      <c r="K3" s="2205"/>
      <c r="L3" s="820">
        <f>INFORMATIONS!D31</f>
        <v>43465</v>
      </c>
      <c r="M3" s="817"/>
      <c r="N3" s="817"/>
      <c r="O3" s="817"/>
    </row>
    <row r="4" spans="1:15" ht="19.5" customHeight="1" x14ac:dyDescent="0.25">
      <c r="D4" s="621" t="s">
        <v>43</v>
      </c>
      <c r="E4" s="622" t="str">
        <f>INFORMATIONS!B24</f>
        <v>00084404X</v>
      </c>
      <c r="F4" s="623"/>
      <c r="G4" s="623"/>
      <c r="H4" s="624"/>
      <c r="I4" s="822"/>
      <c r="J4" s="2206" t="s">
        <v>44</v>
      </c>
      <c r="K4" s="2206"/>
      <c r="L4" s="823">
        <f>INFORMATIONS!F34</f>
        <v>12</v>
      </c>
    </row>
    <row r="5" spans="1:15" x14ac:dyDescent="0.25"/>
    <row r="6" spans="1:15" ht="16.5" customHeight="1" x14ac:dyDescent="0.25">
      <c r="D6" s="2270" t="s">
        <v>646</v>
      </c>
      <c r="E6" s="2270" t="s">
        <v>635</v>
      </c>
      <c r="F6" s="2196" t="s">
        <v>647</v>
      </c>
      <c r="G6" s="2269"/>
      <c r="H6" s="2269"/>
      <c r="I6" s="2269"/>
      <c r="J6" s="2269"/>
      <c r="K6" s="2197"/>
      <c r="L6" s="2270" t="s">
        <v>651</v>
      </c>
    </row>
    <row r="7" spans="1:15" ht="24.75" customHeight="1" x14ac:dyDescent="0.25">
      <c r="D7" s="2271"/>
      <c r="E7" s="2271"/>
      <c r="F7" s="2273" t="s">
        <v>648</v>
      </c>
      <c r="G7" s="2274"/>
      <c r="H7" s="2196" t="s">
        <v>649</v>
      </c>
      <c r="I7" s="2269"/>
      <c r="J7" s="2269"/>
      <c r="K7" s="2197"/>
      <c r="L7" s="2271"/>
    </row>
    <row r="8" spans="1:15" ht="16.5" customHeight="1" x14ac:dyDescent="0.25">
      <c r="D8" s="2271"/>
      <c r="E8" s="2271"/>
      <c r="F8" s="2275" t="s">
        <v>637</v>
      </c>
      <c r="G8" s="2275" t="s">
        <v>638</v>
      </c>
      <c r="H8" s="2267" t="s">
        <v>650</v>
      </c>
      <c r="I8" s="2268"/>
      <c r="J8" s="2267" t="s">
        <v>1261</v>
      </c>
      <c r="K8" s="2268"/>
      <c r="L8" s="2271"/>
    </row>
    <row r="9" spans="1:15" ht="16.5" customHeight="1" x14ac:dyDescent="0.25">
      <c r="D9" s="2272"/>
      <c r="E9" s="2272"/>
      <c r="F9" s="2276"/>
      <c r="G9" s="2276"/>
      <c r="H9" s="804" t="s">
        <v>637</v>
      </c>
      <c r="I9" s="804" t="s">
        <v>638</v>
      </c>
      <c r="J9" s="804" t="s">
        <v>637</v>
      </c>
      <c r="K9" s="804" t="s">
        <v>638</v>
      </c>
      <c r="L9" s="2272"/>
    </row>
    <row r="10" spans="1:15" ht="14.25" customHeight="1" x14ac:dyDescent="0.25">
      <c r="D10" s="163"/>
      <c r="E10" s="163"/>
      <c r="F10" s="163"/>
      <c r="G10" s="163"/>
      <c r="H10" s="163"/>
      <c r="I10" s="163"/>
      <c r="J10" s="164"/>
      <c r="K10" s="163"/>
      <c r="L10" s="163"/>
    </row>
    <row r="11" spans="1:15" ht="14.25" customHeight="1" x14ac:dyDescent="0.25">
      <c r="D11" s="163"/>
      <c r="E11" s="163"/>
      <c r="F11" s="163"/>
      <c r="G11" s="163"/>
      <c r="H11" s="163"/>
      <c r="I11" s="163"/>
      <c r="J11" s="164"/>
      <c r="K11" s="142"/>
      <c r="L11" s="142"/>
    </row>
    <row r="12" spans="1:15" ht="14.25" customHeight="1" x14ac:dyDescent="0.25">
      <c r="D12" s="163"/>
      <c r="E12" s="163"/>
      <c r="F12" s="163"/>
      <c r="G12" s="163"/>
      <c r="H12" s="163"/>
      <c r="I12" s="163"/>
      <c r="J12" s="164"/>
      <c r="K12" s="142"/>
      <c r="L12" s="142"/>
    </row>
    <row r="13" spans="1:15" ht="14.25" customHeight="1" x14ac:dyDescent="0.25">
      <c r="D13" s="163"/>
      <c r="E13" s="163"/>
      <c r="F13" s="163"/>
      <c r="G13" s="163"/>
      <c r="H13" s="163"/>
      <c r="I13" s="163"/>
      <c r="J13" s="164"/>
      <c r="K13" s="142"/>
      <c r="L13" s="142"/>
    </row>
    <row r="14" spans="1:15" ht="14.25" customHeight="1" x14ac:dyDescent="0.25">
      <c r="D14" s="163"/>
      <c r="E14" s="163"/>
      <c r="F14" s="163"/>
      <c r="G14" s="163"/>
      <c r="H14" s="163"/>
      <c r="I14" s="163"/>
      <c r="J14" s="164"/>
      <c r="K14" s="142"/>
      <c r="L14" s="142"/>
    </row>
    <row r="15" spans="1:15" ht="14.25" customHeight="1" x14ac:dyDescent="0.25">
      <c r="D15" s="163"/>
      <c r="E15" s="163"/>
      <c r="F15" s="163"/>
      <c r="G15" s="163"/>
      <c r="H15" s="163"/>
      <c r="I15" s="163"/>
      <c r="J15" s="164"/>
      <c r="K15" s="142"/>
      <c r="L15" s="142"/>
    </row>
    <row r="16" spans="1:15" ht="14.25" customHeight="1" x14ac:dyDescent="0.25">
      <c r="D16" s="163"/>
      <c r="E16" s="163"/>
      <c r="F16" s="163"/>
      <c r="G16" s="163"/>
      <c r="H16" s="163"/>
      <c r="I16" s="163"/>
      <c r="J16" s="164"/>
      <c r="K16" s="142"/>
      <c r="L16" s="142"/>
    </row>
    <row r="17" spans="4:12" ht="14.25" customHeight="1" x14ac:dyDescent="0.25">
      <c r="D17" s="163"/>
      <c r="E17" s="163"/>
      <c r="F17" s="163"/>
      <c r="G17" s="163"/>
      <c r="H17" s="163"/>
      <c r="I17" s="163"/>
      <c r="J17" s="164"/>
      <c r="K17" s="142"/>
      <c r="L17" s="142"/>
    </row>
    <row r="18" spans="4:12" ht="14.25" customHeight="1" x14ac:dyDescent="0.25">
      <c r="D18" s="163"/>
      <c r="E18" s="163"/>
      <c r="F18" s="163"/>
      <c r="G18" s="163"/>
      <c r="H18" s="163"/>
      <c r="I18" s="163"/>
      <c r="J18" s="164"/>
      <c r="K18" s="142"/>
      <c r="L18" s="142"/>
    </row>
    <row r="19" spans="4:12" ht="14.25" customHeight="1" x14ac:dyDescent="0.25">
      <c r="D19" s="163"/>
      <c r="E19" s="163"/>
      <c r="F19" s="163"/>
      <c r="G19" s="163"/>
      <c r="H19" s="163"/>
      <c r="I19" s="163"/>
      <c r="J19" s="164"/>
      <c r="K19" s="142"/>
      <c r="L19" s="142"/>
    </row>
    <row r="20" spans="4:12" ht="14.25" customHeight="1" x14ac:dyDescent="0.25">
      <c r="D20" s="163"/>
      <c r="E20" s="163"/>
      <c r="F20" s="163"/>
      <c r="G20" s="163"/>
      <c r="H20" s="163"/>
      <c r="I20" s="163"/>
      <c r="J20" s="164"/>
      <c r="K20" s="142"/>
      <c r="L20" s="142"/>
    </row>
    <row r="21" spans="4:12" ht="14.25" customHeight="1" x14ac:dyDescent="0.25">
      <c r="D21" s="163"/>
      <c r="E21" s="163"/>
      <c r="F21" s="163"/>
      <c r="G21" s="163"/>
      <c r="H21" s="163"/>
      <c r="I21" s="163"/>
      <c r="J21" s="164"/>
      <c r="K21" s="142"/>
      <c r="L21" s="142"/>
    </row>
    <row r="22" spans="4:12" ht="14.25" customHeight="1" x14ac:dyDescent="0.25">
      <c r="D22" s="163"/>
      <c r="E22" s="163"/>
      <c r="F22" s="163"/>
      <c r="G22" s="163"/>
      <c r="H22" s="163"/>
      <c r="I22" s="163"/>
      <c r="J22" s="164"/>
      <c r="K22" s="142"/>
      <c r="L22" s="142"/>
    </row>
    <row r="23" spans="4:12" ht="14.25" customHeight="1" x14ac:dyDescent="0.25">
      <c r="D23" s="163"/>
      <c r="E23" s="163"/>
      <c r="F23" s="163"/>
      <c r="G23" s="163"/>
      <c r="H23" s="163"/>
      <c r="I23" s="163"/>
      <c r="J23" s="164"/>
      <c r="K23" s="142"/>
      <c r="L23" s="142"/>
    </row>
    <row r="24" spans="4:12" ht="14.25" customHeight="1" x14ac:dyDescent="0.25">
      <c r="D24" s="163"/>
      <c r="E24" s="163"/>
      <c r="F24" s="163"/>
      <c r="G24" s="163"/>
      <c r="H24" s="163"/>
      <c r="I24" s="163"/>
      <c r="J24" s="164"/>
      <c r="K24" s="142"/>
      <c r="L24" s="142"/>
    </row>
    <row r="25" spans="4:12" ht="14.25" customHeight="1" x14ac:dyDescent="0.25">
      <c r="D25" s="163"/>
      <c r="E25" s="163"/>
      <c r="F25" s="163"/>
      <c r="G25" s="163"/>
      <c r="H25" s="163"/>
      <c r="I25" s="163"/>
      <c r="J25" s="164"/>
      <c r="K25" s="142"/>
      <c r="L25" s="142"/>
    </row>
    <row r="26" spans="4:12" ht="14.25" customHeight="1" x14ac:dyDescent="0.25">
      <c r="D26" s="163"/>
      <c r="E26" s="163"/>
      <c r="F26" s="163"/>
      <c r="G26" s="163"/>
      <c r="H26" s="163"/>
      <c r="I26" s="163"/>
      <c r="J26" s="164"/>
      <c r="K26" s="142"/>
      <c r="L26" s="142"/>
    </row>
    <row r="27" spans="4:12" ht="14.25" customHeight="1" x14ac:dyDescent="0.25">
      <c r="D27" s="163"/>
      <c r="E27" s="163"/>
      <c r="F27" s="163"/>
      <c r="G27" s="163"/>
      <c r="H27" s="163"/>
      <c r="I27" s="163"/>
      <c r="J27" s="164"/>
      <c r="K27" s="142"/>
      <c r="L27" s="142"/>
    </row>
    <row r="28" spans="4:12" ht="14.25" customHeight="1" x14ac:dyDescent="0.25">
      <c r="D28" s="163"/>
      <c r="E28" s="163"/>
      <c r="F28" s="163"/>
      <c r="G28" s="163"/>
      <c r="H28" s="163"/>
      <c r="I28" s="163"/>
      <c r="J28" s="164"/>
      <c r="K28" s="142"/>
      <c r="L28" s="142"/>
    </row>
    <row r="29" spans="4:12" ht="14.25" customHeight="1" x14ac:dyDescent="0.25">
      <c r="D29" s="178" t="s">
        <v>643</v>
      </c>
      <c r="E29" s="163"/>
      <c r="F29" s="163"/>
      <c r="G29" s="163"/>
      <c r="H29" s="163"/>
      <c r="I29" s="163"/>
      <c r="J29" s="164"/>
      <c r="K29" s="142"/>
      <c r="L29" s="142"/>
    </row>
    <row r="30" spans="4:12" ht="14.25" customHeight="1" x14ac:dyDescent="0.25">
      <c r="D30" s="805" t="s">
        <v>262</v>
      </c>
      <c r="E30" s="626"/>
      <c r="F30" s="626"/>
      <c r="G30" s="626">
        <f t="shared" ref="G30:L30" si="0">SUM(G10:G29)</f>
        <v>0</v>
      </c>
      <c r="H30" s="626"/>
      <c r="I30" s="626">
        <f t="shared" si="0"/>
        <v>0</v>
      </c>
      <c r="J30" s="626"/>
      <c r="K30" s="626">
        <f t="shared" si="0"/>
        <v>0</v>
      </c>
      <c r="L30" s="626">
        <f t="shared" si="0"/>
        <v>0</v>
      </c>
    </row>
    <row r="31" spans="4:12" s="533" customFormat="1" x14ac:dyDescent="0.25">
      <c r="D31" s="830"/>
      <c r="E31" s="806"/>
      <c r="F31" s="806"/>
      <c r="G31" s="806"/>
      <c r="H31" s="806"/>
      <c r="I31" s="806"/>
      <c r="J31" s="806"/>
    </row>
    <row r="32" spans="4:12" s="533" customFormat="1" x14ac:dyDescent="0.25">
      <c r="D32" s="830"/>
      <c r="E32" s="806"/>
      <c r="F32" s="806"/>
      <c r="G32" s="806"/>
      <c r="H32" s="806"/>
      <c r="I32" s="806"/>
      <c r="J32" s="806"/>
    </row>
    <row r="33" spans="4:10" s="533" customFormat="1" x14ac:dyDescent="0.25">
      <c r="D33" s="830"/>
      <c r="E33" s="806"/>
      <c r="F33" s="806"/>
      <c r="G33" s="806"/>
      <c r="H33" s="806"/>
      <c r="I33" s="806"/>
      <c r="J33" s="806"/>
    </row>
    <row r="34" spans="4:10" s="533" customFormat="1" x14ac:dyDescent="0.25">
      <c r="D34" s="830"/>
      <c r="E34" s="806"/>
      <c r="F34" s="806"/>
      <c r="G34" s="806"/>
      <c r="H34" s="806"/>
      <c r="I34" s="806"/>
      <c r="J34" s="806"/>
    </row>
    <row r="35" spans="4:10" s="533" customFormat="1" x14ac:dyDescent="0.25">
      <c r="D35" s="830"/>
      <c r="E35" s="806"/>
      <c r="F35" s="806"/>
      <c r="G35" s="806"/>
      <c r="H35" s="806"/>
      <c r="I35" s="806"/>
      <c r="J35" s="806"/>
    </row>
    <row r="36" spans="4:10" s="533" customFormat="1" x14ac:dyDescent="0.25">
      <c r="D36" s="831"/>
    </row>
    <row r="37" spans="4:10" s="533" customFormat="1" x14ac:dyDescent="0.25"/>
    <row r="38" spans="4:10" s="533" customFormat="1" x14ac:dyDescent="0.25"/>
    <row r="39" spans="4:10" s="533" customFormat="1" x14ac:dyDescent="0.25"/>
    <row r="40" spans="4:10" s="533" customFormat="1" x14ac:dyDescent="0.25"/>
    <row r="41" spans="4:10" s="533" customFormat="1" x14ac:dyDescent="0.25"/>
    <row r="42" spans="4:10" s="533" customFormat="1" x14ac:dyDescent="0.25"/>
    <row r="43" spans="4:10" s="533" customFormat="1" x14ac:dyDescent="0.25"/>
    <row r="44" spans="4:10" s="533" customFormat="1" x14ac:dyDescent="0.25"/>
    <row r="45" spans="4:10" s="533" customFormat="1" x14ac:dyDescent="0.25"/>
    <row r="46" spans="4:10" s="533" customFormat="1" x14ac:dyDescent="0.25"/>
    <row r="47" spans="4:10" s="533" customFormat="1" x14ac:dyDescent="0.25"/>
    <row r="48" spans="4:10" s="533" customFormat="1" x14ac:dyDescent="0.25"/>
    <row r="49" s="533" customFormat="1" x14ac:dyDescent="0.25"/>
    <row r="50" s="533" customFormat="1" x14ac:dyDescent="0.25"/>
    <row r="51" s="533" customFormat="1" x14ac:dyDescent="0.25"/>
    <row r="52" s="533" customFormat="1" x14ac:dyDescent="0.25"/>
    <row r="53" s="533" customFormat="1" x14ac:dyDescent="0.25"/>
  </sheetData>
  <sheetProtection pivotTables="0"/>
  <mergeCells count="14">
    <mergeCell ref="D1:L1"/>
    <mergeCell ref="H8:I8"/>
    <mergeCell ref="H7:K7"/>
    <mergeCell ref="F6:K6"/>
    <mergeCell ref="J8:K8"/>
    <mergeCell ref="L6:L9"/>
    <mergeCell ref="J3:K3"/>
    <mergeCell ref="J4:K4"/>
    <mergeCell ref="F7:G7"/>
    <mergeCell ref="D6:D9"/>
    <mergeCell ref="E6:E9"/>
    <mergeCell ref="F8:F9"/>
    <mergeCell ref="G8:G9"/>
    <mergeCell ref="E3:I3"/>
  </mergeCells>
  <printOptions horizontalCentered="1"/>
  <pageMargins left="0" right="0" top="0" bottom="0.35433070866141736" header="0.31496062992125984" footer="0.31496062992125984"/>
  <pageSetup paperSize="263"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tabColor rgb="FF43C6E5"/>
  </sheetPr>
  <dimension ref="A1:K84"/>
  <sheetViews>
    <sheetView topLeftCell="A10" zoomScaleNormal="100" workbookViewId="0">
      <selection activeCell="H36" sqref="H36"/>
    </sheetView>
  </sheetViews>
  <sheetFormatPr baseColWidth="10" defaultColWidth="0" defaultRowHeight="15" zeroHeight="1" x14ac:dyDescent="0.25"/>
  <cols>
    <col min="1" max="1" width="8.42578125" style="537" customWidth="1"/>
    <col min="2" max="2" width="9.42578125" style="537" customWidth="1"/>
    <col min="3" max="3" width="7.5703125" style="537" customWidth="1"/>
    <col min="4" max="4" width="29.42578125" style="345" customWidth="1"/>
    <col min="5" max="5" width="48.7109375" style="345" customWidth="1"/>
    <col min="6" max="6" width="16.7109375" style="733" customWidth="1"/>
    <col min="7" max="7" width="18.28515625" style="733" customWidth="1"/>
    <col min="8" max="8" width="15.140625" style="345" customWidth="1"/>
    <col min="9" max="10" width="12.7109375" style="537" customWidth="1"/>
    <col min="11" max="11" width="11.42578125" style="537" customWidth="1"/>
    <col min="12" max="16384" width="11.42578125" style="345" hidden="1"/>
  </cols>
  <sheetData>
    <row r="1" spans="4:8" ht="22.5" customHeight="1" x14ac:dyDescent="0.25">
      <c r="D1" s="2135" t="s">
        <v>652</v>
      </c>
      <c r="E1" s="2136"/>
      <c r="F1" s="2136"/>
      <c r="G1" s="2136"/>
      <c r="H1" s="2137"/>
    </row>
    <row r="2" spans="4:8" x14ac:dyDescent="0.25">
      <c r="D2" s="388"/>
      <c r="E2" s="388"/>
      <c r="F2" s="729"/>
      <c r="G2" s="729"/>
      <c r="H2" s="388"/>
    </row>
    <row r="3" spans="4:8" ht="22.5" customHeight="1" x14ac:dyDescent="0.25">
      <c r="D3" s="629" t="s">
        <v>42</v>
      </c>
      <c r="E3" s="2112" t="str">
        <f>INFORMATIONS!B10</f>
        <v>SAM CONSEILS</v>
      </c>
      <c r="F3" s="2112"/>
      <c r="G3" s="678" t="s">
        <v>52</v>
      </c>
      <c r="H3" s="631">
        <f>INFORMATIONS!D31</f>
        <v>43465</v>
      </c>
    </row>
    <row r="4" spans="4:8" ht="19.5" customHeight="1" x14ac:dyDescent="0.25">
      <c r="D4" s="632" t="s">
        <v>43</v>
      </c>
      <c r="E4" s="633" t="str">
        <f>INFORMATIONS!B24</f>
        <v>00084404X</v>
      </c>
      <c r="F4" s="679"/>
      <c r="G4" s="731" t="s">
        <v>44</v>
      </c>
      <c r="H4" s="667">
        <f>INFORMATIONS!F34</f>
        <v>12</v>
      </c>
    </row>
    <row r="5" spans="4:8" ht="9.75" customHeight="1" x14ac:dyDescent="0.25"/>
    <row r="6" spans="4:8" ht="14.25" customHeight="1" x14ac:dyDescent="0.25">
      <c r="D6" s="2116" t="s">
        <v>653</v>
      </c>
      <c r="E6" s="2117"/>
      <c r="F6" s="682" t="s">
        <v>139</v>
      </c>
      <c r="G6" s="682" t="s">
        <v>140</v>
      </c>
      <c r="H6" s="590" t="s">
        <v>141</v>
      </c>
    </row>
    <row r="7" spans="4:8" ht="16.5" customHeight="1" x14ac:dyDescent="0.25">
      <c r="D7" s="2284" t="s">
        <v>654</v>
      </c>
      <c r="E7" s="2285"/>
      <c r="F7" s="748"/>
      <c r="G7" s="748"/>
      <c r="H7" s="749"/>
    </row>
    <row r="8" spans="4:8" ht="16.5" customHeight="1" x14ac:dyDescent="0.25">
      <c r="D8" s="423" t="s">
        <v>655</v>
      </c>
      <c r="E8" s="425"/>
      <c r="F8" s="683">
        <f>'COMPTE DE RESULTAT'!K15</f>
        <v>2041946745</v>
      </c>
      <c r="G8" s="683">
        <f>'COMPTE DE RESULTAT'!L15</f>
        <v>1871826890</v>
      </c>
      <c r="H8" s="707">
        <f t="shared" ref="H8:H16" si="0">IF(G8=0,"-",(F8-G8)/G8)</f>
        <v>9.0884395297900655E-2</v>
      </c>
    </row>
    <row r="9" spans="4:8" ht="16.5" customHeight="1" x14ac:dyDescent="0.25">
      <c r="D9" s="423" t="s">
        <v>656</v>
      </c>
      <c r="E9" s="425"/>
      <c r="F9" s="683">
        <f>'COMPTE DE RESULTAT'!K11</f>
        <v>40000000</v>
      </c>
      <c r="G9" s="683">
        <f>'COMPTE DE RESULTAT'!L11</f>
        <v>0</v>
      </c>
      <c r="H9" s="707" t="str">
        <f t="shared" si="0"/>
        <v>-</v>
      </c>
    </row>
    <row r="10" spans="4:8" ht="16.5" customHeight="1" x14ac:dyDescent="0.25">
      <c r="D10" s="423" t="s">
        <v>657</v>
      </c>
      <c r="E10" s="425"/>
      <c r="F10" s="683">
        <f>'COMPTE DE RESULTAT'!K29</f>
        <v>485093197</v>
      </c>
      <c r="G10" s="683">
        <f>'COMPTE DE RESULTAT'!L29</f>
        <v>382440760</v>
      </c>
      <c r="H10" s="707">
        <f t="shared" si="0"/>
        <v>0.26841395514432093</v>
      </c>
    </row>
    <row r="11" spans="4:8" ht="16.5" customHeight="1" x14ac:dyDescent="0.25">
      <c r="D11" s="423" t="s">
        <v>658</v>
      </c>
      <c r="E11" s="425"/>
      <c r="F11" s="683">
        <f>'COMPTE DE RESULTAT'!K31</f>
        <v>266876104</v>
      </c>
      <c r="G11" s="683">
        <f>'COMPTE DE RESULTAT'!L31</f>
        <v>173588509</v>
      </c>
      <c r="H11" s="707">
        <f t="shared" si="0"/>
        <v>0.5374065111648606</v>
      </c>
    </row>
    <row r="12" spans="4:8" ht="16.5" customHeight="1" x14ac:dyDescent="0.25">
      <c r="D12" s="423" t="s">
        <v>659</v>
      </c>
      <c r="E12" s="425"/>
      <c r="F12" s="683">
        <f>'COMPTE DE RESULTAT'!K34</f>
        <v>240364791</v>
      </c>
      <c r="G12" s="683">
        <f>'COMPTE DE RESULTAT'!L34</f>
        <v>141972754</v>
      </c>
      <c r="H12" s="707">
        <f t="shared" si="0"/>
        <v>0.69303464381623536</v>
      </c>
    </row>
    <row r="13" spans="4:8" ht="16.5" customHeight="1" x14ac:dyDescent="0.25">
      <c r="D13" s="423" t="s">
        <v>660</v>
      </c>
      <c r="E13" s="425"/>
      <c r="F13" s="683">
        <f>'COMPTE DE RESULTAT'!K40</f>
        <v>4000000</v>
      </c>
      <c r="G13" s="683">
        <f>'COMPTE DE RESULTAT'!L40</f>
        <v>0</v>
      </c>
      <c r="H13" s="707" t="str">
        <f t="shared" si="0"/>
        <v>-</v>
      </c>
    </row>
    <row r="14" spans="4:8" ht="16.5" customHeight="1" x14ac:dyDescent="0.25">
      <c r="D14" s="423" t="s">
        <v>661</v>
      </c>
      <c r="E14" s="425"/>
      <c r="F14" s="683">
        <f>'COMPTE DE RESULTAT'!K41</f>
        <v>244364791</v>
      </c>
      <c r="G14" s="683">
        <f>'COMPTE DE RESULTAT'!L41</f>
        <v>141972754</v>
      </c>
      <c r="H14" s="707">
        <f t="shared" si="0"/>
        <v>0.72120906381797734</v>
      </c>
    </row>
    <row r="15" spans="4:8" ht="16.5" customHeight="1" x14ac:dyDescent="0.25">
      <c r="D15" s="423" t="s">
        <v>662</v>
      </c>
      <c r="E15" s="425"/>
      <c r="F15" s="683">
        <f>'COMPTE DE RESULTAT'!K46</f>
        <v>2127119</v>
      </c>
      <c r="G15" s="683">
        <f>'COMPTE DE RESULTAT'!L46</f>
        <v>58333</v>
      </c>
      <c r="H15" s="707">
        <f t="shared" si="0"/>
        <v>35.465105514888656</v>
      </c>
    </row>
    <row r="16" spans="4:8" ht="16.5" customHeight="1" x14ac:dyDescent="0.25">
      <c r="D16" s="423" t="s">
        <v>663</v>
      </c>
      <c r="E16" s="425"/>
      <c r="F16" s="683">
        <f>'COMPTE DE RESULTAT'!K49</f>
        <v>178831885</v>
      </c>
      <c r="G16" s="683">
        <f>'COMPTE DE RESULTAT'!L49</f>
        <v>118619674</v>
      </c>
      <c r="H16" s="707">
        <f t="shared" si="0"/>
        <v>0.50760728780960906</v>
      </c>
    </row>
    <row r="17" spans="4:10" ht="16.5" customHeight="1" x14ac:dyDescent="0.25">
      <c r="D17" s="2284" t="s">
        <v>664</v>
      </c>
      <c r="E17" s="2285"/>
      <c r="F17" s="684"/>
      <c r="G17" s="684"/>
      <c r="H17" s="750"/>
    </row>
    <row r="18" spans="4:10" ht="16.5" customHeight="1" x14ac:dyDescent="0.25">
      <c r="D18" s="595" t="s">
        <v>665</v>
      </c>
      <c r="E18" s="711"/>
      <c r="F18" s="684">
        <f>F11</f>
        <v>266876104</v>
      </c>
      <c r="G18" s="684">
        <f>G11</f>
        <v>173588509</v>
      </c>
      <c r="H18" s="2280"/>
    </row>
    <row r="19" spans="4:10" ht="16.5" customHeight="1" x14ac:dyDescent="0.25">
      <c r="D19" s="423" t="s">
        <v>666</v>
      </c>
      <c r="E19" s="425"/>
      <c r="F19" s="683">
        <f>SUMPRODUCT(((LEFT(BalanceN!$A$4:$A$9999,3)="654"))*BalanceN!$G$4:$G$9999)</f>
        <v>0</v>
      </c>
      <c r="G19" s="683">
        <f>SUMPRODUCT(((LEFT('BalanceN-1'!$A$4:$A$9999,3)="654"))*'BalanceN-1'!$G$4:$G$9999)</f>
        <v>0</v>
      </c>
      <c r="H19" s="2281"/>
    </row>
    <row r="20" spans="4:10" ht="16.5" customHeight="1" x14ac:dyDescent="0.25">
      <c r="D20" s="423" t="s">
        <v>667</v>
      </c>
      <c r="E20" s="425"/>
      <c r="F20" s="683">
        <f>-SUMPRODUCT(((LEFT(BalanceN!$A$4:$A$9999,3)="754"))*BalanceN!$H$4:$H$9999)</f>
        <v>0</v>
      </c>
      <c r="G20" s="683">
        <f>-SUMPRODUCT(((LEFT('BalanceN-1'!$A$4:$A$9999,3)="754"))*'BalanceN-1'!$H$4:$H$9999)</f>
        <v>0</v>
      </c>
      <c r="H20" s="2281"/>
      <c r="J20" s="737"/>
    </row>
    <row r="21" spans="4:10" ht="16.5" customHeight="1" x14ac:dyDescent="0.25">
      <c r="D21" s="595" t="s">
        <v>668</v>
      </c>
      <c r="E21" s="711"/>
      <c r="F21" s="684">
        <f>SUM(F18:F20)</f>
        <v>266876104</v>
      </c>
      <c r="G21" s="684">
        <f>SUM(G18:G20)</f>
        <v>173588509</v>
      </c>
      <c r="H21" s="2281"/>
    </row>
    <row r="22" spans="4:10" ht="16.5" customHeight="1" x14ac:dyDescent="0.25">
      <c r="D22" s="423" t="s">
        <v>669</v>
      </c>
      <c r="E22" s="425"/>
      <c r="F22" s="683">
        <f>SUMPRODUCT(((LEFT(BalanceN!$A$4:$A$9999,2)="77")-(LEFT(BalanceN!$A$4:$A$9999,3)="776"))*BalanceN!$H$4:$H$9999)</f>
        <v>7500000</v>
      </c>
      <c r="G22" s="683"/>
      <c r="H22" s="2281"/>
    </row>
    <row r="23" spans="4:10" ht="16.5" customHeight="1" x14ac:dyDescent="0.25">
      <c r="D23" s="423" t="s">
        <v>670</v>
      </c>
      <c r="E23" s="425"/>
      <c r="F23" s="683">
        <f>SUMPRODUCT(((LEFT(BalanceN!$A$4:$A$9999,3)="776"))*BalanceN!$H$4:$H$9999)</f>
        <v>0</v>
      </c>
      <c r="G23" s="683"/>
      <c r="H23" s="2281"/>
    </row>
    <row r="24" spans="4:10" ht="16.5" customHeight="1" x14ac:dyDescent="0.25">
      <c r="D24" s="423" t="s">
        <v>671</v>
      </c>
      <c r="E24" s="425"/>
      <c r="F24" s="683">
        <f>SUMPRODUCT(((LEFT(BalanceN!$A$4:$A$9999,3)="787"))*BalanceN!$H$4:$H$9999)</f>
        <v>0</v>
      </c>
      <c r="G24" s="683"/>
      <c r="H24" s="2281"/>
    </row>
    <row r="25" spans="4:10" ht="16.5" customHeight="1" x14ac:dyDescent="0.25">
      <c r="D25" s="423" t="s">
        <v>672</v>
      </c>
      <c r="E25" s="425"/>
      <c r="F25" s="683">
        <f>SUMPRODUCT(((LEFT(BalanceN!$A$4:$A$9999,2)="84")-(LEFT(BalanceN!$A$4:$A$9999,3)="848"))*BalanceN!$H$4:$H$9999)</f>
        <v>2000000</v>
      </c>
      <c r="G25" s="683"/>
      <c r="H25" s="2282"/>
    </row>
    <row r="26" spans="4:10" ht="16.5" customHeight="1" x14ac:dyDescent="0.25">
      <c r="D26" s="423" t="s">
        <v>673</v>
      </c>
      <c r="E26" s="425"/>
      <c r="F26" s="683">
        <f>SUMPRODUCT(((LEFT(BalanceN!$A$4:$A$9999,3)="848"))*BalanceN!$H$4:$H$9999)</f>
        <v>0</v>
      </c>
      <c r="G26" s="683"/>
      <c r="H26" s="2281"/>
    </row>
    <row r="27" spans="4:10" ht="16.5" customHeight="1" x14ac:dyDescent="0.25">
      <c r="D27" s="423" t="s">
        <v>674</v>
      </c>
      <c r="E27" s="425"/>
      <c r="F27" s="683">
        <f>-SUMPRODUCT(((LEFT(BalanceN!$A$4:$A$9999,2)="67")-(LEFT(BalanceN!$A$4:$A$9999,3)="676"))*BalanceN!$G$4:$G$9999)</f>
        <v>-3500000</v>
      </c>
      <c r="G27" s="683"/>
      <c r="H27" s="2281"/>
    </row>
    <row r="28" spans="4:10" ht="16.5" customHeight="1" x14ac:dyDescent="0.25">
      <c r="D28" s="423" t="s">
        <v>675</v>
      </c>
      <c r="E28" s="425"/>
      <c r="F28" s="683">
        <f>-SUMPRODUCT(((LEFT(BalanceN!$A$4:$A$9999,3)="676"))*BalanceN!$G$4:$G$9999)</f>
        <v>0</v>
      </c>
      <c r="G28" s="683"/>
      <c r="H28" s="2281"/>
    </row>
    <row r="29" spans="4:10" ht="16.5" customHeight="1" x14ac:dyDescent="0.25">
      <c r="D29" s="423" t="s">
        <v>676</v>
      </c>
      <c r="E29" s="425"/>
      <c r="F29" s="683">
        <f>-SUMPRODUCT(((LEFT(BalanceN!$A$4:$A$9999,2)="87"))*BalanceN!$G$4:$G$9999)</f>
        <v>0</v>
      </c>
      <c r="G29" s="683"/>
      <c r="H29" s="2281"/>
    </row>
    <row r="30" spans="4:10" ht="16.5" customHeight="1" x14ac:dyDescent="0.25">
      <c r="D30" s="423" t="s">
        <v>677</v>
      </c>
      <c r="E30" s="425"/>
      <c r="F30" s="683">
        <f>-SUMPRODUCT(((LEFT(BalanceN!$A$4:$A$9999,2)="89"))*BalanceN!$G$4:$G$9999)</f>
        <v>-31102200</v>
      </c>
      <c r="G30" s="683"/>
      <c r="H30" s="2283"/>
    </row>
    <row r="31" spans="4:10" ht="16.5" customHeight="1" x14ac:dyDescent="0.25">
      <c r="D31" s="595" t="s">
        <v>678</v>
      </c>
      <c r="E31" s="597"/>
      <c r="F31" s="684">
        <f>SUM(F21:F30)</f>
        <v>241773904</v>
      </c>
      <c r="G31" s="684">
        <f>SUM(G21:G30)</f>
        <v>173588509</v>
      </c>
      <c r="H31" s="751">
        <f t="shared" ref="H31:H51" si="1">IF(G31=0,"-",(F31-G31)/G31)</f>
        <v>0.39279901298074976</v>
      </c>
    </row>
    <row r="32" spans="4:10" ht="16.5" customHeight="1" x14ac:dyDescent="0.25">
      <c r="D32" s="423" t="s">
        <v>679</v>
      </c>
      <c r="E32" s="425"/>
      <c r="F32" s="683">
        <f>'TABLEAU DES FLUX DE TRESORERIE'!I27</f>
        <v>-90000000</v>
      </c>
      <c r="G32" s="683">
        <f>'TABLEAU DES FLUX DE TRESORERIE'!J27</f>
        <v>26631518</v>
      </c>
      <c r="H32" s="723">
        <f t="shared" si="1"/>
        <v>-4.3794543743244381</v>
      </c>
    </row>
    <row r="33" spans="4:10" ht="16.5" customHeight="1" x14ac:dyDescent="0.25">
      <c r="D33" s="595" t="s">
        <v>680</v>
      </c>
      <c r="E33" s="711"/>
      <c r="F33" s="684">
        <f>SUM(F31:F32)</f>
        <v>151773904</v>
      </c>
      <c r="G33" s="684">
        <f>SUM(G31:G32)</f>
        <v>200220027</v>
      </c>
      <c r="H33" s="751">
        <f t="shared" si="1"/>
        <v>-0.2419644214711848</v>
      </c>
    </row>
    <row r="34" spans="4:10" ht="16.5" customHeight="1" x14ac:dyDescent="0.25">
      <c r="D34" s="752" t="s">
        <v>681</v>
      </c>
      <c r="E34" s="711"/>
      <c r="F34" s="748"/>
      <c r="G34" s="748"/>
      <c r="H34" s="751"/>
    </row>
    <row r="35" spans="4:10" ht="30" customHeight="1" x14ac:dyDescent="0.25">
      <c r="D35" s="2001" t="s">
        <v>682</v>
      </c>
      <c r="E35" s="2003"/>
      <c r="F35" s="753">
        <f>IF(F40=0,0,F12/F40)</f>
        <v>0.3082713447661008</v>
      </c>
      <c r="G35" s="753">
        <f>IF(G40=0,0,G12/G40)</f>
        <v>0.41375226395065018</v>
      </c>
      <c r="H35" s="724">
        <f t="shared" si="1"/>
        <v>-0.25493738252301262</v>
      </c>
    </row>
    <row r="36" spans="4:10" ht="16.5" customHeight="1" x14ac:dyDescent="0.25">
      <c r="D36" s="423" t="s">
        <v>683</v>
      </c>
      <c r="E36" s="425"/>
      <c r="F36" s="754">
        <f>IF(F41=0,0,F13/F41)</f>
        <v>-5.5530661391431533E-3</v>
      </c>
      <c r="G36" s="754">
        <f>IF(G41=0,0,G13/G41)</f>
        <v>0</v>
      </c>
      <c r="H36" s="724" t="str">
        <f t="shared" si="1"/>
        <v>-</v>
      </c>
    </row>
    <row r="37" spans="4:10" ht="16.5" customHeight="1" x14ac:dyDescent="0.25">
      <c r="D37" s="752" t="s">
        <v>684</v>
      </c>
      <c r="E37" s="711"/>
      <c r="F37" s="748"/>
      <c r="G37" s="748"/>
      <c r="H37" s="755"/>
    </row>
    <row r="38" spans="4:10" ht="16.5" customHeight="1" x14ac:dyDescent="0.25">
      <c r="D38" s="423" t="s">
        <v>685</v>
      </c>
      <c r="E38" s="425"/>
      <c r="F38" s="683">
        <f>BILAN!N18</f>
        <v>620401876</v>
      </c>
      <c r="G38" s="683">
        <f>BILAN!O18</f>
        <v>286069991</v>
      </c>
      <c r="H38" s="724">
        <f t="shared" si="1"/>
        <v>1.1687065946039759</v>
      </c>
    </row>
    <row r="39" spans="4:10" ht="16.5" customHeight="1" x14ac:dyDescent="0.25">
      <c r="D39" s="423" t="s">
        <v>686</v>
      </c>
      <c r="E39" s="425"/>
      <c r="F39" s="683">
        <f>BILAN!N22-SUMPRODUCT(((LEFT(BalanceN!$A$4:$A$9999,4)="4784"))*BalanceN!$G$4:$G$9999)+SUMPRODUCT(((LEFT(BalanceN!$A$4:$A$9999,4)="4794"))*BalanceN!$H$4:$H$9999)</f>
        <v>159316366</v>
      </c>
      <c r="G39" s="683">
        <f>BILAN!O22-SUMPRODUCT(((LEFT('BalanceN-1'!$A$4:$A$9999,4)="4784"))*'BalanceN-1'!$G$4:$G$9999)+SUMPRODUCT(((LEFT('BalanceN-1'!$A$4:$A$9999,4)="4794"))*'BalanceN-1'!$H$4:$H$9999)</f>
        <v>57064697</v>
      </c>
      <c r="H39" s="724">
        <f t="shared" si="1"/>
        <v>1.7918551114010122</v>
      </c>
      <c r="J39" s="554"/>
    </row>
    <row r="40" spans="4:10" ht="16.5" customHeight="1" x14ac:dyDescent="0.25">
      <c r="D40" s="423" t="s">
        <v>687</v>
      </c>
      <c r="E40" s="425"/>
      <c r="F40" s="683">
        <f>SUM(F38:F39)</f>
        <v>779718242</v>
      </c>
      <c r="G40" s="683">
        <f>SUM(G38:G39)</f>
        <v>343134688</v>
      </c>
      <c r="H40" s="724">
        <f t="shared" si="1"/>
        <v>1.2723387324804656</v>
      </c>
    </row>
    <row r="41" spans="4:10" ht="16.5" customHeight="1" x14ac:dyDescent="0.25">
      <c r="D41" s="423" t="s">
        <v>688</v>
      </c>
      <c r="E41" s="425"/>
      <c r="F41" s="683">
        <f>-(BILAN!I23-SUMPRODUCT(((LEFT(BalanceN!$A$4:$A$9999,4)="4792"))*BalanceN!$H$4:$H$9999)+SUMPRODUCT(((LEFT(BalanceN!$A$4:$A$9999,4)="4782"))*BalanceN!$G$4:$G$9999))</f>
        <v>-720322773</v>
      </c>
      <c r="G41" s="683">
        <f>-(BILAN!J23-SUMPRODUCT(((LEFT('BalanceN-1'!$A$4:$A$9999,4)="4792"))*'BalanceN-1'!$H$4:$H$9999)+SUMPRODUCT(((LEFT('BalanceN-1'!$A$4:$A$9999,4)="4782"))*'BalanceN-1'!$G$4:$G$9999))</f>
        <v>-210743285</v>
      </c>
      <c r="H41" s="724">
        <f t="shared" si="1"/>
        <v>2.4180105572521562</v>
      </c>
    </row>
    <row r="42" spans="4:10" ht="16.5" customHeight="1" x14ac:dyDescent="0.25">
      <c r="D42" s="595" t="s">
        <v>689</v>
      </c>
      <c r="E42" s="597"/>
      <c r="F42" s="684">
        <f>SUM(F40:F41)</f>
        <v>59395469</v>
      </c>
      <c r="G42" s="684">
        <f>SUM(G40:G41)</f>
        <v>132391403</v>
      </c>
      <c r="H42" s="755">
        <f t="shared" si="1"/>
        <v>-0.55136460786656971</v>
      </c>
    </row>
    <row r="43" spans="4:10" ht="16.5" customHeight="1" x14ac:dyDescent="0.25">
      <c r="D43" s="423" t="s">
        <v>695</v>
      </c>
      <c r="E43" s="425"/>
      <c r="F43" s="683">
        <f>SUM(BILAN!I25,BILAN!I26)-SUMPRODUCT(((LEFT(BalanceN!$A$4:$A$9999,4)="4791"))*BalanceN!$H$4:$H$9999)+SUMPRODUCT(((LEFT(BalanceN!$A$4:$A$9999,4)="4781"))*BalanceN!$G$4:$G$9999)</f>
        <v>208864578</v>
      </c>
      <c r="G43" s="683">
        <f>SUM(BILAN!J25,BILAN!J26)-SUMPRODUCT(((LEFT('BalanceN-1'!$A$4:$A$9999,4)="4791"))*'BalanceN-1'!$H$4:$H$9999)+SUMPRODUCT(((LEFT('BalanceN-1'!$A$4:$A$9999,4)="4781"))*'BalanceN-1'!$G$4:$G$9999)</f>
        <v>160380651</v>
      </c>
      <c r="H43" s="724">
        <f t="shared" si="1"/>
        <v>0.30230533856605935</v>
      </c>
      <c r="J43" s="554"/>
    </row>
    <row r="44" spans="4:10" ht="16.5" customHeight="1" x14ac:dyDescent="0.25">
      <c r="D44" s="423" t="s">
        <v>690</v>
      </c>
      <c r="E44" s="425"/>
      <c r="F44" s="683">
        <f>-(SUM(BILAN!N25,BILAN!N26,BILAN!N27,BILAN!N28,BILAN!N29)-SUMPRODUCT(((LEFT(BalanceN!$A$4:$A$9999,4)="4783"))*BalanceN!$G$4:$G$9999)+SUMPRODUCT(((LEFT(BalanceN!$A$4:$A$9999,4)="4793"))*BalanceN!$H$4:$H$9999))</f>
        <v>-118056294</v>
      </c>
      <c r="G44" s="683">
        <f>-(SUM(BILAN!O25,BILAN!O26,BILAN!O27,BILAN!O28,BILAN!O29)-SUMPRODUCT(((LEFT('BalanceN-1'!$A$4:$A$9999,4)="4783"))*'BalanceN-1'!$G$4:$G$9999)+SUMPRODUCT(((LEFT('BalanceN-1'!$A$4:$A$9999,4)="4793"))*'BalanceN-1'!$H$4:$H$9999))</f>
        <v>-102553463</v>
      </c>
      <c r="H44" s="724">
        <f t="shared" si="1"/>
        <v>0.15116828380529676</v>
      </c>
    </row>
    <row r="45" spans="4:10" ht="16.5" customHeight="1" x14ac:dyDescent="0.25">
      <c r="D45" s="595" t="s">
        <v>691</v>
      </c>
      <c r="E45" s="597"/>
      <c r="F45" s="684">
        <f>SUM(F43:F44)</f>
        <v>90808284</v>
      </c>
      <c r="G45" s="684">
        <f>SUM(G43:G44)</f>
        <v>57827188</v>
      </c>
      <c r="H45" s="755">
        <f t="shared" si="1"/>
        <v>0.5703389208550137</v>
      </c>
    </row>
    <row r="46" spans="4:10" ht="16.5" customHeight="1" x14ac:dyDescent="0.25">
      <c r="D46" s="423" t="s">
        <v>694</v>
      </c>
      <c r="E46" s="425"/>
      <c r="F46" s="683">
        <f>BILAN!I24</f>
        <v>2140000</v>
      </c>
      <c r="G46" s="683">
        <f>BILAN!J24</f>
        <v>380000</v>
      </c>
      <c r="H46" s="756"/>
    </row>
    <row r="47" spans="4:10" ht="16.5" customHeight="1" x14ac:dyDescent="0.25">
      <c r="D47" s="423" t="s">
        <v>692</v>
      </c>
      <c r="E47" s="425"/>
      <c r="F47" s="683">
        <f>-BILAN!N24</f>
        <v>-156649942</v>
      </c>
      <c r="G47" s="683">
        <f>-BILAN!O24</f>
        <v>-399942</v>
      </c>
      <c r="H47" s="756"/>
    </row>
    <row r="48" spans="4:10" ht="16.5" customHeight="1" x14ac:dyDescent="0.25">
      <c r="D48" s="595" t="s">
        <v>693</v>
      </c>
      <c r="E48" s="597"/>
      <c r="F48" s="684">
        <f>SUM(F46:F47)</f>
        <v>-154509942</v>
      </c>
      <c r="G48" s="684">
        <f>SUM(G46:G47)</f>
        <v>-19942</v>
      </c>
      <c r="H48" s="751">
        <f t="shared" si="1"/>
        <v>7746.9662019857587</v>
      </c>
    </row>
    <row r="49" spans="4:9" ht="16.5" customHeight="1" x14ac:dyDescent="0.25">
      <c r="D49" s="595" t="s">
        <v>696</v>
      </c>
      <c r="E49" s="597"/>
      <c r="F49" s="684">
        <f>SUM(F48,F45)</f>
        <v>-63701658</v>
      </c>
      <c r="G49" s="684">
        <f>SUM(G48,G45)</f>
        <v>57807246</v>
      </c>
      <c r="H49" s="751">
        <f t="shared" si="1"/>
        <v>-2.1019666634871346</v>
      </c>
    </row>
    <row r="50" spans="4:9" ht="16.5" customHeight="1" x14ac:dyDescent="0.25">
      <c r="D50" s="595" t="s">
        <v>697</v>
      </c>
      <c r="E50" s="597"/>
      <c r="F50" s="684">
        <f>F42-F49</f>
        <v>123097127</v>
      </c>
      <c r="G50" s="684">
        <f>G42-G49</f>
        <v>74584157</v>
      </c>
      <c r="H50" s="751">
        <f t="shared" si="1"/>
        <v>0.65044604580031651</v>
      </c>
    </row>
    <row r="51" spans="4:9" ht="19.5" customHeight="1" x14ac:dyDescent="0.25">
      <c r="D51" s="2278" t="s">
        <v>698</v>
      </c>
      <c r="E51" s="2279"/>
      <c r="F51" s="683">
        <f>'TABLEAU DES FLUX DE TRESORERIE'!E38</f>
        <v>0</v>
      </c>
      <c r="G51" s="683">
        <f>'TABLEAU DES FLUX DE TRESORERIE'!F38</f>
        <v>0</v>
      </c>
      <c r="H51" s="723" t="str">
        <f t="shared" si="1"/>
        <v>-</v>
      </c>
      <c r="I51" s="554"/>
    </row>
    <row r="52" spans="4:9" ht="16.5" customHeight="1" x14ac:dyDescent="0.25">
      <c r="D52" s="752" t="s">
        <v>699</v>
      </c>
      <c r="E52" s="711"/>
      <c r="F52" s="748"/>
      <c r="G52" s="748"/>
      <c r="H52" s="749"/>
    </row>
    <row r="53" spans="4:9" ht="16.5" customHeight="1" x14ac:dyDescent="0.25">
      <c r="D53" s="423" t="s">
        <v>700</v>
      </c>
      <c r="E53" s="425"/>
      <c r="F53" s="683">
        <f>'TABLEAU DES FLUX DE TRESORERIE'!I16</f>
        <v>170234983</v>
      </c>
      <c r="G53" s="683">
        <f>'TABLEAU DES FLUX DE TRESORERIE'!J16</f>
        <v>98148770</v>
      </c>
      <c r="H53" s="756"/>
    </row>
    <row r="54" spans="4:9" ht="16.5" customHeight="1" x14ac:dyDescent="0.25">
      <c r="D54" s="423" t="s">
        <v>701</v>
      </c>
      <c r="E54" s="425"/>
      <c r="F54" s="683">
        <f>'TABLEAU DES FLUX DE TRESORERIE'!I22</f>
        <v>-328722013</v>
      </c>
      <c r="G54" s="683">
        <f>'TABLEAU DES FLUX DE TRESORERIE'!J22</f>
        <v>-17160017</v>
      </c>
      <c r="H54" s="756"/>
    </row>
    <row r="55" spans="4:9" ht="16.5" customHeight="1" x14ac:dyDescent="0.25">
      <c r="D55" s="423" t="s">
        <v>702</v>
      </c>
      <c r="E55" s="425"/>
      <c r="F55" s="683">
        <f>'TABLEAU DES FLUX DE TRESORERIE'!I34</f>
        <v>207000000</v>
      </c>
      <c r="G55" s="683">
        <f>'TABLEAU DES FLUX DE TRESORERIE'!J34</f>
        <v>26631518</v>
      </c>
      <c r="H55" s="756"/>
    </row>
    <row r="56" spans="4:9" ht="16.5" customHeight="1" x14ac:dyDescent="0.25">
      <c r="D56" s="595" t="s">
        <v>703</v>
      </c>
      <c r="E56" s="597"/>
      <c r="F56" s="684">
        <f>SUM(F53:F55)</f>
        <v>48512970</v>
      </c>
      <c r="G56" s="684">
        <f>SUM(G53:G55)</f>
        <v>107620271</v>
      </c>
      <c r="H56" s="723">
        <f>IF(G56=0,"-",(F56-G56)/G56)</f>
        <v>-0.54922088980801764</v>
      </c>
    </row>
    <row r="57" spans="4:9" ht="16.5" customHeight="1" x14ac:dyDescent="0.25">
      <c r="D57" s="757" t="s">
        <v>704</v>
      </c>
      <c r="E57" s="425"/>
      <c r="F57" s="683"/>
      <c r="G57" s="683"/>
      <c r="H57" s="758"/>
    </row>
    <row r="58" spans="4:9" ht="19.5" customHeight="1" x14ac:dyDescent="0.25">
      <c r="D58" s="2001" t="s">
        <v>1084</v>
      </c>
      <c r="E58" s="2003"/>
      <c r="G58" s="759"/>
      <c r="H58" s="760"/>
    </row>
    <row r="59" spans="4:9" ht="16.5" customHeight="1" x14ac:dyDescent="0.25">
      <c r="D59" s="423" t="s">
        <v>1083</v>
      </c>
      <c r="E59" s="425"/>
      <c r="F59" s="683">
        <f>SUM(BILAN!N19,BILAN!N20,BILAN!N34)</f>
        <v>94699075</v>
      </c>
      <c r="G59" s="683">
        <f>SUM(BILAN!O19,BILAN!O20,BILAN!O34)</f>
        <v>2200000</v>
      </c>
      <c r="H59" s="756"/>
    </row>
    <row r="60" spans="4:9" ht="16.5" customHeight="1" x14ac:dyDescent="0.25">
      <c r="D60" s="423" t="s">
        <v>1085</v>
      </c>
      <c r="E60" s="425"/>
      <c r="F60" s="683">
        <f>-BILAN!I34</f>
        <v>-123097127</v>
      </c>
      <c r="G60" s="683">
        <f>-BILAN!J34</f>
        <v>-74584157</v>
      </c>
      <c r="H60" s="707">
        <f>IF(G60=0,"-",(F60-G60)/G60)</f>
        <v>0.65044604580031651</v>
      </c>
    </row>
    <row r="61" spans="4:9" ht="16.5" customHeight="1" x14ac:dyDescent="0.25">
      <c r="D61" s="595" t="s">
        <v>705</v>
      </c>
      <c r="E61" s="597"/>
      <c r="F61" s="684">
        <f>SUM(F59:F60)</f>
        <v>-28398052</v>
      </c>
      <c r="G61" s="684">
        <f>SUM(G59:G60)</f>
        <v>-72384157</v>
      </c>
      <c r="H61" s="751">
        <f>IF(G61=0,"-",(F61-G61)/G61)</f>
        <v>-0.60767586199836521</v>
      </c>
    </row>
    <row r="62" spans="4:9" s="537" customFormat="1" x14ac:dyDescent="0.25">
      <c r="F62" s="687"/>
      <c r="G62" s="687"/>
    </row>
    <row r="63" spans="4:9" s="537" customFormat="1" x14ac:dyDescent="0.25">
      <c r="F63" s="687"/>
      <c r="G63" s="687"/>
    </row>
    <row r="64" spans="4:9" s="537" customFormat="1" x14ac:dyDescent="0.25">
      <c r="F64" s="687"/>
      <c r="G64" s="687"/>
    </row>
    <row r="65" spans="6:7" s="537" customFormat="1" x14ac:dyDescent="0.25">
      <c r="F65" s="687"/>
      <c r="G65" s="687"/>
    </row>
    <row r="66" spans="6:7" s="537" customFormat="1" x14ac:dyDescent="0.25">
      <c r="F66" s="687"/>
      <c r="G66" s="687"/>
    </row>
    <row r="67" spans="6:7" s="537" customFormat="1" x14ac:dyDescent="0.25">
      <c r="F67" s="687"/>
      <c r="G67" s="687"/>
    </row>
    <row r="68" spans="6:7" s="537" customFormat="1" x14ac:dyDescent="0.25">
      <c r="F68" s="687"/>
      <c r="G68" s="687"/>
    </row>
    <row r="69" spans="6:7" s="537" customFormat="1" x14ac:dyDescent="0.25">
      <c r="F69" s="687"/>
      <c r="G69" s="687"/>
    </row>
    <row r="70" spans="6:7" s="537" customFormat="1" x14ac:dyDescent="0.25">
      <c r="F70" s="687"/>
      <c r="G70" s="687"/>
    </row>
    <row r="71" spans="6:7" s="537" customFormat="1" x14ac:dyDescent="0.25">
      <c r="F71" s="687"/>
      <c r="G71" s="687"/>
    </row>
    <row r="72" spans="6:7" s="537" customFormat="1" x14ac:dyDescent="0.25">
      <c r="F72" s="687"/>
      <c r="G72" s="687"/>
    </row>
    <row r="73" spans="6:7" s="537" customFormat="1" x14ac:dyDescent="0.25">
      <c r="F73" s="687"/>
      <c r="G73" s="687"/>
    </row>
    <row r="74" spans="6:7" s="537" customFormat="1" x14ac:dyDescent="0.25">
      <c r="F74" s="687"/>
      <c r="G74" s="687"/>
    </row>
    <row r="75" spans="6:7" s="537" customFormat="1" x14ac:dyDescent="0.25">
      <c r="F75" s="687"/>
      <c r="G75" s="687"/>
    </row>
    <row r="76" spans="6:7" s="537" customFormat="1" x14ac:dyDescent="0.25">
      <c r="F76" s="687"/>
      <c r="G76" s="687"/>
    </row>
    <row r="77" spans="6:7" s="537" customFormat="1" x14ac:dyDescent="0.25">
      <c r="F77" s="687"/>
      <c r="G77" s="687"/>
    </row>
    <row r="78" spans="6:7" s="537" customFormat="1" x14ac:dyDescent="0.25">
      <c r="F78" s="687"/>
      <c r="G78" s="687"/>
    </row>
    <row r="79" spans="6:7" s="537" customFormat="1" x14ac:dyDescent="0.25">
      <c r="F79" s="687"/>
      <c r="G79" s="687"/>
    </row>
    <row r="80" spans="6:7" s="537" customFormat="1" x14ac:dyDescent="0.25">
      <c r="F80" s="687"/>
      <c r="G80" s="687"/>
    </row>
    <row r="81" spans="6:7" s="537" customFormat="1" x14ac:dyDescent="0.25">
      <c r="F81" s="687"/>
      <c r="G81" s="687"/>
    </row>
    <row r="82" spans="6:7" s="537" customFormat="1" x14ac:dyDescent="0.25">
      <c r="F82" s="687"/>
      <c r="G82" s="687"/>
    </row>
    <row r="83" spans="6:7" s="537" customFormat="1" x14ac:dyDescent="0.25">
      <c r="F83" s="687"/>
      <c r="G83" s="687"/>
    </row>
    <row r="84" spans="6:7" s="537" customFormat="1" x14ac:dyDescent="0.25">
      <c r="F84" s="687"/>
      <c r="G84" s="687"/>
    </row>
  </sheetData>
  <sheetProtection algorithmName="SHA-512" hashValue="H9/Voqkt+ZjkEL7BEJqO8gRDNRYKqnj1DzhcP3osZs2iG2Hb1EFkEYKt2k/hlVXrKwCK8OT5Aa4wy83C6S4vTA==" saltValue="xELnt2Z9u0BxzidGFDYEQg==" spinCount="100000" sheet="1" formatCells="0" formatColumns="0" formatRows="0" pivotTables="0"/>
  <mergeCells count="9">
    <mergeCell ref="D51:E51"/>
    <mergeCell ref="D58:E58"/>
    <mergeCell ref="H18:H30"/>
    <mergeCell ref="D1:H1"/>
    <mergeCell ref="D6:E6"/>
    <mergeCell ref="D7:E7"/>
    <mergeCell ref="D17:E17"/>
    <mergeCell ref="D35:E35"/>
    <mergeCell ref="E3:F3"/>
  </mergeCells>
  <printOptions horizontalCentered="1"/>
  <pageMargins left="0.19685039370078741" right="0.11811023622047244" top="0" bottom="0.3543307086614173" header="0.31496062992125984" footer="0.31496062992125984"/>
  <pageSetup paperSize="9" scale="78"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tabColor rgb="FF43C6E5"/>
  </sheetPr>
  <dimension ref="A1:O79"/>
  <sheetViews>
    <sheetView topLeftCell="A10" zoomScaleNormal="100" workbookViewId="0">
      <selection activeCell="H36" sqref="H36"/>
    </sheetView>
  </sheetViews>
  <sheetFormatPr baseColWidth="10" defaultColWidth="0" defaultRowHeight="15" zeroHeight="1" x14ac:dyDescent="0.25"/>
  <cols>
    <col min="1" max="1" width="11.42578125" style="533" customWidth="1"/>
    <col min="2" max="2" width="9.28515625" style="533" customWidth="1"/>
    <col min="3" max="3" width="10.28515625" style="533" customWidth="1"/>
    <col min="4" max="4" width="9.5703125" style="533" customWidth="1"/>
    <col min="5" max="5" width="25.42578125" style="191" customWidth="1"/>
    <col min="6" max="6" width="11.42578125" style="191" customWidth="1"/>
    <col min="7" max="7" width="14.5703125" style="191" customWidth="1"/>
    <col min="8" max="9" width="11.42578125" style="191" customWidth="1"/>
    <col min="10" max="10" width="17.85546875" style="191" customWidth="1"/>
    <col min="11" max="11" width="11.42578125" style="191" customWidth="1"/>
    <col min="12" max="15" width="11.42578125" style="533" customWidth="1"/>
    <col min="16" max="16384" width="11.42578125" style="191" hidden="1"/>
  </cols>
  <sheetData>
    <row r="1" spans="1:15" ht="39" customHeight="1" x14ac:dyDescent="0.25">
      <c r="E1" s="2286" t="s">
        <v>706</v>
      </c>
      <c r="F1" s="2287"/>
      <c r="G1" s="2287"/>
      <c r="H1" s="2287"/>
      <c r="I1" s="2287"/>
      <c r="J1" s="2287"/>
      <c r="K1" s="2288"/>
    </row>
    <row r="2" spans="1:15" x14ac:dyDescent="0.25">
      <c r="E2" s="467"/>
      <c r="F2" s="467"/>
      <c r="G2" s="467"/>
      <c r="H2" s="467"/>
      <c r="I2" s="467"/>
      <c r="J2" s="467"/>
      <c r="K2" s="467"/>
    </row>
    <row r="3" spans="1:15" s="827" customFormat="1" ht="24" customHeight="1" x14ac:dyDescent="0.25">
      <c r="A3" s="817"/>
      <c r="B3" s="817"/>
      <c r="C3" s="817"/>
      <c r="D3" s="817"/>
      <c r="E3" s="818" t="s">
        <v>42</v>
      </c>
      <c r="F3" s="2200" t="str">
        <f>INFORMATIONS!B10</f>
        <v>SAM CONSEILS</v>
      </c>
      <c r="G3" s="2200"/>
      <c r="H3" s="2200"/>
      <c r="I3" s="2200"/>
      <c r="J3" s="819" t="s">
        <v>52</v>
      </c>
      <c r="K3" s="820">
        <f>INFORMATIONS!D31</f>
        <v>43465</v>
      </c>
      <c r="L3" s="817"/>
      <c r="M3" s="817"/>
      <c r="N3" s="817"/>
      <c r="O3" s="817"/>
    </row>
    <row r="4" spans="1:15" ht="19.5" customHeight="1" x14ac:dyDescent="0.25">
      <c r="E4" s="621" t="s">
        <v>43</v>
      </c>
      <c r="F4" s="622" t="str">
        <f>INFORMATIONS!B24</f>
        <v>00084404X</v>
      </c>
      <c r="G4" s="828"/>
      <c r="H4" s="623"/>
      <c r="I4" s="623"/>
      <c r="J4" s="825" t="s">
        <v>44</v>
      </c>
      <c r="K4" s="823">
        <f>INFORMATIONS!F34</f>
        <v>12</v>
      </c>
    </row>
    <row r="5" spans="1:15" x14ac:dyDescent="0.25"/>
    <row r="6" spans="1:15" ht="15.75" x14ac:dyDescent="0.25">
      <c r="E6" s="2221" t="s">
        <v>707</v>
      </c>
      <c r="F6" s="2222"/>
      <c r="G6" s="2222"/>
      <c r="H6" s="2222"/>
      <c r="I6" s="2222"/>
      <c r="J6" s="2222"/>
      <c r="K6" s="2223"/>
    </row>
    <row r="7" spans="1:15" x14ac:dyDescent="0.25">
      <c r="E7" s="179" t="s">
        <v>708</v>
      </c>
      <c r="F7" s="180"/>
      <c r="G7" s="180"/>
      <c r="H7" s="180"/>
      <c r="I7" s="180"/>
      <c r="J7" s="180"/>
      <c r="K7" s="181"/>
    </row>
    <row r="8" spans="1:15" x14ac:dyDescent="0.25">
      <c r="E8" s="182" t="s">
        <v>709</v>
      </c>
      <c r="F8" s="183"/>
      <c r="G8" s="183"/>
      <c r="H8" s="183"/>
      <c r="I8" s="183"/>
      <c r="J8" s="183"/>
      <c r="K8" s="184"/>
    </row>
    <row r="9" spans="1:15" x14ac:dyDescent="0.25">
      <c r="E9" s="182" t="s">
        <v>710</v>
      </c>
      <c r="F9" s="183"/>
      <c r="G9" s="183"/>
      <c r="H9" s="183"/>
      <c r="I9" s="183"/>
      <c r="J9" s="183"/>
      <c r="K9" s="184"/>
    </row>
    <row r="10" spans="1:15" x14ac:dyDescent="0.25">
      <c r="E10" s="182" t="s">
        <v>711</v>
      </c>
      <c r="F10" s="183"/>
      <c r="G10" s="183"/>
      <c r="H10" s="183"/>
      <c r="I10" s="183"/>
      <c r="J10" s="183"/>
      <c r="K10" s="184"/>
    </row>
    <row r="11" spans="1:15" s="829" customFormat="1" x14ac:dyDescent="0.25">
      <c r="A11" s="534"/>
      <c r="B11" s="534"/>
      <c r="C11" s="534"/>
      <c r="D11" s="534"/>
      <c r="E11" s="179" t="s">
        <v>712</v>
      </c>
      <c r="F11" s="185"/>
      <c r="G11" s="185"/>
      <c r="H11" s="185"/>
      <c r="I11" s="185"/>
      <c r="J11" s="185"/>
      <c r="K11" s="186"/>
      <c r="L11" s="534"/>
      <c r="M11" s="534"/>
      <c r="N11" s="534"/>
      <c r="O11" s="534"/>
    </row>
    <row r="12" spans="1:15" x14ac:dyDescent="0.25">
      <c r="E12" s="182" t="s">
        <v>713</v>
      </c>
      <c r="F12" s="183"/>
      <c r="G12" s="183"/>
      <c r="H12" s="183"/>
      <c r="I12" s="183"/>
      <c r="J12" s="183"/>
      <c r="K12" s="184"/>
    </row>
    <row r="13" spans="1:15" x14ac:dyDescent="0.25">
      <c r="E13" s="187" t="s">
        <v>714</v>
      </c>
      <c r="F13" s="188"/>
      <c r="G13" s="188"/>
      <c r="H13" s="188"/>
      <c r="I13" s="188"/>
      <c r="J13" s="188"/>
      <c r="K13" s="189"/>
    </row>
    <row r="14" spans="1:15" x14ac:dyDescent="0.25">
      <c r="E14" s="179" t="s">
        <v>715</v>
      </c>
      <c r="F14" s="180"/>
      <c r="G14" s="180"/>
      <c r="H14" s="180"/>
      <c r="I14" s="180"/>
      <c r="J14" s="180"/>
      <c r="K14" s="181"/>
    </row>
    <row r="15" spans="1:15" x14ac:dyDescent="0.25">
      <c r="E15" s="182" t="s">
        <v>716</v>
      </c>
      <c r="F15" s="183"/>
      <c r="G15" s="183"/>
      <c r="H15" s="183"/>
      <c r="I15" s="183"/>
      <c r="J15" s="183"/>
      <c r="K15" s="184"/>
    </row>
    <row r="16" spans="1:15" ht="30.75" customHeight="1" x14ac:dyDescent="0.25">
      <c r="E16" s="2292" t="s">
        <v>717</v>
      </c>
      <c r="F16" s="2293"/>
      <c r="G16" s="2293"/>
      <c r="H16" s="2293"/>
      <c r="I16" s="2293"/>
      <c r="J16" s="2293"/>
      <c r="K16" s="2294"/>
    </row>
    <row r="17" spans="5:11" x14ac:dyDescent="0.25">
      <c r="E17" s="179" t="s">
        <v>718</v>
      </c>
      <c r="F17" s="180"/>
      <c r="G17" s="180"/>
      <c r="H17" s="180"/>
      <c r="I17" s="180"/>
      <c r="J17" s="180"/>
      <c r="K17" s="181"/>
    </row>
    <row r="18" spans="5:11" x14ac:dyDescent="0.25">
      <c r="E18" s="182" t="s">
        <v>719</v>
      </c>
      <c r="F18" s="183"/>
      <c r="G18" s="183"/>
      <c r="H18" s="183"/>
      <c r="I18" s="183"/>
      <c r="J18" s="183"/>
      <c r="K18" s="184"/>
    </row>
    <row r="19" spans="5:11" x14ac:dyDescent="0.25">
      <c r="E19" s="187" t="s">
        <v>720</v>
      </c>
      <c r="F19" s="188"/>
      <c r="G19" s="188"/>
      <c r="H19" s="188"/>
      <c r="I19" s="188"/>
      <c r="J19" s="188"/>
      <c r="K19" s="189"/>
    </row>
    <row r="20" spans="5:11" x14ac:dyDescent="0.25">
      <c r="E20" s="179" t="s">
        <v>721</v>
      </c>
      <c r="F20" s="183"/>
      <c r="G20" s="183"/>
      <c r="H20" s="183"/>
      <c r="I20" s="183"/>
      <c r="J20" s="183"/>
      <c r="K20" s="184"/>
    </row>
    <row r="21" spans="5:11" x14ac:dyDescent="0.25">
      <c r="E21" s="182" t="s">
        <v>723</v>
      </c>
      <c r="F21" s="183"/>
      <c r="G21" s="183"/>
      <c r="H21" s="183"/>
      <c r="I21" s="183"/>
      <c r="J21" s="183"/>
      <c r="K21" s="184"/>
    </row>
    <row r="22" spans="5:11" x14ac:dyDescent="0.25">
      <c r="E22" s="182" t="s">
        <v>722</v>
      </c>
      <c r="F22" s="183"/>
      <c r="G22" s="183"/>
      <c r="H22" s="183"/>
      <c r="I22" s="183"/>
      <c r="J22" s="183"/>
      <c r="K22" s="184"/>
    </row>
    <row r="23" spans="5:11" ht="15.75" x14ac:dyDescent="0.25">
      <c r="E23" s="2289" t="s">
        <v>724</v>
      </c>
      <c r="F23" s="2290"/>
      <c r="G23" s="2290"/>
      <c r="H23" s="2290"/>
      <c r="I23" s="2290"/>
      <c r="J23" s="2290"/>
      <c r="K23" s="2291"/>
    </row>
    <row r="24" spans="5:11" x14ac:dyDescent="0.25">
      <c r="E24" s="179" t="s">
        <v>725</v>
      </c>
      <c r="F24" s="180"/>
      <c r="G24" s="180"/>
      <c r="H24" s="180"/>
      <c r="I24" s="180"/>
      <c r="J24" s="180"/>
      <c r="K24" s="181"/>
    </row>
    <row r="25" spans="5:11" ht="30" customHeight="1" x14ac:dyDescent="0.25">
      <c r="E25" s="2295" t="s">
        <v>726</v>
      </c>
      <c r="F25" s="2296"/>
      <c r="G25" s="2296"/>
      <c r="H25" s="2296"/>
      <c r="I25" s="2296"/>
      <c r="J25" s="2296"/>
      <c r="K25" s="2297"/>
    </row>
    <row r="26" spans="5:11" x14ac:dyDescent="0.25">
      <c r="E26" s="182" t="s">
        <v>727</v>
      </c>
      <c r="F26" s="183"/>
      <c r="G26" s="183"/>
      <c r="H26" s="183"/>
      <c r="I26" s="183"/>
      <c r="J26" s="183"/>
      <c r="K26" s="184"/>
    </row>
    <row r="27" spans="5:11" x14ac:dyDescent="0.25">
      <c r="E27" s="187" t="s">
        <v>728</v>
      </c>
      <c r="F27" s="188"/>
      <c r="G27" s="188"/>
      <c r="H27" s="188"/>
      <c r="I27" s="188"/>
      <c r="J27" s="188"/>
      <c r="K27" s="189"/>
    </row>
    <row r="28" spans="5:11" x14ac:dyDescent="0.25">
      <c r="E28" s="190" t="s">
        <v>729</v>
      </c>
      <c r="F28" s="183"/>
      <c r="G28" s="183"/>
      <c r="H28" s="183"/>
      <c r="I28" s="183"/>
      <c r="J28" s="183"/>
      <c r="K28" s="184"/>
    </row>
    <row r="29" spans="5:11" ht="29.25" customHeight="1" x14ac:dyDescent="0.25">
      <c r="E29" s="2298" t="s">
        <v>730</v>
      </c>
      <c r="F29" s="2299"/>
      <c r="G29" s="2299"/>
      <c r="H29" s="2299"/>
      <c r="I29" s="2299"/>
      <c r="J29" s="2299"/>
      <c r="K29" s="2300"/>
    </row>
    <row r="30" spans="5:11" x14ac:dyDescent="0.25">
      <c r="E30" s="182" t="s">
        <v>731</v>
      </c>
      <c r="F30" s="183"/>
      <c r="G30" s="183"/>
      <c r="H30" s="183"/>
      <c r="I30" s="183"/>
      <c r="J30" s="183"/>
      <c r="K30" s="184"/>
    </row>
    <row r="31" spans="5:11" x14ac:dyDescent="0.25">
      <c r="E31" s="187" t="s">
        <v>732</v>
      </c>
      <c r="F31" s="188"/>
      <c r="G31" s="188"/>
      <c r="H31" s="188"/>
      <c r="I31" s="188"/>
      <c r="J31" s="188"/>
      <c r="K31" s="189"/>
    </row>
    <row r="32" spans="5:11" x14ac:dyDescent="0.25">
      <c r="E32" s="179" t="s">
        <v>733</v>
      </c>
      <c r="F32" s="180"/>
      <c r="G32" s="180"/>
      <c r="H32" s="180"/>
      <c r="I32" s="180"/>
      <c r="J32" s="180"/>
      <c r="K32" s="181"/>
    </row>
    <row r="33" spans="5:11" x14ac:dyDescent="0.25">
      <c r="E33" s="182" t="s">
        <v>734</v>
      </c>
      <c r="F33" s="183"/>
      <c r="G33" s="183"/>
      <c r="H33" s="183"/>
      <c r="I33" s="183"/>
      <c r="J33" s="183"/>
      <c r="K33" s="184"/>
    </row>
    <row r="34" spans="5:11" x14ac:dyDescent="0.25">
      <c r="E34" s="182" t="s">
        <v>735</v>
      </c>
      <c r="F34" s="183"/>
      <c r="G34" s="183"/>
      <c r="H34" s="183"/>
      <c r="I34" s="183"/>
      <c r="J34" s="183"/>
      <c r="K34" s="184"/>
    </row>
    <row r="35" spans="5:11" ht="27" customHeight="1" x14ac:dyDescent="0.25">
      <c r="E35" s="2292" t="s">
        <v>736</v>
      </c>
      <c r="F35" s="2293"/>
      <c r="G35" s="2293"/>
      <c r="H35" s="2293"/>
      <c r="I35" s="2293"/>
      <c r="J35" s="2293"/>
      <c r="K35" s="2294"/>
    </row>
    <row r="36" spans="5:11" x14ac:dyDescent="0.25">
      <c r="E36" s="179" t="s">
        <v>737</v>
      </c>
      <c r="F36" s="180"/>
      <c r="G36" s="180"/>
      <c r="H36" s="180"/>
      <c r="I36" s="180"/>
      <c r="J36" s="180"/>
      <c r="K36" s="181"/>
    </row>
    <row r="37" spans="5:11" x14ac:dyDescent="0.25">
      <c r="E37" s="182" t="s">
        <v>738</v>
      </c>
      <c r="F37" s="183"/>
      <c r="G37" s="183"/>
      <c r="H37" s="183"/>
      <c r="I37" s="183"/>
      <c r="J37" s="183"/>
      <c r="K37" s="184"/>
    </row>
    <row r="38" spans="5:11" x14ac:dyDescent="0.25">
      <c r="E38" s="179" t="s">
        <v>739</v>
      </c>
      <c r="F38" s="180"/>
      <c r="G38" s="180"/>
      <c r="H38" s="180"/>
      <c r="I38" s="180"/>
      <c r="J38" s="180"/>
      <c r="K38" s="181"/>
    </row>
    <row r="39" spans="5:11" x14ac:dyDescent="0.25">
      <c r="E39" s="187" t="s">
        <v>740</v>
      </c>
      <c r="F39" s="188"/>
      <c r="G39" s="188"/>
      <c r="H39" s="188"/>
      <c r="I39" s="188"/>
      <c r="J39" s="188"/>
      <c r="K39" s="189"/>
    </row>
    <row r="40" spans="5:11" ht="30" customHeight="1" x14ac:dyDescent="0.25">
      <c r="E40" s="2301" t="s">
        <v>741</v>
      </c>
      <c r="F40" s="2302"/>
      <c r="G40" s="2302"/>
      <c r="H40" s="2302"/>
      <c r="I40" s="2302"/>
      <c r="J40" s="2302"/>
      <c r="K40" s="2303"/>
    </row>
    <row r="41" spans="5:11" x14ac:dyDescent="0.25">
      <c r="E41" s="179" t="s">
        <v>742</v>
      </c>
      <c r="F41" s="180"/>
      <c r="G41" s="180"/>
      <c r="H41" s="180"/>
      <c r="I41" s="180"/>
      <c r="J41" s="180"/>
      <c r="K41" s="181"/>
    </row>
    <row r="42" spans="5:11" x14ac:dyDescent="0.25">
      <c r="E42" s="182" t="s">
        <v>743</v>
      </c>
      <c r="F42" s="183"/>
      <c r="G42" s="183"/>
      <c r="H42" s="183"/>
      <c r="I42" s="183"/>
      <c r="J42" s="183"/>
      <c r="K42" s="184"/>
    </row>
    <row r="43" spans="5:11" x14ac:dyDescent="0.25">
      <c r="E43" s="187" t="s">
        <v>744</v>
      </c>
      <c r="F43" s="188"/>
      <c r="G43" s="188"/>
      <c r="H43" s="188"/>
      <c r="I43" s="188"/>
      <c r="J43" s="188"/>
      <c r="K43" s="189"/>
    </row>
    <row r="44" spans="5:11" ht="30" customHeight="1" x14ac:dyDescent="0.25">
      <c r="E44" s="2304" t="s">
        <v>745</v>
      </c>
      <c r="F44" s="2305"/>
      <c r="G44" s="2305"/>
      <c r="H44" s="2305"/>
      <c r="I44" s="2305"/>
      <c r="J44" s="2305"/>
      <c r="K44" s="2306"/>
    </row>
    <row r="45" spans="5:11" x14ac:dyDescent="0.25">
      <c r="E45" s="182" t="s">
        <v>746</v>
      </c>
      <c r="F45" s="183"/>
      <c r="G45" s="183"/>
      <c r="H45" s="183"/>
      <c r="I45" s="183"/>
      <c r="J45" s="183"/>
      <c r="K45" s="184"/>
    </row>
    <row r="46" spans="5:11" x14ac:dyDescent="0.25">
      <c r="E46" s="187" t="s">
        <v>747</v>
      </c>
      <c r="F46" s="188"/>
      <c r="G46" s="188"/>
      <c r="H46" s="188"/>
      <c r="I46" s="188"/>
      <c r="J46" s="188"/>
      <c r="K46" s="189"/>
    </row>
    <row r="47" spans="5:11" x14ac:dyDescent="0.25">
      <c r="E47" s="179" t="s">
        <v>748</v>
      </c>
      <c r="F47" s="180"/>
      <c r="G47" s="180"/>
      <c r="H47" s="180"/>
      <c r="I47" s="180"/>
      <c r="J47" s="180"/>
      <c r="K47" s="181"/>
    </row>
    <row r="48" spans="5:11" x14ac:dyDescent="0.25">
      <c r="E48" s="187" t="s">
        <v>749</v>
      </c>
      <c r="F48" s="188"/>
      <c r="G48" s="188"/>
      <c r="H48" s="188"/>
      <c r="I48" s="188"/>
      <c r="J48" s="188"/>
      <c r="K48" s="189"/>
    </row>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sheetData>
  <sheetProtection pivotTables="0"/>
  <mergeCells count="10">
    <mergeCell ref="E25:K25"/>
    <mergeCell ref="E29:K29"/>
    <mergeCell ref="E35:K35"/>
    <mergeCell ref="E40:K40"/>
    <mergeCell ref="E44:K44"/>
    <mergeCell ref="E1:K1"/>
    <mergeCell ref="F3:I3"/>
    <mergeCell ref="E6:K6"/>
    <mergeCell ref="E23:K23"/>
    <mergeCell ref="E16:K16"/>
  </mergeCells>
  <printOptions horizontalCentered="1"/>
  <pageMargins left="0" right="0" top="0.19685039370078741" bottom="0" header="0.31496062992125984" footer="0"/>
  <pageSetup paperSize="9" scale="95" orientation="portrait" r:id="rId1"/>
  <rowBreaks count="1" manualBreakCount="1">
    <brk id="48" min="4" max="10" man="1"/>
  </rowBreaks>
  <colBreaks count="1" manualBreakCount="1">
    <brk id="4"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M49"/>
  <sheetViews>
    <sheetView showGridLines="0" zoomScale="80" zoomScaleNormal="80" zoomScaleSheetLayoutView="85" workbookViewId="0">
      <selection activeCell="A36" sqref="A36:J36"/>
    </sheetView>
  </sheetViews>
  <sheetFormatPr baseColWidth="10" defaultRowHeight="15" x14ac:dyDescent="0.25"/>
  <cols>
    <col min="1" max="2" width="0.85546875" customWidth="1"/>
    <col min="3" max="12" width="10" customWidth="1"/>
    <col min="13" max="13" width="0.85546875" customWidth="1"/>
  </cols>
  <sheetData>
    <row r="1" spans="1:13" ht="9" customHeight="1" thickBot="1" x14ac:dyDescent="0.3">
      <c r="A1" s="1024"/>
      <c r="B1" s="1024"/>
      <c r="C1" s="1024"/>
      <c r="D1" s="1024"/>
      <c r="E1" s="1024"/>
      <c r="F1" s="1024"/>
      <c r="G1" s="1024"/>
      <c r="H1" s="1024"/>
      <c r="I1" s="1024"/>
      <c r="J1" s="1024"/>
      <c r="K1" s="1024"/>
      <c r="L1" s="1024"/>
      <c r="M1" s="1024"/>
    </row>
    <row r="2" spans="1:13" ht="4.5" customHeight="1" x14ac:dyDescent="0.25">
      <c r="A2" s="1024"/>
      <c r="B2" s="1025"/>
      <c r="C2" s="1026"/>
      <c r="D2" s="1026"/>
      <c r="E2" s="1026"/>
      <c r="F2" s="1026"/>
      <c r="G2" s="1026"/>
      <c r="H2" s="1026"/>
      <c r="I2" s="1026"/>
      <c r="J2" s="1026"/>
      <c r="K2" s="1026"/>
      <c r="L2" s="1026"/>
      <c r="M2" s="1027"/>
    </row>
    <row r="3" spans="1:13" x14ac:dyDescent="0.25">
      <c r="A3" s="1024"/>
      <c r="B3" s="1028"/>
      <c r="C3" s="1029"/>
      <c r="D3" s="1030"/>
      <c r="E3" s="1030"/>
      <c r="F3" s="1030"/>
      <c r="G3" s="1030"/>
      <c r="H3" s="1030"/>
      <c r="I3" s="1030"/>
      <c r="J3" s="1030"/>
      <c r="K3" s="1030"/>
      <c r="L3" s="1031"/>
      <c r="M3" s="1032"/>
    </row>
    <row r="4" spans="1:13" ht="15.75" x14ac:dyDescent="0.25">
      <c r="A4" s="1024"/>
      <c r="B4" s="1028"/>
      <c r="C4" s="1033"/>
      <c r="D4" s="1034"/>
      <c r="E4" s="1034"/>
      <c r="F4" s="1034"/>
      <c r="G4" s="1034"/>
      <c r="H4" s="1034"/>
      <c r="I4" s="1034"/>
      <c r="J4" s="1034"/>
      <c r="K4" s="1034"/>
      <c r="L4" s="1035"/>
      <c r="M4" s="1032"/>
    </row>
    <row r="5" spans="1:13" x14ac:dyDescent="0.25">
      <c r="A5" s="1024"/>
      <c r="B5" s="1028"/>
      <c r="C5" s="1033"/>
      <c r="D5" s="1036"/>
      <c r="E5" s="1036"/>
      <c r="F5" s="1036"/>
      <c r="G5" s="1036"/>
      <c r="H5" s="1036"/>
      <c r="I5" s="1036"/>
      <c r="J5" s="1036"/>
      <c r="K5" s="1036"/>
      <c r="L5" s="1035"/>
      <c r="M5" s="1032"/>
    </row>
    <row r="6" spans="1:13" ht="15.75" customHeight="1" x14ac:dyDescent="0.25">
      <c r="A6" s="1024"/>
      <c r="B6" s="1028"/>
      <c r="C6" s="1033"/>
      <c r="D6" s="1037"/>
      <c r="E6" s="1037"/>
      <c r="F6" s="1037"/>
      <c r="G6" s="1037"/>
      <c r="H6" s="1037"/>
      <c r="I6" s="1037"/>
      <c r="J6" s="1037"/>
      <c r="K6" s="1037"/>
      <c r="L6" s="1035"/>
      <c r="M6" s="1032"/>
    </row>
    <row r="7" spans="1:13" x14ac:dyDescent="0.25">
      <c r="A7" s="1024"/>
      <c r="B7" s="1028"/>
      <c r="C7" s="1033"/>
      <c r="D7" s="1036"/>
      <c r="E7" s="1036"/>
      <c r="F7" s="1036"/>
      <c r="G7" s="1036"/>
      <c r="H7" s="1036"/>
      <c r="I7" s="1036"/>
      <c r="J7" s="1036"/>
      <c r="K7" s="1036"/>
      <c r="L7" s="1035"/>
      <c r="M7" s="1032"/>
    </row>
    <row r="8" spans="1:13" ht="15.75" x14ac:dyDescent="0.25">
      <c r="A8" s="1024"/>
      <c r="B8" s="1028"/>
      <c r="C8" s="1033"/>
      <c r="D8" s="1034"/>
      <c r="E8" s="1034"/>
      <c r="F8" s="1034"/>
      <c r="G8" s="1034"/>
      <c r="H8" s="1034"/>
      <c r="I8" s="1034"/>
      <c r="J8" s="1034"/>
      <c r="K8" s="1034"/>
      <c r="L8" s="1035"/>
      <c r="M8" s="1032"/>
    </row>
    <row r="9" spans="1:13" x14ac:dyDescent="0.25">
      <c r="A9" s="1024"/>
      <c r="B9" s="1028"/>
      <c r="C9" s="1033"/>
      <c r="D9" s="1036"/>
      <c r="E9" s="1036"/>
      <c r="F9" s="1036"/>
      <c r="G9" s="1036"/>
      <c r="H9" s="1036"/>
      <c r="I9" s="1036"/>
      <c r="J9" s="1036"/>
      <c r="K9" s="1036"/>
      <c r="L9" s="1035"/>
      <c r="M9" s="1032"/>
    </row>
    <row r="10" spans="1:13" x14ac:dyDescent="0.25">
      <c r="A10" s="1024"/>
      <c r="B10" s="1028"/>
      <c r="C10" s="1033"/>
      <c r="D10" s="1036"/>
      <c r="E10" s="1036"/>
      <c r="F10" s="1036"/>
      <c r="G10" s="1036"/>
      <c r="H10" s="1036"/>
      <c r="I10" s="1036"/>
      <c r="J10" s="1036"/>
      <c r="K10" s="1036"/>
      <c r="L10" s="1035"/>
      <c r="M10" s="1032"/>
    </row>
    <row r="11" spans="1:13" x14ac:dyDescent="0.25">
      <c r="A11" s="1024"/>
      <c r="B11" s="1028"/>
      <c r="C11" s="1033"/>
      <c r="D11" s="1036"/>
      <c r="E11" s="1036"/>
      <c r="F11" s="1036"/>
      <c r="G11" s="1036"/>
      <c r="H11" s="1036"/>
      <c r="I11" s="1036"/>
      <c r="J11" s="1036"/>
      <c r="K11" s="1036"/>
      <c r="L11" s="1035"/>
      <c r="M11" s="1032"/>
    </row>
    <row r="12" spans="1:13" x14ac:dyDescent="0.25">
      <c r="A12" s="1024"/>
      <c r="B12" s="1028"/>
      <c r="C12" s="1033"/>
      <c r="D12" s="1036"/>
      <c r="E12" s="1036"/>
      <c r="F12" s="1036"/>
      <c r="G12" s="1036"/>
      <c r="H12" s="1036"/>
      <c r="I12" s="1036"/>
      <c r="J12" s="1036"/>
      <c r="K12" s="1036"/>
      <c r="L12" s="1035"/>
      <c r="M12" s="1032"/>
    </row>
    <row r="13" spans="1:13" x14ac:dyDescent="0.25">
      <c r="A13" s="1024"/>
      <c r="B13" s="1028"/>
      <c r="C13" s="1033"/>
      <c r="D13" s="1036"/>
      <c r="E13" s="1036"/>
      <c r="F13" s="1036"/>
      <c r="G13" s="1036"/>
      <c r="H13" s="1036"/>
      <c r="I13" s="1036"/>
      <c r="J13" s="1036"/>
      <c r="K13" s="1036"/>
      <c r="L13" s="1035"/>
      <c r="M13" s="1032"/>
    </row>
    <row r="14" spans="1:13" x14ac:dyDescent="0.25">
      <c r="A14" s="1024"/>
      <c r="B14" s="1028"/>
      <c r="C14" s="1033"/>
      <c r="D14" s="1036"/>
      <c r="E14" s="1036"/>
      <c r="F14" s="1036"/>
      <c r="G14" s="1036"/>
      <c r="H14" s="1036"/>
      <c r="I14" s="1036"/>
      <c r="J14" s="1036"/>
      <c r="K14" s="1036"/>
      <c r="L14" s="1035"/>
      <c r="M14" s="1032"/>
    </row>
    <row r="15" spans="1:13" x14ac:dyDescent="0.25">
      <c r="A15" s="1024"/>
      <c r="B15" s="1028"/>
      <c r="C15" s="1033"/>
      <c r="D15" s="1036"/>
      <c r="E15" s="1036"/>
      <c r="F15" s="1036"/>
      <c r="G15" s="1036"/>
      <c r="H15" s="1036"/>
      <c r="I15" s="1036"/>
      <c r="J15" s="1036"/>
      <c r="K15" s="1036"/>
      <c r="L15" s="1035"/>
      <c r="M15" s="1032"/>
    </row>
    <row r="16" spans="1:13" x14ac:dyDescent="0.25">
      <c r="A16" s="1024"/>
      <c r="B16" s="1028"/>
      <c r="C16" s="1033"/>
      <c r="D16" s="1036"/>
      <c r="E16" s="1036"/>
      <c r="F16" s="1036"/>
      <c r="G16" s="1036"/>
      <c r="H16" s="1036"/>
      <c r="I16" s="1036"/>
      <c r="J16" s="1036"/>
      <c r="K16" s="1036"/>
      <c r="L16" s="1035"/>
      <c r="M16" s="1032"/>
    </row>
    <row r="17" spans="1:13" x14ac:dyDescent="0.25">
      <c r="A17" s="1024"/>
      <c r="B17" s="1028"/>
      <c r="C17" s="1033"/>
      <c r="D17" s="1036"/>
      <c r="E17" s="1036"/>
      <c r="F17" s="1036"/>
      <c r="G17" s="1036"/>
      <c r="H17" s="1036"/>
      <c r="I17" s="1036"/>
      <c r="J17" s="1036"/>
      <c r="K17" s="1036"/>
      <c r="L17" s="1035"/>
      <c r="M17" s="1032"/>
    </row>
    <row r="18" spans="1:13" x14ac:dyDescent="0.25">
      <c r="A18" s="1024"/>
      <c r="B18" s="1028"/>
      <c r="C18" s="1033"/>
      <c r="D18" s="1036"/>
      <c r="E18" s="1036"/>
      <c r="F18" s="1036"/>
      <c r="G18" s="1036"/>
      <c r="H18" s="1036"/>
      <c r="I18" s="1036"/>
      <c r="J18" s="1036"/>
      <c r="K18" s="1036"/>
      <c r="L18" s="1035"/>
      <c r="M18" s="1032"/>
    </row>
    <row r="19" spans="1:13" x14ac:dyDescent="0.25">
      <c r="A19" s="1024"/>
      <c r="B19" s="1028"/>
      <c r="C19" s="1033"/>
      <c r="D19" s="1036"/>
      <c r="E19" s="1036"/>
      <c r="F19" s="1036"/>
      <c r="G19" s="1036"/>
      <c r="H19" s="1036"/>
      <c r="I19" s="1036"/>
      <c r="J19" s="1036"/>
      <c r="K19" s="1036"/>
      <c r="L19" s="1035"/>
      <c r="M19" s="1032"/>
    </row>
    <row r="20" spans="1:13" x14ac:dyDescent="0.25">
      <c r="A20" s="1024"/>
      <c r="B20" s="1028"/>
      <c r="C20" s="1033"/>
      <c r="D20" s="1036"/>
      <c r="E20" s="1036"/>
      <c r="F20" s="1036"/>
      <c r="G20" s="1036"/>
      <c r="H20" s="1036"/>
      <c r="I20" s="1036"/>
      <c r="J20" s="1036"/>
      <c r="K20" s="1036"/>
      <c r="L20" s="1035"/>
      <c r="M20" s="1032"/>
    </row>
    <row r="21" spans="1:13" x14ac:dyDescent="0.25">
      <c r="A21" s="1024"/>
      <c r="B21" s="1028"/>
      <c r="C21" s="1033"/>
      <c r="D21" s="1036"/>
      <c r="E21" s="1036"/>
      <c r="F21" s="1036"/>
      <c r="G21" s="1036"/>
      <c r="H21" s="1036"/>
      <c r="I21" s="1036"/>
      <c r="J21" s="1036"/>
      <c r="K21" s="1036"/>
      <c r="L21" s="1035"/>
      <c r="M21" s="1032"/>
    </row>
    <row r="22" spans="1:13" x14ac:dyDescent="0.25">
      <c r="A22" s="1024"/>
      <c r="B22" s="1028"/>
      <c r="C22" s="1033"/>
      <c r="D22" s="1036"/>
      <c r="E22" s="1036"/>
      <c r="F22" s="1036"/>
      <c r="G22" s="1036"/>
      <c r="H22" s="1036"/>
      <c r="I22" s="1036"/>
      <c r="J22" s="1036"/>
      <c r="K22" s="1036"/>
      <c r="L22" s="1035"/>
      <c r="M22" s="1032"/>
    </row>
    <row r="23" spans="1:13" ht="66.75" customHeight="1" x14ac:dyDescent="0.25">
      <c r="A23" s="1024"/>
      <c r="B23" s="1028"/>
      <c r="C23" s="1033"/>
      <c r="D23" s="1036"/>
      <c r="E23" s="2307" t="s">
        <v>3973</v>
      </c>
      <c r="F23" s="2308"/>
      <c r="G23" s="2308"/>
      <c r="H23" s="2308"/>
      <c r="I23" s="2308"/>
      <c r="J23" s="2308"/>
      <c r="K23" s="1036"/>
      <c r="L23" s="1035"/>
      <c r="M23" s="1032"/>
    </row>
    <row r="24" spans="1:13" x14ac:dyDescent="0.25">
      <c r="A24" s="1024"/>
      <c r="B24" s="1028"/>
      <c r="C24" s="1033"/>
      <c r="D24" s="1036"/>
      <c r="E24" s="1036"/>
      <c r="F24" s="1036"/>
      <c r="G24" s="1036"/>
      <c r="H24" s="1036"/>
      <c r="I24" s="1036"/>
      <c r="J24" s="1036"/>
      <c r="K24" s="1036"/>
      <c r="L24" s="1035"/>
      <c r="M24" s="1032"/>
    </row>
    <row r="25" spans="1:13" x14ac:dyDescent="0.25">
      <c r="A25" s="1024"/>
      <c r="B25" s="1028"/>
      <c r="C25" s="1033"/>
      <c r="D25" s="1036"/>
      <c r="E25" s="1036"/>
      <c r="F25" s="1036"/>
      <c r="G25" s="1036"/>
      <c r="H25" s="1036"/>
      <c r="I25" s="1036"/>
      <c r="J25" s="1036"/>
      <c r="K25" s="1036"/>
      <c r="L25" s="1035"/>
      <c r="M25" s="1032"/>
    </row>
    <row r="26" spans="1:13" ht="15" customHeight="1" x14ac:dyDescent="0.25">
      <c r="A26" s="1024"/>
      <c r="B26" s="1028"/>
      <c r="C26" s="1033"/>
      <c r="D26" s="1036"/>
      <c r="E26" s="1038"/>
      <c r="F26" s="1039"/>
      <c r="G26" s="1039"/>
      <c r="H26" s="1039"/>
      <c r="I26" s="1039"/>
      <c r="J26" s="1039"/>
      <c r="K26" s="1036"/>
      <c r="L26" s="1035"/>
      <c r="M26" s="1032"/>
    </row>
    <row r="27" spans="1:13" ht="15" customHeight="1" x14ac:dyDescent="0.25">
      <c r="A27" s="1024"/>
      <c r="B27" s="1028"/>
      <c r="C27" s="1033"/>
      <c r="D27" s="1036"/>
      <c r="E27" s="1039"/>
      <c r="F27" s="1039"/>
      <c r="G27" s="1039"/>
      <c r="H27" s="1039"/>
      <c r="I27" s="1039"/>
      <c r="J27" s="1039"/>
      <c r="K27" s="1036"/>
      <c r="L27" s="1035"/>
      <c r="M27" s="1032"/>
    </row>
    <row r="28" spans="1:13" ht="15" customHeight="1" x14ac:dyDescent="0.25">
      <c r="A28" s="1024"/>
      <c r="B28" s="1028"/>
      <c r="C28" s="1033"/>
      <c r="D28" s="1036"/>
      <c r="E28" s="1039"/>
      <c r="F28" s="1039"/>
      <c r="G28" s="1039"/>
      <c r="H28" s="1039"/>
      <c r="I28" s="1039"/>
      <c r="J28" s="1039"/>
      <c r="K28" s="1036"/>
      <c r="L28" s="1035"/>
      <c r="M28" s="1032"/>
    </row>
    <row r="29" spans="1:13" ht="15" customHeight="1" x14ac:dyDescent="0.25">
      <c r="A29" s="1024"/>
      <c r="B29" s="1028"/>
      <c r="C29" s="1033"/>
      <c r="D29" s="1036"/>
      <c r="E29" s="1039"/>
      <c r="F29" s="1039"/>
      <c r="G29" s="1039"/>
      <c r="H29" s="1039"/>
      <c r="I29" s="1039"/>
      <c r="J29" s="1039"/>
      <c r="K29" s="1036"/>
      <c r="L29" s="1035"/>
      <c r="M29" s="1032"/>
    </row>
    <row r="30" spans="1:13" x14ac:dyDescent="0.25">
      <c r="A30" s="1024"/>
      <c r="B30" s="1028"/>
      <c r="C30" s="1033"/>
      <c r="D30" s="1036"/>
      <c r="E30" s="1036"/>
      <c r="F30" s="1036"/>
      <c r="G30" s="1036"/>
      <c r="H30" s="1036"/>
      <c r="I30" s="1036"/>
      <c r="J30" s="1036"/>
      <c r="K30" s="1036"/>
      <c r="L30" s="1035"/>
      <c r="M30" s="1032"/>
    </row>
    <row r="31" spans="1:13" ht="18.75" x14ac:dyDescent="0.3">
      <c r="A31" s="1024"/>
      <c r="B31" s="1028"/>
      <c r="C31" s="1033"/>
      <c r="D31" s="1036"/>
      <c r="E31" s="1040"/>
      <c r="F31" s="1040"/>
      <c r="G31" s="1040"/>
      <c r="H31" s="1040"/>
      <c r="I31" s="1040"/>
      <c r="J31" s="1040"/>
      <c r="K31" s="1036"/>
      <c r="L31" s="1035"/>
      <c r="M31" s="1032"/>
    </row>
    <row r="32" spans="1:13" x14ac:dyDescent="0.25">
      <c r="A32" s="1024"/>
      <c r="B32" s="1028"/>
      <c r="C32" s="1033"/>
      <c r="D32" s="1036"/>
      <c r="E32" s="1036"/>
      <c r="F32" s="1036"/>
      <c r="G32" s="1036"/>
      <c r="H32" s="1036"/>
      <c r="I32" s="1036"/>
      <c r="J32" s="1036"/>
      <c r="K32" s="1036"/>
      <c r="L32" s="1035"/>
      <c r="M32" s="1032"/>
    </row>
    <row r="33" spans="1:13" x14ac:dyDescent="0.25">
      <c r="A33" s="1024"/>
      <c r="B33" s="1028"/>
      <c r="C33" s="1033"/>
      <c r="D33" s="1036"/>
      <c r="E33" s="1036"/>
      <c r="F33" s="1036"/>
      <c r="G33" s="1036"/>
      <c r="H33" s="1036"/>
      <c r="I33" s="1036"/>
      <c r="J33" s="1036"/>
      <c r="K33" s="1036"/>
      <c r="L33" s="1035"/>
      <c r="M33" s="1032"/>
    </row>
    <row r="34" spans="1:13" x14ac:dyDescent="0.25">
      <c r="A34" s="1024"/>
      <c r="B34" s="1028"/>
      <c r="C34" s="1033"/>
      <c r="D34" s="1036"/>
      <c r="E34" s="1036"/>
      <c r="F34" s="1036"/>
      <c r="G34" s="1036"/>
      <c r="H34" s="1036"/>
      <c r="I34" s="1036"/>
      <c r="J34" s="1036"/>
      <c r="K34" s="1036"/>
      <c r="L34" s="1035"/>
      <c r="M34" s="1032"/>
    </row>
    <row r="35" spans="1:13" x14ac:dyDescent="0.25">
      <c r="A35" s="1024"/>
      <c r="B35" s="1028"/>
      <c r="C35" s="1033"/>
      <c r="D35" s="1036"/>
      <c r="E35" s="1036"/>
      <c r="F35" s="1036"/>
      <c r="G35" s="1036"/>
      <c r="H35" s="1036"/>
      <c r="I35" s="1036"/>
      <c r="J35" s="1036"/>
      <c r="K35" s="1036"/>
      <c r="L35" s="1035"/>
      <c r="M35" s="1032"/>
    </row>
    <row r="36" spans="1:13" x14ac:dyDescent="0.25">
      <c r="A36" s="1024"/>
      <c r="B36" s="1028"/>
      <c r="C36" s="1033"/>
      <c r="D36" s="1036"/>
      <c r="E36" s="1036"/>
      <c r="F36" s="1036"/>
      <c r="G36" s="1036"/>
      <c r="H36" s="1036"/>
      <c r="I36" s="1036"/>
      <c r="J36" s="1036"/>
      <c r="K36" s="1036"/>
      <c r="L36" s="1035"/>
      <c r="M36" s="1032"/>
    </row>
    <row r="37" spans="1:13" x14ac:dyDescent="0.25">
      <c r="A37" s="1024"/>
      <c r="B37" s="1028"/>
      <c r="C37" s="1033"/>
      <c r="D37" s="1036"/>
      <c r="E37" s="1036"/>
      <c r="F37" s="1036"/>
      <c r="G37" s="1036"/>
      <c r="H37" s="1036"/>
      <c r="I37" s="1036"/>
      <c r="J37" s="1036"/>
      <c r="K37" s="1036"/>
      <c r="L37" s="1035"/>
      <c r="M37" s="1032"/>
    </row>
    <row r="38" spans="1:13" x14ac:dyDescent="0.25">
      <c r="A38" s="1024"/>
      <c r="B38" s="1028"/>
      <c r="C38" s="1033"/>
      <c r="D38" s="1036"/>
      <c r="E38" s="1036"/>
      <c r="F38" s="1036"/>
      <c r="G38" s="1036"/>
      <c r="H38" s="1036"/>
      <c r="I38" s="1036"/>
      <c r="J38" s="1036"/>
      <c r="K38" s="1036"/>
      <c r="L38" s="1035"/>
      <c r="M38" s="1032"/>
    </row>
    <row r="39" spans="1:13" x14ac:dyDescent="0.25">
      <c r="A39" s="1024"/>
      <c r="B39" s="1028"/>
      <c r="C39" s="1033"/>
      <c r="D39" s="1036"/>
      <c r="E39" s="1036"/>
      <c r="F39" s="1036"/>
      <c r="G39" s="1036"/>
      <c r="H39" s="1036"/>
      <c r="I39" s="1036"/>
      <c r="J39" s="1036"/>
      <c r="K39" s="1036"/>
      <c r="L39" s="1035"/>
      <c r="M39" s="1032"/>
    </row>
    <row r="40" spans="1:13" x14ac:dyDescent="0.25">
      <c r="A40" s="1024"/>
      <c r="B40" s="1028"/>
      <c r="C40" s="1033"/>
      <c r="D40" s="1036"/>
      <c r="E40" s="1036"/>
      <c r="F40" s="1036"/>
      <c r="G40" s="1036"/>
      <c r="H40" s="1036"/>
      <c r="I40" s="1036"/>
      <c r="J40" s="1036"/>
      <c r="K40" s="1036"/>
      <c r="L40" s="1035"/>
      <c r="M40" s="1032"/>
    </row>
    <row r="41" spans="1:13" x14ac:dyDescent="0.25">
      <c r="A41" s="1024"/>
      <c r="B41" s="1028"/>
      <c r="C41" s="1033"/>
      <c r="D41" s="1036"/>
      <c r="E41" s="1036"/>
      <c r="F41" s="1036"/>
      <c r="G41" s="1036"/>
      <c r="H41" s="1036"/>
      <c r="I41" s="1036"/>
      <c r="J41" s="1036"/>
      <c r="K41" s="1036"/>
      <c r="L41" s="1035"/>
      <c r="M41" s="1032"/>
    </row>
    <row r="42" spans="1:13" x14ac:dyDescent="0.25">
      <c r="A42" s="1024"/>
      <c r="B42" s="1028"/>
      <c r="C42" s="1033"/>
      <c r="D42" s="1036"/>
      <c r="E42" s="1036"/>
      <c r="F42" s="1036"/>
      <c r="G42" s="1036"/>
      <c r="H42" s="1036"/>
      <c r="I42" s="1036"/>
      <c r="J42" s="1036"/>
      <c r="K42" s="1036"/>
      <c r="L42" s="1035"/>
      <c r="M42" s="1032"/>
    </row>
    <row r="43" spans="1:13" x14ac:dyDescent="0.25">
      <c r="A43" s="1024"/>
      <c r="B43" s="1028"/>
      <c r="C43" s="1033"/>
      <c r="D43" s="1036"/>
      <c r="E43" s="1036"/>
      <c r="F43" s="1036"/>
      <c r="G43" s="1036"/>
      <c r="H43" s="1036"/>
      <c r="I43" s="1036"/>
      <c r="J43" s="1036"/>
      <c r="K43" s="1036"/>
      <c r="L43" s="1035"/>
      <c r="M43" s="1032"/>
    </row>
    <row r="44" spans="1:13" x14ac:dyDescent="0.25">
      <c r="A44" s="1024"/>
      <c r="B44" s="1028"/>
      <c r="C44" s="1033"/>
      <c r="D44" s="1036"/>
      <c r="E44" s="1036"/>
      <c r="F44" s="1036"/>
      <c r="G44" s="1036"/>
      <c r="H44" s="1036"/>
      <c r="I44" s="1036"/>
      <c r="J44" s="1036"/>
      <c r="K44" s="1036"/>
      <c r="L44" s="1035"/>
      <c r="M44" s="1032"/>
    </row>
    <row r="45" spans="1:13" x14ac:dyDescent="0.25">
      <c r="A45" s="1024"/>
      <c r="B45" s="1028"/>
      <c r="C45" s="1033"/>
      <c r="D45" s="1036"/>
      <c r="E45" s="1036"/>
      <c r="F45" s="1036"/>
      <c r="G45" s="1036"/>
      <c r="H45" s="1036"/>
      <c r="I45" s="1036"/>
      <c r="J45" s="1036"/>
      <c r="K45" s="1036"/>
      <c r="L45" s="1035"/>
      <c r="M45" s="1032"/>
    </row>
    <row r="46" spans="1:13" x14ac:dyDescent="0.25">
      <c r="A46" s="1024"/>
      <c r="B46" s="1028"/>
      <c r="C46" s="1033"/>
      <c r="D46" s="1036"/>
      <c r="E46" s="1036"/>
      <c r="F46" s="1036"/>
      <c r="G46" s="1036"/>
      <c r="H46" s="1036"/>
      <c r="I46" s="1036"/>
      <c r="J46" s="1036"/>
      <c r="K46" s="1036"/>
      <c r="L46" s="1035"/>
      <c r="M46" s="1032"/>
    </row>
    <row r="47" spans="1:13" x14ac:dyDescent="0.25">
      <c r="A47" s="1024"/>
      <c r="B47" s="1028"/>
      <c r="C47" s="1033"/>
      <c r="D47" s="1036"/>
      <c r="E47" s="1036"/>
      <c r="F47" s="1036"/>
      <c r="G47" s="1036"/>
      <c r="H47" s="1036"/>
      <c r="I47" s="1036"/>
      <c r="J47" s="1036"/>
      <c r="K47" s="1036"/>
      <c r="L47" s="1035"/>
      <c r="M47" s="1032"/>
    </row>
    <row r="48" spans="1:13" x14ac:dyDescent="0.25">
      <c r="A48" s="1024"/>
      <c r="B48" s="1028"/>
      <c r="C48" s="1041"/>
      <c r="D48" s="1042"/>
      <c r="E48" s="1042"/>
      <c r="F48" s="1042"/>
      <c r="G48" s="1042"/>
      <c r="H48" s="1042"/>
      <c r="I48" s="1042"/>
      <c r="J48" s="1042"/>
      <c r="K48" s="1042"/>
      <c r="L48" s="1043"/>
      <c r="M48" s="1032"/>
    </row>
    <row r="49" spans="1:13" ht="4.5" customHeight="1" thickBot="1" x14ac:dyDescent="0.3">
      <c r="A49" s="1024"/>
      <c r="B49" s="1044"/>
      <c r="C49" s="1045"/>
      <c r="D49" s="1045"/>
      <c r="E49" s="1045"/>
      <c r="F49" s="1045"/>
      <c r="G49" s="1045"/>
      <c r="H49" s="1045"/>
      <c r="I49" s="1045"/>
      <c r="J49" s="1045"/>
      <c r="K49" s="1045"/>
      <c r="L49" s="1045"/>
      <c r="M49" s="1046"/>
    </row>
  </sheetData>
  <sheetProtection selectLockedCells="1"/>
  <mergeCells count="1">
    <mergeCell ref="E23:J23"/>
  </mergeCells>
  <printOptions horizontalCentered="1" verticalCentered="1"/>
  <pageMargins left="0.51181102362204722" right="0.51181102362204722" top="0.35433070866141736" bottom="0.35433070866141736" header="0.31496062992125984" footer="0.31496062992125984"/>
  <pageSetup paperSize="9" scale="8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J37"/>
  <sheetViews>
    <sheetView showGridLines="0" topLeftCell="A4" zoomScale="180" zoomScaleNormal="180" zoomScaleSheetLayoutView="115" workbookViewId="0">
      <selection activeCell="A36" sqref="A36:J36"/>
    </sheetView>
  </sheetViews>
  <sheetFormatPr baseColWidth="10" defaultRowHeight="15" x14ac:dyDescent="0.25"/>
  <cols>
    <col min="1" max="1" width="17.7109375" customWidth="1"/>
    <col min="2" max="2" width="14.7109375" customWidth="1"/>
    <col min="3" max="3" width="8.7109375" customWidth="1"/>
    <col min="4" max="4" width="9" customWidth="1"/>
    <col min="5" max="5" width="15.5703125" customWidth="1"/>
    <col min="6" max="6" width="6.42578125" customWidth="1"/>
    <col min="7" max="7" width="7.140625" customWidth="1"/>
    <col min="8" max="8" width="13.5703125" customWidth="1"/>
    <col min="9" max="9" width="6.5703125" customWidth="1"/>
    <col min="10" max="10" width="6.140625" customWidth="1"/>
  </cols>
  <sheetData>
    <row r="1" spans="1:10" x14ac:dyDescent="0.25">
      <c r="A1" s="2312" t="s">
        <v>3974</v>
      </c>
      <c r="B1" s="2312"/>
      <c r="C1" s="2312"/>
      <c r="D1" s="2312"/>
      <c r="E1" s="2312"/>
      <c r="F1" s="2312"/>
      <c r="G1" s="2312"/>
      <c r="H1" s="2312"/>
      <c r="I1" s="2312"/>
      <c r="J1" s="2312"/>
    </row>
    <row r="2" spans="1:10" ht="22.5" customHeight="1" x14ac:dyDescent="0.25">
      <c r="A2" s="1047"/>
      <c r="B2" s="1047"/>
      <c r="C2" s="1047"/>
      <c r="D2" s="1048"/>
      <c r="E2" s="1048"/>
      <c r="F2" s="1048"/>
      <c r="G2" s="1049"/>
      <c r="H2" s="1049"/>
      <c r="I2" s="2313" t="s">
        <v>3975</v>
      </c>
      <c r="J2" s="2314"/>
    </row>
    <row r="3" spans="1:10" s="1051" customFormat="1" x14ac:dyDescent="0.25">
      <c r="A3" s="1050" t="s">
        <v>3976</v>
      </c>
      <c r="B3" s="1050"/>
      <c r="C3" s="2315" t="str">
        <f>INFORMATIONS!B10</f>
        <v>SAM CONSEILS</v>
      </c>
      <c r="D3" s="2316"/>
      <c r="E3" s="2316"/>
      <c r="F3" s="2316"/>
      <c r="G3" s="2316"/>
      <c r="H3" s="2316"/>
      <c r="I3" s="2316"/>
      <c r="J3" s="2316"/>
    </row>
    <row r="4" spans="1:10" s="1051" customFormat="1" x14ac:dyDescent="0.25">
      <c r="A4" s="1050" t="s">
        <v>1602</v>
      </c>
      <c r="B4" s="2317" t="str">
        <f>INFORMATIONS!B19&amp;" "&amp;INFORMATIONS!C19&amp;" "&amp;INFORMATIONS!D19&amp;" "&amp;INFORMATIONS!E19&amp;" "&amp;INFORMATIONS!F19</f>
        <v>02 BP 5358 OUAGA 02</v>
      </c>
      <c r="C4" s="2317"/>
      <c r="D4" s="2317"/>
      <c r="E4" s="2317"/>
      <c r="F4" s="2317"/>
      <c r="G4" s="2317"/>
      <c r="H4" s="1052" t="s">
        <v>3977</v>
      </c>
      <c r="I4" s="2318" t="str">
        <f>INFORMATIONS!B11</f>
        <v>SAM CONSEILS</v>
      </c>
      <c r="J4" s="2319"/>
    </row>
    <row r="5" spans="1:10" s="1051" customFormat="1" x14ac:dyDescent="0.25">
      <c r="A5" s="1053" t="s">
        <v>3978</v>
      </c>
      <c r="B5" s="1053"/>
      <c r="C5" s="2317" t="str">
        <f>INFORMATIONS!B24</f>
        <v>00084404X</v>
      </c>
      <c r="D5" s="2317"/>
      <c r="E5" s="1054" t="s">
        <v>3979</v>
      </c>
      <c r="F5" s="2320">
        <f>INFORMATIONS!D31</f>
        <v>43465</v>
      </c>
      <c r="G5" s="2321"/>
      <c r="H5" s="1054" t="s">
        <v>3980</v>
      </c>
      <c r="I5" s="2322">
        <f>INFORMATIONS!F34</f>
        <v>12</v>
      </c>
      <c r="J5" s="2322"/>
    </row>
    <row r="6" spans="1:10" s="1051" customFormat="1" x14ac:dyDescent="0.25">
      <c r="A6" s="1055" t="s">
        <v>3981</v>
      </c>
      <c r="B6" s="1053"/>
      <c r="C6" s="2323" t="str">
        <f>INFORMATIONS!F24</f>
        <v>AMMTB89</v>
      </c>
      <c r="D6" s="2323"/>
      <c r="E6" s="1056"/>
      <c r="F6" s="1057"/>
      <c r="G6" s="1057"/>
      <c r="H6" s="1056"/>
      <c r="I6" s="1058"/>
      <c r="J6" s="1058"/>
    </row>
    <row r="7" spans="1:10" ht="28.5" customHeight="1" x14ac:dyDescent="0.25">
      <c r="A7" s="2324" t="s">
        <v>3982</v>
      </c>
      <c r="B7" s="2324"/>
      <c r="C7" s="2324"/>
      <c r="D7" s="2324"/>
      <c r="E7" s="2324"/>
      <c r="F7" s="2324"/>
      <c r="G7" s="2324"/>
      <c r="H7" s="2324"/>
      <c r="I7" s="2324"/>
      <c r="J7" s="2324"/>
    </row>
    <row r="8" spans="1:10" ht="19.5" customHeight="1" x14ac:dyDescent="0.25">
      <c r="A8" s="1059" t="s">
        <v>3983</v>
      </c>
      <c r="B8" s="2325" t="s">
        <v>1200</v>
      </c>
      <c r="C8" s="2326"/>
      <c r="D8" s="2326"/>
      <c r="E8" s="2326"/>
      <c r="F8" s="2326"/>
      <c r="G8" s="2326"/>
      <c r="H8" s="2327"/>
      <c r="I8" s="1060" t="s">
        <v>88</v>
      </c>
      <c r="J8" s="1061" t="s">
        <v>1201</v>
      </c>
    </row>
    <row r="9" spans="1:10" ht="15.75" customHeight="1" x14ac:dyDescent="0.25">
      <c r="A9" s="1062" t="s">
        <v>3984</v>
      </c>
      <c r="B9" s="2328" t="s">
        <v>3985</v>
      </c>
      <c r="C9" s="2328"/>
      <c r="D9" s="2328"/>
      <c r="E9" s="2328"/>
      <c r="F9" s="2328"/>
      <c r="G9" s="2328"/>
      <c r="H9" s="2328"/>
      <c r="I9" s="1063" t="str">
        <f>IF('SUPPL1-CHARGES'!G275=0,"","X")</f>
        <v>X</v>
      </c>
      <c r="J9" s="1064" t="str">
        <f>IF('SUPPL1-CHARGES'!G275="","X","")</f>
        <v/>
      </c>
    </row>
    <row r="10" spans="1:10" ht="13.5" customHeight="1" x14ac:dyDescent="0.25">
      <c r="A10" s="1062" t="s">
        <v>3986</v>
      </c>
      <c r="B10" s="2328" t="s">
        <v>3987</v>
      </c>
      <c r="C10" s="2328"/>
      <c r="D10" s="2328"/>
      <c r="E10" s="2328"/>
      <c r="F10" s="2328"/>
      <c r="G10" s="2328"/>
      <c r="H10" s="2328"/>
      <c r="I10" s="1063" t="str">
        <f>IF('SUPPL2-PRODUITS'!G23=0,"","X")</f>
        <v>X</v>
      </c>
      <c r="J10" s="1064" t="str">
        <f>IF('SUPPL2-PRODUITS'!G23="","X","")</f>
        <v/>
      </c>
    </row>
    <row r="11" spans="1:10" ht="15.75" customHeight="1" x14ac:dyDescent="0.25">
      <c r="A11" s="1062" t="s">
        <v>3988</v>
      </c>
      <c r="B11" s="2309" t="s">
        <v>3989</v>
      </c>
      <c r="C11" s="2310"/>
      <c r="D11" s="2310"/>
      <c r="E11" s="2310"/>
      <c r="F11" s="2310"/>
      <c r="G11" s="2310"/>
      <c r="H11" s="2311"/>
      <c r="I11" s="1063" t="str">
        <f>IF(('SUPPL3-TVA (1)'!G15+'SUPPL3-TVA (1)'!G16+'SUPPL3-TVA (1)'!G23+'SUPPL3-TVA (1)'!G24)=0,"","X")</f>
        <v>X</v>
      </c>
      <c r="J11" s="1064" t="str">
        <f>IF(('SUPPL3-TVA (1)'!G15+'SUPPL3-TVA (1)'!G16+'SUPPL3-TVA (1)'!G23+'SUPPL3-TVA (1)'!G24)=0,"X","")</f>
        <v/>
      </c>
    </row>
    <row r="12" spans="1:10" ht="15.75" customHeight="1" x14ac:dyDescent="0.25">
      <c r="A12" s="1062" t="s">
        <v>3990</v>
      </c>
      <c r="B12" s="2309" t="s">
        <v>3991</v>
      </c>
      <c r="C12" s="2310"/>
      <c r="D12" s="2310"/>
      <c r="E12" s="2310"/>
      <c r="F12" s="2310"/>
      <c r="G12" s="2310"/>
      <c r="H12" s="2311"/>
      <c r="I12" s="1063" t="str">
        <f>IF('SUPPL4-TVA (2)'!G12=0,"","X")</f>
        <v/>
      </c>
      <c r="J12" s="1064" t="str">
        <f>IF('SUPPL4-TVA (2)'!G12=0,"X","")</f>
        <v>X</v>
      </c>
    </row>
    <row r="13" spans="1:10" s="1065" customFormat="1" ht="14.25" customHeight="1" x14ac:dyDescent="0.25">
      <c r="A13" s="1062" t="s">
        <v>3992</v>
      </c>
      <c r="B13" s="2332" t="s">
        <v>3993</v>
      </c>
      <c r="C13" s="2332"/>
      <c r="D13" s="2332"/>
      <c r="E13" s="2332"/>
      <c r="F13" s="2332"/>
      <c r="G13" s="2332"/>
      <c r="H13" s="2332"/>
      <c r="I13" s="1064" t="str">
        <f>IF((SUPPL5!K31+SUPPL5!L31+SUPPL5!M31+SUPPL5!N31+SUPPL5!M37+SUPPL5!M42)=0,"","X")</f>
        <v/>
      </c>
      <c r="J13" s="1064" t="str">
        <f>IF((SUPPL5!K31+SUPPL5!L31+SUPPL5!M31+SUPPL5!N31+SUPPL5!M37+SUPPL5!M42)=0,"X","")</f>
        <v>X</v>
      </c>
    </row>
    <row r="14" spans="1:10" s="1065" customFormat="1" ht="14.25" customHeight="1" x14ac:dyDescent="0.25">
      <c r="A14" s="1062" t="s">
        <v>3994</v>
      </c>
      <c r="B14" s="2328" t="s">
        <v>1288</v>
      </c>
      <c r="C14" s="2328"/>
      <c r="D14" s="2328"/>
      <c r="E14" s="2328"/>
      <c r="F14" s="2328"/>
      <c r="G14" s="2328"/>
      <c r="H14" s="2328"/>
      <c r="I14" s="1064" t="str">
        <f>IF((SUPPL6!G31+SUPPL6!H31+SUPPL6!I31+SUPPL6!J31)=0,"","X")</f>
        <v/>
      </c>
      <c r="J14" s="1064" t="str">
        <f>IF((SUPPL6!G31+SUPPL6!H31+SUPPL6!I31+SUPPL6!J31)=0,"X","")</f>
        <v>X</v>
      </c>
    </row>
    <row r="15" spans="1:10" s="1065" customFormat="1" ht="14.25" customHeight="1" x14ac:dyDescent="0.25">
      <c r="A15" s="1062" t="s">
        <v>3995</v>
      </c>
      <c r="B15" s="2328" t="s">
        <v>3996</v>
      </c>
      <c r="C15" s="2328"/>
      <c r="D15" s="2328"/>
      <c r="E15" s="2328"/>
      <c r="F15" s="2328"/>
      <c r="G15" s="2328"/>
      <c r="H15" s="2328"/>
      <c r="I15" s="1064" t="str">
        <f>IF((SUPPL7!I9+SUPPL7!I10+SUPPL7!I11+SUPPL7!I12)=0,"","X")</f>
        <v/>
      </c>
      <c r="J15" s="1064" t="str">
        <f>IF((SUPPL7!I9+SUPPL7!I10+SUPPL7!I11+SUPPL7!I12)=0,"X","")</f>
        <v>X</v>
      </c>
    </row>
    <row r="16" spans="1:10" s="1065" customFormat="1" ht="14.25" customHeight="1" x14ac:dyDescent="0.25">
      <c r="A16" s="1062" t="s">
        <v>3997</v>
      </c>
      <c r="B16" s="2328" t="s">
        <v>3998</v>
      </c>
      <c r="C16" s="2328"/>
      <c r="D16" s="2328"/>
      <c r="E16" s="2328"/>
      <c r="F16" s="2328"/>
      <c r="G16" s="2328"/>
      <c r="H16" s="2328"/>
      <c r="I16" s="1064" t="str">
        <f>IF((SUPPL8!G40+SUPPL8!H40+SUPPL8!I40+SUPPL8!J40)=0,"","X")</f>
        <v/>
      </c>
      <c r="J16" s="1064" t="str">
        <f>IF((SUPPL8!G40+SUPPL8!H40+SUPPL8!I40+SUPPL8!J40)=0,"X","")</f>
        <v>X</v>
      </c>
    </row>
    <row r="17" spans="1:10" s="1065" customFormat="1" ht="14.25" customHeight="1" x14ac:dyDescent="0.25">
      <c r="A17" s="1062" t="s">
        <v>3999</v>
      </c>
      <c r="B17" s="2328" t="s">
        <v>4000</v>
      </c>
      <c r="C17" s="2328"/>
      <c r="D17" s="2328"/>
      <c r="E17" s="2328"/>
      <c r="F17" s="2328"/>
      <c r="G17" s="2328"/>
      <c r="H17" s="2328"/>
      <c r="I17" s="1064" t="str">
        <f>IF((SUPPL9!D15+SUPPL9!F15+SUPPL9!H15+SUPPL9!J15+SUPPL9!L15+SUPPL9!N15)=0,"","X")</f>
        <v/>
      </c>
      <c r="J17" s="1064" t="str">
        <f>IF((SUPPL9!D15+SUPPL9!F15+SUPPL9!H15+SUPPL9!J15+SUPPL9!L15+SUPPL9!N15)=0,"X","")</f>
        <v>X</v>
      </c>
    </row>
    <row r="18" spans="1:10" s="1065" customFormat="1" ht="14.25" customHeight="1" x14ac:dyDescent="0.25">
      <c r="A18" s="1062" t="s">
        <v>4001</v>
      </c>
      <c r="B18" s="2333" t="s">
        <v>4002</v>
      </c>
      <c r="C18" s="2334"/>
      <c r="D18" s="2334"/>
      <c r="E18" s="2334"/>
      <c r="F18" s="2334"/>
      <c r="G18" s="2334"/>
      <c r="H18" s="2335"/>
      <c r="I18" s="1064" t="str">
        <f>IF((SUPPL10!G24+SUPPL10!H24)=0,"","X")</f>
        <v/>
      </c>
      <c r="J18" s="1064" t="str">
        <f>IF((SUPPL10!G24+SUPPL10!H24)=0,"X","")</f>
        <v>X</v>
      </c>
    </row>
    <row r="19" spans="1:10" s="1065" customFormat="1" ht="9.75" customHeight="1" x14ac:dyDescent="0.25">
      <c r="A19" s="1062" t="s">
        <v>4003</v>
      </c>
      <c r="B19" s="2333" t="s">
        <v>4004</v>
      </c>
      <c r="C19" s="2334"/>
      <c r="D19" s="2334"/>
      <c r="E19" s="2334"/>
      <c r="F19" s="2334"/>
      <c r="G19" s="2334"/>
      <c r="H19" s="2335"/>
      <c r="I19" s="1064" t="str">
        <f>IF(SUM('SUPPL  11'!H9:H18,'SUPPL  11'!H20:H29)=0,"","X")</f>
        <v/>
      </c>
      <c r="J19" s="1064" t="str">
        <f>IF(SUM('SUPPL  11'!H9:H18,'SUPPL  11'!H20:H29)=0,"X","")</f>
        <v>X</v>
      </c>
    </row>
    <row r="20" spans="1:10" s="1065" customFormat="1" ht="16.5" customHeight="1" x14ac:dyDescent="0.25">
      <c r="A20" s="1062" t="s">
        <v>4005</v>
      </c>
      <c r="B20" s="2336" t="s">
        <v>4006</v>
      </c>
      <c r="C20" s="2337"/>
      <c r="D20" s="2337"/>
      <c r="E20" s="2337"/>
      <c r="F20" s="2337"/>
      <c r="G20" s="2337"/>
      <c r="H20" s="2338"/>
      <c r="I20" s="1064" t="str">
        <f>IF((SUPPL12!D35+SUPPL12!E35+SUPPL12!F35+SUPPL12!G35)=0,"","X")</f>
        <v/>
      </c>
      <c r="J20" s="1064" t="str">
        <f>IF((SUPPL12!D35+SUPPL12!E35+SUPPL12!F35+SUPPL12!G35)=0,"X","")</f>
        <v>X</v>
      </c>
    </row>
    <row r="21" spans="1:10" s="1065" customFormat="1" ht="23.25" customHeight="1" x14ac:dyDescent="0.25">
      <c r="A21" s="1062" t="s">
        <v>4007</v>
      </c>
      <c r="B21" s="2336" t="s">
        <v>4008</v>
      </c>
      <c r="C21" s="2337"/>
      <c r="D21" s="2337"/>
      <c r="E21" s="2337"/>
      <c r="F21" s="2337"/>
      <c r="G21" s="2337"/>
      <c r="H21" s="2338"/>
      <c r="I21" s="1064" t="str">
        <f>IF((SUPPL13!J19+SUPPL13!K19)=0,"","X")</f>
        <v/>
      </c>
      <c r="J21" s="1064" t="str">
        <f>IF((SUPPL13!J19+SUPPL13!K19)=0,"X","")</f>
        <v>X</v>
      </c>
    </row>
    <row r="22" spans="1:10" s="1065" customFormat="1" ht="23.25" customHeight="1" x14ac:dyDescent="0.25">
      <c r="A22" s="1062" t="s">
        <v>4009</v>
      </c>
      <c r="B22" s="2329" t="s">
        <v>4010</v>
      </c>
      <c r="C22" s="2330"/>
      <c r="D22" s="2330"/>
      <c r="E22" s="2330"/>
      <c r="F22" s="2330"/>
      <c r="G22" s="2330"/>
      <c r="H22" s="2331"/>
      <c r="I22" s="1064" t="str">
        <f>IF(SUPPL14!I20=0,"","X")</f>
        <v/>
      </c>
      <c r="J22" s="1064" t="str">
        <f>IF(SUPPL14!I20=0,"X","")</f>
        <v>X</v>
      </c>
    </row>
    <row r="23" spans="1:10" s="1065" customFormat="1" ht="21.75" customHeight="1" x14ac:dyDescent="0.25">
      <c r="A23" s="1062" t="s">
        <v>4011</v>
      </c>
      <c r="B23" s="2329" t="s">
        <v>4012</v>
      </c>
      <c r="C23" s="2330"/>
      <c r="D23" s="2330"/>
      <c r="E23" s="2330"/>
      <c r="F23" s="2330"/>
      <c r="G23" s="2330"/>
      <c r="H23" s="2331"/>
      <c r="I23" s="1064" t="str">
        <f>IF((SUPPL15!I19+SUPPL15!H19)=0,"","X")</f>
        <v/>
      </c>
      <c r="J23" s="1064" t="str">
        <f>IF((SUPPL15!I19+SUPPL15!H19)=0,"X","")</f>
        <v>X</v>
      </c>
    </row>
    <row r="24" spans="1:10" s="1065" customFormat="1" ht="16.5" customHeight="1" x14ac:dyDescent="0.25">
      <c r="A24" s="1062" t="s">
        <v>4013</v>
      </c>
      <c r="B24" s="2329" t="s">
        <v>4014</v>
      </c>
      <c r="C24" s="2330"/>
      <c r="D24" s="2330"/>
      <c r="E24" s="2330"/>
      <c r="F24" s="2330"/>
      <c r="G24" s="2330"/>
      <c r="H24" s="2331"/>
      <c r="I24" s="1064" t="str">
        <f>IF((SUPPL16!I19+SUPPL16!J19+SUPPL16!K19)=0,"","X")</f>
        <v/>
      </c>
      <c r="J24" s="1064" t="str">
        <f>IF((SUPPL16!I19+SUPPL16!J19+SUPPL16!K19)=0,"X","")</f>
        <v>X</v>
      </c>
    </row>
    <row r="25" spans="1:10" s="1065" customFormat="1" ht="14.25" customHeight="1" x14ac:dyDescent="0.25">
      <c r="A25" s="1062" t="s">
        <v>4015</v>
      </c>
      <c r="B25" s="2329" t="s">
        <v>4016</v>
      </c>
      <c r="C25" s="2330"/>
      <c r="D25" s="2330"/>
      <c r="E25" s="2330"/>
      <c r="F25" s="2330"/>
      <c r="G25" s="2330"/>
      <c r="H25" s="2331"/>
      <c r="I25" s="1064" t="str">
        <f>IF((SUPPL17!H21+SUPPL17!I21+SUPPL17!J21)=0,"","X")</f>
        <v/>
      </c>
      <c r="J25" s="1064" t="str">
        <f>IF((SUPPL17!H21+SUPPL17!I21+SUPPL17!J21)=0,"X","")</f>
        <v>X</v>
      </c>
    </row>
    <row r="26" spans="1:10" s="1065" customFormat="1" ht="15" customHeight="1" x14ac:dyDescent="0.25">
      <c r="A26" s="1062" t="s">
        <v>4017</v>
      </c>
      <c r="B26" s="2329" t="s">
        <v>4018</v>
      </c>
      <c r="C26" s="2330"/>
      <c r="D26" s="2330"/>
      <c r="E26" s="2330"/>
      <c r="F26" s="2330"/>
      <c r="G26" s="2330"/>
      <c r="H26" s="2331"/>
      <c r="I26" s="1064" t="str">
        <f>IF((SUPPL18!H31+SUPPL18!I31+SUPPL18!J31)=0,"","X")</f>
        <v/>
      </c>
      <c r="J26" s="1064" t="str">
        <f>IF((SUPPL18!H31+SUPPL18!I31+SUPPL18!J31)=0,"X","")</f>
        <v>X</v>
      </c>
    </row>
    <row r="27" spans="1:10" s="1065" customFormat="1" ht="16.5" customHeight="1" x14ac:dyDescent="0.25">
      <c r="A27" s="1062" t="s">
        <v>4019</v>
      </c>
      <c r="B27" s="2339" t="s">
        <v>4020</v>
      </c>
      <c r="C27" s="2339"/>
      <c r="D27" s="2339"/>
      <c r="E27" s="2339"/>
      <c r="F27" s="2339"/>
      <c r="G27" s="2339"/>
      <c r="H27" s="2339"/>
      <c r="I27" s="1064" t="s">
        <v>1347</v>
      </c>
      <c r="J27" s="1064"/>
    </row>
    <row r="28" spans="1:10" s="1065" customFormat="1" ht="14.25" customHeight="1" x14ac:dyDescent="0.25">
      <c r="A28" s="1062" t="s">
        <v>4021</v>
      </c>
      <c r="B28" s="2339" t="s">
        <v>4022</v>
      </c>
      <c r="C28" s="2339"/>
      <c r="D28" s="2339"/>
      <c r="E28" s="2339"/>
      <c r="F28" s="2339"/>
      <c r="G28" s="2339"/>
      <c r="H28" s="2339"/>
      <c r="I28" s="1064" t="s">
        <v>1347</v>
      </c>
      <c r="J28" s="1064"/>
    </row>
    <row r="29" spans="1:10" s="1065" customFormat="1" ht="14.25" customHeight="1" x14ac:dyDescent="0.25">
      <c r="A29" s="2341" t="s">
        <v>4023</v>
      </c>
      <c r="B29" s="1066" t="s">
        <v>4024</v>
      </c>
      <c r="C29" s="1067"/>
      <c r="D29" s="1067"/>
      <c r="E29" s="1067"/>
      <c r="F29" s="1067"/>
      <c r="G29" s="1067"/>
      <c r="H29" s="1068"/>
      <c r="I29" s="1064" t="str">
        <f>IF(INFORMATIONS!B12="INDIVIDUELLE","","X")</f>
        <v/>
      </c>
      <c r="J29" s="1064" t="str">
        <f>IF(INFORMATIONS!B12="INDIVIDUELLE","X","")</f>
        <v>X</v>
      </c>
    </row>
    <row r="30" spans="1:10" s="1070" customFormat="1" ht="14.25" customHeight="1" x14ac:dyDescent="0.25">
      <c r="A30" s="2342"/>
      <c r="B30" s="1066" t="s">
        <v>4025</v>
      </c>
      <c r="C30" s="1067"/>
      <c r="D30" s="1067"/>
      <c r="E30" s="1067"/>
      <c r="F30" s="1067"/>
      <c r="G30" s="1067"/>
      <c r="H30" s="1068"/>
      <c r="I30" s="1069" t="str">
        <f>IF(INFORMATIONS!B12="INDIVIDUELLE","X","")</f>
        <v>X</v>
      </c>
      <c r="J30" s="1069" t="str">
        <f>IF(INFORMATIONS!B12="INDIVIDUELLE","","X")</f>
        <v/>
      </c>
    </row>
    <row r="31" spans="1:10" s="1065" customFormat="1" ht="14.25" customHeight="1" x14ac:dyDescent="0.25">
      <c r="A31" s="2342"/>
      <c r="B31" s="2329" t="s">
        <v>4026</v>
      </c>
      <c r="C31" s="2330"/>
      <c r="D31" s="2330"/>
      <c r="E31" s="2330"/>
      <c r="F31" s="2330"/>
      <c r="G31" s="2330"/>
      <c r="H31" s="2331"/>
      <c r="I31" s="1064"/>
      <c r="J31" s="1064"/>
    </row>
    <row r="32" spans="1:10" ht="16.5" customHeight="1" x14ac:dyDescent="0.25">
      <c r="A32" s="1071"/>
      <c r="B32" s="2339"/>
      <c r="C32" s="2339"/>
      <c r="D32" s="2339"/>
      <c r="E32" s="2339"/>
      <c r="F32" s="2339"/>
      <c r="G32" s="2339"/>
      <c r="H32" s="2339"/>
      <c r="I32" s="1072"/>
      <c r="J32" s="1072"/>
    </row>
    <row r="33" spans="1:10" ht="3.75" customHeight="1" x14ac:dyDescent="0.25"/>
    <row r="34" spans="1:10" s="1073" customFormat="1" ht="10.5" customHeight="1" x14ac:dyDescent="0.25">
      <c r="A34" s="2340" t="s">
        <v>4027</v>
      </c>
      <c r="B34" s="2340"/>
      <c r="C34" s="2340"/>
      <c r="D34" s="2340"/>
      <c r="E34" s="2340"/>
      <c r="F34" s="2340"/>
      <c r="G34" s="2340"/>
      <c r="H34" s="2340"/>
      <c r="I34" s="2340"/>
      <c r="J34" s="2340"/>
    </row>
    <row r="35" spans="1:10" ht="9.75" customHeight="1" x14ac:dyDescent="0.25">
      <c r="A35" s="1074" t="s">
        <v>4028</v>
      </c>
      <c r="B35" s="1073"/>
      <c r="C35" s="1073"/>
      <c r="D35" s="1073"/>
      <c r="E35" s="1073"/>
      <c r="F35" s="1073"/>
      <c r="G35" s="1073"/>
      <c r="H35" s="1073"/>
      <c r="I35" s="1073"/>
      <c r="J35" s="1073"/>
    </row>
    <row r="36" spans="1:10" x14ac:dyDescent="0.25">
      <c r="A36" s="2340" t="s">
        <v>4029</v>
      </c>
      <c r="B36" s="2340"/>
      <c r="C36" s="2340"/>
      <c r="D36" s="2340"/>
      <c r="E36" s="2340"/>
      <c r="F36" s="2340"/>
      <c r="G36" s="2340"/>
      <c r="H36" s="2340"/>
      <c r="I36" s="2340"/>
      <c r="J36" s="2340"/>
    </row>
    <row r="37" spans="1:10" x14ac:dyDescent="0.25">
      <c r="A37" s="1075" t="s">
        <v>4030</v>
      </c>
      <c r="B37" s="1073"/>
    </row>
  </sheetData>
  <sheetProtection algorithmName="SHA-512" hashValue="f1Z7jfYhMNlLLxq9acpw/hJKf1h7WqworO2SaHPXNpCQz/3lRF47Fe/PgEESKXdWjvk8YBImbcpAGpMEQ+EMQQ==" saltValue="/VUHHZIYhxplMhkRw4/chw==" spinCount="100000" sheet="1" formatCells="0" formatColumns="0" formatRows="0" selectLockedCells="1"/>
  <mergeCells count="36">
    <mergeCell ref="B32:H32"/>
    <mergeCell ref="A34:J34"/>
    <mergeCell ref="A36:J36"/>
    <mergeCell ref="B24:H24"/>
    <mergeCell ref="B25:H25"/>
    <mergeCell ref="B26:H26"/>
    <mergeCell ref="B27:H27"/>
    <mergeCell ref="B28:H28"/>
    <mergeCell ref="A29:A31"/>
    <mergeCell ref="B31:H31"/>
    <mergeCell ref="B23:H23"/>
    <mergeCell ref="B12:H12"/>
    <mergeCell ref="B13:H13"/>
    <mergeCell ref="B14:H14"/>
    <mergeCell ref="B15:H15"/>
    <mergeCell ref="B16:H16"/>
    <mergeCell ref="B17:H17"/>
    <mergeCell ref="B18:H18"/>
    <mergeCell ref="B19:H19"/>
    <mergeCell ref="B20:H20"/>
    <mergeCell ref="B21:H21"/>
    <mergeCell ref="B22:H22"/>
    <mergeCell ref="B11:H11"/>
    <mergeCell ref="A1:J1"/>
    <mergeCell ref="I2:J2"/>
    <mergeCell ref="C3:J3"/>
    <mergeCell ref="B4:G4"/>
    <mergeCell ref="I4:J4"/>
    <mergeCell ref="C5:D5"/>
    <mergeCell ref="F5:G5"/>
    <mergeCell ref="I5:J5"/>
    <mergeCell ref="C6:D6"/>
    <mergeCell ref="A7:J7"/>
    <mergeCell ref="B8:H8"/>
    <mergeCell ref="B9:H9"/>
    <mergeCell ref="B10:H10"/>
  </mergeCells>
  <printOptions horizontalCentered="1"/>
  <pageMargins left="0.51181102362204722" right="0.51181102362204722" top="0.35433070866141736" bottom="0.35433070866141736" header="0.31496062992125984" footer="0.31496062992125984"/>
  <pageSetup paperSize="9" scale="87"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J275"/>
  <sheetViews>
    <sheetView showGridLines="0" topLeftCell="B7" zoomScale="140" zoomScaleNormal="140" zoomScaleSheetLayoutView="115" workbookViewId="0">
      <selection activeCell="A36" sqref="A36:J36"/>
    </sheetView>
  </sheetViews>
  <sheetFormatPr baseColWidth="10" defaultRowHeight="15" x14ac:dyDescent="0.25"/>
  <cols>
    <col min="1" max="1" width="8.85546875" style="298" customWidth="1"/>
    <col min="2" max="2" width="16.42578125" style="298" customWidth="1"/>
    <col min="3" max="3" width="13.28515625" style="298" customWidth="1"/>
    <col min="4" max="4" width="11.42578125" style="298"/>
    <col min="5" max="5" width="11.42578125" style="298" customWidth="1"/>
    <col min="6" max="6" width="14.42578125" style="298" customWidth="1"/>
    <col min="7" max="8" width="13.28515625" style="298" customWidth="1"/>
    <col min="9" max="9" width="13.28515625" style="1481" customWidth="1"/>
    <col min="10" max="10" width="11.42578125" style="298" customWidth="1"/>
    <col min="11" max="16384" width="11.42578125" style="298"/>
  </cols>
  <sheetData>
    <row r="1" spans="1:10" x14ac:dyDescent="0.25">
      <c r="A1" s="2344" t="s">
        <v>4031</v>
      </c>
      <c r="B1" s="2345"/>
      <c r="C1" s="1459"/>
      <c r="D1" s="2346" t="s">
        <v>4032</v>
      </c>
      <c r="E1" s="2346"/>
      <c r="F1" s="2346"/>
      <c r="G1" s="2347"/>
      <c r="H1" s="2348" t="s">
        <v>4033</v>
      </c>
      <c r="I1" s="2349"/>
      <c r="J1" s="2350"/>
    </row>
    <row r="2" spans="1:10" x14ac:dyDescent="0.25">
      <c r="A2" s="1460" t="s">
        <v>3976</v>
      </c>
      <c r="B2" s="1461"/>
      <c r="C2" s="2343" t="str">
        <f>'Liste ETATS SUPPL DGI'!C3</f>
        <v>SAM CONSEILS</v>
      </c>
      <c r="D2" s="2343"/>
      <c r="E2" s="2343"/>
      <c r="F2" s="2343"/>
      <c r="G2" s="2343"/>
      <c r="H2" s="2343"/>
      <c r="I2" s="2343"/>
      <c r="J2" s="2343"/>
    </row>
    <row r="3" spans="1:10" x14ac:dyDescent="0.25">
      <c r="A3" s="1460" t="s">
        <v>1602</v>
      </c>
      <c r="B3" s="2343" t="str">
        <f>'Liste ETATS SUPPL DGI'!B4</f>
        <v>02 BP 5358 OUAGA 02</v>
      </c>
      <c r="C3" s="2343"/>
      <c r="D3" s="2343"/>
      <c r="E3" s="2343"/>
      <c r="F3" s="2343"/>
      <c r="G3" s="2343"/>
      <c r="H3" s="2343"/>
      <c r="I3" s="1462" t="s">
        <v>3977</v>
      </c>
      <c r="J3" s="1463" t="str">
        <f>'Liste ETATS SUPPL DGI'!I4</f>
        <v>SAM CONSEILS</v>
      </c>
    </row>
    <row r="4" spans="1:10" x14ac:dyDescent="0.25">
      <c r="A4" s="1464" t="s">
        <v>3978</v>
      </c>
      <c r="B4" s="1464"/>
      <c r="C4" s="2343" t="str">
        <f>'Liste ETATS SUPPL DGI'!C5</f>
        <v>00084404X</v>
      </c>
      <c r="D4" s="2343"/>
      <c r="E4" s="1465"/>
      <c r="F4" s="1465"/>
      <c r="G4" s="1466" t="s">
        <v>3979</v>
      </c>
      <c r="H4" s="1467">
        <f>'Liste ETATS SUPPL DGI'!F5</f>
        <v>43465</v>
      </c>
      <c r="I4" s="1462" t="s">
        <v>3980</v>
      </c>
      <c r="J4" s="1463">
        <f>'Liste ETATS SUPPL DGI'!I5</f>
        <v>12</v>
      </c>
    </row>
    <row r="5" spans="1:10" x14ac:dyDescent="0.25">
      <c r="A5" s="1468" t="s">
        <v>3981</v>
      </c>
      <c r="B5" s="1464"/>
      <c r="C5" s="2343" t="str">
        <f>'Liste ETATS SUPPL DGI'!C6</f>
        <v>AMMTB89</v>
      </c>
      <c r="D5" s="2343"/>
      <c r="E5" s="2343"/>
      <c r="F5" s="2343"/>
      <c r="G5" s="1469"/>
      <c r="H5" s="1470" t="s">
        <v>4458</v>
      </c>
      <c r="I5" s="1471" t="s">
        <v>4459</v>
      </c>
      <c r="J5" s="1465"/>
    </row>
    <row r="6" spans="1:10" ht="5.25" customHeight="1" x14ac:dyDescent="0.25">
      <c r="A6" s="1245"/>
      <c r="B6" s="1245"/>
      <c r="C6" s="1472"/>
      <c r="D6" s="1472"/>
      <c r="E6" s="1473"/>
      <c r="F6" s="1474"/>
      <c r="G6" s="1475"/>
      <c r="H6" s="1476"/>
      <c r="I6" s="1477"/>
      <c r="J6" s="1478"/>
    </row>
    <row r="7" spans="1:10" x14ac:dyDescent="0.25">
      <c r="A7" s="2352" t="s">
        <v>4034</v>
      </c>
      <c r="B7" s="2353"/>
      <c r="C7" s="2353"/>
      <c r="D7" s="2353"/>
      <c r="E7" s="2353"/>
      <c r="F7" s="2353"/>
      <c r="G7" s="2353"/>
      <c r="H7" s="2353"/>
      <c r="I7" s="2353"/>
      <c r="J7" s="2354"/>
    </row>
    <row r="8" spans="1:10" ht="5.25" customHeight="1" x14ac:dyDescent="0.25">
      <c r="A8" s="1482"/>
      <c r="B8" s="1482"/>
      <c r="C8" s="1482"/>
      <c r="D8" s="1482"/>
      <c r="E8" s="1482"/>
      <c r="F8" s="1482"/>
      <c r="G8" s="1482"/>
      <c r="H8" s="1482"/>
      <c r="I8" s="1483"/>
      <c r="J8" s="1482"/>
    </row>
    <row r="9" spans="1:10" x14ac:dyDescent="0.25">
      <c r="A9" s="2355" t="s">
        <v>4035</v>
      </c>
      <c r="B9" s="2356"/>
      <c r="C9" s="2356"/>
      <c r="D9" s="2356"/>
      <c r="E9" s="2356"/>
      <c r="F9" s="2356"/>
      <c r="G9" s="2359" t="s">
        <v>4036</v>
      </c>
      <c r="H9" s="2356" t="s">
        <v>4037</v>
      </c>
      <c r="I9" s="2355" t="s">
        <v>4038</v>
      </c>
      <c r="J9" s="2362"/>
    </row>
    <row r="10" spans="1:10" x14ac:dyDescent="0.25">
      <c r="A10" s="2357"/>
      <c r="B10" s="2358"/>
      <c r="C10" s="2358"/>
      <c r="D10" s="2358"/>
      <c r="E10" s="2358"/>
      <c r="F10" s="2358"/>
      <c r="G10" s="2360"/>
      <c r="H10" s="2361"/>
      <c r="I10" s="1484" t="s">
        <v>4039</v>
      </c>
      <c r="J10" s="1485" t="s">
        <v>4040</v>
      </c>
    </row>
    <row r="11" spans="1:10" ht="14.1" customHeight="1" x14ac:dyDescent="0.25">
      <c r="A11" s="1486">
        <v>6011</v>
      </c>
      <c r="B11" s="1487" t="s">
        <v>4041</v>
      </c>
      <c r="C11" s="1488"/>
      <c r="D11" s="1488"/>
      <c r="E11" s="1488"/>
      <c r="F11" s="1489"/>
      <c r="G11" s="1490">
        <f>SUMPRODUCT(((LEFT(BalanceN!$A$4:$A$9999,4)="6011"))*BalanceN!$G$4:$G$9999)</f>
        <v>75000000</v>
      </c>
      <c r="H11" s="1490">
        <f>SUMPRODUCT(((LEFT('BalanceN-1'!$A$4:$A$9999,4)="6011"))*'BalanceN-1'!$G$4:$G$9999)</f>
        <v>0</v>
      </c>
      <c r="I11" s="1491">
        <f t="shared" ref="I11:I24" si="0">G11-H11</f>
        <v>75000000</v>
      </c>
      <c r="J11" s="1492">
        <f>IF(H11,(G11-H11)/H11,IF(ISBLANK(H11),"",IF(G11,IF( G11 &gt; 0,1,-1),"")))</f>
        <v>1</v>
      </c>
    </row>
    <row r="12" spans="1:10" ht="14.1" customHeight="1" x14ac:dyDescent="0.25">
      <c r="A12" s="1493">
        <v>6012</v>
      </c>
      <c r="B12" s="1494" t="s">
        <v>4042</v>
      </c>
      <c r="C12" s="1495"/>
      <c r="D12" s="1495"/>
      <c r="E12" s="1495"/>
      <c r="F12" s="1496"/>
      <c r="G12" s="1497">
        <f>SUMPRODUCT(((LEFT(BalanceN!$A$4:$A$9999,4)="6012"))*BalanceN!$G$4:$G$9999)</f>
        <v>0</v>
      </c>
      <c r="H12" s="1497">
        <f>SUMPRODUCT(((LEFT(BalanceN!$A$4:$A$9999,4)="6012"))*BalanceN!$G$4:$G$9999)</f>
        <v>0</v>
      </c>
      <c r="I12" s="1498">
        <f t="shared" si="0"/>
        <v>0</v>
      </c>
      <c r="J12" s="1499" t="str">
        <f t="shared" ref="J12:J73" si="1">IF(H12,(G12-H12)/H12,IF(ISBLANK(H12),"",IF(G12,IF( G12 &gt; 0,1,-1),"")))</f>
        <v/>
      </c>
    </row>
    <row r="13" spans="1:10" ht="14.1" customHeight="1" x14ac:dyDescent="0.25">
      <c r="A13" s="1493">
        <v>6013</v>
      </c>
      <c r="B13" s="1494" t="s">
        <v>4043</v>
      </c>
      <c r="C13" s="1495"/>
      <c r="D13" s="1495"/>
      <c r="E13" s="1495"/>
      <c r="F13" s="1496"/>
      <c r="G13" s="1497">
        <f>SUMPRODUCT(((LEFT(BalanceN!$A$4:$A$9999,4)="6013"))*BalanceN!$G$4:$G$9999)</f>
        <v>0</v>
      </c>
      <c r="H13" s="1497">
        <f>SUMPRODUCT(((LEFT(BalanceN!$A$4:$A$9999,4)="6013"))*BalanceN!$G$4:$G$9999)</f>
        <v>0</v>
      </c>
      <c r="I13" s="1498">
        <f t="shared" si="0"/>
        <v>0</v>
      </c>
      <c r="J13" s="1499" t="str">
        <f t="shared" si="1"/>
        <v/>
      </c>
    </row>
    <row r="14" spans="1:10" ht="14.1" customHeight="1" x14ac:dyDescent="0.25">
      <c r="A14" s="1493">
        <v>6014</v>
      </c>
      <c r="B14" s="1494" t="s">
        <v>4044</v>
      </c>
      <c r="C14" s="1495"/>
      <c r="D14" s="1495"/>
      <c r="E14" s="1495"/>
      <c r="F14" s="1496"/>
      <c r="G14" s="1497">
        <f>SUMPRODUCT(((LEFT(BalanceN!$A$4:$A$9999,4)="6014"))*BalanceN!$G$4:$G$9999)</f>
        <v>0</v>
      </c>
      <c r="H14" s="1497">
        <f>SUMPRODUCT(((LEFT(BalanceN!$A$4:$A$9999,4)="6014"))*BalanceN!$G$4:$G$9999)</f>
        <v>0</v>
      </c>
      <c r="I14" s="1498">
        <f t="shared" si="0"/>
        <v>0</v>
      </c>
      <c r="J14" s="1499" t="str">
        <f t="shared" si="1"/>
        <v/>
      </c>
    </row>
    <row r="15" spans="1:10" ht="14.1" customHeight="1" x14ac:dyDescent="0.25">
      <c r="A15" s="1493">
        <v>6015</v>
      </c>
      <c r="B15" s="1494" t="s">
        <v>456</v>
      </c>
      <c r="C15" s="1495"/>
      <c r="D15" s="1495"/>
      <c r="E15" s="1495"/>
      <c r="F15" s="1496"/>
      <c r="G15" s="1497">
        <f>SUMPRODUCT(((LEFT(BalanceN!$A$4:$A$9999,4)="6015"))*BalanceN!$G$4:$G$9999)</f>
        <v>0</v>
      </c>
      <c r="H15" s="1497">
        <f>SUMPRODUCT(((LEFT(BalanceN!$A$4:$A$9999,4)="6015"))*BalanceN!$G$4:$G$9999)</f>
        <v>0</v>
      </c>
      <c r="I15" s="1498">
        <f t="shared" si="0"/>
        <v>0</v>
      </c>
      <c r="J15" s="1499" t="str">
        <f t="shared" si="1"/>
        <v/>
      </c>
    </row>
    <row r="16" spans="1:10" ht="14.1" customHeight="1" thickBot="1" x14ac:dyDescent="0.3">
      <c r="A16" s="1493">
        <v>6019</v>
      </c>
      <c r="B16" s="1494" t="s">
        <v>4045</v>
      </c>
      <c r="C16" s="1495"/>
      <c r="D16" s="1495"/>
      <c r="E16" s="1495"/>
      <c r="F16" s="1496"/>
      <c r="G16" s="1500">
        <f>-SUMPRODUCT(((LEFT(BalanceN!$A$4:$A$9999,4)="6019"))*BalanceN!$H$4:$H$9999)</f>
        <v>0</v>
      </c>
      <c r="H16" s="1500">
        <f>-SUMPRODUCT(((LEFT(BalanceN!$A$4:$A$9999,4)="6019"))*BalanceN!$H$4:$H$9999)</f>
        <v>0</v>
      </c>
      <c r="I16" s="1491">
        <f t="shared" si="0"/>
        <v>0</v>
      </c>
      <c r="J16" s="1492" t="str">
        <f t="shared" si="1"/>
        <v/>
      </c>
    </row>
    <row r="17" spans="1:10" ht="14.1" customHeight="1" thickTop="1" thickBot="1" x14ac:dyDescent="0.3">
      <c r="A17" s="1501" t="s">
        <v>841</v>
      </c>
      <c r="B17" s="1502"/>
      <c r="C17" s="1503" t="s">
        <v>944</v>
      </c>
      <c r="D17" s="1495"/>
      <c r="E17" s="1495"/>
      <c r="F17" s="1496"/>
      <c r="G17" s="1504">
        <f>SUM(G11:G16)</f>
        <v>75000000</v>
      </c>
      <c r="H17" s="1504">
        <f>SUM(H11:H16)</f>
        <v>0</v>
      </c>
      <c r="I17" s="1505">
        <f>G17-H17</f>
        <v>75000000</v>
      </c>
      <c r="J17" s="1506">
        <f t="shared" si="1"/>
        <v>1</v>
      </c>
    </row>
    <row r="18" spans="1:10" ht="14.1" customHeight="1" thickTop="1" thickBot="1" x14ac:dyDescent="0.3">
      <c r="A18" s="1493">
        <v>6031</v>
      </c>
      <c r="B18" s="1494" t="s">
        <v>4046</v>
      </c>
      <c r="C18" s="1495"/>
      <c r="D18" s="1495"/>
      <c r="E18" s="1495"/>
      <c r="F18" s="1496"/>
      <c r="G18" s="1507">
        <f>+SUMPRODUCT(((LEFT(BalanceN!$A$4:$A$9999,4)="6031"))*BalanceN!$G$4:$G$9999)-SUMPRODUCT(((LEFT(BalanceN!$A$4:$A$9999,4)="6031"))*BalanceN!$H$4:$H$9999)</f>
        <v>-5000000</v>
      </c>
      <c r="H18" s="1507">
        <f>+SUMPRODUCT(((LEFT('BalanceN-1'!$A$4:$A$9999,4)="6031"))*'BalanceN-1'!$G$4:$G$9999)-SUMPRODUCT(((LEFT('BalanceN-1'!$A$4:$A$9999,4)="6031"))*'BalanceN-1'!$H$4:$H$9999)</f>
        <v>0</v>
      </c>
      <c r="I18" s="1508">
        <f t="shared" si="0"/>
        <v>-5000000</v>
      </c>
      <c r="J18" s="1509">
        <f t="shared" si="1"/>
        <v>-1</v>
      </c>
    </row>
    <row r="19" spans="1:10" ht="14.1" customHeight="1" thickTop="1" thickBot="1" x14ac:dyDescent="0.3">
      <c r="A19" s="1501" t="s">
        <v>842</v>
      </c>
      <c r="B19" s="1502"/>
      <c r="C19" s="1503" t="s">
        <v>4047</v>
      </c>
      <c r="D19" s="1495"/>
      <c r="E19" s="1495"/>
      <c r="F19" s="1496"/>
      <c r="G19" s="1510">
        <f>G18</f>
        <v>-5000000</v>
      </c>
      <c r="H19" s="1510">
        <f>H18</f>
        <v>0</v>
      </c>
      <c r="I19" s="1505">
        <f t="shared" si="0"/>
        <v>-5000000</v>
      </c>
      <c r="J19" s="1506">
        <f t="shared" si="1"/>
        <v>-1</v>
      </c>
    </row>
    <row r="20" spans="1:10" ht="14.1" customHeight="1" thickTop="1" x14ac:dyDescent="0.25">
      <c r="A20" s="1493">
        <v>6021</v>
      </c>
      <c r="B20" s="1494" t="s">
        <v>4048</v>
      </c>
      <c r="C20" s="1495"/>
      <c r="D20" s="1495"/>
      <c r="E20" s="1495"/>
      <c r="F20" s="1496"/>
      <c r="G20" s="1511">
        <f>SUMPRODUCT(((LEFT(BalanceN!$A$4:$A$9999,4)="6021"))*BalanceN!$G$4:$G$9999)</f>
        <v>923186842</v>
      </c>
      <c r="H20" s="1511">
        <f>SUMPRODUCT(((LEFT('BalanceN-1'!$A$4:$A$9999,4)="6021"))*'BalanceN-1'!$G$4:$G$9999)</f>
        <v>954585472</v>
      </c>
      <c r="I20" s="1491">
        <f t="shared" si="0"/>
        <v>-31398630</v>
      </c>
      <c r="J20" s="1492">
        <f t="shared" si="1"/>
        <v>-3.2892423906489117E-2</v>
      </c>
    </row>
    <row r="21" spans="1:10" ht="14.1" customHeight="1" x14ac:dyDescent="0.25">
      <c r="A21" s="1493">
        <v>6022</v>
      </c>
      <c r="B21" s="1494" t="s">
        <v>4049</v>
      </c>
      <c r="C21" s="1495"/>
      <c r="D21" s="1495"/>
      <c r="E21" s="1495"/>
      <c r="F21" s="1496"/>
      <c r="G21" s="1497">
        <f>SUMPRODUCT(((LEFT(BalanceN!$A$4:$A$9999,4)="6022"))*BalanceN!$G$4:$G$9999)</f>
        <v>5116850</v>
      </c>
      <c r="H21" s="1497">
        <f>SUMPRODUCT(((LEFT('BalanceN-1'!$A$4:$A$9999,4)="6022"))*'BalanceN-1'!$G$4:$G$9999)</f>
        <v>0</v>
      </c>
      <c r="I21" s="1498">
        <f t="shared" si="0"/>
        <v>5116850</v>
      </c>
      <c r="J21" s="1499">
        <f t="shared" si="1"/>
        <v>1</v>
      </c>
    </row>
    <row r="22" spans="1:10" ht="14.1" customHeight="1" x14ac:dyDescent="0.25">
      <c r="A22" s="1493">
        <v>6023</v>
      </c>
      <c r="B22" s="1494" t="s">
        <v>4050</v>
      </c>
      <c r="C22" s="1495"/>
      <c r="D22" s="1495"/>
      <c r="E22" s="1495"/>
      <c r="F22" s="1496"/>
      <c r="G22" s="1497">
        <f>SUMPRODUCT(((LEFT(BalanceN!$A$4:$A$9999,4)="6023"))*BalanceN!$G$4:$G$9999)</f>
        <v>0</v>
      </c>
      <c r="H22" s="1497">
        <f>SUMPRODUCT(((LEFT(BalanceN!$A$4:$A$9999,4)="6023"))*BalanceN!$G$4:$G$9999)</f>
        <v>0</v>
      </c>
      <c r="I22" s="1498">
        <f t="shared" si="0"/>
        <v>0</v>
      </c>
      <c r="J22" s="1499" t="str">
        <f t="shared" si="1"/>
        <v/>
      </c>
    </row>
    <row r="23" spans="1:10" ht="14.1" customHeight="1" x14ac:dyDescent="0.25">
      <c r="A23" s="1493">
        <v>6024</v>
      </c>
      <c r="B23" s="1494" t="s">
        <v>4051</v>
      </c>
      <c r="C23" s="1495"/>
      <c r="D23" s="1495"/>
      <c r="E23" s="1495"/>
      <c r="F23" s="1496"/>
      <c r="G23" s="1497">
        <f>SUMPRODUCT(((LEFT(BalanceN!$A$4:$A$9999,4)="6024"))*BalanceN!$G$4:$G$9999)</f>
        <v>0</v>
      </c>
      <c r="H23" s="1497">
        <f>SUMPRODUCT(((LEFT(BalanceN!$A$4:$A$9999,4)="6024"))*BalanceN!$G$4:$G$9999)</f>
        <v>0</v>
      </c>
      <c r="I23" s="1498">
        <f t="shared" si="0"/>
        <v>0</v>
      </c>
      <c r="J23" s="1499" t="str">
        <f t="shared" si="1"/>
        <v/>
      </c>
    </row>
    <row r="24" spans="1:10" ht="14.1" customHeight="1" x14ac:dyDescent="0.25">
      <c r="A24" s="1493">
        <v>6025</v>
      </c>
      <c r="B24" s="1494" t="s">
        <v>456</v>
      </c>
      <c r="C24" s="1495"/>
      <c r="D24" s="1495"/>
      <c r="E24" s="1495"/>
      <c r="F24" s="1496"/>
      <c r="G24" s="1497">
        <f>SUMPRODUCT(((LEFT(BalanceN!$A$4:$A$9999,4)="6025"))*BalanceN!$G$4:$G$9999)</f>
        <v>0</v>
      </c>
      <c r="H24" s="1497">
        <f>SUMPRODUCT(((LEFT(BalanceN!$A$4:$A$9999,4)="6025"))*BalanceN!$G$4:$G$9999)</f>
        <v>0</v>
      </c>
      <c r="I24" s="1498">
        <f t="shared" si="0"/>
        <v>0</v>
      </c>
      <c r="J24" s="1499" t="str">
        <f t="shared" si="1"/>
        <v/>
      </c>
    </row>
    <row r="25" spans="1:10" ht="14.1" customHeight="1" thickBot="1" x14ac:dyDescent="0.3">
      <c r="A25" s="1493">
        <v>6029</v>
      </c>
      <c r="B25" s="1494" t="s">
        <v>4045</v>
      </c>
      <c r="C25" s="1495"/>
      <c r="D25" s="1495"/>
      <c r="E25" s="1495"/>
      <c r="F25" s="1496"/>
      <c r="G25" s="1500">
        <f>-SUMPRODUCT(((LEFT(BalanceN!$A$4:$A$9999,4)="6029"))*BalanceN!$H$4:$H$9999)</f>
        <v>0</v>
      </c>
      <c r="H25" s="1500">
        <f>-SUMPRODUCT(((LEFT(BalanceN!$A$4:$A$9999,4)="6029"))*BalanceN!$H$4:$H$9999)</f>
        <v>0</v>
      </c>
      <c r="I25" s="1491">
        <f>G25-H25</f>
        <v>0</v>
      </c>
      <c r="J25" s="1492" t="str">
        <f t="shared" si="1"/>
        <v/>
      </c>
    </row>
    <row r="26" spans="1:10" ht="14.1" customHeight="1" thickTop="1" thickBot="1" x14ac:dyDescent="0.3">
      <c r="A26" s="1501" t="s">
        <v>843</v>
      </c>
      <c r="B26" s="1502"/>
      <c r="C26" s="1503" t="s">
        <v>952</v>
      </c>
      <c r="D26" s="1495"/>
      <c r="E26" s="1495"/>
      <c r="F26" s="1496"/>
      <c r="G26" s="1504">
        <f>SUM(G20:G25)</f>
        <v>928303692</v>
      </c>
      <c r="H26" s="1504">
        <f>SUM(H20:H25)</f>
        <v>954585472</v>
      </c>
      <c r="I26" s="1505">
        <f>G26-H26</f>
        <v>-26281780</v>
      </c>
      <c r="J26" s="1506">
        <f t="shared" si="1"/>
        <v>-2.7532139102154699E-2</v>
      </c>
    </row>
    <row r="27" spans="1:10" ht="14.1" customHeight="1" thickTop="1" thickBot="1" x14ac:dyDescent="0.3">
      <c r="A27" s="1493">
        <v>6032</v>
      </c>
      <c r="B27" s="1494" t="s">
        <v>4052</v>
      </c>
      <c r="C27" s="1495"/>
      <c r="D27" s="1495"/>
      <c r="E27" s="1495"/>
      <c r="F27" s="1496"/>
      <c r="G27" s="1507">
        <f>+SUMPRODUCT(((LEFT(BalanceN!$A$4:$A$9999,4)="6032"))*BalanceN!$G$4:$G$9999)-SUMPRODUCT(((LEFT(BalanceN!$A$4:$A$9999,4)="6032"))*BalanceN!$H$4:$H$9999)</f>
        <v>-106416</v>
      </c>
      <c r="H27" s="1507">
        <f>+SUMPRODUCT(((LEFT('BalanceN-1'!$A$4:$A$9999,4)="6032"))*'BalanceN-1'!$G$4:$G$9999)-SUMPRODUCT(((LEFT('BalanceN-1'!$A$4:$A$9999,4)="6032"))*'BalanceN-1'!$H$4:$H$9999)</f>
        <v>2830600</v>
      </c>
      <c r="I27" s="1508">
        <f>G27-H27</f>
        <v>-2937016</v>
      </c>
      <c r="J27" s="1506">
        <f t="shared" si="1"/>
        <v>-1.0375948562142301</v>
      </c>
    </row>
    <row r="28" spans="1:10" ht="14.1" customHeight="1" thickTop="1" thickBot="1" x14ac:dyDescent="0.3">
      <c r="A28" s="1501" t="s">
        <v>844</v>
      </c>
      <c r="B28" s="1502"/>
      <c r="C28" s="1503" t="s">
        <v>4053</v>
      </c>
      <c r="D28" s="1495"/>
      <c r="E28" s="1495"/>
      <c r="F28" s="1496"/>
      <c r="G28" s="1510">
        <f>G27</f>
        <v>-106416</v>
      </c>
      <c r="H28" s="1504">
        <f>H27</f>
        <v>2830600</v>
      </c>
      <c r="I28" s="1505">
        <f>G28-H28</f>
        <v>-2937016</v>
      </c>
      <c r="J28" s="1506">
        <f t="shared" si="1"/>
        <v>-1.0375948562142301</v>
      </c>
    </row>
    <row r="29" spans="1:10" ht="14.1" customHeight="1" thickTop="1" x14ac:dyDescent="0.25">
      <c r="A29" s="1493">
        <v>6041</v>
      </c>
      <c r="B29" s="1494" t="s">
        <v>446</v>
      </c>
      <c r="C29" s="1495"/>
      <c r="D29" s="1495"/>
      <c r="E29" s="1495"/>
      <c r="F29" s="1496"/>
      <c r="G29" s="1511">
        <f>SUMPRODUCT(((LEFT(BalanceN!$A$4:$A$9999,4)="6041"))*BalanceN!$G$4:$G$9999)</f>
        <v>0</v>
      </c>
      <c r="H29" s="1511">
        <f>SUMPRODUCT(((LEFT('BalanceN-1'!$A$4:$A$9999,4)="6041"))*'BalanceN-1'!$G$4:$G$9999)</f>
        <v>0</v>
      </c>
      <c r="I29" s="1491">
        <f t="shared" ref="I29:I73" si="2">G29-H29</f>
        <v>0</v>
      </c>
      <c r="J29" s="1492" t="str">
        <f t="shared" si="1"/>
        <v/>
      </c>
    </row>
    <row r="30" spans="1:10" ht="14.1" customHeight="1" x14ac:dyDescent="0.25">
      <c r="A30" s="1493">
        <v>6042</v>
      </c>
      <c r="B30" s="1494" t="s">
        <v>447</v>
      </c>
      <c r="C30" s="1495"/>
      <c r="D30" s="1495"/>
      <c r="E30" s="1495"/>
      <c r="F30" s="1496"/>
      <c r="G30" s="1497">
        <f>SUMPRODUCT(((LEFT(BalanceN!$A$4:$A$9999,4)="6042"))*BalanceN!$G$4:$G$9999)</f>
        <v>11259476</v>
      </c>
      <c r="H30" s="1497">
        <f>SUMPRODUCT(((LEFT('BalanceN-1'!$A$4:$A$9999,4)="6042"))*'BalanceN-1'!$G$4:$G$9999)</f>
        <v>12683576</v>
      </c>
      <c r="I30" s="1498">
        <f t="shared" si="2"/>
        <v>-1424100</v>
      </c>
      <c r="J30" s="1499">
        <f t="shared" si="1"/>
        <v>-0.1122790607317684</v>
      </c>
    </row>
    <row r="31" spans="1:10" ht="14.1" customHeight="1" x14ac:dyDescent="0.25">
      <c r="A31" s="1493">
        <v>6043</v>
      </c>
      <c r="B31" s="1494" t="s">
        <v>448</v>
      </c>
      <c r="C31" s="1495"/>
      <c r="D31" s="1495"/>
      <c r="E31" s="1495"/>
      <c r="F31" s="1496"/>
      <c r="G31" s="1497">
        <f>SUMPRODUCT(((LEFT(BalanceN!$A$4:$A$9999,4)="6043"))*BalanceN!$G$4:$G$9999)</f>
        <v>0</v>
      </c>
      <c r="H31" s="1497">
        <f>SUMPRODUCT(((LEFT('BalanceN-1'!$A$4:$A$9999,4)="6043"))*'BalanceN-1'!$G$4:$G$9999)</f>
        <v>1144000</v>
      </c>
      <c r="I31" s="1498">
        <f t="shared" si="2"/>
        <v>-1144000</v>
      </c>
      <c r="J31" s="1499">
        <f t="shared" si="1"/>
        <v>-1</v>
      </c>
    </row>
    <row r="32" spans="1:10" ht="14.1" customHeight="1" x14ac:dyDescent="0.25">
      <c r="A32" s="1493">
        <v>6044</v>
      </c>
      <c r="B32" s="1494" t="s">
        <v>4054</v>
      </c>
      <c r="C32" s="1495"/>
      <c r="D32" s="1495"/>
      <c r="E32" s="1495"/>
      <c r="F32" s="1496"/>
      <c r="G32" s="1511">
        <f>SUMPRODUCT(((LEFT(BalanceN!$A$4:$A$9999,4)="6044"))*BalanceN!$G$4:$G$9999)</f>
        <v>0</v>
      </c>
      <c r="H32" s="1511">
        <f>SUMPRODUCT(((LEFT('BalanceN-1'!$A$4:$A$9999,4)="6044"))*'BalanceN-1'!$G$4:$G$9999)</f>
        <v>0</v>
      </c>
      <c r="I32" s="1498">
        <f t="shared" si="2"/>
        <v>0</v>
      </c>
      <c r="J32" s="1499" t="str">
        <f t="shared" si="1"/>
        <v/>
      </c>
    </row>
    <row r="33" spans="1:10" ht="14.1" customHeight="1" x14ac:dyDescent="0.25">
      <c r="A33" s="1493">
        <v>6045</v>
      </c>
      <c r="B33" s="1494" t="s">
        <v>456</v>
      </c>
      <c r="C33" s="1495"/>
      <c r="D33" s="1495"/>
      <c r="E33" s="1495"/>
      <c r="F33" s="1496"/>
      <c r="G33" s="1497">
        <f>SUMPRODUCT(((LEFT(BalanceN!$A$4:$A$9999,4)="6045"))*BalanceN!$G$4:$G$9999)</f>
        <v>0</v>
      </c>
      <c r="H33" s="1497">
        <f>SUMPRODUCT(((LEFT('BalanceN-1'!$A$4:$A$9999,4)="6045"))*'BalanceN-1'!$G$4:$G$9999)</f>
        <v>0</v>
      </c>
      <c r="I33" s="1498">
        <f t="shared" si="2"/>
        <v>0</v>
      </c>
      <c r="J33" s="1499" t="str">
        <f t="shared" si="1"/>
        <v/>
      </c>
    </row>
    <row r="34" spans="1:10" ht="14.1" customHeight="1" x14ac:dyDescent="0.25">
      <c r="A34" s="1493">
        <v>6046</v>
      </c>
      <c r="B34" s="1494" t="s">
        <v>1070</v>
      </c>
      <c r="C34" s="1495"/>
      <c r="D34" s="1495"/>
      <c r="E34" s="1495"/>
      <c r="F34" s="1496"/>
      <c r="G34" s="1497">
        <f>SUMPRODUCT(((LEFT(BalanceN!$A$4:$A$9999,4)="6046"))*BalanceN!$G$4:$G$9999)</f>
        <v>0</v>
      </c>
      <c r="H34" s="1497">
        <f>SUMPRODUCT(((LEFT('BalanceN-1'!$A$4:$A$9999,4)="6046"))*'BalanceN-1'!$G$4:$G$9999)</f>
        <v>0</v>
      </c>
      <c r="I34" s="1498">
        <f t="shared" si="2"/>
        <v>0</v>
      </c>
      <c r="J34" s="1499" t="str">
        <f t="shared" si="1"/>
        <v/>
      </c>
    </row>
    <row r="35" spans="1:10" ht="14.1" customHeight="1" x14ac:dyDescent="0.25">
      <c r="A35" s="1493">
        <v>6047</v>
      </c>
      <c r="B35" s="1494" t="s">
        <v>4055</v>
      </c>
      <c r="C35" s="1495"/>
      <c r="D35" s="1495"/>
      <c r="E35" s="1495"/>
      <c r="F35" s="1496"/>
      <c r="G35" s="1511">
        <f>SUMPRODUCT(((LEFT(BalanceN!$A$4:$A$9999,4)="6047"))*BalanceN!$G$4:$G$9999)</f>
        <v>0</v>
      </c>
      <c r="H35" s="1511">
        <f>SUMPRODUCT(((LEFT('BalanceN-1'!$A$4:$A$9999,4)="6047"))*'BalanceN-1'!$G$4:$G$9999)</f>
        <v>0</v>
      </c>
      <c r="I35" s="1498">
        <f t="shared" si="2"/>
        <v>0</v>
      </c>
      <c r="J35" s="1499" t="str">
        <f t="shared" si="1"/>
        <v/>
      </c>
    </row>
    <row r="36" spans="1:10" ht="14.1" customHeight="1" x14ac:dyDescent="0.25">
      <c r="A36" s="1493">
        <v>6049</v>
      </c>
      <c r="B36" s="1494" t="s">
        <v>4045</v>
      </c>
      <c r="C36" s="1495"/>
      <c r="D36" s="1495"/>
      <c r="E36" s="1495"/>
      <c r="F36" s="1496"/>
      <c r="G36" s="1512">
        <f>-SUMPRODUCT(((LEFT(BalanceN!$A$4:$A$9999,4)="6049"))*BalanceN!$H$4:$H$9999)</f>
        <v>0</v>
      </c>
      <c r="H36" s="1512">
        <f>-SUMPRODUCT(((LEFT('BalanceN-1'!$A$4:$A$9999,4)="6049"))*'BalanceN-1'!$H$4:$H$9999)</f>
        <v>0</v>
      </c>
      <c r="I36" s="1498">
        <f t="shared" si="2"/>
        <v>0</v>
      </c>
      <c r="J36" s="1499" t="str">
        <f t="shared" si="1"/>
        <v/>
      </c>
    </row>
    <row r="37" spans="1:10" ht="14.1" customHeight="1" x14ac:dyDescent="0.25">
      <c r="A37" s="1493">
        <v>6051</v>
      </c>
      <c r="B37" s="1494" t="s">
        <v>4056</v>
      </c>
      <c r="C37" s="1495"/>
      <c r="D37" s="1495"/>
      <c r="E37" s="1495"/>
      <c r="F37" s="1496"/>
      <c r="G37" s="1497">
        <f>SUMPRODUCT(((LEFT(BalanceN!$A$4:$A$9999,4)="6051"))*BalanceN!$G$4:$G$9999)</f>
        <v>5507820</v>
      </c>
      <c r="H37" s="1497">
        <f>SUMPRODUCT(((LEFT('BalanceN-1'!$A$4:$A$9999,4)="6051"))*'BalanceN-1'!$G$4:$G$9999)</f>
        <v>4659249</v>
      </c>
      <c r="I37" s="1498">
        <f t="shared" si="2"/>
        <v>848571</v>
      </c>
      <c r="J37" s="1499">
        <f t="shared" si="1"/>
        <v>0.18212613234450445</v>
      </c>
    </row>
    <row r="38" spans="1:10" ht="14.1" customHeight="1" x14ac:dyDescent="0.25">
      <c r="A38" s="1493">
        <v>6052</v>
      </c>
      <c r="B38" s="1494" t="s">
        <v>4057</v>
      </c>
      <c r="C38" s="1495"/>
      <c r="D38" s="1495"/>
      <c r="E38" s="1495"/>
      <c r="F38" s="1496"/>
      <c r="G38" s="1511">
        <f>SUMPRODUCT(((LEFT(BalanceN!$A$4:$A$9999,4)="6052"))*BalanceN!$G$4:$G$9999)</f>
        <v>23946351</v>
      </c>
      <c r="H38" s="1511">
        <f>SUMPRODUCT(((LEFT('BalanceN-1'!$A$4:$A$9999,4)="6052"))*'BalanceN-1'!$G$4:$G$9999)</f>
        <v>21760619</v>
      </c>
      <c r="I38" s="1498">
        <f t="shared" si="2"/>
        <v>2185732</v>
      </c>
      <c r="J38" s="1499">
        <f t="shared" si="1"/>
        <v>0.10044438533664875</v>
      </c>
    </row>
    <row r="39" spans="1:10" ht="14.1" customHeight="1" x14ac:dyDescent="0.25">
      <c r="A39" s="1493">
        <v>6053</v>
      </c>
      <c r="B39" s="1494" t="s">
        <v>4058</v>
      </c>
      <c r="C39" s="1495"/>
      <c r="D39" s="1495"/>
      <c r="E39" s="1495"/>
      <c r="F39" s="1496"/>
      <c r="G39" s="1497">
        <f>SUMPRODUCT(((LEFT(BalanceN!$A$4:$A$9999,4)="6053"))*BalanceN!$G$4:$G$9999)</f>
        <v>0</v>
      </c>
      <c r="H39" s="1497">
        <f>SUMPRODUCT(((LEFT('BalanceN-1'!$A$4:$A$9999,4)="6053"))*'BalanceN-1'!$G$4:$G$9999)</f>
        <v>0</v>
      </c>
      <c r="I39" s="1498">
        <f t="shared" si="2"/>
        <v>0</v>
      </c>
      <c r="J39" s="1499" t="str">
        <f t="shared" si="1"/>
        <v/>
      </c>
    </row>
    <row r="40" spans="1:10" ht="14.1" customHeight="1" x14ac:dyDescent="0.25">
      <c r="A40" s="1493">
        <v>6054</v>
      </c>
      <c r="B40" s="1494" t="s">
        <v>1072</v>
      </c>
      <c r="C40" s="1495"/>
      <c r="D40" s="1495"/>
      <c r="E40" s="1495"/>
      <c r="F40" s="1496"/>
      <c r="G40" s="1497">
        <f>SUMPRODUCT(((LEFT(BalanceN!$A$4:$A$9999,4)="6054"))*BalanceN!$G$4:$G$9999)</f>
        <v>3983103</v>
      </c>
      <c r="H40" s="1497">
        <f>SUMPRODUCT(((LEFT('BalanceN-1'!$A$4:$A$9999,4)="6054"))*'BalanceN-1'!$G$4:$G$9999)</f>
        <v>2179626</v>
      </c>
      <c r="I40" s="1498">
        <f t="shared" si="2"/>
        <v>1803477</v>
      </c>
      <c r="J40" s="1499">
        <f t="shared" si="1"/>
        <v>0.8274249802489051</v>
      </c>
    </row>
    <row r="41" spans="1:10" ht="14.1" customHeight="1" x14ac:dyDescent="0.25">
      <c r="A41" s="1493">
        <v>6055</v>
      </c>
      <c r="B41" s="1494" t="s">
        <v>1073</v>
      </c>
      <c r="C41" s="1495"/>
      <c r="D41" s="1495"/>
      <c r="E41" s="1495"/>
      <c r="F41" s="1496"/>
      <c r="G41" s="1511">
        <f>SUMPRODUCT(((LEFT(BalanceN!$A$4:$A$9999,4)="6055"))*BalanceN!$G$4:$G$9999)</f>
        <v>4273500</v>
      </c>
      <c r="H41" s="1511">
        <f>SUMPRODUCT(((LEFT('BalanceN-1'!$A$4:$A$9999,4)="6055"))*'BalanceN-1'!$G$4:$G$9999)</f>
        <v>5034950</v>
      </c>
      <c r="I41" s="1498">
        <f t="shared" si="2"/>
        <v>-761450</v>
      </c>
      <c r="J41" s="1499">
        <f t="shared" si="1"/>
        <v>-0.15123288215374531</v>
      </c>
    </row>
    <row r="42" spans="1:10" ht="14.1" customHeight="1" x14ac:dyDescent="0.25">
      <c r="A42" s="1493">
        <v>6056</v>
      </c>
      <c r="B42" s="1494" t="s">
        <v>4059</v>
      </c>
      <c r="C42" s="1495"/>
      <c r="D42" s="1495"/>
      <c r="E42" s="1495"/>
      <c r="F42" s="1496"/>
      <c r="G42" s="1497">
        <f>SUMPRODUCT(((LEFT(BalanceN!$A$4:$A$9999,4)="6056"))*BalanceN!$G$4:$G$9999)</f>
        <v>13718052</v>
      </c>
      <c r="H42" s="1497">
        <f>SUMPRODUCT(((LEFT('BalanceN-1'!$A$4:$A$9999,4)="6056"))*'BalanceN-1'!$G$4:$G$9999)</f>
        <v>11441377</v>
      </c>
      <c r="I42" s="1498">
        <f t="shared" si="2"/>
        <v>2276675</v>
      </c>
      <c r="J42" s="1499">
        <f t="shared" si="1"/>
        <v>0.19898610106108733</v>
      </c>
    </row>
    <row r="43" spans="1:10" ht="14.1" customHeight="1" x14ac:dyDescent="0.25">
      <c r="A43" s="1493">
        <v>6057</v>
      </c>
      <c r="B43" s="1494" t="s">
        <v>4060</v>
      </c>
      <c r="C43" s="1495"/>
      <c r="D43" s="1495"/>
      <c r="E43" s="1495"/>
      <c r="F43" s="1496"/>
      <c r="G43" s="1497">
        <f>SUMPRODUCT(((LEFT(BalanceN!$A$4:$A$9999,4)="6057"))*BalanceN!$G$4:$G$9999)</f>
        <v>12000</v>
      </c>
      <c r="H43" s="1497">
        <f>SUMPRODUCT(((LEFT('BalanceN-1'!$A$4:$A$9999,4)="6057"))*'BalanceN-1'!$G$4:$G$9999)</f>
        <v>505000</v>
      </c>
      <c r="I43" s="1498">
        <f t="shared" si="2"/>
        <v>-493000</v>
      </c>
      <c r="J43" s="1499">
        <f t="shared" si="1"/>
        <v>-0.97623762376237622</v>
      </c>
    </row>
    <row r="44" spans="1:10" ht="14.1" customHeight="1" x14ac:dyDescent="0.25">
      <c r="A44" s="1493">
        <v>6058</v>
      </c>
      <c r="B44" s="1494" t="s">
        <v>4061</v>
      </c>
      <c r="C44" s="1495"/>
      <c r="D44" s="1495"/>
      <c r="E44" s="1495"/>
      <c r="F44" s="1496"/>
      <c r="G44" s="1511">
        <f>SUMPRODUCT(((LEFT(BalanceN!$A$4:$A$9999,4)="6058"))*BalanceN!$G$4:$G$9999)</f>
        <v>0</v>
      </c>
      <c r="H44" s="1511">
        <f>SUMPRODUCT(((LEFT('BalanceN-1'!$A$4:$A$9999,4)="6058"))*'BalanceN-1'!$G$4:$G$9999)</f>
        <v>420025</v>
      </c>
      <c r="I44" s="1498">
        <f t="shared" si="2"/>
        <v>-420025</v>
      </c>
      <c r="J44" s="1499">
        <f t="shared" si="1"/>
        <v>-1</v>
      </c>
    </row>
    <row r="45" spans="1:10" ht="14.1" customHeight="1" x14ac:dyDescent="0.25">
      <c r="A45" s="1493">
        <v>6059</v>
      </c>
      <c r="B45" s="1494" t="s">
        <v>4045</v>
      </c>
      <c r="C45" s="1495"/>
      <c r="D45" s="1495"/>
      <c r="E45" s="1495"/>
      <c r="F45" s="1496"/>
      <c r="G45" s="1512">
        <f>-SUMPRODUCT(((LEFT(BalanceN!$A$4:$A$9999,4)="6059"))*BalanceN!$H$4:$H$9999)</f>
        <v>0</v>
      </c>
      <c r="H45" s="1512">
        <f>-SUMPRODUCT(((LEFT('BalanceN-1'!$A$4:$A$9999,4)="6059"))*'BalanceN-1'!$H$4:$H$9999)</f>
        <v>0</v>
      </c>
      <c r="I45" s="1498">
        <f t="shared" si="2"/>
        <v>0</v>
      </c>
      <c r="J45" s="1499" t="str">
        <f t="shared" si="1"/>
        <v/>
      </c>
    </row>
    <row r="46" spans="1:10" ht="14.1" customHeight="1" x14ac:dyDescent="0.25">
      <c r="A46" s="1493">
        <v>6081</v>
      </c>
      <c r="B46" s="1494" t="s">
        <v>1464</v>
      </c>
      <c r="C46" s="1495"/>
      <c r="D46" s="1495"/>
      <c r="E46" s="1495"/>
      <c r="F46" s="1496"/>
      <c r="G46" s="1497">
        <f>SUMPRODUCT(((LEFT(BalanceN!$A$4:$A$9999,4)="6081"))*BalanceN!$G$4:$G$9999)</f>
        <v>95566657</v>
      </c>
      <c r="H46" s="1497">
        <f>SUMPRODUCT(((LEFT('BalanceN-1'!$A$4:$A$9999,4)="6081"))*'BalanceN-1'!$G$4:$G$9999)</f>
        <v>101292095</v>
      </c>
      <c r="I46" s="1498">
        <f t="shared" si="2"/>
        <v>-5725438</v>
      </c>
      <c r="J46" s="1499">
        <f t="shared" si="1"/>
        <v>-5.6524035760144954E-2</v>
      </c>
    </row>
    <row r="47" spans="1:10" ht="14.1" customHeight="1" x14ac:dyDescent="0.25">
      <c r="A47" s="1493">
        <v>6082</v>
      </c>
      <c r="B47" s="1494" t="s">
        <v>4062</v>
      </c>
      <c r="C47" s="1495"/>
      <c r="D47" s="1495"/>
      <c r="E47" s="1495"/>
      <c r="F47" s="1496"/>
      <c r="G47" s="1511">
        <f>SUMPRODUCT(((LEFT(BalanceN!$A$4:$A$9999,4)="6082"))*BalanceN!$G$4:$G$9999)</f>
        <v>0</v>
      </c>
      <c r="H47" s="1511">
        <f>SUMPRODUCT(((LEFT('BalanceN-1'!$A$4:$A$9999,4)="6082"))*'BalanceN-1'!$G$4:$G$9999)</f>
        <v>0</v>
      </c>
      <c r="I47" s="1498">
        <f t="shared" si="2"/>
        <v>0</v>
      </c>
      <c r="J47" s="1499" t="str">
        <f t="shared" si="1"/>
        <v/>
      </c>
    </row>
    <row r="48" spans="1:10" ht="14.1" customHeight="1" x14ac:dyDescent="0.25">
      <c r="A48" s="1493">
        <v>6083</v>
      </c>
      <c r="B48" s="1494" t="s">
        <v>4063</v>
      </c>
      <c r="C48" s="1495"/>
      <c r="D48" s="1495"/>
      <c r="E48" s="1495"/>
      <c r="F48" s="1496"/>
      <c r="G48" s="1497">
        <f>SUMPRODUCT(((LEFT(BalanceN!$A$4:$A$9999,4)="6083"))*BalanceN!$G$4:$G$9999)</f>
        <v>0</v>
      </c>
      <c r="H48" s="1497">
        <f>SUMPRODUCT(((LEFT('BalanceN-1'!$A$4:$A$9999,4)="6083"))*'BalanceN-1'!$G$4:$G$9999)</f>
        <v>0</v>
      </c>
      <c r="I48" s="1498">
        <f t="shared" si="2"/>
        <v>0</v>
      </c>
      <c r="J48" s="1499" t="str">
        <f t="shared" si="1"/>
        <v/>
      </c>
    </row>
    <row r="49" spans="1:10" ht="14.1" customHeight="1" x14ac:dyDescent="0.25">
      <c r="A49" s="1493">
        <v>6085</v>
      </c>
      <c r="B49" s="1494" t="s">
        <v>456</v>
      </c>
      <c r="C49" s="1495"/>
      <c r="D49" s="1495"/>
      <c r="E49" s="1495"/>
      <c r="F49" s="1496"/>
      <c r="G49" s="1497">
        <f>SUMPRODUCT(((LEFT(BalanceN!$A$4:$A$9999,4)="6085"))*BalanceN!$G$4:$G$9999)</f>
        <v>0</v>
      </c>
      <c r="H49" s="1497">
        <f>SUMPRODUCT(((LEFT('BalanceN-1'!$A$4:$A$9999,4)="6085"))*'BalanceN-1'!$G$4:$G$9999)</f>
        <v>0</v>
      </c>
      <c r="I49" s="1498">
        <f t="shared" si="2"/>
        <v>0</v>
      </c>
      <c r="J49" s="1499" t="str">
        <f t="shared" si="1"/>
        <v/>
      </c>
    </row>
    <row r="50" spans="1:10" ht="14.1" customHeight="1" thickBot="1" x14ac:dyDescent="0.3">
      <c r="A50" s="1493">
        <v>6089</v>
      </c>
      <c r="B50" s="1494" t="s">
        <v>4045</v>
      </c>
      <c r="C50" s="1495"/>
      <c r="D50" s="1495"/>
      <c r="E50" s="1495"/>
      <c r="F50" s="1496"/>
      <c r="G50" s="1500">
        <f>-SUMPRODUCT(((LEFT(BalanceN!$A$4:$A$9999,4)="6089"))*BalanceN!$H$4:$H$9999)</f>
        <v>0</v>
      </c>
      <c r="H50" s="1500">
        <f>-SUMPRODUCT(((LEFT('BalanceN-1'!$A$4:$A$9999,4)="6089"))*'BalanceN-1'!$H$4:$H$9999)</f>
        <v>0</v>
      </c>
      <c r="I50" s="1491">
        <f t="shared" si="2"/>
        <v>0</v>
      </c>
      <c r="J50" s="1492" t="str">
        <f t="shared" si="1"/>
        <v/>
      </c>
    </row>
    <row r="51" spans="1:10" ht="14.1" customHeight="1" thickTop="1" thickBot="1" x14ac:dyDescent="0.3">
      <c r="A51" s="1501" t="s">
        <v>845</v>
      </c>
      <c r="B51" s="1502"/>
      <c r="C51" s="1503" t="s">
        <v>954</v>
      </c>
      <c r="D51" s="1495"/>
      <c r="E51" s="1495"/>
      <c r="F51" s="1496"/>
      <c r="G51" s="1504">
        <f>SUM(G29:G50)</f>
        <v>158266959</v>
      </c>
      <c r="H51" s="1504">
        <f>SUM(H29:H50)</f>
        <v>161120517</v>
      </c>
      <c r="I51" s="1505">
        <f>G51-H51</f>
        <v>-2853558</v>
      </c>
      <c r="J51" s="1506">
        <f t="shared" si="1"/>
        <v>-1.7710705334938816E-2</v>
      </c>
    </row>
    <row r="52" spans="1:10" ht="14.1" customHeight="1" thickTop="1" thickBot="1" x14ac:dyDescent="0.3">
      <c r="A52" s="1493">
        <v>6033</v>
      </c>
      <c r="B52" s="1494" t="s">
        <v>4064</v>
      </c>
      <c r="C52" s="1495"/>
      <c r="D52" s="1495"/>
      <c r="E52" s="1495"/>
      <c r="F52" s="1496"/>
      <c r="G52" s="1507">
        <f>+SUMPRODUCT(((LEFT(BalanceN!$A$4:$A$9999,4)="6033"))*BalanceN!$G$4:$G$9999)-SUMPRODUCT(((LEFT(BalanceN!$A$4:$A$9999,4)="6033"))*BalanceN!$H$4:$H$9999)</f>
        <v>2414711</v>
      </c>
      <c r="H52" s="1507">
        <f>+SUMPRODUCT(((LEFT('BalanceN-1'!$A$4:$A$9999,4)="6033"))*'BalanceN-1'!$G$4:$G$9999)-SUMPRODUCT(((LEFT('BalanceN-1'!$A$4:$A$9999,4)="6033"))*'BalanceN-1'!$H$4:$H$9999)</f>
        <v>-1884647</v>
      </c>
      <c r="I52" s="1508">
        <f t="shared" si="2"/>
        <v>4299358</v>
      </c>
      <c r="J52" s="1506">
        <f t="shared" si="1"/>
        <v>-2.2812537308047607</v>
      </c>
    </row>
    <row r="53" spans="1:10" ht="14.1" customHeight="1" thickTop="1" thickBot="1" x14ac:dyDescent="0.3">
      <c r="A53" s="1501" t="s">
        <v>863</v>
      </c>
      <c r="B53" s="1502"/>
      <c r="C53" s="1503" t="s">
        <v>955</v>
      </c>
      <c r="D53" s="1495"/>
      <c r="E53" s="1495"/>
      <c r="F53" s="1496"/>
      <c r="G53" s="1510">
        <f>G52</f>
        <v>2414711</v>
      </c>
      <c r="H53" s="1510">
        <f>H52</f>
        <v>-1884647</v>
      </c>
      <c r="I53" s="1505">
        <f>G53-H53</f>
        <v>4299358</v>
      </c>
      <c r="J53" s="1506">
        <f t="shared" si="1"/>
        <v>-2.2812537308047607</v>
      </c>
    </row>
    <row r="54" spans="1:10" ht="14.1" customHeight="1" thickTop="1" x14ac:dyDescent="0.25">
      <c r="A54" s="1493">
        <v>612</v>
      </c>
      <c r="B54" s="1494" t="s">
        <v>460</v>
      </c>
      <c r="C54" s="1495"/>
      <c r="D54" s="1495"/>
      <c r="E54" s="1495"/>
      <c r="F54" s="1496"/>
      <c r="G54" s="1511">
        <f>SUMPRODUCT(((LEFT(BalanceN!$A$4:$A$9999,3)="612"))*BalanceN!$G$4:$G$9999)-SUMPRODUCT(((LEFT(BalanceN!$A$4:$A$9999,3)="612"))*BalanceN!$H$4:$H$9999)</f>
        <v>323526071</v>
      </c>
      <c r="H54" s="1511">
        <f>SUMPRODUCT(((LEFT('BalanceN-1'!$A$4:$A$9999,3)="612"))*'BalanceN-1'!$G$4:$G$9999)-SUMPRODUCT(((LEFT('BalanceN-1'!$A$4:$A$9999,3)="612"))*'BalanceN-1'!$H$4:$H$9999)</f>
        <v>327994361</v>
      </c>
      <c r="I54" s="1491">
        <f t="shared" si="2"/>
        <v>-4468290</v>
      </c>
      <c r="J54" s="1492">
        <f t="shared" si="1"/>
        <v>-1.3623069574662597E-2</v>
      </c>
    </row>
    <row r="55" spans="1:10" ht="14.1" customHeight="1" x14ac:dyDescent="0.25">
      <c r="A55" s="1493">
        <v>613</v>
      </c>
      <c r="B55" s="1494" t="s">
        <v>461</v>
      </c>
      <c r="C55" s="1495"/>
      <c r="D55" s="1495"/>
      <c r="E55" s="1495"/>
      <c r="F55" s="1496"/>
      <c r="G55" s="1497">
        <f>SUMPRODUCT(((LEFT(BalanceN!$A$4:$A$9999,3)="613"))*BalanceN!$G$4:$G$9999)-SUMPRODUCT(((LEFT(BalanceN!$A$4:$A$9999,3)="613"))*BalanceN!$H$4:$H$9999)</f>
        <v>0</v>
      </c>
      <c r="H55" s="1497">
        <f>SUMPRODUCT(((LEFT('BalanceN-1'!$A$4:$A$9999,3)="613"))*'BalanceN-1'!$G$4:$G$9999)-SUMPRODUCT(((LEFT('BalanceN-1'!$A$4:$A$9999,3)="613"))*'BalanceN-1'!$H$4:$H$9999)</f>
        <v>0</v>
      </c>
      <c r="I55" s="1498">
        <f t="shared" si="2"/>
        <v>0</v>
      </c>
      <c r="J55" s="1499" t="str">
        <f t="shared" si="1"/>
        <v/>
      </c>
    </row>
    <row r="56" spans="1:10" ht="14.1" customHeight="1" x14ac:dyDescent="0.25">
      <c r="A56" s="1493">
        <v>614</v>
      </c>
      <c r="B56" s="1494" t="s">
        <v>4065</v>
      </c>
      <c r="C56" s="1495"/>
      <c r="D56" s="1495"/>
      <c r="E56" s="1495"/>
      <c r="F56" s="1496"/>
      <c r="G56" s="1497">
        <f>SUMPRODUCT(((LEFT(BalanceN!$A$4:$A$9999,3)="614"))*BalanceN!$G$4:$G$9999)-SUMPRODUCT(((LEFT(BalanceN!$A$4:$A$9999,3)="614"))*BalanceN!$H$4:$H$9999)</f>
        <v>0</v>
      </c>
      <c r="H56" s="1497">
        <f>SUMPRODUCT(((LEFT('BalanceN-1'!$A$4:$A$9999,3)="614"))*'BalanceN-1'!$G$4:$G$9999)-SUMPRODUCT(((LEFT('BalanceN-1'!$A$4:$A$9999,3)="614"))*'BalanceN-1'!$H$4:$H$9999)</f>
        <v>0</v>
      </c>
      <c r="I56" s="1498">
        <f t="shared" si="2"/>
        <v>0</v>
      </c>
      <c r="J56" s="1499" t="str">
        <f t="shared" si="1"/>
        <v/>
      </c>
    </row>
    <row r="57" spans="1:10" ht="14.1" customHeight="1" x14ac:dyDescent="0.25">
      <c r="A57" s="1493">
        <v>616</v>
      </c>
      <c r="B57" s="1494" t="s">
        <v>463</v>
      </c>
      <c r="C57" s="1495"/>
      <c r="D57" s="1495"/>
      <c r="E57" s="1495"/>
      <c r="F57" s="1496"/>
      <c r="G57" s="1497">
        <f>SUMPRODUCT(((LEFT(BalanceN!$A$4:$A$9999,3)="616"))*BalanceN!$G$4:$G$9999)-SUMPRODUCT(((LEFT(BalanceN!$A$4:$A$9999,3)="616"))*BalanceN!$H$4:$H$9999)</f>
        <v>0</v>
      </c>
      <c r="H57" s="1497">
        <f>SUMPRODUCT(((LEFT('BalanceN-1'!$A$4:$A$9999,3)="616"))*'BalanceN-1'!$G$4:$G$9999)-SUMPRODUCT(((LEFT('BalanceN-1'!$A$4:$A$9999,3)="616"))*'BalanceN-1'!$H$4:$H$9999)</f>
        <v>86870</v>
      </c>
      <c r="I57" s="1498">
        <f t="shared" si="2"/>
        <v>-86870</v>
      </c>
      <c r="J57" s="1499">
        <f t="shared" si="1"/>
        <v>-1</v>
      </c>
    </row>
    <row r="58" spans="1:10" ht="14.1" customHeight="1" x14ac:dyDescent="0.25">
      <c r="A58" s="1493">
        <v>6181</v>
      </c>
      <c r="B58" s="1494" t="s">
        <v>1465</v>
      </c>
      <c r="C58" s="1495"/>
      <c r="D58" s="1495"/>
      <c r="E58" s="1495"/>
      <c r="F58" s="1496"/>
      <c r="G58" s="1497">
        <f>SUMPRODUCT(((LEFT(BalanceN!$A$4:$A$9999,4)="6181"))*BalanceN!$G$4:$G$9999)-SUMPRODUCT(((LEFT(BalanceN!$A$4:$A$9999,4)="6181"))*BalanceN!$H$4:$H$9999)</f>
        <v>3958126</v>
      </c>
      <c r="H58" s="1497">
        <f>SUMPRODUCT(((LEFT('BalanceN-1'!$A$4:$A$9999,4)="6181"))*'BalanceN-1'!$G$4:$G$9999)-SUMPRODUCT(((LEFT('BalanceN-1'!$A$4:$A$9999,4)="6181"))*'BalanceN-1'!$H$4:$H$9999)</f>
        <v>306500</v>
      </c>
      <c r="I58" s="1498">
        <f t="shared" si="2"/>
        <v>3651626</v>
      </c>
      <c r="J58" s="1499">
        <f t="shared" si="1"/>
        <v>11.91395106035889</v>
      </c>
    </row>
    <row r="59" spans="1:10" ht="14.1" customHeight="1" x14ac:dyDescent="0.25">
      <c r="A59" s="1493">
        <v>6182</v>
      </c>
      <c r="B59" s="1494" t="s">
        <v>4066</v>
      </c>
      <c r="C59" s="1495"/>
      <c r="D59" s="1495"/>
      <c r="E59" s="1495"/>
      <c r="F59" s="1496"/>
      <c r="G59" s="1497">
        <f>SUMPRODUCT(((LEFT(BalanceN!$A$4:$A$9999,4)="6182"))*BalanceN!$G$4:$G$9999)-SUMPRODUCT(((LEFT(BalanceN!$A$4:$A$9999,4)="6182"))*BalanceN!$H$4:$H$9999)</f>
        <v>0</v>
      </c>
      <c r="H59" s="1497">
        <f>SUMPRODUCT(((LEFT('BalanceN-1'!$A$4:$A$9999,4)="6182"))*'BalanceN-1'!$G$4:$G$9999)-SUMPRODUCT(((LEFT('BalanceN-1'!$A$4:$A$9999,4)="6182"))*'BalanceN-1'!$H$4:$H$9999)</f>
        <v>0</v>
      </c>
      <c r="I59" s="1498">
        <f t="shared" si="2"/>
        <v>0</v>
      </c>
      <c r="J59" s="1499" t="str">
        <f t="shared" si="1"/>
        <v/>
      </c>
    </row>
    <row r="60" spans="1:10" ht="14.1" customHeight="1" x14ac:dyDescent="0.25">
      <c r="A60" s="1493">
        <v>6183</v>
      </c>
      <c r="B60" s="1494" t="s">
        <v>1466</v>
      </c>
      <c r="C60" s="1495"/>
      <c r="D60" s="1495"/>
      <c r="E60" s="1495"/>
      <c r="F60" s="1496"/>
      <c r="G60" s="1497">
        <f>SUMPRODUCT(((LEFT(BalanceN!$A$4:$A$9999,4)="6183"))*BalanceN!$G$4:$G$9999)-SUMPRODUCT(((LEFT(BalanceN!$A$4:$A$9999,4)="6183"))*BalanceN!$H$4:$H$9999)</f>
        <v>1662475</v>
      </c>
      <c r="H60" s="1497">
        <f>SUMPRODUCT(((LEFT('BalanceN-1'!$A$4:$A$9999,4)="6183"))*'BalanceN-1'!$G$4:$G$9999)-SUMPRODUCT(((LEFT('BalanceN-1'!$A$4:$A$9999,4)="6183"))*'BalanceN-1'!$H$4:$H$9999)</f>
        <v>685825</v>
      </c>
      <c r="I60" s="1498">
        <f t="shared" si="2"/>
        <v>976650</v>
      </c>
      <c r="J60" s="1499">
        <f t="shared" si="1"/>
        <v>1.4240513250464768</v>
      </c>
    </row>
    <row r="61" spans="1:10" ht="14.1" customHeight="1" thickBot="1" x14ac:dyDescent="0.3">
      <c r="A61" s="1493">
        <v>619</v>
      </c>
      <c r="B61" s="1494" t="s">
        <v>4045</v>
      </c>
      <c r="C61" s="1513"/>
      <c r="D61" s="1513"/>
      <c r="E61" s="1513"/>
      <c r="F61" s="1514"/>
      <c r="G61" s="1515">
        <f>-SUMPRODUCT(((LEFT(BalanceN!$A$4:$A$9999,3)="619"))*BalanceN!$H$4:$H$9999)</f>
        <v>0</v>
      </c>
      <c r="H61" s="1515">
        <f>-SUMPRODUCT(((LEFT('BalanceN-1'!$A$4:$A$9999,3)="619"))*'BalanceN-1'!$H$4:$H$9999)</f>
        <v>0</v>
      </c>
      <c r="I61" s="1516">
        <f t="shared" si="2"/>
        <v>0</v>
      </c>
      <c r="J61" s="1499" t="str">
        <f t="shared" si="1"/>
        <v/>
      </c>
    </row>
    <row r="62" spans="1:10" ht="14.1" customHeight="1" thickTop="1" thickBot="1" x14ac:dyDescent="0.3">
      <c r="A62" s="1501" t="s">
        <v>864</v>
      </c>
      <c r="B62" s="1502"/>
      <c r="C62" s="1503" t="s">
        <v>956</v>
      </c>
      <c r="D62" s="1495"/>
      <c r="E62" s="1495"/>
      <c r="F62" s="1496"/>
      <c r="G62" s="1504">
        <f>SUM(G54:G61)</f>
        <v>329146672</v>
      </c>
      <c r="H62" s="1504">
        <f>SUM(H54:H60)</f>
        <v>329073556</v>
      </c>
      <c r="I62" s="1505">
        <f>G62-H62</f>
        <v>73116</v>
      </c>
      <c r="J62" s="1506">
        <f t="shared" si="1"/>
        <v>2.2218740663561553E-4</v>
      </c>
    </row>
    <row r="63" spans="1:10" ht="14.1" customHeight="1" thickTop="1" x14ac:dyDescent="0.25">
      <c r="A63" s="1493">
        <v>621</v>
      </c>
      <c r="B63" s="1494" t="s">
        <v>466</v>
      </c>
      <c r="C63" s="1495"/>
      <c r="D63" s="1495"/>
      <c r="E63" s="1495"/>
      <c r="F63" s="1496"/>
      <c r="G63" s="1511">
        <f>SUMPRODUCT(((LEFT(BalanceN!$A$4:$A$9999,3)="621"))*BalanceN!$G$4:$G$9999)-SUMPRODUCT(((LEFT(BalanceN!$A$4:$A$9999,3)="621"))*BalanceN!$H$4:$H$9999)</f>
        <v>0</v>
      </c>
      <c r="H63" s="1511">
        <f>SUMPRODUCT(((LEFT('BalanceN-1'!$A$4:$A$9999,3)="621"))*'BalanceN-1'!$G$4:$G$9999)-SUMPRODUCT(((LEFT('BalanceN-1'!$A$4:$A$9999,3)="621"))*'BalanceN-1'!$H$4:$H$9999)</f>
        <v>0</v>
      </c>
      <c r="I63" s="1491">
        <f t="shared" si="2"/>
        <v>0</v>
      </c>
      <c r="J63" s="1492" t="str">
        <f t="shared" si="1"/>
        <v/>
      </c>
    </row>
    <row r="64" spans="1:10" ht="14.1" customHeight="1" x14ac:dyDescent="0.25">
      <c r="A64" s="1493">
        <v>6221</v>
      </c>
      <c r="B64" s="1494" t="s">
        <v>4067</v>
      </c>
      <c r="C64" s="1495"/>
      <c r="D64" s="1495"/>
      <c r="E64" s="1495"/>
      <c r="F64" s="1496"/>
      <c r="G64" s="1497">
        <f>SUMPRODUCT(((LEFT(BalanceN!$A$4:$A$9999,4)="6221"))*BalanceN!$G$4:$G$9999)-SUMPRODUCT(((LEFT(BalanceN!$A$4:$A$9999,4)="6221"))*BalanceN!$H$4:$H$9999)</f>
        <v>0</v>
      </c>
      <c r="H64" s="1497">
        <f>SUMPRODUCT(((LEFT('BalanceN-1'!$A$4:$A$9999,4)="6221"))*'BalanceN-1'!$G$4:$G$9999)-SUMPRODUCT(((LEFT('BalanceN-1'!$A$4:$A$9999,4)="6221"))*'BalanceN-1'!$H$4:$H$9999)</f>
        <v>0</v>
      </c>
      <c r="I64" s="1498">
        <f t="shared" si="2"/>
        <v>0</v>
      </c>
      <c r="J64" s="1499" t="str">
        <f t="shared" si="1"/>
        <v/>
      </c>
    </row>
    <row r="65" spans="1:10" ht="14.1" customHeight="1" x14ac:dyDescent="0.25">
      <c r="A65" s="1493">
        <v>6222</v>
      </c>
      <c r="B65" s="1494" t="s">
        <v>1467</v>
      </c>
      <c r="C65" s="1495"/>
      <c r="D65" s="1495"/>
      <c r="E65" s="1495"/>
      <c r="F65" s="1496"/>
      <c r="G65" s="1497">
        <f>SUMPRODUCT(((LEFT(BalanceN!$A$4:$A$9999,4)="6222"))*BalanceN!$G$4:$G$9999)-SUMPRODUCT(((LEFT(BalanceN!$A$4:$A$9999,4)="6222"))*BalanceN!$H$4:$H$9999)</f>
        <v>8400000</v>
      </c>
      <c r="H65" s="1497">
        <f>SUMPRODUCT(((LEFT('BalanceN-1'!$A$4:$A$9999,4)="6222"))*'BalanceN-1'!$G$4:$G$9999)-SUMPRODUCT(((LEFT('BalanceN-1'!$A$4:$A$9999,4)="6222"))*'BalanceN-1'!$H$4:$H$9999)</f>
        <v>8163500</v>
      </c>
      <c r="I65" s="1498">
        <f t="shared" si="2"/>
        <v>236500</v>
      </c>
      <c r="J65" s="1499">
        <f t="shared" si="1"/>
        <v>2.897041710050836E-2</v>
      </c>
    </row>
    <row r="66" spans="1:10" ht="14.1" customHeight="1" x14ac:dyDescent="0.25">
      <c r="A66" s="1493">
        <v>6223</v>
      </c>
      <c r="B66" s="1494" t="s">
        <v>4068</v>
      </c>
      <c r="C66" s="1495"/>
      <c r="D66" s="1495"/>
      <c r="E66" s="1495"/>
      <c r="F66" s="1496"/>
      <c r="G66" s="1497">
        <f>SUMPRODUCT(((LEFT(BalanceN!$A$4:$A$9999,4)="6223"))*BalanceN!$G$4:$G$9999)-SUMPRODUCT(((LEFT(BalanceN!$A$4:$A$9999,4)="6223"))*BalanceN!$H$4:$H$9999)</f>
        <v>12125000</v>
      </c>
      <c r="H66" s="1497">
        <f>SUMPRODUCT(((LEFT('BalanceN-1'!$A$4:$A$9999,4)="6223"))*'BalanceN-1'!$G$4:$G$9999)-SUMPRODUCT(((LEFT('BalanceN-1'!$A$4:$A$9999,4)="6223"))*'BalanceN-1'!$H$4:$H$9999)</f>
        <v>12720000</v>
      </c>
      <c r="I66" s="1498">
        <f t="shared" si="2"/>
        <v>-595000</v>
      </c>
      <c r="J66" s="1499">
        <f t="shared" si="1"/>
        <v>-4.6776729559748424E-2</v>
      </c>
    </row>
    <row r="67" spans="1:10" ht="14.1" customHeight="1" x14ac:dyDescent="0.25">
      <c r="A67" s="1493">
        <v>6224</v>
      </c>
      <c r="B67" s="1494" t="s">
        <v>4069</v>
      </c>
      <c r="C67" s="1495"/>
      <c r="D67" s="1495"/>
      <c r="E67" s="1495"/>
      <c r="F67" s="1496"/>
      <c r="G67" s="1497">
        <f>SUMPRODUCT(((LEFT(BalanceN!$A$4:$A$9999,4)="6224"))*BalanceN!$G$4:$G$9999)-SUMPRODUCT(((LEFT(BalanceN!$A$4:$A$9999,4)="6224"))*BalanceN!$H$4:$H$9999)</f>
        <v>0</v>
      </c>
      <c r="H67" s="1497">
        <f>SUMPRODUCT(((LEFT('BalanceN-1'!$A$4:$A$9999,4)="6224"))*'BalanceN-1'!$G$4:$G$9999)-SUMPRODUCT(((LEFT('BalanceN-1'!$A$4:$A$9999,4)="6224"))*'BalanceN-1'!$H$4:$H$9999)</f>
        <v>0</v>
      </c>
      <c r="I67" s="1498">
        <f t="shared" si="2"/>
        <v>0</v>
      </c>
      <c r="J67" s="1499" t="str">
        <f t="shared" si="1"/>
        <v/>
      </c>
    </row>
    <row r="68" spans="1:10" ht="14.1" customHeight="1" x14ac:dyDescent="0.25">
      <c r="A68" s="1493">
        <v>6225</v>
      </c>
      <c r="B68" s="1494" t="s">
        <v>4070</v>
      </c>
      <c r="C68" s="1495"/>
      <c r="D68" s="1495"/>
      <c r="E68" s="1495"/>
      <c r="F68" s="1496"/>
      <c r="G68" s="1497">
        <f>SUMPRODUCT(((LEFT(BalanceN!$A$4:$A$9999,4)="6225"))*BalanceN!$G$4:$G$9999)-SUMPRODUCT(((LEFT(BalanceN!$A$4:$A$9999,4)="6225"))*BalanceN!$H$4:$H$9999)</f>
        <v>0</v>
      </c>
      <c r="H68" s="1497">
        <f>SUMPRODUCT(((LEFT('BalanceN-1'!$A$4:$A$9999,4)="6225"))*'BalanceN-1'!$G$4:$G$9999)-SUMPRODUCT(((LEFT('BalanceN-1'!$A$4:$A$9999,4)="6225"))*'BalanceN-1'!$H$4:$H$9999)</f>
        <v>0</v>
      </c>
      <c r="I68" s="1498">
        <f t="shared" si="2"/>
        <v>0</v>
      </c>
      <c r="J68" s="1499" t="str">
        <f t="shared" si="1"/>
        <v/>
      </c>
    </row>
    <row r="69" spans="1:10" ht="14.1" customHeight="1" x14ac:dyDescent="0.25">
      <c r="A69" s="1493">
        <v>6226</v>
      </c>
      <c r="B69" s="1494" t="s">
        <v>3289</v>
      </c>
      <c r="C69" s="1495"/>
      <c r="D69" s="1495"/>
      <c r="E69" s="1495"/>
      <c r="F69" s="1496"/>
      <c r="G69" s="1497">
        <f>SUMPRODUCT(((LEFT(BalanceN!$A$4:$A$9999,4)="6226"))*BalanceN!$G$4:$G$9999)-SUMPRODUCT(((LEFT(BalanceN!$A$4:$A$9999,4)="6226"))*BalanceN!$H$4:$H$9999)</f>
        <v>0</v>
      </c>
      <c r="H69" s="1497">
        <f>SUMPRODUCT(((LEFT('BalanceN-1'!$A$4:$A$9999,4)="6226"))*'BalanceN-1'!$G$4:$G$9999)-SUMPRODUCT(((LEFT('BalanceN-1'!$A$4:$A$9999,4)="6226"))*'BalanceN-1'!$H$4:$H$9999)</f>
        <v>0</v>
      </c>
      <c r="I69" s="1498">
        <f t="shared" si="2"/>
        <v>0</v>
      </c>
      <c r="J69" s="1499" t="str">
        <f t="shared" si="1"/>
        <v/>
      </c>
    </row>
    <row r="70" spans="1:10" ht="14.1" customHeight="1" x14ac:dyDescent="0.25">
      <c r="A70" s="1493">
        <v>6228</v>
      </c>
      <c r="B70" s="1494" t="s">
        <v>4071</v>
      </c>
      <c r="C70" s="1495"/>
      <c r="D70" s="1495"/>
      <c r="E70" s="1495"/>
      <c r="F70" s="1496"/>
      <c r="G70" s="1497">
        <f>SUMPRODUCT(((LEFT(BalanceN!$A$4:$A$9999,4)="6228"))*BalanceN!$G$4:$G$9999)-SUMPRODUCT(((LEFT(BalanceN!$A$4:$A$9999,4)="6228"))*BalanceN!$H$4:$H$9999)</f>
        <v>282898</v>
      </c>
      <c r="H70" s="1497">
        <f>SUMPRODUCT(((LEFT('BalanceN-1'!$A$4:$A$9999,4)="6228"))*'BalanceN-1'!$G$4:$G$9999)-SUMPRODUCT(((LEFT('BalanceN-1'!$A$4:$A$9999,4)="6228"))*'BalanceN-1'!$H$4:$H$9999)</f>
        <v>2250259</v>
      </c>
      <c r="I70" s="1498">
        <f t="shared" si="2"/>
        <v>-1967361</v>
      </c>
      <c r="J70" s="1499">
        <f t="shared" si="1"/>
        <v>-0.8742820270911037</v>
      </c>
    </row>
    <row r="71" spans="1:10" ht="14.1" customHeight="1" x14ac:dyDescent="0.25">
      <c r="A71" s="1493">
        <v>6232</v>
      </c>
      <c r="B71" s="1494" t="s">
        <v>324</v>
      </c>
      <c r="C71" s="1495"/>
      <c r="D71" s="1495"/>
      <c r="E71" s="1495"/>
      <c r="F71" s="1496"/>
      <c r="G71" s="1511">
        <f>SUMPRODUCT(((LEFT(BalanceN!$A$4:$A$9999,4)="6232"))*BalanceN!$G$4:$G$9999)-SUMPRODUCT(((LEFT(BalanceN!$A$4:$A$9999,4)="6232"))*BalanceN!$H$4:$H$9999)</f>
        <v>0</v>
      </c>
      <c r="H71" s="1511">
        <f>SUMPRODUCT(((LEFT('BalanceN-1'!$A$4:$A$9999,4)="6232"))*'BalanceN-1'!$G$4:$G$9999)-SUMPRODUCT(((LEFT('BalanceN-1'!$A$4:$A$9999,4)="6232"))*'BalanceN-1'!$H$4:$H$9999)</f>
        <v>0</v>
      </c>
      <c r="I71" s="1498">
        <f t="shared" si="2"/>
        <v>0</v>
      </c>
      <c r="J71" s="1499" t="str">
        <f t="shared" si="1"/>
        <v/>
      </c>
    </row>
    <row r="72" spans="1:10" ht="14.1" customHeight="1" x14ac:dyDescent="0.25">
      <c r="A72" s="1493">
        <v>6233</v>
      </c>
      <c r="B72" s="1494" t="s">
        <v>325</v>
      </c>
      <c r="C72" s="1495"/>
      <c r="D72" s="1495"/>
      <c r="E72" s="1495"/>
      <c r="F72" s="1496"/>
      <c r="G72" s="1497">
        <f>SUMPRODUCT(((LEFT(BalanceN!$A$4:$A$9999,4)="6233"))*BalanceN!$G$4:$G$9999)-SUMPRODUCT(((LEFT(BalanceN!$A$4:$A$9999,4)="6233"))*BalanceN!$H$4:$H$9999)</f>
        <v>0</v>
      </c>
      <c r="H72" s="1497">
        <f>SUMPRODUCT(((LEFT('BalanceN-1'!$A$4:$A$9999,4)="6233"))*'BalanceN-1'!$G$4:$G$9999)-SUMPRODUCT(((LEFT('BalanceN-1'!$A$4:$A$9999,4)="6233"))*'BalanceN-1'!$H$4:$H$9999)</f>
        <v>0</v>
      </c>
      <c r="I72" s="1498">
        <f t="shared" si="2"/>
        <v>0</v>
      </c>
      <c r="J72" s="1499" t="str">
        <f t="shared" si="1"/>
        <v/>
      </c>
    </row>
    <row r="73" spans="1:10" ht="14.1" customHeight="1" x14ac:dyDescent="0.25">
      <c r="A73" s="1517">
        <v>6234</v>
      </c>
      <c r="B73" s="1518" t="s">
        <v>326</v>
      </c>
      <c r="C73" s="1519"/>
      <c r="D73" s="1519"/>
      <c r="E73" s="1519"/>
      <c r="F73" s="1520"/>
      <c r="G73" s="1521">
        <f>SUMPRODUCT(((LEFT(BalanceN!$A$4:$A$9999,4)="6234"))*BalanceN!$G$4:$G$9999)-SUMPRODUCT(((LEFT(BalanceN!$A$4:$A$9999,4)="6234"))*BalanceN!$H$4:$H$9999)</f>
        <v>0</v>
      </c>
      <c r="H73" s="1521">
        <f>SUMPRODUCT(((LEFT('BalanceN-1'!$A$4:$A$9999,4)="6234"))*'BalanceN-1'!$G$4:$G$9999)-SUMPRODUCT(((LEFT('BalanceN-1'!$A$4:$A$9999,4)="6234"))*'BalanceN-1'!$H$4:$H$9999)</f>
        <v>0</v>
      </c>
      <c r="I73" s="1522">
        <f t="shared" si="2"/>
        <v>0</v>
      </c>
      <c r="J73" s="1523" t="str">
        <f t="shared" si="1"/>
        <v/>
      </c>
    </row>
    <row r="74" spans="1:10" ht="14.1" customHeight="1" x14ac:dyDescent="0.25">
      <c r="A74" s="1524"/>
      <c r="B74" s="1525"/>
      <c r="C74" s="1495"/>
      <c r="D74" s="1495"/>
      <c r="E74" s="1495"/>
      <c r="F74" s="1495"/>
      <c r="G74" s="1526"/>
      <c r="H74" s="1526"/>
      <c r="I74" s="1527"/>
      <c r="J74" s="1528"/>
    </row>
    <row r="75" spans="1:10" ht="15" customHeight="1" x14ac:dyDescent="0.25">
      <c r="A75" s="2363" t="s">
        <v>4031</v>
      </c>
      <c r="B75" s="2364"/>
      <c r="C75" s="1529"/>
      <c r="D75" s="2365" t="s">
        <v>4072</v>
      </c>
      <c r="E75" s="2365"/>
      <c r="F75" s="2365"/>
      <c r="G75" s="2366"/>
      <c r="H75" s="2367" t="s">
        <v>4033</v>
      </c>
      <c r="I75" s="2368"/>
      <c r="J75" s="2369"/>
    </row>
    <row r="76" spans="1:10" x14ac:dyDescent="0.25">
      <c r="A76" s="1530" t="s">
        <v>3976</v>
      </c>
      <c r="B76" s="1531"/>
      <c r="C76" s="2351" t="str">
        <f>C2</f>
        <v>SAM CONSEILS</v>
      </c>
      <c r="D76" s="2351"/>
      <c r="E76" s="2351"/>
      <c r="F76" s="2351"/>
      <c r="G76" s="2351"/>
      <c r="H76" s="2351"/>
      <c r="I76" s="2351"/>
      <c r="J76" s="2351"/>
    </row>
    <row r="77" spans="1:10" x14ac:dyDescent="0.25">
      <c r="A77" s="1530" t="s">
        <v>1602</v>
      </c>
      <c r="B77" s="2351" t="str">
        <f>B3</f>
        <v>02 BP 5358 OUAGA 02</v>
      </c>
      <c r="C77" s="2351"/>
      <c r="D77" s="2351"/>
      <c r="E77" s="2351"/>
      <c r="F77" s="2351"/>
      <c r="G77" s="2351"/>
      <c r="H77" s="2351"/>
      <c r="I77" s="1532" t="s">
        <v>3977</v>
      </c>
      <c r="J77" s="1533" t="str">
        <f>J3</f>
        <v>SAM CONSEILS</v>
      </c>
    </row>
    <row r="78" spans="1:10" x14ac:dyDescent="0.25">
      <c r="A78" s="1534" t="s">
        <v>3978</v>
      </c>
      <c r="B78" s="1530"/>
      <c r="C78" s="2351" t="str">
        <f>C4</f>
        <v>00084404X</v>
      </c>
      <c r="D78" s="2351"/>
      <c r="E78" s="1535"/>
      <c r="F78" s="1535"/>
      <c r="G78" s="1536" t="s">
        <v>3979</v>
      </c>
      <c r="H78" s="1537">
        <f>'Liste ETATS SUPPL DGI'!F5</f>
        <v>43465</v>
      </c>
      <c r="I78" s="1532" t="s">
        <v>3980</v>
      </c>
      <c r="J78" s="1533">
        <f>J4</f>
        <v>12</v>
      </c>
    </row>
    <row r="79" spans="1:10" x14ac:dyDescent="0.25">
      <c r="A79" s="1538" t="s">
        <v>3981</v>
      </c>
      <c r="B79" s="1530"/>
      <c r="C79" s="2351" t="str">
        <f>C5</f>
        <v>AMMTB89</v>
      </c>
      <c r="D79" s="2351"/>
      <c r="E79" s="2351"/>
      <c r="F79" s="2351"/>
      <c r="G79" s="1539"/>
      <c r="H79" s="1533"/>
      <c r="I79" s="1540"/>
      <c r="J79" s="1535"/>
    </row>
    <row r="80" spans="1:10" ht="5.25" customHeight="1" x14ac:dyDescent="0.25">
      <c r="A80" s="1541"/>
      <c r="B80" s="1541"/>
      <c r="C80" s="1542"/>
      <c r="D80" s="1542"/>
      <c r="E80" s="1543"/>
      <c r="F80" s="1544"/>
      <c r="G80" s="1545"/>
      <c r="H80" s="1546"/>
      <c r="I80" s="1483"/>
      <c r="J80" s="1482"/>
    </row>
    <row r="81" spans="1:10" x14ac:dyDescent="0.25">
      <c r="A81" s="2352" t="s">
        <v>4073</v>
      </c>
      <c r="B81" s="2353"/>
      <c r="C81" s="2353"/>
      <c r="D81" s="2353"/>
      <c r="E81" s="2353"/>
      <c r="F81" s="2353"/>
      <c r="G81" s="2353"/>
      <c r="H81" s="2353"/>
      <c r="I81" s="2353"/>
      <c r="J81" s="2354"/>
    </row>
    <row r="82" spans="1:10" ht="5.25" customHeight="1" x14ac:dyDescent="0.25">
      <c r="A82" s="1482"/>
      <c r="B82" s="1482"/>
      <c r="C82" s="1482"/>
      <c r="D82" s="1482"/>
      <c r="E82" s="1482"/>
      <c r="F82" s="1482"/>
      <c r="G82" s="1482"/>
      <c r="H82" s="1482"/>
      <c r="I82" s="1483"/>
      <c r="J82" s="1482"/>
    </row>
    <row r="83" spans="1:10" x14ac:dyDescent="0.25">
      <c r="A83" s="2355" t="s">
        <v>4035</v>
      </c>
      <c r="B83" s="2356"/>
      <c r="C83" s="2356"/>
      <c r="D83" s="2356"/>
      <c r="E83" s="2356"/>
      <c r="F83" s="2356"/>
      <c r="G83" s="2355" t="s">
        <v>4036</v>
      </c>
      <c r="H83" s="2355" t="s">
        <v>4037</v>
      </c>
      <c r="I83" s="2355" t="s">
        <v>4038</v>
      </c>
      <c r="J83" s="2362"/>
    </row>
    <row r="84" spans="1:10" x14ac:dyDescent="0.25">
      <c r="A84" s="2370"/>
      <c r="B84" s="2361"/>
      <c r="C84" s="2361"/>
      <c r="D84" s="2361"/>
      <c r="E84" s="2361"/>
      <c r="F84" s="2361"/>
      <c r="G84" s="2370"/>
      <c r="H84" s="2370"/>
      <c r="I84" s="1484" t="s">
        <v>4039</v>
      </c>
      <c r="J84" s="1485" t="s">
        <v>4040</v>
      </c>
    </row>
    <row r="85" spans="1:10" ht="14.1" customHeight="1" x14ac:dyDescent="0.25">
      <c r="A85" s="1493">
        <v>6238</v>
      </c>
      <c r="B85" s="1494" t="s">
        <v>4074</v>
      </c>
      <c r="C85" s="1495"/>
      <c r="D85" s="1495"/>
      <c r="E85" s="1495"/>
      <c r="F85" s="1496"/>
      <c r="G85" s="1497">
        <f>SUMPRODUCT(((LEFT(BalanceN!$A$4:$A$9999,4)="6238"))*BalanceN!$G$4:$G$9999)-SUMPRODUCT(((LEFT(BalanceN!$A$4:$A$9999,4)="6238"))*BalanceN!$H$4:$H$9999)</f>
        <v>0</v>
      </c>
      <c r="H85" s="1497">
        <f>SUMPRODUCT(((LEFT('BalanceN-1'!$A$4:$A$9999,4)="6238"))*'BalanceN-1'!$G$4:$G$9999)-SUMPRODUCT(((LEFT('BalanceN-1'!$A$4:$A$9999,4)="6238"))*'BalanceN-1'!$H$4:$H$9999)</f>
        <v>0</v>
      </c>
      <c r="I85" s="1498">
        <f t="shared" ref="I85:I148" si="3">G85-H85</f>
        <v>0</v>
      </c>
      <c r="J85" s="1499" t="str">
        <f>IF(H85,(G85-H85)/H85,IF(ISBLANK(H85),"",IF(G85,IF( G85 &gt; 0,1,-1),"")))</f>
        <v/>
      </c>
    </row>
    <row r="86" spans="1:10" ht="14.1" customHeight="1" x14ac:dyDescent="0.25">
      <c r="A86" s="1493">
        <v>6241</v>
      </c>
      <c r="B86" s="1494" t="s">
        <v>4075</v>
      </c>
      <c r="C86" s="1495"/>
      <c r="D86" s="1495"/>
      <c r="E86" s="1495"/>
      <c r="F86" s="1496"/>
      <c r="G86" s="1497">
        <f>SUMPRODUCT(((LEFT(BalanceN!$A$4:$A$9999,4)="6241"))*BalanceN!$G$4:$G$9999)-SUMPRODUCT(((LEFT(BalanceN!$A$4:$A$9999,4)="6241"))*BalanceN!$H$4:$H$9999)</f>
        <v>1951316</v>
      </c>
      <c r="H86" s="1497">
        <f>SUMPRODUCT(((LEFT('BalanceN-1'!$A$4:$A$9999,4)="6241"))*'BalanceN-1'!$G$4:$G$9999)-SUMPRODUCT(((LEFT('BalanceN-1'!$A$4:$A$9999,4)="6241"))*'BalanceN-1'!$H$4:$H$9999)</f>
        <v>0</v>
      </c>
      <c r="I86" s="1498">
        <f t="shared" si="3"/>
        <v>1951316</v>
      </c>
      <c r="J86" s="1499">
        <f t="shared" ref="J86:J148" si="4">IF(H86,(G86-H86)/H86,IF(ISBLANK(H86),"",IF(G86,IF( G86 &gt; 0,1,-1),"")))</f>
        <v>1</v>
      </c>
    </row>
    <row r="87" spans="1:10" ht="14.1" customHeight="1" x14ac:dyDescent="0.25">
      <c r="A87" s="1493">
        <v>6242</v>
      </c>
      <c r="B87" s="1494" t="s">
        <v>4076</v>
      </c>
      <c r="C87" s="1495"/>
      <c r="D87" s="1495"/>
      <c r="E87" s="1495"/>
      <c r="F87" s="1496"/>
      <c r="G87" s="1497">
        <f>SUMPRODUCT(((LEFT(BalanceN!$A$4:$A$9999,4)="6242"))*BalanceN!$G$4:$G$9999)-SUMPRODUCT(((LEFT(BalanceN!$A$4:$A$9999,4)="6242"))*BalanceN!$H$4:$H$9999)</f>
        <v>3672248</v>
      </c>
      <c r="H87" s="1497">
        <f>SUMPRODUCT(((LEFT('BalanceN-1'!$A$4:$A$9999,4)="6242"))*'BalanceN-1'!$G$4:$G$9999)-SUMPRODUCT(((LEFT('BalanceN-1'!$A$4:$A$9999,4)="6242"))*'BalanceN-1'!$H$4:$H$9999)</f>
        <v>3275032</v>
      </c>
      <c r="I87" s="1498">
        <f t="shared" si="3"/>
        <v>397216</v>
      </c>
      <c r="J87" s="1499">
        <f t="shared" si="4"/>
        <v>0.12128614315829586</v>
      </c>
    </row>
    <row r="88" spans="1:10" ht="14.1" customHeight="1" x14ac:dyDescent="0.25">
      <c r="A88" s="1493">
        <v>6243</v>
      </c>
      <c r="B88" s="1494" t="s">
        <v>1472</v>
      </c>
      <c r="C88" s="1495"/>
      <c r="D88" s="1495"/>
      <c r="E88" s="1495"/>
      <c r="F88" s="1496"/>
      <c r="G88" s="1497">
        <f>SUMPRODUCT(((LEFT(BalanceN!$A$4:$A$9999,4)="6243"))*BalanceN!$G$4:$G$9999)-SUMPRODUCT(((LEFT(BalanceN!$A$4:$A$9999,4)="6243"))*BalanceN!$H$4:$H$9999)</f>
        <v>6395000</v>
      </c>
      <c r="H88" s="1497">
        <f>SUMPRODUCT(((LEFT('BalanceN-1'!$A$4:$A$9999,4)="6243"))*'BalanceN-1'!$G$4:$G$9999)-SUMPRODUCT(((LEFT('BalanceN-1'!$A$4:$A$9999,4)="6243"))*'BalanceN-1'!$H$4:$H$9999)</f>
        <v>5500000</v>
      </c>
      <c r="I88" s="1498">
        <f t="shared" si="3"/>
        <v>895000</v>
      </c>
      <c r="J88" s="1499">
        <f t="shared" si="4"/>
        <v>0.16272727272727272</v>
      </c>
    </row>
    <row r="89" spans="1:10" ht="14.1" customHeight="1" x14ac:dyDescent="0.25">
      <c r="A89" s="1493">
        <v>6244</v>
      </c>
      <c r="B89" s="1494" t="s">
        <v>4077</v>
      </c>
      <c r="C89" s="1495"/>
      <c r="D89" s="1495"/>
      <c r="E89" s="1495"/>
      <c r="F89" s="1496"/>
      <c r="G89" s="1497">
        <f>SUMPRODUCT(((LEFT(BalanceN!$A$4:$A$9999,4)="6244"))*BalanceN!$G$4:$G$9999)-SUMPRODUCT(((LEFT(BalanceN!$A$4:$A$9999,4)="6244"))*BalanceN!$H$4:$H$9999)</f>
        <v>0</v>
      </c>
      <c r="H89" s="1497">
        <f>SUMPRODUCT(((LEFT('BalanceN-1'!$A$4:$A$9999,4)="6244"))*'BalanceN-1'!$G$4:$G$9999)-SUMPRODUCT(((LEFT('BalanceN-1'!$A$4:$A$9999,4)="6244"))*'BalanceN-1'!$H$4:$H$9999)</f>
        <v>0</v>
      </c>
      <c r="I89" s="1498">
        <f t="shared" si="3"/>
        <v>0</v>
      </c>
      <c r="J89" s="1499" t="str">
        <f t="shared" si="4"/>
        <v/>
      </c>
    </row>
    <row r="90" spans="1:10" ht="14.1" customHeight="1" x14ac:dyDescent="0.25">
      <c r="A90" s="1493">
        <v>6248</v>
      </c>
      <c r="B90" s="1494" t="s">
        <v>4078</v>
      </c>
      <c r="C90" s="1495"/>
      <c r="D90" s="1495"/>
      <c r="E90" s="1495"/>
      <c r="F90" s="1496"/>
      <c r="G90" s="1497">
        <f>SUMPRODUCT(((LEFT(BalanceN!$A$4:$A$9999,4)="6248"))*BalanceN!$G$4:$G$9999)-SUMPRODUCT(((LEFT(BalanceN!$A$4:$A$9999,4)="6248"))*BalanceN!$H$4:$H$9999)</f>
        <v>0</v>
      </c>
      <c r="H90" s="1497">
        <f>SUMPRODUCT(((LEFT('BalanceN-1'!$A$4:$A$9999,4)="6248"))*'BalanceN-1'!$G$4:$G$9999)-SUMPRODUCT(((LEFT('BalanceN-1'!$A$4:$A$9999,4)="6248"))*'BalanceN-1'!$H$4:$H$9999)</f>
        <v>931113</v>
      </c>
      <c r="I90" s="1498">
        <f t="shared" si="3"/>
        <v>-931113</v>
      </c>
      <c r="J90" s="1499">
        <f t="shared" si="4"/>
        <v>-1</v>
      </c>
    </row>
    <row r="91" spans="1:10" ht="14.1" customHeight="1" x14ac:dyDescent="0.25">
      <c r="A91" s="1493">
        <v>6251</v>
      </c>
      <c r="B91" s="1494" t="s">
        <v>3311</v>
      </c>
      <c r="C91" s="1495"/>
      <c r="D91" s="1495"/>
      <c r="E91" s="1495"/>
      <c r="F91" s="1496"/>
      <c r="G91" s="1497">
        <f>SUMPRODUCT(((LEFT(BalanceN!$A$4:$A$9999,4)="6251"))*BalanceN!$G$4:$G$9999)-SUMPRODUCT(((LEFT(BalanceN!$A$4:$A$9999,4)="6251"))*BalanceN!$H$4:$H$9999)</f>
        <v>1418702</v>
      </c>
      <c r="H91" s="1497">
        <f>SUMPRODUCT(((LEFT('BalanceN-1'!$A$4:$A$9999,4)="6251"))*'BalanceN-1'!$G$4:$G$9999)-SUMPRODUCT(((LEFT('BalanceN-1'!$A$4:$A$9999,4)="6251"))*'BalanceN-1'!$H$4:$H$9999)</f>
        <v>1459236</v>
      </c>
      <c r="I91" s="1498">
        <f t="shared" si="3"/>
        <v>-40534</v>
      </c>
      <c r="J91" s="1499">
        <f t="shared" si="4"/>
        <v>-2.7777549347740873E-2</v>
      </c>
    </row>
    <row r="92" spans="1:10" ht="14.1" customHeight="1" x14ac:dyDescent="0.25">
      <c r="A92" s="1493">
        <v>6252</v>
      </c>
      <c r="B92" s="1494" t="s">
        <v>4079</v>
      </c>
      <c r="C92" s="1495"/>
      <c r="D92" s="1495"/>
      <c r="E92" s="1495"/>
      <c r="F92" s="1496"/>
      <c r="G92" s="1497">
        <f>SUMPRODUCT(((LEFT(BalanceN!$A$4:$A$9999,4)="6252"))*BalanceN!$G$4:$G$9999)-SUMPRODUCT(((LEFT(BalanceN!$A$4:$A$9999,4)="6252"))*BalanceN!$H$4:$H$9999)</f>
        <v>1043074</v>
      </c>
      <c r="H92" s="1497">
        <f>SUMPRODUCT(((LEFT('BalanceN-1'!$A$4:$A$9999,4)="6252"))*'BalanceN-1'!$G$4:$G$9999)-SUMPRODUCT(((LEFT('BalanceN-1'!$A$4:$A$9999,4)="6252"))*'BalanceN-1'!$H$4:$H$9999)</f>
        <v>981248</v>
      </c>
      <c r="I92" s="1498">
        <f t="shared" si="3"/>
        <v>61826</v>
      </c>
      <c r="J92" s="1499">
        <f t="shared" si="4"/>
        <v>6.3007516957996348E-2</v>
      </c>
    </row>
    <row r="93" spans="1:10" ht="14.1" customHeight="1" x14ac:dyDescent="0.25">
      <c r="A93" s="1493">
        <v>6253</v>
      </c>
      <c r="B93" s="1494" t="s">
        <v>4080</v>
      </c>
      <c r="C93" s="1495"/>
      <c r="D93" s="1495"/>
      <c r="E93" s="1495"/>
      <c r="F93" s="1496"/>
      <c r="G93" s="1497">
        <f>SUMPRODUCT(((LEFT(BalanceN!$A$4:$A$9999,4)="6253"))*BalanceN!$G$4:$G$9999)-SUMPRODUCT(((LEFT(BalanceN!$A$4:$A$9999,4)="6253"))*BalanceN!$H$4:$H$9999)</f>
        <v>0</v>
      </c>
      <c r="H93" s="1497">
        <f>SUMPRODUCT(((LEFT('BalanceN-1'!$A$4:$A$9999,4)="6253"))*'BalanceN-1'!$G$4:$G$9999)-SUMPRODUCT(((LEFT('BalanceN-1'!$A$4:$A$9999,4)="6253"))*'BalanceN-1'!$H$4:$H$9999)</f>
        <v>0</v>
      </c>
      <c r="I93" s="1498">
        <f t="shared" si="3"/>
        <v>0</v>
      </c>
      <c r="J93" s="1499" t="str">
        <f t="shared" si="4"/>
        <v/>
      </c>
    </row>
    <row r="94" spans="1:10" ht="14.1" customHeight="1" x14ac:dyDescent="0.25">
      <c r="A94" s="1493">
        <v>6254</v>
      </c>
      <c r="B94" s="1494" t="s">
        <v>4081</v>
      </c>
      <c r="C94" s="1495"/>
      <c r="D94" s="1495"/>
      <c r="E94" s="1495"/>
      <c r="F94" s="1496"/>
      <c r="G94" s="1497">
        <f>SUMPRODUCT(((LEFT(BalanceN!$A$4:$A$9999,4)="6254"))*BalanceN!$G$4:$G$9999)-SUMPRODUCT(((LEFT(BalanceN!$A$4:$A$9999,4)="6254"))*BalanceN!$H$4:$H$9999)</f>
        <v>0</v>
      </c>
      <c r="H94" s="1497">
        <f>SUMPRODUCT(((LEFT('BalanceN-1'!$A$4:$A$9999,4)="6254"))*'BalanceN-1'!$G$4:$G$9999)-SUMPRODUCT(((LEFT('BalanceN-1'!$A$4:$A$9999,4)="6254"))*'BalanceN-1'!$H$4:$H$9999)</f>
        <v>0</v>
      </c>
      <c r="I94" s="1498">
        <f t="shared" si="3"/>
        <v>0</v>
      </c>
      <c r="J94" s="1499" t="str">
        <f t="shared" si="4"/>
        <v/>
      </c>
    </row>
    <row r="95" spans="1:10" ht="14.1" customHeight="1" x14ac:dyDescent="0.25">
      <c r="A95" s="1493">
        <v>6255</v>
      </c>
      <c r="B95" s="1494" t="s">
        <v>4082</v>
      </c>
      <c r="C95" s="1495"/>
      <c r="D95" s="1495"/>
      <c r="E95" s="1495"/>
      <c r="F95" s="1496"/>
      <c r="G95" s="1497">
        <f>SUMPRODUCT(((LEFT(BalanceN!$A$4:$A$9999,4)="6255"))*BalanceN!$G$4:$G$9999)-SUMPRODUCT(((LEFT(BalanceN!$A$4:$A$9999,4)="6255"))*BalanceN!$H$4:$H$9999)</f>
        <v>0</v>
      </c>
      <c r="H95" s="1497">
        <f>SUMPRODUCT(((LEFT('BalanceN-1'!$A$4:$A$9999,4)="6255"))*'BalanceN-1'!$G$4:$G$9999)-SUMPRODUCT(((LEFT('BalanceN-1'!$A$4:$A$9999,4)="6255"))*'BalanceN-1'!$H$4:$H$9999)</f>
        <v>0</v>
      </c>
      <c r="I95" s="1498">
        <f t="shared" si="3"/>
        <v>0</v>
      </c>
      <c r="J95" s="1499" t="str">
        <f t="shared" si="4"/>
        <v/>
      </c>
    </row>
    <row r="96" spans="1:10" ht="14.1" customHeight="1" x14ac:dyDescent="0.25">
      <c r="A96" s="1493">
        <v>6257</v>
      </c>
      <c r="B96" s="1494" t="s">
        <v>4083</v>
      </c>
      <c r="C96" s="1495"/>
      <c r="D96" s="1495"/>
      <c r="E96" s="1495"/>
      <c r="F96" s="1496"/>
      <c r="G96" s="1497">
        <f>SUMPRODUCT(((LEFT(BalanceN!$A$4:$A$9999,4)="6257"))*BalanceN!$G$4:$G$9999)-SUMPRODUCT(((LEFT(BalanceN!$A$4:$A$9999,4)="6257"))*BalanceN!$H$4:$H$9999)</f>
        <v>0</v>
      </c>
      <c r="H96" s="1497">
        <f>SUMPRODUCT(((LEFT('BalanceN-1'!$A$4:$A$9999,4)="6257"))*'BalanceN-1'!$G$4:$G$9999)-SUMPRODUCT(((LEFT('BalanceN-1'!$A$4:$A$9999,4)="6257"))*'BalanceN-1'!$H$4:$H$9999)</f>
        <v>0</v>
      </c>
      <c r="I96" s="1498">
        <f t="shared" si="3"/>
        <v>0</v>
      </c>
      <c r="J96" s="1499" t="str">
        <f t="shared" si="4"/>
        <v/>
      </c>
    </row>
    <row r="97" spans="1:10" ht="14.1" customHeight="1" x14ac:dyDescent="0.25">
      <c r="A97" s="1493">
        <v>6258</v>
      </c>
      <c r="B97" s="1494" t="s">
        <v>4084</v>
      </c>
      <c r="C97" s="1495"/>
      <c r="D97" s="1495"/>
      <c r="E97" s="1495"/>
      <c r="F97" s="1496"/>
      <c r="G97" s="1497">
        <f>SUMPRODUCT(((LEFT(BalanceN!$A$4:$A$9999,4)="6258"))*BalanceN!$G$4:$G$9999)-SUMPRODUCT(((LEFT(BalanceN!$A$4:$A$9999,4)="6258"))*BalanceN!$H$4:$H$9999)</f>
        <v>0</v>
      </c>
      <c r="H97" s="1497">
        <f>SUMPRODUCT(((LEFT('BalanceN-1'!$A$4:$A$9999,4)="6258"))*'BalanceN-1'!$G$4:$G$9999)-SUMPRODUCT(((LEFT('BalanceN-1'!$A$4:$A$9999,4)="6258"))*'BalanceN-1'!$H$4:$H$9999)</f>
        <v>0</v>
      </c>
      <c r="I97" s="1498">
        <f t="shared" si="3"/>
        <v>0</v>
      </c>
      <c r="J97" s="1499" t="str">
        <f t="shared" si="4"/>
        <v/>
      </c>
    </row>
    <row r="98" spans="1:10" ht="14.1" customHeight="1" x14ac:dyDescent="0.25">
      <c r="A98" s="1493">
        <v>6261</v>
      </c>
      <c r="B98" s="1494" t="s">
        <v>4085</v>
      </c>
      <c r="C98" s="1495"/>
      <c r="D98" s="1495"/>
      <c r="E98" s="1495"/>
      <c r="F98" s="1496"/>
      <c r="G98" s="1497">
        <f>SUMPRODUCT(((LEFT(BalanceN!$A$4:$A$9999,4)="6261"))*BalanceN!$G$4:$G$9999)-SUMPRODUCT(((LEFT(BalanceN!$A$4:$A$9999,4)="6261"))*BalanceN!$H$4:$H$9999)</f>
        <v>0</v>
      </c>
      <c r="H98" s="1497">
        <f>SUMPRODUCT(((LEFT('BalanceN-1'!$A$4:$A$9999,4)="6261"))*'BalanceN-1'!$G$4:$G$9999)-SUMPRODUCT(((LEFT('BalanceN-1'!$A$4:$A$9999,4)="6261"))*'BalanceN-1'!$H$4:$H$9999)</f>
        <v>0</v>
      </c>
      <c r="I98" s="1498">
        <f t="shared" si="3"/>
        <v>0</v>
      </c>
      <c r="J98" s="1499" t="str">
        <f t="shared" si="4"/>
        <v/>
      </c>
    </row>
    <row r="99" spans="1:10" ht="14.1" customHeight="1" x14ac:dyDescent="0.25">
      <c r="A99" s="1493">
        <v>6265</v>
      </c>
      <c r="B99" s="1494" t="s">
        <v>1552</v>
      </c>
      <c r="C99" s="1495"/>
      <c r="D99" s="1495"/>
      <c r="E99" s="1495"/>
      <c r="F99" s="1496"/>
      <c r="G99" s="1497">
        <f>SUMPRODUCT(((LEFT(BalanceN!$A$4:$A$9999,4)="6265"))*BalanceN!$G$4:$G$9999)-SUMPRODUCT(((LEFT(BalanceN!$A$4:$A$9999,4)="6265"))*BalanceN!$H$4:$H$9999)</f>
        <v>0</v>
      </c>
      <c r="H99" s="1497">
        <f>SUMPRODUCT(((LEFT('BalanceN-1'!$A$4:$A$9999,4)="6265"))*'BalanceN-1'!$G$4:$G$9999)-SUMPRODUCT(((LEFT('BalanceN-1'!$A$4:$A$9999,4)="6265"))*'BalanceN-1'!$H$4:$H$9999)</f>
        <v>30000</v>
      </c>
      <c r="I99" s="1498">
        <f t="shared" si="3"/>
        <v>-30000</v>
      </c>
      <c r="J99" s="1499">
        <f t="shared" si="4"/>
        <v>-1</v>
      </c>
    </row>
    <row r="100" spans="1:10" ht="14.1" customHeight="1" x14ac:dyDescent="0.25">
      <c r="A100" s="1493">
        <v>6266</v>
      </c>
      <c r="B100" s="1494" t="s">
        <v>4086</v>
      </c>
      <c r="C100" s="1495"/>
      <c r="D100" s="1495"/>
      <c r="E100" s="1495"/>
      <c r="F100" s="1496"/>
      <c r="G100" s="1497">
        <f>SUMPRODUCT(((LEFT(BalanceN!$A$4:$A$9999,4)="6266"))*BalanceN!$G$4:$G$9999)-SUMPRODUCT(((LEFT(BalanceN!$A$4:$A$9999,4)="6266"))*BalanceN!$H$4:$H$9999)</f>
        <v>0</v>
      </c>
      <c r="H100" s="1497">
        <f>SUMPRODUCT(((LEFT('BalanceN-1'!$A$4:$A$9999,4)="6266"))*'BalanceN-1'!$G$4:$G$9999)-SUMPRODUCT(((LEFT('BalanceN-1'!$A$4:$A$9999,4)="6266"))*'BalanceN-1'!$H$4:$H$9999)</f>
        <v>0</v>
      </c>
      <c r="I100" s="1498">
        <f t="shared" si="3"/>
        <v>0</v>
      </c>
      <c r="J100" s="1499" t="str">
        <f t="shared" si="4"/>
        <v/>
      </c>
    </row>
    <row r="101" spans="1:10" ht="14.1" customHeight="1" x14ac:dyDescent="0.25">
      <c r="A101" s="1493">
        <v>6271</v>
      </c>
      <c r="B101" s="1494" t="s">
        <v>4087</v>
      </c>
      <c r="C101" s="1495"/>
      <c r="D101" s="1495"/>
      <c r="E101" s="1495"/>
      <c r="F101" s="1496"/>
      <c r="G101" s="1497">
        <f>SUMPRODUCT(((LEFT(BalanceN!$A$4:$A$9999,4)="6271"))*BalanceN!$G$4:$G$9999)-SUMPRODUCT(((LEFT(BalanceN!$A$4:$A$9999,4)="6271"))*BalanceN!$H$4:$H$9999)</f>
        <v>0</v>
      </c>
      <c r="H101" s="1497">
        <f>SUMPRODUCT(((LEFT('BalanceN-1'!$A$4:$A$9999,4)="6271"))*'BalanceN-1'!$G$4:$G$9999)-SUMPRODUCT(((LEFT('BalanceN-1'!$A$4:$A$9999,4)="6271"))*'BalanceN-1'!$H$4:$H$9999)</f>
        <v>200000</v>
      </c>
      <c r="I101" s="1498">
        <f t="shared" si="3"/>
        <v>-200000</v>
      </c>
      <c r="J101" s="1499">
        <f t="shared" si="4"/>
        <v>-1</v>
      </c>
    </row>
    <row r="102" spans="1:10" ht="14.1" customHeight="1" x14ac:dyDescent="0.25">
      <c r="A102" s="1493">
        <v>6272</v>
      </c>
      <c r="B102" s="1494" t="s">
        <v>4088</v>
      </c>
      <c r="C102" s="1495"/>
      <c r="D102" s="1495"/>
      <c r="E102" s="1495"/>
      <c r="F102" s="1496"/>
      <c r="G102" s="1497">
        <f>SUMPRODUCT(((LEFT(BalanceN!$A$4:$A$9999,4)="6272"))*BalanceN!$G$4:$G$9999)-SUMPRODUCT(((LEFT(BalanceN!$A$4:$A$9999,4)="6272"))*BalanceN!$H$4:$H$9999)</f>
        <v>0</v>
      </c>
      <c r="H102" s="1497">
        <f>SUMPRODUCT(((LEFT('BalanceN-1'!$A$4:$A$9999,4)="6272"))*'BalanceN-1'!$G$4:$G$9999)-SUMPRODUCT(((LEFT('BalanceN-1'!$A$4:$A$9999,4)="6272"))*'BalanceN-1'!$H$4:$H$9999)</f>
        <v>0</v>
      </c>
      <c r="I102" s="1498">
        <f t="shared" si="3"/>
        <v>0</v>
      </c>
      <c r="J102" s="1499" t="str">
        <f t="shared" si="4"/>
        <v/>
      </c>
    </row>
    <row r="103" spans="1:10" ht="14.1" customHeight="1" x14ac:dyDescent="0.25">
      <c r="A103" s="1493">
        <v>6273</v>
      </c>
      <c r="B103" s="1494" t="s">
        <v>4089</v>
      </c>
      <c r="C103" s="1495"/>
      <c r="D103" s="1495"/>
      <c r="E103" s="1495"/>
      <c r="F103" s="1496"/>
      <c r="G103" s="1497">
        <f>SUMPRODUCT(((LEFT(BalanceN!$A$4:$A$9999,4)="6273"))*BalanceN!$G$4:$G$9999)-SUMPRODUCT(((LEFT(BalanceN!$A$4:$A$9999,4)="6273"))*BalanceN!$H$4:$H$9999)</f>
        <v>0</v>
      </c>
      <c r="H103" s="1497">
        <f>SUMPRODUCT(((LEFT('BalanceN-1'!$A$4:$A$9999,4)="6273"))*'BalanceN-1'!$G$4:$G$9999)-SUMPRODUCT(((LEFT('BalanceN-1'!$A$4:$A$9999,4)="6273"))*'BalanceN-1'!$H$4:$H$9999)</f>
        <v>0</v>
      </c>
      <c r="I103" s="1498">
        <f t="shared" si="3"/>
        <v>0</v>
      </c>
      <c r="J103" s="1499" t="str">
        <f t="shared" si="4"/>
        <v/>
      </c>
    </row>
    <row r="104" spans="1:10" ht="14.1" customHeight="1" x14ac:dyDescent="0.25">
      <c r="A104" s="1493">
        <v>6274</v>
      </c>
      <c r="B104" s="1494" t="s">
        <v>4090</v>
      </c>
      <c r="C104" s="1495"/>
      <c r="D104" s="1495"/>
      <c r="E104" s="1495"/>
      <c r="F104" s="1496"/>
      <c r="G104" s="1497">
        <f>SUMPRODUCT(((LEFT(BalanceN!$A$4:$A$9999,4)="6274"))*BalanceN!$G$4:$G$9999)-SUMPRODUCT(((LEFT(BalanceN!$A$4:$A$9999,4)="6274"))*BalanceN!$H$4:$H$9999)</f>
        <v>0</v>
      </c>
      <c r="H104" s="1497">
        <f>SUMPRODUCT(((LEFT('BalanceN-1'!$A$4:$A$9999,4)="6274"))*'BalanceN-1'!$G$4:$G$9999)-SUMPRODUCT(((LEFT('BalanceN-1'!$A$4:$A$9999,4)="6274"))*'BalanceN-1'!$H$4:$H$9999)</f>
        <v>0</v>
      </c>
      <c r="I104" s="1498">
        <f t="shared" si="3"/>
        <v>0</v>
      </c>
      <c r="J104" s="1499" t="str">
        <f t="shared" si="4"/>
        <v/>
      </c>
    </row>
    <row r="105" spans="1:10" ht="14.1" customHeight="1" x14ac:dyDescent="0.25">
      <c r="A105" s="1493">
        <v>6275</v>
      </c>
      <c r="B105" s="1494" t="s">
        <v>4091</v>
      </c>
      <c r="C105" s="1495"/>
      <c r="D105" s="1495"/>
      <c r="E105" s="1495"/>
      <c r="F105" s="1496"/>
      <c r="G105" s="1497">
        <f>SUMPRODUCT(((LEFT(BalanceN!$A$4:$A$9999,4)="6275"))*BalanceN!$G$4:$G$9999)-SUMPRODUCT(((LEFT(BalanceN!$A$4:$A$9999,4)="6275"))*BalanceN!$H$4:$H$9999)</f>
        <v>0</v>
      </c>
      <c r="H105" s="1497">
        <f>SUMPRODUCT(((LEFT('BalanceN-1'!$A$4:$A$9999,4)="6275"))*'BalanceN-1'!$G$4:$G$9999)-SUMPRODUCT(((LEFT('BalanceN-1'!$A$4:$A$9999,4)="6275"))*'BalanceN-1'!$H$4:$H$9999)</f>
        <v>0</v>
      </c>
      <c r="I105" s="1498">
        <f t="shared" si="3"/>
        <v>0</v>
      </c>
      <c r="J105" s="1499" t="str">
        <f t="shared" si="4"/>
        <v/>
      </c>
    </row>
    <row r="106" spans="1:10" ht="14.1" customHeight="1" x14ac:dyDescent="0.25">
      <c r="A106" s="1493">
        <v>6276</v>
      </c>
      <c r="B106" s="1494" t="s">
        <v>4092</v>
      </c>
      <c r="C106" s="1495"/>
      <c r="D106" s="1495"/>
      <c r="E106" s="1495"/>
      <c r="F106" s="1496"/>
      <c r="G106" s="1497">
        <f>SUMPRODUCT(((LEFT(BalanceN!$A$4:$A$9999,4)="6276"))*BalanceN!$G$4:$G$9999)-SUMPRODUCT(((LEFT(BalanceN!$A$4:$A$9999,4)="6276"))*BalanceN!$H$4:$H$9999)</f>
        <v>0</v>
      </c>
      <c r="H106" s="1497">
        <f>SUMPRODUCT(((LEFT('BalanceN-1'!$A$4:$A$9999,4)="6276"))*'BalanceN-1'!$G$4:$G$9999)-SUMPRODUCT(((LEFT('BalanceN-1'!$A$4:$A$9999,4)="6276"))*'BalanceN-1'!$H$4:$H$9999)</f>
        <v>0</v>
      </c>
      <c r="I106" s="1498">
        <f t="shared" si="3"/>
        <v>0</v>
      </c>
      <c r="J106" s="1499" t="str">
        <f t="shared" si="4"/>
        <v/>
      </c>
    </row>
    <row r="107" spans="1:10" ht="14.1" customHeight="1" x14ac:dyDescent="0.25">
      <c r="A107" s="1493">
        <v>6277</v>
      </c>
      <c r="B107" s="1494" t="s">
        <v>4093</v>
      </c>
      <c r="C107" s="1495"/>
      <c r="D107" s="1495"/>
      <c r="E107" s="1495"/>
      <c r="F107" s="1496"/>
      <c r="G107" s="1497">
        <f>SUMPRODUCT(((LEFT(BalanceN!$A$4:$A$9999,4)="6277"))*BalanceN!$G$4:$G$9999)-SUMPRODUCT(((LEFT(BalanceN!$A$4:$A$9999,4)="6277"))*BalanceN!$H$4:$H$9999)</f>
        <v>0</v>
      </c>
      <c r="H107" s="1497">
        <f>SUMPRODUCT(((LEFT('BalanceN-1'!$A$4:$A$9999,4)="6277"))*'BalanceN-1'!$G$4:$G$9999)-SUMPRODUCT(((LEFT('BalanceN-1'!$A$4:$A$9999,4)="6277"))*'BalanceN-1'!$H$4:$H$9999)</f>
        <v>0</v>
      </c>
      <c r="I107" s="1498">
        <f t="shared" si="3"/>
        <v>0</v>
      </c>
      <c r="J107" s="1499" t="str">
        <f t="shared" si="4"/>
        <v/>
      </c>
    </row>
    <row r="108" spans="1:10" ht="14.1" customHeight="1" x14ac:dyDescent="0.25">
      <c r="A108" s="1493">
        <v>6278</v>
      </c>
      <c r="B108" s="1494" t="s">
        <v>4094</v>
      </c>
      <c r="C108" s="1495"/>
      <c r="D108" s="1495"/>
      <c r="E108" s="1495"/>
      <c r="F108" s="1496"/>
      <c r="G108" s="1497">
        <f>SUMPRODUCT(((LEFT(BalanceN!$A$4:$A$9999,4)="6278"))*BalanceN!$G$4:$G$9999)-SUMPRODUCT(((LEFT(BalanceN!$A$4:$A$9999,4)="6278"))*BalanceN!$H$4:$H$9999)</f>
        <v>0</v>
      </c>
      <c r="H108" s="1497">
        <f>SUMPRODUCT(((LEFT('BalanceN-1'!$A$4:$A$9999,4)="6278"))*'BalanceN-1'!$G$4:$G$9999)-SUMPRODUCT(((LEFT('BalanceN-1'!$A$4:$A$9999,4)="6278"))*'BalanceN-1'!$H$4:$H$9999)</f>
        <v>0</v>
      </c>
      <c r="I108" s="1498">
        <f t="shared" si="3"/>
        <v>0</v>
      </c>
      <c r="J108" s="1499" t="str">
        <f t="shared" si="4"/>
        <v/>
      </c>
    </row>
    <row r="109" spans="1:10" ht="14.1" customHeight="1" x14ac:dyDescent="0.25">
      <c r="A109" s="1493">
        <v>6281</v>
      </c>
      <c r="B109" s="1494" t="s">
        <v>1476</v>
      </c>
      <c r="C109" s="1495"/>
      <c r="D109" s="1495"/>
      <c r="E109" s="1495"/>
      <c r="F109" s="1496"/>
      <c r="G109" s="1497">
        <f>SUMPRODUCT(((LEFT(BalanceN!$A$4:$A$9999,4)="6281"))*BalanceN!$G$4:$G$9999)-SUMPRODUCT(((LEFT(BalanceN!$A$4:$A$9999,4)="6281"))*BalanceN!$H$4:$H$9999)</f>
        <v>6506250</v>
      </c>
      <c r="H109" s="1497">
        <f>SUMPRODUCT(((LEFT('BalanceN-1'!$A$4:$A$9999,4)="6281"))*'BalanceN-1'!$G$4:$G$9999)-SUMPRODUCT(((LEFT('BalanceN-1'!$A$4:$A$9999,4)="6281"))*'BalanceN-1'!$H$4:$H$9999)</f>
        <v>4365850</v>
      </c>
      <c r="I109" s="1498">
        <f t="shared" si="3"/>
        <v>2140400</v>
      </c>
      <c r="J109" s="1499">
        <f t="shared" si="4"/>
        <v>0.49025962870918605</v>
      </c>
    </row>
    <row r="110" spans="1:10" ht="14.1" customHeight="1" x14ac:dyDescent="0.25">
      <c r="A110" s="1493">
        <v>6282</v>
      </c>
      <c r="B110" s="1494" t="s">
        <v>4095</v>
      </c>
      <c r="C110" s="1495"/>
      <c r="D110" s="1495"/>
      <c r="E110" s="1495"/>
      <c r="F110" s="1496"/>
      <c r="G110" s="1497">
        <f>SUMPRODUCT(((LEFT(BalanceN!$A$4:$A$9999,4)="6282"))*BalanceN!$G$4:$G$9999)-SUMPRODUCT(((LEFT(BalanceN!$A$4:$A$9999,4)="6282"))*BalanceN!$H$4:$H$9999)</f>
        <v>0</v>
      </c>
      <c r="H110" s="1497">
        <f>SUMPRODUCT(((LEFT('BalanceN-1'!$A$4:$A$9999,4)="6282"))*'BalanceN-1'!$G$4:$G$9999)-SUMPRODUCT(((LEFT('BalanceN-1'!$A$4:$A$9999,4)="6282"))*'BalanceN-1'!$H$4:$H$9999)</f>
        <v>0</v>
      </c>
      <c r="I110" s="1498">
        <f t="shared" si="3"/>
        <v>0</v>
      </c>
      <c r="J110" s="1499" t="str">
        <f t="shared" si="4"/>
        <v/>
      </c>
    </row>
    <row r="111" spans="1:10" ht="14.1" customHeight="1" x14ac:dyDescent="0.25">
      <c r="A111" s="1493">
        <v>6283</v>
      </c>
      <c r="B111" s="1494" t="s">
        <v>4096</v>
      </c>
      <c r="C111" s="1495"/>
      <c r="D111" s="1495"/>
      <c r="E111" s="1495"/>
      <c r="F111" s="1496"/>
      <c r="G111" s="1497">
        <f>SUMPRODUCT(((LEFT(BalanceN!$A$4:$A$9999,4)="6283"))*BalanceN!$G$4:$G$9999)-SUMPRODUCT(((LEFT(BalanceN!$A$4:$A$9999,4)="6283"))*BalanceN!$H$4:$H$9999)</f>
        <v>0</v>
      </c>
      <c r="H111" s="1497">
        <f>SUMPRODUCT(((LEFT('BalanceN-1'!$A$4:$A$9999,4)="6283"))*'BalanceN-1'!$G$4:$G$9999)-SUMPRODUCT(((LEFT('BalanceN-1'!$A$4:$A$9999,4)="6283"))*'BalanceN-1'!$H$4:$H$9999)</f>
        <v>0</v>
      </c>
      <c r="I111" s="1498">
        <f t="shared" si="3"/>
        <v>0</v>
      </c>
      <c r="J111" s="1499" t="str">
        <f t="shared" si="4"/>
        <v/>
      </c>
    </row>
    <row r="112" spans="1:10" s="1479" customFormat="1" ht="14.1" customHeight="1" x14ac:dyDescent="0.25">
      <c r="A112" s="1493">
        <v>6284</v>
      </c>
      <c r="B112" s="1494" t="s">
        <v>4097</v>
      </c>
      <c r="C112" s="1513"/>
      <c r="D112" s="1513"/>
      <c r="E112" s="1513"/>
      <c r="F112" s="1514"/>
      <c r="G112" s="1547">
        <f>SUMPRODUCT(((LEFT(BalanceN!$A$4:$A$9999,4)="6284"))*BalanceN!$G$4:$G$9999)-SUMPRODUCT(((LEFT(BalanceN!$A$4:$A$9999,4)="6284"))*BalanceN!$H$4:$H$9999)</f>
        <v>0</v>
      </c>
      <c r="H112" s="1547">
        <f>SUMPRODUCT(((LEFT('BalanceN-1'!$A$4:$A$9999,4)="6284"))*'BalanceN-1'!$G$4:$G$9999)-SUMPRODUCT(((LEFT('BalanceN-1'!$A$4:$A$9999,4)="6284"))*'BalanceN-1'!$H$4:$H$9999)</f>
        <v>0</v>
      </c>
      <c r="I112" s="1548">
        <f t="shared" si="3"/>
        <v>0</v>
      </c>
      <c r="J112" s="1549"/>
    </row>
    <row r="113" spans="1:10" ht="14.1" customHeight="1" x14ac:dyDescent="0.25">
      <c r="A113" s="1493">
        <v>6288</v>
      </c>
      <c r="B113" s="1494" t="s">
        <v>4098</v>
      </c>
      <c r="C113" s="1495"/>
      <c r="D113" s="1495"/>
      <c r="E113" s="1495"/>
      <c r="F113" s="1496"/>
      <c r="G113" s="1497">
        <f>SUMPRODUCT(((LEFT(BalanceN!$A$4:$A$9999,4)="6288"))*BalanceN!$G$4:$G$9999)-SUMPRODUCT(((LEFT(BalanceN!$A$4:$A$9999,4)="6288"))*BalanceN!$H$4:$H$9999)</f>
        <v>810400</v>
      </c>
      <c r="H113" s="1497">
        <f>SUMPRODUCT(((LEFT('BalanceN-1'!$A$4:$A$9999,4)="6288"))*'BalanceN-1'!$G$4:$G$9999)-SUMPRODUCT(((LEFT('BalanceN-1'!$A$4:$A$9999,4)="6288"))*'BalanceN-1'!$H$4:$H$9999)</f>
        <v>857400</v>
      </c>
      <c r="I113" s="1498">
        <f t="shared" si="3"/>
        <v>-47000</v>
      </c>
      <c r="J113" s="1499">
        <f t="shared" si="4"/>
        <v>-5.4816888266853277E-2</v>
      </c>
    </row>
    <row r="114" spans="1:10" ht="14.1" customHeight="1" x14ac:dyDescent="0.25">
      <c r="A114" s="1493">
        <v>6311</v>
      </c>
      <c r="B114" s="1494" t="s">
        <v>4099</v>
      </c>
      <c r="C114" s="1495"/>
      <c r="D114" s="1495"/>
      <c r="E114" s="1495"/>
      <c r="F114" s="1496"/>
      <c r="G114" s="1497">
        <f>SUMPRODUCT(((LEFT(BalanceN!$A$4:$A$9999,4)="6311"))*BalanceN!$G$4:$G$9999)-SUMPRODUCT(((LEFT(BalanceN!$A$4:$A$9999,4)="6311"))*BalanceN!$H$4:$H$9999)</f>
        <v>0</v>
      </c>
      <c r="H114" s="1497">
        <f>SUMPRODUCT(((LEFT('BalanceN-1'!$A$4:$A$9999,4)="6311"))*'BalanceN-1'!$G$4:$G$9999)-SUMPRODUCT(((LEFT('BalanceN-1'!$A$4:$A$9999,4)="6311"))*'BalanceN-1'!$H$4:$H$9999)</f>
        <v>0</v>
      </c>
      <c r="I114" s="1498">
        <f t="shared" si="3"/>
        <v>0</v>
      </c>
      <c r="J114" s="1499" t="str">
        <f>IF(H114,(G114-H114)/H114,IF(ISBLANK(H114),"",IF(G114,IF( G114 &gt; 0,1,-1),"")))</f>
        <v/>
      </c>
    </row>
    <row r="115" spans="1:10" ht="14.1" customHeight="1" x14ac:dyDescent="0.25">
      <c r="A115" s="1493">
        <v>6312</v>
      </c>
      <c r="B115" s="1494" t="s">
        <v>4100</v>
      </c>
      <c r="C115" s="1495"/>
      <c r="D115" s="1495"/>
      <c r="E115" s="1495"/>
      <c r="F115" s="1496"/>
      <c r="G115" s="1497">
        <f>SUMPRODUCT(((LEFT(BalanceN!$A$4:$A$9999,4)="6312"))*BalanceN!$G$4:$G$9999)-SUMPRODUCT(((LEFT(BalanceN!$A$4:$A$9999,4)="6312"))*BalanceN!$H$4:$H$9999)</f>
        <v>0</v>
      </c>
      <c r="H115" s="1497">
        <f>SUMPRODUCT(((LEFT('BalanceN-1'!$A$4:$A$9999,4)="6312"))*'BalanceN-1'!$G$4:$G$9999)-SUMPRODUCT(((LEFT('BalanceN-1'!$A$4:$A$9999,4)="6312"))*'BalanceN-1'!$H$4:$H$9999)</f>
        <v>0</v>
      </c>
      <c r="I115" s="1498">
        <f t="shared" si="3"/>
        <v>0</v>
      </c>
      <c r="J115" s="1499" t="str">
        <f t="shared" si="4"/>
        <v/>
      </c>
    </row>
    <row r="116" spans="1:10" ht="14.1" customHeight="1" x14ac:dyDescent="0.25">
      <c r="A116" s="1493">
        <v>6313</v>
      </c>
      <c r="B116" s="1494" t="s">
        <v>4101</v>
      </c>
      <c r="C116" s="1495"/>
      <c r="D116" s="1495"/>
      <c r="E116" s="1495"/>
      <c r="F116" s="1496"/>
      <c r="G116" s="1497">
        <f>SUMPRODUCT(((LEFT(BalanceN!$A$4:$A$9999,4)="6313"))*BalanceN!$G$4:$G$9999)-SUMPRODUCT(((LEFT(BalanceN!$A$4:$A$9999,4)="6313"))*BalanceN!$H$4:$H$9999)</f>
        <v>0</v>
      </c>
      <c r="H116" s="1497">
        <f>SUMPRODUCT(((LEFT('BalanceN-1'!$A$4:$A$9999,4)="6313"))*'BalanceN-1'!$G$4:$G$9999)-SUMPRODUCT(((LEFT('BalanceN-1'!$A$4:$A$9999,4)="6313"))*'BalanceN-1'!$H$4:$H$9999)</f>
        <v>0</v>
      </c>
      <c r="I116" s="1498">
        <f t="shared" si="3"/>
        <v>0</v>
      </c>
      <c r="J116" s="1499" t="str">
        <f t="shared" si="4"/>
        <v/>
      </c>
    </row>
    <row r="117" spans="1:10" ht="14.1" customHeight="1" x14ac:dyDescent="0.25">
      <c r="A117" s="1550">
        <v>6314</v>
      </c>
      <c r="B117" s="1494" t="s">
        <v>4102</v>
      </c>
      <c r="C117" s="1513"/>
      <c r="D117" s="1513"/>
      <c r="E117" s="1495"/>
      <c r="F117" s="1496"/>
      <c r="G117" s="1497">
        <f>SUMPRODUCT(((LEFT(BalanceN!$A$4:$A$9999,4)="6314"))*BalanceN!$G$4:$G$9999)-SUMPRODUCT(((LEFT(BalanceN!$A$4:$A$9999,4)="6314"))*BalanceN!$H$4:$H$9999)</f>
        <v>0</v>
      </c>
      <c r="H117" s="1497">
        <f>SUMPRODUCT(((LEFT('BalanceN-1'!$A$4:$A$9999,4)="6314"))*'BalanceN-1'!$G$4:$G$9999)-SUMPRODUCT(((LEFT('BalanceN-1'!$A$4:$A$9999,4)="6314"))*'BalanceN-1'!$H$4:$H$9999)</f>
        <v>0</v>
      </c>
      <c r="I117" s="1498">
        <f t="shared" si="3"/>
        <v>0</v>
      </c>
      <c r="J117" s="1499" t="str">
        <f t="shared" si="4"/>
        <v/>
      </c>
    </row>
    <row r="118" spans="1:10" ht="14.1" customHeight="1" x14ac:dyDescent="0.25">
      <c r="A118" s="1493">
        <v>6315</v>
      </c>
      <c r="B118" s="1494" t="s">
        <v>4103</v>
      </c>
      <c r="C118" s="1495"/>
      <c r="D118" s="1495"/>
      <c r="E118" s="1495"/>
      <c r="F118" s="1496"/>
      <c r="G118" s="1497">
        <f>SUMPRODUCT(((LEFT(BalanceN!$A$4:$A$9999,4)="6315"))*BalanceN!$G$4:$G$9999)-SUMPRODUCT(((LEFT(BalanceN!$A$4:$A$9999,4)="6315"))*BalanceN!$H$4:$H$9999)</f>
        <v>0</v>
      </c>
      <c r="H118" s="1497">
        <f>SUMPRODUCT(((LEFT('BalanceN-1'!$A$4:$A$9999,4)="6315"))*'BalanceN-1'!$G$4:$G$9999)-SUMPRODUCT(((LEFT('BalanceN-1'!$A$4:$A$9999,4)="6315"))*'BalanceN-1'!$H$4:$H$9999)</f>
        <v>0</v>
      </c>
      <c r="I118" s="1498">
        <f t="shared" si="3"/>
        <v>0</v>
      </c>
      <c r="J118" s="1499" t="str">
        <f t="shared" si="4"/>
        <v/>
      </c>
    </row>
    <row r="119" spans="1:10" ht="14.1" customHeight="1" x14ac:dyDescent="0.25">
      <c r="A119" s="1493">
        <v>6316</v>
      </c>
      <c r="B119" s="1494" t="s">
        <v>4104</v>
      </c>
      <c r="C119" s="1495"/>
      <c r="D119" s="1495"/>
      <c r="E119" s="1495"/>
      <c r="F119" s="1496"/>
      <c r="G119" s="1497">
        <f>SUMPRODUCT(((LEFT(BalanceN!$A$4:$A$9999,4)="6316"))*BalanceN!$G$4:$G$9999)-SUMPRODUCT(((LEFT(BalanceN!$A$4:$A$9999,4)="6316"))*BalanceN!$H$4:$H$9999)</f>
        <v>0</v>
      </c>
      <c r="H119" s="1497">
        <f>SUMPRODUCT(((LEFT('BalanceN-1'!$A$4:$A$9999,4)="6316"))*'BalanceN-1'!$G$4:$G$9999)-SUMPRODUCT(((LEFT('BalanceN-1'!$A$4:$A$9999,4)="6316"))*'BalanceN-1'!$H$4:$H$9999)</f>
        <v>0</v>
      </c>
      <c r="I119" s="1498">
        <f t="shared" si="3"/>
        <v>0</v>
      </c>
      <c r="J119" s="1499" t="str">
        <f t="shared" si="4"/>
        <v/>
      </c>
    </row>
    <row r="120" spans="1:10" ht="14.1" customHeight="1" x14ac:dyDescent="0.25">
      <c r="A120" s="1493">
        <v>6317</v>
      </c>
      <c r="B120" s="1494" t="s">
        <v>3367</v>
      </c>
      <c r="C120" s="1495"/>
      <c r="D120" s="1495"/>
      <c r="E120" s="1495"/>
      <c r="F120" s="1496"/>
      <c r="G120" s="1497">
        <f>SUMPRODUCT(((LEFT(BalanceN!$A$4:$A$9999,4)="6317"))*BalanceN!$G$4:$G$9999)-SUMPRODUCT(((LEFT(BalanceN!$A$4:$A$9999,4)="6317"))*BalanceN!$H$4:$H$9999)</f>
        <v>0</v>
      </c>
      <c r="H120" s="1497">
        <f>SUMPRODUCT(((LEFT('BalanceN-1'!$A$4:$A$9999,4)="6317"))*'BalanceN-1'!$G$4:$G$9999)-SUMPRODUCT(((LEFT('BalanceN-1'!$A$4:$A$9999,4)="6317"))*'BalanceN-1'!$H$4:$H$9999)</f>
        <v>0</v>
      </c>
      <c r="I120" s="1498">
        <f t="shared" si="3"/>
        <v>0</v>
      </c>
      <c r="J120" s="1499" t="str">
        <f t="shared" si="4"/>
        <v/>
      </c>
    </row>
    <row r="121" spans="1:10" ht="14.1" customHeight="1" x14ac:dyDescent="0.25">
      <c r="A121" s="1493">
        <v>6318</v>
      </c>
      <c r="B121" s="1494" t="s">
        <v>4105</v>
      </c>
      <c r="C121" s="1495"/>
      <c r="D121" s="1495"/>
      <c r="E121" s="1495"/>
      <c r="F121" s="1496"/>
      <c r="G121" s="1497">
        <f>SUMPRODUCT(((LEFT(BalanceN!$A$4:$A$9999,4)="6318"))*BalanceN!$G$4:$G$9999)-SUMPRODUCT(((LEFT(BalanceN!$A$4:$A$9999,4)="6318"))*BalanceN!$H$4:$H$9999)</f>
        <v>8430066</v>
      </c>
      <c r="H121" s="1497">
        <f>SUMPRODUCT(((LEFT('BalanceN-1'!$A$4:$A$9999,4)="6318"))*'BalanceN-1'!$G$4:$G$9999)-SUMPRODUCT(((LEFT('BalanceN-1'!$A$4:$A$9999,4)="6318"))*'BalanceN-1'!$H$4:$H$9999)</f>
        <v>12728046</v>
      </c>
      <c r="I121" s="1498">
        <f t="shared" si="3"/>
        <v>-4297980</v>
      </c>
      <c r="J121" s="1499">
        <f t="shared" si="4"/>
        <v>-0.33767791222627574</v>
      </c>
    </row>
    <row r="122" spans="1:10" ht="14.1" customHeight="1" x14ac:dyDescent="0.25">
      <c r="A122" s="1493">
        <v>6322</v>
      </c>
      <c r="B122" s="1494" t="s">
        <v>4106</v>
      </c>
      <c r="C122" s="1495"/>
      <c r="D122" s="1495"/>
      <c r="E122" s="1495"/>
      <c r="F122" s="1496"/>
      <c r="G122" s="1497">
        <f>SUMPRODUCT(((LEFT(BalanceN!$A$4:$A$9999,4)="6322"))*BalanceN!$G$4:$G$9999)-SUMPRODUCT(((LEFT(BalanceN!$A$4:$A$9999,4)="6322"))*BalanceN!$H$4:$H$9999)</f>
        <v>0</v>
      </c>
      <c r="H122" s="1497">
        <f>SUMPRODUCT(((LEFT('BalanceN-1'!$A$4:$A$9999,4)="6322"))*'BalanceN-1'!$G$4:$G$9999)-SUMPRODUCT(((LEFT('BalanceN-1'!$A$4:$A$9999,4)="6322"))*'BalanceN-1'!$H$4:$H$9999)</f>
        <v>0</v>
      </c>
      <c r="I122" s="1498">
        <f t="shared" si="3"/>
        <v>0</v>
      </c>
      <c r="J122" s="1499" t="str">
        <f t="shared" si="4"/>
        <v/>
      </c>
    </row>
    <row r="123" spans="1:10" ht="14.1" customHeight="1" x14ac:dyDescent="0.25">
      <c r="A123" s="1493">
        <v>6324</v>
      </c>
      <c r="B123" s="1494" t="s">
        <v>4107</v>
      </c>
      <c r="C123" s="1495"/>
      <c r="D123" s="1495"/>
      <c r="E123" s="1495"/>
      <c r="F123" s="1496"/>
      <c r="G123" s="1497">
        <f>SUMPRODUCT(((LEFT(BalanceN!$A$4:$A$9999,4)="6324"))*BalanceN!$G$4:$G$9999)-SUMPRODUCT(((LEFT(BalanceN!$A$4:$A$9999,4)="6324"))*BalanceN!$H$4:$H$9999)</f>
        <v>18801520</v>
      </c>
      <c r="H123" s="1497">
        <f>SUMPRODUCT(((LEFT('BalanceN-1'!$A$4:$A$9999,4)="6324"))*'BalanceN-1'!$G$4:$G$9999)-SUMPRODUCT(((LEFT('BalanceN-1'!$A$4:$A$9999,4)="6324"))*'BalanceN-1'!$H$4:$H$9999)</f>
        <v>5151420</v>
      </c>
      <c r="I123" s="1498">
        <f t="shared" si="3"/>
        <v>13650100</v>
      </c>
      <c r="J123" s="1499">
        <f t="shared" si="4"/>
        <v>2.6497742370064952</v>
      </c>
    </row>
    <row r="124" spans="1:10" ht="14.1" customHeight="1" x14ac:dyDescent="0.25">
      <c r="A124" s="1493">
        <v>6325</v>
      </c>
      <c r="B124" s="1494" t="s">
        <v>4108</v>
      </c>
      <c r="C124" s="1495"/>
      <c r="D124" s="1495"/>
      <c r="E124" s="1495"/>
      <c r="F124" s="1496"/>
      <c r="G124" s="1497">
        <f>SUMPRODUCT(((LEFT(BalanceN!$A$4:$A$9999,4)="6325"))*BalanceN!$G$4:$G$9999)-SUMPRODUCT(((LEFT(BalanceN!$A$4:$A$9999,4)="6325"))*BalanceN!$H$4:$H$9999)</f>
        <v>46680</v>
      </c>
      <c r="H124" s="1497">
        <f>SUMPRODUCT(((LEFT('BalanceN-1'!$A$4:$A$9999,4)="6325"))*'BalanceN-1'!$G$4:$G$9999)-SUMPRODUCT(((LEFT('BalanceN-1'!$A$4:$A$9999,4)="6325"))*'BalanceN-1'!$H$4:$H$9999)</f>
        <v>0</v>
      </c>
      <c r="I124" s="1498">
        <f t="shared" si="3"/>
        <v>46680</v>
      </c>
      <c r="J124" s="1499">
        <f t="shared" si="4"/>
        <v>1</v>
      </c>
    </row>
    <row r="125" spans="1:10" ht="14.1" customHeight="1" x14ac:dyDescent="0.25">
      <c r="A125" s="1493">
        <v>6326</v>
      </c>
      <c r="B125" s="1494" t="s">
        <v>4109</v>
      </c>
      <c r="C125" s="1495"/>
      <c r="D125" s="1495"/>
      <c r="E125" s="1495"/>
      <c r="F125" s="1496"/>
      <c r="G125" s="1497">
        <f>SUMPRODUCT(((LEFT(BalanceN!$A$4:$A$9999,4)="6326"))*BalanceN!$G$4:$G$9999)-SUMPRODUCT(((LEFT(BalanceN!$A$4:$A$9999,4)="6326"))*BalanceN!$H$4:$H$9999)</f>
        <v>0</v>
      </c>
      <c r="H125" s="1497">
        <f>SUMPRODUCT(((LEFT('BalanceN-1'!$A$4:$A$9999,4)="6326"))*'BalanceN-1'!$G$4:$G$9999)-SUMPRODUCT(((LEFT('BalanceN-1'!$A$4:$A$9999,4)="6326"))*'BalanceN-1'!$H$4:$H$9999)</f>
        <v>0</v>
      </c>
      <c r="I125" s="1498">
        <f t="shared" si="3"/>
        <v>0</v>
      </c>
      <c r="J125" s="1499" t="str">
        <f t="shared" si="4"/>
        <v/>
      </c>
    </row>
    <row r="126" spans="1:10" ht="14.1" customHeight="1" x14ac:dyDescent="0.25">
      <c r="A126" s="1493">
        <v>6327</v>
      </c>
      <c r="B126" s="1494" t="s">
        <v>4110</v>
      </c>
      <c r="C126" s="1495"/>
      <c r="D126" s="1495"/>
      <c r="E126" s="1495"/>
      <c r="F126" s="1496"/>
      <c r="G126" s="1497">
        <f>SUMPRODUCT(((LEFT(BalanceN!$A$4:$A$9999,4)="6327"))*BalanceN!$G$4:$G$9999)-SUMPRODUCT(((LEFT(BalanceN!$A$4:$A$9999,4)="6327"))*BalanceN!$H$4:$H$9999)</f>
        <v>0</v>
      </c>
      <c r="H126" s="1497">
        <f>SUMPRODUCT(((LEFT('BalanceN-1'!$A$4:$A$9999,4)="6327"))*'BalanceN-1'!$G$4:$G$9999)-SUMPRODUCT(((LEFT('BalanceN-1'!$A$4:$A$9999,4)="6327"))*'BalanceN-1'!$H$4:$H$9999)</f>
        <v>0</v>
      </c>
      <c r="I126" s="1498">
        <f t="shared" si="3"/>
        <v>0</v>
      </c>
      <c r="J126" s="1499" t="str">
        <f t="shared" si="4"/>
        <v/>
      </c>
    </row>
    <row r="127" spans="1:10" ht="14.1" customHeight="1" x14ac:dyDescent="0.25">
      <c r="A127" s="1493">
        <v>6328</v>
      </c>
      <c r="B127" s="1494" t="s">
        <v>4111</v>
      </c>
      <c r="C127" s="1495"/>
      <c r="D127" s="1495"/>
      <c r="E127" s="1495"/>
      <c r="F127" s="1496"/>
      <c r="G127" s="1497">
        <f>SUMPRODUCT(((LEFT(BalanceN!$A$4:$A$9999,4)="6328"))*BalanceN!$G$4:$G$9999)-SUMPRODUCT(((LEFT(BalanceN!$A$4:$A$9999,4)="6328"))*BalanceN!$H$4:$H$9999)</f>
        <v>2406375</v>
      </c>
      <c r="H127" s="1497">
        <f>SUMPRODUCT(((LEFT('BalanceN-1'!$A$4:$A$9999,4)="6328"))*'BalanceN-1'!$G$4:$G$9999)-SUMPRODUCT(((LEFT('BalanceN-1'!$A$4:$A$9999,4)="6328"))*'BalanceN-1'!$H$4:$H$9999)</f>
        <v>1866275</v>
      </c>
      <c r="I127" s="1498">
        <f t="shared" si="3"/>
        <v>540100</v>
      </c>
      <c r="J127" s="1499">
        <f t="shared" si="4"/>
        <v>0.28940000803740068</v>
      </c>
    </row>
    <row r="128" spans="1:10" ht="14.1" customHeight="1" x14ac:dyDescent="0.25">
      <c r="A128" s="1493">
        <v>633</v>
      </c>
      <c r="B128" s="1494" t="s">
        <v>476</v>
      </c>
      <c r="C128" s="1495"/>
      <c r="D128" s="1495"/>
      <c r="E128" s="1495"/>
      <c r="F128" s="1496"/>
      <c r="G128" s="1497">
        <f>SUMPRODUCT(((LEFT(BalanceN!$A$4:$A$9999,3)="633"))*BalanceN!$G$4:$G$9999)-SUMPRODUCT(((LEFT(BalanceN!$A$4:$A$9999,3)="633"))*BalanceN!$H$4:$H$9999)</f>
        <v>0</v>
      </c>
      <c r="H128" s="1497">
        <f>SUMPRODUCT(((LEFT('BalanceN-1'!$A$4:$A$9999,3)="633"))*'BalanceN-1'!$G$4:$G$9999)-SUMPRODUCT(((LEFT('BalanceN-1'!$A$4:$A$9999,3)="633"))*'BalanceN-1'!$H$4:$H$9999)</f>
        <v>0</v>
      </c>
      <c r="I128" s="1498">
        <f t="shared" si="3"/>
        <v>0</v>
      </c>
      <c r="J128" s="1499" t="str">
        <f t="shared" si="4"/>
        <v/>
      </c>
    </row>
    <row r="129" spans="1:10" ht="14.1" customHeight="1" x14ac:dyDescent="0.25">
      <c r="A129" s="1493">
        <v>6342</v>
      </c>
      <c r="B129" s="1494" t="s">
        <v>3385</v>
      </c>
      <c r="C129" s="1495"/>
      <c r="D129" s="1495"/>
      <c r="E129" s="1495"/>
      <c r="F129" s="1496"/>
      <c r="G129" s="1497">
        <f>SUMPRODUCT(((LEFT(BalanceN!$A$4:$A$9999,4)="6342"))*BalanceN!$G$4:$G$9999)-SUMPRODUCT(((LEFT(BalanceN!$A$4:$A$9999,4)="6342"))*BalanceN!$H$4:$H$9999)</f>
        <v>0</v>
      </c>
      <c r="H129" s="1497">
        <f>SUMPRODUCT(((LEFT('BalanceN-1'!$A$4:$A$9999,4)="6342"))*'BalanceN-1'!$G$4:$G$9999)-SUMPRODUCT(((LEFT('BalanceN-1'!$A$4:$A$9999,4)="6342"))*'BalanceN-1'!$H$4:$H$9999)</f>
        <v>0</v>
      </c>
      <c r="I129" s="1498">
        <f t="shared" si="3"/>
        <v>0</v>
      </c>
      <c r="J129" s="1499" t="str">
        <f t="shared" si="4"/>
        <v/>
      </c>
    </row>
    <row r="130" spans="1:10" ht="14.1" customHeight="1" x14ac:dyDescent="0.25">
      <c r="A130" s="1493">
        <v>6343</v>
      </c>
      <c r="B130" s="1494" t="s">
        <v>4112</v>
      </c>
      <c r="C130" s="1495"/>
      <c r="D130" s="1495"/>
      <c r="E130" s="1495"/>
      <c r="F130" s="1496"/>
      <c r="G130" s="1497">
        <f>SUMPRODUCT(((LEFT(BalanceN!$A$4:$A$9999,4)="6343"))*BalanceN!$G$4:$G$9999)-SUMPRODUCT(((LEFT(BalanceN!$A$4:$A$9999,4)="6343"))*BalanceN!$H$4:$H$9999)</f>
        <v>0</v>
      </c>
      <c r="H130" s="1497">
        <f>SUMPRODUCT(((LEFT('BalanceN-1'!$A$4:$A$9999,4)="6343"))*'BalanceN-1'!$G$4:$G$9999)-SUMPRODUCT(((LEFT('BalanceN-1'!$A$4:$A$9999,4)="6343"))*'BalanceN-1'!$H$4:$H$9999)</f>
        <v>0</v>
      </c>
      <c r="I130" s="1498">
        <f t="shared" si="3"/>
        <v>0</v>
      </c>
      <c r="J130" s="1499" t="str">
        <f t="shared" si="4"/>
        <v/>
      </c>
    </row>
    <row r="131" spans="1:10" ht="14.1" customHeight="1" x14ac:dyDescent="0.25">
      <c r="A131" s="1493">
        <v>6344</v>
      </c>
      <c r="B131" s="1494" t="s">
        <v>4113</v>
      </c>
      <c r="C131" s="1495"/>
      <c r="D131" s="1495"/>
      <c r="E131" s="1495"/>
      <c r="F131" s="1496"/>
      <c r="G131" s="1497">
        <f>SUMPRODUCT(((LEFT(BalanceN!$A$4:$A$9999,4)="6344"))*BalanceN!$G$4:$G$9999)-SUMPRODUCT(((LEFT(BalanceN!$A$4:$A$9999,4)="6344"))*BalanceN!$H$4:$H$9999)</f>
        <v>0</v>
      </c>
      <c r="H131" s="1497">
        <f>SUMPRODUCT(((LEFT('BalanceN-1'!$A$4:$A$9999,4)="6344"))*'BalanceN-1'!$G$4:$G$9999)-SUMPRODUCT(((LEFT('BalanceN-1'!$A$4:$A$9999,4)="6344"))*'BalanceN-1'!$H$4:$H$9999)</f>
        <v>0</v>
      </c>
      <c r="I131" s="1498">
        <f t="shared" si="3"/>
        <v>0</v>
      </c>
      <c r="J131" s="1499" t="str">
        <f t="shared" si="4"/>
        <v/>
      </c>
    </row>
    <row r="132" spans="1:10" ht="14.1" customHeight="1" x14ac:dyDescent="0.25">
      <c r="A132" s="1493">
        <v>6345</v>
      </c>
      <c r="B132" s="1494" t="s">
        <v>4114</v>
      </c>
      <c r="C132" s="1495"/>
      <c r="D132" s="1495"/>
      <c r="E132" s="1495"/>
      <c r="F132" s="1496"/>
      <c r="G132" s="1497">
        <f>SUMPRODUCT(((LEFT(BalanceN!$A$4:$A$9999,4)="6345"))*BalanceN!$G$4:$G$9999)-SUMPRODUCT(((LEFT(BalanceN!$A$4:$A$9999,4)="6345"))*BalanceN!$H$4:$H$9999)</f>
        <v>0</v>
      </c>
      <c r="H132" s="1497">
        <f>SUMPRODUCT(((LEFT('BalanceN-1'!$A$4:$A$9999,4)="6345"))*'BalanceN-1'!$G$4:$G$9999)-SUMPRODUCT(((LEFT('BalanceN-1'!$A$4:$A$9999,4)="6345"))*'BalanceN-1'!$H$4:$H$9999)</f>
        <v>0</v>
      </c>
      <c r="I132" s="1498">
        <f t="shared" si="3"/>
        <v>0</v>
      </c>
      <c r="J132" s="1499" t="str">
        <f t="shared" si="4"/>
        <v/>
      </c>
    </row>
    <row r="133" spans="1:10" ht="14.1" customHeight="1" x14ac:dyDescent="0.25">
      <c r="A133" s="1493">
        <v>6346</v>
      </c>
      <c r="B133" s="1494" t="s">
        <v>3393</v>
      </c>
      <c r="C133" s="1495"/>
      <c r="D133" s="1495"/>
      <c r="E133" s="1495"/>
      <c r="F133" s="1496"/>
      <c r="G133" s="1497">
        <f>SUMPRODUCT(((LEFT(BalanceN!$A$4:$A$9999,4)="6346"))*BalanceN!$G$4:$G$9999)-SUMPRODUCT(((LEFT(BalanceN!$A$4:$A$9999,4)="6346"))*BalanceN!$H$4:$H$9999)</f>
        <v>0</v>
      </c>
      <c r="H133" s="1497">
        <f>SUMPRODUCT(((LEFT('BalanceN-1'!$A$4:$A$9999,4)="6346"))*'BalanceN-1'!$G$4:$G$9999)-SUMPRODUCT(((LEFT('BalanceN-1'!$A$4:$A$9999,4)="6346"))*'BalanceN-1'!$H$4:$H$9999)</f>
        <v>0</v>
      </c>
      <c r="I133" s="1498">
        <f t="shared" si="3"/>
        <v>0</v>
      </c>
      <c r="J133" s="1499" t="str">
        <f t="shared" si="4"/>
        <v/>
      </c>
    </row>
    <row r="134" spans="1:10" ht="14.1" customHeight="1" x14ac:dyDescent="0.25">
      <c r="A134" s="1493">
        <v>6351</v>
      </c>
      <c r="B134" s="1494" t="s">
        <v>478</v>
      </c>
      <c r="C134" s="1495"/>
      <c r="D134" s="1495"/>
      <c r="E134" s="1495"/>
      <c r="F134" s="1496"/>
      <c r="G134" s="1497">
        <f>SUMPRODUCT(((LEFT(BalanceN!$A$4:$A$9999,4)="6351"))*BalanceN!$G$4:$G$9999)-SUMPRODUCT(((LEFT(BalanceN!$A$4:$A$9999,4)="6351"))*BalanceN!$H$4:$H$9999)</f>
        <v>200000</v>
      </c>
      <c r="H134" s="1497">
        <f>SUMPRODUCT(((LEFT('BalanceN-1'!$A$4:$A$9999,4)="6351"))*'BalanceN-1'!$G$4:$G$9999)-SUMPRODUCT(((LEFT('BalanceN-1'!$A$4:$A$9999,4)="6351"))*'BalanceN-1'!$H$4:$H$9999)</f>
        <v>290000</v>
      </c>
      <c r="I134" s="1498">
        <f t="shared" si="3"/>
        <v>-90000</v>
      </c>
      <c r="J134" s="1499">
        <f t="shared" si="4"/>
        <v>-0.31034482758620691</v>
      </c>
    </row>
    <row r="135" spans="1:10" ht="14.1" customHeight="1" x14ac:dyDescent="0.25">
      <c r="A135" s="1493">
        <v>6358</v>
      </c>
      <c r="B135" s="1494" t="s">
        <v>4115</v>
      </c>
      <c r="C135" s="1495"/>
      <c r="D135" s="1495"/>
      <c r="E135" s="1495"/>
      <c r="F135" s="1496"/>
      <c r="G135" s="1497">
        <f>SUMPRODUCT(((LEFT(BalanceN!$A$4:$A$9999,4)="6358"))*BalanceN!$G$4:$G$9999)-SUMPRODUCT(((LEFT(BalanceN!$A$4:$A$9999,4)="6358"))*BalanceN!$H$4:$H$9999)</f>
        <v>0</v>
      </c>
      <c r="H135" s="1497">
        <f>SUMPRODUCT(((LEFT('BalanceN-1'!$A$4:$A$9999,4)="6358"))*'BalanceN-1'!$G$4:$G$9999)-SUMPRODUCT(((LEFT('BalanceN-1'!$A$4:$A$9999,4)="6358"))*'BalanceN-1'!$H$4:$H$9999)</f>
        <v>0</v>
      </c>
      <c r="I135" s="1498">
        <f t="shared" si="3"/>
        <v>0</v>
      </c>
      <c r="J135" s="1499" t="str">
        <f t="shared" si="4"/>
        <v/>
      </c>
    </row>
    <row r="136" spans="1:10" ht="14.1" customHeight="1" x14ac:dyDescent="0.25">
      <c r="A136" s="1493">
        <v>6371</v>
      </c>
      <c r="B136" s="1494" t="s">
        <v>4116</v>
      </c>
      <c r="C136" s="1495"/>
      <c r="D136" s="1495"/>
      <c r="E136" s="1495"/>
      <c r="F136" s="1496"/>
      <c r="G136" s="1497">
        <f>SUMPRODUCT(((LEFT(BalanceN!$A$4:$A$9999,4)="6371"))*BalanceN!$G$4:$G$9999)-SUMPRODUCT(((LEFT(BalanceN!$A$4:$A$9999,4)="6371"))*BalanceN!$H$4:$H$9999)</f>
        <v>0</v>
      </c>
      <c r="H136" s="1497">
        <f>SUMPRODUCT(((LEFT('BalanceN-1'!$A$4:$A$9999,4)="6371"))*'BalanceN-1'!$G$4:$G$9999)-SUMPRODUCT(((LEFT('BalanceN-1'!$A$4:$A$9999,4)="6371"))*'BalanceN-1'!$H$4:$H$9999)</f>
        <v>0</v>
      </c>
      <c r="I136" s="1498">
        <f t="shared" si="3"/>
        <v>0</v>
      </c>
      <c r="J136" s="1499" t="str">
        <f t="shared" si="4"/>
        <v/>
      </c>
    </row>
    <row r="137" spans="1:10" ht="14.1" customHeight="1" x14ac:dyDescent="0.25">
      <c r="A137" s="1493">
        <v>6372</v>
      </c>
      <c r="B137" s="1494" t="s">
        <v>3401</v>
      </c>
      <c r="C137" s="1495"/>
      <c r="D137" s="1495"/>
      <c r="E137" s="1495"/>
      <c r="F137" s="1496"/>
      <c r="G137" s="1497">
        <f>SUMPRODUCT(((LEFT(BalanceN!$A$4:$A$9999,4)="6372"))*BalanceN!$G$4:$G$9999)-SUMPRODUCT(((LEFT(BalanceN!$A$4:$A$9999,4)="6372"))*BalanceN!$H$4:$H$9999)</f>
        <v>0</v>
      </c>
      <c r="H137" s="1497">
        <f>SUMPRODUCT(((LEFT('BalanceN-1'!$A$4:$A$9999,4)="6372"))*'BalanceN-1'!$G$4:$G$9999)-SUMPRODUCT(((LEFT('BalanceN-1'!$A$4:$A$9999,4)="6372"))*'BalanceN-1'!$H$4:$H$9999)</f>
        <v>0</v>
      </c>
      <c r="I137" s="1498">
        <f t="shared" si="3"/>
        <v>0</v>
      </c>
      <c r="J137" s="1499" t="str">
        <f t="shared" si="4"/>
        <v/>
      </c>
    </row>
    <row r="138" spans="1:10" ht="14.1" customHeight="1" x14ac:dyDescent="0.25">
      <c r="A138" s="1493">
        <v>6381</v>
      </c>
      <c r="B138" s="1494" t="s">
        <v>4117</v>
      </c>
      <c r="C138" s="1495"/>
      <c r="D138" s="1495"/>
      <c r="E138" s="1495"/>
      <c r="F138" s="1496"/>
      <c r="G138" s="1497">
        <f>SUMPRODUCT(((LEFT(BalanceN!$A$4:$A$9999,4)="6381"))*BalanceN!$G$4:$G$9999)-SUMPRODUCT(((LEFT(BalanceN!$A$4:$A$9999,4)="6381"))*BalanceN!$H$4:$H$9999)</f>
        <v>0</v>
      </c>
      <c r="H138" s="1497">
        <f>SUMPRODUCT(((LEFT('BalanceN-1'!$A$4:$A$9999,4)="6381"))*'BalanceN-1'!$G$4:$G$9999)-SUMPRODUCT(((LEFT('BalanceN-1'!$A$4:$A$9999,4)="6381"))*'BalanceN-1'!$H$4:$H$9999)</f>
        <v>0</v>
      </c>
      <c r="I138" s="1498">
        <f t="shared" si="3"/>
        <v>0</v>
      </c>
      <c r="J138" s="1499" t="str">
        <f t="shared" si="4"/>
        <v/>
      </c>
    </row>
    <row r="139" spans="1:10" ht="14.1" customHeight="1" x14ac:dyDescent="0.25">
      <c r="A139" s="1493">
        <v>6382</v>
      </c>
      <c r="B139" s="1494" t="s">
        <v>4118</v>
      </c>
      <c r="C139" s="1495"/>
      <c r="D139" s="1495"/>
      <c r="E139" s="1495"/>
      <c r="F139" s="1496"/>
      <c r="G139" s="1497">
        <f>SUMPRODUCT(((LEFT(BalanceN!$A$4:$A$9999,4)="6382"))*BalanceN!$G$4:$G$9999)-SUMPRODUCT(((LEFT(BalanceN!$A$4:$A$9999,4)="6382"))*BalanceN!$H$4:$H$9999)</f>
        <v>0</v>
      </c>
      <c r="H139" s="1497">
        <f>SUMPRODUCT(((LEFT('BalanceN-1'!$A$4:$A$9999,4)="6382"))*'BalanceN-1'!$G$4:$G$9999)-SUMPRODUCT(((LEFT('BalanceN-1'!$A$4:$A$9999,4)="6382"))*'BalanceN-1'!$H$4:$H$9999)</f>
        <v>0</v>
      </c>
      <c r="I139" s="1498">
        <f t="shared" si="3"/>
        <v>0</v>
      </c>
      <c r="J139" s="1499" t="str">
        <f t="shared" si="4"/>
        <v/>
      </c>
    </row>
    <row r="140" spans="1:10" ht="14.1" customHeight="1" x14ac:dyDescent="0.25">
      <c r="A140" s="1493">
        <v>6383</v>
      </c>
      <c r="B140" s="1494" t="s">
        <v>1487</v>
      </c>
      <c r="C140" s="1495"/>
      <c r="D140" s="1495"/>
      <c r="E140" s="1495"/>
      <c r="F140" s="1496"/>
      <c r="G140" s="1497">
        <f>SUMPRODUCT(((LEFT(BalanceN!$A$4:$A$9999,4)="6383"))*BalanceN!$G$4:$G$9999)-SUMPRODUCT(((LEFT(BalanceN!$A$4:$A$9999,4)="6383"))*BalanceN!$H$4:$H$9999)</f>
        <v>31500</v>
      </c>
      <c r="H140" s="1497">
        <f>SUMPRODUCT(((LEFT('BalanceN-1'!$A$4:$A$9999,4)="6383"))*'BalanceN-1'!$G$4:$G$9999)-SUMPRODUCT(((LEFT('BalanceN-1'!$A$4:$A$9999,4)="6383"))*'BalanceN-1'!$H$4:$H$9999)</f>
        <v>18000</v>
      </c>
      <c r="I140" s="1498">
        <f t="shared" si="3"/>
        <v>13500</v>
      </c>
      <c r="J140" s="1499">
        <f>IF(H140,(G140-H140)/H140,IF(ISBLANK(H140),"",IF(G140,IF( G140 &gt; 0,1,-1),"")))</f>
        <v>0.75</v>
      </c>
    </row>
    <row r="141" spans="1:10" ht="14.1" customHeight="1" x14ac:dyDescent="0.25">
      <c r="A141" s="1493">
        <v>6384</v>
      </c>
      <c r="B141" s="1494" t="s">
        <v>1285</v>
      </c>
      <c r="C141" s="1495"/>
      <c r="D141" s="1495"/>
      <c r="E141" s="1495"/>
      <c r="F141" s="1496"/>
      <c r="G141" s="1497">
        <f>SUMPRODUCT(((LEFT(BalanceN!$A$4:$A$9999,4)="6384"))*BalanceN!$G$4:$G$9999)-SUMPRODUCT(((LEFT(BalanceN!$A$4:$A$9999,4)="6384"))*BalanceN!$H$4:$H$9999)</f>
        <v>0</v>
      </c>
      <c r="H141" s="1497">
        <f>SUMPRODUCT(((LEFT('BalanceN-1'!$A$4:$A$9999,4)="6384"))*'BalanceN-1'!$G$4:$G$9999)-SUMPRODUCT(((LEFT('BalanceN-1'!$A$4:$A$9999,4)="6384"))*'BalanceN-1'!$H$4:$H$9999)</f>
        <v>0</v>
      </c>
      <c r="I141" s="1498">
        <f t="shared" si="3"/>
        <v>0</v>
      </c>
      <c r="J141" s="1499" t="str">
        <f t="shared" si="4"/>
        <v/>
      </c>
    </row>
    <row r="142" spans="1:10" ht="14.1" customHeight="1" x14ac:dyDescent="0.25">
      <c r="A142" s="1493">
        <v>6385</v>
      </c>
      <c r="B142" s="1494" t="s">
        <v>3411</v>
      </c>
      <c r="C142" s="1495"/>
      <c r="D142" s="1495"/>
      <c r="E142" s="1495"/>
      <c r="F142" s="1496"/>
      <c r="G142" s="1497">
        <f>SUMPRODUCT(((LEFT(BalanceN!$A$4:$A$9999,4)="6385"))*BalanceN!$G$4:$G$9999)-SUMPRODUCT(((LEFT(BalanceN!$A$4:$A$9999,4)="6385"))*BalanceN!$H$4:$H$9999)</f>
        <v>0</v>
      </c>
      <c r="H142" s="1497">
        <f>SUMPRODUCT(((LEFT('BalanceN-1'!$A$4:$A$9999,4)="6385"))*'BalanceN-1'!$G$4:$G$9999)-SUMPRODUCT(((LEFT('BalanceN-1'!$A$4:$A$9999,4)="6385"))*'BalanceN-1'!$H$4:$H$9999)</f>
        <v>0</v>
      </c>
      <c r="I142" s="1498">
        <f t="shared" si="3"/>
        <v>0</v>
      </c>
      <c r="J142" s="1499" t="str">
        <f t="shared" si="4"/>
        <v/>
      </c>
    </row>
    <row r="143" spans="1:10" s="1479" customFormat="1" ht="14.1" customHeight="1" thickBot="1" x14ac:dyDescent="0.3">
      <c r="A143" s="1493">
        <v>6388</v>
      </c>
      <c r="B143" s="1494" t="s">
        <v>4119</v>
      </c>
      <c r="C143" s="1513"/>
      <c r="D143" s="1513"/>
      <c r="E143" s="1513"/>
      <c r="F143" s="1514"/>
      <c r="G143" s="1551">
        <f>SUMPRODUCT(((LEFT(BalanceN!$A$4:$A$9999,4)="6388"))*BalanceN!$G$4:$G$9999)-SUMPRODUCT(((LEFT(BalanceN!$A$4:$A$9999,4)="6388"))*BalanceN!$H$4:$H$9999)</f>
        <v>0</v>
      </c>
      <c r="H143" s="1551">
        <f>SUMPRODUCT(((LEFT('BalanceN-1'!$A$4:$A$9999,4)="6388"))*'BalanceN-1'!$G$4:$G$9999)-SUMPRODUCT(((LEFT('BalanceN-1'!$A$4:$A$9999,4)="6388"))*'BalanceN-1'!$H$4:$H$9999)</f>
        <v>0</v>
      </c>
      <c r="I143" s="1548">
        <f t="shared" si="3"/>
        <v>0</v>
      </c>
      <c r="J143" s="1499" t="str">
        <f t="shared" si="4"/>
        <v/>
      </c>
    </row>
    <row r="144" spans="1:10" ht="14.1" customHeight="1" thickTop="1" thickBot="1" x14ac:dyDescent="0.3">
      <c r="A144" s="1501" t="s">
        <v>846</v>
      </c>
      <c r="B144" s="1502"/>
      <c r="C144" s="1503" t="s">
        <v>957</v>
      </c>
      <c r="D144" s="1495"/>
      <c r="E144" s="1495"/>
      <c r="F144" s="1495"/>
      <c r="G144" s="1504">
        <f>SUM(G63:G73,G85:G143)</f>
        <v>72521029</v>
      </c>
      <c r="H144" s="1504">
        <f>SUM(H63:H73,H85:H142)</f>
        <v>60787379</v>
      </c>
      <c r="I144" s="1505">
        <f t="shared" si="3"/>
        <v>11733650</v>
      </c>
      <c r="J144" s="1506">
        <f t="shared" si="4"/>
        <v>0.19302773360239797</v>
      </c>
    </row>
    <row r="145" spans="1:10" ht="14.1" customHeight="1" thickTop="1" x14ac:dyDescent="0.25">
      <c r="A145" s="1493">
        <v>6411</v>
      </c>
      <c r="B145" s="1494" t="s">
        <v>4120</v>
      </c>
      <c r="C145" s="1495"/>
      <c r="D145" s="1552"/>
      <c r="E145" s="1552"/>
      <c r="F145" s="1552"/>
      <c r="G145" s="1553">
        <f>SUMPRODUCT(((LEFT(BalanceN!$A$4:$A$9999,4)="6411"))*BalanceN!$G$4:$G$9999)-SUMPRODUCT(((LEFT(BalanceN!$A$4:$A$9999,4)="6411"))*BalanceN!$H$4:$H$9999)</f>
        <v>0</v>
      </c>
      <c r="H145" s="1553">
        <f>SUMPRODUCT(((LEFT('BalanceN-1'!$A$4:$A$9999,4)="6411"))*'BalanceN-1'!$G$4:$G$9999)-SUMPRODUCT(((LEFT('BalanceN-1'!$A$4:$A$9999,4)="6411"))*'BalanceN-1'!$H$4:$H$9999)</f>
        <v>0</v>
      </c>
      <c r="I145" s="1554">
        <f t="shared" si="3"/>
        <v>0</v>
      </c>
      <c r="J145" s="1499" t="str">
        <f t="shared" si="4"/>
        <v/>
      </c>
    </row>
    <row r="146" spans="1:10" ht="14.1" customHeight="1" x14ac:dyDescent="0.25">
      <c r="A146" s="1493">
        <v>6412</v>
      </c>
      <c r="B146" s="1494" t="s">
        <v>4121</v>
      </c>
      <c r="C146" s="1495"/>
      <c r="D146" s="1552"/>
      <c r="E146" s="1552"/>
      <c r="F146" s="1552"/>
      <c r="G146" s="1553">
        <f>SUMPRODUCT(((LEFT(BalanceN!$A$4:$A$9999,4)="6412"))*BalanceN!$G$4:$G$9999)-SUMPRODUCT(((LEFT(BalanceN!$A$4:$A$9999,4)="6412"))*BalanceN!$H$4:$H$9999)</f>
        <v>0</v>
      </c>
      <c r="H146" s="1553">
        <f>SUMPRODUCT(((LEFT('BalanceN-1'!$A$4:$A$9999,4)="6412"))*'BalanceN-1'!$G$4:$G$9999)-SUMPRODUCT(((LEFT('BalanceN-1'!$A$4:$A$9999,4)="6412"))*'BalanceN-1'!$H$4:$H$9999)</f>
        <v>0</v>
      </c>
      <c r="I146" s="1554">
        <f t="shared" si="3"/>
        <v>0</v>
      </c>
      <c r="J146" s="1499" t="str">
        <f t="shared" si="4"/>
        <v/>
      </c>
    </row>
    <row r="147" spans="1:10" ht="14.1" customHeight="1" x14ac:dyDescent="0.25">
      <c r="A147" s="1493">
        <v>6413</v>
      </c>
      <c r="B147" s="1494" t="s">
        <v>4122</v>
      </c>
      <c r="C147" s="1495"/>
      <c r="D147" s="1552"/>
      <c r="E147" s="1552"/>
      <c r="F147" s="1555"/>
      <c r="G147" s="1497">
        <f>SUMPRODUCT(((LEFT(BalanceN!$A$4:$A$9999,4)="6413"))*BalanceN!$G$4:$G$9999)-SUMPRODUCT(((LEFT(BalanceN!$A$4:$A$9999,4)="6413"))*BalanceN!$H$4:$H$9999)</f>
        <v>0</v>
      </c>
      <c r="H147" s="1497">
        <f>SUMPRODUCT(((LEFT('BalanceN-1'!$A$4:$A$9999,4)="6413"))*'BalanceN-1'!$G$4:$G$9999)-SUMPRODUCT(((LEFT('BalanceN-1'!$A$4:$A$9999,4)="6413"))*'BalanceN-1'!$H$4:$H$9999)</f>
        <v>0</v>
      </c>
      <c r="I147" s="1554">
        <f t="shared" si="3"/>
        <v>0</v>
      </c>
      <c r="J147" s="1499" t="str">
        <f t="shared" si="4"/>
        <v/>
      </c>
    </row>
    <row r="148" spans="1:10" ht="14.1" customHeight="1" x14ac:dyDescent="0.25">
      <c r="A148" s="1517">
        <v>6414</v>
      </c>
      <c r="B148" s="1518" t="s">
        <v>4123</v>
      </c>
      <c r="C148" s="1556"/>
      <c r="D148" s="1557"/>
      <c r="E148" s="1557"/>
      <c r="F148" s="1558"/>
      <c r="G148" s="1559">
        <f>SUMPRODUCT(((LEFT(BalanceN!$A$4:$A$9999,4)="6414"))*BalanceN!$G$4:$G$9999)-SUMPRODUCT(((LEFT(BalanceN!$A$4:$A$9999,4)="6414"))*BalanceN!$H$4:$H$9999)</f>
        <v>0</v>
      </c>
      <c r="H148" s="1559">
        <f>SUMPRODUCT(((LEFT('BalanceN-1'!$A$4:$A$9999,4)="6414"))*'BalanceN-1'!$G$4:$G$9999)-SUMPRODUCT(((LEFT('BalanceN-1'!$A$4:$A$9999,4)="6414"))*'BalanceN-1'!$H$4:$H$9999)</f>
        <v>0</v>
      </c>
      <c r="I148" s="1560">
        <f t="shared" si="3"/>
        <v>0</v>
      </c>
      <c r="J148" s="1523" t="str">
        <f t="shared" si="4"/>
        <v/>
      </c>
    </row>
    <row r="149" spans="1:10" ht="14.1" customHeight="1" x14ac:dyDescent="0.25">
      <c r="A149" s="1561"/>
      <c r="B149" s="1562"/>
      <c r="C149" s="1503"/>
      <c r="D149" s="1495"/>
      <c r="E149" s="1495"/>
      <c r="F149" s="1495"/>
      <c r="G149" s="1563"/>
      <c r="H149" s="1563"/>
      <c r="I149" s="1564"/>
      <c r="J149" s="1565"/>
    </row>
    <row r="150" spans="1:10" ht="15" customHeight="1" x14ac:dyDescent="0.25">
      <c r="A150" s="2363" t="s">
        <v>4031</v>
      </c>
      <c r="B150" s="2364"/>
      <c r="C150" s="1529"/>
      <c r="D150" s="2365" t="s">
        <v>4124</v>
      </c>
      <c r="E150" s="2365"/>
      <c r="F150" s="2365"/>
      <c r="G150" s="2366"/>
      <c r="H150" s="2367" t="s">
        <v>4033</v>
      </c>
      <c r="I150" s="2368"/>
      <c r="J150" s="2369"/>
    </row>
    <row r="151" spans="1:10" x14ac:dyDescent="0.25">
      <c r="A151" s="1530" t="s">
        <v>3976</v>
      </c>
      <c r="B151" s="1531"/>
      <c r="C151" s="2351" t="str">
        <f>C2</f>
        <v>SAM CONSEILS</v>
      </c>
      <c r="D151" s="2351"/>
      <c r="E151" s="2351"/>
      <c r="F151" s="2351"/>
      <c r="G151" s="2351"/>
      <c r="H151" s="2351"/>
      <c r="I151" s="2351"/>
      <c r="J151" s="2351"/>
    </row>
    <row r="152" spans="1:10" x14ac:dyDescent="0.25">
      <c r="A152" s="1530" t="s">
        <v>1602</v>
      </c>
      <c r="B152" s="2351" t="str">
        <f>B3</f>
        <v>02 BP 5358 OUAGA 02</v>
      </c>
      <c r="C152" s="2351"/>
      <c r="D152" s="2351"/>
      <c r="E152" s="2351"/>
      <c r="F152" s="2351"/>
      <c r="G152" s="2351"/>
      <c r="H152" s="2351"/>
      <c r="I152" s="1532" t="s">
        <v>3977</v>
      </c>
      <c r="J152" s="1533" t="str">
        <f>J3</f>
        <v>SAM CONSEILS</v>
      </c>
    </row>
    <row r="153" spans="1:10" x14ac:dyDescent="0.25">
      <c r="A153" s="1534" t="s">
        <v>3978</v>
      </c>
      <c r="B153" s="1534"/>
      <c r="C153" s="2351" t="str">
        <f>C4</f>
        <v>00084404X</v>
      </c>
      <c r="D153" s="2351"/>
      <c r="E153" s="1535"/>
      <c r="F153" s="1535"/>
      <c r="G153" s="1536" t="s">
        <v>3979</v>
      </c>
      <c r="H153" s="1537">
        <f>'Liste ETATS SUPPL DGI'!F5</f>
        <v>43465</v>
      </c>
      <c r="I153" s="1532" t="s">
        <v>3980</v>
      </c>
      <c r="J153" s="1533">
        <f>J4</f>
        <v>12</v>
      </c>
    </row>
    <row r="154" spans="1:10" x14ac:dyDescent="0.25">
      <c r="A154" s="1538" t="s">
        <v>3981</v>
      </c>
      <c r="B154" s="1534"/>
      <c r="C154" s="2351" t="str">
        <f>C5</f>
        <v>AMMTB89</v>
      </c>
      <c r="D154" s="2351"/>
      <c r="E154" s="2351"/>
      <c r="F154" s="2351"/>
      <c r="G154" s="1539"/>
      <c r="H154" s="1533"/>
      <c r="I154" s="1540"/>
      <c r="J154" s="1535"/>
    </row>
    <row r="155" spans="1:10" ht="5.25" customHeight="1" x14ac:dyDescent="0.25">
      <c r="A155" s="1541"/>
      <c r="B155" s="1541"/>
      <c r="C155" s="1542"/>
      <c r="D155" s="1542"/>
      <c r="E155" s="1543"/>
      <c r="F155" s="1544"/>
      <c r="G155" s="1545"/>
      <c r="H155" s="1546"/>
      <c r="I155" s="1483"/>
      <c r="J155" s="1482"/>
    </row>
    <row r="156" spans="1:10" x14ac:dyDescent="0.25">
      <c r="A156" s="2352" t="s">
        <v>4073</v>
      </c>
      <c r="B156" s="2353"/>
      <c r="C156" s="2353"/>
      <c r="D156" s="2353"/>
      <c r="E156" s="2353"/>
      <c r="F156" s="2353"/>
      <c r="G156" s="2353"/>
      <c r="H156" s="2353"/>
      <c r="I156" s="2353"/>
      <c r="J156" s="2354"/>
    </row>
    <row r="157" spans="1:10" ht="5.25" customHeight="1" x14ac:dyDescent="0.25">
      <c r="A157" s="1482"/>
      <c r="B157" s="1482"/>
      <c r="C157" s="1482"/>
      <c r="D157" s="1482"/>
      <c r="E157" s="1482"/>
      <c r="F157" s="1482"/>
      <c r="G157" s="1482"/>
      <c r="H157" s="1482"/>
      <c r="I157" s="1483"/>
      <c r="J157" s="1482"/>
    </row>
    <row r="158" spans="1:10" x14ac:dyDescent="0.25">
      <c r="A158" s="2355" t="s">
        <v>4035</v>
      </c>
      <c r="B158" s="2356"/>
      <c r="C158" s="2356"/>
      <c r="D158" s="2356"/>
      <c r="E158" s="2356"/>
      <c r="F158" s="2356"/>
      <c r="G158" s="2355" t="s">
        <v>4036</v>
      </c>
      <c r="H158" s="2355" t="s">
        <v>4037</v>
      </c>
      <c r="I158" s="2355" t="s">
        <v>4038</v>
      </c>
      <c r="J158" s="2362"/>
    </row>
    <row r="159" spans="1:10" x14ac:dyDescent="0.25">
      <c r="A159" s="2370"/>
      <c r="B159" s="2361"/>
      <c r="C159" s="2361"/>
      <c r="D159" s="2361"/>
      <c r="E159" s="2361"/>
      <c r="F159" s="2361"/>
      <c r="G159" s="2370"/>
      <c r="H159" s="2370"/>
      <c r="I159" s="1484" t="s">
        <v>4039</v>
      </c>
      <c r="J159" s="1485" t="s">
        <v>4040</v>
      </c>
    </row>
    <row r="160" spans="1:10" ht="14.1" customHeight="1" x14ac:dyDescent="0.25">
      <c r="A160" s="1493">
        <v>6415</v>
      </c>
      <c r="B160" s="1494" t="s">
        <v>4125</v>
      </c>
      <c r="C160" s="1495"/>
      <c r="D160" s="1495"/>
      <c r="E160" s="1495"/>
      <c r="F160" s="1496"/>
      <c r="G160" s="1497">
        <f>SUMPRODUCT(((LEFT(BalanceN!$A$4:$A$9999,4)="6415"))*BalanceN!$G$4:$G$9999)-SUMPRODUCT(((LEFT(BalanceN!$A$4:$A$9999,4)="6415"))*BalanceN!$H$4:$H$9999)</f>
        <v>0</v>
      </c>
      <c r="H160" s="1497">
        <f>SUMPRODUCT(((LEFT('BalanceN-1'!$A$4:$A$9999,4)="6415"))*'BalanceN-1'!$G$4:$G$9999)-SUMPRODUCT(((LEFT('BalanceN-1'!$A$4:$A$9999,4)="6415"))*'BalanceN-1'!$H$4:$H$9999)</f>
        <v>0</v>
      </c>
      <c r="I160" s="1498">
        <f t="shared" ref="I160:I173" si="5">G160-H160</f>
        <v>0</v>
      </c>
      <c r="J160" s="1499" t="str">
        <f>IF(H160,(G160-H160)/H160,IF(ISBLANK(H160),"",IF(G160,IF( G160 &gt; 0,1,-1),"")))</f>
        <v/>
      </c>
    </row>
    <row r="161" spans="1:10" ht="14.1" customHeight="1" x14ac:dyDescent="0.25">
      <c r="A161" s="1493">
        <v>6418</v>
      </c>
      <c r="B161" s="1494" t="s">
        <v>4126</v>
      </c>
      <c r="C161" s="1495"/>
      <c r="D161" s="1495"/>
      <c r="E161" s="1495"/>
      <c r="F161" s="1496"/>
      <c r="G161" s="1497">
        <f>SUMPRODUCT(((LEFT(BalanceN!$A$4:$A$9999,4)="6418"))*BalanceN!$G$4:$G$9999)-SUMPRODUCT(((LEFT(BalanceN!$A$4:$A$9999,4)="6418"))*BalanceN!$H$4:$H$9999)</f>
        <v>0</v>
      </c>
      <c r="H161" s="1497">
        <f>SUMPRODUCT(((LEFT('BalanceN-1'!$A$4:$A$9999,4)="6418"))*'BalanceN-1'!$G$4:$G$9999)-SUMPRODUCT(((LEFT('BalanceN-1'!$A$4:$A$9999,4)="6418"))*'BalanceN-1'!$H$4:$H$9999)</f>
        <v>0</v>
      </c>
      <c r="I161" s="1498">
        <f t="shared" si="5"/>
        <v>0</v>
      </c>
      <c r="J161" s="1499" t="str">
        <f t="shared" ref="J161:J221" si="6">IF(H161,(G161-H161)/H161,IF(ISBLANK(H161),"",IF(G161,IF( G161 &gt; 0,1,-1),"")))</f>
        <v/>
      </c>
    </row>
    <row r="162" spans="1:10" ht="14.1" customHeight="1" x14ac:dyDescent="0.25">
      <c r="A162" s="1493">
        <v>645</v>
      </c>
      <c r="B162" s="1494" t="s">
        <v>481</v>
      </c>
      <c r="C162" s="1495"/>
      <c r="D162" s="1495"/>
      <c r="E162" s="1495"/>
      <c r="F162" s="1496"/>
      <c r="G162" s="1497">
        <f>SUMPRODUCT(((LEFT(BalanceN!$A$4:$A$9999,3)="645"))*BalanceN!$G$4:$G$9999)-SUMPRODUCT(((LEFT(BalanceN!$A$4:$A$9999,3)="645"))*BalanceN!$H$4:$H$9999)</f>
        <v>0</v>
      </c>
      <c r="H162" s="1497">
        <f>SUMPRODUCT(((LEFT('BalanceN-1'!$A$4:$A$9999,3)="645"))*'BalanceN-1'!$G$4:$G$9999)-SUMPRODUCT(((LEFT('BalanceN-1'!$A$4:$A$9999,3)="645"))*'BalanceN-1'!$H$4:$H$9999)</f>
        <v>0</v>
      </c>
      <c r="I162" s="1498">
        <f t="shared" si="5"/>
        <v>0</v>
      </c>
      <c r="J162" s="1499" t="str">
        <f t="shared" si="6"/>
        <v/>
      </c>
    </row>
    <row r="163" spans="1:10" ht="14.1" customHeight="1" x14ac:dyDescent="0.25">
      <c r="A163" s="1493">
        <v>6461</v>
      </c>
      <c r="B163" s="1494" t="s">
        <v>4127</v>
      </c>
      <c r="C163" s="1495"/>
      <c r="D163" s="1495"/>
      <c r="E163" s="1495"/>
      <c r="F163" s="1496"/>
      <c r="G163" s="1497">
        <f>SUMPRODUCT(((LEFT(BalanceN!$A$4:$A$9999,4)="6461"))*BalanceN!$G$4:$G$9999)-SUMPRODUCT(((LEFT(BalanceN!$A$4:$A$9999,4)="6461"))*BalanceN!$H$4:$H$9999)</f>
        <v>3000000</v>
      </c>
      <c r="H163" s="1497">
        <f>SUMPRODUCT(((LEFT('BalanceN-1'!$A$4:$A$9999,4)="6461"))*'BalanceN-1'!$G$4:$G$9999)-SUMPRODUCT(((LEFT('BalanceN-1'!$A$4:$A$9999,4)="6461"))*'BalanceN-1'!$H$4:$H$9999)</f>
        <v>0</v>
      </c>
      <c r="I163" s="1498">
        <f t="shared" si="5"/>
        <v>3000000</v>
      </c>
      <c r="J163" s="1499">
        <f t="shared" si="6"/>
        <v>1</v>
      </c>
    </row>
    <row r="164" spans="1:10" ht="14.1" customHeight="1" x14ac:dyDescent="0.25">
      <c r="A164" s="1493">
        <v>6462</v>
      </c>
      <c r="B164" s="1494" t="s">
        <v>4128</v>
      </c>
      <c r="C164" s="1495"/>
      <c r="D164" s="1495"/>
      <c r="E164" s="1495"/>
      <c r="F164" s="1496"/>
      <c r="G164" s="1497">
        <f>SUMPRODUCT(((LEFT(BalanceN!$A$4:$A$9999,4)="6462"))*BalanceN!$G$4:$G$9999)-SUMPRODUCT(((LEFT(BalanceN!$A$4:$A$9999,4)="6462"))*BalanceN!$H$4:$H$9999)</f>
        <v>10200</v>
      </c>
      <c r="H164" s="1497">
        <f>SUMPRODUCT(((LEFT('BalanceN-1'!$A$4:$A$9999,4)="6462"))*'BalanceN-1'!$G$4:$G$9999)-SUMPRODUCT(((LEFT('BalanceN-1'!$A$4:$A$9999,4)="6462"))*'BalanceN-1'!$H$4:$H$9999)</f>
        <v>0</v>
      </c>
      <c r="I164" s="1498">
        <f t="shared" si="5"/>
        <v>10200</v>
      </c>
      <c r="J164" s="1499">
        <f t="shared" si="6"/>
        <v>1</v>
      </c>
    </row>
    <row r="165" spans="1:10" ht="14.1" customHeight="1" x14ac:dyDescent="0.25">
      <c r="A165" s="1493">
        <v>6463</v>
      </c>
      <c r="B165" s="1494" t="s">
        <v>4129</v>
      </c>
      <c r="C165" s="1495"/>
      <c r="D165" s="1495"/>
      <c r="E165" s="1495"/>
      <c r="F165" s="1496"/>
      <c r="G165" s="1497">
        <f>SUMPRODUCT(((LEFT(BalanceN!$A$4:$A$9999,4)="6463"))*BalanceN!$G$4:$G$9999)-SUMPRODUCT(((LEFT(BalanceN!$A$4:$A$9999,4)="6463"))*BalanceN!$H$4:$H$9999)</f>
        <v>0</v>
      </c>
      <c r="H165" s="1497">
        <f>SUMPRODUCT(((LEFT('BalanceN-1'!$A$4:$A$9999,4)="6463"))*'BalanceN-1'!$G$4:$G$9999)-SUMPRODUCT(((LEFT('BalanceN-1'!$A$4:$A$9999,4)="6463"))*'BalanceN-1'!$H$4:$H$9999)</f>
        <v>0</v>
      </c>
      <c r="I165" s="1498">
        <f t="shared" si="5"/>
        <v>0</v>
      </c>
      <c r="J165" s="1499" t="str">
        <f t="shared" si="6"/>
        <v/>
      </c>
    </row>
    <row r="166" spans="1:10" ht="14.1" customHeight="1" x14ac:dyDescent="0.25">
      <c r="A166" s="1493">
        <v>6464</v>
      </c>
      <c r="B166" s="1494" t="s">
        <v>1491</v>
      </c>
      <c r="C166" s="1495"/>
      <c r="D166" s="1495"/>
      <c r="E166" s="1495"/>
      <c r="F166" s="1496"/>
      <c r="G166" s="1497">
        <f>SUMPRODUCT(((LEFT(BalanceN!$A$4:$A$9999,4)="6464"))*BalanceN!$G$4:$G$9999)-SUMPRODUCT(((LEFT(BalanceN!$A$4:$A$9999,4)="6464"))*BalanceN!$H$4:$H$9999)</f>
        <v>35000</v>
      </c>
      <c r="H166" s="1497">
        <f>SUMPRODUCT(((LEFT('BalanceN-1'!$A$4:$A$9999,4)="6464"))*'BalanceN-1'!$G$4:$G$9999)-SUMPRODUCT(((LEFT('BalanceN-1'!$A$4:$A$9999,4)="6464"))*'BalanceN-1'!$H$4:$H$9999)</f>
        <v>0</v>
      </c>
      <c r="I166" s="1498">
        <f t="shared" si="5"/>
        <v>35000</v>
      </c>
      <c r="J166" s="1499">
        <f t="shared" si="6"/>
        <v>1</v>
      </c>
    </row>
    <row r="167" spans="1:10" ht="14.1" customHeight="1" x14ac:dyDescent="0.25">
      <c r="A167" s="1493">
        <v>6468</v>
      </c>
      <c r="B167" s="1494" t="s">
        <v>4130</v>
      </c>
      <c r="C167" s="1495"/>
      <c r="D167" s="1495"/>
      <c r="E167" s="1495"/>
      <c r="F167" s="1496"/>
      <c r="G167" s="1497">
        <f>SUMPRODUCT(((LEFT(BalanceN!$A$4:$A$9999,4)="6468"))*BalanceN!$G$4:$G$9999)-SUMPRODUCT(((LEFT(BalanceN!$A$4:$A$9999,4)="6468"))*BalanceN!$H$4:$H$9999)</f>
        <v>0</v>
      </c>
      <c r="H167" s="1497">
        <f>SUMPRODUCT(((LEFT('BalanceN-1'!$A$4:$A$9999,4)="6468"))*'BalanceN-1'!$G$4:$G$9999)-SUMPRODUCT(((LEFT('BalanceN-1'!$A$4:$A$9999,4)="6468"))*'BalanceN-1'!$H$4:$H$9999)</f>
        <v>35000</v>
      </c>
      <c r="I167" s="1498">
        <f t="shared" si="5"/>
        <v>-35000</v>
      </c>
      <c r="J167" s="1499">
        <f t="shared" si="6"/>
        <v>-1</v>
      </c>
    </row>
    <row r="168" spans="1:10" ht="14.1" customHeight="1" x14ac:dyDescent="0.25">
      <c r="A168" s="1493">
        <v>6471</v>
      </c>
      <c r="B168" s="1494" t="s">
        <v>4131</v>
      </c>
      <c r="C168" s="1495"/>
      <c r="D168" s="1495"/>
      <c r="E168" s="1495"/>
      <c r="F168" s="1496"/>
      <c r="G168" s="1497">
        <f>SUMPRODUCT(((LEFT(BalanceN!$A$4:$A$9999,4)="6471"))*BalanceN!$G$4:$G$9999)-SUMPRODUCT(((LEFT(BalanceN!$A$4:$A$9999,4)="6471"))*BalanceN!$H$4:$H$9999)</f>
        <v>0</v>
      </c>
      <c r="H168" s="1497">
        <f>SUMPRODUCT(((LEFT('BalanceN-1'!$A$4:$A$9999,4)="6471"))*'BalanceN-1'!$G$4:$G$9999)-SUMPRODUCT(((LEFT('BalanceN-1'!$A$4:$A$9999,4)="6471"))*'BalanceN-1'!$H$4:$H$9999)</f>
        <v>0</v>
      </c>
      <c r="I168" s="1498">
        <f t="shared" si="5"/>
        <v>0</v>
      </c>
      <c r="J168" s="1499" t="str">
        <f t="shared" si="6"/>
        <v/>
      </c>
    </row>
    <row r="169" spans="1:10" ht="14.1" customHeight="1" x14ac:dyDescent="0.25">
      <c r="A169" s="1493">
        <v>6472</v>
      </c>
      <c r="B169" s="1494" t="s">
        <v>4132</v>
      </c>
      <c r="C169" s="1495"/>
      <c r="D169" s="1495"/>
      <c r="E169" s="1495"/>
      <c r="F169" s="1496"/>
      <c r="G169" s="1497">
        <f>SUMPRODUCT(((LEFT(BalanceN!$A$4:$A$9999,4)="6472"))*BalanceN!$G$4:$G$9999)-SUMPRODUCT(((LEFT(BalanceN!$A$4:$A$9999,4)="6472"))*BalanceN!$H$4:$H$9999)</f>
        <v>90000</v>
      </c>
      <c r="H169" s="1497">
        <f>SUMPRODUCT(((LEFT('BalanceN-1'!$A$4:$A$9999,4)="6472"))*'BalanceN-1'!$G$4:$G$9999)-SUMPRODUCT(((LEFT('BalanceN-1'!$A$4:$A$9999,4)="6472"))*'BalanceN-1'!$H$4:$H$9999)</f>
        <v>0</v>
      </c>
      <c r="I169" s="1498">
        <f t="shared" si="5"/>
        <v>90000</v>
      </c>
      <c r="J169" s="1499">
        <f t="shared" si="6"/>
        <v>1</v>
      </c>
    </row>
    <row r="170" spans="1:10" ht="14.1" customHeight="1" x14ac:dyDescent="0.25">
      <c r="A170" s="1493">
        <v>6473</v>
      </c>
      <c r="B170" s="1494" t="s">
        <v>4133</v>
      </c>
      <c r="C170" s="1495"/>
      <c r="D170" s="1495"/>
      <c r="E170" s="1495"/>
      <c r="F170" s="1496"/>
      <c r="G170" s="1497">
        <f>SUMPRODUCT(((LEFT(BalanceN!$A$4:$A$9999,4)="6473"))*BalanceN!$G$4:$G$9999)-SUMPRODUCT(((LEFT(BalanceN!$A$4:$A$9999,4)="6473"))*BalanceN!$H$4:$H$9999)</f>
        <v>0</v>
      </c>
      <c r="H170" s="1497">
        <f>SUMPRODUCT(((LEFT('BalanceN-1'!$A$4:$A$9999,4)="6473"))*'BalanceN-1'!$G$4:$G$9999)-SUMPRODUCT(((LEFT('BalanceN-1'!$A$4:$A$9999,4)="6473"))*'BalanceN-1'!$H$4:$H$9999)</f>
        <v>0</v>
      </c>
      <c r="I170" s="1498">
        <f t="shared" si="5"/>
        <v>0</v>
      </c>
      <c r="J170" s="1499" t="str">
        <f t="shared" si="6"/>
        <v/>
      </c>
    </row>
    <row r="171" spans="1:10" ht="14.1" customHeight="1" x14ac:dyDescent="0.25">
      <c r="A171" s="1493">
        <v>6474</v>
      </c>
      <c r="B171" s="1494" t="s">
        <v>4134</v>
      </c>
      <c r="C171" s="1495"/>
      <c r="D171" s="1495"/>
      <c r="E171" s="1495"/>
      <c r="F171" s="1496"/>
      <c r="G171" s="1497">
        <f>SUMPRODUCT(((LEFT(BalanceN!$A$4:$A$9999,4)="6474"))*BalanceN!$G$4:$G$9999)-SUMPRODUCT(((LEFT(BalanceN!$A$4:$A$9999,4)="6474"))*BalanceN!$H$4:$H$9999)</f>
        <v>0</v>
      </c>
      <c r="H171" s="1497">
        <f>SUMPRODUCT(((LEFT('BalanceN-1'!$A$4:$A$9999,4)="6474"))*'BalanceN-1'!$G$4:$G$9999)-SUMPRODUCT(((LEFT('BalanceN-1'!$A$4:$A$9999,4)="6474"))*'BalanceN-1'!$H$4:$H$9999)</f>
        <v>0</v>
      </c>
      <c r="I171" s="1498">
        <f t="shared" si="5"/>
        <v>0</v>
      </c>
      <c r="J171" s="1499" t="str">
        <f t="shared" si="6"/>
        <v/>
      </c>
    </row>
    <row r="172" spans="1:10" ht="14.1" customHeight="1" x14ac:dyDescent="0.25">
      <c r="A172" s="1493">
        <v>6478</v>
      </c>
      <c r="B172" s="1494" t="s">
        <v>4135</v>
      </c>
      <c r="C172" s="1495"/>
      <c r="D172" s="1495"/>
      <c r="E172" s="1495"/>
      <c r="F172" s="1496"/>
      <c r="G172" s="1497">
        <f>SUMPRODUCT(((LEFT(BalanceN!$A$4:$A$9999,4)="6478"))*BalanceN!$G$4:$G$9999)-SUMPRODUCT(((LEFT(BalanceN!$A$4:$A$9999,4)="6478"))*BalanceN!$H$4:$H$9999)</f>
        <v>0</v>
      </c>
      <c r="H172" s="1497">
        <f>SUMPRODUCT(((LEFT('BalanceN-1'!$A$4:$A$9999,4)="6478"))*'BalanceN-1'!$G$4:$G$9999)-SUMPRODUCT(((LEFT('BalanceN-1'!$A$4:$A$9999,4)="6478"))*'BalanceN-1'!$H$4:$H$9999)</f>
        <v>75000</v>
      </c>
      <c r="I172" s="1498">
        <f t="shared" si="5"/>
        <v>-75000</v>
      </c>
      <c r="J172" s="1499">
        <f t="shared" si="6"/>
        <v>-1</v>
      </c>
    </row>
    <row r="173" spans="1:10" ht="14.1" customHeight="1" thickBot="1" x14ac:dyDescent="0.3">
      <c r="A173" s="1493">
        <v>648</v>
      </c>
      <c r="B173" s="1566" t="s">
        <v>484</v>
      </c>
      <c r="C173" s="1495"/>
      <c r="D173" s="1495"/>
      <c r="E173" s="1495"/>
      <c r="F173" s="1496"/>
      <c r="G173" s="1511">
        <f>SUMPRODUCT(((LEFT(BalanceN!$A$4:$A$9999,3)="648"))*BalanceN!$G$4:$G$9999)-SUMPRODUCT(((LEFT(BalanceN!$A$4:$A$9999,3)="648"))*BalanceN!$H$4:$H$9999)</f>
        <v>0</v>
      </c>
      <c r="H173" s="1511">
        <f>SUMPRODUCT(((LEFT('BalanceN-1'!$A$4:$A$9999,3)="648"))*'BalanceN-1'!$G$4:$G$9999)-SUMPRODUCT(((LEFT('BalanceN-1'!$A$4:$A$9999,3)="648"))*'BalanceN-1'!$H$4:$H$9999)</f>
        <v>0</v>
      </c>
      <c r="I173" s="1491">
        <f t="shared" si="5"/>
        <v>0</v>
      </c>
      <c r="J173" s="1499" t="str">
        <f t="shared" si="6"/>
        <v/>
      </c>
    </row>
    <row r="174" spans="1:10" ht="14.1" customHeight="1" thickTop="1" thickBot="1" x14ac:dyDescent="0.3">
      <c r="A174" s="1501" t="s">
        <v>847</v>
      </c>
      <c r="B174" s="1567"/>
      <c r="C174" s="1503" t="s">
        <v>958</v>
      </c>
      <c r="D174" s="1495"/>
      <c r="E174" s="1495"/>
      <c r="F174" s="1496"/>
      <c r="G174" s="1504">
        <f>SUM(G145:G148,G160:G173)</f>
        <v>3135200</v>
      </c>
      <c r="H174" s="1504">
        <f>SUM(H145:H148,H160:H173)</f>
        <v>110000</v>
      </c>
      <c r="I174" s="1505">
        <f>G174-H174</f>
        <v>3025200</v>
      </c>
      <c r="J174" s="1506">
        <f t="shared" si="6"/>
        <v>27.50181818181818</v>
      </c>
    </row>
    <row r="175" spans="1:10" ht="14.1" customHeight="1" thickTop="1" x14ac:dyDescent="0.25">
      <c r="A175" s="1493">
        <v>6511</v>
      </c>
      <c r="B175" s="1494" t="s">
        <v>487</v>
      </c>
      <c r="C175" s="1495"/>
      <c r="D175" s="1495"/>
      <c r="E175" s="1495"/>
      <c r="F175" s="1496"/>
      <c r="G175" s="1511">
        <f>SUMPRODUCT(((LEFT(BalanceN!$A$4:$A$9999,4)="6511"))*BalanceN!$G$4:$G$9999)-SUMPRODUCT(((LEFT(BalanceN!$A$4:$A$9999,4)="6511"))*BalanceN!$H$4:$H$9999)</f>
        <v>4150956</v>
      </c>
      <c r="H175" s="1511">
        <f>SUMPRODUCT(((LEFT('BalanceN-1'!$A$4:$A$9999,4)="6511"))*'BalanceN-1'!$G$4:$G$9999)-SUMPRODUCT(((LEFT('BalanceN-1'!$A$4:$A$9999,4)="6511"))*'BalanceN-1'!$H$4:$H$9999)</f>
        <v>0</v>
      </c>
      <c r="I175" s="1491">
        <f>G175-H175</f>
        <v>4150956</v>
      </c>
      <c r="J175" s="1499">
        <f t="shared" si="6"/>
        <v>1</v>
      </c>
    </row>
    <row r="176" spans="1:10" ht="14.1" customHeight="1" x14ac:dyDescent="0.25">
      <c r="A176" s="1493">
        <v>6515</v>
      </c>
      <c r="B176" s="1494" t="s">
        <v>488</v>
      </c>
      <c r="C176" s="1495"/>
      <c r="D176" s="1495"/>
      <c r="E176" s="1495"/>
      <c r="F176" s="1496"/>
      <c r="G176" s="1497">
        <f>SUMPRODUCT(((LEFT(BalanceN!$A$4:$A$9999,4)="6515"))*BalanceN!$G$4:$G$9999)-SUMPRODUCT(((LEFT(BalanceN!$A$4:$A$9999,4)="6515"))*BalanceN!$H$4:$H$9999)</f>
        <v>0</v>
      </c>
      <c r="H176" s="1497">
        <f>SUMPRODUCT(((LEFT('BalanceN-1'!$A$4:$A$9999,4)="6515"))*'BalanceN-1'!$G$4:$G$9999)-SUMPRODUCT(((LEFT('BalanceN-1'!$A$4:$A$9999,4)="6515"))*'BalanceN-1'!$H$4:$H$9999)</f>
        <v>0</v>
      </c>
      <c r="I176" s="1498">
        <f t="shared" ref="I176:I221" si="7">G176-H176</f>
        <v>0</v>
      </c>
      <c r="J176" s="1499" t="str">
        <f t="shared" si="6"/>
        <v/>
      </c>
    </row>
    <row r="177" spans="1:10" ht="14.1" customHeight="1" x14ac:dyDescent="0.25">
      <c r="A177" s="1493">
        <v>6521</v>
      </c>
      <c r="B177" s="1494" t="s">
        <v>4136</v>
      </c>
      <c r="C177" s="1495"/>
      <c r="D177" s="1495"/>
      <c r="E177" s="1495"/>
      <c r="F177" s="1496"/>
      <c r="G177" s="1497">
        <f>SUMPRODUCT(((LEFT(BalanceN!$A$4:$A$9999,4)="6521"))*BalanceN!$G$4:$G$9999)-SUMPRODUCT(((LEFT(BalanceN!$A$4:$A$9999,4)="6521"))*BalanceN!$H$4:$H$9999)</f>
        <v>0</v>
      </c>
      <c r="H177" s="1497">
        <f>SUMPRODUCT(((LEFT('BalanceN-1'!$A$4:$A$9999,4)="6521"))*'BalanceN-1'!$G$4:$G$9999)-SUMPRODUCT(((LEFT('BalanceN-1'!$A$4:$A$9999,4)="6521"))*'BalanceN-1'!$H$4:$H$9999)</f>
        <v>0</v>
      </c>
      <c r="I177" s="1498">
        <f t="shared" si="7"/>
        <v>0</v>
      </c>
      <c r="J177" s="1499" t="str">
        <f t="shared" si="6"/>
        <v/>
      </c>
    </row>
    <row r="178" spans="1:10" ht="14.1" customHeight="1" x14ac:dyDescent="0.25">
      <c r="A178" s="1493">
        <v>6525</v>
      </c>
      <c r="B178" s="1494" t="s">
        <v>4137</v>
      </c>
      <c r="C178" s="1495"/>
      <c r="D178" s="1495"/>
      <c r="E178" s="1495"/>
      <c r="F178" s="1496"/>
      <c r="G178" s="1497">
        <f>SUMPRODUCT(((LEFT(BalanceN!$A$4:$A$9999,4)="6525"))*BalanceN!$G$4:$G$9999)-SUMPRODUCT(((LEFT(BalanceN!$A$4:$A$9999,4)="6525"))*BalanceN!$H$4:$H$9999)</f>
        <v>0</v>
      </c>
      <c r="H178" s="1497">
        <f>SUMPRODUCT(((LEFT('BalanceN-1'!$A$4:$A$9999,4)="6525"))*'BalanceN-1'!$G$4:$G$9999)-SUMPRODUCT(((LEFT('BalanceN-1'!$A$4:$A$9999,4)="6525"))*'BalanceN-1'!$H$4:$H$9999)</f>
        <v>0</v>
      </c>
      <c r="I178" s="1498">
        <f t="shared" si="7"/>
        <v>0</v>
      </c>
      <c r="J178" s="1499" t="str">
        <f t="shared" si="6"/>
        <v/>
      </c>
    </row>
    <row r="179" spans="1:10" ht="14.1" customHeight="1" x14ac:dyDescent="0.25">
      <c r="A179" s="1493">
        <v>6541</v>
      </c>
      <c r="B179" s="1494" t="s">
        <v>4138</v>
      </c>
      <c r="C179" s="1495"/>
      <c r="D179" s="1495"/>
      <c r="E179" s="1495"/>
      <c r="F179" s="1496"/>
      <c r="G179" s="1497">
        <f>SUMPRODUCT(((LEFT(BalanceN!$A$4:$A$9999,4)="6541"))*BalanceN!$G$4:$G$9999)-SUMPRODUCT(((LEFT(BalanceN!$A$4:$A$9999,4)="6541"))*BalanceN!$H$4:$H$9999)</f>
        <v>0</v>
      </c>
      <c r="H179" s="1497">
        <f>SUMPRODUCT(((LEFT('BalanceN-1'!$A$4:$A$9999,4)="6541"))*'BalanceN-1'!$G$4:$G$9999)-SUMPRODUCT(((LEFT('BalanceN-1'!$A$4:$A$9999,4)="6541"))*'BalanceN-1'!$H$4:$H$9999)</f>
        <v>0</v>
      </c>
      <c r="I179" s="1498">
        <f t="shared" si="7"/>
        <v>0</v>
      </c>
      <c r="J179" s="1499" t="str">
        <f t="shared" si="6"/>
        <v/>
      </c>
    </row>
    <row r="180" spans="1:10" ht="14.1" customHeight="1" x14ac:dyDescent="0.25">
      <c r="A180" s="1493">
        <v>6542</v>
      </c>
      <c r="B180" s="1494" t="s">
        <v>4139</v>
      </c>
      <c r="C180" s="1495"/>
      <c r="D180" s="1495"/>
      <c r="E180" s="1495"/>
      <c r="F180" s="1496"/>
      <c r="G180" s="1497">
        <f>SUMPRODUCT(((LEFT(BalanceN!$A$4:$A$9999,4)="6542"))*BalanceN!$G$4:$G$9999)-SUMPRODUCT(((LEFT(BalanceN!$A$4:$A$9999,4)="6542"))*BalanceN!$H$4:$H$9999)</f>
        <v>0</v>
      </c>
      <c r="H180" s="1497">
        <f>SUMPRODUCT(((LEFT('BalanceN-1'!$A$4:$A$9999,4)="6542"))*'BalanceN-1'!$G$4:$G$9999)-SUMPRODUCT(((LEFT('BalanceN-1'!$A$4:$A$9999,4)="6542"))*'BalanceN-1'!$H$4:$H$9999)</f>
        <v>0</v>
      </c>
      <c r="I180" s="1498">
        <f t="shared" si="7"/>
        <v>0</v>
      </c>
      <c r="J180" s="1499" t="str">
        <f t="shared" si="6"/>
        <v/>
      </c>
    </row>
    <row r="181" spans="1:10" ht="14.1" customHeight="1" x14ac:dyDescent="0.25">
      <c r="A181" s="1493">
        <v>656</v>
      </c>
      <c r="B181" s="1494" t="s">
        <v>4140</v>
      </c>
      <c r="C181" s="1495"/>
      <c r="D181" s="1495"/>
      <c r="E181" s="1495"/>
      <c r="F181" s="1496"/>
      <c r="G181" s="1497">
        <f>SUMPRODUCT(((LEFT(BalanceN!$A$4:$A$9999,3)="656"))*BalanceN!$G$4:$G$9999)-SUMPRODUCT(((LEFT(BalanceN!$A$4:$A$9999,3)="656"))*BalanceN!$H$4:$H$9999)</f>
        <v>0</v>
      </c>
      <c r="H181" s="1497">
        <f>SUMPRODUCT(((LEFT('BalanceN-1'!$A$4:$A$9999,3)="656"))*'BalanceN-1'!$G$4:$G$9999)-SUMPRODUCT(((LEFT('BalanceN-1'!$A$4:$A$9999,3)="656"))*'BalanceN-1'!$H$4:$H$9999)</f>
        <v>0</v>
      </c>
      <c r="I181" s="1498">
        <f t="shared" si="7"/>
        <v>0</v>
      </c>
      <c r="J181" s="1499" t="str">
        <f t="shared" si="6"/>
        <v/>
      </c>
    </row>
    <row r="182" spans="1:10" ht="14.1" customHeight="1" x14ac:dyDescent="0.25">
      <c r="A182" s="1493">
        <v>657</v>
      </c>
      <c r="B182" s="1494" t="s">
        <v>1074</v>
      </c>
      <c r="C182" s="1495"/>
      <c r="D182" s="1495"/>
      <c r="E182" s="1495"/>
      <c r="F182" s="1496"/>
      <c r="G182" s="1497">
        <f>SUMPRODUCT(((LEFT(BalanceN!$A$4:$A$9999,3)="657"))*BalanceN!$G$4:$G$9999)-SUMPRODUCT(((LEFT(BalanceN!$A$4:$A$9999,3)="657"))*BalanceN!$H$4:$H$9999)</f>
        <v>0</v>
      </c>
      <c r="H182" s="1497">
        <f>SUMPRODUCT(((LEFT('BalanceN-1'!$A$4:$A$9999,3)="657"))*'BalanceN-1'!$G$4:$G$9999)-SUMPRODUCT(((LEFT('BalanceN-1'!$A$4:$A$9999,3)="657"))*'BalanceN-1'!$H$4:$H$9999)</f>
        <v>0</v>
      </c>
      <c r="I182" s="1498">
        <f t="shared" si="7"/>
        <v>0</v>
      </c>
      <c r="J182" s="1499" t="str">
        <f t="shared" si="6"/>
        <v/>
      </c>
    </row>
    <row r="183" spans="1:10" ht="14.1" customHeight="1" x14ac:dyDescent="0.25">
      <c r="A183" s="1493">
        <v>6581</v>
      </c>
      <c r="B183" s="1494" t="s">
        <v>4141</v>
      </c>
      <c r="C183" s="1495"/>
      <c r="D183" s="1495"/>
      <c r="E183" s="1495"/>
      <c r="F183" s="1496"/>
      <c r="G183" s="1497">
        <f>SUMPRODUCT(((LEFT(BalanceN!$A$4:$A$9999,4)="6581"))*BalanceN!$G$4:$G$9999)-SUMPRODUCT(((LEFT(BalanceN!$A$4:$A$9999,4)="6581"))*BalanceN!$H$4:$H$9999)</f>
        <v>0</v>
      </c>
      <c r="H183" s="1497">
        <f>SUMPRODUCT(((LEFT('BalanceN-1'!$A$4:$A$9999,4)="6581"))*'BalanceN-1'!$G$4:$G$9999)-SUMPRODUCT(((LEFT('BalanceN-1'!$A$4:$A$9999,4)="6581"))*'BalanceN-1'!$H$4:$H$9999)</f>
        <v>0</v>
      </c>
      <c r="I183" s="1498">
        <f t="shared" si="7"/>
        <v>0</v>
      </c>
      <c r="J183" s="1499" t="str">
        <f t="shared" si="6"/>
        <v/>
      </c>
    </row>
    <row r="184" spans="1:10" ht="14.1" customHeight="1" x14ac:dyDescent="0.25">
      <c r="A184" s="1493">
        <v>6582</v>
      </c>
      <c r="B184" s="1494" t="s">
        <v>1284</v>
      </c>
      <c r="C184" s="1495"/>
      <c r="D184" s="1495"/>
      <c r="E184" s="1495"/>
      <c r="F184" s="1496"/>
      <c r="G184" s="1497">
        <f>SUMPRODUCT(((LEFT(BalanceN!$A$4:$A$9999,4)="6582"))*BalanceN!$G$4:$G$9999)-SUMPRODUCT(((LEFT(BalanceN!$A$4:$A$9999,4)="6582"))*BalanceN!$H$4:$H$9999)</f>
        <v>100000</v>
      </c>
      <c r="H184" s="1497">
        <f>SUMPRODUCT(((LEFT('BalanceN-1'!$A$4:$A$9999,4)="6582"))*'BalanceN-1'!$G$4:$G$9999)-SUMPRODUCT(((LEFT('BalanceN-1'!$A$4:$A$9999,4)="6582"))*'BalanceN-1'!$H$4:$H$9999)</f>
        <v>0</v>
      </c>
      <c r="I184" s="1498">
        <f t="shared" si="7"/>
        <v>100000</v>
      </c>
      <c r="J184" s="1499">
        <f t="shared" si="6"/>
        <v>1</v>
      </c>
    </row>
    <row r="185" spans="1:10" ht="14.1" customHeight="1" x14ac:dyDescent="0.25">
      <c r="A185" s="1493">
        <v>6583</v>
      </c>
      <c r="B185" s="1494" t="s">
        <v>4142</v>
      </c>
      <c r="C185" s="1495"/>
      <c r="D185" s="1495"/>
      <c r="E185" s="1495"/>
      <c r="F185" s="1496"/>
      <c r="G185" s="1497">
        <f>SUMPRODUCT(((LEFT(BalanceN!$A$4:$A$9999,4)="6583"))*BalanceN!$G$4:$G$9999)-SUMPRODUCT(((LEFT(BalanceN!$A$4:$A$9999,4)="6583"))*BalanceN!$H$4:$H$9999)</f>
        <v>0</v>
      </c>
      <c r="H185" s="1497">
        <f>SUMPRODUCT(((LEFT('BalanceN-1'!$A$4:$A$9999,4)="6583"))*'BalanceN-1'!$G$4:$G$9999)-SUMPRODUCT(((LEFT('BalanceN-1'!$A$4:$A$9999,4)="6583"))*'BalanceN-1'!$H$4:$H$9999)</f>
        <v>0</v>
      </c>
      <c r="I185" s="1498">
        <f t="shared" si="7"/>
        <v>0</v>
      </c>
      <c r="J185" s="1499" t="str">
        <f t="shared" si="6"/>
        <v/>
      </c>
    </row>
    <row r="186" spans="1:10" ht="14.1" customHeight="1" x14ac:dyDescent="0.25">
      <c r="A186" s="1493">
        <v>6588</v>
      </c>
      <c r="B186" s="1494" t="s">
        <v>493</v>
      </c>
      <c r="C186" s="1495"/>
      <c r="D186" s="1495"/>
      <c r="E186" s="1495"/>
      <c r="F186" s="1496"/>
      <c r="G186" s="1497">
        <f>SUMPRODUCT(((LEFT(BalanceN!$A$4:$A$9999,4)="6588"))*BalanceN!$G$4:$G$9999)-SUMPRODUCT(((LEFT(BalanceN!$A$4:$A$9999,4)="6588"))*BalanceN!$H$4:$H$9999)</f>
        <v>12973</v>
      </c>
      <c r="H186" s="1497">
        <f>SUMPRODUCT(((LEFT('BalanceN-1'!$A$4:$A$9999,4)="6588"))*'BalanceN-1'!$G$4:$G$9999)-SUMPRODUCT(((LEFT('BalanceN-1'!$A$4:$A$9999,4)="6588"))*'BalanceN-1'!$H$4:$H$9999)</f>
        <v>67670</v>
      </c>
      <c r="I186" s="1498">
        <f t="shared" si="7"/>
        <v>-54697</v>
      </c>
      <c r="J186" s="1499">
        <f t="shared" si="6"/>
        <v>-0.80829023200827543</v>
      </c>
    </row>
    <row r="187" spans="1:10" ht="14.1" customHeight="1" x14ac:dyDescent="0.25">
      <c r="A187" s="1493">
        <v>6591</v>
      </c>
      <c r="B187" s="1494" t="s">
        <v>4143</v>
      </c>
      <c r="C187" s="1495"/>
      <c r="D187" s="1495"/>
      <c r="E187" s="1495"/>
      <c r="F187" s="1496"/>
      <c r="G187" s="1497">
        <f>SUMPRODUCT(((LEFT(BalanceN!$A$4:$A$9999,4)="6591"))*BalanceN!$G$4:$G$9999)-SUMPRODUCT(((LEFT(BalanceN!$A$4:$A$9999,4)="6591"))*BalanceN!$H$4:$H$9999)</f>
        <v>0</v>
      </c>
      <c r="H187" s="1497">
        <f>SUMPRODUCT(((LEFT('BalanceN-1'!$A$4:$A$9999,4)="6591"))*'BalanceN-1'!$G$4:$G$9999)-SUMPRODUCT(((LEFT('BalanceN-1'!$A$4:$A$9999,4)="6591"))*'BalanceN-1'!$H$4:$H$9999)</f>
        <v>0</v>
      </c>
      <c r="I187" s="1498">
        <f t="shared" si="7"/>
        <v>0</v>
      </c>
      <c r="J187" s="1499" t="str">
        <f t="shared" si="6"/>
        <v/>
      </c>
    </row>
    <row r="188" spans="1:10" ht="14.1" customHeight="1" x14ac:dyDescent="0.25">
      <c r="A188" s="1493">
        <v>6593</v>
      </c>
      <c r="B188" s="1494" t="s">
        <v>4144</v>
      </c>
      <c r="C188" s="1568"/>
      <c r="D188" s="1568"/>
      <c r="E188" s="1568"/>
      <c r="F188" s="1569"/>
      <c r="G188" s="1497">
        <f>SUMPRODUCT(((LEFT(BalanceN!$A$4:$A$9999,4)="6593"))*BalanceN!$G$4:$G$9999)-SUMPRODUCT(((LEFT(BalanceN!$A$4:$A$9999,4)="6593"))*BalanceN!$H$4:$H$9999)</f>
        <v>0</v>
      </c>
      <c r="H188" s="1497">
        <f>SUMPRODUCT(((LEFT('BalanceN-1'!$A$4:$A$9999,4)="6593"))*'BalanceN-1'!$G$4:$G$9999)-SUMPRODUCT(((LEFT('BalanceN-1'!$A$4:$A$9999,4)="6593"))*'BalanceN-1'!$H$4:$H$9999)</f>
        <v>0</v>
      </c>
      <c r="I188" s="1498">
        <f t="shared" si="7"/>
        <v>0</v>
      </c>
      <c r="J188" s="1499" t="str">
        <f t="shared" si="6"/>
        <v/>
      </c>
    </row>
    <row r="189" spans="1:10" ht="14.1" customHeight="1" x14ac:dyDescent="0.25">
      <c r="A189" s="1493">
        <v>6594</v>
      </c>
      <c r="B189" s="1494" t="s">
        <v>4145</v>
      </c>
      <c r="C189" s="1568"/>
      <c r="D189" s="1568"/>
      <c r="E189" s="1568"/>
      <c r="F189" s="1569"/>
      <c r="G189" s="1497">
        <f>SUMPRODUCT(((LEFT(BalanceN!$A$4:$A$9999,4)="6594"))*BalanceN!$G$4:$G$9999)-SUMPRODUCT(((LEFT(BalanceN!$A$4:$A$9999,4)="6594"))*BalanceN!$H$4:$H$9999)</f>
        <v>0</v>
      </c>
      <c r="H189" s="1497">
        <f>SUMPRODUCT(((LEFT('BalanceN-1'!$A$4:$A$9999,4)="6594"))*'BalanceN-1'!$G$4:$G$9999)-SUMPRODUCT(((LEFT('BalanceN-1'!$A$4:$A$9999,4)="6594"))*'BalanceN-1'!$H$4:$H$9999)</f>
        <v>0</v>
      </c>
      <c r="I189" s="1498">
        <f t="shared" si="7"/>
        <v>0</v>
      </c>
      <c r="J189" s="1499" t="str">
        <f t="shared" si="6"/>
        <v/>
      </c>
    </row>
    <row r="190" spans="1:10" ht="14.1" customHeight="1" thickBot="1" x14ac:dyDescent="0.3">
      <c r="A190" s="1493">
        <v>6598</v>
      </c>
      <c r="B190" s="1494" t="s">
        <v>4146</v>
      </c>
      <c r="C190" s="1568"/>
      <c r="D190" s="1568"/>
      <c r="E190" s="1568"/>
      <c r="F190" s="1569"/>
      <c r="G190" s="1511">
        <f>SUMPRODUCT(((LEFT(BalanceN!$A$4:$A$9999,4)="6598"))*BalanceN!$G$4:$G$9999)-SUMPRODUCT(((LEFT(BalanceN!$A$4:$A$9999,4)="6598"))*BalanceN!$H$4:$H$9999)</f>
        <v>0</v>
      </c>
      <c r="H190" s="1511">
        <f>SUMPRODUCT(((LEFT('BalanceN-1'!$A$4:$A$9999,4)="6598"))*'BalanceN-1'!$G$4:$G$9999)-SUMPRODUCT(((LEFT('BalanceN-1'!$A$4:$A$9999,4)="6598"))*'BalanceN-1'!$H$4:$H$9999)</f>
        <v>0</v>
      </c>
      <c r="I190" s="1491">
        <f t="shared" si="7"/>
        <v>0</v>
      </c>
      <c r="J190" s="1499" t="str">
        <f t="shared" si="6"/>
        <v/>
      </c>
    </row>
    <row r="191" spans="1:10" ht="14.1" customHeight="1" thickTop="1" thickBot="1" x14ac:dyDescent="0.3">
      <c r="A191" s="1501" t="s">
        <v>848</v>
      </c>
      <c r="B191" s="1502"/>
      <c r="C191" s="1503" t="s">
        <v>959</v>
      </c>
      <c r="D191" s="1495"/>
      <c r="E191" s="1495"/>
      <c r="F191" s="1496"/>
      <c r="G191" s="1504">
        <f>SUM(G175:G190)</f>
        <v>4263929</v>
      </c>
      <c r="H191" s="1504">
        <f>SUM(H175:H190)</f>
        <v>67670</v>
      </c>
      <c r="I191" s="1505">
        <f>G191-H191</f>
        <v>4196259</v>
      </c>
      <c r="J191" s="1506">
        <f t="shared" si="6"/>
        <v>62.01062509235998</v>
      </c>
    </row>
    <row r="192" spans="1:10" ht="14.1" customHeight="1" thickTop="1" x14ac:dyDescent="0.25">
      <c r="A192" s="1493">
        <v>6611</v>
      </c>
      <c r="B192" s="1494" t="s">
        <v>4147</v>
      </c>
      <c r="C192" s="1495"/>
      <c r="D192" s="1495"/>
      <c r="E192" s="1495"/>
      <c r="F192" s="1496"/>
      <c r="G192" s="1570">
        <f>SUMPRODUCT(((LEFT(BalanceN!$A$4:$A$9999,4)="6611"))*BalanceN!$G$4:$G$9999)-SUMPRODUCT(((LEFT(BalanceN!$A$4:$A$9999,4)="6611"))*BalanceN!$H$4:$H$9999)</f>
        <v>101601787</v>
      </c>
      <c r="H192" s="1570">
        <f>SUMPRODUCT(((LEFT('BalanceN-1'!$A$4:$A$9999,4)="6611"))*'BalanceN-1'!$G$4:$G$9999)-SUMPRODUCT(((LEFT('BalanceN-1'!$A$4:$A$9999,4)="6611"))*'BalanceN-1'!$H$4:$H$9999)</f>
        <v>85757833</v>
      </c>
      <c r="I192" s="1491">
        <f t="shared" si="7"/>
        <v>15843954</v>
      </c>
      <c r="J192" s="1499">
        <f t="shared" si="6"/>
        <v>0.18475226630318423</v>
      </c>
    </row>
    <row r="193" spans="1:10" ht="14.1" customHeight="1" x14ac:dyDescent="0.25">
      <c r="A193" s="1493">
        <v>6612</v>
      </c>
      <c r="B193" s="1494" t="s">
        <v>4148</v>
      </c>
      <c r="C193" s="1495"/>
      <c r="D193" s="1495"/>
      <c r="E193" s="1495"/>
      <c r="F193" s="1496"/>
      <c r="G193" s="1497">
        <f>SUMPRODUCT(((LEFT(BalanceN!$A$4:$A$9999,4)="6612"))*BalanceN!$G$4:$G$9999)-SUMPRODUCT(((LEFT(BalanceN!$A$4:$A$9999,4)="6612"))*BalanceN!$H$4:$H$9999)</f>
        <v>0</v>
      </c>
      <c r="H193" s="1497">
        <f>SUMPRODUCT(((LEFT('BalanceN-1'!$A$4:$A$9999,4)="6612"))*'BalanceN-1'!$G$4:$G$9999)-SUMPRODUCT(((LEFT('BalanceN-1'!$A$4:$A$9999,4)="6612"))*'BalanceN-1'!$H$4:$H$9999)</f>
        <v>0</v>
      </c>
      <c r="I193" s="1498">
        <f t="shared" si="7"/>
        <v>0</v>
      </c>
      <c r="J193" s="1499" t="str">
        <f t="shared" si="6"/>
        <v/>
      </c>
    </row>
    <row r="194" spans="1:10" ht="14.1" customHeight="1" x14ac:dyDescent="0.25">
      <c r="A194" s="1493">
        <v>6613</v>
      </c>
      <c r="B194" s="1494" t="s">
        <v>4149</v>
      </c>
      <c r="C194" s="1495"/>
      <c r="D194" s="1495"/>
      <c r="E194" s="1495"/>
      <c r="F194" s="1496"/>
      <c r="G194" s="1497">
        <f>SUMPRODUCT(((LEFT(BalanceN!$A$4:$A$9999,4)="6613"))*BalanceN!$G$4:$G$9999)-SUMPRODUCT(((LEFT(BalanceN!$A$4:$A$9999,4)="6613"))*BalanceN!$H$4:$H$9999)</f>
        <v>4632641</v>
      </c>
      <c r="H194" s="1497">
        <f>SUMPRODUCT(((LEFT('BalanceN-1'!$A$4:$A$9999,4)="6613"))*'BalanceN-1'!$G$4:$G$9999)-SUMPRODUCT(((LEFT('BalanceN-1'!$A$4:$A$9999,4)="6613"))*'BalanceN-1'!$H$4:$H$9999)</f>
        <v>7969603</v>
      </c>
      <c r="I194" s="1498">
        <f t="shared" si="7"/>
        <v>-3336962</v>
      </c>
      <c r="J194" s="1499">
        <f t="shared" si="6"/>
        <v>-0.41871119552630165</v>
      </c>
    </row>
    <row r="195" spans="1:10" ht="14.1" customHeight="1" x14ac:dyDescent="0.25">
      <c r="A195" s="1493">
        <v>6614</v>
      </c>
      <c r="B195" s="1494" t="s">
        <v>4150</v>
      </c>
      <c r="C195" s="1568"/>
      <c r="D195" s="1568"/>
      <c r="E195" s="1568"/>
      <c r="F195" s="1569"/>
      <c r="G195" s="1497">
        <f>SUMPRODUCT(((LEFT(BalanceN!$A$4:$A$9999,4)="6614"))*BalanceN!$G$4:$G$9999)-SUMPRODUCT(((LEFT(BalanceN!$A$4:$A$9999,4)="6614"))*BalanceN!$H$4:$H$9999)</f>
        <v>0</v>
      </c>
      <c r="H195" s="1497">
        <f>SUMPRODUCT(((LEFT('BalanceN-1'!$A$4:$A$9999,4)="6614"))*'BalanceN-1'!$G$4:$G$9999)-SUMPRODUCT(((LEFT('BalanceN-1'!$A$4:$A$9999,4)="6614"))*'BalanceN-1'!$H$4:$H$9999)</f>
        <v>0</v>
      </c>
      <c r="I195" s="1498">
        <f t="shared" si="7"/>
        <v>0</v>
      </c>
      <c r="J195" s="1499" t="str">
        <f t="shared" si="6"/>
        <v/>
      </c>
    </row>
    <row r="196" spans="1:10" ht="14.1" customHeight="1" x14ac:dyDescent="0.25">
      <c r="A196" s="1493">
        <v>6615</v>
      </c>
      <c r="B196" s="1494" t="s">
        <v>4151</v>
      </c>
      <c r="C196" s="1495"/>
      <c r="D196" s="1495"/>
      <c r="E196" s="1495"/>
      <c r="F196" s="1496"/>
      <c r="G196" s="1497">
        <f>SUMPRODUCT(((LEFT(BalanceN!$A$4:$A$9999,4)="6615"))*BalanceN!$G$4:$G$9999)-SUMPRODUCT(((LEFT(BalanceN!$A$4:$A$9999,4)="6615"))*BalanceN!$H$4:$H$9999)</f>
        <v>0</v>
      </c>
      <c r="H196" s="1497">
        <f>SUMPRODUCT(((LEFT('BalanceN-1'!$A$4:$A$9999,4)="6615"))*'BalanceN-1'!$G$4:$G$9999)-SUMPRODUCT(((LEFT('BalanceN-1'!$A$4:$A$9999,4)="6615"))*'BalanceN-1'!$H$4:$H$9999)</f>
        <v>0</v>
      </c>
      <c r="I196" s="1498">
        <f t="shared" si="7"/>
        <v>0</v>
      </c>
      <c r="J196" s="1499" t="str">
        <f t="shared" si="6"/>
        <v/>
      </c>
    </row>
    <row r="197" spans="1:10" ht="14.1" customHeight="1" x14ac:dyDescent="0.25">
      <c r="A197" s="1493">
        <v>6616</v>
      </c>
      <c r="B197" s="1494" t="s">
        <v>4152</v>
      </c>
      <c r="C197" s="1495"/>
      <c r="D197" s="1495"/>
      <c r="E197" s="1495"/>
      <c r="F197" s="1496"/>
      <c r="G197" s="1497">
        <f>SUMPRODUCT(((LEFT(BalanceN!$A$4:$A$9999,4)="6616"))*BalanceN!$G$4:$G$9999)-SUMPRODUCT(((LEFT(BalanceN!$A$4:$A$9999,4)="6616"))*BalanceN!$H$4:$H$9999)</f>
        <v>0</v>
      </c>
      <c r="H197" s="1497">
        <f>SUMPRODUCT(((LEFT('BalanceN-1'!$A$4:$A$9999,4)="6616"))*'BalanceN-1'!$G$4:$G$9999)-SUMPRODUCT(((LEFT('BalanceN-1'!$A$4:$A$9999,4)="6616"))*'BalanceN-1'!$H$4:$H$9999)</f>
        <v>0</v>
      </c>
      <c r="I197" s="1498">
        <f t="shared" si="7"/>
        <v>0</v>
      </c>
      <c r="J197" s="1499" t="str">
        <f t="shared" si="6"/>
        <v/>
      </c>
    </row>
    <row r="198" spans="1:10" ht="14.1" customHeight="1" x14ac:dyDescent="0.25">
      <c r="A198" s="1493">
        <v>6617</v>
      </c>
      <c r="B198" s="1494" t="s">
        <v>4153</v>
      </c>
      <c r="C198" s="1495"/>
      <c r="D198" s="1495"/>
      <c r="E198" s="1495"/>
      <c r="F198" s="1496"/>
      <c r="G198" s="1497">
        <f>SUMPRODUCT(((LEFT(BalanceN!$A$4:$A$9999,4)="6617"))*BalanceN!$G$4:$G$9999)-SUMPRODUCT(((LEFT(BalanceN!$A$4:$A$9999,4)="6617"))*BalanceN!$H$4:$H$9999)</f>
        <v>0</v>
      </c>
      <c r="H198" s="1497">
        <f>SUMPRODUCT(((LEFT('BalanceN-1'!$A$4:$A$9999,4)="6617"))*'BalanceN-1'!$G$4:$G$9999)-SUMPRODUCT(((LEFT('BalanceN-1'!$A$4:$A$9999,4)="6617"))*'BalanceN-1'!$H$4:$H$9999)</f>
        <v>0</v>
      </c>
      <c r="I198" s="1498">
        <f t="shared" si="7"/>
        <v>0</v>
      </c>
      <c r="J198" s="1499" t="str">
        <f t="shared" si="6"/>
        <v/>
      </c>
    </row>
    <row r="199" spans="1:10" ht="14.1" customHeight="1" x14ac:dyDescent="0.25">
      <c r="A199" s="1493">
        <v>6618</v>
      </c>
      <c r="B199" s="1494" t="s">
        <v>4154</v>
      </c>
      <c r="C199" s="1495"/>
      <c r="D199" s="1495"/>
      <c r="E199" s="1495"/>
      <c r="F199" s="1496"/>
      <c r="G199" s="1497">
        <f>SUMPRODUCT(((LEFT(BalanceN!$A$4:$A$9999,4)="6618"))*BalanceN!$G$4:$G$9999)-SUMPRODUCT(((LEFT(BalanceN!$A$4:$A$9999,4)="6618"))*BalanceN!$H$4:$H$9999)</f>
        <v>45353580</v>
      </c>
      <c r="H199" s="1497">
        <f>SUMPRODUCT(((LEFT('BalanceN-1'!$A$4:$A$9999,4)="6618"))*'BalanceN-1'!$G$4:$G$9999)-SUMPRODUCT(((LEFT('BalanceN-1'!$A$4:$A$9999,4)="6618"))*'BalanceN-1'!$H$4:$H$9999)</f>
        <v>46989030</v>
      </c>
      <c r="I199" s="1498">
        <f t="shared" si="7"/>
        <v>-1635450</v>
      </c>
      <c r="J199" s="1499">
        <f t="shared" si="6"/>
        <v>-3.4804932129903508E-2</v>
      </c>
    </row>
    <row r="200" spans="1:10" ht="14.1" customHeight="1" x14ac:dyDescent="0.25">
      <c r="A200" s="1493">
        <v>6621</v>
      </c>
      <c r="B200" s="1494" t="s">
        <v>4155</v>
      </c>
      <c r="C200" s="1495"/>
      <c r="D200" s="1495"/>
      <c r="E200" s="1495"/>
      <c r="F200" s="1496"/>
      <c r="G200" s="1497">
        <f>SUMPRODUCT(((LEFT(BalanceN!$A$4:$A$9999,4)="6621"))*BalanceN!$G$4:$G$9999)-SUMPRODUCT(((LEFT(BalanceN!$A$4:$A$9999,4)="6621"))*BalanceN!$H$4:$H$9999)</f>
        <v>26964127</v>
      </c>
      <c r="H200" s="1497">
        <f>SUMPRODUCT(((LEFT('BalanceN-1'!$A$4:$A$9999,4)="6621"))*'BalanceN-1'!$G$4:$G$9999)-SUMPRODUCT(((LEFT('BalanceN-1'!$A$4:$A$9999,4)="6621"))*'BalanceN-1'!$H$4:$H$9999)</f>
        <v>27063888</v>
      </c>
      <c r="I200" s="1498">
        <f t="shared" si="7"/>
        <v>-99761</v>
      </c>
      <c r="J200" s="1499">
        <f t="shared" si="6"/>
        <v>-3.6861296499601241E-3</v>
      </c>
    </row>
    <row r="201" spans="1:10" ht="14.1" customHeight="1" x14ac:dyDescent="0.25">
      <c r="A201" s="1493">
        <v>6622</v>
      </c>
      <c r="B201" s="1494" t="s">
        <v>4156</v>
      </c>
      <c r="C201" s="1495"/>
      <c r="D201" s="1495"/>
      <c r="E201" s="1495"/>
      <c r="F201" s="1496"/>
      <c r="G201" s="1497">
        <f>SUMPRODUCT(((LEFT(BalanceN!$A$4:$A$9999,4)="6622"))*BalanceN!$G$4:$G$9999)-SUMPRODUCT(((LEFT(BalanceN!$A$4:$A$9999,4)="6622"))*BalanceN!$H$4:$H$9999)</f>
        <v>0</v>
      </c>
      <c r="H201" s="1497">
        <f>SUMPRODUCT(((LEFT('BalanceN-1'!$A$4:$A$9999,4)="6622"))*'BalanceN-1'!$G$4:$G$9999)-SUMPRODUCT(((LEFT('BalanceN-1'!$A$4:$A$9999,4)="6622"))*'BalanceN-1'!$H$4:$H$9999)</f>
        <v>0</v>
      </c>
      <c r="I201" s="1498">
        <f t="shared" si="7"/>
        <v>0</v>
      </c>
      <c r="J201" s="1499" t="str">
        <f t="shared" si="6"/>
        <v/>
      </c>
    </row>
    <row r="202" spans="1:10" ht="14.1" customHeight="1" x14ac:dyDescent="0.25">
      <c r="A202" s="1493">
        <v>6623</v>
      </c>
      <c r="B202" s="1494" t="s">
        <v>4157</v>
      </c>
      <c r="C202" s="1495"/>
      <c r="D202" s="1495"/>
      <c r="E202" s="1495"/>
      <c r="F202" s="1496"/>
      <c r="G202" s="1497">
        <f>SUMPRODUCT(((LEFT(BalanceN!$A$4:$A$9999,4)="6623"))*BalanceN!$G$4:$G$9999)-SUMPRODUCT(((LEFT(BalanceN!$A$4:$A$9999,4)="6623"))*BalanceN!$H$4:$H$9999)</f>
        <v>907</v>
      </c>
      <c r="H202" s="1497">
        <f>SUMPRODUCT(((LEFT('BalanceN-1'!$A$4:$A$9999,4)="6623"))*'BalanceN-1'!$G$4:$G$9999)-SUMPRODUCT(((LEFT('BalanceN-1'!$A$4:$A$9999,4)="6623"))*'BalanceN-1'!$H$4:$H$9999)</f>
        <v>0</v>
      </c>
      <c r="I202" s="1498">
        <f t="shared" si="7"/>
        <v>907</v>
      </c>
      <c r="J202" s="1499">
        <f t="shared" si="6"/>
        <v>1</v>
      </c>
    </row>
    <row r="203" spans="1:10" ht="14.1" customHeight="1" x14ac:dyDescent="0.25">
      <c r="A203" s="1493">
        <v>6624</v>
      </c>
      <c r="B203" s="1494" t="s">
        <v>4158</v>
      </c>
      <c r="C203" s="1568"/>
      <c r="D203" s="1568"/>
      <c r="E203" s="1568"/>
      <c r="F203" s="1569"/>
      <c r="G203" s="1497">
        <f>SUMPRODUCT(((LEFT(BalanceN!$A$4:$A$9999,4)="6624"))*BalanceN!$G$4:$G$9999)-SUMPRODUCT(((LEFT(BalanceN!$A$4:$A$9999,4)="6624"))*BalanceN!$H$4:$H$9999)</f>
        <v>0</v>
      </c>
      <c r="H203" s="1497">
        <f>SUMPRODUCT(((LEFT('BalanceN-1'!$A$4:$A$9999,4)="6624"))*'BalanceN-1'!$G$4:$G$9999)-SUMPRODUCT(((LEFT('BalanceN-1'!$A$4:$A$9999,4)="6624"))*'BalanceN-1'!$H$4:$H$9999)</f>
        <v>0</v>
      </c>
      <c r="I203" s="1498">
        <f t="shared" si="7"/>
        <v>0</v>
      </c>
      <c r="J203" s="1499" t="str">
        <f t="shared" si="6"/>
        <v/>
      </c>
    </row>
    <row r="204" spans="1:10" ht="14.1" customHeight="1" x14ac:dyDescent="0.25">
      <c r="A204" s="1493">
        <v>6625</v>
      </c>
      <c r="B204" s="1494" t="s">
        <v>4159</v>
      </c>
      <c r="C204" s="1495"/>
      <c r="D204" s="1495"/>
      <c r="E204" s="1495"/>
      <c r="F204" s="1496"/>
      <c r="G204" s="1497">
        <f>SUMPRODUCT(((LEFT(BalanceN!$A$4:$A$9999,4)="6625"))*BalanceN!$G$4:$G$9999)-SUMPRODUCT(((LEFT(BalanceN!$A$4:$A$9999,4)="6625"))*BalanceN!$H$4:$H$9999)</f>
        <v>0</v>
      </c>
      <c r="H204" s="1497">
        <f>SUMPRODUCT(((LEFT('BalanceN-1'!$A$4:$A$9999,4)="6625"))*'BalanceN-1'!$G$4:$G$9999)-SUMPRODUCT(((LEFT('BalanceN-1'!$A$4:$A$9999,4)="6625"))*'BalanceN-1'!$H$4:$H$9999)</f>
        <v>0</v>
      </c>
      <c r="I204" s="1498">
        <f t="shared" si="7"/>
        <v>0</v>
      </c>
      <c r="J204" s="1499" t="str">
        <f t="shared" si="6"/>
        <v/>
      </c>
    </row>
    <row r="205" spans="1:10" ht="14.1" customHeight="1" x14ac:dyDescent="0.25">
      <c r="A205" s="1493">
        <v>6626</v>
      </c>
      <c r="B205" s="1494" t="s">
        <v>4160</v>
      </c>
      <c r="C205" s="1495"/>
      <c r="D205" s="1495"/>
      <c r="E205" s="1495"/>
      <c r="F205" s="1496"/>
      <c r="G205" s="1497">
        <f>SUMPRODUCT(((LEFT(BalanceN!$A$4:$A$9999,4)="6626"))*BalanceN!$G$4:$G$9999)-SUMPRODUCT(((LEFT(BalanceN!$A$4:$A$9999,4)="6626"))*BalanceN!$H$4:$H$9999)</f>
        <v>0</v>
      </c>
      <c r="H205" s="1497">
        <f>SUMPRODUCT(((LEFT('BalanceN-1'!$A$4:$A$9999,4)="6626"))*'BalanceN-1'!$G$4:$G$9999)-SUMPRODUCT(((LEFT('BalanceN-1'!$A$4:$A$9999,4)="6626"))*'BalanceN-1'!$H$4:$H$9999)</f>
        <v>0</v>
      </c>
      <c r="I205" s="1498">
        <f t="shared" si="7"/>
        <v>0</v>
      </c>
      <c r="J205" s="1499" t="str">
        <f t="shared" si="6"/>
        <v/>
      </c>
    </row>
    <row r="206" spans="1:10" ht="14.1" customHeight="1" x14ac:dyDescent="0.25">
      <c r="A206" s="1493">
        <v>6627</v>
      </c>
      <c r="B206" s="1494" t="s">
        <v>4161</v>
      </c>
      <c r="C206" s="1495"/>
      <c r="D206" s="1495"/>
      <c r="E206" s="1495"/>
      <c r="F206" s="1496"/>
      <c r="G206" s="1497">
        <f>SUMPRODUCT(((LEFT(BalanceN!$A$4:$A$9999,4)="6627"))*BalanceN!$G$4:$G$9999)-SUMPRODUCT(((LEFT(BalanceN!$A$4:$A$9999,4)="6627"))*BalanceN!$H$4:$H$9999)</f>
        <v>0</v>
      </c>
      <c r="H206" s="1497">
        <f>SUMPRODUCT(((LEFT('BalanceN-1'!$A$4:$A$9999,4)="6627"))*'BalanceN-1'!$G$4:$G$9999)-SUMPRODUCT(((LEFT('BalanceN-1'!$A$4:$A$9999,4)="6627"))*'BalanceN-1'!$H$4:$H$9999)</f>
        <v>0</v>
      </c>
      <c r="I206" s="1498">
        <f t="shared" si="7"/>
        <v>0</v>
      </c>
      <c r="J206" s="1499" t="str">
        <f t="shared" si="6"/>
        <v/>
      </c>
    </row>
    <row r="207" spans="1:10" ht="14.1" customHeight="1" x14ac:dyDescent="0.25">
      <c r="A207" s="1493">
        <v>6628</v>
      </c>
      <c r="B207" s="1494" t="s">
        <v>4162</v>
      </c>
      <c r="C207" s="1495"/>
      <c r="D207" s="1495"/>
      <c r="E207" s="1495"/>
      <c r="F207" s="1496"/>
      <c r="G207" s="1497">
        <f>SUMPRODUCT(((LEFT(BalanceN!$A$4:$A$9999,4)="6628"))*BalanceN!$G$4:$G$9999)-SUMPRODUCT(((LEFT(BalanceN!$A$4:$A$9999,4)="6628"))*BalanceN!$H$4:$H$9999)</f>
        <v>0</v>
      </c>
      <c r="H207" s="1497">
        <f>SUMPRODUCT(((LEFT('BalanceN-1'!$A$4:$A$9999,4)="6628"))*'BalanceN-1'!$G$4:$G$9999)-SUMPRODUCT(((LEFT('BalanceN-1'!$A$4:$A$9999,4)="6628"))*'BalanceN-1'!$H$4:$H$9999)</f>
        <v>0</v>
      </c>
      <c r="I207" s="1498">
        <f t="shared" si="7"/>
        <v>0</v>
      </c>
      <c r="J207" s="1499" t="str">
        <f t="shared" si="6"/>
        <v/>
      </c>
    </row>
    <row r="208" spans="1:10" ht="14.1" customHeight="1" x14ac:dyDescent="0.25">
      <c r="A208" s="1493">
        <v>6631</v>
      </c>
      <c r="B208" s="1494" t="s">
        <v>4163</v>
      </c>
      <c r="C208" s="1495"/>
      <c r="D208" s="1495"/>
      <c r="E208" s="1495"/>
      <c r="F208" s="1496"/>
      <c r="G208" s="1497">
        <f>SUMPRODUCT(((LEFT(BalanceN!$A$4:$A$9999,4)="6631"))*BalanceN!$G$4:$G$9999)-SUMPRODUCT(((LEFT(BalanceN!$A$4:$A$9999,4)="6631"))*BalanceN!$H$4:$H$9999)</f>
        <v>3216000</v>
      </c>
      <c r="H208" s="1497">
        <f>SUMPRODUCT(((LEFT('BalanceN-1'!$A$4:$A$9999,4)="6631"))*'BalanceN-1'!$G$4:$G$9999)-SUMPRODUCT(((LEFT('BalanceN-1'!$A$4:$A$9999,4)="6631"))*'BalanceN-1'!$H$4:$H$9999)</f>
        <v>3216000</v>
      </c>
      <c r="I208" s="1498">
        <f t="shared" si="7"/>
        <v>0</v>
      </c>
      <c r="J208" s="1499">
        <f t="shared" si="6"/>
        <v>0</v>
      </c>
    </row>
    <row r="209" spans="1:10" ht="14.1" customHeight="1" x14ac:dyDescent="0.25">
      <c r="A209" s="1493">
        <v>6632</v>
      </c>
      <c r="B209" s="1494" t="s">
        <v>4164</v>
      </c>
      <c r="C209" s="1495"/>
      <c r="D209" s="1495"/>
      <c r="E209" s="1495"/>
      <c r="F209" s="1496"/>
      <c r="G209" s="1497">
        <f>SUMPRODUCT(((LEFT(BalanceN!$A$4:$A$9999,4)="6632"))*BalanceN!$G$4:$G$9999)-SUMPRODUCT(((LEFT(BalanceN!$A$4:$A$9999,4)="6632"))*BalanceN!$H$4:$H$9999)</f>
        <v>0</v>
      </c>
      <c r="H209" s="1497">
        <f>SUMPRODUCT(((LEFT('BalanceN-1'!$A$4:$A$9999,4)="6632"))*'BalanceN-1'!$G$4:$G$9999)-SUMPRODUCT(((LEFT('BalanceN-1'!$A$4:$A$9999,4)="6632"))*'BalanceN-1'!$H$4:$H$9999)</f>
        <v>0</v>
      </c>
      <c r="I209" s="1498">
        <f t="shared" si="7"/>
        <v>0</v>
      </c>
      <c r="J209" s="1499" t="str">
        <f t="shared" si="6"/>
        <v/>
      </c>
    </row>
    <row r="210" spans="1:10" ht="14.1" customHeight="1" x14ac:dyDescent="0.25">
      <c r="A210" s="1493">
        <v>6633</v>
      </c>
      <c r="B210" s="1494" t="s">
        <v>4165</v>
      </c>
      <c r="C210" s="1495"/>
      <c r="D210" s="1495"/>
      <c r="E210" s="1495"/>
      <c r="F210" s="1496"/>
      <c r="G210" s="1497">
        <f>SUMPRODUCT(((LEFT(BalanceN!$A$4:$A$9999,4)="6633"))*BalanceN!$G$4:$G$9999)-SUMPRODUCT(((LEFT(BalanceN!$A$4:$A$9999,4)="6633"))*BalanceN!$H$4:$H$9999)</f>
        <v>0</v>
      </c>
      <c r="H210" s="1497">
        <f>SUMPRODUCT(((LEFT('BalanceN-1'!$A$4:$A$9999,4)="6633"))*'BalanceN-1'!$G$4:$G$9999)-SUMPRODUCT(((LEFT('BalanceN-1'!$A$4:$A$9999,4)="6633"))*'BalanceN-1'!$H$4:$H$9999)</f>
        <v>0</v>
      </c>
      <c r="I210" s="1498">
        <f t="shared" si="7"/>
        <v>0</v>
      </c>
      <c r="J210" s="1499" t="str">
        <f t="shared" si="6"/>
        <v/>
      </c>
    </row>
    <row r="211" spans="1:10" ht="14.1" customHeight="1" x14ac:dyDescent="0.25">
      <c r="A211" s="1493">
        <v>6634</v>
      </c>
      <c r="B211" s="1494" t="s">
        <v>4166</v>
      </c>
      <c r="C211" s="1495"/>
      <c r="D211" s="1495"/>
      <c r="E211" s="1495"/>
      <c r="F211" s="1496"/>
      <c r="G211" s="1497">
        <f>SUMPRODUCT(((LEFT(BalanceN!$A$4:$A$9999,4)="6634"))*BalanceN!$G$4:$G$9999)-SUMPRODUCT(((LEFT(BalanceN!$A$4:$A$9999,4)="6634"))*BalanceN!$H$4:$H$9999)</f>
        <v>5407994</v>
      </c>
      <c r="H211" s="1497">
        <f>SUMPRODUCT(((LEFT('BalanceN-1'!$A$4:$A$9999,4)="6634"))*'BalanceN-1'!$G$4:$G$9999)-SUMPRODUCT(((LEFT('BalanceN-1'!$A$4:$A$9999,4)="6634"))*'BalanceN-1'!$H$4:$H$9999)</f>
        <v>5360307</v>
      </c>
      <c r="I211" s="1498">
        <f t="shared" si="7"/>
        <v>47687</v>
      </c>
      <c r="J211" s="1499">
        <f t="shared" si="6"/>
        <v>8.8963188115904548E-3</v>
      </c>
    </row>
    <row r="212" spans="1:10" ht="14.1" customHeight="1" x14ac:dyDescent="0.25">
      <c r="A212" s="1493">
        <v>6638</v>
      </c>
      <c r="B212" s="1494" t="s">
        <v>4167</v>
      </c>
      <c r="C212" s="1495"/>
      <c r="D212" s="1495"/>
      <c r="E212" s="1495"/>
      <c r="F212" s="1496"/>
      <c r="G212" s="1497">
        <f>SUMPRODUCT(((LEFT(BalanceN!$A$4:$A$9999,4)="6638"))*BalanceN!$G$4:$G$9999)-SUMPRODUCT(((LEFT(BalanceN!$A$4:$A$9999,4)="6638"))*BalanceN!$H$4:$H$9999)</f>
        <v>4651183</v>
      </c>
      <c r="H212" s="1497">
        <f>SUMPRODUCT(((LEFT('BalanceN-1'!$A$4:$A$9999,4)="6638"))*'BalanceN-1'!$G$4:$G$9999)-SUMPRODUCT(((LEFT('BalanceN-1'!$A$4:$A$9999,4)="6638"))*'BalanceN-1'!$H$4:$H$9999)</f>
        <v>4776437</v>
      </c>
      <c r="I212" s="1498">
        <f t="shared" si="7"/>
        <v>-125254</v>
      </c>
      <c r="J212" s="1499">
        <f t="shared" si="6"/>
        <v>-2.6223312481667822E-2</v>
      </c>
    </row>
    <row r="213" spans="1:10" ht="14.1" customHeight="1" x14ac:dyDescent="0.25">
      <c r="A213" s="1493">
        <v>6641</v>
      </c>
      <c r="B213" s="1494" t="s">
        <v>4168</v>
      </c>
      <c r="C213" s="1495"/>
      <c r="D213" s="1495"/>
      <c r="E213" s="1495"/>
      <c r="F213" s="1496"/>
      <c r="G213" s="1511">
        <f>SUMPRODUCT(((LEFT(BalanceN!$A$4:$A$9999,4)="6641"))*BalanceN!$G$4:$G$9999)-SUMPRODUCT(((LEFT(BalanceN!$A$4:$A$9999,4)="6641"))*BalanceN!$H$4:$H$9999)</f>
        <v>17211685</v>
      </c>
      <c r="H213" s="1511">
        <f>SUMPRODUCT(((LEFT('BalanceN-1'!$A$4:$A$9999,4)="6641"))*'BalanceN-1'!$G$4:$G$9999)-SUMPRODUCT(((LEFT('BalanceN-1'!$A$4:$A$9999,4)="6641"))*'BalanceN-1'!$H$4:$H$9999)</f>
        <v>16935554</v>
      </c>
      <c r="I213" s="1498">
        <f t="shared" si="7"/>
        <v>276131</v>
      </c>
      <c r="J213" s="1499">
        <f t="shared" si="6"/>
        <v>1.6304810577793913E-2</v>
      </c>
    </row>
    <row r="214" spans="1:10" ht="14.1" customHeight="1" x14ac:dyDescent="0.25">
      <c r="A214" s="1493">
        <v>6642</v>
      </c>
      <c r="B214" s="1494" t="s">
        <v>4169</v>
      </c>
      <c r="C214" s="1495"/>
      <c r="D214" s="1495"/>
      <c r="E214" s="1495"/>
      <c r="F214" s="1496"/>
      <c r="G214" s="1497">
        <f>SUMPRODUCT(((LEFT(BalanceN!$A$4:$A$9999,4)="6642"))*BalanceN!$G$4:$G$9999)-SUMPRODUCT(((LEFT(BalanceN!$A$4:$A$9999,4)="6642"))*BalanceN!$H$4:$H$9999)</f>
        <v>6271700</v>
      </c>
      <c r="H214" s="1497">
        <f>SUMPRODUCT(((LEFT('BalanceN-1'!$A$4:$A$9999,4)="6642"))*'BalanceN-1'!$G$4:$G$9999)-SUMPRODUCT(((LEFT('BalanceN-1'!$A$4:$A$9999,4)="6642"))*'BalanceN-1'!$H$4:$H$9999)</f>
        <v>513033</v>
      </c>
      <c r="I214" s="1498">
        <f t="shared" si="7"/>
        <v>5758667</v>
      </c>
      <c r="J214" s="1499">
        <f t="shared" si="6"/>
        <v>11.224749674972175</v>
      </c>
    </row>
    <row r="215" spans="1:10" ht="14.1" customHeight="1" x14ac:dyDescent="0.25">
      <c r="A215" s="1493">
        <v>6661</v>
      </c>
      <c r="B215" s="1494" t="s">
        <v>4170</v>
      </c>
      <c r="C215" s="1495"/>
      <c r="D215" s="1495"/>
      <c r="E215" s="1495"/>
      <c r="F215" s="1496"/>
      <c r="G215" s="1497">
        <f>SUMPRODUCT(((LEFT(BalanceN!$A$4:$A$9999,4)="6661"))*BalanceN!$G$4:$G$9999)-SUMPRODUCT(((LEFT(BalanceN!$A$4:$A$9999,4)="6661"))*BalanceN!$H$4:$H$9999)</f>
        <v>0</v>
      </c>
      <c r="H215" s="1497">
        <f>SUMPRODUCT(((LEFT('BalanceN-1'!$A$4:$A$9999,4)="6661"))*'BalanceN-1'!$G$4:$G$9999)-SUMPRODUCT(((LEFT('BalanceN-1'!$A$4:$A$9999,4)="6661"))*'BalanceN-1'!$H$4:$H$9999)</f>
        <v>0</v>
      </c>
      <c r="I215" s="1498">
        <f t="shared" si="7"/>
        <v>0</v>
      </c>
      <c r="J215" s="1499" t="str">
        <f t="shared" si="6"/>
        <v/>
      </c>
    </row>
    <row r="216" spans="1:10" ht="14.1" customHeight="1" x14ac:dyDescent="0.25">
      <c r="A216" s="1493">
        <v>6662</v>
      </c>
      <c r="B216" s="1494" t="s">
        <v>4171</v>
      </c>
      <c r="C216" s="1495"/>
      <c r="D216" s="1495"/>
      <c r="E216" s="1495"/>
      <c r="F216" s="1496"/>
      <c r="G216" s="1497">
        <f>SUMPRODUCT(((LEFT(BalanceN!$A$4:$A$9999,4)="6662"))*BalanceN!$G$4:$G$9999)-SUMPRODUCT(((LEFT(BalanceN!$A$4:$A$9999,4)="6662"))*BalanceN!$H$4:$H$9999)</f>
        <v>0</v>
      </c>
      <c r="H216" s="1497">
        <f>SUMPRODUCT(((LEFT('BalanceN-1'!$A$4:$A$9999,4)="6662"))*'BalanceN-1'!$G$4:$G$9999)-SUMPRODUCT(((LEFT('BalanceN-1'!$A$4:$A$9999,4)="6662"))*'BalanceN-1'!$H$4:$H$9999)</f>
        <v>0</v>
      </c>
      <c r="I216" s="1498">
        <f t="shared" si="7"/>
        <v>0</v>
      </c>
      <c r="J216" s="1499" t="str">
        <f t="shared" si="6"/>
        <v/>
      </c>
    </row>
    <row r="217" spans="1:10" ht="14.1" customHeight="1" x14ac:dyDescent="0.25">
      <c r="A217" s="1493">
        <v>6671</v>
      </c>
      <c r="B217" s="1494" t="s">
        <v>4172</v>
      </c>
      <c r="C217" s="1495"/>
      <c r="D217" s="1495"/>
      <c r="E217" s="1495"/>
      <c r="F217" s="1496"/>
      <c r="G217" s="1497">
        <f>SUMPRODUCT(((LEFT(BalanceN!$A$4:$A$9999,4)="6671"))*BalanceN!$G$4:$G$9999)-SUMPRODUCT(((LEFT(BalanceN!$A$4:$A$9999,4)="6671"))*BalanceN!$H$4:$H$9999)</f>
        <v>0</v>
      </c>
      <c r="H217" s="1497">
        <f>SUMPRODUCT(((LEFT('BalanceN-1'!$A$4:$A$9999,4)="6671"))*'BalanceN-1'!$G$4:$G$9999)-SUMPRODUCT(((LEFT('BalanceN-1'!$A$4:$A$9999,4)="6671"))*'BalanceN-1'!$H$4:$H$9999)</f>
        <v>0</v>
      </c>
      <c r="I217" s="1498">
        <f t="shared" si="7"/>
        <v>0</v>
      </c>
      <c r="J217" s="1499" t="str">
        <f t="shared" si="6"/>
        <v/>
      </c>
    </row>
    <row r="218" spans="1:10" ht="14.1" customHeight="1" x14ac:dyDescent="0.25">
      <c r="A218" s="1493">
        <v>6672</v>
      </c>
      <c r="B218" s="1494" t="s">
        <v>4173</v>
      </c>
      <c r="C218" s="1495"/>
      <c r="D218" s="1495"/>
      <c r="E218" s="1495"/>
      <c r="F218" s="1555"/>
      <c r="G218" s="1497">
        <f>SUMPRODUCT(((LEFT(BalanceN!$A$4:$A$9999,4)="6672"))*BalanceN!$G$4:$G$9999)-SUMPRODUCT(((LEFT(BalanceN!$A$4:$A$9999,4)="6672"))*BalanceN!$H$4:$H$9999)</f>
        <v>0</v>
      </c>
      <c r="H218" s="1497">
        <f>SUMPRODUCT(((LEFT('BalanceN-1'!$A$4:$A$9999,4)="6672"))*'BalanceN-1'!$G$4:$G$9999)-SUMPRODUCT(((LEFT('BalanceN-1'!$A$4:$A$9999,4)="6672"))*'BalanceN-1'!$H$4:$H$9999)</f>
        <v>0</v>
      </c>
      <c r="I218" s="1498">
        <f t="shared" si="7"/>
        <v>0</v>
      </c>
      <c r="J218" s="1499" t="str">
        <f t="shared" si="6"/>
        <v/>
      </c>
    </row>
    <row r="219" spans="1:10" ht="14.1" customHeight="1" x14ac:dyDescent="0.25">
      <c r="A219" s="1493">
        <v>6681</v>
      </c>
      <c r="B219" s="1494" t="s">
        <v>4174</v>
      </c>
      <c r="C219" s="1495"/>
      <c r="D219" s="1495"/>
      <c r="E219" s="1495"/>
      <c r="F219" s="1555"/>
      <c r="G219" s="1497">
        <f>SUMPRODUCT(((LEFT(BalanceN!$A$4:$A$9999,4)="6681"))*BalanceN!$G$4:$G$9999)-SUMPRODUCT(((LEFT(BalanceN!$A$4:$A$9999,4)="6681"))*BalanceN!$H$4:$H$9999)</f>
        <v>0</v>
      </c>
      <c r="H219" s="1497">
        <f>SUMPRODUCT(((LEFT('BalanceN-1'!$A$4:$A$9999,4)="6681"))*'BalanceN-1'!$G$4:$G$9999)-SUMPRODUCT(((LEFT('BalanceN-1'!$A$4:$A$9999,4)="6681"))*'BalanceN-1'!$H$4:$H$9999)</f>
        <v>0</v>
      </c>
      <c r="I219" s="1498">
        <f t="shared" si="7"/>
        <v>0</v>
      </c>
      <c r="J219" s="1499" t="str">
        <f t="shared" si="6"/>
        <v/>
      </c>
    </row>
    <row r="220" spans="1:10" ht="14.1" customHeight="1" x14ac:dyDescent="0.25">
      <c r="A220" s="1493">
        <v>6682</v>
      </c>
      <c r="B220" s="1494" t="s">
        <v>4175</v>
      </c>
      <c r="C220" s="1495"/>
      <c r="D220" s="1495"/>
      <c r="E220" s="1495"/>
      <c r="F220" s="1555"/>
      <c r="G220" s="1497">
        <f>SUMPRODUCT(((LEFT(BalanceN!$A$4:$A$9999,4)="6682"))*BalanceN!$G$4:$G$9999)-SUMPRODUCT(((LEFT(BalanceN!$A$4:$A$9999,4)="6682"))*BalanceN!$H$4:$H$9999)</f>
        <v>0</v>
      </c>
      <c r="H220" s="1497">
        <f>SUMPRODUCT(((LEFT('BalanceN-1'!$A$4:$A$9999,4)="6682"))*'BalanceN-1'!$G$4:$G$9999)-SUMPRODUCT(((LEFT('BalanceN-1'!$A$4:$A$9999,4)="6682"))*'BalanceN-1'!$H$4:$H$9999)</f>
        <v>0</v>
      </c>
      <c r="I220" s="1498">
        <f t="shared" si="7"/>
        <v>0</v>
      </c>
      <c r="J220" s="1499" t="str">
        <f t="shared" si="6"/>
        <v/>
      </c>
    </row>
    <row r="221" spans="1:10" ht="14.1" customHeight="1" x14ac:dyDescent="0.25">
      <c r="A221" s="1517">
        <v>6683</v>
      </c>
      <c r="B221" s="1518" t="s">
        <v>4176</v>
      </c>
      <c r="C221" s="1556"/>
      <c r="D221" s="1556"/>
      <c r="E221" s="1556"/>
      <c r="F221" s="1558"/>
      <c r="G221" s="1571">
        <f>SUMPRODUCT(((LEFT(BalanceN!$A$4:$A$9999,4)="6683"))*BalanceN!$G$4:$G$9999)-SUMPRODUCT(((LEFT(BalanceN!$A$4:$A$9999,4)="6683"))*BalanceN!$H$4:$H$9999)</f>
        <v>0</v>
      </c>
      <c r="H221" s="1571">
        <f>SUMPRODUCT(((LEFT('BalanceN-1'!$A$4:$A$9999,4)="6683"))*'BalanceN-1'!$G$4:$G$9999)-SUMPRODUCT(((LEFT('BalanceN-1'!$A$4:$A$9999,4)="6683"))*'BalanceN-1'!$H$4:$H$9999)</f>
        <v>0</v>
      </c>
      <c r="I221" s="1560">
        <f t="shared" si="7"/>
        <v>0</v>
      </c>
      <c r="J221" s="1523" t="str">
        <f t="shared" si="6"/>
        <v/>
      </c>
    </row>
    <row r="222" spans="1:10" ht="14.1" customHeight="1" x14ac:dyDescent="0.25">
      <c r="A222" s="1524"/>
      <c r="B222" s="1525"/>
      <c r="C222" s="1495"/>
      <c r="D222" s="1495"/>
      <c r="E222" s="1495"/>
      <c r="F222" s="1495"/>
      <c r="G222" s="1526"/>
      <c r="H222" s="1526"/>
      <c r="I222" s="1527"/>
      <c r="J222" s="1528"/>
    </row>
    <row r="223" spans="1:10" ht="15" customHeight="1" x14ac:dyDescent="0.25">
      <c r="A223" s="2371" t="s">
        <v>4031</v>
      </c>
      <c r="B223" s="2372"/>
      <c r="C223" s="1529"/>
      <c r="D223" s="2365" t="s">
        <v>4177</v>
      </c>
      <c r="E223" s="2365"/>
      <c r="F223" s="2365"/>
      <c r="G223" s="2366"/>
      <c r="H223" s="2367" t="s">
        <v>4033</v>
      </c>
      <c r="I223" s="2368"/>
      <c r="J223" s="2369"/>
    </row>
    <row r="224" spans="1:10" x14ac:dyDescent="0.25">
      <c r="A224" s="1530" t="s">
        <v>3976</v>
      </c>
      <c r="B224" s="1531"/>
      <c r="C224" s="2351" t="str">
        <f>C2</f>
        <v>SAM CONSEILS</v>
      </c>
      <c r="D224" s="2351"/>
      <c r="E224" s="2351"/>
      <c r="F224" s="2351"/>
      <c r="G224" s="2351"/>
      <c r="H224" s="2351"/>
      <c r="I224" s="2351"/>
      <c r="J224" s="2351"/>
    </row>
    <row r="225" spans="1:10" x14ac:dyDescent="0.25">
      <c r="A225" s="1530" t="s">
        <v>1602</v>
      </c>
      <c r="B225" s="2351" t="str">
        <f>B3</f>
        <v>02 BP 5358 OUAGA 02</v>
      </c>
      <c r="C225" s="2351"/>
      <c r="D225" s="2351"/>
      <c r="E225" s="2351"/>
      <c r="F225" s="2351"/>
      <c r="G225" s="2351"/>
      <c r="H225" s="2351"/>
      <c r="I225" s="1532" t="s">
        <v>3977</v>
      </c>
      <c r="J225" s="1533" t="str">
        <f>J3</f>
        <v>SAM CONSEILS</v>
      </c>
    </row>
    <row r="226" spans="1:10" x14ac:dyDescent="0.25">
      <c r="A226" s="1534" t="s">
        <v>3978</v>
      </c>
      <c r="B226" s="1530"/>
      <c r="C226" s="2351" t="str">
        <f>C4</f>
        <v>00084404X</v>
      </c>
      <c r="D226" s="2351"/>
      <c r="E226" s="1535"/>
      <c r="F226" s="1535"/>
      <c r="G226" s="1536" t="s">
        <v>3979</v>
      </c>
      <c r="H226" s="1537">
        <f>'Liste ETATS SUPPL DGI'!F5</f>
        <v>43465</v>
      </c>
      <c r="I226" s="1532" t="s">
        <v>3980</v>
      </c>
      <c r="J226" s="1533">
        <f>J4</f>
        <v>12</v>
      </c>
    </row>
    <row r="227" spans="1:10" x14ac:dyDescent="0.25">
      <c r="A227" s="1538" t="s">
        <v>3981</v>
      </c>
      <c r="B227" s="1530"/>
      <c r="C227" s="2351" t="str">
        <f>C5</f>
        <v>AMMTB89</v>
      </c>
      <c r="D227" s="2351"/>
      <c r="E227" s="2351"/>
      <c r="F227" s="2351"/>
      <c r="G227" s="1539"/>
      <c r="H227" s="1533"/>
      <c r="I227" s="1540"/>
      <c r="J227" s="1535"/>
    </row>
    <row r="228" spans="1:10" ht="5.25" customHeight="1" x14ac:dyDescent="0.25">
      <c r="A228" s="1541"/>
      <c r="B228" s="1541"/>
      <c r="C228" s="1542"/>
      <c r="D228" s="1542"/>
      <c r="E228" s="1543"/>
      <c r="F228" s="1544"/>
      <c r="G228" s="1545"/>
      <c r="H228" s="1546"/>
      <c r="I228" s="1483"/>
      <c r="J228" s="1482"/>
    </row>
    <row r="229" spans="1:10" x14ac:dyDescent="0.25">
      <c r="A229" s="2352" t="s">
        <v>4073</v>
      </c>
      <c r="B229" s="2353"/>
      <c r="C229" s="2353"/>
      <c r="D229" s="2353"/>
      <c r="E229" s="2353"/>
      <c r="F229" s="2353"/>
      <c r="G229" s="2353"/>
      <c r="H229" s="2353"/>
      <c r="I229" s="2353"/>
      <c r="J229" s="2354"/>
    </row>
    <row r="230" spans="1:10" ht="5.25" customHeight="1" x14ac:dyDescent="0.25">
      <c r="A230" s="1482"/>
      <c r="B230" s="1482"/>
      <c r="C230" s="1482"/>
      <c r="D230" s="1482"/>
      <c r="E230" s="1482"/>
      <c r="F230" s="1482"/>
      <c r="G230" s="1482"/>
      <c r="H230" s="1482"/>
      <c r="I230" s="1483"/>
      <c r="J230" s="1482"/>
    </row>
    <row r="231" spans="1:10" x14ac:dyDescent="0.25">
      <c r="A231" s="2355" t="s">
        <v>4035</v>
      </c>
      <c r="B231" s="2356"/>
      <c r="C231" s="2356"/>
      <c r="D231" s="2356"/>
      <c r="E231" s="2356"/>
      <c r="F231" s="2362"/>
      <c r="G231" s="2356" t="s">
        <v>4036</v>
      </c>
      <c r="H231" s="2355" t="s">
        <v>4037</v>
      </c>
      <c r="I231" s="2355" t="s">
        <v>4038</v>
      </c>
      <c r="J231" s="2362"/>
    </row>
    <row r="232" spans="1:10" x14ac:dyDescent="0.25">
      <c r="A232" s="2370"/>
      <c r="B232" s="2361"/>
      <c r="C232" s="2361"/>
      <c r="D232" s="2361"/>
      <c r="E232" s="2361"/>
      <c r="F232" s="2374"/>
      <c r="G232" s="2361"/>
      <c r="H232" s="2370"/>
      <c r="I232" s="1484" t="s">
        <v>4039</v>
      </c>
      <c r="J232" s="1485" t="s">
        <v>4040</v>
      </c>
    </row>
    <row r="233" spans="1:10" ht="14.1" customHeight="1" x14ac:dyDescent="0.25">
      <c r="A233" s="1493">
        <v>6684</v>
      </c>
      <c r="B233" s="1494" t="s">
        <v>1506</v>
      </c>
      <c r="C233" s="1495"/>
      <c r="D233" s="1495"/>
      <c r="E233" s="1495"/>
      <c r="F233" s="1496"/>
      <c r="G233" s="1497">
        <f>SUMPRODUCT(((LEFT(BalanceN!$A$4:$A$9999,4)="6684"))*BalanceN!$G$4:$G$9999)-SUMPRODUCT(((LEFT(BalanceN!$A$4:$A$9999,4)="6684"))*BalanceN!$H$4:$H$9999)</f>
        <v>1688279</v>
      </c>
      <c r="H233" s="1497">
        <f>SUMPRODUCT(((LEFT('BalanceN-1'!$A$4:$A$9999,4)="6684"))*'BalanceN-1'!$G$4:$G$9999)-SUMPRODUCT(((LEFT('BalanceN-1'!$A$4:$A$9999,4)="6684"))*'BalanceN-1'!$H$4:$H$9999)</f>
        <v>662735</v>
      </c>
      <c r="I233" s="1498">
        <f t="shared" ref="I233:I271" si="8">G233-H233</f>
        <v>1025544</v>
      </c>
      <c r="J233" s="1499">
        <f t="shared" ref="J233:J273" si="9">IF(H233,(G233-H233)/H233,IF(ISBLANK(H233),"",IF(G233,IF( G233 &gt; 0,1,-1),"")))</f>
        <v>1.5474420394275239</v>
      </c>
    </row>
    <row r="234" spans="1:10" ht="14.1" customHeight="1" x14ac:dyDescent="0.25">
      <c r="A234" s="1493">
        <v>6685</v>
      </c>
      <c r="B234" s="1494" t="s">
        <v>2822</v>
      </c>
      <c r="C234" s="1495"/>
      <c r="D234" s="1495"/>
      <c r="E234" s="1495"/>
      <c r="F234" s="1496"/>
      <c r="G234" s="1497">
        <f>SUMPRODUCT(((LEFT(BalanceN!$A$4:$A$9999,4)="6685"))*BalanceN!$G$4:$G$9999)-SUMPRODUCT(((LEFT(BalanceN!$A$4:$A$9999,4)="6685"))*BalanceN!$H$4:$H$9999)</f>
        <v>417210</v>
      </c>
      <c r="H234" s="1497">
        <f>SUMPRODUCT(((LEFT('BalanceN-1'!$A$4:$A$9999,4)="6685"))*'BalanceN-1'!$G$4:$G$9999)-SUMPRODUCT(((LEFT('BalanceN-1'!$A$4:$A$9999,4)="6685"))*'BalanceN-1'!$H$4:$H$9999)</f>
        <v>3807010</v>
      </c>
      <c r="I234" s="1498">
        <f t="shared" si="8"/>
        <v>-3389800</v>
      </c>
      <c r="J234" s="1499">
        <f t="shared" si="9"/>
        <v>-0.89041005933790562</v>
      </c>
    </row>
    <row r="235" spans="1:10" ht="14.1" customHeight="1" x14ac:dyDescent="0.25">
      <c r="A235" s="1493">
        <v>6686</v>
      </c>
      <c r="B235" s="1494" t="s">
        <v>3530</v>
      </c>
      <c r="C235" s="1495"/>
      <c r="D235" s="1495"/>
      <c r="E235" s="1495"/>
      <c r="F235" s="1496"/>
      <c r="G235" s="1497">
        <f>SUMPRODUCT(((LEFT(BalanceN!$A$4:$A$9999,4)="6686"))*BalanceN!$G$4:$G$9999)-SUMPRODUCT(((LEFT(BalanceN!$A$4:$A$9999,4)="6686"))*BalanceN!$H$4:$H$9999)</f>
        <v>0</v>
      </c>
      <c r="H235" s="1497">
        <f>SUMPRODUCT(((LEFT('BalanceN-1'!$A$4:$A$9999,4)="6686"))*'BalanceN-1'!$G$4:$G$9999)-SUMPRODUCT(((LEFT('BalanceN-1'!$A$4:$A$9999,4)="6686"))*'BalanceN-1'!$H$4:$H$9999)</f>
        <v>0</v>
      </c>
      <c r="I235" s="1498">
        <f t="shared" si="8"/>
        <v>0</v>
      </c>
      <c r="J235" s="1499" t="str">
        <f t="shared" si="9"/>
        <v/>
      </c>
    </row>
    <row r="236" spans="1:10" ht="14.1" customHeight="1" x14ac:dyDescent="0.25">
      <c r="A236" s="1493">
        <v>6687</v>
      </c>
      <c r="B236" s="1494" t="s">
        <v>3532</v>
      </c>
      <c r="C236" s="1495"/>
      <c r="D236" s="1495"/>
      <c r="E236" s="1495"/>
      <c r="F236" s="1496"/>
      <c r="G236" s="1497">
        <f>SUMPRODUCT(((LEFT(BalanceN!$A$4:$A$9999,4)="6687"))*BalanceN!$G$4:$G$9999)-SUMPRODUCT(((LEFT(BalanceN!$A$4:$A$9999,4)="6687"))*BalanceN!$H$4:$H$9999)</f>
        <v>0</v>
      </c>
      <c r="H236" s="1497">
        <f>SUMPRODUCT(((LEFT('BalanceN-1'!$A$4:$A$9999,4)="6687"))*'BalanceN-1'!$G$4:$G$9999)-SUMPRODUCT(((LEFT('BalanceN-1'!$A$4:$A$9999,4)="6687"))*'BalanceN-1'!$H$4:$H$9999)</f>
        <v>0</v>
      </c>
      <c r="I236" s="1498">
        <f t="shared" si="8"/>
        <v>0</v>
      </c>
      <c r="J236" s="1499" t="str">
        <f t="shared" si="9"/>
        <v/>
      </c>
    </row>
    <row r="237" spans="1:10" ht="14.1" customHeight="1" thickBot="1" x14ac:dyDescent="0.3">
      <c r="A237" s="1493">
        <v>6688</v>
      </c>
      <c r="B237" s="1494" t="s">
        <v>3534</v>
      </c>
      <c r="C237" s="1495"/>
      <c r="D237" s="1495"/>
      <c r="E237" s="1495"/>
      <c r="F237" s="1496"/>
      <c r="G237" s="1511">
        <f>SUMPRODUCT(((LEFT(BalanceN!$A$4:$A$9999,4)="6688"))*BalanceN!$G$4:$G$9999)-SUMPRODUCT(((LEFT(BalanceN!$A$4:$A$9999,4)="6688"))*BalanceN!$H$4:$H$9999)</f>
        <v>0</v>
      </c>
      <c r="H237" s="1511">
        <f>SUMPRODUCT(((LEFT('BalanceN-1'!$A$4:$A$9999,4)="6688"))*'BalanceN-1'!$G$4:$G$9999)-SUMPRODUCT(((LEFT('BalanceN-1'!$A$4:$A$9999,4)="6688"))*'BalanceN-1'!$H$4:$H$9999)</f>
        <v>0</v>
      </c>
      <c r="I237" s="1491">
        <f t="shared" si="8"/>
        <v>0</v>
      </c>
      <c r="J237" s="1499" t="str">
        <f t="shared" si="9"/>
        <v/>
      </c>
    </row>
    <row r="238" spans="1:10" ht="14.1" customHeight="1" thickTop="1" thickBot="1" x14ac:dyDescent="0.3">
      <c r="A238" s="1501" t="s">
        <v>849</v>
      </c>
      <c r="B238" s="1502"/>
      <c r="C238" s="1503" t="s">
        <v>961</v>
      </c>
      <c r="D238" s="1495"/>
      <c r="E238" s="1495"/>
      <c r="F238" s="1496"/>
      <c r="G238" s="1504">
        <f>SUM(G192:G221,G233:G237)</f>
        <v>217417093</v>
      </c>
      <c r="H238" s="1504">
        <f>SUM(H192:H221,H233:H237)</f>
        <v>203051430</v>
      </c>
      <c r="I238" s="1505">
        <f t="shared" si="8"/>
        <v>14365663</v>
      </c>
      <c r="J238" s="1506">
        <f t="shared" si="9"/>
        <v>7.074888859438222E-2</v>
      </c>
    </row>
    <row r="239" spans="1:10" ht="14.1" customHeight="1" thickTop="1" x14ac:dyDescent="0.25">
      <c r="A239" s="1493">
        <v>6711</v>
      </c>
      <c r="B239" s="1494" t="s">
        <v>4178</v>
      </c>
      <c r="C239" s="1495"/>
      <c r="D239" s="1495"/>
      <c r="E239" s="1495"/>
      <c r="F239" s="1496"/>
      <c r="G239" s="1570">
        <f>SUMPRODUCT(((LEFT(BalanceN!$A$4:$A$9999,4)="6711"))*BalanceN!$G$4:$G$9999)-SUMPRODUCT(((LEFT(BalanceN!$A$4:$A$9999,4)="6711"))*BalanceN!$H$4:$H$9999)</f>
        <v>0</v>
      </c>
      <c r="H239" s="1570">
        <f>SUMPRODUCT(((LEFT('BalanceN-1'!$A$4:$A$9999,4)="6711"))*'BalanceN-1'!$G$4:$G$9999)-SUMPRODUCT(((LEFT('BalanceN-1'!$A$4:$A$9999,4)="6711"))*'BalanceN-1'!$H$4:$H$9999)</f>
        <v>0</v>
      </c>
      <c r="I239" s="1498">
        <f t="shared" si="8"/>
        <v>0</v>
      </c>
      <c r="J239" s="1499" t="str">
        <f t="shared" si="9"/>
        <v/>
      </c>
    </row>
    <row r="240" spans="1:10" ht="14.1" customHeight="1" x14ac:dyDescent="0.25">
      <c r="A240" s="1493">
        <v>6712</v>
      </c>
      <c r="B240" s="1494" t="s">
        <v>4179</v>
      </c>
      <c r="C240" s="1495"/>
      <c r="D240" s="1495"/>
      <c r="E240" s="1495"/>
      <c r="F240" s="1496"/>
      <c r="G240" s="1497">
        <f>SUMPRODUCT(((LEFT(BalanceN!$A$4:$A$9999,4)="6712"))*BalanceN!$G$4:$G$9999)-SUMPRODUCT(((LEFT(BalanceN!$A$4:$A$9999,4)="6712"))*BalanceN!$H$4:$H$9999)</f>
        <v>3500000</v>
      </c>
      <c r="H240" s="1497">
        <f>SUMPRODUCT(((LEFT('BalanceN-1'!$A$4:$A$9999,4)="6712"))*'BalanceN-1'!$G$4:$G$9999)-SUMPRODUCT(((LEFT('BalanceN-1'!$A$4:$A$9999,4)="6712"))*'BalanceN-1'!$H$4:$H$9999)</f>
        <v>0</v>
      </c>
      <c r="I240" s="1498">
        <f t="shared" si="8"/>
        <v>3500000</v>
      </c>
      <c r="J240" s="1499">
        <f t="shared" si="9"/>
        <v>1</v>
      </c>
    </row>
    <row r="241" spans="1:10" ht="14.1" customHeight="1" x14ac:dyDescent="0.25">
      <c r="A241" s="1493">
        <v>6713</v>
      </c>
      <c r="B241" s="1494" t="s">
        <v>4180</v>
      </c>
      <c r="C241" s="1495"/>
      <c r="D241" s="1495"/>
      <c r="E241" s="1495"/>
      <c r="F241" s="1496"/>
      <c r="G241" s="1497">
        <f>SUMPRODUCT(((LEFT(BalanceN!$A$4:$A$9999,4)="6713"))*BalanceN!$G$4:$G$9999)-SUMPRODUCT(((LEFT(BalanceN!$A$4:$A$9999,4)="6713"))*BalanceN!$H$4:$H$9999)</f>
        <v>0</v>
      </c>
      <c r="H241" s="1497">
        <f>SUMPRODUCT(((LEFT('BalanceN-1'!$A$4:$A$9999,4)="6713"))*'BalanceN-1'!$G$4:$G$9999)-SUMPRODUCT(((LEFT('BalanceN-1'!$A$4:$A$9999,4)="6713"))*'BalanceN-1'!$H$4:$H$9999)</f>
        <v>0</v>
      </c>
      <c r="I241" s="1498">
        <f t="shared" si="8"/>
        <v>0</v>
      </c>
      <c r="J241" s="1499" t="str">
        <f t="shared" si="9"/>
        <v/>
      </c>
    </row>
    <row r="242" spans="1:10" ht="14.1" customHeight="1" x14ac:dyDescent="0.25">
      <c r="A242" s="1493">
        <v>6714</v>
      </c>
      <c r="B242" s="1494" t="s">
        <v>4181</v>
      </c>
      <c r="C242" s="1495"/>
      <c r="D242" s="1495"/>
      <c r="E242" s="1495"/>
      <c r="F242" s="1496"/>
      <c r="G242" s="1497">
        <f>SUMPRODUCT(((LEFT(BalanceN!$A$4:$A$9999,4)="6714"))*BalanceN!$G$4:$G$9999)-SUMPRODUCT(((LEFT(BalanceN!$A$4:$A$9999,4)="6714"))*BalanceN!$H$4:$H$9999)</f>
        <v>0</v>
      </c>
      <c r="H242" s="1497">
        <f>SUMPRODUCT(((LEFT('BalanceN-1'!$A$4:$A$9999,4)="6714"))*'BalanceN-1'!$G$4:$G$9999)-SUMPRODUCT(((LEFT('BalanceN-1'!$A$4:$A$9999,4)="6714"))*'BalanceN-1'!$H$4:$H$9999)</f>
        <v>0</v>
      </c>
      <c r="I242" s="1498">
        <f t="shared" si="8"/>
        <v>0</v>
      </c>
      <c r="J242" s="1499" t="str">
        <f t="shared" si="9"/>
        <v/>
      </c>
    </row>
    <row r="243" spans="1:10" ht="14.1" customHeight="1" x14ac:dyDescent="0.25">
      <c r="A243" s="1493">
        <v>6721</v>
      </c>
      <c r="B243" s="1494" t="s">
        <v>4182</v>
      </c>
      <c r="C243" s="1495"/>
      <c r="D243" s="1495"/>
      <c r="E243" s="1495"/>
      <c r="F243" s="1496"/>
      <c r="G243" s="1497">
        <f>SUMPRODUCT(((LEFT(BalanceN!$A$4:$A$9999,4)="6721"))*BalanceN!$G$4:$G$9999)-SUMPRODUCT(((LEFT(BalanceN!$A$4:$A$9999,4)="6721"))*BalanceN!$H$4:$H$9999)</f>
        <v>0</v>
      </c>
      <c r="H243" s="1497">
        <f>SUMPRODUCT(((LEFT('BalanceN-1'!$A$4:$A$9999,4)="6721"))*'BalanceN-1'!$G$4:$G$9999)-SUMPRODUCT(((LEFT('BalanceN-1'!$A$4:$A$9999,4)="6721"))*'BalanceN-1'!$H$4:$H$9999)</f>
        <v>0</v>
      </c>
      <c r="I243" s="1498">
        <f t="shared" si="8"/>
        <v>0</v>
      </c>
      <c r="J243" s="1499" t="str">
        <f t="shared" si="9"/>
        <v/>
      </c>
    </row>
    <row r="244" spans="1:10" ht="14.1" customHeight="1" x14ac:dyDescent="0.25">
      <c r="A244" s="1493">
        <v>6722</v>
      </c>
      <c r="B244" s="1494" t="s">
        <v>4183</v>
      </c>
      <c r="C244" s="1495"/>
      <c r="D244" s="1495"/>
      <c r="E244" s="1495"/>
      <c r="F244" s="1496"/>
      <c r="G244" s="1497">
        <f>SUMPRODUCT(((LEFT(BalanceN!$A$4:$A$9999,4)="6722"))*BalanceN!$G$4:$G$9999)-SUMPRODUCT(((LEFT(BalanceN!$A$4:$A$9999,4)="6722"))*BalanceN!$H$4:$H$9999)</f>
        <v>0</v>
      </c>
      <c r="H244" s="1497">
        <f>SUMPRODUCT(((LEFT('BalanceN-1'!$A$4:$A$9999,4)="6722"))*'BalanceN-1'!$G$4:$G$9999)-SUMPRODUCT(((LEFT('BalanceN-1'!$A$4:$A$9999,4)="6722"))*'BalanceN-1'!$H$4:$H$9999)</f>
        <v>0</v>
      </c>
      <c r="I244" s="1498">
        <f t="shared" si="8"/>
        <v>0</v>
      </c>
      <c r="J244" s="1499" t="str">
        <f t="shared" si="9"/>
        <v/>
      </c>
    </row>
    <row r="245" spans="1:10" ht="14.1" customHeight="1" x14ac:dyDescent="0.25">
      <c r="A245" s="1493">
        <v>6723</v>
      </c>
      <c r="B245" s="1494" t="s">
        <v>3547</v>
      </c>
      <c r="C245" s="1495"/>
      <c r="D245" s="1495"/>
      <c r="E245" s="1495"/>
      <c r="F245" s="1496"/>
      <c r="G245" s="1497">
        <f>SUMPRODUCT(((LEFT(BalanceN!$A$4:$A$9999,4)="6723"))*BalanceN!$G$4:$G$9999)-SUMPRODUCT(((LEFT(BalanceN!$A$4:$A$9999,4)="6723"))*BalanceN!$H$4:$H$9999)</f>
        <v>0</v>
      </c>
      <c r="H245" s="1497">
        <f>SUMPRODUCT(((LEFT('BalanceN-1'!$A$4:$A$9999,4)="6723"))*'BalanceN-1'!$G$4:$G$9999)-SUMPRODUCT(((LEFT('BalanceN-1'!$A$4:$A$9999,4)="6723"))*'BalanceN-1'!$H$4:$H$9999)</f>
        <v>0</v>
      </c>
      <c r="I245" s="1498">
        <f t="shared" si="8"/>
        <v>0</v>
      </c>
      <c r="J245" s="1499" t="str">
        <f t="shared" si="9"/>
        <v/>
      </c>
    </row>
    <row r="246" spans="1:10" ht="14.1" customHeight="1" x14ac:dyDescent="0.25">
      <c r="A246" s="1493">
        <v>6728</v>
      </c>
      <c r="B246" s="1494" t="s">
        <v>3549</v>
      </c>
      <c r="C246" s="1495"/>
      <c r="D246" s="1495"/>
      <c r="E246" s="1495"/>
      <c r="F246" s="1496"/>
      <c r="G246" s="1497">
        <f>SUMPRODUCT(((LEFT(BalanceN!$A$4:$A$9999,4)="6728"))*BalanceN!$G$4:$G$9999)-SUMPRODUCT(((LEFT(BalanceN!$A$4:$A$9999,4)="6728"))*BalanceN!$H$4:$H$9999)</f>
        <v>0</v>
      </c>
      <c r="H246" s="1497">
        <f>SUMPRODUCT(((LEFT('BalanceN-1'!$A$4:$A$9999,4)="6728"))*'BalanceN-1'!$G$4:$G$9999)-SUMPRODUCT(((LEFT('BalanceN-1'!$A$4:$A$9999,4)="6728"))*'BalanceN-1'!$H$4:$H$9999)</f>
        <v>0</v>
      </c>
      <c r="I246" s="1498">
        <f t="shared" si="8"/>
        <v>0</v>
      </c>
      <c r="J246" s="1499" t="str">
        <f t="shared" si="9"/>
        <v/>
      </c>
    </row>
    <row r="247" spans="1:10" ht="14.1" customHeight="1" x14ac:dyDescent="0.25">
      <c r="A247" s="1493">
        <v>673</v>
      </c>
      <c r="B247" s="1494" t="s">
        <v>564</v>
      </c>
      <c r="C247" s="1495"/>
      <c r="D247" s="1495"/>
      <c r="E247" s="1495"/>
      <c r="F247" s="1496"/>
      <c r="G247" s="1497">
        <f>SUMPRODUCT(((LEFT(BalanceN!$A$4:$A$9999,3)="673"))*BalanceN!$G$4:$G$9999)-SUMPRODUCT(((LEFT(BalanceN!$A$4:$A$9999,3)="673"))*BalanceN!$H$4:$H$9999)</f>
        <v>0</v>
      </c>
      <c r="H247" s="1497">
        <f>SUMPRODUCT(((LEFT('BalanceN-1'!$A$4:$A$9999,3)="673"))*'BalanceN-1'!$G$4:$G$9999)-SUMPRODUCT(((LEFT('BalanceN-1'!$A$4:$A$9999,3)="673"))*'BalanceN-1'!$H$4:$H$9999)</f>
        <v>0</v>
      </c>
      <c r="I247" s="1498">
        <f t="shared" si="8"/>
        <v>0</v>
      </c>
      <c r="J247" s="1499" t="str">
        <f t="shared" si="9"/>
        <v/>
      </c>
    </row>
    <row r="248" spans="1:10" ht="14.1" customHeight="1" x14ac:dyDescent="0.25">
      <c r="A248" s="1493">
        <v>6741</v>
      </c>
      <c r="B248" s="1494" t="s">
        <v>4184</v>
      </c>
      <c r="C248" s="1495"/>
      <c r="D248" s="1495"/>
      <c r="E248" s="1495"/>
      <c r="F248" s="1496"/>
      <c r="G248" s="1497">
        <f>SUMPRODUCT(((LEFT(BalanceN!$A$4:$A$9999,4)="6741"))*BalanceN!$G$4:$G$9999)-SUMPRODUCT(((LEFT(BalanceN!$A$4:$A$9999,4)="6741"))*BalanceN!$H$4:$H$9999)</f>
        <v>0</v>
      </c>
      <c r="H248" s="1497">
        <f>SUMPRODUCT(((LEFT('BalanceN-1'!$A$4:$A$9999,4)="6741"))*'BalanceN-1'!$G$4:$G$9999)-SUMPRODUCT(((LEFT('BalanceN-1'!$A$4:$A$9999,4)="6741"))*'BalanceN-1'!$H$4:$H$9999)</f>
        <v>0</v>
      </c>
      <c r="I248" s="1498">
        <f t="shared" si="8"/>
        <v>0</v>
      </c>
      <c r="J248" s="1499" t="str">
        <f t="shared" si="9"/>
        <v/>
      </c>
    </row>
    <row r="249" spans="1:10" ht="14.1" customHeight="1" x14ac:dyDescent="0.25">
      <c r="A249" s="1493">
        <v>6742</v>
      </c>
      <c r="B249" s="1494" t="s">
        <v>4185</v>
      </c>
      <c r="C249" s="1495"/>
      <c r="D249" s="1495"/>
      <c r="E249" s="1495"/>
      <c r="F249" s="1496"/>
      <c r="G249" s="1497">
        <f>SUMPRODUCT(((LEFT(BalanceN!$A$4:$A$9999,4)="6742"))*BalanceN!$G$4:$G$9999)-SUMPRODUCT(((LEFT(BalanceN!$A$4:$A$9999,4)="6742"))*BalanceN!$H$4:$H$9999)</f>
        <v>0</v>
      </c>
      <c r="H249" s="1497">
        <f>SUMPRODUCT(((LEFT('BalanceN-1'!$A$4:$A$9999,4)="6742"))*'BalanceN-1'!$G$4:$G$9999)-SUMPRODUCT(((LEFT('BalanceN-1'!$A$4:$A$9999,4)="6742"))*'BalanceN-1'!$H$4:$H$9999)</f>
        <v>0</v>
      </c>
      <c r="I249" s="1498">
        <f t="shared" si="8"/>
        <v>0</v>
      </c>
      <c r="J249" s="1499" t="str">
        <f t="shared" si="9"/>
        <v/>
      </c>
    </row>
    <row r="250" spans="1:10" ht="14.1" customHeight="1" x14ac:dyDescent="0.25">
      <c r="A250" s="1493">
        <v>6743</v>
      </c>
      <c r="B250" s="1494" t="s">
        <v>4186</v>
      </c>
      <c r="C250" s="1495"/>
      <c r="D250" s="1495"/>
      <c r="E250" s="1495"/>
      <c r="F250" s="1496"/>
      <c r="G250" s="1497">
        <f>SUMPRODUCT(((LEFT(BalanceN!$A$4:$A$9999,4)="6743"))*BalanceN!$G$4:$G$9999)-SUMPRODUCT(((LEFT(BalanceN!$A$4:$A$9999,4)="6743"))*BalanceN!$H$4:$H$9999)</f>
        <v>0</v>
      </c>
      <c r="H250" s="1497">
        <f>SUMPRODUCT(((LEFT('BalanceN-1'!$A$4:$A$9999,4)="6743"))*'BalanceN-1'!$G$4:$G$9999)-SUMPRODUCT(((LEFT('BalanceN-1'!$A$4:$A$9999,4)="6743"))*'BalanceN-1'!$H$4:$H$9999)</f>
        <v>0</v>
      </c>
      <c r="I250" s="1498">
        <f t="shared" si="8"/>
        <v>0</v>
      </c>
      <c r="J250" s="1499" t="str">
        <f t="shared" si="9"/>
        <v/>
      </c>
    </row>
    <row r="251" spans="1:10" ht="14.1" customHeight="1" x14ac:dyDescent="0.25">
      <c r="A251" s="1493">
        <v>6744</v>
      </c>
      <c r="B251" s="1494" t="s">
        <v>4187</v>
      </c>
      <c r="C251" s="1495"/>
      <c r="D251" s="1495"/>
      <c r="E251" s="1495"/>
      <c r="F251" s="1496"/>
      <c r="G251" s="1497">
        <f>SUMPRODUCT(((LEFT(BalanceN!$A$4:$A$9999,4)="6744"))*BalanceN!$G$4:$G$9999)-SUMPRODUCT(((LEFT(BalanceN!$A$4:$A$9999,4)="6744"))*BalanceN!$H$4:$H$9999)</f>
        <v>0</v>
      </c>
      <c r="H251" s="1497">
        <f>SUMPRODUCT(((LEFT('BalanceN-1'!$A$4:$A$9999,4)="6744"))*'BalanceN-1'!$G$4:$G$9999)-SUMPRODUCT(((LEFT('BalanceN-1'!$A$4:$A$9999,4)="6744"))*'BalanceN-1'!$H$4:$H$9999)</f>
        <v>0</v>
      </c>
      <c r="I251" s="1498">
        <f t="shared" si="8"/>
        <v>0</v>
      </c>
      <c r="J251" s="1499" t="str">
        <f t="shared" si="9"/>
        <v/>
      </c>
    </row>
    <row r="252" spans="1:10" ht="14.1" customHeight="1" x14ac:dyDescent="0.25">
      <c r="A252" s="1493">
        <v>6745</v>
      </c>
      <c r="B252" s="1494" t="s">
        <v>4188</v>
      </c>
      <c r="C252" s="1495"/>
      <c r="D252" s="1495"/>
      <c r="E252" s="1495"/>
      <c r="F252" s="1496"/>
      <c r="G252" s="1497">
        <f>SUMPRODUCT(((LEFT(BalanceN!$A$4:$A$9999,4)="6745"))*BalanceN!$G$4:$G$9999)-SUMPRODUCT(((LEFT(BalanceN!$A$4:$A$9999,4)="6745"))*BalanceN!$H$4:$H$9999)</f>
        <v>0</v>
      </c>
      <c r="H252" s="1497">
        <f>SUMPRODUCT(((LEFT('BalanceN-1'!$A$4:$A$9999,4)="6745"))*'BalanceN-1'!$G$4:$G$9999)-SUMPRODUCT(((LEFT('BalanceN-1'!$A$4:$A$9999,4)="6745"))*'BalanceN-1'!$H$4:$H$9999)</f>
        <v>0</v>
      </c>
      <c r="I252" s="1498">
        <f t="shared" si="8"/>
        <v>0</v>
      </c>
      <c r="J252" s="1499" t="str">
        <f t="shared" si="9"/>
        <v/>
      </c>
    </row>
    <row r="253" spans="1:10" ht="14.1" customHeight="1" x14ac:dyDescent="0.25">
      <c r="A253" s="1493">
        <v>6748</v>
      </c>
      <c r="B253" s="1494" t="s">
        <v>4189</v>
      </c>
      <c r="C253" s="1495"/>
      <c r="D253" s="1495"/>
      <c r="E253" s="1495"/>
      <c r="F253" s="1496"/>
      <c r="G253" s="1497">
        <f>SUMPRODUCT(((LEFT(BalanceN!$A$4:$A$9999,4)="6748"))*BalanceN!$G$4:$G$9999)-SUMPRODUCT(((LEFT(BalanceN!$A$4:$A$9999,4)="6748"))*BalanceN!$H$4:$H$9999)</f>
        <v>0</v>
      </c>
      <c r="H253" s="1497">
        <f>SUMPRODUCT(((LEFT('BalanceN-1'!$A$4:$A$9999,4)="6748"))*'BalanceN-1'!$G$4:$G$9999)-SUMPRODUCT(((LEFT('BalanceN-1'!$A$4:$A$9999,4)="6748"))*'BalanceN-1'!$H$4:$H$9999)</f>
        <v>0</v>
      </c>
      <c r="I253" s="1498">
        <f t="shared" si="8"/>
        <v>0</v>
      </c>
      <c r="J253" s="1499" t="str">
        <f t="shared" si="9"/>
        <v/>
      </c>
    </row>
    <row r="254" spans="1:10" ht="14.1" customHeight="1" x14ac:dyDescent="0.25">
      <c r="A254" s="1493">
        <v>675</v>
      </c>
      <c r="B254" s="1494" t="s">
        <v>566</v>
      </c>
      <c r="C254" s="1495"/>
      <c r="D254" s="1495"/>
      <c r="E254" s="1495"/>
      <c r="F254" s="1496"/>
      <c r="G254" s="1497">
        <f>SUMPRODUCT(((LEFT(BalanceN!$A$4:$A$9999,3)="675"))*BalanceN!$G$4:$G$9999)-SUMPRODUCT(((LEFT(BalanceN!$A$4:$A$9999,3)="675"))*BalanceN!$H$4:$H$9999)</f>
        <v>0</v>
      </c>
      <c r="H254" s="1497">
        <f>SUMPRODUCT(((LEFT('BalanceN-1'!$A$4:$A$9999,3)="675"))*'BalanceN-1'!$G$4:$G$9999)-SUMPRODUCT(((LEFT('BalanceN-1'!$A$4:$A$9999,3)="675"))*'BalanceN-1'!$H$4:$H$9999)</f>
        <v>0</v>
      </c>
      <c r="I254" s="1498">
        <f t="shared" si="8"/>
        <v>0</v>
      </c>
      <c r="J254" s="1499" t="str">
        <f t="shared" si="9"/>
        <v/>
      </c>
    </row>
    <row r="255" spans="1:10" ht="14.1" customHeight="1" x14ac:dyDescent="0.25">
      <c r="A255" s="1493">
        <v>676</v>
      </c>
      <c r="B255" s="1494" t="s">
        <v>4190</v>
      </c>
      <c r="C255" s="1495"/>
      <c r="D255" s="1495"/>
      <c r="E255" s="1495"/>
      <c r="F255" s="1496"/>
      <c r="G255" s="1497">
        <f>SUMPRODUCT(((LEFT(BalanceN!$A$4:$A$9999,3)="676"))*BalanceN!$G$4:$G$9999)-SUMPRODUCT(((LEFT(BalanceN!$A$4:$A$9999,3)="676"))*BalanceN!$H$4:$H$9999)</f>
        <v>0</v>
      </c>
      <c r="H255" s="1497">
        <f>SUMPRODUCT(((LEFT('BalanceN-1'!$A$4:$A$9999,3)="676"))*'BalanceN-1'!$G$4:$G$9999)-SUMPRODUCT(((LEFT('BalanceN-1'!$A$4:$A$9999,3)="676"))*'BalanceN-1'!$H$4:$H$9999)</f>
        <v>0</v>
      </c>
      <c r="I255" s="1498">
        <f t="shared" si="8"/>
        <v>0</v>
      </c>
      <c r="J255" s="1499" t="str">
        <f t="shared" si="9"/>
        <v/>
      </c>
    </row>
    <row r="256" spans="1:10" ht="14.1" customHeight="1" x14ac:dyDescent="0.25">
      <c r="A256" s="1493">
        <v>6771</v>
      </c>
      <c r="B256" s="1494" t="s">
        <v>4191</v>
      </c>
      <c r="C256" s="1572"/>
      <c r="D256" s="1495"/>
      <c r="E256" s="1495"/>
      <c r="F256" s="1496"/>
      <c r="G256" s="1497">
        <f>SUMPRODUCT(((LEFT(BalanceN!$A$4:$A$9999,4)="6771"))*BalanceN!$G$4:$G$9999)-SUMPRODUCT(((LEFT(BalanceN!$A$4:$A$9999,4)="6771"))*BalanceN!$H$4:$H$9999)</f>
        <v>0</v>
      </c>
      <c r="H256" s="1497">
        <f>SUMPRODUCT(((LEFT('BalanceN-1'!$A$4:$A$9999,4)="6771"))*'BalanceN-1'!$G$4:$G$9999)-SUMPRODUCT(((LEFT('BalanceN-1'!$A$4:$A$9999,4)="6771"))*'BalanceN-1'!$H$4:$H$9999)</f>
        <v>0</v>
      </c>
      <c r="I256" s="1498">
        <f t="shared" si="8"/>
        <v>0</v>
      </c>
      <c r="J256" s="1499" t="str">
        <f t="shared" si="9"/>
        <v/>
      </c>
    </row>
    <row r="257" spans="1:10" ht="14.1" customHeight="1" x14ac:dyDescent="0.25">
      <c r="A257" s="1493">
        <v>6772</v>
      </c>
      <c r="B257" s="1494" t="s">
        <v>4192</v>
      </c>
      <c r="C257" s="1572"/>
      <c r="D257" s="1495"/>
      <c r="E257" s="1495"/>
      <c r="F257" s="1496"/>
      <c r="G257" s="1497">
        <f>SUMPRODUCT(((LEFT(BalanceN!$A$4:$A$9999,4)="6772"))*BalanceN!$G$4:$G$9999)-SUMPRODUCT(((LEFT(BalanceN!$A$4:$A$9999,4)="6772"))*BalanceN!$H$4:$H$9999)</f>
        <v>0</v>
      </c>
      <c r="H257" s="1497">
        <f>SUMPRODUCT(((LEFT('BalanceN-1'!$A$4:$A$9999,4)="6772"))*'BalanceN-1'!$G$4:$G$9999)-SUMPRODUCT(((LEFT('BalanceN-1'!$A$4:$A$9999,4)="6772"))*'BalanceN-1'!$H$4:$H$9999)</f>
        <v>0</v>
      </c>
      <c r="I257" s="1498">
        <f t="shared" si="8"/>
        <v>0</v>
      </c>
      <c r="J257" s="1499" t="str">
        <f t="shared" si="9"/>
        <v/>
      </c>
    </row>
    <row r="258" spans="1:10" ht="14.1" customHeight="1" x14ac:dyDescent="0.25">
      <c r="A258" s="1493">
        <v>6781</v>
      </c>
      <c r="B258" s="1494" t="s">
        <v>4193</v>
      </c>
      <c r="C258" s="1572"/>
      <c r="D258" s="1495"/>
      <c r="E258" s="1495"/>
      <c r="F258" s="1496"/>
      <c r="G258" s="1497">
        <f>SUMPRODUCT(((LEFT(BalanceN!$A$4:$A$9999,4)="6781"))*BalanceN!$G$4:$G$9999)-SUMPRODUCT(((LEFT(BalanceN!$A$4:$A$9999,4)="6781"))*BalanceN!$H$4:$H$9999)</f>
        <v>0</v>
      </c>
      <c r="H258" s="1497">
        <f>SUMPRODUCT(((LEFT('BalanceN-1'!$A$4:$A$9999,4)="6781"))*'BalanceN-1'!$G$4:$G$9999)-SUMPRODUCT(((LEFT('BalanceN-1'!$A$4:$A$9999,4)="6781"))*'BalanceN-1'!$H$4:$H$9999)</f>
        <v>0</v>
      </c>
      <c r="I258" s="1498">
        <f t="shared" si="8"/>
        <v>0</v>
      </c>
      <c r="J258" s="1499" t="str">
        <f t="shared" si="9"/>
        <v/>
      </c>
    </row>
    <row r="259" spans="1:10" ht="14.1" customHeight="1" x14ac:dyDescent="0.25">
      <c r="A259" s="1493">
        <v>6782</v>
      </c>
      <c r="B259" s="1494" t="s">
        <v>4194</v>
      </c>
      <c r="C259" s="1572"/>
      <c r="D259" s="1495"/>
      <c r="E259" s="1495"/>
      <c r="F259" s="1496"/>
      <c r="G259" s="1497">
        <f>SUMPRODUCT(((LEFT(BalanceN!$A$4:$A$9999,4)="6782"))*BalanceN!$G$4:$G$9999)-SUMPRODUCT(((LEFT(BalanceN!$A$4:$A$9999,4)="6782"))*BalanceN!$H$4:$H$9999)</f>
        <v>0</v>
      </c>
      <c r="H259" s="1497">
        <f>SUMPRODUCT(((LEFT('BalanceN-1'!$A$4:$A$9999,4)="6782"))*'BalanceN-1'!$G$4:$G$9999)-SUMPRODUCT(((LEFT('BalanceN-1'!$A$4:$A$9999,4)="6782"))*'BalanceN-1'!$H$4:$H$9999)</f>
        <v>0</v>
      </c>
      <c r="I259" s="1498">
        <f t="shared" si="8"/>
        <v>0</v>
      </c>
      <c r="J259" s="1499" t="str">
        <f t="shared" si="9"/>
        <v/>
      </c>
    </row>
    <row r="260" spans="1:10" ht="14.1" customHeight="1" x14ac:dyDescent="0.25">
      <c r="A260" s="1493">
        <v>6784</v>
      </c>
      <c r="B260" s="1494" t="s">
        <v>4195</v>
      </c>
      <c r="C260" s="1572"/>
      <c r="D260" s="1495"/>
      <c r="E260" s="1495"/>
      <c r="F260" s="1496"/>
      <c r="G260" s="1497">
        <f>SUMPRODUCT(((LEFT(BalanceN!$A$4:$A$9999,4)="6784"))*BalanceN!$G$4:$G$9999)-SUMPRODUCT(((LEFT(BalanceN!$A$4:$A$9999,4)="6784"))*BalanceN!$H$4:$H$9999)</f>
        <v>0</v>
      </c>
      <c r="H260" s="1497">
        <f>SUMPRODUCT(((LEFT('BalanceN-1'!$A$4:$A$9999,4)="6784"))*'BalanceN-1'!$G$4:$G$9999)-SUMPRODUCT(((LEFT('BalanceN-1'!$A$4:$A$9999,4)="6784"))*'BalanceN-1'!$H$4:$H$9999)</f>
        <v>0</v>
      </c>
      <c r="I260" s="1498">
        <f t="shared" si="8"/>
        <v>0</v>
      </c>
      <c r="J260" s="1499" t="str">
        <f t="shared" si="9"/>
        <v/>
      </c>
    </row>
    <row r="261" spans="1:10" ht="14.1" customHeight="1" x14ac:dyDescent="0.25">
      <c r="A261" s="1493">
        <v>6791</v>
      </c>
      <c r="B261" s="1494" t="s">
        <v>4196</v>
      </c>
      <c r="C261" s="1572"/>
      <c r="D261" s="1495"/>
      <c r="E261" s="1495"/>
      <c r="F261" s="1496"/>
      <c r="G261" s="1497">
        <f>SUMPRODUCT(((LEFT(BalanceN!$A$4:$A$9999,4)="6791"))*BalanceN!$G$4:$G$9999)-SUMPRODUCT(((LEFT(BalanceN!$A$4:$A$9999,4)="6791"))*BalanceN!$H$4:$H$9999)</f>
        <v>0</v>
      </c>
      <c r="H261" s="1497">
        <f>SUMPRODUCT(((LEFT('BalanceN-1'!$A$4:$A$9999,4)="6791"))*'BalanceN-1'!$G$4:$G$9999)-SUMPRODUCT(((LEFT('BalanceN-1'!$A$4:$A$9999,4)="6791"))*'BalanceN-1'!$H$4:$H$9999)</f>
        <v>0</v>
      </c>
      <c r="I261" s="1498">
        <f t="shared" si="8"/>
        <v>0</v>
      </c>
      <c r="J261" s="1499" t="str">
        <f t="shared" si="9"/>
        <v/>
      </c>
    </row>
    <row r="262" spans="1:10" ht="14.1" customHeight="1" x14ac:dyDescent="0.25">
      <c r="A262" s="1493">
        <v>6795</v>
      </c>
      <c r="B262" s="1494" t="s">
        <v>4197</v>
      </c>
      <c r="C262" s="1572"/>
      <c r="D262" s="1495"/>
      <c r="E262" s="1495"/>
      <c r="F262" s="1496"/>
      <c r="G262" s="1497">
        <f>SUMPRODUCT(((LEFT(BalanceN!$A$4:$A$9999,4)="6795"))*BalanceN!$G$4:$G$9999)-SUMPRODUCT(((LEFT(BalanceN!$A$4:$A$9999,4)="6795"))*BalanceN!$H$4:$H$9999)</f>
        <v>0</v>
      </c>
      <c r="H262" s="1497">
        <f>SUMPRODUCT(((LEFT('BalanceN-1'!$A$4:$A$9999,4)="6795"))*'BalanceN-1'!$G$4:$G$9999)-SUMPRODUCT(((LEFT('BalanceN-1'!$A$4:$A$9999,4)="6795"))*'BalanceN-1'!$H$4:$H$9999)</f>
        <v>0</v>
      </c>
      <c r="I262" s="1498">
        <f t="shared" si="8"/>
        <v>0</v>
      </c>
      <c r="J262" s="1499" t="str">
        <f t="shared" si="9"/>
        <v/>
      </c>
    </row>
    <row r="263" spans="1:10" ht="14.1" customHeight="1" thickBot="1" x14ac:dyDescent="0.3">
      <c r="A263" s="1493">
        <v>6798</v>
      </c>
      <c r="B263" s="1494" t="s">
        <v>3582</v>
      </c>
      <c r="C263" s="1572"/>
      <c r="D263" s="1495"/>
      <c r="E263" s="1495"/>
      <c r="F263" s="1496"/>
      <c r="G263" s="1511">
        <f>SUMPRODUCT(((LEFT(BalanceN!$A$4:$A$9999,4)="6798"))*BalanceN!$G$4:$G$9999)-SUMPRODUCT(((LEFT(BalanceN!$A$4:$A$9999,4)="6798"))*BalanceN!$H$4:$H$9999)</f>
        <v>0</v>
      </c>
      <c r="H263" s="1511">
        <f>SUMPRODUCT(((LEFT('BalanceN-1'!$A$4:$A$9999,4)="6798"))*'BalanceN-1'!$G$4:$G$9999)-SUMPRODUCT(((LEFT('BalanceN-1'!$A$4:$A$9999,4)="6798"))*'BalanceN-1'!$H$4:$H$9999)</f>
        <v>0</v>
      </c>
      <c r="I263" s="1491">
        <f t="shared" si="8"/>
        <v>0</v>
      </c>
      <c r="J263" s="1499" t="str">
        <f t="shared" si="9"/>
        <v/>
      </c>
    </row>
    <row r="264" spans="1:10" ht="14.1" customHeight="1" thickTop="1" thickBot="1" x14ac:dyDescent="0.3">
      <c r="A264" s="1501" t="s">
        <v>865</v>
      </c>
      <c r="B264" s="1573" t="s">
        <v>4198</v>
      </c>
      <c r="C264" s="1574"/>
      <c r="D264" s="1495"/>
      <c r="E264" s="1495"/>
      <c r="F264" s="1496"/>
      <c r="G264" s="1504">
        <f>SUM(G239:G263)</f>
        <v>3500000</v>
      </c>
      <c r="H264" s="1504">
        <f>SUM(H239:H263)</f>
        <v>0</v>
      </c>
      <c r="I264" s="1505">
        <f>G264-H264</f>
        <v>3500000</v>
      </c>
      <c r="J264" s="1506">
        <f t="shared" si="9"/>
        <v>1</v>
      </c>
    </row>
    <row r="265" spans="1:10" ht="14.1" customHeight="1" thickTop="1" x14ac:dyDescent="0.25">
      <c r="A265" s="1493">
        <v>6812</v>
      </c>
      <c r="B265" s="1494" t="s">
        <v>4199</v>
      </c>
      <c r="C265" s="1572"/>
      <c r="D265" s="1495"/>
      <c r="E265" s="1495"/>
      <c r="F265" s="1496"/>
      <c r="G265" s="1570">
        <f>SUMPRODUCT(((LEFT(BalanceN!$A$4:$A$9999,4)="6812"))*BalanceN!$G$4:$G$9999)-SUMPRODUCT(((LEFT(BalanceN!$A$4:$A$9999,4)="6812"))*BalanceN!$H$4:$H$9999)</f>
        <v>0</v>
      </c>
      <c r="H265" s="1570">
        <f>SUMPRODUCT(((LEFT('BalanceN-1'!$A$4:$A$9999,4)="6812"))*'BalanceN-1'!$G$4:$G$9999)-SUMPRODUCT(((LEFT('BalanceN-1'!$A$4:$A$9999,4)="6812"))*'BalanceN-1'!$H$4:$H$9999)</f>
        <v>0</v>
      </c>
      <c r="I265" s="1575">
        <f t="shared" si="8"/>
        <v>0</v>
      </c>
      <c r="J265" s="1499" t="str">
        <f t="shared" si="9"/>
        <v/>
      </c>
    </row>
    <row r="266" spans="1:10" ht="14.1" customHeight="1" x14ac:dyDescent="0.25">
      <c r="A266" s="1493">
        <v>6813</v>
      </c>
      <c r="B266" s="1494" t="s">
        <v>4200</v>
      </c>
      <c r="C266" s="1572"/>
      <c r="D266" s="1495"/>
      <c r="E266" s="1495"/>
      <c r="F266" s="1496"/>
      <c r="G266" s="1497">
        <f>SUMPRODUCT(((LEFT(BalanceN!$A$4:$A$9999,4)="6813"))*BalanceN!$G$4:$G$9999)-SUMPRODUCT(((LEFT(BalanceN!$A$4:$A$9999,4)="6813"))*BalanceN!$H$4:$H$9999)</f>
        <v>19259644</v>
      </c>
      <c r="H266" s="1497">
        <f>SUMPRODUCT(((LEFT('BalanceN-1'!$A$4:$A$9999,4)="6813"))*'BalanceN-1'!$G$4:$G$9999)-SUMPRODUCT(((LEFT('BalanceN-1'!$A$4:$A$9999,4)="6813"))*'BalanceN-1'!$H$4:$H$9999)</f>
        <v>24304993</v>
      </c>
      <c r="I266" s="1498">
        <f t="shared" si="8"/>
        <v>-5045349</v>
      </c>
      <c r="J266" s="1499">
        <f t="shared" si="9"/>
        <v>-0.20758487772450707</v>
      </c>
    </row>
    <row r="267" spans="1:10" ht="14.1" customHeight="1" x14ac:dyDescent="0.25">
      <c r="A267" s="1493">
        <v>6911</v>
      </c>
      <c r="B267" s="1494" t="s">
        <v>4201</v>
      </c>
      <c r="C267" s="1572"/>
      <c r="D267" s="1495"/>
      <c r="E267" s="1495"/>
      <c r="F267" s="1496"/>
      <c r="G267" s="1497">
        <f>SUMPRODUCT(((LEFT(BalanceN!$A$4:$A$9999,4)="6911"))*BalanceN!$G$4:$G$9999)-SUMPRODUCT(((LEFT(BalanceN!$A$4:$A$9999,4)="6911"))*BalanceN!$H$4:$H$9999)</f>
        <v>7251669</v>
      </c>
      <c r="H267" s="1497">
        <f>SUMPRODUCT(((LEFT('BalanceN-1'!$A$4:$A$9999,4)="6911"))*'BalanceN-1'!$G$4:$G$9999)-SUMPRODUCT(((LEFT('BalanceN-1'!$A$4:$A$9999,4)="6911"))*'BalanceN-1'!$H$4:$H$9999)</f>
        <v>7310762</v>
      </c>
      <c r="I267" s="1498">
        <f t="shared" si="8"/>
        <v>-59093</v>
      </c>
      <c r="J267" s="1499">
        <f t="shared" si="9"/>
        <v>-8.0830151494468011E-3</v>
      </c>
    </row>
    <row r="268" spans="1:10" ht="14.1" customHeight="1" x14ac:dyDescent="0.25">
      <c r="A268" s="1493">
        <v>6913</v>
      </c>
      <c r="B268" s="1494" t="s">
        <v>4202</v>
      </c>
      <c r="C268" s="1572"/>
      <c r="D268" s="1495"/>
      <c r="E268" s="1495"/>
      <c r="F268" s="1496"/>
      <c r="G268" s="1497">
        <f>SUMPRODUCT(((LEFT(BalanceN!$A$4:$A$9999,4)="6913"))*BalanceN!$G$4:$G$9999)-SUMPRODUCT(((LEFT(BalanceN!$A$4:$A$9999,4)="6913"))*BalanceN!$H$4:$H$9999)</f>
        <v>0</v>
      </c>
      <c r="H268" s="1497">
        <f>SUMPRODUCT(((LEFT('BalanceN-1'!$A$4:$A$9999,4)="6913"))*'BalanceN-1'!$G$4:$G$9999)-SUMPRODUCT(((LEFT('BalanceN-1'!$A$4:$A$9999,4)="6913"))*'BalanceN-1'!$H$4:$H$9999)</f>
        <v>0</v>
      </c>
      <c r="I268" s="1498">
        <f t="shared" si="8"/>
        <v>0</v>
      </c>
      <c r="J268" s="1499" t="str">
        <f t="shared" si="9"/>
        <v/>
      </c>
    </row>
    <row r="269" spans="1:10" ht="14.1" customHeight="1" thickBot="1" x14ac:dyDescent="0.3">
      <c r="A269" s="1493">
        <v>6914</v>
      </c>
      <c r="B269" s="1494" t="s">
        <v>4203</v>
      </c>
      <c r="C269" s="1572"/>
      <c r="D269" s="1495"/>
      <c r="E269" s="1495"/>
      <c r="F269" s="1496"/>
      <c r="G269" s="1511">
        <f>SUMPRODUCT(((LEFT(BalanceN!$A$4:$A$9999,4)="6914"))*BalanceN!$G$4:$G$9999)-SUMPRODUCT(((LEFT(BalanceN!$A$4:$A$9999,4)="6914"))*BalanceN!$H$4:$H$9999)</f>
        <v>0</v>
      </c>
      <c r="H269" s="1511">
        <f>SUMPRODUCT(((LEFT('BalanceN-1'!$A$4:$A$9999,4)="6914"))*'BalanceN-1'!$G$4:$G$9999)-SUMPRODUCT(((LEFT('BalanceN-1'!$A$4:$A$9999,4)="6914"))*'BalanceN-1'!$H$4:$H$9999)</f>
        <v>0</v>
      </c>
      <c r="I269" s="1491">
        <f t="shared" si="8"/>
        <v>0</v>
      </c>
      <c r="J269" s="1499" t="str">
        <f t="shared" si="9"/>
        <v/>
      </c>
    </row>
    <row r="270" spans="1:10" ht="14.1" customHeight="1" thickTop="1" thickBot="1" x14ac:dyDescent="0.3">
      <c r="A270" s="1501" t="s">
        <v>850</v>
      </c>
      <c r="B270" s="1573" t="s">
        <v>964</v>
      </c>
      <c r="C270" s="1574"/>
      <c r="D270" s="1495"/>
      <c r="E270" s="1495"/>
      <c r="F270" s="1496"/>
      <c r="G270" s="1504">
        <f>SUM(G265:G269)</f>
        <v>26511313</v>
      </c>
      <c r="H270" s="1504">
        <f>SUM(H265:H269)</f>
        <v>31615755</v>
      </c>
      <c r="I270" s="1505">
        <f>G270-H270</f>
        <v>-5104442</v>
      </c>
      <c r="J270" s="1506">
        <f t="shared" si="9"/>
        <v>-0.16145247836086787</v>
      </c>
    </row>
    <row r="271" spans="1:10" ht="14.1" customHeight="1" thickTop="1" x14ac:dyDescent="0.25">
      <c r="A271" s="1493">
        <v>6971</v>
      </c>
      <c r="B271" s="1494" t="s">
        <v>4204</v>
      </c>
      <c r="C271" s="1572"/>
      <c r="D271" s="1495"/>
      <c r="E271" s="1495"/>
      <c r="F271" s="1496"/>
      <c r="G271" s="1553">
        <f>SUMPRODUCT(((LEFT(BalanceN!$A$4:$A$9999,4)="6971"))*BalanceN!$G$4:$G$9999)-SUMPRODUCT(((LEFT(BalanceN!$A$4:$A$9999,4)="6971"))*BalanceN!$H$4:$H$9999)</f>
        <v>0</v>
      </c>
      <c r="H271" s="1553">
        <f>SUMPRODUCT(((LEFT('BalanceN-1'!$A$4:$A$9999,4)="6971"))*'BalanceN-1'!$G$4:$G$9999)-SUMPRODUCT(((LEFT('BalanceN-1'!$A$4:$A$9999,4)="6971"))*'BalanceN-1'!$H$4:$H$9999)</f>
        <v>0</v>
      </c>
      <c r="I271" s="1554">
        <f t="shared" si="8"/>
        <v>0</v>
      </c>
      <c r="J271" s="1499" t="str">
        <f t="shared" si="9"/>
        <v/>
      </c>
    </row>
    <row r="272" spans="1:10" ht="14.1" customHeight="1" thickBot="1" x14ac:dyDescent="0.3">
      <c r="A272" s="1493">
        <v>6972</v>
      </c>
      <c r="B272" s="1494" t="s">
        <v>4205</v>
      </c>
      <c r="C272" s="1572"/>
      <c r="D272" s="1495"/>
      <c r="E272" s="1495"/>
      <c r="F272" s="1496"/>
      <c r="G272" s="1511">
        <f>SUMPRODUCT(((LEFT(BalanceN!$A$4:$A$9999,4)="6972"))*BalanceN!$G$4:$G$9999)-SUMPRODUCT(((LEFT(BalanceN!$A$4:$A$9999,4)="6972"))*BalanceN!$H$4:$H$9999)</f>
        <v>0</v>
      </c>
      <c r="H272" s="1511">
        <f>SUMPRODUCT(((LEFT('BalanceN-1'!$A$4:$A$9999,4)="6972"))*'BalanceN-1'!$G$4:$G$9999)-SUMPRODUCT(((LEFT('BalanceN-1'!$A$4:$A$9999,4)="6972"))*'BalanceN-1'!$H$4:$H$9999)</f>
        <v>0</v>
      </c>
      <c r="I272" s="1491">
        <f>G272-H272</f>
        <v>0</v>
      </c>
      <c r="J272" s="1499" t="str">
        <f t="shared" si="9"/>
        <v/>
      </c>
    </row>
    <row r="273" spans="1:10" ht="14.1" customHeight="1" thickTop="1" thickBot="1" x14ac:dyDescent="0.3">
      <c r="A273" s="1501" t="s">
        <v>866</v>
      </c>
      <c r="B273" s="1573" t="s">
        <v>970</v>
      </c>
      <c r="C273" s="1574"/>
      <c r="D273" s="1495"/>
      <c r="E273" s="1495"/>
      <c r="F273" s="1496"/>
      <c r="G273" s="1504">
        <f>SUM(G271:G272)</f>
        <v>0</v>
      </c>
      <c r="H273" s="1504">
        <f>SUM(H271:H272)</f>
        <v>0</v>
      </c>
      <c r="I273" s="1505">
        <f>G273-H273</f>
        <v>0</v>
      </c>
      <c r="J273" s="1506" t="str">
        <f t="shared" si="9"/>
        <v/>
      </c>
    </row>
    <row r="274" spans="1:10" ht="15.75" thickTop="1" x14ac:dyDescent="0.25">
      <c r="A274" s="1576"/>
      <c r="B274" s="1576"/>
      <c r="C274" s="1577"/>
      <c r="D274" s="1577"/>
      <c r="E274" s="1577"/>
      <c r="F274" s="1577"/>
      <c r="G274" s="1576"/>
      <c r="H274" s="1576"/>
      <c r="I274" s="1578"/>
      <c r="J274" s="1579" t="str">
        <f>IF(H274,(G274-H274)/H274,IF(ISBLANK(H274),"",IF(G274,1,"")))</f>
        <v/>
      </c>
    </row>
    <row r="275" spans="1:10" x14ac:dyDescent="0.25">
      <c r="A275" s="2373" t="s">
        <v>4206</v>
      </c>
      <c r="B275" s="2373"/>
      <c r="C275" s="2373"/>
      <c r="D275" s="2373"/>
      <c r="E275" s="2373"/>
      <c r="F275" s="2373"/>
      <c r="G275" s="1580">
        <f>G17+G19+G26+G28+G51+G53+G62+G144+G174+G191+G238+G264+G270+G273</f>
        <v>1815374182</v>
      </c>
      <c r="H275" s="1580">
        <f>H17+H19+H26+H28+H51+H53+H62+H144+H174+H191+H238+H264+H270+H273</f>
        <v>1741357732</v>
      </c>
      <c r="I275" s="1581">
        <f>G275-H275</f>
        <v>74016450</v>
      </c>
      <c r="J275" s="1582">
        <f>IF(H275,(G275-H275)/H275,IF(ISBLANK(H275),"",IF(G275,IF( G275 &gt; 0,1,-1),"")))</f>
        <v>4.2505022741645367E-2</v>
      </c>
    </row>
  </sheetData>
  <sheetProtection algorithmName="SHA-512" hashValue="zLqn+J4xgxfDObM9dAcFe2Atlv/YE2V7IzqHsDIBeq9Z9/hqFvkYPCn2czuGoh2vP27Ihy1YmD1DGEWlruo9RA==" saltValue="vgBlTIKKOOutuWrbMZ+Ufg==" spinCount="100000" sheet="1" formatCells="0" formatColumns="0" formatRows="0" selectLockedCells="1"/>
  <mergeCells count="49">
    <mergeCell ref="A275:F275"/>
    <mergeCell ref="C227:F227"/>
    <mergeCell ref="A229:J229"/>
    <mergeCell ref="A231:F232"/>
    <mergeCell ref="G231:G232"/>
    <mergeCell ref="H231:H232"/>
    <mergeCell ref="I231:J231"/>
    <mergeCell ref="C226:D226"/>
    <mergeCell ref="C154:F154"/>
    <mergeCell ref="A156:J156"/>
    <mergeCell ref="A158:F159"/>
    <mergeCell ref="G158:G159"/>
    <mergeCell ref="H158:H159"/>
    <mergeCell ref="I158:J158"/>
    <mergeCell ref="A223:B223"/>
    <mergeCell ref="D223:G223"/>
    <mergeCell ref="H223:J223"/>
    <mergeCell ref="C224:J224"/>
    <mergeCell ref="B225:H225"/>
    <mergeCell ref="C153:D153"/>
    <mergeCell ref="C79:F79"/>
    <mergeCell ref="A81:J81"/>
    <mergeCell ref="A83:F84"/>
    <mergeCell ref="G83:G84"/>
    <mergeCell ref="H83:H84"/>
    <mergeCell ref="I83:J83"/>
    <mergeCell ref="A150:B150"/>
    <mergeCell ref="D150:G150"/>
    <mergeCell ref="H150:J150"/>
    <mergeCell ref="C151:J151"/>
    <mergeCell ref="B152:H152"/>
    <mergeCell ref="C78:D78"/>
    <mergeCell ref="C5:F5"/>
    <mergeCell ref="A7:J7"/>
    <mergeCell ref="A9:F10"/>
    <mergeCell ref="G9:G10"/>
    <mergeCell ref="H9:H10"/>
    <mergeCell ref="I9:J9"/>
    <mergeCell ref="A75:B75"/>
    <mergeCell ref="D75:G75"/>
    <mergeCell ref="H75:J75"/>
    <mergeCell ref="C76:J76"/>
    <mergeCell ref="B77:H77"/>
    <mergeCell ref="C4:D4"/>
    <mergeCell ref="A1:B1"/>
    <mergeCell ref="D1:G1"/>
    <mergeCell ref="H1:J1"/>
    <mergeCell ref="C2:J2"/>
    <mergeCell ref="B3:H3"/>
  </mergeCells>
  <dataValidations count="1">
    <dataValidation type="whole" allowBlank="1" showInputMessage="1" showErrorMessage="1" errorTitle="Attention!" error="Valeur numérique attendue" sqref="G160:H221 G11:H73 G85:H148 G233:H274">
      <formula1>-9999999999999</formula1>
      <formula2>9999999999999</formula2>
    </dataValidation>
  </dataValidations>
  <printOptions horizontalCentered="1"/>
  <pageMargins left="0.19685039370078741" right="0.19685039370078741" top="0.27559055118110237" bottom="0.27559055118110237" header="0.31496062992125984" footer="0.31496062992125984"/>
  <pageSetup paperSize="9" scale="78" orientation="portrait" r:id="rId1"/>
  <rowBreaks count="3" manualBreakCount="3">
    <brk id="73" max="16383" man="1"/>
    <brk id="148" max="16383" man="1"/>
    <brk id="221"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J24"/>
  <sheetViews>
    <sheetView showGridLines="0" tabSelected="1" topLeftCell="C16" zoomScale="150" zoomScaleNormal="150" zoomScaleSheetLayoutView="115" workbookViewId="0">
      <selection activeCell="A36" sqref="A36:J36"/>
    </sheetView>
  </sheetViews>
  <sheetFormatPr baseColWidth="10" defaultRowHeight="15" x14ac:dyDescent="0.25"/>
  <cols>
    <col min="1" max="1" width="8.85546875" style="298" customWidth="1"/>
    <col min="2" max="2" width="16.42578125" style="298" customWidth="1"/>
    <col min="3" max="3" width="13.28515625" style="298" customWidth="1"/>
    <col min="4" max="4" width="11.42578125" style="298"/>
    <col min="5" max="5" width="11.42578125" style="298" customWidth="1"/>
    <col min="6" max="6" width="14.28515625" style="298" customWidth="1"/>
    <col min="7" max="9" width="13.28515625" style="298" customWidth="1"/>
    <col min="10" max="10" width="12.5703125" style="298" customWidth="1"/>
    <col min="11" max="16384" width="11.42578125" style="298"/>
  </cols>
  <sheetData>
    <row r="1" spans="1:10" x14ac:dyDescent="0.25">
      <c r="A1" s="2344" t="s">
        <v>4031</v>
      </c>
      <c r="B1" s="2345"/>
      <c r="C1" s="1459"/>
      <c r="D1" s="2346" t="s">
        <v>4032</v>
      </c>
      <c r="E1" s="2346"/>
      <c r="F1" s="2346"/>
      <c r="G1" s="2347"/>
      <c r="H1" s="2375" t="s">
        <v>4207</v>
      </c>
      <c r="I1" s="2376"/>
      <c r="J1" s="2377"/>
    </row>
    <row r="2" spans="1:10" x14ac:dyDescent="0.25">
      <c r="A2" s="1460" t="s">
        <v>3976</v>
      </c>
      <c r="B2" s="1461"/>
      <c r="C2" s="2343" t="str">
        <f>'Liste ETATS SUPPL DGI'!C3</f>
        <v>SAM CONSEILS</v>
      </c>
      <c r="D2" s="2343"/>
      <c r="E2" s="2343"/>
      <c r="F2" s="2343"/>
      <c r="G2" s="2343"/>
      <c r="H2" s="2343"/>
      <c r="I2" s="2343"/>
      <c r="J2" s="2343"/>
    </row>
    <row r="3" spans="1:10" x14ac:dyDescent="0.25">
      <c r="A3" s="1460" t="s">
        <v>1602</v>
      </c>
      <c r="B3" s="2343" t="str">
        <f>'Liste ETATS SUPPL DGI'!B4</f>
        <v>02 BP 5358 OUAGA 02</v>
      </c>
      <c r="C3" s="2343"/>
      <c r="D3" s="2343"/>
      <c r="E3" s="2343"/>
      <c r="F3" s="2343"/>
      <c r="G3" s="2343"/>
      <c r="H3" s="2343"/>
      <c r="I3" s="1583" t="s">
        <v>3977</v>
      </c>
      <c r="J3" s="1463" t="str">
        <f>'Liste ETATS SUPPL DGI'!I4</f>
        <v>SAM CONSEILS</v>
      </c>
    </row>
    <row r="4" spans="1:10" x14ac:dyDescent="0.25">
      <c r="A4" s="1464" t="s">
        <v>3978</v>
      </c>
      <c r="B4" s="1464"/>
      <c r="C4" s="2343" t="str">
        <f>'Liste ETATS SUPPL DGI'!C5</f>
        <v>00084404X</v>
      </c>
      <c r="D4" s="2343"/>
      <c r="E4" s="1465"/>
      <c r="F4" s="1465"/>
      <c r="G4" s="1466" t="s">
        <v>3979</v>
      </c>
      <c r="H4" s="1467">
        <f>'Liste ETATS SUPPL DGI'!F5</f>
        <v>43465</v>
      </c>
      <c r="I4" s="1583" t="s">
        <v>3980</v>
      </c>
      <c r="J4" s="1463">
        <f>'Liste ETATS SUPPL DGI'!I5</f>
        <v>12</v>
      </c>
    </row>
    <row r="5" spans="1:10" x14ac:dyDescent="0.25">
      <c r="A5" s="1468" t="s">
        <v>3981</v>
      </c>
      <c r="B5" s="1464"/>
      <c r="C5" s="2343" t="str">
        <f>'Liste ETATS SUPPL DGI'!C6</f>
        <v>AMMTB89</v>
      </c>
      <c r="D5" s="2343"/>
      <c r="E5" s="2343"/>
      <c r="F5" s="2343"/>
      <c r="G5" s="1469"/>
      <c r="H5" s="1463"/>
      <c r="I5" s="1465"/>
      <c r="J5" s="1465"/>
    </row>
    <row r="6" spans="1:10" ht="5.25" customHeight="1" x14ac:dyDescent="0.25">
      <c r="A6" s="1245"/>
      <c r="B6" s="1245"/>
      <c r="C6" s="1472"/>
      <c r="D6" s="1472"/>
      <c r="E6" s="1473"/>
      <c r="F6" s="1474"/>
      <c r="G6" s="1475"/>
      <c r="H6" s="1476"/>
      <c r="I6" s="1478"/>
      <c r="J6" s="1478"/>
    </row>
    <row r="7" spans="1:10" ht="15" customHeight="1" x14ac:dyDescent="0.25">
      <c r="A7" s="2352" t="s">
        <v>4034</v>
      </c>
      <c r="B7" s="2353"/>
      <c r="C7" s="2353"/>
      <c r="D7" s="2353"/>
      <c r="E7" s="2353"/>
      <c r="F7" s="2353"/>
      <c r="G7" s="2353"/>
      <c r="H7" s="2353"/>
      <c r="I7" s="2353"/>
      <c r="J7" s="2354"/>
    </row>
    <row r="8" spans="1:10" ht="5.25" customHeight="1" x14ac:dyDescent="0.25">
      <c r="A8" s="1482"/>
      <c r="B8" s="1482"/>
      <c r="C8" s="1482"/>
      <c r="D8" s="1482"/>
      <c r="E8" s="1482"/>
      <c r="F8" s="1482"/>
      <c r="G8" s="1482"/>
      <c r="H8" s="1482"/>
      <c r="I8" s="1482"/>
      <c r="J8" s="1482"/>
    </row>
    <row r="9" spans="1:10" x14ac:dyDescent="0.25">
      <c r="A9" s="2355" t="s">
        <v>4208</v>
      </c>
      <c r="B9" s="2356"/>
      <c r="C9" s="2356"/>
      <c r="D9" s="2356"/>
      <c r="E9" s="2356"/>
      <c r="F9" s="2356"/>
      <c r="G9" s="2359" t="s">
        <v>4036</v>
      </c>
      <c r="H9" s="2356" t="s">
        <v>4037</v>
      </c>
      <c r="I9" s="2355" t="s">
        <v>4038</v>
      </c>
      <c r="J9" s="2362"/>
    </row>
    <row r="10" spans="1:10" x14ac:dyDescent="0.25">
      <c r="A10" s="2357"/>
      <c r="B10" s="2358"/>
      <c r="C10" s="2358"/>
      <c r="D10" s="2358"/>
      <c r="E10" s="2358"/>
      <c r="F10" s="2358"/>
      <c r="G10" s="2360"/>
      <c r="H10" s="2361"/>
      <c r="I10" s="1585" t="s">
        <v>4039</v>
      </c>
      <c r="J10" s="1485" t="s">
        <v>4040</v>
      </c>
    </row>
    <row r="11" spans="1:10" ht="14.1" customHeight="1" x14ac:dyDescent="0.25">
      <c r="A11" s="1493">
        <v>70</v>
      </c>
      <c r="B11" s="1494" t="s">
        <v>4209</v>
      </c>
      <c r="C11" s="1495"/>
      <c r="D11" s="1495"/>
      <c r="E11" s="1495"/>
      <c r="F11" s="1496"/>
      <c r="G11" s="1497">
        <f>SUMPRODUCT(((LEFT('BalanceN-1'!$A$4:$A$9999,2)="70"))*'BalanceN-1'!$H$4:$H$9999)-SUMPRODUCT(((LEFT('BalanceN-1'!$A$4:$A$9999,2)="70"))*'BalanceN-1'!$G$4:$G$9999)</f>
        <v>1871826890</v>
      </c>
      <c r="H11" s="1497">
        <f>SUMPRODUCT(((LEFT('BalanceN-1'!$A$4:$A$9999,2)="70"))*'BalanceN-1'!$H$4:$H$9999)-SUMPRODUCT(((LEFT('BalanceN-1'!$A$4:$A$9999,2)="70"))*'BalanceN-1'!$G$4:$G$9999)</f>
        <v>1871826890</v>
      </c>
      <c r="I11" s="1498">
        <f>G11-H11</f>
        <v>0</v>
      </c>
      <c r="J11" s="1499">
        <f>IF(H11,(G11-H11)/H11,IF(ISBLANK(H11),"",IF(G11,IF( G11 &gt; 0,1,-1),"")))</f>
        <v>0</v>
      </c>
    </row>
    <row r="12" spans="1:10" ht="14.1" customHeight="1" x14ac:dyDescent="0.25">
      <c r="A12" s="1493">
        <v>71</v>
      </c>
      <c r="B12" s="1494" t="s">
        <v>4210</v>
      </c>
      <c r="C12" s="1495"/>
      <c r="D12" s="1495"/>
      <c r="E12" s="1495"/>
      <c r="F12" s="1496"/>
      <c r="G12" s="1497">
        <f>SUMPRODUCT(((LEFT(BalanceN!$A$4:$A$9999,2)="71"))*BalanceN!$H$4:$H$9999)-SUMPRODUCT(((LEFT(BalanceN!$A$4:$A$9999,2)="71"))*BalanceN!$G$4:$G$9999)</f>
        <v>0</v>
      </c>
      <c r="H12" s="1497">
        <f>SUMPRODUCT(((LEFT('BalanceN-1'!$A$4:$A$9999,2)="71"))*'BalanceN-1'!$H$4:$H$9999)-SUMPRODUCT(((LEFT('BalanceN-1'!$A$4:$A$9999,2)="71"))*'BalanceN-1'!$G$4:$G$9999)</f>
        <v>0</v>
      </c>
      <c r="I12" s="1498">
        <f t="shared" ref="I12:I18" si="0">G12-H12</f>
        <v>0</v>
      </c>
      <c r="J12" s="1499" t="str">
        <f t="shared" ref="J12:J18" si="1">IF(H12,(G12-H12)/H12,IF(ISBLANK(H12),"",IF(G12,IF( G12 &gt; 0,1,-1),"")))</f>
        <v/>
      </c>
    </row>
    <row r="13" spans="1:10" ht="14.1" customHeight="1" x14ac:dyDescent="0.25">
      <c r="A13" s="1493">
        <v>72</v>
      </c>
      <c r="B13" s="1494" t="s">
        <v>4211</v>
      </c>
      <c r="C13" s="1495"/>
      <c r="D13" s="1495"/>
      <c r="E13" s="1495"/>
      <c r="F13" s="1496"/>
      <c r="G13" s="1497">
        <f>SUMPRODUCT(((LEFT(BalanceN!$A$4:$A$9999,2)="72"))*BalanceN!$H$4:$H$9999)-SUMPRODUCT(((LEFT(BalanceN!$A$4:$A$9999,2)="72"))*BalanceN!$G$4:$G$9999)</f>
        <v>4500000</v>
      </c>
      <c r="H13" s="1497">
        <f>SUMPRODUCT(((LEFT('BalanceN-1'!$A$4:$A$9999,2)="72"))*'BalanceN-1'!$H$4:$H$9999)-SUMPRODUCT(((LEFT('BalanceN-1'!$A$4:$A$9999,2)="72"))*'BalanceN-1'!$G$4:$G$9999)</f>
        <v>0</v>
      </c>
      <c r="I13" s="1498">
        <f t="shared" si="0"/>
        <v>4500000</v>
      </c>
      <c r="J13" s="1499">
        <f t="shared" si="1"/>
        <v>1</v>
      </c>
    </row>
    <row r="14" spans="1:10" ht="14.1" customHeight="1" x14ac:dyDescent="0.25">
      <c r="A14" s="1493">
        <v>73</v>
      </c>
      <c r="B14" s="1494" t="s">
        <v>4212</v>
      </c>
      <c r="C14" s="1495"/>
      <c r="D14" s="1495"/>
      <c r="E14" s="1495"/>
      <c r="F14" s="1496"/>
      <c r="G14" s="1497">
        <f>SUMPRODUCT(((LEFT(BalanceN!$A$4:$A$9999,2)="73"))*BalanceN!$H$4:$H$9999)-SUMPRODUCT(((LEFT(BalanceN!$A$4:$A$9999,2)="73"))*BalanceN!$G$4:$G$9999)</f>
        <v>0</v>
      </c>
      <c r="H14" s="1497">
        <f>SUMPRODUCT(((LEFT('BalanceN-1'!$A$4:$A$9999,2)="73"))*'BalanceN-1'!$H$4:$H$9999)-SUMPRODUCT(((LEFT('BalanceN-1'!$A$4:$A$9999,2)="73"))*'BalanceN-1'!$G$4:$G$9999)</f>
        <v>0</v>
      </c>
      <c r="I14" s="1498">
        <f t="shared" si="0"/>
        <v>0</v>
      </c>
      <c r="J14" s="1499" t="str">
        <f t="shared" si="1"/>
        <v/>
      </c>
    </row>
    <row r="15" spans="1:10" ht="14.1" customHeight="1" x14ac:dyDescent="0.25">
      <c r="A15" s="1493">
        <v>75</v>
      </c>
      <c r="B15" s="1494" t="s">
        <v>4213</v>
      </c>
      <c r="C15" s="1495"/>
      <c r="D15" s="1495"/>
      <c r="E15" s="1495"/>
      <c r="F15" s="1496"/>
      <c r="G15" s="1511">
        <f>SUMPRODUCT(((LEFT(BalanceN!$A$4:$A$9999,2)="75"))*BalanceN!$H$4:$H$9999)-SUMPRODUCT(((LEFT(BalanceN!$A$4:$A$9999,2)="75"))*BalanceN!$G$4:$G$9999)</f>
        <v>3436978</v>
      </c>
      <c r="H15" s="1511">
        <f>SUMPRODUCT(((LEFT('BalanceN-1'!$A$4:$A$9999,2)="75"))*'BalanceN-1'!$H$4:$H$9999)-SUMPRODUCT(((LEFT('BalanceN-1'!$A$4:$A$9999,2)="75"))*'BalanceN-1'!$G$4:$G$9999)</f>
        <v>11486537</v>
      </c>
      <c r="I15" s="1498">
        <f t="shared" si="0"/>
        <v>-8049559</v>
      </c>
      <c r="J15" s="1499">
        <f t="shared" si="1"/>
        <v>-0.70078205467844656</v>
      </c>
    </row>
    <row r="16" spans="1:10" ht="14.1" customHeight="1" x14ac:dyDescent="0.25">
      <c r="A16" s="1493">
        <v>77</v>
      </c>
      <c r="B16" s="1494" t="s">
        <v>4214</v>
      </c>
      <c r="C16" s="1503"/>
      <c r="D16" s="1495"/>
      <c r="E16" s="1495"/>
      <c r="F16" s="1496"/>
      <c r="G16" s="1511">
        <f>SUMPRODUCT(((LEFT(BalanceN!$A$4:$A$9999,2)="77"))*BalanceN!$H$4:$H$9999)-SUMPRODUCT(((LEFT(BalanceN!$A$4:$A$9999,2)="77"))*BalanceN!$G$4:$G$9999)</f>
        <v>7500000</v>
      </c>
      <c r="H16" s="1511">
        <f>SUMPRODUCT(((LEFT('BalanceN-1'!$A$4:$A$9999,2)="77"))*'BalanceN-1'!$H$4:$H$9999)-SUMPRODUCT(((LEFT('BalanceN-1'!$A$4:$A$9999,2)="77"))*'BalanceN-1'!$G$4:$G$9999)</f>
        <v>0</v>
      </c>
      <c r="I16" s="1498">
        <f t="shared" si="0"/>
        <v>7500000</v>
      </c>
      <c r="J16" s="1499">
        <f t="shared" si="1"/>
        <v>1</v>
      </c>
    </row>
    <row r="17" spans="1:10" ht="14.1" customHeight="1" x14ac:dyDescent="0.25">
      <c r="A17" s="1493">
        <v>78</v>
      </c>
      <c r="B17" s="1494" t="s">
        <v>259</v>
      </c>
      <c r="C17" s="1495"/>
      <c r="D17" s="1495"/>
      <c r="E17" s="1495"/>
      <c r="F17" s="1496"/>
      <c r="G17" s="1570">
        <f>SUMPRODUCT(((LEFT(BalanceN!$A$4:$A$9999,2)="78"))*BalanceN!$H$4:$H$9999)-SUMPRODUCT(((LEFT(BalanceN!$A$4:$A$9999,2)="78"))*BalanceN!$G$4:$G$9999)</f>
        <v>3233550</v>
      </c>
      <c r="H17" s="1570">
        <f>SUMPRODUCT(((LEFT('BalanceN-1'!$A$4:$A$9999,2)="78"))*'BalanceN-1'!$H$4:$H$9999)-SUMPRODUCT(((LEFT('BalanceN-1'!$A$4:$A$9999,2)="78"))*'BalanceN-1'!$G$4:$G$9999)</f>
        <v>5817880</v>
      </c>
      <c r="I17" s="1498">
        <f t="shared" si="0"/>
        <v>-2584330</v>
      </c>
      <c r="J17" s="1499">
        <f t="shared" si="1"/>
        <v>-0.44420476187202212</v>
      </c>
    </row>
    <row r="18" spans="1:10" ht="14.1" customHeight="1" x14ac:dyDescent="0.25">
      <c r="A18" s="1493">
        <v>79</v>
      </c>
      <c r="B18" s="1494" t="s">
        <v>4215</v>
      </c>
      <c r="C18" s="1495"/>
      <c r="D18" s="1495"/>
      <c r="E18" s="1495"/>
      <c r="F18" s="1496"/>
      <c r="G18" s="1497">
        <f>SUMPRODUCT(((LEFT(BalanceN!$A$4:$A$9999,2)="79"))*BalanceN!$H$4:$H$9999)-SUMPRODUCT(((LEFT(BalanceN!$A$4:$A$9999,2)="79"))*BalanceN!$G$4:$G$9999)</f>
        <v>0</v>
      </c>
      <c r="H18" s="1497">
        <f>SUMPRODUCT(((LEFT('BalanceN-1'!$A$4:$A$9999,2)="79"))*'BalanceN-1'!$H$4:$H$9999)-SUMPRODUCT(((LEFT('BalanceN-1'!$A$4:$A$9999,2)="79"))*'BalanceN-1'!$G$4:$G$9999)</f>
        <v>0</v>
      </c>
      <c r="I18" s="1498">
        <f t="shared" si="0"/>
        <v>0</v>
      </c>
      <c r="J18" s="1499" t="str">
        <f t="shared" si="1"/>
        <v/>
      </c>
    </row>
    <row r="19" spans="1:10" ht="14.1" customHeight="1" x14ac:dyDescent="0.25">
      <c r="A19" s="1493"/>
      <c r="B19" s="1494"/>
      <c r="C19" s="1495"/>
      <c r="D19" s="1495"/>
      <c r="E19" s="1495"/>
      <c r="F19" s="1496"/>
      <c r="G19" s="1586"/>
      <c r="H19" s="1586"/>
      <c r="I19" s="1498"/>
      <c r="J19" s="1499"/>
    </row>
    <row r="20" spans="1:10" ht="14.1" customHeight="1" x14ac:dyDescent="0.25">
      <c r="A20" s="1493"/>
      <c r="B20" s="1494"/>
      <c r="C20" s="1495"/>
      <c r="D20" s="1495"/>
      <c r="E20" s="1495"/>
      <c r="F20" s="1496"/>
      <c r="G20" s="1586"/>
      <c r="H20" s="1586"/>
      <c r="I20" s="1586"/>
      <c r="J20" s="1499"/>
    </row>
    <row r="21" spans="1:10" ht="14.1" customHeight="1" thickBot="1" x14ac:dyDescent="0.3">
      <c r="A21" s="1493"/>
      <c r="B21" s="1494"/>
      <c r="C21" s="1495"/>
      <c r="D21" s="1495"/>
      <c r="E21" s="1495"/>
      <c r="F21" s="1496"/>
      <c r="G21" s="1586"/>
      <c r="H21" s="1586"/>
      <c r="I21" s="1586"/>
      <c r="J21" s="1499"/>
    </row>
    <row r="22" spans="1:10" ht="15.75" thickTop="1" x14ac:dyDescent="0.25">
      <c r="A22" s="1576"/>
      <c r="B22" s="1576"/>
      <c r="C22" s="1577"/>
      <c r="D22" s="1577"/>
      <c r="E22" s="1577"/>
      <c r="F22" s="1577"/>
      <c r="G22" s="1576"/>
      <c r="H22" s="1576"/>
      <c r="I22" s="1576"/>
      <c r="J22" s="1579" t="str">
        <f>IF(H22,(G22-H22)/H22,IF(ISBLANK(H22),"",IF(G22,1,"")))</f>
        <v/>
      </c>
    </row>
    <row r="23" spans="1:10" x14ac:dyDescent="0.25">
      <c r="A23" s="2373" t="s">
        <v>4216</v>
      </c>
      <c r="B23" s="2373"/>
      <c r="C23" s="2373"/>
      <c r="D23" s="2373"/>
      <c r="E23" s="2373"/>
      <c r="F23" s="2373"/>
      <c r="G23" s="1580">
        <f>SUM(G11:G22)</f>
        <v>1890497418</v>
      </c>
      <c r="H23" s="1580">
        <f>SUM(H11:H22)</f>
        <v>1889131307</v>
      </c>
      <c r="I23" s="1581">
        <f>SUM(I11:I22)</f>
        <v>1366111</v>
      </c>
      <c r="J23" s="1580">
        <f>SUM(J11:J22)</f>
        <v>0.85501318344953137</v>
      </c>
    </row>
    <row r="24" spans="1:10" x14ac:dyDescent="0.25">
      <c r="A24" s="1584" t="s">
        <v>4217</v>
      </c>
    </row>
  </sheetData>
  <sheetProtection algorithmName="SHA-512" hashValue="wG2zWIUPloZK3S62qt7VTTZYkl8hAICEOPbRYHr2KMyEhAFb1JsSZZUNM25qUYLcz3FEe7nd1C8hTYhIHSlpOA==" saltValue="G8KsQ7vTfEVHCG15EfhWAQ==" spinCount="100000" sheet="1" formatCells="0" formatColumns="0" formatRows="0" selectLockedCells="1"/>
  <mergeCells count="13">
    <mergeCell ref="A23:F23"/>
    <mergeCell ref="C5:F5"/>
    <mergeCell ref="A7:J7"/>
    <mergeCell ref="A9:F10"/>
    <mergeCell ref="G9:G10"/>
    <mergeCell ref="H9:H10"/>
    <mergeCell ref="I9:J9"/>
    <mergeCell ref="C4:D4"/>
    <mergeCell ref="A1:B1"/>
    <mergeCell ref="D1:G1"/>
    <mergeCell ref="H1:J1"/>
    <mergeCell ref="C2:J2"/>
    <mergeCell ref="B3:H3"/>
  </mergeCells>
  <dataValidations count="1">
    <dataValidation type="whole" allowBlank="1" showInputMessage="1" showErrorMessage="1" errorTitle="Attention!" error="Valeur numérique attendue" sqref="G11:H22">
      <formula1>-9999999999999</formula1>
      <formula2>9999999999999</formula2>
    </dataValidation>
  </dataValidations>
  <printOptions horizontalCentered="1"/>
  <pageMargins left="0.19685039370078741" right="0.19685039370078741" top="0.27559055118110237" bottom="0.27559055118110237" header="0.31496062992125984" footer="0.31496062992125984"/>
  <pageSetup paperSize="9" scale="7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28"/>
  <sheetViews>
    <sheetView showGridLines="0" zoomScaleNormal="100" zoomScaleSheetLayoutView="115" workbookViewId="0">
      <selection activeCell="J2" sqref="J2"/>
    </sheetView>
  </sheetViews>
  <sheetFormatPr baseColWidth="10" defaultRowHeight="15" x14ac:dyDescent="0.25"/>
  <cols>
    <col min="1" max="1" width="9.28515625" style="1588" customWidth="1"/>
    <col min="2" max="2" width="19.28515625" style="1588" customWidth="1"/>
    <col min="3" max="3" width="11.42578125" style="1588"/>
    <col min="4" max="4" width="6.140625" style="1588" customWidth="1"/>
    <col min="5" max="5" width="15.42578125" style="1588" customWidth="1"/>
    <col min="6" max="6" width="13.7109375" style="1588" customWidth="1"/>
    <col min="7" max="8" width="16.42578125" style="1588" customWidth="1"/>
    <col min="9" max="16384" width="11.42578125" style="1588"/>
  </cols>
  <sheetData>
    <row r="1" spans="1:8" ht="18.75" customHeight="1" x14ac:dyDescent="0.25">
      <c r="A1" s="2384" t="s">
        <v>4031</v>
      </c>
      <c r="B1" s="2385"/>
      <c r="C1" s="1459"/>
      <c r="D1" s="1459"/>
      <c r="E1" s="1459" t="s">
        <v>3974</v>
      </c>
      <c r="F1" s="1587"/>
      <c r="G1" s="2386" t="s">
        <v>4218</v>
      </c>
      <c r="H1" s="2387"/>
    </row>
    <row r="2" spans="1:8" ht="21.95" customHeight="1" x14ac:dyDescent="0.25">
      <c r="A2" s="1464" t="s">
        <v>3976</v>
      </c>
      <c r="B2" s="1589"/>
      <c r="C2" s="2388" t="str">
        <f>'Liste ETATS SUPPL DGI'!C3</f>
        <v>SAM CONSEILS</v>
      </c>
      <c r="D2" s="2388"/>
      <c r="E2" s="2388"/>
      <c r="F2" s="2388"/>
      <c r="G2" s="2388"/>
      <c r="H2" s="2388"/>
    </row>
    <row r="3" spans="1:8" x14ac:dyDescent="0.25">
      <c r="A3" s="1464" t="s">
        <v>1602</v>
      </c>
      <c r="B3" s="2388" t="str">
        <f>'Liste ETATS SUPPL DGI'!B4</f>
        <v>02 BP 5358 OUAGA 02</v>
      </c>
      <c r="C3" s="2388"/>
      <c r="D3" s="2388"/>
      <c r="E3" s="2388"/>
      <c r="F3" s="2388"/>
      <c r="G3" s="1590" t="s">
        <v>3977</v>
      </c>
      <c r="H3" s="1591" t="str">
        <f>'Liste ETATS SUPPL DGI'!I4</f>
        <v>SAM CONSEILS</v>
      </c>
    </row>
    <row r="4" spans="1:8" x14ac:dyDescent="0.25">
      <c r="A4" s="1464" t="s">
        <v>3978</v>
      </c>
      <c r="B4" s="1464"/>
      <c r="C4" s="2389" t="str">
        <f>'Liste ETATS SUPPL DGI'!C5</f>
        <v>00084404X</v>
      </c>
      <c r="D4" s="2389"/>
      <c r="E4" s="1592" t="s">
        <v>3979</v>
      </c>
      <c r="F4" s="1591">
        <f>'Liste ETATS SUPPL DGI'!F5:G5</f>
        <v>43465</v>
      </c>
      <c r="G4" s="1590" t="s">
        <v>3980</v>
      </c>
      <c r="H4" s="1591">
        <f>'Liste ETATS SUPPL DGI'!I5</f>
        <v>12</v>
      </c>
    </row>
    <row r="5" spans="1:8" x14ac:dyDescent="0.25">
      <c r="A5" s="1468" t="s">
        <v>3981</v>
      </c>
      <c r="B5" s="1464"/>
      <c r="C5" s="2390" t="str">
        <f>'Liste ETATS SUPPL DGI'!C6</f>
        <v>AMMTB89</v>
      </c>
      <c r="D5" s="2390"/>
      <c r="E5" s="1593"/>
      <c r="F5" s="1594"/>
      <c r="G5" s="1593"/>
      <c r="H5" s="1594"/>
    </row>
    <row r="6" spans="1:8" ht="6" customHeight="1" x14ac:dyDescent="0.25">
      <c r="A6" s="1464"/>
      <c r="B6" s="1595"/>
      <c r="C6" s="1472"/>
      <c r="D6" s="1472"/>
      <c r="E6" s="1592"/>
      <c r="F6" s="1472"/>
      <c r="G6" s="1590"/>
      <c r="H6" s="1472"/>
    </row>
    <row r="7" spans="1:8" x14ac:dyDescent="0.25">
      <c r="A7" s="2378" t="s">
        <v>4034</v>
      </c>
      <c r="B7" s="2379"/>
      <c r="C7" s="2379"/>
      <c r="D7" s="2379"/>
      <c r="E7" s="2379"/>
      <c r="F7" s="2379"/>
      <c r="G7" s="2379"/>
      <c r="H7" s="2380"/>
    </row>
    <row r="8" spans="1:8" ht="6" customHeight="1" x14ac:dyDescent="0.25">
      <c r="A8" s="1597"/>
      <c r="B8" s="1597"/>
      <c r="C8" s="1597"/>
      <c r="D8" s="1597"/>
      <c r="E8" s="1597"/>
      <c r="F8" s="1597"/>
      <c r="G8" s="1597"/>
      <c r="H8" s="1597"/>
    </row>
    <row r="9" spans="1:8" ht="28.5" customHeight="1" x14ac:dyDescent="0.25">
      <c r="A9" s="2381" t="s">
        <v>4219</v>
      </c>
      <c r="B9" s="2382"/>
      <c r="C9" s="2382"/>
      <c r="D9" s="2382"/>
      <c r="E9" s="2382"/>
      <c r="F9" s="2383"/>
      <c r="G9" s="1598" t="s">
        <v>4036</v>
      </c>
      <c r="H9" s="1598" t="s">
        <v>4037</v>
      </c>
    </row>
    <row r="10" spans="1:8" s="1596" customFormat="1" x14ac:dyDescent="0.25">
      <c r="A10" s="1599"/>
      <c r="B10" s="1600" t="s">
        <v>4220</v>
      </c>
      <c r="C10" s="1601"/>
      <c r="D10" s="1601"/>
      <c r="E10" s="1601"/>
      <c r="F10" s="1602"/>
      <c r="G10" s="1603">
        <f>SUMPRODUCT(((LEFT(BalanceN!$A$4:$A$9999,4)="4431"))*BalanceN!$F$4:$F$9999)</f>
        <v>0</v>
      </c>
      <c r="H10" s="1603">
        <f>SUMPRODUCT(((LEFT('BalanceN-1'!$A$4:$A$9999,4)="4431"))*'BalanceN-1'!$F$4:$F$9999)</f>
        <v>0</v>
      </c>
    </row>
    <row r="11" spans="1:8" s="1596" customFormat="1" x14ac:dyDescent="0.25">
      <c r="A11" s="1604"/>
      <c r="B11" s="1605" t="s">
        <v>4221</v>
      </c>
      <c r="C11" s="1606"/>
      <c r="D11" s="1606"/>
      <c r="E11" s="1606"/>
      <c r="F11" s="1607"/>
      <c r="G11" s="1608">
        <f>SUMPRODUCT(((LEFT(BalanceN!$A$4:$A$9999,4)="4432"))*BalanceN!$F$4:$F$9999)</f>
        <v>226281</v>
      </c>
      <c r="H11" s="1608">
        <f>SUMPRODUCT(((LEFT('BalanceN-1'!$A$4:$A$9999,4)="4432"))*'BalanceN-1'!$F$4:$F$9999)</f>
        <v>287781</v>
      </c>
    </row>
    <row r="12" spans="1:8" s="1596" customFormat="1" x14ac:dyDescent="0.25">
      <c r="A12" s="1604"/>
      <c r="B12" s="1605" t="s">
        <v>4222</v>
      </c>
      <c r="C12" s="1606"/>
      <c r="D12" s="1606"/>
      <c r="E12" s="1606"/>
      <c r="F12" s="1607"/>
      <c r="G12" s="1608">
        <f>SUMPRODUCT(((LEFT(BalanceN!$A$4:$A$9999,4)="4433"))*BalanceN!$F$4:$F$9999)</f>
        <v>0</v>
      </c>
      <c r="H12" s="1608">
        <f>SUMPRODUCT(((LEFT('BalanceN-1'!$A$4:$A$9999,4)="4433"))*'BalanceN-1'!$F$4:$F$9999)</f>
        <v>0</v>
      </c>
    </row>
    <row r="13" spans="1:8" s="1596" customFormat="1" x14ac:dyDescent="0.25">
      <c r="A13" s="1604"/>
      <c r="B13" s="1605" t="s">
        <v>4223</v>
      </c>
      <c r="C13" s="1606"/>
      <c r="D13" s="1606"/>
      <c r="E13" s="1606"/>
      <c r="F13" s="1607"/>
      <c r="G13" s="1608">
        <f>SUMPRODUCT(((LEFT(BalanceN!$A$4:$A$9999,4)="4434"))*BalanceN!$F$4:$F$9999)</f>
        <v>0</v>
      </c>
      <c r="H13" s="1608">
        <f>SUMPRODUCT(((LEFT('BalanceN-1'!$A$4:$A$9999,4)="4434"))*'BalanceN-1'!$F$4:$F$9999)</f>
        <v>0</v>
      </c>
    </row>
    <row r="14" spans="1:8" s="1596" customFormat="1" ht="15.75" thickBot="1" x14ac:dyDescent="0.3">
      <c r="A14" s="1604"/>
      <c r="B14" s="1605" t="s">
        <v>4224</v>
      </c>
      <c r="C14" s="1606"/>
      <c r="D14" s="1606"/>
      <c r="E14" s="1606"/>
      <c r="F14" s="1607"/>
      <c r="G14" s="1609">
        <f>SUMPRODUCT(((LEFT(BalanceN!$A$4:$A$9999,4)="4435"))*BalanceN!$F$4:$F$9999)</f>
        <v>0</v>
      </c>
      <c r="H14" s="1609">
        <f>SUMPRODUCT(((LEFT('BalanceN-1'!$A$4:$A$9999,4)="4435"))*'BalanceN-1'!$F$4:$F$9999)</f>
        <v>0</v>
      </c>
    </row>
    <row r="15" spans="1:8" s="1596" customFormat="1" ht="16.5" thickTop="1" thickBot="1" x14ac:dyDescent="0.3">
      <c r="A15" s="1610"/>
      <c r="B15" s="1611"/>
      <c r="C15" s="1612" t="s">
        <v>4225</v>
      </c>
      <c r="D15" s="1606"/>
      <c r="E15" s="1606"/>
      <c r="F15" s="1607"/>
      <c r="G15" s="1613">
        <f>SUM(G10:G14)</f>
        <v>226281</v>
      </c>
      <c r="H15" s="1613">
        <f>SUM(H10:H14)</f>
        <v>287781</v>
      </c>
    </row>
    <row r="16" spans="1:8" s="1596" customFormat="1" ht="16.5" thickTop="1" thickBot="1" x14ac:dyDescent="0.3">
      <c r="A16" s="1610"/>
      <c r="B16" s="1611"/>
      <c r="C16" s="1612" t="s">
        <v>4226</v>
      </c>
      <c r="D16" s="1606"/>
      <c r="E16" s="1606"/>
      <c r="F16" s="1607"/>
      <c r="G16" s="1613">
        <f>SUMPRODUCT(((LEFT(BalanceN!$A$4:$A$9999,4)="4431")+(LEFT(BalanceN!$A$4:$A$9999,4)="4432")+(LEFT(BalanceN!$A$4:$A$9999,4)="4433")+(LEFT(BalanceN!$A$4:$A$9999,4)="4434")+(LEFT(BalanceN!$A$4:$A$9999,4)="4435"))*BalanceN!$E$4:$E$9999)</f>
        <v>316062</v>
      </c>
      <c r="H16" s="1613">
        <f>SUMPRODUCT(((LEFT('BalanceN-1'!$A$4:$A$9999,4)="4431")+(LEFT('BalanceN-1'!$A$4:$A$9999,4)="4432")+(LEFT('BalanceN-1'!$A$4:$A$9999,4)="4433")+(LEFT('BalanceN-1'!$A$4:$A$9999,4)="4434")+(LEFT('BalanceN-1'!$A$4:$A$9999,4)="4435"))*'BalanceN-1'!$E$4:$E$9999)</f>
        <v>252049</v>
      </c>
    </row>
    <row r="17" spans="1:8" s="1596" customFormat="1" ht="15.75" thickTop="1" x14ac:dyDescent="0.25">
      <c r="A17" s="1604"/>
      <c r="B17" s="1605" t="s">
        <v>4227</v>
      </c>
      <c r="C17" s="1606"/>
      <c r="D17" s="1606"/>
      <c r="E17" s="1606"/>
      <c r="F17" s="1607"/>
      <c r="G17" s="1614">
        <f>SUMPRODUCT(((LEFT(BalanceN!$A$4:$A$9999,4)="4451"))*BalanceN!$E$4:$E$9999)</f>
        <v>0</v>
      </c>
      <c r="H17" s="1614">
        <f>SUMPRODUCT(((LEFT('BalanceN-1'!$A$4:$A$9999,4)="4451"))*'BalanceN-1'!$E$4:$E$9999)</f>
        <v>0</v>
      </c>
    </row>
    <row r="18" spans="1:8" s="1596" customFormat="1" x14ac:dyDescent="0.25">
      <c r="A18" s="1604"/>
      <c r="B18" s="1605" t="s">
        <v>4228</v>
      </c>
      <c r="C18" s="1606"/>
      <c r="D18" s="1606"/>
      <c r="E18" s="1606"/>
      <c r="F18" s="1607"/>
      <c r="G18" s="1608">
        <f>SUMPRODUCT(((LEFT(BalanceN!$A$4:$A$9999,4)="4452"))*BalanceN!$E$4:$E$9999)</f>
        <v>0</v>
      </c>
      <c r="H18" s="1608">
        <f>SUMPRODUCT(((LEFT('BalanceN-1'!$A$4:$A$9999,4)="4452"))*'BalanceN-1'!$E$4:$E$9999)</f>
        <v>0</v>
      </c>
    </row>
    <row r="19" spans="1:8" s="1596" customFormat="1" x14ac:dyDescent="0.25">
      <c r="A19" s="1604"/>
      <c r="B19" s="1605" t="s">
        <v>4229</v>
      </c>
      <c r="C19" s="1606"/>
      <c r="D19" s="1606"/>
      <c r="E19" s="1606"/>
      <c r="F19" s="1607"/>
      <c r="G19" s="1608">
        <f>SUMPRODUCT(((LEFT(BalanceN!$A$4:$A$9999,4)="4453"))*BalanceN!$E$4:$E$9999)</f>
        <v>0</v>
      </c>
      <c r="H19" s="1608">
        <f>SUMPRODUCT(((LEFT('BalanceN-1'!$A$4:$A$9999,4)="4453"))*'BalanceN-1'!$E$4:$E$9999)</f>
        <v>0</v>
      </c>
    </row>
    <row r="20" spans="1:8" s="1596" customFormat="1" x14ac:dyDescent="0.25">
      <c r="A20" s="1604"/>
      <c r="B20" s="1605" t="s">
        <v>4230</v>
      </c>
      <c r="C20" s="1606"/>
      <c r="D20" s="1606"/>
      <c r="E20" s="1606"/>
      <c r="F20" s="1607"/>
      <c r="G20" s="1608">
        <f>SUMPRODUCT(((LEFT(BalanceN!$A$4:$A$9999,4)="4454"))*BalanceN!$E$4:$E$9999)</f>
        <v>0</v>
      </c>
      <c r="H20" s="1608">
        <f>SUMPRODUCT(((LEFT('BalanceN-1'!$A$4:$A$9999,4)="4454"))*'BalanceN-1'!$E$4:$E$9999)</f>
        <v>0</v>
      </c>
    </row>
    <row r="21" spans="1:8" s="1596" customFormat="1" x14ac:dyDescent="0.25">
      <c r="A21" s="1604"/>
      <c r="B21" s="1605" t="s">
        <v>4231</v>
      </c>
      <c r="C21" s="1606"/>
      <c r="D21" s="1606"/>
      <c r="E21" s="1606"/>
      <c r="F21" s="1607"/>
      <c r="G21" s="1608">
        <f>SUMPRODUCT(((LEFT(BalanceN!$A$4:$A$9999,4)="4455"))*BalanceN!$E$4:$E$9999)</f>
        <v>0</v>
      </c>
      <c r="H21" s="1608">
        <f>SUMPRODUCT(((LEFT('BalanceN-1'!$A$4:$A$9999,4)="4455"))*'BalanceN-1'!$E$4:$E$9999)</f>
        <v>0</v>
      </c>
    </row>
    <row r="22" spans="1:8" s="1596" customFormat="1" ht="15.75" thickBot="1" x14ac:dyDescent="0.3">
      <c r="A22" s="1604"/>
      <c r="B22" s="1605" t="s">
        <v>4232</v>
      </c>
      <c r="C22" s="1606"/>
      <c r="D22" s="1606"/>
      <c r="E22" s="1606"/>
      <c r="F22" s="1607"/>
      <c r="G22" s="1608">
        <f>SUMPRODUCT(((LEFT(BalanceN!$A$4:$A$9999,4)="4456"))*BalanceN!$E$4:$E$9999)</f>
        <v>0</v>
      </c>
      <c r="H22" s="1608">
        <f>SUMPRODUCT(((LEFT('BalanceN-1'!$A$4:$A$9999,4)="4456"))*'BalanceN-1'!$E$4:$E$9999)</f>
        <v>0</v>
      </c>
    </row>
    <row r="23" spans="1:8" s="1596" customFormat="1" ht="16.5" thickTop="1" thickBot="1" x14ac:dyDescent="0.3">
      <c r="A23" s="1615"/>
      <c r="B23" s="1611"/>
      <c r="C23" s="1612" t="s">
        <v>4233</v>
      </c>
      <c r="D23" s="1606"/>
      <c r="E23" s="1606"/>
      <c r="F23" s="1607"/>
      <c r="G23" s="1613">
        <f>SUM(G17:G22)</f>
        <v>0</v>
      </c>
      <c r="H23" s="1613">
        <f>SUM(H17:H22)</f>
        <v>0</v>
      </c>
    </row>
    <row r="24" spans="1:8" s="1596" customFormat="1" ht="16.5" thickTop="1" thickBot="1" x14ac:dyDescent="0.3">
      <c r="A24" s="1610"/>
      <c r="B24" s="1611"/>
      <c r="C24" s="1612" t="s">
        <v>4234</v>
      </c>
      <c r="D24" s="1606"/>
      <c r="E24" s="1606"/>
      <c r="F24" s="1607"/>
      <c r="G24" s="1613">
        <f>SUMPRODUCT(((LEFT(BalanceN!$A$4:$A$9999,4)="4451")+(LEFT(BalanceN!$A$4:$A$9999,4)="4452")+(LEFT(BalanceN!$A$4:$A$9999,4)="4453")+(LEFT(BalanceN!$A$4:$A$9999,4)="4454")+(LEFT(BalanceN!$A$4:$A$9999,4)="4455")+(LEFT(BalanceN!$A$4:$A$9999,4)="4456"))*BalanceN!$F$4:$F$9999)</f>
        <v>0</v>
      </c>
      <c r="H24" s="1613">
        <f>SUMPRODUCT(((LEFT('BalanceN-1'!$A$4:$A$9999,4)="4451")+(LEFT('BalanceN-1'!$A$4:$A$9999,4)="4452")+(LEFT('BalanceN-1'!$A$4:$A$9999,4)="4453")+(LEFT('BalanceN-1'!$A$4:$A$9999,4)="4454")+(LEFT('BalanceN-1'!$A$4:$A$9999,4)="4455")+(LEFT('BalanceN-1'!$A$4:$A$9999,4)="4456"))*'BalanceN-1'!$F$4:$F$9999)</f>
        <v>0</v>
      </c>
    </row>
    <row r="25" spans="1:8" s="1596" customFormat="1" ht="16.5" thickTop="1" thickBot="1" x14ac:dyDescent="0.3">
      <c r="A25" s="1610"/>
      <c r="B25" s="1611"/>
      <c r="C25" s="1612" t="s">
        <v>4235</v>
      </c>
      <c r="D25" s="1606"/>
      <c r="E25" s="1606"/>
      <c r="F25" s="1607"/>
      <c r="G25" s="1613"/>
      <c r="H25" s="1613"/>
    </row>
    <row r="26" spans="1:8" s="1596" customFormat="1" ht="15.75" thickTop="1" x14ac:dyDescent="0.25">
      <c r="A26" s="1604"/>
      <c r="B26" s="1605" t="s">
        <v>4236</v>
      </c>
      <c r="C26" s="1606"/>
      <c r="D26" s="1606"/>
      <c r="E26" s="1606"/>
      <c r="F26" s="1607"/>
      <c r="G26" s="1608">
        <f>MAX(0,G16-G24)</f>
        <v>316062</v>
      </c>
      <c r="H26" s="1608">
        <f>MAX(0,H16-H24)</f>
        <v>252049</v>
      </c>
    </row>
    <row r="27" spans="1:8" s="1596" customFormat="1" ht="15.75" thickBot="1" x14ac:dyDescent="0.3">
      <c r="A27" s="1604"/>
      <c r="B27" s="1605" t="s">
        <v>4237</v>
      </c>
      <c r="C27" s="1606"/>
      <c r="D27" s="1606"/>
      <c r="E27" s="1606"/>
      <c r="F27" s="1607"/>
      <c r="G27" s="1609">
        <f>MAX(0,G24-G16)</f>
        <v>0</v>
      </c>
      <c r="H27" s="1609">
        <f>MAX(0,H24-H16)</f>
        <v>0</v>
      </c>
    </row>
    <row r="28" spans="1:8" s="1596" customFormat="1" ht="15.75" thickTop="1" x14ac:dyDescent="0.25">
      <c r="A28" s="1616"/>
      <c r="B28" s="1617"/>
      <c r="C28" s="1618" t="s">
        <v>4238</v>
      </c>
      <c r="D28" s="1619"/>
      <c r="E28" s="1619"/>
      <c r="F28" s="1620"/>
      <c r="G28" s="1621">
        <f>SUM(G26:G27)</f>
        <v>316062</v>
      </c>
      <c r="H28" s="1621">
        <f>SUM(H26:H27)</f>
        <v>252049</v>
      </c>
    </row>
  </sheetData>
  <sheetProtection algorithmName="SHA-512" hashValue="qq31lF/JhtnB35WRFMWaGsGKnaaymUF2tF3t3wcZ4XgKnL7GoEZrvFqXhMUVb6DMFmLS0/8ThOzJ9L8IsIyq+A==" saltValue="8J9cqjizRsrzncwXEvxs2A==" spinCount="100000" sheet="1" formatCells="0" formatColumns="0" formatRows="0" selectLockedCells="1"/>
  <mergeCells count="8">
    <mergeCell ref="A7:H7"/>
    <mergeCell ref="A9:F9"/>
    <mergeCell ref="A1:B1"/>
    <mergeCell ref="G1:H1"/>
    <mergeCell ref="C2:H2"/>
    <mergeCell ref="B3:F3"/>
    <mergeCell ref="C4:D4"/>
    <mergeCell ref="C5:D5"/>
  </mergeCells>
  <dataValidations count="1">
    <dataValidation type="whole" allowBlank="1" showInputMessage="1" showErrorMessage="1" errorTitle="Attention!" error="Valeur numérique attendue" sqref="G10:H28">
      <formula1>-9999999999999</formula1>
      <formula2>9999999999999</formula2>
    </dataValidation>
  </dataValidations>
  <printOptions horizontalCentered="1"/>
  <pageMargins left="0.39370078740157483" right="0.39370078740157483" top="0.35433070866141736" bottom="0.35433070866141736" header="0.31496062992125984" footer="0.31496062992125984"/>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12"/>
  <sheetViews>
    <sheetView showGridLines="0" zoomScaleNormal="100" zoomScaleSheetLayoutView="100" workbookViewId="0">
      <selection activeCell="J2" sqref="J2"/>
    </sheetView>
  </sheetViews>
  <sheetFormatPr baseColWidth="10" defaultRowHeight="15" x14ac:dyDescent="0.25"/>
  <cols>
    <col min="1" max="1" width="9.7109375" style="298" customWidth="1"/>
    <col min="2" max="2" width="19" style="298" customWidth="1"/>
    <col min="3" max="4" width="11.42578125" style="298"/>
    <col min="5" max="5" width="16.7109375" style="298" customWidth="1"/>
    <col min="6" max="6" width="12.140625" style="298" customWidth="1"/>
    <col min="7" max="8" width="16.5703125" style="298" customWidth="1"/>
    <col min="9" max="16384" width="11.42578125" style="298"/>
  </cols>
  <sheetData>
    <row r="1" spans="1:8" s="1478" customFormat="1" ht="18.75" customHeight="1" x14ac:dyDescent="0.25">
      <c r="A1" s="2397" t="s">
        <v>4031</v>
      </c>
      <c r="B1" s="2398"/>
      <c r="C1" s="1622"/>
      <c r="D1" s="1622"/>
      <c r="E1" s="1622" t="s">
        <v>3974</v>
      </c>
      <c r="G1" s="2399" t="s">
        <v>4239</v>
      </c>
      <c r="H1" s="2400"/>
    </row>
    <row r="2" spans="1:8" s="1478" customFormat="1" ht="15" customHeight="1" x14ac:dyDescent="0.25">
      <c r="A2" s="1464" t="s">
        <v>3976</v>
      </c>
      <c r="B2" s="1589"/>
      <c r="C2" s="2388" t="str">
        <f>'Liste ETATS SUPPL DGI'!C3</f>
        <v>SAM CONSEILS</v>
      </c>
      <c r="D2" s="2388"/>
      <c r="E2" s="2388"/>
      <c r="F2" s="2388"/>
      <c r="G2" s="2388"/>
      <c r="H2" s="2388"/>
    </row>
    <row r="3" spans="1:8" s="1478" customFormat="1" ht="15" customHeight="1" x14ac:dyDescent="0.25">
      <c r="A3" s="1464" t="s">
        <v>1602</v>
      </c>
      <c r="B3" s="2388" t="str">
        <f>'Liste ETATS SUPPL DGI'!B4</f>
        <v>02 BP 5358 OUAGA 02</v>
      </c>
      <c r="C3" s="2388"/>
      <c r="D3" s="2388"/>
      <c r="E3" s="2388"/>
      <c r="F3" s="2388"/>
      <c r="G3" s="1590" t="s">
        <v>3977</v>
      </c>
      <c r="H3" s="1591" t="str">
        <f>'Liste ETATS SUPPL DGI'!I4</f>
        <v>SAM CONSEILS</v>
      </c>
    </row>
    <row r="4" spans="1:8" s="1478" customFormat="1" ht="15" customHeight="1" x14ac:dyDescent="0.25">
      <c r="A4" s="1464" t="s">
        <v>3978</v>
      </c>
      <c r="B4" s="1464"/>
      <c r="C4" s="2389" t="str">
        <f>'Liste ETATS SUPPL DGI'!C5</f>
        <v>00084404X</v>
      </c>
      <c r="D4" s="2389"/>
      <c r="E4" s="1592" t="s">
        <v>3979</v>
      </c>
      <c r="F4" s="1623">
        <f>'Liste ETATS SUPPL DGI'!F5:G5</f>
        <v>43465</v>
      </c>
      <c r="G4" s="1590" t="s">
        <v>3980</v>
      </c>
      <c r="H4" s="1591">
        <f>'Liste ETATS SUPPL DGI'!I5</f>
        <v>12</v>
      </c>
    </row>
    <row r="5" spans="1:8" s="1478" customFormat="1" ht="15" customHeight="1" x14ac:dyDescent="0.2">
      <c r="A5" s="1468" t="s">
        <v>3981</v>
      </c>
      <c r="B5" s="1464"/>
      <c r="C5" s="2390" t="str">
        <f>'Liste ETATS SUPPL DGI'!C6</f>
        <v>AMMTB89</v>
      </c>
      <c r="D5" s="2390"/>
      <c r="E5" s="1624"/>
      <c r="F5" s="1624"/>
      <c r="G5" s="1624"/>
      <c r="H5" s="1624"/>
    </row>
    <row r="6" spans="1:8" s="1478" customFormat="1" ht="6" customHeight="1" x14ac:dyDescent="0.25">
      <c r="A6" s="1245"/>
      <c r="B6" s="1245"/>
      <c r="C6" s="1472"/>
      <c r="D6" s="1472"/>
      <c r="E6" s="1473"/>
      <c r="F6" s="1474"/>
      <c r="G6" s="1475"/>
      <c r="H6" s="1476"/>
    </row>
    <row r="7" spans="1:8" x14ac:dyDescent="0.25">
      <c r="A7" s="2391" t="s">
        <v>4240</v>
      </c>
      <c r="B7" s="2392"/>
      <c r="C7" s="2392"/>
      <c r="D7" s="2392"/>
      <c r="E7" s="2392"/>
      <c r="F7" s="2392"/>
      <c r="G7" s="2392"/>
      <c r="H7" s="2393"/>
    </row>
    <row r="8" spans="1:8" ht="6" customHeight="1" x14ac:dyDescent="0.25">
      <c r="A8" s="1625"/>
      <c r="B8" s="1480"/>
      <c r="C8" s="1480"/>
      <c r="D8" s="1480"/>
      <c r="E8" s="1480"/>
      <c r="F8" s="1480"/>
      <c r="G8" s="1480"/>
      <c r="H8" s="1626"/>
    </row>
    <row r="9" spans="1:8" ht="36.75" customHeight="1" x14ac:dyDescent="0.25">
      <c r="A9" s="2394" t="s">
        <v>4241</v>
      </c>
      <c r="B9" s="2395"/>
      <c r="C9" s="2395"/>
      <c r="D9" s="2395"/>
      <c r="E9" s="2395"/>
      <c r="F9" s="2396"/>
      <c r="G9" s="1627" t="s">
        <v>4036</v>
      </c>
      <c r="H9" s="1627" t="s">
        <v>4037</v>
      </c>
    </row>
    <row r="10" spans="1:8" s="1197" customFormat="1" ht="17.100000000000001" customHeight="1" x14ac:dyDescent="0.25">
      <c r="A10" s="1628"/>
      <c r="B10" s="1629" t="s">
        <v>4242</v>
      </c>
      <c r="C10" s="1630"/>
      <c r="D10" s="1630"/>
      <c r="E10" s="1630"/>
      <c r="F10" s="1631"/>
      <c r="G10" s="1087"/>
      <c r="H10" s="1088"/>
    </row>
    <row r="11" spans="1:8" s="1197" customFormat="1" ht="17.100000000000001" customHeight="1" x14ac:dyDescent="0.25">
      <c r="A11" s="1632"/>
      <c r="B11" s="1633" t="s">
        <v>4243</v>
      </c>
      <c r="C11" s="1634"/>
      <c r="D11" s="1634"/>
      <c r="E11" s="1634"/>
      <c r="F11" s="1635"/>
      <c r="G11" s="1089"/>
      <c r="H11" s="1090"/>
    </row>
    <row r="12" spans="1:8" s="1197" customFormat="1" ht="17.100000000000001" customHeight="1" x14ac:dyDescent="0.25">
      <c r="A12" s="1636"/>
      <c r="B12" s="1637"/>
      <c r="C12" s="1638" t="s">
        <v>4244</v>
      </c>
      <c r="D12" s="1638"/>
      <c r="E12" s="1638"/>
      <c r="F12" s="1639"/>
      <c r="G12" s="1640">
        <f>SUM(G10:G11)</f>
        <v>0</v>
      </c>
      <c r="H12" s="1640">
        <f>SUM(H10:H11)</f>
        <v>0</v>
      </c>
    </row>
  </sheetData>
  <sheetProtection algorithmName="SHA-512" hashValue="QpUH2S2a/DcZBG8BiwjrXksHf9AjqdA3l7Gbh1aCd6hz4O3euikJpAsY5XSDuQU6pu4BrRAjY5akkQpIjJ7R7A==" saltValue="e1LIj5G+aoZbm0P7hG81Bw==" spinCount="100000" sheet="1" formatCells="0" formatColumns="0" formatRows="0" selectLockedCells="1"/>
  <mergeCells count="8">
    <mergeCell ref="A7:H7"/>
    <mergeCell ref="A9:F9"/>
    <mergeCell ref="A1:B1"/>
    <mergeCell ref="G1:H1"/>
    <mergeCell ref="C2:H2"/>
    <mergeCell ref="B3:F3"/>
    <mergeCell ref="C4:D4"/>
    <mergeCell ref="C5:D5"/>
  </mergeCells>
  <dataValidations count="1">
    <dataValidation type="whole" allowBlank="1" showInputMessage="1" showErrorMessage="1" errorTitle="Attention!" error="Valeur numérique attendue" sqref="G10:H11">
      <formula1>-9999999999999</formula1>
      <formula2>9999999999999</formula2>
    </dataValidation>
  </dataValidations>
  <printOptions horizontalCentered="1"/>
  <pageMargins left="0.39370078740157483" right="0.39370078740157483" top="0.35433070866141736" bottom="0.35433070866141736" header="0.31496062992125984" footer="0.31496062992125984"/>
  <pageSetup paperSize="9" scale="8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N42"/>
  <sheetViews>
    <sheetView showGridLines="0" topLeftCell="A7" zoomScaleNormal="100" zoomScaleSheetLayoutView="100" workbookViewId="0">
      <selection activeCell="J2" sqref="J2"/>
    </sheetView>
  </sheetViews>
  <sheetFormatPr baseColWidth="10" defaultRowHeight="15" x14ac:dyDescent="0.25"/>
  <cols>
    <col min="1" max="1" width="34.5703125" customWidth="1"/>
    <col min="2" max="2" width="6.5703125" customWidth="1"/>
    <col min="3" max="3" width="6.42578125" customWidth="1"/>
    <col min="4" max="4" width="11" customWidth="1"/>
    <col min="5" max="5" width="4.140625" customWidth="1"/>
    <col min="6" max="6" width="11" customWidth="1"/>
    <col min="7" max="7" width="4.140625" customWidth="1"/>
    <col min="8" max="8" width="0.5703125" customWidth="1"/>
    <col min="9" max="9" width="36.28515625" customWidth="1"/>
    <col min="10" max="10" width="8.5703125" customWidth="1"/>
    <col min="11" max="11" width="9.85546875" customWidth="1"/>
    <col min="12" max="12" width="15.7109375" customWidth="1"/>
    <col min="13" max="13" width="9.85546875" customWidth="1"/>
    <col min="14" max="14" width="15.7109375" customWidth="1"/>
  </cols>
  <sheetData>
    <row r="1" spans="1:14" x14ac:dyDescent="0.25">
      <c r="A1" s="2312" t="s">
        <v>3974</v>
      </c>
      <c r="B1" s="2312"/>
      <c r="C1" s="2312"/>
      <c r="D1" s="2312"/>
      <c r="E1" s="2312"/>
      <c r="F1" s="2312"/>
      <c r="G1" s="2312"/>
      <c r="H1" s="2312"/>
      <c r="I1" s="2312"/>
      <c r="J1" s="2312"/>
      <c r="K1" s="2312"/>
      <c r="L1" s="2312"/>
      <c r="M1" s="2312"/>
      <c r="N1" s="2312"/>
    </row>
    <row r="2" spans="1:14" ht="18" customHeight="1" x14ac:dyDescent="0.25">
      <c r="A2" s="1091"/>
      <c r="B2" s="1092"/>
      <c r="C2" s="1076"/>
      <c r="D2" s="1076"/>
      <c r="E2" s="1076"/>
      <c r="F2" s="1076"/>
      <c r="G2" s="1076"/>
      <c r="H2" s="1076"/>
      <c r="L2" s="2401" t="s">
        <v>4245</v>
      </c>
      <c r="M2" s="2402"/>
      <c r="N2" s="2403"/>
    </row>
    <row r="3" spans="1:14" s="1093" customFormat="1" ht="21.95" customHeight="1" x14ac:dyDescent="0.2">
      <c r="A3" s="1053" t="s">
        <v>3976</v>
      </c>
      <c r="B3" s="2404" t="str">
        <f>'Liste ETATS SUPPL DGI'!C3</f>
        <v>SAM CONSEILS</v>
      </c>
      <c r="C3" s="2404"/>
      <c r="D3" s="2404"/>
      <c r="E3" s="2404"/>
      <c r="F3" s="2404"/>
      <c r="G3" s="2404"/>
      <c r="H3" s="2404"/>
      <c r="I3" s="2404"/>
      <c r="J3" s="2404"/>
      <c r="K3" s="2404"/>
      <c r="L3" s="2404"/>
      <c r="M3" s="2404"/>
      <c r="N3" s="2404"/>
    </row>
    <row r="4" spans="1:14" s="1093" customFormat="1" ht="15" customHeight="1" x14ac:dyDescent="0.2">
      <c r="A4" s="1053" t="s">
        <v>1602</v>
      </c>
      <c r="B4" s="2404" t="str">
        <f>'Liste ETATS SUPPL DGI'!B4</f>
        <v>02 BP 5358 OUAGA 02</v>
      </c>
      <c r="C4" s="2404"/>
      <c r="D4" s="2404"/>
      <c r="E4" s="2404"/>
      <c r="F4" s="2404"/>
      <c r="G4" s="2404"/>
      <c r="H4" s="2404"/>
      <c r="I4" s="2404"/>
      <c r="J4" s="2404"/>
      <c r="K4" s="2404"/>
      <c r="L4" s="1078" t="s">
        <v>3977</v>
      </c>
      <c r="M4" s="2405" t="str">
        <f>'Liste ETATS SUPPL DGI'!I4</f>
        <v>SAM CONSEILS</v>
      </c>
      <c r="N4" s="2405"/>
    </row>
    <row r="5" spans="1:14" s="1093" customFormat="1" ht="15" customHeight="1" x14ac:dyDescent="0.2">
      <c r="A5" s="1053" t="s">
        <v>3978</v>
      </c>
      <c r="B5" s="2406" t="str">
        <f>'Liste ETATS SUPPL DGI'!C5</f>
        <v>00084404X</v>
      </c>
      <c r="C5" s="2406"/>
      <c r="D5" s="2406"/>
      <c r="E5" s="2406"/>
      <c r="F5" s="2406"/>
      <c r="G5" s="2406"/>
      <c r="H5" s="1094"/>
      <c r="I5" s="1095" t="s">
        <v>3979</v>
      </c>
      <c r="J5" s="2407">
        <f>'Liste ETATS SUPPL DGI'!F5</f>
        <v>43465</v>
      </c>
      <c r="K5" s="2408"/>
      <c r="L5" s="1096"/>
      <c r="M5" s="1078" t="s">
        <v>3980</v>
      </c>
      <c r="N5" s="1079">
        <f>'Liste ETATS SUPPL DGI'!I5</f>
        <v>12</v>
      </c>
    </row>
    <row r="6" spans="1:14" s="1093" customFormat="1" ht="15" customHeight="1" x14ac:dyDescent="0.2">
      <c r="A6" s="1055" t="s">
        <v>3981</v>
      </c>
      <c r="B6" s="2414" t="str">
        <f>'Liste ETATS SUPPL DGI'!C6</f>
        <v>AMMTB89</v>
      </c>
      <c r="C6" s="2414"/>
      <c r="D6" s="2414"/>
      <c r="E6" s="2414"/>
      <c r="F6" s="2414"/>
      <c r="G6" s="2414"/>
      <c r="H6" s="1097"/>
      <c r="I6" s="1098"/>
      <c r="J6" s="1083"/>
      <c r="K6" s="1083"/>
      <c r="L6" s="1099"/>
      <c r="M6" s="1082"/>
      <c r="N6" s="1083"/>
    </row>
    <row r="7" spans="1:14" ht="30" customHeight="1" x14ac:dyDescent="0.25">
      <c r="A7" s="2415" t="s">
        <v>4246</v>
      </c>
      <c r="B7" s="2415"/>
      <c r="C7" s="2415"/>
      <c r="D7" s="2415"/>
      <c r="E7" s="2415"/>
      <c r="F7" s="2415"/>
      <c r="G7" s="2415"/>
      <c r="H7" s="2415"/>
      <c r="I7" s="2415"/>
      <c r="J7" s="2415"/>
      <c r="K7" s="2415"/>
      <c r="L7" s="2415"/>
      <c r="M7" s="2415"/>
      <c r="N7" s="2415"/>
    </row>
    <row r="8" spans="1:14" s="1101" customFormat="1" ht="13.5" customHeight="1" x14ac:dyDescent="0.2">
      <c r="A8" s="2416" t="s">
        <v>4247</v>
      </c>
      <c r="B8" s="2417"/>
      <c r="C8" s="2417"/>
      <c r="D8" s="2417"/>
      <c r="E8" s="2417"/>
      <c r="F8" s="2417"/>
      <c r="G8" s="2418"/>
      <c r="H8" s="1100"/>
      <c r="I8" s="2416" t="s">
        <v>4248</v>
      </c>
      <c r="J8" s="2419"/>
      <c r="K8" s="2419"/>
      <c r="L8" s="2419"/>
      <c r="M8" s="2419"/>
      <c r="N8" s="2420"/>
    </row>
    <row r="9" spans="1:14" s="1101" customFormat="1" ht="15" customHeight="1" x14ac:dyDescent="0.2">
      <c r="A9" s="2421" t="s">
        <v>4249</v>
      </c>
      <c r="B9" s="2421"/>
      <c r="C9" s="2421"/>
      <c r="D9" s="2421" t="s">
        <v>4250</v>
      </c>
      <c r="E9" s="2421"/>
      <c r="F9" s="2421" t="s">
        <v>4251</v>
      </c>
      <c r="G9" s="2421"/>
      <c r="H9" s="1100"/>
      <c r="I9" s="2409" t="s">
        <v>4252</v>
      </c>
      <c r="J9" s="2409" t="s">
        <v>4253</v>
      </c>
      <c r="K9" s="2409" t="s">
        <v>4254</v>
      </c>
      <c r="L9" s="2409"/>
      <c r="M9" s="2409" t="s">
        <v>4255</v>
      </c>
      <c r="N9" s="2409"/>
    </row>
    <row r="10" spans="1:14" s="1101" customFormat="1" ht="11.25" x14ac:dyDescent="0.2">
      <c r="A10" s="2422"/>
      <c r="B10" s="2422"/>
      <c r="C10" s="2422"/>
      <c r="D10" s="2422"/>
      <c r="E10" s="2422"/>
      <c r="F10" s="2422"/>
      <c r="G10" s="2422"/>
      <c r="H10" s="1100"/>
      <c r="I10" s="2409"/>
      <c r="J10" s="2409"/>
      <c r="K10" s="2409"/>
      <c r="L10" s="2409"/>
      <c r="M10" s="2409"/>
      <c r="N10" s="2409"/>
    </row>
    <row r="11" spans="1:14" s="1101" customFormat="1" ht="15.75" customHeight="1" x14ac:dyDescent="0.2">
      <c r="A11" s="2422"/>
      <c r="B11" s="2422"/>
      <c r="C11" s="2422"/>
      <c r="D11" s="2422"/>
      <c r="E11" s="2422"/>
      <c r="F11" s="2422"/>
      <c r="G11" s="2422"/>
      <c r="H11" s="1100"/>
      <c r="I11" s="2409"/>
      <c r="J11" s="2409"/>
      <c r="K11" s="2409"/>
      <c r="L11" s="2409"/>
      <c r="M11" s="2409"/>
      <c r="N11" s="2409"/>
    </row>
    <row r="12" spans="1:14" ht="13.5" customHeight="1" x14ac:dyDescent="0.25">
      <c r="A12" s="2423"/>
      <c r="B12" s="2423"/>
      <c r="C12" s="2423"/>
      <c r="D12" s="2423"/>
      <c r="E12" s="2423"/>
      <c r="F12" s="2423"/>
      <c r="G12" s="2423"/>
      <c r="H12" s="1100"/>
      <c r="I12" s="2409"/>
      <c r="J12" s="2409"/>
      <c r="K12" s="1102" t="s">
        <v>637</v>
      </c>
      <c r="L12" s="1102" t="s">
        <v>638</v>
      </c>
      <c r="M12" s="1102" t="s">
        <v>637</v>
      </c>
      <c r="N12" s="1102" t="s">
        <v>638</v>
      </c>
    </row>
    <row r="13" spans="1:14" ht="12.95" customHeight="1" x14ac:dyDescent="0.25">
      <c r="A13" s="1103"/>
      <c r="B13" s="1104"/>
      <c r="C13" s="1104"/>
      <c r="D13" s="2410"/>
      <c r="E13" s="2410"/>
      <c r="F13" s="2410"/>
      <c r="G13" s="2410"/>
      <c r="H13" s="1100"/>
      <c r="I13" s="1105"/>
      <c r="J13" s="1106"/>
      <c r="K13" s="1107"/>
      <c r="L13" s="1107"/>
      <c r="M13" s="1107"/>
      <c r="N13" s="1107"/>
    </row>
    <row r="14" spans="1:14" ht="12.95" customHeight="1" x14ac:dyDescent="0.25">
      <c r="A14" s="2411" t="s">
        <v>4256</v>
      </c>
      <c r="B14" s="2412"/>
      <c r="C14" s="2412"/>
      <c r="D14" s="2413"/>
      <c r="E14" s="2413"/>
      <c r="F14" s="2413"/>
      <c r="G14" s="2413"/>
      <c r="H14" s="1100"/>
      <c r="I14" s="1105"/>
      <c r="J14" s="1106"/>
      <c r="K14" s="1107"/>
      <c r="L14" s="1107"/>
      <c r="M14" s="1107"/>
      <c r="N14" s="1107"/>
    </row>
    <row r="15" spans="1:14" ht="12.95" customHeight="1" x14ac:dyDescent="0.25">
      <c r="A15" s="1103"/>
      <c r="B15" s="1104"/>
      <c r="C15" s="1104"/>
      <c r="D15" s="2413"/>
      <c r="E15" s="2413"/>
      <c r="F15" s="2413"/>
      <c r="G15" s="2413"/>
      <c r="H15" s="1100"/>
      <c r="I15" s="1105"/>
      <c r="J15" s="1106"/>
      <c r="K15" s="1107"/>
      <c r="L15" s="1107"/>
      <c r="M15" s="1107"/>
      <c r="N15" s="1107"/>
    </row>
    <row r="16" spans="1:14" ht="12.95" customHeight="1" x14ac:dyDescent="0.25">
      <c r="A16" s="1108"/>
      <c r="B16" s="1109"/>
      <c r="C16" s="1109"/>
      <c r="D16" s="2413"/>
      <c r="E16" s="2413"/>
      <c r="F16" s="2413"/>
      <c r="G16" s="2413"/>
      <c r="H16" s="1100"/>
      <c r="I16" s="1105"/>
      <c r="J16" s="1106"/>
      <c r="K16" s="1107"/>
      <c r="L16" s="1107"/>
      <c r="M16" s="1107"/>
      <c r="N16" s="1107"/>
    </row>
    <row r="17" spans="1:14" ht="12.95" customHeight="1" x14ac:dyDescent="0.25">
      <c r="A17" s="2428" t="s">
        <v>4257</v>
      </c>
      <c r="B17" s="2429"/>
      <c r="C17" s="2429"/>
      <c r="D17" s="2413"/>
      <c r="E17" s="2413"/>
      <c r="F17" s="2413"/>
      <c r="G17" s="2413"/>
      <c r="H17" s="1100"/>
      <c r="I17" s="1105"/>
      <c r="J17" s="1106"/>
      <c r="K17" s="1107"/>
      <c r="L17" s="1107"/>
      <c r="M17" s="1107"/>
      <c r="N17" s="1107"/>
    </row>
    <row r="18" spans="1:14" ht="12.95" customHeight="1" x14ac:dyDescent="0.25">
      <c r="A18" s="1110" t="s">
        <v>4258</v>
      </c>
      <c r="B18" s="1111"/>
      <c r="C18" s="1111"/>
      <c r="D18" s="2424"/>
      <c r="E18" s="2424"/>
      <c r="F18" s="2424"/>
      <c r="G18" s="2424"/>
      <c r="H18" s="1100"/>
      <c r="I18" s="1105"/>
      <c r="J18" s="1106"/>
      <c r="K18" s="1107"/>
      <c r="L18" s="1107"/>
      <c r="M18" s="1107"/>
      <c r="N18" s="1107"/>
    </row>
    <row r="19" spans="1:14" ht="12.95" customHeight="1" x14ac:dyDescent="0.25">
      <c r="A19" s="2425" t="s">
        <v>4259</v>
      </c>
      <c r="B19" s="2426"/>
      <c r="C19" s="2426"/>
      <c r="D19" s="2427"/>
      <c r="E19" s="2427"/>
      <c r="F19" s="2427"/>
      <c r="G19" s="2427"/>
      <c r="H19" s="1100"/>
      <c r="I19" s="1105"/>
      <c r="J19" s="1106"/>
      <c r="K19" s="1107"/>
      <c r="L19" s="1107"/>
      <c r="M19" s="1107"/>
      <c r="N19" s="1107"/>
    </row>
    <row r="20" spans="1:14" ht="12.95" customHeight="1" x14ac:dyDescent="0.25">
      <c r="A20" s="1103"/>
      <c r="B20" s="1104"/>
      <c r="C20" s="1104"/>
      <c r="D20" s="2413"/>
      <c r="E20" s="2413"/>
      <c r="F20" s="2413"/>
      <c r="G20" s="2413"/>
      <c r="H20" s="1100"/>
      <c r="I20" s="1105"/>
      <c r="J20" s="1106"/>
      <c r="K20" s="1107"/>
      <c r="L20" s="1107"/>
      <c r="M20" s="1107"/>
      <c r="N20" s="1107"/>
    </row>
    <row r="21" spans="1:14" ht="12.95" customHeight="1" x14ac:dyDescent="0.25">
      <c r="A21" s="2411" t="s">
        <v>4260</v>
      </c>
      <c r="B21" s="2412"/>
      <c r="C21" s="2412"/>
      <c r="D21" s="2413"/>
      <c r="E21" s="2413"/>
      <c r="F21" s="2413"/>
      <c r="G21" s="2413"/>
      <c r="H21" s="1100"/>
      <c r="I21" s="1105"/>
      <c r="J21" s="1106"/>
      <c r="K21" s="1107"/>
      <c r="L21" s="1107"/>
      <c r="M21" s="1107"/>
      <c r="N21" s="1107"/>
    </row>
    <row r="22" spans="1:14" ht="12.95" customHeight="1" x14ac:dyDescent="0.25">
      <c r="A22" s="2432"/>
      <c r="B22" s="2433"/>
      <c r="C22" s="2433"/>
      <c r="D22" s="2424"/>
      <c r="E22" s="2424"/>
      <c r="F22" s="2424"/>
      <c r="G22" s="2424"/>
      <c r="H22" s="1100"/>
      <c r="I22" s="1105"/>
      <c r="J22" s="1106"/>
      <c r="K22" s="1107"/>
      <c r="L22" s="1107"/>
      <c r="M22" s="1107"/>
      <c r="N22" s="1107"/>
    </row>
    <row r="23" spans="1:14" ht="12.95" customHeight="1" x14ac:dyDescent="0.25">
      <c r="A23" s="2430"/>
      <c r="B23" s="2431"/>
      <c r="C23" s="2431"/>
      <c r="D23" s="2427"/>
      <c r="E23" s="2427"/>
      <c r="F23" s="2427"/>
      <c r="G23" s="2427"/>
      <c r="H23" s="1100"/>
      <c r="I23" s="1105"/>
      <c r="J23" s="1106"/>
      <c r="K23" s="1107"/>
      <c r="L23" s="1107"/>
      <c r="M23" s="1107"/>
      <c r="N23" s="1107"/>
    </row>
    <row r="24" spans="1:14" ht="12.95" customHeight="1" x14ac:dyDescent="0.25">
      <c r="A24" s="2430"/>
      <c r="B24" s="2431"/>
      <c r="C24" s="2431"/>
      <c r="D24" s="2427"/>
      <c r="E24" s="2427"/>
      <c r="F24" s="2427"/>
      <c r="G24" s="2427"/>
      <c r="H24" s="1100"/>
      <c r="I24" s="1105"/>
      <c r="J24" s="1106"/>
      <c r="K24" s="1107"/>
      <c r="L24" s="1107"/>
      <c r="M24" s="1107"/>
      <c r="N24" s="1107"/>
    </row>
    <row r="25" spans="1:14" ht="12.95" customHeight="1" x14ac:dyDescent="0.25">
      <c r="A25" s="2430"/>
      <c r="B25" s="2431"/>
      <c r="C25" s="2431"/>
      <c r="D25" s="2427"/>
      <c r="E25" s="2427"/>
      <c r="F25" s="2427"/>
      <c r="G25" s="2427"/>
      <c r="H25" s="1100"/>
      <c r="I25" s="1105"/>
      <c r="J25" s="1106"/>
      <c r="K25" s="1107"/>
      <c r="L25" s="1107"/>
      <c r="M25" s="1107"/>
      <c r="N25" s="1107"/>
    </row>
    <row r="26" spans="1:14" ht="12.95" customHeight="1" x14ac:dyDescent="0.25">
      <c r="A26" s="2430"/>
      <c r="B26" s="2431"/>
      <c r="C26" s="2431"/>
      <c r="D26" s="2427"/>
      <c r="E26" s="2427"/>
      <c r="F26" s="2427"/>
      <c r="G26" s="2427"/>
      <c r="H26" s="1100"/>
      <c r="I26" s="1105"/>
      <c r="J26" s="1106"/>
      <c r="K26" s="1107"/>
      <c r="L26" s="1107"/>
      <c r="M26" s="1107"/>
      <c r="N26" s="1107"/>
    </row>
    <row r="27" spans="1:14" ht="12.95" customHeight="1" x14ac:dyDescent="0.25">
      <c r="A27" s="2430"/>
      <c r="B27" s="2431"/>
      <c r="C27" s="2431"/>
      <c r="D27" s="2427"/>
      <c r="E27" s="2427"/>
      <c r="F27" s="2427"/>
      <c r="G27" s="2427"/>
      <c r="H27" s="1100"/>
      <c r="I27" s="1105"/>
      <c r="J27" s="1106"/>
      <c r="K27" s="1107"/>
      <c r="L27" s="1107"/>
      <c r="M27" s="1107"/>
      <c r="N27" s="1107"/>
    </row>
    <row r="28" spans="1:14" ht="12.95" customHeight="1" x14ac:dyDescent="0.25">
      <c r="A28" s="2430"/>
      <c r="B28" s="2431"/>
      <c r="C28" s="2431"/>
      <c r="D28" s="2427"/>
      <c r="E28" s="2427"/>
      <c r="F28" s="2427"/>
      <c r="G28" s="2427"/>
      <c r="H28" s="1100"/>
      <c r="I28" s="1105"/>
      <c r="J28" s="1106"/>
      <c r="K28" s="1107"/>
      <c r="L28" s="1107"/>
      <c r="M28" s="1107"/>
      <c r="N28" s="1107"/>
    </row>
    <row r="29" spans="1:14" ht="12.95" customHeight="1" x14ac:dyDescent="0.25">
      <c r="A29" s="2430"/>
      <c r="B29" s="2431"/>
      <c r="C29" s="2431"/>
      <c r="D29" s="2427"/>
      <c r="E29" s="2427"/>
      <c r="F29" s="2427"/>
      <c r="G29" s="2427"/>
      <c r="H29" s="1100"/>
      <c r="I29" s="1105"/>
      <c r="J29" s="1106"/>
      <c r="K29" s="1107"/>
      <c r="L29" s="1107"/>
      <c r="M29" s="1107"/>
      <c r="N29" s="1107"/>
    </row>
    <row r="30" spans="1:14" ht="12.95" customHeight="1" x14ac:dyDescent="0.25">
      <c r="A30" s="2430"/>
      <c r="B30" s="2431"/>
      <c r="C30" s="2431"/>
      <c r="D30" s="2427"/>
      <c r="E30" s="2427"/>
      <c r="F30" s="2427"/>
      <c r="G30" s="2427"/>
      <c r="H30" s="1100"/>
      <c r="I30" s="2434" t="s">
        <v>4261</v>
      </c>
      <c r="J30" s="2435"/>
      <c r="K30" s="1107"/>
      <c r="L30" s="1107"/>
      <c r="M30" s="1107"/>
      <c r="N30" s="1107"/>
    </row>
    <row r="31" spans="1:14" ht="12.95" customHeight="1" x14ac:dyDescent="0.25">
      <c r="A31" s="2430"/>
      <c r="B31" s="2431"/>
      <c r="C31" s="2436"/>
      <c r="D31" s="2437"/>
      <c r="E31" s="2437"/>
      <c r="F31" s="2437"/>
      <c r="G31" s="2437"/>
      <c r="H31" s="1100"/>
      <c r="I31" s="2438" t="s">
        <v>262</v>
      </c>
      <c r="J31" s="2439"/>
      <c r="K31" s="1112">
        <f>SUM(K13:K30)</f>
        <v>0</v>
      </c>
      <c r="L31" s="1112">
        <f>SUM(L13:L30)</f>
        <v>0</v>
      </c>
      <c r="M31" s="1112">
        <f>SUM(M13:M30)</f>
        <v>0</v>
      </c>
      <c r="N31" s="1112">
        <f>SUM(N13:N30)</f>
        <v>0</v>
      </c>
    </row>
    <row r="32" spans="1:14" ht="2.25" customHeight="1" x14ac:dyDescent="0.25">
      <c r="A32" s="1100"/>
      <c r="B32" s="1100"/>
      <c r="C32" s="1100"/>
      <c r="D32" s="1100"/>
      <c r="E32" s="1100"/>
      <c r="F32" s="1100"/>
      <c r="G32" s="1100"/>
      <c r="H32" s="1100"/>
      <c r="I32" s="1100"/>
      <c r="J32" s="1100"/>
      <c r="K32" s="1100"/>
      <c r="L32" s="1100"/>
      <c r="M32" s="1100"/>
      <c r="N32" s="1100"/>
    </row>
    <row r="33" spans="1:14" ht="13.5" customHeight="1" x14ac:dyDescent="0.25">
      <c r="A33" s="1113" t="s">
        <v>4262</v>
      </c>
      <c r="B33" s="2440" t="s">
        <v>4263</v>
      </c>
      <c r="C33" s="2441"/>
      <c r="D33" s="2441"/>
      <c r="E33" s="2441"/>
      <c r="F33" s="2441"/>
      <c r="G33" s="2442"/>
      <c r="H33" s="1100"/>
      <c r="I33" s="2443" t="s">
        <v>4264</v>
      </c>
      <c r="J33" s="2443"/>
      <c r="K33" s="2443"/>
      <c r="L33" s="2443"/>
      <c r="M33" s="2444" t="s">
        <v>4036</v>
      </c>
      <c r="N33" s="2444"/>
    </row>
    <row r="34" spans="1:14" ht="22.5" customHeight="1" x14ac:dyDescent="0.25">
      <c r="A34" s="2443" t="s">
        <v>4265</v>
      </c>
      <c r="B34" s="2443" t="s">
        <v>503</v>
      </c>
      <c r="C34" s="2443"/>
      <c r="D34" s="2443" t="s">
        <v>509</v>
      </c>
      <c r="E34" s="2443"/>
      <c r="F34" s="2443"/>
      <c r="G34" s="2443"/>
      <c r="H34" s="1100"/>
      <c r="I34" s="2445" t="s">
        <v>4266</v>
      </c>
      <c r="J34" s="2446"/>
      <c r="K34" s="2446"/>
      <c r="L34" s="2447"/>
      <c r="M34" s="2448"/>
      <c r="N34" s="2449"/>
    </row>
    <row r="35" spans="1:14" ht="12" customHeight="1" x14ac:dyDescent="0.25">
      <c r="A35" s="2443"/>
      <c r="B35" s="1114" t="s">
        <v>505</v>
      </c>
      <c r="C35" s="1114" t="s">
        <v>506</v>
      </c>
      <c r="D35" s="2443" t="s">
        <v>505</v>
      </c>
      <c r="E35" s="2443"/>
      <c r="F35" s="2443" t="s">
        <v>506</v>
      </c>
      <c r="G35" s="2443"/>
      <c r="H35" s="1100"/>
      <c r="I35" s="2428" t="s">
        <v>4267</v>
      </c>
      <c r="J35" s="2429"/>
      <c r="K35" s="2429"/>
      <c r="L35" s="2450"/>
      <c r="M35" s="2451"/>
      <c r="N35" s="2452"/>
    </row>
    <row r="36" spans="1:14" ht="12.95" customHeight="1" x14ac:dyDescent="0.25">
      <c r="A36" s="1103" t="s">
        <v>4268</v>
      </c>
      <c r="B36" s="1115"/>
      <c r="C36" s="1115"/>
      <c r="D36" s="2427"/>
      <c r="E36" s="2427"/>
      <c r="F36" s="2427"/>
      <c r="G36" s="2427"/>
      <c r="H36" s="1100"/>
      <c r="I36" s="1110" t="s">
        <v>4269</v>
      </c>
      <c r="J36" s="1111"/>
      <c r="K36" s="1111"/>
      <c r="L36" s="1116"/>
      <c r="M36" s="2453"/>
      <c r="N36" s="2454"/>
    </row>
    <row r="37" spans="1:14" ht="24.75" customHeight="1" x14ac:dyDescent="0.25">
      <c r="A37" s="1103" t="s">
        <v>4270</v>
      </c>
      <c r="B37" s="1117"/>
      <c r="C37" s="1117"/>
      <c r="D37" s="2437"/>
      <c r="E37" s="2437"/>
      <c r="F37" s="2437"/>
      <c r="G37" s="2437"/>
      <c r="H37" s="1100"/>
      <c r="I37" s="2455" t="s">
        <v>944</v>
      </c>
      <c r="J37" s="2456"/>
      <c r="K37" s="2456"/>
      <c r="L37" s="2457"/>
      <c r="M37" s="2458">
        <f>SUM(M34:N36)</f>
        <v>0</v>
      </c>
      <c r="N37" s="2459"/>
    </row>
    <row r="38" spans="1:14" ht="24.75" customHeight="1" x14ac:dyDescent="0.25">
      <c r="A38" s="1103" t="s">
        <v>4271</v>
      </c>
      <c r="B38" s="1117"/>
      <c r="C38" s="1117"/>
      <c r="D38" s="2437"/>
      <c r="E38" s="2437"/>
      <c r="F38" s="2437"/>
      <c r="G38" s="2437"/>
      <c r="H38" s="1100"/>
      <c r="I38" s="2445" t="s">
        <v>4272</v>
      </c>
      <c r="J38" s="2446"/>
      <c r="K38" s="2446"/>
      <c r="L38" s="2447"/>
      <c r="M38" s="2448"/>
      <c r="N38" s="2449"/>
    </row>
    <row r="39" spans="1:14" ht="24.75" customHeight="1" x14ac:dyDescent="0.25">
      <c r="A39" s="1103" t="s">
        <v>4273</v>
      </c>
      <c r="B39" s="1117"/>
      <c r="C39" s="1117"/>
      <c r="D39" s="2437"/>
      <c r="E39" s="2437"/>
      <c r="F39" s="2437"/>
      <c r="G39" s="2437"/>
      <c r="H39" s="1100"/>
      <c r="I39" s="2428" t="s">
        <v>4274</v>
      </c>
      <c r="J39" s="2429"/>
      <c r="K39" s="2429"/>
      <c r="L39" s="2450"/>
      <c r="M39" s="2448"/>
      <c r="N39" s="2449"/>
    </row>
    <row r="40" spans="1:14" s="1085" customFormat="1" ht="12.95" customHeight="1" x14ac:dyDescent="0.25">
      <c r="A40" s="1118" t="s">
        <v>262</v>
      </c>
      <c r="B40" s="1119">
        <f>SUM(B36:B39)</f>
        <v>0</v>
      </c>
      <c r="C40" s="1119">
        <f>SUM(C36:C39)</f>
        <v>0</v>
      </c>
      <c r="D40" s="2458">
        <f>SUM(D36:E39)</f>
        <v>0</v>
      </c>
      <c r="E40" s="2459"/>
      <c r="F40" s="2458">
        <f>SUM(F36:G39)</f>
        <v>0</v>
      </c>
      <c r="G40" s="2459"/>
      <c r="H40" s="1100"/>
      <c r="I40" s="2465"/>
      <c r="J40" s="2466"/>
      <c r="K40" s="2466"/>
      <c r="L40" s="2467"/>
      <c r="M40" s="2468"/>
      <c r="N40" s="2469"/>
    </row>
    <row r="41" spans="1:14" s="1085" customFormat="1" ht="12.95" customHeight="1" x14ac:dyDescent="0.25">
      <c r="A41" s="1120" t="s">
        <v>4275</v>
      </c>
      <c r="B41" s="1115"/>
      <c r="C41" s="1115"/>
      <c r="D41" s="2460"/>
      <c r="E41" s="2460"/>
      <c r="F41" s="2427"/>
      <c r="G41" s="2427"/>
      <c r="H41" s="1100"/>
      <c r="I41" s="1121"/>
      <c r="J41" s="1122"/>
      <c r="K41" s="1122"/>
      <c r="L41" s="1123"/>
      <c r="M41" s="2470"/>
      <c r="N41" s="2469"/>
    </row>
    <row r="42" spans="1:14" s="1085" customFormat="1" ht="12.95" customHeight="1" x14ac:dyDescent="0.25">
      <c r="A42" s="1124" t="s">
        <v>4276</v>
      </c>
      <c r="B42" s="1125"/>
      <c r="C42" s="1125"/>
      <c r="D42" s="2460"/>
      <c r="E42" s="2460"/>
      <c r="F42" s="2427"/>
      <c r="G42" s="2427"/>
      <c r="H42" s="1126"/>
      <c r="I42" s="2461" t="s">
        <v>4277</v>
      </c>
      <c r="J42" s="2462"/>
      <c r="K42" s="2462"/>
      <c r="L42" s="2462"/>
      <c r="M42" s="2463">
        <f>SUM(M38:N41)</f>
        <v>0</v>
      </c>
      <c r="N42" s="2464"/>
    </row>
  </sheetData>
  <sheetProtection formatColumns="0" formatRows="0" insertColumns="0" insertRows="0" deleteColumns="0" deleteRows="0" selectLockedCells="1"/>
  <mergeCells count="109">
    <mergeCell ref="D42:E42"/>
    <mergeCell ref="F42:G42"/>
    <mergeCell ref="I42:L42"/>
    <mergeCell ref="M42:N42"/>
    <mergeCell ref="D40:E40"/>
    <mergeCell ref="F40:G40"/>
    <mergeCell ref="I40:L40"/>
    <mergeCell ref="M40:N40"/>
    <mergeCell ref="D41:E41"/>
    <mergeCell ref="F41:G41"/>
    <mergeCell ref="M41:N41"/>
    <mergeCell ref="D38:E38"/>
    <mergeCell ref="F38:G38"/>
    <mergeCell ref="I38:L38"/>
    <mergeCell ref="M38:N38"/>
    <mergeCell ref="D39:E39"/>
    <mergeCell ref="F39:G39"/>
    <mergeCell ref="I39:L39"/>
    <mergeCell ref="M39:N39"/>
    <mergeCell ref="D36:E36"/>
    <mergeCell ref="F36:G36"/>
    <mergeCell ref="D37:E37"/>
    <mergeCell ref="F37:G37"/>
    <mergeCell ref="I37:L37"/>
    <mergeCell ref="M37:N37"/>
    <mergeCell ref="M33:N33"/>
    <mergeCell ref="A34:A35"/>
    <mergeCell ref="B34:C34"/>
    <mergeCell ref="D34:G34"/>
    <mergeCell ref="I34:L34"/>
    <mergeCell ref="M34:N34"/>
    <mergeCell ref="D35:E35"/>
    <mergeCell ref="F35:G35"/>
    <mergeCell ref="I35:L35"/>
    <mergeCell ref="M35:N36"/>
    <mergeCell ref="I30:J30"/>
    <mergeCell ref="A31:C31"/>
    <mergeCell ref="D31:E31"/>
    <mergeCell ref="F31:G31"/>
    <mergeCell ref="I31:J31"/>
    <mergeCell ref="B33:G33"/>
    <mergeCell ref="I33:L33"/>
    <mergeCell ref="A29:C29"/>
    <mergeCell ref="D29:E29"/>
    <mergeCell ref="F29:G29"/>
    <mergeCell ref="A30:C30"/>
    <mergeCell ref="D30:E30"/>
    <mergeCell ref="F30:G30"/>
    <mergeCell ref="A27:C27"/>
    <mergeCell ref="D27:E27"/>
    <mergeCell ref="F27:G27"/>
    <mergeCell ref="A28:C28"/>
    <mergeCell ref="D28:E28"/>
    <mergeCell ref="F28:G28"/>
    <mergeCell ref="A25:C25"/>
    <mergeCell ref="D25:E25"/>
    <mergeCell ref="F25:G25"/>
    <mergeCell ref="A26:C26"/>
    <mergeCell ref="D26:E26"/>
    <mergeCell ref="F26:G26"/>
    <mergeCell ref="A23:C23"/>
    <mergeCell ref="D23:E23"/>
    <mergeCell ref="F23:G23"/>
    <mergeCell ref="A24:C24"/>
    <mergeCell ref="D24:E24"/>
    <mergeCell ref="F24:G24"/>
    <mergeCell ref="A21:C21"/>
    <mergeCell ref="D21:E21"/>
    <mergeCell ref="F21:G21"/>
    <mergeCell ref="A22:C22"/>
    <mergeCell ref="D22:E22"/>
    <mergeCell ref="F22:G22"/>
    <mergeCell ref="D18:E18"/>
    <mergeCell ref="F18:G18"/>
    <mergeCell ref="A19:C19"/>
    <mergeCell ref="D19:E19"/>
    <mergeCell ref="F19:G19"/>
    <mergeCell ref="D20:E20"/>
    <mergeCell ref="F20:G20"/>
    <mergeCell ref="D15:E15"/>
    <mergeCell ref="F15:G15"/>
    <mergeCell ref="D16:E16"/>
    <mergeCell ref="F16:G16"/>
    <mergeCell ref="A17:C17"/>
    <mergeCell ref="D17:E17"/>
    <mergeCell ref="F17:G17"/>
    <mergeCell ref="A14:C14"/>
    <mergeCell ref="D14:E14"/>
    <mergeCell ref="F14:G14"/>
    <mergeCell ref="B6:G6"/>
    <mergeCell ref="A7:N7"/>
    <mergeCell ref="A8:G8"/>
    <mergeCell ref="I8:N8"/>
    <mergeCell ref="A9:C12"/>
    <mergeCell ref="D9:E12"/>
    <mergeCell ref="F9:G12"/>
    <mergeCell ref="I9:I12"/>
    <mergeCell ref="J9:J12"/>
    <mergeCell ref="K9:L11"/>
    <mergeCell ref="A1:N1"/>
    <mergeCell ref="L2:N2"/>
    <mergeCell ref="B3:N3"/>
    <mergeCell ref="B4:K4"/>
    <mergeCell ref="M4:N4"/>
    <mergeCell ref="B5:G5"/>
    <mergeCell ref="J5:K5"/>
    <mergeCell ref="M9:N11"/>
    <mergeCell ref="D13:E13"/>
    <mergeCell ref="F13:G13"/>
  </mergeCells>
  <dataValidations count="1">
    <dataValidation type="whole" allowBlank="1" showInputMessage="1" showErrorMessage="1" errorTitle="Attention!" error="Valeur numérique attendue" sqref="D19:G19 D23:G31 K13:N30 B36:G39 B41:G42 M34:N36 M38:N39">
      <formula1>-9999999999999</formula1>
      <formula2>9999999999999</formula2>
    </dataValidation>
  </dataValidations>
  <printOptions horizontalCentered="1"/>
  <pageMargins left="0.31496062992125984" right="0.31496062992125984" top="0.35433070866141736" bottom="0.35433070866141736" header="0.31496062992125984" footer="0.31496062992125984"/>
  <pageSetup paperSize="9" scale="8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9">
    <tabColor rgb="FFFF0000"/>
  </sheetPr>
  <dimension ref="A1:K97"/>
  <sheetViews>
    <sheetView showGridLines="0" showZeros="0" workbookViewId="0">
      <selection activeCell="H36" sqref="H36"/>
    </sheetView>
  </sheetViews>
  <sheetFormatPr baseColWidth="10" defaultRowHeight="14.25" x14ac:dyDescent="0.2"/>
  <cols>
    <col min="1" max="1" width="2.7109375" style="1363" customWidth="1"/>
    <col min="2" max="2" width="22.7109375" style="1363" customWidth="1"/>
    <col min="3" max="3" width="6.85546875" style="1363" customWidth="1"/>
    <col min="4" max="4" width="26.140625" style="1363" customWidth="1"/>
    <col min="5" max="5" width="8.5703125" style="1363" customWidth="1"/>
    <col min="6" max="6" width="4.7109375" style="1363" customWidth="1"/>
    <col min="7" max="7" width="21.5703125" style="1363" customWidth="1"/>
    <col min="8" max="8" width="5.28515625" style="1363" customWidth="1"/>
    <col min="9" max="9" width="6.140625" style="1363" customWidth="1"/>
    <col min="10" max="10" width="24.85546875" style="1363" customWidth="1"/>
    <col min="11" max="11" width="17.42578125" style="1363" bestFit="1" customWidth="1"/>
    <col min="12" max="16384" width="11.42578125" style="1363"/>
  </cols>
  <sheetData>
    <row r="1" spans="1:10" ht="18" x14ac:dyDescent="0.25">
      <c r="A1" s="1753" t="s">
        <v>1699</v>
      </c>
      <c r="B1" s="1754"/>
      <c r="C1" s="1754"/>
      <c r="D1" s="1754"/>
      <c r="E1" s="1754"/>
      <c r="F1" s="1754"/>
      <c r="G1" s="1754"/>
      <c r="H1" s="1754"/>
      <c r="I1" s="1754"/>
      <c r="J1" s="1755"/>
    </row>
    <row r="2" spans="1:10" ht="9.9499999999999993" customHeight="1" x14ac:dyDescent="0.2">
      <c r="A2" s="1364"/>
      <c r="J2" s="1365"/>
    </row>
    <row r="3" spans="1:10" ht="18" x14ac:dyDescent="0.25">
      <c r="A3" s="1753" t="s">
        <v>1286</v>
      </c>
      <c r="B3" s="1754"/>
      <c r="C3" s="1754"/>
      <c r="D3" s="1754"/>
      <c r="E3" s="1754"/>
      <c r="F3" s="1754"/>
      <c r="G3" s="1754"/>
      <c r="H3" s="1754"/>
      <c r="I3" s="1754"/>
      <c r="J3" s="1755"/>
    </row>
    <row r="4" spans="1:10" ht="9.9499999999999993" customHeight="1" thickBot="1" x14ac:dyDescent="0.25">
      <c r="A4" s="1366"/>
      <c r="J4" s="1365"/>
    </row>
    <row r="5" spans="1:10" ht="15.75" thickBot="1" x14ac:dyDescent="0.3">
      <c r="A5" s="1367" t="s">
        <v>1262</v>
      </c>
      <c r="B5" s="1393" t="s">
        <v>1682</v>
      </c>
      <c r="C5" s="1394"/>
      <c r="D5" s="1395"/>
      <c r="E5" s="1395"/>
      <c r="F5" s="1395"/>
      <c r="G5" s="1395"/>
      <c r="H5" s="1395"/>
      <c r="I5" s="1396"/>
      <c r="J5" s="1440">
        <f>('COMPTE DE RESULTAT'!$K$41+'COMPTE DE RESULTAT'!$K$46-'COMPTE DE RESULTAT'!$K$47)</f>
        <v>246491910</v>
      </c>
    </row>
    <row r="6" spans="1:10" ht="15" x14ac:dyDescent="0.25">
      <c r="A6" s="1369" t="s">
        <v>1681</v>
      </c>
      <c r="B6" s="1397" t="s">
        <v>1680</v>
      </c>
      <c r="C6" s="1398" t="s">
        <v>1712</v>
      </c>
      <c r="D6" s="1399"/>
      <c r="E6" s="1399"/>
      <c r="F6" s="1399"/>
      <c r="G6" s="1399"/>
      <c r="H6" s="1399"/>
      <c r="I6" s="1399"/>
      <c r="J6" s="1441"/>
    </row>
    <row r="7" spans="1:10" ht="8.25" customHeight="1" x14ac:dyDescent="0.2">
      <c r="A7" s="1372"/>
      <c r="D7" s="1371"/>
      <c r="J7" s="1441"/>
    </row>
    <row r="8" spans="1:10" ht="12" customHeight="1" x14ac:dyDescent="0.2">
      <c r="A8" s="1372"/>
      <c r="B8" s="1373"/>
      <c r="C8" s="1374"/>
      <c r="D8" s="1374"/>
      <c r="E8" s="1374"/>
      <c r="F8" s="1374"/>
      <c r="G8" s="1374"/>
      <c r="H8" s="1374"/>
      <c r="I8" s="1375"/>
      <c r="J8" s="1442"/>
    </row>
    <row r="9" spans="1:10" ht="12" customHeight="1" x14ac:dyDescent="0.2">
      <c r="A9" s="1372"/>
      <c r="B9" s="1373"/>
      <c r="C9" s="1374"/>
      <c r="D9" s="1374"/>
      <c r="E9" s="1374"/>
      <c r="F9" s="1374"/>
      <c r="G9" s="1374"/>
      <c r="H9" s="1374"/>
      <c r="I9" s="1375"/>
      <c r="J9" s="1442"/>
    </row>
    <row r="10" spans="1:10" ht="12" customHeight="1" x14ac:dyDescent="0.2">
      <c r="A10" s="1372"/>
      <c r="B10" s="1376"/>
      <c r="C10" s="1374"/>
      <c r="D10" s="1374"/>
      <c r="E10" s="1374"/>
      <c r="F10" s="1374"/>
      <c r="G10" s="1374"/>
      <c r="H10" s="1374"/>
      <c r="I10" s="1375"/>
      <c r="J10" s="1442"/>
    </row>
    <row r="11" spans="1:10" ht="12" customHeight="1" x14ac:dyDescent="0.2">
      <c r="A11" s="1372"/>
      <c r="B11" s="1376"/>
      <c r="C11" s="1374"/>
      <c r="D11" s="1374"/>
      <c r="E11" s="1374"/>
      <c r="F11" s="1374"/>
      <c r="G11" s="1374"/>
      <c r="H11" s="1374"/>
      <c r="I11" s="1375"/>
      <c r="J11" s="1442"/>
    </row>
    <row r="12" spans="1:10" ht="12" customHeight="1" x14ac:dyDescent="0.2">
      <c r="A12" s="1372"/>
      <c r="B12" s="1376"/>
      <c r="C12" s="1374"/>
      <c r="D12" s="1374"/>
      <c r="E12" s="1374"/>
      <c r="F12" s="1374"/>
      <c r="G12" s="1374"/>
      <c r="H12" s="1374"/>
      <c r="I12" s="1375"/>
      <c r="J12" s="1442"/>
    </row>
    <row r="13" spans="1:10" ht="12" customHeight="1" x14ac:dyDescent="0.2">
      <c r="A13" s="1372"/>
      <c r="B13" s="1376"/>
      <c r="C13" s="1374"/>
      <c r="D13" s="1374"/>
      <c r="E13" s="1374"/>
      <c r="F13" s="1374"/>
      <c r="G13" s="1374"/>
      <c r="H13" s="1374"/>
      <c r="I13" s="1375"/>
      <c r="J13" s="1442"/>
    </row>
    <row r="14" spans="1:10" ht="12" customHeight="1" x14ac:dyDescent="0.2">
      <c r="A14" s="1372"/>
      <c r="B14" s="1377"/>
      <c r="C14" s="1374"/>
      <c r="D14" s="1374"/>
      <c r="E14" s="1374"/>
      <c r="F14" s="1374"/>
      <c r="G14" s="1374"/>
      <c r="H14" s="1374"/>
      <c r="I14" s="1375"/>
      <c r="J14" s="1442"/>
    </row>
    <row r="15" spans="1:10" ht="12" customHeight="1" x14ac:dyDescent="0.2">
      <c r="A15" s="1372"/>
      <c r="B15" s="1376"/>
      <c r="C15" s="1374"/>
      <c r="D15" s="1374"/>
      <c r="E15" s="1374"/>
      <c r="F15" s="1374"/>
      <c r="G15" s="1374"/>
      <c r="H15" s="1374"/>
      <c r="I15" s="1375"/>
      <c r="J15" s="1442"/>
    </row>
    <row r="16" spans="1:10" ht="12" customHeight="1" thickBot="1" x14ac:dyDescent="0.25">
      <c r="A16" s="1372"/>
      <c r="B16" s="1376"/>
      <c r="C16" s="1374"/>
      <c r="D16" s="1374"/>
      <c r="E16" s="1374"/>
      <c r="F16" s="1374"/>
      <c r="G16" s="1374"/>
      <c r="H16" s="1374"/>
      <c r="I16" s="1375"/>
      <c r="J16" s="1442"/>
    </row>
    <row r="17" spans="1:10" ht="15" customHeight="1" thickBot="1" x14ac:dyDescent="0.3">
      <c r="A17" s="1378"/>
      <c r="B17" s="1379"/>
      <c r="C17" s="1368"/>
      <c r="D17" s="1782" t="s">
        <v>1679</v>
      </c>
      <c r="E17" s="1782"/>
      <c r="F17" s="1782"/>
      <c r="G17" s="1782"/>
      <c r="H17" s="1782"/>
      <c r="I17" s="1783"/>
      <c r="J17" s="1440">
        <f>SUM(J8:J16)</f>
        <v>0</v>
      </c>
    </row>
    <row r="18" spans="1:10" ht="6.75" customHeight="1" x14ac:dyDescent="0.2">
      <c r="A18" s="1372"/>
      <c r="G18" s="1380"/>
      <c r="H18" s="1380"/>
      <c r="I18" s="1381"/>
      <c r="J18" s="1443"/>
    </row>
    <row r="19" spans="1:10" ht="12.75" customHeight="1" x14ac:dyDescent="0.25">
      <c r="A19" s="1369" t="s">
        <v>1678</v>
      </c>
      <c r="B19" s="1397" t="s">
        <v>1683</v>
      </c>
      <c r="C19" s="1399"/>
      <c r="D19" s="1399"/>
      <c r="E19" s="1399"/>
      <c r="F19" s="1399"/>
      <c r="G19" s="1400"/>
      <c r="H19" s="1400"/>
      <c r="I19" s="1401"/>
      <c r="J19" s="1441"/>
    </row>
    <row r="20" spans="1:10" ht="11.25" customHeight="1" x14ac:dyDescent="0.2">
      <c r="A20" s="1372"/>
      <c r="B20" s="1376"/>
      <c r="C20" s="1374"/>
      <c r="D20" s="1374"/>
      <c r="E20" s="1374"/>
      <c r="F20" s="1374"/>
      <c r="G20" s="1374"/>
      <c r="H20" s="1374"/>
      <c r="I20" s="1375"/>
      <c r="J20" s="1442"/>
    </row>
    <row r="21" spans="1:10" ht="11.25" customHeight="1" x14ac:dyDescent="0.2">
      <c r="A21" s="1372"/>
      <c r="B21" s="1376"/>
      <c r="C21" s="1374"/>
      <c r="D21" s="1374"/>
      <c r="E21" s="1374"/>
      <c r="F21" s="1374"/>
      <c r="G21" s="1374"/>
      <c r="H21" s="1374"/>
      <c r="I21" s="1375"/>
      <c r="J21" s="1442"/>
    </row>
    <row r="22" spans="1:10" ht="11.25" customHeight="1" x14ac:dyDescent="0.2">
      <c r="A22" s="1372"/>
      <c r="B22" s="1376"/>
      <c r="C22" s="1374"/>
      <c r="D22" s="1374"/>
      <c r="E22" s="1374"/>
      <c r="F22" s="1374"/>
      <c r="G22" s="1374"/>
      <c r="H22" s="1374"/>
      <c r="I22" s="1375"/>
      <c r="J22" s="1442"/>
    </row>
    <row r="23" spans="1:10" ht="11.25" customHeight="1" x14ac:dyDescent="0.2">
      <c r="A23" s="1372"/>
      <c r="B23" s="1376"/>
      <c r="C23" s="1374"/>
      <c r="D23" s="1374"/>
      <c r="E23" s="1374"/>
      <c r="F23" s="1374"/>
      <c r="G23" s="1374"/>
      <c r="H23" s="1374"/>
      <c r="I23" s="1375"/>
      <c r="J23" s="1442"/>
    </row>
    <row r="24" spans="1:10" ht="11.25" customHeight="1" x14ac:dyDescent="0.2">
      <c r="A24" s="1372"/>
      <c r="B24" s="1376"/>
      <c r="C24" s="1374"/>
      <c r="D24" s="1374"/>
      <c r="E24" s="1374"/>
      <c r="F24" s="1374"/>
      <c r="G24" s="1374"/>
      <c r="H24" s="1374"/>
      <c r="I24" s="1375"/>
      <c r="J24" s="1442"/>
    </row>
    <row r="25" spans="1:10" ht="11.25" customHeight="1" x14ac:dyDescent="0.2">
      <c r="A25" s="1372"/>
      <c r="B25" s="1376"/>
      <c r="C25" s="1374"/>
      <c r="D25" s="1374"/>
      <c r="E25" s="1374"/>
      <c r="F25" s="1374"/>
      <c r="G25" s="1374"/>
      <c r="H25" s="1374"/>
      <c r="I25" s="1375"/>
      <c r="J25" s="1442"/>
    </row>
    <row r="26" spans="1:10" ht="11.25" customHeight="1" x14ac:dyDescent="0.2">
      <c r="A26" s="1372"/>
      <c r="B26" s="1376"/>
      <c r="C26" s="1374"/>
      <c r="D26" s="1374"/>
      <c r="E26" s="1374"/>
      <c r="F26" s="1374"/>
      <c r="G26" s="1374"/>
      <c r="H26" s="1374"/>
      <c r="I26" s="1375"/>
      <c r="J26" s="1442"/>
    </row>
    <row r="27" spans="1:10" ht="11.25" customHeight="1" x14ac:dyDescent="0.2">
      <c r="A27" s="1372"/>
      <c r="B27" s="1376"/>
      <c r="C27" s="1374"/>
      <c r="D27" s="1374"/>
      <c r="E27" s="1374"/>
      <c r="F27" s="1374"/>
      <c r="G27" s="1374"/>
      <c r="H27" s="1374"/>
      <c r="I27" s="1375"/>
      <c r="J27" s="1442"/>
    </row>
    <row r="28" spans="1:10" ht="11.25" customHeight="1" x14ac:dyDescent="0.2">
      <c r="A28" s="1372"/>
      <c r="B28" s="1376"/>
      <c r="C28" s="1374"/>
      <c r="D28" s="1374"/>
      <c r="E28" s="1374"/>
      <c r="F28" s="1374"/>
      <c r="G28" s="1374"/>
      <c r="H28" s="1374"/>
      <c r="I28" s="1375"/>
      <c r="J28" s="1442"/>
    </row>
    <row r="29" spans="1:10" ht="11.25" customHeight="1" thickBot="1" x14ac:dyDescent="0.25">
      <c r="A29" s="1372"/>
      <c r="B29" s="1373"/>
      <c r="C29" s="1374"/>
      <c r="D29" s="1374"/>
      <c r="E29" s="1374"/>
      <c r="F29" s="1374"/>
      <c r="G29" s="1374"/>
      <c r="H29" s="1374"/>
      <c r="I29" s="1375"/>
      <c r="J29" s="1442"/>
    </row>
    <row r="30" spans="1:10" ht="15.75" customHeight="1" thickBot="1" x14ac:dyDescent="0.3">
      <c r="A30" s="1378"/>
      <c r="B30" s="1402"/>
      <c r="C30" s="1782" t="s">
        <v>1677</v>
      </c>
      <c r="D30" s="1782"/>
      <c r="E30" s="1782"/>
      <c r="F30" s="1782"/>
      <c r="G30" s="1782"/>
      <c r="H30" s="1782"/>
      <c r="I30" s="1784"/>
      <c r="J30" s="1440">
        <f>-SUM(J20:J29)</f>
        <v>0</v>
      </c>
    </row>
    <row r="31" spans="1:10" ht="5.0999999999999996" customHeight="1" x14ac:dyDescent="0.2">
      <c r="A31" s="1372"/>
      <c r="G31" s="1382"/>
      <c r="J31" s="1441"/>
    </row>
    <row r="32" spans="1:10" ht="15.75" customHeight="1" thickBot="1" x14ac:dyDescent="0.25">
      <c r="A32" s="1777" t="s">
        <v>1676</v>
      </c>
      <c r="J32" s="1441"/>
    </row>
    <row r="33" spans="1:10" ht="15.75" customHeight="1" thickBot="1" x14ac:dyDescent="0.3">
      <c r="A33" s="1778"/>
      <c r="B33" s="1779" t="s">
        <v>1713</v>
      </c>
      <c r="C33" s="1780"/>
      <c r="D33" s="1780"/>
      <c r="E33" s="1780"/>
      <c r="F33" s="1780"/>
      <c r="G33" s="1780"/>
      <c r="H33" s="1780"/>
      <c r="I33" s="1781"/>
      <c r="J33" s="1440">
        <f>SUM(J5,J17,J30)</f>
        <v>246491910</v>
      </c>
    </row>
    <row r="34" spans="1:10" ht="9.9499999999999993" customHeight="1" x14ac:dyDescent="0.2">
      <c r="A34" s="1372"/>
      <c r="G34" s="1382"/>
      <c r="J34" s="1441"/>
    </row>
    <row r="35" spans="1:10" x14ac:dyDescent="0.2">
      <c r="A35" s="1372"/>
      <c r="B35" s="1403" t="s">
        <v>1684</v>
      </c>
      <c r="C35" s="1399"/>
      <c r="D35" s="1399"/>
      <c r="E35" s="1404"/>
      <c r="G35" s="1382"/>
      <c r="J35" s="1444">
        <f>-MAX(0,MIN(J33,SUM(G43:I47)))</f>
        <v>0</v>
      </c>
    </row>
    <row r="36" spans="1:10" x14ac:dyDescent="0.2">
      <c r="A36" s="1372"/>
      <c r="G36" s="1382"/>
      <c r="J36" s="1441"/>
    </row>
    <row r="37" spans="1:10" x14ac:dyDescent="0.2">
      <c r="A37" s="1372"/>
      <c r="B37" s="1405" t="s">
        <v>4460</v>
      </c>
      <c r="C37" s="1399"/>
      <c r="D37" s="1399"/>
      <c r="G37" s="1382"/>
      <c r="J37" s="1442"/>
    </row>
    <row r="38" spans="1:10" x14ac:dyDescent="0.2">
      <c r="A38" s="1372"/>
      <c r="B38" s="1383"/>
      <c r="G38" s="1382"/>
      <c r="J38" s="1441"/>
    </row>
    <row r="39" spans="1:10" x14ac:dyDescent="0.2">
      <c r="A39" s="1372"/>
      <c r="B39" s="1405" t="s">
        <v>4461</v>
      </c>
      <c r="C39" s="1399"/>
      <c r="D39" s="1399"/>
      <c r="G39" s="1382"/>
      <c r="J39" s="1445"/>
    </row>
    <row r="40" spans="1:10" ht="15" thickBot="1" x14ac:dyDescent="0.25">
      <c r="A40" s="1372"/>
      <c r="B40" s="1383"/>
      <c r="G40" s="1382"/>
      <c r="J40" s="1441"/>
    </row>
    <row r="41" spans="1:10" ht="15.75" customHeight="1" thickBot="1" x14ac:dyDescent="0.3">
      <c r="A41" s="1369" t="s">
        <v>1675</v>
      </c>
      <c r="B41" s="1750" t="s">
        <v>1674</v>
      </c>
      <c r="C41" s="1751"/>
      <c r="D41" s="1751"/>
      <c r="E41" s="1751"/>
      <c r="F41" s="1751"/>
      <c r="G41" s="1751"/>
      <c r="H41" s="1751"/>
      <c r="I41" s="1752"/>
      <c r="J41" s="1440">
        <f>SUM(J33:J36)-J37+J39</f>
        <v>246491910</v>
      </c>
    </row>
    <row r="42" spans="1:10" x14ac:dyDescent="0.2">
      <c r="A42" s="1369" t="s">
        <v>1673</v>
      </c>
      <c r="B42" s="1785" t="s">
        <v>1672</v>
      </c>
      <c r="C42" s="1786"/>
      <c r="D42" s="1384" t="s">
        <v>1670</v>
      </c>
      <c r="E42" s="1773" t="s">
        <v>1671</v>
      </c>
      <c r="F42" s="1774"/>
      <c r="G42" s="1768" t="s">
        <v>1287</v>
      </c>
      <c r="H42" s="1769"/>
      <c r="I42" s="1770"/>
      <c r="J42" s="1385" t="s">
        <v>1670</v>
      </c>
    </row>
    <row r="43" spans="1:10" x14ac:dyDescent="0.2">
      <c r="A43" s="1372"/>
      <c r="B43" s="1771"/>
      <c r="C43" s="1772"/>
      <c r="D43" s="1386"/>
      <c r="E43" s="1775" t="s">
        <v>1669</v>
      </c>
      <c r="F43" s="1776"/>
      <c r="G43" s="1760"/>
      <c r="H43" s="1761"/>
      <c r="I43" s="1762"/>
      <c r="J43" s="1387">
        <f>D43-G43</f>
        <v>0</v>
      </c>
    </row>
    <row r="44" spans="1:10" x14ac:dyDescent="0.2">
      <c r="A44" s="1372"/>
      <c r="B44" s="1756"/>
      <c r="C44" s="1757"/>
      <c r="D44" s="1386"/>
      <c r="E44" s="1775" t="s">
        <v>1668</v>
      </c>
      <c r="F44" s="1776"/>
      <c r="G44" s="1760"/>
      <c r="H44" s="1761"/>
      <c r="I44" s="1762"/>
      <c r="J44" s="1387">
        <f>D44-G44</f>
        <v>0</v>
      </c>
    </row>
    <row r="45" spans="1:10" x14ac:dyDescent="0.2">
      <c r="A45" s="1372"/>
      <c r="B45" s="1756"/>
      <c r="C45" s="1757"/>
      <c r="D45" s="1386"/>
      <c r="E45" s="1775" t="s">
        <v>1667</v>
      </c>
      <c r="F45" s="1776"/>
      <c r="G45" s="1760"/>
      <c r="H45" s="1761"/>
      <c r="I45" s="1762"/>
      <c r="J45" s="1387">
        <f>D45-G45</f>
        <v>0</v>
      </c>
    </row>
    <row r="46" spans="1:10" x14ac:dyDescent="0.2">
      <c r="A46" s="1372"/>
      <c r="B46" s="1756"/>
      <c r="C46" s="1757"/>
      <c r="D46" s="1386"/>
      <c r="E46" s="1775" t="s">
        <v>1666</v>
      </c>
      <c r="F46" s="1776"/>
      <c r="G46" s="1760"/>
      <c r="H46" s="1761"/>
      <c r="I46" s="1762"/>
      <c r="J46" s="1387">
        <f>D46-G46</f>
        <v>0</v>
      </c>
    </row>
    <row r="47" spans="1:10" ht="15" thickBot="1" x14ac:dyDescent="0.25">
      <c r="A47" s="1372"/>
      <c r="B47" s="1763"/>
      <c r="C47" s="1764"/>
      <c r="D47" s="1388"/>
      <c r="E47" s="1758" t="s">
        <v>1665</v>
      </c>
      <c r="F47" s="1759"/>
      <c r="G47" s="1765"/>
      <c r="H47" s="1766"/>
      <c r="I47" s="1767"/>
      <c r="J47" s="1389">
        <f>D47-G47</f>
        <v>0</v>
      </c>
    </row>
    <row r="48" spans="1:10" ht="12.75" customHeight="1" x14ac:dyDescent="0.2">
      <c r="A48" s="1390"/>
      <c r="E48" s="1390"/>
      <c r="F48" s="1390"/>
      <c r="J48" s="1365"/>
    </row>
    <row r="49" spans="1:11" ht="15" hidden="1" x14ac:dyDescent="0.25">
      <c r="A49" s="1390"/>
      <c r="D49" s="1370" t="s">
        <v>1704</v>
      </c>
      <c r="E49" s="1390"/>
      <c r="F49" s="1390"/>
      <c r="J49" s="1365"/>
    </row>
    <row r="50" spans="1:11" hidden="1" x14ac:dyDescent="0.2">
      <c r="A50" s="1390"/>
      <c r="E50" s="1390"/>
      <c r="F50" s="1390"/>
      <c r="J50" s="1365"/>
    </row>
    <row r="51" spans="1:11" ht="15" hidden="1" x14ac:dyDescent="0.25">
      <c r="A51" s="1391"/>
      <c r="B51" s="1406"/>
      <c r="C51" s="1407"/>
      <c r="D51" s="1408" t="s">
        <v>1701</v>
      </c>
      <c r="E51" s="1409"/>
      <c r="F51" s="1408"/>
      <c r="G51" s="1410" t="s">
        <v>1702</v>
      </c>
      <c r="H51" s="1408"/>
      <c r="I51" s="1411"/>
      <c r="J51" s="1412" t="s">
        <v>1703</v>
      </c>
    </row>
    <row r="52" spans="1:11" hidden="1" x14ac:dyDescent="0.2">
      <c r="A52" s="1391"/>
      <c r="B52" s="1413" t="s">
        <v>1686</v>
      </c>
      <c r="C52" s="1414"/>
      <c r="D52" s="909">
        <f>IF(INFORMATIONS!B7="OUI",MAX(0,ROUNDDOWN('CALCULS FISCAUX'!J41,-3)*D71),MAX(D68,ROUNDDOWN('COMPTE DE RESULTAT'!K15,-5)*D67,ROUNDDOWN('CALCULS FISCAUX'!J41,-3)*D71))</f>
        <v>67785025</v>
      </c>
      <c r="E52" s="1446"/>
      <c r="F52" s="909"/>
      <c r="G52" s="910">
        <f>IF(INFORMATIONS!B7="OUI",MAX(0,ROUNDDOWN('CALCULS FISCAUX'!J41,-3)*D71),MAX(D68,ROUNDDOWN('COMPTE DE RESULTAT'!K15,-5)*D67,ROUNDDOWN('CALCULS FISCAUX'!J41,-3)*D71))</f>
        <v>67785025</v>
      </c>
      <c r="H52" s="909"/>
      <c r="I52" s="911"/>
      <c r="J52" s="912">
        <v>0</v>
      </c>
    </row>
    <row r="53" spans="1:11" hidden="1" x14ac:dyDescent="0.2">
      <c r="A53" s="1391"/>
      <c r="B53" s="1416" t="s">
        <v>1697</v>
      </c>
      <c r="C53" s="1417"/>
      <c r="D53" s="913">
        <f>IF(INFORMATIONS!B7="OUI",MAX(0,ROUNDDOWN('CALCULS FISCAUX'!J41,-3)*D71)*70%,MAX((D68*I68),ROUNDDOWN('COMPTE DE RESULTAT'!K15,-5)*(D67/2),(ROUNDDOWN('CALCULS FISCAUX'!J41,-3)*D71)*70%))</f>
        <v>47449517.5</v>
      </c>
      <c r="E53" s="926"/>
      <c r="F53" s="913"/>
      <c r="G53" s="914">
        <f>IF(INFORMATIONS!B7="OUI",MAX(0,ROUNDDOWN('CALCULS FISCAUX'!J41,-3)*D71),MAX((D68*I68),ROUNDDOWN('COMPTE DE RESULTAT'!K15,-5)*(D67*I68),(ROUNDDOWN('CALCULS FISCAUX'!J41,-3)*D71)))</f>
        <v>67785025</v>
      </c>
      <c r="H53" s="913"/>
      <c r="I53" s="915"/>
      <c r="J53" s="916">
        <f>IF(INFORMATIONS!B7="OUI",MAX(0,ROUNDDOWN('CALCULS FISCAUX'!J41,-3)*D71)*I67,MAX(0,(ROUNDDOWN('CALCULS FISCAUX'!J41,-3)*D71-MAX((D68*H68),ROUNDDOWN('COMPTE DE RESULTAT'!K15,-5)*(D67*I68),))*I67))</f>
        <v>18804082.5</v>
      </c>
    </row>
    <row r="54" spans="1:11" hidden="1" x14ac:dyDescent="0.2">
      <c r="A54" s="1391"/>
      <c r="B54" s="1418" t="s">
        <v>1690</v>
      </c>
      <c r="C54" s="1419"/>
      <c r="D54" s="917">
        <f>IF(INFORMATIONS!B7="OUI",MAX(0,ROUNDDOWN('CALCULS FISCAUX'!J41,-3)*D71),MAX(D69,ROUNDDOWN('COMPTE DE RESULTAT'!K15,-5)*D67,ROUNDDOWN('CALCULS FISCAUX'!J41,-3)*D71))</f>
        <v>67785025</v>
      </c>
      <c r="E54" s="928"/>
      <c r="F54" s="917"/>
      <c r="G54" s="918">
        <f>IF(INFORMATIONS!B7="OUI",MAX(0,ROUNDDOWN('CALCULS FISCAUX'!J41,-3)*D71),MAX(D69,ROUNDDOWN('COMPTE DE RESULTAT'!K15,-5)*D67,ROUNDDOWN('CALCULS FISCAUX'!J41,-3)*D71))</f>
        <v>67785025</v>
      </c>
      <c r="H54" s="917"/>
      <c r="I54" s="919"/>
      <c r="J54" s="920">
        <v>0</v>
      </c>
    </row>
    <row r="55" spans="1:11" ht="15" hidden="1" x14ac:dyDescent="0.25">
      <c r="B55" s="1421" t="s">
        <v>1695</v>
      </c>
      <c r="C55" s="1422"/>
      <c r="D55" s="921">
        <f>IF(INFORMATIONS!B6="RSI",IF(INFORMATIONS!B8="OUI",D53,'CALCULS FISCAUX'!D52),'CALCULS FISCAUX'!D54)</f>
        <v>67785025</v>
      </c>
      <c r="E55" s="922"/>
      <c r="F55" s="921"/>
      <c r="G55" s="923">
        <f>IF(INFORMATIONS!B6="RSI",IF(INFORMATIONS!B8="OUI",G53,'CALCULS FISCAUX'!G52),'CALCULS FISCAUX'!G54)</f>
        <v>67785025</v>
      </c>
      <c r="H55" s="921"/>
      <c r="I55" s="924"/>
      <c r="J55" s="922">
        <f>IF(INFORMATIONS!B6="RSI",IF(INFORMATIONS!B8="OUI",J53,'CALCULS FISCAUX'!J52),'CALCULS FISCAUX'!J54)</f>
        <v>0</v>
      </c>
    </row>
    <row r="56" spans="1:11" hidden="1" x14ac:dyDescent="0.2">
      <c r="B56" s="1423"/>
      <c r="C56" s="1415"/>
      <c r="D56" s="1447"/>
      <c r="E56" s="1446"/>
      <c r="F56" s="1447"/>
      <c r="G56" s="910"/>
      <c r="H56" s="1447"/>
      <c r="I56" s="911"/>
      <c r="J56" s="1446"/>
    </row>
    <row r="57" spans="1:11" hidden="1" x14ac:dyDescent="0.2">
      <c r="B57" s="1416" t="s">
        <v>1692</v>
      </c>
      <c r="C57" s="1401"/>
      <c r="D57" s="925">
        <f>IF(INFORMATIONS!B7="OUI",(MAX(0,MIN(J76,ROUNDDOWN('CALCULS FISCAUX'!J41,-3)*E76))+MAX(0,MIN(100000,(ROUNDDOWN('CALCULS FISCAUX'!J41,-3)-B78)*E78)))+MAX(0,(ROUNDDOWN('CALCULS FISCAUX'!J41,-3)-J78)*E80),MAX(D69,ROUNDDOWN('COMPTE DE RESULTAT'!K15,-5)*D67,(MAX(0,MIN(J76,ROUNDDOWN('CALCULS FISCAUX'!J41,-3)*E76))+MAX(0,MIN(J78,(ROUNDDOWN('CALCULS FISCAUX'!J41,-3)-B78)*E78)))+MAX(0,(ROUNDDOWN('CALCULS FISCAUX'!J41,-3)-B80)*E80)))</f>
        <v>67660025</v>
      </c>
      <c r="E57" s="926"/>
      <c r="F57" s="925"/>
      <c r="G57" s="914">
        <f>IF(INFORMATIONS!B7="OUI",(MAX(0,MIN(J76,ROUNDDOWN('CALCULS FISCAUX'!J41,-3)*E76))+MAX(0,MIN(J78,(ROUNDDOWN('CALCULS FISCAUX'!J41,-3)-B78)*E78)))+MAX(0,(ROUNDDOWN('CALCULS FISCAUX'!J41,-3)-B80)*E80),MAX(D69,ROUNDDOWN('COMPTE DE RESULTAT'!K15,-5)*D67,(MAX(0,MIN(J76,ROUNDDOWN('CALCULS FISCAUX'!J41,-3)*E76))+MAX(0,MIN(J78,(ROUNDDOWN('CALCULS FISCAUX'!J41,-3)-B78)*E78)))+MAX(0,(ROUNDDOWN('CALCULS FISCAUX'!J41,-3)-B80)*E80)))</f>
        <v>67660025</v>
      </c>
      <c r="H57" s="925"/>
      <c r="I57" s="915"/>
      <c r="J57" s="926"/>
    </row>
    <row r="58" spans="1:11" hidden="1" x14ac:dyDescent="0.2">
      <c r="B58" s="1416" t="s">
        <v>1691</v>
      </c>
      <c r="C58" s="1401"/>
      <c r="D58" s="925">
        <f>IF(INFORMATIONS!B7="OUI",(MAX(0,MIN(J76,ROUNDDOWN('CALCULS FISCAUX'!J41,-3)*E76))+MAX(0,MIN(J78,(ROUNDDOWN('CALCULS FISCAUX'!J41,-3)-B78)*E78)))+MAX(0,(ROUNDDOWN('CALCULS FISCAUX'!J41,-3)-B80)*E80),MAX(D68,ROUNDDOWN('COMPTE DE RESULTAT'!K15,-5)*D67,(MAX(0,MIN(J76,ROUNDDOWN('CALCULS FISCAUX'!J41,-3)*E76))+MAX(0,MIN(J78,(ROUNDDOWN('CALCULS FISCAUX'!J41,-3)-B78)*E78)))+MAX(0,(ROUNDDOWN('CALCULS FISCAUX'!J41,-3)-B80)*E80)))</f>
        <v>67660025</v>
      </c>
      <c r="E58" s="926"/>
      <c r="F58" s="925"/>
      <c r="G58" s="914">
        <f>IF(INFORMATIONS!B7="OUI",(MAX(0,MIN(J76,ROUNDDOWN('CALCULS FISCAUX'!J41,-3)*E76))+MAX(0,MIN(J78,(ROUNDDOWN('CALCULS FISCAUX'!J41,-3)-B78)*E78)))+MAX(0,(ROUNDDOWN('CALCULS FISCAUX'!J41,-3)-B80)*E80),MAX(D68,ROUNDDOWN('COMPTE DE RESULTAT'!K15,-5)*D67,(MAX(0,MIN(J76,ROUNDDOWN('CALCULS FISCAUX'!J41,-3)*E76))+MAX(0,MIN(J78,(ROUNDDOWN('CALCULS FISCAUX'!J41,-3)-B78)*E78)))+MAX(0,(ROUNDDOWN('CALCULS FISCAUX'!J41,-3)-B80)*E80)))</f>
        <v>67660025</v>
      </c>
      <c r="H58" s="925"/>
      <c r="I58" s="915"/>
      <c r="J58" s="926"/>
    </row>
    <row r="59" spans="1:11" hidden="1" x14ac:dyDescent="0.2">
      <c r="B59" s="1424" t="s">
        <v>1698</v>
      </c>
      <c r="C59" s="1420"/>
      <c r="D59" s="927">
        <f>IF(INFORMATIONS!B7="OUI",(MAX(0,MIN(J76,ROUNDDOWN('CALCULS FISCAUX'!J41,-3)*E76))+MAX(0,MIN(J78,(ROUNDDOWN('CALCULS FISCAUX'!J41,-3)-B78)*E78)))+MAX(0,(ROUNDDOWN('CALCULS FISCAUX'!J41,-3)-B80)*E80)*(100%-I67),MAX((D68*H68),ROUNDDOWN('COMPTE DE RESULTAT'!K15,-5)*(D67*I68),(MAX(0,MIN(J76,ROUNDDOWN('CALCULS FISCAUX'!J41,-3)*E76))+MAX(0,MIN(J78,(ROUNDDOWN('CALCULS FISCAUX'!J41,-3)-B78)*E78)))+MAX(0,((ROUNDDOWN('CALCULS FISCAUX'!J41,-3)-B80)*E80)*(100%-I67))))</f>
        <v>47407017.5</v>
      </c>
      <c r="E59" s="928"/>
      <c r="F59" s="927"/>
      <c r="G59" s="918">
        <f>IF(INFORMATIONS!B7="OUI",(MAX(0,MIN(J76,ROUNDDOWN('CALCULS FISCAUX'!J41,-3)*E76))+MAX(0,MIN(J78,(ROUNDDOWN('CALCULS FISCAUX'!J41,-3)-B78)*E78)))+MAX(0,(ROUNDDOWN('CALCULS FISCAUX'!J41,-3)-B80)*E80),MAX((D68*I68),ROUNDDOWN('COMPTE DE RESULTAT'!K15,-5)*(D67*I68),(MAX(0,MIN(J76,ROUNDDOWN('CALCULS FISCAUX'!J41,-3)*E76))+MAX(0,MIN(J78,(ROUNDDOWN('CALCULS FISCAUX'!J41,-3)-B78)*E78)))+MAX(0,((ROUNDDOWN('CALCULS FISCAUX'!J41,-3)-B80)*E80))))</f>
        <v>67660025</v>
      </c>
      <c r="H59" s="927"/>
      <c r="I59" s="919"/>
      <c r="J59" s="928">
        <f>IF(INFORMATIONS!B7="OUI",(MAX(0,MIN(J76,ROUNDDOWN('CALCULS FISCAUX'!J41,-3)*E76))+MAX(0,MIN(J78,(ROUNDDOWN('CALCULS FISCAUX'!J41,-3)-B78)*E78)))+MAX(0,(ROUNDDOWN('CALCULS FISCAUX'!J41,-3)-B80)*E80)*I67,MAX(0,(MAX(0,MIN(J76,ROUNDDOWN('CALCULS FISCAUX'!J41,-3)*E76))+MAX(0,MIN(J78,(ROUNDDOWN('CALCULS FISCAUX'!J41,-3)-B78)*E78))+MAX(0,(ROUNDDOWN('CALCULS FISCAUX'!J41,-3)-B80))*E80-MAX((D68*I68),(ROUNDDOWN('COMPTE DE RESULTAT'!K15,-5)*(D67*I68))))*I67))</f>
        <v>18766582.5</v>
      </c>
      <c r="K59" s="1392"/>
    </row>
    <row r="60" spans="1:11" ht="15" hidden="1" x14ac:dyDescent="0.25">
      <c r="B60" s="1421" t="s">
        <v>1693</v>
      </c>
      <c r="C60" s="1422"/>
      <c r="D60" s="921">
        <f>IF(INFORMATIONS!B6="RSI",IF(INFORMATIONS!B8="OUI",D59,D58),D57)</f>
        <v>67660025</v>
      </c>
      <c r="E60" s="922"/>
      <c r="F60" s="921"/>
      <c r="G60" s="923">
        <f>IF(INFORMATIONS!B6="RSI",IF(INFORMATIONS!B8="OUI",G59,G58),G57)</f>
        <v>67660025</v>
      </c>
      <c r="H60" s="921"/>
      <c r="I60" s="924"/>
      <c r="J60" s="922">
        <f>IF(INFORMATIONS!B6="RSI",IF(INFORMATIONS!B8="OUI",J59,J58),J57)</f>
        <v>0</v>
      </c>
    </row>
    <row r="61" spans="1:11" hidden="1" x14ac:dyDescent="0.2">
      <c r="B61" s="1416"/>
      <c r="C61" s="1401"/>
      <c r="D61" s="925"/>
      <c r="E61" s="926"/>
      <c r="F61" s="925"/>
      <c r="G61" s="914"/>
      <c r="H61" s="925"/>
      <c r="I61" s="915"/>
      <c r="J61" s="926"/>
    </row>
    <row r="62" spans="1:11" ht="15" hidden="1" x14ac:dyDescent="0.25">
      <c r="B62" s="1425" t="s">
        <v>1694</v>
      </c>
      <c r="C62" s="1426"/>
      <c r="D62" s="921">
        <f>IF(INFORMATIONS!B12="INDIVIDUELLE",D60,D55)</f>
        <v>67660025</v>
      </c>
      <c r="E62" s="922"/>
      <c r="F62" s="921"/>
      <c r="G62" s="923">
        <f>IF(INFORMATIONS!B12="INDIVIDUELLE",G60,G55)</f>
        <v>67660025</v>
      </c>
      <c r="H62" s="921"/>
      <c r="I62" s="924"/>
      <c r="J62" s="922">
        <f>IF(INFORMATIONS!B12="INDIVIDUELLE",J60,J55)</f>
        <v>0</v>
      </c>
    </row>
    <row r="63" spans="1:11" ht="12" hidden="1" customHeight="1" x14ac:dyDescent="0.2">
      <c r="B63" s="1399"/>
      <c r="C63" s="1399"/>
      <c r="D63" s="1399"/>
      <c r="E63" s="1399"/>
      <c r="F63" s="1399"/>
      <c r="G63" s="1399"/>
      <c r="H63" s="1399"/>
      <c r="I63" s="1399"/>
      <c r="J63" s="1399"/>
    </row>
    <row r="64" spans="1:11" hidden="1" x14ac:dyDescent="0.2">
      <c r="B64" s="1399"/>
      <c r="C64" s="1399"/>
      <c r="D64" s="1399"/>
      <c r="E64" s="1399"/>
      <c r="F64" s="1399"/>
      <c r="G64" s="1399"/>
      <c r="H64" s="1399"/>
      <c r="I64" s="1399"/>
      <c r="J64" s="1399"/>
    </row>
    <row r="65" spans="2:10" ht="15" hidden="1" x14ac:dyDescent="0.25">
      <c r="B65" s="1397" t="s">
        <v>1705</v>
      </c>
      <c r="C65" s="1399"/>
      <c r="D65" s="1399"/>
      <c r="E65" s="1399"/>
      <c r="F65" s="1399"/>
      <c r="G65" s="1397" t="s">
        <v>1703</v>
      </c>
      <c r="H65" s="1399"/>
      <c r="I65" s="1399"/>
      <c r="J65" s="1399"/>
    </row>
    <row r="66" spans="2:10" ht="15" hidden="1" x14ac:dyDescent="0.25">
      <c r="B66" s="1397"/>
      <c r="C66" s="1399"/>
      <c r="D66" s="1399"/>
      <c r="E66" s="1399"/>
      <c r="F66" s="1399"/>
      <c r="G66" s="1399"/>
      <c r="H66" s="1399"/>
      <c r="I66" s="1399"/>
      <c r="J66" s="1399"/>
    </row>
    <row r="67" spans="2:10" hidden="1" x14ac:dyDescent="0.2">
      <c r="B67" s="1427" t="s">
        <v>1710</v>
      </c>
      <c r="C67" s="1428"/>
      <c r="D67" s="1448">
        <v>5.0000000000000001E-3</v>
      </c>
      <c r="E67" s="1399"/>
      <c r="F67" s="1399"/>
      <c r="G67" s="1429" t="s">
        <v>1709</v>
      </c>
      <c r="H67" s="1430"/>
      <c r="I67" s="1449">
        <v>0.3</v>
      </c>
      <c r="J67" s="1399"/>
    </row>
    <row r="68" spans="2:10" hidden="1" x14ac:dyDescent="0.2">
      <c r="B68" s="1427" t="s">
        <v>1686</v>
      </c>
      <c r="C68" s="1428"/>
      <c r="D68" s="929">
        <v>300000</v>
      </c>
      <c r="E68" s="1399"/>
      <c r="F68" s="1399"/>
      <c r="G68" s="1429" t="s">
        <v>1710</v>
      </c>
      <c r="H68" s="1430"/>
      <c r="I68" s="1449">
        <v>0.5</v>
      </c>
      <c r="J68" s="1399"/>
    </row>
    <row r="69" spans="2:10" hidden="1" x14ac:dyDescent="0.2">
      <c r="B69" s="1427" t="s">
        <v>1690</v>
      </c>
      <c r="C69" s="1428"/>
      <c r="D69" s="929">
        <v>1000000</v>
      </c>
      <c r="E69" s="1399"/>
      <c r="F69" s="1399"/>
      <c r="G69" s="1399"/>
      <c r="H69" s="1399"/>
      <c r="I69" s="1399"/>
      <c r="J69" s="1399"/>
    </row>
    <row r="70" spans="2:10" hidden="1" x14ac:dyDescent="0.2">
      <c r="B70" s="1399"/>
      <c r="C70" s="1399"/>
      <c r="D70" s="1399"/>
      <c r="E70" s="1399"/>
      <c r="F70" s="1399"/>
      <c r="G70" s="1399"/>
      <c r="H70" s="1399"/>
      <c r="I70" s="1399"/>
      <c r="J70" s="1399"/>
    </row>
    <row r="71" spans="2:10" hidden="1" x14ac:dyDescent="0.2">
      <c r="B71" s="1427" t="s">
        <v>1706</v>
      </c>
      <c r="C71" s="1428"/>
      <c r="D71" s="1448">
        <v>0.27500000000000002</v>
      </c>
      <c r="E71" s="1399"/>
      <c r="F71" s="1399"/>
      <c r="G71" s="1399"/>
      <c r="H71" s="1399"/>
      <c r="I71" s="1399"/>
      <c r="J71" s="1399"/>
    </row>
    <row r="72" spans="2:10" ht="13.5" hidden="1" customHeight="1" x14ac:dyDescent="0.2">
      <c r="B72" s="1399"/>
      <c r="C72" s="1399"/>
      <c r="D72" s="1399"/>
      <c r="E72" s="1399"/>
      <c r="F72" s="1399"/>
      <c r="G72" s="1399"/>
      <c r="H72" s="1399"/>
      <c r="I72" s="1399"/>
      <c r="J72" s="1399"/>
    </row>
    <row r="73" spans="2:10" ht="12" hidden="1" customHeight="1" x14ac:dyDescent="0.2">
      <c r="B73" s="1399"/>
      <c r="C73" s="1399"/>
      <c r="D73" s="1399"/>
      <c r="E73" s="1399"/>
      <c r="F73" s="1399"/>
      <c r="G73" s="1399"/>
      <c r="H73" s="1399"/>
      <c r="I73" s="1399"/>
      <c r="J73" s="1399"/>
    </row>
    <row r="74" spans="2:10" hidden="1" x14ac:dyDescent="0.2">
      <c r="B74" s="1430" t="s">
        <v>1707</v>
      </c>
      <c r="C74" s="1432"/>
      <c r="D74" s="1432"/>
      <c r="E74" s="1431"/>
      <c r="F74" s="1430"/>
      <c r="G74" s="1432" t="s">
        <v>1711</v>
      </c>
      <c r="H74" s="1432"/>
      <c r="I74" s="1432"/>
      <c r="J74" s="1431"/>
    </row>
    <row r="75" spans="2:10" ht="15" hidden="1" x14ac:dyDescent="0.25">
      <c r="B75" s="1749" t="s">
        <v>1708</v>
      </c>
      <c r="C75" s="1749"/>
      <c r="D75" s="1749"/>
      <c r="E75" s="1433" t="s">
        <v>1283</v>
      </c>
      <c r="F75" s="1430"/>
      <c r="G75" s="1431"/>
      <c r="H75" s="1430"/>
      <c r="I75" s="1431"/>
      <c r="J75" s="1429"/>
    </row>
    <row r="76" spans="2:10" hidden="1" x14ac:dyDescent="0.2">
      <c r="B76" s="1434">
        <v>0</v>
      </c>
      <c r="C76" s="1431"/>
      <c r="D76" s="929">
        <v>500000</v>
      </c>
      <c r="E76" s="1450">
        <v>0.1</v>
      </c>
      <c r="F76" s="1416"/>
      <c r="G76" s="926">
        <f>D76-C76</f>
        <v>500000</v>
      </c>
      <c r="H76" s="925"/>
      <c r="I76" s="926"/>
      <c r="J76" s="1454">
        <f>G76*E76</f>
        <v>50000</v>
      </c>
    </row>
    <row r="77" spans="2:10" hidden="1" x14ac:dyDescent="0.2">
      <c r="B77" s="1436"/>
      <c r="C77" s="1401"/>
      <c r="D77" s="1454"/>
      <c r="E77" s="1451"/>
      <c r="F77" s="1416"/>
      <c r="G77" s="926"/>
      <c r="H77" s="925"/>
      <c r="I77" s="926"/>
      <c r="J77" s="1454"/>
    </row>
    <row r="78" spans="2:10" hidden="1" x14ac:dyDescent="0.2">
      <c r="B78" s="930">
        <v>500000</v>
      </c>
      <c r="C78" s="1420"/>
      <c r="D78" s="931">
        <v>1000000</v>
      </c>
      <c r="E78" s="1452">
        <v>0.2</v>
      </c>
      <c r="F78" s="1416"/>
      <c r="G78" s="926">
        <f>D78-B78</f>
        <v>500000</v>
      </c>
      <c r="H78" s="925"/>
      <c r="I78" s="926"/>
      <c r="J78" s="1454">
        <f>G78*E78</f>
        <v>100000</v>
      </c>
    </row>
    <row r="79" spans="2:10" hidden="1" x14ac:dyDescent="0.2">
      <c r="B79" s="1455"/>
      <c r="C79" s="1401"/>
      <c r="D79" s="1435"/>
      <c r="E79" s="1451"/>
      <c r="F79" s="1416"/>
      <c r="G79" s="1401"/>
      <c r="H79" s="1416"/>
      <c r="I79" s="1401"/>
      <c r="J79" s="1435"/>
    </row>
    <row r="80" spans="2:10" hidden="1" x14ac:dyDescent="0.2">
      <c r="B80" s="930">
        <v>1000000</v>
      </c>
      <c r="C80" s="1420"/>
      <c r="D80" s="1437" t="s">
        <v>596</v>
      </c>
      <c r="E80" s="1453">
        <v>0.27500000000000002</v>
      </c>
      <c r="F80" s="1424"/>
      <c r="G80" s="1420"/>
      <c r="H80" s="1424"/>
      <c r="I80" s="1420"/>
      <c r="J80" s="1438"/>
    </row>
    <row r="81" spans="1:10" x14ac:dyDescent="0.2">
      <c r="B81" s="1399"/>
      <c r="C81" s="1399"/>
      <c r="D81" s="1399"/>
      <c r="E81" s="1399"/>
      <c r="F81" s="1399"/>
      <c r="G81" s="1399"/>
      <c r="H81" s="1399"/>
      <c r="I81" s="1399"/>
      <c r="J81" s="1399"/>
    </row>
    <row r="82" spans="1:10" ht="15" x14ac:dyDescent="0.25">
      <c r="B82" s="1439" t="s">
        <v>1714</v>
      </c>
      <c r="C82" s="1399"/>
      <c r="D82" s="1399"/>
      <c r="E82" s="1399"/>
      <c r="F82" s="1399"/>
      <c r="G82" s="1399"/>
      <c r="H82" s="1399"/>
      <c r="I82" s="1399"/>
      <c r="J82" s="1399"/>
    </row>
    <row r="83" spans="1:10" x14ac:dyDescent="0.2">
      <c r="A83" s="1372"/>
      <c r="B83" s="1430" t="s">
        <v>1715</v>
      </c>
      <c r="C83" s="1432"/>
      <c r="D83" s="1432"/>
      <c r="E83" s="1432"/>
      <c r="F83" s="1432"/>
      <c r="G83" s="1458"/>
      <c r="H83" s="1399"/>
      <c r="I83" s="1399"/>
      <c r="J83" s="1399"/>
    </row>
    <row r="84" spans="1:10" x14ac:dyDescent="0.2">
      <c r="A84" s="1372"/>
      <c r="B84" s="1430" t="s">
        <v>1309</v>
      </c>
      <c r="C84" s="1432"/>
      <c r="D84" s="1432"/>
      <c r="E84" s="1432"/>
      <c r="F84" s="1432"/>
      <c r="G84" s="1458"/>
      <c r="H84" s="1399"/>
      <c r="I84" s="1399"/>
      <c r="J84" s="1399"/>
    </row>
    <row r="85" spans="1:10" x14ac:dyDescent="0.2">
      <c r="A85" s="1372"/>
      <c r="B85" s="1430" t="s">
        <v>1310</v>
      </c>
      <c r="C85" s="1432"/>
      <c r="D85" s="1432"/>
      <c r="E85" s="1432"/>
      <c r="F85" s="1432"/>
      <c r="G85" s="1458"/>
      <c r="H85" s="1399"/>
      <c r="I85" s="1399"/>
      <c r="J85" s="1399"/>
    </row>
    <row r="86" spans="1:10" x14ac:dyDescent="0.2">
      <c r="A86" s="1372"/>
      <c r="B86" s="1430" t="s">
        <v>1716</v>
      </c>
      <c r="C86" s="1432"/>
      <c r="D86" s="1432"/>
      <c r="E86" s="1432"/>
      <c r="F86" s="1432"/>
      <c r="G86" s="1458"/>
      <c r="H86" s="1399"/>
      <c r="I86" s="1399"/>
      <c r="J86" s="1399"/>
    </row>
    <row r="87" spans="1:10" x14ac:dyDescent="0.2">
      <c r="B87" s="1430" t="s">
        <v>4463</v>
      </c>
      <c r="C87" s="1432"/>
      <c r="D87" s="1432"/>
      <c r="E87" s="1432"/>
      <c r="F87" s="1432"/>
      <c r="G87" s="1458"/>
      <c r="H87" s="1399"/>
      <c r="I87" s="1399"/>
      <c r="J87" s="1399"/>
    </row>
    <row r="88" spans="1:10" x14ac:dyDescent="0.2">
      <c r="B88" s="1430" t="s">
        <v>4464</v>
      </c>
      <c r="C88" s="1432"/>
      <c r="D88" s="1432"/>
      <c r="E88" s="1432"/>
      <c r="F88" s="1432"/>
      <c r="G88" s="1458"/>
      <c r="H88" s="1399"/>
      <c r="I88" s="1399"/>
      <c r="J88" s="1399"/>
    </row>
    <row r="89" spans="1:10" x14ac:dyDescent="0.2">
      <c r="B89" s="1399"/>
      <c r="C89" s="1399"/>
      <c r="D89" s="1399"/>
      <c r="E89" s="1399"/>
      <c r="F89" s="1399"/>
      <c r="G89" s="1399"/>
      <c r="H89" s="1399"/>
      <c r="I89" s="1399"/>
      <c r="J89" s="1399"/>
    </row>
    <row r="90" spans="1:10" x14ac:dyDescent="0.2">
      <c r="B90" s="1399"/>
      <c r="C90" s="1399"/>
      <c r="D90" s="1399"/>
      <c r="E90" s="1399"/>
      <c r="F90" s="1399"/>
      <c r="G90" s="1399"/>
      <c r="H90" s="1399"/>
      <c r="I90" s="1399"/>
      <c r="J90" s="1399"/>
    </row>
    <row r="91" spans="1:10" ht="13.5" customHeight="1" x14ac:dyDescent="0.2">
      <c r="B91" s="1399"/>
      <c r="C91" s="1399"/>
      <c r="D91" s="1399"/>
      <c r="E91" s="1399"/>
      <c r="F91" s="1399"/>
      <c r="G91" s="1399"/>
      <c r="H91" s="1399"/>
      <c r="I91" s="1399"/>
      <c r="J91" s="1399"/>
    </row>
    <row r="92" spans="1:10" hidden="1" x14ac:dyDescent="0.2">
      <c r="B92" s="1399"/>
      <c r="C92" s="1399"/>
      <c r="D92" s="1399"/>
      <c r="E92" s="1399"/>
      <c r="F92" s="1399"/>
      <c r="G92" s="1399"/>
      <c r="H92" s="1399"/>
      <c r="I92" s="1399"/>
      <c r="J92" s="1399"/>
    </row>
    <row r="93" spans="1:10" ht="15" hidden="1" x14ac:dyDescent="0.25">
      <c r="B93" s="1397" t="s">
        <v>4465</v>
      </c>
      <c r="C93" s="1399"/>
      <c r="D93" s="1399"/>
      <c r="E93" s="1399"/>
      <c r="F93" s="1399"/>
      <c r="G93" s="1399"/>
      <c r="H93" s="1399"/>
      <c r="I93" s="1399"/>
      <c r="J93" s="1399"/>
    </row>
    <row r="94" spans="1:10" hidden="1" x14ac:dyDescent="0.2">
      <c r="B94" s="1399"/>
      <c r="C94" s="1399"/>
      <c r="D94" s="1399"/>
      <c r="E94" s="1399"/>
      <c r="F94" s="1399"/>
      <c r="G94" s="1399"/>
      <c r="H94" s="1399"/>
      <c r="I94" s="1399"/>
      <c r="J94" s="1399"/>
    </row>
    <row r="95" spans="1:10" hidden="1" x14ac:dyDescent="0.2">
      <c r="B95" s="1430" t="s">
        <v>4466</v>
      </c>
      <c r="C95" s="1432"/>
      <c r="D95" s="1432"/>
      <c r="E95" s="1432"/>
      <c r="F95" s="1432"/>
      <c r="G95" s="1456">
        <f>SUM('PREL ET RET SUPPORTES IMPUTABLE'!W29,'PREL ET RET SUPPORTES IMPUTABLE'!W31)+'CALCULS FISCAUX'!G88</f>
        <v>50000</v>
      </c>
      <c r="H95" s="1399"/>
      <c r="I95" s="1399"/>
      <c r="J95" s="1399"/>
    </row>
    <row r="96" spans="1:10" hidden="1" x14ac:dyDescent="0.2">
      <c r="B96" s="1399"/>
      <c r="C96" s="1399"/>
      <c r="D96" s="1399"/>
      <c r="E96" s="1399"/>
      <c r="F96" s="1399"/>
      <c r="G96" s="1457"/>
      <c r="H96" s="1399"/>
      <c r="I96" s="1399"/>
      <c r="J96" s="1399"/>
    </row>
    <row r="97" spans="2:10" hidden="1" x14ac:dyDescent="0.2">
      <c r="B97" s="1430" t="s">
        <v>4467</v>
      </c>
      <c r="C97" s="1432"/>
      <c r="D97" s="1432"/>
      <c r="E97" s="1432"/>
      <c r="F97" s="1432"/>
      <c r="G97" s="1456">
        <f>'PREL ET RET SUPPORTES IMPUTABLE'!W33+'CALCULS FISCAUX'!G87</f>
        <v>25000</v>
      </c>
      <c r="H97" s="1399"/>
      <c r="I97" s="1399"/>
      <c r="J97" s="1399"/>
    </row>
  </sheetData>
  <sheetProtection algorithmName="SHA-512" hashValue="g029n16oWAQ5YaE6q/jS7YiRjxPenouPR9JZCu+rJKTYXFGm0FyKi6i9g1QSVsV5qi0oZ4cIwWkrLsiUW9Lfzw==" saltValue="2jWPRyiiVifE72DqiTF4ew==" spinCount="100000" sheet="1" formatCells="0" pivotTables="0"/>
  <mergeCells count="26">
    <mergeCell ref="A32:A33"/>
    <mergeCell ref="B33:I33"/>
    <mergeCell ref="D17:I17"/>
    <mergeCell ref="C30:I30"/>
    <mergeCell ref="E45:F45"/>
    <mergeCell ref="E44:F44"/>
    <mergeCell ref="G45:I45"/>
    <mergeCell ref="B42:C42"/>
    <mergeCell ref="E43:F43"/>
    <mergeCell ref="B44:C44"/>
    <mergeCell ref="B75:D75"/>
    <mergeCell ref="B41:I41"/>
    <mergeCell ref="A1:J1"/>
    <mergeCell ref="A3:J3"/>
    <mergeCell ref="B45:C45"/>
    <mergeCell ref="E47:F47"/>
    <mergeCell ref="G46:I46"/>
    <mergeCell ref="B47:C47"/>
    <mergeCell ref="G47:I47"/>
    <mergeCell ref="G42:I42"/>
    <mergeCell ref="G43:I43"/>
    <mergeCell ref="B46:C46"/>
    <mergeCell ref="B43:C43"/>
    <mergeCell ref="E42:F42"/>
    <mergeCell ref="G44:I44"/>
    <mergeCell ref="E46:F46"/>
  </mergeCells>
  <printOptions horizontalCentered="1"/>
  <pageMargins left="0" right="0" top="0" bottom="0" header="0.51181102362204722" footer="0.51181102362204722"/>
  <pageSetup paperSize="9" orientation="portrait" horizontalDpi="4294967292"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31"/>
  <sheetViews>
    <sheetView showGridLines="0" zoomScaleNormal="100" zoomScaleSheetLayoutView="100" workbookViewId="0">
      <selection activeCell="J2" sqref="J2"/>
    </sheetView>
  </sheetViews>
  <sheetFormatPr baseColWidth="10" defaultRowHeight="15" x14ac:dyDescent="0.25"/>
  <cols>
    <col min="2" max="2" width="18.42578125" customWidth="1"/>
    <col min="5" max="5" width="13.7109375" customWidth="1"/>
    <col min="6" max="6" width="17.28515625" customWidth="1"/>
    <col min="7" max="10" width="15.7109375" customWidth="1"/>
  </cols>
  <sheetData>
    <row r="1" spans="1:10" x14ac:dyDescent="0.25">
      <c r="A1" s="2312" t="s">
        <v>3974</v>
      </c>
      <c r="B1" s="2312"/>
      <c r="C1" s="2312"/>
      <c r="D1" s="2312"/>
      <c r="E1" s="2312"/>
      <c r="F1" s="2312"/>
      <c r="G1" s="2312"/>
      <c r="H1" s="2312"/>
      <c r="I1" s="2312"/>
      <c r="J1" s="2312"/>
    </row>
    <row r="2" spans="1:10" ht="18" customHeight="1" x14ac:dyDescent="0.25">
      <c r="A2" s="1127"/>
      <c r="B2" s="1127"/>
      <c r="C2" s="1076"/>
      <c r="D2" s="1076"/>
      <c r="E2" s="1076"/>
      <c r="F2" s="1076"/>
      <c r="G2" s="1076"/>
      <c r="I2" s="2401" t="s">
        <v>4278</v>
      </c>
      <c r="J2" s="2403"/>
    </row>
    <row r="3" spans="1:10" s="1093" customFormat="1" ht="21.95" customHeight="1" x14ac:dyDescent="0.2">
      <c r="A3" s="1053" t="s">
        <v>3976</v>
      </c>
      <c r="B3" s="1128"/>
      <c r="C3" s="2404" t="str">
        <f>'Liste ETATS SUPPL DGI'!C3</f>
        <v>SAM CONSEILS</v>
      </c>
      <c r="D3" s="2404"/>
      <c r="E3" s="2404"/>
      <c r="F3" s="2404"/>
      <c r="G3" s="2404"/>
      <c r="H3" s="2404"/>
      <c r="I3" s="2404"/>
      <c r="J3" s="2404"/>
    </row>
    <row r="4" spans="1:10" s="1093" customFormat="1" ht="15" customHeight="1" x14ac:dyDescent="0.2">
      <c r="A4" s="1053" t="s">
        <v>1602</v>
      </c>
      <c r="B4" s="2406" t="str">
        <f>'Liste ETATS SUPPL DGI'!B4</f>
        <v>02 BP 5358 OUAGA 02</v>
      </c>
      <c r="C4" s="2406"/>
      <c r="D4" s="2406"/>
      <c r="E4" s="2406"/>
      <c r="F4" s="2406"/>
      <c r="G4" s="2406"/>
      <c r="H4" s="2406"/>
      <c r="I4" s="1078" t="s">
        <v>3977</v>
      </c>
      <c r="J4" s="1079" t="str">
        <f>'Liste ETATS SUPPL DGI'!I4</f>
        <v>SAM CONSEILS</v>
      </c>
    </row>
    <row r="5" spans="1:10" s="1093" customFormat="1" ht="15" customHeight="1" x14ac:dyDescent="0.2">
      <c r="A5" s="1053" t="s">
        <v>3978</v>
      </c>
      <c r="B5" s="1096"/>
      <c r="C5" s="2406" t="str">
        <f>'Liste ETATS SUPPL DGI'!C5</f>
        <v>00084404X</v>
      </c>
      <c r="D5" s="2406"/>
      <c r="E5" s="2406"/>
      <c r="F5" s="2406"/>
      <c r="G5" s="1095" t="s">
        <v>3979</v>
      </c>
      <c r="H5" s="1129">
        <f>'Liste ETATS SUPPL DGI'!F5</f>
        <v>43465</v>
      </c>
      <c r="I5" s="1078" t="s">
        <v>3980</v>
      </c>
      <c r="J5" s="1079">
        <f>'Liste ETATS SUPPL DGI'!I5</f>
        <v>12</v>
      </c>
    </row>
    <row r="6" spans="1:10" s="1093" customFormat="1" ht="15" customHeight="1" x14ac:dyDescent="0.2">
      <c r="A6" s="1055" t="s">
        <v>3981</v>
      </c>
      <c r="B6" s="1096"/>
      <c r="C6" s="2414" t="str">
        <f>'Liste ETATS SUPPL DGI'!C6</f>
        <v>AMMTB89</v>
      </c>
      <c r="D6" s="2414"/>
      <c r="E6" s="2414"/>
      <c r="F6" s="2414"/>
      <c r="G6" s="1098"/>
      <c r="H6" s="1086"/>
      <c r="I6" s="1082"/>
      <c r="J6" s="1083"/>
    </row>
    <row r="7" spans="1:10" ht="30" customHeight="1" x14ac:dyDescent="0.25">
      <c r="A7" s="2415" t="s">
        <v>1288</v>
      </c>
      <c r="B7" s="2415"/>
      <c r="C7" s="2415"/>
      <c r="D7" s="2415"/>
      <c r="E7" s="2415"/>
      <c r="F7" s="2415"/>
      <c r="G7" s="2415"/>
      <c r="H7" s="2415"/>
      <c r="I7" s="2415"/>
      <c r="J7" s="2415"/>
    </row>
    <row r="8" spans="1:10" ht="78" customHeight="1" x14ac:dyDescent="0.25">
      <c r="A8" s="2409" t="s">
        <v>4279</v>
      </c>
      <c r="B8" s="2409"/>
      <c r="C8" s="2409" t="s">
        <v>4280</v>
      </c>
      <c r="D8" s="2409"/>
      <c r="E8" s="2409"/>
      <c r="F8" s="1102" t="s">
        <v>4281</v>
      </c>
      <c r="G8" s="1102" t="s">
        <v>4282</v>
      </c>
      <c r="H8" s="1102" t="s">
        <v>4283</v>
      </c>
      <c r="I8" s="1102" t="s">
        <v>4284</v>
      </c>
      <c r="J8" s="1102" t="s">
        <v>4285</v>
      </c>
    </row>
    <row r="9" spans="1:10" s="1085" customFormat="1" x14ac:dyDescent="0.25">
      <c r="A9" s="2471"/>
      <c r="B9" s="2472"/>
      <c r="C9" s="2471"/>
      <c r="D9" s="2472"/>
      <c r="E9" s="2473"/>
      <c r="F9" s="1130"/>
      <c r="G9" s="1131"/>
      <c r="H9" s="1131"/>
      <c r="I9" s="1131"/>
      <c r="J9" s="1131"/>
    </row>
    <row r="10" spans="1:10" s="1085" customFormat="1" x14ac:dyDescent="0.25">
      <c r="A10" s="2471"/>
      <c r="B10" s="2472"/>
      <c r="C10" s="2471"/>
      <c r="D10" s="2472"/>
      <c r="E10" s="2473"/>
      <c r="F10" s="1130"/>
      <c r="G10" s="1131"/>
      <c r="H10" s="1131"/>
      <c r="I10" s="1131"/>
      <c r="J10" s="1131"/>
    </row>
    <row r="11" spans="1:10" s="1085" customFormat="1" x14ac:dyDescent="0.25">
      <c r="A11" s="2471"/>
      <c r="B11" s="2472"/>
      <c r="C11" s="2471"/>
      <c r="D11" s="2472"/>
      <c r="E11" s="2473"/>
      <c r="F11" s="1130"/>
      <c r="G11" s="1131"/>
      <c r="H11" s="1131"/>
      <c r="I11" s="1131"/>
      <c r="J11" s="1131"/>
    </row>
    <row r="12" spans="1:10" s="1085" customFormat="1" x14ac:dyDescent="0.25">
      <c r="A12" s="2471"/>
      <c r="B12" s="2472"/>
      <c r="C12" s="2471"/>
      <c r="D12" s="2472"/>
      <c r="E12" s="2473"/>
      <c r="F12" s="1130"/>
      <c r="G12" s="1131"/>
      <c r="H12" s="1131"/>
      <c r="I12" s="1131"/>
      <c r="J12" s="1131"/>
    </row>
    <row r="13" spans="1:10" s="1085" customFormat="1" x14ac:dyDescent="0.25">
      <c r="A13" s="2471"/>
      <c r="B13" s="2472"/>
      <c r="C13" s="2471"/>
      <c r="D13" s="2472"/>
      <c r="E13" s="2473"/>
      <c r="F13" s="1130"/>
      <c r="G13" s="1131"/>
      <c r="H13" s="1131"/>
      <c r="I13" s="1131"/>
      <c r="J13" s="1131"/>
    </row>
    <row r="14" spans="1:10" s="1085" customFormat="1" x14ac:dyDescent="0.25">
      <c r="A14" s="2471"/>
      <c r="B14" s="2472"/>
      <c r="C14" s="2471"/>
      <c r="D14" s="2472"/>
      <c r="E14" s="2473"/>
      <c r="F14" s="1130"/>
      <c r="G14" s="1131"/>
      <c r="H14" s="1131"/>
      <c r="I14" s="1131"/>
      <c r="J14" s="1131"/>
    </row>
    <row r="15" spans="1:10" s="1085" customFormat="1" x14ac:dyDescent="0.25">
      <c r="A15" s="2471"/>
      <c r="B15" s="2472"/>
      <c r="C15" s="2471"/>
      <c r="D15" s="2472"/>
      <c r="E15" s="2473"/>
      <c r="F15" s="1130"/>
      <c r="G15" s="1131"/>
      <c r="H15" s="1131"/>
      <c r="I15" s="1131"/>
      <c r="J15" s="1131"/>
    </row>
    <row r="16" spans="1:10" s="1085" customFormat="1" x14ac:dyDescent="0.25">
      <c r="A16" s="2471"/>
      <c r="B16" s="2472"/>
      <c r="C16" s="2471"/>
      <c r="D16" s="2472"/>
      <c r="E16" s="2473"/>
      <c r="F16" s="1130"/>
      <c r="G16" s="1131"/>
      <c r="H16" s="1131"/>
      <c r="I16" s="1131"/>
      <c r="J16" s="1131"/>
    </row>
    <row r="17" spans="1:10" s="1085" customFormat="1" x14ac:dyDescent="0.25">
      <c r="A17" s="2471"/>
      <c r="B17" s="2472"/>
      <c r="C17" s="2471"/>
      <c r="D17" s="2472"/>
      <c r="E17" s="2473"/>
      <c r="F17" s="1130"/>
      <c r="G17" s="1131"/>
      <c r="H17" s="1131"/>
      <c r="I17" s="1131"/>
      <c r="J17" s="1131"/>
    </row>
    <row r="18" spans="1:10" s="1085" customFormat="1" x14ac:dyDescent="0.25">
      <c r="A18" s="2471"/>
      <c r="B18" s="2472"/>
      <c r="C18" s="2471"/>
      <c r="D18" s="2472"/>
      <c r="E18" s="2473"/>
      <c r="F18" s="1130"/>
      <c r="G18" s="1131"/>
      <c r="H18" s="1131"/>
      <c r="I18" s="1131"/>
      <c r="J18" s="1131"/>
    </row>
    <row r="19" spans="1:10" s="1085" customFormat="1" x14ac:dyDescent="0.25">
      <c r="A19" s="2471"/>
      <c r="B19" s="2472"/>
      <c r="C19" s="2471"/>
      <c r="D19" s="2472"/>
      <c r="E19" s="2473"/>
      <c r="F19" s="1130"/>
      <c r="G19" s="1131"/>
      <c r="H19" s="1131"/>
      <c r="I19" s="1131"/>
      <c r="J19" s="1131"/>
    </row>
    <row r="20" spans="1:10" s="1085" customFormat="1" x14ac:dyDescent="0.25">
      <c r="A20" s="2471"/>
      <c r="B20" s="2472"/>
      <c r="C20" s="2471"/>
      <c r="D20" s="2472"/>
      <c r="E20" s="2473"/>
      <c r="F20" s="1130"/>
      <c r="G20" s="1131"/>
      <c r="H20" s="1131"/>
      <c r="I20" s="1131"/>
      <c r="J20" s="1131"/>
    </row>
    <row r="21" spans="1:10" s="1085" customFormat="1" x14ac:dyDescent="0.25">
      <c r="A21" s="2471"/>
      <c r="B21" s="2472"/>
      <c r="C21" s="2471"/>
      <c r="D21" s="2472"/>
      <c r="E21" s="2473"/>
      <c r="F21" s="1130"/>
      <c r="G21" s="1131"/>
      <c r="H21" s="1131"/>
      <c r="I21" s="1131"/>
      <c r="J21" s="1131"/>
    </row>
    <row r="22" spans="1:10" s="1085" customFormat="1" x14ac:dyDescent="0.25">
      <c r="A22" s="2471"/>
      <c r="B22" s="2472"/>
      <c r="C22" s="2471"/>
      <c r="D22" s="2472"/>
      <c r="E22" s="2473"/>
      <c r="F22" s="1130"/>
      <c r="G22" s="1131"/>
      <c r="H22" s="1131"/>
      <c r="I22" s="1131"/>
      <c r="J22" s="1131"/>
    </row>
    <row r="23" spans="1:10" s="1085" customFormat="1" x14ac:dyDescent="0.25">
      <c r="A23" s="2471"/>
      <c r="B23" s="2472"/>
      <c r="C23" s="2471"/>
      <c r="D23" s="2472"/>
      <c r="E23" s="2473"/>
      <c r="F23" s="1130"/>
      <c r="G23" s="1131"/>
      <c r="H23" s="1131"/>
      <c r="I23" s="1131"/>
      <c r="J23" s="1131"/>
    </row>
    <row r="24" spans="1:10" s="1085" customFormat="1" x14ac:dyDescent="0.25">
      <c r="A24" s="2471"/>
      <c r="B24" s="2472"/>
      <c r="C24" s="2471"/>
      <c r="D24" s="2472"/>
      <c r="E24" s="2473"/>
      <c r="F24" s="1130"/>
      <c r="G24" s="1131"/>
      <c r="H24" s="1131"/>
      <c r="I24" s="1131"/>
      <c r="J24" s="1131"/>
    </row>
    <row r="25" spans="1:10" s="1085" customFormat="1" x14ac:dyDescent="0.25">
      <c r="A25" s="2471"/>
      <c r="B25" s="2472"/>
      <c r="C25" s="2471"/>
      <c r="D25" s="2472"/>
      <c r="E25" s="2473"/>
      <c r="F25" s="1130"/>
      <c r="G25" s="1131"/>
      <c r="H25" s="1131"/>
      <c r="I25" s="1131"/>
      <c r="J25" s="1131"/>
    </row>
    <row r="26" spans="1:10" s="1085" customFormat="1" x14ac:dyDescent="0.25">
      <c r="A26" s="2471"/>
      <c r="B26" s="2472"/>
      <c r="C26" s="2471"/>
      <c r="D26" s="2472"/>
      <c r="E26" s="2473"/>
      <c r="F26" s="1130"/>
      <c r="G26" s="1131"/>
      <c r="H26" s="1131"/>
      <c r="I26" s="1131"/>
      <c r="J26" s="1131"/>
    </row>
    <row r="27" spans="1:10" s="1085" customFormat="1" x14ac:dyDescent="0.25">
      <c r="A27" s="2471"/>
      <c r="B27" s="2472"/>
      <c r="C27" s="2471"/>
      <c r="D27" s="2472"/>
      <c r="E27" s="2473"/>
      <c r="F27" s="1130"/>
      <c r="G27" s="1131"/>
      <c r="H27" s="1131"/>
      <c r="I27" s="1131"/>
      <c r="J27" s="1131"/>
    </row>
    <row r="28" spans="1:10" s="1085" customFormat="1" x14ac:dyDescent="0.25">
      <c r="A28" s="2471"/>
      <c r="B28" s="2472"/>
      <c r="C28" s="2471"/>
      <c r="D28" s="2472"/>
      <c r="E28" s="2473"/>
      <c r="F28" s="1130"/>
      <c r="G28" s="1131"/>
      <c r="H28" s="1131"/>
      <c r="I28" s="1131"/>
      <c r="J28" s="1131"/>
    </row>
    <row r="29" spans="1:10" s="1085" customFormat="1" x14ac:dyDescent="0.25">
      <c r="A29" s="2471"/>
      <c r="B29" s="2472"/>
      <c r="C29" s="2474"/>
      <c r="D29" s="2475"/>
      <c r="E29" s="2476"/>
      <c r="F29" s="1130"/>
      <c r="G29" s="1131"/>
      <c r="H29" s="1131"/>
      <c r="I29" s="1131"/>
      <c r="J29" s="1131"/>
    </row>
    <row r="30" spans="1:10" s="1085" customFormat="1" x14ac:dyDescent="0.25">
      <c r="A30" s="2477"/>
      <c r="B30" s="2477"/>
      <c r="C30" s="2477"/>
      <c r="D30" s="2477"/>
      <c r="E30" s="2477"/>
      <c r="F30" s="1130"/>
      <c r="G30" s="1131"/>
      <c r="H30" s="1131"/>
      <c r="I30" s="1131"/>
      <c r="J30" s="1131"/>
    </row>
    <row r="31" spans="1:10" s="1085" customFormat="1" x14ac:dyDescent="0.25">
      <c r="A31" s="2478" t="s">
        <v>262</v>
      </c>
      <c r="B31" s="2479"/>
      <c r="C31" s="2479"/>
      <c r="D31" s="2479"/>
      <c r="E31" s="2479"/>
      <c r="F31" s="2480"/>
      <c r="G31" s="1132">
        <f>SUM(G9:G30)</f>
        <v>0</v>
      </c>
      <c r="H31" s="1132">
        <f>SUM(H9:H30)</f>
        <v>0</v>
      </c>
      <c r="I31" s="1132">
        <f>SUM(I9:I30)</f>
        <v>0</v>
      </c>
      <c r="J31" s="1132">
        <f>SUM(J9:J30)</f>
        <v>0</v>
      </c>
    </row>
  </sheetData>
  <sheetProtection selectLockedCells="1"/>
  <mergeCells count="54">
    <mergeCell ref="A29:B29"/>
    <mergeCell ref="C29:E29"/>
    <mergeCell ref="A30:B30"/>
    <mergeCell ref="C30:E30"/>
    <mergeCell ref="A31:F31"/>
    <mergeCell ref="A26:B26"/>
    <mergeCell ref="C26:E26"/>
    <mergeCell ref="A27:B27"/>
    <mergeCell ref="C27:E27"/>
    <mergeCell ref="A28:B28"/>
    <mergeCell ref="C28:E28"/>
    <mergeCell ref="A23:B23"/>
    <mergeCell ref="C23:E23"/>
    <mergeCell ref="A24:B24"/>
    <mergeCell ref="C24:E24"/>
    <mergeCell ref="A25:B25"/>
    <mergeCell ref="C25:E25"/>
    <mergeCell ref="A20:B20"/>
    <mergeCell ref="C20:E20"/>
    <mergeCell ref="A21:B21"/>
    <mergeCell ref="C21:E21"/>
    <mergeCell ref="A22:B22"/>
    <mergeCell ref="C22:E22"/>
    <mergeCell ref="A17:B17"/>
    <mergeCell ref="C17:E17"/>
    <mergeCell ref="A18:B18"/>
    <mergeCell ref="C18:E18"/>
    <mergeCell ref="A19:B19"/>
    <mergeCell ref="C19:E19"/>
    <mergeCell ref="A14:B14"/>
    <mergeCell ref="C14:E14"/>
    <mergeCell ref="A15:B15"/>
    <mergeCell ref="C15:E15"/>
    <mergeCell ref="A16:B16"/>
    <mergeCell ref="C16:E16"/>
    <mergeCell ref="A11:B11"/>
    <mergeCell ref="C11:E11"/>
    <mergeCell ref="A12:B12"/>
    <mergeCell ref="C12:E12"/>
    <mergeCell ref="A13:B13"/>
    <mergeCell ref="C13:E13"/>
    <mergeCell ref="A10:B10"/>
    <mergeCell ref="C10:E10"/>
    <mergeCell ref="A1:J1"/>
    <mergeCell ref="I2:J2"/>
    <mergeCell ref="C3:J3"/>
    <mergeCell ref="B4:H4"/>
    <mergeCell ref="C5:F5"/>
    <mergeCell ref="C6:F6"/>
    <mergeCell ref="A7:J7"/>
    <mergeCell ref="A8:B8"/>
    <mergeCell ref="C8:E8"/>
    <mergeCell ref="A9:B9"/>
    <mergeCell ref="C9:E9"/>
  </mergeCells>
  <printOptions horizontalCentered="1"/>
  <pageMargins left="0.31496062992125984" right="0.31496062992125984" top="0.35433070866141736" bottom="0.35433070866141736" header="0.31496062992125984" footer="0.31496062992125984"/>
  <pageSetup paperSize="9" scale="96"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N12"/>
  <sheetViews>
    <sheetView showGridLines="0" zoomScaleNormal="100" zoomScaleSheetLayoutView="130" workbookViewId="0">
      <selection activeCell="J2" sqref="J2"/>
    </sheetView>
  </sheetViews>
  <sheetFormatPr baseColWidth="10" defaultRowHeight="15" x14ac:dyDescent="0.25"/>
  <cols>
    <col min="2" max="2" width="17.28515625" customWidth="1"/>
    <col min="7" max="7" width="14.7109375" customWidth="1"/>
    <col min="8" max="8" width="11.28515625" customWidth="1"/>
    <col min="9" max="9" width="14.28515625" customWidth="1"/>
    <col min="10" max="10" width="16.85546875" customWidth="1"/>
    <col min="11" max="11" width="15" customWidth="1"/>
  </cols>
  <sheetData>
    <row r="1" spans="1:14" x14ac:dyDescent="0.25">
      <c r="A1" s="2312" t="s">
        <v>3974</v>
      </c>
      <c r="B1" s="2312"/>
      <c r="C1" s="2312"/>
      <c r="D1" s="2312"/>
      <c r="E1" s="2312"/>
      <c r="F1" s="2312"/>
      <c r="G1" s="2312"/>
      <c r="H1" s="2312"/>
      <c r="I1" s="2312"/>
      <c r="J1" s="2312"/>
      <c r="K1" s="2312"/>
    </row>
    <row r="2" spans="1:14" ht="18" customHeight="1" x14ac:dyDescent="0.25">
      <c r="A2" s="1127"/>
      <c r="B2" s="1127"/>
      <c r="C2" s="1076"/>
      <c r="D2" s="1076"/>
      <c r="E2" s="1076"/>
      <c r="F2" s="1076"/>
      <c r="G2" s="1076"/>
      <c r="J2" s="2401" t="s">
        <v>4286</v>
      </c>
      <c r="K2" s="2403"/>
    </row>
    <row r="3" spans="1:14" s="1093" customFormat="1" ht="21.95" customHeight="1" x14ac:dyDescent="0.2">
      <c r="A3" s="1053" t="s">
        <v>3976</v>
      </c>
      <c r="B3" s="1128"/>
      <c r="C3" s="2404" t="str">
        <f>'Liste ETATS SUPPL DGI'!C3</f>
        <v>SAM CONSEILS</v>
      </c>
      <c r="D3" s="2404"/>
      <c r="E3" s="2404"/>
      <c r="F3" s="2404"/>
      <c r="G3" s="2404"/>
      <c r="H3" s="2404"/>
      <c r="I3" s="2404"/>
      <c r="J3" s="2404"/>
      <c r="K3" s="2404"/>
    </row>
    <row r="4" spans="1:14" s="1093" customFormat="1" ht="15" customHeight="1" x14ac:dyDescent="0.2">
      <c r="A4" s="1053" t="s">
        <v>1602</v>
      </c>
      <c r="B4" s="2406" t="str">
        <f>'Liste ETATS SUPPL DGI'!B4</f>
        <v>02 BP 5358 OUAGA 02</v>
      </c>
      <c r="C4" s="2404"/>
      <c r="D4" s="2404"/>
      <c r="E4" s="2404"/>
      <c r="F4" s="2404"/>
      <c r="G4" s="2404"/>
      <c r="H4" s="2404"/>
      <c r="I4" s="2404"/>
      <c r="J4" s="1078" t="s">
        <v>3977</v>
      </c>
      <c r="K4" s="1079" t="str">
        <f>'Liste ETATS SUPPL DGI'!I4</f>
        <v>SAM CONSEILS</v>
      </c>
    </row>
    <row r="5" spans="1:14" s="1093" customFormat="1" ht="15" customHeight="1" x14ac:dyDescent="0.2">
      <c r="A5" s="1053" t="s">
        <v>3978</v>
      </c>
      <c r="B5" s="1096"/>
      <c r="C5" s="2404" t="str">
        <f>'Liste ETATS SUPPL DGI'!C5</f>
        <v>00084404X</v>
      </c>
      <c r="D5" s="2404"/>
      <c r="E5" s="2404"/>
      <c r="F5" s="2404"/>
      <c r="G5" s="1133" t="s">
        <v>3979</v>
      </c>
      <c r="H5" s="2481">
        <f>'Liste ETATS SUPPL DGI'!F5</f>
        <v>43465</v>
      </c>
      <c r="I5" s="2405"/>
      <c r="J5" s="1078" t="s">
        <v>3980</v>
      </c>
      <c r="K5" s="1079">
        <f>'Liste ETATS SUPPL DGI'!I5</f>
        <v>12</v>
      </c>
    </row>
    <row r="6" spans="1:14" s="1093" customFormat="1" ht="15" customHeight="1" x14ac:dyDescent="0.2">
      <c r="A6" s="1055" t="s">
        <v>3981</v>
      </c>
      <c r="B6" s="1096"/>
      <c r="C6" s="2414" t="str">
        <f>'Liste ETATS SUPPL DGI'!C6</f>
        <v>AMMTB89</v>
      </c>
      <c r="D6" s="2414"/>
      <c r="E6" s="2414"/>
      <c r="F6" s="2414"/>
      <c r="G6" s="1098"/>
      <c r="H6" s="1083"/>
      <c r="I6" s="1083"/>
      <c r="J6" s="1082"/>
      <c r="K6" s="1083"/>
    </row>
    <row r="7" spans="1:14" ht="30" customHeight="1" x14ac:dyDescent="0.25">
      <c r="A7" s="2415" t="s">
        <v>3996</v>
      </c>
      <c r="B7" s="2415"/>
      <c r="C7" s="2415"/>
      <c r="D7" s="2415"/>
      <c r="E7" s="2415"/>
      <c r="F7" s="2415"/>
      <c r="G7" s="2415"/>
      <c r="H7" s="2415"/>
      <c r="I7" s="2415"/>
      <c r="J7" s="2415"/>
      <c r="K7" s="2415"/>
    </row>
    <row r="8" spans="1:14" ht="52.5" customHeight="1" x14ac:dyDescent="0.25">
      <c r="A8" s="1134"/>
      <c r="B8" s="1135"/>
      <c r="C8" s="1135"/>
      <c r="D8" s="1135"/>
      <c r="E8" s="2487" t="s">
        <v>4287</v>
      </c>
      <c r="F8" s="2487"/>
      <c r="G8" s="2487"/>
      <c r="H8" s="1135"/>
      <c r="I8" s="1135"/>
      <c r="J8" s="1136"/>
      <c r="K8" s="1137" t="s">
        <v>4288</v>
      </c>
      <c r="L8" s="1047"/>
      <c r="M8" s="1047"/>
      <c r="N8" s="1047"/>
    </row>
    <row r="9" spans="1:14" ht="30" customHeight="1" x14ac:dyDescent="0.25">
      <c r="A9" s="2482" t="s">
        <v>4289</v>
      </c>
      <c r="B9" s="2483"/>
      <c r="C9" s="2483"/>
      <c r="D9" s="2483"/>
      <c r="E9" s="2483"/>
      <c r="F9" s="2483"/>
      <c r="G9" s="2483"/>
      <c r="H9" s="2484"/>
      <c r="I9" s="2485">
        <f>SUMPRODUCT(((LEFT(BalanceN!$A$4:$A$9999,3)="104"))*BalanceN!$F$4:$F$9999)</f>
        <v>0</v>
      </c>
      <c r="J9" s="2486"/>
      <c r="K9" s="1138"/>
      <c r="L9" s="1047"/>
      <c r="M9" s="1047"/>
      <c r="N9" s="1047"/>
    </row>
    <row r="10" spans="1:14" ht="30" customHeight="1" x14ac:dyDescent="0.25">
      <c r="A10" s="2482" t="s">
        <v>4290</v>
      </c>
      <c r="B10" s="2483"/>
      <c r="C10" s="2483"/>
      <c r="D10" s="2483"/>
      <c r="E10" s="2483"/>
      <c r="F10" s="2483"/>
      <c r="G10" s="2483"/>
      <c r="H10" s="2484"/>
      <c r="I10" s="2485">
        <f>SUMPRODUCT(((LEFT(BalanceN!$A$4:$A$9999,3)="104"))*BalanceN!$E$4:$E$9999)</f>
        <v>0</v>
      </c>
      <c r="J10" s="2486"/>
      <c r="K10" s="1138"/>
      <c r="L10" s="1047"/>
      <c r="M10" s="1047"/>
      <c r="N10" s="1047"/>
    </row>
    <row r="11" spans="1:14" ht="30" customHeight="1" x14ac:dyDescent="0.25">
      <c r="A11" s="2482" t="s">
        <v>4291</v>
      </c>
      <c r="B11" s="2483"/>
      <c r="C11" s="2483"/>
      <c r="D11" s="2483"/>
      <c r="E11" s="2483"/>
      <c r="F11" s="2483"/>
      <c r="G11" s="2483"/>
      <c r="H11" s="2484"/>
      <c r="I11" s="2485"/>
      <c r="J11" s="2486"/>
      <c r="K11" s="1138"/>
      <c r="L11" s="1047"/>
      <c r="M11" s="1047"/>
      <c r="N11" s="1047"/>
    </row>
    <row r="12" spans="1:14" ht="30" customHeight="1" x14ac:dyDescent="0.25">
      <c r="A12" s="2482" t="s">
        <v>4292</v>
      </c>
      <c r="B12" s="2483"/>
      <c r="C12" s="2483"/>
      <c r="D12" s="2483"/>
      <c r="E12" s="2483"/>
      <c r="F12" s="2483"/>
      <c r="G12" s="2483"/>
      <c r="H12" s="2484"/>
      <c r="I12" s="2485"/>
      <c r="J12" s="2486"/>
      <c r="K12" s="1138"/>
      <c r="L12" s="1047"/>
      <c r="M12" s="1047"/>
      <c r="N12" s="1047"/>
    </row>
  </sheetData>
  <sheetProtection selectLockedCells="1"/>
  <mergeCells count="17">
    <mergeCell ref="A11:H11"/>
    <mergeCell ref="I11:J11"/>
    <mergeCell ref="A12:H12"/>
    <mergeCell ref="I12:J12"/>
    <mergeCell ref="C6:F6"/>
    <mergeCell ref="A7:K7"/>
    <mergeCell ref="E8:G8"/>
    <mergeCell ref="A9:H9"/>
    <mergeCell ref="I9:J9"/>
    <mergeCell ref="A10:H10"/>
    <mergeCell ref="I10:J10"/>
    <mergeCell ref="A1:K1"/>
    <mergeCell ref="J2:K2"/>
    <mergeCell ref="C3:K3"/>
    <mergeCell ref="B4:I4"/>
    <mergeCell ref="C5:F5"/>
    <mergeCell ref="H5:I5"/>
  </mergeCells>
  <dataValidations count="1">
    <dataValidation type="whole" allowBlank="1" showInputMessage="1" showErrorMessage="1" errorTitle="Attention!" error="Valeur numérique attendue" sqref="I9:J12">
      <formula1>-9999999999999</formula1>
      <formula2>9999999999999</formula2>
    </dataValidation>
  </dataValidations>
  <printOptions horizontalCentered="1"/>
  <pageMargins left="0.31496062992125984" right="0.31496062992125984" top="0.35433070866141736" bottom="0.35433070866141736" header="0.31496062992125984" footer="0.31496062992125984"/>
  <pageSetup paperSize="9" scale="96"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N40"/>
  <sheetViews>
    <sheetView showGridLines="0" zoomScaleNormal="100" zoomScaleSheetLayoutView="100" workbookViewId="0">
      <selection activeCell="J2" sqref="J2"/>
    </sheetView>
  </sheetViews>
  <sheetFormatPr baseColWidth="10" defaultRowHeight="15" x14ac:dyDescent="0.25"/>
  <cols>
    <col min="1" max="1" width="15.28515625" customWidth="1"/>
    <col min="2" max="2" width="13.5703125" customWidth="1"/>
    <col min="4" max="4" width="11.5703125" customWidth="1"/>
    <col min="5" max="5" width="7.7109375" customWidth="1"/>
    <col min="6" max="6" width="9.85546875" style="1156" customWidth="1"/>
    <col min="7" max="14" width="13.7109375" customWidth="1"/>
  </cols>
  <sheetData>
    <row r="1" spans="1:14" x14ac:dyDescent="0.25">
      <c r="A1" s="2312" t="s">
        <v>3974</v>
      </c>
      <c r="B1" s="2312"/>
      <c r="C1" s="2312"/>
      <c r="D1" s="2312"/>
      <c r="E1" s="2312"/>
      <c r="F1" s="2312"/>
      <c r="G1" s="2312"/>
      <c r="H1" s="2312"/>
      <c r="I1" s="2312"/>
      <c r="J1" s="2312"/>
      <c r="K1" s="2312"/>
      <c r="L1" s="2312"/>
      <c r="M1" s="2312"/>
      <c r="N1" s="2312"/>
    </row>
    <row r="2" spans="1:14" ht="18" customHeight="1" x14ac:dyDescent="0.25">
      <c r="A2" s="1127"/>
      <c r="B2" s="1127"/>
      <c r="C2" s="1076"/>
      <c r="D2" s="1076"/>
      <c r="E2" s="1076"/>
      <c r="F2" s="1076"/>
      <c r="G2" s="1076"/>
      <c r="M2" s="2489" t="s">
        <v>4293</v>
      </c>
      <c r="N2" s="2490"/>
    </row>
    <row r="3" spans="1:14" s="1093" customFormat="1" ht="21.95" customHeight="1" x14ac:dyDescent="0.2">
      <c r="A3" s="1053" t="s">
        <v>3976</v>
      </c>
      <c r="B3" s="1128"/>
      <c r="C3" s="2404" t="str">
        <f>'Liste ETATS SUPPL DGI'!C3</f>
        <v>SAM CONSEILS</v>
      </c>
      <c r="D3" s="2404"/>
      <c r="E3" s="2404"/>
      <c r="F3" s="2404"/>
      <c r="G3" s="2404"/>
      <c r="H3" s="2404"/>
      <c r="I3" s="2404"/>
      <c r="J3" s="2404"/>
      <c r="K3" s="2404"/>
      <c r="L3" s="2404"/>
      <c r="M3" s="2404"/>
      <c r="N3" s="2404"/>
    </row>
    <row r="4" spans="1:14" s="1093" customFormat="1" ht="15" customHeight="1" x14ac:dyDescent="0.2">
      <c r="A4" s="1053" t="s">
        <v>1602</v>
      </c>
      <c r="B4" s="2404" t="str">
        <f>'Liste ETATS SUPPL DGI'!B4</f>
        <v>02 BP 5358 OUAGA 02</v>
      </c>
      <c r="C4" s="2404"/>
      <c r="D4" s="2404"/>
      <c r="E4" s="2404"/>
      <c r="F4" s="2404"/>
      <c r="G4" s="2404"/>
      <c r="H4" s="2404"/>
      <c r="I4" s="2404"/>
      <c r="J4" s="2404"/>
      <c r="K4" s="2404"/>
      <c r="L4" s="1078" t="s">
        <v>3977</v>
      </c>
      <c r="M4" s="2405" t="str">
        <f>'Liste ETATS SUPPL DGI'!I4</f>
        <v>SAM CONSEILS</v>
      </c>
      <c r="N4" s="2405"/>
    </row>
    <row r="5" spans="1:14" s="1093" customFormat="1" ht="15" customHeight="1" x14ac:dyDescent="0.2">
      <c r="A5" s="1053" t="s">
        <v>3978</v>
      </c>
      <c r="B5" s="1096"/>
      <c r="C5" s="2404" t="str">
        <f>'Liste ETATS SUPPL DGI'!C5</f>
        <v>00084404X</v>
      </c>
      <c r="D5" s="2404"/>
      <c r="E5" s="2404"/>
      <c r="F5" s="2404"/>
      <c r="G5" s="2488" t="s">
        <v>3979</v>
      </c>
      <c r="H5" s="2488"/>
      <c r="I5" s="2481">
        <f>'Liste ETATS SUPPL DGI'!F5</f>
        <v>43465</v>
      </c>
      <c r="J5" s="2405"/>
      <c r="K5" s="1096"/>
      <c r="L5" s="1078" t="s">
        <v>3980</v>
      </c>
      <c r="M5" s="2405">
        <f>'Liste ETATS SUPPL DGI'!I5</f>
        <v>12</v>
      </c>
      <c r="N5" s="2405"/>
    </row>
    <row r="6" spans="1:14" s="1093" customFormat="1" ht="15" customHeight="1" x14ac:dyDescent="0.2">
      <c r="A6" s="1055" t="s">
        <v>3981</v>
      </c>
      <c r="B6" s="1096"/>
      <c r="C6" s="2414" t="str">
        <f>'Liste ETATS SUPPL DGI'!C6</f>
        <v>AMMTB89</v>
      </c>
      <c r="D6" s="2414"/>
      <c r="E6" s="2414"/>
      <c r="F6" s="2414"/>
      <c r="G6" s="1098"/>
      <c r="H6" s="1098"/>
      <c r="I6" s="1083"/>
      <c r="J6" s="1083"/>
      <c r="K6" s="1099"/>
      <c r="L6" s="1082"/>
      <c r="M6" s="1083"/>
      <c r="N6" s="1083"/>
    </row>
    <row r="7" spans="1:14" ht="30" customHeight="1" x14ac:dyDescent="0.25">
      <c r="A7" s="2491" t="s">
        <v>4294</v>
      </c>
      <c r="B7" s="2491"/>
      <c r="C7" s="2491"/>
      <c r="D7" s="2491"/>
      <c r="E7" s="2491"/>
      <c r="F7" s="2491"/>
      <c r="G7" s="2491"/>
      <c r="H7" s="2491"/>
      <c r="I7" s="2491"/>
      <c r="J7" s="2491"/>
      <c r="K7" s="2491"/>
      <c r="L7" s="2491"/>
      <c r="M7" s="2491"/>
      <c r="N7" s="2491"/>
    </row>
    <row r="8" spans="1:14" x14ac:dyDescent="0.25">
      <c r="A8" s="2492" t="s">
        <v>4295</v>
      </c>
      <c r="B8" s="2494" t="s">
        <v>4296</v>
      </c>
      <c r="C8" s="2494"/>
      <c r="D8" s="2494"/>
      <c r="E8" s="2492" t="s">
        <v>4297</v>
      </c>
      <c r="F8" s="2492" t="s">
        <v>4298</v>
      </c>
      <c r="G8" s="2492" t="s">
        <v>4299</v>
      </c>
      <c r="H8" s="2496" t="s">
        <v>4300</v>
      </c>
      <c r="I8" s="2496"/>
      <c r="J8" s="2496"/>
      <c r="K8" s="2492" t="s">
        <v>4301</v>
      </c>
      <c r="L8" s="2492" t="s">
        <v>4302</v>
      </c>
      <c r="M8" s="2492" t="s">
        <v>4303</v>
      </c>
      <c r="N8" s="2492" t="s">
        <v>4304</v>
      </c>
    </row>
    <row r="9" spans="1:14" ht="25.5" customHeight="1" thickBot="1" x14ac:dyDescent="0.3">
      <c r="A9" s="2493"/>
      <c r="B9" s="2495"/>
      <c r="C9" s="2495"/>
      <c r="D9" s="2495"/>
      <c r="E9" s="2493"/>
      <c r="F9" s="2493"/>
      <c r="G9" s="2493"/>
      <c r="H9" s="1139" t="s">
        <v>4305</v>
      </c>
      <c r="I9" s="1139" t="s">
        <v>4306</v>
      </c>
      <c r="J9" s="1139" t="s">
        <v>262</v>
      </c>
      <c r="K9" s="2493"/>
      <c r="L9" s="2493"/>
      <c r="M9" s="2493"/>
      <c r="N9" s="2493"/>
    </row>
    <row r="10" spans="1:14" s="1085" customFormat="1" ht="14.1" customHeight="1" x14ac:dyDescent="0.25">
      <c r="A10" s="1140"/>
      <c r="B10" s="2498"/>
      <c r="C10" s="2498"/>
      <c r="D10" s="2498"/>
      <c r="E10" s="1141"/>
      <c r="F10" s="1142"/>
      <c r="G10" s="1143"/>
      <c r="H10" s="1143"/>
      <c r="I10" s="1143"/>
      <c r="J10" s="1144">
        <f>H10+I10</f>
        <v>0</v>
      </c>
      <c r="K10" s="1143"/>
      <c r="L10" s="1143"/>
      <c r="M10" s="1143"/>
      <c r="N10" s="1143"/>
    </row>
    <row r="11" spans="1:14" s="1085" customFormat="1" ht="14.1" customHeight="1" x14ac:dyDescent="0.25">
      <c r="A11" s="1145"/>
      <c r="B11" s="2497"/>
      <c r="C11" s="2497"/>
      <c r="D11" s="2497"/>
      <c r="E11" s="1146"/>
      <c r="F11" s="1147"/>
      <c r="G11" s="1148"/>
      <c r="H11" s="1148"/>
      <c r="I11" s="1148"/>
      <c r="J11" s="1149">
        <f t="shared" ref="J11:J39" si="0">H11+I11</f>
        <v>0</v>
      </c>
      <c r="K11" s="1148"/>
      <c r="L11" s="1148"/>
      <c r="M11" s="1148"/>
      <c r="N11" s="1148"/>
    </row>
    <row r="12" spans="1:14" s="1085" customFormat="1" ht="14.1" customHeight="1" x14ac:dyDescent="0.25">
      <c r="A12" s="1145"/>
      <c r="B12" s="2497"/>
      <c r="C12" s="2497"/>
      <c r="D12" s="2497"/>
      <c r="E12" s="1146"/>
      <c r="F12" s="1147"/>
      <c r="G12" s="1148"/>
      <c r="H12" s="1148"/>
      <c r="I12" s="1148"/>
      <c r="J12" s="1149">
        <f t="shared" si="0"/>
        <v>0</v>
      </c>
      <c r="K12" s="1148"/>
      <c r="L12" s="1148"/>
      <c r="M12" s="1148"/>
      <c r="N12" s="1148"/>
    </row>
    <row r="13" spans="1:14" s="1085" customFormat="1" ht="14.1" customHeight="1" x14ac:dyDescent="0.25">
      <c r="A13" s="1145"/>
      <c r="B13" s="2497"/>
      <c r="C13" s="2497"/>
      <c r="D13" s="2497"/>
      <c r="E13" s="1146"/>
      <c r="F13" s="1147"/>
      <c r="G13" s="1148"/>
      <c r="H13" s="1148"/>
      <c r="I13" s="1148"/>
      <c r="J13" s="1149">
        <f t="shared" si="0"/>
        <v>0</v>
      </c>
      <c r="K13" s="1148"/>
      <c r="L13" s="1148"/>
      <c r="M13" s="1148"/>
      <c r="N13" s="1148"/>
    </row>
    <row r="14" spans="1:14" s="1085" customFormat="1" ht="14.1" customHeight="1" x14ac:dyDescent="0.25">
      <c r="A14" s="1145"/>
      <c r="B14" s="2497"/>
      <c r="C14" s="2497"/>
      <c r="D14" s="2497"/>
      <c r="E14" s="1146"/>
      <c r="F14" s="1147"/>
      <c r="G14" s="1148"/>
      <c r="H14" s="1148"/>
      <c r="I14" s="1148"/>
      <c r="J14" s="1149">
        <f t="shared" si="0"/>
        <v>0</v>
      </c>
      <c r="K14" s="1148"/>
      <c r="L14" s="1148"/>
      <c r="M14" s="1148"/>
      <c r="N14" s="1148"/>
    </row>
    <row r="15" spans="1:14" s="1085" customFormat="1" ht="14.1" customHeight="1" x14ac:dyDescent="0.25">
      <c r="A15" s="1145"/>
      <c r="B15" s="2497"/>
      <c r="C15" s="2497"/>
      <c r="D15" s="2497"/>
      <c r="E15" s="1146"/>
      <c r="F15" s="1147"/>
      <c r="G15" s="1148"/>
      <c r="H15" s="1148"/>
      <c r="I15" s="1148"/>
      <c r="J15" s="1149">
        <f t="shared" si="0"/>
        <v>0</v>
      </c>
      <c r="K15" s="1148"/>
      <c r="L15" s="1148"/>
      <c r="M15" s="1148"/>
      <c r="N15" s="1148"/>
    </row>
    <row r="16" spans="1:14" s="1085" customFormat="1" ht="14.1" customHeight="1" x14ac:dyDescent="0.25">
      <c r="A16" s="1145"/>
      <c r="B16" s="2497"/>
      <c r="C16" s="2497"/>
      <c r="D16" s="2497"/>
      <c r="E16" s="1146"/>
      <c r="F16" s="1147"/>
      <c r="G16" s="1148"/>
      <c r="H16" s="1148"/>
      <c r="I16" s="1148"/>
      <c r="J16" s="1149">
        <f t="shared" si="0"/>
        <v>0</v>
      </c>
      <c r="K16" s="1148"/>
      <c r="L16" s="1148"/>
      <c r="M16" s="1148"/>
      <c r="N16" s="1148"/>
    </row>
    <row r="17" spans="1:14" s="1085" customFormat="1" ht="14.1" customHeight="1" x14ac:dyDescent="0.25">
      <c r="A17" s="1145"/>
      <c r="B17" s="2497"/>
      <c r="C17" s="2497"/>
      <c r="D17" s="2497"/>
      <c r="E17" s="1146"/>
      <c r="F17" s="1147"/>
      <c r="G17" s="1148"/>
      <c r="H17" s="1148"/>
      <c r="I17" s="1148"/>
      <c r="J17" s="1149">
        <f t="shared" si="0"/>
        <v>0</v>
      </c>
      <c r="K17" s="1148"/>
      <c r="L17" s="1148"/>
      <c r="M17" s="1148"/>
      <c r="N17" s="1148"/>
    </row>
    <row r="18" spans="1:14" s="1085" customFormat="1" ht="14.1" customHeight="1" x14ac:dyDescent="0.25">
      <c r="A18" s="1145"/>
      <c r="B18" s="2497"/>
      <c r="C18" s="2497"/>
      <c r="D18" s="2497"/>
      <c r="E18" s="1146"/>
      <c r="F18" s="1147"/>
      <c r="G18" s="1148"/>
      <c r="H18" s="1148"/>
      <c r="I18" s="1148"/>
      <c r="J18" s="1149">
        <f t="shared" si="0"/>
        <v>0</v>
      </c>
      <c r="K18" s="1148"/>
      <c r="L18" s="1148"/>
      <c r="M18" s="1148"/>
      <c r="N18" s="1148"/>
    </row>
    <row r="19" spans="1:14" s="1085" customFormat="1" ht="14.1" customHeight="1" x14ac:dyDescent="0.25">
      <c r="A19" s="1145"/>
      <c r="B19" s="2497"/>
      <c r="C19" s="2497"/>
      <c r="D19" s="2497"/>
      <c r="E19" s="1146"/>
      <c r="F19" s="1147"/>
      <c r="G19" s="1148"/>
      <c r="H19" s="1148"/>
      <c r="I19" s="1148"/>
      <c r="J19" s="1149">
        <f t="shared" si="0"/>
        <v>0</v>
      </c>
      <c r="K19" s="1148"/>
      <c r="L19" s="1148"/>
      <c r="M19" s="1148"/>
      <c r="N19" s="1148"/>
    </row>
    <row r="20" spans="1:14" s="1085" customFormat="1" ht="14.1" customHeight="1" x14ac:dyDescent="0.25">
      <c r="A20" s="1145"/>
      <c r="B20" s="2497"/>
      <c r="C20" s="2497"/>
      <c r="D20" s="2497"/>
      <c r="E20" s="1146"/>
      <c r="F20" s="1147"/>
      <c r="G20" s="1148"/>
      <c r="H20" s="1148"/>
      <c r="I20" s="1148"/>
      <c r="J20" s="1149">
        <f t="shared" si="0"/>
        <v>0</v>
      </c>
      <c r="K20" s="1148"/>
      <c r="L20" s="1148"/>
      <c r="M20" s="1148"/>
      <c r="N20" s="1148"/>
    </row>
    <row r="21" spans="1:14" s="1085" customFormat="1" ht="14.1" customHeight="1" x14ac:dyDescent="0.25">
      <c r="A21" s="1145"/>
      <c r="B21" s="2497"/>
      <c r="C21" s="2497"/>
      <c r="D21" s="2497"/>
      <c r="E21" s="1146"/>
      <c r="F21" s="1147"/>
      <c r="G21" s="1148"/>
      <c r="H21" s="1148"/>
      <c r="I21" s="1148"/>
      <c r="J21" s="1149">
        <f t="shared" si="0"/>
        <v>0</v>
      </c>
      <c r="K21" s="1148"/>
      <c r="L21" s="1148"/>
      <c r="M21" s="1148"/>
      <c r="N21" s="1148"/>
    </row>
    <row r="22" spans="1:14" s="1085" customFormat="1" ht="14.1" customHeight="1" x14ac:dyDescent="0.25">
      <c r="A22" s="1145"/>
      <c r="B22" s="2497"/>
      <c r="C22" s="2497"/>
      <c r="D22" s="2497"/>
      <c r="E22" s="1146"/>
      <c r="F22" s="1147"/>
      <c r="G22" s="1148"/>
      <c r="H22" s="1148"/>
      <c r="I22" s="1148"/>
      <c r="J22" s="1149">
        <f t="shared" si="0"/>
        <v>0</v>
      </c>
      <c r="K22" s="1148"/>
      <c r="L22" s="1148"/>
      <c r="M22" s="1148"/>
      <c r="N22" s="1148"/>
    </row>
    <row r="23" spans="1:14" s="1085" customFormat="1" ht="14.1" customHeight="1" x14ac:dyDescent="0.25">
      <c r="A23" s="1145"/>
      <c r="B23" s="2497"/>
      <c r="C23" s="2497"/>
      <c r="D23" s="2497"/>
      <c r="E23" s="1146"/>
      <c r="F23" s="1147"/>
      <c r="G23" s="1148"/>
      <c r="H23" s="1148"/>
      <c r="I23" s="1148"/>
      <c r="J23" s="1149">
        <f t="shared" si="0"/>
        <v>0</v>
      </c>
      <c r="K23" s="1148"/>
      <c r="L23" s="1148"/>
      <c r="M23" s="1148"/>
      <c r="N23" s="1148"/>
    </row>
    <row r="24" spans="1:14" s="1085" customFormat="1" ht="14.1" customHeight="1" x14ac:dyDescent="0.25">
      <c r="A24" s="1145"/>
      <c r="B24" s="2497"/>
      <c r="C24" s="2497"/>
      <c r="D24" s="2497"/>
      <c r="E24" s="1146"/>
      <c r="F24" s="1147"/>
      <c r="G24" s="1148"/>
      <c r="H24" s="1148"/>
      <c r="I24" s="1148"/>
      <c r="J24" s="1149">
        <f t="shared" si="0"/>
        <v>0</v>
      </c>
      <c r="K24" s="1148"/>
      <c r="L24" s="1148"/>
      <c r="M24" s="1148"/>
      <c r="N24" s="1148"/>
    </row>
    <row r="25" spans="1:14" s="1085" customFormat="1" ht="14.1" customHeight="1" x14ac:dyDescent="0.25">
      <c r="A25" s="1145"/>
      <c r="B25" s="2497"/>
      <c r="C25" s="2497"/>
      <c r="D25" s="2497"/>
      <c r="E25" s="1146"/>
      <c r="F25" s="1147"/>
      <c r="G25" s="1148"/>
      <c r="H25" s="1148"/>
      <c r="I25" s="1148"/>
      <c r="J25" s="1149">
        <f t="shared" si="0"/>
        <v>0</v>
      </c>
      <c r="K25" s="1148"/>
      <c r="L25" s="1148"/>
      <c r="M25" s="1148"/>
      <c r="N25" s="1148"/>
    </row>
    <row r="26" spans="1:14" s="1085" customFormat="1" ht="14.1" customHeight="1" x14ac:dyDescent="0.25">
      <c r="A26" s="1145"/>
      <c r="B26" s="2497"/>
      <c r="C26" s="2497"/>
      <c r="D26" s="2497"/>
      <c r="E26" s="1146"/>
      <c r="F26" s="1147"/>
      <c r="G26" s="1148"/>
      <c r="H26" s="1148"/>
      <c r="I26" s="1148"/>
      <c r="J26" s="1149">
        <f t="shared" si="0"/>
        <v>0</v>
      </c>
      <c r="K26" s="1148"/>
      <c r="L26" s="1148"/>
      <c r="M26" s="1148"/>
      <c r="N26" s="1148"/>
    </row>
    <row r="27" spans="1:14" s="1085" customFormat="1" ht="14.1" customHeight="1" x14ac:dyDescent="0.25">
      <c r="A27" s="1145"/>
      <c r="B27" s="2497"/>
      <c r="C27" s="2497"/>
      <c r="D27" s="2497"/>
      <c r="E27" s="1146"/>
      <c r="F27" s="1147"/>
      <c r="G27" s="1148"/>
      <c r="H27" s="1148"/>
      <c r="I27" s="1148"/>
      <c r="J27" s="1149">
        <f t="shared" si="0"/>
        <v>0</v>
      </c>
      <c r="K27" s="1148"/>
      <c r="L27" s="1148"/>
      <c r="M27" s="1148"/>
      <c r="N27" s="1148"/>
    </row>
    <row r="28" spans="1:14" s="1085" customFormat="1" ht="14.1" customHeight="1" x14ac:dyDescent="0.25">
      <c r="A28" s="1145"/>
      <c r="B28" s="2497"/>
      <c r="C28" s="2497"/>
      <c r="D28" s="2497"/>
      <c r="E28" s="1146"/>
      <c r="F28" s="1147"/>
      <c r="G28" s="1148"/>
      <c r="H28" s="1148"/>
      <c r="I28" s="1148"/>
      <c r="J28" s="1149">
        <f t="shared" si="0"/>
        <v>0</v>
      </c>
      <c r="K28" s="1148"/>
      <c r="L28" s="1148"/>
      <c r="M28" s="1148"/>
      <c r="N28" s="1148"/>
    </row>
    <row r="29" spans="1:14" s="1085" customFormat="1" ht="14.1" customHeight="1" x14ac:dyDescent="0.25">
      <c r="A29" s="1145"/>
      <c r="B29" s="2497"/>
      <c r="C29" s="2497"/>
      <c r="D29" s="2497"/>
      <c r="E29" s="1146"/>
      <c r="F29" s="1147"/>
      <c r="G29" s="1148"/>
      <c r="H29" s="1148"/>
      <c r="I29" s="1148"/>
      <c r="J29" s="1149">
        <f t="shared" si="0"/>
        <v>0</v>
      </c>
      <c r="K29" s="1148"/>
      <c r="L29" s="1148"/>
      <c r="M29" s="1148"/>
      <c r="N29" s="1148"/>
    </row>
    <row r="30" spans="1:14" s="1085" customFormat="1" ht="14.1" customHeight="1" x14ac:dyDescent="0.25">
      <c r="A30" s="1145"/>
      <c r="B30" s="2497"/>
      <c r="C30" s="2497"/>
      <c r="D30" s="2497"/>
      <c r="E30" s="1146"/>
      <c r="F30" s="1147"/>
      <c r="G30" s="1148"/>
      <c r="H30" s="1148"/>
      <c r="I30" s="1148"/>
      <c r="J30" s="1149">
        <f t="shared" si="0"/>
        <v>0</v>
      </c>
      <c r="K30" s="1148"/>
      <c r="L30" s="1148"/>
      <c r="M30" s="1148"/>
      <c r="N30" s="1148"/>
    </row>
    <row r="31" spans="1:14" s="1085" customFormat="1" ht="14.1" customHeight="1" x14ac:dyDescent="0.25">
      <c r="A31" s="1145"/>
      <c r="B31" s="2497"/>
      <c r="C31" s="2497"/>
      <c r="D31" s="2497"/>
      <c r="E31" s="1146"/>
      <c r="F31" s="1147"/>
      <c r="G31" s="1148"/>
      <c r="H31" s="1148"/>
      <c r="I31" s="1148"/>
      <c r="J31" s="1149">
        <f t="shared" si="0"/>
        <v>0</v>
      </c>
      <c r="K31" s="1148"/>
      <c r="L31" s="1148"/>
      <c r="M31" s="1148"/>
      <c r="N31" s="1148"/>
    </row>
    <row r="32" spans="1:14" s="1085" customFormat="1" ht="14.1" customHeight="1" x14ac:dyDescent="0.25">
      <c r="A32" s="1145"/>
      <c r="B32" s="2497"/>
      <c r="C32" s="2497"/>
      <c r="D32" s="2497"/>
      <c r="E32" s="1146"/>
      <c r="F32" s="1147"/>
      <c r="G32" s="1148"/>
      <c r="H32" s="1148"/>
      <c r="I32" s="1148"/>
      <c r="J32" s="1149">
        <f t="shared" si="0"/>
        <v>0</v>
      </c>
      <c r="K32" s="1148"/>
      <c r="L32" s="1148"/>
      <c r="M32" s="1148"/>
      <c r="N32" s="1148"/>
    </row>
    <row r="33" spans="1:14" s="1085" customFormat="1" ht="14.1" customHeight="1" x14ac:dyDescent="0.25">
      <c r="A33" s="1145"/>
      <c r="B33" s="2497"/>
      <c r="C33" s="2497"/>
      <c r="D33" s="2497"/>
      <c r="E33" s="1146"/>
      <c r="F33" s="1147"/>
      <c r="G33" s="1148"/>
      <c r="H33" s="1148"/>
      <c r="I33" s="1148"/>
      <c r="J33" s="1149">
        <f t="shared" si="0"/>
        <v>0</v>
      </c>
      <c r="K33" s="1148"/>
      <c r="L33" s="1148"/>
      <c r="M33" s="1148"/>
      <c r="N33" s="1148"/>
    </row>
    <row r="34" spans="1:14" s="1085" customFormat="1" ht="14.1" customHeight="1" x14ac:dyDescent="0.25">
      <c r="A34" s="1145"/>
      <c r="B34" s="2497"/>
      <c r="C34" s="2497"/>
      <c r="D34" s="2497"/>
      <c r="E34" s="1146"/>
      <c r="F34" s="1147"/>
      <c r="G34" s="1148"/>
      <c r="H34" s="1148"/>
      <c r="I34" s="1148"/>
      <c r="J34" s="1149">
        <f t="shared" si="0"/>
        <v>0</v>
      </c>
      <c r="K34" s="1148"/>
      <c r="L34" s="1148"/>
      <c r="M34" s="1148"/>
      <c r="N34" s="1148"/>
    </row>
    <row r="35" spans="1:14" s="1085" customFormat="1" ht="14.1" customHeight="1" x14ac:dyDescent="0.25">
      <c r="A35" s="1145"/>
      <c r="B35" s="2497"/>
      <c r="C35" s="2497"/>
      <c r="D35" s="2497"/>
      <c r="E35" s="1146"/>
      <c r="F35" s="1147"/>
      <c r="G35" s="1148"/>
      <c r="H35" s="1148"/>
      <c r="I35" s="1148"/>
      <c r="J35" s="1149">
        <f t="shared" si="0"/>
        <v>0</v>
      </c>
      <c r="K35" s="1148"/>
      <c r="L35" s="1148"/>
      <c r="M35" s="1148"/>
      <c r="N35" s="1148"/>
    </row>
    <row r="36" spans="1:14" s="1085" customFormat="1" ht="14.1" customHeight="1" x14ac:dyDescent="0.25">
      <c r="A36" s="1145"/>
      <c r="B36" s="2497"/>
      <c r="C36" s="2497"/>
      <c r="D36" s="2497"/>
      <c r="E36" s="1146"/>
      <c r="F36" s="1147"/>
      <c r="G36" s="1148"/>
      <c r="H36" s="1148"/>
      <c r="I36" s="1148"/>
      <c r="J36" s="1149">
        <f t="shared" si="0"/>
        <v>0</v>
      </c>
      <c r="K36" s="1148"/>
      <c r="L36" s="1148"/>
      <c r="M36" s="1148"/>
      <c r="N36" s="1148"/>
    </row>
    <row r="37" spans="1:14" s="1085" customFormat="1" ht="14.1" customHeight="1" x14ac:dyDescent="0.25">
      <c r="A37" s="1145"/>
      <c r="B37" s="2497"/>
      <c r="C37" s="2497"/>
      <c r="D37" s="2497"/>
      <c r="E37" s="1146"/>
      <c r="F37" s="1147"/>
      <c r="G37" s="1148"/>
      <c r="H37" s="1148"/>
      <c r="I37" s="1148"/>
      <c r="J37" s="1149">
        <f t="shared" si="0"/>
        <v>0</v>
      </c>
      <c r="K37" s="1148"/>
      <c r="L37" s="1148"/>
      <c r="M37" s="1148"/>
      <c r="N37" s="1148"/>
    </row>
    <row r="38" spans="1:14" s="1085" customFormat="1" ht="14.1" customHeight="1" x14ac:dyDescent="0.25">
      <c r="A38" s="1145"/>
      <c r="B38" s="2497"/>
      <c r="C38" s="2497"/>
      <c r="D38" s="2497"/>
      <c r="E38" s="1146"/>
      <c r="F38" s="1147"/>
      <c r="G38" s="1148"/>
      <c r="H38" s="1148"/>
      <c r="I38" s="1148"/>
      <c r="J38" s="1149">
        <f t="shared" si="0"/>
        <v>0</v>
      </c>
      <c r="K38" s="1148"/>
      <c r="L38" s="1148"/>
      <c r="M38" s="1148"/>
      <c r="N38" s="1148"/>
    </row>
    <row r="39" spans="1:14" s="1085" customFormat="1" ht="14.1" customHeight="1" thickBot="1" x14ac:dyDescent="0.3">
      <c r="A39" s="1150"/>
      <c r="B39" s="2499"/>
      <c r="C39" s="2499"/>
      <c r="D39" s="2499"/>
      <c r="E39" s="1151"/>
      <c r="F39" s="1152"/>
      <c r="G39" s="1153"/>
      <c r="H39" s="1153"/>
      <c r="I39" s="1153"/>
      <c r="J39" s="1154">
        <f t="shared" si="0"/>
        <v>0</v>
      </c>
      <c r="K39" s="1153"/>
      <c r="L39" s="1153"/>
      <c r="M39" s="1153"/>
      <c r="N39" s="1153"/>
    </row>
    <row r="40" spans="1:14" s="1085" customFormat="1" ht="14.1" customHeight="1" x14ac:dyDescent="0.25">
      <c r="A40" s="2500" t="s">
        <v>262</v>
      </c>
      <c r="B40" s="2501"/>
      <c r="C40" s="2501"/>
      <c r="D40" s="2501"/>
      <c r="E40" s="2501"/>
      <c r="F40" s="2502"/>
      <c r="G40" s="1155">
        <f>SUM(G10:G39)</f>
        <v>0</v>
      </c>
      <c r="H40" s="1155">
        <f t="shared" ref="H40:N40" si="1">SUM(H10:H39)</f>
        <v>0</v>
      </c>
      <c r="I40" s="1155">
        <f t="shared" si="1"/>
        <v>0</v>
      </c>
      <c r="J40" s="1155">
        <f t="shared" si="1"/>
        <v>0</v>
      </c>
      <c r="K40" s="1155">
        <f t="shared" si="1"/>
        <v>0</v>
      </c>
      <c r="L40" s="1155">
        <f t="shared" si="1"/>
        <v>0</v>
      </c>
      <c r="M40" s="1155">
        <f t="shared" si="1"/>
        <v>0</v>
      </c>
      <c r="N40" s="1155">
        <f t="shared" si="1"/>
        <v>0</v>
      </c>
    </row>
  </sheetData>
  <sheetProtection selectLockedCells="1"/>
  <mergeCells count="52">
    <mergeCell ref="B38:D38"/>
    <mergeCell ref="B39:D39"/>
    <mergeCell ref="A40:F40"/>
    <mergeCell ref="B32:D32"/>
    <mergeCell ref="B33:D33"/>
    <mergeCell ref="B34:D34"/>
    <mergeCell ref="B35:D35"/>
    <mergeCell ref="B36:D36"/>
    <mergeCell ref="B37:D37"/>
    <mergeCell ref="B31:D31"/>
    <mergeCell ref="B20:D20"/>
    <mergeCell ref="B21:D21"/>
    <mergeCell ref="B22:D22"/>
    <mergeCell ref="B23:D23"/>
    <mergeCell ref="B24:D24"/>
    <mergeCell ref="B25:D25"/>
    <mergeCell ref="B26:D26"/>
    <mergeCell ref="B27:D27"/>
    <mergeCell ref="B28:D28"/>
    <mergeCell ref="B29:D29"/>
    <mergeCell ref="B30:D30"/>
    <mergeCell ref="B19:D19"/>
    <mergeCell ref="M8:M9"/>
    <mergeCell ref="N8:N9"/>
    <mergeCell ref="B10:D10"/>
    <mergeCell ref="B11:D11"/>
    <mergeCell ref="B12:D12"/>
    <mergeCell ref="B13:D13"/>
    <mergeCell ref="B14:D14"/>
    <mergeCell ref="B15:D15"/>
    <mergeCell ref="B16:D16"/>
    <mergeCell ref="B17:D17"/>
    <mergeCell ref="B18:D18"/>
    <mergeCell ref="C6:F6"/>
    <mergeCell ref="A7:N7"/>
    <mergeCell ref="A8:A9"/>
    <mergeCell ref="B8:D9"/>
    <mergeCell ref="E8:E9"/>
    <mergeCell ref="F8:F9"/>
    <mergeCell ref="G8:G9"/>
    <mergeCell ref="H8:J8"/>
    <mergeCell ref="K8:K9"/>
    <mergeCell ref="L8:L9"/>
    <mergeCell ref="C5:F5"/>
    <mergeCell ref="G5:H5"/>
    <mergeCell ref="I5:J5"/>
    <mergeCell ref="M5:N5"/>
    <mergeCell ref="A1:N1"/>
    <mergeCell ref="M2:N2"/>
    <mergeCell ref="C3:N3"/>
    <mergeCell ref="B4:K4"/>
    <mergeCell ref="M4:N4"/>
  </mergeCells>
  <dataValidations count="1">
    <dataValidation type="whole" allowBlank="1" showInputMessage="1" showErrorMessage="1" errorTitle="Attention!" error="Valeur numérique attendue" sqref="G10:I39 K10:N39">
      <formula1>-9999999999999</formula1>
      <formula2>9999999999999</formula2>
    </dataValidation>
  </dataValidations>
  <printOptions horizontalCentered="1"/>
  <pageMargins left="0.31496062992125984" right="0.31496062992125984" top="0.35433070866141736" bottom="0.35433070866141736" header="0.31496062992125984" footer="0.31496062992125984"/>
  <pageSetup paperSize="9" scale="78"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Q15"/>
  <sheetViews>
    <sheetView showGridLines="0" topLeftCell="A7" zoomScaleNormal="100" zoomScaleSheetLayoutView="100" workbookViewId="0">
      <selection activeCell="J2" sqref="J2"/>
    </sheetView>
  </sheetViews>
  <sheetFormatPr baseColWidth="10" defaultRowHeight="15" x14ac:dyDescent="0.25"/>
  <cols>
    <col min="1" max="1" width="10.28515625" customWidth="1"/>
    <col min="2" max="2" width="18.85546875" customWidth="1"/>
    <col min="3" max="3" width="6" customWidth="1"/>
    <col min="4" max="17" width="8.42578125" customWidth="1"/>
  </cols>
  <sheetData>
    <row r="1" spans="1:17" x14ac:dyDescent="0.25">
      <c r="A1" s="2312" t="s">
        <v>3974</v>
      </c>
      <c r="B1" s="2312"/>
      <c r="C1" s="2312"/>
      <c r="D1" s="2312"/>
      <c r="E1" s="2312"/>
      <c r="F1" s="2312"/>
      <c r="G1" s="2312"/>
      <c r="H1" s="2312"/>
      <c r="I1" s="2312"/>
      <c r="J1" s="2312"/>
      <c r="K1" s="2312"/>
      <c r="L1" s="2312"/>
      <c r="M1" s="2312"/>
      <c r="N1" s="2312"/>
      <c r="O1" s="2312"/>
      <c r="P1" s="2312"/>
      <c r="Q1" s="2312"/>
    </row>
    <row r="2" spans="1:17" ht="18" customHeight="1" x14ac:dyDescent="0.25">
      <c r="A2" s="1127"/>
      <c r="B2" s="1127"/>
      <c r="C2" s="1076"/>
      <c r="D2" s="1076"/>
      <c r="E2" s="1076"/>
      <c r="F2" s="1076"/>
      <c r="G2" s="1076"/>
      <c r="N2" s="1092"/>
      <c r="O2" s="2504" t="s">
        <v>4307</v>
      </c>
      <c r="P2" s="2505"/>
      <c r="Q2" s="2506"/>
    </row>
    <row r="3" spans="1:17" s="1093" customFormat="1" ht="15" customHeight="1" x14ac:dyDescent="0.2">
      <c r="A3" s="1053" t="s">
        <v>3976</v>
      </c>
      <c r="B3" s="1077"/>
      <c r="C3" s="2503" t="str">
        <f>'Liste ETATS SUPPL DGI'!C3</f>
        <v>SAM CONSEILS</v>
      </c>
      <c r="D3" s="2503"/>
      <c r="E3" s="2503"/>
      <c r="F3" s="2503"/>
      <c r="G3" s="2503"/>
      <c r="H3" s="2503"/>
      <c r="I3" s="2503"/>
      <c r="J3" s="2503"/>
      <c r="K3" s="2503"/>
      <c r="L3" s="2503"/>
      <c r="M3" s="2503"/>
      <c r="N3" s="2503"/>
      <c r="O3" s="2503"/>
      <c r="P3" s="2503"/>
      <c r="Q3" s="2503"/>
    </row>
    <row r="4" spans="1:17" s="1093" customFormat="1" ht="15" customHeight="1" x14ac:dyDescent="0.2">
      <c r="A4" s="1053" t="s">
        <v>1602</v>
      </c>
      <c r="B4" s="2503" t="str">
        <f>'Liste ETATS SUPPL DGI'!B4</f>
        <v>02 BP 5358 OUAGA 02</v>
      </c>
      <c r="C4" s="2503"/>
      <c r="D4" s="2503"/>
      <c r="E4" s="2503"/>
      <c r="F4" s="2503"/>
      <c r="G4" s="2503"/>
      <c r="H4" s="2503"/>
      <c r="I4" s="2503"/>
      <c r="J4" s="2503"/>
      <c r="K4" s="2503"/>
      <c r="L4" s="2503"/>
      <c r="M4" s="2503"/>
      <c r="N4" s="2488" t="s">
        <v>3977</v>
      </c>
      <c r="O4" s="2488"/>
      <c r="P4" s="2507" t="str">
        <f>'Liste ETATS SUPPL DGI'!I4</f>
        <v>SAM CONSEILS</v>
      </c>
      <c r="Q4" s="2507"/>
    </row>
    <row r="5" spans="1:17" s="1093" customFormat="1" ht="15" customHeight="1" x14ac:dyDescent="0.2">
      <c r="A5" s="1053" t="s">
        <v>3978</v>
      </c>
      <c r="B5" s="1096"/>
      <c r="C5" s="2503" t="str">
        <f>'Liste ETATS SUPPL DGI'!C5</f>
        <v>00084404X</v>
      </c>
      <c r="D5" s="2503"/>
      <c r="E5" s="2503"/>
      <c r="F5" s="2503"/>
      <c r="G5" s="2503"/>
      <c r="H5" s="2503"/>
      <c r="I5" s="2488" t="s">
        <v>3979</v>
      </c>
      <c r="J5" s="2488"/>
      <c r="K5" s="2508">
        <f>'Liste ETATS SUPPL DGI'!F5</f>
        <v>43465</v>
      </c>
      <c r="L5" s="2507"/>
      <c r="M5" s="2507"/>
      <c r="N5" s="2488" t="s">
        <v>3980</v>
      </c>
      <c r="O5" s="2488"/>
      <c r="P5" s="2507">
        <f>'Liste ETATS SUPPL DGI'!I5</f>
        <v>12</v>
      </c>
      <c r="Q5" s="2507"/>
    </row>
    <row r="6" spans="1:17" s="1093" customFormat="1" ht="15" customHeight="1" x14ac:dyDescent="0.2">
      <c r="A6" s="1055" t="s">
        <v>3981</v>
      </c>
      <c r="B6" s="1096"/>
      <c r="C6" s="2503" t="str">
        <f>'Liste ETATS SUPPL DGI'!C6</f>
        <v>AMMTB89</v>
      </c>
      <c r="D6" s="2503"/>
      <c r="E6" s="2503"/>
      <c r="F6" s="2503"/>
      <c r="G6" s="1098"/>
      <c r="H6" s="1098"/>
      <c r="I6" s="1083"/>
      <c r="J6" s="1083"/>
      <c r="K6" s="1099"/>
      <c r="L6" s="1082"/>
      <c r="M6" s="1083"/>
      <c r="N6" s="1083"/>
      <c r="O6" s="1083"/>
      <c r="P6" s="1082"/>
      <c r="Q6" s="1082"/>
    </row>
    <row r="7" spans="1:17" ht="30" customHeight="1" x14ac:dyDescent="0.25">
      <c r="A7" s="2491" t="s">
        <v>4000</v>
      </c>
      <c r="B7" s="2491"/>
      <c r="C7" s="2491"/>
      <c r="D7" s="2491"/>
      <c r="E7" s="2491"/>
      <c r="F7" s="2491"/>
      <c r="G7" s="2491"/>
      <c r="H7" s="2491"/>
      <c r="I7" s="2491"/>
      <c r="J7" s="2491"/>
      <c r="K7" s="2491"/>
      <c r="L7" s="2491"/>
      <c r="M7" s="2491"/>
      <c r="N7" s="2491"/>
      <c r="O7" s="2491"/>
      <c r="P7" s="2491"/>
      <c r="Q7" s="2491"/>
    </row>
    <row r="8" spans="1:17" s="1157" customFormat="1" ht="56.25" customHeight="1" x14ac:dyDescent="0.25">
      <c r="A8" s="2509"/>
      <c r="B8" s="2509"/>
      <c r="C8" s="2509"/>
      <c r="D8" s="2509" t="s">
        <v>944</v>
      </c>
      <c r="E8" s="2509"/>
      <c r="F8" s="2509" t="s">
        <v>4308</v>
      </c>
      <c r="G8" s="2509"/>
      <c r="H8" s="2509" t="s">
        <v>4309</v>
      </c>
      <c r="I8" s="2509"/>
      <c r="J8" s="2509" t="s">
        <v>4310</v>
      </c>
      <c r="K8" s="2509"/>
      <c r="L8" s="2509" t="s">
        <v>954</v>
      </c>
      <c r="M8" s="2509"/>
      <c r="N8" s="2509" t="s">
        <v>4311</v>
      </c>
      <c r="O8" s="2509"/>
      <c r="P8" s="2509" t="s">
        <v>4312</v>
      </c>
      <c r="Q8" s="2509"/>
    </row>
    <row r="9" spans="1:17" s="1158" customFormat="1" ht="21" customHeight="1" x14ac:dyDescent="0.25">
      <c r="A9" s="2512" t="s">
        <v>4313</v>
      </c>
      <c r="B9" s="2512"/>
      <c r="C9" s="2512"/>
      <c r="D9" s="2511"/>
      <c r="E9" s="2511"/>
      <c r="F9" s="2511"/>
      <c r="G9" s="2511"/>
      <c r="H9" s="2511"/>
      <c r="I9" s="2511"/>
      <c r="J9" s="2511"/>
      <c r="K9" s="2511"/>
      <c r="L9" s="2511"/>
      <c r="M9" s="2511"/>
      <c r="N9" s="2510">
        <f t="shared" ref="N9:N14" si="0">SUM(D9:M9)</f>
        <v>0</v>
      </c>
      <c r="O9" s="2510"/>
      <c r="P9" s="2511"/>
      <c r="Q9" s="2511"/>
    </row>
    <row r="10" spans="1:17" s="1158" customFormat="1" ht="21" customHeight="1" x14ac:dyDescent="0.25">
      <c r="A10" s="2512" t="s">
        <v>4314</v>
      </c>
      <c r="B10" s="2512"/>
      <c r="C10" s="2512"/>
      <c r="D10" s="2511"/>
      <c r="E10" s="2511"/>
      <c r="F10" s="2511"/>
      <c r="G10" s="2511"/>
      <c r="H10" s="2511"/>
      <c r="I10" s="2511"/>
      <c r="J10" s="2511"/>
      <c r="K10" s="2511"/>
      <c r="L10" s="2511"/>
      <c r="M10" s="2511"/>
      <c r="N10" s="2510">
        <f t="shared" si="0"/>
        <v>0</v>
      </c>
      <c r="O10" s="2510"/>
      <c r="P10" s="2511"/>
      <c r="Q10" s="2511"/>
    </row>
    <row r="11" spans="1:17" s="1158" customFormat="1" ht="21" customHeight="1" x14ac:dyDescent="0.25">
      <c r="A11" s="2512" t="s">
        <v>4315</v>
      </c>
      <c r="B11" s="2512"/>
      <c r="C11" s="2512"/>
      <c r="D11" s="2511"/>
      <c r="E11" s="2511"/>
      <c r="F11" s="2511"/>
      <c r="G11" s="2511"/>
      <c r="H11" s="2511"/>
      <c r="I11" s="2511"/>
      <c r="J11" s="2511"/>
      <c r="K11" s="2511"/>
      <c r="L11" s="2511"/>
      <c r="M11" s="2511"/>
      <c r="N11" s="2510">
        <f t="shared" si="0"/>
        <v>0</v>
      </c>
      <c r="O11" s="2510"/>
      <c r="P11" s="2511"/>
      <c r="Q11" s="2511"/>
    </row>
    <row r="12" spans="1:17" s="1158" customFormat="1" ht="21" customHeight="1" x14ac:dyDescent="0.25">
      <c r="A12" s="2512" t="s">
        <v>4316</v>
      </c>
      <c r="B12" s="2512"/>
      <c r="C12" s="2512"/>
      <c r="D12" s="2511"/>
      <c r="E12" s="2511"/>
      <c r="F12" s="2511"/>
      <c r="G12" s="2511"/>
      <c r="H12" s="2511"/>
      <c r="I12" s="2511"/>
      <c r="J12" s="2511"/>
      <c r="K12" s="2511"/>
      <c r="L12" s="2511"/>
      <c r="M12" s="2511"/>
      <c r="N12" s="2510">
        <f t="shared" si="0"/>
        <v>0</v>
      </c>
      <c r="O12" s="2510"/>
      <c r="P12" s="2511"/>
      <c r="Q12" s="2511"/>
    </row>
    <row r="13" spans="1:17" s="1158" customFormat="1" ht="21" customHeight="1" x14ac:dyDescent="0.25">
      <c r="A13" s="2512" t="s">
        <v>4317</v>
      </c>
      <c r="B13" s="2512"/>
      <c r="C13" s="2512"/>
      <c r="D13" s="2511"/>
      <c r="E13" s="2511"/>
      <c r="F13" s="2511"/>
      <c r="G13" s="2511"/>
      <c r="H13" s="2511"/>
      <c r="I13" s="2511"/>
      <c r="J13" s="2511"/>
      <c r="K13" s="2511"/>
      <c r="L13" s="2511"/>
      <c r="M13" s="2511"/>
      <c r="N13" s="2510">
        <f t="shared" si="0"/>
        <v>0</v>
      </c>
      <c r="O13" s="2510"/>
      <c r="P13" s="2511"/>
      <c r="Q13" s="2511"/>
    </row>
    <row r="14" spans="1:17" s="1158" customFormat="1" ht="21" customHeight="1" x14ac:dyDescent="0.25">
      <c r="A14" s="2512" t="s">
        <v>4318</v>
      </c>
      <c r="B14" s="2512"/>
      <c r="C14" s="2512"/>
      <c r="D14" s="2511"/>
      <c r="E14" s="2511"/>
      <c r="F14" s="2511"/>
      <c r="G14" s="2511"/>
      <c r="H14" s="2511"/>
      <c r="I14" s="2511"/>
      <c r="J14" s="2511"/>
      <c r="K14" s="2511"/>
      <c r="L14" s="2511"/>
      <c r="M14" s="2511"/>
      <c r="N14" s="2510">
        <f t="shared" si="0"/>
        <v>0</v>
      </c>
      <c r="O14" s="2510"/>
      <c r="P14" s="2511"/>
      <c r="Q14" s="2511"/>
    </row>
    <row r="15" spans="1:17" s="1158" customFormat="1" ht="21" customHeight="1" x14ac:dyDescent="0.25">
      <c r="A15" s="2514" t="s">
        <v>4319</v>
      </c>
      <c r="B15" s="2514"/>
      <c r="C15" s="2514"/>
      <c r="D15" s="2513">
        <f>SUM(D9:E14)</f>
        <v>0</v>
      </c>
      <c r="E15" s="2513"/>
      <c r="F15" s="2513">
        <f>SUM(F9:G14)</f>
        <v>0</v>
      </c>
      <c r="G15" s="2513"/>
      <c r="H15" s="2513">
        <f>SUM(H9:I14)</f>
        <v>0</v>
      </c>
      <c r="I15" s="2513"/>
      <c r="J15" s="2513">
        <f>SUM(J9:K14)</f>
        <v>0</v>
      </c>
      <c r="K15" s="2513"/>
      <c r="L15" s="2513">
        <f>SUM(L9:M14)</f>
        <v>0</v>
      </c>
      <c r="M15" s="2513"/>
      <c r="N15" s="2513">
        <f>SUM(N9:O14)</f>
        <v>0</v>
      </c>
      <c r="O15" s="2513"/>
      <c r="P15" s="2513">
        <f>SUM(P9:Q14)</f>
        <v>0</v>
      </c>
      <c r="Q15" s="2513"/>
    </row>
  </sheetData>
  <sheetProtection selectLockedCells="1"/>
  <mergeCells count="77">
    <mergeCell ref="N15:O15"/>
    <mergeCell ref="P15:Q15"/>
    <mergeCell ref="A15:C15"/>
    <mergeCell ref="D15:E15"/>
    <mergeCell ref="F15:G15"/>
    <mergeCell ref="H15:I15"/>
    <mergeCell ref="J15:K15"/>
    <mergeCell ref="L15:M15"/>
    <mergeCell ref="N13:O13"/>
    <mergeCell ref="P13:Q13"/>
    <mergeCell ref="A14:C14"/>
    <mergeCell ref="D14:E14"/>
    <mergeCell ref="F14:G14"/>
    <mergeCell ref="H14:I14"/>
    <mergeCell ref="J14:K14"/>
    <mergeCell ref="L14:M14"/>
    <mergeCell ref="N14:O14"/>
    <mergeCell ref="P14:Q14"/>
    <mergeCell ref="A13:C13"/>
    <mergeCell ref="D13:E13"/>
    <mergeCell ref="F13:G13"/>
    <mergeCell ref="H13:I13"/>
    <mergeCell ref="J13:K13"/>
    <mergeCell ref="L13:M13"/>
    <mergeCell ref="N11:O11"/>
    <mergeCell ref="P11:Q11"/>
    <mergeCell ref="A12:C12"/>
    <mergeCell ref="D12:E12"/>
    <mergeCell ref="F12:G12"/>
    <mergeCell ref="H12:I12"/>
    <mergeCell ref="J12:K12"/>
    <mergeCell ref="L12:M12"/>
    <mergeCell ref="N12:O12"/>
    <mergeCell ref="P12:Q12"/>
    <mergeCell ref="A11:C11"/>
    <mergeCell ref="D11:E11"/>
    <mergeCell ref="F11:G11"/>
    <mergeCell ref="H11:I11"/>
    <mergeCell ref="J11:K11"/>
    <mergeCell ref="L11:M11"/>
    <mergeCell ref="N9:O9"/>
    <mergeCell ref="P9:Q9"/>
    <mergeCell ref="A10:C10"/>
    <mergeCell ref="D10:E10"/>
    <mergeCell ref="F10:G10"/>
    <mergeCell ref="H10:I10"/>
    <mergeCell ref="J10:K10"/>
    <mergeCell ref="L10:M10"/>
    <mergeCell ref="N10:O10"/>
    <mergeCell ref="P10:Q10"/>
    <mergeCell ref="A9:C9"/>
    <mergeCell ref="D9:E9"/>
    <mergeCell ref="F9:G9"/>
    <mergeCell ref="H9:I9"/>
    <mergeCell ref="J9:K9"/>
    <mergeCell ref="L9:M9"/>
    <mergeCell ref="A7:Q7"/>
    <mergeCell ref="A8:C8"/>
    <mergeCell ref="D8:E8"/>
    <mergeCell ref="F8:G8"/>
    <mergeCell ref="H8:I8"/>
    <mergeCell ref="J8:K8"/>
    <mergeCell ref="L8:M8"/>
    <mergeCell ref="N8:O8"/>
    <mergeCell ref="P8:Q8"/>
    <mergeCell ref="C6:F6"/>
    <mergeCell ref="A1:Q1"/>
    <mergeCell ref="O2:Q2"/>
    <mergeCell ref="C3:Q3"/>
    <mergeCell ref="B4:M4"/>
    <mergeCell ref="N4:O4"/>
    <mergeCell ref="P4:Q4"/>
    <mergeCell ref="C5:H5"/>
    <mergeCell ref="I5:J5"/>
    <mergeCell ref="K5:M5"/>
    <mergeCell ref="N5:O5"/>
    <mergeCell ref="P5:Q5"/>
  </mergeCells>
  <dataValidations count="1">
    <dataValidation type="whole" allowBlank="1" showInputMessage="1" showErrorMessage="1" errorTitle="Attention!" error="Valeur numérique attendue" sqref="D9:M14 P9:Q14">
      <formula1>-9999999999999</formula1>
      <formula2>9999999999999</formula2>
    </dataValidation>
  </dataValidations>
  <printOptions horizontalCentered="1"/>
  <pageMargins left="0.31496062992125984" right="0.31496062992125984" top="0.35433070866141736" bottom="0.35433070866141736" header="0.31496062992125984" footer="0.31496062992125984"/>
  <pageSetup paperSize="9" scale="92"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27"/>
  <sheetViews>
    <sheetView showGridLines="0" zoomScale="145" zoomScaleNormal="145" zoomScaleSheetLayoutView="100" workbookViewId="0">
      <selection activeCell="J2" sqref="J2"/>
    </sheetView>
  </sheetViews>
  <sheetFormatPr baseColWidth="10" defaultRowHeight="15" x14ac:dyDescent="0.25"/>
  <cols>
    <col min="2" max="2" width="17.7109375" customWidth="1"/>
    <col min="4" max="4" width="4.7109375" customWidth="1"/>
    <col min="5" max="5" width="13.7109375" customWidth="1"/>
    <col min="7" max="8" width="18.140625" customWidth="1"/>
  </cols>
  <sheetData>
    <row r="1" spans="1:8" x14ac:dyDescent="0.25">
      <c r="A1" s="2312" t="s">
        <v>3974</v>
      </c>
      <c r="B1" s="2312"/>
      <c r="C1" s="2312"/>
      <c r="D1" s="2312"/>
      <c r="E1" s="2312"/>
      <c r="F1" s="2312"/>
      <c r="G1" s="2312"/>
      <c r="H1" s="2312"/>
    </row>
    <row r="2" spans="1:8" ht="18" customHeight="1" x14ac:dyDescent="0.25">
      <c r="A2" s="2515"/>
      <c r="B2" s="2515"/>
      <c r="C2" s="1076"/>
      <c r="D2" s="1076"/>
      <c r="E2" s="1076"/>
      <c r="F2" s="1076"/>
      <c r="G2" s="2489" t="s">
        <v>4320</v>
      </c>
      <c r="H2" s="2490"/>
    </row>
    <row r="3" spans="1:8" s="1093" customFormat="1" ht="21.95" customHeight="1" x14ac:dyDescent="0.2">
      <c r="A3" s="1053" t="s">
        <v>3976</v>
      </c>
      <c r="B3" s="1077"/>
      <c r="C3" s="2404" t="str">
        <f>'Liste ETATS SUPPL DGI'!C3</f>
        <v>SAM CONSEILS</v>
      </c>
      <c r="D3" s="2404"/>
      <c r="E3" s="2404"/>
      <c r="F3" s="2404"/>
      <c r="G3" s="2404"/>
      <c r="H3" s="2404"/>
    </row>
    <row r="4" spans="1:8" s="1093" customFormat="1" ht="15" customHeight="1" x14ac:dyDescent="0.2">
      <c r="A4" s="1053" t="s">
        <v>1602</v>
      </c>
      <c r="B4" s="2404" t="str">
        <f>'Liste ETATS SUPPL DGI'!B4</f>
        <v>02 BP 5358 OUAGA 02</v>
      </c>
      <c r="C4" s="2404"/>
      <c r="D4" s="2404"/>
      <c r="E4" s="2404"/>
      <c r="F4" s="2404"/>
      <c r="G4" s="1078" t="s">
        <v>3977</v>
      </c>
      <c r="H4" s="1079" t="str">
        <f>'Liste ETATS SUPPL DGI'!I4</f>
        <v>SAM CONSEILS</v>
      </c>
    </row>
    <row r="5" spans="1:8" s="1093" customFormat="1" ht="15" customHeight="1" x14ac:dyDescent="0.2">
      <c r="A5" s="1053" t="s">
        <v>3978</v>
      </c>
      <c r="B5" s="1096"/>
      <c r="C5" s="2406" t="str">
        <f>'Liste ETATS SUPPL DGI'!C5</f>
        <v>00084404X</v>
      </c>
      <c r="D5" s="2406"/>
      <c r="E5" s="1080" t="s">
        <v>3979</v>
      </c>
      <c r="F5" s="1081">
        <f>'Liste ETATS SUPPL DGI'!F5:G5</f>
        <v>43465</v>
      </c>
      <c r="G5" s="1078" t="s">
        <v>3980</v>
      </c>
      <c r="H5" s="1079">
        <f>'Liste ETATS SUPPL DGI'!I5</f>
        <v>12</v>
      </c>
    </row>
    <row r="6" spans="1:8" s="1093" customFormat="1" ht="15" customHeight="1" x14ac:dyDescent="0.2">
      <c r="A6" s="1055" t="s">
        <v>3981</v>
      </c>
      <c r="B6" s="1096"/>
      <c r="C6" s="2414" t="str">
        <f>'Liste ETATS SUPPL DGI'!C6</f>
        <v>AMMTB89</v>
      </c>
      <c r="D6" s="2414"/>
      <c r="E6" s="1082"/>
      <c r="F6" s="1083"/>
      <c r="G6" s="1082"/>
      <c r="H6" s="1083"/>
    </row>
    <row r="7" spans="1:8" ht="42" customHeight="1" x14ac:dyDescent="0.25">
      <c r="A7" s="2517" t="s">
        <v>4321</v>
      </c>
      <c r="B7" s="2415"/>
      <c r="C7" s="2415"/>
      <c r="D7" s="2415"/>
      <c r="E7" s="2415"/>
      <c r="F7" s="2415"/>
      <c r="G7" s="2415"/>
      <c r="H7" s="2415"/>
    </row>
    <row r="8" spans="1:8" ht="36" customHeight="1" x14ac:dyDescent="0.25">
      <c r="A8" s="2518"/>
      <c r="B8" s="2518"/>
      <c r="C8" s="2518"/>
      <c r="D8" s="2518"/>
      <c r="E8" s="2518"/>
      <c r="F8" s="2518"/>
      <c r="G8" s="1159" t="s">
        <v>4322</v>
      </c>
      <c r="H8" s="1159" t="s">
        <v>4323</v>
      </c>
    </row>
    <row r="9" spans="1:8" s="50" customFormat="1" ht="20.25" customHeight="1" x14ac:dyDescent="0.25">
      <c r="A9" s="2516" t="s">
        <v>4324</v>
      </c>
      <c r="B9" s="2516"/>
      <c r="C9" s="2516"/>
      <c r="D9" s="2516"/>
      <c r="E9" s="2516"/>
      <c r="F9" s="2516"/>
      <c r="G9" s="1160"/>
      <c r="H9" s="1160"/>
    </row>
    <row r="10" spans="1:8" s="50" customFormat="1" ht="20.25" customHeight="1" x14ac:dyDescent="0.25">
      <c r="A10" s="2519" t="s">
        <v>4325</v>
      </c>
      <c r="B10" s="2520"/>
      <c r="C10" s="2520"/>
      <c r="D10" s="2520"/>
      <c r="E10" s="2520"/>
      <c r="F10" s="2521"/>
      <c r="G10" s="1160"/>
      <c r="H10" s="1160"/>
    </row>
    <row r="11" spans="1:8" s="50" customFormat="1" ht="20.25" customHeight="1" x14ac:dyDescent="0.25">
      <c r="A11" s="2516" t="s">
        <v>4326</v>
      </c>
      <c r="B11" s="2516"/>
      <c r="C11" s="2516"/>
      <c r="D11" s="2516"/>
      <c r="E11" s="2516"/>
      <c r="F11" s="2516"/>
      <c r="G11" s="1160"/>
      <c r="H11" s="1160"/>
    </row>
    <row r="12" spans="1:8" s="50" customFormat="1" ht="20.25" customHeight="1" x14ac:dyDescent="0.25">
      <c r="A12" s="2516" t="s">
        <v>4327</v>
      </c>
      <c r="B12" s="2516"/>
      <c r="C12" s="2516"/>
      <c r="D12" s="2516"/>
      <c r="E12" s="2516"/>
      <c r="F12" s="2516"/>
      <c r="G12" s="1160"/>
      <c r="H12" s="1160"/>
    </row>
    <row r="13" spans="1:8" s="50" customFormat="1" ht="20.25" customHeight="1" x14ac:dyDescent="0.25">
      <c r="A13" s="2516" t="s">
        <v>4328</v>
      </c>
      <c r="B13" s="2516"/>
      <c r="C13" s="2516"/>
      <c r="D13" s="2516"/>
      <c r="E13" s="2516"/>
      <c r="F13" s="2516"/>
      <c r="G13" s="1160"/>
      <c r="H13" s="1160"/>
    </row>
    <row r="14" spans="1:8" s="50" customFormat="1" ht="20.25" customHeight="1" x14ac:dyDescent="0.25">
      <c r="A14" s="2516" t="s">
        <v>4329</v>
      </c>
      <c r="B14" s="2516"/>
      <c r="C14" s="2516"/>
      <c r="D14" s="2516"/>
      <c r="E14" s="2516"/>
      <c r="F14" s="2516"/>
      <c r="G14" s="1160"/>
      <c r="H14" s="1160"/>
    </row>
    <row r="15" spans="1:8" s="50" customFormat="1" ht="20.25" customHeight="1" x14ac:dyDescent="0.25">
      <c r="A15" s="2516" t="s">
        <v>4330</v>
      </c>
      <c r="B15" s="2516"/>
      <c r="C15" s="2516"/>
      <c r="D15" s="2516"/>
      <c r="E15" s="2516"/>
      <c r="F15" s="2516"/>
      <c r="G15" s="1160"/>
      <c r="H15" s="1160"/>
    </row>
    <row r="16" spans="1:8" s="50" customFormat="1" ht="20.25" customHeight="1" x14ac:dyDescent="0.25">
      <c r="A16" s="2516" t="s">
        <v>4331</v>
      </c>
      <c r="B16" s="2516"/>
      <c r="C16" s="2516"/>
      <c r="D16" s="2516"/>
      <c r="E16" s="2516"/>
      <c r="F16" s="2516"/>
      <c r="G16" s="1160"/>
      <c r="H16" s="1160"/>
    </row>
    <row r="17" spans="1:8" s="50" customFormat="1" ht="20.25" customHeight="1" x14ac:dyDescent="0.25">
      <c r="A17" s="2516" t="s">
        <v>4332</v>
      </c>
      <c r="B17" s="2516"/>
      <c r="C17" s="2516"/>
      <c r="D17" s="2516"/>
      <c r="E17" s="2516"/>
      <c r="F17" s="2516"/>
      <c r="G17" s="1160"/>
      <c r="H17" s="1160"/>
    </row>
    <row r="18" spans="1:8" ht="20.25" customHeight="1" x14ac:dyDescent="0.25">
      <c r="A18" s="2524" t="s">
        <v>4333</v>
      </c>
      <c r="B18" s="2524"/>
      <c r="C18" s="2524"/>
      <c r="D18" s="2524"/>
      <c r="E18" s="2524"/>
      <c r="F18" s="2524"/>
      <c r="G18" s="1161"/>
      <c r="H18" s="1161"/>
    </row>
    <row r="19" spans="1:8" ht="20.25" customHeight="1" x14ac:dyDescent="0.25">
      <c r="A19" s="2525"/>
      <c r="B19" s="2525"/>
      <c r="C19" s="2525"/>
      <c r="D19" s="2525"/>
      <c r="E19" s="2525"/>
      <c r="F19" s="2525"/>
      <c r="G19" s="1161"/>
      <c r="H19" s="1161"/>
    </row>
    <row r="20" spans="1:8" ht="20.25" customHeight="1" x14ac:dyDescent="0.25">
      <c r="A20" s="2525"/>
      <c r="B20" s="2525"/>
      <c r="C20" s="2525"/>
      <c r="D20" s="2525"/>
      <c r="E20" s="2525"/>
      <c r="F20" s="2525"/>
      <c r="G20" s="1161"/>
      <c r="H20" s="1161"/>
    </row>
    <row r="21" spans="1:8" ht="20.25" customHeight="1" x14ac:dyDescent="0.25">
      <c r="A21" s="2525"/>
      <c r="B21" s="2525"/>
      <c r="C21" s="2525"/>
      <c r="D21" s="2525"/>
      <c r="E21" s="2525"/>
      <c r="F21" s="2525"/>
      <c r="G21" s="1161"/>
      <c r="H21" s="1161"/>
    </row>
    <row r="22" spans="1:8" ht="20.25" customHeight="1" x14ac:dyDescent="0.25">
      <c r="A22" s="2525"/>
      <c r="B22" s="2525"/>
      <c r="C22" s="2525"/>
      <c r="D22" s="2525"/>
      <c r="E22" s="2525"/>
      <c r="F22" s="2525"/>
      <c r="G22" s="1161"/>
      <c r="H22" s="1161"/>
    </row>
    <row r="23" spans="1:8" ht="20.25" customHeight="1" x14ac:dyDescent="0.25">
      <c r="A23" s="2525"/>
      <c r="B23" s="2525"/>
      <c r="C23" s="2525"/>
      <c r="D23" s="2525"/>
      <c r="E23" s="2525"/>
      <c r="F23" s="2525"/>
      <c r="G23" s="1161"/>
      <c r="H23" s="1161"/>
    </row>
    <row r="24" spans="1:8" ht="20.25" customHeight="1" x14ac:dyDescent="0.25">
      <c r="A24" s="2522" t="s">
        <v>522</v>
      </c>
      <c r="B24" s="2522"/>
      <c r="C24" s="2522"/>
      <c r="D24" s="2522"/>
      <c r="E24" s="2523"/>
      <c r="F24" s="2523"/>
      <c r="G24" s="1162">
        <f>SUM(G9:G23)</f>
        <v>0</v>
      </c>
      <c r="H24" s="1162">
        <f>SUM(H9:H23)</f>
        <v>0</v>
      </c>
    </row>
    <row r="25" spans="1:8" ht="3" customHeight="1" x14ac:dyDescent="0.25">
      <c r="A25" s="1163"/>
      <c r="B25" s="1163"/>
      <c r="C25" s="1163"/>
      <c r="D25" s="1163"/>
      <c r="E25" s="1163"/>
      <c r="F25" s="1163"/>
      <c r="G25" s="1164"/>
      <c r="H25" s="1164"/>
    </row>
    <row r="26" spans="1:8" x14ac:dyDescent="0.25">
      <c r="A26" s="1165" t="s">
        <v>4334</v>
      </c>
      <c r="B26" s="1163"/>
      <c r="C26" s="1163"/>
      <c r="D26" s="1163"/>
      <c r="E26" s="1163"/>
      <c r="F26" s="1163"/>
      <c r="G26" s="1164"/>
      <c r="H26" s="1164"/>
    </row>
    <row r="27" spans="1:8" x14ac:dyDescent="0.25">
      <c r="A27" s="1163"/>
      <c r="B27" s="1163"/>
      <c r="C27" s="1163"/>
      <c r="D27" s="1163"/>
      <c r="E27" s="1163"/>
      <c r="F27" s="1163"/>
      <c r="G27" s="1164"/>
      <c r="H27" s="1164"/>
    </row>
  </sheetData>
  <sheetProtection selectLockedCells="1"/>
  <mergeCells count="26">
    <mergeCell ref="A24:D24"/>
    <mergeCell ref="E24:F24"/>
    <mergeCell ref="A18:F18"/>
    <mergeCell ref="A19:F19"/>
    <mergeCell ref="A20:F20"/>
    <mergeCell ref="A21:F21"/>
    <mergeCell ref="A22:F22"/>
    <mergeCell ref="A23:F23"/>
    <mergeCell ref="A17:F17"/>
    <mergeCell ref="C6:D6"/>
    <mergeCell ref="A7:H7"/>
    <mergeCell ref="A8:F8"/>
    <mergeCell ref="A9:F9"/>
    <mergeCell ref="A10:F10"/>
    <mergeCell ref="A11:F11"/>
    <mergeCell ref="A12:F12"/>
    <mergeCell ref="A13:F13"/>
    <mergeCell ref="A14:F14"/>
    <mergeCell ref="A15:F15"/>
    <mergeCell ref="A16:F16"/>
    <mergeCell ref="C5:D5"/>
    <mergeCell ref="A1:H1"/>
    <mergeCell ref="A2:B2"/>
    <mergeCell ref="G2:H2"/>
    <mergeCell ref="C3:H3"/>
    <mergeCell ref="B4:F4"/>
  </mergeCells>
  <dataValidations count="1">
    <dataValidation type="whole" allowBlank="1" showInputMessage="1" showErrorMessage="1" errorTitle="Attention!" error="Valeur numérique attendue" sqref="G9:H23">
      <formula1>-9999999999999</formula1>
      <formula2>9999999999999</formula2>
    </dataValidation>
  </dataValidations>
  <printOptions horizontalCentered="1"/>
  <pageMargins left="0.31496062992125984" right="0.31496062992125984" top="0.35433070866141736" bottom="0.35433070866141736" header="0.31496062992125984" footer="0.31496062992125984"/>
  <pageSetup paperSize="9" scale="91"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I29"/>
  <sheetViews>
    <sheetView showGridLines="0" zoomScale="150" zoomScaleNormal="150" zoomScaleSheetLayoutView="100" workbookViewId="0">
      <selection activeCell="J2" sqref="J2"/>
    </sheetView>
  </sheetViews>
  <sheetFormatPr baseColWidth="10" defaultRowHeight="15" x14ac:dyDescent="0.25"/>
  <cols>
    <col min="1" max="1" width="11.42578125" style="1024"/>
    <col min="2" max="2" width="17" style="1024" customWidth="1"/>
    <col min="3" max="4" width="11.42578125" style="1024"/>
    <col min="5" max="5" width="14.140625" style="1024" customWidth="1"/>
    <col min="6" max="6" width="11.42578125" style="1024"/>
    <col min="7" max="7" width="7.42578125" style="1024" customWidth="1"/>
    <col min="8" max="9" width="15.28515625" style="1024" customWidth="1"/>
    <col min="10" max="16384" width="11.42578125" style="1024"/>
  </cols>
  <sheetData>
    <row r="1" spans="1:9" x14ac:dyDescent="0.25">
      <c r="A1" s="2526" t="s">
        <v>3974</v>
      </c>
      <c r="B1" s="2526"/>
      <c r="C1" s="2526"/>
      <c r="D1" s="2526"/>
      <c r="E1" s="2526"/>
      <c r="F1" s="2526"/>
      <c r="G1" s="2526"/>
      <c r="H1" s="2526"/>
      <c r="I1" s="2526"/>
    </row>
    <row r="2" spans="1:9" ht="18" customHeight="1" x14ac:dyDescent="0.25">
      <c r="A2" s="1166"/>
      <c r="B2" s="1166"/>
      <c r="C2" s="1167"/>
      <c r="D2" s="1167"/>
      <c r="E2" s="1167"/>
      <c r="F2" s="1167"/>
      <c r="H2" s="2527" t="s">
        <v>4335</v>
      </c>
      <c r="I2" s="2528"/>
    </row>
    <row r="3" spans="1:9" s="1170" customFormat="1" ht="15" customHeight="1" x14ac:dyDescent="0.2">
      <c r="A3" s="1168" t="s">
        <v>3976</v>
      </c>
      <c r="B3" s="1169"/>
      <c r="C3" s="2529" t="str">
        <f>'Liste ETATS SUPPL DGI'!C3</f>
        <v>SAM CONSEILS</v>
      </c>
      <c r="D3" s="2529"/>
      <c r="E3" s="2529"/>
      <c r="F3" s="2529"/>
      <c r="G3" s="2529"/>
      <c r="H3" s="2529"/>
      <c r="I3" s="2529"/>
    </row>
    <row r="4" spans="1:9" s="1170" customFormat="1" ht="15" customHeight="1" x14ac:dyDescent="0.2">
      <c r="A4" s="1168" t="s">
        <v>1602</v>
      </c>
      <c r="B4" s="2529" t="str">
        <f>'Liste ETATS SUPPL DGI'!B4</f>
        <v>02 BP 5358 OUAGA 02</v>
      </c>
      <c r="C4" s="2529"/>
      <c r="D4" s="2529"/>
      <c r="E4" s="2529"/>
      <c r="F4" s="2529"/>
      <c r="G4" s="2529"/>
      <c r="H4" s="1171" t="s">
        <v>3977</v>
      </c>
      <c r="I4" s="1172" t="str">
        <f>'Liste ETATS SUPPL DGI'!I4</f>
        <v>SAM CONSEILS</v>
      </c>
    </row>
    <row r="5" spans="1:9" s="1170" customFormat="1" ht="15" customHeight="1" x14ac:dyDescent="0.2">
      <c r="A5" s="1053" t="s">
        <v>3978</v>
      </c>
      <c r="B5" s="1173"/>
      <c r="C5" s="2530" t="str">
        <f>'Liste ETATS SUPPL DGI'!C5</f>
        <v>00084404X</v>
      </c>
      <c r="D5" s="2530"/>
      <c r="E5" s="1174" t="s">
        <v>3979</v>
      </c>
      <c r="F5" s="2531">
        <f>'Liste ETATS SUPPL DGI'!F5:G5</f>
        <v>43465</v>
      </c>
      <c r="G5" s="2532"/>
      <c r="H5" s="1171" t="s">
        <v>3980</v>
      </c>
      <c r="I5" s="1172">
        <f>'Liste ETATS SUPPL DGI'!I5</f>
        <v>12</v>
      </c>
    </row>
    <row r="6" spans="1:9" s="1170" customFormat="1" ht="15" customHeight="1" x14ac:dyDescent="0.2">
      <c r="A6" s="1055" t="s">
        <v>3981</v>
      </c>
      <c r="B6" s="1173"/>
      <c r="C6" s="2534" t="str">
        <f>'Liste ETATS SUPPL DGI'!C6</f>
        <v>AMMTB89</v>
      </c>
      <c r="D6" s="2534"/>
      <c r="E6" s="1175"/>
      <c r="F6" s="1176"/>
      <c r="G6" s="1176"/>
      <c r="H6" s="1175"/>
      <c r="I6" s="1176"/>
    </row>
    <row r="7" spans="1:9" ht="42" customHeight="1" x14ac:dyDescent="0.25">
      <c r="A7" s="2535" t="s">
        <v>4336</v>
      </c>
      <c r="B7" s="2535"/>
      <c r="C7" s="2535"/>
      <c r="D7" s="2535"/>
      <c r="E7" s="2535"/>
      <c r="F7" s="2535"/>
      <c r="G7" s="2535"/>
      <c r="H7" s="2535"/>
      <c r="I7" s="2535"/>
    </row>
    <row r="8" spans="1:9" ht="19.5" customHeight="1" x14ac:dyDescent="0.25">
      <c r="A8" s="2536" t="s">
        <v>4337</v>
      </c>
      <c r="B8" s="2536"/>
      <c r="C8" s="2536"/>
      <c r="D8" s="2536"/>
      <c r="E8" s="2536"/>
      <c r="F8" s="2536"/>
      <c r="G8" s="2536"/>
      <c r="H8" s="1177" t="s">
        <v>4338</v>
      </c>
      <c r="I8" s="1177" t="s">
        <v>4339</v>
      </c>
    </row>
    <row r="9" spans="1:9" x14ac:dyDescent="0.25">
      <c r="A9" s="2537"/>
      <c r="B9" s="2537"/>
      <c r="C9" s="2537"/>
      <c r="D9" s="2537"/>
      <c r="E9" s="2537"/>
      <c r="F9" s="2537"/>
      <c r="G9" s="2537"/>
      <c r="H9" s="1178"/>
      <c r="I9" s="1178"/>
    </row>
    <row r="10" spans="1:9" x14ac:dyDescent="0.25">
      <c r="A10" s="2533"/>
      <c r="B10" s="2533"/>
      <c r="C10" s="2533"/>
      <c r="D10" s="2533"/>
      <c r="E10" s="2533"/>
      <c r="F10" s="2533"/>
      <c r="G10" s="2533"/>
      <c r="H10" s="1179"/>
      <c r="I10" s="1179"/>
    </row>
    <row r="11" spans="1:9" x14ac:dyDescent="0.25">
      <c r="A11" s="2533"/>
      <c r="B11" s="2533"/>
      <c r="C11" s="2533"/>
      <c r="D11" s="2533"/>
      <c r="E11" s="2533"/>
      <c r="F11" s="2533"/>
      <c r="G11" s="2533"/>
      <c r="H11" s="1179"/>
      <c r="I11" s="1179"/>
    </row>
    <row r="12" spans="1:9" x14ac:dyDescent="0.25">
      <c r="A12" s="2533"/>
      <c r="B12" s="2533"/>
      <c r="C12" s="2533"/>
      <c r="D12" s="2533"/>
      <c r="E12" s="2533"/>
      <c r="F12" s="2533"/>
      <c r="G12" s="2533"/>
      <c r="H12" s="1179"/>
      <c r="I12" s="1179"/>
    </row>
    <row r="13" spans="1:9" x14ac:dyDescent="0.25">
      <c r="A13" s="2533"/>
      <c r="B13" s="2533"/>
      <c r="C13" s="2533"/>
      <c r="D13" s="2533"/>
      <c r="E13" s="2533"/>
      <c r="F13" s="2533"/>
      <c r="G13" s="2533"/>
      <c r="H13" s="1179"/>
      <c r="I13" s="1179"/>
    </row>
    <row r="14" spans="1:9" x14ac:dyDescent="0.25">
      <c r="A14" s="2538"/>
      <c r="B14" s="2539"/>
      <c r="C14" s="2539"/>
      <c r="D14" s="2539"/>
      <c r="E14" s="2539"/>
      <c r="F14" s="2539"/>
      <c r="G14" s="2540"/>
      <c r="H14" s="1179"/>
      <c r="I14" s="1179"/>
    </row>
    <row r="15" spans="1:9" x14ac:dyDescent="0.25">
      <c r="A15" s="2533"/>
      <c r="B15" s="2533"/>
      <c r="C15" s="2533"/>
      <c r="D15" s="2533"/>
      <c r="E15" s="2533"/>
      <c r="F15" s="2533"/>
      <c r="G15" s="2533"/>
      <c r="H15" s="1179"/>
      <c r="I15" s="1179"/>
    </row>
    <row r="16" spans="1:9" x14ac:dyDescent="0.25">
      <c r="A16" s="2533"/>
      <c r="B16" s="2533"/>
      <c r="C16" s="2533"/>
      <c r="D16" s="2533"/>
      <c r="E16" s="2533"/>
      <c r="F16" s="2533"/>
      <c r="G16" s="2533"/>
      <c r="H16" s="1179"/>
      <c r="I16" s="1179"/>
    </row>
    <row r="17" spans="1:9" x14ac:dyDescent="0.25">
      <c r="A17" s="2533"/>
      <c r="B17" s="2533"/>
      <c r="C17" s="2533"/>
      <c r="D17" s="2533"/>
      <c r="E17" s="2533"/>
      <c r="F17" s="2533"/>
      <c r="G17" s="2533"/>
      <c r="H17" s="1179"/>
      <c r="I17" s="1179"/>
    </row>
    <row r="18" spans="1:9" x14ac:dyDescent="0.25">
      <c r="A18" s="2541"/>
      <c r="B18" s="2541"/>
      <c r="C18" s="2541"/>
      <c r="D18" s="2541"/>
      <c r="E18" s="2541"/>
      <c r="F18" s="2541"/>
      <c r="G18" s="2541"/>
      <c r="H18" s="1180"/>
      <c r="I18" s="1180"/>
    </row>
    <row r="19" spans="1:9" ht="19.5" customHeight="1" x14ac:dyDescent="0.25">
      <c r="A19" s="2542" t="s">
        <v>4340</v>
      </c>
      <c r="B19" s="2542"/>
      <c r="C19" s="2542"/>
      <c r="D19" s="2542"/>
      <c r="E19" s="2542"/>
      <c r="F19" s="2542"/>
      <c r="G19" s="2542"/>
      <c r="H19" s="1181" t="s">
        <v>4338</v>
      </c>
      <c r="I19" s="1181" t="s">
        <v>4339</v>
      </c>
    </row>
    <row r="20" spans="1:9" x14ac:dyDescent="0.25">
      <c r="A20" s="2537"/>
      <c r="B20" s="2537"/>
      <c r="C20" s="2537"/>
      <c r="D20" s="2537"/>
      <c r="E20" s="2537"/>
      <c r="F20" s="2537"/>
      <c r="G20" s="2537"/>
      <c r="H20" s="1178"/>
      <c r="I20" s="1178"/>
    </row>
    <row r="21" spans="1:9" x14ac:dyDescent="0.25">
      <c r="A21" s="2533"/>
      <c r="B21" s="2533"/>
      <c r="C21" s="2533"/>
      <c r="D21" s="2533"/>
      <c r="E21" s="2533"/>
      <c r="F21" s="2533"/>
      <c r="G21" s="2533"/>
      <c r="H21" s="1179"/>
      <c r="I21" s="1179"/>
    </row>
    <row r="22" spans="1:9" x14ac:dyDescent="0.25">
      <c r="A22" s="2543"/>
      <c r="B22" s="2543"/>
      <c r="C22" s="2543"/>
      <c r="D22" s="2543"/>
      <c r="E22" s="2543"/>
      <c r="F22" s="2543"/>
      <c r="G22" s="2543"/>
      <c r="H22" s="1182"/>
      <c r="I22" s="1182"/>
    </row>
    <row r="23" spans="1:9" x14ac:dyDescent="0.25">
      <c r="A23" s="2533"/>
      <c r="B23" s="2533"/>
      <c r="C23" s="2533"/>
      <c r="D23" s="2533"/>
      <c r="E23" s="2533"/>
      <c r="F23" s="2533"/>
      <c r="G23" s="2533"/>
      <c r="H23" s="1179"/>
      <c r="I23" s="1179"/>
    </row>
    <row r="24" spans="1:9" x14ac:dyDescent="0.25">
      <c r="A24" s="2533"/>
      <c r="B24" s="2533"/>
      <c r="C24" s="2533"/>
      <c r="D24" s="2533"/>
      <c r="E24" s="2533"/>
      <c r="F24" s="2533"/>
      <c r="G24" s="2533"/>
      <c r="H24" s="1179"/>
      <c r="I24" s="1179"/>
    </row>
    <row r="25" spans="1:9" x14ac:dyDescent="0.25">
      <c r="A25" s="2533"/>
      <c r="B25" s="2533"/>
      <c r="C25" s="2533"/>
      <c r="D25" s="2533"/>
      <c r="E25" s="2533"/>
      <c r="F25" s="2533"/>
      <c r="G25" s="2533"/>
      <c r="H25" s="1179"/>
      <c r="I25" s="1179"/>
    </row>
    <row r="26" spans="1:9" x14ac:dyDescent="0.25">
      <c r="A26" s="2533"/>
      <c r="B26" s="2533"/>
      <c r="C26" s="2533"/>
      <c r="D26" s="2533"/>
      <c r="E26" s="2533"/>
      <c r="F26" s="2533"/>
      <c r="G26" s="2533"/>
      <c r="H26" s="1179"/>
      <c r="I26" s="1179"/>
    </row>
    <row r="27" spans="1:9" x14ac:dyDescent="0.25">
      <c r="A27" s="2533"/>
      <c r="B27" s="2533"/>
      <c r="C27" s="2533"/>
      <c r="D27" s="2533"/>
      <c r="E27" s="2533"/>
      <c r="F27" s="2533"/>
      <c r="G27" s="2533"/>
      <c r="H27" s="1179"/>
      <c r="I27" s="1179"/>
    </row>
    <row r="28" spans="1:9" x14ac:dyDescent="0.25">
      <c r="A28" s="2533"/>
      <c r="B28" s="2533"/>
      <c r="C28" s="2533"/>
      <c r="D28" s="2533"/>
      <c r="E28" s="2533"/>
      <c r="F28" s="2533"/>
      <c r="G28" s="2533"/>
      <c r="H28" s="1179"/>
      <c r="I28" s="1179"/>
    </row>
    <row r="29" spans="1:9" x14ac:dyDescent="0.25">
      <c r="A29" s="2533"/>
      <c r="B29" s="2533"/>
      <c r="C29" s="2533"/>
      <c r="D29" s="2533"/>
      <c r="E29" s="2533"/>
      <c r="F29" s="2533"/>
      <c r="G29" s="2533"/>
      <c r="H29" s="1179"/>
      <c r="I29" s="1179"/>
    </row>
  </sheetData>
  <sheetProtection selectLockedCells="1"/>
  <mergeCells count="30">
    <mergeCell ref="A29:G29"/>
    <mergeCell ref="A18:G18"/>
    <mergeCell ref="A19:G19"/>
    <mergeCell ref="A20:G20"/>
    <mergeCell ref="A21:G21"/>
    <mergeCell ref="A22:G22"/>
    <mergeCell ref="A23:G23"/>
    <mergeCell ref="A24:G24"/>
    <mergeCell ref="A25:G25"/>
    <mergeCell ref="A26:G26"/>
    <mergeCell ref="A27:G27"/>
    <mergeCell ref="A28:G28"/>
    <mergeCell ref="A17:G17"/>
    <mergeCell ref="C6:D6"/>
    <mergeCell ref="A7:I7"/>
    <mergeCell ref="A8:G8"/>
    <mergeCell ref="A9:G9"/>
    <mergeCell ref="A10:G10"/>
    <mergeCell ref="A11:G11"/>
    <mergeCell ref="A12:G12"/>
    <mergeCell ref="A13:G13"/>
    <mergeCell ref="A14:G14"/>
    <mergeCell ref="A15:G15"/>
    <mergeCell ref="A16:G16"/>
    <mergeCell ref="A1:I1"/>
    <mergeCell ref="H2:I2"/>
    <mergeCell ref="C3:I3"/>
    <mergeCell ref="B4:G4"/>
    <mergeCell ref="C5:D5"/>
    <mergeCell ref="F5:G5"/>
  </mergeCells>
  <dataValidations count="1">
    <dataValidation type="whole" allowBlank="1" showInputMessage="1" showErrorMessage="1" errorTitle="Attention!" error="Valeur numérique attendue" sqref="H9:I18 H20:I29">
      <formula1>-9999999999999</formula1>
      <formula2>9999999999999</formula2>
    </dataValidation>
  </dataValidations>
  <printOptions horizontalCentered="1"/>
  <pageMargins left="0.39370078740157483" right="0.39370078740157483" top="0.35433070866141736" bottom="0.35433070866141736" header="0.31496062992125984" footer="0.31496062992125984"/>
  <pageSetup paperSize="9" scale="82"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M46"/>
  <sheetViews>
    <sheetView showGridLines="0" zoomScaleNormal="100" zoomScaleSheetLayoutView="130" zoomScalePageLayoutView="115" workbookViewId="0">
      <selection activeCell="J2" sqref="J2"/>
    </sheetView>
  </sheetViews>
  <sheetFormatPr baseColWidth="10" defaultRowHeight="15" x14ac:dyDescent="0.25"/>
  <cols>
    <col min="1" max="1" width="16.85546875" customWidth="1"/>
    <col min="2" max="2" width="9.42578125" customWidth="1"/>
    <col min="3" max="3" width="10.5703125" customWidth="1"/>
    <col min="4" max="4" width="11" customWidth="1"/>
    <col min="5" max="5" width="9" customWidth="1"/>
    <col min="6" max="6" width="9.42578125" customWidth="1"/>
    <col min="7" max="7" width="12" customWidth="1"/>
    <col min="8" max="8" width="11.5703125" customWidth="1"/>
    <col min="9" max="9" width="10.42578125" customWidth="1"/>
    <col min="10" max="10" width="14.42578125" customWidth="1"/>
    <col min="11" max="11" width="9.7109375" customWidth="1"/>
    <col min="12" max="12" width="10.28515625" customWidth="1"/>
    <col min="13" max="13" width="9.7109375" customWidth="1"/>
  </cols>
  <sheetData>
    <row r="1" spans="1:13" ht="15.75" thickBot="1" x14ac:dyDescent="0.3">
      <c r="A1" s="2312" t="s">
        <v>3974</v>
      </c>
      <c r="B1" s="2312"/>
      <c r="C1" s="2312"/>
      <c r="D1" s="2312"/>
      <c r="E1" s="2312"/>
      <c r="F1" s="2312"/>
      <c r="G1" s="2312"/>
      <c r="H1" s="2312"/>
      <c r="I1" s="2312"/>
      <c r="J1" s="2312"/>
    </row>
    <row r="2" spans="1:13" ht="18" customHeight="1" thickBot="1" x14ac:dyDescent="0.3">
      <c r="A2" s="1127"/>
      <c r="B2" s="1127"/>
      <c r="C2" s="1076"/>
      <c r="D2" s="1076"/>
      <c r="E2" s="1076"/>
      <c r="F2" s="1076"/>
      <c r="G2" s="1076"/>
      <c r="I2" s="2544" t="s">
        <v>4341</v>
      </c>
      <c r="J2" s="2545"/>
      <c r="K2" s="2546"/>
      <c r="L2" s="1183"/>
    </row>
    <row r="3" spans="1:13" s="1093" customFormat="1" ht="21.95" customHeight="1" x14ac:dyDescent="0.2">
      <c r="A3" s="1053" t="s">
        <v>3976</v>
      </c>
      <c r="B3" s="1128"/>
      <c r="C3" s="2404" t="str">
        <f>'Liste ETATS SUPPL DGI'!C3</f>
        <v>SAM CONSEILS</v>
      </c>
      <c r="D3" s="2404"/>
      <c r="E3" s="2404"/>
      <c r="F3" s="2404"/>
      <c r="G3" s="2404"/>
      <c r="H3" s="2404"/>
      <c r="I3" s="2404"/>
      <c r="J3" s="2404"/>
    </row>
    <row r="4" spans="1:13" s="1093" customFormat="1" ht="15" customHeight="1" x14ac:dyDescent="0.2">
      <c r="A4" s="1053" t="s">
        <v>1602</v>
      </c>
      <c r="B4" s="2406" t="str">
        <f>'Liste ETATS SUPPL DGI'!B4</f>
        <v>02 BP 5358 OUAGA 02</v>
      </c>
      <c r="C4" s="2406"/>
      <c r="D4" s="2406"/>
      <c r="E4" s="2406"/>
      <c r="F4" s="2406"/>
      <c r="G4" s="2406"/>
      <c r="H4" s="2406"/>
      <c r="I4" s="1078" t="s">
        <v>3977</v>
      </c>
      <c r="J4" s="1079" t="str">
        <f>'Liste ETATS SUPPL DGI'!I4</f>
        <v>SAM CONSEILS</v>
      </c>
    </row>
    <row r="5" spans="1:13" s="1093" customFormat="1" ht="15" customHeight="1" x14ac:dyDescent="0.2">
      <c r="A5" s="1053" t="s">
        <v>3978</v>
      </c>
      <c r="B5" s="2547" t="str">
        <f>'Liste ETATS SUPPL DGI'!C5</f>
        <v>00084404X</v>
      </c>
      <c r="C5" s="2547"/>
      <c r="D5" s="1184"/>
      <c r="E5" s="2548" t="s">
        <v>3979</v>
      </c>
      <c r="F5" s="2548"/>
      <c r="G5" s="1129">
        <f>'Liste ETATS SUPPL DGI'!F5</f>
        <v>43465</v>
      </c>
      <c r="I5" s="1078" t="s">
        <v>3980</v>
      </c>
      <c r="J5" s="1079">
        <f>'Liste ETATS SUPPL DGI'!I5</f>
        <v>12</v>
      </c>
    </row>
    <row r="6" spans="1:13" s="1093" customFormat="1" ht="15" customHeight="1" thickBot="1" x14ac:dyDescent="0.25">
      <c r="A6" s="1055" t="s">
        <v>3981</v>
      </c>
      <c r="B6" s="1096"/>
      <c r="C6" s="2547" t="str">
        <f>'Liste ETATS SUPPL DGI'!C6</f>
        <v>AMMTB89</v>
      </c>
      <c r="D6" s="2547"/>
      <c r="E6" s="2547"/>
      <c r="F6" s="2547"/>
      <c r="G6" s="1133"/>
      <c r="H6" s="1077"/>
      <c r="I6" s="1080"/>
      <c r="J6" s="1084"/>
    </row>
    <row r="7" spans="1:13" ht="30" customHeight="1" thickBot="1" x14ac:dyDescent="0.3">
      <c r="A7" s="2551" t="s">
        <v>4006</v>
      </c>
      <c r="B7" s="2552"/>
      <c r="C7" s="2552"/>
      <c r="D7" s="2552"/>
      <c r="E7" s="2552"/>
      <c r="F7" s="2552"/>
      <c r="G7" s="2552"/>
      <c r="H7" s="2552"/>
      <c r="I7" s="2552"/>
      <c r="J7" s="2552"/>
      <c r="K7" s="2553"/>
      <c r="L7" s="1185"/>
      <c r="M7" s="1185"/>
    </row>
    <row r="8" spans="1:13" ht="36" customHeight="1" x14ac:dyDescent="0.25">
      <c r="A8" s="2554" t="s">
        <v>4342</v>
      </c>
      <c r="B8" s="2555"/>
      <c r="C8" s="2555"/>
      <c r="D8" s="2556" t="s">
        <v>4343</v>
      </c>
      <c r="E8" s="2556" t="s">
        <v>4344</v>
      </c>
      <c r="F8" s="2556" t="s">
        <v>4345</v>
      </c>
      <c r="G8" s="2556" t="s">
        <v>4346</v>
      </c>
      <c r="H8" s="2556" t="s">
        <v>4347</v>
      </c>
      <c r="I8" s="2556" t="s">
        <v>4348</v>
      </c>
      <c r="J8" s="2556" t="s">
        <v>4349</v>
      </c>
      <c r="K8" s="2549" t="s">
        <v>4350</v>
      </c>
    </row>
    <row r="9" spans="1:13" s="1085" customFormat="1" ht="54.75" thickBot="1" x14ac:dyDescent="0.3">
      <c r="A9" s="1186" t="s">
        <v>4351</v>
      </c>
      <c r="B9" s="1187" t="s">
        <v>4352</v>
      </c>
      <c r="C9" s="1187" t="s">
        <v>4353</v>
      </c>
      <c r="D9" s="2557"/>
      <c r="E9" s="2557"/>
      <c r="F9" s="2557"/>
      <c r="G9" s="2557"/>
      <c r="H9" s="2557"/>
      <c r="I9" s="2557"/>
      <c r="J9" s="2557"/>
      <c r="K9" s="2550"/>
      <c r="L9"/>
      <c r="M9"/>
    </row>
    <row r="10" spans="1:13" s="1085" customFormat="1" x14ac:dyDescent="0.25">
      <c r="A10" s="1188"/>
      <c r="B10" s="1189"/>
      <c r="C10" s="1189"/>
      <c r="D10" s="1189"/>
      <c r="E10" s="1189"/>
      <c r="F10" s="1190"/>
      <c r="G10" s="1189"/>
      <c r="H10" s="1189"/>
      <c r="I10" s="1189"/>
      <c r="J10" s="1189"/>
      <c r="K10" s="1191"/>
      <c r="L10"/>
      <c r="M10"/>
    </row>
    <row r="11" spans="1:13" s="1197" customFormat="1" x14ac:dyDescent="0.25">
      <c r="A11" s="1192"/>
      <c r="B11" s="1193"/>
      <c r="C11" s="1194"/>
      <c r="D11" s="1195"/>
      <c r="E11" s="1193"/>
      <c r="F11" s="1193"/>
      <c r="G11" s="1193"/>
      <c r="H11" s="1193"/>
      <c r="I11" s="1193"/>
      <c r="J11" s="1195"/>
      <c r="K11" s="1196"/>
      <c r="L11" s="298"/>
      <c r="M11" s="298"/>
    </row>
    <row r="12" spans="1:13" s="1197" customFormat="1" x14ac:dyDescent="0.25">
      <c r="A12" s="1192"/>
      <c r="B12" s="1193"/>
      <c r="C12" s="1198"/>
      <c r="D12" s="1195"/>
      <c r="E12" s="1193"/>
      <c r="F12" s="1193"/>
      <c r="G12" s="1193"/>
      <c r="H12" s="1193"/>
      <c r="I12" s="1193"/>
      <c r="J12" s="1199"/>
      <c r="K12" s="1196"/>
      <c r="L12" s="298"/>
      <c r="M12" s="298"/>
    </row>
    <row r="13" spans="1:13" s="1197" customFormat="1" x14ac:dyDescent="0.25">
      <c r="A13" s="1192"/>
      <c r="B13" s="1193"/>
      <c r="C13" s="1198"/>
      <c r="D13" s="1195"/>
      <c r="E13" s="1193"/>
      <c r="F13" s="1193"/>
      <c r="G13" s="1193"/>
      <c r="H13" s="1193"/>
      <c r="I13" s="1193"/>
      <c r="J13" s="1199"/>
      <c r="K13" s="1196"/>
      <c r="L13" s="298"/>
      <c r="M13" s="298"/>
    </row>
    <row r="14" spans="1:13" s="1197" customFormat="1" x14ac:dyDescent="0.25">
      <c r="A14" s="1192"/>
      <c r="B14" s="1193"/>
      <c r="C14" s="1198"/>
      <c r="D14" s="1195"/>
      <c r="E14" s="1193"/>
      <c r="F14" s="1193"/>
      <c r="G14" s="1193"/>
      <c r="H14" s="1193"/>
      <c r="I14" s="1193"/>
      <c r="J14" s="1199"/>
      <c r="K14" s="1196"/>
      <c r="L14" s="298"/>
      <c r="M14" s="298"/>
    </row>
    <row r="15" spans="1:13" s="1197" customFormat="1" x14ac:dyDescent="0.25">
      <c r="A15" s="1192"/>
      <c r="B15" s="1193"/>
      <c r="C15" s="1198"/>
      <c r="D15" s="1195"/>
      <c r="E15" s="1193"/>
      <c r="F15" s="1193"/>
      <c r="G15" s="1193"/>
      <c r="H15" s="1193"/>
      <c r="I15" s="1193"/>
      <c r="J15" s="1199"/>
      <c r="K15" s="1196"/>
      <c r="L15" s="298"/>
      <c r="M15" s="298"/>
    </row>
    <row r="16" spans="1:13" s="1197" customFormat="1" x14ac:dyDescent="0.25">
      <c r="A16" s="1192"/>
      <c r="B16" s="1193"/>
      <c r="C16" s="1198"/>
      <c r="D16" s="1195"/>
      <c r="E16" s="1193"/>
      <c r="F16" s="1193"/>
      <c r="G16" s="1193"/>
      <c r="H16" s="1193"/>
      <c r="I16" s="1193"/>
      <c r="J16" s="1199"/>
      <c r="K16" s="1196"/>
      <c r="L16" s="298"/>
      <c r="M16" s="298"/>
    </row>
    <row r="17" spans="1:13" s="1197" customFormat="1" x14ac:dyDescent="0.25">
      <c r="A17" s="1192"/>
      <c r="B17" s="1193"/>
      <c r="C17" s="1198"/>
      <c r="D17" s="1195"/>
      <c r="E17" s="1193"/>
      <c r="F17" s="1193"/>
      <c r="G17" s="1193"/>
      <c r="H17" s="1193"/>
      <c r="I17" s="1193"/>
      <c r="J17" s="1199"/>
      <c r="K17" s="1196"/>
      <c r="L17" s="298"/>
      <c r="M17" s="298"/>
    </row>
    <row r="18" spans="1:13" s="1197" customFormat="1" x14ac:dyDescent="0.25">
      <c r="A18" s="1192"/>
      <c r="B18" s="1193"/>
      <c r="C18" s="1198"/>
      <c r="D18" s="1195"/>
      <c r="E18" s="1193"/>
      <c r="F18" s="1193"/>
      <c r="G18" s="1193"/>
      <c r="H18" s="1193"/>
      <c r="I18" s="1193"/>
      <c r="J18" s="1199"/>
      <c r="K18" s="1196"/>
      <c r="L18" s="298"/>
      <c r="M18" s="298"/>
    </row>
    <row r="19" spans="1:13" s="1197" customFormat="1" x14ac:dyDescent="0.25">
      <c r="A19" s="1192"/>
      <c r="B19" s="1193"/>
      <c r="C19" s="1198"/>
      <c r="D19" s="1195"/>
      <c r="E19" s="1193"/>
      <c r="F19" s="1193"/>
      <c r="G19" s="1193"/>
      <c r="H19" s="1193"/>
      <c r="I19" s="1193"/>
      <c r="J19" s="1199"/>
      <c r="K19" s="1196"/>
      <c r="L19" s="298"/>
      <c r="M19" s="298"/>
    </row>
    <row r="20" spans="1:13" s="1197" customFormat="1" x14ac:dyDescent="0.25">
      <c r="A20" s="1192"/>
      <c r="B20" s="1193"/>
      <c r="C20" s="1198"/>
      <c r="D20" s="1195"/>
      <c r="E20" s="1193"/>
      <c r="F20" s="1193"/>
      <c r="G20" s="1193"/>
      <c r="H20" s="1193"/>
      <c r="I20" s="1193"/>
      <c r="J20" s="1199"/>
      <c r="K20" s="1196"/>
      <c r="L20" s="298"/>
      <c r="M20" s="298"/>
    </row>
    <row r="21" spans="1:13" s="1197" customFormat="1" x14ac:dyDescent="0.25">
      <c r="A21" s="1192"/>
      <c r="B21" s="1193"/>
      <c r="C21" s="1198"/>
      <c r="D21" s="1195"/>
      <c r="E21" s="1193"/>
      <c r="F21" s="1193"/>
      <c r="G21" s="1193"/>
      <c r="H21" s="1193"/>
      <c r="I21" s="1193"/>
      <c r="J21" s="1199"/>
      <c r="K21" s="1196"/>
      <c r="L21" s="298"/>
      <c r="M21" s="298"/>
    </row>
    <row r="22" spans="1:13" s="1197" customFormat="1" x14ac:dyDescent="0.25">
      <c r="A22" s="1192"/>
      <c r="B22" s="1193"/>
      <c r="C22" s="1198"/>
      <c r="D22" s="1195"/>
      <c r="E22" s="1193"/>
      <c r="F22" s="1193"/>
      <c r="G22" s="1193"/>
      <c r="H22" s="1193"/>
      <c r="I22" s="1193"/>
      <c r="J22" s="1199"/>
      <c r="K22" s="1196"/>
      <c r="L22" s="298"/>
      <c r="M22" s="298"/>
    </row>
    <row r="23" spans="1:13" s="1197" customFormat="1" x14ac:dyDescent="0.25">
      <c r="A23" s="1192"/>
      <c r="B23" s="1193"/>
      <c r="C23" s="1198"/>
      <c r="D23" s="1195"/>
      <c r="E23" s="1193"/>
      <c r="F23" s="1193"/>
      <c r="G23" s="1193"/>
      <c r="H23" s="1193"/>
      <c r="I23" s="1193"/>
      <c r="J23" s="1199"/>
      <c r="K23" s="1196"/>
      <c r="L23" s="298"/>
      <c r="M23" s="298"/>
    </row>
    <row r="24" spans="1:13" s="1197" customFormat="1" x14ac:dyDescent="0.25">
      <c r="A24" s="1192"/>
      <c r="B24" s="1193"/>
      <c r="C24" s="1198"/>
      <c r="D24" s="1195"/>
      <c r="E24" s="1193"/>
      <c r="F24" s="1193"/>
      <c r="G24" s="1193"/>
      <c r="H24" s="1193"/>
      <c r="I24" s="1193"/>
      <c r="J24" s="1199"/>
      <c r="K24" s="1196"/>
      <c r="L24" s="298"/>
      <c r="M24" s="298"/>
    </row>
    <row r="25" spans="1:13" s="1197" customFormat="1" x14ac:dyDescent="0.25">
      <c r="A25" s="1192"/>
      <c r="B25" s="1193"/>
      <c r="C25" s="1198"/>
      <c r="D25" s="1195"/>
      <c r="E25" s="1193"/>
      <c r="F25" s="1193"/>
      <c r="G25" s="1193"/>
      <c r="H25" s="1193"/>
      <c r="I25" s="1193"/>
      <c r="J25" s="1199"/>
      <c r="K25" s="1196"/>
      <c r="L25" s="298"/>
      <c r="M25" s="298"/>
    </row>
    <row r="26" spans="1:13" s="1197" customFormat="1" x14ac:dyDescent="0.25">
      <c r="A26" s="1192"/>
      <c r="B26" s="1193"/>
      <c r="C26" s="1198"/>
      <c r="D26" s="1195"/>
      <c r="E26" s="1193"/>
      <c r="F26" s="1193"/>
      <c r="G26" s="1193"/>
      <c r="H26" s="1193"/>
      <c r="I26" s="1193"/>
      <c r="J26" s="1199"/>
      <c r="K26" s="1196"/>
      <c r="L26" s="298"/>
      <c r="M26" s="298"/>
    </row>
    <row r="27" spans="1:13" s="1197" customFormat="1" x14ac:dyDescent="0.25">
      <c r="A27" s="1192"/>
      <c r="B27" s="1193"/>
      <c r="C27" s="1198"/>
      <c r="D27" s="1195"/>
      <c r="E27" s="1193"/>
      <c r="F27" s="1193"/>
      <c r="G27" s="1193"/>
      <c r="H27" s="1193"/>
      <c r="I27" s="1193"/>
      <c r="J27" s="1199"/>
      <c r="K27" s="1196"/>
      <c r="L27" s="298"/>
      <c r="M27" s="298"/>
    </row>
    <row r="28" spans="1:13" s="1197" customFormat="1" x14ac:dyDescent="0.25">
      <c r="A28" s="1192"/>
      <c r="B28" s="1193"/>
      <c r="C28" s="1198"/>
      <c r="D28" s="1195"/>
      <c r="E28" s="1193"/>
      <c r="F28" s="1193"/>
      <c r="G28" s="1193"/>
      <c r="H28" s="1193"/>
      <c r="I28" s="1193"/>
      <c r="J28" s="1199"/>
      <c r="K28" s="1196"/>
      <c r="L28" s="298"/>
      <c r="M28" s="298"/>
    </row>
    <row r="29" spans="1:13" s="1197" customFormat="1" x14ac:dyDescent="0.25">
      <c r="A29" s="1200"/>
      <c r="B29" s="1193"/>
      <c r="C29" s="1193"/>
      <c r="D29" s="1193"/>
      <c r="E29" s="1193"/>
      <c r="F29" s="1193"/>
      <c r="G29" s="1193"/>
      <c r="H29" s="1193"/>
      <c r="I29" s="1193"/>
      <c r="J29" s="1193"/>
      <c r="K29" s="1201"/>
      <c r="L29" s="298"/>
      <c r="M29" s="298"/>
    </row>
    <row r="30" spans="1:13" s="1197" customFormat="1" x14ac:dyDescent="0.25">
      <c r="A30" s="1200"/>
      <c r="B30" s="1193"/>
      <c r="C30" s="1193"/>
      <c r="D30" s="1193"/>
      <c r="E30" s="1193"/>
      <c r="F30" s="1193"/>
      <c r="G30" s="1193"/>
      <c r="H30" s="1193"/>
      <c r="I30" s="1193"/>
      <c r="J30" s="1193"/>
      <c r="K30" s="1201"/>
      <c r="L30" s="298"/>
      <c r="M30" s="298"/>
    </row>
    <row r="31" spans="1:13" s="1197" customFormat="1" x14ac:dyDescent="0.25">
      <c r="A31" s="1200"/>
      <c r="B31" s="1193"/>
      <c r="C31" s="1193"/>
      <c r="D31" s="1193"/>
      <c r="E31" s="1193"/>
      <c r="F31" s="1193"/>
      <c r="G31" s="1193"/>
      <c r="H31" s="1193"/>
      <c r="I31" s="1193"/>
      <c r="J31" s="1193"/>
      <c r="K31" s="1201"/>
      <c r="L31" s="298"/>
      <c r="M31" s="298"/>
    </row>
    <row r="32" spans="1:13" s="1197" customFormat="1" x14ac:dyDescent="0.25">
      <c r="A32" s="1200"/>
      <c r="B32" s="1193"/>
      <c r="C32" s="1193"/>
      <c r="D32" s="1193"/>
      <c r="E32" s="1193"/>
      <c r="F32" s="1193"/>
      <c r="G32" s="1193"/>
      <c r="H32" s="1193"/>
      <c r="I32" s="1193"/>
      <c r="J32" s="1193"/>
      <c r="K32" s="1201"/>
      <c r="L32" s="298"/>
      <c r="M32" s="298"/>
    </row>
    <row r="33" spans="1:13" s="1197" customFormat="1" x14ac:dyDescent="0.25">
      <c r="A33" s="1200"/>
      <c r="B33" s="1193"/>
      <c r="C33" s="1193"/>
      <c r="D33" s="1193"/>
      <c r="E33" s="1193"/>
      <c r="F33" s="1193"/>
      <c r="G33" s="1193"/>
      <c r="H33" s="1193"/>
      <c r="I33" s="1193"/>
      <c r="J33" s="1193"/>
      <c r="K33" s="1201"/>
      <c r="L33" s="298"/>
      <c r="M33" s="298"/>
    </row>
    <row r="34" spans="1:13" s="1197" customFormat="1" ht="15.75" thickBot="1" x14ac:dyDescent="0.3">
      <c r="A34" s="1202"/>
      <c r="B34" s="1203"/>
      <c r="C34" s="1203"/>
      <c r="D34" s="1203"/>
      <c r="E34" s="1203"/>
      <c r="F34" s="1203"/>
      <c r="G34" s="1203"/>
      <c r="H34" s="1203"/>
      <c r="I34" s="1203"/>
      <c r="J34" s="1203"/>
      <c r="K34" s="1204"/>
      <c r="L34" s="298"/>
      <c r="M34" s="298"/>
    </row>
    <row r="35" spans="1:13" s="1085" customFormat="1" ht="15.75" thickBot="1" x14ac:dyDescent="0.3">
      <c r="A35" s="1205" t="s">
        <v>262</v>
      </c>
      <c r="B35" s="1206"/>
      <c r="C35" s="1206"/>
      <c r="D35" s="1207">
        <f>SUM(D25:D34)</f>
        <v>0</v>
      </c>
      <c r="E35" s="1208"/>
      <c r="F35" s="1208"/>
      <c r="G35" s="1208"/>
      <c r="H35" s="1208"/>
      <c r="I35" s="1208"/>
      <c r="J35" s="1207">
        <f>SUM(J25:J34)</f>
        <v>0</v>
      </c>
      <c r="K35" s="1209">
        <f>SUM(K25:K34)</f>
        <v>0</v>
      </c>
      <c r="L35"/>
      <c r="M35"/>
    </row>
    <row r="36" spans="1:13" s="1085" customFormat="1" x14ac:dyDescent="0.25">
      <c r="A36"/>
      <c r="B36"/>
      <c r="C36"/>
      <c r="D36"/>
      <c r="E36"/>
      <c r="F36"/>
      <c r="G36"/>
      <c r="H36"/>
      <c r="I36"/>
      <c r="J36"/>
    </row>
    <row r="37" spans="1:13" s="1085" customFormat="1" x14ac:dyDescent="0.25">
      <c r="A37"/>
      <c r="B37"/>
      <c r="C37"/>
      <c r="D37"/>
      <c r="E37"/>
      <c r="F37"/>
      <c r="G37"/>
      <c r="H37"/>
      <c r="I37"/>
      <c r="J37"/>
    </row>
    <row r="38" spans="1:13" s="1085" customFormat="1" x14ac:dyDescent="0.25">
      <c r="A38"/>
      <c r="B38"/>
      <c r="C38"/>
      <c r="D38"/>
      <c r="E38"/>
      <c r="F38"/>
      <c r="G38"/>
      <c r="H38"/>
      <c r="I38"/>
      <c r="J38"/>
    </row>
    <row r="39" spans="1:13" s="1085" customFormat="1" x14ac:dyDescent="0.25">
      <c r="A39"/>
      <c r="B39"/>
      <c r="C39"/>
      <c r="D39"/>
      <c r="E39"/>
      <c r="F39"/>
      <c r="G39"/>
      <c r="H39"/>
      <c r="I39"/>
      <c r="J39"/>
    </row>
    <row r="40" spans="1:13" s="1085" customFormat="1" x14ac:dyDescent="0.25">
      <c r="A40"/>
      <c r="B40"/>
      <c r="C40"/>
      <c r="D40"/>
      <c r="E40"/>
      <c r="F40"/>
      <c r="G40"/>
      <c r="H40"/>
      <c r="I40"/>
      <c r="J40"/>
    </row>
    <row r="41" spans="1:13" s="1085" customFormat="1" x14ac:dyDescent="0.25">
      <c r="A41"/>
      <c r="B41"/>
      <c r="C41"/>
      <c r="D41"/>
      <c r="E41"/>
      <c r="F41"/>
      <c r="G41"/>
      <c r="H41"/>
      <c r="I41"/>
      <c r="J41"/>
    </row>
    <row r="42" spans="1:13" s="1085" customFormat="1" x14ac:dyDescent="0.25">
      <c r="A42"/>
      <c r="B42"/>
      <c r="C42"/>
      <c r="D42"/>
      <c r="E42"/>
      <c r="F42"/>
      <c r="G42"/>
      <c r="H42"/>
      <c r="I42"/>
      <c r="J42"/>
    </row>
    <row r="43" spans="1:13" s="1085" customFormat="1" x14ac:dyDescent="0.25">
      <c r="A43"/>
      <c r="B43"/>
      <c r="C43"/>
      <c r="D43"/>
      <c r="E43"/>
      <c r="F43"/>
      <c r="G43"/>
      <c r="H43"/>
      <c r="I43"/>
      <c r="J43"/>
    </row>
    <row r="44" spans="1:13" s="1085" customFormat="1" x14ac:dyDescent="0.25">
      <c r="A44"/>
      <c r="B44"/>
      <c r="C44"/>
      <c r="D44"/>
      <c r="E44"/>
      <c r="F44"/>
      <c r="G44"/>
      <c r="H44"/>
      <c r="I44"/>
      <c r="J44"/>
    </row>
    <row r="45" spans="1:13" s="1085" customFormat="1" x14ac:dyDescent="0.25">
      <c r="A45"/>
      <c r="B45"/>
      <c r="C45"/>
      <c r="D45"/>
      <c r="E45"/>
      <c r="F45"/>
      <c r="G45"/>
      <c r="H45"/>
      <c r="I45"/>
      <c r="J45"/>
    </row>
    <row r="46" spans="1:13" s="1085" customFormat="1" x14ac:dyDescent="0.25">
      <c r="A46"/>
      <c r="B46"/>
      <c r="C46"/>
      <c r="D46"/>
      <c r="E46"/>
      <c r="F46"/>
      <c r="G46"/>
      <c r="H46"/>
      <c r="I46"/>
      <c r="J46"/>
    </row>
  </sheetData>
  <sheetProtection selectLockedCells="1"/>
  <mergeCells count="17">
    <mergeCell ref="K8:K9"/>
    <mergeCell ref="C6:F6"/>
    <mergeCell ref="A7:K7"/>
    <mergeCell ref="A8:C8"/>
    <mergeCell ref="D8:D9"/>
    <mergeCell ref="E8:E9"/>
    <mergeCell ref="F8:F9"/>
    <mergeCell ref="G8:G9"/>
    <mergeCell ref="H8:H9"/>
    <mergeCell ref="I8:I9"/>
    <mergeCell ref="J8:J9"/>
    <mergeCell ref="A1:J1"/>
    <mergeCell ref="I2:K2"/>
    <mergeCell ref="C3:J3"/>
    <mergeCell ref="B4:H4"/>
    <mergeCell ref="B5:C5"/>
    <mergeCell ref="E5:F5"/>
  </mergeCells>
  <printOptions horizontalCentered="1"/>
  <pageMargins left="0.11811023622047245" right="7.874015748031496E-2" top="0.35433070866141736" bottom="0.35433070866141736" header="0.31496062992125984" footer="0.31496062992125984"/>
  <pageSetup paperSize="9" scale="72"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24"/>
  <sheetViews>
    <sheetView zoomScaleNormal="100" zoomScaleSheetLayoutView="130" workbookViewId="0">
      <selection activeCell="J2" sqref="J2"/>
    </sheetView>
  </sheetViews>
  <sheetFormatPr baseColWidth="10" defaultRowHeight="15" x14ac:dyDescent="0.25"/>
  <cols>
    <col min="1" max="1" width="12.140625" customWidth="1"/>
    <col min="2" max="2" width="15.28515625" customWidth="1"/>
    <col min="3" max="3" width="8.28515625" customWidth="1"/>
    <col min="4" max="4" width="6.5703125" customWidth="1"/>
    <col min="5" max="5" width="9.42578125" customWidth="1"/>
    <col min="6" max="6" width="5.140625" customWidth="1"/>
    <col min="7" max="7" width="11.5703125" customWidth="1"/>
    <col min="8" max="8" width="17.28515625" customWidth="1"/>
    <col min="9" max="9" width="12.28515625" customWidth="1"/>
    <col min="10" max="10" width="13.85546875" customWidth="1"/>
    <col min="11" max="11" width="14.85546875" customWidth="1"/>
  </cols>
  <sheetData>
    <row r="1" spans="1:11" ht="15" customHeight="1" x14ac:dyDescent="0.25">
      <c r="A1" s="1127"/>
      <c r="B1" s="1076"/>
      <c r="C1" s="1076"/>
      <c r="D1" s="1076"/>
      <c r="E1" s="1076"/>
      <c r="F1" s="1076"/>
      <c r="I1" s="2560" t="s">
        <v>4354</v>
      </c>
      <c r="J1" s="2560"/>
      <c r="K1" s="2560"/>
    </row>
    <row r="2" spans="1:11" ht="15.75" thickBot="1" x14ac:dyDescent="0.3">
      <c r="A2" s="1053" t="s">
        <v>3976</v>
      </c>
      <c r="C2" s="2561" t="str">
        <f>'Liste ETATS SUPPL DGI'!C3:J3</f>
        <v>SAM CONSEILS</v>
      </c>
      <c r="D2" s="2561"/>
      <c r="E2" s="2561"/>
      <c r="F2" s="2561"/>
      <c r="G2" s="2561"/>
      <c r="H2" s="2561"/>
      <c r="I2" s="2404"/>
      <c r="J2" s="1093"/>
      <c r="K2" s="1093"/>
    </row>
    <row r="3" spans="1:11" ht="15.75" thickBot="1" x14ac:dyDescent="0.3">
      <c r="A3" s="1053" t="s">
        <v>1602</v>
      </c>
      <c r="B3" s="2562" t="str">
        <f>'Liste ETATS SUPPL DGI'!B4:G4</f>
        <v>02 BP 5358 OUAGA 02</v>
      </c>
      <c r="C3" s="2563"/>
      <c r="D3" s="2563"/>
      <c r="E3" s="2563"/>
      <c r="F3" s="2563"/>
      <c r="G3" s="2563"/>
      <c r="H3" s="2564"/>
      <c r="I3" s="1210" t="s">
        <v>3977</v>
      </c>
      <c r="J3" s="1352" t="str">
        <f>'Liste ETATS SUPPL DGI'!I4</f>
        <v>SAM CONSEILS</v>
      </c>
      <c r="K3" s="1093"/>
    </row>
    <row r="4" spans="1:11" x14ac:dyDescent="0.25">
      <c r="A4" s="1053" t="s">
        <v>3978</v>
      </c>
      <c r="B4" s="2565" t="str">
        <f>'Liste ETATS SUPPL DGI'!C5</f>
        <v>00084404X</v>
      </c>
      <c r="C4" s="2566"/>
      <c r="D4" s="1128"/>
      <c r="E4" s="2488" t="s">
        <v>3979</v>
      </c>
      <c r="F4" s="2488"/>
      <c r="G4" s="2567">
        <f>'Liste ETATS SUPPL DGI'!F5</f>
        <v>43465</v>
      </c>
      <c r="H4" s="2566"/>
      <c r="I4" s="1210" t="s">
        <v>3980</v>
      </c>
      <c r="J4" s="1079">
        <f>'Liste ETATS SUPPL DGI'!I5</f>
        <v>12</v>
      </c>
      <c r="K4" s="1093"/>
    </row>
    <row r="5" spans="1:11" ht="15.75" thickBot="1" x14ac:dyDescent="0.3">
      <c r="A5" s="1055" t="s">
        <v>3981</v>
      </c>
      <c r="C5" s="2568" t="str">
        <f>'Liste ETATS SUPPL DGI'!C6:D6</f>
        <v>AMMTB89</v>
      </c>
      <c r="D5" s="2569"/>
      <c r="E5" s="2569"/>
      <c r="F5" s="2569"/>
      <c r="G5" s="1077"/>
      <c r="H5" s="1080"/>
      <c r="I5" s="1084"/>
      <c r="J5" s="1093"/>
      <c r="K5" s="1093"/>
    </row>
    <row r="6" spans="1:11" ht="15.75" thickBot="1" x14ac:dyDescent="0.3">
      <c r="A6" s="2570" t="s">
        <v>4355</v>
      </c>
      <c r="B6" s="2571"/>
      <c r="C6" s="2571"/>
      <c r="D6" s="2571"/>
      <c r="E6" s="2571"/>
      <c r="F6" s="2571"/>
      <c r="G6" s="2571"/>
      <c r="H6" s="2571"/>
      <c r="I6" s="2571"/>
      <c r="J6" s="2571"/>
      <c r="K6" s="2572"/>
    </row>
    <row r="7" spans="1:11" ht="21" customHeight="1" x14ac:dyDescent="0.25">
      <c r="A7" s="1211" t="s">
        <v>4356</v>
      </c>
      <c r="B7" s="2416" t="s">
        <v>4357</v>
      </c>
      <c r="C7" s="2419"/>
      <c r="D7" s="2420"/>
      <c r="E7" s="2573" t="s">
        <v>4358</v>
      </c>
      <c r="F7" s="2574"/>
      <c r="G7" s="2573" t="s">
        <v>4359</v>
      </c>
      <c r="H7" s="2574"/>
      <c r="I7" s="1212" t="s">
        <v>4360</v>
      </c>
      <c r="J7" s="1213" t="s">
        <v>3989</v>
      </c>
      <c r="K7" s="1214" t="s">
        <v>4361</v>
      </c>
    </row>
    <row r="8" spans="1:11" s="298" customFormat="1" x14ac:dyDescent="0.25">
      <c r="A8" s="1215"/>
      <c r="B8" s="2558"/>
      <c r="C8" s="2558"/>
      <c r="D8" s="2558"/>
      <c r="E8" s="2559"/>
      <c r="F8" s="2559"/>
      <c r="G8" s="2558"/>
      <c r="H8" s="2558"/>
      <c r="I8" s="1216"/>
      <c r="J8" s="1216"/>
      <c r="K8" s="1217"/>
    </row>
    <row r="9" spans="1:11" s="298" customFormat="1" x14ac:dyDescent="0.25">
      <c r="A9" s="1218"/>
      <c r="B9" s="2575"/>
      <c r="C9" s="2575"/>
      <c r="D9" s="2575"/>
      <c r="E9" s="2575"/>
      <c r="F9" s="2575"/>
      <c r="G9" s="2576"/>
      <c r="H9" s="2576"/>
      <c r="I9" s="1193"/>
      <c r="J9" s="1195"/>
      <c r="K9" s="1196"/>
    </row>
    <row r="10" spans="1:11" s="298" customFormat="1" x14ac:dyDescent="0.25">
      <c r="A10" s="1218"/>
      <c r="B10" s="2575"/>
      <c r="C10" s="2575"/>
      <c r="D10" s="2575"/>
      <c r="E10" s="2575"/>
      <c r="F10" s="2575"/>
      <c r="G10" s="2576"/>
      <c r="H10" s="2576"/>
      <c r="I10" s="1193"/>
      <c r="J10" s="1195"/>
      <c r="K10" s="1196"/>
    </row>
    <row r="11" spans="1:11" s="298" customFormat="1" x14ac:dyDescent="0.25">
      <c r="A11" s="1192"/>
      <c r="B11" s="2575"/>
      <c r="C11" s="2575"/>
      <c r="D11" s="2575"/>
      <c r="E11" s="2575"/>
      <c r="F11" s="2575"/>
      <c r="G11" s="2576"/>
      <c r="H11" s="2576"/>
      <c r="I11" s="1193"/>
      <c r="J11" s="1195"/>
      <c r="K11" s="1196"/>
    </row>
    <row r="12" spans="1:11" s="298" customFormat="1" x14ac:dyDescent="0.25">
      <c r="A12" s="1192"/>
      <c r="B12" s="2575"/>
      <c r="C12" s="2575"/>
      <c r="D12" s="2575"/>
      <c r="E12" s="2575"/>
      <c r="F12" s="2575"/>
      <c r="G12" s="2576"/>
      <c r="H12" s="2576"/>
      <c r="I12" s="1193"/>
      <c r="J12" s="1195"/>
      <c r="K12" s="1196"/>
    </row>
    <row r="13" spans="1:11" s="298" customFormat="1" x14ac:dyDescent="0.25">
      <c r="A13" s="1200"/>
      <c r="B13" s="2576"/>
      <c r="C13" s="2576"/>
      <c r="D13" s="2576"/>
      <c r="E13" s="2576"/>
      <c r="F13" s="2576"/>
      <c r="G13" s="2576"/>
      <c r="H13" s="2576"/>
      <c r="I13" s="1193"/>
      <c r="J13" s="1193"/>
      <c r="K13" s="1201"/>
    </row>
    <row r="14" spans="1:11" s="298" customFormat="1" x14ac:dyDescent="0.25">
      <c r="A14" s="1200"/>
      <c r="B14" s="2576"/>
      <c r="C14" s="2576"/>
      <c r="D14" s="2576"/>
      <c r="E14" s="2576"/>
      <c r="F14" s="2576"/>
      <c r="G14" s="2576"/>
      <c r="H14" s="2576"/>
      <c r="I14" s="1193"/>
      <c r="J14" s="1193"/>
      <c r="K14" s="1201"/>
    </row>
    <row r="15" spans="1:11" s="298" customFormat="1" x14ac:dyDescent="0.25">
      <c r="A15" s="1200"/>
      <c r="B15" s="2576"/>
      <c r="C15" s="2576"/>
      <c r="D15" s="2576"/>
      <c r="E15" s="2576"/>
      <c r="F15" s="2576"/>
      <c r="G15" s="2576"/>
      <c r="H15" s="2576"/>
      <c r="I15" s="1193"/>
      <c r="J15" s="1193"/>
      <c r="K15" s="1201"/>
    </row>
    <row r="16" spans="1:11" s="298" customFormat="1" x14ac:dyDescent="0.25">
      <c r="A16" s="1200"/>
      <c r="B16" s="2576"/>
      <c r="C16" s="2576"/>
      <c r="D16" s="2576"/>
      <c r="E16" s="2576"/>
      <c r="F16" s="2576"/>
      <c r="G16" s="2576"/>
      <c r="H16" s="2576"/>
      <c r="I16" s="1193"/>
      <c r="J16" s="1193"/>
      <c r="K16" s="1201"/>
    </row>
    <row r="17" spans="1:11" s="298" customFormat="1" x14ac:dyDescent="0.25">
      <c r="A17" s="1219"/>
      <c r="B17" s="2582"/>
      <c r="C17" s="2583"/>
      <c r="D17" s="2584"/>
      <c r="E17" s="2582"/>
      <c r="F17" s="2584"/>
      <c r="G17" s="2582"/>
      <c r="H17" s="2584"/>
      <c r="I17" s="1220"/>
      <c r="J17" s="1193"/>
      <c r="K17" s="1201"/>
    </row>
    <row r="18" spans="1:11" s="298" customFormat="1" ht="15.75" thickBot="1" x14ac:dyDescent="0.3">
      <c r="A18" s="1221"/>
      <c r="B18" s="2585"/>
      <c r="C18" s="2586"/>
      <c r="D18" s="2587"/>
      <c r="E18" s="2585"/>
      <c r="F18" s="2587"/>
      <c r="G18" s="2585"/>
      <c r="H18" s="2587"/>
      <c r="I18" s="1222"/>
      <c r="J18" s="1203"/>
      <c r="K18" s="1204"/>
    </row>
    <row r="19" spans="1:11" ht="15.75" thickBot="1" x14ac:dyDescent="0.3">
      <c r="A19" s="1223" t="s">
        <v>262</v>
      </c>
      <c r="B19" s="2577">
        <f>SUM(C9:C18)</f>
        <v>0</v>
      </c>
      <c r="C19" s="2578"/>
      <c r="D19" s="2579"/>
      <c r="E19" s="2577"/>
      <c r="F19" s="2579"/>
      <c r="G19" s="2580"/>
      <c r="H19" s="2581"/>
      <c r="I19" s="1224"/>
      <c r="J19" s="1207">
        <f>SUM(J9:J18)</f>
        <v>0</v>
      </c>
      <c r="K19" s="1209">
        <f>SUM(K9:K18)</f>
        <v>0</v>
      </c>
    </row>
    <row r="20" spans="1:11" x14ac:dyDescent="0.25">
      <c r="J20" s="1085"/>
      <c r="K20" s="1085"/>
    </row>
    <row r="21" spans="1:11" x14ac:dyDescent="0.25">
      <c r="J21" s="1085"/>
      <c r="K21" s="1085"/>
    </row>
    <row r="22" spans="1:11" x14ac:dyDescent="0.25">
      <c r="J22" s="1085"/>
      <c r="K22" s="1085"/>
    </row>
    <row r="23" spans="1:11" x14ac:dyDescent="0.25">
      <c r="J23" s="1085"/>
      <c r="K23" s="1085"/>
    </row>
    <row r="24" spans="1:11" x14ac:dyDescent="0.25">
      <c r="J24" s="1085"/>
      <c r="K24" s="1085"/>
    </row>
  </sheetData>
  <sheetProtection selectLockedCells="1"/>
  <mergeCells count="47">
    <mergeCell ref="B19:D19"/>
    <mergeCell ref="E19:F19"/>
    <mergeCell ref="G19:H19"/>
    <mergeCell ref="B17:D17"/>
    <mergeCell ref="E17:F17"/>
    <mergeCell ref="G17:H17"/>
    <mergeCell ref="B18:D18"/>
    <mergeCell ref="E18:F18"/>
    <mergeCell ref="G18:H18"/>
    <mergeCell ref="B15:D15"/>
    <mergeCell ref="E15:F15"/>
    <mergeCell ref="G15:H15"/>
    <mergeCell ref="B16:D16"/>
    <mergeCell ref="E16:F16"/>
    <mergeCell ref="G16:H16"/>
    <mergeCell ref="B13:D13"/>
    <mergeCell ref="E13:F13"/>
    <mergeCell ref="G13:H13"/>
    <mergeCell ref="B14:D14"/>
    <mergeCell ref="E14:F14"/>
    <mergeCell ref="G14:H14"/>
    <mergeCell ref="B11:D11"/>
    <mergeCell ref="E11:F11"/>
    <mergeCell ref="G11:H11"/>
    <mergeCell ref="B12:D12"/>
    <mergeCell ref="E12:F12"/>
    <mergeCell ref="G12:H12"/>
    <mergeCell ref="B9:D9"/>
    <mergeCell ref="E9:F9"/>
    <mergeCell ref="G9:H9"/>
    <mergeCell ref="B10:D10"/>
    <mergeCell ref="E10:F10"/>
    <mergeCell ref="G10:H10"/>
    <mergeCell ref="B8:D8"/>
    <mergeCell ref="E8:F8"/>
    <mergeCell ref="G8:H8"/>
    <mergeCell ref="I1:K1"/>
    <mergeCell ref="C2:I2"/>
    <mergeCell ref="B3:H3"/>
    <mergeCell ref="B4:C4"/>
    <mergeCell ref="E4:F4"/>
    <mergeCell ref="G4:H4"/>
    <mergeCell ref="C5:F5"/>
    <mergeCell ref="A6:K6"/>
    <mergeCell ref="B7:D7"/>
    <mergeCell ref="E7:F7"/>
    <mergeCell ref="G7:H7"/>
  </mergeCells>
  <pageMargins left="0.7" right="0.7" top="0.75" bottom="0.75"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20"/>
  <sheetViews>
    <sheetView zoomScaleNormal="100" zoomScaleSheetLayoutView="145" workbookViewId="0">
      <selection activeCell="J2" sqref="J2"/>
    </sheetView>
  </sheetViews>
  <sheetFormatPr baseColWidth="10" defaultRowHeight="15" x14ac:dyDescent="0.25"/>
  <cols>
    <col min="1" max="1" width="15" customWidth="1"/>
    <col min="2" max="2" width="15.28515625" customWidth="1"/>
    <col min="3" max="3" width="11" customWidth="1"/>
    <col min="4" max="4" width="12.5703125" customWidth="1"/>
    <col min="5" max="5" width="9.42578125" customWidth="1"/>
    <col min="6" max="6" width="8.7109375" customWidth="1"/>
    <col min="7" max="7" width="13.7109375" customWidth="1"/>
    <col min="8" max="8" width="21.5703125" customWidth="1"/>
    <col min="9" max="9" width="17.42578125" customWidth="1"/>
    <col min="10" max="10" width="11.85546875" customWidth="1"/>
    <col min="11" max="11" width="17.28515625" customWidth="1"/>
  </cols>
  <sheetData>
    <row r="1" spans="1:11" ht="15" customHeight="1" x14ac:dyDescent="0.25">
      <c r="A1" s="1127"/>
      <c r="B1" s="1127"/>
      <c r="C1" s="1076"/>
      <c r="D1" s="1076"/>
      <c r="E1" s="1076"/>
      <c r="F1" s="1076"/>
      <c r="G1" s="2588" t="s">
        <v>4362</v>
      </c>
      <c r="H1" s="2589"/>
      <c r="I1" s="1225"/>
    </row>
    <row r="2" spans="1:11" ht="15" customHeight="1" x14ac:dyDescent="0.25">
      <c r="A2" s="1127"/>
      <c r="B2" s="1076"/>
      <c r="C2" s="1076"/>
      <c r="D2" s="1076"/>
      <c r="E2" s="1076"/>
      <c r="F2" s="1076"/>
    </row>
    <row r="3" spans="1:11" x14ac:dyDescent="0.25">
      <c r="A3" s="1053" t="s">
        <v>3976</v>
      </c>
      <c r="C3" s="2404" t="str">
        <f>'Liste ETATS SUPPL DGI'!C3</f>
        <v>SAM CONSEILS</v>
      </c>
      <c r="D3" s="2404"/>
      <c r="E3" s="2404"/>
      <c r="F3" s="2404"/>
      <c r="G3" s="2404"/>
      <c r="H3" s="2404"/>
      <c r="I3" s="2404"/>
      <c r="J3" s="1093"/>
      <c r="K3" s="1093"/>
    </row>
    <row r="4" spans="1:11" x14ac:dyDescent="0.25">
      <c r="A4" s="1053" t="s">
        <v>1602</v>
      </c>
      <c r="B4" s="2561" t="str">
        <f>'Liste ETATS SUPPL DGI'!B4</f>
        <v>02 BP 5358 OUAGA 02</v>
      </c>
      <c r="C4" s="2561"/>
      <c r="D4" s="2561"/>
      <c r="E4" s="2561"/>
      <c r="F4" s="2561"/>
      <c r="G4" s="2561"/>
      <c r="H4" s="1210" t="s">
        <v>3977</v>
      </c>
      <c r="I4" s="1079" t="str">
        <f>'Liste ETATS SUPPL DGI'!I4</f>
        <v>SAM CONSEILS</v>
      </c>
      <c r="K4" s="1093"/>
    </row>
    <row r="5" spans="1:11" x14ac:dyDescent="0.25">
      <c r="A5" s="1053" t="s">
        <v>3978</v>
      </c>
      <c r="B5" s="2561" t="str">
        <f>'Liste ETATS SUPPL DGI'!C5</f>
        <v>00084404X</v>
      </c>
      <c r="C5" s="2561"/>
      <c r="D5" s="2561"/>
      <c r="E5" s="2590" t="s">
        <v>3979</v>
      </c>
      <c r="F5" s="2590"/>
      <c r="G5" s="1129">
        <f>'Liste ETATS SUPPL DGI'!F5</f>
        <v>43465</v>
      </c>
      <c r="H5" s="1210" t="s">
        <v>3980</v>
      </c>
      <c r="I5" s="1079">
        <f>'Liste ETATS SUPPL DGI'!I5</f>
        <v>12</v>
      </c>
      <c r="K5" s="1093"/>
    </row>
    <row r="6" spans="1:11" x14ac:dyDescent="0.25">
      <c r="A6" s="1055" t="s">
        <v>3981</v>
      </c>
      <c r="C6" s="2547" t="str">
        <f>'Liste ETATS SUPPL DGI'!C6</f>
        <v>AMMTB89</v>
      </c>
      <c r="D6" s="2547"/>
      <c r="E6" s="2547"/>
      <c r="F6" s="1133"/>
      <c r="G6" s="1077"/>
      <c r="H6" s="1080"/>
      <c r="I6" s="1084"/>
      <c r="J6" s="1093"/>
      <c r="K6" s="1093"/>
    </row>
    <row r="7" spans="1:11" x14ac:dyDescent="0.25">
      <c r="A7" s="1185" t="s">
        <v>4363</v>
      </c>
      <c r="B7" s="1185"/>
      <c r="C7" s="1185"/>
      <c r="D7" s="1185"/>
      <c r="E7" s="1185"/>
      <c r="F7" s="1185"/>
      <c r="G7" s="1185"/>
      <c r="H7" s="1185"/>
      <c r="I7" s="1185"/>
      <c r="J7" s="1185"/>
      <c r="K7" s="1185"/>
    </row>
    <row r="8" spans="1:11" ht="23.25" customHeight="1" x14ac:dyDescent="0.25">
      <c r="A8" s="1226" t="s">
        <v>4356</v>
      </c>
      <c r="B8" s="2591" t="s">
        <v>4357</v>
      </c>
      <c r="C8" s="2591"/>
      <c r="D8" s="2591"/>
      <c r="E8" s="2591" t="s">
        <v>4358</v>
      </c>
      <c r="F8" s="2591"/>
      <c r="G8" s="2591" t="s">
        <v>4364</v>
      </c>
      <c r="H8" s="2591"/>
      <c r="I8" s="1226" t="s">
        <v>4365</v>
      </c>
    </row>
    <row r="9" spans="1:11" s="298" customFormat="1" x14ac:dyDescent="0.25">
      <c r="A9" s="1216"/>
      <c r="B9" s="2558"/>
      <c r="C9" s="2558"/>
      <c r="D9" s="2558"/>
      <c r="E9" s="2559"/>
      <c r="F9" s="2559"/>
      <c r="G9" s="2558"/>
      <c r="H9" s="2558"/>
      <c r="I9" s="1216"/>
    </row>
    <row r="10" spans="1:11" s="298" customFormat="1" x14ac:dyDescent="0.25">
      <c r="A10" s="1194"/>
      <c r="B10" s="2575"/>
      <c r="C10" s="2575"/>
      <c r="D10" s="2575"/>
      <c r="E10" s="2575"/>
      <c r="F10" s="2575"/>
      <c r="G10" s="2576"/>
      <c r="H10" s="2576"/>
      <c r="I10" s="1193"/>
    </row>
    <row r="11" spans="1:11" s="298" customFormat="1" x14ac:dyDescent="0.25">
      <c r="A11" s="1194"/>
      <c r="B11" s="2575"/>
      <c r="C11" s="2575"/>
      <c r="D11" s="2575"/>
      <c r="E11" s="2575"/>
      <c r="F11" s="2575"/>
      <c r="G11" s="2576"/>
      <c r="H11" s="2576"/>
      <c r="I11" s="1193"/>
    </row>
    <row r="12" spans="1:11" s="298" customFormat="1" x14ac:dyDescent="0.25">
      <c r="A12" s="1227"/>
      <c r="B12" s="2575"/>
      <c r="C12" s="2575"/>
      <c r="D12" s="2575"/>
      <c r="E12" s="2575"/>
      <c r="F12" s="2575"/>
      <c r="G12" s="2576"/>
      <c r="H12" s="2576"/>
      <c r="I12" s="1193"/>
    </row>
    <row r="13" spans="1:11" s="298" customFormat="1" x14ac:dyDescent="0.25">
      <c r="A13" s="1227"/>
      <c r="B13" s="2575"/>
      <c r="C13" s="2575"/>
      <c r="D13" s="2575"/>
      <c r="E13" s="2575"/>
      <c r="F13" s="2575"/>
      <c r="G13" s="2576"/>
      <c r="H13" s="2576"/>
      <c r="I13" s="1193"/>
    </row>
    <row r="14" spans="1:11" s="298" customFormat="1" x14ac:dyDescent="0.25">
      <c r="A14" s="1193"/>
      <c r="B14" s="2576"/>
      <c r="C14" s="2576"/>
      <c r="D14" s="2576"/>
      <c r="E14" s="2576"/>
      <c r="F14" s="2576"/>
      <c r="G14" s="2576"/>
      <c r="H14" s="2576"/>
      <c r="I14" s="1193"/>
    </row>
    <row r="15" spans="1:11" s="298" customFormat="1" x14ac:dyDescent="0.25">
      <c r="A15" s="1193"/>
      <c r="B15" s="2576"/>
      <c r="C15" s="2576"/>
      <c r="D15" s="2576"/>
      <c r="E15" s="2576"/>
      <c r="F15" s="2576"/>
      <c r="G15" s="2576"/>
      <c r="H15" s="2576"/>
      <c r="I15" s="1193"/>
    </row>
    <row r="16" spans="1:11" s="298" customFormat="1" x14ac:dyDescent="0.25">
      <c r="A16" s="1193"/>
      <c r="B16" s="2576"/>
      <c r="C16" s="2576"/>
      <c r="D16" s="2576"/>
      <c r="E16" s="2576"/>
      <c r="F16" s="2576"/>
      <c r="G16" s="2576"/>
      <c r="H16" s="2576"/>
      <c r="I16" s="1193"/>
    </row>
    <row r="17" spans="1:9" s="298" customFormat="1" x14ac:dyDescent="0.25">
      <c r="A17" s="1193"/>
      <c r="B17" s="2576"/>
      <c r="C17" s="2576"/>
      <c r="D17" s="2576"/>
      <c r="E17" s="2576"/>
      <c r="F17" s="2576"/>
      <c r="G17" s="2576"/>
      <c r="H17" s="2576"/>
      <c r="I17" s="1193"/>
    </row>
    <row r="18" spans="1:9" s="298" customFormat="1" x14ac:dyDescent="0.25">
      <c r="A18" s="1193"/>
      <c r="B18" s="2576"/>
      <c r="C18" s="2576"/>
      <c r="D18" s="2576"/>
      <c r="E18" s="2576"/>
      <c r="F18" s="2576"/>
      <c r="G18" s="2576"/>
      <c r="H18" s="2576"/>
      <c r="I18" s="1193"/>
    </row>
    <row r="19" spans="1:9" s="298" customFormat="1" x14ac:dyDescent="0.25">
      <c r="A19" s="1193"/>
      <c r="B19" s="2576"/>
      <c r="C19" s="2576"/>
      <c r="D19" s="2576"/>
      <c r="E19" s="2576"/>
      <c r="F19" s="2576"/>
      <c r="G19" s="2576"/>
      <c r="H19" s="2576"/>
      <c r="I19" s="1193"/>
    </row>
    <row r="20" spans="1:9" x14ac:dyDescent="0.25">
      <c r="A20" s="1228" t="s">
        <v>262</v>
      </c>
      <c r="B20" s="2592"/>
      <c r="C20" s="2592"/>
      <c r="D20" s="2592"/>
      <c r="E20" s="2592"/>
      <c r="F20" s="2592"/>
      <c r="G20" s="2593"/>
      <c r="H20" s="2593"/>
      <c r="I20" s="1228">
        <f>SUM(I9:I19)</f>
        <v>0</v>
      </c>
    </row>
  </sheetData>
  <sheetProtection selectLockedCells="1"/>
  <mergeCells count="45">
    <mergeCell ref="B20:D20"/>
    <mergeCell ref="E20:F20"/>
    <mergeCell ref="G20:H20"/>
    <mergeCell ref="B18:D18"/>
    <mergeCell ref="E18:F18"/>
    <mergeCell ref="G18:H18"/>
    <mergeCell ref="B19:D19"/>
    <mergeCell ref="E19:F19"/>
    <mergeCell ref="G19:H19"/>
    <mergeCell ref="B16:D16"/>
    <mergeCell ref="E16:F16"/>
    <mergeCell ref="G16:H16"/>
    <mergeCell ref="B17:D17"/>
    <mergeCell ref="E17:F17"/>
    <mergeCell ref="G17:H17"/>
    <mergeCell ref="B14:D14"/>
    <mergeCell ref="E14:F14"/>
    <mergeCell ref="G14:H14"/>
    <mergeCell ref="B15:D15"/>
    <mergeCell ref="E15:F15"/>
    <mergeCell ref="G15:H15"/>
    <mergeCell ref="B12:D12"/>
    <mergeCell ref="E12:F12"/>
    <mergeCell ref="G12:H12"/>
    <mergeCell ref="B13:D13"/>
    <mergeCell ref="E13:F13"/>
    <mergeCell ref="G13:H13"/>
    <mergeCell ref="B10:D10"/>
    <mergeCell ref="E10:F10"/>
    <mergeCell ref="G10:H10"/>
    <mergeCell ref="B11:D11"/>
    <mergeCell ref="E11:F11"/>
    <mergeCell ref="G11:H11"/>
    <mergeCell ref="B8:D8"/>
    <mergeCell ref="E8:F8"/>
    <mergeCell ref="G8:H8"/>
    <mergeCell ref="B9:D9"/>
    <mergeCell ref="E9:F9"/>
    <mergeCell ref="G9:H9"/>
    <mergeCell ref="C6:E6"/>
    <mergeCell ref="G1:H1"/>
    <mergeCell ref="C3:I3"/>
    <mergeCell ref="B4:G4"/>
    <mergeCell ref="B5:D5"/>
    <mergeCell ref="E5:F5"/>
  </mergeCells>
  <pageMargins left="0.7" right="0.7" top="0.75" bottom="0.75"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19"/>
  <sheetViews>
    <sheetView zoomScaleNormal="100" zoomScaleSheetLayoutView="130" workbookViewId="0">
      <selection activeCell="J2" sqref="J2"/>
    </sheetView>
  </sheetViews>
  <sheetFormatPr baseColWidth="10" defaultRowHeight="15" x14ac:dyDescent="0.25"/>
  <cols>
    <col min="1" max="1" width="14.5703125" customWidth="1"/>
    <col min="2" max="2" width="13" customWidth="1"/>
    <col min="3" max="3" width="11.7109375" customWidth="1"/>
    <col min="4" max="4" width="9" customWidth="1"/>
    <col min="5" max="5" width="24.42578125" customWidth="1"/>
    <col min="6" max="6" width="12.5703125" customWidth="1"/>
    <col min="7" max="7" width="7.42578125" customWidth="1"/>
    <col min="8" max="8" width="14.5703125" customWidth="1"/>
    <col min="9" max="9" width="16.28515625" customWidth="1"/>
    <col min="10" max="10" width="10.140625" customWidth="1"/>
    <col min="11" max="11" width="10" customWidth="1"/>
  </cols>
  <sheetData>
    <row r="1" spans="1:9" x14ac:dyDescent="0.25">
      <c r="A1" s="1127"/>
      <c r="B1" s="1076"/>
      <c r="C1" s="1076"/>
      <c r="D1" s="1076"/>
      <c r="E1" s="1076"/>
      <c r="F1" s="2588" t="s">
        <v>4366</v>
      </c>
      <c r="G1" s="2594"/>
      <c r="H1" s="2589"/>
    </row>
    <row r="2" spans="1:9" x14ac:dyDescent="0.25">
      <c r="A2" s="1053" t="s">
        <v>3976</v>
      </c>
      <c r="C2" s="1229" t="str">
        <f>'Liste ETATS SUPPL DGI'!C3:J3</f>
        <v>SAM CONSEILS</v>
      </c>
      <c r="D2" s="1229"/>
      <c r="E2" s="1229"/>
      <c r="F2" s="1229"/>
      <c r="G2" s="1229"/>
      <c r="H2" s="1229"/>
      <c r="I2" s="1229"/>
    </row>
    <row r="3" spans="1:9" x14ac:dyDescent="0.25">
      <c r="A3" s="1053" t="s">
        <v>1602</v>
      </c>
      <c r="B3" s="2561" t="str">
        <f>'Liste ETATS SUPPL DGI'!B4:G4</f>
        <v>02 BP 5358 OUAGA 02</v>
      </c>
      <c r="C3" s="2561"/>
      <c r="D3" s="2561"/>
      <c r="E3" s="2561"/>
      <c r="F3" s="2561"/>
      <c r="G3" s="2561"/>
      <c r="H3" s="1078" t="s">
        <v>3977</v>
      </c>
      <c r="I3" s="1079" t="str">
        <f>'Liste ETATS SUPPL DGI'!I4:J4</f>
        <v>SAM CONSEILS</v>
      </c>
    </row>
    <row r="4" spans="1:9" x14ac:dyDescent="0.25">
      <c r="A4" s="1053" t="s">
        <v>3978</v>
      </c>
      <c r="B4" s="2595" t="str">
        <f>'Liste ETATS SUPPL DGI'!C5</f>
        <v>00084404X</v>
      </c>
      <c r="C4" s="2595"/>
      <c r="D4" s="1230"/>
      <c r="E4" s="1095" t="s">
        <v>3979</v>
      </c>
      <c r="F4" s="1129">
        <f>'Liste ETATS SUPPL DGI'!F5:G5</f>
        <v>43465</v>
      </c>
      <c r="H4" s="1078" t="s">
        <v>3980</v>
      </c>
      <c r="I4" s="1079">
        <f>'Liste ETATS SUPPL DGI'!I5:J5</f>
        <v>12</v>
      </c>
    </row>
    <row r="5" spans="1:9" x14ac:dyDescent="0.25">
      <c r="A5" s="1055" t="s">
        <v>3981</v>
      </c>
      <c r="C5" s="2596" t="str">
        <f>'Liste ETATS SUPPL DGI'!C6:D6</f>
        <v>AMMTB89</v>
      </c>
      <c r="D5" s="2597"/>
      <c r="E5" s="1231"/>
      <c r="F5" s="1133"/>
      <c r="G5" s="1077"/>
      <c r="H5" s="1080"/>
      <c r="I5" s="1084"/>
    </row>
    <row r="6" spans="1:9" x14ac:dyDescent="0.25">
      <c r="A6" s="2598" t="s">
        <v>4367</v>
      </c>
      <c r="B6" s="2598"/>
      <c r="C6" s="2598"/>
      <c r="D6" s="2598"/>
      <c r="E6" s="2598"/>
      <c r="F6" s="2598"/>
      <c r="G6" s="2598"/>
      <c r="H6" s="2598"/>
      <c r="I6" s="2598"/>
    </row>
    <row r="7" spans="1:9" ht="33.75" x14ac:dyDescent="0.25">
      <c r="A7" s="1226" t="s">
        <v>4368</v>
      </c>
      <c r="B7" s="2591" t="s">
        <v>4369</v>
      </c>
      <c r="C7" s="2591"/>
      <c r="D7" s="2591"/>
      <c r="E7" s="1226" t="s">
        <v>4370</v>
      </c>
      <c r="F7" s="2591" t="s">
        <v>4371</v>
      </c>
      <c r="G7" s="2591"/>
      <c r="H7" s="1226" t="s">
        <v>4372</v>
      </c>
      <c r="I7" s="1226" t="s">
        <v>4373</v>
      </c>
    </row>
    <row r="8" spans="1:9" s="298" customFormat="1" x14ac:dyDescent="0.25">
      <c r="A8" s="1216"/>
      <c r="B8" s="2558"/>
      <c r="C8" s="2558"/>
      <c r="D8" s="2558"/>
      <c r="E8" s="1216"/>
      <c r="F8" s="2558"/>
      <c r="G8" s="2558"/>
      <c r="H8" s="1216"/>
      <c r="I8" s="1216"/>
    </row>
    <row r="9" spans="1:9" s="298" customFormat="1" x14ac:dyDescent="0.25">
      <c r="A9" s="1194"/>
      <c r="B9" s="2575"/>
      <c r="C9" s="2575"/>
      <c r="D9" s="2575"/>
      <c r="E9" s="1193"/>
      <c r="F9" s="2576"/>
      <c r="G9" s="2576"/>
      <c r="H9" s="1193"/>
      <c r="I9" s="1195"/>
    </row>
    <row r="10" spans="1:9" s="298" customFormat="1" x14ac:dyDescent="0.25">
      <c r="A10" s="1194"/>
      <c r="B10" s="2575"/>
      <c r="C10" s="2575"/>
      <c r="D10" s="2575"/>
      <c r="E10" s="1193"/>
      <c r="F10" s="2576"/>
      <c r="G10" s="2576"/>
      <c r="H10" s="1193"/>
      <c r="I10" s="1195"/>
    </row>
    <row r="11" spans="1:9" s="298" customFormat="1" x14ac:dyDescent="0.25">
      <c r="A11" s="1227"/>
      <c r="B11" s="2575"/>
      <c r="C11" s="2575"/>
      <c r="D11" s="2575"/>
      <c r="E11" s="1193"/>
      <c r="F11" s="2576"/>
      <c r="G11" s="2576"/>
      <c r="H11" s="1193"/>
      <c r="I11" s="1195"/>
    </row>
    <row r="12" spans="1:9" s="298" customFormat="1" x14ac:dyDescent="0.25">
      <c r="A12" s="1227"/>
      <c r="B12" s="2575"/>
      <c r="C12" s="2575"/>
      <c r="D12" s="2575"/>
      <c r="E12" s="1193"/>
      <c r="F12" s="2576"/>
      <c r="G12" s="2576"/>
      <c r="H12" s="1193"/>
      <c r="I12" s="1195"/>
    </row>
    <row r="13" spans="1:9" s="298" customFormat="1" x14ac:dyDescent="0.25">
      <c r="A13" s="1193"/>
      <c r="B13" s="2576"/>
      <c r="C13" s="2576"/>
      <c r="D13" s="2576"/>
      <c r="E13" s="1193"/>
      <c r="F13" s="2576"/>
      <c r="G13" s="2576"/>
      <c r="H13" s="1193"/>
      <c r="I13" s="1193"/>
    </row>
    <row r="14" spans="1:9" s="298" customFormat="1" x14ac:dyDescent="0.25">
      <c r="A14" s="1193"/>
      <c r="B14" s="2576"/>
      <c r="C14" s="2576"/>
      <c r="D14" s="2576"/>
      <c r="E14" s="1193"/>
      <c r="F14" s="2576"/>
      <c r="G14" s="2576"/>
      <c r="H14" s="1193"/>
      <c r="I14" s="1193"/>
    </row>
    <row r="15" spans="1:9" s="298" customFormat="1" x14ac:dyDescent="0.25">
      <c r="A15" s="1193"/>
      <c r="B15" s="2576"/>
      <c r="C15" s="2576"/>
      <c r="D15" s="2576"/>
      <c r="E15" s="1193"/>
      <c r="F15" s="2576"/>
      <c r="G15" s="2576"/>
      <c r="H15" s="1193"/>
      <c r="I15" s="1193"/>
    </row>
    <row r="16" spans="1:9" s="298" customFormat="1" x14ac:dyDescent="0.25">
      <c r="A16" s="1193"/>
      <c r="B16" s="2576"/>
      <c r="C16" s="2576"/>
      <c r="D16" s="2576"/>
      <c r="E16" s="1193"/>
      <c r="F16" s="2576"/>
      <c r="G16" s="2576"/>
      <c r="H16" s="1193"/>
      <c r="I16" s="1193"/>
    </row>
    <row r="17" spans="1:9" s="298" customFormat="1" x14ac:dyDescent="0.25">
      <c r="A17" s="1193"/>
      <c r="B17" s="2576"/>
      <c r="C17" s="2576"/>
      <c r="D17" s="2576"/>
      <c r="E17" s="1193"/>
      <c r="F17" s="2576"/>
      <c r="G17" s="2576"/>
      <c r="H17" s="1193"/>
      <c r="I17" s="1193"/>
    </row>
    <row r="18" spans="1:9" s="298" customFormat="1" x14ac:dyDescent="0.25">
      <c r="A18" s="1193"/>
      <c r="B18" s="2576"/>
      <c r="C18" s="2576"/>
      <c r="D18" s="2576"/>
      <c r="E18" s="1193"/>
      <c r="F18" s="2576"/>
      <c r="G18" s="2576"/>
      <c r="H18" s="1193"/>
      <c r="I18" s="1193"/>
    </row>
    <row r="19" spans="1:9" x14ac:dyDescent="0.25">
      <c r="A19" s="1228" t="s">
        <v>262</v>
      </c>
      <c r="B19" s="2592"/>
      <c r="C19" s="2592"/>
      <c r="D19" s="2592"/>
      <c r="E19" s="1228"/>
      <c r="F19" s="2593"/>
      <c r="G19" s="2593"/>
      <c r="H19" s="1228"/>
      <c r="I19" s="1232">
        <f>SUM(I8:I18)</f>
        <v>0</v>
      </c>
    </row>
  </sheetData>
  <sheetProtection selectLockedCells="1"/>
  <mergeCells count="31">
    <mergeCell ref="B17:D17"/>
    <mergeCell ref="F17:G17"/>
    <mergeCell ref="B18:D18"/>
    <mergeCell ref="F18:G18"/>
    <mergeCell ref="B19:D19"/>
    <mergeCell ref="F19:G19"/>
    <mergeCell ref="B14:D14"/>
    <mergeCell ref="F14:G14"/>
    <mergeCell ref="B15:D15"/>
    <mergeCell ref="F15:G15"/>
    <mergeCell ref="B16:D16"/>
    <mergeCell ref="F16:G16"/>
    <mergeCell ref="B11:D11"/>
    <mergeCell ref="F11:G11"/>
    <mergeCell ref="B12:D12"/>
    <mergeCell ref="F12:G12"/>
    <mergeCell ref="B13:D13"/>
    <mergeCell ref="F13:G13"/>
    <mergeCell ref="B8:D8"/>
    <mergeCell ref="F8:G8"/>
    <mergeCell ref="B9:D9"/>
    <mergeCell ref="F9:G9"/>
    <mergeCell ref="B10:D10"/>
    <mergeCell ref="F10:G10"/>
    <mergeCell ref="B7:D7"/>
    <mergeCell ref="F7:G7"/>
    <mergeCell ref="F1:H1"/>
    <mergeCell ref="B3:G3"/>
    <mergeCell ref="B4:C4"/>
    <mergeCell ref="C5:D5"/>
    <mergeCell ref="A6:I6"/>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9">
    <tabColor rgb="FF00B050"/>
    <pageSetUpPr fitToPage="1"/>
  </sheetPr>
  <dimension ref="A1:H52"/>
  <sheetViews>
    <sheetView zoomScaleNormal="100" workbookViewId="0">
      <selection activeCell="H36" sqref="H36"/>
    </sheetView>
  </sheetViews>
  <sheetFormatPr baseColWidth="10" defaultRowHeight="15" x14ac:dyDescent="0.25"/>
  <cols>
    <col min="1" max="16384" width="11.42578125" style="50"/>
  </cols>
  <sheetData>
    <row r="1" spans="1:8" x14ac:dyDescent="0.25">
      <c r="A1" s="112"/>
      <c r="B1" s="113"/>
      <c r="C1" s="113"/>
      <c r="D1" s="113"/>
      <c r="E1" s="113"/>
      <c r="F1" s="113"/>
      <c r="G1" s="113"/>
      <c r="H1" s="114"/>
    </row>
    <row r="2" spans="1:8" ht="18.75" x14ac:dyDescent="0.3">
      <c r="A2" s="115"/>
      <c r="B2" s="21"/>
      <c r="C2" s="21"/>
      <c r="D2" s="1317" t="s">
        <v>798</v>
      </c>
      <c r="E2" s="21"/>
      <c r="F2" s="21"/>
      <c r="G2" s="21"/>
      <c r="H2" s="116"/>
    </row>
    <row r="3" spans="1:8" x14ac:dyDescent="0.25">
      <c r="A3" s="115"/>
      <c r="B3" s="21"/>
      <c r="C3" s="21"/>
      <c r="D3" s="21"/>
      <c r="E3" s="21"/>
      <c r="F3" s="21"/>
      <c r="G3" s="21"/>
      <c r="H3" s="116"/>
    </row>
    <row r="4" spans="1:8" x14ac:dyDescent="0.25">
      <c r="A4" s="1307" t="s">
        <v>4471</v>
      </c>
      <c r="C4" s="21"/>
      <c r="D4" s="21"/>
      <c r="E4" s="21"/>
      <c r="F4" s="21"/>
      <c r="G4" s="21"/>
      <c r="H4" s="116"/>
    </row>
    <row r="5" spans="1:8" x14ac:dyDescent="0.25">
      <c r="A5" s="115"/>
      <c r="B5" s="21"/>
      <c r="C5" s="21"/>
      <c r="D5" s="21"/>
      <c r="E5" s="21"/>
      <c r="F5" s="21"/>
      <c r="G5" s="21"/>
      <c r="H5" s="116"/>
    </row>
    <row r="6" spans="1:8" x14ac:dyDescent="0.25">
      <c r="A6" s="115"/>
      <c r="B6" s="21"/>
      <c r="C6" s="1306" t="s">
        <v>1272</v>
      </c>
      <c r="D6" s="21"/>
      <c r="E6" s="21"/>
      <c r="F6" s="21"/>
      <c r="G6" s="21"/>
      <c r="H6" s="116"/>
    </row>
    <row r="7" spans="1:8" x14ac:dyDescent="0.25">
      <c r="A7" s="115"/>
      <c r="B7" s="21"/>
      <c r="E7" s="21"/>
      <c r="F7" s="21"/>
      <c r="G7" s="21"/>
      <c r="H7" s="116"/>
    </row>
    <row r="8" spans="1:8" x14ac:dyDescent="0.25">
      <c r="A8" s="115"/>
      <c r="B8" s="21"/>
      <c r="C8" s="21"/>
      <c r="D8" s="21"/>
      <c r="E8" s="21"/>
      <c r="F8" s="21"/>
      <c r="G8" s="21"/>
      <c r="H8" s="116"/>
    </row>
    <row r="9" spans="1:8" x14ac:dyDescent="0.25">
      <c r="A9" s="115"/>
      <c r="B9" s="21"/>
      <c r="C9" s="21"/>
      <c r="D9" s="21"/>
      <c r="E9" s="21"/>
      <c r="F9" s="21"/>
      <c r="G9" s="21"/>
      <c r="H9" s="116"/>
    </row>
    <row r="10" spans="1:8" x14ac:dyDescent="0.25">
      <c r="A10" s="115"/>
      <c r="B10" s="21"/>
      <c r="C10" s="21"/>
      <c r="D10" s="21"/>
      <c r="E10" s="21"/>
      <c r="F10" s="21"/>
      <c r="G10" s="21"/>
      <c r="H10" s="116"/>
    </row>
    <row r="11" spans="1:8" x14ac:dyDescent="0.25">
      <c r="A11" s="115"/>
      <c r="B11" s="21"/>
      <c r="C11" s="21"/>
      <c r="D11" s="21"/>
      <c r="E11" s="21"/>
      <c r="F11" s="21"/>
      <c r="G11" s="21"/>
      <c r="H11" s="116"/>
    </row>
    <row r="12" spans="1:8" x14ac:dyDescent="0.25">
      <c r="A12" s="115"/>
      <c r="B12" s="21"/>
      <c r="C12" s="21"/>
      <c r="D12" s="21"/>
      <c r="E12" s="21"/>
      <c r="F12" s="21"/>
      <c r="G12" s="21"/>
      <c r="H12" s="116"/>
    </row>
    <row r="13" spans="1:8" x14ac:dyDescent="0.25">
      <c r="A13" s="115"/>
      <c r="B13" s="21"/>
      <c r="C13" s="21"/>
      <c r="D13" s="21"/>
      <c r="E13" s="21"/>
      <c r="F13" s="21"/>
      <c r="G13" s="21"/>
      <c r="H13" s="116"/>
    </row>
    <row r="14" spans="1:8" x14ac:dyDescent="0.25">
      <c r="A14" s="115"/>
      <c r="B14" s="21"/>
      <c r="C14" s="21"/>
      <c r="D14" s="21"/>
      <c r="E14" s="21"/>
      <c r="F14" s="21"/>
      <c r="G14" s="21"/>
      <c r="H14" s="116"/>
    </row>
    <row r="15" spans="1:8" x14ac:dyDescent="0.25">
      <c r="A15" s="115"/>
      <c r="B15" s="21"/>
      <c r="C15" s="21"/>
      <c r="D15" s="21"/>
      <c r="E15" s="21"/>
      <c r="F15" s="21"/>
      <c r="G15" s="21"/>
      <c r="H15" s="116"/>
    </row>
    <row r="16" spans="1:8" x14ac:dyDescent="0.25">
      <c r="A16" s="115"/>
      <c r="B16" s="21"/>
      <c r="C16" s="21"/>
      <c r="D16" s="21"/>
      <c r="E16" s="21"/>
      <c r="F16" s="21"/>
      <c r="G16" s="21"/>
      <c r="H16" s="116"/>
    </row>
    <row r="17" spans="1:8" x14ac:dyDescent="0.25">
      <c r="A17" s="115"/>
      <c r="B17" s="21"/>
      <c r="C17" s="21"/>
      <c r="D17" s="21"/>
      <c r="E17" s="21"/>
      <c r="F17" s="21"/>
      <c r="G17" s="21"/>
      <c r="H17" s="116"/>
    </row>
    <row r="18" spans="1:8" x14ac:dyDescent="0.25">
      <c r="A18" s="1308"/>
      <c r="B18" s="1309"/>
      <c r="C18" s="1309"/>
      <c r="D18" s="1309"/>
      <c r="E18" s="1309"/>
      <c r="F18" s="1309"/>
      <c r="G18" s="1309"/>
      <c r="H18" s="1310"/>
    </row>
    <row r="19" spans="1:8" ht="19.5" x14ac:dyDescent="0.3">
      <c r="A19" s="1313" t="s">
        <v>4473</v>
      </c>
      <c r="B19" s="1311"/>
      <c r="C19" s="1311"/>
      <c r="D19" s="1309"/>
      <c r="E19" s="1309"/>
      <c r="F19" s="1309"/>
      <c r="G19" s="1309"/>
      <c r="H19" s="1310"/>
    </row>
    <row r="20" spans="1:8" ht="19.5" x14ac:dyDescent="0.3">
      <c r="A20" s="1314" t="s">
        <v>4475</v>
      </c>
      <c r="B20" s="1311"/>
      <c r="C20" s="1311"/>
      <c r="D20" s="1309"/>
      <c r="E20" s="1309"/>
      <c r="F20" s="1309"/>
      <c r="G20" s="1309"/>
      <c r="H20" s="1310"/>
    </row>
    <row r="21" spans="1:8" ht="9" customHeight="1" x14ac:dyDescent="0.25">
      <c r="A21" s="1308"/>
      <c r="B21" s="1309"/>
      <c r="C21" s="1309"/>
      <c r="D21" s="1312"/>
      <c r="E21" s="1309"/>
      <c r="F21" s="1309"/>
      <c r="G21" s="1309"/>
      <c r="H21" s="1310"/>
    </row>
    <row r="22" spans="1:8" ht="19.5" x14ac:dyDescent="0.3">
      <c r="A22" s="1308"/>
      <c r="B22" s="1309"/>
      <c r="C22" s="1315" t="s">
        <v>4474</v>
      </c>
      <c r="D22" s="1311"/>
      <c r="E22" s="1309"/>
      <c r="F22" s="1309"/>
      <c r="G22" s="1309"/>
      <c r="H22" s="1310"/>
    </row>
    <row r="23" spans="1:8" x14ac:dyDescent="0.25">
      <c r="A23" s="115"/>
      <c r="B23" s="21"/>
      <c r="C23" s="21"/>
      <c r="D23" s="21"/>
      <c r="E23" s="21"/>
      <c r="F23" s="21"/>
      <c r="G23" s="21"/>
      <c r="H23" s="116"/>
    </row>
    <row r="24" spans="1:8" x14ac:dyDescent="0.25">
      <c r="A24" s="115"/>
      <c r="B24" s="21"/>
      <c r="C24" s="21"/>
      <c r="D24" s="21"/>
      <c r="E24" s="21"/>
      <c r="F24" s="21"/>
      <c r="G24" s="21"/>
      <c r="H24" s="116"/>
    </row>
    <row r="25" spans="1:8" x14ac:dyDescent="0.25">
      <c r="A25" s="115"/>
      <c r="B25" s="21"/>
      <c r="C25" s="21"/>
      <c r="D25" s="21"/>
      <c r="E25" s="21"/>
      <c r="F25" s="21"/>
      <c r="G25" s="21"/>
      <c r="H25" s="116"/>
    </row>
    <row r="26" spans="1:8" x14ac:dyDescent="0.25">
      <c r="A26" s="115"/>
      <c r="B26" s="21"/>
      <c r="C26" s="21"/>
      <c r="D26" s="21"/>
      <c r="E26" s="21"/>
      <c r="F26" s="21"/>
      <c r="G26" s="21"/>
      <c r="H26" s="116"/>
    </row>
    <row r="27" spans="1:8" x14ac:dyDescent="0.25">
      <c r="A27" s="115"/>
      <c r="B27" s="21"/>
      <c r="E27" s="21"/>
      <c r="F27" s="21"/>
      <c r="G27" s="21"/>
      <c r="H27" s="116"/>
    </row>
    <row r="28" spans="1:8" x14ac:dyDescent="0.25">
      <c r="A28" s="115"/>
      <c r="B28" s="21"/>
      <c r="C28" s="21"/>
      <c r="D28" s="21"/>
      <c r="E28" s="21"/>
      <c r="F28" s="21"/>
      <c r="G28" s="21"/>
      <c r="H28" s="116"/>
    </row>
    <row r="29" spans="1:8" x14ac:dyDescent="0.25">
      <c r="A29" s="115"/>
      <c r="B29" s="21"/>
      <c r="C29" s="21"/>
      <c r="D29" s="21"/>
      <c r="E29" s="21"/>
      <c r="F29" s="21"/>
      <c r="G29" s="21"/>
      <c r="H29" s="116"/>
    </row>
    <row r="30" spans="1:8" x14ac:dyDescent="0.25">
      <c r="A30" s="115"/>
      <c r="B30" s="21"/>
      <c r="C30" s="21"/>
      <c r="E30" s="21"/>
      <c r="F30" s="21"/>
      <c r="G30" s="21"/>
      <c r="H30" s="116"/>
    </row>
    <row r="31" spans="1:8" ht="20.25" x14ac:dyDescent="0.3">
      <c r="A31" s="115"/>
      <c r="B31" s="21"/>
      <c r="C31" s="1316" t="s">
        <v>4472</v>
      </c>
      <c r="D31" s="21"/>
      <c r="E31" s="21"/>
      <c r="F31" s="21"/>
      <c r="G31" s="21"/>
      <c r="H31" s="116"/>
    </row>
    <row r="32" spans="1:8" x14ac:dyDescent="0.25">
      <c r="A32" s="115"/>
      <c r="B32" s="21"/>
      <c r="C32" s="21"/>
      <c r="D32" s="21"/>
      <c r="E32" s="21"/>
      <c r="F32" s="21"/>
      <c r="G32" s="21"/>
      <c r="H32" s="116"/>
    </row>
    <row r="33" spans="1:8" x14ac:dyDescent="0.25">
      <c r="A33" s="115"/>
      <c r="B33" s="21"/>
      <c r="C33" s="21"/>
      <c r="D33" s="21"/>
      <c r="E33" s="21"/>
      <c r="F33" s="21"/>
      <c r="G33" s="21"/>
      <c r="H33" s="116"/>
    </row>
    <row r="34" spans="1:8" x14ac:dyDescent="0.25">
      <c r="A34" s="115"/>
      <c r="B34" s="21"/>
      <c r="C34" s="21"/>
      <c r="D34" s="21"/>
      <c r="E34" s="21"/>
      <c r="F34" s="21"/>
      <c r="G34" s="21"/>
      <c r="H34" s="116"/>
    </row>
    <row r="35" spans="1:8" x14ac:dyDescent="0.25">
      <c r="A35" s="115"/>
      <c r="B35" s="21"/>
      <c r="C35" s="21"/>
      <c r="D35" s="21"/>
      <c r="E35" s="21"/>
      <c r="F35" s="21"/>
      <c r="G35" s="21"/>
      <c r="H35" s="116"/>
    </row>
    <row r="36" spans="1:8" x14ac:dyDescent="0.25">
      <c r="A36" s="115"/>
      <c r="B36" s="21"/>
      <c r="C36" s="21"/>
      <c r="D36" s="21"/>
      <c r="E36" s="21"/>
      <c r="F36" s="21"/>
      <c r="G36" s="21"/>
      <c r="H36" s="116"/>
    </row>
    <row r="37" spans="1:8" x14ac:dyDescent="0.25">
      <c r="A37" s="115"/>
      <c r="B37" s="21"/>
      <c r="C37" s="21"/>
      <c r="D37" s="21"/>
      <c r="E37" s="21"/>
      <c r="F37" s="21"/>
      <c r="G37" s="21"/>
      <c r="H37" s="116"/>
    </row>
    <row r="38" spans="1:8" x14ac:dyDescent="0.25">
      <c r="A38" s="115"/>
      <c r="B38" s="21"/>
      <c r="C38" s="21"/>
      <c r="D38" s="21"/>
      <c r="E38" s="21"/>
      <c r="F38" s="21"/>
      <c r="G38" s="21"/>
      <c r="H38" s="116"/>
    </row>
    <row r="39" spans="1:8" x14ac:dyDescent="0.25">
      <c r="A39" s="115"/>
      <c r="B39" s="21"/>
      <c r="C39" s="21"/>
      <c r="D39" s="21"/>
      <c r="E39" s="21"/>
      <c r="F39" s="21"/>
      <c r="G39" s="21"/>
      <c r="H39" s="116"/>
    </row>
    <row r="40" spans="1:8" x14ac:dyDescent="0.25">
      <c r="A40" s="115"/>
      <c r="B40" s="21"/>
      <c r="C40" s="21"/>
      <c r="D40" s="21"/>
      <c r="E40" s="21"/>
      <c r="F40" s="21"/>
      <c r="G40" s="21"/>
      <c r="H40" s="116"/>
    </row>
    <row r="41" spans="1:8" x14ac:dyDescent="0.25">
      <c r="A41" s="115"/>
      <c r="B41" s="21"/>
      <c r="C41" s="21"/>
      <c r="D41" s="21"/>
      <c r="E41" s="21"/>
      <c r="F41" s="21"/>
      <c r="G41" s="21"/>
      <c r="H41" s="116"/>
    </row>
    <row r="42" spans="1:8" x14ac:dyDescent="0.25">
      <c r="A42" s="115"/>
      <c r="B42" s="21"/>
      <c r="C42" s="21"/>
      <c r="D42" s="21"/>
      <c r="E42" s="21"/>
      <c r="F42" s="21"/>
      <c r="G42" s="21"/>
      <c r="H42" s="116"/>
    </row>
    <row r="43" spans="1:8" x14ac:dyDescent="0.25">
      <c r="A43" s="115"/>
      <c r="B43" s="21"/>
      <c r="C43" s="21"/>
      <c r="D43" s="21"/>
      <c r="E43" s="21"/>
      <c r="F43" s="21"/>
      <c r="G43" s="21"/>
      <c r="H43" s="116"/>
    </row>
    <row r="44" spans="1:8" x14ac:dyDescent="0.25">
      <c r="A44" s="115"/>
      <c r="B44" s="21"/>
      <c r="C44" s="21"/>
      <c r="D44" s="21"/>
      <c r="E44" s="21"/>
      <c r="F44" s="21"/>
      <c r="G44" s="21"/>
      <c r="H44" s="116"/>
    </row>
    <row r="45" spans="1:8" x14ac:dyDescent="0.25">
      <c r="A45" s="115"/>
      <c r="B45" s="21"/>
      <c r="C45" s="21"/>
      <c r="D45" s="21"/>
      <c r="E45" s="21"/>
      <c r="F45" s="21"/>
      <c r="G45" s="21"/>
      <c r="H45" s="116"/>
    </row>
    <row r="46" spans="1:8" x14ac:dyDescent="0.25">
      <c r="A46" s="115"/>
      <c r="B46" s="21"/>
      <c r="C46" s="21"/>
      <c r="D46" s="21"/>
      <c r="E46" s="21"/>
      <c r="F46" s="21"/>
      <c r="G46" s="21"/>
      <c r="H46" s="116"/>
    </row>
    <row r="47" spans="1:8" x14ac:dyDescent="0.25">
      <c r="A47" s="115"/>
      <c r="B47" s="21"/>
      <c r="C47" s="21"/>
      <c r="D47" s="21"/>
      <c r="E47" s="21"/>
      <c r="F47" s="21"/>
      <c r="G47" s="21"/>
      <c r="H47" s="116"/>
    </row>
    <row r="48" spans="1:8" x14ac:dyDescent="0.25">
      <c r="A48" s="115"/>
      <c r="B48" s="21"/>
      <c r="C48" s="21"/>
      <c r="D48" s="21"/>
      <c r="E48" s="21"/>
      <c r="F48" s="21"/>
      <c r="G48" s="21"/>
      <c r="H48" s="116"/>
    </row>
    <row r="49" spans="1:8" x14ac:dyDescent="0.25">
      <c r="A49" s="115"/>
      <c r="B49" s="21"/>
      <c r="C49" s="21"/>
      <c r="D49" s="21"/>
      <c r="E49" s="21"/>
      <c r="F49" s="21"/>
      <c r="G49" s="21"/>
      <c r="H49" s="116"/>
    </row>
    <row r="50" spans="1:8" x14ac:dyDescent="0.25">
      <c r="A50" s="115"/>
      <c r="B50" s="21"/>
      <c r="C50" s="21"/>
      <c r="D50" s="21"/>
      <c r="E50" s="21"/>
      <c r="F50" s="21"/>
      <c r="G50" s="21"/>
      <c r="H50" s="116"/>
    </row>
    <row r="51" spans="1:8" x14ac:dyDescent="0.25">
      <c r="A51" s="115"/>
      <c r="B51" s="21"/>
      <c r="C51" s="21"/>
      <c r="D51" s="21"/>
      <c r="E51" s="21"/>
      <c r="F51" s="21"/>
      <c r="G51" s="21"/>
      <c r="H51" s="116"/>
    </row>
    <row r="52" spans="1:8" ht="15.75" thickBot="1" x14ac:dyDescent="0.3">
      <c r="A52" s="117"/>
      <c r="B52" s="118"/>
      <c r="C52" s="118"/>
      <c r="D52" s="118"/>
      <c r="E52" s="118"/>
      <c r="F52" s="118"/>
      <c r="G52" s="118"/>
      <c r="H52" s="119"/>
    </row>
  </sheetData>
  <sheetProtection pivotTables="0"/>
  <pageMargins left="0.70866141732283472" right="0.70866141732283472" top="0.74803149606299213" bottom="0.74803149606299213" header="0.31496062992125984" footer="0.31496062992125984"/>
  <pageSetup paperSize="9" scale="95"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K19"/>
  <sheetViews>
    <sheetView zoomScaleNormal="100" zoomScaleSheetLayoutView="115" workbookViewId="0">
      <selection activeCell="J2" sqref="J2"/>
    </sheetView>
  </sheetViews>
  <sheetFormatPr baseColWidth="10" defaultRowHeight="15" x14ac:dyDescent="0.25"/>
  <cols>
    <col min="1" max="1" width="9.140625" customWidth="1"/>
    <col min="2" max="2" width="2.85546875" customWidth="1"/>
    <col min="3" max="3" width="10.5703125" customWidth="1"/>
    <col min="4" max="4" width="11.7109375" customWidth="1"/>
    <col min="5" max="5" width="10.85546875" customWidth="1"/>
    <col min="6" max="6" width="12.7109375" customWidth="1"/>
    <col min="7" max="7" width="17" customWidth="1"/>
    <col min="8" max="8" width="17.85546875" customWidth="1"/>
    <col min="9" max="9" width="13" customWidth="1"/>
    <col min="10" max="10" width="11.42578125" customWidth="1"/>
    <col min="11" max="11" width="14" customWidth="1"/>
  </cols>
  <sheetData>
    <row r="1" spans="1:11" x14ac:dyDescent="0.25">
      <c r="A1" s="1127"/>
      <c r="B1" s="1127"/>
      <c r="C1" s="1076"/>
      <c r="D1" s="1076"/>
      <c r="E1" s="1076"/>
      <c r="F1" s="1076"/>
      <c r="G1" s="1076"/>
      <c r="I1" s="2599" t="s">
        <v>4374</v>
      </c>
      <c r="J1" s="2599"/>
      <c r="K1" s="2599"/>
    </row>
    <row r="2" spans="1:11" x14ac:dyDescent="0.25">
      <c r="A2" s="1053" t="s">
        <v>3976</v>
      </c>
      <c r="B2" s="1128"/>
      <c r="D2" s="1128"/>
      <c r="E2" s="2404" t="str">
        <f>'Liste ETATS SUPPL DGI'!C3</f>
        <v>SAM CONSEILS</v>
      </c>
      <c r="F2" s="2404"/>
      <c r="G2" s="2404"/>
      <c r="H2" s="2404"/>
      <c r="I2" s="2404"/>
      <c r="J2" s="2404"/>
      <c r="K2" s="1093"/>
    </row>
    <row r="3" spans="1:11" x14ac:dyDescent="0.25">
      <c r="A3" s="2600" t="s">
        <v>1602</v>
      </c>
      <c r="B3" s="2600"/>
      <c r="C3" s="2600"/>
      <c r="D3" s="1184"/>
      <c r="E3" s="2406" t="str">
        <f>'Liste ETATS SUPPL DGI'!B4</f>
        <v>02 BP 5358 OUAGA 02</v>
      </c>
      <c r="F3" s="2406"/>
      <c r="G3" s="2406"/>
      <c r="H3" s="2406"/>
      <c r="I3" s="1078" t="s">
        <v>3977</v>
      </c>
      <c r="J3" s="1079" t="str">
        <f>'Liste ETATS SUPPL DGI'!I4</f>
        <v>SAM CONSEILS</v>
      </c>
      <c r="K3" s="1093"/>
    </row>
    <row r="4" spans="1:11" x14ac:dyDescent="0.25">
      <c r="A4" s="2600" t="s">
        <v>3978</v>
      </c>
      <c r="B4" s="2600"/>
      <c r="C4" s="2600"/>
      <c r="D4" s="1184"/>
      <c r="E4" s="2406" t="str">
        <f>'Liste ETATS SUPPL DGI'!C5</f>
        <v>00084404X</v>
      </c>
      <c r="F4" s="2406"/>
      <c r="G4" s="1095" t="s">
        <v>3979</v>
      </c>
      <c r="H4" s="1129">
        <f>'Liste ETATS SUPPL DGI'!F5</f>
        <v>43465</v>
      </c>
      <c r="I4" s="2600" t="s">
        <v>3980</v>
      </c>
      <c r="J4" s="2600"/>
      <c r="K4" s="1079">
        <f>'Liste ETATS SUPPL DGI'!I5</f>
        <v>12</v>
      </c>
    </row>
    <row r="5" spans="1:11" x14ac:dyDescent="0.25">
      <c r="A5" s="2601" t="s">
        <v>3981</v>
      </c>
      <c r="B5" s="2601"/>
      <c r="C5" s="2601"/>
      <c r="D5" s="1233"/>
      <c r="E5" s="2596" t="str">
        <f>'Liste ETATS SUPPL DGI'!C6</f>
        <v>AMMTB89</v>
      </c>
      <c r="F5" s="2597"/>
      <c r="G5" s="1133"/>
      <c r="H5" s="1077"/>
      <c r="I5" s="1080"/>
      <c r="J5" s="1084"/>
      <c r="K5" s="1093"/>
    </row>
    <row r="6" spans="1:11" x14ac:dyDescent="0.25">
      <c r="A6" s="2598" t="s">
        <v>4375</v>
      </c>
      <c r="B6" s="2598"/>
      <c r="C6" s="2598"/>
      <c r="D6" s="2598"/>
      <c r="E6" s="2598"/>
      <c r="F6" s="2598"/>
      <c r="G6" s="2598"/>
      <c r="H6" s="2598"/>
      <c r="I6" s="2598"/>
      <c r="J6" s="2598"/>
      <c r="K6" s="2598"/>
    </row>
    <row r="7" spans="1:11" ht="22.5" x14ac:dyDescent="0.25">
      <c r="A7" s="2602" t="s">
        <v>4376</v>
      </c>
      <c r="B7" s="2602"/>
      <c r="C7" s="2602" t="s">
        <v>4357</v>
      </c>
      <c r="D7" s="2602"/>
      <c r="E7" s="2602"/>
      <c r="F7" s="1234" t="s">
        <v>4358</v>
      </c>
      <c r="G7" s="1234" t="s">
        <v>4377</v>
      </c>
      <c r="H7" s="1234" t="s">
        <v>4378</v>
      </c>
      <c r="I7" s="1234" t="s">
        <v>4379</v>
      </c>
      <c r="J7" s="1234" t="s">
        <v>3989</v>
      </c>
      <c r="K7" s="1234" t="s">
        <v>4361</v>
      </c>
    </row>
    <row r="8" spans="1:11" s="298" customFormat="1" x14ac:dyDescent="0.25">
      <c r="A8" s="2558"/>
      <c r="B8" s="2558"/>
      <c r="C8" s="2558"/>
      <c r="D8" s="2558"/>
      <c r="E8" s="2558"/>
      <c r="F8" s="1216"/>
      <c r="G8" s="1216"/>
      <c r="H8" s="1216"/>
      <c r="I8" s="1216"/>
      <c r="J8" s="1216"/>
      <c r="K8" s="1216"/>
    </row>
    <row r="9" spans="1:11" s="298" customFormat="1" x14ac:dyDescent="0.25">
      <c r="A9" s="2575"/>
      <c r="B9" s="2575"/>
      <c r="C9" s="2575"/>
      <c r="D9" s="2575"/>
      <c r="E9" s="2575"/>
      <c r="F9" s="1193"/>
      <c r="G9" s="1193"/>
      <c r="H9" s="1193"/>
      <c r="I9" s="1193"/>
      <c r="J9" s="1195"/>
      <c r="K9" s="1195"/>
    </row>
    <row r="10" spans="1:11" s="298" customFormat="1" x14ac:dyDescent="0.25">
      <c r="A10" s="2575"/>
      <c r="B10" s="2575"/>
      <c r="C10" s="2575"/>
      <c r="D10" s="2575"/>
      <c r="E10" s="2575"/>
      <c r="F10" s="1193"/>
      <c r="G10" s="1193"/>
      <c r="H10" s="1193"/>
      <c r="I10" s="1193"/>
      <c r="J10" s="1195"/>
      <c r="K10" s="1195"/>
    </row>
    <row r="11" spans="1:11" s="298" customFormat="1" x14ac:dyDescent="0.25">
      <c r="A11" s="2603"/>
      <c r="B11" s="2603"/>
      <c r="C11" s="2575"/>
      <c r="D11" s="2575"/>
      <c r="E11" s="2575"/>
      <c r="F11" s="1193"/>
      <c r="G11" s="1193"/>
      <c r="H11" s="1193"/>
      <c r="I11" s="1193"/>
      <c r="J11" s="1195"/>
      <c r="K11" s="1195"/>
    </row>
    <row r="12" spans="1:11" s="298" customFormat="1" x14ac:dyDescent="0.25">
      <c r="A12" s="2603"/>
      <c r="B12" s="2603"/>
      <c r="C12" s="2575"/>
      <c r="D12" s="2575"/>
      <c r="E12" s="2575"/>
      <c r="F12" s="1193"/>
      <c r="G12" s="1193"/>
      <c r="H12" s="1193"/>
      <c r="I12" s="1193"/>
      <c r="J12" s="1195"/>
      <c r="K12" s="1195"/>
    </row>
    <row r="13" spans="1:11" s="298" customFormat="1" x14ac:dyDescent="0.25">
      <c r="A13" s="2576"/>
      <c r="B13" s="2576"/>
      <c r="C13" s="2576"/>
      <c r="D13" s="2576"/>
      <c r="E13" s="2576"/>
      <c r="F13" s="1193"/>
      <c r="G13" s="1193"/>
      <c r="H13" s="1193"/>
      <c r="I13" s="1193"/>
      <c r="J13" s="1193"/>
      <c r="K13" s="1193"/>
    </row>
    <row r="14" spans="1:11" s="298" customFormat="1" x14ac:dyDescent="0.25">
      <c r="A14" s="2576"/>
      <c r="B14" s="2576"/>
      <c r="C14" s="2576"/>
      <c r="D14" s="2576"/>
      <c r="E14" s="2576"/>
      <c r="F14" s="1193"/>
      <c r="G14" s="1193"/>
      <c r="H14" s="1193"/>
      <c r="I14" s="1193"/>
      <c r="J14" s="1193"/>
      <c r="K14" s="1193"/>
    </row>
    <row r="15" spans="1:11" s="298" customFormat="1" x14ac:dyDescent="0.25">
      <c r="A15" s="2576"/>
      <c r="B15" s="2576"/>
      <c r="C15" s="2576"/>
      <c r="D15" s="2576"/>
      <c r="E15" s="2576"/>
      <c r="F15" s="1193"/>
      <c r="G15" s="1193"/>
      <c r="H15" s="1193"/>
      <c r="I15" s="1193"/>
      <c r="J15" s="1193"/>
      <c r="K15" s="1193"/>
    </row>
    <row r="16" spans="1:11" s="298" customFormat="1" x14ac:dyDescent="0.25">
      <c r="A16" s="2576"/>
      <c r="B16" s="2576"/>
      <c r="C16" s="2576"/>
      <c r="D16" s="2576"/>
      <c r="E16" s="2576"/>
      <c r="F16" s="1193"/>
      <c r="G16" s="1193"/>
      <c r="H16" s="1193"/>
      <c r="I16" s="1193"/>
      <c r="J16" s="1193"/>
      <c r="K16" s="1193"/>
    </row>
    <row r="17" spans="1:11" s="298" customFormat="1" x14ac:dyDescent="0.25">
      <c r="A17" s="2576"/>
      <c r="B17" s="2576"/>
      <c r="C17" s="2576"/>
      <c r="D17" s="2576"/>
      <c r="E17" s="2576"/>
      <c r="F17" s="1193"/>
      <c r="G17" s="1193"/>
      <c r="H17" s="1193"/>
      <c r="I17" s="1193"/>
      <c r="J17" s="1193"/>
      <c r="K17" s="1193"/>
    </row>
    <row r="18" spans="1:11" s="298" customFormat="1" x14ac:dyDescent="0.25">
      <c r="A18" s="2576"/>
      <c r="B18" s="2576"/>
      <c r="C18" s="2576"/>
      <c r="D18" s="2576"/>
      <c r="E18" s="2576"/>
      <c r="F18" s="1193"/>
      <c r="G18" s="1193"/>
      <c r="H18" s="1193"/>
      <c r="I18" s="1193"/>
      <c r="J18" s="1193"/>
      <c r="K18" s="1193"/>
    </row>
    <row r="19" spans="1:11" x14ac:dyDescent="0.25">
      <c r="A19" s="2593" t="s">
        <v>262</v>
      </c>
      <c r="B19" s="2593"/>
      <c r="C19" s="2592"/>
      <c r="D19" s="2592"/>
      <c r="E19" s="2592"/>
      <c r="F19" s="1228"/>
      <c r="G19" s="1228"/>
      <c r="H19" s="1228"/>
      <c r="I19" s="1232">
        <f>SUM(I8:I18)</f>
        <v>0</v>
      </c>
      <c r="J19" s="1232">
        <f>SUM(J8:J18)</f>
        <v>0</v>
      </c>
      <c r="K19" s="1232">
        <f>SUM(K8:K18)</f>
        <v>0</v>
      </c>
    </row>
  </sheetData>
  <sheetProtection selectLockedCells="1"/>
  <mergeCells count="36">
    <mergeCell ref="A18:B18"/>
    <mergeCell ref="C18:E18"/>
    <mergeCell ref="A19:B19"/>
    <mergeCell ref="C19:E19"/>
    <mergeCell ref="A15:B15"/>
    <mergeCell ref="C15:E15"/>
    <mergeCell ref="A16:B16"/>
    <mergeCell ref="C16:E16"/>
    <mergeCell ref="A17:B17"/>
    <mergeCell ref="C17:E17"/>
    <mergeCell ref="A12:B12"/>
    <mergeCell ref="C12:E12"/>
    <mergeCell ref="A13:B13"/>
    <mergeCell ref="C13:E13"/>
    <mergeCell ref="A14:B14"/>
    <mergeCell ref="C14:E14"/>
    <mergeCell ref="A9:B9"/>
    <mergeCell ref="C9:E9"/>
    <mergeCell ref="A10:B10"/>
    <mergeCell ref="C10:E10"/>
    <mergeCell ref="A11:B11"/>
    <mergeCell ref="C11:E11"/>
    <mergeCell ref="A8:B8"/>
    <mergeCell ref="C8:E8"/>
    <mergeCell ref="I1:K1"/>
    <mergeCell ref="E2:J2"/>
    <mergeCell ref="A3:C3"/>
    <mergeCell ref="E3:H3"/>
    <mergeCell ref="A4:C4"/>
    <mergeCell ref="E4:F4"/>
    <mergeCell ref="I4:J4"/>
    <mergeCell ref="A5:C5"/>
    <mergeCell ref="E5:F5"/>
    <mergeCell ref="A6:K6"/>
    <mergeCell ref="A7:B7"/>
    <mergeCell ref="C7:E7"/>
  </mergeCells>
  <pageMargins left="0.7" right="0.7" top="0.75" bottom="0.75" header="0.3" footer="0.3"/>
  <pageSetup paperSize="9" orientation="landscape"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21"/>
  <sheetViews>
    <sheetView zoomScaleNormal="100" zoomScaleSheetLayoutView="100" workbookViewId="0">
      <selection activeCell="J2" sqref="J2"/>
    </sheetView>
  </sheetViews>
  <sheetFormatPr baseColWidth="10" defaultRowHeight="15" x14ac:dyDescent="0.25"/>
  <cols>
    <col min="1" max="1" width="10.5703125" customWidth="1"/>
    <col min="2" max="2" width="14.85546875" customWidth="1"/>
    <col min="3" max="3" width="8.85546875" customWidth="1"/>
    <col min="4" max="4" width="7.5703125" customWidth="1"/>
    <col min="5" max="5" width="14.85546875" customWidth="1"/>
    <col min="6" max="6" width="9.85546875" customWidth="1"/>
    <col min="7" max="7" width="15.7109375" customWidth="1"/>
    <col min="8" max="8" width="15.5703125" customWidth="1"/>
    <col min="9" max="9" width="12.7109375" customWidth="1"/>
    <col min="10" max="10" width="13.7109375" customWidth="1"/>
  </cols>
  <sheetData>
    <row r="1" spans="1:10" x14ac:dyDescent="0.25">
      <c r="A1" s="2312" t="s">
        <v>3974</v>
      </c>
      <c r="B1" s="2312"/>
      <c r="C1" s="2312"/>
      <c r="D1" s="2312"/>
      <c r="E1" s="2312"/>
      <c r="F1" s="2312"/>
      <c r="G1" s="2312"/>
      <c r="H1" s="2312"/>
      <c r="I1" s="2312"/>
    </row>
    <row r="2" spans="1:10" x14ac:dyDescent="0.25">
      <c r="A2" s="1127"/>
      <c r="B2" s="1076"/>
      <c r="C2" s="1076"/>
      <c r="D2" s="1076"/>
      <c r="E2" s="1076"/>
      <c r="F2" s="1076"/>
      <c r="H2" s="2599" t="s">
        <v>4380</v>
      </c>
      <c r="I2" s="2599"/>
      <c r="J2" s="2599"/>
    </row>
    <row r="3" spans="1:10" x14ac:dyDescent="0.25">
      <c r="A3" s="1053" t="s">
        <v>3976</v>
      </c>
      <c r="D3" s="2404" t="str">
        <f>'Liste ETATS SUPPL DGI'!C3</f>
        <v>SAM CONSEILS</v>
      </c>
      <c r="E3" s="2404"/>
      <c r="F3" s="2404"/>
      <c r="G3" s="2404"/>
      <c r="H3" s="2404"/>
      <c r="I3" s="2404"/>
    </row>
    <row r="4" spans="1:10" x14ac:dyDescent="0.25">
      <c r="A4" s="1053" t="s">
        <v>1602</v>
      </c>
      <c r="B4" s="1184"/>
      <c r="C4" s="2406" t="str">
        <f>'Liste ETATS SUPPL DGI'!B4</f>
        <v>02 BP 5358 OUAGA 02</v>
      </c>
      <c r="D4" s="2406"/>
      <c r="E4" s="2406"/>
      <c r="F4" s="2406"/>
      <c r="G4" s="1078" t="s">
        <v>3977</v>
      </c>
      <c r="H4" s="2605" t="str">
        <f>'Liste ETATS SUPPL DGI'!I4</f>
        <v>SAM CONSEILS</v>
      </c>
      <c r="I4" s="2605"/>
      <c r="J4" s="1077"/>
    </row>
    <row r="5" spans="1:10" x14ac:dyDescent="0.25">
      <c r="A5" s="1053" t="s">
        <v>3978</v>
      </c>
      <c r="B5" s="2606" t="str">
        <f>'Liste ETATS SUPPL DGI'!C5</f>
        <v>00084404X</v>
      </c>
      <c r="C5" s="2547"/>
      <c r="D5" s="2547"/>
      <c r="E5" s="1095" t="s">
        <v>3979</v>
      </c>
      <c r="F5" s="2607">
        <f>'Liste ETATS SUPPL DGI'!F5:G5</f>
        <v>43465</v>
      </c>
      <c r="G5" s="2547"/>
      <c r="H5" s="2600" t="s">
        <v>3980</v>
      </c>
      <c r="I5" s="2600"/>
      <c r="J5" s="1079">
        <f>'Liste ETATS SUPPL DGI'!I5</f>
        <v>12</v>
      </c>
    </row>
    <row r="6" spans="1:10" x14ac:dyDescent="0.25">
      <c r="A6" s="1055" t="s">
        <v>3981</v>
      </c>
      <c r="C6" s="2596" t="str">
        <f>'Liste ETATS SUPPL DGI'!C6</f>
        <v>AMMTB89</v>
      </c>
      <c r="D6" s="2597"/>
      <c r="E6" s="2597"/>
      <c r="F6" s="1133"/>
      <c r="G6" s="1077"/>
      <c r="H6" s="1080"/>
      <c r="I6" s="1084"/>
    </row>
    <row r="7" spans="1:10" x14ac:dyDescent="0.25">
      <c r="A7" s="2598" t="s">
        <v>4381</v>
      </c>
      <c r="B7" s="2598"/>
      <c r="C7" s="2598"/>
      <c r="D7" s="2598"/>
      <c r="E7" s="2598"/>
      <c r="F7" s="2598"/>
      <c r="G7" s="2598"/>
      <c r="H7" s="2598"/>
      <c r="I7" s="2598"/>
      <c r="J7" s="1235"/>
    </row>
    <row r="8" spans="1:10" ht="33.75" x14ac:dyDescent="0.25">
      <c r="A8" s="1226" t="s">
        <v>4356</v>
      </c>
      <c r="B8" s="2591" t="s">
        <v>4357</v>
      </c>
      <c r="C8" s="2591"/>
      <c r="D8" s="2591"/>
      <c r="E8" s="1226" t="s">
        <v>4358</v>
      </c>
      <c r="F8" s="1226" t="s">
        <v>4377</v>
      </c>
      <c r="G8" s="1226" t="s">
        <v>4378</v>
      </c>
      <c r="H8" s="1226" t="s">
        <v>4360</v>
      </c>
      <c r="I8" s="1226" t="s">
        <v>3989</v>
      </c>
      <c r="J8" s="1226" t="s">
        <v>4361</v>
      </c>
    </row>
    <row r="9" spans="1:10" s="298" customFormat="1" x14ac:dyDescent="0.25">
      <c r="A9" s="1236"/>
      <c r="B9" s="2604"/>
      <c r="C9" s="2604"/>
      <c r="D9" s="2604"/>
      <c r="E9" s="1237"/>
      <c r="F9" s="1238"/>
      <c r="G9" s="1238"/>
      <c r="H9" s="1239"/>
      <c r="I9" s="1239"/>
      <c r="J9" s="1239"/>
    </row>
    <row r="10" spans="1:10" s="298" customFormat="1" x14ac:dyDescent="0.25">
      <c r="A10" s="1236"/>
      <c r="B10" s="2604"/>
      <c r="C10" s="2604"/>
      <c r="D10" s="2604"/>
      <c r="E10" s="1237"/>
      <c r="F10" s="1238"/>
      <c r="G10" s="1238"/>
      <c r="H10" s="1239"/>
      <c r="I10" s="1239"/>
      <c r="J10" s="1239"/>
    </row>
    <row r="11" spans="1:10" s="298" customFormat="1" x14ac:dyDescent="0.25">
      <c r="A11" s="1236"/>
      <c r="B11" s="2604"/>
      <c r="C11" s="2604"/>
      <c r="D11" s="2604"/>
      <c r="E11" s="1237"/>
      <c r="F11" s="1238"/>
      <c r="G11" s="1238"/>
      <c r="H11" s="1239"/>
      <c r="I11" s="1239"/>
      <c r="J11" s="1239"/>
    </row>
    <row r="12" spans="1:10" s="298" customFormat="1" x14ac:dyDescent="0.25">
      <c r="A12" s="1236"/>
      <c r="B12" s="2604"/>
      <c r="C12" s="2604"/>
      <c r="D12" s="2604"/>
      <c r="E12" s="1237"/>
      <c r="F12" s="1238"/>
      <c r="G12" s="1238"/>
      <c r="H12" s="1239"/>
      <c r="I12" s="1239"/>
      <c r="J12" s="1239"/>
    </row>
    <row r="13" spans="1:10" s="298" customFormat="1" x14ac:dyDescent="0.25">
      <c r="A13" s="1236"/>
      <c r="B13" s="2604"/>
      <c r="C13" s="2604"/>
      <c r="D13" s="2604"/>
      <c r="E13" s="1237"/>
      <c r="F13" s="1238"/>
      <c r="G13" s="1238"/>
      <c r="H13" s="1239"/>
      <c r="I13" s="1239"/>
      <c r="J13" s="1239"/>
    </row>
    <row r="14" spans="1:10" s="298" customFormat="1" x14ac:dyDescent="0.25">
      <c r="A14" s="1236"/>
      <c r="B14" s="2604"/>
      <c r="C14" s="2604"/>
      <c r="D14" s="2604"/>
      <c r="E14" s="1237"/>
      <c r="F14" s="1238"/>
      <c r="G14" s="1238"/>
      <c r="H14" s="1239"/>
      <c r="I14" s="1239"/>
      <c r="J14" s="1239"/>
    </row>
    <row r="15" spans="1:10" s="298" customFormat="1" x14ac:dyDescent="0.25">
      <c r="A15" s="1236"/>
      <c r="B15" s="2604"/>
      <c r="C15" s="2604"/>
      <c r="D15" s="2604"/>
      <c r="E15" s="1237"/>
      <c r="F15" s="1238"/>
      <c r="G15" s="1238"/>
      <c r="H15" s="1239"/>
      <c r="I15" s="1239"/>
      <c r="J15" s="1239"/>
    </row>
    <row r="16" spans="1:10" s="298" customFormat="1" x14ac:dyDescent="0.25">
      <c r="A16" s="1236"/>
      <c r="B16" s="2604"/>
      <c r="C16" s="2604"/>
      <c r="D16" s="2604"/>
      <c r="E16" s="1237"/>
      <c r="F16" s="1238"/>
      <c r="G16" s="1238"/>
      <c r="H16" s="1239"/>
      <c r="I16" s="1239"/>
      <c r="J16" s="1239"/>
    </row>
    <row r="17" spans="1:10" s="298" customFormat="1" x14ac:dyDescent="0.25">
      <c r="A17" s="1236"/>
      <c r="B17" s="2604"/>
      <c r="C17" s="2604"/>
      <c r="D17" s="2604"/>
      <c r="E17" s="1237"/>
      <c r="F17" s="1238"/>
      <c r="G17" s="1238"/>
      <c r="H17" s="1239"/>
      <c r="I17" s="1239"/>
      <c r="J17" s="1239"/>
    </row>
    <row r="18" spans="1:10" s="298" customFormat="1" x14ac:dyDescent="0.25">
      <c r="A18" s="1236"/>
      <c r="B18" s="2604"/>
      <c r="C18" s="2604"/>
      <c r="D18" s="2604"/>
      <c r="E18" s="1237"/>
      <c r="F18" s="1238"/>
      <c r="G18" s="1238"/>
      <c r="H18" s="1239"/>
      <c r="I18" s="1239"/>
      <c r="J18" s="1239"/>
    </row>
    <row r="19" spans="1:10" s="298" customFormat="1" x14ac:dyDescent="0.25">
      <c r="A19" s="1236"/>
      <c r="B19" s="2604"/>
      <c r="C19" s="2604"/>
      <c r="D19" s="2604"/>
      <c r="E19" s="1237"/>
      <c r="F19" s="1238"/>
      <c r="G19" s="1238"/>
      <c r="H19" s="1239"/>
      <c r="I19" s="1239"/>
      <c r="J19" s="1239"/>
    </row>
    <row r="20" spans="1:10" s="298" customFormat="1" x14ac:dyDescent="0.25">
      <c r="A20" s="1236"/>
      <c r="B20" s="2604"/>
      <c r="C20" s="2604"/>
      <c r="D20" s="2604"/>
      <c r="E20" s="1237"/>
      <c r="F20" s="1238"/>
      <c r="G20" s="1238"/>
      <c r="H20" s="1239"/>
      <c r="I20" s="1239"/>
      <c r="J20" s="1239"/>
    </row>
    <row r="21" spans="1:10" x14ac:dyDescent="0.25">
      <c r="A21" s="2608" t="s">
        <v>262</v>
      </c>
      <c r="B21" s="2608"/>
      <c r="C21" s="2608"/>
      <c r="D21" s="2608"/>
      <c r="E21" s="2608"/>
      <c r="F21" s="1240"/>
      <c r="G21" s="1240"/>
      <c r="H21" s="1241">
        <f>SUM(H9:H20)</f>
        <v>0</v>
      </c>
      <c r="I21" s="1241">
        <f>SUM(I9:I20)</f>
        <v>0</v>
      </c>
      <c r="J21" s="1241">
        <f>SUM(J9:J20)</f>
        <v>0</v>
      </c>
    </row>
  </sheetData>
  <sheetProtection selectLockedCells="1"/>
  <mergeCells count="24">
    <mergeCell ref="B18:D18"/>
    <mergeCell ref="B19:D19"/>
    <mergeCell ref="B20:D20"/>
    <mergeCell ref="A21:E21"/>
    <mergeCell ref="B12:D12"/>
    <mergeCell ref="B13:D13"/>
    <mergeCell ref="B14:D14"/>
    <mergeCell ref="B15:D15"/>
    <mergeCell ref="B16:D16"/>
    <mergeCell ref="B17:D17"/>
    <mergeCell ref="B11:D11"/>
    <mergeCell ref="A1:I1"/>
    <mergeCell ref="H2:J2"/>
    <mergeCell ref="D3:I3"/>
    <mergeCell ref="C4:F4"/>
    <mergeCell ref="H4:I4"/>
    <mergeCell ref="B5:D5"/>
    <mergeCell ref="F5:G5"/>
    <mergeCell ref="H5:I5"/>
    <mergeCell ref="C6:E6"/>
    <mergeCell ref="A7:I7"/>
    <mergeCell ref="B8:D8"/>
    <mergeCell ref="B9:D9"/>
    <mergeCell ref="B10:D10"/>
  </mergeCells>
  <pageMargins left="0.7" right="0.7" top="0.75" bottom="0.75" header="0.3" footer="0.3"/>
  <pageSetup paperSize="9" orientation="landscape"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J31"/>
  <sheetViews>
    <sheetView zoomScaleNormal="100" zoomScaleSheetLayoutView="115" workbookViewId="0">
      <selection activeCell="J2" sqref="J2"/>
    </sheetView>
  </sheetViews>
  <sheetFormatPr baseColWidth="10" defaultRowHeight="15" x14ac:dyDescent="0.25"/>
  <cols>
    <col min="1" max="1" width="10.5703125" customWidth="1"/>
    <col min="2" max="2" width="14.85546875" customWidth="1"/>
    <col min="3" max="3" width="8.85546875" customWidth="1"/>
    <col min="4" max="4" width="7.5703125" customWidth="1"/>
    <col min="5" max="5" width="14.85546875" customWidth="1"/>
    <col min="6" max="6" width="9.85546875" customWidth="1"/>
    <col min="7" max="7" width="15.7109375" customWidth="1"/>
    <col min="8" max="8" width="15.5703125" customWidth="1"/>
    <col min="9" max="9" width="12.7109375" customWidth="1"/>
    <col min="10" max="10" width="13.7109375" customWidth="1"/>
  </cols>
  <sheetData>
    <row r="1" spans="1:10" x14ac:dyDescent="0.25">
      <c r="A1" s="2312" t="s">
        <v>3974</v>
      </c>
      <c r="B1" s="2312"/>
      <c r="C1" s="2312"/>
      <c r="D1" s="2312"/>
      <c r="E1" s="2312"/>
      <c r="F1" s="2312"/>
      <c r="G1" s="2312"/>
      <c r="H1" s="2312"/>
      <c r="I1" s="2312"/>
    </row>
    <row r="2" spans="1:10" ht="15" customHeight="1" x14ac:dyDescent="0.25">
      <c r="A2" s="1127"/>
      <c r="B2" s="1076"/>
      <c r="C2" s="1076"/>
      <c r="D2" s="1076"/>
      <c r="E2" s="1076"/>
      <c r="F2" s="1076"/>
      <c r="H2" s="2599" t="s">
        <v>4382</v>
      </c>
      <c r="I2" s="2599"/>
      <c r="J2" s="2599"/>
    </row>
    <row r="3" spans="1:10" x14ac:dyDescent="0.25">
      <c r="A3" s="1053" t="s">
        <v>3976</v>
      </c>
      <c r="D3" s="2404" t="str">
        <f>'Liste ETATS SUPPL DGI'!C3</f>
        <v>SAM CONSEILS</v>
      </c>
      <c r="E3" s="2404"/>
      <c r="F3" s="2404"/>
      <c r="G3" s="2404"/>
      <c r="H3" s="2404"/>
      <c r="I3" s="2404"/>
    </row>
    <row r="4" spans="1:10" x14ac:dyDescent="0.25">
      <c r="A4" s="1053" t="s">
        <v>1602</v>
      </c>
      <c r="B4" s="1184"/>
      <c r="C4" s="2406" t="str">
        <f>'Liste ETATS SUPPL DGI'!B4</f>
        <v>02 BP 5358 OUAGA 02</v>
      </c>
      <c r="D4" s="2406"/>
      <c r="E4" s="2406"/>
      <c r="F4" s="2406"/>
      <c r="G4" s="1078" t="s">
        <v>3977</v>
      </c>
      <c r="H4" s="2595" t="str">
        <f>'Liste ETATS SUPPL DGI'!I4</f>
        <v>SAM CONSEILS</v>
      </c>
      <c r="I4" s="2595"/>
      <c r="J4" s="2595"/>
    </row>
    <row r="5" spans="1:10" x14ac:dyDescent="0.25">
      <c r="A5" s="1053" t="s">
        <v>3978</v>
      </c>
      <c r="B5" s="2547" t="str">
        <f>'Liste ETATS SUPPL DGI'!C5</f>
        <v>00084404X</v>
      </c>
      <c r="C5" s="2547"/>
      <c r="D5" s="2547"/>
      <c r="E5" s="1095" t="s">
        <v>3979</v>
      </c>
      <c r="F5" s="2607">
        <f>'Liste ETATS SUPPL DGI'!F5:G5</f>
        <v>43465</v>
      </c>
      <c r="G5" s="2547"/>
      <c r="H5" s="2600" t="s">
        <v>3980</v>
      </c>
      <c r="I5" s="2600"/>
      <c r="J5" s="1079">
        <f>'Liste ETATS SUPPL DGI'!I5</f>
        <v>12</v>
      </c>
    </row>
    <row r="6" spans="1:10" x14ac:dyDescent="0.25">
      <c r="A6" s="1055" t="s">
        <v>3981</v>
      </c>
      <c r="C6" s="2606" t="str">
        <f>'Liste ETATS SUPPL DGI'!C6:D6</f>
        <v>AMMTB89</v>
      </c>
      <c r="D6" s="2547"/>
      <c r="E6" s="2547"/>
      <c r="F6" s="1133"/>
      <c r="G6" s="1077"/>
      <c r="H6" s="1080"/>
      <c r="I6" s="1084"/>
    </row>
    <row r="7" spans="1:10" ht="15.75" x14ac:dyDescent="0.25">
      <c r="A7" s="2609" t="s">
        <v>4383</v>
      </c>
      <c r="B7" s="2609"/>
      <c r="C7" s="2609"/>
      <c r="D7" s="2609"/>
      <c r="E7" s="2609"/>
      <c r="F7" s="2609"/>
      <c r="G7" s="2609"/>
      <c r="H7" s="2609"/>
      <c r="I7" s="2609"/>
      <c r="J7" s="2609"/>
    </row>
    <row r="8" spans="1:10" ht="33.75" x14ac:dyDescent="0.25">
      <c r="A8" s="1226" t="s">
        <v>4356</v>
      </c>
      <c r="B8" s="2591" t="s">
        <v>4357</v>
      </c>
      <c r="C8" s="2591"/>
      <c r="D8" s="2591"/>
      <c r="E8" s="1226" t="s">
        <v>4358</v>
      </c>
      <c r="F8" s="1226" t="s">
        <v>4377</v>
      </c>
      <c r="G8" s="1226" t="s">
        <v>4378</v>
      </c>
      <c r="H8" s="1226" t="s">
        <v>4360</v>
      </c>
      <c r="I8" s="1226" t="s">
        <v>3989</v>
      </c>
      <c r="J8" s="1226" t="s">
        <v>4361</v>
      </c>
    </row>
    <row r="9" spans="1:10" s="298" customFormat="1" x14ac:dyDescent="0.25">
      <c r="A9" s="1236"/>
      <c r="B9" s="2604"/>
      <c r="C9" s="2604"/>
      <c r="D9" s="2604"/>
      <c r="E9" s="1237"/>
      <c r="F9" s="1238"/>
      <c r="G9" s="1238"/>
      <c r="H9" s="1242"/>
      <c r="I9" s="1242"/>
      <c r="J9" s="1242"/>
    </row>
    <row r="10" spans="1:10" s="298" customFormat="1" x14ac:dyDescent="0.25">
      <c r="A10" s="1236"/>
      <c r="B10" s="2604"/>
      <c r="C10" s="2604"/>
      <c r="D10" s="2604"/>
      <c r="E10" s="1237"/>
      <c r="F10" s="1238"/>
      <c r="G10" s="1238"/>
      <c r="H10" s="1242"/>
      <c r="I10" s="1242"/>
      <c r="J10" s="1242"/>
    </row>
    <row r="11" spans="1:10" s="298" customFormat="1" x14ac:dyDescent="0.25">
      <c r="A11" s="1236"/>
      <c r="B11" s="2604"/>
      <c r="C11" s="2604"/>
      <c r="D11" s="2604"/>
      <c r="E11" s="1237"/>
      <c r="F11" s="1238"/>
      <c r="G11" s="1238"/>
      <c r="H11" s="1242"/>
      <c r="I11" s="1242"/>
      <c r="J11" s="1242"/>
    </row>
    <row r="12" spans="1:10" s="298" customFormat="1" x14ac:dyDescent="0.25">
      <c r="A12" s="1236"/>
      <c r="B12" s="2604"/>
      <c r="C12" s="2604"/>
      <c r="D12" s="2604"/>
      <c r="E12" s="1237"/>
      <c r="F12" s="1238"/>
      <c r="G12" s="1238"/>
      <c r="H12" s="1242"/>
      <c r="I12" s="1242"/>
      <c r="J12" s="1242"/>
    </row>
    <row r="13" spans="1:10" s="298" customFormat="1" x14ac:dyDescent="0.25">
      <c r="A13" s="1236"/>
      <c r="B13" s="2604"/>
      <c r="C13" s="2604"/>
      <c r="D13" s="2604"/>
      <c r="E13" s="1237"/>
      <c r="F13" s="1238"/>
      <c r="G13" s="1238"/>
      <c r="H13" s="1242"/>
      <c r="I13" s="1242"/>
      <c r="J13" s="1242"/>
    </row>
    <row r="14" spans="1:10" s="298" customFormat="1" x14ac:dyDescent="0.25">
      <c r="A14" s="1236"/>
      <c r="B14" s="2604"/>
      <c r="C14" s="2604"/>
      <c r="D14" s="2604"/>
      <c r="E14" s="1237"/>
      <c r="F14" s="1238"/>
      <c r="G14" s="1238"/>
      <c r="H14" s="1242"/>
      <c r="I14" s="1242"/>
      <c r="J14" s="1242"/>
    </row>
    <row r="15" spans="1:10" s="298" customFormat="1" x14ac:dyDescent="0.25">
      <c r="A15" s="1236"/>
      <c r="B15" s="2604"/>
      <c r="C15" s="2604"/>
      <c r="D15" s="2604"/>
      <c r="E15" s="1237"/>
      <c r="F15" s="1238"/>
      <c r="G15" s="1238"/>
      <c r="H15" s="1242"/>
      <c r="I15" s="1242"/>
      <c r="J15" s="1242"/>
    </row>
    <row r="16" spans="1:10" s="298" customFormat="1" x14ac:dyDescent="0.25">
      <c r="A16" s="1236"/>
      <c r="B16" s="2604"/>
      <c r="C16" s="2604"/>
      <c r="D16" s="2604"/>
      <c r="E16" s="1237"/>
      <c r="F16" s="1238"/>
      <c r="G16" s="1238"/>
      <c r="H16" s="1242"/>
      <c r="I16" s="1242"/>
      <c r="J16" s="1242"/>
    </row>
    <row r="17" spans="1:10" s="298" customFormat="1" x14ac:dyDescent="0.25">
      <c r="A17" s="1236"/>
      <c r="B17" s="2604"/>
      <c r="C17" s="2604"/>
      <c r="D17" s="2604"/>
      <c r="E17" s="1237"/>
      <c r="F17" s="1238"/>
      <c r="G17" s="1238"/>
      <c r="H17" s="1242"/>
      <c r="I17" s="1242"/>
      <c r="J17" s="1242"/>
    </row>
    <row r="18" spans="1:10" s="298" customFormat="1" x14ac:dyDescent="0.25">
      <c r="A18" s="1236"/>
      <c r="B18" s="2604"/>
      <c r="C18" s="2604"/>
      <c r="D18" s="2604"/>
      <c r="E18" s="1237"/>
      <c r="F18" s="1238"/>
      <c r="G18" s="1238"/>
      <c r="H18" s="1242"/>
      <c r="I18" s="1242"/>
      <c r="J18" s="1242"/>
    </row>
    <row r="19" spans="1:10" s="298" customFormat="1" x14ac:dyDescent="0.25">
      <c r="A19" s="1236"/>
      <c r="B19" s="2604"/>
      <c r="C19" s="2604"/>
      <c r="D19" s="2604"/>
      <c r="E19" s="1237"/>
      <c r="F19" s="1238"/>
      <c r="G19" s="1238"/>
      <c r="H19" s="1242"/>
      <c r="I19" s="1242"/>
      <c r="J19" s="1242"/>
    </row>
    <row r="20" spans="1:10" s="298" customFormat="1" x14ac:dyDescent="0.25">
      <c r="A20" s="1236"/>
      <c r="B20" s="2604"/>
      <c r="C20" s="2604"/>
      <c r="D20" s="2604"/>
      <c r="E20" s="1237"/>
      <c r="F20" s="1238"/>
      <c r="G20" s="1238"/>
      <c r="H20" s="1242"/>
      <c r="I20" s="1242"/>
      <c r="J20" s="1242"/>
    </row>
    <row r="21" spans="1:10" s="298" customFormat="1" x14ac:dyDescent="0.25">
      <c r="A21" s="1236"/>
      <c r="B21" s="2604"/>
      <c r="C21" s="2604"/>
      <c r="D21" s="2604"/>
      <c r="E21" s="1237"/>
      <c r="F21" s="1238"/>
      <c r="G21" s="1238"/>
      <c r="H21" s="1242"/>
      <c r="I21" s="1242"/>
      <c r="J21" s="1242"/>
    </row>
    <row r="22" spans="1:10" s="298" customFormat="1" x14ac:dyDescent="0.25">
      <c r="A22" s="1236"/>
      <c r="B22" s="2604"/>
      <c r="C22" s="2604"/>
      <c r="D22" s="2604"/>
      <c r="E22" s="1237"/>
      <c r="F22" s="1238"/>
      <c r="G22" s="1238"/>
      <c r="H22" s="1242"/>
      <c r="I22" s="1242"/>
      <c r="J22" s="1242"/>
    </row>
    <row r="23" spans="1:10" s="298" customFormat="1" x14ac:dyDescent="0.25">
      <c r="A23" s="1236"/>
      <c r="B23" s="2604"/>
      <c r="C23" s="2604"/>
      <c r="D23" s="2604"/>
      <c r="E23" s="1237"/>
      <c r="F23" s="1238"/>
      <c r="G23" s="1238"/>
      <c r="H23" s="1242"/>
      <c r="I23" s="1242"/>
      <c r="J23" s="1242"/>
    </row>
    <row r="24" spans="1:10" s="298" customFormat="1" x14ac:dyDescent="0.25">
      <c r="A24" s="1236"/>
      <c r="B24" s="2604"/>
      <c r="C24" s="2604"/>
      <c r="D24" s="2604"/>
      <c r="E24" s="1237"/>
      <c r="F24" s="1238"/>
      <c r="G24" s="1238"/>
      <c r="H24" s="1242"/>
      <c r="I24" s="1242"/>
      <c r="J24" s="1242"/>
    </row>
    <row r="25" spans="1:10" s="298" customFormat="1" x14ac:dyDescent="0.25">
      <c r="A25" s="1236"/>
      <c r="B25" s="2604"/>
      <c r="C25" s="2604"/>
      <c r="D25" s="2604"/>
      <c r="E25" s="1237"/>
      <c r="F25" s="1238"/>
      <c r="G25" s="1238"/>
      <c r="H25" s="1242"/>
      <c r="I25" s="1242"/>
      <c r="J25" s="1242"/>
    </row>
    <row r="26" spans="1:10" s="298" customFormat="1" x14ac:dyDescent="0.25">
      <c r="A26" s="1236"/>
      <c r="B26" s="2604"/>
      <c r="C26" s="2604"/>
      <c r="D26" s="2604"/>
      <c r="E26" s="1237"/>
      <c r="F26" s="1238"/>
      <c r="G26" s="1238"/>
      <c r="H26" s="1242"/>
      <c r="I26" s="1242"/>
      <c r="J26" s="1242"/>
    </row>
    <row r="27" spans="1:10" s="298" customFormat="1" x14ac:dyDescent="0.25">
      <c r="A27" s="1236"/>
      <c r="B27" s="2604"/>
      <c r="C27" s="2604"/>
      <c r="D27" s="2604"/>
      <c r="E27" s="1237"/>
      <c r="F27" s="1238"/>
      <c r="G27" s="1238"/>
      <c r="H27" s="1242"/>
      <c r="I27" s="1242"/>
      <c r="J27" s="1242"/>
    </row>
    <row r="28" spans="1:10" s="298" customFormat="1" x14ac:dyDescent="0.25">
      <c r="A28" s="1236"/>
      <c r="B28" s="2604"/>
      <c r="C28" s="2604"/>
      <c r="D28" s="2604"/>
      <c r="E28" s="1237"/>
      <c r="F28" s="1238"/>
      <c r="G28" s="1238"/>
      <c r="H28" s="1242"/>
      <c r="I28" s="1242"/>
      <c r="J28" s="1242"/>
    </row>
    <row r="29" spans="1:10" s="298" customFormat="1" x14ac:dyDescent="0.25">
      <c r="A29" s="1236"/>
      <c r="B29" s="2604"/>
      <c r="C29" s="2604"/>
      <c r="D29" s="2604"/>
      <c r="E29" s="1237"/>
      <c r="F29" s="1238"/>
      <c r="G29" s="1238"/>
      <c r="H29" s="1242"/>
      <c r="I29" s="1242"/>
      <c r="J29" s="1242"/>
    </row>
    <row r="30" spans="1:10" s="298" customFormat="1" x14ac:dyDescent="0.25">
      <c r="A30" s="1236"/>
      <c r="B30" s="2604"/>
      <c r="C30" s="2604"/>
      <c r="D30" s="2604"/>
      <c r="E30" s="1237"/>
      <c r="F30" s="1238"/>
      <c r="G30" s="1238"/>
      <c r="H30" s="1242"/>
      <c r="I30" s="1242"/>
      <c r="J30" s="1242"/>
    </row>
    <row r="31" spans="1:10" x14ac:dyDescent="0.25">
      <c r="A31" s="2608" t="s">
        <v>262</v>
      </c>
      <c r="B31" s="2608"/>
      <c r="C31" s="2608"/>
      <c r="D31" s="2608"/>
      <c r="E31" s="2608"/>
      <c r="F31" s="1240"/>
      <c r="G31" s="1240"/>
      <c r="H31" s="1243">
        <f>SUM(H9:H30)</f>
        <v>0</v>
      </c>
      <c r="I31" s="1243">
        <f>SUM(I9:I30)</f>
        <v>0</v>
      </c>
      <c r="J31" s="1243">
        <f>SUM(J9:J30)</f>
        <v>0</v>
      </c>
    </row>
  </sheetData>
  <mergeCells count="34">
    <mergeCell ref="B30:D30"/>
    <mergeCell ref="A31:E31"/>
    <mergeCell ref="B24:D24"/>
    <mergeCell ref="B25:D25"/>
    <mergeCell ref="B26:D26"/>
    <mergeCell ref="B27:D27"/>
    <mergeCell ref="B28:D28"/>
    <mergeCell ref="B29:D29"/>
    <mergeCell ref="B23:D23"/>
    <mergeCell ref="B12:D12"/>
    <mergeCell ref="B13:D13"/>
    <mergeCell ref="B14:D14"/>
    <mergeCell ref="B15:D15"/>
    <mergeCell ref="B16:D16"/>
    <mergeCell ref="B17:D17"/>
    <mergeCell ref="B18:D18"/>
    <mergeCell ref="B19:D19"/>
    <mergeCell ref="B20:D20"/>
    <mergeCell ref="B21:D21"/>
    <mergeCell ref="B22:D22"/>
    <mergeCell ref="B11:D11"/>
    <mergeCell ref="A1:I1"/>
    <mergeCell ref="H2:J2"/>
    <mergeCell ref="D3:I3"/>
    <mergeCell ref="C4:F4"/>
    <mergeCell ref="H4:J4"/>
    <mergeCell ref="B5:D5"/>
    <mergeCell ref="F5:G5"/>
    <mergeCell ref="H5:I5"/>
    <mergeCell ref="C6:E6"/>
    <mergeCell ref="A7:J7"/>
    <mergeCell ref="B8:D8"/>
    <mergeCell ref="B9:D9"/>
    <mergeCell ref="B10:D10"/>
  </mergeCells>
  <pageMargins left="0.7" right="0.7" top="0.75" bottom="0.75" header="0.3" footer="0.3"/>
  <pageSetup paperSize="9" orientation="landscape"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H47"/>
  <sheetViews>
    <sheetView showGridLines="0" zoomScaleNormal="100" zoomScaleSheetLayoutView="85" workbookViewId="0">
      <selection activeCell="J2" sqref="J2"/>
    </sheetView>
  </sheetViews>
  <sheetFormatPr baseColWidth="10" defaultRowHeight="15" x14ac:dyDescent="0.25"/>
  <cols>
    <col min="1" max="1" width="9.5703125" style="298" customWidth="1"/>
    <col min="2" max="2" width="19.140625" style="298" customWidth="1"/>
    <col min="3" max="3" width="12.140625" style="298" customWidth="1"/>
    <col min="4" max="4" width="7.7109375" style="298" customWidth="1"/>
    <col min="5" max="5" width="14.85546875" style="298" customWidth="1"/>
    <col min="6" max="6" width="15.28515625" style="298" customWidth="1"/>
    <col min="7" max="7" width="14.85546875" style="298" customWidth="1"/>
    <col min="8" max="8" width="19.42578125" style="298" customWidth="1"/>
    <col min="9" max="16384" width="11.42578125" style="298"/>
  </cols>
  <sheetData>
    <row r="1" spans="1:8" x14ac:dyDescent="0.25">
      <c r="A1" s="2346" t="s">
        <v>3974</v>
      </c>
      <c r="B1" s="2346"/>
      <c r="C1" s="2346"/>
      <c r="D1" s="2346"/>
      <c r="E1" s="2346"/>
      <c r="F1" s="2346"/>
      <c r="G1" s="2346"/>
      <c r="H1" s="2346"/>
    </row>
    <row r="2" spans="1:8" ht="24.95" customHeight="1" x14ac:dyDescent="0.25">
      <c r="A2" s="1622"/>
      <c r="B2" s="1622"/>
      <c r="C2" s="1622"/>
      <c r="D2" s="1622"/>
      <c r="E2" s="1622"/>
      <c r="F2" s="1622"/>
      <c r="G2" s="2613" t="s">
        <v>4384</v>
      </c>
      <c r="H2" s="2614"/>
    </row>
    <row r="3" spans="1:8" x14ac:dyDescent="0.25">
      <c r="A3" s="1464" t="s">
        <v>3976</v>
      </c>
      <c r="B3" s="1641"/>
      <c r="C3" s="2388" t="str">
        <f>'Liste ETATS SUPPL DGI'!C3:J3</f>
        <v>SAM CONSEILS</v>
      </c>
      <c r="D3" s="2388"/>
      <c r="E3" s="2388"/>
      <c r="F3" s="2388"/>
      <c r="G3" s="2388"/>
      <c r="H3" s="2388"/>
    </row>
    <row r="4" spans="1:8" x14ac:dyDescent="0.25">
      <c r="A4" s="1464" t="s">
        <v>1602</v>
      </c>
      <c r="B4" s="2615" t="str">
        <f>'Liste ETATS SUPPL DGI'!B4:G4</f>
        <v>02 BP 5358 OUAGA 02</v>
      </c>
      <c r="C4" s="2615"/>
      <c r="D4" s="2615"/>
      <c r="E4" s="2615"/>
      <c r="F4" s="2615"/>
      <c r="G4" s="1590" t="s">
        <v>3977</v>
      </c>
      <c r="H4" s="1642" t="str">
        <f>'Liste ETATS SUPPL DGI'!I4</f>
        <v>SAM CONSEILS</v>
      </c>
    </row>
    <row r="5" spans="1:8" x14ac:dyDescent="0.25">
      <c r="A5" s="1464" t="s">
        <v>3978</v>
      </c>
      <c r="B5" s="1464"/>
      <c r="C5" s="2388" t="str">
        <f>'Liste ETATS SUPPL DGI'!C5:D5</f>
        <v>00084404X</v>
      </c>
      <c r="D5" s="2388"/>
      <c r="E5" s="1643" t="s">
        <v>3979</v>
      </c>
      <c r="F5" s="1623">
        <f>'Liste ETATS SUPPL DGI'!F5:G5</f>
        <v>43465</v>
      </c>
      <c r="G5" s="1590" t="s">
        <v>3980</v>
      </c>
      <c r="H5" s="1594">
        <f>'Liste ETATS SUPPL DGI'!I5</f>
        <v>12</v>
      </c>
    </row>
    <row r="6" spans="1:8" x14ac:dyDescent="0.25">
      <c r="A6" s="1468" t="s">
        <v>3981</v>
      </c>
      <c r="B6" s="1464"/>
      <c r="C6" s="2616" t="str">
        <f>'Liste ETATS SUPPL DGI'!C6:D6</f>
        <v>AMMTB89</v>
      </c>
      <c r="D6" s="2390"/>
      <c r="E6" s="1644"/>
      <c r="F6" s="1594"/>
      <c r="G6" s="1593"/>
      <c r="H6" s="1594"/>
    </row>
    <row r="7" spans="1:8" ht="35.1" customHeight="1" x14ac:dyDescent="0.25">
      <c r="A7" s="2617" t="s">
        <v>4020</v>
      </c>
      <c r="B7" s="2617"/>
      <c r="C7" s="2617"/>
      <c r="D7" s="2617"/>
      <c r="E7" s="2617"/>
      <c r="F7" s="2617"/>
      <c r="G7" s="2617"/>
      <c r="H7" s="2617"/>
    </row>
    <row r="8" spans="1:8" s="1245" customFormat="1" ht="21" customHeight="1" x14ac:dyDescent="0.25">
      <c r="A8" s="2618" t="s">
        <v>138</v>
      </c>
      <c r="B8" s="2619"/>
      <c r="C8" s="2619"/>
      <c r="D8" s="2619"/>
      <c r="E8" s="2619"/>
      <c r="F8" s="2619"/>
      <c r="G8" s="2620"/>
      <c r="H8" s="1645" t="s">
        <v>1282</v>
      </c>
    </row>
    <row r="9" spans="1:8" s="1245" customFormat="1" ht="17.100000000000001" customHeight="1" x14ac:dyDescent="0.25">
      <c r="A9" s="2621" t="s">
        <v>4385</v>
      </c>
      <c r="B9" s="2622"/>
      <c r="C9" s="2622"/>
      <c r="D9" s="2622"/>
      <c r="E9" s="2622"/>
      <c r="F9" s="2622"/>
      <c r="G9" s="2623"/>
      <c r="H9" s="1652">
        <f>SUM(H10)</f>
        <v>246491910</v>
      </c>
    </row>
    <row r="10" spans="1:8" s="1245" customFormat="1" ht="17.100000000000001" customHeight="1" x14ac:dyDescent="0.25">
      <c r="A10" s="2624"/>
      <c r="B10" s="2625"/>
      <c r="C10" s="2625"/>
      <c r="D10" s="2625"/>
      <c r="E10" s="2625"/>
      <c r="F10" s="2625"/>
      <c r="G10" s="2626"/>
      <c r="H10" s="1244">
        <f>'CALCULS FISCAUX'!J5</f>
        <v>246491910</v>
      </c>
    </row>
    <row r="11" spans="1:8" s="1245" customFormat="1" ht="17.100000000000001" customHeight="1" x14ac:dyDescent="0.25">
      <c r="A11" s="2627" t="s">
        <v>4386</v>
      </c>
      <c r="B11" s="2628"/>
      <c r="C11" s="2628"/>
      <c r="D11" s="2628"/>
      <c r="E11" s="2628"/>
      <c r="F11" s="2628"/>
      <c r="G11" s="2629"/>
      <c r="H11" s="1652">
        <f>SUM(H12:H20)</f>
        <v>0</v>
      </c>
    </row>
    <row r="12" spans="1:8" s="1245" customFormat="1" ht="17.100000000000001" customHeight="1" x14ac:dyDescent="0.25">
      <c r="A12" s="2610">
        <f>'CALCULS FISCAUX'!B8</f>
        <v>0</v>
      </c>
      <c r="B12" s="2611"/>
      <c r="C12" s="2611"/>
      <c r="D12" s="2611"/>
      <c r="E12" s="2611"/>
      <c r="F12" s="2611"/>
      <c r="G12" s="2612"/>
      <c r="H12" s="1244">
        <f>'CALCULS FISCAUX'!J8</f>
        <v>0</v>
      </c>
    </row>
    <row r="13" spans="1:8" s="1245" customFormat="1" ht="17.100000000000001" customHeight="1" x14ac:dyDescent="0.25">
      <c r="A13" s="2610">
        <f>'CALCULS FISCAUX'!B9</f>
        <v>0</v>
      </c>
      <c r="B13" s="2611"/>
      <c r="C13" s="2611"/>
      <c r="D13" s="2611"/>
      <c r="E13" s="2611"/>
      <c r="F13" s="2611"/>
      <c r="G13" s="2612"/>
      <c r="H13" s="1244">
        <f>'CALCULS FISCAUX'!J9</f>
        <v>0</v>
      </c>
    </row>
    <row r="14" spans="1:8" s="1245" customFormat="1" ht="17.100000000000001" customHeight="1" x14ac:dyDescent="0.25">
      <c r="A14" s="2610">
        <f>'CALCULS FISCAUX'!B10</f>
        <v>0</v>
      </c>
      <c r="B14" s="2611"/>
      <c r="C14" s="2611"/>
      <c r="D14" s="2611"/>
      <c r="E14" s="2611"/>
      <c r="F14" s="2611"/>
      <c r="G14" s="2612"/>
      <c r="H14" s="1244">
        <f>'CALCULS FISCAUX'!J10</f>
        <v>0</v>
      </c>
    </row>
    <row r="15" spans="1:8" s="1245" customFormat="1" ht="17.100000000000001" customHeight="1" x14ac:dyDescent="0.25">
      <c r="A15" s="2610">
        <f>'CALCULS FISCAUX'!B11</f>
        <v>0</v>
      </c>
      <c r="B15" s="2611"/>
      <c r="C15" s="2611"/>
      <c r="D15" s="2611"/>
      <c r="E15" s="2611"/>
      <c r="F15" s="2611"/>
      <c r="G15" s="2612"/>
      <c r="H15" s="1244">
        <f>'CALCULS FISCAUX'!J11</f>
        <v>0</v>
      </c>
    </row>
    <row r="16" spans="1:8" s="1245" customFormat="1" ht="17.100000000000001" customHeight="1" x14ac:dyDescent="0.25">
      <c r="A16" s="2610">
        <f>'CALCULS FISCAUX'!B12</f>
        <v>0</v>
      </c>
      <c r="B16" s="2611"/>
      <c r="C16" s="2611"/>
      <c r="D16" s="2611"/>
      <c r="E16" s="2611"/>
      <c r="F16" s="2611"/>
      <c r="G16" s="2612"/>
      <c r="H16" s="1244">
        <f>'CALCULS FISCAUX'!J12</f>
        <v>0</v>
      </c>
    </row>
    <row r="17" spans="1:8" s="1245" customFormat="1" ht="17.100000000000001" customHeight="1" x14ac:dyDescent="0.25">
      <c r="A17" s="2610">
        <f>'CALCULS FISCAUX'!B13</f>
        <v>0</v>
      </c>
      <c r="B17" s="2611"/>
      <c r="C17" s="2611"/>
      <c r="D17" s="2611"/>
      <c r="E17" s="2611"/>
      <c r="F17" s="2611"/>
      <c r="G17" s="2612"/>
      <c r="H17" s="1244">
        <f>'CALCULS FISCAUX'!J13</f>
        <v>0</v>
      </c>
    </row>
    <row r="18" spans="1:8" s="1245" customFormat="1" ht="17.100000000000001" customHeight="1" x14ac:dyDescent="0.25">
      <c r="A18" s="2610">
        <f>'CALCULS FISCAUX'!B14</f>
        <v>0</v>
      </c>
      <c r="B18" s="2611"/>
      <c r="C18" s="2611"/>
      <c r="D18" s="2611"/>
      <c r="E18" s="2611"/>
      <c r="F18" s="2611"/>
      <c r="G18" s="2612"/>
      <c r="H18" s="1244">
        <f>'CALCULS FISCAUX'!J14</f>
        <v>0</v>
      </c>
    </row>
    <row r="19" spans="1:8" s="1245" customFormat="1" ht="17.100000000000001" customHeight="1" x14ac:dyDescent="0.25">
      <c r="A19" s="2610">
        <f>'CALCULS FISCAUX'!B15</f>
        <v>0</v>
      </c>
      <c r="B19" s="2611"/>
      <c r="C19" s="2611"/>
      <c r="D19" s="2611"/>
      <c r="E19" s="2611"/>
      <c r="F19" s="2611"/>
      <c r="G19" s="2612"/>
      <c r="H19" s="1244">
        <f>'CALCULS FISCAUX'!J15</f>
        <v>0</v>
      </c>
    </row>
    <row r="20" spans="1:8" s="1245" customFormat="1" ht="17.100000000000001" customHeight="1" x14ac:dyDescent="0.25">
      <c r="A20" s="2610">
        <f>'CALCULS FISCAUX'!B16</f>
        <v>0</v>
      </c>
      <c r="B20" s="2611"/>
      <c r="C20" s="2611"/>
      <c r="D20" s="2611"/>
      <c r="E20" s="2611"/>
      <c r="F20" s="2611"/>
      <c r="G20" s="2612"/>
      <c r="H20" s="1244">
        <f>'CALCULS FISCAUX'!J16</f>
        <v>0</v>
      </c>
    </row>
    <row r="21" spans="1:8" s="1245" customFormat="1" ht="17.100000000000001" customHeight="1" x14ac:dyDescent="0.25">
      <c r="A21" s="2627" t="s">
        <v>4388</v>
      </c>
      <c r="B21" s="2628"/>
      <c r="C21" s="2628"/>
      <c r="D21" s="2628"/>
      <c r="E21" s="2628"/>
      <c r="F21" s="2628"/>
      <c r="G21" s="2629"/>
      <c r="H21" s="1652">
        <f>SUM(H22:H31)</f>
        <v>0</v>
      </c>
    </row>
    <row r="22" spans="1:8" s="1245" customFormat="1" ht="17.100000000000001" customHeight="1" x14ac:dyDescent="0.25">
      <c r="A22" s="2624">
        <f>'CALCULS FISCAUX'!B20</f>
        <v>0</v>
      </c>
      <c r="B22" s="2625"/>
      <c r="C22" s="2625"/>
      <c r="D22" s="2625"/>
      <c r="E22" s="2625"/>
      <c r="F22" s="2625"/>
      <c r="G22" s="2626"/>
      <c r="H22" s="1244">
        <f>'CALCULS FISCAUX'!J20</f>
        <v>0</v>
      </c>
    </row>
    <row r="23" spans="1:8" s="1245" customFormat="1" ht="17.100000000000001" customHeight="1" x14ac:dyDescent="0.25">
      <c r="A23" s="2624">
        <f>'CALCULS FISCAUX'!B21</f>
        <v>0</v>
      </c>
      <c r="B23" s="2625"/>
      <c r="C23" s="2625"/>
      <c r="D23" s="2625"/>
      <c r="E23" s="2625"/>
      <c r="F23" s="2625"/>
      <c r="G23" s="2626"/>
      <c r="H23" s="1244">
        <f>'CALCULS FISCAUX'!J21</f>
        <v>0</v>
      </c>
    </row>
    <row r="24" spans="1:8" s="1245" customFormat="1" ht="17.100000000000001" customHeight="1" x14ac:dyDescent="0.25">
      <c r="A24" s="2624">
        <f>'CALCULS FISCAUX'!B22</f>
        <v>0</v>
      </c>
      <c r="B24" s="2625"/>
      <c r="C24" s="2625"/>
      <c r="D24" s="2625"/>
      <c r="E24" s="2625"/>
      <c r="F24" s="2625"/>
      <c r="G24" s="2626"/>
      <c r="H24" s="1244">
        <f>'CALCULS FISCAUX'!J22</f>
        <v>0</v>
      </c>
    </row>
    <row r="25" spans="1:8" s="1245" customFormat="1" ht="17.100000000000001" customHeight="1" x14ac:dyDescent="0.25">
      <c r="A25" s="2624">
        <f>'CALCULS FISCAUX'!B23</f>
        <v>0</v>
      </c>
      <c r="B25" s="2625"/>
      <c r="C25" s="2625"/>
      <c r="D25" s="2625"/>
      <c r="E25" s="2625"/>
      <c r="F25" s="2625"/>
      <c r="G25" s="2626"/>
      <c r="H25" s="1244">
        <f>'CALCULS FISCAUX'!J23</f>
        <v>0</v>
      </c>
    </row>
    <row r="26" spans="1:8" s="1245" customFormat="1" ht="17.100000000000001" customHeight="1" x14ac:dyDescent="0.25">
      <c r="A26" s="2624">
        <f>'CALCULS FISCAUX'!B24</f>
        <v>0</v>
      </c>
      <c r="B26" s="2625"/>
      <c r="C26" s="2625"/>
      <c r="D26" s="2625"/>
      <c r="E26" s="2625"/>
      <c r="F26" s="2625"/>
      <c r="G26" s="2626"/>
      <c r="H26" s="1244">
        <f>'CALCULS FISCAUX'!J24</f>
        <v>0</v>
      </c>
    </row>
    <row r="27" spans="1:8" s="1245" customFormat="1" ht="17.100000000000001" customHeight="1" x14ac:dyDescent="0.25">
      <c r="A27" s="2624">
        <f>'CALCULS FISCAUX'!B25</f>
        <v>0</v>
      </c>
      <c r="B27" s="2625"/>
      <c r="C27" s="2625"/>
      <c r="D27" s="2625"/>
      <c r="E27" s="2625"/>
      <c r="F27" s="2625"/>
      <c r="G27" s="2626"/>
      <c r="H27" s="1244">
        <f>'CALCULS FISCAUX'!J25</f>
        <v>0</v>
      </c>
    </row>
    <row r="28" spans="1:8" s="1245" customFormat="1" ht="17.100000000000001" customHeight="1" x14ac:dyDescent="0.25">
      <c r="A28" s="2624">
        <f>'CALCULS FISCAUX'!B26</f>
        <v>0</v>
      </c>
      <c r="B28" s="2625"/>
      <c r="C28" s="2625"/>
      <c r="D28" s="2625"/>
      <c r="E28" s="2625"/>
      <c r="F28" s="2625"/>
      <c r="G28" s="2626"/>
      <c r="H28" s="1244">
        <f>'CALCULS FISCAUX'!J26</f>
        <v>0</v>
      </c>
    </row>
    <row r="29" spans="1:8" s="1245" customFormat="1" ht="17.100000000000001" customHeight="1" x14ac:dyDescent="0.25">
      <c r="A29" s="2624">
        <f>'CALCULS FISCAUX'!B27</f>
        <v>0</v>
      </c>
      <c r="B29" s="2625"/>
      <c r="C29" s="2625"/>
      <c r="D29" s="2625"/>
      <c r="E29" s="2625"/>
      <c r="F29" s="2625"/>
      <c r="G29" s="2626"/>
      <c r="H29" s="1244">
        <f>'CALCULS FISCAUX'!J27</f>
        <v>0</v>
      </c>
    </row>
    <row r="30" spans="1:8" s="1245" customFormat="1" ht="17.100000000000001" customHeight="1" x14ac:dyDescent="0.25">
      <c r="A30" s="2624">
        <f>'CALCULS FISCAUX'!B28</f>
        <v>0</v>
      </c>
      <c r="B30" s="2625"/>
      <c r="C30" s="2625"/>
      <c r="D30" s="2625"/>
      <c r="E30" s="2625"/>
      <c r="F30" s="2625"/>
      <c r="G30" s="2626"/>
      <c r="H30" s="1244">
        <f>'CALCULS FISCAUX'!J28</f>
        <v>0</v>
      </c>
    </row>
    <row r="31" spans="1:8" s="1245" customFormat="1" ht="17.100000000000001" customHeight="1" x14ac:dyDescent="0.25">
      <c r="A31" s="2624">
        <f>'CALCULS FISCAUX'!B29</f>
        <v>0</v>
      </c>
      <c r="B31" s="2625"/>
      <c r="C31" s="2625"/>
      <c r="D31" s="2625"/>
      <c r="E31" s="2625"/>
      <c r="F31" s="2625"/>
      <c r="G31" s="2626"/>
      <c r="H31" s="1244">
        <f>'CALCULS FISCAUX'!J29</f>
        <v>0</v>
      </c>
    </row>
    <row r="32" spans="1:8" s="1245" customFormat="1" ht="17.100000000000001" customHeight="1" x14ac:dyDescent="0.25">
      <c r="A32" s="2627" t="s">
        <v>4389</v>
      </c>
      <c r="B32" s="2628"/>
      <c r="C32" s="2628"/>
      <c r="D32" s="2628"/>
      <c r="E32" s="2628"/>
      <c r="F32" s="2628"/>
      <c r="G32" s="2629"/>
      <c r="H32" s="1652">
        <f>H9+H11-H21</f>
        <v>246491910</v>
      </c>
    </row>
    <row r="33" spans="1:8" s="1245" customFormat="1" ht="17.100000000000001" customHeight="1" x14ac:dyDescent="0.25">
      <c r="A33" s="2624"/>
      <c r="B33" s="2625"/>
      <c r="C33" s="2625"/>
      <c r="D33" s="2625"/>
      <c r="E33" s="2625"/>
      <c r="F33" s="2625"/>
      <c r="G33" s="2626"/>
      <c r="H33" s="1244"/>
    </row>
    <row r="34" spans="1:8" s="1245" customFormat="1" ht="17.100000000000001" customHeight="1" x14ac:dyDescent="0.25">
      <c r="A34" s="2627" t="s">
        <v>4390</v>
      </c>
      <c r="B34" s="2628"/>
      <c r="C34" s="2628"/>
      <c r="D34" s="2628"/>
      <c r="E34" s="2628"/>
      <c r="F34" s="2628"/>
      <c r="G34" s="2629"/>
      <c r="H34" s="1652">
        <f>H35</f>
        <v>0</v>
      </c>
    </row>
    <row r="35" spans="1:8" s="1245" customFormat="1" ht="17.100000000000001" customHeight="1" x14ac:dyDescent="0.25">
      <c r="A35" s="2624" t="s">
        <v>4387</v>
      </c>
      <c r="B35" s="2625"/>
      <c r="C35" s="2625"/>
      <c r="D35" s="2625"/>
      <c r="E35" s="2625"/>
      <c r="F35" s="2625"/>
      <c r="G35" s="2626"/>
      <c r="H35" s="1244">
        <f>'CALCULS FISCAUX'!J35</f>
        <v>0</v>
      </c>
    </row>
    <row r="36" spans="1:8" s="1245" customFormat="1" ht="17.100000000000001" customHeight="1" x14ac:dyDescent="0.25">
      <c r="A36" s="2627" t="s">
        <v>4391</v>
      </c>
      <c r="B36" s="2628"/>
      <c r="C36" s="2628"/>
      <c r="D36" s="2628"/>
      <c r="E36" s="2628"/>
      <c r="F36" s="2628"/>
      <c r="G36" s="2629"/>
      <c r="H36" s="1652">
        <f>SUM(H37:H38)</f>
        <v>0</v>
      </c>
    </row>
    <row r="37" spans="1:8" s="1245" customFormat="1" ht="17.100000000000001" customHeight="1" x14ac:dyDescent="0.25">
      <c r="A37" s="2624" t="s">
        <v>4387</v>
      </c>
      <c r="B37" s="2625"/>
      <c r="C37" s="2625"/>
      <c r="D37" s="2625"/>
      <c r="E37" s="2625"/>
      <c r="F37" s="2625"/>
      <c r="G37" s="2626"/>
      <c r="H37" s="1244">
        <f>'CALCULS FISCAUX'!J37</f>
        <v>0</v>
      </c>
    </row>
    <row r="38" spans="1:8" s="1245" customFormat="1" ht="17.100000000000001" customHeight="1" x14ac:dyDescent="0.25">
      <c r="A38" s="2624" t="s">
        <v>4387</v>
      </c>
      <c r="B38" s="2625"/>
      <c r="C38" s="2625"/>
      <c r="D38" s="2625"/>
      <c r="E38" s="2625"/>
      <c r="F38" s="2625"/>
      <c r="G38" s="2626"/>
      <c r="H38" s="1244"/>
    </row>
    <row r="39" spans="1:8" s="1245" customFormat="1" ht="17.100000000000001" customHeight="1" x14ac:dyDescent="0.25">
      <c r="A39" s="2627" t="s">
        <v>4392</v>
      </c>
      <c r="B39" s="2628"/>
      <c r="C39" s="2628"/>
      <c r="D39" s="2628"/>
      <c r="E39" s="2628"/>
      <c r="F39" s="2628"/>
      <c r="G39" s="2629"/>
      <c r="H39" s="1652">
        <f>SUM(H40:H41)</f>
        <v>0</v>
      </c>
    </row>
    <row r="40" spans="1:8" s="1245" customFormat="1" ht="17.100000000000001" customHeight="1" x14ac:dyDescent="0.25">
      <c r="A40" s="2624" t="s">
        <v>4387</v>
      </c>
      <c r="B40" s="2625"/>
      <c r="C40" s="2625"/>
      <c r="D40" s="2625"/>
      <c r="E40" s="2625"/>
      <c r="F40" s="2625"/>
      <c r="G40" s="2626"/>
      <c r="H40" s="1244">
        <f>'CALCULS FISCAUX'!J39</f>
        <v>0</v>
      </c>
    </row>
    <row r="41" spans="1:8" s="1245" customFormat="1" ht="17.100000000000001" customHeight="1" x14ac:dyDescent="0.25">
      <c r="A41" s="2624" t="s">
        <v>4387</v>
      </c>
      <c r="B41" s="2625"/>
      <c r="C41" s="2625"/>
      <c r="D41" s="2625"/>
      <c r="E41" s="2625"/>
      <c r="F41" s="2625"/>
      <c r="G41" s="2626"/>
      <c r="H41" s="1244"/>
    </row>
    <row r="42" spans="1:8" s="1245" customFormat="1" ht="17.100000000000001" customHeight="1" x14ac:dyDescent="0.25">
      <c r="A42" s="2627" t="s">
        <v>4393</v>
      </c>
      <c r="B42" s="2628"/>
      <c r="C42" s="2628"/>
      <c r="D42" s="2628"/>
      <c r="E42" s="2628"/>
      <c r="F42" s="2628"/>
      <c r="G42" s="2629"/>
      <c r="H42" s="1652">
        <f>H32-H34-H36+H39</f>
        <v>246491910</v>
      </c>
    </row>
    <row r="43" spans="1:8" s="1245" customFormat="1" ht="17.100000000000001" customHeight="1" x14ac:dyDescent="0.25">
      <c r="A43" s="2624"/>
      <c r="B43" s="2625"/>
      <c r="C43" s="2625"/>
      <c r="D43" s="2625"/>
      <c r="E43" s="2625"/>
      <c r="F43" s="2625"/>
      <c r="G43" s="2626"/>
      <c r="H43" s="1244"/>
    </row>
    <row r="44" spans="1:8" s="1245" customFormat="1" ht="17.100000000000001" customHeight="1" x14ac:dyDescent="0.25">
      <c r="A44" s="1646" t="s">
        <v>4394</v>
      </c>
      <c r="B44" s="1647"/>
      <c r="C44" s="1648"/>
      <c r="D44" s="1246"/>
      <c r="E44" s="2632"/>
      <c r="F44" s="2633"/>
      <c r="G44" s="2634"/>
      <c r="H44" s="1652">
        <f>'CALCULS FISCAUX'!D62</f>
        <v>67660025</v>
      </c>
    </row>
    <row r="45" spans="1:8" s="1245" customFormat="1" ht="17.100000000000001" customHeight="1" x14ac:dyDescent="0.25">
      <c r="A45" s="2624"/>
      <c r="B45" s="2625"/>
      <c r="C45" s="2625"/>
      <c r="D45" s="2625"/>
      <c r="E45" s="2625"/>
      <c r="F45" s="2625"/>
      <c r="G45" s="2626"/>
      <c r="H45" s="1244"/>
    </row>
    <row r="46" spans="1:8" x14ac:dyDescent="0.25">
      <c r="A46" s="2630"/>
      <c r="B46" s="2630"/>
      <c r="C46" s="2630"/>
      <c r="D46" s="2630"/>
      <c r="E46" s="2630"/>
      <c r="F46" s="2630"/>
      <c r="G46" s="1649"/>
      <c r="H46" s="1650"/>
    </row>
    <row r="47" spans="1:8" ht="16.5" x14ac:dyDescent="0.25">
      <c r="A47" s="2631" t="s">
        <v>4395</v>
      </c>
      <c r="B47" s="2631"/>
      <c r="C47" s="2631"/>
      <c r="D47" s="2631"/>
      <c r="E47" s="2631"/>
      <c r="F47" s="2631"/>
      <c r="H47" s="1651"/>
    </row>
  </sheetData>
  <sheetProtection algorithmName="SHA-512" hashValue="R9SPvdx4CsqcCzeUogbVmZnQl4aFct7EAKTyE4CTB8CCtsGi5KFpyvW7TEaKYKf3Ed6mUuYh96lLTYmw+Q/CzA==" saltValue="CR43K6CaTpox3vhDRVOlXQ==" spinCount="100000" sheet="1" formatCells="0" formatColumns="0" formatRows="0" selectLockedCells="1"/>
  <mergeCells count="47">
    <mergeCell ref="A45:G45"/>
    <mergeCell ref="A46:F46"/>
    <mergeCell ref="A47:F47"/>
    <mergeCell ref="A14:G14"/>
    <mergeCell ref="A15:G15"/>
    <mergeCell ref="A16:G16"/>
    <mergeCell ref="A23:G23"/>
    <mergeCell ref="A24:G24"/>
    <mergeCell ref="A25:G25"/>
    <mergeCell ref="A19:G19"/>
    <mergeCell ref="A39:G39"/>
    <mergeCell ref="A40:G40"/>
    <mergeCell ref="A41:G41"/>
    <mergeCell ref="A42:G42"/>
    <mergeCell ref="A43:G43"/>
    <mergeCell ref="E44:G44"/>
    <mergeCell ref="A34:G34"/>
    <mergeCell ref="A35:G35"/>
    <mergeCell ref="A36:G36"/>
    <mergeCell ref="A37:G37"/>
    <mergeCell ref="A38:G38"/>
    <mergeCell ref="A33:G33"/>
    <mergeCell ref="A28:G28"/>
    <mergeCell ref="A29:G29"/>
    <mergeCell ref="A13:G13"/>
    <mergeCell ref="A17:G17"/>
    <mergeCell ref="A18:G18"/>
    <mergeCell ref="A20:G20"/>
    <mergeCell ref="A21:G21"/>
    <mergeCell ref="A22:G22"/>
    <mergeCell ref="A26:G26"/>
    <mergeCell ref="A27:G27"/>
    <mergeCell ref="A30:G30"/>
    <mergeCell ref="A31:G31"/>
    <mergeCell ref="A32:G32"/>
    <mergeCell ref="A12:G12"/>
    <mergeCell ref="A1:H1"/>
    <mergeCell ref="G2:H2"/>
    <mergeCell ref="C3:H3"/>
    <mergeCell ref="B4:F4"/>
    <mergeCell ref="C5:D5"/>
    <mergeCell ref="C6:D6"/>
    <mergeCell ref="A7:H7"/>
    <mergeCell ref="A8:G8"/>
    <mergeCell ref="A9:G9"/>
    <mergeCell ref="A10:G10"/>
    <mergeCell ref="A11:G11"/>
  </mergeCells>
  <printOptions horizontalCentered="1"/>
  <pageMargins left="0.31496062992125984" right="0.31496062992125984" top="0.35433070866141736" bottom="0.35433070866141736" header="0.31496062992125984" footer="0.31496062992125984"/>
  <pageSetup paperSize="9" scale="86" orientation="portrait"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0">
    <tabColor rgb="FF008000"/>
    <pageSetUpPr fitToPage="1"/>
  </sheetPr>
  <dimension ref="E1:DT101"/>
  <sheetViews>
    <sheetView zoomScaleNormal="100" workbookViewId="0">
      <selection activeCell="AA10" sqref="AA10"/>
    </sheetView>
  </sheetViews>
  <sheetFormatPr baseColWidth="10" defaultColWidth="0" defaultRowHeight="12.75" zeroHeight="1" x14ac:dyDescent="0.2"/>
  <cols>
    <col min="1" max="4" width="11.42578125" style="1653" customWidth="1"/>
    <col min="5" max="6" width="5.5703125" style="1653" customWidth="1"/>
    <col min="7" max="7" width="4.28515625" style="1653" customWidth="1"/>
    <col min="8" max="8" width="7.5703125" style="1653" customWidth="1"/>
    <col min="9" max="9" width="4.42578125" style="1653" customWidth="1"/>
    <col min="10" max="10" width="2.42578125" style="1653" customWidth="1"/>
    <col min="11" max="11" width="2.140625" style="1653" customWidth="1"/>
    <col min="12" max="12" width="2.42578125" style="1653" customWidth="1"/>
    <col min="13" max="13" width="2.28515625" style="1653" customWidth="1"/>
    <col min="14" max="14" width="2.7109375" style="1653" customWidth="1"/>
    <col min="15" max="15" width="2.85546875" style="1653" customWidth="1"/>
    <col min="16" max="16" width="2.42578125" style="1653" customWidth="1"/>
    <col min="17" max="18" width="2.7109375" style="1653" customWidth="1"/>
    <col min="19" max="19" width="3.140625" style="1653" customWidth="1"/>
    <col min="20" max="20" width="2.7109375" style="1653" customWidth="1"/>
    <col min="21" max="21" width="2.5703125" style="1653" customWidth="1"/>
    <col min="22" max="23" width="2.42578125" style="1653" customWidth="1"/>
    <col min="24" max="24" width="3.140625" style="1653" customWidth="1"/>
    <col min="25" max="25" width="3" style="1653" customWidth="1"/>
    <col min="26" max="26" width="2.5703125" style="1653" customWidth="1"/>
    <col min="27" max="27" width="4.140625" style="1653" customWidth="1"/>
    <col min="28" max="28" width="4.28515625" style="1653" customWidth="1"/>
    <col min="29" max="29" width="2.7109375" style="1653" customWidth="1"/>
    <col min="30" max="30" width="3.28515625" style="1653" customWidth="1"/>
    <col min="31" max="31" width="2.42578125" style="1653" customWidth="1"/>
    <col min="32" max="33" width="2.7109375" style="1653" customWidth="1"/>
    <col min="34" max="34" width="2.85546875" style="1653" customWidth="1"/>
    <col min="35" max="35" width="4.85546875" style="1653" customWidth="1"/>
    <col min="36" max="36" width="12.85546875" style="1653" bestFit="1" customWidth="1"/>
    <col min="37" max="38" width="11.42578125" style="1653"/>
    <col min="39" max="44" width="0" style="1653" hidden="1" customWidth="1"/>
    <col min="45" max="45" width="11.42578125" style="1653"/>
    <col min="46" max="105" width="0" style="1653" hidden="1" customWidth="1"/>
    <col min="106" max="106" width="11.5703125" style="1653" hidden="1" customWidth="1"/>
    <col min="107" max="123" width="0" style="1653" hidden="1" customWidth="1"/>
    <col min="124" max="124" width="11" style="1653" hidden="1" customWidth="1"/>
    <col min="125" max="138" width="0" style="1653" hidden="1" customWidth="1"/>
    <col min="139" max="139" width="11.42578125" style="1653" customWidth="1"/>
    <col min="140" max="140" width="0" style="1653" hidden="1" customWidth="1"/>
    <col min="141" max="16384" width="0" style="1653" hidden="1"/>
  </cols>
  <sheetData>
    <row r="1" spans="5:35" x14ac:dyDescent="0.2">
      <c r="E1" s="858"/>
      <c r="F1" s="858"/>
      <c r="G1" s="858"/>
      <c r="H1" s="858"/>
      <c r="I1" s="858"/>
      <c r="J1" s="858"/>
      <c r="K1" s="858"/>
      <c r="L1" s="858"/>
      <c r="M1" s="858"/>
      <c r="N1" s="858"/>
      <c r="O1" s="858"/>
      <c r="P1" s="858"/>
      <c r="Q1" s="858"/>
      <c r="R1" s="858"/>
      <c r="S1" s="858"/>
      <c r="T1" s="858"/>
      <c r="U1" s="858"/>
      <c r="V1" s="858"/>
      <c r="W1" s="858"/>
      <c r="X1" s="858"/>
      <c r="Y1" s="858"/>
      <c r="Z1" s="858"/>
      <c r="AA1" s="858"/>
      <c r="AB1" s="858"/>
      <c r="AC1" s="858"/>
      <c r="AD1" s="858"/>
      <c r="AE1" s="858"/>
      <c r="AF1" s="858"/>
      <c r="AG1" s="858"/>
      <c r="AH1" s="858"/>
      <c r="AI1" s="858"/>
    </row>
    <row r="2" spans="5:35" x14ac:dyDescent="0.2">
      <c r="E2" s="858"/>
      <c r="F2" s="858"/>
      <c r="G2" s="858"/>
      <c r="H2" s="858"/>
      <c r="I2" s="858"/>
      <c r="J2" s="858"/>
      <c r="K2" s="858"/>
      <c r="L2" s="858"/>
      <c r="M2" s="858"/>
      <c r="N2" s="858"/>
      <c r="O2" s="858"/>
      <c r="P2" s="858"/>
      <c r="Q2" s="858"/>
      <c r="R2" s="858"/>
      <c r="S2" s="858"/>
      <c r="T2" s="858"/>
      <c r="U2" s="858"/>
      <c r="V2" s="858"/>
      <c r="W2" s="858"/>
      <c r="X2" s="858"/>
      <c r="Y2" s="858"/>
      <c r="Z2" s="858"/>
      <c r="AA2" s="858"/>
      <c r="AB2" s="858"/>
      <c r="AC2" s="858"/>
      <c r="AD2" s="858"/>
      <c r="AE2" s="858"/>
      <c r="AF2" s="858"/>
      <c r="AG2" s="858"/>
      <c r="AH2" s="858"/>
      <c r="AI2" s="858"/>
    </row>
    <row r="3" spans="5:35" x14ac:dyDescent="0.2">
      <c r="E3" s="858"/>
      <c r="F3" s="858"/>
      <c r="G3" s="858"/>
      <c r="H3" s="858"/>
      <c r="I3" s="858"/>
      <c r="J3" s="858"/>
      <c r="K3" s="858"/>
      <c r="L3" s="858"/>
      <c r="M3" s="858"/>
      <c r="N3" s="858"/>
      <c r="O3" s="858"/>
      <c r="P3" s="858"/>
      <c r="Q3" s="858"/>
      <c r="R3" s="858"/>
      <c r="S3" s="858"/>
      <c r="T3" s="858"/>
      <c r="U3" s="858"/>
      <c r="V3" s="858"/>
      <c r="W3" s="858"/>
      <c r="X3" s="858"/>
      <c r="Y3" s="858"/>
      <c r="Z3" s="858"/>
      <c r="AA3" s="858"/>
      <c r="AB3" s="858"/>
      <c r="AC3" s="858"/>
      <c r="AD3" s="858"/>
      <c r="AE3" s="858"/>
      <c r="AF3" s="858"/>
      <c r="AG3" s="858"/>
      <c r="AH3" s="858"/>
      <c r="AI3" s="858"/>
    </row>
    <row r="4" spans="5:35" x14ac:dyDescent="0.2">
      <c r="E4" s="2705" t="s">
        <v>1272</v>
      </c>
      <c r="F4" s="2705"/>
      <c r="G4" s="2705"/>
      <c r="H4" s="2705"/>
      <c r="I4" s="2705"/>
      <c r="J4" s="2705"/>
      <c r="K4" s="2705"/>
      <c r="L4" s="2705"/>
      <c r="M4" s="2705"/>
      <c r="N4" s="2705"/>
      <c r="O4" s="2705"/>
      <c r="P4" s="2705"/>
      <c r="Q4" s="2705"/>
      <c r="R4" s="2705"/>
      <c r="S4" s="2705"/>
      <c r="T4" s="2705"/>
      <c r="U4" s="2705"/>
      <c r="V4" s="2705"/>
      <c r="W4" s="2705"/>
      <c r="X4" s="2705"/>
      <c r="Y4" s="2705"/>
      <c r="Z4" s="2705"/>
      <c r="AA4" s="2705"/>
      <c r="AB4" s="2705"/>
      <c r="AC4" s="2705"/>
      <c r="AD4" s="2705"/>
      <c r="AE4" s="2705"/>
      <c r="AF4" s="2705"/>
      <c r="AG4" s="2705"/>
      <c r="AH4" s="2705"/>
      <c r="AI4" s="2705"/>
    </row>
    <row r="5" spans="5:35" x14ac:dyDescent="0.2">
      <c r="E5" s="858"/>
      <c r="F5" s="858"/>
      <c r="G5" s="858"/>
      <c r="H5" s="858"/>
      <c r="I5" s="858"/>
      <c r="J5" s="858"/>
      <c r="K5" s="858"/>
      <c r="L5" s="858"/>
      <c r="M5" s="858"/>
      <c r="N5" s="858"/>
      <c r="O5" s="858"/>
      <c r="P5" s="858"/>
      <c r="Q5" s="858"/>
      <c r="R5" s="858"/>
      <c r="S5" s="858"/>
      <c r="T5" s="858"/>
      <c r="U5" s="858"/>
      <c r="V5" s="858"/>
      <c r="W5" s="858"/>
      <c r="X5" s="858"/>
      <c r="Y5" s="858"/>
      <c r="Z5" s="858"/>
      <c r="AA5" s="858"/>
      <c r="AB5" s="858"/>
      <c r="AC5" s="858"/>
      <c r="AD5" s="858"/>
      <c r="AE5" s="858"/>
      <c r="AF5" s="858"/>
      <c r="AG5" s="858"/>
      <c r="AH5" s="858"/>
      <c r="AI5" s="858"/>
    </row>
    <row r="6" spans="5:35" x14ac:dyDescent="0.2">
      <c r="E6" s="2705" t="s">
        <v>1264</v>
      </c>
      <c r="F6" s="2705"/>
      <c r="G6" s="2705"/>
      <c r="H6" s="2705"/>
      <c r="I6" s="2705"/>
      <c r="J6" s="2705"/>
      <c r="K6" s="2705"/>
      <c r="L6" s="2705"/>
      <c r="M6" s="2705"/>
      <c r="N6" s="2705"/>
      <c r="O6" s="2705"/>
      <c r="P6" s="2705"/>
      <c r="Q6" s="2705"/>
      <c r="R6" s="2705"/>
      <c r="S6" s="2705"/>
      <c r="T6" s="2705"/>
      <c r="U6" s="2705"/>
      <c r="V6" s="2705"/>
      <c r="W6" s="2705"/>
      <c r="X6" s="2705"/>
      <c r="Y6" s="2705"/>
      <c r="Z6" s="2705"/>
      <c r="AA6" s="2705"/>
      <c r="AB6" s="2705"/>
      <c r="AC6" s="2705"/>
      <c r="AD6" s="2705"/>
      <c r="AE6" s="2705"/>
      <c r="AF6" s="2705"/>
      <c r="AG6" s="2705"/>
      <c r="AH6" s="2705"/>
      <c r="AI6" s="2705"/>
    </row>
    <row r="7" spans="5:35" x14ac:dyDescent="0.2">
      <c r="E7" s="2706" t="str">
        <f>IF(INFORMATIONS!B12="INDIVIDUELLE","IMPOT BIC ET BNC","DE L'IMPOT SUR LES SOCIETES (IS)")</f>
        <v>IMPOT BIC ET BNC</v>
      </c>
      <c r="F7" s="2706"/>
      <c r="G7" s="2706"/>
      <c r="H7" s="2706"/>
      <c r="I7" s="2706"/>
      <c r="J7" s="2706"/>
      <c r="K7" s="2706"/>
      <c r="L7" s="2706"/>
      <c r="M7" s="2706"/>
      <c r="N7" s="2706"/>
      <c r="O7" s="2706"/>
      <c r="P7" s="2706"/>
      <c r="Q7" s="2706"/>
      <c r="R7" s="2706"/>
      <c r="S7" s="2706"/>
      <c r="T7" s="2706"/>
      <c r="U7" s="2706"/>
      <c r="V7" s="2706"/>
      <c r="W7" s="2706"/>
      <c r="X7" s="2706"/>
      <c r="Y7" s="2706"/>
      <c r="Z7" s="2706"/>
      <c r="AA7" s="2706"/>
      <c r="AB7" s="2706"/>
      <c r="AC7" s="2706"/>
      <c r="AD7" s="2706"/>
      <c r="AE7" s="2706"/>
      <c r="AF7" s="2706"/>
      <c r="AG7" s="2706"/>
      <c r="AH7" s="2706"/>
      <c r="AI7" s="2706"/>
    </row>
    <row r="8" spans="5:35" ht="15.75" x14ac:dyDescent="0.25">
      <c r="E8" s="858"/>
      <c r="F8" s="2705" t="s">
        <v>1291</v>
      </c>
      <c r="G8" s="2705"/>
      <c r="H8" s="2705"/>
      <c r="I8" s="2705"/>
      <c r="J8" s="2705"/>
      <c r="K8" s="2705"/>
      <c r="L8" s="2705"/>
      <c r="M8" s="2705"/>
      <c r="N8" s="2705"/>
      <c r="O8" s="859" t="s">
        <v>1292</v>
      </c>
      <c r="P8" s="860" t="s">
        <v>1357</v>
      </c>
      <c r="Q8" s="861" t="s">
        <v>1358</v>
      </c>
      <c r="R8" s="862"/>
      <c r="S8" s="860" t="s">
        <v>1358</v>
      </c>
      <c r="T8" s="863">
        <v>2</v>
      </c>
      <c r="U8" s="864"/>
      <c r="V8" s="2708">
        <f>INFORMATIONS!B30</f>
        <v>2018</v>
      </c>
      <c r="W8" s="2709"/>
      <c r="X8" s="2709"/>
      <c r="Y8" s="2710"/>
      <c r="Z8" s="858"/>
      <c r="AA8" s="858"/>
      <c r="AB8" s="858"/>
      <c r="AC8" s="858"/>
      <c r="AD8" s="858"/>
      <c r="AE8" s="858"/>
      <c r="AF8" s="858"/>
      <c r="AG8" s="858"/>
      <c r="AH8" s="858"/>
      <c r="AI8" s="858"/>
    </row>
    <row r="9" spans="5:35" x14ac:dyDescent="0.2">
      <c r="E9" s="858"/>
      <c r="F9" s="858"/>
      <c r="G9" s="858"/>
      <c r="H9" s="858"/>
      <c r="I9" s="859"/>
      <c r="J9" s="858"/>
      <c r="K9" s="858"/>
      <c r="L9" s="858"/>
      <c r="M9" s="858"/>
      <c r="N9" s="858"/>
      <c r="O9" s="858"/>
      <c r="P9" s="858"/>
      <c r="Q9" s="858"/>
      <c r="R9" s="858"/>
      <c r="S9" s="858"/>
      <c r="T9" s="858"/>
      <c r="U9" s="858"/>
      <c r="V9" s="858"/>
      <c r="W9" s="858"/>
      <c r="X9" s="858"/>
      <c r="Y9" s="858"/>
      <c r="Z9" s="858"/>
      <c r="AA9" s="858"/>
      <c r="AB9" s="858"/>
      <c r="AC9" s="858"/>
      <c r="AD9" s="858"/>
      <c r="AE9" s="858"/>
      <c r="AF9" s="858"/>
      <c r="AG9" s="858"/>
      <c r="AH9" s="858"/>
      <c r="AI9" s="858"/>
    </row>
    <row r="10" spans="5:35" x14ac:dyDescent="0.2">
      <c r="E10" s="858"/>
      <c r="F10" s="858"/>
      <c r="G10" s="858"/>
      <c r="H10" s="858"/>
      <c r="I10" s="858"/>
      <c r="J10" s="858" t="s">
        <v>4396</v>
      </c>
      <c r="K10" s="858"/>
      <c r="L10" s="858"/>
      <c r="M10" s="858"/>
      <c r="N10" s="858"/>
      <c r="O10" s="858"/>
      <c r="P10" s="858"/>
      <c r="Q10" s="858"/>
      <c r="R10" s="1300" t="str">
        <f>INFORMATIONS!C6</f>
        <v>Régime Simplifié d'Imposition</v>
      </c>
      <c r="S10" s="1301"/>
      <c r="T10" s="1301"/>
      <c r="U10" s="1301"/>
      <c r="V10" s="1301"/>
      <c r="W10" s="1301"/>
      <c r="X10" s="1301"/>
      <c r="Y10" s="1301"/>
      <c r="Z10" s="1301"/>
      <c r="AA10" s="1301"/>
      <c r="AB10" s="1301"/>
      <c r="AC10" s="858"/>
      <c r="AD10" s="866"/>
      <c r="AE10" s="858"/>
      <c r="AF10" s="2707"/>
      <c r="AG10" s="2707"/>
      <c r="AH10" s="858"/>
      <c r="AI10" s="858"/>
    </row>
    <row r="11" spans="5:35" ht="6.75" customHeight="1" x14ac:dyDescent="0.2">
      <c r="E11" s="858"/>
      <c r="F11" s="858"/>
      <c r="G11" s="858"/>
      <c r="H11" s="858"/>
      <c r="I11" s="858"/>
      <c r="J11" s="858"/>
      <c r="K11" s="858"/>
      <c r="L11" s="858"/>
      <c r="M11" s="858"/>
      <c r="N11" s="858"/>
      <c r="O11" s="858"/>
      <c r="P11" s="858"/>
      <c r="Q11" s="858"/>
      <c r="R11" s="858"/>
      <c r="S11" s="858"/>
      <c r="T11" s="858"/>
      <c r="U11" s="858"/>
      <c r="V11" s="858"/>
      <c r="W11" s="858"/>
      <c r="X11" s="858"/>
      <c r="Y11" s="858"/>
      <c r="Z11" s="858"/>
      <c r="AA11" s="858"/>
      <c r="AB11" s="858"/>
      <c r="AC11" s="858"/>
      <c r="AD11" s="858"/>
      <c r="AE11" s="858"/>
      <c r="AF11" s="858"/>
      <c r="AG11" s="858"/>
      <c r="AH11" s="858"/>
      <c r="AI11" s="858"/>
    </row>
    <row r="12" spans="5:35" x14ac:dyDescent="0.2">
      <c r="E12" s="2667" t="str">
        <f>IF(INFORMATIONS!B12="INDIVIDUELLE","I- IDENTIFICATION DU REDEVABLE","I - IDENTIFICATION DU CONTRIBUABLE")</f>
        <v>I- IDENTIFICATION DU REDEVABLE</v>
      </c>
      <c r="F12" s="2668"/>
      <c r="G12" s="2668"/>
      <c r="H12" s="2668"/>
      <c r="I12" s="2668"/>
      <c r="J12" s="2668"/>
      <c r="K12" s="2668"/>
      <c r="L12" s="2668"/>
      <c r="M12" s="2668"/>
      <c r="N12" s="2668"/>
      <c r="O12" s="2668"/>
      <c r="P12" s="2668"/>
      <c r="Q12" s="2668"/>
      <c r="R12" s="2668"/>
      <c r="S12" s="2668"/>
      <c r="T12" s="2668"/>
      <c r="U12" s="2668"/>
      <c r="V12" s="2668"/>
      <c r="W12" s="2668"/>
      <c r="X12" s="2668"/>
      <c r="Y12" s="2668"/>
      <c r="Z12" s="2668"/>
      <c r="AA12" s="2668"/>
      <c r="AB12" s="2668"/>
      <c r="AC12" s="2668"/>
      <c r="AD12" s="2668"/>
      <c r="AE12" s="2668"/>
      <c r="AF12" s="2668"/>
      <c r="AG12" s="2668"/>
      <c r="AH12" s="2668"/>
      <c r="AI12" s="2669"/>
    </row>
    <row r="13" spans="5:35" ht="18.75" customHeight="1" x14ac:dyDescent="0.25">
      <c r="E13" s="867" t="s">
        <v>1293</v>
      </c>
      <c r="F13" s="867"/>
      <c r="G13" s="867"/>
      <c r="H13" s="868"/>
      <c r="I13" s="868"/>
      <c r="J13" s="869">
        <f>INFORMATIONS!B23</f>
        <v>0</v>
      </c>
      <c r="K13" s="870"/>
      <c r="L13" s="870"/>
      <c r="M13" s="870"/>
      <c r="N13" s="870"/>
      <c r="O13" s="870"/>
      <c r="P13" s="870"/>
      <c r="Q13" s="870"/>
      <c r="R13" s="870"/>
      <c r="S13" s="870"/>
      <c r="T13" s="870"/>
      <c r="U13" s="870"/>
      <c r="V13" s="870"/>
      <c r="W13" s="871"/>
      <c r="X13" s="867" t="s">
        <v>1265</v>
      </c>
      <c r="Y13" s="867"/>
      <c r="Z13" s="2696" t="str">
        <f>INFORMATIONS!B24</f>
        <v>00084404X</v>
      </c>
      <c r="AA13" s="2697"/>
      <c r="AB13" s="2697"/>
      <c r="AC13" s="2697"/>
      <c r="AD13" s="2697"/>
      <c r="AE13" s="2697"/>
      <c r="AF13" s="2697"/>
      <c r="AG13" s="2697"/>
      <c r="AH13" s="2697"/>
      <c r="AI13" s="2698"/>
    </row>
    <row r="14" spans="5:35" ht="4.5" customHeight="1" x14ac:dyDescent="0.2">
      <c r="E14" s="872"/>
      <c r="F14" s="873"/>
      <c r="G14" s="873"/>
      <c r="H14" s="873"/>
      <c r="I14" s="874"/>
      <c r="J14" s="874"/>
      <c r="K14" s="874"/>
      <c r="L14" s="874"/>
      <c r="M14" s="874"/>
      <c r="N14" s="874"/>
      <c r="O14" s="874"/>
      <c r="P14" s="874"/>
      <c r="Q14" s="874"/>
      <c r="R14" s="874"/>
      <c r="S14" s="874"/>
      <c r="T14" s="874"/>
      <c r="U14" s="874"/>
      <c r="V14" s="874"/>
      <c r="W14" s="874"/>
      <c r="X14" s="874"/>
      <c r="Y14" s="874"/>
      <c r="Z14" s="874"/>
      <c r="AA14" s="874"/>
      <c r="AB14" s="874"/>
      <c r="AC14" s="874"/>
      <c r="AD14" s="874"/>
      <c r="AE14" s="874"/>
      <c r="AF14" s="874"/>
      <c r="AG14" s="874"/>
      <c r="AH14" s="874"/>
      <c r="AI14" s="875"/>
    </row>
    <row r="15" spans="5:35" ht="12.75" customHeight="1" thickBot="1" x14ac:dyDescent="0.25">
      <c r="E15" s="876" t="str">
        <f>IF(INFORMATIONS!B12="INDIVIDUELLE","Nom, prénom ou raison sociale (le cas échéant)","Raison sociale:")</f>
        <v>Nom, prénom ou raison sociale (le cas échéant)</v>
      </c>
      <c r="F15" s="876"/>
      <c r="G15" s="876"/>
      <c r="H15" s="876"/>
      <c r="I15" s="876"/>
      <c r="J15" s="876"/>
      <c r="K15" s="876"/>
      <c r="L15" s="876"/>
      <c r="M15" s="876"/>
      <c r="N15" s="876"/>
      <c r="O15" s="876"/>
      <c r="P15" s="877" t="str">
        <f>IF(INFORMATIONS!B12="INDIVIDUELLE",INFORMATIONS!B13&amp;"/"&amp;INFORMATIONS!B10,INFORMATIONS!B10)</f>
        <v>SAMBA BONIFACE/SAM CONSEILS</v>
      </c>
      <c r="Q15" s="876"/>
      <c r="R15" s="876"/>
      <c r="S15" s="876"/>
      <c r="T15" s="876"/>
      <c r="U15" s="876"/>
      <c r="V15" s="876"/>
      <c r="W15" s="876"/>
      <c r="X15" s="876"/>
      <c r="Y15" s="876"/>
      <c r="Z15" s="876"/>
      <c r="AA15" s="876"/>
      <c r="AB15" s="876"/>
      <c r="AC15" s="876"/>
      <c r="AD15" s="876"/>
      <c r="AE15" s="876"/>
      <c r="AF15" s="876"/>
      <c r="AG15" s="876"/>
      <c r="AH15" s="876"/>
      <c r="AI15" s="876"/>
    </row>
    <row r="16" spans="5:35" ht="15" customHeight="1" thickBot="1" x14ac:dyDescent="0.3">
      <c r="E16" s="2699" t="s">
        <v>1294</v>
      </c>
      <c r="F16" s="2700"/>
      <c r="G16" s="2700"/>
      <c r="H16" s="2701"/>
      <c r="I16" s="2702">
        <f>INFORMATIONS!B26</f>
        <v>0</v>
      </c>
      <c r="J16" s="2703"/>
      <c r="K16" s="2703"/>
      <c r="L16" s="2703"/>
      <c r="M16" s="2703"/>
      <c r="N16" s="2703"/>
      <c r="O16" s="2704"/>
      <c r="P16" s="2690" t="s">
        <v>1295</v>
      </c>
      <c r="Q16" s="2691"/>
      <c r="R16" s="2691"/>
      <c r="S16" s="2691"/>
      <c r="T16" s="2691"/>
      <c r="U16" s="2691"/>
      <c r="V16" s="2692"/>
      <c r="W16" s="2693"/>
      <c r="X16" s="2694"/>
      <c r="Y16" s="2694"/>
      <c r="Z16" s="2695"/>
      <c r="AA16" s="878" t="s">
        <v>1296</v>
      </c>
      <c r="AB16" s="878"/>
      <c r="AC16" s="878"/>
      <c r="AD16" s="878"/>
      <c r="AE16" s="878"/>
      <c r="AF16" s="865" t="str">
        <f>IF(INFORMATIONS!B8="OUI","X","")</f>
        <v/>
      </c>
      <c r="AG16" s="879"/>
      <c r="AH16" s="879"/>
      <c r="AI16" s="880"/>
    </row>
    <row r="17" spans="5:36" ht="15" x14ac:dyDescent="0.25">
      <c r="E17" s="881" t="s">
        <v>1297</v>
      </c>
      <c r="F17" s="882"/>
      <c r="G17" s="2689">
        <f>INFORMATIONS!B27</f>
        <v>0</v>
      </c>
      <c r="H17" s="2689"/>
      <c r="I17" s="2689"/>
      <c r="J17" s="2689"/>
      <c r="K17" s="2689"/>
      <c r="L17" s="2689"/>
      <c r="M17" s="2689"/>
      <c r="N17" s="2689"/>
      <c r="O17" s="2689"/>
      <c r="P17" s="2689"/>
      <c r="Q17" s="2689"/>
      <c r="R17" s="2689"/>
      <c r="S17" s="2689"/>
      <c r="T17" s="2689"/>
      <c r="U17" s="2689"/>
      <c r="V17" s="2689"/>
      <c r="W17" s="2689"/>
      <c r="X17" s="2689"/>
      <c r="Y17" s="2689"/>
      <c r="Z17" s="2689"/>
      <c r="AA17" s="2689"/>
      <c r="AB17" s="2689"/>
      <c r="AC17" s="2689"/>
      <c r="AD17" s="2689"/>
      <c r="AE17" s="2689"/>
      <c r="AF17" s="2689"/>
      <c r="AG17" s="2689"/>
      <c r="AH17" s="2689"/>
      <c r="AI17" s="883"/>
    </row>
    <row r="18" spans="5:36" ht="15.75" customHeight="1" x14ac:dyDescent="0.2">
      <c r="E18" s="881" t="s">
        <v>1341</v>
      </c>
      <c r="F18" s="882"/>
      <c r="G18" s="882"/>
      <c r="H18" s="882"/>
      <c r="I18" s="2642" t="str">
        <f>INFORMATIONS!B18</f>
        <v>Ouagadougou</v>
      </c>
      <c r="J18" s="2642"/>
      <c r="K18" s="2642"/>
      <c r="L18" s="2642"/>
      <c r="M18" s="2642"/>
      <c r="N18" s="2642"/>
      <c r="O18" s="2642"/>
      <c r="P18" s="2642"/>
      <c r="Q18" s="2642"/>
      <c r="R18" s="2642"/>
      <c r="S18" s="2642"/>
      <c r="T18" s="884" t="s">
        <v>1342</v>
      </c>
      <c r="U18" s="885"/>
      <c r="V18" s="886"/>
      <c r="W18" s="2643">
        <f>INFORMATIONS!B21</f>
        <v>0</v>
      </c>
      <c r="X18" s="2643"/>
      <c r="Y18" s="2643"/>
      <c r="Z18" s="2643"/>
      <c r="AA18" s="2643"/>
      <c r="AB18" s="2643"/>
      <c r="AC18" s="882" t="s">
        <v>1126</v>
      </c>
      <c r="AD18" s="882"/>
      <c r="AE18" s="2635">
        <f>INFORMATIONS!B22</f>
        <v>0</v>
      </c>
      <c r="AF18" s="2635"/>
      <c r="AG18" s="2635"/>
      <c r="AH18" s="2635"/>
      <c r="AI18" s="2636"/>
    </row>
    <row r="19" spans="5:36" x14ac:dyDescent="0.2">
      <c r="E19" s="887" t="s">
        <v>1298</v>
      </c>
      <c r="F19" s="888">
        <f>INFORMATIONS!D19</f>
        <v>5358</v>
      </c>
      <c r="G19" s="887" t="s">
        <v>1268</v>
      </c>
      <c r="H19" s="889"/>
      <c r="I19" s="890" t="str">
        <f>INFORMATIONS!B16</f>
        <v>15</v>
      </c>
      <c r="J19" s="887" t="s">
        <v>1266</v>
      </c>
      <c r="K19" s="891"/>
      <c r="L19" s="891"/>
      <c r="M19" s="891"/>
      <c r="N19" s="2637"/>
      <c r="O19" s="2637"/>
      <c r="P19" s="891"/>
      <c r="Q19" s="891"/>
      <c r="R19" s="891"/>
      <c r="S19" s="891"/>
      <c r="T19" s="891"/>
      <c r="U19" s="891"/>
      <c r="V19" s="887" t="s">
        <v>1280</v>
      </c>
      <c r="W19" s="889"/>
      <c r="X19" s="858"/>
      <c r="Y19" s="2640" t="str">
        <f>INFORMATIONS!F16</f>
        <v>AW</v>
      </c>
      <c r="Z19" s="2640"/>
      <c r="AA19" s="2641"/>
      <c r="AB19" s="887" t="s">
        <v>1340</v>
      </c>
      <c r="AC19" s="2638">
        <f>INFORMATIONS!E13</f>
        <v>0</v>
      </c>
      <c r="AD19" s="2639"/>
      <c r="AE19" s="887" t="s">
        <v>1267</v>
      </c>
      <c r="AF19" s="891"/>
      <c r="AG19" s="891"/>
      <c r="AH19" s="891"/>
      <c r="AI19" s="888">
        <f>INFORMATIONS!D13</f>
        <v>0</v>
      </c>
    </row>
    <row r="20" spans="5:36" x14ac:dyDescent="0.2">
      <c r="E20" s="892" t="s">
        <v>4462</v>
      </c>
      <c r="F20" s="876"/>
      <c r="G20" s="876"/>
      <c r="H20" s="876"/>
      <c r="I20" s="876"/>
      <c r="J20" s="876"/>
      <c r="K20" s="876"/>
      <c r="L20" s="876"/>
      <c r="M20" s="876"/>
      <c r="N20" s="876"/>
      <c r="O20" s="876"/>
      <c r="P20" s="876"/>
      <c r="Q20" s="876"/>
      <c r="R20" s="876"/>
      <c r="S20" s="876"/>
      <c r="T20" s="876"/>
      <c r="U20" s="876"/>
      <c r="V20" s="876"/>
      <c r="W20" s="876"/>
      <c r="X20" s="876"/>
      <c r="Y20" s="876"/>
      <c r="Z20" s="876"/>
      <c r="AA20" s="876"/>
      <c r="AB20" s="876"/>
      <c r="AC20" s="876"/>
      <c r="AD20" s="876"/>
      <c r="AE20" s="876"/>
      <c r="AF20" s="876"/>
      <c r="AG20" s="876"/>
      <c r="AH20" s="876"/>
      <c r="AI20" s="893"/>
    </row>
    <row r="21" spans="5:36" x14ac:dyDescent="0.2">
      <c r="E21" s="2679" t="s">
        <v>1300</v>
      </c>
      <c r="F21" s="2680"/>
      <c r="G21" s="2680"/>
      <c r="H21" s="2680"/>
      <c r="I21" s="2680"/>
      <c r="J21" s="2680"/>
      <c r="K21" s="2680"/>
      <c r="L21" s="2680"/>
      <c r="M21" s="2680"/>
      <c r="N21" s="2680"/>
      <c r="O21" s="2680"/>
      <c r="P21" s="2680"/>
      <c r="Q21" s="2680"/>
      <c r="R21" s="2680"/>
      <c r="S21" s="2680"/>
      <c r="T21" s="2680"/>
      <c r="U21" s="2680"/>
      <c r="V21" s="2680"/>
      <c r="W21" s="2680"/>
      <c r="X21" s="2680"/>
      <c r="Y21" s="2680"/>
      <c r="Z21" s="2680"/>
      <c r="AA21" s="2680"/>
      <c r="AB21" s="2680"/>
      <c r="AC21" s="2680"/>
      <c r="AD21" s="2680"/>
      <c r="AE21" s="2680"/>
      <c r="AF21" s="2680"/>
      <c r="AG21" s="2680"/>
      <c r="AH21" s="2680"/>
      <c r="AI21" s="2681"/>
    </row>
    <row r="22" spans="5:36" x14ac:dyDescent="0.2">
      <c r="E22" s="2679" t="s">
        <v>1301</v>
      </c>
      <c r="F22" s="2680"/>
      <c r="G22" s="2680"/>
      <c r="H22" s="2680"/>
      <c r="I22" s="2680"/>
      <c r="J22" s="2680"/>
      <c r="K22" s="2680"/>
      <c r="L22" s="2680"/>
      <c r="M22" s="2680"/>
      <c r="N22" s="2680"/>
      <c r="O22" s="2680"/>
      <c r="P22" s="2680"/>
      <c r="Q22" s="2680"/>
      <c r="R22" s="2680"/>
      <c r="S22" s="2680"/>
      <c r="T22" s="2680"/>
      <c r="U22" s="2680"/>
      <c r="V22" s="2680"/>
      <c r="W22" s="2680"/>
      <c r="X22" s="2680"/>
      <c r="Y22" s="2680"/>
      <c r="Z22" s="2680"/>
      <c r="AA22" s="2680"/>
      <c r="AB22" s="2680"/>
      <c r="AC22" s="2680"/>
      <c r="AD22" s="2680"/>
      <c r="AE22" s="2680"/>
      <c r="AF22" s="2680"/>
      <c r="AG22" s="2680"/>
      <c r="AH22" s="2680"/>
      <c r="AI22" s="2681"/>
    </row>
    <row r="23" spans="5:36" x14ac:dyDescent="0.2">
      <c r="E23" s="2682" t="s">
        <v>1302</v>
      </c>
      <c r="F23" s="2683"/>
      <c r="G23" s="2683"/>
      <c r="H23" s="2683"/>
      <c r="I23" s="2683"/>
      <c r="J23" s="2683"/>
      <c r="K23" s="2683"/>
      <c r="L23" s="2683"/>
      <c r="M23" s="2683"/>
      <c r="N23" s="2683"/>
      <c r="O23" s="2683"/>
      <c r="P23" s="2683"/>
      <c r="Q23" s="2683"/>
      <c r="R23" s="2683"/>
      <c r="S23" s="2683"/>
      <c r="T23" s="2683"/>
      <c r="U23" s="2683"/>
      <c r="V23" s="2683"/>
      <c r="W23" s="2683"/>
      <c r="X23" s="2683"/>
      <c r="Y23" s="2683"/>
      <c r="Z23" s="2683"/>
      <c r="AA23" s="2683"/>
      <c r="AB23" s="2683"/>
      <c r="AC23" s="2683"/>
      <c r="AD23" s="2683"/>
      <c r="AE23" s="2683"/>
      <c r="AF23" s="2683"/>
      <c r="AG23" s="2683"/>
      <c r="AH23" s="2683"/>
      <c r="AI23" s="2684"/>
    </row>
    <row r="24" spans="5:36" x14ac:dyDescent="0.2">
      <c r="E24" s="2685" t="s">
        <v>1303</v>
      </c>
      <c r="F24" s="2686"/>
      <c r="G24" s="2686"/>
      <c r="H24" s="2686"/>
      <c r="I24" s="2686"/>
      <c r="J24" s="2686"/>
      <c r="K24" s="2686"/>
      <c r="L24" s="2686"/>
      <c r="M24" s="2686"/>
      <c r="N24" s="2686"/>
      <c r="O24" s="2686"/>
      <c r="P24" s="2686"/>
      <c r="Q24" s="2686"/>
      <c r="R24" s="2686"/>
      <c r="S24" s="2686"/>
      <c r="T24" s="2686"/>
      <c r="U24" s="2686"/>
      <c r="V24" s="2686"/>
      <c r="W24" s="2686"/>
      <c r="X24" s="2686"/>
      <c r="Y24" s="2686"/>
      <c r="Z24" s="2686"/>
      <c r="AA24" s="2686"/>
      <c r="AB24" s="2686"/>
      <c r="AC24" s="2686"/>
      <c r="AD24" s="2686"/>
      <c r="AE24" s="2686"/>
      <c r="AF24" s="2686"/>
      <c r="AG24" s="2686"/>
      <c r="AH24" s="2686"/>
      <c r="AI24" s="2687"/>
    </row>
    <row r="25" spans="5:36" x14ac:dyDescent="0.2">
      <c r="E25" s="2685" t="s">
        <v>1304</v>
      </c>
      <c r="F25" s="2686"/>
      <c r="G25" s="2685" t="s">
        <v>1305</v>
      </c>
      <c r="H25" s="2687"/>
      <c r="I25" s="2688" t="s">
        <v>1266</v>
      </c>
      <c r="J25" s="2688"/>
      <c r="K25" s="2688"/>
      <c r="L25" s="2688"/>
      <c r="M25" s="2688"/>
      <c r="N25" s="2688"/>
      <c r="O25" s="2688"/>
      <c r="P25" s="2688"/>
      <c r="Q25" s="2688"/>
      <c r="R25" s="1353"/>
      <c r="S25" s="1353"/>
      <c r="T25" s="1353"/>
      <c r="U25" s="1353"/>
      <c r="V25" s="1353"/>
      <c r="W25" s="1353"/>
      <c r="X25" s="2688" t="s">
        <v>1299</v>
      </c>
      <c r="Y25" s="2688"/>
      <c r="Z25" s="2688"/>
      <c r="AA25" s="2688"/>
      <c r="AB25" s="2688" t="s">
        <v>1306</v>
      </c>
      <c r="AC25" s="2688"/>
      <c r="AD25" s="2688"/>
      <c r="AE25" s="2688" t="s">
        <v>1307</v>
      </c>
      <c r="AF25" s="2688"/>
      <c r="AG25" s="2688"/>
      <c r="AH25" s="2688"/>
      <c r="AI25" s="2688"/>
    </row>
    <row r="26" spans="5:36" x14ac:dyDescent="0.2">
      <c r="E26" s="2667" t="s">
        <v>1308</v>
      </c>
      <c r="F26" s="2668"/>
      <c r="G26" s="2668"/>
      <c r="H26" s="2668"/>
      <c r="I26" s="2668"/>
      <c r="J26" s="2668"/>
      <c r="K26" s="2668"/>
      <c r="L26" s="2668"/>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9"/>
    </row>
    <row r="27" spans="5:36" ht="13.5" thickBot="1" x14ac:dyDescent="0.25">
      <c r="E27" s="894"/>
      <c r="F27" s="858"/>
      <c r="G27" s="858"/>
      <c r="H27" s="858"/>
      <c r="I27" s="858"/>
      <c r="J27" s="858"/>
      <c r="K27" s="858"/>
      <c r="L27" s="858"/>
      <c r="M27" s="858"/>
      <c r="N27" s="858"/>
      <c r="O27" s="858"/>
      <c r="P27" s="858"/>
      <c r="Q27" s="858"/>
      <c r="R27" s="858"/>
      <c r="S27" s="858"/>
      <c r="T27" s="858"/>
      <c r="U27" s="858"/>
      <c r="V27" s="858"/>
      <c r="W27" s="858"/>
      <c r="X27" s="858"/>
      <c r="Y27" s="858"/>
      <c r="Z27" s="858"/>
      <c r="AA27" s="858"/>
      <c r="AB27" s="858"/>
      <c r="AC27" s="858"/>
      <c r="AD27" s="858"/>
      <c r="AE27" s="858"/>
      <c r="AF27" s="858"/>
      <c r="AG27" s="858"/>
      <c r="AH27" s="858"/>
      <c r="AI27" s="895"/>
    </row>
    <row r="28" spans="5:36" ht="13.5" thickBot="1" x14ac:dyDescent="0.25">
      <c r="E28" s="1303" t="str">
        <f>IF(INFORMATIONS!B12="INDIVIDUELLE","","01")</f>
        <v/>
      </c>
      <c r="F28" s="896" t="str">
        <f>IF(INFORMATIONS!B12="INDIVIDUELLE","","CHIFFRE D'AFFAIRES HORS TVA")</f>
        <v/>
      </c>
      <c r="G28" s="896"/>
      <c r="H28" s="896"/>
      <c r="I28" s="896"/>
      <c r="J28" s="896"/>
      <c r="K28" s="896"/>
      <c r="L28" s="896"/>
      <c r="M28" s="896"/>
      <c r="N28" s="896"/>
      <c r="O28" s="896"/>
      <c r="P28" s="896"/>
      <c r="Q28" s="896"/>
      <c r="R28" s="896"/>
      <c r="S28" s="896"/>
      <c r="T28" s="896"/>
      <c r="U28" s="896"/>
      <c r="V28" s="896"/>
      <c r="W28" s="896"/>
      <c r="X28" s="896"/>
      <c r="Y28" s="896"/>
      <c r="Z28" s="2670" t="str">
        <f>IF(INFORMATIONS!B12="INDIVIDUELLE","",'COMPTE DE RESULTAT'!K15)</f>
        <v/>
      </c>
      <c r="AA28" s="2671"/>
      <c r="AB28" s="2671"/>
      <c r="AC28" s="2671"/>
      <c r="AD28" s="2671"/>
      <c r="AE28" s="2671"/>
      <c r="AF28" s="2671"/>
      <c r="AG28" s="2671"/>
      <c r="AH28" s="2672"/>
      <c r="AI28" s="895"/>
      <c r="AJ28" s="1654"/>
    </row>
    <row r="29" spans="5:36" ht="13.5" thickBot="1" x14ac:dyDescent="0.25">
      <c r="E29" s="897"/>
      <c r="F29" s="858"/>
      <c r="G29" s="858"/>
      <c r="H29" s="858"/>
      <c r="I29" s="858"/>
      <c r="J29" s="858"/>
      <c r="K29" s="858"/>
      <c r="L29" s="858"/>
      <c r="M29" s="858"/>
      <c r="N29" s="858"/>
      <c r="O29" s="858"/>
      <c r="P29" s="858"/>
      <c r="Q29" s="858"/>
      <c r="R29" s="858"/>
      <c r="S29" s="858"/>
      <c r="T29" s="858"/>
      <c r="U29" s="858"/>
      <c r="V29" s="858"/>
      <c r="W29" s="858"/>
      <c r="X29" s="858"/>
      <c r="Y29" s="858"/>
      <c r="Z29" s="858"/>
      <c r="AA29" s="858"/>
      <c r="AB29" s="858"/>
      <c r="AC29" s="858"/>
      <c r="AD29" s="858"/>
      <c r="AE29" s="858"/>
      <c r="AF29" s="858"/>
      <c r="AG29" s="858"/>
      <c r="AH29" s="858"/>
      <c r="AI29" s="895"/>
    </row>
    <row r="30" spans="5:36" ht="15.75" thickBot="1" x14ac:dyDescent="0.3">
      <c r="E30" s="1303" t="str">
        <f>IF(INFORMATIONS!B12="INDIVIDUELLE","01","02")</f>
        <v>01</v>
      </c>
      <c r="F30" s="2673" t="str">
        <f>IF(INFORMATIONS!B12="INDIVIDUELLE","BENEFICE IMPOSABLE","RESULTA FISCAL:")</f>
        <v>BENEFICE IMPOSABLE</v>
      </c>
      <c r="G30" s="2674"/>
      <c r="H30" s="2674"/>
      <c r="I30" s="2674"/>
      <c r="J30" s="2675" t="str">
        <f>IF(INFORMATIONS!B12="INDIVIDUELLE","","Bénéfice")</f>
        <v/>
      </c>
      <c r="K30" s="2675"/>
      <c r="L30" s="2675"/>
      <c r="M30" s="2675"/>
      <c r="N30" s="2675"/>
      <c r="O30" s="2676" t="str">
        <f>IF(INFORMATIONS!B12="INDIVIDUELLE","",IF(Z30&lt;0," ","x"))</f>
        <v/>
      </c>
      <c r="P30" s="2676"/>
      <c r="Q30" s="858"/>
      <c r="R30" s="2677" t="str">
        <f>IF(INFORMATIONS!B12="INDIVIDUELLE","","Perte")</f>
        <v/>
      </c>
      <c r="S30" s="2677"/>
      <c r="T30" s="2677"/>
      <c r="U30" s="858"/>
      <c r="V30" s="2678" t="str">
        <f>IF(INFORMATIONS!B12="INDIVIDUELLE","",IF(Z30&gt;0," ","x"))</f>
        <v/>
      </c>
      <c r="W30" s="2678"/>
      <c r="X30" s="898"/>
      <c r="Y30" s="899"/>
      <c r="Z30" s="2659">
        <f>'CALCULS FISCAUX'!J41</f>
        <v>246491910</v>
      </c>
      <c r="AA30" s="2660"/>
      <c r="AB30" s="2660"/>
      <c r="AC30" s="2660"/>
      <c r="AD30" s="2660"/>
      <c r="AE30" s="2660"/>
      <c r="AF30" s="2660"/>
      <c r="AG30" s="2660"/>
      <c r="AH30" s="2661"/>
      <c r="AI30" s="895"/>
      <c r="AJ30" s="1654"/>
    </row>
    <row r="31" spans="5:36" ht="13.5" thickBot="1" x14ac:dyDescent="0.25">
      <c r="E31" s="1303"/>
      <c r="F31" s="900"/>
      <c r="G31" s="858"/>
      <c r="H31" s="858"/>
      <c r="I31" s="858"/>
      <c r="J31" s="858"/>
      <c r="K31" s="858"/>
      <c r="L31" s="858"/>
      <c r="M31" s="858"/>
      <c r="N31" s="858"/>
      <c r="O31" s="858"/>
      <c r="P31" s="858"/>
      <c r="Q31" s="858"/>
      <c r="R31" s="858"/>
      <c r="S31" s="858"/>
      <c r="T31" s="858"/>
      <c r="U31" s="858"/>
      <c r="V31" s="858"/>
      <c r="W31" s="858"/>
      <c r="X31" s="858"/>
      <c r="Y31" s="858"/>
      <c r="Z31" s="858"/>
      <c r="AA31" s="858"/>
      <c r="AB31" s="858"/>
      <c r="AC31" s="858"/>
      <c r="AD31" s="858"/>
      <c r="AE31" s="858"/>
      <c r="AF31" s="858"/>
      <c r="AG31" s="858"/>
      <c r="AH31" s="858"/>
      <c r="AI31" s="895"/>
    </row>
    <row r="32" spans="5:36" ht="13.5" thickBot="1" x14ac:dyDescent="0.25">
      <c r="E32" s="1303" t="str">
        <f>IF(INFORMATIONS!B12="INDIVIDUELLE","02","03")</f>
        <v>02</v>
      </c>
      <c r="F32" s="901" t="str">
        <f>IF(INFORMATIONS!B12="INDIVIDUELLE","COTISATION BIC EXIGIBLE(Ou Minimum Forfaitaire de Perception)","COTISATION IS EXIGIBLE (Ou Minimum Forfaitaire de Perception)")</f>
        <v>COTISATION BIC EXIGIBLE(Ou Minimum Forfaitaire de Perception)</v>
      </c>
      <c r="G32" s="902"/>
      <c r="H32" s="902"/>
      <c r="I32" s="858"/>
      <c r="J32" s="858"/>
      <c r="K32" s="858"/>
      <c r="L32" s="858"/>
      <c r="M32" s="858"/>
      <c r="N32" s="858"/>
      <c r="O32" s="858"/>
      <c r="P32" s="858"/>
      <c r="Q32" s="858"/>
      <c r="R32" s="858"/>
      <c r="S32" s="858"/>
      <c r="T32" s="858"/>
      <c r="U32" s="858"/>
      <c r="V32" s="858"/>
      <c r="W32" s="858"/>
      <c r="X32" s="858"/>
      <c r="Y32" s="858"/>
      <c r="Z32" s="2659">
        <f>'CALCULS FISCAUX'!G62</f>
        <v>67660025</v>
      </c>
      <c r="AA32" s="2660"/>
      <c r="AB32" s="2660"/>
      <c r="AC32" s="2660"/>
      <c r="AD32" s="2660"/>
      <c r="AE32" s="2660"/>
      <c r="AF32" s="2660"/>
      <c r="AG32" s="2660"/>
      <c r="AH32" s="2661"/>
      <c r="AI32" s="895"/>
    </row>
    <row r="33" spans="5:37" ht="8.1" customHeight="1" thickBot="1" x14ac:dyDescent="0.25">
      <c r="E33" s="1303"/>
      <c r="F33" s="900"/>
      <c r="G33" s="858"/>
      <c r="H33" s="858"/>
      <c r="I33" s="858"/>
      <c r="J33" s="858"/>
      <c r="K33" s="858"/>
      <c r="L33" s="858"/>
      <c r="M33" s="858"/>
      <c r="N33" s="858"/>
      <c r="O33" s="858"/>
      <c r="P33" s="858"/>
      <c r="Q33" s="858"/>
      <c r="R33" s="858"/>
      <c r="S33" s="858"/>
      <c r="T33" s="858"/>
      <c r="U33" s="858"/>
      <c r="V33" s="858"/>
      <c r="W33" s="858"/>
      <c r="X33" s="858"/>
      <c r="Y33" s="858"/>
      <c r="Z33" s="858"/>
      <c r="AA33" s="858"/>
      <c r="AB33" s="858"/>
      <c r="AC33" s="858"/>
      <c r="AD33" s="858"/>
      <c r="AE33" s="858"/>
      <c r="AF33" s="858"/>
      <c r="AG33" s="858"/>
      <c r="AH33" s="858"/>
      <c r="AI33" s="895"/>
    </row>
    <row r="34" spans="5:37" ht="13.5" thickBot="1" x14ac:dyDescent="0.25">
      <c r="E34" s="1303" t="str">
        <f>IF(INFORMATIONS!B12="INDIVIDUELLE","03","04")</f>
        <v>03</v>
      </c>
      <c r="F34" s="900" t="str">
        <f>IF(INFORMATIONS!B12="INDIVIDUELLE","MINIMUM FORFAITAIRE DE PERCEPTION DECLARES","ACOMPTES PROVISIONNELS DECLARES")</f>
        <v>MINIMUM FORFAITAIRE DE PERCEPTION DECLARES</v>
      </c>
      <c r="G34" s="858"/>
      <c r="H34" s="858"/>
      <c r="I34" s="858"/>
      <c r="J34" s="858"/>
      <c r="K34" s="858"/>
      <c r="L34" s="858"/>
      <c r="M34" s="858"/>
      <c r="N34" s="858"/>
      <c r="O34" s="858"/>
      <c r="P34" s="858"/>
      <c r="Q34" s="858"/>
      <c r="R34" s="858"/>
      <c r="S34" s="858"/>
      <c r="T34" s="858"/>
      <c r="U34" s="858"/>
      <c r="V34" s="858"/>
      <c r="W34" s="858"/>
      <c r="X34" s="858"/>
      <c r="Y34" s="858"/>
      <c r="Z34" s="2659">
        <f>IF(INFORMATIONS!B12="INDIVIDUELLE",'CALCULS FISCAUX'!G86,'CALCULS FISCAUX'!G83)</f>
        <v>0</v>
      </c>
      <c r="AA34" s="2660"/>
      <c r="AB34" s="2660"/>
      <c r="AC34" s="2660"/>
      <c r="AD34" s="2660"/>
      <c r="AE34" s="2660"/>
      <c r="AF34" s="2660"/>
      <c r="AG34" s="2660"/>
      <c r="AH34" s="2661"/>
      <c r="AI34" s="895"/>
    </row>
    <row r="35" spans="5:37" ht="13.5" thickBot="1" x14ac:dyDescent="0.25">
      <c r="E35" s="1303"/>
      <c r="F35" s="900"/>
      <c r="G35" s="858"/>
      <c r="H35" s="858"/>
      <c r="I35" s="858"/>
      <c r="J35" s="858"/>
      <c r="K35" s="858"/>
      <c r="L35" s="858"/>
      <c r="M35" s="858"/>
      <c r="N35" s="858"/>
      <c r="O35" s="858"/>
      <c r="P35" s="858"/>
      <c r="Q35" s="858"/>
      <c r="R35" s="858"/>
      <c r="S35" s="858"/>
      <c r="T35" s="858"/>
      <c r="U35" s="858"/>
      <c r="V35" s="858"/>
      <c r="W35" s="858"/>
      <c r="X35" s="858"/>
      <c r="Y35" s="858"/>
      <c r="Z35" s="858"/>
      <c r="AA35" s="858"/>
      <c r="AB35" s="858"/>
      <c r="AC35" s="858"/>
      <c r="AD35" s="858"/>
      <c r="AE35" s="858"/>
      <c r="AF35" s="858"/>
      <c r="AG35" s="858"/>
      <c r="AH35" s="858"/>
      <c r="AI35" s="895"/>
    </row>
    <row r="36" spans="5:37" ht="15" thickBot="1" x14ac:dyDescent="0.25">
      <c r="E36" s="1303" t="str">
        <f>IF(INFORMATIONS!B12="INDIVIDUELLE","04","05")</f>
        <v>04</v>
      </c>
      <c r="F36" s="904" t="s">
        <v>1700</v>
      </c>
      <c r="G36" s="900"/>
      <c r="H36" s="900"/>
      <c r="I36" s="900"/>
      <c r="J36" s="900"/>
      <c r="K36" s="900"/>
      <c r="L36" s="900"/>
      <c r="M36" s="900"/>
      <c r="N36" s="900"/>
      <c r="O36" s="900"/>
      <c r="P36" s="900"/>
      <c r="Q36" s="900"/>
      <c r="R36" s="900"/>
      <c r="S36" s="900"/>
      <c r="T36" s="900"/>
      <c r="U36" s="900"/>
      <c r="V36" s="900"/>
      <c r="W36" s="900"/>
      <c r="X36" s="858"/>
      <c r="Y36" s="858"/>
      <c r="Z36" s="2659">
        <f>'CALCULS FISCAUX'!J62</f>
        <v>0</v>
      </c>
      <c r="AA36" s="2660"/>
      <c r="AB36" s="2660"/>
      <c r="AC36" s="2660"/>
      <c r="AD36" s="2660"/>
      <c r="AE36" s="2660"/>
      <c r="AF36" s="2660"/>
      <c r="AG36" s="2660"/>
      <c r="AH36" s="2661"/>
      <c r="AI36" s="895"/>
    </row>
    <row r="37" spans="5:37" ht="8.1" customHeight="1" thickBot="1" x14ac:dyDescent="0.25">
      <c r="E37" s="1303"/>
      <c r="F37" s="900"/>
      <c r="G37" s="858"/>
      <c r="H37" s="858"/>
      <c r="I37" s="858"/>
      <c r="J37" s="858"/>
      <c r="K37" s="858"/>
      <c r="L37" s="858"/>
      <c r="M37" s="858"/>
      <c r="N37" s="858"/>
      <c r="O37" s="858"/>
      <c r="P37" s="858"/>
      <c r="Q37" s="858"/>
      <c r="R37" s="858"/>
      <c r="S37" s="858"/>
      <c r="T37" s="858"/>
      <c r="U37" s="858"/>
      <c r="V37" s="858"/>
      <c r="W37" s="858"/>
      <c r="X37" s="858"/>
      <c r="Y37" s="858"/>
      <c r="Z37" s="903"/>
      <c r="AA37" s="2666"/>
      <c r="AB37" s="2666"/>
      <c r="AC37" s="2666"/>
      <c r="AD37" s="2666"/>
      <c r="AE37" s="2666"/>
      <c r="AF37" s="2666"/>
      <c r="AG37" s="2666"/>
      <c r="AH37" s="2666"/>
      <c r="AI37" s="895"/>
    </row>
    <row r="38" spans="5:37" ht="13.5" thickBot="1" x14ac:dyDescent="0.25">
      <c r="E38" s="1303" t="str">
        <f>IF(INFORMATIONS!B12="INDIVIDUELLE","","06")</f>
        <v/>
      </c>
      <c r="F38" s="900" t="str">
        <f>IF(INFORMATIONS!B12="INDIVIDUELLE","","IRVM SUBI (Attestation jointe)")</f>
        <v/>
      </c>
      <c r="G38" s="900"/>
      <c r="H38" s="900"/>
      <c r="I38" s="900"/>
      <c r="J38" s="900"/>
      <c r="K38" s="900"/>
      <c r="L38" s="900"/>
      <c r="M38" s="900"/>
      <c r="N38" s="900"/>
      <c r="O38" s="900"/>
      <c r="P38" s="900"/>
      <c r="Q38" s="900"/>
      <c r="R38" s="900"/>
      <c r="S38" s="900"/>
      <c r="T38" s="900"/>
      <c r="U38" s="900"/>
      <c r="V38" s="900"/>
      <c r="W38" s="900"/>
      <c r="X38" s="858"/>
      <c r="Y38" s="858"/>
      <c r="Z38" s="2659">
        <f>'CALCULS FISCAUX'!G84</f>
        <v>0</v>
      </c>
      <c r="AA38" s="2660"/>
      <c r="AB38" s="2660"/>
      <c r="AC38" s="2660"/>
      <c r="AD38" s="2660"/>
      <c r="AE38" s="2660"/>
      <c r="AF38" s="2660"/>
      <c r="AG38" s="2660"/>
      <c r="AH38" s="2661"/>
      <c r="AI38" s="895"/>
    </row>
    <row r="39" spans="5:37" ht="8.1" customHeight="1" thickBot="1" x14ac:dyDescent="0.25">
      <c r="E39" s="1303"/>
      <c r="F39" s="900"/>
      <c r="G39" s="900"/>
      <c r="H39" s="900"/>
      <c r="I39" s="900"/>
      <c r="J39" s="900"/>
      <c r="K39" s="900"/>
      <c r="L39" s="900"/>
      <c r="M39" s="900"/>
      <c r="N39" s="900"/>
      <c r="O39" s="900"/>
      <c r="P39" s="900"/>
      <c r="Q39" s="900"/>
      <c r="R39" s="900"/>
      <c r="S39" s="900"/>
      <c r="T39" s="900"/>
      <c r="U39" s="900"/>
      <c r="V39" s="900"/>
      <c r="W39" s="900"/>
      <c r="X39" s="858"/>
      <c r="Y39" s="858"/>
      <c r="Z39" s="903"/>
      <c r="AA39" s="2666"/>
      <c r="AB39" s="2666"/>
      <c r="AC39" s="2666"/>
      <c r="AD39" s="2666"/>
      <c r="AE39" s="2666"/>
      <c r="AF39" s="2666"/>
      <c r="AG39" s="2666"/>
      <c r="AH39" s="2666"/>
      <c r="AI39" s="895"/>
    </row>
    <row r="40" spans="5:37" ht="13.5" thickBot="1" x14ac:dyDescent="0.25">
      <c r="E40" s="1303" t="str">
        <f>IF(INFORMATIONS!B12="INDIVIDUELLE","","07")</f>
        <v/>
      </c>
      <c r="F40" s="900" t="str">
        <f>IF(INFORMATIONS!B12="INDIVIDUELLE","","IRC SUBI (Attestation jointe)")</f>
        <v/>
      </c>
      <c r="G40" s="900"/>
      <c r="H40" s="900"/>
      <c r="I40" s="900"/>
      <c r="J40" s="900"/>
      <c r="K40" s="900"/>
      <c r="L40" s="900"/>
      <c r="M40" s="900"/>
      <c r="N40" s="900"/>
      <c r="O40" s="900"/>
      <c r="P40" s="900"/>
      <c r="Q40" s="900"/>
      <c r="R40" s="900"/>
      <c r="S40" s="900"/>
      <c r="T40" s="900"/>
      <c r="U40" s="900"/>
      <c r="V40" s="900"/>
      <c r="W40" s="900"/>
      <c r="X40" s="858"/>
      <c r="Y40" s="858"/>
      <c r="Z40" s="2659">
        <f>'CALCULS FISCAUX'!G85</f>
        <v>0</v>
      </c>
      <c r="AA40" s="2660"/>
      <c r="AB40" s="2660"/>
      <c r="AC40" s="2660"/>
      <c r="AD40" s="2660"/>
      <c r="AE40" s="2660"/>
      <c r="AF40" s="2660"/>
      <c r="AG40" s="2660"/>
      <c r="AH40" s="2661"/>
      <c r="AI40" s="895"/>
      <c r="AK40" s="1654"/>
    </row>
    <row r="41" spans="5:37" ht="13.5" thickBot="1" x14ac:dyDescent="0.25">
      <c r="E41" s="1303"/>
      <c r="F41" s="858"/>
      <c r="G41" s="858"/>
      <c r="H41" s="858"/>
      <c r="I41" s="858"/>
      <c r="J41" s="858"/>
      <c r="K41" s="858"/>
      <c r="L41" s="858"/>
      <c r="M41" s="858"/>
      <c r="N41" s="858"/>
      <c r="O41" s="858"/>
      <c r="P41" s="858"/>
      <c r="Q41" s="858"/>
      <c r="R41" s="858"/>
      <c r="S41" s="858"/>
      <c r="T41" s="858"/>
      <c r="U41" s="858"/>
      <c r="V41" s="858"/>
      <c r="W41" s="858"/>
      <c r="X41" s="858"/>
      <c r="Y41" s="858"/>
      <c r="Z41" s="858"/>
      <c r="AA41" s="858"/>
      <c r="AB41" s="858"/>
      <c r="AC41" s="858"/>
      <c r="AD41" s="858"/>
      <c r="AE41" s="858"/>
      <c r="AF41" s="858"/>
      <c r="AG41" s="858"/>
      <c r="AH41" s="858"/>
      <c r="AI41" s="895"/>
    </row>
    <row r="42" spans="5:37" ht="13.5" thickBot="1" x14ac:dyDescent="0.25">
      <c r="E42" s="1303" t="str">
        <f>IF(INFORMATIONS!B12="INDIVIDUELLE","05","08")</f>
        <v>05</v>
      </c>
      <c r="F42" s="859" t="str">
        <f>IF(INFORMATIONS!B12="INDIVIDUELLE","COTISATION BIC DUE (02-(03+04))","COTISATION IS DUE (03-(04+05+06+07))")</f>
        <v>COTISATION BIC DUE (02-(03+04))</v>
      </c>
      <c r="G42" s="858"/>
      <c r="H42" s="858"/>
      <c r="I42" s="858"/>
      <c r="J42" s="858"/>
      <c r="K42" s="858"/>
      <c r="L42" s="858"/>
      <c r="M42" s="858"/>
      <c r="N42" s="858"/>
      <c r="O42" s="858"/>
      <c r="P42" s="858"/>
      <c r="Q42" s="858"/>
      <c r="R42" s="858"/>
      <c r="S42" s="858"/>
      <c r="T42" s="858"/>
      <c r="U42" s="858"/>
      <c r="V42" s="858"/>
      <c r="W42" s="858"/>
      <c r="X42" s="858"/>
      <c r="Y42" s="858"/>
      <c r="Z42" s="2659">
        <f>MAX(0,(Z32-Z34-Z36-Z38-Z40))</f>
        <v>67660025</v>
      </c>
      <c r="AA42" s="2660"/>
      <c r="AB42" s="2660"/>
      <c r="AC42" s="2660"/>
      <c r="AD42" s="2660"/>
      <c r="AE42" s="2660"/>
      <c r="AF42" s="2660"/>
      <c r="AG42" s="2660"/>
      <c r="AH42" s="2661"/>
      <c r="AI42" s="895"/>
    </row>
    <row r="43" spans="5:37" ht="8.1" customHeight="1" x14ac:dyDescent="0.2">
      <c r="E43" s="1303"/>
      <c r="F43" s="858"/>
      <c r="G43" s="858"/>
      <c r="H43" s="858"/>
      <c r="I43" s="858"/>
      <c r="J43" s="858"/>
      <c r="K43" s="858"/>
      <c r="L43" s="858"/>
      <c r="M43" s="858"/>
      <c r="N43" s="858"/>
      <c r="O43" s="858"/>
      <c r="P43" s="858"/>
      <c r="Q43" s="858"/>
      <c r="R43" s="858"/>
      <c r="S43" s="858"/>
      <c r="T43" s="858"/>
      <c r="U43" s="858"/>
      <c r="V43" s="858"/>
      <c r="W43" s="858"/>
      <c r="X43" s="858"/>
      <c r="Y43" s="858"/>
      <c r="Z43" s="2666"/>
      <c r="AA43" s="2666"/>
      <c r="AB43" s="2666"/>
      <c r="AC43" s="2666"/>
      <c r="AD43" s="2666"/>
      <c r="AE43" s="2666"/>
      <c r="AF43" s="2666"/>
      <c r="AG43" s="2666"/>
      <c r="AH43" s="2666"/>
      <c r="AI43" s="895"/>
    </row>
    <row r="44" spans="5:37" ht="13.5" thickBot="1" x14ac:dyDescent="0.25">
      <c r="E44" s="1303" t="str">
        <f>IF(INFORMATIONS!B12="INDIVIDUELLE","06","09")</f>
        <v>06</v>
      </c>
      <c r="F44" s="858" t="s">
        <v>1311</v>
      </c>
      <c r="G44" s="858"/>
      <c r="H44" s="858"/>
      <c r="I44" s="858"/>
      <c r="J44" s="858"/>
      <c r="K44" s="858"/>
      <c r="L44" s="858"/>
      <c r="M44" s="858"/>
      <c r="N44" s="858"/>
      <c r="O44" s="858"/>
      <c r="P44" s="858"/>
      <c r="Q44" s="858"/>
      <c r="R44" s="858"/>
      <c r="S44" s="858"/>
      <c r="T44" s="858"/>
      <c r="U44" s="858"/>
      <c r="V44" s="858"/>
      <c r="W44" s="858"/>
      <c r="X44" s="858"/>
      <c r="Y44" s="858"/>
      <c r="Z44" s="905"/>
      <c r="AA44" s="905"/>
      <c r="AB44" s="905"/>
      <c r="AC44" s="905"/>
      <c r="AD44" s="905"/>
      <c r="AE44" s="905"/>
      <c r="AF44" s="905"/>
      <c r="AG44" s="905"/>
      <c r="AH44" s="905"/>
      <c r="AI44" s="895"/>
    </row>
    <row r="45" spans="5:37" ht="13.5" thickBot="1" x14ac:dyDescent="0.25">
      <c r="E45" s="1303"/>
      <c r="F45" s="858" t="s">
        <v>1312</v>
      </c>
      <c r="G45" s="858"/>
      <c r="H45" s="858"/>
      <c r="I45" s="858"/>
      <c r="J45" s="858"/>
      <c r="K45" s="858"/>
      <c r="L45" s="858"/>
      <c r="M45" s="858"/>
      <c r="N45" s="858"/>
      <c r="O45" s="858"/>
      <c r="P45" s="858"/>
      <c r="Q45" s="858"/>
      <c r="R45" s="858"/>
      <c r="S45" s="858"/>
      <c r="T45" s="858"/>
      <c r="U45" s="858"/>
      <c r="V45" s="858"/>
      <c r="W45" s="858"/>
      <c r="X45" s="858"/>
      <c r="Y45" s="858"/>
      <c r="Z45" s="2659">
        <f>MIN(Z42,'CALCULS FISCAUX'!G95)</f>
        <v>50000</v>
      </c>
      <c r="AA45" s="2660"/>
      <c r="AB45" s="2660"/>
      <c r="AC45" s="2660"/>
      <c r="AD45" s="2660"/>
      <c r="AE45" s="2660"/>
      <c r="AF45" s="2660"/>
      <c r="AG45" s="2660"/>
      <c r="AH45" s="2661"/>
      <c r="AI45" s="895"/>
    </row>
    <row r="46" spans="5:37" x14ac:dyDescent="0.2">
      <c r="E46" s="1303"/>
      <c r="F46" s="858" t="s">
        <v>1313</v>
      </c>
      <c r="G46" s="858"/>
      <c r="H46" s="858"/>
      <c r="I46" s="858"/>
      <c r="J46" s="858"/>
      <c r="K46" s="858"/>
      <c r="L46" s="858"/>
      <c r="M46" s="858"/>
      <c r="N46" s="858"/>
      <c r="O46" s="858"/>
      <c r="P46" s="858"/>
      <c r="Q46" s="858"/>
      <c r="R46" s="858"/>
      <c r="S46" s="858"/>
      <c r="T46" s="858"/>
      <c r="U46" s="858"/>
      <c r="V46" s="858"/>
      <c r="W46" s="858"/>
      <c r="X46" s="858"/>
      <c r="Y46" s="858"/>
      <c r="Z46" s="858"/>
      <c r="AA46" s="858"/>
      <c r="AB46" s="858"/>
      <c r="AC46" s="858"/>
      <c r="AD46" s="858"/>
      <c r="AE46" s="858"/>
      <c r="AF46" s="858"/>
      <c r="AG46" s="858"/>
      <c r="AH46" s="858"/>
      <c r="AI46" s="895"/>
    </row>
    <row r="47" spans="5:37" ht="8.1" customHeight="1" thickBot="1" x14ac:dyDescent="0.25">
      <c r="E47" s="1303"/>
      <c r="F47" s="858"/>
      <c r="G47" s="858"/>
      <c r="H47" s="858"/>
      <c r="I47" s="858"/>
      <c r="J47" s="858"/>
      <c r="K47" s="858"/>
      <c r="L47" s="858"/>
      <c r="M47" s="858"/>
      <c r="N47" s="858"/>
      <c r="O47" s="858"/>
      <c r="P47" s="858"/>
      <c r="Q47" s="858"/>
      <c r="R47" s="858"/>
      <c r="S47" s="858"/>
      <c r="T47" s="858"/>
      <c r="U47" s="858"/>
      <c r="V47" s="858"/>
      <c r="W47" s="858"/>
      <c r="X47" s="858"/>
      <c r="Y47" s="858"/>
      <c r="Z47" s="905"/>
      <c r="AA47" s="905"/>
      <c r="AB47" s="905"/>
      <c r="AC47" s="905"/>
      <c r="AD47" s="905"/>
      <c r="AE47" s="905"/>
      <c r="AF47" s="905"/>
      <c r="AG47" s="905"/>
      <c r="AH47" s="905"/>
      <c r="AI47" s="895"/>
    </row>
    <row r="48" spans="5:37" ht="13.5" thickBot="1" x14ac:dyDescent="0.25">
      <c r="E48" s="1303" t="str">
        <f>IF(INFORMATIONS!B12="INDIVIDUELLE","07","10")</f>
        <v>07</v>
      </c>
      <c r="F48" s="858" t="s">
        <v>1314</v>
      </c>
      <c r="G48" s="858"/>
      <c r="H48" s="858"/>
      <c r="I48" s="858"/>
      <c r="J48" s="858"/>
      <c r="K48" s="858"/>
      <c r="L48" s="858"/>
      <c r="M48" s="858"/>
      <c r="N48" s="858"/>
      <c r="O48" s="858"/>
      <c r="P48" s="858"/>
      <c r="Q48" s="858"/>
      <c r="R48" s="858"/>
      <c r="S48" s="858"/>
      <c r="T48" s="858"/>
      <c r="U48" s="858"/>
      <c r="V48" s="858"/>
      <c r="W48" s="858"/>
      <c r="X48" s="858"/>
      <c r="Y48" s="858"/>
      <c r="Z48" s="2659">
        <f>MAX(0,MIN((Z42-Z45),'CALCULS FISCAUX'!G97))</f>
        <v>25000</v>
      </c>
      <c r="AA48" s="2660"/>
      <c r="AB48" s="2660"/>
      <c r="AC48" s="2660"/>
      <c r="AD48" s="2660"/>
      <c r="AE48" s="2660"/>
      <c r="AF48" s="2660"/>
      <c r="AG48" s="2660"/>
      <c r="AH48" s="2661"/>
      <c r="AI48" s="895"/>
    </row>
    <row r="49" spans="5:35" x14ac:dyDescent="0.2">
      <c r="E49" s="1303"/>
      <c r="F49" s="858" t="s">
        <v>1315</v>
      </c>
      <c r="G49" s="858"/>
      <c r="H49" s="858"/>
      <c r="I49" s="858"/>
      <c r="J49" s="858"/>
      <c r="K49" s="858"/>
      <c r="L49" s="858"/>
      <c r="M49" s="858"/>
      <c r="N49" s="858"/>
      <c r="O49" s="858"/>
      <c r="P49" s="858"/>
      <c r="Q49" s="858"/>
      <c r="R49" s="858"/>
      <c r="S49" s="858"/>
      <c r="T49" s="858"/>
      <c r="U49" s="858"/>
      <c r="V49" s="858"/>
      <c r="W49" s="858"/>
      <c r="X49" s="858"/>
      <c r="Y49" s="858"/>
      <c r="Z49" s="858"/>
      <c r="AA49" s="858"/>
      <c r="AB49" s="858"/>
      <c r="AC49" s="858"/>
      <c r="AD49" s="858"/>
      <c r="AE49" s="858"/>
      <c r="AF49" s="858"/>
      <c r="AG49" s="858"/>
      <c r="AH49" s="858"/>
      <c r="AI49" s="895"/>
    </row>
    <row r="50" spans="5:35" ht="8.1" customHeight="1" thickBot="1" x14ac:dyDescent="0.25">
      <c r="E50" s="1303"/>
      <c r="F50" s="858"/>
      <c r="G50" s="858"/>
      <c r="H50" s="858"/>
      <c r="I50" s="858"/>
      <c r="J50" s="858"/>
      <c r="K50" s="858"/>
      <c r="L50" s="858"/>
      <c r="M50" s="858"/>
      <c r="N50" s="858"/>
      <c r="O50" s="858"/>
      <c r="P50" s="858"/>
      <c r="Q50" s="858"/>
      <c r="R50" s="858"/>
      <c r="S50" s="858"/>
      <c r="T50" s="858"/>
      <c r="U50" s="858"/>
      <c r="V50" s="858"/>
      <c r="W50" s="858"/>
      <c r="X50" s="858"/>
      <c r="Y50" s="858"/>
      <c r="Z50" s="858"/>
      <c r="AA50" s="858"/>
      <c r="AB50" s="858"/>
      <c r="AC50" s="858"/>
      <c r="AD50" s="858"/>
      <c r="AE50" s="858"/>
      <c r="AF50" s="858"/>
      <c r="AG50" s="858"/>
      <c r="AH50" s="858"/>
      <c r="AI50" s="895"/>
    </row>
    <row r="51" spans="5:35" ht="13.5" thickBot="1" x14ac:dyDescent="0.25">
      <c r="E51" s="1303" t="str">
        <f>IF(INFORMATIONS!B12="INDIVIDUELLE","08","11")</f>
        <v>08</v>
      </c>
      <c r="F51" s="2657" t="str">
        <f>IF(INFORMATIONS!B12="INDIVIDUELLE","COTISATION BIC A PAYER (05-(06+07))*:","COTISATION IS A PAYER (08-(09+10))*:")</f>
        <v>COTISATION BIC A PAYER (05-(06+07))*:</v>
      </c>
      <c r="G51" s="2658"/>
      <c r="H51" s="2658"/>
      <c r="I51" s="2658"/>
      <c r="J51" s="2658"/>
      <c r="K51" s="2658"/>
      <c r="L51" s="2658"/>
      <c r="M51" s="2658"/>
      <c r="N51" s="2658"/>
      <c r="O51" s="2658"/>
      <c r="P51" s="2658"/>
      <c r="Q51" s="2658"/>
      <c r="R51" s="2658"/>
      <c r="S51" s="2658"/>
      <c r="T51" s="2658"/>
      <c r="U51" s="2658"/>
      <c r="V51" s="858"/>
      <c r="W51" s="858"/>
      <c r="X51" s="858"/>
      <c r="Y51" s="858"/>
      <c r="Z51" s="2659">
        <f>IF((MAX(0,(Z42-Z45-Z48)))=0,"ZERO (0)",(MAX(0,(Z42-Z45-Z48))))</f>
        <v>67585025</v>
      </c>
      <c r="AA51" s="2660"/>
      <c r="AB51" s="2660"/>
      <c r="AC51" s="2660"/>
      <c r="AD51" s="2660"/>
      <c r="AE51" s="2660"/>
      <c r="AF51" s="2660"/>
      <c r="AG51" s="2660"/>
      <c r="AH51" s="2661"/>
      <c r="AI51" s="895"/>
    </row>
    <row r="52" spans="5:35" ht="8.1" customHeight="1" x14ac:dyDescent="0.2">
      <c r="E52" s="906"/>
      <c r="F52" s="907"/>
      <c r="G52" s="907"/>
      <c r="H52" s="907"/>
      <c r="I52" s="907"/>
      <c r="J52" s="907"/>
      <c r="K52" s="907"/>
      <c r="L52" s="907"/>
      <c r="M52" s="907"/>
      <c r="N52" s="907"/>
      <c r="O52" s="907"/>
      <c r="P52" s="907"/>
      <c r="Q52" s="907"/>
      <c r="R52" s="907"/>
      <c r="S52" s="907"/>
      <c r="T52" s="907"/>
      <c r="U52" s="907"/>
      <c r="V52" s="907"/>
      <c r="W52" s="907"/>
      <c r="X52" s="907"/>
      <c r="Y52" s="907"/>
      <c r="Z52" s="907"/>
      <c r="AA52" s="907"/>
      <c r="AB52" s="907"/>
      <c r="AC52" s="907"/>
      <c r="AD52" s="907"/>
      <c r="AE52" s="907"/>
      <c r="AF52" s="907"/>
      <c r="AG52" s="907"/>
      <c r="AH52" s="907"/>
      <c r="AI52" s="908"/>
    </row>
    <row r="53" spans="5:35" ht="8.1" customHeight="1" x14ac:dyDescent="0.2">
      <c r="E53" s="858"/>
      <c r="F53" s="858"/>
      <c r="G53" s="858"/>
      <c r="H53" s="858"/>
      <c r="I53" s="858"/>
      <c r="J53" s="858"/>
      <c r="K53" s="858"/>
      <c r="L53" s="858"/>
      <c r="M53" s="858"/>
      <c r="N53" s="858"/>
      <c r="O53" s="858"/>
      <c r="P53" s="858"/>
      <c r="Q53" s="858"/>
      <c r="R53" s="858"/>
      <c r="S53" s="858"/>
      <c r="T53" s="858"/>
      <c r="U53" s="858"/>
      <c r="V53" s="858"/>
      <c r="W53" s="858"/>
      <c r="X53" s="858"/>
      <c r="Y53" s="858"/>
      <c r="Z53" s="858"/>
      <c r="AA53" s="858"/>
      <c r="AB53" s="858"/>
      <c r="AC53" s="858"/>
      <c r="AD53" s="858"/>
      <c r="AE53" s="858"/>
      <c r="AF53" s="858"/>
      <c r="AG53" s="858"/>
      <c r="AH53" s="858"/>
      <c r="AI53" s="858"/>
    </row>
    <row r="54" spans="5:35" x14ac:dyDescent="0.2">
      <c r="E54" s="858" t="s">
        <v>1316</v>
      </c>
      <c r="F54" s="858"/>
      <c r="G54" s="858"/>
      <c r="H54" s="858"/>
      <c r="I54" s="858"/>
      <c r="J54" s="858"/>
      <c r="K54" s="858"/>
      <c r="L54" s="858"/>
      <c r="M54" s="858"/>
      <c r="N54" s="858"/>
      <c r="O54" s="858"/>
      <c r="P54" s="858"/>
      <c r="Q54" s="858"/>
      <c r="R54" s="858"/>
      <c r="S54" s="858"/>
      <c r="T54" s="858"/>
      <c r="U54" s="858"/>
      <c r="V54" s="858"/>
      <c r="W54" s="858"/>
      <c r="X54" s="858"/>
      <c r="Y54" s="858"/>
      <c r="Z54" s="858"/>
      <c r="AA54" s="858"/>
      <c r="AB54" s="858"/>
      <c r="AC54" s="858"/>
      <c r="AD54" s="858"/>
      <c r="AE54" s="858"/>
      <c r="AF54" s="858"/>
      <c r="AG54" s="858"/>
      <c r="AH54" s="858"/>
      <c r="AI54" s="858"/>
    </row>
    <row r="55" spans="5:35" x14ac:dyDescent="0.2">
      <c r="E55" s="1657" t="s">
        <v>1317</v>
      </c>
      <c r="F55" s="858"/>
      <c r="G55" s="858"/>
      <c r="H55" s="858"/>
      <c r="I55" s="858"/>
      <c r="J55" s="858"/>
      <c r="K55" s="858"/>
      <c r="L55" s="858"/>
      <c r="M55" s="858"/>
      <c r="N55" s="858"/>
      <c r="O55" s="858"/>
      <c r="P55" s="858"/>
      <c r="Q55" s="858"/>
      <c r="R55" s="858"/>
      <c r="S55" s="858"/>
      <c r="T55" s="858"/>
      <c r="U55" s="858"/>
      <c r="V55" s="858"/>
      <c r="W55" s="858"/>
      <c r="X55" s="858"/>
      <c r="Y55" s="858"/>
      <c r="Z55" s="858"/>
      <c r="AA55" s="858"/>
      <c r="AB55" s="858"/>
      <c r="AC55" s="858"/>
      <c r="AD55" s="858"/>
      <c r="AE55" s="858"/>
      <c r="AF55" s="858"/>
      <c r="AG55" s="858"/>
      <c r="AH55" s="858"/>
      <c r="AI55" s="858"/>
    </row>
    <row r="56" spans="5:35" x14ac:dyDescent="0.2">
      <c r="E56" s="1657" t="s">
        <v>1318</v>
      </c>
      <c r="F56" s="858"/>
      <c r="G56" s="858"/>
      <c r="H56" s="858"/>
      <c r="I56" s="858"/>
      <c r="J56" s="858"/>
      <c r="K56" s="858"/>
      <c r="L56" s="858"/>
      <c r="M56" s="858"/>
      <c r="N56" s="858"/>
      <c r="O56" s="858"/>
      <c r="P56" s="858"/>
      <c r="Q56" s="858"/>
      <c r="R56" s="858"/>
      <c r="S56" s="858"/>
      <c r="T56" s="858"/>
      <c r="U56" s="858"/>
      <c r="V56" s="858"/>
      <c r="W56" s="858"/>
      <c r="X56" s="858"/>
      <c r="Y56" s="858"/>
      <c r="Z56" s="858"/>
      <c r="AA56" s="858"/>
      <c r="AB56" s="858"/>
      <c r="AC56" s="858"/>
      <c r="AD56" s="858"/>
      <c r="AE56" s="858"/>
      <c r="AF56" s="858"/>
      <c r="AG56" s="858"/>
      <c r="AH56" s="858"/>
      <c r="AI56" s="858"/>
    </row>
    <row r="57" spans="5:35" x14ac:dyDescent="0.2">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row>
    <row r="58" spans="5:35" x14ac:dyDescent="0.2">
      <c r="E58" s="126"/>
      <c r="F58" s="126"/>
      <c r="G58" s="126"/>
      <c r="H58" s="126"/>
      <c r="I58" s="126"/>
      <c r="J58" s="126"/>
      <c r="K58" s="126"/>
      <c r="L58" s="126"/>
      <c r="M58" s="126" t="s">
        <v>1319</v>
      </c>
      <c r="N58" s="856" t="s">
        <v>1344</v>
      </c>
      <c r="O58" s="856"/>
      <c r="P58" s="856"/>
      <c r="Q58" s="856"/>
      <c r="R58" s="857"/>
      <c r="S58" s="857"/>
      <c r="T58" s="857"/>
      <c r="U58" s="857"/>
      <c r="V58" s="857"/>
      <c r="W58" s="857"/>
      <c r="X58" s="2662">
        <f>INFORMATIONS!B47</f>
        <v>0</v>
      </c>
      <c r="Y58" s="2662"/>
      <c r="Z58" s="2662"/>
      <c r="AA58" s="2662"/>
      <c r="AB58" s="2662"/>
      <c r="AC58" s="2662"/>
      <c r="AD58" s="2662"/>
      <c r="AE58" s="2662"/>
      <c r="AF58" s="2662"/>
      <c r="AG58" s="2662"/>
      <c r="AH58" s="2662"/>
      <c r="AI58" s="126"/>
    </row>
    <row r="59" spans="5:35" x14ac:dyDescent="0.2">
      <c r="E59" s="126"/>
      <c r="F59" s="126"/>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row>
    <row r="60" spans="5:35" x14ac:dyDescent="0.2">
      <c r="E60" s="126"/>
      <c r="F60" s="126"/>
      <c r="G60" s="126"/>
      <c r="H60" s="126"/>
      <c r="I60" s="126"/>
      <c r="J60" s="126"/>
      <c r="K60" s="126"/>
      <c r="L60" s="126"/>
      <c r="M60" s="126"/>
      <c r="N60" s="126"/>
      <c r="O60" s="126"/>
      <c r="P60" s="126"/>
      <c r="Q60" s="126"/>
      <c r="R60" s="126"/>
      <c r="S60" s="126"/>
      <c r="T60" s="126"/>
      <c r="U60" s="126"/>
      <c r="V60" s="126"/>
      <c r="W60" s="126"/>
      <c r="X60" s="126" t="s">
        <v>1320</v>
      </c>
      <c r="Y60" s="126"/>
      <c r="Z60" s="126"/>
      <c r="AA60" s="126"/>
      <c r="AB60" s="126"/>
      <c r="AC60" s="126"/>
      <c r="AD60" s="126"/>
      <c r="AE60" s="126"/>
      <c r="AF60" s="126"/>
      <c r="AG60" s="126"/>
      <c r="AH60" s="126"/>
      <c r="AI60" s="126"/>
    </row>
    <row r="61" spans="5:35" x14ac:dyDescent="0.2">
      <c r="E61" s="126"/>
      <c r="F61" s="126"/>
      <c r="G61" s="126"/>
      <c r="H61" s="126"/>
      <c r="I61" s="126"/>
      <c r="J61" s="126"/>
      <c r="K61" s="126"/>
      <c r="L61" s="126"/>
      <c r="M61" s="126"/>
      <c r="N61" s="126"/>
      <c r="O61" s="126"/>
      <c r="P61" s="126"/>
      <c r="Q61" s="126"/>
      <c r="R61" s="126"/>
      <c r="S61" s="126"/>
      <c r="T61" s="126"/>
      <c r="U61" s="126"/>
      <c r="V61" s="126"/>
      <c r="W61" s="126"/>
      <c r="X61" s="126"/>
      <c r="Y61" s="126">
        <f>INFORMATIONS!B45</f>
        <v>0</v>
      </c>
      <c r="Z61" s="126"/>
      <c r="AA61" s="126"/>
      <c r="AB61" s="126"/>
      <c r="AC61" s="126"/>
      <c r="AD61" s="126"/>
      <c r="AE61" s="126"/>
      <c r="AF61" s="126"/>
      <c r="AG61" s="126"/>
      <c r="AH61" s="126"/>
      <c r="AI61" s="126"/>
    </row>
    <row r="62" spans="5:35" x14ac:dyDescent="0.2">
      <c r="E62" s="126"/>
      <c r="F62" s="126"/>
      <c r="G62" s="126"/>
      <c r="H62" s="126"/>
      <c r="I62" s="126"/>
      <c r="J62" s="126"/>
      <c r="K62" s="126"/>
      <c r="L62" s="126"/>
      <c r="M62" s="126"/>
      <c r="N62" s="126"/>
      <c r="O62" s="126"/>
      <c r="P62" s="126"/>
      <c r="Q62" s="126"/>
      <c r="R62" s="126"/>
      <c r="S62" s="126"/>
      <c r="T62" s="126"/>
      <c r="U62" s="126"/>
      <c r="V62" s="126"/>
      <c r="W62" s="126"/>
      <c r="X62" s="126"/>
      <c r="Y62" s="126">
        <f>INFORMATIONS!B46</f>
        <v>0</v>
      </c>
      <c r="Z62" s="126"/>
      <c r="AA62" s="126"/>
      <c r="AB62" s="126"/>
      <c r="AC62" s="126"/>
      <c r="AD62" s="126"/>
      <c r="AE62" s="126"/>
      <c r="AF62" s="126"/>
      <c r="AG62" s="126"/>
      <c r="AH62" s="126"/>
      <c r="AI62" s="126"/>
    </row>
    <row r="63" spans="5:35" x14ac:dyDescent="0.2">
      <c r="E63" s="2663" t="s">
        <v>1321</v>
      </c>
      <c r="F63" s="2664"/>
      <c r="G63" s="2664"/>
      <c r="H63" s="2664"/>
      <c r="I63" s="2664"/>
      <c r="J63" s="2664"/>
      <c r="K63" s="2664"/>
      <c r="L63" s="2664"/>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5"/>
    </row>
    <row r="64" spans="5:35" x14ac:dyDescent="0.2">
      <c r="E64" s="2644" t="s">
        <v>1322</v>
      </c>
      <c r="F64" s="2644"/>
      <c r="G64" s="2644"/>
      <c r="H64" s="2644" t="s">
        <v>1323</v>
      </c>
      <c r="I64" s="2644"/>
      <c r="J64" s="2644"/>
      <c r="K64" s="2644"/>
      <c r="L64" s="2644"/>
      <c r="M64" s="2644"/>
      <c r="N64" s="2644"/>
      <c r="O64" s="2644"/>
      <c r="P64" s="2644"/>
      <c r="Q64" s="2644" t="s">
        <v>1324</v>
      </c>
      <c r="R64" s="2644"/>
      <c r="S64" s="2644"/>
      <c r="T64" s="2644"/>
      <c r="U64" s="2644"/>
      <c r="V64" s="2644"/>
      <c r="W64" s="2644"/>
      <c r="X64" s="2644"/>
      <c r="Y64" s="2644"/>
      <c r="Z64" s="2644"/>
      <c r="AA64" s="2644"/>
      <c r="AB64" s="2644"/>
      <c r="AC64" s="2644" t="s">
        <v>1325</v>
      </c>
      <c r="AD64" s="2644"/>
      <c r="AE64" s="2644"/>
      <c r="AF64" s="2644"/>
      <c r="AG64" s="2644"/>
      <c r="AH64" s="2644"/>
      <c r="AI64" s="2644"/>
    </row>
    <row r="65" spans="5:35" x14ac:dyDescent="0.2">
      <c r="E65" s="2645" t="s">
        <v>1326</v>
      </c>
      <c r="F65" s="2646"/>
      <c r="G65" s="2647"/>
      <c r="H65" s="2645" t="s">
        <v>1327</v>
      </c>
      <c r="I65" s="2646"/>
      <c r="J65" s="2646"/>
      <c r="K65" s="2646"/>
      <c r="L65" s="2646"/>
      <c r="M65" s="2646"/>
      <c r="N65" s="2646"/>
      <c r="O65" s="2646"/>
      <c r="P65" s="2647"/>
      <c r="Q65" s="2648" t="s">
        <v>1328</v>
      </c>
      <c r="R65" s="2648"/>
      <c r="S65" s="2648"/>
      <c r="T65" s="2648"/>
      <c r="U65" s="2648"/>
      <c r="V65" s="2648"/>
      <c r="W65" s="2648"/>
      <c r="X65" s="2648"/>
      <c r="Y65" s="2648"/>
      <c r="Z65" s="2648"/>
      <c r="AA65" s="2648"/>
      <c r="AB65" s="2648"/>
      <c r="AC65" s="1655" t="s">
        <v>1329</v>
      </c>
      <c r="AD65" s="1655"/>
      <c r="AE65" s="1655"/>
      <c r="AF65" s="1655"/>
      <c r="AG65" s="1655"/>
      <c r="AH65" s="1655"/>
      <c r="AI65" s="1655"/>
    </row>
    <row r="66" spans="5:35" x14ac:dyDescent="0.2">
      <c r="E66" s="2653" t="s">
        <v>1330</v>
      </c>
      <c r="F66" s="2654"/>
      <c r="G66" s="2655"/>
      <c r="H66" s="2653" t="s">
        <v>1331</v>
      </c>
      <c r="I66" s="2654"/>
      <c r="J66" s="2654"/>
      <c r="K66" s="2654"/>
      <c r="L66" s="2654"/>
      <c r="M66" s="2654"/>
      <c r="N66" s="2654"/>
      <c r="O66" s="2654"/>
      <c r="P66" s="2655"/>
      <c r="Q66" s="2656" t="s">
        <v>1332</v>
      </c>
      <c r="R66" s="2656"/>
      <c r="S66" s="2656"/>
      <c r="T66" s="2656"/>
      <c r="U66" s="2656"/>
      <c r="V66" s="2656"/>
      <c r="W66" s="2656"/>
      <c r="X66" s="2656"/>
      <c r="Y66" s="2656"/>
      <c r="Z66" s="2656"/>
      <c r="AA66" s="2656"/>
      <c r="AB66" s="2656"/>
      <c r="AC66" s="2656"/>
      <c r="AD66" s="2656"/>
      <c r="AE66" s="2656"/>
      <c r="AF66" s="2656"/>
      <c r="AG66" s="2656"/>
      <c r="AH66" s="2656"/>
      <c r="AI66" s="2656"/>
    </row>
    <row r="67" spans="5:35" x14ac:dyDescent="0.2">
      <c r="E67" s="2653" t="s">
        <v>1333</v>
      </c>
      <c r="F67" s="2654"/>
      <c r="G67" s="2655"/>
      <c r="H67" s="2653" t="s">
        <v>1334</v>
      </c>
      <c r="I67" s="2654"/>
      <c r="J67" s="2654"/>
      <c r="K67" s="2654"/>
      <c r="L67" s="2654"/>
      <c r="M67" s="2654"/>
      <c r="N67" s="2654"/>
      <c r="O67" s="2654"/>
      <c r="P67" s="2655"/>
      <c r="Q67" s="2656" t="s">
        <v>1335</v>
      </c>
      <c r="R67" s="2656"/>
      <c r="S67" s="2656"/>
      <c r="T67" s="2656"/>
      <c r="U67" s="2656"/>
      <c r="V67" s="2656"/>
      <c r="W67" s="2656"/>
      <c r="X67" s="2656"/>
      <c r="Y67" s="2656"/>
      <c r="Z67" s="2656"/>
      <c r="AA67" s="2656"/>
      <c r="AB67" s="2656"/>
      <c r="AC67" s="2656"/>
      <c r="AD67" s="2656"/>
      <c r="AE67" s="2656"/>
      <c r="AF67" s="2656"/>
      <c r="AG67" s="2656"/>
      <c r="AH67" s="2656"/>
      <c r="AI67" s="2656"/>
    </row>
    <row r="68" spans="5:35" x14ac:dyDescent="0.2">
      <c r="E68" s="2653" t="s">
        <v>1336</v>
      </c>
      <c r="F68" s="2654"/>
      <c r="G68" s="2655"/>
      <c r="H68" s="2653" t="s">
        <v>1337</v>
      </c>
      <c r="I68" s="2654"/>
      <c r="J68" s="2654"/>
      <c r="K68" s="2654"/>
      <c r="L68" s="2654"/>
      <c r="M68" s="2654"/>
      <c r="N68" s="2654"/>
      <c r="O68" s="2654"/>
      <c r="P68" s="2655"/>
      <c r="Q68" s="2653"/>
      <c r="R68" s="2654"/>
      <c r="S68" s="2654"/>
      <c r="T68" s="2654"/>
      <c r="U68" s="2654"/>
      <c r="V68" s="2654"/>
      <c r="W68" s="2654"/>
      <c r="X68" s="2654"/>
      <c r="Y68" s="2654"/>
      <c r="Z68" s="2654"/>
      <c r="AA68" s="2654"/>
      <c r="AB68" s="2655"/>
      <c r="AC68" s="2656"/>
      <c r="AD68" s="2656"/>
      <c r="AE68" s="2656"/>
      <c r="AF68" s="2656"/>
      <c r="AG68" s="2656"/>
      <c r="AH68" s="2656"/>
      <c r="AI68" s="2656"/>
    </row>
    <row r="69" spans="5:35" x14ac:dyDescent="0.2">
      <c r="E69" s="2649" t="s">
        <v>1338</v>
      </c>
      <c r="F69" s="2650"/>
      <c r="G69" s="2651"/>
      <c r="H69" s="2649"/>
      <c r="I69" s="2650"/>
      <c r="J69" s="2650"/>
      <c r="K69" s="2650"/>
      <c r="L69" s="2650"/>
      <c r="M69" s="2650"/>
      <c r="N69" s="2650"/>
      <c r="O69" s="2650"/>
      <c r="P69" s="2651"/>
      <c r="Q69" s="2652"/>
      <c r="R69" s="2652"/>
      <c r="S69" s="2652"/>
      <c r="T69" s="2652"/>
      <c r="U69" s="2652"/>
      <c r="V69" s="2652"/>
      <c r="W69" s="2652"/>
      <c r="X69" s="2652"/>
      <c r="Y69" s="2652"/>
      <c r="Z69" s="2652"/>
      <c r="AA69" s="2652"/>
      <c r="AB69" s="2652"/>
      <c r="AC69" s="2652"/>
      <c r="AD69" s="2652"/>
      <c r="AE69" s="2652"/>
      <c r="AF69" s="2652"/>
      <c r="AG69" s="2652"/>
      <c r="AH69" s="2652"/>
      <c r="AI69" s="2652"/>
    </row>
    <row r="70" spans="5:35" x14ac:dyDescent="0.2">
      <c r="E70" s="1656" t="s">
        <v>1339</v>
      </c>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row>
    <row r="71" spans="5:35" x14ac:dyDescent="0.2"/>
    <row r="72" spans="5:35" x14ac:dyDescent="0.2"/>
    <row r="73" spans="5:35" x14ac:dyDescent="0.2"/>
    <row r="74" spans="5:35" x14ac:dyDescent="0.2"/>
    <row r="75" spans="5:35" x14ac:dyDescent="0.2"/>
    <row r="76" spans="5:35" x14ac:dyDescent="0.2"/>
    <row r="77" spans="5:35" x14ac:dyDescent="0.2"/>
    <row r="78" spans="5:35" x14ac:dyDescent="0.2"/>
    <row r="79" spans="5:35" x14ac:dyDescent="0.2"/>
    <row r="80" spans="5:35"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sheetData>
  <sheetProtection algorithmName="SHA-512" hashValue="zhect68LcYRwhBxUZj4DXFCBDaNVsu28GEOaICDDu9U005aC/PKNZWQf7wTqACWtvhpgk3+RObM/tcX/ITaq2Q==" saltValue="ycZnWWiIegv4gCug5waWvA==" spinCount="100000" sheet="1" formatCells="0" formatColumns="0" formatRows="0" pivotTables="0"/>
  <mergeCells count="75">
    <mergeCell ref="E4:AI4"/>
    <mergeCell ref="E6:AI6"/>
    <mergeCell ref="E7:AI7"/>
    <mergeCell ref="F8:N8"/>
    <mergeCell ref="AF10:AG10"/>
    <mergeCell ref="V8:Y8"/>
    <mergeCell ref="G17:AH17"/>
    <mergeCell ref="E12:AI12"/>
    <mergeCell ref="P16:V16"/>
    <mergeCell ref="W16:Z16"/>
    <mergeCell ref="Z13:AI13"/>
    <mergeCell ref="E16:H16"/>
    <mergeCell ref="I16:O16"/>
    <mergeCell ref="E21:AI21"/>
    <mergeCell ref="E22:AI22"/>
    <mergeCell ref="E23:AI23"/>
    <mergeCell ref="E24:AI24"/>
    <mergeCell ref="E25:F25"/>
    <mergeCell ref="G25:H25"/>
    <mergeCell ref="I25:Q25"/>
    <mergeCell ref="X25:AA25"/>
    <mergeCell ref="AB25:AD25"/>
    <mergeCell ref="AE25:AI25"/>
    <mergeCell ref="E26:AI26"/>
    <mergeCell ref="Z28:AH28"/>
    <mergeCell ref="F30:I30"/>
    <mergeCell ref="J30:N30"/>
    <mergeCell ref="O30:P30"/>
    <mergeCell ref="R30:T30"/>
    <mergeCell ref="V30:W30"/>
    <mergeCell ref="Z30:AH30"/>
    <mergeCell ref="F51:U51"/>
    <mergeCell ref="Z51:AH51"/>
    <mergeCell ref="X58:AH58"/>
    <mergeCell ref="E63:AI63"/>
    <mergeCell ref="Z32:AH32"/>
    <mergeCell ref="Z34:AH34"/>
    <mergeCell ref="Z38:AH38"/>
    <mergeCell ref="Z40:AH40"/>
    <mergeCell ref="Z42:AH42"/>
    <mergeCell ref="Z43:AH43"/>
    <mergeCell ref="Z45:AH45"/>
    <mergeCell ref="Z48:AH48"/>
    <mergeCell ref="Z36:AH36"/>
    <mergeCell ref="AA37:AH37"/>
    <mergeCell ref="AA39:AH39"/>
    <mergeCell ref="E69:G69"/>
    <mergeCell ref="H69:P69"/>
    <mergeCell ref="Q69:AB69"/>
    <mergeCell ref="AC69:AI69"/>
    <mergeCell ref="E66:G66"/>
    <mergeCell ref="H66:P66"/>
    <mergeCell ref="Q66:AB66"/>
    <mergeCell ref="AC66:AI66"/>
    <mergeCell ref="E67:G67"/>
    <mergeCell ref="H67:P67"/>
    <mergeCell ref="Q67:AB67"/>
    <mergeCell ref="AC67:AI67"/>
    <mergeCell ref="E68:G68"/>
    <mergeCell ref="H68:P68"/>
    <mergeCell ref="Q68:AB68"/>
    <mergeCell ref="AC68:AI68"/>
    <mergeCell ref="E64:G64"/>
    <mergeCell ref="H64:P64"/>
    <mergeCell ref="Q64:AB64"/>
    <mergeCell ref="AC64:AI64"/>
    <mergeCell ref="E65:G65"/>
    <mergeCell ref="H65:P65"/>
    <mergeCell ref="Q65:AB65"/>
    <mergeCell ref="AE18:AI18"/>
    <mergeCell ref="N19:O19"/>
    <mergeCell ref="AC19:AD19"/>
    <mergeCell ref="Y19:AA19"/>
    <mergeCell ref="I18:S18"/>
    <mergeCell ref="W18:AB18"/>
  </mergeCells>
  <conditionalFormatting sqref="Z28:AH28">
    <cfRule type="expression" dxfId="4" priority="6">
      <formula>$Z$28:$AH$28=""</formula>
    </cfRule>
  </conditionalFormatting>
  <conditionalFormatting sqref="O30:P30">
    <cfRule type="expression" dxfId="3" priority="5">
      <formula>$O$30="X"</formula>
    </cfRule>
  </conditionalFormatting>
  <conditionalFormatting sqref="V30:W30">
    <cfRule type="expression" dxfId="2" priority="4">
      <formula>$V$30="x"</formula>
    </cfRule>
  </conditionalFormatting>
  <hyperlinks>
    <hyperlink ref="T18" r:id="rId1" display="Tel:……………………………"/>
  </hyperlinks>
  <pageMargins left="0.39370078740157483" right="0.15748031496062992" top="0.19685039370078741" bottom="0.15748031496062992" header="0.15748031496062992" footer="0.15748031496062992"/>
  <pageSetup paperSize="9" scale="95" fitToHeight="0" orientation="portrait"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3" id="{A0D98710-92C1-411A-830A-499A174016BA}">
            <xm:f>INFORMATIONS!B12="INDIVIDUELLE"</xm:f>
            <x14:dxf>
              <border>
                <left/>
                <right/>
                <top/>
                <bottom/>
                <vertical/>
                <horizontal/>
              </border>
            </x14:dxf>
          </x14:cfRule>
          <xm:sqref>Z38:AH38</xm:sqref>
        </x14:conditionalFormatting>
        <x14:conditionalFormatting xmlns:xm="http://schemas.microsoft.com/office/excel/2006/main">
          <x14:cfRule type="expression" priority="2" id="{A7AED1C1-7D8E-4EC8-B253-174160B0B9A9}">
            <xm:f>INFORMATIONS!B12="INDIVIDUELLE"</xm:f>
            <x14:dxf>
              <border>
                <left/>
                <right/>
                <top/>
                <bottom/>
                <vertical/>
                <horizontal/>
              </border>
            </x14:dxf>
          </x14:cfRule>
          <xm:sqref>Z40:AH40</xm:sqref>
        </x14:conditionalFormatting>
      </x14:conditionalFormatting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A1:AE71"/>
  <sheetViews>
    <sheetView showGridLines="0" topLeftCell="A38" zoomScaleNormal="100" zoomScaleSheetLayoutView="100" workbookViewId="0">
      <selection activeCell="A27" sqref="A27:AC54"/>
    </sheetView>
  </sheetViews>
  <sheetFormatPr baseColWidth="10" defaultRowHeight="12.75" x14ac:dyDescent="0.2"/>
  <cols>
    <col min="1" max="6" width="3.28515625" style="1658" customWidth="1"/>
    <col min="7" max="23" width="3.42578125" style="1658" customWidth="1"/>
    <col min="24" max="29" width="3.28515625" style="1658" customWidth="1"/>
    <col min="30" max="30" width="3.42578125" style="1658" customWidth="1"/>
    <col min="31" max="256" width="11.42578125" style="1658"/>
    <col min="257" max="286" width="3.42578125" style="1658" customWidth="1"/>
    <col min="287" max="512" width="11.42578125" style="1658"/>
    <col min="513" max="542" width="3.42578125" style="1658" customWidth="1"/>
    <col min="543" max="768" width="11.42578125" style="1658"/>
    <col min="769" max="798" width="3.42578125" style="1658" customWidth="1"/>
    <col min="799" max="1024" width="11.42578125" style="1658"/>
    <col min="1025" max="1054" width="3.42578125" style="1658" customWidth="1"/>
    <col min="1055" max="1280" width="11.42578125" style="1658"/>
    <col min="1281" max="1310" width="3.42578125" style="1658" customWidth="1"/>
    <col min="1311" max="1536" width="11.42578125" style="1658"/>
    <col min="1537" max="1566" width="3.42578125" style="1658" customWidth="1"/>
    <col min="1567" max="1792" width="11.42578125" style="1658"/>
    <col min="1793" max="1822" width="3.42578125" style="1658" customWidth="1"/>
    <col min="1823" max="2048" width="11.42578125" style="1658"/>
    <col min="2049" max="2078" width="3.42578125" style="1658" customWidth="1"/>
    <col min="2079" max="2304" width="11.42578125" style="1658"/>
    <col min="2305" max="2334" width="3.42578125" style="1658" customWidth="1"/>
    <col min="2335" max="2560" width="11.42578125" style="1658"/>
    <col min="2561" max="2590" width="3.42578125" style="1658" customWidth="1"/>
    <col min="2591" max="2816" width="11.42578125" style="1658"/>
    <col min="2817" max="2846" width="3.42578125" style="1658" customWidth="1"/>
    <col min="2847" max="3072" width="11.42578125" style="1658"/>
    <col min="3073" max="3102" width="3.42578125" style="1658" customWidth="1"/>
    <col min="3103" max="3328" width="11.42578125" style="1658"/>
    <col min="3329" max="3358" width="3.42578125" style="1658" customWidth="1"/>
    <col min="3359" max="3584" width="11.42578125" style="1658"/>
    <col min="3585" max="3614" width="3.42578125" style="1658" customWidth="1"/>
    <col min="3615" max="3840" width="11.42578125" style="1658"/>
    <col min="3841" max="3870" width="3.42578125" style="1658" customWidth="1"/>
    <col min="3871" max="4096" width="11.42578125" style="1658"/>
    <col min="4097" max="4126" width="3.42578125" style="1658" customWidth="1"/>
    <col min="4127" max="4352" width="11.42578125" style="1658"/>
    <col min="4353" max="4382" width="3.42578125" style="1658" customWidth="1"/>
    <col min="4383" max="4608" width="11.42578125" style="1658"/>
    <col min="4609" max="4638" width="3.42578125" style="1658" customWidth="1"/>
    <col min="4639" max="4864" width="11.42578125" style="1658"/>
    <col min="4865" max="4894" width="3.42578125" style="1658" customWidth="1"/>
    <col min="4895" max="5120" width="11.42578125" style="1658"/>
    <col min="5121" max="5150" width="3.42578125" style="1658" customWidth="1"/>
    <col min="5151" max="5376" width="11.42578125" style="1658"/>
    <col min="5377" max="5406" width="3.42578125" style="1658" customWidth="1"/>
    <col min="5407" max="5632" width="11.42578125" style="1658"/>
    <col min="5633" max="5662" width="3.42578125" style="1658" customWidth="1"/>
    <col min="5663" max="5888" width="11.42578125" style="1658"/>
    <col min="5889" max="5918" width="3.42578125" style="1658" customWidth="1"/>
    <col min="5919" max="6144" width="11.42578125" style="1658"/>
    <col min="6145" max="6174" width="3.42578125" style="1658" customWidth="1"/>
    <col min="6175" max="6400" width="11.42578125" style="1658"/>
    <col min="6401" max="6430" width="3.42578125" style="1658" customWidth="1"/>
    <col min="6431" max="6656" width="11.42578125" style="1658"/>
    <col min="6657" max="6686" width="3.42578125" style="1658" customWidth="1"/>
    <col min="6687" max="6912" width="11.42578125" style="1658"/>
    <col min="6913" max="6942" width="3.42578125" style="1658" customWidth="1"/>
    <col min="6943" max="7168" width="11.42578125" style="1658"/>
    <col min="7169" max="7198" width="3.42578125" style="1658" customWidth="1"/>
    <col min="7199" max="7424" width="11.42578125" style="1658"/>
    <col min="7425" max="7454" width="3.42578125" style="1658" customWidth="1"/>
    <col min="7455" max="7680" width="11.42578125" style="1658"/>
    <col min="7681" max="7710" width="3.42578125" style="1658" customWidth="1"/>
    <col min="7711" max="7936" width="11.42578125" style="1658"/>
    <col min="7937" max="7966" width="3.42578125" style="1658" customWidth="1"/>
    <col min="7967" max="8192" width="11.42578125" style="1658"/>
    <col min="8193" max="8222" width="3.42578125" style="1658" customWidth="1"/>
    <col min="8223" max="8448" width="11.42578125" style="1658"/>
    <col min="8449" max="8478" width="3.42578125" style="1658" customWidth="1"/>
    <col min="8479" max="8704" width="11.42578125" style="1658"/>
    <col min="8705" max="8734" width="3.42578125" style="1658" customWidth="1"/>
    <col min="8735" max="8960" width="11.42578125" style="1658"/>
    <col min="8961" max="8990" width="3.42578125" style="1658" customWidth="1"/>
    <col min="8991" max="9216" width="11.42578125" style="1658"/>
    <col min="9217" max="9246" width="3.42578125" style="1658" customWidth="1"/>
    <col min="9247" max="9472" width="11.42578125" style="1658"/>
    <col min="9473" max="9502" width="3.42578125" style="1658" customWidth="1"/>
    <col min="9503" max="9728" width="11.42578125" style="1658"/>
    <col min="9729" max="9758" width="3.42578125" style="1658" customWidth="1"/>
    <col min="9759" max="9984" width="11.42578125" style="1658"/>
    <col min="9985" max="10014" width="3.42578125" style="1658" customWidth="1"/>
    <col min="10015" max="10240" width="11.42578125" style="1658"/>
    <col min="10241" max="10270" width="3.42578125" style="1658" customWidth="1"/>
    <col min="10271" max="10496" width="11.42578125" style="1658"/>
    <col min="10497" max="10526" width="3.42578125" style="1658" customWidth="1"/>
    <col min="10527" max="10752" width="11.42578125" style="1658"/>
    <col min="10753" max="10782" width="3.42578125" style="1658" customWidth="1"/>
    <col min="10783" max="11008" width="11.42578125" style="1658"/>
    <col min="11009" max="11038" width="3.42578125" style="1658" customWidth="1"/>
    <col min="11039" max="11264" width="11.42578125" style="1658"/>
    <col min="11265" max="11294" width="3.42578125" style="1658" customWidth="1"/>
    <col min="11295" max="11520" width="11.42578125" style="1658"/>
    <col min="11521" max="11550" width="3.42578125" style="1658" customWidth="1"/>
    <col min="11551" max="11776" width="11.42578125" style="1658"/>
    <col min="11777" max="11806" width="3.42578125" style="1658" customWidth="1"/>
    <col min="11807" max="12032" width="11.42578125" style="1658"/>
    <col min="12033" max="12062" width="3.42578125" style="1658" customWidth="1"/>
    <col min="12063" max="12288" width="11.42578125" style="1658"/>
    <col min="12289" max="12318" width="3.42578125" style="1658" customWidth="1"/>
    <col min="12319" max="12544" width="11.42578125" style="1658"/>
    <col min="12545" max="12574" width="3.42578125" style="1658" customWidth="1"/>
    <col min="12575" max="12800" width="11.42578125" style="1658"/>
    <col min="12801" max="12830" width="3.42578125" style="1658" customWidth="1"/>
    <col min="12831" max="13056" width="11.42578125" style="1658"/>
    <col min="13057" max="13086" width="3.42578125" style="1658" customWidth="1"/>
    <col min="13087" max="13312" width="11.42578125" style="1658"/>
    <col min="13313" max="13342" width="3.42578125" style="1658" customWidth="1"/>
    <col min="13343" max="13568" width="11.42578125" style="1658"/>
    <col min="13569" max="13598" width="3.42578125" style="1658" customWidth="1"/>
    <col min="13599" max="13824" width="11.42578125" style="1658"/>
    <col min="13825" max="13854" width="3.42578125" style="1658" customWidth="1"/>
    <col min="13855" max="14080" width="11.42578125" style="1658"/>
    <col min="14081" max="14110" width="3.42578125" style="1658" customWidth="1"/>
    <col min="14111" max="14336" width="11.42578125" style="1658"/>
    <col min="14337" max="14366" width="3.42578125" style="1658" customWidth="1"/>
    <col min="14367" max="14592" width="11.42578125" style="1658"/>
    <col min="14593" max="14622" width="3.42578125" style="1658" customWidth="1"/>
    <col min="14623" max="14848" width="11.42578125" style="1658"/>
    <col min="14849" max="14878" width="3.42578125" style="1658" customWidth="1"/>
    <col min="14879" max="15104" width="11.42578125" style="1658"/>
    <col min="15105" max="15134" width="3.42578125" style="1658" customWidth="1"/>
    <col min="15135" max="15360" width="11.42578125" style="1658"/>
    <col min="15361" max="15390" width="3.42578125" style="1658" customWidth="1"/>
    <col min="15391" max="15616" width="11.42578125" style="1658"/>
    <col min="15617" max="15646" width="3.42578125" style="1658" customWidth="1"/>
    <col min="15647" max="15872" width="11.42578125" style="1658"/>
    <col min="15873" max="15902" width="3.42578125" style="1658" customWidth="1"/>
    <col min="15903" max="16128" width="11.42578125" style="1658"/>
    <col min="16129" max="16158" width="3.42578125" style="1658" customWidth="1"/>
    <col min="16159" max="16384" width="11.42578125" style="1658"/>
  </cols>
  <sheetData>
    <row r="1" spans="1:31" ht="14.25" customHeight="1" x14ac:dyDescent="0.2">
      <c r="A1" s="2714" t="s">
        <v>4398</v>
      </c>
      <c r="B1" s="2715"/>
      <c r="C1" s="2715"/>
      <c r="D1" s="2715"/>
      <c r="E1" s="2715"/>
      <c r="F1" s="2716"/>
      <c r="H1" s="2717" t="s">
        <v>4399</v>
      </c>
      <c r="I1" s="2717"/>
      <c r="J1" s="2717"/>
      <c r="K1" s="2717"/>
      <c r="L1" s="2717"/>
      <c r="M1" s="2717"/>
      <c r="N1" s="2717"/>
      <c r="O1" s="2717"/>
      <c r="P1" s="2717"/>
      <c r="Q1" s="2717"/>
      <c r="R1" s="2717"/>
      <c r="S1" s="2717"/>
      <c r="T1" s="2717"/>
      <c r="U1" s="2717"/>
      <c r="V1" s="2717"/>
      <c r="W1" s="1659"/>
      <c r="X1" s="2714" t="s">
        <v>4400</v>
      </c>
      <c r="Y1" s="2715"/>
      <c r="Z1" s="2715"/>
      <c r="AA1" s="2715"/>
      <c r="AB1" s="2715"/>
      <c r="AC1" s="2716"/>
    </row>
    <row r="2" spans="1:31" ht="14.25" x14ac:dyDescent="0.2">
      <c r="A2" s="2718" t="s">
        <v>4401</v>
      </c>
      <c r="B2" s="2719"/>
      <c r="C2" s="2719"/>
      <c r="D2" s="2719"/>
      <c r="E2" s="2719"/>
      <c r="F2" s="2720"/>
      <c r="G2" s="1660"/>
      <c r="H2" s="1661"/>
      <c r="I2" s="1661"/>
      <c r="J2" s="1661"/>
      <c r="K2" s="1661"/>
      <c r="L2" s="1661"/>
      <c r="M2" s="1661"/>
      <c r="N2" s="1661"/>
      <c r="O2" s="1661"/>
      <c r="P2" s="1661"/>
      <c r="Q2" s="1661"/>
      <c r="R2" s="1661"/>
      <c r="S2" s="1661"/>
      <c r="T2" s="1661"/>
      <c r="U2" s="1661"/>
      <c r="V2" s="1661"/>
      <c r="W2" s="1659"/>
      <c r="X2" s="2718" t="s">
        <v>4402</v>
      </c>
      <c r="Y2" s="2719"/>
      <c r="Z2" s="2719"/>
      <c r="AA2" s="2719"/>
      <c r="AB2" s="2719"/>
      <c r="AC2" s="2720"/>
    </row>
    <row r="3" spans="1:31" ht="12.75" customHeight="1" x14ac:dyDescent="0.2">
      <c r="A3" s="1662"/>
      <c r="B3" s="1663"/>
      <c r="C3" s="1663"/>
      <c r="D3" s="1663"/>
      <c r="E3" s="1663"/>
      <c r="F3" s="1664"/>
      <c r="G3" s="1660"/>
      <c r="H3" s="1661"/>
      <c r="I3" s="1661"/>
      <c r="J3" s="1661"/>
      <c r="K3" s="1661"/>
      <c r="L3" s="1661"/>
      <c r="M3" s="1661"/>
      <c r="N3" s="1661"/>
      <c r="O3" s="1661"/>
      <c r="P3" s="1661"/>
      <c r="Q3" s="1661"/>
      <c r="R3" s="1661"/>
      <c r="S3" s="1661"/>
      <c r="T3" s="1661"/>
      <c r="U3" s="1661"/>
      <c r="V3" s="1661"/>
      <c r="W3" s="1659"/>
      <c r="X3" s="1662"/>
      <c r="Y3" s="1663"/>
      <c r="Z3" s="1663"/>
      <c r="AA3" s="1663"/>
      <c r="AB3" s="1663"/>
      <c r="AC3" s="1664"/>
    </row>
    <row r="4" spans="1:31" ht="24.75" customHeight="1" x14ac:dyDescent="0.2">
      <c r="A4" s="1662"/>
      <c r="B4" s="1663"/>
      <c r="C4" s="1663"/>
      <c r="D4" s="1663"/>
      <c r="E4" s="1663"/>
      <c r="F4" s="1664"/>
      <c r="G4" s="1660"/>
      <c r="H4" s="1661"/>
      <c r="I4" s="1661"/>
      <c r="J4" s="1661"/>
      <c r="K4" s="1661"/>
      <c r="L4" s="1661"/>
      <c r="M4" s="1661"/>
      <c r="N4" s="1661"/>
      <c r="O4" s="1661"/>
      <c r="P4" s="1661"/>
      <c r="Q4" s="1661"/>
      <c r="R4" s="1661"/>
      <c r="S4" s="1661"/>
      <c r="T4" s="1661"/>
      <c r="U4" s="1661"/>
      <c r="V4" s="1661"/>
      <c r="W4" s="1659"/>
      <c r="X4" s="1662"/>
      <c r="Y4" s="1663"/>
      <c r="Z4" s="1663"/>
      <c r="AA4" s="1663"/>
      <c r="AB4" s="1663"/>
      <c r="AC4" s="1664"/>
    </row>
    <row r="5" spans="1:31" ht="24.75" customHeight="1" x14ac:dyDescent="0.2">
      <c r="A5" s="1662"/>
      <c r="B5" s="1663"/>
      <c r="C5" s="1663"/>
      <c r="D5" s="1663"/>
      <c r="E5" s="1663"/>
      <c r="F5" s="1664"/>
      <c r="G5" s="1660"/>
      <c r="H5" s="2721" t="s">
        <v>4428</v>
      </c>
      <c r="I5" s="2721"/>
      <c r="J5" s="2721"/>
      <c r="K5" s="2721"/>
      <c r="L5" s="2721"/>
      <c r="M5" s="2721"/>
      <c r="N5" s="2721"/>
      <c r="O5" s="2721"/>
      <c r="P5" s="2721"/>
      <c r="Q5" s="2721"/>
      <c r="R5" s="2721"/>
      <c r="S5" s="2721"/>
      <c r="T5" s="2721"/>
      <c r="U5" s="2721"/>
      <c r="V5" s="2721"/>
      <c r="W5" s="1659"/>
      <c r="X5" s="1662"/>
      <c r="Y5" s="1663"/>
      <c r="Z5" s="1663"/>
      <c r="AA5" s="1663"/>
      <c r="AB5" s="1663"/>
      <c r="AC5" s="1664"/>
    </row>
    <row r="6" spans="1:31" ht="31.5" customHeight="1" x14ac:dyDescent="0.2">
      <c r="A6" s="1662"/>
      <c r="B6" s="1663"/>
      <c r="C6" s="1663"/>
      <c r="D6" s="1663"/>
      <c r="E6" s="1663"/>
      <c r="F6" s="1664"/>
      <c r="G6" s="1660"/>
      <c r="H6" s="2721"/>
      <c r="I6" s="2721"/>
      <c r="J6" s="2721"/>
      <c r="K6" s="2721"/>
      <c r="L6" s="2721"/>
      <c r="M6" s="2721"/>
      <c r="N6" s="2721"/>
      <c r="O6" s="2721"/>
      <c r="P6" s="2721"/>
      <c r="Q6" s="2721"/>
      <c r="R6" s="2721"/>
      <c r="S6" s="2721"/>
      <c r="T6" s="2721"/>
      <c r="U6" s="2721"/>
      <c r="V6" s="2721"/>
      <c r="W6" s="1659"/>
      <c r="X6" s="1662"/>
      <c r="Y6" s="1663"/>
      <c r="Z6" s="1663"/>
      <c r="AA6" s="1663"/>
      <c r="AB6" s="1663"/>
      <c r="AC6" s="1664"/>
    </row>
    <row r="7" spans="1:31" ht="14.25" customHeight="1" x14ac:dyDescent="0.2">
      <c r="A7" s="1665"/>
      <c r="B7" s="1666"/>
      <c r="C7" s="1666"/>
      <c r="D7" s="1666"/>
      <c r="E7" s="1666"/>
      <c r="F7" s="1667"/>
      <c r="G7" s="1662"/>
      <c r="H7" s="2721"/>
      <c r="I7" s="2721"/>
      <c r="J7" s="2721"/>
      <c r="K7" s="2721"/>
      <c r="L7" s="2721"/>
      <c r="M7" s="2721"/>
      <c r="N7" s="2721"/>
      <c r="O7" s="2721"/>
      <c r="P7" s="2721"/>
      <c r="Q7" s="2721"/>
      <c r="R7" s="2721"/>
      <c r="S7" s="2721"/>
      <c r="T7" s="2721"/>
      <c r="U7" s="2721"/>
      <c r="V7" s="2721"/>
      <c r="W7" s="1663"/>
      <c r="X7" s="1665"/>
      <c r="Y7" s="1666"/>
      <c r="Z7" s="1666"/>
      <c r="AA7" s="1666"/>
      <c r="AB7" s="1666"/>
      <c r="AC7" s="1667"/>
    </row>
    <row r="8" spans="1:31" ht="7.5" customHeight="1" x14ac:dyDescent="0.2">
      <c r="A8" s="1663"/>
      <c r="B8" s="1663"/>
      <c r="C8" s="1663"/>
      <c r="D8" s="1663"/>
      <c r="E8" s="1663"/>
      <c r="F8" s="1663"/>
      <c r="G8" s="1663"/>
      <c r="H8" s="1668"/>
      <c r="I8" s="1668"/>
      <c r="J8" s="1668"/>
      <c r="K8" s="1668"/>
      <c r="L8" s="1669"/>
      <c r="M8" s="1669"/>
      <c r="N8" s="1669"/>
      <c r="O8" s="1669"/>
      <c r="P8" s="1669"/>
      <c r="Q8" s="1669"/>
      <c r="R8" s="1669"/>
      <c r="S8" s="1669"/>
      <c r="T8" s="1669"/>
      <c r="U8" s="1669"/>
      <c r="V8" s="1668"/>
      <c r="W8" s="1663"/>
      <c r="X8" s="1663"/>
      <c r="Y8" s="1663"/>
      <c r="Z8" s="1663"/>
      <c r="AA8" s="1663"/>
      <c r="AB8" s="1663"/>
      <c r="AC8" s="1663"/>
    </row>
    <row r="9" spans="1:31" ht="18" customHeight="1" x14ac:dyDescent="0.25">
      <c r="A9" s="2725" t="s">
        <v>4429</v>
      </c>
      <c r="B9" s="2725"/>
      <c r="C9" s="2725"/>
      <c r="D9" s="2725"/>
      <c r="E9" s="2725"/>
      <c r="G9" s="1670" t="s">
        <v>1277</v>
      </c>
      <c r="H9" s="1670"/>
      <c r="I9" s="1248">
        <v>0</v>
      </c>
      <c r="J9" s="1248">
        <v>4</v>
      </c>
      <c r="K9" s="1671"/>
      <c r="L9" s="1671"/>
      <c r="M9" s="1671" t="s">
        <v>4430</v>
      </c>
      <c r="N9" s="1671"/>
      <c r="O9" s="1671"/>
      <c r="P9" s="1248">
        <v>0</v>
      </c>
      <c r="Q9" s="1248">
        <v>2</v>
      </c>
      <c r="T9" s="1670" t="s">
        <v>1278</v>
      </c>
      <c r="V9" s="2722">
        <f>INFORMATIONS!B30</f>
        <v>2018</v>
      </c>
      <c r="W9" s="2723"/>
      <c r="X9" s="2723"/>
      <c r="Y9" s="2724"/>
      <c r="Z9" s="1663"/>
      <c r="AA9" s="1663"/>
      <c r="AB9" s="1663"/>
      <c r="AC9" s="1663"/>
    </row>
    <row r="10" spans="1:31" ht="9.75" customHeight="1" x14ac:dyDescent="0.25">
      <c r="A10" s="1663"/>
      <c r="B10" s="1663"/>
      <c r="C10" s="1672"/>
      <c r="D10" s="1672"/>
      <c r="E10" s="1663"/>
      <c r="F10" s="1663"/>
      <c r="G10" s="1673"/>
      <c r="H10" s="1674"/>
      <c r="I10" s="1674"/>
      <c r="J10" s="1673"/>
      <c r="K10" s="1673"/>
      <c r="L10" s="1673"/>
      <c r="M10" s="1673"/>
      <c r="N10" s="1673"/>
      <c r="O10" s="1673"/>
      <c r="P10" s="1673"/>
      <c r="Q10" s="1673"/>
      <c r="R10" s="1673"/>
      <c r="S10" s="1675"/>
      <c r="T10" s="1675"/>
      <c r="U10" s="1675"/>
      <c r="V10" s="1673"/>
      <c r="W10" s="1673"/>
      <c r="X10" s="1663"/>
      <c r="Y10" s="1663"/>
      <c r="Z10" s="1663"/>
      <c r="AA10" s="1663"/>
      <c r="AB10" s="1663"/>
      <c r="AC10" s="1663"/>
    </row>
    <row r="11" spans="1:31" ht="14.25" x14ac:dyDescent="0.2">
      <c r="A11" s="2726" t="s">
        <v>4431</v>
      </c>
      <c r="B11" s="2727"/>
      <c r="C11" s="2727"/>
      <c r="D11" s="2727"/>
      <c r="E11" s="2727"/>
      <c r="F11" s="2727"/>
      <c r="G11" s="2727"/>
      <c r="H11" s="2727"/>
      <c r="I11" s="2727"/>
      <c r="J11" s="2727"/>
      <c r="K11" s="2727"/>
      <c r="L11" s="2727"/>
      <c r="M11" s="2727"/>
      <c r="N11" s="2727"/>
      <c r="O11" s="2727"/>
      <c r="P11" s="2727"/>
      <c r="Q11" s="2727"/>
      <c r="R11" s="2727"/>
      <c r="S11" s="2727"/>
      <c r="T11" s="2727"/>
      <c r="U11" s="2727"/>
      <c r="V11" s="2727"/>
      <c r="W11" s="2727"/>
      <c r="X11" s="2727"/>
      <c r="Y11" s="2727"/>
      <c r="Z11" s="2727"/>
      <c r="AA11" s="2727"/>
      <c r="AB11" s="2727"/>
      <c r="AC11" s="2728"/>
    </row>
    <row r="12" spans="1:31" ht="7.5" customHeight="1" x14ac:dyDescent="0.2">
      <c r="A12" s="1676"/>
      <c r="B12" s="1677"/>
      <c r="C12" s="1677"/>
      <c r="D12" s="1677"/>
      <c r="E12" s="1677"/>
      <c r="F12" s="1677"/>
      <c r="G12" s="1677"/>
      <c r="H12" s="1677"/>
      <c r="I12" s="1677"/>
      <c r="J12" s="1677"/>
      <c r="K12" s="1677"/>
      <c r="L12" s="1677"/>
      <c r="M12" s="1677"/>
      <c r="N12" s="1677"/>
      <c r="O12" s="1677"/>
      <c r="P12" s="1677"/>
      <c r="Q12" s="1677"/>
      <c r="R12" s="1677"/>
      <c r="S12" s="1677"/>
      <c r="T12" s="1677"/>
      <c r="U12" s="1677"/>
      <c r="V12" s="1677"/>
      <c r="W12" s="1677"/>
      <c r="X12" s="1677"/>
      <c r="Y12" s="1677"/>
      <c r="Z12" s="1677"/>
      <c r="AA12" s="1677"/>
      <c r="AB12" s="1677"/>
      <c r="AC12" s="1678"/>
    </row>
    <row r="13" spans="1:31" ht="18.75" x14ac:dyDescent="0.2">
      <c r="A13" s="1679" t="s">
        <v>4403</v>
      </c>
      <c r="B13" s="1680"/>
      <c r="C13" s="1680"/>
      <c r="D13" s="1680"/>
      <c r="E13" s="1680"/>
      <c r="F13" s="1680"/>
      <c r="G13" s="2729">
        <f>INFORMATIONS!B23</f>
        <v>0</v>
      </c>
      <c r="H13" s="2730"/>
      <c r="I13" s="2730"/>
      <c r="J13" s="2730"/>
      <c r="K13" s="2730"/>
      <c r="L13" s="2730"/>
      <c r="M13" s="2730"/>
      <c r="N13" s="2730"/>
      <c r="O13" s="2730"/>
      <c r="P13" s="2730"/>
      <c r="Q13" s="2730"/>
      <c r="R13" s="2731"/>
      <c r="S13" s="1681" t="s">
        <v>3978</v>
      </c>
      <c r="U13" s="2732" t="str">
        <f>INFORMATIONS!B24</f>
        <v>00084404X</v>
      </c>
      <c r="V13" s="2733"/>
      <c r="W13" s="2733"/>
      <c r="X13" s="2733"/>
      <c r="Y13" s="2733"/>
      <c r="Z13" s="2733"/>
      <c r="AA13" s="2733"/>
      <c r="AB13" s="2733"/>
      <c r="AC13" s="2734"/>
    </row>
    <row r="14" spans="1:31" ht="14.25" x14ac:dyDescent="0.2">
      <c r="A14" s="1682" t="s">
        <v>4404</v>
      </c>
      <c r="B14" s="1683"/>
      <c r="C14" s="1683"/>
      <c r="D14" s="1683"/>
      <c r="E14" s="2735" t="str">
        <f>IF(INFORMATIONS!B12="INDIVIDUELLE",INFORMATIONS!B13&amp;"/"&amp;INFORMATIONS!B10,INFORMATIONS!B10)</f>
        <v>SAMBA BONIFACE/SAM CONSEILS</v>
      </c>
      <c r="F14" s="2735"/>
      <c r="G14" s="2735"/>
      <c r="H14" s="2735"/>
      <c r="I14" s="2735"/>
      <c r="J14" s="2735"/>
      <c r="K14" s="2735"/>
      <c r="L14" s="2735"/>
      <c r="M14" s="2735"/>
      <c r="N14" s="2735"/>
      <c r="O14" s="2735"/>
      <c r="P14" s="2735"/>
      <c r="Q14" s="2735"/>
      <c r="R14" s="2735"/>
      <c r="S14" s="2735"/>
      <c r="T14" s="2735"/>
      <c r="U14" s="2735"/>
      <c r="V14" s="2735"/>
      <c r="W14" s="2735"/>
      <c r="X14" s="2735"/>
      <c r="Y14" s="2735"/>
      <c r="Z14" s="2735"/>
      <c r="AA14" s="2735"/>
      <c r="AB14" s="2735"/>
      <c r="AC14" s="2736"/>
    </row>
    <row r="15" spans="1:31" ht="19.5" customHeight="1" x14ac:dyDescent="0.2">
      <c r="A15" s="2711"/>
      <c r="B15" s="2712"/>
      <c r="C15" s="2712"/>
      <c r="D15" s="2712"/>
      <c r="E15" s="2712"/>
      <c r="F15" s="2712"/>
      <c r="G15" s="2712"/>
      <c r="H15" s="2712"/>
      <c r="I15" s="2712"/>
      <c r="J15" s="2712"/>
      <c r="K15" s="2712"/>
      <c r="L15" s="2712"/>
      <c r="M15" s="2712"/>
      <c r="N15" s="2712"/>
      <c r="O15" s="2712"/>
      <c r="P15" s="2712"/>
      <c r="Q15" s="2712"/>
      <c r="R15" s="2712"/>
      <c r="S15" s="2712"/>
      <c r="T15" s="2712"/>
      <c r="U15" s="2712"/>
      <c r="V15" s="2712"/>
      <c r="W15" s="2712"/>
      <c r="X15" s="2712"/>
      <c r="Y15" s="2712"/>
      <c r="Z15" s="2712"/>
      <c r="AA15" s="2712"/>
      <c r="AB15" s="2712"/>
      <c r="AC15" s="2713"/>
      <c r="AE15" s="1684"/>
    </row>
    <row r="16" spans="1:31" ht="18.75" x14ac:dyDescent="0.2">
      <c r="A16" s="1679" t="s">
        <v>1279</v>
      </c>
      <c r="B16" s="1685"/>
      <c r="C16" s="1685"/>
      <c r="D16" s="1685"/>
      <c r="E16" s="1685"/>
      <c r="F16" s="1685"/>
      <c r="G16" s="2737">
        <f>INFORMATIONS!B27</f>
        <v>0</v>
      </c>
      <c r="H16" s="2737"/>
      <c r="I16" s="2737"/>
      <c r="J16" s="2737"/>
      <c r="K16" s="2737"/>
      <c r="L16" s="2737"/>
      <c r="M16" s="2737"/>
      <c r="N16" s="2737"/>
      <c r="O16" s="2737"/>
      <c r="P16" s="2737"/>
      <c r="Q16" s="2737"/>
      <c r="R16" s="2737"/>
      <c r="S16" s="2737"/>
      <c r="T16" s="2737"/>
      <c r="U16" s="2737"/>
      <c r="V16" s="2737"/>
      <c r="W16" s="2737"/>
      <c r="X16" s="2737"/>
      <c r="Y16" s="2737"/>
      <c r="Z16" s="2737"/>
      <c r="AA16" s="2737"/>
      <c r="AB16" s="2737"/>
      <c r="AC16" s="2738"/>
    </row>
    <row r="17" spans="1:29" ht="18.75" x14ac:dyDescent="0.2">
      <c r="A17" s="1686" t="s">
        <v>1345</v>
      </c>
      <c r="B17" s="1687"/>
      <c r="C17" s="1687"/>
      <c r="D17" s="1688"/>
      <c r="E17" s="1688"/>
      <c r="F17" s="1687"/>
      <c r="G17" s="1685"/>
      <c r="H17" s="2739" t="str">
        <f>INFORMATIONS!B18</f>
        <v>Ouagadougou</v>
      </c>
      <c r="I17" s="2740"/>
      <c r="J17" s="2740"/>
      <c r="K17" s="2740"/>
      <c r="L17" s="2740"/>
      <c r="M17" s="2740"/>
      <c r="N17" s="2740"/>
      <c r="O17" s="2740"/>
      <c r="P17" s="2740"/>
      <c r="Q17" s="2740"/>
      <c r="R17" s="2740"/>
      <c r="S17" s="2740"/>
      <c r="T17" s="2740"/>
      <c r="U17" s="2740"/>
      <c r="V17" s="2740"/>
      <c r="W17" s="2740"/>
      <c r="X17" s="2740"/>
      <c r="Y17" s="2740"/>
      <c r="Z17" s="2740"/>
      <c r="AA17" s="1685"/>
      <c r="AB17" s="1685"/>
      <c r="AC17" s="1689"/>
    </row>
    <row r="18" spans="1:29" x14ac:dyDescent="0.2">
      <c r="A18" s="1686" t="s">
        <v>1298</v>
      </c>
      <c r="B18" s="2741">
        <f>INFORMATIONS!D19</f>
        <v>5358</v>
      </c>
      <c r="C18" s="2742"/>
      <c r="D18" s="2743" t="s">
        <v>1268</v>
      </c>
      <c r="E18" s="2744"/>
      <c r="F18" s="2745" t="str">
        <f>INFORMATIONS!B16</f>
        <v>15</v>
      </c>
      <c r="G18" s="2742"/>
      <c r="H18" s="1679" t="s">
        <v>4405</v>
      </c>
      <c r="I18" s="1680"/>
      <c r="J18" s="1680"/>
      <c r="K18" s="2746"/>
      <c r="L18" s="2746"/>
      <c r="M18" s="1680" t="s">
        <v>4406</v>
      </c>
      <c r="N18" s="1680"/>
      <c r="O18" s="2746"/>
      <c r="P18" s="2747"/>
      <c r="Q18" s="1679" t="s">
        <v>1280</v>
      </c>
      <c r="R18" s="1680"/>
      <c r="S18" s="2746" t="str">
        <f>INFORMATIONS!F16</f>
        <v>AW</v>
      </c>
      <c r="T18" s="2746"/>
      <c r="U18" s="2747"/>
      <c r="V18" s="1679" t="s">
        <v>4407</v>
      </c>
      <c r="W18" s="2748" t="str">
        <f>INFORMATIONS!E16</f>
        <v>05</v>
      </c>
      <c r="X18" s="2747"/>
      <c r="Y18" s="1679" t="s">
        <v>1267</v>
      </c>
      <c r="Z18" s="1680"/>
      <c r="AA18" s="2749">
        <f>INFORMATIONS!D13</f>
        <v>0</v>
      </c>
      <c r="AB18" s="2750"/>
      <c r="AC18" s="2751"/>
    </row>
    <row r="19" spans="1:29" ht="6.75" customHeight="1" x14ac:dyDescent="0.2">
      <c r="A19" s="1690"/>
      <c r="B19" s="1691"/>
      <c r="C19" s="1691"/>
      <c r="D19" s="1691"/>
      <c r="E19" s="1691"/>
      <c r="F19" s="1691"/>
      <c r="G19" s="1691"/>
      <c r="H19" s="1691"/>
      <c r="I19" s="1691"/>
      <c r="J19" s="1691"/>
      <c r="K19" s="1691"/>
      <c r="L19" s="1691"/>
      <c r="M19" s="1691"/>
      <c r="N19" s="1691"/>
      <c r="O19" s="1691"/>
      <c r="P19" s="1691"/>
      <c r="Q19" s="1691"/>
      <c r="R19" s="1691"/>
      <c r="S19" s="1691"/>
      <c r="T19" s="1691"/>
      <c r="U19" s="1691"/>
      <c r="V19" s="1691"/>
      <c r="W19" s="1691"/>
      <c r="X19" s="1691"/>
      <c r="Y19" s="1691"/>
      <c r="Z19" s="1691"/>
      <c r="AA19" s="1691"/>
      <c r="AB19" s="1691"/>
      <c r="AC19" s="1692"/>
    </row>
    <row r="20" spans="1:29" x14ac:dyDescent="0.2">
      <c r="A20" s="1693" t="s">
        <v>4408</v>
      </c>
      <c r="B20" s="1694"/>
      <c r="C20" s="1694"/>
      <c r="D20" s="1694"/>
      <c r="E20" s="1694"/>
      <c r="F20" s="1694"/>
      <c r="G20" s="1694"/>
      <c r="H20" s="1694"/>
      <c r="I20" s="1694"/>
      <c r="J20" s="1694"/>
      <c r="K20" s="1694"/>
      <c r="L20" s="1694"/>
      <c r="M20" s="1694"/>
      <c r="N20" s="1694"/>
      <c r="O20" s="1694"/>
      <c r="P20" s="1694"/>
      <c r="Q20" s="1694"/>
      <c r="R20" s="1694"/>
      <c r="S20" s="1694"/>
      <c r="T20" s="1694"/>
      <c r="U20" s="1694"/>
      <c r="V20" s="1694"/>
      <c r="W20" s="1694"/>
      <c r="X20" s="1694"/>
      <c r="Y20" s="1694"/>
      <c r="Z20" s="1694"/>
      <c r="AA20" s="1694"/>
      <c r="AB20" s="1694"/>
      <c r="AC20" s="1695"/>
    </row>
    <row r="21" spans="1:29" x14ac:dyDescent="0.2">
      <c r="A21" s="1693"/>
      <c r="B21" s="1694" t="s">
        <v>4409</v>
      </c>
      <c r="C21" s="2752"/>
      <c r="D21" s="2752"/>
      <c r="E21" s="2752"/>
      <c r="F21" s="2752"/>
      <c r="G21" s="2752"/>
      <c r="H21" s="2752"/>
      <c r="I21" s="2752"/>
      <c r="J21" s="2752"/>
      <c r="K21" s="2752"/>
      <c r="L21" s="2752"/>
      <c r="M21" s="2752"/>
      <c r="N21" s="2752"/>
      <c r="O21" s="2752"/>
      <c r="P21" s="2752"/>
      <c r="Q21" s="2752"/>
      <c r="R21" s="2752"/>
      <c r="S21" s="2752"/>
      <c r="T21" s="2752"/>
      <c r="U21" s="2752"/>
      <c r="V21" s="2752"/>
      <c r="W21" s="2752"/>
      <c r="X21" s="2752"/>
      <c r="Y21" s="2752"/>
      <c r="Z21" s="2752"/>
      <c r="AA21" s="2752"/>
      <c r="AB21" s="2752"/>
      <c r="AC21" s="2753"/>
    </row>
    <row r="22" spans="1:29" x14ac:dyDescent="0.2">
      <c r="A22" s="1662"/>
      <c r="B22" s="1694" t="s">
        <v>4410</v>
      </c>
      <c r="C22" s="2752"/>
      <c r="D22" s="2752"/>
      <c r="E22" s="2752"/>
      <c r="F22" s="2752"/>
      <c r="G22" s="2752"/>
      <c r="H22" s="2752"/>
      <c r="I22" s="2752"/>
      <c r="J22" s="2752"/>
      <c r="K22" s="2752"/>
      <c r="L22" s="2752"/>
      <c r="M22" s="2752"/>
      <c r="N22" s="2752"/>
      <c r="O22" s="2752"/>
      <c r="P22" s="2752"/>
      <c r="Q22" s="2752"/>
      <c r="R22" s="2752"/>
      <c r="S22" s="2752"/>
      <c r="T22" s="2752"/>
      <c r="U22" s="2752"/>
      <c r="V22" s="2752"/>
      <c r="W22" s="2752"/>
      <c r="X22" s="2752"/>
      <c r="Y22" s="2752"/>
      <c r="Z22" s="2752"/>
      <c r="AA22" s="2752"/>
      <c r="AB22" s="2752"/>
      <c r="AC22" s="2753"/>
    </row>
    <row r="23" spans="1:29" x14ac:dyDescent="0.2">
      <c r="A23" s="1662"/>
      <c r="B23" s="1694" t="s">
        <v>4432</v>
      </c>
      <c r="C23" s="2752"/>
      <c r="D23" s="2752"/>
      <c r="E23" s="2752"/>
      <c r="F23" s="2752"/>
      <c r="G23" s="2752"/>
      <c r="H23" s="2752"/>
      <c r="I23" s="2752"/>
      <c r="J23" s="2752"/>
      <c r="K23" s="2752"/>
      <c r="L23" s="2752"/>
      <c r="M23" s="2752"/>
      <c r="N23" s="2752"/>
      <c r="O23" s="2752"/>
      <c r="P23" s="2752"/>
      <c r="Q23" s="2752"/>
      <c r="R23" s="2752"/>
      <c r="S23" s="2752"/>
      <c r="T23" s="2752"/>
      <c r="U23" s="2752"/>
      <c r="V23" s="2752"/>
      <c r="W23" s="2752"/>
      <c r="X23" s="2752"/>
      <c r="Y23" s="2752"/>
      <c r="Z23" s="2752"/>
      <c r="AA23" s="2752"/>
      <c r="AB23" s="2752"/>
      <c r="AC23" s="2753"/>
    </row>
    <row r="24" spans="1:29" x14ac:dyDescent="0.2">
      <c r="A24" s="1662" t="s">
        <v>4411</v>
      </c>
      <c r="B24" s="1694"/>
      <c r="C24" s="1694"/>
      <c r="D24" s="1694"/>
      <c r="E24" s="1694"/>
      <c r="F24" s="1694"/>
      <c r="G24" s="1694"/>
      <c r="H24" s="1694"/>
      <c r="I24" s="1694"/>
      <c r="J24" s="1694"/>
      <c r="K24" s="1694"/>
      <c r="L24" s="1694"/>
      <c r="M24" s="1694"/>
      <c r="N24" s="1694"/>
      <c r="O24" s="1694"/>
      <c r="P24" s="1694"/>
      <c r="Q24" s="1694"/>
      <c r="R24" s="1694"/>
      <c r="S24" s="1694"/>
      <c r="T24" s="1694"/>
      <c r="U24" s="1694"/>
      <c r="V24" s="1694"/>
      <c r="W24" s="1694"/>
      <c r="X24" s="1694"/>
      <c r="Y24" s="1694"/>
      <c r="Z24" s="1694"/>
      <c r="AA24" s="1694"/>
      <c r="AB24" s="1694"/>
      <c r="AC24" s="1695"/>
    </row>
    <row r="25" spans="1:29" x14ac:dyDescent="0.2">
      <c r="A25" s="1696" t="s">
        <v>1298</v>
      </c>
      <c r="B25" s="2754"/>
      <c r="C25" s="2755"/>
      <c r="D25" s="2743" t="s">
        <v>1268</v>
      </c>
      <c r="E25" s="2744"/>
      <c r="F25" s="2754"/>
      <c r="G25" s="2755"/>
      <c r="H25" s="1686" t="s">
        <v>4405</v>
      </c>
      <c r="I25" s="1697"/>
      <c r="J25" s="1697"/>
      <c r="K25" s="2754"/>
      <c r="L25" s="2754"/>
      <c r="M25" s="1697" t="s">
        <v>4406</v>
      </c>
      <c r="N25" s="1697"/>
      <c r="O25" s="2754"/>
      <c r="P25" s="2755"/>
      <c r="Q25" s="1686" t="s">
        <v>1280</v>
      </c>
      <c r="R25" s="1697"/>
      <c r="S25" s="2754"/>
      <c r="T25" s="2754"/>
      <c r="U25" s="2755"/>
      <c r="V25" s="1686" t="s">
        <v>4407</v>
      </c>
      <c r="W25" s="2754"/>
      <c r="X25" s="2755"/>
      <c r="Y25" s="1686" t="s">
        <v>1267</v>
      </c>
      <c r="Z25" s="1697"/>
      <c r="AA25" s="2756"/>
      <c r="AB25" s="2756"/>
      <c r="AC25" s="2757"/>
    </row>
    <row r="26" spans="1:29" s="1698" customFormat="1" x14ac:dyDescent="0.2">
      <c r="A26" s="1686"/>
      <c r="B26" s="1249"/>
      <c r="C26" s="1249"/>
      <c r="D26" s="1250"/>
      <c r="E26" s="1250"/>
      <c r="F26" s="1249"/>
      <c r="G26" s="1249"/>
      <c r="H26" s="1697"/>
      <c r="I26" s="1697"/>
      <c r="J26" s="1697"/>
      <c r="K26" s="1249"/>
      <c r="L26" s="1249"/>
      <c r="M26" s="1697"/>
      <c r="N26" s="1697"/>
      <c r="O26" s="1249"/>
      <c r="P26" s="1249"/>
      <c r="Q26" s="1697"/>
      <c r="R26" s="1697"/>
      <c r="S26" s="1249"/>
      <c r="T26" s="1249"/>
      <c r="U26" s="1249"/>
      <c r="V26" s="1697"/>
      <c r="W26" s="1249"/>
      <c r="X26" s="1249"/>
      <c r="Y26" s="1697"/>
      <c r="Z26" s="1697"/>
      <c r="AA26" s="1250"/>
      <c r="AB26" s="1250"/>
      <c r="AC26" s="1251"/>
    </row>
    <row r="27" spans="1:29" ht="14.25" x14ac:dyDescent="0.2">
      <c r="A27" s="2726" t="s">
        <v>4433</v>
      </c>
      <c r="B27" s="2727"/>
      <c r="C27" s="2727"/>
      <c r="D27" s="2727"/>
      <c r="E27" s="2727"/>
      <c r="F27" s="2727"/>
      <c r="G27" s="2727"/>
      <c r="H27" s="2727"/>
      <c r="I27" s="2727"/>
      <c r="J27" s="2727"/>
      <c r="K27" s="2727"/>
      <c r="L27" s="2727"/>
      <c r="M27" s="2727"/>
      <c r="N27" s="2727"/>
      <c r="O27" s="2727"/>
      <c r="P27" s="2727"/>
      <c r="Q27" s="2727"/>
      <c r="R27" s="2727"/>
      <c r="S27" s="2727"/>
      <c r="T27" s="2727"/>
      <c r="U27" s="2727"/>
      <c r="V27" s="2727"/>
      <c r="W27" s="2727"/>
      <c r="X27" s="2727"/>
      <c r="Y27" s="2727"/>
      <c r="Z27" s="2727"/>
      <c r="AA27" s="2727"/>
      <c r="AB27" s="2727"/>
      <c r="AC27" s="2728"/>
    </row>
    <row r="28" spans="1:29" ht="6.75" customHeight="1" x14ac:dyDescent="0.2">
      <c r="A28" s="1699"/>
      <c r="B28" s="1700"/>
      <c r="C28" s="1700"/>
      <c r="D28" s="1700"/>
      <c r="E28" s="1700"/>
      <c r="F28" s="1700"/>
      <c r="G28" s="1700"/>
      <c r="H28" s="1700"/>
      <c r="I28" s="1700"/>
      <c r="J28" s="1700"/>
      <c r="K28" s="1700"/>
      <c r="L28" s="1700"/>
      <c r="M28" s="1700"/>
      <c r="N28" s="1700"/>
      <c r="O28" s="1700"/>
      <c r="P28" s="1700"/>
      <c r="Q28" s="1700"/>
      <c r="R28" s="1700"/>
      <c r="S28" s="1700"/>
      <c r="T28" s="1700"/>
      <c r="U28" s="1700"/>
      <c r="V28" s="1700"/>
      <c r="W28" s="1700"/>
      <c r="X28" s="1700"/>
      <c r="Y28" s="1700"/>
      <c r="Z28" s="1700"/>
      <c r="AA28" s="1700"/>
      <c r="AB28" s="1700"/>
      <c r="AC28" s="1701"/>
    </row>
    <row r="29" spans="1:29" ht="15.75" customHeight="1" x14ac:dyDescent="0.2">
      <c r="A29" s="2758" t="s">
        <v>4434</v>
      </c>
      <c r="B29" s="2759"/>
      <c r="C29" s="2759"/>
      <c r="D29" s="2759"/>
      <c r="E29" s="2759"/>
      <c r="F29" s="2759"/>
      <c r="G29" s="2759"/>
      <c r="H29" s="2759"/>
      <c r="I29" s="2759"/>
      <c r="J29" s="2759"/>
      <c r="K29" s="2759"/>
      <c r="L29" s="2759"/>
      <c r="M29" s="2759"/>
      <c r="N29" s="2759"/>
      <c r="O29" s="2759"/>
      <c r="P29" s="2759"/>
      <c r="Q29" s="2759"/>
      <c r="R29" s="2759"/>
      <c r="S29" s="2759"/>
      <c r="T29" s="1702"/>
      <c r="U29" s="1702"/>
      <c r="V29" s="1702"/>
      <c r="W29" s="2760">
        <f>'ANNEXE 1 PREL DOUANES'!D45</f>
        <v>20000</v>
      </c>
      <c r="X29" s="2761"/>
      <c r="Y29" s="2761"/>
      <c r="Z29" s="2761"/>
      <c r="AA29" s="2761"/>
      <c r="AB29" s="2761"/>
      <c r="AC29" s="2762"/>
    </row>
    <row r="30" spans="1:29" ht="4.5" customHeight="1" x14ac:dyDescent="0.2">
      <c r="A30" s="1703"/>
      <c r="B30" s="1704"/>
      <c r="C30" s="1704"/>
      <c r="D30" s="1704"/>
      <c r="E30" s="1704"/>
      <c r="F30" s="1704"/>
      <c r="G30" s="1704"/>
      <c r="H30" s="1704"/>
      <c r="I30" s="1704"/>
      <c r="J30" s="1704"/>
      <c r="K30" s="1704"/>
      <c r="L30" s="1704"/>
      <c r="M30" s="1704"/>
      <c r="N30" s="1704"/>
      <c r="O30" s="1704"/>
      <c r="P30" s="1704"/>
      <c r="Q30" s="1704"/>
      <c r="R30" s="1704"/>
      <c r="S30" s="1704"/>
      <c r="T30" s="1705"/>
      <c r="U30" s="1705"/>
      <c r="V30" s="1705"/>
      <c r="W30" s="1706"/>
      <c r="X30" s="1706"/>
      <c r="Y30" s="1706"/>
      <c r="Z30" s="1706"/>
      <c r="AA30" s="1706"/>
      <c r="AB30" s="1706"/>
      <c r="AC30" s="1707"/>
    </row>
    <row r="31" spans="1:29" ht="15.75" customHeight="1" x14ac:dyDescent="0.2">
      <c r="A31" s="2758" t="s">
        <v>4435</v>
      </c>
      <c r="B31" s="2759"/>
      <c r="C31" s="2759"/>
      <c r="D31" s="2759"/>
      <c r="E31" s="2759"/>
      <c r="F31" s="2759"/>
      <c r="G31" s="2759"/>
      <c r="H31" s="2759"/>
      <c r="I31" s="2759"/>
      <c r="J31" s="2759"/>
      <c r="K31" s="2759"/>
      <c r="L31" s="2759"/>
      <c r="M31" s="2759"/>
      <c r="N31" s="2759"/>
      <c r="O31" s="2759"/>
      <c r="P31" s="2759"/>
      <c r="Q31" s="2759"/>
      <c r="R31" s="2759"/>
      <c r="S31" s="2759"/>
      <c r="T31" s="1708"/>
      <c r="U31" s="1708"/>
      <c r="V31" s="1708"/>
      <c r="W31" s="2760">
        <f>'ANNEX 2_PREL INTERIEUR'!H30</f>
        <v>30000</v>
      </c>
      <c r="X31" s="2761"/>
      <c r="Y31" s="2761"/>
      <c r="Z31" s="2761"/>
      <c r="AA31" s="2761"/>
      <c r="AB31" s="2761"/>
      <c r="AC31" s="2762"/>
    </row>
    <row r="32" spans="1:29" ht="4.5" customHeight="1" x14ac:dyDescent="0.2">
      <c r="A32" s="1703"/>
      <c r="B32" s="1704"/>
      <c r="C32" s="1704"/>
      <c r="D32" s="1704"/>
      <c r="E32" s="1704"/>
      <c r="F32" s="1704"/>
      <c r="G32" s="1704"/>
      <c r="H32" s="1704"/>
      <c r="I32" s="1704"/>
      <c r="J32" s="1704"/>
      <c r="K32" s="1704"/>
      <c r="L32" s="1704"/>
      <c r="M32" s="1704"/>
      <c r="N32" s="1704"/>
      <c r="O32" s="1704"/>
      <c r="P32" s="1704"/>
      <c r="Q32" s="1704"/>
      <c r="R32" s="1704"/>
      <c r="S32" s="1704"/>
      <c r="T32" s="1709"/>
      <c r="U32" s="1709"/>
      <c r="V32" s="1709"/>
      <c r="W32" s="1710"/>
      <c r="X32" s="1710"/>
      <c r="Y32" s="1710"/>
      <c r="Z32" s="1710"/>
      <c r="AA32" s="1710"/>
      <c r="AB32" s="1710"/>
      <c r="AC32" s="1711"/>
    </row>
    <row r="33" spans="1:29" ht="15.75" customHeight="1" x14ac:dyDescent="0.2">
      <c r="A33" s="2763" t="s">
        <v>4436</v>
      </c>
      <c r="B33" s="2759"/>
      <c r="C33" s="2759"/>
      <c r="D33" s="2759"/>
      <c r="E33" s="2759"/>
      <c r="F33" s="2759"/>
      <c r="G33" s="2759"/>
      <c r="H33" s="2759"/>
      <c r="I33" s="2759"/>
      <c r="J33" s="2759"/>
      <c r="K33" s="2759"/>
      <c r="L33" s="2759"/>
      <c r="M33" s="2759"/>
      <c r="N33" s="2759"/>
      <c r="O33" s="2759"/>
      <c r="P33" s="2759"/>
      <c r="Q33" s="2759"/>
      <c r="R33" s="2759"/>
      <c r="S33" s="2759"/>
      <c r="T33" s="1708"/>
      <c r="U33" s="1708"/>
      <c r="V33" s="1708"/>
      <c r="W33" s="2760">
        <f>'ANNEXE 3_ RET SUPPORTEES'!E30</f>
        <v>25000</v>
      </c>
      <c r="X33" s="2761"/>
      <c r="Y33" s="2761"/>
      <c r="Z33" s="2761"/>
      <c r="AA33" s="2761"/>
      <c r="AB33" s="2761"/>
      <c r="AC33" s="2762"/>
    </row>
    <row r="34" spans="1:29" ht="4.5" customHeight="1" x14ac:dyDescent="0.2">
      <c r="A34" s="1703"/>
      <c r="B34" s="1704"/>
      <c r="C34" s="1704"/>
      <c r="D34" s="1704"/>
      <c r="E34" s="1704"/>
      <c r="F34" s="1704"/>
      <c r="G34" s="1704"/>
      <c r="H34" s="1704"/>
      <c r="I34" s="1704"/>
      <c r="J34" s="1704"/>
      <c r="K34" s="1704"/>
      <c r="L34" s="1704"/>
      <c r="M34" s="1704"/>
      <c r="N34" s="1704"/>
      <c r="O34" s="1704"/>
      <c r="P34" s="1704"/>
      <c r="Q34" s="1704"/>
      <c r="R34" s="1704"/>
      <c r="S34" s="1704"/>
      <c r="T34" s="1709"/>
      <c r="U34" s="1709"/>
      <c r="V34" s="1709"/>
      <c r="W34" s="1712"/>
      <c r="X34" s="1712"/>
      <c r="Y34" s="1712"/>
      <c r="Z34" s="1712"/>
      <c r="AA34" s="1712"/>
      <c r="AB34" s="1712"/>
      <c r="AC34" s="1713"/>
    </row>
    <row r="35" spans="1:29" ht="17.25" customHeight="1" x14ac:dyDescent="0.2">
      <c r="A35" s="2764" t="s">
        <v>4437</v>
      </c>
      <c r="B35" s="2765"/>
      <c r="C35" s="2765"/>
      <c r="D35" s="2765"/>
      <c r="E35" s="2765"/>
      <c r="F35" s="2765"/>
      <c r="G35" s="2765"/>
      <c r="H35" s="2765"/>
      <c r="I35" s="2765"/>
      <c r="J35" s="2765"/>
      <c r="K35" s="2765"/>
      <c r="L35" s="2765"/>
      <c r="M35" s="2765"/>
      <c r="N35" s="2765"/>
      <c r="O35" s="2765"/>
      <c r="P35" s="2765"/>
      <c r="Q35" s="2765"/>
      <c r="R35" s="2765"/>
      <c r="S35" s="2765"/>
      <c r="T35" s="1708"/>
      <c r="U35" s="1708"/>
      <c r="V35" s="1708"/>
      <c r="W35" s="2766">
        <f>W29+W31+W33</f>
        <v>75000</v>
      </c>
      <c r="X35" s="2767"/>
      <c r="Y35" s="2767"/>
      <c r="Z35" s="2767"/>
      <c r="AA35" s="2767"/>
      <c r="AB35" s="2767"/>
      <c r="AC35" s="2768"/>
    </row>
    <row r="36" spans="1:29" ht="8.25" customHeight="1" x14ac:dyDescent="0.2">
      <c r="A36" s="1703"/>
      <c r="B36" s="1704"/>
      <c r="C36" s="1704"/>
      <c r="D36" s="1704"/>
      <c r="E36" s="1704"/>
      <c r="F36" s="1704"/>
      <c r="G36" s="1704"/>
      <c r="H36" s="1704"/>
      <c r="I36" s="1704"/>
      <c r="J36" s="1704"/>
      <c r="K36" s="1704"/>
      <c r="L36" s="1704"/>
      <c r="M36" s="1704"/>
      <c r="N36" s="1704"/>
      <c r="O36" s="1704"/>
      <c r="P36" s="1704"/>
      <c r="Q36" s="1704"/>
      <c r="R36" s="1704"/>
      <c r="S36" s="1704"/>
      <c r="T36" s="1709"/>
      <c r="U36" s="1709"/>
      <c r="V36" s="1709"/>
      <c r="W36" s="1710"/>
      <c r="X36" s="1710"/>
      <c r="Y36" s="1710"/>
      <c r="Z36" s="1710"/>
      <c r="AA36" s="1710"/>
      <c r="AB36" s="1710"/>
      <c r="AC36" s="1711"/>
    </row>
    <row r="37" spans="1:29" ht="15.75" customHeight="1" x14ac:dyDescent="0.2">
      <c r="A37" s="2769" t="s">
        <v>4438</v>
      </c>
      <c r="B37" s="2770"/>
      <c r="C37" s="2770"/>
      <c r="D37" s="2770"/>
      <c r="E37" s="2770"/>
      <c r="F37" s="2770"/>
      <c r="G37" s="2770"/>
      <c r="H37" s="2770"/>
      <c r="I37" s="2770"/>
      <c r="J37" s="2770"/>
      <c r="K37" s="2770"/>
      <c r="L37" s="2770"/>
      <c r="M37" s="2770"/>
      <c r="N37" s="2770"/>
      <c r="O37" s="2770"/>
      <c r="P37" s="2770"/>
      <c r="Q37" s="2770"/>
      <c r="R37" s="2770"/>
      <c r="S37" s="2770"/>
      <c r="T37" s="1714"/>
      <c r="U37" s="1714"/>
      <c r="V37" s="1708"/>
      <c r="W37" s="2760">
        <f>SUM('CALCULS FISCAUX'!G87:G88)</f>
        <v>0</v>
      </c>
      <c r="X37" s="2761"/>
      <c r="Y37" s="2761"/>
      <c r="Z37" s="2761"/>
      <c r="AA37" s="2761"/>
      <c r="AB37" s="2761"/>
      <c r="AC37" s="2762"/>
    </row>
    <row r="38" spans="1:29" ht="4.5" customHeight="1" x14ac:dyDescent="0.2">
      <c r="A38" s="1715"/>
      <c r="B38" s="1716"/>
      <c r="C38" s="1716"/>
      <c r="D38" s="1716"/>
      <c r="E38" s="1716"/>
      <c r="F38" s="1716"/>
      <c r="G38" s="1716"/>
      <c r="H38" s="1716"/>
      <c r="I38" s="1716"/>
      <c r="J38" s="1716"/>
      <c r="K38" s="1716"/>
      <c r="L38" s="1716"/>
      <c r="M38" s="1716"/>
      <c r="N38" s="1716"/>
      <c r="O38" s="1716"/>
      <c r="P38" s="1716"/>
      <c r="Q38" s="1716"/>
      <c r="R38" s="1716"/>
      <c r="S38" s="1716"/>
      <c r="T38" s="1716"/>
      <c r="U38" s="1716"/>
      <c r="V38" s="1709"/>
      <c r="W38" s="1710"/>
      <c r="X38" s="1710"/>
      <c r="Y38" s="1710"/>
      <c r="Z38" s="1710"/>
      <c r="AA38" s="1710"/>
      <c r="AB38" s="1710"/>
      <c r="AC38" s="1711"/>
    </row>
    <row r="39" spans="1:29" ht="17.25" customHeight="1" x14ac:dyDescent="0.2">
      <c r="A39" s="2769" t="s">
        <v>4439</v>
      </c>
      <c r="B39" s="2771"/>
      <c r="C39" s="2771"/>
      <c r="D39" s="2771"/>
      <c r="E39" s="2771"/>
      <c r="F39" s="2771"/>
      <c r="G39" s="2771"/>
      <c r="H39" s="2771"/>
      <c r="I39" s="2771"/>
      <c r="J39" s="2771"/>
      <c r="K39" s="2771"/>
      <c r="L39" s="2771"/>
      <c r="M39" s="2771"/>
      <c r="N39" s="2771"/>
      <c r="O39" s="2771"/>
      <c r="P39" s="2771"/>
      <c r="Q39" s="2771"/>
      <c r="R39" s="2771"/>
      <c r="S39" s="2771"/>
      <c r="T39" s="2771"/>
      <c r="U39" s="2771"/>
      <c r="V39" s="1708"/>
      <c r="W39" s="2772">
        <f>+W35+W37</f>
        <v>75000</v>
      </c>
      <c r="X39" s="2773"/>
      <c r="Y39" s="2773"/>
      <c r="Z39" s="2773"/>
      <c r="AA39" s="2773"/>
      <c r="AB39" s="2773"/>
      <c r="AC39" s="2774"/>
    </row>
    <row r="40" spans="1:29" ht="4.5" customHeight="1" x14ac:dyDescent="0.2">
      <c r="A40" s="1715"/>
      <c r="B40" s="1716"/>
      <c r="C40" s="1716"/>
      <c r="D40" s="1716"/>
      <c r="E40" s="1716"/>
      <c r="F40" s="1716"/>
      <c r="G40" s="1716"/>
      <c r="H40" s="1716"/>
      <c r="I40" s="1716"/>
      <c r="J40" s="1716"/>
      <c r="K40" s="1716"/>
      <c r="L40" s="1716"/>
      <c r="M40" s="1716"/>
      <c r="N40" s="1716"/>
      <c r="O40" s="1716"/>
      <c r="P40" s="1716"/>
      <c r="Q40" s="1716"/>
      <c r="R40" s="1716"/>
      <c r="S40" s="1716"/>
      <c r="T40" s="1716"/>
      <c r="U40" s="1716"/>
      <c r="V40" s="1709"/>
      <c r="W40" s="1710"/>
      <c r="X40" s="1710"/>
      <c r="Y40" s="1710"/>
      <c r="Z40" s="1710"/>
      <c r="AA40" s="1710"/>
      <c r="AB40" s="1710"/>
      <c r="AC40" s="1711"/>
    </row>
    <row r="41" spans="1:29" ht="17.25" customHeight="1" x14ac:dyDescent="0.2">
      <c r="A41" s="2769" t="s">
        <v>4440</v>
      </c>
      <c r="B41" s="2771"/>
      <c r="C41" s="2771"/>
      <c r="D41" s="2771"/>
      <c r="E41" s="2771"/>
      <c r="F41" s="2771"/>
      <c r="G41" s="2771"/>
      <c r="H41" s="2771"/>
      <c r="I41" s="2771"/>
      <c r="J41" s="2771"/>
      <c r="K41" s="2771"/>
      <c r="L41" s="2771"/>
      <c r="M41" s="2771"/>
      <c r="N41" s="2771"/>
      <c r="O41" s="2771"/>
      <c r="P41" s="2771"/>
      <c r="Q41" s="2771"/>
      <c r="R41" s="2771"/>
      <c r="S41" s="2771"/>
      <c r="T41" s="2771"/>
      <c r="U41" s="2771"/>
      <c r="V41" s="1708"/>
      <c r="W41" s="2760">
        <f>SUM('SUPPL20 BAV'!Z45,'SUPPL20 BAV'!Z48)</f>
        <v>75000</v>
      </c>
      <c r="X41" s="2761"/>
      <c r="Y41" s="2761"/>
      <c r="Z41" s="2761"/>
      <c r="AA41" s="2761"/>
      <c r="AB41" s="2761"/>
      <c r="AC41" s="2762"/>
    </row>
    <row r="42" spans="1:29" ht="4.5" customHeight="1" x14ac:dyDescent="0.2">
      <c r="A42" s="1715"/>
      <c r="B42" s="1716"/>
      <c r="C42" s="1716"/>
      <c r="D42" s="1716"/>
      <c r="E42" s="1716"/>
      <c r="F42" s="1716"/>
      <c r="G42" s="1716"/>
      <c r="H42" s="1716"/>
      <c r="I42" s="1716"/>
      <c r="J42" s="1716"/>
      <c r="K42" s="1716"/>
      <c r="L42" s="1716"/>
      <c r="M42" s="1716"/>
      <c r="N42" s="1716"/>
      <c r="O42" s="1716"/>
      <c r="P42" s="1716"/>
      <c r="Q42" s="1716"/>
      <c r="R42" s="1716"/>
      <c r="S42" s="1716"/>
      <c r="T42" s="1716"/>
      <c r="U42" s="1716"/>
      <c r="V42" s="1709"/>
      <c r="W42" s="1710"/>
      <c r="X42" s="1710"/>
      <c r="Y42" s="1710"/>
      <c r="Z42" s="1710"/>
      <c r="AA42" s="1710"/>
      <c r="AB42" s="1710"/>
      <c r="AC42" s="1711"/>
    </row>
    <row r="43" spans="1:29" ht="14.25" x14ac:dyDescent="0.2">
      <c r="A43" s="2775" t="s">
        <v>4441</v>
      </c>
      <c r="B43" s="2775"/>
      <c r="C43" s="2775"/>
      <c r="D43" s="2775"/>
      <c r="E43" s="2775"/>
      <c r="F43" s="2775"/>
      <c r="G43" s="2775"/>
      <c r="H43" s="2775"/>
      <c r="I43" s="2775"/>
      <c r="J43" s="2775"/>
      <c r="K43" s="2775"/>
      <c r="L43" s="2775"/>
      <c r="M43" s="2775"/>
      <c r="N43" s="2775"/>
      <c r="O43" s="2775"/>
      <c r="P43" s="2775"/>
      <c r="Q43" s="2775"/>
      <c r="R43" s="2775"/>
      <c r="S43" s="2763"/>
      <c r="T43" s="1708"/>
      <c r="U43" s="1708"/>
      <c r="V43" s="1708"/>
      <c r="W43" s="2772">
        <f>+W39-W41</f>
        <v>0</v>
      </c>
      <c r="X43" s="2773"/>
      <c r="Y43" s="2773"/>
      <c r="Z43" s="2773"/>
      <c r="AA43" s="2773"/>
      <c r="AB43" s="2773"/>
      <c r="AC43" s="2774"/>
    </row>
    <row r="44" spans="1:29" ht="4.5" customHeight="1" x14ac:dyDescent="0.2">
      <c r="A44" s="1717"/>
      <c r="B44" s="1718"/>
      <c r="C44" s="1718"/>
      <c r="D44" s="1718"/>
      <c r="E44" s="1718"/>
      <c r="F44" s="1718"/>
      <c r="G44" s="1718"/>
      <c r="H44" s="1718"/>
      <c r="I44" s="1718"/>
      <c r="J44" s="1718"/>
      <c r="K44" s="1718"/>
      <c r="L44" s="1718"/>
      <c r="M44" s="1718"/>
      <c r="N44" s="1718"/>
      <c r="O44" s="1718"/>
      <c r="P44" s="1718"/>
      <c r="Q44" s="1718"/>
      <c r="R44" s="1718"/>
      <c r="S44" s="1718"/>
      <c r="T44" s="1719"/>
      <c r="U44" s="1719"/>
      <c r="V44" s="1719"/>
      <c r="W44" s="1720"/>
      <c r="X44" s="1720"/>
      <c r="Y44" s="1720"/>
      <c r="Z44" s="1720"/>
      <c r="AA44" s="1720"/>
      <c r="AB44" s="1720"/>
      <c r="AC44" s="1721"/>
    </row>
    <row r="45" spans="1:29" ht="6" customHeight="1" x14ac:dyDescent="0.2">
      <c r="A45" s="1704"/>
      <c r="B45" s="1704"/>
      <c r="C45" s="1704"/>
      <c r="D45" s="1704"/>
      <c r="E45" s="1704"/>
      <c r="F45" s="1704"/>
      <c r="G45" s="1704"/>
      <c r="H45" s="1704"/>
      <c r="I45" s="1704"/>
      <c r="J45" s="1704"/>
      <c r="K45" s="1704"/>
      <c r="L45" s="1704"/>
      <c r="M45" s="1704"/>
      <c r="N45" s="1704"/>
      <c r="O45" s="1704"/>
      <c r="P45" s="1704"/>
      <c r="Q45" s="1704"/>
      <c r="R45" s="1704"/>
      <c r="S45" s="1704"/>
      <c r="T45" s="1709"/>
      <c r="U45" s="1709"/>
      <c r="V45" s="1709"/>
      <c r="W45" s="1709"/>
      <c r="X45" s="1709"/>
      <c r="Y45" s="1709"/>
      <c r="Z45" s="1709"/>
      <c r="AA45" s="1709"/>
      <c r="AB45" s="1709"/>
      <c r="AC45" s="1709"/>
    </row>
    <row r="46" spans="1:29" ht="6" customHeight="1" x14ac:dyDescent="0.2">
      <c r="A46" s="1704"/>
      <c r="B46" s="1704"/>
      <c r="C46" s="1704"/>
      <c r="D46" s="1704"/>
      <c r="E46" s="1704"/>
      <c r="F46" s="1704"/>
      <c r="G46" s="1704"/>
      <c r="H46" s="1704"/>
      <c r="I46" s="1704"/>
      <c r="J46" s="1704"/>
      <c r="K46" s="1704"/>
      <c r="L46" s="1704"/>
      <c r="M46" s="1704"/>
      <c r="N46" s="1704"/>
      <c r="O46" s="1704"/>
      <c r="P46" s="1704"/>
      <c r="Q46" s="1704"/>
      <c r="R46" s="1704"/>
      <c r="S46" s="1704"/>
      <c r="T46" s="1709"/>
      <c r="U46" s="1709"/>
      <c r="V46" s="1709"/>
      <c r="W46" s="1709"/>
      <c r="X46" s="1709"/>
      <c r="Y46" s="1709"/>
      <c r="Z46" s="1709"/>
      <c r="AA46" s="1709"/>
      <c r="AB46" s="1709"/>
      <c r="AC46" s="1709"/>
    </row>
    <row r="47" spans="1:29" ht="6" customHeight="1" x14ac:dyDescent="0.2">
      <c r="A47" s="1704"/>
      <c r="B47" s="1704"/>
      <c r="C47" s="1704"/>
      <c r="D47" s="1704"/>
      <c r="E47" s="1704"/>
      <c r="F47" s="1704"/>
      <c r="G47" s="1704"/>
      <c r="H47" s="1704"/>
      <c r="I47" s="1704"/>
      <c r="J47" s="1704"/>
      <c r="K47" s="1704"/>
      <c r="L47" s="1704"/>
      <c r="M47" s="1704"/>
      <c r="N47" s="1704"/>
      <c r="O47" s="1704"/>
      <c r="P47" s="1704"/>
      <c r="Q47" s="1704"/>
      <c r="R47" s="1704"/>
      <c r="S47" s="1704"/>
      <c r="T47" s="1709"/>
      <c r="U47" s="1709"/>
      <c r="V47" s="1709"/>
      <c r="W47" s="1709"/>
      <c r="X47" s="1709"/>
      <c r="Y47" s="1709"/>
      <c r="Z47" s="1709"/>
      <c r="AA47" s="1709"/>
      <c r="AB47" s="1709"/>
      <c r="AC47" s="1709"/>
    </row>
    <row r="48" spans="1:29" ht="14.25" x14ac:dyDescent="0.2">
      <c r="A48" s="2726" t="s">
        <v>4442</v>
      </c>
      <c r="B48" s="2727"/>
      <c r="C48" s="2727"/>
      <c r="D48" s="2727"/>
      <c r="E48" s="2727"/>
      <c r="F48" s="2727"/>
      <c r="G48" s="2727"/>
      <c r="H48" s="2727"/>
      <c r="I48" s="2727"/>
      <c r="J48" s="2727"/>
      <c r="K48" s="2727"/>
      <c r="L48" s="2727"/>
      <c r="M48" s="2727"/>
      <c r="N48" s="2727"/>
      <c r="O48" s="2727"/>
      <c r="P48" s="2727"/>
      <c r="Q48" s="2727"/>
      <c r="R48" s="2727"/>
      <c r="S48" s="2727"/>
      <c r="T48" s="2727"/>
      <c r="U48" s="2727"/>
      <c r="V48" s="2727"/>
      <c r="W48" s="2727"/>
      <c r="X48" s="2727"/>
      <c r="Y48" s="2727"/>
      <c r="Z48" s="2727"/>
      <c r="AA48" s="2727"/>
      <c r="AB48" s="2727"/>
      <c r="AC48" s="2728"/>
    </row>
    <row r="49" spans="1:29" ht="14.25" x14ac:dyDescent="0.2">
      <c r="A49" s="2782" t="s">
        <v>1322</v>
      </c>
      <c r="B49" s="2783"/>
      <c r="C49" s="2783"/>
      <c r="D49" s="2783"/>
      <c r="E49" s="2783"/>
      <c r="F49" s="2783"/>
      <c r="G49" s="2784"/>
      <c r="H49" s="2782" t="s">
        <v>4413</v>
      </c>
      <c r="I49" s="2783"/>
      <c r="J49" s="2783"/>
      <c r="K49" s="2783"/>
      <c r="L49" s="2783"/>
      <c r="M49" s="2783"/>
      <c r="N49" s="2783"/>
      <c r="O49" s="2784"/>
      <c r="P49" s="2782" t="s">
        <v>1324</v>
      </c>
      <c r="Q49" s="2783"/>
      <c r="R49" s="2783"/>
      <c r="S49" s="2783"/>
      <c r="T49" s="2783"/>
      <c r="U49" s="2784"/>
      <c r="V49" s="2782" t="s">
        <v>1325</v>
      </c>
      <c r="W49" s="2783"/>
      <c r="X49" s="2783"/>
      <c r="Y49" s="2783"/>
      <c r="Z49" s="2783"/>
      <c r="AA49" s="2783"/>
      <c r="AB49" s="2783"/>
      <c r="AC49" s="2784"/>
    </row>
    <row r="50" spans="1:29" x14ac:dyDescent="0.2">
      <c r="A50" s="1722" t="s">
        <v>4414</v>
      </c>
      <c r="B50" s="1677"/>
      <c r="C50" s="1677"/>
      <c r="D50" s="1677"/>
      <c r="E50" s="1677"/>
      <c r="F50" s="1677"/>
      <c r="G50" s="1678"/>
      <c r="H50" s="1722" t="s">
        <v>4415</v>
      </c>
      <c r="I50" s="1677"/>
      <c r="J50" s="1677"/>
      <c r="K50" s="1677"/>
      <c r="L50" s="1677"/>
      <c r="M50" s="1677"/>
      <c r="N50" s="1677"/>
      <c r="O50" s="1678"/>
      <c r="P50" s="1722" t="s">
        <v>4416</v>
      </c>
      <c r="Q50" s="1677"/>
      <c r="R50" s="1677"/>
      <c r="S50" s="1677"/>
      <c r="T50" s="1677"/>
      <c r="U50" s="1678"/>
      <c r="V50" s="2785" t="s">
        <v>4417</v>
      </c>
      <c r="W50" s="2786"/>
      <c r="X50" s="2786"/>
      <c r="Y50" s="2786"/>
      <c r="Z50" s="2786"/>
      <c r="AA50" s="2786"/>
      <c r="AB50" s="2786"/>
      <c r="AC50" s="2787"/>
    </row>
    <row r="51" spans="1:29" x14ac:dyDescent="0.2">
      <c r="A51" s="1662" t="s">
        <v>4418</v>
      </c>
      <c r="B51" s="1663"/>
      <c r="C51" s="1663"/>
      <c r="D51" s="1663"/>
      <c r="E51" s="1663"/>
      <c r="F51" s="1663"/>
      <c r="G51" s="1664"/>
      <c r="H51" s="1662" t="s">
        <v>4419</v>
      </c>
      <c r="I51" s="1663"/>
      <c r="J51" s="1663"/>
      <c r="K51" s="1663"/>
      <c r="L51" s="1663"/>
      <c r="M51" s="1663"/>
      <c r="N51" s="1663"/>
      <c r="O51" s="1664"/>
      <c r="P51" s="1662" t="s">
        <v>4420</v>
      </c>
      <c r="Q51" s="1663"/>
      <c r="R51" s="1663"/>
      <c r="S51" s="1663"/>
      <c r="T51" s="1663"/>
      <c r="U51" s="1664"/>
      <c r="V51" s="1662"/>
      <c r="W51" s="1663"/>
      <c r="X51" s="1663"/>
      <c r="Y51" s="1663"/>
      <c r="Z51" s="1663"/>
      <c r="AA51" s="1663"/>
      <c r="AB51" s="1663"/>
      <c r="AC51" s="1664"/>
    </row>
    <row r="52" spans="1:29" x14ac:dyDescent="0.2">
      <c r="A52" s="1662" t="s">
        <v>4421</v>
      </c>
      <c r="B52" s="1663"/>
      <c r="C52" s="1663"/>
      <c r="D52" s="1663"/>
      <c r="E52" s="1663"/>
      <c r="F52" s="1663"/>
      <c r="G52" s="1664"/>
      <c r="H52" s="1662" t="s">
        <v>4422</v>
      </c>
      <c r="I52" s="1663"/>
      <c r="J52" s="1663"/>
      <c r="K52" s="1663"/>
      <c r="L52" s="1663"/>
      <c r="M52" s="1663"/>
      <c r="N52" s="1663"/>
      <c r="O52" s="1664"/>
      <c r="P52" s="1662" t="s">
        <v>4423</v>
      </c>
      <c r="Q52" s="1663"/>
      <c r="R52" s="1663"/>
      <c r="S52" s="1663"/>
      <c r="T52" s="1663"/>
      <c r="U52" s="1664"/>
      <c r="V52" s="1662"/>
      <c r="W52" s="1663"/>
      <c r="X52" s="1663"/>
      <c r="Y52" s="1663"/>
      <c r="Z52" s="1663"/>
      <c r="AA52" s="1663"/>
      <c r="AB52" s="1663"/>
      <c r="AC52" s="1664"/>
    </row>
    <row r="53" spans="1:29" x14ac:dyDescent="0.2">
      <c r="A53" s="1662" t="s">
        <v>4424</v>
      </c>
      <c r="B53" s="1663"/>
      <c r="C53" s="1663"/>
      <c r="D53" s="1663"/>
      <c r="E53" s="1663"/>
      <c r="F53" s="1663"/>
      <c r="G53" s="1664"/>
      <c r="H53" s="1662" t="s">
        <v>4425</v>
      </c>
      <c r="I53" s="1663"/>
      <c r="J53" s="1663"/>
      <c r="K53" s="1663"/>
      <c r="L53" s="1663"/>
      <c r="M53" s="1663"/>
      <c r="N53" s="1663"/>
      <c r="O53" s="1664"/>
      <c r="P53" s="1662" t="s">
        <v>4426</v>
      </c>
      <c r="Q53" s="1663"/>
      <c r="R53" s="1663"/>
      <c r="S53" s="1663"/>
      <c r="T53" s="1663"/>
      <c r="U53" s="1664"/>
      <c r="V53" s="1662"/>
      <c r="W53" s="1663"/>
      <c r="X53" s="1663"/>
      <c r="Y53" s="1663"/>
      <c r="Z53" s="1663"/>
      <c r="AA53" s="1663"/>
      <c r="AB53" s="1663"/>
      <c r="AC53" s="1664"/>
    </row>
    <row r="54" spans="1:29" x14ac:dyDescent="0.2">
      <c r="A54" s="1665" t="s">
        <v>4427</v>
      </c>
      <c r="B54" s="1666"/>
      <c r="C54" s="1666"/>
      <c r="D54" s="1666"/>
      <c r="E54" s="1666"/>
      <c r="F54" s="1666"/>
      <c r="G54" s="1667"/>
      <c r="H54" s="1665"/>
      <c r="I54" s="1666"/>
      <c r="J54" s="1666"/>
      <c r="K54" s="1666"/>
      <c r="L54" s="1666"/>
      <c r="M54" s="1666"/>
      <c r="N54" s="1666"/>
      <c r="O54" s="1667"/>
      <c r="P54" s="1665"/>
      <c r="Q54" s="1666"/>
      <c r="R54" s="1666"/>
      <c r="S54" s="1666"/>
      <c r="T54" s="1666"/>
      <c r="U54" s="1667"/>
      <c r="V54" s="1665"/>
      <c r="W54" s="1666"/>
      <c r="X54" s="1666"/>
      <c r="Y54" s="1666"/>
      <c r="Z54" s="1666"/>
      <c r="AA54" s="1666"/>
      <c r="AB54" s="1666"/>
      <c r="AC54" s="1667"/>
    </row>
    <row r="55" spans="1:29" ht="6" customHeight="1" x14ac:dyDescent="0.2">
      <c r="A55" s="1704"/>
      <c r="B55" s="1704"/>
      <c r="C55" s="1704"/>
      <c r="D55" s="1704"/>
      <c r="E55" s="1704"/>
      <c r="F55" s="1704"/>
      <c r="G55" s="1704"/>
      <c r="H55" s="1704"/>
      <c r="I55" s="1704"/>
      <c r="J55" s="1704"/>
      <c r="K55" s="1704"/>
      <c r="L55" s="1704"/>
      <c r="M55" s="1704"/>
      <c r="N55" s="1704"/>
      <c r="O55" s="1704"/>
      <c r="P55" s="1704"/>
      <c r="Q55" s="1704"/>
      <c r="R55" s="1704"/>
      <c r="S55" s="1704"/>
      <c r="T55" s="1709"/>
      <c r="U55" s="1709"/>
      <c r="V55" s="1709"/>
      <c r="W55" s="1709"/>
      <c r="X55" s="1709"/>
      <c r="Y55" s="1709"/>
      <c r="Z55" s="1709"/>
      <c r="AA55" s="1709"/>
      <c r="AB55" s="1709"/>
      <c r="AC55" s="1709"/>
    </row>
    <row r="57" spans="1:29" x14ac:dyDescent="0.2">
      <c r="L57" s="1658" t="s">
        <v>88</v>
      </c>
      <c r="M57" s="2776" t="str">
        <f>INFORMATIONS!B18</f>
        <v>Ouagadougou</v>
      </c>
      <c r="N57" s="2777"/>
      <c r="O57" s="2777"/>
      <c r="P57" s="2777"/>
      <c r="Q57" s="2777"/>
      <c r="R57" s="2777"/>
      <c r="S57" s="2777"/>
      <c r="T57" s="2777"/>
      <c r="U57" s="2778" t="s">
        <v>4397</v>
      </c>
      <c r="V57" s="2778"/>
      <c r="W57" s="2779">
        <f>INFORMATIONS!B47</f>
        <v>0</v>
      </c>
      <c r="X57" s="2780"/>
      <c r="Y57" s="2780"/>
      <c r="Z57" s="2780"/>
      <c r="AA57" s="2780"/>
      <c r="AB57" s="2780"/>
      <c r="AC57" s="2780"/>
    </row>
    <row r="58" spans="1:29" s="1698" customFormat="1" x14ac:dyDescent="0.2">
      <c r="M58" s="1252"/>
      <c r="N58" s="1658" t="s">
        <v>4412</v>
      </c>
      <c r="O58" s="1252"/>
      <c r="P58" s="1252"/>
      <c r="Q58" s="1252"/>
      <c r="R58" s="1252"/>
      <c r="S58" s="1252"/>
      <c r="T58" s="1252"/>
      <c r="U58" s="1723"/>
      <c r="V58" s="1723"/>
      <c r="W58" s="1253"/>
      <c r="X58" s="1253"/>
      <c r="Y58" s="1253"/>
      <c r="Z58" s="1253"/>
      <c r="AA58" s="1253"/>
      <c r="AB58" s="1253"/>
      <c r="AC58" s="1253"/>
    </row>
    <row r="59" spans="1:29" s="1698" customFormat="1" x14ac:dyDescent="0.2">
      <c r="M59" s="1252"/>
      <c r="N59" s="1252"/>
      <c r="O59" s="1252"/>
      <c r="P59" s="1252"/>
      <c r="Q59" s="1252"/>
      <c r="R59" s="1252"/>
      <c r="S59" s="1252"/>
      <c r="T59" s="1252"/>
      <c r="U59" s="1723"/>
      <c r="V59" s="1723"/>
      <c r="W59" s="1253"/>
      <c r="X59" s="1253"/>
      <c r="Y59" s="1253"/>
      <c r="Z59" s="1253"/>
      <c r="AA59" s="1253"/>
      <c r="AB59" s="1253"/>
      <c r="AC59" s="1253"/>
    </row>
    <row r="61" spans="1:29" ht="57" customHeight="1" x14ac:dyDescent="0.2">
      <c r="B61" s="2781" t="s">
        <v>4443</v>
      </c>
      <c r="C61" s="2781"/>
      <c r="D61" s="2781"/>
      <c r="E61" s="2781"/>
      <c r="F61" s="2781"/>
      <c r="G61" s="2781"/>
      <c r="H61" s="2781"/>
      <c r="I61" s="2781"/>
      <c r="J61" s="2781"/>
      <c r="K61" s="2781"/>
      <c r="L61" s="2781"/>
      <c r="M61" s="2781"/>
      <c r="N61" s="2781"/>
      <c r="O61" s="2781"/>
      <c r="P61" s="2781"/>
      <c r="Q61" s="2781"/>
      <c r="R61" s="2781"/>
      <c r="S61" s="2781"/>
      <c r="T61" s="2781"/>
      <c r="U61" s="2781"/>
      <c r="V61" s="2781"/>
      <c r="W61" s="2781"/>
      <c r="X61" s="2781"/>
      <c r="Y61" s="2781"/>
      <c r="Z61" s="2781"/>
      <c r="AA61" s="2781"/>
    </row>
    <row r="70" spans="1:29" x14ac:dyDescent="0.2">
      <c r="A70" s="1663"/>
      <c r="B70" s="1663"/>
      <c r="C70" s="1663"/>
      <c r="D70" s="1663"/>
      <c r="E70" s="1663"/>
      <c r="F70" s="1663"/>
      <c r="G70" s="1663"/>
      <c r="H70" s="1663"/>
      <c r="I70" s="1663"/>
      <c r="J70" s="1663"/>
      <c r="K70" s="1663"/>
      <c r="L70" s="1663"/>
      <c r="M70" s="1663"/>
      <c r="N70" s="1663"/>
      <c r="O70" s="1663"/>
      <c r="P70" s="1663"/>
      <c r="Q70" s="1663"/>
      <c r="R70" s="1663"/>
      <c r="S70" s="1663"/>
      <c r="T70" s="1663"/>
      <c r="U70" s="1663"/>
      <c r="V70" s="1663"/>
      <c r="W70" s="1663"/>
      <c r="X70" s="1663"/>
      <c r="Y70" s="1663"/>
      <c r="Z70" s="1663"/>
      <c r="AA70" s="1663"/>
      <c r="AB70" s="1663"/>
      <c r="AC70" s="1663"/>
    </row>
    <row r="71" spans="1:29" x14ac:dyDescent="0.2">
      <c r="B71" s="1724"/>
      <c r="C71" s="1725"/>
    </row>
  </sheetData>
  <sheetProtection algorithmName="SHA-512" hashValue="6Q4RZWTXde5sQzDAyR2rUNTpyOYp8JdjFCWQosUVtrXsq/d5iYaVhFBNWRjhf+6KCMu2IU2sebyWh9viuEktDw==" saltValue="mXnoDFm0AeloG8Utgxla0Q==" spinCount="100000" sheet="1" objects="1" scenarios="1" formatCells="0" formatColumns="0" formatRows="0"/>
  <mergeCells count="61">
    <mergeCell ref="M57:T57"/>
    <mergeCell ref="U57:V57"/>
    <mergeCell ref="W57:AC57"/>
    <mergeCell ref="B61:AA61"/>
    <mergeCell ref="A48:AC48"/>
    <mergeCell ref="A49:G49"/>
    <mergeCell ref="H49:O49"/>
    <mergeCell ref="P49:U49"/>
    <mergeCell ref="V49:AC49"/>
    <mergeCell ref="V50:AC50"/>
    <mergeCell ref="A39:U39"/>
    <mergeCell ref="W39:AC39"/>
    <mergeCell ref="A41:U41"/>
    <mergeCell ref="W41:AC41"/>
    <mergeCell ref="A43:S43"/>
    <mergeCell ref="W43:AC43"/>
    <mergeCell ref="A33:S33"/>
    <mergeCell ref="W33:AC33"/>
    <mergeCell ref="A35:S35"/>
    <mergeCell ref="W35:AC35"/>
    <mergeCell ref="A37:S37"/>
    <mergeCell ref="W37:AC37"/>
    <mergeCell ref="A27:AC27"/>
    <mergeCell ref="A29:S29"/>
    <mergeCell ref="W29:AC29"/>
    <mergeCell ref="A31:S31"/>
    <mergeCell ref="W31:AC31"/>
    <mergeCell ref="C21:AC21"/>
    <mergeCell ref="C22:AC22"/>
    <mergeCell ref="C23:AC23"/>
    <mergeCell ref="B25:C25"/>
    <mergeCell ref="D25:E25"/>
    <mergeCell ref="F25:G25"/>
    <mergeCell ref="K25:L25"/>
    <mergeCell ref="O25:P25"/>
    <mergeCell ref="S25:U25"/>
    <mergeCell ref="W25:X25"/>
    <mergeCell ref="AA25:AC25"/>
    <mergeCell ref="G16:AC16"/>
    <mergeCell ref="H17:Z17"/>
    <mergeCell ref="B18:C18"/>
    <mergeCell ref="D18:E18"/>
    <mergeCell ref="F18:G18"/>
    <mergeCell ref="K18:L18"/>
    <mergeCell ref="O18:P18"/>
    <mergeCell ref="S18:U18"/>
    <mergeCell ref="W18:X18"/>
    <mergeCell ref="AA18:AC18"/>
    <mergeCell ref="A15:AC15"/>
    <mergeCell ref="A1:F1"/>
    <mergeCell ref="H1:V1"/>
    <mergeCell ref="X1:AC1"/>
    <mergeCell ref="A2:F2"/>
    <mergeCell ref="X2:AC2"/>
    <mergeCell ref="H5:V7"/>
    <mergeCell ref="V9:Y9"/>
    <mergeCell ref="A9:E9"/>
    <mergeCell ref="A11:AC11"/>
    <mergeCell ref="G13:R13"/>
    <mergeCell ref="U13:AC13"/>
    <mergeCell ref="E14:AC14"/>
  </mergeCells>
  <pageMargins left="0.39370078740157483" right="0.19685039370078741" top="0.19685039370078741" bottom="0.19685039370078741" header="0.31496062992125984" footer="0.31496062992125984"/>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B1:O48"/>
  <sheetViews>
    <sheetView showGridLines="0" zoomScale="115" zoomScaleNormal="115" zoomScaleSheetLayoutView="100" workbookViewId="0">
      <selection activeCell="B1" sqref="B1:D1"/>
    </sheetView>
  </sheetViews>
  <sheetFormatPr baseColWidth="10" defaultRowHeight="15" x14ac:dyDescent="0.25"/>
  <cols>
    <col min="1" max="1" width="1.42578125" style="1254" customWidth="1"/>
    <col min="2" max="2" width="40.85546875" style="1254" customWidth="1"/>
    <col min="3" max="3" width="33.7109375" style="1254" customWidth="1"/>
    <col min="4" max="4" width="20.28515625" style="1254" customWidth="1"/>
    <col min="5" max="5" width="1.28515625" style="1254" customWidth="1"/>
    <col min="6" max="16384" width="11.42578125" style="1254"/>
  </cols>
  <sheetData>
    <row r="1" spans="2:15" ht="36" customHeight="1" x14ac:dyDescent="0.25">
      <c r="B1" s="2788" t="s">
        <v>4444</v>
      </c>
      <c r="C1" s="2788"/>
      <c r="D1" s="2788"/>
      <c r="E1" s="1247"/>
      <c r="F1" s="1247"/>
      <c r="G1" s="1247"/>
      <c r="H1" s="1247"/>
      <c r="I1" s="1247"/>
      <c r="J1" s="1247"/>
      <c r="K1" s="1247"/>
      <c r="L1" s="1247"/>
      <c r="M1" s="1247"/>
      <c r="N1" s="1247"/>
      <c r="O1" s="1247"/>
    </row>
    <row r="2" spans="2:15" ht="6" customHeight="1" thickBot="1" x14ac:dyDescent="0.3"/>
    <row r="3" spans="2:15" s="1258" customFormat="1" ht="48.75" thickTop="1" thickBot="1" x14ac:dyDescent="0.3">
      <c r="B3" s="1255" t="s">
        <v>1273</v>
      </c>
      <c r="C3" s="1256" t="s">
        <v>4445</v>
      </c>
      <c r="D3" s="1257" t="s">
        <v>4446</v>
      </c>
    </row>
    <row r="4" spans="2:15" ht="16.5" thickTop="1" x14ac:dyDescent="0.25">
      <c r="B4" s="1259"/>
      <c r="C4" s="1260"/>
      <c r="D4" s="1261">
        <v>20000</v>
      </c>
    </row>
    <row r="5" spans="2:15" ht="15.75" x14ac:dyDescent="0.25">
      <c r="B5" s="1262"/>
      <c r="C5" s="1263"/>
      <c r="D5" s="1264"/>
    </row>
    <row r="6" spans="2:15" ht="15.75" x14ac:dyDescent="0.25">
      <c r="B6" s="1262"/>
      <c r="C6" s="1263"/>
      <c r="D6" s="1264"/>
    </row>
    <row r="7" spans="2:15" ht="15.75" x14ac:dyDescent="0.25">
      <c r="B7" s="1262"/>
      <c r="C7" s="1263"/>
      <c r="D7" s="1264"/>
    </row>
    <row r="8" spans="2:15" ht="15.75" x14ac:dyDescent="0.25">
      <c r="B8" s="1262"/>
      <c r="C8" s="1263"/>
      <c r="D8" s="1264"/>
    </row>
    <row r="9" spans="2:15" ht="15.75" x14ac:dyDescent="0.25">
      <c r="B9" s="1262"/>
      <c r="C9" s="1263"/>
      <c r="D9" s="1264"/>
    </row>
    <row r="10" spans="2:15" ht="15.75" x14ac:dyDescent="0.25">
      <c r="B10" s="1262"/>
      <c r="C10" s="1263"/>
      <c r="D10" s="1264"/>
    </row>
    <row r="11" spans="2:15" ht="15.75" x14ac:dyDescent="0.25">
      <c r="B11" s="1262"/>
      <c r="C11" s="1263"/>
      <c r="D11" s="1264"/>
    </row>
    <row r="12" spans="2:15" ht="15.75" x14ac:dyDescent="0.25">
      <c r="B12" s="1262"/>
      <c r="C12" s="1263"/>
      <c r="D12" s="1264"/>
    </row>
    <row r="13" spans="2:15" ht="15.75" x14ac:dyDescent="0.25">
      <c r="B13" s="1262"/>
      <c r="C13" s="1263"/>
      <c r="D13" s="1264"/>
    </row>
    <row r="14" spans="2:15" ht="15.75" x14ac:dyDescent="0.25">
      <c r="B14" s="1262"/>
      <c r="C14" s="1263"/>
      <c r="D14" s="1264"/>
    </row>
    <row r="15" spans="2:15" ht="15.75" x14ac:dyDescent="0.25">
      <c r="B15" s="1262"/>
      <c r="C15" s="1263"/>
      <c r="D15" s="1264"/>
    </row>
    <row r="16" spans="2:15" ht="15.75" x14ac:dyDescent="0.25">
      <c r="B16" s="1262"/>
      <c r="C16" s="1263"/>
      <c r="D16" s="1264"/>
    </row>
    <row r="17" spans="2:4" ht="15.75" x14ac:dyDescent="0.25">
      <c r="B17" s="1262"/>
      <c r="C17" s="1263"/>
      <c r="D17" s="1264"/>
    </row>
    <row r="18" spans="2:4" ht="15.75" x14ac:dyDescent="0.25">
      <c r="B18" s="1262"/>
      <c r="C18" s="1263"/>
      <c r="D18" s="1264"/>
    </row>
    <row r="19" spans="2:4" ht="15.75" x14ac:dyDescent="0.25">
      <c r="B19" s="1262"/>
      <c r="C19" s="1263"/>
      <c r="D19" s="1264"/>
    </row>
    <row r="20" spans="2:4" ht="15.75" x14ac:dyDescent="0.25">
      <c r="B20" s="1262"/>
      <c r="C20" s="1263"/>
      <c r="D20" s="1264"/>
    </row>
    <row r="21" spans="2:4" ht="15.75" x14ac:dyDescent="0.25">
      <c r="B21" s="1262"/>
      <c r="C21" s="1263"/>
      <c r="D21" s="1264"/>
    </row>
    <row r="22" spans="2:4" ht="15.75" x14ac:dyDescent="0.25">
      <c r="B22" s="1262"/>
      <c r="C22" s="1263"/>
      <c r="D22" s="1264"/>
    </row>
    <row r="23" spans="2:4" ht="15.75" x14ac:dyDescent="0.25">
      <c r="B23" s="1262"/>
      <c r="C23" s="1263"/>
      <c r="D23" s="1264"/>
    </row>
    <row r="24" spans="2:4" ht="15.75" x14ac:dyDescent="0.25">
      <c r="B24" s="1262"/>
      <c r="C24" s="1263"/>
      <c r="D24" s="1264"/>
    </row>
    <row r="25" spans="2:4" ht="15.75" x14ac:dyDescent="0.25">
      <c r="B25" s="1262"/>
      <c r="C25" s="1263"/>
      <c r="D25" s="1264"/>
    </row>
    <row r="26" spans="2:4" ht="15.75" x14ac:dyDescent="0.25">
      <c r="B26" s="1262"/>
      <c r="C26" s="1263"/>
      <c r="D26" s="1264"/>
    </row>
    <row r="27" spans="2:4" ht="15.75" x14ac:dyDescent="0.25">
      <c r="B27" s="1262"/>
      <c r="C27" s="1263"/>
      <c r="D27" s="1264"/>
    </row>
    <row r="28" spans="2:4" ht="15.75" x14ac:dyDescent="0.25">
      <c r="B28" s="1262"/>
      <c r="C28" s="1263"/>
      <c r="D28" s="1264"/>
    </row>
    <row r="29" spans="2:4" ht="15.75" x14ac:dyDescent="0.25">
      <c r="B29" s="1262"/>
      <c r="C29" s="1263"/>
      <c r="D29" s="1264"/>
    </row>
    <row r="30" spans="2:4" ht="15.75" x14ac:dyDescent="0.25">
      <c r="B30" s="1262"/>
      <c r="C30" s="1263"/>
      <c r="D30" s="1264"/>
    </row>
    <row r="31" spans="2:4" ht="15.75" x14ac:dyDescent="0.25">
      <c r="B31" s="1262"/>
      <c r="C31" s="1263"/>
      <c r="D31" s="1264"/>
    </row>
    <row r="32" spans="2:4" ht="15.75" x14ac:dyDescent="0.25">
      <c r="B32" s="1262"/>
      <c r="C32" s="1263"/>
      <c r="D32" s="1264"/>
    </row>
    <row r="33" spans="2:4" ht="15.75" x14ac:dyDescent="0.25">
      <c r="B33" s="1262"/>
      <c r="C33" s="1263"/>
      <c r="D33" s="1264"/>
    </row>
    <row r="34" spans="2:4" ht="15.75" x14ac:dyDescent="0.25">
      <c r="B34" s="1262"/>
      <c r="C34" s="1263"/>
      <c r="D34" s="1264"/>
    </row>
    <row r="35" spans="2:4" ht="15.75" x14ac:dyDescent="0.25">
      <c r="B35" s="1262"/>
      <c r="C35" s="1263"/>
      <c r="D35" s="1264"/>
    </row>
    <row r="36" spans="2:4" ht="15.75" x14ac:dyDescent="0.25">
      <c r="B36" s="1262"/>
      <c r="C36" s="1263"/>
      <c r="D36" s="1264"/>
    </row>
    <row r="37" spans="2:4" ht="15.75" x14ac:dyDescent="0.25">
      <c r="B37" s="1262"/>
      <c r="C37" s="1263"/>
      <c r="D37" s="1264"/>
    </row>
    <row r="38" spans="2:4" ht="15.75" x14ac:dyDescent="0.25">
      <c r="B38" s="1262"/>
      <c r="C38" s="1263"/>
      <c r="D38" s="1264"/>
    </row>
    <row r="39" spans="2:4" ht="15.75" x14ac:dyDescent="0.25">
      <c r="B39" s="1262"/>
      <c r="C39" s="1263"/>
      <c r="D39" s="1264"/>
    </row>
    <row r="40" spans="2:4" ht="15.75" x14ac:dyDescent="0.25">
      <c r="B40" s="1262"/>
      <c r="C40" s="1263"/>
      <c r="D40" s="1264"/>
    </row>
    <row r="41" spans="2:4" ht="15.75" x14ac:dyDescent="0.25">
      <c r="B41" s="1262"/>
      <c r="C41" s="1263"/>
      <c r="D41" s="1264"/>
    </row>
    <row r="42" spans="2:4" ht="15.75" x14ac:dyDescent="0.25">
      <c r="B42" s="1262"/>
      <c r="C42" s="1263"/>
      <c r="D42" s="1264"/>
    </row>
    <row r="43" spans="2:4" ht="15.75" x14ac:dyDescent="0.25">
      <c r="B43" s="1262"/>
      <c r="C43" s="1263"/>
      <c r="D43" s="1264"/>
    </row>
    <row r="44" spans="2:4" ht="16.5" thickBot="1" x14ac:dyDescent="0.3">
      <c r="B44" s="1265"/>
      <c r="C44" s="1266"/>
      <c r="D44" s="1267"/>
    </row>
    <row r="45" spans="2:4" ht="17.25" thickTop="1" thickBot="1" x14ac:dyDescent="0.3">
      <c r="B45" s="1268"/>
      <c r="C45" s="1269" t="s">
        <v>262</v>
      </c>
      <c r="D45" s="1270">
        <f>SUM(D4:D44)</f>
        <v>20000</v>
      </c>
    </row>
    <row r="46" spans="2:4" ht="15.75" thickTop="1" x14ac:dyDescent="0.25"/>
    <row r="47" spans="2:4" x14ac:dyDescent="0.25">
      <c r="B47" s="1271" t="s">
        <v>4447</v>
      </c>
    </row>
    <row r="48" spans="2:4" x14ac:dyDescent="0.25">
      <c r="D48" s="1271"/>
    </row>
  </sheetData>
  <sheetProtection insertColumns="0" insertRows="0" selectLockedCells="1"/>
  <mergeCells count="1">
    <mergeCell ref="B1:D1"/>
  </mergeCells>
  <pageMargins left="0.39370078740157483" right="0.39370078740157483" top="0.39370078740157483" bottom="0.39370078740157483" header="0.31496062992125984" footer="0.31496062992125984"/>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B1:N34"/>
  <sheetViews>
    <sheetView showGridLines="0" topLeftCell="B1" zoomScaleNormal="100" zoomScaleSheetLayoutView="100" workbookViewId="0">
      <selection activeCell="B1" sqref="B1:G1"/>
    </sheetView>
  </sheetViews>
  <sheetFormatPr baseColWidth="10" defaultRowHeight="15" x14ac:dyDescent="0.25"/>
  <cols>
    <col min="1" max="1" width="1.42578125" style="1254" customWidth="1"/>
    <col min="2" max="2" width="40.85546875" style="1254" customWidth="1"/>
    <col min="3" max="3" width="13.5703125" style="1254" customWidth="1"/>
    <col min="4" max="4" width="20.28515625" style="1273" customWidth="1"/>
    <col min="5" max="5" width="21.5703125" style="1254" customWidth="1"/>
    <col min="6" max="6" width="11.85546875" style="1273" customWidth="1"/>
    <col min="7" max="7" width="17.140625" style="1274" customWidth="1"/>
    <col min="8" max="8" width="16.42578125" style="1274" customWidth="1"/>
    <col min="9" max="16384" width="11.42578125" style="1254"/>
  </cols>
  <sheetData>
    <row r="1" spans="2:14" ht="22.5" customHeight="1" x14ac:dyDescent="0.25">
      <c r="B1" s="2789" t="s">
        <v>4448</v>
      </c>
      <c r="C1" s="2789"/>
      <c r="D1" s="2789"/>
      <c r="E1" s="2789"/>
      <c r="F1" s="2789"/>
      <c r="G1" s="2789"/>
      <c r="H1" s="1272"/>
      <c r="I1" s="1247"/>
      <c r="J1" s="1247"/>
      <c r="K1" s="1247"/>
      <c r="L1" s="1247"/>
      <c r="M1" s="1247"/>
      <c r="N1" s="1247"/>
    </row>
    <row r="2" spans="2:14" ht="6" customHeight="1" thickBot="1" x14ac:dyDescent="0.3"/>
    <row r="3" spans="2:14" s="1278" customFormat="1" ht="48" thickTop="1" x14ac:dyDescent="0.25">
      <c r="B3" s="1275" t="s">
        <v>4449</v>
      </c>
      <c r="C3" s="1276" t="s">
        <v>1265</v>
      </c>
      <c r="D3" s="1276" t="s">
        <v>1275</v>
      </c>
      <c r="E3" s="1276" t="s">
        <v>1274</v>
      </c>
      <c r="F3" s="1276" t="s">
        <v>1276</v>
      </c>
      <c r="G3" s="1277" t="s">
        <v>4450</v>
      </c>
      <c r="H3" s="1277" t="s">
        <v>4451</v>
      </c>
    </row>
    <row r="4" spans="2:14" ht="15.75" x14ac:dyDescent="0.25">
      <c r="B4" s="1279"/>
      <c r="C4" s="1280"/>
      <c r="D4" s="1281"/>
      <c r="E4" s="1282"/>
      <c r="F4" s="1283"/>
      <c r="G4" s="1284"/>
      <c r="H4" s="1284">
        <v>30000</v>
      </c>
    </row>
    <row r="5" spans="2:14" ht="15.75" x14ac:dyDescent="0.25">
      <c r="B5" s="1279"/>
      <c r="C5" s="1280"/>
      <c r="D5" s="1281"/>
      <c r="E5" s="1282"/>
      <c r="F5" s="1285"/>
      <c r="G5" s="1284"/>
      <c r="H5" s="1284"/>
    </row>
    <row r="6" spans="2:14" ht="15.75" x14ac:dyDescent="0.25">
      <c r="B6" s="1279"/>
      <c r="C6" s="1280"/>
      <c r="D6" s="1281"/>
      <c r="E6" s="1282"/>
      <c r="F6" s="1285"/>
      <c r="G6" s="1284"/>
      <c r="H6" s="1284"/>
    </row>
    <row r="7" spans="2:14" ht="15.75" x14ac:dyDescent="0.25">
      <c r="B7" s="1279"/>
      <c r="C7" s="1280"/>
      <c r="D7" s="1281"/>
      <c r="E7" s="1282"/>
      <c r="F7" s="1285"/>
      <c r="G7" s="1284"/>
      <c r="H7" s="1284"/>
    </row>
    <row r="8" spans="2:14" ht="15.75" x14ac:dyDescent="0.25">
      <c r="B8" s="1279"/>
      <c r="C8" s="1280"/>
      <c r="D8" s="1281"/>
      <c r="E8" s="1282"/>
      <c r="F8" s="1285"/>
      <c r="G8" s="1284"/>
      <c r="H8" s="1284"/>
    </row>
    <row r="9" spans="2:14" ht="15.75" x14ac:dyDescent="0.25">
      <c r="B9" s="1279"/>
      <c r="C9" s="1280"/>
      <c r="D9" s="1281"/>
      <c r="E9" s="1282"/>
      <c r="F9" s="1285"/>
      <c r="G9" s="1284"/>
      <c r="H9" s="1284"/>
    </row>
    <row r="10" spans="2:14" ht="15.75" x14ac:dyDescent="0.25">
      <c r="B10" s="1279"/>
      <c r="C10" s="1280"/>
      <c r="D10" s="1281"/>
      <c r="E10" s="1282"/>
      <c r="F10" s="1285"/>
      <c r="G10" s="1284"/>
      <c r="H10" s="1284"/>
    </row>
    <row r="11" spans="2:14" ht="15.75" x14ac:dyDescent="0.25">
      <c r="B11" s="1279"/>
      <c r="C11" s="1280"/>
      <c r="D11" s="1281"/>
      <c r="E11" s="1282"/>
      <c r="F11" s="1285"/>
      <c r="G11" s="1284"/>
      <c r="H11" s="1284"/>
    </row>
    <row r="12" spans="2:14" ht="15.75" x14ac:dyDescent="0.25">
      <c r="B12" s="1279"/>
      <c r="C12" s="1280"/>
      <c r="D12" s="1281"/>
      <c r="E12" s="1282"/>
      <c r="F12" s="1285"/>
      <c r="G12" s="1284"/>
      <c r="H12" s="1284"/>
    </row>
    <row r="13" spans="2:14" ht="15.75" x14ac:dyDescent="0.25">
      <c r="B13" s="1279"/>
      <c r="C13" s="1280"/>
      <c r="D13" s="1281"/>
      <c r="E13" s="1282"/>
      <c r="F13" s="1285"/>
      <c r="G13" s="1284"/>
      <c r="H13" s="1284"/>
    </row>
    <row r="14" spans="2:14" ht="15.75" x14ac:dyDescent="0.25">
      <c r="B14" s="1279"/>
      <c r="C14" s="1280"/>
      <c r="D14" s="1281"/>
      <c r="E14" s="1282"/>
      <c r="F14" s="1285"/>
      <c r="G14" s="1284"/>
      <c r="H14" s="1284"/>
    </row>
    <row r="15" spans="2:14" ht="15.75" x14ac:dyDescent="0.25">
      <c r="B15" s="1279"/>
      <c r="C15" s="1280"/>
      <c r="D15" s="1281"/>
      <c r="E15" s="1282"/>
      <c r="F15" s="1285"/>
      <c r="G15" s="1284"/>
      <c r="H15" s="1284"/>
    </row>
    <row r="16" spans="2:14" ht="15.75" x14ac:dyDescent="0.25">
      <c r="B16" s="1279"/>
      <c r="C16" s="1280"/>
      <c r="D16" s="1281"/>
      <c r="E16" s="1282"/>
      <c r="F16" s="1285"/>
      <c r="G16" s="1284"/>
      <c r="H16" s="1284"/>
    </row>
    <row r="17" spans="2:8" ht="15.75" x14ac:dyDescent="0.25">
      <c r="B17" s="1279"/>
      <c r="C17" s="1280"/>
      <c r="D17" s="1281"/>
      <c r="E17" s="1282"/>
      <c r="F17" s="1285"/>
      <c r="G17" s="1284"/>
      <c r="H17" s="1284"/>
    </row>
    <row r="18" spans="2:8" ht="15.75" x14ac:dyDescent="0.25">
      <c r="B18" s="1279"/>
      <c r="C18" s="1280"/>
      <c r="D18" s="1281"/>
      <c r="E18" s="1282"/>
      <c r="F18" s="1285"/>
      <c r="G18" s="1284"/>
      <c r="H18" s="1284"/>
    </row>
    <row r="19" spans="2:8" ht="15.75" x14ac:dyDescent="0.25">
      <c r="B19" s="1279"/>
      <c r="C19" s="1280"/>
      <c r="D19" s="1281"/>
      <c r="E19" s="1282"/>
      <c r="F19" s="1285"/>
      <c r="G19" s="1284"/>
      <c r="H19" s="1284"/>
    </row>
    <row r="20" spans="2:8" ht="15.75" x14ac:dyDescent="0.25">
      <c r="B20" s="1279"/>
      <c r="C20" s="1280"/>
      <c r="D20" s="1281"/>
      <c r="E20" s="1282"/>
      <c r="F20" s="1285"/>
      <c r="G20" s="1284"/>
      <c r="H20" s="1284"/>
    </row>
    <row r="21" spans="2:8" ht="15.75" x14ac:dyDescent="0.25">
      <c r="B21" s="1279"/>
      <c r="C21" s="1280"/>
      <c r="D21" s="1281"/>
      <c r="E21" s="1282"/>
      <c r="F21" s="1285"/>
      <c r="G21" s="1284"/>
      <c r="H21" s="1284"/>
    </row>
    <row r="22" spans="2:8" ht="15.75" x14ac:dyDescent="0.25">
      <c r="B22" s="1279"/>
      <c r="C22" s="1280"/>
      <c r="D22" s="1281"/>
      <c r="E22" s="1282"/>
      <c r="F22" s="1285"/>
      <c r="G22" s="1284"/>
      <c r="H22" s="1284"/>
    </row>
    <row r="23" spans="2:8" ht="15.75" x14ac:dyDescent="0.25">
      <c r="B23" s="1279"/>
      <c r="C23" s="1280"/>
      <c r="D23" s="1281"/>
      <c r="E23" s="1282"/>
      <c r="F23" s="1285"/>
      <c r="G23" s="1284"/>
      <c r="H23" s="1284"/>
    </row>
    <row r="24" spans="2:8" ht="15.75" x14ac:dyDescent="0.25">
      <c r="B24" s="1279"/>
      <c r="C24" s="1280"/>
      <c r="D24" s="1281"/>
      <c r="E24" s="1282"/>
      <c r="F24" s="1285"/>
      <c r="G24" s="1284"/>
      <c r="H24" s="1284"/>
    </row>
    <row r="25" spans="2:8" ht="15.75" x14ac:dyDescent="0.25">
      <c r="B25" s="1279"/>
      <c r="C25" s="1280"/>
      <c r="D25" s="1281"/>
      <c r="E25" s="1282"/>
      <c r="F25" s="1285"/>
      <c r="G25" s="1284"/>
      <c r="H25" s="1284"/>
    </row>
    <row r="26" spans="2:8" ht="15.75" x14ac:dyDescent="0.25">
      <c r="B26" s="1279"/>
      <c r="C26" s="1280"/>
      <c r="D26" s="1281"/>
      <c r="E26" s="1282"/>
      <c r="F26" s="1285"/>
      <c r="G26" s="1284"/>
      <c r="H26" s="1284"/>
    </row>
    <row r="27" spans="2:8" ht="15.75" x14ac:dyDescent="0.25">
      <c r="B27" s="1279"/>
      <c r="C27" s="1280"/>
      <c r="D27" s="1281"/>
      <c r="E27" s="1282"/>
      <c r="F27" s="1285"/>
      <c r="G27" s="1284"/>
      <c r="H27" s="1284"/>
    </row>
    <row r="28" spans="2:8" ht="15.75" x14ac:dyDescent="0.25">
      <c r="B28" s="1279"/>
      <c r="C28" s="1280"/>
      <c r="D28" s="1281"/>
      <c r="E28" s="1282"/>
      <c r="F28" s="1285"/>
      <c r="G28" s="1284"/>
      <c r="H28" s="1284"/>
    </row>
    <row r="29" spans="2:8" ht="16.5" thickBot="1" x14ac:dyDescent="0.3">
      <c r="B29" s="1286"/>
      <c r="C29" s="1287"/>
      <c r="D29" s="1288"/>
      <c r="E29" s="1289"/>
      <c r="F29" s="1290"/>
      <c r="G29" s="1291"/>
      <c r="H29" s="1291"/>
    </row>
    <row r="30" spans="2:8" ht="17.25" thickTop="1" thickBot="1" x14ac:dyDescent="0.3">
      <c r="B30" s="1268"/>
      <c r="G30" s="1292" t="s">
        <v>262</v>
      </c>
      <c r="H30" s="1293">
        <f>SUM(H4:H29)</f>
        <v>30000</v>
      </c>
    </row>
    <row r="31" spans="2:8" ht="15.75" thickTop="1" x14ac:dyDescent="0.25"/>
    <row r="32" spans="2:8" x14ac:dyDescent="0.25">
      <c r="B32" s="1271" t="s">
        <v>4447</v>
      </c>
    </row>
    <row r="34" spans="4:4" s="1254" customFormat="1" x14ac:dyDescent="0.25">
      <c r="D34" s="1294"/>
    </row>
  </sheetData>
  <sheetProtection formatColumns="0" formatRows="0" insertRows="0" selectLockedCells="1"/>
  <mergeCells count="1">
    <mergeCell ref="B1:G1"/>
  </mergeCells>
  <pageMargins left="0.19685039370078741" right="0.19685039370078741" top="0.39370078740157483" bottom="0.39370078740157483" header="0.31496062992125984" footer="0.31496062992125984"/>
  <pageSetup paperSize="9"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B1:K34"/>
  <sheetViews>
    <sheetView showGridLines="0" zoomScaleNormal="100" zoomScaleSheetLayoutView="115" workbookViewId="0">
      <selection activeCell="B1" sqref="B1:E1"/>
    </sheetView>
  </sheetViews>
  <sheetFormatPr baseColWidth="10" defaultRowHeight="15" x14ac:dyDescent="0.25"/>
  <cols>
    <col min="1" max="1" width="1.42578125" style="1254" customWidth="1"/>
    <col min="2" max="2" width="60" style="1254" customWidth="1"/>
    <col min="3" max="3" width="17.28515625" style="1254" customWidth="1"/>
    <col min="4" max="4" width="27.7109375" style="1273" customWidth="1"/>
    <col min="5" max="5" width="23.85546875" style="1274" customWidth="1"/>
    <col min="6" max="16384" width="11.42578125" style="1254"/>
  </cols>
  <sheetData>
    <row r="1" spans="2:11" ht="32.25" customHeight="1" x14ac:dyDescent="0.25">
      <c r="B1" s="2789" t="s">
        <v>4452</v>
      </c>
      <c r="C1" s="2789"/>
      <c r="D1" s="2789"/>
      <c r="E1" s="2789"/>
      <c r="F1" s="1247"/>
      <c r="G1" s="1247"/>
      <c r="H1" s="1247"/>
      <c r="I1" s="1247"/>
      <c r="J1" s="1247"/>
      <c r="K1" s="1247"/>
    </row>
    <row r="2" spans="2:11" ht="6" customHeight="1" thickBot="1" x14ac:dyDescent="0.3"/>
    <row r="3" spans="2:11" s="1278" customFormat="1" ht="32.25" thickTop="1" x14ac:dyDescent="0.25">
      <c r="B3" s="1275" t="s">
        <v>4453</v>
      </c>
      <c r="C3" s="1276" t="s">
        <v>1265</v>
      </c>
      <c r="D3" s="1276" t="s">
        <v>1343</v>
      </c>
      <c r="E3" s="1295" t="s">
        <v>4454</v>
      </c>
    </row>
    <row r="4" spans="2:11" ht="15.75" x14ac:dyDescent="0.25">
      <c r="B4" s="1279"/>
      <c r="C4" s="1280"/>
      <c r="D4" s="1296"/>
      <c r="E4" s="1264"/>
    </row>
    <row r="5" spans="2:11" ht="15.75" x14ac:dyDescent="0.25">
      <c r="B5" s="1279"/>
      <c r="C5" s="1280"/>
      <c r="D5" s="1296"/>
      <c r="E5" s="1264"/>
    </row>
    <row r="6" spans="2:11" ht="15.75" x14ac:dyDescent="0.25">
      <c r="B6" s="1279"/>
      <c r="C6" s="1280"/>
      <c r="D6" s="1296"/>
      <c r="E6" s="1264"/>
    </row>
    <row r="7" spans="2:11" ht="15.75" x14ac:dyDescent="0.25">
      <c r="B7" s="1279"/>
      <c r="C7" s="1280"/>
      <c r="D7" s="1296"/>
      <c r="E7" s="1264"/>
    </row>
    <row r="8" spans="2:11" ht="15.75" x14ac:dyDescent="0.25">
      <c r="B8" s="1279"/>
      <c r="C8" s="1280"/>
      <c r="D8" s="1296"/>
      <c r="E8" s="1264"/>
    </row>
    <row r="9" spans="2:11" ht="15.75" x14ac:dyDescent="0.25">
      <c r="B9" s="1279"/>
      <c r="C9" s="1280"/>
      <c r="D9" s="1296"/>
      <c r="E9" s="1264"/>
    </row>
    <row r="10" spans="2:11" ht="15.75" x14ac:dyDescent="0.25">
      <c r="B10" s="1279"/>
      <c r="C10" s="1280"/>
      <c r="D10" s="1296"/>
      <c r="E10" s="1264"/>
    </row>
    <row r="11" spans="2:11" ht="15.75" x14ac:dyDescent="0.25">
      <c r="B11" s="1279"/>
      <c r="C11" s="1280"/>
      <c r="D11" s="1296"/>
      <c r="E11" s="1264"/>
    </row>
    <row r="12" spans="2:11" ht="15.75" x14ac:dyDescent="0.25">
      <c r="B12" s="1279"/>
      <c r="C12" s="1280"/>
      <c r="D12" s="1296"/>
      <c r="E12" s="1264"/>
    </row>
    <row r="13" spans="2:11" ht="15.75" x14ac:dyDescent="0.25">
      <c r="B13" s="1279"/>
      <c r="C13" s="1280"/>
      <c r="D13" s="1296"/>
      <c r="E13" s="1264"/>
    </row>
    <row r="14" spans="2:11" ht="15.75" x14ac:dyDescent="0.25">
      <c r="B14" s="1279"/>
      <c r="C14" s="1280"/>
      <c r="D14" s="1296"/>
      <c r="E14" s="1264"/>
    </row>
    <row r="15" spans="2:11" ht="15.75" x14ac:dyDescent="0.25">
      <c r="B15" s="1279"/>
      <c r="C15" s="1280"/>
      <c r="D15" s="1296"/>
      <c r="E15" s="1264"/>
    </row>
    <row r="16" spans="2:11" ht="15.75" x14ac:dyDescent="0.25">
      <c r="B16" s="1279"/>
      <c r="C16" s="1280"/>
      <c r="D16" s="1296"/>
      <c r="E16" s="1264"/>
    </row>
    <row r="17" spans="2:5" ht="15.75" x14ac:dyDescent="0.25">
      <c r="B17" s="1279"/>
      <c r="C17" s="1280"/>
      <c r="D17" s="1296"/>
      <c r="E17" s="1264"/>
    </row>
    <row r="18" spans="2:5" ht="15.75" x14ac:dyDescent="0.25">
      <c r="B18" s="1279"/>
      <c r="C18" s="1280"/>
      <c r="D18" s="1296"/>
      <c r="E18" s="1264"/>
    </row>
    <row r="19" spans="2:5" ht="15.75" x14ac:dyDescent="0.25">
      <c r="B19" s="1279"/>
      <c r="C19" s="1280"/>
      <c r="D19" s="1296"/>
      <c r="E19" s="1264">
        <v>25000</v>
      </c>
    </row>
    <row r="20" spans="2:5" ht="15.75" x14ac:dyDescent="0.25">
      <c r="B20" s="1279"/>
      <c r="C20" s="1280"/>
      <c r="D20" s="1296"/>
      <c r="E20" s="1264"/>
    </row>
    <row r="21" spans="2:5" ht="15.75" x14ac:dyDescent="0.25">
      <c r="B21" s="1279"/>
      <c r="C21" s="1280"/>
      <c r="D21" s="1296"/>
      <c r="E21" s="1264"/>
    </row>
    <row r="22" spans="2:5" ht="15.75" x14ac:dyDescent="0.25">
      <c r="B22" s="1279"/>
      <c r="C22" s="1280"/>
      <c r="D22" s="1296"/>
      <c r="E22" s="1264"/>
    </row>
    <row r="23" spans="2:5" ht="15.75" x14ac:dyDescent="0.25">
      <c r="B23" s="1279"/>
      <c r="C23" s="1280"/>
      <c r="D23" s="1296"/>
      <c r="E23" s="1264"/>
    </row>
    <row r="24" spans="2:5" ht="15.75" x14ac:dyDescent="0.25">
      <c r="B24" s="1279"/>
      <c r="C24" s="1280"/>
      <c r="D24" s="1296"/>
      <c r="E24" s="1264"/>
    </row>
    <row r="25" spans="2:5" ht="15.75" x14ac:dyDescent="0.25">
      <c r="B25" s="1279"/>
      <c r="C25" s="1280"/>
      <c r="D25" s="1296"/>
      <c r="E25" s="1264"/>
    </row>
    <row r="26" spans="2:5" ht="15.75" x14ac:dyDescent="0.25">
      <c r="B26" s="1279"/>
      <c r="C26" s="1280"/>
      <c r="D26" s="1296"/>
      <c r="E26" s="1264"/>
    </row>
    <row r="27" spans="2:5" ht="15.75" x14ac:dyDescent="0.25">
      <c r="B27" s="1279"/>
      <c r="C27" s="1280"/>
      <c r="D27" s="1296"/>
      <c r="E27" s="1264"/>
    </row>
    <row r="28" spans="2:5" ht="15.75" x14ac:dyDescent="0.25">
      <c r="B28" s="1279"/>
      <c r="C28" s="1280"/>
      <c r="D28" s="1296"/>
      <c r="E28" s="1264"/>
    </row>
    <row r="29" spans="2:5" ht="16.5" thickBot="1" x14ac:dyDescent="0.3">
      <c r="B29" s="1286"/>
      <c r="C29" s="1287"/>
      <c r="D29" s="1297"/>
      <c r="E29" s="1267"/>
    </row>
    <row r="30" spans="2:5" ht="17.25" thickTop="1" thickBot="1" x14ac:dyDescent="0.3">
      <c r="B30" s="1268"/>
      <c r="D30" s="1298" t="s">
        <v>262</v>
      </c>
      <c r="E30" s="1293">
        <f>SUM(E4:E29)</f>
        <v>25000</v>
      </c>
    </row>
    <row r="31" spans="2:5" ht="15.75" thickTop="1" x14ac:dyDescent="0.25"/>
    <row r="32" spans="2:5" x14ac:dyDescent="0.25">
      <c r="B32" s="1271" t="s">
        <v>4447</v>
      </c>
    </row>
    <row r="34" spans="4:5" x14ac:dyDescent="0.25">
      <c r="D34" s="1294"/>
      <c r="E34" s="1254"/>
    </row>
  </sheetData>
  <sheetProtection selectLockedCells="1"/>
  <mergeCells count="1">
    <mergeCell ref="B1:E1"/>
  </mergeCells>
  <pageMargins left="0.39370078740157483" right="0.39370078740157483" top="0.39370078740157483" bottom="0.39370078740157483" header="0.31496062992125984" footer="0.31496062992125984"/>
  <pageSetup paperSize="9"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M49"/>
  <sheetViews>
    <sheetView showGridLines="0" zoomScaleNormal="100" zoomScaleSheetLayoutView="100" workbookViewId="0">
      <selection activeCell="A36" sqref="A36:J36"/>
    </sheetView>
  </sheetViews>
  <sheetFormatPr baseColWidth="10" defaultRowHeight="15" x14ac:dyDescent="0.25"/>
  <cols>
    <col min="1" max="1" width="0.85546875" customWidth="1"/>
    <col min="2" max="2" width="0.7109375" customWidth="1"/>
    <col min="3" max="12" width="9" customWidth="1"/>
    <col min="13" max="13" width="0.5703125" customWidth="1"/>
  </cols>
  <sheetData>
    <row r="1" spans="1:13" ht="6.75" customHeight="1" thickBot="1" x14ac:dyDescent="0.3">
      <c r="A1" s="1024"/>
      <c r="B1" s="1024"/>
      <c r="C1" s="1024"/>
      <c r="D1" s="1024"/>
      <c r="E1" s="1024"/>
      <c r="F1" s="1024"/>
      <c r="G1" s="1024"/>
      <c r="H1" s="1024"/>
      <c r="I1" s="1024"/>
      <c r="J1" s="1024"/>
      <c r="K1" s="1024"/>
      <c r="L1" s="1024"/>
      <c r="M1" s="1024"/>
    </row>
    <row r="2" spans="1:13" ht="3.75" customHeight="1" x14ac:dyDescent="0.25">
      <c r="A2" s="1024"/>
      <c r="B2" s="1025"/>
      <c r="C2" s="1026"/>
      <c r="D2" s="1026"/>
      <c r="E2" s="1026"/>
      <c r="F2" s="1026"/>
      <c r="G2" s="1026"/>
      <c r="H2" s="1026"/>
      <c r="I2" s="1026"/>
      <c r="J2" s="1026"/>
      <c r="K2" s="1026"/>
      <c r="L2" s="1026"/>
      <c r="M2" s="1027"/>
    </row>
    <row r="3" spans="1:13" x14ac:dyDescent="0.25">
      <c r="A3" s="1024"/>
      <c r="B3" s="1028"/>
      <c r="C3" s="1029"/>
      <c r="D3" s="1030"/>
      <c r="E3" s="1030"/>
      <c r="F3" s="1030"/>
      <c r="G3" s="1030"/>
      <c r="H3" s="1030"/>
      <c r="I3" s="1030"/>
      <c r="J3" s="1030"/>
      <c r="K3" s="1030"/>
      <c r="L3" s="1031"/>
      <c r="M3" s="1032"/>
    </row>
    <row r="4" spans="1:13" ht="15.75" x14ac:dyDescent="0.25">
      <c r="A4" s="1024"/>
      <c r="B4" s="1028"/>
      <c r="C4" s="1033"/>
      <c r="D4" s="1034"/>
      <c r="E4" s="1034"/>
      <c r="F4" s="1034"/>
      <c r="G4" s="1034"/>
      <c r="H4" s="1034"/>
      <c r="I4" s="1034"/>
      <c r="J4" s="1034"/>
      <c r="K4" s="1034"/>
      <c r="L4" s="1035"/>
      <c r="M4" s="1032"/>
    </row>
    <row r="5" spans="1:13" x14ac:dyDescent="0.25">
      <c r="A5" s="1024"/>
      <c r="B5" s="1028"/>
      <c r="C5" s="1033"/>
      <c r="D5" s="1036"/>
      <c r="E5" s="1036"/>
      <c r="F5" s="1036"/>
      <c r="G5" s="1036"/>
      <c r="H5" s="1036"/>
      <c r="I5" s="1036"/>
      <c r="J5" s="1036"/>
      <c r="K5" s="1036"/>
      <c r="L5" s="1035"/>
      <c r="M5" s="1032"/>
    </row>
    <row r="6" spans="1:13" ht="15.75" customHeight="1" x14ac:dyDescent="0.25">
      <c r="A6" s="1024"/>
      <c r="B6" s="1028"/>
      <c r="C6" s="1033"/>
      <c r="D6" s="1037"/>
      <c r="E6" s="1037"/>
      <c r="F6" s="1037"/>
      <c r="G6" s="1037"/>
      <c r="H6" s="1037"/>
      <c r="I6" s="1037"/>
      <c r="J6" s="1037"/>
      <c r="K6" s="1037"/>
      <c r="L6" s="1035"/>
      <c r="M6" s="1032"/>
    </row>
    <row r="7" spans="1:13" x14ac:dyDescent="0.25">
      <c r="A7" s="1024"/>
      <c r="B7" s="1028"/>
      <c r="C7" s="1033"/>
      <c r="D7" s="1036"/>
      <c r="E7" s="1036"/>
      <c r="F7" s="1036"/>
      <c r="G7" s="1036"/>
      <c r="H7" s="1036"/>
      <c r="I7" s="1036"/>
      <c r="J7" s="1036"/>
      <c r="K7" s="1036"/>
      <c r="L7" s="1035"/>
      <c r="M7" s="1032"/>
    </row>
    <row r="8" spans="1:13" ht="15.75" x14ac:dyDescent="0.25">
      <c r="A8" s="1024"/>
      <c r="B8" s="1028"/>
      <c r="C8" s="1033"/>
      <c r="D8" s="1034"/>
      <c r="E8" s="1034"/>
      <c r="F8" s="1034"/>
      <c r="G8" s="1034"/>
      <c r="H8" s="1034"/>
      <c r="I8" s="1034"/>
      <c r="J8" s="1034"/>
      <c r="K8" s="1034"/>
      <c r="L8" s="1035"/>
      <c r="M8" s="1032"/>
    </row>
    <row r="9" spans="1:13" x14ac:dyDescent="0.25">
      <c r="A9" s="1024"/>
      <c r="B9" s="1028"/>
      <c r="C9" s="1033"/>
      <c r="D9" s="1036"/>
      <c r="E9" s="1036"/>
      <c r="F9" s="1036"/>
      <c r="G9" s="1036"/>
      <c r="H9" s="1036"/>
      <c r="I9" s="1036"/>
      <c r="J9" s="1036"/>
      <c r="K9" s="1036"/>
      <c r="L9" s="1035"/>
      <c r="M9" s="1032"/>
    </row>
    <row r="10" spans="1:13" x14ac:dyDescent="0.25">
      <c r="A10" s="1024"/>
      <c r="B10" s="1028"/>
      <c r="C10" s="1033"/>
      <c r="D10" s="1036"/>
      <c r="E10" s="1036"/>
      <c r="F10" s="1036"/>
      <c r="G10" s="1036"/>
      <c r="H10" s="1036"/>
      <c r="I10" s="1036"/>
      <c r="J10" s="1036"/>
      <c r="K10" s="1036"/>
      <c r="L10" s="1035"/>
      <c r="M10" s="1032"/>
    </row>
    <row r="11" spans="1:13" x14ac:dyDescent="0.25">
      <c r="A11" s="1024"/>
      <c r="B11" s="1028"/>
      <c r="C11" s="1033"/>
      <c r="D11" s="1036"/>
      <c r="E11" s="1036"/>
      <c r="F11" s="1036"/>
      <c r="G11" s="1036"/>
      <c r="H11" s="1036"/>
      <c r="I11" s="1036"/>
      <c r="J11" s="1036"/>
      <c r="K11" s="1036"/>
      <c r="L11" s="1035"/>
      <c r="M11" s="1032"/>
    </row>
    <row r="12" spans="1:13" x14ac:dyDescent="0.25">
      <c r="A12" s="1024"/>
      <c r="B12" s="1028"/>
      <c r="C12" s="1033"/>
      <c r="D12" s="1036"/>
      <c r="E12" s="1036"/>
      <c r="F12" s="1036"/>
      <c r="G12" s="1036"/>
      <c r="H12" s="1036"/>
      <c r="I12" s="1036"/>
      <c r="J12" s="1036"/>
      <c r="K12" s="1036"/>
      <c r="L12" s="1035"/>
      <c r="M12" s="1032"/>
    </row>
    <row r="13" spans="1:13" x14ac:dyDescent="0.25">
      <c r="A13" s="1024"/>
      <c r="B13" s="1028"/>
      <c r="C13" s="1033"/>
      <c r="D13" s="1036"/>
      <c r="E13" s="1036"/>
      <c r="F13" s="1036"/>
      <c r="G13" s="1036"/>
      <c r="H13" s="1036"/>
      <c r="I13" s="1036"/>
      <c r="J13" s="1036"/>
      <c r="K13" s="1036"/>
      <c r="L13" s="1035"/>
      <c r="M13" s="1032"/>
    </row>
    <row r="14" spans="1:13" x14ac:dyDescent="0.25">
      <c r="A14" s="1024"/>
      <c r="B14" s="1028"/>
      <c r="C14" s="1033"/>
      <c r="D14" s="1036"/>
      <c r="E14" s="1036"/>
      <c r="F14" s="1036"/>
      <c r="G14" s="1036"/>
      <c r="H14" s="1036"/>
      <c r="I14" s="1036"/>
      <c r="J14" s="1036"/>
      <c r="K14" s="1036"/>
      <c r="L14" s="1035"/>
      <c r="M14" s="1032"/>
    </row>
    <row r="15" spans="1:13" x14ac:dyDescent="0.25">
      <c r="A15" s="1024"/>
      <c r="B15" s="1028"/>
      <c r="C15" s="1033"/>
      <c r="D15" s="1036"/>
      <c r="E15" s="1036"/>
      <c r="F15" s="1036"/>
      <c r="G15" s="1036"/>
      <c r="H15" s="1036"/>
      <c r="I15" s="1036"/>
      <c r="J15" s="1036"/>
      <c r="K15" s="1036"/>
      <c r="L15" s="1035"/>
      <c r="M15" s="1032"/>
    </row>
    <row r="16" spans="1:13" x14ac:dyDescent="0.25">
      <c r="A16" s="1024"/>
      <c r="B16" s="1028"/>
      <c r="C16" s="1033"/>
      <c r="D16" s="1036"/>
      <c r="E16" s="1036"/>
      <c r="F16" s="1036"/>
      <c r="G16" s="1036"/>
      <c r="H16" s="1036"/>
      <c r="I16" s="1036"/>
      <c r="J16" s="1036"/>
      <c r="K16" s="1036"/>
      <c r="L16" s="1035"/>
      <c r="M16" s="1032"/>
    </row>
    <row r="17" spans="1:13" x14ac:dyDescent="0.25">
      <c r="A17" s="1024"/>
      <c r="B17" s="1028"/>
      <c r="C17" s="1033"/>
      <c r="D17" s="1036"/>
      <c r="E17" s="1036"/>
      <c r="F17" s="1036"/>
      <c r="G17" s="1036"/>
      <c r="H17" s="1036"/>
      <c r="I17" s="1036"/>
      <c r="J17" s="1036"/>
      <c r="K17" s="1036"/>
      <c r="L17" s="1035"/>
      <c r="M17" s="1032"/>
    </row>
    <row r="18" spans="1:13" x14ac:dyDescent="0.25">
      <c r="A18" s="1024"/>
      <c r="B18" s="1028"/>
      <c r="C18" s="1033"/>
      <c r="D18" s="1036"/>
      <c r="E18" s="1036"/>
      <c r="F18" s="1036"/>
      <c r="G18" s="1036"/>
      <c r="H18" s="1036"/>
      <c r="I18" s="1036"/>
      <c r="J18" s="1036"/>
      <c r="K18" s="1036"/>
      <c r="L18" s="1035"/>
      <c r="M18" s="1032"/>
    </row>
    <row r="19" spans="1:13" x14ac:dyDescent="0.25">
      <c r="A19" s="1024"/>
      <c r="B19" s="1028"/>
      <c r="C19" s="1033"/>
      <c r="D19" s="1036"/>
      <c r="E19" s="1036"/>
      <c r="F19" s="1036"/>
      <c r="G19" s="1036"/>
      <c r="H19" s="1036"/>
      <c r="I19" s="1036"/>
      <c r="J19" s="1036"/>
      <c r="K19" s="1036"/>
      <c r="L19" s="1035"/>
      <c r="M19" s="1032"/>
    </row>
    <row r="20" spans="1:13" x14ac:dyDescent="0.25">
      <c r="A20" s="1024"/>
      <c r="B20" s="1028"/>
      <c r="C20" s="1033"/>
      <c r="D20" s="1036"/>
      <c r="E20" s="1036"/>
      <c r="F20" s="1036"/>
      <c r="G20" s="1036"/>
      <c r="H20" s="1036"/>
      <c r="I20" s="1036"/>
      <c r="J20" s="1036"/>
      <c r="K20" s="1036"/>
      <c r="L20" s="1035"/>
      <c r="M20" s="1032"/>
    </row>
    <row r="21" spans="1:13" x14ac:dyDescent="0.25">
      <c r="A21" s="1024"/>
      <c r="B21" s="1028"/>
      <c r="C21" s="1033"/>
      <c r="D21" s="1036"/>
      <c r="E21" s="2790" t="s">
        <v>4455</v>
      </c>
      <c r="F21" s="2791"/>
      <c r="G21" s="2791"/>
      <c r="H21" s="2791"/>
      <c r="I21" s="2791"/>
      <c r="J21" s="2791"/>
      <c r="K21" s="1036"/>
      <c r="L21" s="1035"/>
      <c r="M21" s="1032"/>
    </row>
    <row r="22" spans="1:13" x14ac:dyDescent="0.25">
      <c r="A22" s="1024"/>
      <c r="B22" s="1028"/>
      <c r="C22" s="1033"/>
      <c r="D22" s="1036"/>
      <c r="E22" s="2791"/>
      <c r="F22" s="2791"/>
      <c r="G22" s="2791"/>
      <c r="H22" s="2791"/>
      <c r="I22" s="2791"/>
      <c r="J22" s="2791"/>
      <c r="K22" s="1036"/>
      <c r="L22" s="1035"/>
      <c r="M22" s="1032"/>
    </row>
    <row r="23" spans="1:13" x14ac:dyDescent="0.25">
      <c r="A23" s="1024"/>
      <c r="B23" s="1028"/>
      <c r="C23" s="1033"/>
      <c r="D23" s="1036"/>
      <c r="E23" s="2791"/>
      <c r="F23" s="2791"/>
      <c r="G23" s="2791"/>
      <c r="H23" s="2791"/>
      <c r="I23" s="2791"/>
      <c r="J23" s="2791"/>
      <c r="K23" s="1036"/>
      <c r="L23" s="1035"/>
      <c r="M23" s="1032"/>
    </row>
    <row r="24" spans="1:13" x14ac:dyDescent="0.25">
      <c r="A24" s="1024"/>
      <c r="B24" s="1028"/>
      <c r="C24" s="1033"/>
      <c r="D24" s="1036"/>
      <c r="E24" s="2791"/>
      <c r="F24" s="2791"/>
      <c r="G24" s="2791"/>
      <c r="H24" s="2791"/>
      <c r="I24" s="2791"/>
      <c r="J24" s="2791"/>
      <c r="K24" s="1036"/>
      <c r="L24" s="1035"/>
      <c r="M24" s="1032"/>
    </row>
    <row r="25" spans="1:13" x14ac:dyDescent="0.25">
      <c r="A25" s="1024"/>
      <c r="B25" s="1028"/>
      <c r="C25" s="1033"/>
      <c r="D25" s="1036"/>
      <c r="E25" s="1036"/>
      <c r="F25" s="1036"/>
      <c r="G25" s="1036"/>
      <c r="H25" s="1036"/>
      <c r="I25" s="1036"/>
      <c r="J25" s="1036"/>
      <c r="K25" s="1036"/>
      <c r="L25" s="1035"/>
      <c r="M25" s="1032"/>
    </row>
    <row r="26" spans="1:13" x14ac:dyDescent="0.25">
      <c r="A26" s="1024"/>
      <c r="B26" s="1028"/>
      <c r="C26" s="1033"/>
      <c r="D26" s="1036"/>
      <c r="K26" s="1036"/>
      <c r="L26" s="1035"/>
      <c r="M26" s="1032"/>
    </row>
    <row r="27" spans="1:13" x14ac:dyDescent="0.25">
      <c r="A27" s="1024"/>
      <c r="B27" s="1028"/>
      <c r="C27" s="1033"/>
      <c r="D27" s="1036"/>
      <c r="K27" s="1036"/>
      <c r="L27" s="1035"/>
      <c r="M27" s="1032"/>
    </row>
    <row r="28" spans="1:13" x14ac:dyDescent="0.25">
      <c r="A28" s="1024"/>
      <c r="B28" s="1028"/>
      <c r="C28" s="1033"/>
      <c r="D28" s="1036"/>
      <c r="K28" s="1036"/>
      <c r="L28" s="1035"/>
      <c r="M28" s="1032"/>
    </row>
    <row r="29" spans="1:13" x14ac:dyDescent="0.25">
      <c r="A29" s="1024"/>
      <c r="B29" s="1028"/>
      <c r="C29" s="1033"/>
      <c r="D29" s="1036"/>
      <c r="K29" s="1036"/>
      <c r="L29" s="1035"/>
      <c r="M29" s="1032"/>
    </row>
    <row r="30" spans="1:13" x14ac:dyDescent="0.25">
      <c r="A30" s="1024"/>
      <c r="B30" s="1028"/>
      <c r="C30" s="1033"/>
      <c r="D30" s="1036"/>
      <c r="E30" s="1036"/>
      <c r="F30" s="1036"/>
      <c r="G30" s="1036"/>
      <c r="H30" s="1036"/>
      <c r="I30" s="1036"/>
      <c r="J30" s="1036"/>
      <c r="K30" s="1036"/>
      <c r="L30" s="1035"/>
      <c r="M30" s="1032"/>
    </row>
    <row r="31" spans="1:13" ht="18.75" x14ac:dyDescent="0.3">
      <c r="A31" s="1024"/>
      <c r="B31" s="1028"/>
      <c r="C31" s="1033"/>
      <c r="D31" s="1036"/>
      <c r="E31" s="1040"/>
      <c r="F31" s="1040"/>
      <c r="G31" s="1040"/>
      <c r="H31" s="1040"/>
      <c r="I31" s="1040"/>
      <c r="J31" s="1040"/>
      <c r="K31" s="1036"/>
      <c r="L31" s="1035"/>
      <c r="M31" s="1032"/>
    </row>
    <row r="32" spans="1:13" x14ac:dyDescent="0.25">
      <c r="A32" s="1024"/>
      <c r="B32" s="1028"/>
      <c r="C32" s="1033"/>
      <c r="D32" s="1036"/>
      <c r="E32" s="1036"/>
      <c r="F32" s="1036"/>
      <c r="G32" s="1036"/>
      <c r="H32" s="1036"/>
      <c r="I32" s="1036"/>
      <c r="J32" s="1036"/>
      <c r="K32" s="1036"/>
      <c r="L32" s="1035"/>
      <c r="M32" s="1032"/>
    </row>
    <row r="33" spans="1:13" x14ac:dyDescent="0.25">
      <c r="A33" s="1024"/>
      <c r="B33" s="1028"/>
      <c r="C33" s="1033"/>
      <c r="D33" s="1036"/>
      <c r="E33" s="1036"/>
      <c r="F33" s="1036"/>
      <c r="G33" s="1036"/>
      <c r="H33" s="1036"/>
      <c r="I33" s="1036"/>
      <c r="J33" s="1036"/>
      <c r="K33" s="1036"/>
      <c r="L33" s="1035"/>
      <c r="M33" s="1032"/>
    </row>
    <row r="34" spans="1:13" x14ac:dyDescent="0.25">
      <c r="A34" s="1024"/>
      <c r="B34" s="1028"/>
      <c r="C34" s="1033"/>
      <c r="D34" s="1036"/>
      <c r="E34" s="1036"/>
      <c r="F34" s="1036"/>
      <c r="G34" s="1036"/>
      <c r="H34" s="1036"/>
      <c r="I34" s="1036"/>
      <c r="J34" s="1036"/>
      <c r="K34" s="1036"/>
      <c r="L34" s="1035"/>
      <c r="M34" s="1032"/>
    </row>
    <row r="35" spans="1:13" x14ac:dyDescent="0.25">
      <c r="A35" s="1024"/>
      <c r="B35" s="1028"/>
      <c r="C35" s="1033"/>
      <c r="D35" s="1036"/>
      <c r="E35" s="1036"/>
      <c r="F35" s="1036"/>
      <c r="G35" s="1036"/>
      <c r="H35" s="1036"/>
      <c r="I35" s="1036"/>
      <c r="J35" s="1036"/>
      <c r="K35" s="1036"/>
      <c r="L35" s="1035"/>
      <c r="M35" s="1032"/>
    </row>
    <row r="36" spans="1:13" x14ac:dyDescent="0.25">
      <c r="A36" s="1024"/>
      <c r="B36" s="1028"/>
      <c r="C36" s="1033"/>
      <c r="D36" s="1036"/>
      <c r="E36" s="1036"/>
      <c r="F36" s="1036"/>
      <c r="G36" s="1036"/>
      <c r="H36" s="1036"/>
      <c r="I36" s="1036"/>
      <c r="J36" s="1036"/>
      <c r="K36" s="1036"/>
      <c r="L36" s="1035"/>
      <c r="M36" s="1032"/>
    </row>
    <row r="37" spans="1:13" x14ac:dyDescent="0.25">
      <c r="A37" s="1024"/>
      <c r="B37" s="1028"/>
      <c r="C37" s="1033"/>
      <c r="D37" s="1036"/>
      <c r="E37" s="1036"/>
      <c r="F37" s="1036"/>
      <c r="G37" s="1036"/>
      <c r="H37" s="1036"/>
      <c r="I37" s="1036"/>
      <c r="J37" s="1036"/>
      <c r="K37" s="1036"/>
      <c r="L37" s="1035"/>
      <c r="M37" s="1032"/>
    </row>
    <row r="38" spans="1:13" x14ac:dyDescent="0.25">
      <c r="A38" s="1024"/>
      <c r="B38" s="1028"/>
      <c r="C38" s="1033"/>
      <c r="D38" s="1036"/>
      <c r="E38" s="1036"/>
      <c r="F38" s="1036"/>
      <c r="G38" s="1036"/>
      <c r="H38" s="1036"/>
      <c r="I38" s="1036"/>
      <c r="J38" s="1036"/>
      <c r="K38" s="1036"/>
      <c r="L38" s="1035"/>
      <c r="M38" s="1032"/>
    </row>
    <row r="39" spans="1:13" x14ac:dyDescent="0.25">
      <c r="A39" s="1024"/>
      <c r="B39" s="1028"/>
      <c r="C39" s="1033"/>
      <c r="D39" s="1036"/>
      <c r="E39" s="1036"/>
      <c r="F39" s="1036"/>
      <c r="G39" s="1036"/>
      <c r="H39" s="1036"/>
      <c r="I39" s="1036"/>
      <c r="J39" s="1036"/>
      <c r="K39" s="1036"/>
      <c r="L39" s="1035"/>
      <c r="M39" s="1032"/>
    </row>
    <row r="40" spans="1:13" x14ac:dyDescent="0.25">
      <c r="A40" s="1024"/>
      <c r="B40" s="1028"/>
      <c r="C40" s="1033"/>
      <c r="D40" s="1036"/>
      <c r="E40" s="1036"/>
      <c r="F40" s="1036"/>
      <c r="G40" s="1036"/>
      <c r="H40" s="1036"/>
      <c r="I40" s="1036"/>
      <c r="J40" s="1036"/>
      <c r="K40" s="1036"/>
      <c r="L40" s="1035"/>
      <c r="M40" s="1032"/>
    </row>
    <row r="41" spans="1:13" x14ac:dyDescent="0.25">
      <c r="A41" s="1024"/>
      <c r="B41" s="1028"/>
      <c r="C41" s="1033"/>
      <c r="D41" s="1036"/>
      <c r="E41" s="1036"/>
      <c r="F41" s="1036"/>
      <c r="G41" s="1036"/>
      <c r="H41" s="1036"/>
      <c r="I41" s="1036"/>
      <c r="J41" s="1036"/>
      <c r="K41" s="1036"/>
      <c r="L41" s="1035"/>
      <c r="M41" s="1032"/>
    </row>
    <row r="42" spans="1:13" x14ac:dyDescent="0.25">
      <c r="A42" s="1024"/>
      <c r="B42" s="1028"/>
      <c r="C42" s="1033"/>
      <c r="D42" s="1036"/>
      <c r="E42" s="1036"/>
      <c r="F42" s="1036"/>
      <c r="G42" s="1036"/>
      <c r="H42" s="1036"/>
      <c r="I42" s="1036"/>
      <c r="J42" s="1036"/>
      <c r="K42" s="1036"/>
      <c r="L42" s="1035"/>
      <c r="M42" s="1032"/>
    </row>
    <row r="43" spans="1:13" x14ac:dyDescent="0.25">
      <c r="A43" s="1024"/>
      <c r="B43" s="1028"/>
      <c r="C43" s="1033"/>
      <c r="D43" s="1036"/>
      <c r="E43" s="1036"/>
      <c r="F43" s="1036"/>
      <c r="G43" s="1036"/>
      <c r="H43" s="1036"/>
      <c r="I43" s="1036"/>
      <c r="J43" s="1036"/>
      <c r="K43" s="1036"/>
      <c r="L43" s="1035"/>
      <c r="M43" s="1032"/>
    </row>
    <row r="44" spans="1:13" x14ac:dyDescent="0.25">
      <c r="A44" s="1024"/>
      <c r="B44" s="1028"/>
      <c r="C44" s="1033"/>
      <c r="D44" s="1036"/>
      <c r="E44" s="1036"/>
      <c r="F44" s="1036"/>
      <c r="G44" s="1036"/>
      <c r="H44" s="1036"/>
      <c r="I44" s="1036"/>
      <c r="J44" s="1036"/>
      <c r="K44" s="1036"/>
      <c r="L44" s="1035"/>
      <c r="M44" s="1032"/>
    </row>
    <row r="45" spans="1:13" x14ac:dyDescent="0.25">
      <c r="A45" s="1024"/>
      <c r="B45" s="1028"/>
      <c r="C45" s="1033"/>
      <c r="D45" s="1036"/>
      <c r="E45" s="1036"/>
      <c r="F45" s="1036"/>
      <c r="G45" s="1036"/>
      <c r="H45" s="1036"/>
      <c r="I45" s="1036"/>
      <c r="J45" s="1036"/>
      <c r="K45" s="1036"/>
      <c r="L45" s="1035"/>
      <c r="M45" s="1032"/>
    </row>
    <row r="46" spans="1:13" x14ac:dyDescent="0.25">
      <c r="A46" s="1024"/>
      <c r="B46" s="1028"/>
      <c r="C46" s="1033"/>
      <c r="D46" s="1036"/>
      <c r="E46" s="1036"/>
      <c r="F46" s="1036"/>
      <c r="G46" s="1036"/>
      <c r="H46" s="1036"/>
      <c r="I46" s="1036"/>
      <c r="J46" s="1036"/>
      <c r="K46" s="1036"/>
      <c r="L46" s="1035"/>
      <c r="M46" s="1032"/>
    </row>
    <row r="47" spans="1:13" x14ac:dyDescent="0.25">
      <c r="A47" s="1024"/>
      <c r="B47" s="1028"/>
      <c r="C47" s="1033"/>
      <c r="D47" s="1036"/>
      <c r="E47" s="1036"/>
      <c r="F47" s="1036"/>
      <c r="G47" s="1036"/>
      <c r="H47" s="1036"/>
      <c r="I47" s="1036"/>
      <c r="J47" s="1036"/>
      <c r="K47" s="1036"/>
      <c r="L47" s="1035"/>
      <c r="M47" s="1032"/>
    </row>
    <row r="48" spans="1:13" x14ac:dyDescent="0.25">
      <c r="A48" s="1024"/>
      <c r="B48" s="1028"/>
      <c r="C48" s="1041"/>
      <c r="D48" s="1042"/>
      <c r="E48" s="1042"/>
      <c r="F48" s="1042"/>
      <c r="G48" s="1042"/>
      <c r="H48" s="1042"/>
      <c r="I48" s="1042"/>
      <c r="J48" s="1042"/>
      <c r="K48" s="1042"/>
      <c r="L48" s="1043"/>
      <c r="M48" s="1032"/>
    </row>
    <row r="49" spans="1:13" ht="3.75" customHeight="1" thickBot="1" x14ac:dyDescent="0.3">
      <c r="A49" s="1024"/>
      <c r="B49" s="1044"/>
      <c r="C49" s="1045"/>
      <c r="D49" s="1045"/>
      <c r="E49" s="1045"/>
      <c r="F49" s="1045"/>
      <c r="G49" s="1045"/>
      <c r="H49" s="1045"/>
      <c r="I49" s="1045"/>
      <c r="J49" s="1045"/>
      <c r="K49" s="1045"/>
      <c r="L49" s="1045"/>
      <c r="M49" s="1046"/>
    </row>
  </sheetData>
  <sheetProtection selectLockedCells="1"/>
  <mergeCells count="1">
    <mergeCell ref="E21:J24"/>
  </mergeCells>
  <printOptions horizontalCentered="1" verticalCentered="1"/>
  <pageMargins left="0.70866141732283472" right="0.70866141732283472" top="0.74803149606299213" bottom="0.74803149606299213" header="0.31496062992125984" footer="0.31496062992125984"/>
  <pageSetup paperSize="9" scale="9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tabColor rgb="FF00B050"/>
    <pageSetUpPr fitToPage="1"/>
  </sheetPr>
  <dimension ref="A1:L131"/>
  <sheetViews>
    <sheetView view="pageBreakPreview" zoomScaleNormal="100" zoomScaleSheetLayoutView="100" workbookViewId="0">
      <selection activeCell="H36" sqref="H36"/>
    </sheetView>
  </sheetViews>
  <sheetFormatPr baseColWidth="10" defaultColWidth="0" defaultRowHeight="15" zeroHeight="1" x14ac:dyDescent="0.25"/>
  <cols>
    <col min="1" max="3" width="11.42578125" style="300" customWidth="1"/>
    <col min="4" max="4" width="42.28515625" style="301" customWidth="1"/>
    <col min="5" max="5" width="4.5703125" style="301" customWidth="1"/>
    <col min="6" max="6" width="8.140625" style="301" customWidth="1"/>
    <col min="7" max="7" width="7.5703125" style="301" customWidth="1"/>
    <col min="8" max="8" width="48.140625" style="301" customWidth="1"/>
    <col min="9" max="12" width="11.42578125" style="300" customWidth="1"/>
    <col min="13" max="16384" width="11.42578125" style="301" hidden="1"/>
  </cols>
  <sheetData>
    <row r="1" spans="4:8" ht="15.75" x14ac:dyDescent="0.25">
      <c r="D1" s="1792"/>
      <c r="E1" s="1793"/>
      <c r="F1" s="1793"/>
      <c r="G1" s="1793"/>
      <c r="H1" s="1794"/>
    </row>
    <row r="2" spans="4:8" ht="18.75" x14ac:dyDescent="0.3">
      <c r="D2" s="1317"/>
      <c r="E2" s="1319" t="s">
        <v>798</v>
      </c>
      <c r="F2" s="1318"/>
      <c r="G2" s="303"/>
      <c r="H2" s="304"/>
    </row>
    <row r="3" spans="4:8" ht="15" customHeight="1" x14ac:dyDescent="0.25">
      <c r="D3" s="1795"/>
      <c r="E3" s="1796"/>
      <c r="F3" s="1796"/>
      <c r="G3" s="1796"/>
      <c r="H3" s="1797"/>
    </row>
    <row r="4" spans="4:8" ht="15" customHeight="1" x14ac:dyDescent="0.25">
      <c r="D4" s="302"/>
      <c r="E4" s="303"/>
      <c r="F4" s="303"/>
      <c r="G4" s="303"/>
      <c r="H4" s="304"/>
    </row>
    <row r="5" spans="4:8" ht="15" customHeight="1" x14ac:dyDescent="0.25">
      <c r="D5" s="1798" t="str">
        <f>INFORMATIONS!B3</f>
        <v>MINISTERE DE L'ECONOMIE, DES FINANCES ET DU DEVELOPPEMENT</v>
      </c>
      <c r="E5" s="1799"/>
      <c r="F5" s="1799"/>
      <c r="G5" s="1799"/>
      <c r="H5" s="1800"/>
    </row>
    <row r="6" spans="4:8" ht="15" customHeight="1" x14ac:dyDescent="0.25">
      <c r="D6" s="302"/>
      <c r="E6" s="303"/>
      <c r="F6" s="303"/>
      <c r="G6" s="303"/>
      <c r="H6" s="304"/>
    </row>
    <row r="7" spans="4:8" x14ac:dyDescent="0.25">
      <c r="D7" s="305"/>
      <c r="E7" s="306"/>
      <c r="F7" s="306"/>
      <c r="G7" s="306"/>
      <c r="H7" s="307"/>
    </row>
    <row r="8" spans="4:8" ht="15.75" x14ac:dyDescent="0.25">
      <c r="D8" s="1801" t="s">
        <v>1086</v>
      </c>
      <c r="E8" s="1802"/>
      <c r="F8" s="1802"/>
      <c r="G8" s="1802"/>
      <c r="H8" s="308" t="str">
        <f>INFORMATIONS!B18</f>
        <v>Ouagadougou</v>
      </c>
    </row>
    <row r="9" spans="4:8" x14ac:dyDescent="0.25">
      <c r="D9" s="309"/>
      <c r="E9" s="306"/>
      <c r="F9" s="306"/>
      <c r="G9" s="306"/>
      <c r="H9" s="307"/>
    </row>
    <row r="10" spans="4:8" ht="18.75" x14ac:dyDescent="0.3">
      <c r="D10" s="1789" t="s">
        <v>1087</v>
      </c>
      <c r="E10" s="1790"/>
      <c r="F10" s="1790"/>
      <c r="G10" s="1790"/>
      <c r="H10" s="1791"/>
    </row>
    <row r="11" spans="4:8" ht="18.75" x14ac:dyDescent="0.3">
      <c r="D11" s="1789" t="s">
        <v>1088</v>
      </c>
      <c r="E11" s="1790"/>
      <c r="F11" s="1790"/>
      <c r="G11" s="1790"/>
      <c r="H11" s="1791"/>
    </row>
    <row r="12" spans="4:8" x14ac:dyDescent="0.25">
      <c r="D12" s="310"/>
      <c r="E12" s="311"/>
      <c r="F12" s="311"/>
      <c r="G12" s="311"/>
      <c r="H12" s="312"/>
    </row>
    <row r="13" spans="4:8" x14ac:dyDescent="0.25">
      <c r="D13" s="310"/>
      <c r="E13" s="311"/>
      <c r="F13" s="311"/>
      <c r="G13" s="311"/>
      <c r="H13" s="312"/>
    </row>
    <row r="14" spans="4:8" x14ac:dyDescent="0.25">
      <c r="D14" s="309"/>
      <c r="E14" s="306"/>
      <c r="F14" s="306"/>
      <c r="G14" s="306"/>
      <c r="H14" s="307"/>
    </row>
    <row r="15" spans="4:8" ht="18.75" x14ac:dyDescent="0.3">
      <c r="D15" s="1806" t="s">
        <v>1108</v>
      </c>
      <c r="E15" s="1807"/>
      <c r="F15" s="1807"/>
      <c r="G15" s="1807"/>
      <c r="H15" s="313">
        <f>INFORMATIONS!D31</f>
        <v>43465</v>
      </c>
    </row>
    <row r="16" spans="4:8" x14ac:dyDescent="0.25">
      <c r="D16" s="309"/>
      <c r="E16" s="306"/>
      <c r="F16" s="306"/>
      <c r="G16" s="306"/>
      <c r="H16" s="307"/>
    </row>
    <row r="17" spans="4:9" ht="15" customHeight="1" x14ac:dyDescent="0.3">
      <c r="D17" s="1813" t="s">
        <v>1089</v>
      </c>
      <c r="E17" s="1814"/>
      <c r="F17" s="1814"/>
      <c r="G17" s="1814"/>
      <c r="H17" s="1815"/>
      <c r="I17" s="314"/>
    </row>
    <row r="18" spans="4:9" ht="15" customHeight="1" x14ac:dyDescent="0.25">
      <c r="D18" s="309"/>
      <c r="E18" s="315"/>
      <c r="F18" s="315"/>
      <c r="G18" s="315"/>
      <c r="H18" s="316"/>
      <c r="I18" s="314"/>
    </row>
    <row r="19" spans="4:9" ht="15" customHeight="1" x14ac:dyDescent="0.25">
      <c r="D19" s="309"/>
      <c r="E19" s="315"/>
      <c r="F19" s="315"/>
      <c r="G19" s="315"/>
      <c r="H19" s="316"/>
      <c r="I19" s="314"/>
    </row>
    <row r="20" spans="4:9" ht="18.75" x14ac:dyDescent="0.3">
      <c r="D20" s="317" t="s">
        <v>1090</v>
      </c>
      <c r="E20" s="318" t="str">
        <f>IF(INFORMATIONS!B12="INDIVIDUELLE",INFORMATIONS!B13&amp;"/"&amp;INFORMATIONS!B10,INFORMATIONS!B10)</f>
        <v>SAMBA BONIFACE/SAM CONSEILS</v>
      </c>
      <c r="F20" s="319"/>
      <c r="G20" s="319"/>
      <c r="H20" s="320"/>
    </row>
    <row r="21" spans="4:9" x14ac:dyDescent="0.25">
      <c r="D21" s="309" t="s">
        <v>1091</v>
      </c>
      <c r="E21" s="306"/>
      <c r="F21" s="306"/>
      <c r="G21" s="306"/>
      <c r="H21" s="307"/>
    </row>
    <row r="22" spans="4:9" x14ac:dyDescent="0.25">
      <c r="D22" s="309"/>
      <c r="E22" s="306"/>
      <c r="F22" s="306"/>
      <c r="G22" s="306"/>
      <c r="H22" s="307"/>
    </row>
    <row r="23" spans="4:9" x14ac:dyDescent="0.25">
      <c r="D23" s="309"/>
      <c r="E23" s="306"/>
      <c r="F23" s="306"/>
      <c r="G23" s="306"/>
      <c r="H23" s="307"/>
    </row>
    <row r="24" spans="4:9" ht="18.75" x14ac:dyDescent="0.3">
      <c r="D24" s="317" t="s">
        <v>1107</v>
      </c>
      <c r="E24" s="1808" t="str">
        <f>INFORMATIONS!B11</f>
        <v>SAM CONSEILS</v>
      </c>
      <c r="F24" s="1809"/>
      <c r="G24" s="1809"/>
      <c r="H24" s="1810"/>
    </row>
    <row r="25" spans="4:9" ht="17.25" x14ac:dyDescent="0.3">
      <c r="D25" s="305"/>
      <c r="E25" s="321"/>
      <c r="F25" s="322"/>
      <c r="G25" s="322"/>
      <c r="H25" s="323"/>
    </row>
    <row r="26" spans="4:9" x14ac:dyDescent="0.25">
      <c r="D26" s="309"/>
      <c r="E26" s="306"/>
      <c r="F26" s="306"/>
      <c r="G26" s="306"/>
      <c r="H26" s="307"/>
    </row>
    <row r="27" spans="4:9" ht="18.75" x14ac:dyDescent="0.3">
      <c r="D27" s="317" t="s">
        <v>1092</v>
      </c>
      <c r="E27" s="324"/>
      <c r="F27" s="325" t="str">
        <f>INFORMATIONS!B19&amp;"  "&amp;INFORMATIONS!C19&amp;"  "&amp;INFORMATIONS!D19&amp;"  "&amp;INFORMATIONS!E19&amp;"  "&amp;INFORMATIONS!F19</f>
        <v>02  BP  5358  OUAGA  02</v>
      </c>
      <c r="G27" s="326"/>
      <c r="H27" s="327"/>
    </row>
    <row r="28" spans="4:9" x14ac:dyDescent="0.25">
      <c r="D28" s="305"/>
      <c r="E28" s="328"/>
      <c r="F28" s="311"/>
      <c r="G28" s="329"/>
      <c r="H28" s="330"/>
    </row>
    <row r="29" spans="4:9" x14ac:dyDescent="0.25">
      <c r="D29" s="309"/>
      <c r="E29" s="306"/>
      <c r="F29" s="306"/>
      <c r="G29" s="306"/>
      <c r="H29" s="307"/>
    </row>
    <row r="30" spans="4:9" ht="15" customHeight="1" x14ac:dyDescent="0.3">
      <c r="D30" s="317" t="s">
        <v>1093</v>
      </c>
      <c r="E30" s="1811" t="str">
        <f>INFORMATIONS!B24</f>
        <v>00084404X</v>
      </c>
      <c r="F30" s="1811"/>
      <c r="G30" s="1811"/>
      <c r="H30" s="1812"/>
    </row>
    <row r="31" spans="4:9" ht="15" customHeight="1" x14ac:dyDescent="0.3">
      <c r="D31" s="317" t="s">
        <v>4470</v>
      </c>
      <c r="E31" s="1811"/>
      <c r="F31" s="1811"/>
      <c r="G31" s="1811"/>
      <c r="H31" s="1812"/>
    </row>
    <row r="32" spans="4:9" x14ac:dyDescent="0.25">
      <c r="D32" s="309"/>
      <c r="E32" s="306"/>
      <c r="F32" s="306"/>
      <c r="G32" s="306"/>
      <c r="H32" s="307"/>
    </row>
    <row r="33" spans="4:8" ht="15.75" x14ac:dyDescent="0.25">
      <c r="D33" s="1803" t="s">
        <v>1094</v>
      </c>
      <c r="E33" s="1804"/>
      <c r="F33" s="1804"/>
      <c r="G33" s="1804"/>
      <c r="H33" s="1805"/>
    </row>
    <row r="34" spans="4:8" x14ac:dyDescent="0.25">
      <c r="D34" s="309"/>
      <c r="E34" s="306"/>
      <c r="F34" s="306"/>
      <c r="G34" s="306"/>
      <c r="H34" s="307"/>
    </row>
    <row r="35" spans="4:8" ht="15.75" x14ac:dyDescent="0.25">
      <c r="D35" s="1787" t="s">
        <v>1095</v>
      </c>
      <c r="E35" s="331"/>
      <c r="F35" s="332"/>
      <c r="G35" s="332"/>
      <c r="H35" s="1816" t="s">
        <v>1101</v>
      </c>
    </row>
    <row r="36" spans="4:8" ht="15.75" x14ac:dyDescent="0.25">
      <c r="D36" s="1788"/>
      <c r="E36" s="332"/>
      <c r="F36" s="332"/>
      <c r="G36" s="332"/>
      <c r="H36" s="1817"/>
    </row>
    <row r="37" spans="4:8" ht="20.100000000000001" customHeight="1" x14ac:dyDescent="0.25">
      <c r="D37" s="1824" t="s">
        <v>1096</v>
      </c>
      <c r="E37" s="1824"/>
      <c r="F37" s="333"/>
      <c r="G37" s="306"/>
      <c r="H37" s="334" t="s">
        <v>1102</v>
      </c>
    </row>
    <row r="38" spans="4:8" ht="20.100000000000001" customHeight="1" x14ac:dyDescent="0.25">
      <c r="D38" s="1824" t="s">
        <v>1097</v>
      </c>
      <c r="E38" s="1824"/>
      <c r="F38" s="333"/>
      <c r="G38" s="306"/>
      <c r="H38" s="335"/>
    </row>
    <row r="39" spans="4:8" ht="20.100000000000001" customHeight="1" x14ac:dyDescent="0.25">
      <c r="D39" s="1824" t="s">
        <v>1098</v>
      </c>
      <c r="E39" s="1824"/>
      <c r="F39" s="333"/>
      <c r="G39" s="306"/>
      <c r="H39" s="334" t="s">
        <v>1103</v>
      </c>
    </row>
    <row r="40" spans="4:8" ht="20.100000000000001" customHeight="1" x14ac:dyDescent="0.25">
      <c r="D40" s="1824" t="s">
        <v>1099</v>
      </c>
      <c r="E40" s="1824"/>
      <c r="F40" s="333"/>
      <c r="G40" s="306"/>
      <c r="H40" s="1825"/>
    </row>
    <row r="41" spans="4:8" ht="20.100000000000001" customHeight="1" x14ac:dyDescent="0.25">
      <c r="D41" s="1824" t="s">
        <v>1100</v>
      </c>
      <c r="E41" s="1824"/>
      <c r="F41" s="333"/>
      <c r="G41" s="306"/>
      <c r="H41" s="1825"/>
    </row>
    <row r="42" spans="4:8" ht="20.100000000000001" customHeight="1" x14ac:dyDescent="0.25">
      <c r="D42" s="1304" t="s">
        <v>4469</v>
      </c>
      <c r="E42" s="1305"/>
      <c r="F42" s="338"/>
      <c r="G42" s="306"/>
      <c r="H42" s="1299"/>
    </row>
    <row r="43" spans="4:8" ht="20.100000000000001" customHeight="1" x14ac:dyDescent="0.25">
      <c r="D43" s="336"/>
      <c r="E43" s="337"/>
      <c r="F43" s="338"/>
      <c r="G43" s="306"/>
      <c r="H43" s="334" t="s">
        <v>1104</v>
      </c>
    </row>
    <row r="44" spans="4:8" x14ac:dyDescent="0.25">
      <c r="D44" s="339" t="s">
        <v>1105</v>
      </c>
      <c r="E44" s="340"/>
      <c r="F44" s="341"/>
      <c r="G44" s="306"/>
      <c r="H44" s="1825"/>
    </row>
    <row r="45" spans="4:8" x14ac:dyDescent="0.25">
      <c r="D45" s="339" t="s">
        <v>1106</v>
      </c>
      <c r="E45" s="342"/>
      <c r="F45" s="343" t="s">
        <v>1269</v>
      </c>
      <c r="G45" s="306"/>
      <c r="H45" s="1825"/>
    </row>
    <row r="46" spans="4:8" x14ac:dyDescent="0.25">
      <c r="D46" s="305"/>
      <c r="E46" s="353"/>
      <c r="F46" s="1320"/>
      <c r="G46" s="306"/>
      <c r="H46" s="1321"/>
    </row>
    <row r="47" spans="4:8" x14ac:dyDescent="0.25">
      <c r="D47" s="305"/>
      <c r="E47" s="353"/>
      <c r="F47" s="1320"/>
      <c r="G47" s="306"/>
      <c r="H47" s="1321"/>
    </row>
    <row r="48" spans="4:8" x14ac:dyDescent="0.25">
      <c r="D48" s="305"/>
      <c r="E48" s="353"/>
      <c r="F48" s="1320"/>
      <c r="G48" s="306"/>
      <c r="H48" s="1321"/>
    </row>
    <row r="49" spans="1:12" x14ac:dyDescent="0.25">
      <c r="D49" s="305"/>
      <c r="E49" s="353"/>
      <c r="F49" s="1156" t="s">
        <v>3974</v>
      </c>
      <c r="G49" s="306"/>
      <c r="H49" s="1321"/>
    </row>
    <row r="50" spans="1:12" x14ac:dyDescent="0.25">
      <c r="D50" s="305"/>
      <c r="E50" s="353"/>
      <c r="G50" s="306"/>
      <c r="H50" s="1321"/>
    </row>
    <row r="51" spans="1:12" x14ac:dyDescent="0.25">
      <c r="D51" s="305"/>
      <c r="E51" s="353"/>
      <c r="F51" s="1320"/>
      <c r="G51" s="306"/>
      <c r="H51" s="1321"/>
    </row>
    <row r="52" spans="1:12" x14ac:dyDescent="0.25">
      <c r="D52" s="1322" t="s">
        <v>4476</v>
      </c>
      <c r="G52" s="306"/>
      <c r="H52" s="1321"/>
    </row>
    <row r="53" spans="1:12" x14ac:dyDescent="0.25">
      <c r="D53" s="305"/>
      <c r="E53" s="353"/>
      <c r="F53" s="1320"/>
      <c r="G53" s="306"/>
      <c r="H53" s="1321"/>
    </row>
    <row r="54" spans="1:12" x14ac:dyDescent="0.25">
      <c r="D54" s="1323" t="s">
        <v>4477</v>
      </c>
      <c r="E54" s="353"/>
      <c r="F54" s="1320"/>
      <c r="G54" s="306"/>
      <c r="H54" s="1321"/>
    </row>
    <row r="55" spans="1:12" s="1330" customFormat="1" x14ac:dyDescent="0.25">
      <c r="A55" s="1324"/>
      <c r="B55" s="1324"/>
      <c r="C55" s="1324"/>
      <c r="D55" s="1325"/>
      <c r="E55" s="1326"/>
      <c r="F55" s="1327"/>
      <c r="G55" s="1328"/>
      <c r="H55" s="1329"/>
      <c r="I55" s="1324"/>
      <c r="J55" s="1324"/>
      <c r="K55" s="1324"/>
      <c r="L55" s="1324"/>
    </row>
    <row r="56" spans="1:12" s="1330" customFormat="1" x14ac:dyDescent="0.25">
      <c r="A56" s="1324"/>
      <c r="B56" s="1324"/>
      <c r="C56" s="1324"/>
      <c r="D56" s="1331" t="s">
        <v>4478</v>
      </c>
      <c r="E56" s="1326"/>
      <c r="F56" s="1327"/>
      <c r="G56" s="1328"/>
      <c r="H56" s="1329"/>
      <c r="I56" s="1324"/>
      <c r="J56" s="1324"/>
      <c r="K56" s="1324"/>
      <c r="L56" s="1324"/>
    </row>
    <row r="57" spans="1:12" s="1330" customFormat="1" x14ac:dyDescent="0.25">
      <c r="A57" s="1324"/>
      <c r="B57" s="1324"/>
      <c r="C57" s="1324"/>
      <c r="D57" s="1331" t="s">
        <v>4479</v>
      </c>
      <c r="E57" s="1326"/>
      <c r="F57" s="1327"/>
      <c r="G57" s="1328"/>
      <c r="H57" s="1329"/>
      <c r="I57" s="1324"/>
      <c r="J57" s="1324"/>
      <c r="K57" s="1324"/>
      <c r="L57" s="1324"/>
    </row>
    <row r="58" spans="1:12" s="1330" customFormat="1" x14ac:dyDescent="0.25">
      <c r="A58" s="1324"/>
      <c r="B58" s="1324"/>
      <c r="C58" s="1324"/>
      <c r="D58" s="1331" t="s">
        <v>4480</v>
      </c>
      <c r="E58" s="1326"/>
      <c r="F58" s="1327"/>
      <c r="G58" s="1328"/>
      <c r="H58" s="1329"/>
      <c r="I58" s="1324"/>
      <c r="J58" s="1324"/>
      <c r="K58" s="1324"/>
      <c r="L58" s="1324"/>
    </row>
    <row r="59" spans="1:12" s="1330" customFormat="1" x14ac:dyDescent="0.25">
      <c r="A59" s="1324"/>
      <c r="B59" s="1324"/>
      <c r="C59" s="1324"/>
      <c r="D59" s="1331" t="s">
        <v>4481</v>
      </c>
      <c r="E59" s="1326"/>
      <c r="F59" s="1327"/>
      <c r="G59" s="1328"/>
      <c r="H59" s="1329"/>
      <c r="I59" s="1324"/>
      <c r="J59" s="1324"/>
      <c r="K59" s="1324"/>
      <c r="L59" s="1324"/>
    </row>
    <row r="60" spans="1:12" s="1330" customFormat="1" x14ac:dyDescent="0.25">
      <c r="A60" s="1324"/>
      <c r="B60" s="1324"/>
      <c r="C60" s="1324"/>
      <c r="D60" s="1331" t="s">
        <v>4482</v>
      </c>
      <c r="E60" s="1326"/>
      <c r="F60" s="1327"/>
      <c r="G60" s="1328"/>
      <c r="H60" s="1329"/>
      <c r="I60" s="1324"/>
      <c r="J60" s="1324"/>
      <c r="K60" s="1324"/>
      <c r="L60" s="1324"/>
    </row>
    <row r="61" spans="1:12" s="1330" customFormat="1" x14ac:dyDescent="0.25">
      <c r="A61" s="1324"/>
      <c r="B61" s="1324"/>
      <c r="C61" s="1324"/>
      <c r="D61" s="1331" t="s">
        <v>4483</v>
      </c>
      <c r="E61" s="1326"/>
      <c r="F61" s="1327"/>
      <c r="G61" s="1328"/>
      <c r="H61" s="1329"/>
      <c r="I61" s="1324"/>
      <c r="J61" s="1324"/>
      <c r="K61" s="1324"/>
      <c r="L61" s="1324"/>
    </row>
    <row r="62" spans="1:12" x14ac:dyDescent="0.25">
      <c r="D62" s="305"/>
      <c r="E62" s="353"/>
      <c r="F62" s="1320"/>
      <c r="G62" s="306"/>
      <c r="H62" s="1321"/>
    </row>
    <row r="63" spans="1:12" x14ac:dyDescent="0.25">
      <c r="D63" s="1323" t="s">
        <v>4484</v>
      </c>
      <c r="E63" s="353"/>
      <c r="F63" s="1320"/>
      <c r="G63" s="306"/>
      <c r="H63" s="1321"/>
    </row>
    <row r="64" spans="1:12" x14ac:dyDescent="0.25">
      <c r="D64" s="305"/>
      <c r="E64" s="353"/>
      <c r="F64" s="1320"/>
      <c r="G64" s="306"/>
      <c r="H64" s="1321"/>
    </row>
    <row r="65" spans="1:12" s="1330" customFormat="1" x14ac:dyDescent="0.25">
      <c r="A65" s="1324"/>
      <c r="B65" s="1324"/>
      <c r="C65" s="1324"/>
      <c r="D65" s="1331" t="s">
        <v>4485</v>
      </c>
      <c r="E65" s="1326"/>
      <c r="F65" s="1327"/>
      <c r="G65" s="1328"/>
      <c r="H65" s="1329"/>
      <c r="I65" s="1324"/>
      <c r="J65" s="1324"/>
      <c r="K65" s="1324"/>
      <c r="L65" s="1324"/>
    </row>
    <row r="66" spans="1:12" s="1330" customFormat="1" x14ac:dyDescent="0.25">
      <c r="A66" s="1324"/>
      <c r="B66" s="1324"/>
      <c r="C66" s="1324"/>
      <c r="D66" s="1331" t="s">
        <v>4486</v>
      </c>
      <c r="E66" s="1326"/>
      <c r="F66" s="1327"/>
      <c r="G66" s="1328"/>
      <c r="H66" s="1329"/>
      <c r="I66" s="1324"/>
      <c r="J66" s="1324"/>
      <c r="K66" s="1324"/>
      <c r="L66" s="1324"/>
    </row>
    <row r="67" spans="1:12" s="1330" customFormat="1" x14ac:dyDescent="0.25">
      <c r="A67" s="1324"/>
      <c r="B67" s="1324"/>
      <c r="C67" s="1324"/>
      <c r="D67" s="1331" t="s">
        <v>4480</v>
      </c>
      <c r="E67" s="1326"/>
      <c r="F67" s="1327"/>
      <c r="G67" s="1328"/>
      <c r="H67" s="1329"/>
      <c r="I67" s="1324"/>
      <c r="J67" s="1324"/>
      <c r="K67" s="1324"/>
      <c r="L67" s="1324"/>
    </row>
    <row r="68" spans="1:12" s="1330" customFormat="1" x14ac:dyDescent="0.25">
      <c r="A68" s="1324"/>
      <c r="B68" s="1324"/>
      <c r="C68" s="1324"/>
      <c r="D68" s="1331" t="s">
        <v>4482</v>
      </c>
      <c r="E68" s="1326"/>
      <c r="F68" s="1327"/>
      <c r="G68" s="1328"/>
      <c r="H68" s="1329"/>
      <c r="I68" s="1324"/>
      <c r="J68" s="1324"/>
      <c r="K68" s="1324"/>
      <c r="L68" s="1324"/>
    </row>
    <row r="69" spans="1:12" s="1330" customFormat="1" x14ac:dyDescent="0.25">
      <c r="A69" s="1324"/>
      <c r="B69" s="1324"/>
      <c r="C69" s="1324"/>
      <c r="D69" s="1331" t="s">
        <v>4483</v>
      </c>
      <c r="E69" s="1326"/>
      <c r="F69" s="1327"/>
      <c r="G69" s="1328"/>
      <c r="H69" s="1329"/>
      <c r="I69" s="1324"/>
      <c r="J69" s="1324"/>
      <c r="K69" s="1324"/>
      <c r="L69" s="1324"/>
    </row>
    <row r="70" spans="1:12" s="1330" customFormat="1" x14ac:dyDescent="0.25">
      <c r="A70" s="1324"/>
      <c r="B70" s="1324"/>
      <c r="C70" s="1324"/>
      <c r="D70" s="1331"/>
      <c r="E70" s="1326"/>
      <c r="F70" s="1327"/>
      <c r="G70" s="1328"/>
      <c r="H70" s="1329"/>
      <c r="I70" s="1324"/>
      <c r="J70" s="1324"/>
      <c r="K70" s="1324"/>
      <c r="L70" s="1324"/>
    </row>
    <row r="71" spans="1:12" x14ac:dyDescent="0.25">
      <c r="D71" s="1323" t="s">
        <v>4487</v>
      </c>
      <c r="E71" s="353"/>
      <c r="F71" s="1320"/>
      <c r="G71" s="306"/>
      <c r="H71" s="1321"/>
    </row>
    <row r="72" spans="1:12" x14ac:dyDescent="0.25">
      <c r="D72" s="305"/>
      <c r="E72" s="353"/>
      <c r="F72" s="1320"/>
      <c r="G72" s="306"/>
      <c r="H72" s="1321"/>
    </row>
    <row r="73" spans="1:12" s="1330" customFormat="1" x14ac:dyDescent="0.25">
      <c r="A73" s="1324"/>
      <c r="B73" s="1324"/>
      <c r="C73" s="1324"/>
      <c r="D73" s="1331" t="s">
        <v>4488</v>
      </c>
      <c r="E73" s="1326"/>
      <c r="F73" s="1327"/>
      <c r="G73" s="1328"/>
      <c r="H73" s="1329"/>
      <c r="I73" s="1324"/>
      <c r="J73" s="1324"/>
      <c r="K73" s="1324"/>
      <c r="L73" s="1324"/>
    </row>
    <row r="74" spans="1:12" s="1330" customFormat="1" x14ac:dyDescent="0.25">
      <c r="A74" s="1324"/>
      <c r="B74" s="1324"/>
      <c r="C74" s="1324"/>
      <c r="D74" s="1331" t="s">
        <v>4489</v>
      </c>
      <c r="E74" s="1326"/>
      <c r="F74" s="1327"/>
      <c r="G74" s="1328"/>
      <c r="H74" s="1329"/>
      <c r="I74" s="1324"/>
      <c r="J74" s="1324"/>
      <c r="K74" s="1324"/>
      <c r="L74" s="1324"/>
    </row>
    <row r="75" spans="1:12" x14ac:dyDescent="0.25">
      <c r="D75" s="305"/>
      <c r="E75" s="353"/>
      <c r="F75" s="1320"/>
      <c r="G75" s="306"/>
      <c r="H75" s="1321"/>
    </row>
    <row r="76" spans="1:12" x14ac:dyDescent="0.25">
      <c r="D76" s="305"/>
      <c r="E76" s="353"/>
      <c r="F76" s="1320"/>
      <c r="G76" s="306"/>
      <c r="H76" s="1321"/>
    </row>
    <row r="77" spans="1:12" x14ac:dyDescent="0.25">
      <c r="D77" s="305"/>
      <c r="E77" s="353"/>
      <c r="F77" s="1320"/>
      <c r="G77" s="306"/>
      <c r="H77" s="1321"/>
    </row>
    <row r="78" spans="1:12" x14ac:dyDescent="0.25">
      <c r="D78" s="305"/>
      <c r="E78" s="353"/>
      <c r="F78" s="1320"/>
      <c r="G78" s="306"/>
      <c r="H78" s="1321"/>
    </row>
    <row r="79" spans="1:12" x14ac:dyDescent="0.25">
      <c r="D79" s="305"/>
      <c r="E79" s="353"/>
      <c r="F79" s="1320"/>
      <c r="G79" s="306"/>
      <c r="H79" s="1321"/>
    </row>
    <row r="80" spans="1:12" x14ac:dyDescent="0.25">
      <c r="D80" s="305"/>
      <c r="E80" s="353"/>
      <c r="F80" s="1320"/>
      <c r="G80" s="306"/>
      <c r="H80" s="1321"/>
    </row>
    <row r="81" spans="4:8" x14ac:dyDescent="0.25">
      <c r="D81" s="305"/>
      <c r="E81" s="353"/>
      <c r="F81" s="1320"/>
      <c r="G81" s="306"/>
      <c r="H81" s="1321"/>
    </row>
    <row r="82" spans="4:8" x14ac:dyDescent="0.25">
      <c r="D82" s="305"/>
      <c r="E82" s="353"/>
      <c r="F82" s="1320"/>
      <c r="G82" s="306"/>
      <c r="H82" s="1321"/>
    </row>
    <row r="83" spans="4:8" x14ac:dyDescent="0.25">
      <c r="D83" s="305"/>
      <c r="E83" s="353"/>
      <c r="F83" s="1320"/>
      <c r="G83" s="306"/>
      <c r="H83" s="1321"/>
    </row>
    <row r="84" spans="4:8" x14ac:dyDescent="0.25">
      <c r="D84" s="305"/>
      <c r="E84" s="353"/>
      <c r="F84" s="1320"/>
      <c r="G84" s="306"/>
      <c r="H84" s="1321"/>
    </row>
    <row r="85" spans="4:8" x14ac:dyDescent="0.25">
      <c r="D85" s="305"/>
      <c r="E85" s="353"/>
      <c r="F85" s="1320"/>
      <c r="G85" s="306"/>
      <c r="H85" s="1321"/>
    </row>
    <row r="86" spans="4:8" x14ac:dyDescent="0.25">
      <c r="D86" s="305"/>
      <c r="E86" s="353"/>
      <c r="F86" s="1320"/>
      <c r="G86" s="306"/>
      <c r="H86" s="1321"/>
    </row>
    <row r="87" spans="4:8" x14ac:dyDescent="0.25">
      <c r="D87" s="305"/>
      <c r="E87" s="353"/>
      <c r="F87" s="1320"/>
      <c r="G87" s="306"/>
      <c r="H87" s="1321"/>
    </row>
    <row r="88" spans="4:8" x14ac:dyDescent="0.25">
      <c r="D88" s="305"/>
      <c r="E88" s="353"/>
      <c r="F88" s="1320"/>
      <c r="G88" s="306"/>
      <c r="H88" s="1321"/>
    </row>
    <row r="89" spans="4:8" x14ac:dyDescent="0.25">
      <c r="D89" s="305"/>
      <c r="E89" s="353"/>
      <c r="F89" s="1320"/>
      <c r="G89" s="306"/>
      <c r="H89" s="1321"/>
    </row>
    <row r="90" spans="4:8" x14ac:dyDescent="0.25">
      <c r="D90" s="1818"/>
      <c r="E90" s="1819"/>
      <c r="F90" s="1819"/>
      <c r="G90" s="1819"/>
      <c r="H90" s="1820"/>
    </row>
    <row r="91" spans="4:8" x14ac:dyDescent="0.25">
      <c r="D91" s="1818"/>
      <c r="E91" s="1819"/>
      <c r="F91" s="1819"/>
      <c r="G91" s="1819"/>
      <c r="H91" s="1820"/>
    </row>
    <row r="92" spans="4:8" x14ac:dyDescent="0.25">
      <c r="D92" s="1818"/>
      <c r="E92" s="1819"/>
      <c r="F92" s="1819"/>
      <c r="G92" s="1819"/>
      <c r="H92" s="1820"/>
    </row>
    <row r="93" spans="4:8" x14ac:dyDescent="0.25">
      <c r="D93" s="1818"/>
      <c r="E93" s="1819"/>
      <c r="F93" s="1819"/>
      <c r="G93" s="1819"/>
      <c r="H93" s="1820"/>
    </row>
    <row r="94" spans="4:8" x14ac:dyDescent="0.25">
      <c r="D94" s="1821"/>
      <c r="E94" s="1822"/>
      <c r="F94" s="1822"/>
      <c r="G94" s="1822"/>
      <c r="H94" s="1823"/>
    </row>
    <row r="95" spans="4:8" s="300" customFormat="1" x14ac:dyDescent="0.25"/>
    <row r="96" spans="4:8" s="300" customFormat="1" x14ac:dyDescent="0.25"/>
    <row r="97" s="300" customFormat="1" x14ac:dyDescent="0.25"/>
    <row r="98" s="300" customFormat="1" x14ac:dyDescent="0.25"/>
    <row r="99" s="300" customFormat="1" x14ac:dyDescent="0.25"/>
    <row r="100" s="300" customFormat="1" x14ac:dyDescent="0.25"/>
    <row r="101" s="300" customFormat="1" x14ac:dyDescent="0.25"/>
    <row r="102" s="300" customFormat="1" x14ac:dyDescent="0.25"/>
    <row r="103" s="300" customFormat="1" x14ac:dyDescent="0.25"/>
    <row r="104" s="300" customFormat="1" x14ac:dyDescent="0.25"/>
    <row r="105" s="300" customFormat="1" x14ac:dyDescent="0.25"/>
    <row r="106" s="300" customFormat="1" x14ac:dyDescent="0.25"/>
    <row r="107" s="300" customFormat="1" x14ac:dyDescent="0.25"/>
    <row r="108" s="300" customFormat="1" x14ac:dyDescent="0.25"/>
    <row r="109" s="300" customFormat="1" x14ac:dyDescent="0.25"/>
    <row r="110" s="300" customFormat="1" x14ac:dyDescent="0.25"/>
    <row r="111" s="300" customFormat="1" x14ac:dyDescent="0.25"/>
    <row r="112" s="300" customFormat="1" x14ac:dyDescent="0.25"/>
    <row r="113" s="300" customFormat="1" x14ac:dyDescent="0.25"/>
    <row r="114" s="300" customFormat="1" x14ac:dyDescent="0.25"/>
    <row r="115" s="300" customFormat="1" x14ac:dyDescent="0.25"/>
    <row r="116" s="300" customFormat="1" x14ac:dyDescent="0.25"/>
    <row r="117" s="300" customFormat="1" x14ac:dyDescent="0.25"/>
    <row r="118" s="300" customFormat="1" x14ac:dyDescent="0.25"/>
    <row r="119" s="300" customFormat="1"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sheetData>
  <sheetProtection formatCells="0" formatColumns="0" formatRows="0"/>
  <mergeCells count="22">
    <mergeCell ref="D90:H94"/>
    <mergeCell ref="D37:E37"/>
    <mergeCell ref="D38:E38"/>
    <mergeCell ref="D39:E39"/>
    <mergeCell ref="D40:E40"/>
    <mergeCell ref="D41:E41"/>
    <mergeCell ref="H40:H41"/>
    <mergeCell ref="H44:H45"/>
    <mergeCell ref="D35:D36"/>
    <mergeCell ref="D11:H11"/>
    <mergeCell ref="D1:H1"/>
    <mergeCell ref="D3:H3"/>
    <mergeCell ref="D5:H5"/>
    <mergeCell ref="D8:G8"/>
    <mergeCell ref="D10:H10"/>
    <mergeCell ref="D33:H33"/>
    <mergeCell ref="D15:G15"/>
    <mergeCell ref="E24:H24"/>
    <mergeCell ref="E30:H30"/>
    <mergeCell ref="D17:H17"/>
    <mergeCell ref="H35:H36"/>
    <mergeCell ref="E31:H31"/>
  </mergeCells>
  <pageMargins left="0.39370078740157483" right="0" top="0.74803149606299213" bottom="0.74803149606299213" header="0.31496062992125984" footer="0.31496062992125984"/>
  <pageSetup paperSize="9" scale="88" fitToHeight="0" orientation="portrait" r:id="rId1"/>
  <rowBreaks count="1" manualBreakCount="1">
    <brk id="47" min="3"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5</xdr:col>
                    <xdr:colOff>152400</xdr:colOff>
                    <xdr:row>35</xdr:row>
                    <xdr:rowOff>190500</xdr:rowOff>
                  </from>
                  <to>
                    <xdr:col>6</xdr:col>
                    <xdr:colOff>276225</xdr:colOff>
                    <xdr:row>37</xdr:row>
                    <xdr:rowOff>9525</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5</xdr:col>
                    <xdr:colOff>152400</xdr:colOff>
                    <xdr:row>37</xdr:row>
                    <xdr:rowOff>28575</xdr:rowOff>
                  </from>
                  <to>
                    <xdr:col>7</xdr:col>
                    <xdr:colOff>685800</xdr:colOff>
                    <xdr:row>38</xdr:row>
                    <xdr:rowOff>0</xdr:rowOff>
                  </to>
                </anchor>
              </controlPr>
            </control>
          </mc:Choice>
        </mc:AlternateContent>
        <mc:AlternateContent xmlns:mc="http://schemas.openxmlformats.org/markup-compatibility/2006">
          <mc:Choice Requires="x14">
            <control shapeId="2053" r:id="rId6" name="Check Box 5">
              <controlPr defaultSize="0" autoFill="0" autoLine="0" autoPict="0">
                <anchor moveWithCells="1">
                  <from>
                    <xdr:col>5</xdr:col>
                    <xdr:colOff>142875</xdr:colOff>
                    <xdr:row>38</xdr:row>
                    <xdr:rowOff>9525</xdr:rowOff>
                  </from>
                  <to>
                    <xdr:col>6</xdr:col>
                    <xdr:colOff>495300</xdr:colOff>
                    <xdr:row>39</xdr:row>
                    <xdr:rowOff>9525</xdr:rowOff>
                  </to>
                </anchor>
              </controlPr>
            </control>
          </mc:Choice>
        </mc:AlternateContent>
        <mc:AlternateContent xmlns:mc="http://schemas.openxmlformats.org/markup-compatibility/2006">
          <mc:Choice Requires="x14">
            <control shapeId="2054" r:id="rId7" name="Check Box 6">
              <controlPr defaultSize="0" autoFill="0" autoLine="0" autoPict="0">
                <anchor moveWithCells="1">
                  <from>
                    <xdr:col>5</xdr:col>
                    <xdr:colOff>142875</xdr:colOff>
                    <xdr:row>39</xdr:row>
                    <xdr:rowOff>28575</xdr:rowOff>
                  </from>
                  <to>
                    <xdr:col>7</xdr:col>
                    <xdr:colOff>66675</xdr:colOff>
                    <xdr:row>39</xdr:row>
                    <xdr:rowOff>238125</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from>
                    <xdr:col>5</xdr:col>
                    <xdr:colOff>133350</xdr:colOff>
                    <xdr:row>40</xdr:row>
                    <xdr:rowOff>28575</xdr:rowOff>
                  </from>
                  <to>
                    <xdr:col>7</xdr:col>
                    <xdr:colOff>57150</xdr:colOff>
                    <xdr:row>40</xdr:row>
                    <xdr:rowOff>238125</xdr:rowOff>
                  </to>
                </anchor>
              </controlPr>
            </control>
          </mc:Choice>
        </mc:AlternateContent>
        <mc:AlternateContent xmlns:mc="http://schemas.openxmlformats.org/markup-compatibility/2006">
          <mc:Choice Requires="x14">
            <control shapeId="2056" r:id="rId9" name="Check Box 8">
              <controlPr defaultSize="0" autoFill="0" autoLine="0" autoPict="0">
                <anchor moveWithCells="1">
                  <from>
                    <xdr:col>5</xdr:col>
                    <xdr:colOff>133350</xdr:colOff>
                    <xdr:row>41</xdr:row>
                    <xdr:rowOff>28575</xdr:rowOff>
                  </from>
                  <to>
                    <xdr:col>7</xdr:col>
                    <xdr:colOff>57150</xdr:colOff>
                    <xdr:row>41</xdr:row>
                    <xdr:rowOff>238125</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M49"/>
  <sheetViews>
    <sheetView showGridLines="0" zoomScaleNormal="100" zoomScaleSheetLayoutView="85" workbookViewId="0">
      <selection activeCell="A36" sqref="A36:J36"/>
    </sheetView>
  </sheetViews>
  <sheetFormatPr baseColWidth="10" defaultRowHeight="15" x14ac:dyDescent="0.25"/>
  <cols>
    <col min="1" max="1" width="0.85546875" customWidth="1"/>
    <col min="2" max="2" width="0.7109375" customWidth="1"/>
    <col min="3" max="12" width="9" customWidth="1"/>
    <col min="13" max="13" width="0.5703125" customWidth="1"/>
  </cols>
  <sheetData>
    <row r="1" spans="1:13" ht="6.75" customHeight="1" thickBot="1" x14ac:dyDescent="0.3">
      <c r="A1" s="1024"/>
      <c r="B1" s="1024"/>
      <c r="C1" s="1024"/>
      <c r="D1" s="1024"/>
      <c r="E1" s="1024"/>
      <c r="F1" s="1024"/>
      <c r="G1" s="1024"/>
      <c r="H1" s="1024"/>
      <c r="I1" s="1024"/>
      <c r="J1" s="1024"/>
      <c r="K1" s="1024"/>
      <c r="L1" s="1024"/>
      <c r="M1" s="1024"/>
    </row>
    <row r="2" spans="1:13" ht="3.75" customHeight="1" x14ac:dyDescent="0.25">
      <c r="A2" s="1024"/>
      <c r="B2" s="1025"/>
      <c r="C2" s="1026"/>
      <c r="D2" s="1026"/>
      <c r="E2" s="1026"/>
      <c r="F2" s="1026"/>
      <c r="G2" s="1026"/>
      <c r="H2" s="1026"/>
      <c r="I2" s="1026"/>
      <c r="J2" s="1026"/>
      <c r="K2" s="1026"/>
      <c r="L2" s="1026"/>
      <c r="M2" s="1027"/>
    </row>
    <row r="3" spans="1:13" x14ac:dyDescent="0.25">
      <c r="A3" s="1024"/>
      <c r="B3" s="1028"/>
      <c r="C3" s="1029"/>
      <c r="D3" s="1030"/>
      <c r="E3" s="1030"/>
      <c r="F3" s="1030"/>
      <c r="G3" s="1030"/>
      <c r="H3" s="1030"/>
      <c r="I3" s="1030"/>
      <c r="J3" s="1030"/>
      <c r="K3" s="1030"/>
      <c r="L3" s="1031"/>
      <c r="M3" s="1032"/>
    </row>
    <row r="4" spans="1:13" ht="15.75" x14ac:dyDescent="0.25">
      <c r="A4" s="1024"/>
      <c r="B4" s="1028"/>
      <c r="C4" s="1033"/>
      <c r="D4" s="1034"/>
      <c r="E4" s="1034"/>
      <c r="F4" s="1034"/>
      <c r="G4" s="1034"/>
      <c r="H4" s="1034"/>
      <c r="I4" s="1034"/>
      <c r="J4" s="1034"/>
      <c r="K4" s="1034"/>
      <c r="L4" s="1035"/>
      <c r="M4" s="1032"/>
    </row>
    <row r="5" spans="1:13" x14ac:dyDescent="0.25">
      <c r="A5" s="1024"/>
      <c r="B5" s="1028"/>
      <c r="C5" s="1033"/>
      <c r="D5" s="1036"/>
      <c r="E5" s="1036"/>
      <c r="F5" s="1036"/>
      <c r="G5" s="1036"/>
      <c r="H5" s="1036"/>
      <c r="I5" s="1036"/>
      <c r="J5" s="1036"/>
      <c r="K5" s="1036"/>
      <c r="L5" s="1035"/>
      <c r="M5" s="1032"/>
    </row>
    <row r="6" spans="1:13" ht="15.75" customHeight="1" x14ac:dyDescent="0.25">
      <c r="A6" s="1024"/>
      <c r="B6" s="1028"/>
      <c r="C6" s="1033"/>
      <c r="D6" s="1037"/>
      <c r="E6" s="1037"/>
      <c r="F6" s="1037"/>
      <c r="G6" s="1037"/>
      <c r="H6" s="1037"/>
      <c r="I6" s="1037"/>
      <c r="J6" s="1037"/>
      <c r="K6" s="1037"/>
      <c r="L6" s="1035"/>
      <c r="M6" s="1032"/>
    </row>
    <row r="7" spans="1:13" x14ac:dyDescent="0.25">
      <c r="A7" s="1024"/>
      <c r="B7" s="1028"/>
      <c r="C7" s="1033"/>
      <c r="D7" s="1036"/>
      <c r="E7" s="1036"/>
      <c r="F7" s="1036"/>
      <c r="G7" s="1036"/>
      <c r="H7" s="1036"/>
      <c r="I7" s="1036"/>
      <c r="J7" s="1036"/>
      <c r="K7" s="1036"/>
      <c r="L7" s="1035"/>
      <c r="M7" s="1032"/>
    </row>
    <row r="8" spans="1:13" ht="15.75" x14ac:dyDescent="0.25">
      <c r="A8" s="1024"/>
      <c r="B8" s="1028"/>
      <c r="C8" s="1033"/>
      <c r="D8" s="1034"/>
      <c r="E8" s="1034"/>
      <c r="F8" s="1034"/>
      <c r="G8" s="1034"/>
      <c r="H8" s="1034"/>
      <c r="I8" s="1034"/>
      <c r="J8" s="1034"/>
      <c r="K8" s="1034"/>
      <c r="L8" s="1035"/>
      <c r="M8" s="1032"/>
    </row>
    <row r="9" spans="1:13" x14ac:dyDescent="0.25">
      <c r="A9" s="1024"/>
      <c r="B9" s="1028"/>
      <c r="C9" s="1033"/>
      <c r="D9" s="1036"/>
      <c r="E9" s="1036"/>
      <c r="F9" s="1036"/>
      <c r="G9" s="1036"/>
      <c r="H9" s="1036"/>
      <c r="I9" s="1036"/>
      <c r="J9" s="1036"/>
      <c r="K9" s="1036"/>
      <c r="L9" s="1035"/>
      <c r="M9" s="1032"/>
    </row>
    <row r="10" spans="1:13" x14ac:dyDescent="0.25">
      <c r="A10" s="1024"/>
      <c r="B10" s="1028"/>
      <c r="C10" s="1033"/>
      <c r="D10" s="1036"/>
      <c r="E10" s="1036"/>
      <c r="F10" s="1036"/>
      <c r="G10" s="1036"/>
      <c r="H10" s="1036"/>
      <c r="I10" s="1036"/>
      <c r="J10" s="1036"/>
      <c r="K10" s="1036"/>
      <c r="L10" s="1035"/>
      <c r="M10" s="1032"/>
    </row>
    <row r="11" spans="1:13" x14ac:dyDescent="0.25">
      <c r="A11" s="1024"/>
      <c r="B11" s="1028"/>
      <c r="C11" s="1033"/>
      <c r="D11" s="1036"/>
      <c r="E11" s="1036"/>
      <c r="F11" s="1036"/>
      <c r="G11" s="1036"/>
      <c r="H11" s="1036"/>
      <c r="I11" s="1036"/>
      <c r="J11" s="1036"/>
      <c r="K11" s="1036"/>
      <c r="L11" s="1035"/>
      <c r="M11" s="1032"/>
    </row>
    <row r="12" spans="1:13" x14ac:dyDescent="0.25">
      <c r="A12" s="1024"/>
      <c r="B12" s="1028"/>
      <c r="C12" s="1033"/>
      <c r="D12" s="1036"/>
      <c r="E12" s="1036"/>
      <c r="F12" s="1036"/>
      <c r="G12" s="1036"/>
      <c r="H12" s="1036"/>
      <c r="I12" s="1036"/>
      <c r="J12" s="1036"/>
      <c r="K12" s="1036"/>
      <c r="L12" s="1035"/>
      <c r="M12" s="1032"/>
    </row>
    <row r="13" spans="1:13" x14ac:dyDescent="0.25">
      <c r="A13" s="1024"/>
      <c r="B13" s="1028"/>
      <c r="C13" s="1033"/>
      <c r="D13" s="1036"/>
      <c r="E13" s="1036"/>
      <c r="F13" s="1036"/>
      <c r="G13" s="1036"/>
      <c r="H13" s="1036"/>
      <c r="I13" s="1036"/>
      <c r="J13" s="1036"/>
      <c r="K13" s="1036"/>
      <c r="L13" s="1035"/>
      <c r="M13" s="1032"/>
    </row>
    <row r="14" spans="1:13" x14ac:dyDescent="0.25">
      <c r="A14" s="1024"/>
      <c r="B14" s="1028"/>
      <c r="C14" s="1033"/>
      <c r="D14" s="1036"/>
      <c r="E14" s="1036"/>
      <c r="F14" s="1036"/>
      <c r="G14" s="1036"/>
      <c r="H14" s="1036"/>
      <c r="I14" s="1036"/>
      <c r="J14" s="1036"/>
      <c r="K14" s="1036"/>
      <c r="L14" s="1035"/>
      <c r="M14" s="1032"/>
    </row>
    <row r="15" spans="1:13" x14ac:dyDescent="0.25">
      <c r="A15" s="1024"/>
      <c r="B15" s="1028"/>
      <c r="C15" s="1033"/>
      <c r="D15" s="1036"/>
      <c r="E15" s="1036"/>
      <c r="F15" s="1036"/>
      <c r="G15" s="1036"/>
      <c r="H15" s="1036"/>
      <c r="I15" s="1036"/>
      <c r="J15" s="1036"/>
      <c r="K15" s="1036"/>
      <c r="L15" s="1035"/>
      <c r="M15" s="1032"/>
    </row>
    <row r="16" spans="1:13" x14ac:dyDescent="0.25">
      <c r="A16" s="1024"/>
      <c r="B16" s="1028"/>
      <c r="C16" s="1033"/>
      <c r="D16" s="1036"/>
      <c r="E16" s="1036"/>
      <c r="F16" s="1036"/>
      <c r="G16" s="1036"/>
      <c r="H16" s="1036"/>
      <c r="I16" s="1036"/>
      <c r="J16" s="1036"/>
      <c r="K16" s="1036"/>
      <c r="L16" s="1035"/>
      <c r="M16" s="1032"/>
    </row>
    <row r="17" spans="1:13" x14ac:dyDescent="0.25">
      <c r="A17" s="1024"/>
      <c r="B17" s="1028"/>
      <c r="C17" s="1033"/>
      <c r="D17" s="1036"/>
      <c r="E17" s="1036"/>
      <c r="F17" s="1036"/>
      <c r="G17" s="1036"/>
      <c r="H17" s="1036"/>
      <c r="I17" s="1036"/>
      <c r="J17" s="1036"/>
      <c r="K17" s="1036"/>
      <c r="L17" s="1035"/>
      <c r="M17" s="1032"/>
    </row>
    <row r="18" spans="1:13" x14ac:dyDescent="0.25">
      <c r="A18" s="1024"/>
      <c r="B18" s="1028"/>
      <c r="C18" s="1033"/>
      <c r="D18" s="1036"/>
      <c r="E18" s="1036"/>
      <c r="F18" s="1036"/>
      <c r="G18" s="1036"/>
      <c r="H18" s="1036"/>
      <c r="I18" s="1036"/>
      <c r="J18" s="1036"/>
      <c r="K18" s="1036"/>
      <c r="L18" s="1035"/>
      <c r="M18" s="1032"/>
    </row>
    <row r="19" spans="1:13" x14ac:dyDescent="0.25">
      <c r="A19" s="1024"/>
      <c r="B19" s="1028"/>
      <c r="C19" s="1033"/>
      <c r="D19" s="1036"/>
      <c r="E19" s="1036"/>
      <c r="F19" s="1036"/>
      <c r="G19" s="1036"/>
      <c r="H19" s="1036"/>
      <c r="I19" s="1036"/>
      <c r="J19" s="1036"/>
      <c r="K19" s="1036"/>
      <c r="L19" s="1035"/>
      <c r="M19" s="1032"/>
    </row>
    <row r="20" spans="1:13" x14ac:dyDescent="0.25">
      <c r="A20" s="1024"/>
      <c r="B20" s="1028"/>
      <c r="C20" s="1033"/>
      <c r="D20" s="1036"/>
      <c r="E20" s="1036"/>
      <c r="F20" s="1036"/>
      <c r="G20" s="1036"/>
      <c r="H20" s="1036"/>
      <c r="I20" s="1036"/>
      <c r="J20" s="1036"/>
      <c r="K20" s="1036"/>
      <c r="L20" s="1035"/>
      <c r="M20" s="1032"/>
    </row>
    <row r="21" spans="1:13" x14ac:dyDescent="0.25">
      <c r="A21" s="1024"/>
      <c r="B21" s="1028"/>
      <c r="C21" s="1033"/>
      <c r="D21" s="1036"/>
      <c r="E21" s="2790" t="s">
        <v>4456</v>
      </c>
      <c r="F21" s="2791"/>
      <c r="G21" s="2791"/>
      <c r="H21" s="2791"/>
      <c r="I21" s="2791"/>
      <c r="J21" s="2791"/>
      <c r="K21" s="1036"/>
      <c r="L21" s="1035"/>
      <c r="M21" s="1032"/>
    </row>
    <row r="22" spans="1:13" x14ac:dyDescent="0.25">
      <c r="A22" s="1024"/>
      <c r="B22" s="1028"/>
      <c r="C22" s="1033"/>
      <c r="D22" s="1036"/>
      <c r="E22" s="2791"/>
      <c r="F22" s="2791"/>
      <c r="G22" s="2791"/>
      <c r="H22" s="2791"/>
      <c r="I22" s="2791"/>
      <c r="J22" s="2791"/>
      <c r="K22" s="1036"/>
      <c r="L22" s="1035"/>
      <c r="M22" s="1032"/>
    </row>
    <row r="23" spans="1:13" x14ac:dyDescent="0.25">
      <c r="A23" s="1024"/>
      <c r="B23" s="1028"/>
      <c r="C23" s="1033"/>
      <c r="D23" s="1036"/>
      <c r="E23" s="2791"/>
      <c r="F23" s="2791"/>
      <c r="G23" s="2791"/>
      <c r="H23" s="2791"/>
      <c r="I23" s="2791"/>
      <c r="J23" s="2791"/>
      <c r="K23" s="1036"/>
      <c r="L23" s="1035"/>
      <c r="M23" s="1032"/>
    </row>
    <row r="24" spans="1:13" x14ac:dyDescent="0.25">
      <c r="A24" s="1024"/>
      <c r="B24" s="1028"/>
      <c r="C24" s="1033"/>
      <c r="D24" s="1036"/>
      <c r="E24" s="2791"/>
      <c r="F24" s="2791"/>
      <c r="G24" s="2791"/>
      <c r="H24" s="2791"/>
      <c r="I24" s="2791"/>
      <c r="J24" s="2791"/>
      <c r="K24" s="1036"/>
      <c r="L24" s="1035"/>
      <c r="M24" s="1032"/>
    </row>
    <row r="25" spans="1:13" x14ac:dyDescent="0.25">
      <c r="A25" s="1024"/>
      <c r="B25" s="1028"/>
      <c r="C25" s="1033"/>
      <c r="D25" s="1036"/>
      <c r="E25" s="1036"/>
      <c r="F25" s="1036"/>
      <c r="G25" s="1036"/>
      <c r="H25" s="1036"/>
      <c r="I25" s="1036"/>
      <c r="J25" s="1036"/>
      <c r="K25" s="1036"/>
      <c r="L25" s="1035"/>
      <c r="M25" s="1032"/>
    </row>
    <row r="26" spans="1:13" x14ac:dyDescent="0.25">
      <c r="A26" s="1024"/>
      <c r="B26" s="1028"/>
      <c r="C26" s="1033"/>
      <c r="D26" s="1036"/>
      <c r="K26" s="1036"/>
      <c r="L26" s="1035"/>
      <c r="M26" s="1032"/>
    </row>
    <row r="27" spans="1:13" x14ac:dyDescent="0.25">
      <c r="A27" s="1024"/>
      <c r="B27" s="1028"/>
      <c r="C27" s="1033"/>
      <c r="D27" s="1036"/>
      <c r="K27" s="1036"/>
      <c r="L27" s="1035"/>
      <c r="M27" s="1032"/>
    </row>
    <row r="28" spans="1:13" x14ac:dyDescent="0.25">
      <c r="A28" s="1024"/>
      <c r="B28" s="1028"/>
      <c r="C28" s="1033"/>
      <c r="D28" s="1036"/>
      <c r="K28" s="1036"/>
      <c r="L28" s="1035"/>
      <c r="M28" s="1032"/>
    </row>
    <row r="29" spans="1:13" x14ac:dyDescent="0.25">
      <c r="A29" s="1024"/>
      <c r="B29" s="1028"/>
      <c r="C29" s="1033"/>
      <c r="D29" s="1036"/>
      <c r="K29" s="1036"/>
      <c r="L29" s="1035"/>
      <c r="M29" s="1032"/>
    </row>
    <row r="30" spans="1:13" x14ac:dyDescent="0.25">
      <c r="A30" s="1024"/>
      <c r="B30" s="1028"/>
      <c r="C30" s="1033"/>
      <c r="D30" s="1036"/>
      <c r="E30" s="1036"/>
      <c r="F30" s="1036"/>
      <c r="G30" s="1036"/>
      <c r="H30" s="1036"/>
      <c r="I30" s="1036"/>
      <c r="J30" s="1036"/>
      <c r="K30" s="1036"/>
      <c r="L30" s="1035"/>
      <c r="M30" s="1032"/>
    </row>
    <row r="31" spans="1:13" ht="18.75" x14ac:dyDescent="0.3">
      <c r="A31" s="1024"/>
      <c r="B31" s="1028"/>
      <c r="C31" s="1033"/>
      <c r="D31" s="1036"/>
      <c r="E31" s="1040"/>
      <c r="F31" s="1040"/>
      <c r="G31" s="1040"/>
      <c r="H31" s="1040"/>
      <c r="I31" s="1040"/>
      <c r="J31" s="1040"/>
      <c r="K31" s="1036"/>
      <c r="L31" s="1035"/>
      <c r="M31" s="1032"/>
    </row>
    <row r="32" spans="1:13" x14ac:dyDescent="0.25">
      <c r="A32" s="1024"/>
      <c r="B32" s="1028"/>
      <c r="C32" s="1033"/>
      <c r="D32" s="1036"/>
      <c r="E32" s="1036"/>
      <c r="F32" s="1036"/>
      <c r="G32" s="1036"/>
      <c r="H32" s="1036"/>
      <c r="I32" s="1036"/>
      <c r="J32" s="1036"/>
      <c r="K32" s="1036"/>
      <c r="L32" s="1035"/>
      <c r="M32" s="1032"/>
    </row>
    <row r="33" spans="1:13" x14ac:dyDescent="0.25">
      <c r="A33" s="1024"/>
      <c r="B33" s="1028"/>
      <c r="C33" s="1033"/>
      <c r="D33" s="1036"/>
      <c r="E33" s="1036"/>
      <c r="F33" s="1036"/>
      <c r="G33" s="1036"/>
      <c r="H33" s="1036"/>
      <c r="I33" s="1036"/>
      <c r="J33" s="1036"/>
      <c r="K33" s="1036"/>
      <c r="L33" s="1035"/>
      <c r="M33" s="1032"/>
    </row>
    <row r="34" spans="1:13" x14ac:dyDescent="0.25">
      <c r="A34" s="1024"/>
      <c r="B34" s="1028"/>
      <c r="C34" s="1033"/>
      <c r="D34" s="1036"/>
      <c r="E34" s="1036"/>
      <c r="F34" s="1036"/>
      <c r="G34" s="1036"/>
      <c r="H34" s="1036"/>
      <c r="I34" s="1036"/>
      <c r="J34" s="1036"/>
      <c r="K34" s="1036"/>
      <c r="L34" s="1035"/>
      <c r="M34" s="1032"/>
    </row>
    <row r="35" spans="1:13" x14ac:dyDescent="0.25">
      <c r="A35" s="1024"/>
      <c r="B35" s="1028"/>
      <c r="C35" s="1033"/>
      <c r="D35" s="1036"/>
      <c r="E35" s="1036"/>
      <c r="F35" s="1036"/>
      <c r="G35" s="1036"/>
      <c r="H35" s="1036"/>
      <c r="I35" s="1036"/>
      <c r="J35" s="1036"/>
      <c r="K35" s="1036"/>
      <c r="L35" s="1035"/>
      <c r="M35" s="1032"/>
    </row>
    <row r="36" spans="1:13" x14ac:dyDescent="0.25">
      <c r="A36" s="1024"/>
      <c r="B36" s="1028"/>
      <c r="C36" s="1033"/>
      <c r="D36" s="1036"/>
      <c r="E36" s="1036"/>
      <c r="F36" s="1036"/>
      <c r="G36" s="1036"/>
      <c r="H36" s="1036"/>
      <c r="I36" s="1036"/>
      <c r="J36" s="1036"/>
      <c r="K36" s="1036"/>
      <c r="L36" s="1035"/>
      <c r="M36" s="1032"/>
    </row>
    <row r="37" spans="1:13" x14ac:dyDescent="0.25">
      <c r="A37" s="1024"/>
      <c r="B37" s="1028"/>
      <c r="C37" s="1033"/>
      <c r="D37" s="1036"/>
      <c r="E37" s="1036"/>
      <c r="F37" s="1036"/>
      <c r="G37" s="1036"/>
      <c r="H37" s="1036"/>
      <c r="I37" s="1036"/>
      <c r="J37" s="1036"/>
      <c r="K37" s="1036"/>
      <c r="L37" s="1035"/>
      <c r="M37" s="1032"/>
    </row>
    <row r="38" spans="1:13" x14ac:dyDescent="0.25">
      <c r="A38" s="1024"/>
      <c r="B38" s="1028"/>
      <c r="C38" s="1033"/>
      <c r="D38" s="1036"/>
      <c r="E38" s="1036"/>
      <c r="F38" s="1036"/>
      <c r="G38" s="1036"/>
      <c r="H38" s="1036"/>
      <c r="I38" s="1036"/>
      <c r="J38" s="1036"/>
      <c r="K38" s="1036"/>
      <c r="L38" s="1035"/>
      <c r="M38" s="1032"/>
    </row>
    <row r="39" spans="1:13" x14ac:dyDescent="0.25">
      <c r="A39" s="1024"/>
      <c r="B39" s="1028"/>
      <c r="C39" s="1033"/>
      <c r="D39" s="1036"/>
      <c r="E39" s="1036"/>
      <c r="F39" s="1036"/>
      <c r="G39" s="1036"/>
      <c r="H39" s="1036"/>
      <c r="I39" s="1036"/>
      <c r="J39" s="1036"/>
      <c r="K39" s="1036"/>
      <c r="L39" s="1035"/>
      <c r="M39" s="1032"/>
    </row>
    <row r="40" spans="1:13" x14ac:dyDescent="0.25">
      <c r="A40" s="1024"/>
      <c r="B40" s="1028"/>
      <c r="C40" s="1033"/>
      <c r="D40" s="1036"/>
      <c r="E40" s="1036"/>
      <c r="F40" s="1036"/>
      <c r="G40" s="1036"/>
      <c r="H40" s="1036"/>
      <c r="I40" s="1036"/>
      <c r="J40" s="1036"/>
      <c r="K40" s="1036"/>
      <c r="L40" s="1035"/>
      <c r="M40" s="1032"/>
    </row>
    <row r="41" spans="1:13" x14ac:dyDescent="0.25">
      <c r="A41" s="1024"/>
      <c r="B41" s="1028"/>
      <c r="C41" s="1033"/>
      <c r="D41" s="1036"/>
      <c r="E41" s="1036"/>
      <c r="F41" s="1036"/>
      <c r="G41" s="1036"/>
      <c r="H41" s="1036"/>
      <c r="I41" s="1036"/>
      <c r="J41" s="1036"/>
      <c r="K41" s="1036"/>
      <c r="L41" s="1035"/>
      <c r="M41" s="1032"/>
    </row>
    <row r="42" spans="1:13" x14ac:dyDescent="0.25">
      <c r="A42" s="1024"/>
      <c r="B42" s="1028"/>
      <c r="C42" s="1033"/>
      <c r="D42" s="1036"/>
      <c r="E42" s="1036"/>
      <c r="F42" s="1036"/>
      <c r="G42" s="1036"/>
      <c r="H42" s="1036"/>
      <c r="I42" s="1036"/>
      <c r="J42" s="1036"/>
      <c r="K42" s="1036"/>
      <c r="L42" s="1035"/>
      <c r="M42" s="1032"/>
    </row>
    <row r="43" spans="1:13" x14ac:dyDescent="0.25">
      <c r="A43" s="1024"/>
      <c r="B43" s="1028"/>
      <c r="C43" s="1033"/>
      <c r="D43" s="1036"/>
      <c r="E43" s="1036"/>
      <c r="F43" s="1036"/>
      <c r="G43" s="1036"/>
      <c r="H43" s="1036"/>
      <c r="I43" s="1036"/>
      <c r="J43" s="1036"/>
      <c r="K43" s="1036"/>
      <c r="L43" s="1035"/>
      <c r="M43" s="1032"/>
    </row>
    <row r="44" spans="1:13" x14ac:dyDescent="0.25">
      <c r="A44" s="1024"/>
      <c r="B44" s="1028"/>
      <c r="C44" s="1033"/>
      <c r="D44" s="1036"/>
      <c r="E44" s="1036"/>
      <c r="F44" s="1036"/>
      <c r="G44" s="1036"/>
      <c r="H44" s="1036"/>
      <c r="I44" s="1036"/>
      <c r="J44" s="1036"/>
      <c r="K44" s="1036"/>
      <c r="L44" s="1035"/>
      <c r="M44" s="1032"/>
    </row>
    <row r="45" spans="1:13" x14ac:dyDescent="0.25">
      <c r="A45" s="1024"/>
      <c r="B45" s="1028"/>
      <c r="C45" s="1033"/>
      <c r="D45" s="1036"/>
      <c r="E45" s="1036"/>
      <c r="F45" s="1036"/>
      <c r="G45" s="1036"/>
      <c r="H45" s="1036"/>
      <c r="I45" s="1036"/>
      <c r="J45" s="1036"/>
      <c r="K45" s="1036"/>
      <c r="L45" s="1035"/>
      <c r="M45" s="1032"/>
    </row>
    <row r="46" spans="1:13" x14ac:dyDescent="0.25">
      <c r="A46" s="1024"/>
      <c r="B46" s="1028"/>
      <c r="C46" s="1033"/>
      <c r="D46" s="1036"/>
      <c r="E46" s="1036"/>
      <c r="F46" s="1036"/>
      <c r="G46" s="1036"/>
      <c r="H46" s="1036"/>
      <c r="I46" s="1036"/>
      <c r="J46" s="1036"/>
      <c r="K46" s="1036"/>
      <c r="L46" s="1035"/>
      <c r="M46" s="1032"/>
    </row>
    <row r="47" spans="1:13" x14ac:dyDescent="0.25">
      <c r="A47" s="1024"/>
      <c r="B47" s="1028"/>
      <c r="C47" s="1033"/>
      <c r="D47" s="1036"/>
      <c r="E47" s="1036"/>
      <c r="F47" s="1036"/>
      <c r="G47" s="1036"/>
      <c r="H47" s="1036"/>
      <c r="I47" s="1036"/>
      <c r="J47" s="1036"/>
      <c r="K47" s="1036"/>
      <c r="L47" s="1035"/>
      <c r="M47" s="1032"/>
    </row>
    <row r="48" spans="1:13" x14ac:dyDescent="0.25">
      <c r="A48" s="1024"/>
      <c r="B48" s="1028"/>
      <c r="C48" s="1041"/>
      <c r="D48" s="1042"/>
      <c r="E48" s="1042"/>
      <c r="F48" s="1042"/>
      <c r="G48" s="1042"/>
      <c r="H48" s="1042"/>
      <c r="I48" s="1042"/>
      <c r="J48" s="1042"/>
      <c r="K48" s="1042"/>
      <c r="L48" s="1043"/>
      <c r="M48" s="1032"/>
    </row>
    <row r="49" spans="1:13" ht="3.75" customHeight="1" thickBot="1" x14ac:dyDescent="0.3">
      <c r="A49" s="1024"/>
      <c r="B49" s="1044"/>
      <c r="C49" s="1045"/>
      <c r="D49" s="1045"/>
      <c r="E49" s="1045"/>
      <c r="F49" s="1045"/>
      <c r="G49" s="1045"/>
      <c r="H49" s="1045"/>
      <c r="I49" s="1045"/>
      <c r="J49" s="1045"/>
      <c r="K49" s="1045"/>
      <c r="L49" s="1045"/>
      <c r="M49" s="1046"/>
    </row>
  </sheetData>
  <sheetProtection selectLockedCells="1"/>
  <mergeCells count="1">
    <mergeCell ref="E21:J24"/>
  </mergeCells>
  <printOptions horizontalCentered="1" verticalCentered="1"/>
  <pageMargins left="0.70866141732283472" right="0.70866141732283472" top="0.74803149606299213" bottom="0.74803149606299213" header="0.31496062992125984" footer="0.31496062992125984"/>
  <pageSetup paperSize="9" scale="94"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pageSetUpPr fitToPage="1"/>
  </sheetPr>
  <dimension ref="A1:M49"/>
  <sheetViews>
    <sheetView showGridLines="0" topLeftCell="A7" zoomScaleNormal="100" zoomScaleSheetLayoutView="85" workbookViewId="0">
      <selection activeCell="A36" sqref="A36:J36"/>
    </sheetView>
  </sheetViews>
  <sheetFormatPr baseColWidth="10" defaultRowHeight="15" x14ac:dyDescent="0.25"/>
  <cols>
    <col min="1" max="1" width="0.85546875" customWidth="1"/>
    <col min="2" max="2" width="0.7109375" customWidth="1"/>
    <col min="3" max="12" width="9" customWidth="1"/>
    <col min="13" max="13" width="0.5703125" customWidth="1"/>
  </cols>
  <sheetData>
    <row r="1" spans="1:13" ht="4.5" customHeight="1" thickBot="1" x14ac:dyDescent="0.3">
      <c r="A1" s="1024"/>
      <c r="B1" s="1024"/>
      <c r="C1" s="1024"/>
      <c r="D1" s="1024"/>
      <c r="E1" s="1024"/>
      <c r="F1" s="1024"/>
      <c r="G1" s="1024"/>
      <c r="H1" s="1024"/>
      <c r="I1" s="1024"/>
      <c r="J1" s="1024"/>
      <c r="K1" s="1024"/>
      <c r="L1" s="1024"/>
      <c r="M1" s="1024"/>
    </row>
    <row r="2" spans="1:13" ht="3.75" customHeight="1" x14ac:dyDescent="0.25">
      <c r="A2" s="1024"/>
      <c r="B2" s="1025"/>
      <c r="C2" s="1026"/>
      <c r="D2" s="1026"/>
      <c r="E2" s="1026"/>
      <c r="F2" s="1026"/>
      <c r="G2" s="1026"/>
      <c r="H2" s="1026"/>
      <c r="I2" s="1026"/>
      <c r="J2" s="1026"/>
      <c r="K2" s="1026"/>
      <c r="L2" s="1026"/>
      <c r="M2" s="1027"/>
    </row>
    <row r="3" spans="1:13" x14ac:dyDescent="0.25">
      <c r="A3" s="1024"/>
      <c r="B3" s="1028"/>
      <c r="C3" s="1029"/>
      <c r="D3" s="1030"/>
      <c r="E3" s="1030"/>
      <c r="F3" s="1030"/>
      <c r="G3" s="1030"/>
      <c r="H3" s="1030"/>
      <c r="I3" s="1030"/>
      <c r="J3" s="1030"/>
      <c r="K3" s="1030"/>
      <c r="L3" s="1031"/>
      <c r="M3" s="1032"/>
    </row>
    <row r="4" spans="1:13" ht="15.75" x14ac:dyDescent="0.25">
      <c r="A4" s="1024"/>
      <c r="B4" s="1028"/>
      <c r="C4" s="1033"/>
      <c r="D4" s="1034"/>
      <c r="E4" s="1034"/>
      <c r="F4" s="1034"/>
      <c r="G4" s="1034"/>
      <c r="H4" s="1034"/>
      <c r="I4" s="1034"/>
      <c r="J4" s="1034"/>
      <c r="K4" s="1034"/>
      <c r="L4" s="1035"/>
      <c r="M4" s="1032"/>
    </row>
    <row r="5" spans="1:13" x14ac:dyDescent="0.25">
      <c r="A5" s="1024"/>
      <c r="B5" s="1028"/>
      <c r="C5" s="1033"/>
      <c r="D5" s="1036"/>
      <c r="E5" s="1036"/>
      <c r="F5" s="1036"/>
      <c r="G5" s="1036"/>
      <c r="H5" s="1036"/>
      <c r="I5" s="1036"/>
      <c r="J5" s="1036"/>
      <c r="K5" s="1036"/>
      <c r="L5" s="1035"/>
      <c r="M5" s="1032"/>
    </row>
    <row r="6" spans="1:13" ht="15.75" x14ac:dyDescent="0.25">
      <c r="A6" s="1024"/>
      <c r="B6" s="1028"/>
      <c r="C6" s="1033"/>
      <c r="D6" s="1037"/>
      <c r="E6" s="1037"/>
      <c r="F6" s="1037"/>
      <c r="G6" s="1037"/>
      <c r="H6" s="1037"/>
      <c r="I6" s="1037"/>
      <c r="J6" s="1037"/>
      <c r="K6" s="1037"/>
      <c r="L6" s="1035"/>
      <c r="M6" s="1032"/>
    </row>
    <row r="7" spans="1:13" x14ac:dyDescent="0.25">
      <c r="A7" s="1024"/>
      <c r="B7" s="1028"/>
      <c r="C7" s="1033"/>
      <c r="D7" s="1036"/>
      <c r="E7" s="1036"/>
      <c r="F7" s="1036"/>
      <c r="G7" s="1036"/>
      <c r="H7" s="1036"/>
      <c r="I7" s="1036"/>
      <c r="J7" s="1036"/>
      <c r="K7" s="1036"/>
      <c r="L7" s="1035"/>
      <c r="M7" s="1032"/>
    </row>
    <row r="8" spans="1:13" ht="15.75" x14ac:dyDescent="0.25">
      <c r="A8" s="1024"/>
      <c r="B8" s="1028"/>
      <c r="C8" s="1033"/>
      <c r="D8" s="1034"/>
      <c r="E8" s="1034"/>
      <c r="F8" s="1034"/>
      <c r="G8" s="1034"/>
      <c r="H8" s="1034"/>
      <c r="I8" s="1034"/>
      <c r="J8" s="1034"/>
      <c r="K8" s="1034"/>
      <c r="L8" s="1035"/>
      <c r="M8" s="1032"/>
    </row>
    <row r="9" spans="1:13" x14ac:dyDescent="0.25">
      <c r="A9" s="1024"/>
      <c r="B9" s="1028"/>
      <c r="C9" s="1033"/>
      <c r="D9" s="1036"/>
      <c r="E9" s="1036"/>
      <c r="F9" s="1036"/>
      <c r="G9" s="1036"/>
      <c r="H9" s="1036"/>
      <c r="I9" s="1036"/>
      <c r="J9" s="1036"/>
      <c r="K9" s="1036"/>
      <c r="L9" s="1035"/>
      <c r="M9" s="1032"/>
    </row>
    <row r="10" spans="1:13" x14ac:dyDescent="0.25">
      <c r="A10" s="1024"/>
      <c r="B10" s="1028"/>
      <c r="C10" s="1033"/>
      <c r="D10" s="1036"/>
      <c r="E10" s="1036"/>
      <c r="F10" s="1036"/>
      <c r="G10" s="1036"/>
      <c r="H10" s="1036"/>
      <c r="I10" s="1036"/>
      <c r="J10" s="1036"/>
      <c r="K10" s="1036"/>
      <c r="L10" s="1035"/>
      <c r="M10" s="1032"/>
    </row>
    <row r="11" spans="1:13" x14ac:dyDescent="0.25">
      <c r="A11" s="1024"/>
      <c r="B11" s="1028"/>
      <c r="C11" s="1033"/>
      <c r="D11" s="1036"/>
      <c r="E11" s="1036"/>
      <c r="F11" s="1036"/>
      <c r="G11" s="1036"/>
      <c r="H11" s="1036"/>
      <c r="I11" s="1036"/>
      <c r="J11" s="1036"/>
      <c r="K11" s="1036"/>
      <c r="L11" s="1035"/>
      <c r="M11" s="1032"/>
    </row>
    <row r="12" spans="1:13" x14ac:dyDescent="0.25">
      <c r="A12" s="1024"/>
      <c r="B12" s="1028"/>
      <c r="C12" s="1033"/>
      <c r="D12" s="1036"/>
      <c r="E12" s="1036"/>
      <c r="F12" s="1036"/>
      <c r="G12" s="1036"/>
      <c r="H12" s="1036"/>
      <c r="I12" s="1036"/>
      <c r="J12" s="1036"/>
      <c r="K12" s="1036"/>
      <c r="L12" s="1035"/>
      <c r="M12" s="1032"/>
    </row>
    <row r="13" spans="1:13" x14ac:dyDescent="0.25">
      <c r="A13" s="1024"/>
      <c r="B13" s="1028"/>
      <c r="C13" s="1033"/>
      <c r="D13" s="1036"/>
      <c r="E13" s="1036"/>
      <c r="F13" s="1036"/>
      <c r="G13" s="1036"/>
      <c r="H13" s="1036"/>
      <c r="I13" s="1036"/>
      <c r="J13" s="1036"/>
      <c r="K13" s="1036"/>
      <c r="L13" s="1035"/>
      <c r="M13" s="1032"/>
    </row>
    <row r="14" spans="1:13" x14ac:dyDescent="0.25">
      <c r="A14" s="1024"/>
      <c r="B14" s="1028"/>
      <c r="C14" s="1033"/>
      <c r="D14" s="1036"/>
      <c r="E14" s="1036"/>
      <c r="F14" s="1036"/>
      <c r="G14" s="1036"/>
      <c r="H14" s="1036"/>
      <c r="I14" s="1036"/>
      <c r="J14" s="1036"/>
      <c r="K14" s="1036"/>
      <c r="L14" s="1035"/>
      <c r="M14" s="1032"/>
    </row>
    <row r="15" spans="1:13" x14ac:dyDescent="0.25">
      <c r="A15" s="1024"/>
      <c r="B15" s="1028"/>
      <c r="C15" s="1033"/>
      <c r="D15" s="1036"/>
      <c r="E15" s="1036"/>
      <c r="F15" s="1036"/>
      <c r="G15" s="1036"/>
      <c r="H15" s="1036"/>
      <c r="I15" s="1036"/>
      <c r="J15" s="1036"/>
      <c r="K15" s="1036"/>
      <c r="L15" s="1035"/>
      <c r="M15" s="1032"/>
    </row>
    <row r="16" spans="1:13" x14ac:dyDescent="0.25">
      <c r="A16" s="1024"/>
      <c r="B16" s="1028"/>
      <c r="C16" s="1033"/>
      <c r="D16" s="1036"/>
      <c r="E16" s="1036"/>
      <c r="F16" s="1036"/>
      <c r="G16" s="1036"/>
      <c r="H16" s="1036"/>
      <c r="I16" s="1036"/>
      <c r="J16" s="1036"/>
      <c r="K16" s="1036"/>
      <c r="L16" s="1035"/>
      <c r="M16" s="1032"/>
    </row>
    <row r="17" spans="1:13" x14ac:dyDescent="0.25">
      <c r="A17" s="1024"/>
      <c r="B17" s="1028"/>
      <c r="C17" s="1033"/>
      <c r="D17" s="1036"/>
      <c r="E17" s="1036"/>
      <c r="F17" s="1036"/>
      <c r="G17" s="1036"/>
      <c r="H17" s="1036"/>
      <c r="I17" s="1036"/>
      <c r="J17" s="1036"/>
      <c r="K17" s="1036"/>
      <c r="L17" s="1035"/>
      <c r="M17" s="1032"/>
    </row>
    <row r="18" spans="1:13" x14ac:dyDescent="0.25">
      <c r="A18" s="1024"/>
      <c r="B18" s="1028"/>
      <c r="C18" s="1033"/>
      <c r="D18" s="1036"/>
      <c r="E18" s="1036"/>
      <c r="F18" s="1036"/>
      <c r="G18" s="1036"/>
      <c r="H18" s="1036"/>
      <c r="I18" s="1036"/>
      <c r="J18" s="1036"/>
      <c r="K18" s="1036"/>
      <c r="L18" s="1035"/>
      <c r="M18" s="1032"/>
    </row>
    <row r="19" spans="1:13" x14ac:dyDescent="0.25">
      <c r="A19" s="1024"/>
      <c r="B19" s="1028"/>
      <c r="C19" s="1033"/>
      <c r="D19" s="1036"/>
      <c r="E19" s="1036"/>
      <c r="F19" s="1036"/>
      <c r="G19" s="1036"/>
      <c r="H19" s="1036"/>
      <c r="I19" s="1036"/>
      <c r="J19" s="1036"/>
      <c r="K19" s="1036"/>
      <c r="L19" s="1035"/>
      <c r="M19" s="1032"/>
    </row>
    <row r="20" spans="1:13" x14ac:dyDescent="0.25">
      <c r="A20" s="1024"/>
      <c r="B20" s="1028"/>
      <c r="C20" s="1033"/>
      <c r="D20" s="1036"/>
      <c r="E20" s="1036"/>
      <c r="F20" s="1036"/>
      <c r="G20" s="1036"/>
      <c r="H20" s="1036"/>
      <c r="I20" s="1036"/>
      <c r="J20" s="1036"/>
      <c r="K20" s="1036"/>
      <c r="L20" s="1035"/>
      <c r="M20" s="1032"/>
    </row>
    <row r="21" spans="1:13" x14ac:dyDescent="0.25">
      <c r="A21" s="1024"/>
      <c r="B21" s="1028"/>
      <c r="C21" s="1033"/>
      <c r="D21" s="1036"/>
      <c r="E21" s="2790" t="s">
        <v>4457</v>
      </c>
      <c r="F21" s="2791"/>
      <c r="G21" s="2791"/>
      <c r="H21" s="2791"/>
      <c r="I21" s="2791"/>
      <c r="J21" s="2791"/>
      <c r="K21" s="1036"/>
      <c r="L21" s="1035"/>
      <c r="M21" s="1032"/>
    </row>
    <row r="22" spans="1:13" x14ac:dyDescent="0.25">
      <c r="A22" s="1024"/>
      <c r="B22" s="1028"/>
      <c r="C22" s="1033"/>
      <c r="D22" s="1036"/>
      <c r="E22" s="2791"/>
      <c r="F22" s="2791"/>
      <c r="G22" s="2791"/>
      <c r="H22" s="2791"/>
      <c r="I22" s="2791"/>
      <c r="J22" s="2791"/>
      <c r="K22" s="1036"/>
      <c r="L22" s="1035"/>
      <c r="M22" s="1032"/>
    </row>
    <row r="23" spans="1:13" x14ac:dyDescent="0.25">
      <c r="A23" s="1024"/>
      <c r="B23" s="1028"/>
      <c r="C23" s="1033"/>
      <c r="D23" s="1036"/>
      <c r="E23" s="2791"/>
      <c r="F23" s="2791"/>
      <c r="G23" s="2791"/>
      <c r="H23" s="2791"/>
      <c r="I23" s="2791"/>
      <c r="J23" s="2791"/>
      <c r="K23" s="1036"/>
      <c r="L23" s="1035"/>
      <c r="M23" s="1032"/>
    </row>
    <row r="24" spans="1:13" x14ac:dyDescent="0.25">
      <c r="A24" s="1024"/>
      <c r="B24" s="1028"/>
      <c r="C24" s="1033"/>
      <c r="D24" s="1036"/>
      <c r="E24" s="2791"/>
      <c r="F24" s="2791"/>
      <c r="G24" s="2791"/>
      <c r="H24" s="2791"/>
      <c r="I24" s="2791"/>
      <c r="J24" s="2791"/>
      <c r="K24" s="1036"/>
      <c r="L24" s="1035"/>
      <c r="M24" s="1032"/>
    </row>
    <row r="25" spans="1:13" x14ac:dyDescent="0.25">
      <c r="A25" s="1024"/>
      <c r="B25" s="1028"/>
      <c r="C25" s="1033"/>
      <c r="D25" s="1036"/>
      <c r="E25" s="1036"/>
      <c r="F25" s="1036"/>
      <c r="G25" s="1036"/>
      <c r="H25" s="1036"/>
      <c r="I25" s="1036"/>
      <c r="J25" s="1036"/>
      <c r="K25" s="1036"/>
      <c r="L25" s="1035"/>
      <c r="M25" s="1032"/>
    </row>
    <row r="26" spans="1:13" x14ac:dyDescent="0.25">
      <c r="A26" s="1024"/>
      <c r="B26" s="1028"/>
      <c r="C26" s="1033"/>
      <c r="D26" s="1036"/>
      <c r="K26" s="1036"/>
      <c r="L26" s="1035"/>
      <c r="M26" s="1032"/>
    </row>
    <row r="27" spans="1:13" x14ac:dyDescent="0.25">
      <c r="A27" s="1024"/>
      <c r="B27" s="1028"/>
      <c r="C27" s="1033"/>
      <c r="D27" s="1036"/>
      <c r="K27" s="1036"/>
      <c r="L27" s="1035"/>
      <c r="M27" s="1032"/>
    </row>
    <row r="28" spans="1:13" x14ac:dyDescent="0.25">
      <c r="A28" s="1024"/>
      <c r="B28" s="1028"/>
      <c r="C28" s="1033"/>
      <c r="D28" s="1036"/>
      <c r="K28" s="1036"/>
      <c r="L28" s="1035"/>
      <c r="M28" s="1032"/>
    </row>
    <row r="29" spans="1:13" x14ac:dyDescent="0.25">
      <c r="A29" s="1024"/>
      <c r="B29" s="1028"/>
      <c r="C29" s="1033"/>
      <c r="D29" s="1036"/>
      <c r="K29" s="1036"/>
      <c r="L29" s="1035"/>
      <c r="M29" s="1032"/>
    </row>
    <row r="30" spans="1:13" x14ac:dyDescent="0.25">
      <c r="A30" s="1024"/>
      <c r="B30" s="1028"/>
      <c r="C30" s="1033"/>
      <c r="D30" s="1036"/>
      <c r="E30" s="1036"/>
      <c r="F30" s="1036"/>
      <c r="G30" s="1036"/>
      <c r="H30" s="1036"/>
      <c r="I30" s="1036"/>
      <c r="J30" s="1036"/>
      <c r="K30" s="1036"/>
      <c r="L30" s="1035"/>
      <c r="M30" s="1032"/>
    </row>
    <row r="31" spans="1:13" ht="18.75" x14ac:dyDescent="0.3">
      <c r="A31" s="1024"/>
      <c r="B31" s="1028"/>
      <c r="C31" s="1033"/>
      <c r="D31" s="1036"/>
      <c r="E31" s="1040"/>
      <c r="F31" s="1040"/>
      <c r="G31" s="1040"/>
      <c r="H31" s="1040"/>
      <c r="I31" s="1040"/>
      <c r="J31" s="1040"/>
      <c r="K31" s="1036"/>
      <c r="L31" s="1035"/>
      <c r="M31" s="1032"/>
    </row>
    <row r="32" spans="1:13" x14ac:dyDescent="0.25">
      <c r="A32" s="1024"/>
      <c r="B32" s="1028"/>
      <c r="C32" s="1033"/>
      <c r="D32" s="1036"/>
      <c r="E32" s="1036"/>
      <c r="F32" s="1036"/>
      <c r="G32" s="1036"/>
      <c r="H32" s="1036"/>
      <c r="I32" s="1036"/>
      <c r="J32" s="1036"/>
      <c r="K32" s="1036"/>
      <c r="L32" s="1035"/>
      <c r="M32" s="1032"/>
    </row>
    <row r="33" spans="1:13" x14ac:dyDescent="0.25">
      <c r="A33" s="1024"/>
      <c r="B33" s="1028"/>
      <c r="C33" s="1033"/>
      <c r="D33" s="1036"/>
      <c r="E33" s="1036"/>
      <c r="F33" s="1036"/>
      <c r="G33" s="1036"/>
      <c r="H33" s="1036"/>
      <c r="I33" s="1036"/>
      <c r="J33" s="1036"/>
      <c r="K33" s="1036"/>
      <c r="L33" s="1035"/>
      <c r="M33" s="1032"/>
    </row>
    <row r="34" spans="1:13" x14ac:dyDescent="0.25">
      <c r="A34" s="1024"/>
      <c r="B34" s="1028"/>
      <c r="C34" s="1033"/>
      <c r="D34" s="1036"/>
      <c r="E34" s="1036"/>
      <c r="F34" s="1036"/>
      <c r="G34" s="1036"/>
      <c r="H34" s="1036"/>
      <c r="I34" s="1036"/>
      <c r="J34" s="1036"/>
      <c r="K34" s="1036"/>
      <c r="L34" s="1035"/>
      <c r="M34" s="1032"/>
    </row>
    <row r="35" spans="1:13" x14ac:dyDescent="0.25">
      <c r="A35" s="1024"/>
      <c r="B35" s="1028"/>
      <c r="C35" s="1033"/>
      <c r="D35" s="1036"/>
      <c r="E35" s="1036"/>
      <c r="F35" s="1036"/>
      <c r="G35" s="1036"/>
      <c r="H35" s="1036"/>
      <c r="I35" s="1036"/>
      <c r="J35" s="1036"/>
      <c r="K35" s="1036"/>
      <c r="L35" s="1035"/>
      <c r="M35" s="1032"/>
    </row>
    <row r="36" spans="1:13" x14ac:dyDescent="0.25">
      <c r="A36" s="1024"/>
      <c r="B36" s="1028"/>
      <c r="C36" s="1033"/>
      <c r="D36" s="1036"/>
      <c r="E36" s="1036"/>
      <c r="F36" s="1036"/>
      <c r="G36" s="1036"/>
      <c r="H36" s="1036"/>
      <c r="I36" s="1036"/>
      <c r="J36" s="1036"/>
      <c r="K36" s="1036"/>
      <c r="L36" s="1035"/>
      <c r="M36" s="1032"/>
    </row>
    <row r="37" spans="1:13" x14ac:dyDescent="0.25">
      <c r="A37" s="1024"/>
      <c r="B37" s="1028"/>
      <c r="C37" s="1033"/>
      <c r="D37" s="1036"/>
      <c r="E37" s="1036"/>
      <c r="F37" s="1036"/>
      <c r="G37" s="1036"/>
      <c r="H37" s="1036"/>
      <c r="I37" s="1036"/>
      <c r="J37" s="1036"/>
      <c r="K37" s="1036"/>
      <c r="L37" s="1035"/>
      <c r="M37" s="1032"/>
    </row>
    <row r="38" spans="1:13" x14ac:dyDescent="0.25">
      <c r="A38" s="1024"/>
      <c r="B38" s="1028"/>
      <c r="C38" s="1033"/>
      <c r="D38" s="1036"/>
      <c r="E38" s="1036"/>
      <c r="F38" s="1036"/>
      <c r="G38" s="1036"/>
      <c r="H38" s="1036"/>
      <c r="I38" s="1036"/>
      <c r="J38" s="1036"/>
      <c r="K38" s="1036"/>
      <c r="L38" s="1035"/>
      <c r="M38" s="1032"/>
    </row>
    <row r="39" spans="1:13" x14ac:dyDescent="0.25">
      <c r="A39" s="1024"/>
      <c r="B39" s="1028"/>
      <c r="C39" s="1033"/>
      <c r="D39" s="1036"/>
      <c r="E39" s="1036"/>
      <c r="F39" s="1036"/>
      <c r="G39" s="1036"/>
      <c r="H39" s="1036"/>
      <c r="I39" s="1036"/>
      <c r="J39" s="1036"/>
      <c r="K39" s="1036"/>
      <c r="L39" s="1035"/>
      <c r="M39" s="1032"/>
    </row>
    <row r="40" spans="1:13" x14ac:dyDescent="0.25">
      <c r="A40" s="1024"/>
      <c r="B40" s="1028"/>
      <c r="C40" s="1033"/>
      <c r="D40" s="1036"/>
      <c r="E40" s="1036"/>
      <c r="F40" s="1036"/>
      <c r="G40" s="1036"/>
      <c r="H40" s="1036"/>
      <c r="I40" s="1036"/>
      <c r="J40" s="1036"/>
      <c r="K40" s="1036"/>
      <c r="L40" s="1035"/>
      <c r="M40" s="1032"/>
    </row>
    <row r="41" spans="1:13" x14ac:dyDescent="0.25">
      <c r="A41" s="1024"/>
      <c r="B41" s="1028"/>
      <c r="C41" s="1033"/>
      <c r="D41" s="1036"/>
      <c r="E41" s="1036"/>
      <c r="F41" s="1036"/>
      <c r="G41" s="1036"/>
      <c r="H41" s="1036"/>
      <c r="I41" s="1036"/>
      <c r="J41" s="1036"/>
      <c r="K41" s="1036"/>
      <c r="L41" s="1035"/>
      <c r="M41" s="1032"/>
    </row>
    <row r="42" spans="1:13" x14ac:dyDescent="0.25">
      <c r="A42" s="1024"/>
      <c r="B42" s="1028"/>
      <c r="C42" s="1033"/>
      <c r="D42" s="1036"/>
      <c r="E42" s="1036"/>
      <c r="F42" s="1036"/>
      <c r="G42" s="1036"/>
      <c r="H42" s="1036"/>
      <c r="I42" s="1036"/>
      <c r="J42" s="1036"/>
      <c r="K42" s="1036"/>
      <c r="L42" s="1035"/>
      <c r="M42" s="1032"/>
    </row>
    <row r="43" spans="1:13" x14ac:dyDescent="0.25">
      <c r="A43" s="1024"/>
      <c r="B43" s="1028"/>
      <c r="C43" s="1033"/>
      <c r="D43" s="1036"/>
      <c r="E43" s="1036"/>
      <c r="F43" s="1036"/>
      <c r="G43" s="1036"/>
      <c r="H43" s="1036"/>
      <c r="I43" s="1036"/>
      <c r="J43" s="1036"/>
      <c r="K43" s="1036"/>
      <c r="L43" s="1035"/>
      <c r="M43" s="1032"/>
    </row>
    <row r="44" spans="1:13" x14ac:dyDescent="0.25">
      <c r="A44" s="1024"/>
      <c r="B44" s="1028"/>
      <c r="C44" s="1033"/>
      <c r="D44" s="1036"/>
      <c r="E44" s="1036"/>
      <c r="F44" s="1036"/>
      <c r="G44" s="1036"/>
      <c r="H44" s="1036"/>
      <c r="I44" s="1036"/>
      <c r="J44" s="1036"/>
      <c r="K44" s="1036"/>
      <c r="L44" s="1035"/>
      <c r="M44" s="1032"/>
    </row>
    <row r="45" spans="1:13" x14ac:dyDescent="0.25">
      <c r="A45" s="1024"/>
      <c r="B45" s="1028"/>
      <c r="C45" s="1033"/>
      <c r="D45" s="1036"/>
      <c r="E45" s="1036"/>
      <c r="F45" s="1036"/>
      <c r="G45" s="1036"/>
      <c r="H45" s="1036"/>
      <c r="I45" s="1036"/>
      <c r="J45" s="1036"/>
      <c r="K45" s="1036"/>
      <c r="L45" s="1035"/>
      <c r="M45" s="1032"/>
    </row>
    <row r="46" spans="1:13" x14ac:dyDescent="0.25">
      <c r="A46" s="1024"/>
      <c r="B46" s="1028"/>
      <c r="C46" s="1033"/>
      <c r="D46" s="1036"/>
      <c r="E46" s="1036"/>
      <c r="F46" s="1036"/>
      <c r="G46" s="1036"/>
      <c r="H46" s="1036"/>
      <c r="I46" s="1036"/>
      <c r="J46" s="1036"/>
      <c r="K46" s="1036"/>
      <c r="L46" s="1035"/>
      <c r="M46" s="1032"/>
    </row>
    <row r="47" spans="1:13" x14ac:dyDescent="0.25">
      <c r="A47" s="1024"/>
      <c r="B47" s="1028"/>
      <c r="C47" s="1033"/>
      <c r="D47" s="1036"/>
      <c r="E47" s="1036"/>
      <c r="F47" s="1036"/>
      <c r="G47" s="1036"/>
      <c r="H47" s="1036"/>
      <c r="I47" s="1036"/>
      <c r="J47" s="1036"/>
      <c r="K47" s="1036"/>
      <c r="L47" s="1035"/>
      <c r="M47" s="1032"/>
    </row>
    <row r="48" spans="1:13" x14ac:dyDescent="0.25">
      <c r="A48" s="1024"/>
      <c r="B48" s="1028"/>
      <c r="C48" s="1041"/>
      <c r="D48" s="1042"/>
      <c r="E48" s="1042"/>
      <c r="F48" s="1042"/>
      <c r="G48" s="1042"/>
      <c r="H48" s="1042"/>
      <c r="I48" s="1042"/>
      <c r="J48" s="1042"/>
      <c r="K48" s="1042"/>
      <c r="L48" s="1043"/>
      <c r="M48" s="1032"/>
    </row>
    <row r="49" spans="1:13" ht="3.75" customHeight="1" thickBot="1" x14ac:dyDescent="0.3">
      <c r="A49" s="1024"/>
      <c r="B49" s="1044"/>
      <c r="C49" s="1045"/>
      <c r="D49" s="1045"/>
      <c r="E49" s="1045"/>
      <c r="F49" s="1045"/>
      <c r="G49" s="1045"/>
      <c r="H49" s="1045"/>
      <c r="I49" s="1045"/>
      <c r="J49" s="1045"/>
      <c r="K49" s="1045"/>
      <c r="L49" s="1045"/>
      <c r="M49" s="1046"/>
    </row>
  </sheetData>
  <sheetProtection selectLockedCells="1"/>
  <mergeCells count="1">
    <mergeCell ref="E21:J24"/>
  </mergeCells>
  <pageMargins left="0.7" right="0.7" top="0.75" bottom="0.75" header="0.3" footer="0.3"/>
  <pageSetup paperSize="9" scale="9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91</vt:i4>
      </vt:variant>
      <vt:variant>
        <vt:lpstr>Plages nommées</vt:lpstr>
      </vt:variant>
      <vt:variant>
        <vt:i4>70</vt:i4>
      </vt:variant>
    </vt:vector>
  </HeadingPairs>
  <TitlesOfParts>
    <vt:vector size="161" baseType="lpstr">
      <vt:lpstr>GUIDE D'UTILISATION</vt:lpstr>
      <vt:lpstr>SOMMAIRE</vt:lpstr>
      <vt:lpstr>INFORMATIONS</vt:lpstr>
      <vt:lpstr>PLAN COMPTABLE</vt:lpstr>
      <vt:lpstr>BalanceN</vt:lpstr>
      <vt:lpstr>BalanceN-1</vt:lpstr>
      <vt:lpstr>CALCULS FISCAUX</vt:lpstr>
      <vt:lpstr>LIASSE SYSCOHADA</vt:lpstr>
      <vt:lpstr>PAGE DE GARDE</vt:lpstr>
      <vt:lpstr>NOTE 36</vt:lpstr>
      <vt:lpstr>R1</vt:lpstr>
      <vt:lpstr>R2</vt:lpstr>
      <vt:lpstr>R3</vt:lpstr>
      <vt:lpstr>R4</vt:lpstr>
      <vt:lpstr>BILAN</vt:lpstr>
      <vt:lpstr>COMPTE DE RESULTAT</vt:lpstr>
      <vt:lpstr>TABLEAU DES FLUX DE TRESORERIE</vt:lpstr>
      <vt:lpstr>NOTE 1</vt:lpstr>
      <vt:lpstr>NOTE 2</vt:lpstr>
      <vt:lpstr>NOTE 3A</vt:lpstr>
      <vt:lpstr>NOTE 3B</vt:lpstr>
      <vt:lpstr>NOTE 3C</vt:lpstr>
      <vt:lpstr>NOTE 3D</vt:lpstr>
      <vt:lpstr>NOTE 3E</vt:lpstr>
      <vt:lpstr>NOTE 4</vt:lpstr>
      <vt:lpstr>NOTE 5</vt:lpstr>
      <vt:lpstr>NOTE 6</vt:lpstr>
      <vt:lpstr>NOTE 7</vt:lpstr>
      <vt:lpstr>NOTE 8</vt:lpstr>
      <vt:lpstr>NOTE 8A</vt:lpstr>
      <vt:lpstr>NOTE 9</vt:lpstr>
      <vt:lpstr>NOTE 10</vt:lpstr>
      <vt:lpstr>NOTE 11</vt:lpstr>
      <vt:lpstr>NOTE 12</vt:lpstr>
      <vt:lpstr>NOTE 13</vt:lpstr>
      <vt:lpstr>NOTE 14</vt:lpstr>
      <vt:lpstr>NOTE 15A</vt:lpstr>
      <vt:lpstr>NOTE 15 B</vt:lpstr>
      <vt:lpstr>NOTE 16A</vt:lpstr>
      <vt:lpstr>NOTE 16 B</vt:lpstr>
      <vt:lpstr>NOTE 16 B bis</vt:lpstr>
      <vt:lpstr>NOTE 16 C</vt:lpstr>
      <vt:lpstr>NOTE 17</vt:lpstr>
      <vt:lpstr>NOTE 18</vt:lpstr>
      <vt:lpstr>NOTE 19</vt:lpstr>
      <vt:lpstr>NOTE 20</vt:lpstr>
      <vt:lpstr>NOTE 21</vt:lpstr>
      <vt:lpstr>NOTE 22</vt:lpstr>
      <vt:lpstr>NOTE 23</vt:lpstr>
      <vt:lpstr>NOTE 24</vt:lpstr>
      <vt:lpstr>NOTE 25</vt:lpstr>
      <vt:lpstr>NOTE 26</vt:lpstr>
      <vt:lpstr>NOTE 27A</vt:lpstr>
      <vt:lpstr>NOTE 27B</vt:lpstr>
      <vt:lpstr>NOTE 28</vt:lpstr>
      <vt:lpstr>NOTE 29</vt:lpstr>
      <vt:lpstr>NOTE 30</vt:lpstr>
      <vt:lpstr>NOTE 31</vt:lpstr>
      <vt:lpstr>NOTE 32</vt:lpstr>
      <vt:lpstr>NOTE 33</vt:lpstr>
      <vt:lpstr>NOTE 34</vt:lpstr>
      <vt:lpstr>NOTE 35</vt:lpstr>
      <vt:lpstr>GARDE (DGI)</vt:lpstr>
      <vt:lpstr>Liste ETATS SUPPL DGI</vt:lpstr>
      <vt:lpstr>SUPPL1-CHARGES</vt:lpstr>
      <vt:lpstr>SUPPL2-PRODUITS</vt:lpstr>
      <vt:lpstr>SUPPL3-TVA (1)</vt:lpstr>
      <vt:lpstr>SUPPL4-TVA (2)</vt:lpstr>
      <vt:lpstr>SUPPL5</vt:lpstr>
      <vt:lpstr>SUPPL6</vt:lpstr>
      <vt:lpstr>SUPPL7</vt:lpstr>
      <vt:lpstr>SUPPL8</vt:lpstr>
      <vt:lpstr>SUPPL9</vt:lpstr>
      <vt:lpstr>SUPPL10</vt:lpstr>
      <vt:lpstr>SUPPL  11</vt:lpstr>
      <vt:lpstr>SUPPL12</vt:lpstr>
      <vt:lpstr>SUPPL13</vt:lpstr>
      <vt:lpstr>SUPPL14</vt:lpstr>
      <vt:lpstr>SUPPL15</vt:lpstr>
      <vt:lpstr>SUPPL16</vt:lpstr>
      <vt:lpstr>SUPPL17</vt:lpstr>
      <vt:lpstr>SUPPL18</vt:lpstr>
      <vt:lpstr>SUPPL19 RESULTAT FISCAL</vt:lpstr>
      <vt:lpstr>SUPPL20 BAV</vt:lpstr>
      <vt:lpstr>PREL ET RET SUPPORTES IMPUTABLE</vt:lpstr>
      <vt:lpstr>ANNEXE 1 PREL DOUANES</vt:lpstr>
      <vt:lpstr>ANNEX 2_PREL INTERIEUR</vt:lpstr>
      <vt:lpstr>ANNEXE 3_ RET SUPPORTEES</vt:lpstr>
      <vt:lpstr>PAGE GARDE IS</vt:lpstr>
      <vt:lpstr>PAGE GARDE IBICA </vt:lpstr>
      <vt:lpstr>PAGE GARDE BNC</vt:lpstr>
      <vt:lpstr>'ANNEX 2_PREL INTERIEUR'!Zone_d_impression</vt:lpstr>
      <vt:lpstr>'ANNEXE 1 PREL DOUANES'!Zone_d_impression</vt:lpstr>
      <vt:lpstr>'ANNEXE 3_ RET SUPPORTEES'!Zone_d_impression</vt:lpstr>
      <vt:lpstr>BILAN!Zone_d_impression</vt:lpstr>
      <vt:lpstr>'COMPTE DE RESULTAT'!Zone_d_impression</vt:lpstr>
      <vt:lpstr>'Liste ETATS SUPPL DGI'!Zone_d_impression</vt:lpstr>
      <vt:lpstr>'NOTE 1'!Zone_d_impression</vt:lpstr>
      <vt:lpstr>'NOTE 10'!Zone_d_impression</vt:lpstr>
      <vt:lpstr>'NOTE 11'!Zone_d_impression</vt:lpstr>
      <vt:lpstr>'NOTE 12'!Zone_d_impression</vt:lpstr>
      <vt:lpstr>'NOTE 13'!Zone_d_impression</vt:lpstr>
      <vt:lpstr>'NOTE 14'!Zone_d_impression</vt:lpstr>
      <vt:lpstr>'NOTE 15 B'!Zone_d_impression</vt:lpstr>
      <vt:lpstr>'NOTE 15A'!Zone_d_impression</vt:lpstr>
      <vt:lpstr>'NOTE 16 B'!Zone_d_impression</vt:lpstr>
      <vt:lpstr>'NOTE 16 B bis'!Zone_d_impression</vt:lpstr>
      <vt:lpstr>'NOTE 16 C'!Zone_d_impression</vt:lpstr>
      <vt:lpstr>'NOTE 16A'!Zone_d_impression</vt:lpstr>
      <vt:lpstr>'NOTE 17'!Zone_d_impression</vt:lpstr>
      <vt:lpstr>'NOTE 18'!Zone_d_impression</vt:lpstr>
      <vt:lpstr>'NOTE 19'!Zone_d_impression</vt:lpstr>
      <vt:lpstr>'NOTE 2'!Zone_d_impression</vt:lpstr>
      <vt:lpstr>'NOTE 20'!Zone_d_impression</vt:lpstr>
      <vt:lpstr>'NOTE 21'!Zone_d_impression</vt:lpstr>
      <vt:lpstr>'NOTE 22'!Zone_d_impression</vt:lpstr>
      <vt:lpstr>'NOTE 23'!Zone_d_impression</vt:lpstr>
      <vt:lpstr>'NOTE 24'!Zone_d_impression</vt:lpstr>
      <vt:lpstr>'NOTE 25'!Zone_d_impression</vt:lpstr>
      <vt:lpstr>'NOTE 26'!Zone_d_impression</vt:lpstr>
      <vt:lpstr>'NOTE 27A'!Zone_d_impression</vt:lpstr>
      <vt:lpstr>'NOTE 27B'!Zone_d_impression</vt:lpstr>
      <vt:lpstr>'NOTE 28'!Zone_d_impression</vt:lpstr>
      <vt:lpstr>'NOTE 29'!Zone_d_impression</vt:lpstr>
      <vt:lpstr>'NOTE 30'!Zone_d_impression</vt:lpstr>
      <vt:lpstr>'NOTE 31'!Zone_d_impression</vt:lpstr>
      <vt:lpstr>'NOTE 32'!Zone_d_impression</vt:lpstr>
      <vt:lpstr>'NOTE 33'!Zone_d_impression</vt:lpstr>
      <vt:lpstr>'NOTE 34'!Zone_d_impression</vt:lpstr>
      <vt:lpstr>'NOTE 35'!Zone_d_impression</vt:lpstr>
      <vt:lpstr>'NOTE 36'!Zone_d_impression</vt:lpstr>
      <vt:lpstr>'NOTE 3A'!Zone_d_impression</vt:lpstr>
      <vt:lpstr>'NOTE 3B'!Zone_d_impression</vt:lpstr>
      <vt:lpstr>'NOTE 3C'!Zone_d_impression</vt:lpstr>
      <vt:lpstr>'NOTE 3D'!Zone_d_impression</vt:lpstr>
      <vt:lpstr>'NOTE 3E'!Zone_d_impression</vt:lpstr>
      <vt:lpstr>'NOTE 4'!Zone_d_impression</vt:lpstr>
      <vt:lpstr>'NOTE 5'!Zone_d_impression</vt:lpstr>
      <vt:lpstr>'NOTE 6'!Zone_d_impression</vt:lpstr>
      <vt:lpstr>'NOTE 7'!Zone_d_impression</vt:lpstr>
      <vt:lpstr>'NOTE 8'!Zone_d_impression</vt:lpstr>
      <vt:lpstr>'NOTE 8A'!Zone_d_impression</vt:lpstr>
      <vt:lpstr>'NOTE 9'!Zone_d_impression</vt:lpstr>
      <vt:lpstr>'PAGE DE GARDE'!Zone_d_impression</vt:lpstr>
      <vt:lpstr>'R1'!Zone_d_impression</vt:lpstr>
      <vt:lpstr>'R2'!Zone_d_impression</vt:lpstr>
      <vt:lpstr>'R3'!Zone_d_impression</vt:lpstr>
      <vt:lpstr>'R4'!Zone_d_impression</vt:lpstr>
      <vt:lpstr>SOMMAIRE!Zone_d_impression</vt:lpstr>
      <vt:lpstr>SUPPL10!Zone_d_impression</vt:lpstr>
      <vt:lpstr>SUPPL12!Zone_d_impression</vt:lpstr>
      <vt:lpstr>'SUPPL19 RESULTAT FISCAL'!Zone_d_impression</vt:lpstr>
      <vt:lpstr>'SUPPL1-CHARGES'!Zone_d_impression</vt:lpstr>
      <vt:lpstr>'SUPPL20 BAV'!Zone_d_impression</vt:lpstr>
      <vt:lpstr>'SUPPL3-TVA (1)'!Zone_d_impression</vt:lpstr>
      <vt:lpstr>SUPPL5!Zone_d_impression</vt:lpstr>
      <vt:lpstr>SUPPL6!Zone_d_impression</vt:lpstr>
      <vt:lpstr>SUPPL7!Zone_d_impression</vt:lpstr>
      <vt:lpstr>SUPPL8!Zone_d_impression</vt:lpstr>
      <vt:lpstr>SUPPL9!Zone_d_impression</vt:lpstr>
      <vt:lpstr>'TABLEAU DES FLUX DE TRESORERIE'!Zone_d_impression</vt:lpstr>
    </vt:vector>
  </TitlesOfParts>
  <Manager>SAMBA K. Boniface</Manager>
  <Company>SOGECA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DSF SYSCOHADA ET LIASSE DGI BF</dc:title>
  <dc:subject>EDITIONS ETATS FINANCIERS</dc:subject>
  <dc:creator>SAM CONSEILS;25 33 2878</dc:creator>
  <dc:description>tout droit reservé</dc:description>
  <cp:lastModifiedBy>HP-i3</cp:lastModifiedBy>
  <cp:lastPrinted>2019-04-18T23:48:51Z</cp:lastPrinted>
  <dcterms:created xsi:type="dcterms:W3CDTF">2018-10-29T18:24:34Z</dcterms:created>
  <dcterms:modified xsi:type="dcterms:W3CDTF">2019-04-19T14:42:50Z</dcterms:modified>
</cp:coreProperties>
</file>